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7.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8.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9.xml" ContentType="application/vnd.openxmlformats-officedocument.drawing+xml"/>
  <Override PartName="/xl/ctrlProps/ctrlProp36.xml" ContentType="application/vnd.ms-excel.controlproperties+xml"/>
  <Override PartName="/xl/drawings/drawing10.xml" ContentType="application/vnd.openxmlformats-officedocument.drawing+xml"/>
  <Override PartName="/xl/ctrlProps/ctrlProp37.xml" ContentType="application/vnd.ms-excel.controlproperties+xml"/>
  <Override PartName="/xl/drawings/drawing11.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drawings/drawing12.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drawings/drawing13.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tables/table3.xml" ContentType="application/vnd.openxmlformats-officedocument.spreadsheetml.table+xml"/>
  <Override PartName="/xl/drawings/drawing14.xml" ContentType="application/vnd.openxmlformats-officedocument.drawing+xml"/>
  <Override PartName="/xl/ctrlProps/ctrlProp59.xml" ContentType="application/vnd.ms-excel.controlproperties+xml"/>
  <Override PartName="/xl/drawings/drawing15.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16.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17.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drawings/drawing18.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drawings/drawing19.xml" ContentType="application/vnd.openxmlformats-officedocument.drawing+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drawings/drawing20.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drawings/drawing21.xml" ContentType="application/vnd.openxmlformats-officedocument.drawing+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drawings/drawing22.xml" ContentType="application/vnd.openxmlformats-officedocument.drawing+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drawings/drawing23.xml" ContentType="application/vnd.openxmlformats-officedocument.drawing+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drawings/drawing24.xml" ContentType="application/vnd.openxmlformats-officedocument.drawing+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drawings/drawing25.xml" ContentType="application/vnd.openxmlformats-officedocument.drawing+xml"/>
  <Override PartName="/xl/ctrlProps/ctrlProp139.xml" ContentType="application/vnd.ms-excel.controlproperties+xml"/>
  <Override PartName="/xl/drawings/drawing26.xml" ContentType="application/vnd.openxmlformats-officedocument.drawing+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drawings/drawing27.xml" ContentType="application/vnd.openxmlformats-officedocument.drawing+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drawings/drawing28.xml" ContentType="application/vnd.openxmlformats-officedocument.drawing+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drawings/drawing29.xml" ContentType="application/vnd.openxmlformats-officedocument.drawing+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drawings/drawing30.xml" ContentType="application/vnd.openxmlformats-officedocument.drawing+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drawings/drawing31.xml" ContentType="application/vnd.openxmlformats-officedocument.drawing+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drawings/drawing32.xml" ContentType="application/vnd.openxmlformats-officedocument.drawing+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drawings/drawing33.xml" ContentType="application/vnd.openxmlformats-officedocument.drawing+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drawings/drawing34.xml" ContentType="application/vnd.openxmlformats-officedocument.drawing+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drawings/drawing35.xml" ContentType="application/vnd.openxmlformats-officedocument.drawing+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drawings/drawing36.xml" ContentType="application/vnd.openxmlformats-officedocument.drawing+xml"/>
  <Override PartName="/xl/ctrlProps/ctrlProp221.xml" ContentType="application/vnd.ms-excel.controlproperties+xml"/>
  <Override PartName="/xl/drawings/drawing37.xml" ContentType="application/vnd.openxmlformats-officedocument.drawing+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drawings/drawing38.xml" ContentType="application/vnd.openxmlformats-officedocument.drawing+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drawings/drawing39.xml" ContentType="application/vnd.openxmlformats-officedocument.drawing+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drawings/drawing40.xml" ContentType="application/vnd.openxmlformats-officedocument.drawing+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drawings/drawing41.xml" ContentType="application/vnd.openxmlformats-officedocument.drawing+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drawings/drawing42.xml" ContentType="application/vnd.openxmlformats-officedocument.drawing+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drawings/drawing43.xml" ContentType="application/vnd.openxmlformats-officedocument.drawing+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drawings/drawing44.xml" ContentType="application/vnd.openxmlformats-officedocument.drawing+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drawings/drawing45.xml" ContentType="application/vnd.openxmlformats-officedocument.drawing+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drawings/drawing46.xml" ContentType="application/vnd.openxmlformats-officedocument.drawing+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drawings/drawing47.xml" ContentType="application/vnd.openxmlformats-officedocument.drawing+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drawings/drawing48.xml" ContentType="application/vnd.openxmlformats-officedocument.drawing+xml"/>
  <Override PartName="/xl/ctrlProps/ctrlProp310.xml" ContentType="application/vnd.ms-excel.controlproperties+xml"/>
  <Override PartName="/xl/drawings/drawing49.xml" ContentType="application/vnd.openxmlformats-officedocument.drawing+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drawings/drawing50.xml" ContentType="application/vnd.openxmlformats-officedocument.drawing+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drawings/drawing51.xml" ContentType="application/vnd.openxmlformats-officedocument.drawing+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drawings/drawing52.xml" ContentType="application/vnd.openxmlformats-officedocument.drawing+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drawings/drawing53.xml" ContentType="application/vnd.openxmlformats-officedocument.drawing+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drawings/drawing54.xml" ContentType="application/vnd.openxmlformats-officedocument.drawing+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drawings/drawing55.xml" ContentType="application/vnd.openxmlformats-officedocument.drawing+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drawings/drawing56.xml" ContentType="application/vnd.openxmlformats-officedocument.drawing+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drawings/drawing57.xml" ContentType="application/vnd.openxmlformats-officedocument.drawing+xml"/>
  <Override PartName="/xl/ctrlProps/ctrlProp371.xml" ContentType="application/vnd.ms-excel.controlproperties+xml"/>
  <Override PartName="/xl/drawings/drawing58.xml" ContentType="application/vnd.openxmlformats-officedocument.drawing+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drawings/drawing59.xml" ContentType="application/vnd.openxmlformats-officedocument.drawing+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drawings/drawing60.xml" ContentType="application/vnd.openxmlformats-officedocument.drawing+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drawings/drawing61.xml" ContentType="application/vnd.openxmlformats-officedocument.drawing+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drawings/drawing62.xml" ContentType="application/vnd.openxmlformats-officedocument.drawing+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drawings/drawing63.xml" ContentType="application/vnd.openxmlformats-officedocument.drawing+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drawings/drawing64.xml" ContentType="application/vnd.openxmlformats-officedocument.drawing+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drawings/drawing65.xml" ContentType="application/vnd.openxmlformats-officedocument.drawing+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drawings/drawing66.xml" ContentType="application/vnd.openxmlformats-officedocument.drawing+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drawings/drawing67.xml" ContentType="application/vnd.openxmlformats-officedocument.drawing+xml"/>
  <Override PartName="/xl/ctrlProps/ctrlProp441.xml" ContentType="application/vnd.ms-excel.controlproperties+xml"/>
  <Override PartName="/xl/drawings/drawing68.xml" ContentType="application/vnd.openxmlformats-officedocument.drawing+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drawings/drawing69.xml" ContentType="application/vnd.openxmlformats-officedocument.drawing+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drawings/drawing70.xml" ContentType="application/vnd.openxmlformats-officedocument.drawing+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drawings/drawing71.xml" ContentType="application/vnd.openxmlformats-officedocument.drawing+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drawings/drawing72.xml" ContentType="application/vnd.openxmlformats-officedocument.drawing+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drawings/drawing73.xml" ContentType="application/vnd.openxmlformats-officedocument.drawing+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drawings/drawing74.xml" ContentType="application/vnd.openxmlformats-officedocument.drawing+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drawings/drawing75.xml" ContentType="application/vnd.openxmlformats-officedocument.drawing+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drawings/drawing76.xml" ContentType="application/vnd.openxmlformats-officedocument.drawing+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drawings/drawing77.xml" ContentType="application/vnd.openxmlformats-officedocument.drawing+xml"/>
  <Override PartName="/xl/ctrlProps/ctrlProp516.xml" ContentType="application/vnd.ms-excel.controlproperties+xml"/>
  <Override PartName="/xl/drawings/drawing78.xml" ContentType="application/vnd.openxmlformats-officedocument.drawing+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drawings/drawing79.xml" ContentType="application/vnd.openxmlformats-officedocument.drawing+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drawings/drawing80.xml" ContentType="application/vnd.openxmlformats-officedocument.drawing+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drawings/drawing81.xml" ContentType="application/vnd.openxmlformats-officedocument.drawing+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drawings/drawing82.xml" ContentType="application/vnd.openxmlformats-officedocument.drawing+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drawings/drawing83.xml" ContentType="application/vnd.openxmlformats-officedocument.drawing+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drawings/drawing84.xml" ContentType="application/vnd.openxmlformats-officedocument.drawing+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drawings/drawing85.xml" ContentType="application/vnd.openxmlformats-officedocument.drawing+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drawings/drawing86.xml" ContentType="application/vnd.openxmlformats-officedocument.drawing+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drawings/drawing87.xml" ContentType="application/vnd.openxmlformats-officedocument.drawing+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drawings/drawing88.xml" ContentType="application/vnd.openxmlformats-officedocument.drawing+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drawings/drawing89.xml" ContentType="application/vnd.openxmlformats-officedocument.drawing+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drawings/drawing90.xml" ContentType="application/vnd.openxmlformats-officedocument.drawing+xml"/>
  <Override PartName="/xl/ctrlProps/ctrlProp613.xml" ContentType="application/vnd.ms-excel.controlproperties+xml"/>
  <Override PartName="/xl/drawings/drawing91.xml" ContentType="application/vnd.openxmlformats-officedocument.drawing+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drawings/drawing92.xml" ContentType="application/vnd.openxmlformats-officedocument.drawing+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drawings/drawing93.xml" ContentType="application/vnd.openxmlformats-officedocument.drawing+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drawings/drawing94.xml" ContentType="application/vnd.openxmlformats-officedocument.drawing+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drawings/drawing95.xml" ContentType="application/vnd.openxmlformats-officedocument.drawing+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drawings/drawing96.xml" ContentType="application/vnd.openxmlformats-officedocument.drawing+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drawings/drawing97.xml" ContentType="application/vnd.openxmlformats-officedocument.drawing+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drawings/drawing98.xml" ContentType="application/vnd.openxmlformats-officedocument.drawing+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drawings/drawing99.xml" ContentType="application/vnd.openxmlformats-officedocument.drawing+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drawings/drawing100.xml" ContentType="application/vnd.openxmlformats-officedocument.drawing+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drawings/drawing101.xml" ContentType="application/vnd.openxmlformats-officedocument.drawing+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drawings/drawing102.xml" ContentType="application/vnd.openxmlformats-officedocument.drawing+xml"/>
  <Override PartName="/xl/ctrlProps/ctrlProp705.xml" ContentType="application/vnd.ms-excel.controlproperties+xml"/>
  <Override PartName="/xl/drawings/drawing103.xml" ContentType="application/vnd.openxmlformats-officedocument.drawing+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drawings/drawing104.xml" ContentType="application/vnd.openxmlformats-officedocument.drawing+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drawings/drawing105.xml" ContentType="application/vnd.openxmlformats-officedocument.drawing+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drawings/drawing106.xml" ContentType="application/vnd.openxmlformats-officedocument.drawing+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drawings/drawing107.xml" ContentType="application/vnd.openxmlformats-officedocument.drawing+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drawings/drawing108.xml" ContentType="application/vnd.openxmlformats-officedocument.drawing+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drawings/drawing109.xml" ContentType="application/vnd.openxmlformats-officedocument.drawing+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drawings/drawing110.xml" ContentType="application/vnd.openxmlformats-officedocument.drawing+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drawings/drawing111.xml" ContentType="application/vnd.openxmlformats-officedocument.drawing+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drawings/drawing112.xml" ContentType="application/vnd.openxmlformats-officedocument.drawing+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drawings/drawing113.xml" ContentType="application/vnd.openxmlformats-officedocument.drawing+xml"/>
  <Override PartName="/xl/ctrlProps/ctrlProp784.xml" ContentType="application/vnd.ms-excel.controlproperties+xml"/>
  <Override PartName="/xl/drawings/drawing114.xml" ContentType="application/vnd.openxmlformats-officedocument.drawing+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drawings/drawing115.xml" ContentType="application/vnd.openxmlformats-officedocument.drawing+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drawings/drawing116.xml" ContentType="application/vnd.openxmlformats-officedocument.drawing+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drawings/drawing117.xml" ContentType="application/vnd.openxmlformats-officedocument.drawing+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drawings/drawing118.xml" ContentType="application/vnd.openxmlformats-officedocument.drawing+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drawings/drawing119.xml" ContentType="application/vnd.openxmlformats-officedocument.drawing+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drawings/drawing120.xml" ContentType="application/vnd.openxmlformats-officedocument.drawing+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drawings/drawing121.xml" ContentType="application/vnd.openxmlformats-officedocument.drawing+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tables/table4.xml" ContentType="application/vnd.openxmlformats-officedocument.spreadsheetml.table+xml"/>
  <Override PartName="/xl/drawings/drawing122.xml" ContentType="application/vnd.openxmlformats-officedocument.drawing+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drawings/drawing123.xml" ContentType="application/vnd.openxmlformats-officedocument.drawing+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drawings/drawing124.xml" ContentType="application/vnd.openxmlformats-officedocument.drawing+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878.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drawings/drawing125.xml" ContentType="application/vnd.openxmlformats-officedocument.drawing+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drawings/drawing126.xml" ContentType="application/vnd.openxmlformats-officedocument.drawing+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drawings/drawing127.xml" ContentType="application/vnd.openxmlformats-officedocument.drawing+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drawings/drawing128.xml" ContentType="application/vnd.openxmlformats-officedocument.drawing+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ctrlProps/ctrlProp919.xml" ContentType="application/vnd.ms-excel.controlproperties+xml"/>
  <Override PartName="/xl/drawings/drawing129.xml" ContentType="application/vnd.openxmlformats-officedocument.drawing+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drawings/drawing130.xml" ContentType="application/vnd.openxmlformats-officedocument.drawing+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drawings/drawing131.xml" ContentType="application/vnd.openxmlformats-officedocument.drawing+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drawings/drawing132.xml" ContentType="application/vnd.openxmlformats-officedocument.drawing+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drawings/drawing133.xml" ContentType="application/vnd.openxmlformats-officedocument.drawing+xml"/>
  <Override PartName="/xl/ctrlProps/ctrlProp944.xml" ContentType="application/vnd.ms-excel.controlproperties+xml"/>
  <Override PartName="/xl/drawings/drawing134.xml" ContentType="application/vnd.openxmlformats-officedocument.drawing+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drawings/drawing135.xml" ContentType="application/vnd.openxmlformats-officedocument.drawing+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drawings/drawing136.xml" ContentType="application/vnd.openxmlformats-officedocument.drawing+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drawings/drawing137.xml" ContentType="application/vnd.openxmlformats-officedocument.drawing+xml"/>
  <Override PartName="/xl/ctrlProps/ctrlProp972.xml" ContentType="application/vnd.ms-excel.controlproperties+xml"/>
  <Override PartName="/xl/ctrlProps/ctrlProp973.xml" ContentType="application/vnd.ms-excel.controlproperties+xml"/>
  <Override PartName="/xl/ctrlProps/ctrlProp974.xml" ContentType="application/vnd.ms-excel.controlproperties+xml"/>
  <Override PartName="/xl/ctrlProps/ctrlProp975.xml" ContentType="application/vnd.ms-excel.controlproperties+xml"/>
  <Override PartName="/xl/ctrlProps/ctrlProp976.xml" ContentType="application/vnd.ms-excel.controlproperties+xml"/>
  <Override PartName="/xl/ctrlProps/ctrlProp977.xml" ContentType="application/vnd.ms-excel.controlproperties+xml"/>
  <Override PartName="/xl/ctrlProps/ctrlProp978.xml" ContentType="application/vnd.ms-excel.controlproperties+xml"/>
  <Override PartName="/xl/ctrlProps/ctrlProp979.xml" ContentType="application/vnd.ms-excel.controlproperties+xml"/>
  <Override PartName="/xl/ctrlProps/ctrlProp980.xml" ContentType="application/vnd.ms-excel.controlproperties+xml"/>
  <Override PartName="/xl/drawings/drawing138.xml" ContentType="application/vnd.openxmlformats-officedocument.drawing+xml"/>
  <Override PartName="/xl/ctrlProps/ctrlProp981.xml" ContentType="application/vnd.ms-excel.controlproperties+xml"/>
  <Override PartName="/xl/ctrlProps/ctrlProp982.xml" ContentType="application/vnd.ms-excel.controlproperties+xml"/>
  <Override PartName="/xl/ctrlProps/ctrlProp983.xml" ContentType="application/vnd.ms-excel.controlproperties+xml"/>
  <Override PartName="/xl/ctrlProps/ctrlProp984.xml" ContentType="application/vnd.ms-excel.controlproperties+xml"/>
  <Override PartName="/xl/ctrlProps/ctrlProp985.xml" ContentType="application/vnd.ms-excel.controlproperties+xml"/>
  <Override PartName="/xl/ctrlProps/ctrlProp986.xml" ContentType="application/vnd.ms-excel.controlproperties+xml"/>
  <Override PartName="/xl/ctrlProps/ctrlProp987.xml" ContentType="application/vnd.ms-excel.controlproperties+xml"/>
  <Override PartName="/xl/ctrlProps/ctrlProp988.xml" ContentType="application/vnd.ms-excel.controlproperties+xml"/>
  <Override PartName="/xl/ctrlProps/ctrlProp989.xml" ContentType="application/vnd.ms-excel.controlproperties+xml"/>
  <Override PartName="/xl/drawings/drawing139.xml" ContentType="application/vnd.openxmlformats-officedocument.drawing+xml"/>
  <Override PartName="/xl/ctrlProps/ctrlProp990.xml" ContentType="application/vnd.ms-excel.controlproperties+xml"/>
  <Override PartName="/xl/ctrlProps/ctrlProp991.xml" ContentType="application/vnd.ms-excel.controlproperties+xml"/>
  <Override PartName="/xl/ctrlProps/ctrlProp992.xml" ContentType="application/vnd.ms-excel.controlproperties+xml"/>
  <Override PartName="/xl/ctrlProps/ctrlProp993.xml" ContentType="application/vnd.ms-excel.controlproperties+xml"/>
  <Override PartName="/xl/ctrlProps/ctrlProp994.xml" ContentType="application/vnd.ms-excel.controlproperties+xml"/>
  <Override PartName="/xl/ctrlProps/ctrlProp995.xml" ContentType="application/vnd.ms-excel.controlproperties+xml"/>
  <Override PartName="/xl/ctrlProps/ctrlProp996.xml" ContentType="application/vnd.ms-excel.controlproperties+xml"/>
  <Override PartName="/xl/ctrlProps/ctrlProp997.xml" ContentType="application/vnd.ms-excel.controlproperties+xml"/>
  <Override PartName="/xl/ctrlProps/ctrlProp998.xml" ContentType="application/vnd.ms-excel.controlproperties+xml"/>
  <Override PartName="/xl/drawings/drawing140.xml" ContentType="application/vnd.openxmlformats-officedocument.drawing+xml"/>
  <Override PartName="/xl/ctrlProps/ctrlProp999.xml" ContentType="application/vnd.ms-excel.controlproperties+xml"/>
  <Override PartName="/xl/ctrlProps/ctrlProp1000.xml" ContentType="application/vnd.ms-excel.controlproperties+xml"/>
  <Override PartName="/xl/ctrlProps/ctrlProp1001.xml" ContentType="application/vnd.ms-excel.controlproperties+xml"/>
  <Override PartName="/xl/ctrlProps/ctrlProp1002.xml" ContentType="application/vnd.ms-excel.controlproperties+xml"/>
  <Override PartName="/xl/ctrlProps/ctrlProp1003.xml" ContentType="application/vnd.ms-excel.controlproperties+xml"/>
  <Override PartName="/xl/ctrlProps/ctrlProp1004.xml" ContentType="application/vnd.ms-excel.controlproperties+xml"/>
  <Override PartName="/xl/ctrlProps/ctrlProp1005.xml" ContentType="application/vnd.ms-excel.controlproperties+xml"/>
  <Override PartName="/xl/ctrlProps/ctrlProp1006.xml" ContentType="application/vnd.ms-excel.controlproperties+xml"/>
  <Override PartName="/xl/ctrlProps/ctrlProp1007.xml" ContentType="application/vnd.ms-excel.controlproperties+xml"/>
  <Override PartName="/xl/drawings/drawing141.xml" ContentType="application/vnd.openxmlformats-officedocument.drawing+xml"/>
  <Override PartName="/xl/ctrlProps/ctrlProp1008.xml" ContentType="application/vnd.ms-excel.controlproperties+xml"/>
  <Override PartName="/xl/ctrlProps/ctrlProp1009.xml" ContentType="application/vnd.ms-excel.controlproperties+xml"/>
  <Override PartName="/xl/ctrlProps/ctrlProp1010.xml" ContentType="application/vnd.ms-excel.controlproperties+xml"/>
  <Override PartName="/xl/ctrlProps/ctrlProp1011.xml" ContentType="application/vnd.ms-excel.controlproperties+xml"/>
  <Override PartName="/xl/ctrlProps/ctrlProp1012.xml" ContentType="application/vnd.ms-excel.controlproperties+xml"/>
  <Override PartName="/xl/ctrlProps/ctrlProp1013.xml" ContentType="application/vnd.ms-excel.controlproperties+xml"/>
  <Override PartName="/xl/ctrlProps/ctrlProp1014.xml" ContentType="application/vnd.ms-excel.controlproperties+xml"/>
  <Override PartName="/xl/ctrlProps/ctrlProp1015.xml" ContentType="application/vnd.ms-excel.controlproperties+xml"/>
  <Override PartName="/xl/drawings/drawing142.xml" ContentType="application/vnd.openxmlformats-officedocument.drawing+xml"/>
  <Override PartName="/xl/ctrlProps/ctrlProp1016.xml" ContentType="application/vnd.ms-excel.controlproperties+xml"/>
  <Override PartName="/xl/ctrlProps/ctrlProp1017.xml" ContentType="application/vnd.ms-excel.controlproperties+xml"/>
  <Override PartName="/xl/ctrlProps/ctrlProp1018.xml" ContentType="application/vnd.ms-excel.controlproperties+xml"/>
  <Override PartName="/xl/ctrlProps/ctrlProp1019.xml" ContentType="application/vnd.ms-excel.controlproperties+xml"/>
  <Override PartName="/xl/drawings/drawing143.xml" ContentType="application/vnd.openxmlformats-officedocument.drawing+xml"/>
  <Override PartName="/xl/ctrlProps/ctrlProp1020.xml" ContentType="application/vnd.ms-excel.controlproperties+xml"/>
  <Override PartName="/xl/ctrlProps/ctrlProp1021.xml" ContentType="application/vnd.ms-excel.controlproperties+xml"/>
  <Override PartName="/xl/ctrlProps/ctrlProp1022.xml" ContentType="application/vnd.ms-excel.controlproperties+xml"/>
  <Override PartName="/xl/drawings/drawing144.xml" ContentType="application/vnd.openxmlformats-officedocument.drawing+xml"/>
  <Override PartName="/xl/ctrlProps/ctrlProp1023.xml" ContentType="application/vnd.ms-excel.controlproperties+xml"/>
  <Override PartName="/xl/drawings/drawing145.xml" ContentType="application/vnd.openxmlformats-officedocument.drawing+xml"/>
  <Override PartName="/xl/ctrlProps/ctrlProp1024.xml" ContentType="application/vnd.ms-excel.controlproperties+xml"/>
  <Override PartName="/xl/ctrlProps/ctrlProp1025.xml" ContentType="application/vnd.ms-excel.controlproperties+xml"/>
  <Override PartName="/xl/ctrlProps/ctrlProp1026.xml" ContentType="application/vnd.ms-excel.controlproperties+xml"/>
  <Override PartName="/xl/ctrlProps/ctrlProp1027.xml" ContentType="application/vnd.ms-excel.controlproperties+xml"/>
  <Override PartName="/xl/ctrlProps/ctrlProp1028.xml" ContentType="application/vnd.ms-excel.controlproperties+xml"/>
  <Override PartName="/xl/ctrlProps/ctrlProp1029.xml" ContentType="application/vnd.ms-excel.controlproperties+xml"/>
  <Override PartName="/xl/ctrlProps/ctrlProp1030.xml" ContentType="application/vnd.ms-excel.controlproperties+xml"/>
  <Override PartName="/xl/ctrlProps/ctrlProp1031.xml" ContentType="application/vnd.ms-excel.controlproperties+xml"/>
  <Override PartName="/xl/ctrlProps/ctrlProp1032.xml" ContentType="application/vnd.ms-excel.controlproperties+xml"/>
  <Override PartName="/xl/drawings/drawing146.xml" ContentType="application/vnd.openxmlformats-officedocument.drawing+xml"/>
  <Override PartName="/xl/ctrlProps/ctrlProp1033.xml" ContentType="application/vnd.ms-excel.controlproperties+xml"/>
  <Override PartName="/xl/ctrlProps/ctrlProp1034.xml" ContentType="application/vnd.ms-excel.controlproperties+xml"/>
  <Override PartName="/xl/ctrlProps/ctrlProp1035.xml" ContentType="application/vnd.ms-excel.controlproperties+xml"/>
  <Override PartName="/xl/ctrlProps/ctrlProp1036.xml" ContentType="application/vnd.ms-excel.controlproperties+xml"/>
  <Override PartName="/xl/ctrlProps/ctrlProp1037.xml" ContentType="application/vnd.ms-excel.controlproperties+xml"/>
  <Override PartName="/xl/ctrlProps/ctrlProp1038.xml" ContentType="application/vnd.ms-excel.controlproperties+xml"/>
  <Override PartName="/xl/ctrlProps/ctrlProp1039.xml" ContentType="application/vnd.ms-excel.controlproperties+xml"/>
  <Override PartName="/xl/ctrlProps/ctrlProp1040.xml" ContentType="application/vnd.ms-excel.controlproperties+xml"/>
  <Override PartName="/xl/ctrlProps/ctrlProp1041.xml" ContentType="application/vnd.ms-excel.controlproperties+xml"/>
  <Override PartName="/xl/drawings/drawing147.xml" ContentType="application/vnd.openxmlformats-officedocument.drawing+xml"/>
  <Override PartName="/xl/ctrlProps/ctrlProp1042.xml" ContentType="application/vnd.ms-excel.controlproperties+xml"/>
  <Override PartName="/xl/ctrlProps/ctrlProp1043.xml" ContentType="application/vnd.ms-excel.controlproperties+xml"/>
  <Override PartName="/xl/ctrlProps/ctrlProp1044.xml" ContentType="application/vnd.ms-excel.controlproperties+xml"/>
  <Override PartName="/xl/ctrlProps/ctrlProp1045.xml" ContentType="application/vnd.ms-excel.controlproperties+xml"/>
  <Override PartName="/xl/ctrlProps/ctrlProp1046.xml" ContentType="application/vnd.ms-excel.controlproperties+xml"/>
  <Override PartName="/xl/ctrlProps/ctrlProp1047.xml" ContentType="application/vnd.ms-excel.controlproperties+xml"/>
  <Override PartName="/xl/ctrlProps/ctrlProp1048.xml" ContentType="application/vnd.ms-excel.controlproperties+xml"/>
  <Override PartName="/xl/ctrlProps/ctrlProp1049.xml" ContentType="application/vnd.ms-excel.controlproperties+xml"/>
  <Override PartName="/xl/ctrlProps/ctrlProp1050.xml" ContentType="application/vnd.ms-excel.controlproperties+xml"/>
  <Override PartName="/xl/drawings/drawing148.xml" ContentType="application/vnd.openxmlformats-officedocument.drawing+xml"/>
  <Override PartName="/xl/ctrlProps/ctrlProp1051.xml" ContentType="application/vnd.ms-excel.controlproperties+xml"/>
  <Override PartName="/xl/ctrlProps/ctrlProp1052.xml" ContentType="application/vnd.ms-excel.controlproperties+xml"/>
  <Override PartName="/xl/ctrlProps/ctrlProp1053.xml" ContentType="application/vnd.ms-excel.controlproperties+xml"/>
  <Override PartName="/xl/ctrlProps/ctrlProp1054.xml" ContentType="application/vnd.ms-excel.controlproperties+xml"/>
  <Override PartName="/xl/ctrlProps/ctrlProp1055.xml" ContentType="application/vnd.ms-excel.controlproperties+xml"/>
  <Override PartName="/xl/ctrlProps/ctrlProp1056.xml" ContentType="application/vnd.ms-excel.controlproperties+xml"/>
  <Override PartName="/xl/ctrlProps/ctrlProp1057.xml" ContentType="application/vnd.ms-excel.controlproperties+xml"/>
  <Override PartName="/xl/ctrlProps/ctrlProp1058.xml" ContentType="application/vnd.ms-excel.controlproperties+xml"/>
  <Override PartName="/xl/ctrlProps/ctrlProp1059.xml" ContentType="application/vnd.ms-excel.controlproperties+xml"/>
  <Override PartName="/xl/drawings/drawing149.xml" ContentType="application/vnd.openxmlformats-officedocument.drawing+xml"/>
  <Override PartName="/xl/ctrlProps/ctrlProp1060.xml" ContentType="application/vnd.ms-excel.controlproperties+xml"/>
  <Override PartName="/xl/ctrlProps/ctrlProp1061.xml" ContentType="application/vnd.ms-excel.controlproperties+xml"/>
  <Override PartName="/xl/ctrlProps/ctrlProp1062.xml" ContentType="application/vnd.ms-excel.controlproperties+xml"/>
  <Override PartName="/xl/ctrlProps/ctrlProp1063.xml" ContentType="application/vnd.ms-excel.controlproperties+xml"/>
  <Override PartName="/xl/ctrlProps/ctrlProp1064.xml" ContentType="application/vnd.ms-excel.controlproperties+xml"/>
  <Override PartName="/xl/ctrlProps/ctrlProp1065.xml" ContentType="application/vnd.ms-excel.controlproperties+xml"/>
  <Override PartName="/xl/ctrlProps/ctrlProp1066.xml" ContentType="application/vnd.ms-excel.controlproperties+xml"/>
  <Override PartName="/xl/ctrlProps/ctrlProp1067.xml" ContentType="application/vnd.ms-excel.controlproperties+xml"/>
  <Override PartName="/xl/ctrlProps/ctrlProp1068.xml" ContentType="application/vnd.ms-excel.controlproperties+xml"/>
  <Override PartName="/xl/drawings/drawing150.xml" ContentType="application/vnd.openxmlformats-officedocument.drawing+xml"/>
  <Override PartName="/xl/ctrlProps/ctrlProp1069.xml" ContentType="application/vnd.ms-excel.controlproperties+xml"/>
  <Override PartName="/xl/ctrlProps/ctrlProp1070.xml" ContentType="application/vnd.ms-excel.controlproperties+xml"/>
  <Override PartName="/xl/ctrlProps/ctrlProp1071.xml" ContentType="application/vnd.ms-excel.controlproperties+xml"/>
  <Override PartName="/xl/ctrlProps/ctrlProp1072.xml" ContentType="application/vnd.ms-excel.controlproperties+xml"/>
  <Override PartName="/xl/ctrlProps/ctrlProp1073.xml" ContentType="application/vnd.ms-excel.controlproperties+xml"/>
  <Override PartName="/xl/ctrlProps/ctrlProp1074.xml" ContentType="application/vnd.ms-excel.controlproperties+xml"/>
  <Override PartName="/xl/ctrlProps/ctrlProp1075.xml" ContentType="application/vnd.ms-excel.controlproperties+xml"/>
  <Override PartName="/xl/ctrlProps/ctrlProp1076.xml" ContentType="application/vnd.ms-excel.controlproperties+xml"/>
  <Override PartName="/xl/ctrlProps/ctrlProp1077.xml" ContentType="application/vnd.ms-excel.controlproperties+xml"/>
  <Override PartName="/xl/ctrlProps/ctrlProp1078.xml" ContentType="application/vnd.ms-excel.controlproperties+xml"/>
  <Override PartName="/xl/ctrlProps/ctrlProp1079.xml" ContentType="application/vnd.ms-excel.controlproperties+xml"/>
  <Override PartName="/xl/ctrlProps/ctrlProp1080.xml" ContentType="application/vnd.ms-excel.controlproperties+xml"/>
  <Override PartName="/xl/ctrlProps/ctrlProp1081.xml" ContentType="application/vnd.ms-excel.controlproperties+xml"/>
  <Override PartName="/xl/ctrlProps/ctrlProp1082.xml" ContentType="application/vnd.ms-excel.controlproperties+xml"/>
  <Override PartName="/xl/ctrlProps/ctrlProp1083.xml" ContentType="application/vnd.ms-excel.controlproperties+xml"/>
  <Override PartName="/xl/ctrlProps/ctrlProp1084.xml" ContentType="application/vnd.ms-excel.controlproperties+xml"/>
  <Override PartName="/xl/ctrlProps/ctrlProp1085.xml" ContentType="application/vnd.ms-excel.controlproperties+xml"/>
  <Override PartName="/xl/ctrlProps/ctrlProp1086.xml" ContentType="application/vnd.ms-excel.controlproperties+xml"/>
  <Override PartName="/xl/ctrlProps/ctrlProp1087.xml" ContentType="application/vnd.ms-excel.controlproperties+xml"/>
  <Override PartName="/xl/ctrlProps/ctrlProp1088.xml" ContentType="application/vnd.ms-excel.controlproperties+xml"/>
  <Override PartName="/xl/ctrlProps/ctrlProp1089.xml" ContentType="application/vnd.ms-excel.controlproperties+xml"/>
  <Override PartName="/xl/ctrlProps/ctrlProp1090.xml" ContentType="application/vnd.ms-excel.controlproperties+xml"/>
  <Override PartName="/xl/ctrlProps/ctrlProp1091.xml" ContentType="application/vnd.ms-excel.controlproperties+xml"/>
  <Override PartName="/xl/ctrlProps/ctrlProp1092.xml" ContentType="application/vnd.ms-excel.controlproperties+xml"/>
  <Override PartName="/xl/ctrlProps/ctrlProp1093.xml" ContentType="application/vnd.ms-excel.controlproperties+xml"/>
  <Override PartName="/xl/ctrlProps/ctrlProp1094.xml" ContentType="application/vnd.ms-excel.controlproperties+xml"/>
  <Override PartName="/xl/ctrlProps/ctrlProp1095.xml" ContentType="application/vnd.ms-excel.controlproperties+xml"/>
  <Override PartName="/xl/ctrlProps/ctrlProp1096.xml" ContentType="application/vnd.ms-excel.controlproperties+xml"/>
  <Override PartName="/xl/ctrlProps/ctrlProp1097.xml" ContentType="application/vnd.ms-excel.controlproperties+xml"/>
  <Override PartName="/xl/ctrlProps/ctrlProp1098.xml" ContentType="application/vnd.ms-excel.controlproperties+xml"/>
  <Override PartName="/xl/ctrlProps/ctrlProp1099.xml" ContentType="application/vnd.ms-excel.controlproperties+xml"/>
  <Override PartName="/xl/ctrlProps/ctrlProp1100.xml" ContentType="application/vnd.ms-excel.controlproperties+xml"/>
  <Override PartName="/xl/ctrlProps/ctrlProp1101.xml" ContentType="application/vnd.ms-excel.controlproperties+xml"/>
  <Override PartName="/xl/ctrlProps/ctrlProp1102.xml" ContentType="application/vnd.ms-excel.controlproperties+xml"/>
  <Override PartName="/xl/ctrlProps/ctrlProp1103.xml" ContentType="application/vnd.ms-excel.controlproperties+xml"/>
  <Override PartName="/xl/ctrlProps/ctrlProp1104.xml" ContentType="application/vnd.ms-excel.controlproperties+xml"/>
  <Override PartName="/xl/ctrlProps/ctrlProp1105.xml" ContentType="application/vnd.ms-excel.controlproperties+xml"/>
  <Override PartName="/xl/ctrlProps/ctrlProp1106.xml" ContentType="application/vnd.ms-excel.controlproperties+xml"/>
  <Override PartName="/xl/ctrlProps/ctrlProp1107.xml" ContentType="application/vnd.ms-excel.controlproperties+xml"/>
  <Override PartName="/xl/ctrlProps/ctrlProp1108.xml" ContentType="application/vnd.ms-excel.controlproperties+xml"/>
  <Override PartName="/xl/ctrlProps/ctrlProp1109.xml" ContentType="application/vnd.ms-excel.controlproperties+xml"/>
  <Override PartName="/xl/ctrlProps/ctrlProp1110.xml" ContentType="application/vnd.ms-excel.controlproperties+xml"/>
  <Override PartName="/xl/ctrlProps/ctrlProp1111.xml" ContentType="application/vnd.ms-excel.controlproperties+xml"/>
  <Override PartName="/xl/ctrlProps/ctrlProp1112.xml" ContentType="application/vnd.ms-excel.controlproperties+xml"/>
  <Override PartName="/xl/ctrlProps/ctrlProp1113.xml" ContentType="application/vnd.ms-excel.controlproperties+xml"/>
  <Override PartName="/xl/ctrlProps/ctrlProp1114.xml" ContentType="application/vnd.ms-excel.controlproperties+xml"/>
  <Override PartName="/xl/ctrlProps/ctrlProp1115.xml" ContentType="application/vnd.ms-excel.controlproperties+xml"/>
  <Override PartName="/xl/ctrlProps/ctrlProp1116.xml" ContentType="application/vnd.ms-excel.controlproperties+xml"/>
  <Override PartName="/xl/ctrlProps/ctrlProp1117.xml" ContentType="application/vnd.ms-excel.controlproperties+xml"/>
  <Override PartName="/xl/ctrlProps/ctrlProp1118.xml" ContentType="application/vnd.ms-excel.controlproperties+xml"/>
  <Override PartName="/xl/ctrlProps/ctrlProp1119.xml" ContentType="application/vnd.ms-excel.controlproperties+xml"/>
  <Override PartName="/xl/ctrlProps/ctrlProp1120.xml" ContentType="application/vnd.ms-excel.controlproperties+xml"/>
  <Override PartName="/xl/ctrlProps/ctrlProp1121.xml" ContentType="application/vnd.ms-excel.controlproperties+xml"/>
  <Override PartName="/xl/ctrlProps/ctrlProp1122.xml" ContentType="application/vnd.ms-excel.controlproperties+xml"/>
  <Override PartName="/xl/ctrlProps/ctrlProp1123.xml" ContentType="application/vnd.ms-excel.controlproperties+xml"/>
  <Override PartName="/xl/ctrlProps/ctrlProp1124.xml" ContentType="application/vnd.ms-excel.controlproperties+xml"/>
  <Override PartName="/xl/ctrlProps/ctrlProp1125.xml" ContentType="application/vnd.ms-excel.controlproperties+xml"/>
  <Override PartName="/xl/ctrlProps/ctrlProp1126.xml" ContentType="application/vnd.ms-excel.controlproperties+xml"/>
  <Override PartName="/xl/ctrlProps/ctrlProp1127.xml" ContentType="application/vnd.ms-excel.controlproperties+xml"/>
  <Override PartName="/xl/ctrlProps/ctrlProp1128.xml" ContentType="application/vnd.ms-excel.controlproperties+xml"/>
  <Override PartName="/xl/ctrlProps/ctrlProp1129.xml" ContentType="application/vnd.ms-excel.controlproperties+xml"/>
  <Override PartName="/xl/ctrlProps/ctrlProp1130.xml" ContentType="application/vnd.ms-excel.controlproperties+xml"/>
  <Override PartName="/xl/ctrlProps/ctrlProp1131.xml" ContentType="application/vnd.ms-excel.controlproperties+xml"/>
  <Override PartName="/xl/ctrlProps/ctrlProp1132.xml" ContentType="application/vnd.ms-excel.controlproperties+xml"/>
  <Override PartName="/xl/ctrlProps/ctrlProp1133.xml" ContentType="application/vnd.ms-excel.controlproperties+xml"/>
  <Override PartName="/xl/ctrlProps/ctrlProp1134.xml" ContentType="application/vnd.ms-excel.controlproperties+xml"/>
  <Override PartName="/xl/ctrlProps/ctrlProp1135.xml" ContentType="application/vnd.ms-excel.controlproperties+xml"/>
  <Override PartName="/xl/ctrlProps/ctrlProp1136.xml" ContentType="application/vnd.ms-excel.controlproperties+xml"/>
  <Override PartName="/xl/ctrlProps/ctrlProp1137.xml" ContentType="application/vnd.ms-excel.controlproperties+xml"/>
  <Override PartName="/xl/ctrlProps/ctrlProp1138.xml" ContentType="application/vnd.ms-excel.controlproperties+xml"/>
  <Override PartName="/xl/ctrlProps/ctrlProp1139.xml" ContentType="application/vnd.ms-excel.controlproperties+xml"/>
  <Override PartName="/xl/ctrlProps/ctrlProp1140.xml" ContentType="application/vnd.ms-excel.controlproperties+xml"/>
  <Override PartName="/xl/ctrlProps/ctrlProp1141.xml" ContentType="application/vnd.ms-excel.controlproperties+xml"/>
  <Override PartName="/xl/ctrlProps/ctrlProp1142.xml" ContentType="application/vnd.ms-excel.controlproperties+xml"/>
  <Override PartName="/xl/ctrlProps/ctrlProp1143.xml" ContentType="application/vnd.ms-excel.controlproperties+xml"/>
  <Override PartName="/xl/ctrlProps/ctrlProp1144.xml" ContentType="application/vnd.ms-excel.controlproperties+xml"/>
  <Override PartName="/xl/ctrlProps/ctrlProp1145.xml" ContentType="application/vnd.ms-excel.controlproperties+xml"/>
  <Override PartName="/xl/ctrlProps/ctrlProp1146.xml" ContentType="application/vnd.ms-excel.controlproperties+xml"/>
  <Override PartName="/xl/ctrlProps/ctrlProp1147.xml" ContentType="application/vnd.ms-excel.controlproperties+xml"/>
  <Override PartName="/xl/ctrlProps/ctrlProp1148.xml" ContentType="application/vnd.ms-excel.controlproperties+xml"/>
  <Override PartName="/xl/ctrlProps/ctrlProp1149.xml" ContentType="application/vnd.ms-excel.controlproperties+xml"/>
  <Override PartName="/xl/ctrlProps/ctrlProp1150.xml" ContentType="application/vnd.ms-excel.controlproperties+xml"/>
  <Override PartName="/xl/ctrlProps/ctrlProp1151.xml" ContentType="application/vnd.ms-excel.controlproperties+xml"/>
  <Override PartName="/xl/ctrlProps/ctrlProp1152.xml" ContentType="application/vnd.ms-excel.controlproperties+xml"/>
  <Override PartName="/xl/ctrlProps/ctrlProp1153.xml" ContentType="application/vnd.ms-excel.controlproperties+xml"/>
  <Override PartName="/xl/ctrlProps/ctrlProp1154.xml" ContentType="application/vnd.ms-excel.controlproperties+xml"/>
  <Override PartName="/xl/ctrlProps/ctrlProp1155.xml" ContentType="application/vnd.ms-excel.controlproperties+xml"/>
  <Override PartName="/xl/ctrlProps/ctrlProp1156.xml" ContentType="application/vnd.ms-excel.controlproperties+xml"/>
  <Override PartName="/xl/ctrlProps/ctrlProp1157.xml" ContentType="application/vnd.ms-excel.controlproperties+xml"/>
  <Override PartName="/xl/ctrlProps/ctrlProp1158.xml" ContentType="application/vnd.ms-excel.controlproperties+xml"/>
  <Override PartName="/xl/ctrlProps/ctrlProp1159.xml" ContentType="application/vnd.ms-excel.controlproperties+xml"/>
  <Override PartName="/xl/ctrlProps/ctrlProp1160.xml" ContentType="application/vnd.ms-excel.controlproperties+xml"/>
  <Override PartName="/xl/ctrlProps/ctrlProp1161.xml" ContentType="application/vnd.ms-excel.controlproperties+xml"/>
  <Override PartName="/xl/ctrlProps/ctrlProp1162.xml" ContentType="application/vnd.ms-excel.controlproperties+xml"/>
  <Override PartName="/xl/ctrlProps/ctrlProp1163.xml" ContentType="application/vnd.ms-excel.controlproperties+xml"/>
  <Override PartName="/xl/ctrlProps/ctrlProp1164.xml" ContentType="application/vnd.ms-excel.controlproperties+xml"/>
  <Override PartName="/xl/ctrlProps/ctrlProp1165.xml" ContentType="application/vnd.ms-excel.controlproperties+xml"/>
  <Override PartName="/xl/ctrlProps/ctrlProp1166.xml" ContentType="application/vnd.ms-excel.controlproperties+xml"/>
  <Override PartName="/xl/ctrlProps/ctrlProp1167.xml" ContentType="application/vnd.ms-excel.controlproperties+xml"/>
  <Override PartName="/xl/ctrlProps/ctrlProp1168.xml" ContentType="application/vnd.ms-excel.controlproperties+xml"/>
  <Override PartName="/xl/ctrlProps/ctrlProp1169.xml" ContentType="application/vnd.ms-excel.controlproperties+xml"/>
  <Override PartName="/xl/ctrlProps/ctrlProp1170.xml" ContentType="application/vnd.ms-excel.controlproperties+xml"/>
  <Override PartName="/xl/ctrlProps/ctrlProp1171.xml" ContentType="application/vnd.ms-excel.controlproperties+xml"/>
  <Override PartName="/xl/ctrlProps/ctrlProp1172.xml" ContentType="application/vnd.ms-excel.controlproperties+xml"/>
  <Override PartName="/xl/ctrlProps/ctrlProp1173.xml" ContentType="application/vnd.ms-excel.controlproperties+xml"/>
  <Override PartName="/xl/ctrlProps/ctrlProp1174.xml" ContentType="application/vnd.ms-excel.controlproperties+xml"/>
  <Override PartName="/xl/ctrlProps/ctrlProp1175.xml" ContentType="application/vnd.ms-excel.controlproperties+xml"/>
  <Override PartName="/xl/ctrlProps/ctrlProp1176.xml" ContentType="application/vnd.ms-excel.controlproperties+xml"/>
  <Override PartName="/xl/ctrlProps/ctrlProp1177.xml" ContentType="application/vnd.ms-excel.controlproperties+xml"/>
  <Override PartName="/xl/ctrlProps/ctrlProp1178.xml" ContentType="application/vnd.ms-excel.controlproperties+xml"/>
  <Override PartName="/xl/ctrlProps/ctrlProp1179.xml" ContentType="application/vnd.ms-excel.controlproperties+xml"/>
  <Override PartName="/xl/ctrlProps/ctrlProp1180.xml" ContentType="application/vnd.ms-excel.controlproperties+xml"/>
  <Override PartName="/xl/ctrlProps/ctrlProp1181.xml" ContentType="application/vnd.ms-excel.controlproperties+xml"/>
  <Override PartName="/xl/ctrlProps/ctrlProp1182.xml" ContentType="application/vnd.ms-excel.controlproperties+xml"/>
  <Override PartName="/xl/ctrlProps/ctrlProp1183.xml" ContentType="application/vnd.ms-excel.controlproperties+xml"/>
  <Override PartName="/xl/ctrlProps/ctrlProp1184.xml" ContentType="application/vnd.ms-excel.controlproperties+xml"/>
  <Override PartName="/xl/ctrlProps/ctrlProp1185.xml" ContentType="application/vnd.ms-excel.controlproperties+xml"/>
  <Override PartName="/xl/ctrlProps/ctrlProp1186.xml" ContentType="application/vnd.ms-excel.controlproperties+xml"/>
  <Override PartName="/xl/ctrlProps/ctrlProp1187.xml" ContentType="application/vnd.ms-excel.controlproperties+xml"/>
  <Override PartName="/xl/ctrlProps/ctrlProp1188.xml" ContentType="application/vnd.ms-excel.controlproperties+xml"/>
  <Override PartName="/xl/ctrlProps/ctrlProp1189.xml" ContentType="application/vnd.ms-excel.controlproperties+xml"/>
  <Override PartName="/xl/ctrlProps/ctrlProp1190.xml" ContentType="application/vnd.ms-excel.controlproperties+xml"/>
  <Override PartName="/xl/ctrlProps/ctrlProp1191.xml" ContentType="application/vnd.ms-excel.controlproperties+xml"/>
  <Override PartName="/xl/ctrlProps/ctrlProp1192.xml" ContentType="application/vnd.ms-excel.controlproperties+xml"/>
  <Override PartName="/xl/ctrlProps/ctrlProp1193.xml" ContentType="application/vnd.ms-excel.controlproperties+xml"/>
  <Override PartName="/xl/ctrlProps/ctrlProp1194.xml" ContentType="application/vnd.ms-excel.controlproperties+xml"/>
  <Override PartName="/xl/ctrlProps/ctrlProp1195.xml" ContentType="application/vnd.ms-excel.controlproperties+xml"/>
  <Override PartName="/xl/ctrlProps/ctrlProp1196.xml" ContentType="application/vnd.ms-excel.controlproperties+xml"/>
  <Override PartName="/xl/drawings/drawing151.xml" ContentType="application/vnd.openxmlformats-officedocument.drawing+xml"/>
  <Override PartName="/xl/ctrlProps/ctrlProp1197.xml" ContentType="application/vnd.ms-excel.controlproperties+xml"/>
  <Override PartName="/xl/ctrlProps/ctrlProp1198.xml" ContentType="application/vnd.ms-excel.controlproperties+xml"/>
  <Override PartName="/xl/ctrlProps/ctrlProp1199.xml" ContentType="application/vnd.ms-excel.controlproperties+xml"/>
  <Override PartName="/xl/ctrlProps/ctrlProp1200.xml" ContentType="application/vnd.ms-excel.controlproperties+xml"/>
  <Override PartName="/xl/ctrlProps/ctrlProp1201.xml" ContentType="application/vnd.ms-excel.controlproperties+xml"/>
  <Override PartName="/xl/ctrlProps/ctrlProp1202.xml" ContentType="application/vnd.ms-excel.controlproperties+xml"/>
  <Override PartName="/xl/ctrlProps/ctrlProp1203.xml" ContentType="application/vnd.ms-excel.controlproperties+xml"/>
  <Override PartName="/xl/ctrlProps/ctrlProp1204.xml" ContentType="application/vnd.ms-excel.controlproperties+xml"/>
  <Override PartName="/xl/drawings/drawing152.xml" ContentType="application/vnd.openxmlformats-officedocument.drawing+xml"/>
  <Override PartName="/xl/ctrlProps/ctrlProp1205.xml" ContentType="application/vnd.ms-excel.controlproperties+xml"/>
  <Override PartName="/xl/ctrlProps/ctrlProp1206.xml" ContentType="application/vnd.ms-excel.controlproperties+xml"/>
  <Override PartName="/xl/ctrlProps/ctrlProp1207.xml" ContentType="application/vnd.ms-excel.controlproperties+xml"/>
  <Override PartName="/xl/ctrlProps/ctrlProp1208.xml" ContentType="application/vnd.ms-excel.controlproperties+xml"/>
  <Override PartName="/xl/drawings/drawing153.xml" ContentType="application/vnd.openxmlformats-officedocument.drawing+xml"/>
  <Override PartName="/xl/ctrlProps/ctrlProp1209.xml" ContentType="application/vnd.ms-excel.controlproperties+xml"/>
  <Override PartName="/xl/ctrlProps/ctrlProp1210.xml" ContentType="application/vnd.ms-excel.controlproperties+xml"/>
  <Override PartName="/xl/ctrlProps/ctrlProp1211.xml" ContentType="application/vnd.ms-excel.controlproperties+xml"/>
  <Override PartName="/xl/drawings/drawing154.xml" ContentType="application/vnd.openxmlformats-officedocument.drawing+xml"/>
  <Override PartName="/xl/ctrlProps/ctrlProp1212.xml" ContentType="application/vnd.ms-excel.controlproperties+xml"/>
  <Override PartName="/xl/drawings/drawing155.xml" ContentType="application/vnd.openxmlformats-officedocument.drawing+xml"/>
  <Override PartName="/xl/ctrlProps/ctrlProp1213.xml" ContentType="application/vnd.ms-excel.controlproperties+xml"/>
  <Override PartName="/xl/ctrlProps/ctrlProp1214.xml" ContentType="application/vnd.ms-excel.controlproperties+xml"/>
  <Override PartName="/xl/ctrlProps/ctrlProp1215.xml" ContentType="application/vnd.ms-excel.controlproperties+xml"/>
  <Override PartName="/xl/ctrlProps/ctrlProp1216.xml" ContentType="application/vnd.ms-excel.controlproperties+xml"/>
  <Override PartName="/xl/ctrlProps/ctrlProp1217.xml" ContentType="application/vnd.ms-excel.controlproperties+xml"/>
  <Override PartName="/xl/ctrlProps/ctrlProp1218.xml" ContentType="application/vnd.ms-excel.controlproperties+xml"/>
  <Override PartName="/xl/ctrlProps/ctrlProp1219.xml" ContentType="application/vnd.ms-excel.controlproperties+xml"/>
  <Override PartName="/xl/ctrlProps/ctrlProp1220.xml" ContentType="application/vnd.ms-excel.controlproperties+xml"/>
  <Override PartName="/xl/ctrlProps/ctrlProp1221.xml" ContentType="application/vnd.ms-excel.controlproperties+xml"/>
  <Override PartName="/xl/drawings/drawing156.xml" ContentType="application/vnd.openxmlformats-officedocument.drawing+xml"/>
  <Override PartName="/xl/ctrlProps/ctrlProp1222.xml" ContentType="application/vnd.ms-excel.controlproperties+xml"/>
  <Override PartName="/xl/ctrlProps/ctrlProp1223.xml" ContentType="application/vnd.ms-excel.controlproperties+xml"/>
  <Override PartName="/xl/ctrlProps/ctrlProp1224.xml" ContentType="application/vnd.ms-excel.controlproperties+xml"/>
  <Override PartName="/xl/ctrlProps/ctrlProp1225.xml" ContentType="application/vnd.ms-excel.controlproperties+xml"/>
  <Override PartName="/xl/ctrlProps/ctrlProp1226.xml" ContentType="application/vnd.ms-excel.controlproperties+xml"/>
  <Override PartName="/xl/ctrlProps/ctrlProp1227.xml" ContentType="application/vnd.ms-excel.controlproperties+xml"/>
  <Override PartName="/xl/ctrlProps/ctrlProp1228.xml" ContentType="application/vnd.ms-excel.controlproperties+xml"/>
  <Override PartName="/xl/ctrlProps/ctrlProp1229.xml" ContentType="application/vnd.ms-excel.controlproperties+xml"/>
  <Override PartName="/xl/ctrlProps/ctrlProp1230.xml" ContentType="application/vnd.ms-excel.controlproperties+xml"/>
  <Override PartName="/xl/drawings/drawing157.xml" ContentType="application/vnd.openxmlformats-officedocument.drawing+xml"/>
  <Override PartName="/xl/ctrlProps/ctrlProp1231.xml" ContentType="application/vnd.ms-excel.controlproperties+xml"/>
  <Override PartName="/xl/ctrlProps/ctrlProp1232.xml" ContentType="application/vnd.ms-excel.controlproperties+xml"/>
  <Override PartName="/xl/ctrlProps/ctrlProp1233.xml" ContentType="application/vnd.ms-excel.controlproperties+xml"/>
  <Override PartName="/xl/ctrlProps/ctrlProp1234.xml" ContentType="application/vnd.ms-excel.controlproperties+xml"/>
  <Override PartName="/xl/ctrlProps/ctrlProp1235.xml" ContentType="application/vnd.ms-excel.controlproperties+xml"/>
  <Override PartName="/xl/ctrlProps/ctrlProp1236.xml" ContentType="application/vnd.ms-excel.controlproperties+xml"/>
  <Override PartName="/xl/ctrlProps/ctrlProp1237.xml" ContentType="application/vnd.ms-excel.controlproperties+xml"/>
  <Override PartName="/xl/ctrlProps/ctrlProp1238.xml" ContentType="application/vnd.ms-excel.controlproperties+xml"/>
  <Override PartName="/xl/ctrlProps/ctrlProp1239.xml" ContentType="application/vnd.ms-excel.controlproperties+xml"/>
  <Override PartName="/xl/drawings/drawing158.xml" ContentType="application/vnd.openxmlformats-officedocument.drawing+xml"/>
  <Override PartName="/xl/ctrlProps/ctrlProp1240.xml" ContentType="application/vnd.ms-excel.controlproperties+xml"/>
  <Override PartName="/xl/ctrlProps/ctrlProp1241.xml" ContentType="application/vnd.ms-excel.controlproperties+xml"/>
  <Override PartName="/xl/ctrlProps/ctrlProp1242.xml" ContentType="application/vnd.ms-excel.controlproperties+xml"/>
  <Override PartName="/xl/ctrlProps/ctrlProp1243.xml" ContentType="application/vnd.ms-excel.controlproperties+xml"/>
  <Override PartName="/xl/ctrlProps/ctrlProp1244.xml" ContentType="application/vnd.ms-excel.controlproperties+xml"/>
  <Override PartName="/xl/ctrlProps/ctrlProp1245.xml" ContentType="application/vnd.ms-excel.controlproperties+xml"/>
  <Override PartName="/xl/ctrlProps/ctrlProp1246.xml" ContentType="application/vnd.ms-excel.controlproperties+xml"/>
  <Override PartName="/xl/ctrlProps/ctrlProp1247.xml" ContentType="application/vnd.ms-excel.controlproperties+xml"/>
  <Override PartName="/xl/ctrlProps/ctrlProp1248.xml" ContentType="application/vnd.ms-excel.controlproperties+xml"/>
  <Override PartName="/xl/drawings/drawing159.xml" ContentType="application/vnd.openxmlformats-officedocument.drawing+xml"/>
  <Override PartName="/xl/ctrlProps/ctrlProp1249.xml" ContentType="application/vnd.ms-excel.controlproperties+xml"/>
  <Override PartName="/xl/ctrlProps/ctrlProp1250.xml" ContentType="application/vnd.ms-excel.controlproperties+xml"/>
  <Override PartName="/xl/ctrlProps/ctrlProp1251.xml" ContentType="application/vnd.ms-excel.controlproperties+xml"/>
  <Override PartName="/xl/ctrlProps/ctrlProp1252.xml" ContentType="application/vnd.ms-excel.controlproperties+xml"/>
  <Override PartName="/xl/ctrlProps/ctrlProp1253.xml" ContentType="application/vnd.ms-excel.controlproperties+xml"/>
  <Override PartName="/xl/ctrlProps/ctrlProp1254.xml" ContentType="application/vnd.ms-excel.controlproperties+xml"/>
  <Override PartName="/xl/ctrlProps/ctrlProp1255.xml" ContentType="application/vnd.ms-excel.controlproperties+xml"/>
  <Override PartName="/xl/ctrlProps/ctrlProp1256.xml" ContentType="application/vnd.ms-excel.controlproperties+xml"/>
  <Override PartName="/xl/ctrlProps/ctrlProp1257.xml" ContentType="application/vnd.ms-excel.controlproperties+xml"/>
  <Override PartName="/xl/drawings/drawing160.xml" ContentType="application/vnd.openxmlformats-officedocument.drawing+xml"/>
  <Override PartName="/xl/ctrlProps/ctrlProp1258.xml" ContentType="application/vnd.ms-excel.controlproperties+xml"/>
  <Override PartName="/xl/ctrlProps/ctrlProp1259.xml" ContentType="application/vnd.ms-excel.controlproperties+xml"/>
  <Override PartName="/xl/ctrlProps/ctrlProp1260.xml" ContentType="application/vnd.ms-excel.controlproperties+xml"/>
  <Override PartName="/xl/ctrlProps/ctrlProp1261.xml" ContentType="application/vnd.ms-excel.controlproperties+xml"/>
  <Override PartName="/xl/ctrlProps/ctrlProp1262.xml" ContentType="application/vnd.ms-excel.controlproperties+xml"/>
  <Override PartName="/xl/ctrlProps/ctrlProp1263.xml" ContentType="application/vnd.ms-excel.controlproperties+xml"/>
  <Override PartName="/xl/ctrlProps/ctrlProp1264.xml" ContentType="application/vnd.ms-excel.controlproperties+xml"/>
  <Override PartName="/xl/ctrlProps/ctrlProp1265.xml" ContentType="application/vnd.ms-excel.controlproperties+xml"/>
  <Override PartName="/xl/ctrlProps/ctrlProp1266.xml" ContentType="application/vnd.ms-excel.controlproperties+xml"/>
  <Override PartName="/xl/drawings/drawing161.xml" ContentType="application/vnd.openxmlformats-officedocument.drawing+xml"/>
  <Override PartName="/xl/ctrlProps/ctrlProp1267.xml" ContentType="application/vnd.ms-excel.controlproperties+xml"/>
  <Override PartName="/xl/ctrlProps/ctrlProp1268.xml" ContentType="application/vnd.ms-excel.controlproperties+xml"/>
  <Override PartName="/xl/ctrlProps/ctrlProp1269.xml" ContentType="application/vnd.ms-excel.controlproperties+xml"/>
  <Override PartName="/xl/ctrlProps/ctrlProp1270.xml" ContentType="application/vnd.ms-excel.controlproperties+xml"/>
  <Override PartName="/xl/ctrlProps/ctrlProp1271.xml" ContentType="application/vnd.ms-excel.controlproperties+xml"/>
  <Override PartName="/xl/ctrlProps/ctrlProp1272.xml" ContentType="application/vnd.ms-excel.controlproperties+xml"/>
  <Override PartName="/xl/ctrlProps/ctrlProp1273.xml" ContentType="application/vnd.ms-excel.controlproperties+xml"/>
  <Override PartName="/xl/ctrlProps/ctrlProp1274.xml" ContentType="application/vnd.ms-excel.controlproperties+xml"/>
  <Override PartName="/xl/ctrlProps/ctrlProp1275.xml" ContentType="application/vnd.ms-excel.controlpropertie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202300"/>
  <mc:AlternateContent xmlns:mc="http://schemas.openxmlformats.org/markup-compatibility/2006">
    <mc:Choice Requires="x15">
      <x15ac:absPath xmlns:x15ac="http://schemas.microsoft.com/office/spreadsheetml/2010/11/ac" url="https://d.docs.live.net/ffed9c0cf3f584e6/Documents/DataMate/"/>
    </mc:Choice>
  </mc:AlternateContent>
  <xr:revisionPtr revIDLastSave="0" documentId="13_ncr:1_{6430FE74-A666-439A-B14F-C067F1098086}" xr6:coauthVersionLast="47" xr6:coauthVersionMax="47" xr10:uidLastSave="{00000000-0000-0000-0000-000000000000}"/>
  <bookViews>
    <workbookView xWindow="-110" yWindow="-110" windowWidth="27580" windowHeight="17740" firstSheet="162" activeTab="170" xr2:uid="{58FF8299-F346-4989-A4CA-A09E996C702E}"/>
  </bookViews>
  <sheets>
    <sheet name="POsInput" sheetId="79" r:id="rId1"/>
    <sheet name="POsView_Print" sheetId="80" r:id="rId2"/>
    <sheet name="POsLog" sheetId="81" r:id="rId3"/>
    <sheet name="POsUpdate" sheetId="82" r:id="rId4"/>
    <sheet name="POsData" sheetId="83" r:id="rId5"/>
    <sheet name="Contacts" sheetId="78" r:id="rId6"/>
    <sheet name="Input1" sheetId="65" r:id="rId7"/>
    <sheet name="Input2" sheetId="66" r:id="rId8"/>
    <sheet name="CustomInput" sheetId="70" r:id="rId9"/>
    <sheet name="View_Print1" sheetId="69" r:id="rId10"/>
    <sheet name="Log1" sheetId="68" r:id="rId11"/>
    <sheet name="Update1" sheetId="71" r:id="rId12"/>
    <sheet name="Data1" sheetId="72" r:id="rId13"/>
    <sheet name="Summary" sheetId="215" r:id="rId14"/>
    <sheet name="DIV_01Input" sheetId="151" r:id="rId15"/>
    <sheet name="DIV_01View_Print" sheetId="26" r:id="rId16"/>
    <sheet name="DIV_01Log" sheetId="27" r:id="rId17"/>
    <sheet name="DIV_01Update" sheetId="28" r:id="rId18"/>
    <sheet name="DIV_01Data" sheetId="29" r:id="rId19"/>
    <sheet name="SEC_013000" sheetId="33" r:id="rId20"/>
    <sheet name="SEC_014000" sheetId="34" r:id="rId21"/>
    <sheet name="SEC_015000" sheetId="35" r:id="rId22"/>
    <sheet name="SEC_016000" sheetId="36" r:id="rId23"/>
    <sheet name="SEC_017000" sheetId="37" r:id="rId24"/>
    <sheet name="SEC_018000" sheetId="38" r:id="rId25"/>
    <sheet name="SEC_019000" sheetId="39" r:id="rId26"/>
    <sheet name="DIV_02Input" sheetId="40" r:id="rId27"/>
    <sheet name="DIV_02View_Print" sheetId="41" r:id="rId28"/>
    <sheet name="DIV_02Log" sheetId="42" r:id="rId29"/>
    <sheet name="DIV_02Update" sheetId="43" r:id="rId30"/>
    <sheet name="DIV_02Data" sheetId="44" r:id="rId31"/>
    <sheet name="SEC_022000" sheetId="45" r:id="rId32"/>
    <sheet name="SEC_023000" sheetId="46" r:id="rId33"/>
    <sheet name="SEC_024000" sheetId="47" r:id="rId34"/>
    <sheet name="SEC_025000" sheetId="48" r:id="rId35"/>
    <sheet name="SEC_026000" sheetId="49" r:id="rId36"/>
    <sheet name="SEC_027000" sheetId="50" r:id="rId37"/>
    <sheet name="SEC_028000" sheetId="51" r:id="rId38"/>
    <sheet name="DIV_03Input" sheetId="52" r:id="rId39"/>
    <sheet name="DIV_03View_Print" sheetId="53" r:id="rId40"/>
    <sheet name="DIV_03Log" sheetId="54" r:id="rId41"/>
    <sheet name="DIV_03Update" sheetId="55" r:id="rId42"/>
    <sheet name="DIV_03Data" sheetId="56" r:id="rId43"/>
    <sheet name="SEC_031000" sheetId="57" r:id="rId44"/>
    <sheet name="SEC_032000" sheetId="58" r:id="rId45"/>
    <sheet name="SEC_033000" sheetId="59" r:id="rId46"/>
    <sheet name="SEC_034000" sheetId="60" r:id="rId47"/>
    <sheet name="SEC_035000" sheetId="61" r:id="rId48"/>
    <sheet name="SEC_036000" sheetId="62" r:id="rId49"/>
    <sheet name="SEC_037000" sheetId="63" r:id="rId50"/>
    <sheet name="SEC_038000" sheetId="64" r:id="rId51"/>
    <sheet name="DIV_04Input" sheetId="89" r:id="rId52"/>
    <sheet name="DIV_04View_Print" sheetId="90" r:id="rId53"/>
    <sheet name="DIV_04Log" sheetId="91" r:id="rId54"/>
    <sheet name="DIV_04Update" sheetId="92" r:id="rId55"/>
    <sheet name="DIV_04Data" sheetId="93" r:id="rId56"/>
    <sheet name="SEC_042000" sheetId="99" r:id="rId57"/>
    <sheet name="SEC_044000" sheetId="100" r:id="rId58"/>
    <sheet name="SEC_045000" sheetId="101" r:id="rId59"/>
    <sheet name="SEC_046000" sheetId="102" r:id="rId60"/>
    <sheet name="SEC_047000" sheetId="103" r:id="rId61"/>
    <sheet name="DIV_05Input" sheetId="162" r:id="rId62"/>
    <sheet name="DIV_05View_Print" sheetId="163" r:id="rId63"/>
    <sheet name="DIV_05Log" sheetId="164" r:id="rId64"/>
    <sheet name="DIV_05Update" sheetId="165" r:id="rId65"/>
    <sheet name="DIV_05Data" sheetId="166" r:id="rId66"/>
    <sheet name="SEC_051000" sheetId="109" r:id="rId67"/>
    <sheet name="SEC_052000" sheetId="110" r:id="rId68"/>
    <sheet name="SEC_053000" sheetId="111" r:id="rId69"/>
    <sheet name="SEC_054000" sheetId="112" r:id="rId70"/>
    <sheet name="SEC_055000" sheetId="113" r:id="rId71"/>
    <sheet name="SEC_057000" sheetId="114" r:id="rId72"/>
    <sheet name="DIV_06Input" sheetId="104" r:id="rId73"/>
    <sheet name="DIV_06View_Print" sheetId="105" r:id="rId74"/>
    <sheet name="DIV_06Log" sheetId="106" r:id="rId75"/>
    <sheet name="DIV_06Update" sheetId="107" r:id="rId76"/>
    <sheet name="DIV_06Data" sheetId="108" r:id="rId77"/>
    <sheet name="SEC_061000" sheetId="115" r:id="rId78"/>
    <sheet name="SEC_062000" sheetId="116" r:id="rId79"/>
    <sheet name="SEC_064000" sheetId="117" r:id="rId80"/>
    <sheet name="SEC_065000" sheetId="118" r:id="rId81"/>
    <sheet name="SEC_066000" sheetId="119" r:id="rId82"/>
    <sheet name="SEC_067000" sheetId="218" r:id="rId83"/>
    <sheet name="SEC_068000" sheetId="219" r:id="rId84"/>
    <sheet name="DIV_07Input" sheetId="120" r:id="rId85"/>
    <sheet name="DIV_07View_Print" sheetId="121" r:id="rId86"/>
    <sheet name="DIV_07Log" sheetId="122" r:id="rId87"/>
    <sheet name="DIV_07Update" sheetId="123" r:id="rId88"/>
    <sheet name="DIV_07Data" sheetId="124" r:id="rId89"/>
    <sheet name="SEC_071000" sheetId="125" r:id="rId90"/>
    <sheet name="SEC_072000" sheetId="126" r:id="rId91"/>
    <sheet name="SEC_073000" sheetId="127" r:id="rId92"/>
    <sheet name="SEC_074000" sheetId="128" r:id="rId93"/>
    <sheet name="SEC_075000" sheetId="129" r:id="rId94"/>
    <sheet name="SEC_076000" sheetId="130" r:id="rId95"/>
    <sheet name="SEC_077000" sheetId="131" r:id="rId96"/>
    <sheet name="SEC_078000" sheetId="132" r:id="rId97"/>
    <sheet name="SEC_079000" sheetId="133" r:id="rId98"/>
    <sheet name="DIV_08Input" sheetId="144" r:id="rId99"/>
    <sheet name="DIV_08View_Print" sheetId="145" r:id="rId100"/>
    <sheet name="DIV_08Log" sheetId="146" r:id="rId101"/>
    <sheet name="DIV_08Update" sheetId="147" r:id="rId102"/>
    <sheet name="DIV_08Data" sheetId="148" r:id="rId103"/>
    <sheet name="SEC_081000" sheetId="149" r:id="rId104"/>
    <sheet name="SEC_083000" sheetId="150" r:id="rId105"/>
    <sheet name="SEC_084000" sheetId="156" r:id="rId106"/>
    <sheet name="SEC_085000" sheetId="157" r:id="rId107"/>
    <sheet name="SEC_086000" sheetId="158" r:id="rId108"/>
    <sheet name="SEC_087000" sheetId="159" r:id="rId109"/>
    <sheet name="SEC_088000" sheetId="160" r:id="rId110"/>
    <sheet name="SEC_089000" sheetId="161" r:id="rId111"/>
    <sheet name="DIV_09Input" sheetId="172" r:id="rId112"/>
    <sheet name="DIV_09View_Print" sheetId="173" r:id="rId113"/>
    <sheet name="DIV_09Log" sheetId="174" r:id="rId114"/>
    <sheet name="DIV_09Update" sheetId="175" r:id="rId115"/>
    <sheet name="DIV_09Data" sheetId="176" r:id="rId116"/>
    <sheet name="SEC_092000" sheetId="177" r:id="rId117"/>
    <sheet name="SEC_093000" sheetId="178" r:id="rId118"/>
    <sheet name="SEC_095000" sheetId="179" r:id="rId119"/>
    <sheet name="SEC_096000" sheetId="180" r:id="rId120"/>
    <sheet name="SEC_097000" sheetId="181" r:id="rId121"/>
    <sheet name="SEC_098000" sheetId="182" r:id="rId122"/>
    <sheet name="SEC_099000" sheetId="183" r:id="rId123"/>
    <sheet name="DIV_10Input" sheetId="204" r:id="rId124"/>
    <sheet name="DIV_10View_Print" sheetId="205" r:id="rId125"/>
    <sheet name="DIV_10Log" sheetId="206" r:id="rId126"/>
    <sheet name="DIV_10Update" sheetId="207" r:id="rId127"/>
    <sheet name="DIV_10Data" sheetId="208" r:id="rId128"/>
    <sheet name="SEC_101000" sheetId="209" r:id="rId129"/>
    <sheet name="SEC_102000" sheetId="210" r:id="rId130"/>
    <sheet name="SEC_103000" sheetId="211" r:id="rId131"/>
    <sheet name="SEC_104000" sheetId="212" r:id="rId132"/>
    <sheet name="SEC_105000" sheetId="213" r:id="rId133"/>
    <sheet name="SEC_107000" sheetId="220" r:id="rId134"/>
    <sheet name="SEC_108000" sheetId="221" r:id="rId135"/>
    <sheet name="DIV_11Input" sheetId="227" r:id="rId136"/>
    <sheet name="DIV_11View_Print" sheetId="228" r:id="rId137"/>
    <sheet name="DIV_11Log" sheetId="229" r:id="rId138"/>
    <sheet name="DIV_11Update" sheetId="230" r:id="rId139"/>
    <sheet name="DIV_11Data" sheetId="231" r:id="rId140"/>
    <sheet name="SEC_111000" sheetId="232" r:id="rId141"/>
    <sheet name="SEC_112000" sheetId="233" r:id="rId142"/>
    <sheet name="SEC_113000" sheetId="234" r:id="rId143"/>
    <sheet name="SEC_114000" sheetId="235" r:id="rId144"/>
    <sheet name="SEC_115000" sheetId="236" r:id="rId145"/>
    <sheet name="SEC_116000" sheetId="237" r:id="rId146"/>
    <sheet name="SEC_117000" sheetId="238" r:id="rId147"/>
    <sheet name="SEC_118000" sheetId="239" r:id="rId148"/>
    <sheet name="DIV_12Input" sheetId="276" r:id="rId149"/>
    <sheet name="DIV_12View_Print" sheetId="277" r:id="rId150"/>
    <sheet name="DIV_12Log" sheetId="278" r:id="rId151"/>
    <sheet name="DIV_12Update" sheetId="279" r:id="rId152"/>
    <sheet name="DIV_12Data" sheetId="280" r:id="rId153"/>
    <sheet name="SEC_121000" sheetId="245" r:id="rId154"/>
    <sheet name="SEC_122000" sheetId="246" r:id="rId155"/>
    <sheet name="SEC_123000" sheetId="247" r:id="rId156"/>
    <sheet name="SEC_124000" sheetId="248" r:id="rId157"/>
    <sheet name="SEC_125000" sheetId="249" r:id="rId158"/>
    <sheet name="SEC_126000" sheetId="250" r:id="rId159"/>
    <sheet name="SEC_129000" sheetId="251" r:id="rId160"/>
    <sheet name="DIV_13Input" sheetId="253" r:id="rId161"/>
    <sheet name="DIV_13View_Print" sheetId="254" r:id="rId162"/>
    <sheet name="DIV_13Log" sheetId="255" r:id="rId163"/>
    <sheet name="DIV_13Update" sheetId="256" r:id="rId164"/>
    <sheet name="DIV_13Data" sheetId="257" r:id="rId165"/>
    <sheet name="SEC_131000" sheetId="258" r:id="rId166"/>
    <sheet name="SEC_132000" sheetId="259" r:id="rId167"/>
    <sheet name="SEC_133000" sheetId="260" r:id="rId168"/>
    <sheet name="SEC_134000" sheetId="261" r:id="rId169"/>
    <sheet name="SEC_135000" sheetId="263" r:id="rId170"/>
    <sheet name="Dashboard" sheetId="4" r:id="rId171"/>
    <sheet name="CSI Index" sheetId="2" r:id="rId172"/>
    <sheet name="Cost Codes" sheetId="3" r:id="rId173"/>
    <sheet name="DIV_14Input" sheetId="264" r:id="rId174"/>
    <sheet name="DIV_14View_Print" sheetId="265" r:id="rId175"/>
    <sheet name="DIV_14Log" sheetId="266" r:id="rId176"/>
    <sheet name="DIV_14Update" sheetId="267" r:id="rId177"/>
    <sheet name="DIV_14Data" sheetId="268" r:id="rId178"/>
    <sheet name="SEC_141000" sheetId="269" r:id="rId179"/>
    <sheet name="SEC_142000" sheetId="270" r:id="rId180"/>
    <sheet name="SEC_143000" sheetId="271" r:id="rId181"/>
    <sheet name="SEC_144000" sheetId="272" r:id="rId182"/>
    <sheet name="SEC_147000" sheetId="273" r:id="rId183"/>
    <sheet name="SEC_148000" sheetId="274" r:id="rId184"/>
    <sheet name="SEC_149000" sheetId="275" r:id="rId185"/>
  </sheets>
  <functionGroups builtInGroupCount="19"/>
  <externalReferences>
    <externalReference r:id="rId186"/>
    <externalReference r:id="rId187"/>
  </externalReferences>
  <definedNames>
    <definedName name="_xleta.AND" hidden="1" xlm="1">#NAME?</definedName>
    <definedName name="_xleta.COS" hidden="1" xlm="1">#NAME?</definedName>
    <definedName name="_xleta.N" hidden="1" xlm="1">#NAME?</definedName>
    <definedName name="AECity">#REF!</definedName>
    <definedName name="AEState">#REF!</definedName>
    <definedName name="AEZip">#REF!</definedName>
    <definedName name="ALLCODES" localSheetId="5">#REF!</definedName>
    <definedName name="AssignProject">#REF!</definedName>
    <definedName name="CompanyCity">#REF!</definedName>
    <definedName name="CompanyState">#REF!</definedName>
    <definedName name="CompanyZip">#REF!</definedName>
    <definedName name="ContactCity">#REF!</definedName>
    <definedName name="ContactSCCOCity">#REF!</definedName>
    <definedName name="ContactSCCOState">#REF!</definedName>
    <definedName name="ContactSCCOViewCity">#REF!</definedName>
    <definedName name="ContactSCCOViewState">#REF!</definedName>
    <definedName name="ContactSCCOViewZip">#REF!</definedName>
    <definedName name="ContactSCCOZip">#REF!</definedName>
    <definedName name="ContactState">#REF!</definedName>
    <definedName name="ContactTransCity">#REF!</definedName>
    <definedName name="ContactTransState">#REF!</definedName>
    <definedName name="ContactTransVeiwCity">#REF!</definedName>
    <definedName name="ContactTransViewState">#REF!</definedName>
    <definedName name="ContactTransViewZip">#REF!</definedName>
    <definedName name="ContactTransZip">#REF!</definedName>
    <definedName name="ContactVeiwCity">#REF!</definedName>
    <definedName name="ContactViewState">#REF!</definedName>
    <definedName name="ContactViewZip">#REF!</definedName>
    <definedName name="ContactZip">#REF!</definedName>
    <definedName name="CONTRACTOR">#REF!</definedName>
    <definedName name="DESCRIPTION">#REF!</definedName>
    <definedName name="Display_Week">#REF!</definedName>
    <definedName name="ELEVATION">#REF!</definedName>
    <definedName name="FullName">Contacts!$D2:$D2000</definedName>
    <definedName name="INSPECTOR">#REF!</definedName>
    <definedName name="InvoiceToCity">#REF!</definedName>
    <definedName name="InvoiceToState">#REF!</definedName>
    <definedName name="InvoiceToViewCity">#REF!</definedName>
    <definedName name="InvoiceToViewState">#REF!</definedName>
    <definedName name="InvoiceToViewZip">#REF!</definedName>
    <definedName name="InvoiceToZip">#REF!</definedName>
    <definedName name="PICKVENDOR">Contacts!$A1048565:$A2000</definedName>
    <definedName name="POContactCity">#REF!</definedName>
    <definedName name="POContactState">#REF!</definedName>
    <definedName name="POContactZip">#REF!</definedName>
    <definedName name="POInvoiceToCity">#REF!</definedName>
    <definedName name="POInvoiceToState">#REF!</definedName>
    <definedName name="POInvoiceToZip">#REF!</definedName>
    <definedName name="POShipToCity">#REF!</definedName>
    <definedName name="POShipToState">#REF!</definedName>
    <definedName name="POShipToZip">#REF!</definedName>
    <definedName name="Project_Start">#REF!</definedName>
    <definedName name="ProjectCity">#REF!</definedName>
    <definedName name="ProjectState">#REF!</definedName>
    <definedName name="ProjectZip">#REF!</definedName>
    <definedName name="PropCompanyCity">#REF!</definedName>
    <definedName name="PropCompanyState">#REF!</definedName>
    <definedName name="PropCompanyStreet">#REF!</definedName>
    <definedName name="PropCompanyZip">#REF!</definedName>
    <definedName name="PropOwnerCity">#REF!</definedName>
    <definedName name="PropOwnerState">#REF!</definedName>
    <definedName name="PropOwnerZip">#REF!</definedName>
    <definedName name="ROOM">#REF!</definedName>
    <definedName name="ShipToCity">#REF!</definedName>
    <definedName name="ShipToState">#REF!</definedName>
    <definedName name="ShipToVeiwState">#REF!</definedName>
    <definedName name="ShipToVeiwZip">#REF!</definedName>
    <definedName name="ShipToViewCity">#REF!</definedName>
    <definedName name="ShipToZip">#REF!</definedName>
    <definedName name="Subtotal">#REF!</definedName>
    <definedName name="YESNO">#REF!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1" i="215" l="1"/>
  <c r="G21" i="215"/>
  <c r="F21" i="215"/>
  <c r="E21" i="215"/>
  <c r="D21" i="215"/>
  <c r="H20" i="215"/>
  <c r="G20" i="215"/>
  <c r="F20" i="215"/>
  <c r="E20" i="215"/>
  <c r="D20" i="215"/>
  <c r="H19" i="215"/>
  <c r="G19" i="215"/>
  <c r="F19" i="215"/>
  <c r="E19" i="215"/>
  <c r="D19" i="215"/>
  <c r="P1" i="279"/>
  <c r="O1" i="279"/>
  <c r="N1" i="279"/>
  <c r="M1" i="279"/>
  <c r="L1" i="279"/>
  <c r="K1" i="279"/>
  <c r="J1" i="279"/>
  <c r="I1" i="279"/>
  <c r="H1" i="279"/>
  <c r="G1" i="279"/>
  <c r="F1" i="279"/>
  <c r="E1" i="279"/>
  <c r="D1" i="279"/>
  <c r="C1" i="279"/>
  <c r="B1" i="279"/>
  <c r="A2" i="278"/>
  <c r="B3" i="278"/>
  <c r="C182" i="277"/>
  <c r="Q175" i="277"/>
  <c r="B175" i="277"/>
  <c r="A162" i="277"/>
  <c r="G160" i="277"/>
  <c r="K156" i="277"/>
  <c r="G148" i="277"/>
  <c r="B148" i="277"/>
  <c r="B147" i="277"/>
  <c r="Q140" i="277"/>
  <c r="G139" i="277"/>
  <c r="Q138" i="277"/>
  <c r="D135" i="277"/>
  <c r="C135" i="277"/>
  <c r="C134" i="277"/>
  <c r="G131" i="277"/>
  <c r="F131" i="277"/>
  <c r="B131" i="277"/>
  <c r="M128" i="277"/>
  <c r="A128" i="277"/>
  <c r="K127" i="277"/>
  <c r="G125" i="277"/>
  <c r="F125" i="277"/>
  <c r="L124" i="277"/>
  <c r="K122" i="277"/>
  <c r="G122" i="277"/>
  <c r="F122" i="277"/>
  <c r="E120" i="277"/>
  <c r="K119" i="277"/>
  <c r="J119" i="277"/>
  <c r="I117" i="277"/>
  <c r="H117" i="277"/>
  <c r="P116" i="277"/>
  <c r="H115" i="277"/>
  <c r="G115" i="277"/>
  <c r="C115" i="277"/>
  <c r="L113" i="277"/>
  <c r="C113" i="277"/>
  <c r="B113" i="277"/>
  <c r="K111" i="277"/>
  <c r="G111" i="277"/>
  <c r="O110" i="277"/>
  <c r="G109" i="277"/>
  <c r="F109" i="277"/>
  <c r="E109" i="277"/>
  <c r="K107" i="277"/>
  <c r="B107" i="277"/>
  <c r="A107" i="277"/>
  <c r="J105" i="277"/>
  <c r="I105" i="277"/>
  <c r="N104" i="277"/>
  <c r="F103" i="277"/>
  <c r="E103" i="277"/>
  <c r="D103" i="277"/>
  <c r="M101" i="277"/>
  <c r="A101" i="277"/>
  <c r="Q100" i="277"/>
  <c r="I99" i="277"/>
  <c r="H99" i="277"/>
  <c r="P98" i="277"/>
  <c r="E97" i="277"/>
  <c r="D97" i="277"/>
  <c r="C97" i="277"/>
  <c r="L95" i="277"/>
  <c r="C95" i="277"/>
  <c r="P94" i="277"/>
  <c r="H93" i="277"/>
  <c r="G93" i="277"/>
  <c r="O92" i="277"/>
  <c r="G91" i="277"/>
  <c r="C91" i="277"/>
  <c r="B91" i="277"/>
  <c r="K89" i="277"/>
  <c r="B89" i="277"/>
  <c r="A89" i="277"/>
  <c r="G87" i="277"/>
  <c r="F87" i="277"/>
  <c r="N86" i="277"/>
  <c r="F85" i="277"/>
  <c r="E85" i="277"/>
  <c r="A85" i="277"/>
  <c r="J83" i="277"/>
  <c r="A83" i="277"/>
  <c r="Q82" i="277"/>
  <c r="K81" i="277"/>
  <c r="J81" i="277"/>
  <c r="B81" i="277"/>
  <c r="O79" i="277"/>
  <c r="N79" i="277"/>
  <c r="M79" i="277"/>
  <c r="L78" i="277"/>
  <c r="E78" i="277"/>
  <c r="D78" i="277"/>
  <c r="B77" i="277"/>
  <c r="A77" i="277"/>
  <c r="K76" i="277"/>
  <c r="J75" i="277"/>
  <c r="I75" i="277"/>
  <c r="H75" i="277"/>
  <c r="G74" i="277"/>
  <c r="Q73" i="277"/>
  <c r="P73" i="277"/>
  <c r="N72" i="277"/>
  <c r="M72" i="277"/>
  <c r="F72" i="277"/>
  <c r="E71" i="277"/>
  <c r="D71" i="277"/>
  <c r="C71" i="277"/>
  <c r="A70" i="277"/>
  <c r="L69" i="277"/>
  <c r="J69" i="277"/>
  <c r="I68" i="277"/>
  <c r="H68" i="277"/>
  <c r="A68" i="277"/>
  <c r="Q66" i="277"/>
  <c r="P66" i="277"/>
  <c r="O66" i="277"/>
  <c r="N65" i="277"/>
  <c r="M65" i="277"/>
  <c r="K65" i="277"/>
  <c r="N64" i="277"/>
  <c r="M64" i="277"/>
  <c r="L64" i="277"/>
  <c r="A64" i="277"/>
  <c r="P63" i="277"/>
  <c r="N63" i="277"/>
  <c r="E63" i="277"/>
  <c r="D63" i="277"/>
  <c r="B63" i="277"/>
  <c r="I62" i="277"/>
  <c r="G62" i="277"/>
  <c r="F62" i="277"/>
  <c r="N61" i="277"/>
  <c r="L61" i="277"/>
  <c r="J61" i="277"/>
  <c r="Q60" i="277"/>
  <c r="P60" i="277"/>
  <c r="O60" i="277"/>
  <c r="E60" i="277"/>
  <c r="D60" i="277"/>
  <c r="C60" i="277"/>
  <c r="L59" i="277"/>
  <c r="J59" i="277"/>
  <c r="I59" i="277"/>
  <c r="A59" i="277"/>
  <c r="Q58" i="277"/>
  <c r="O58" i="277"/>
  <c r="G58" i="277"/>
  <c r="F58" i="277"/>
  <c r="E58" i="277"/>
  <c r="N57" i="277"/>
  <c r="L57" i="277"/>
  <c r="K57" i="277"/>
  <c r="C57" i="277"/>
  <c r="B57" i="277"/>
  <c r="Q56" i="277"/>
  <c r="I56" i="277"/>
  <c r="H56" i="277"/>
  <c r="G56" i="277"/>
  <c r="P55" i="277"/>
  <c r="N55" i="277"/>
  <c r="M55" i="277"/>
  <c r="E55" i="277"/>
  <c r="D55" i="277"/>
  <c r="B55" i="277"/>
  <c r="K54" i="277"/>
  <c r="J54" i="277"/>
  <c r="I54" i="277"/>
  <c r="A54" i="277"/>
  <c r="P53" i="277"/>
  <c r="O53" i="277"/>
  <c r="G53" i="277"/>
  <c r="F53" i="277"/>
  <c r="D53" i="277"/>
  <c r="M52" i="277"/>
  <c r="L52" i="277"/>
  <c r="K52" i="277"/>
  <c r="C52" i="277"/>
  <c r="A52" i="277"/>
  <c r="Q51" i="277"/>
  <c r="I51" i="277"/>
  <c r="H51" i="277"/>
  <c r="F51" i="277"/>
  <c r="O50" i="277"/>
  <c r="N50" i="277"/>
  <c r="M50" i="277"/>
  <c r="E50" i="277"/>
  <c r="C50" i="277"/>
  <c r="B50" i="277"/>
  <c r="K49" i="277"/>
  <c r="J49" i="277"/>
  <c r="H49" i="277"/>
  <c r="Q48" i="277"/>
  <c r="P48" i="277"/>
  <c r="O48" i="277"/>
  <c r="G48" i="277"/>
  <c r="E48" i="277"/>
  <c r="D48" i="277"/>
  <c r="M47" i="277"/>
  <c r="L47" i="277"/>
  <c r="J47" i="277"/>
  <c r="B47" i="277"/>
  <c r="A47" i="277"/>
  <c r="Q46" i="277"/>
  <c r="I46" i="277"/>
  <c r="H46" i="277"/>
  <c r="G46" i="277"/>
  <c r="Q45" i="277"/>
  <c r="P45" i="277"/>
  <c r="O45" i="277"/>
  <c r="H45" i="277"/>
  <c r="G45" i="277"/>
  <c r="F45" i="277"/>
  <c r="P44" i="277"/>
  <c r="O44" i="277"/>
  <c r="M44" i="277"/>
  <c r="G44" i="277"/>
  <c r="E44" i="277"/>
  <c r="D44" i="277"/>
  <c r="N43" i="277"/>
  <c r="M43" i="277"/>
  <c r="L43" i="277"/>
  <c r="E43" i="277"/>
  <c r="D43" i="277"/>
  <c r="C43" i="277"/>
  <c r="M42" i="277"/>
  <c r="L42" i="277"/>
  <c r="K42" i="277"/>
  <c r="D42" i="277"/>
  <c r="C42" i="277"/>
  <c r="B42" i="277"/>
  <c r="L41" i="277"/>
  <c r="K41" i="277"/>
  <c r="J41" i="277"/>
  <c r="C41" i="277"/>
  <c r="B41" i="277"/>
  <c r="Q40" i="277"/>
  <c r="K40" i="277"/>
  <c r="I40" i="277"/>
  <c r="H40" i="277"/>
  <c r="A40" i="277"/>
  <c r="Q39" i="277"/>
  <c r="P39" i="277"/>
  <c r="I39" i="277"/>
  <c r="H39" i="277"/>
  <c r="G39" i="277"/>
  <c r="Q38" i="277"/>
  <c r="P38" i="277"/>
  <c r="O38" i="277"/>
  <c r="H38" i="277"/>
  <c r="G38" i="277"/>
  <c r="F38" i="277"/>
  <c r="P37" i="277"/>
  <c r="O37" i="277"/>
  <c r="N37" i="277"/>
  <c r="G37" i="277"/>
  <c r="F37" i="277"/>
  <c r="D37" i="277"/>
  <c r="O36" i="277"/>
  <c r="M36" i="277"/>
  <c r="L36" i="277"/>
  <c r="E36" i="277"/>
  <c r="D36" i="277"/>
  <c r="C36" i="277"/>
  <c r="M35" i="277"/>
  <c r="L35" i="277"/>
  <c r="K35" i="277"/>
  <c r="E35" i="277"/>
  <c r="D35" i="277"/>
  <c r="C35" i="277"/>
  <c r="N34" i="277"/>
  <c r="M34" i="277"/>
  <c r="L34" i="277"/>
  <c r="F34" i="277"/>
  <c r="E34" i="277"/>
  <c r="D34" i="277"/>
  <c r="O33" i="277"/>
  <c r="N33" i="277"/>
  <c r="M33" i="277"/>
  <c r="G33" i="277"/>
  <c r="F33" i="277"/>
  <c r="E33" i="277"/>
  <c r="P32" i="277"/>
  <c r="O32" i="277"/>
  <c r="N32" i="277"/>
  <c r="H32" i="277"/>
  <c r="G32" i="277"/>
  <c r="F32" i="277"/>
  <c r="Q31" i="277"/>
  <c r="P31" i="277"/>
  <c r="O31" i="277"/>
  <c r="I31" i="277"/>
  <c r="H31" i="277"/>
  <c r="G31" i="277"/>
  <c r="A31" i="277"/>
  <c r="Q30" i="277"/>
  <c r="P30" i="277"/>
  <c r="J30" i="277"/>
  <c r="I30" i="277"/>
  <c r="H30" i="277"/>
  <c r="B30" i="277"/>
  <c r="A30" i="277"/>
  <c r="Q29" i="277"/>
  <c r="K29" i="277"/>
  <c r="J29" i="277"/>
  <c r="I29" i="277"/>
  <c r="C29" i="277"/>
  <c r="B29" i="277"/>
  <c r="A29" i="277"/>
  <c r="L28" i="277"/>
  <c r="K28" i="277"/>
  <c r="J28" i="277"/>
  <c r="D28" i="277"/>
  <c r="C28" i="277"/>
  <c r="B28" i="277"/>
  <c r="M27" i="277"/>
  <c r="L27" i="277"/>
  <c r="K27" i="277"/>
  <c r="E27" i="277"/>
  <c r="D27" i="277"/>
  <c r="C27" i="277"/>
  <c r="N26" i="277"/>
  <c r="M26" i="277"/>
  <c r="L26" i="277"/>
  <c r="F26" i="277"/>
  <c r="E26" i="277"/>
  <c r="D26" i="277"/>
  <c r="O25" i="277"/>
  <c r="N25" i="277"/>
  <c r="M25" i="277"/>
  <c r="G25" i="277"/>
  <c r="F25" i="277"/>
  <c r="E25" i="277"/>
  <c r="P24" i="277"/>
  <c r="O24" i="277"/>
  <c r="N24" i="277"/>
  <c r="H24" i="277"/>
  <c r="G24" i="277"/>
  <c r="F24" i="277"/>
  <c r="Q23" i="277"/>
  <c r="P23" i="277"/>
  <c r="O23" i="277"/>
  <c r="I23" i="277"/>
  <c r="H23" i="277"/>
  <c r="G23" i="277"/>
  <c r="A23" i="277"/>
  <c r="Q22" i="277"/>
  <c r="P22" i="277"/>
  <c r="J22" i="277"/>
  <c r="I22" i="277"/>
  <c r="H22" i="277"/>
  <c r="B22" i="277"/>
  <c r="A22" i="277"/>
  <c r="Q21" i="277"/>
  <c r="K21" i="277"/>
  <c r="J21" i="277"/>
  <c r="I21" i="277"/>
  <c r="C21" i="277"/>
  <c r="B21" i="277"/>
  <c r="A21" i="277"/>
  <c r="L20" i="277"/>
  <c r="K20" i="277"/>
  <c r="J20" i="277"/>
  <c r="D20" i="277"/>
  <c r="C20" i="277"/>
  <c r="B20" i="277"/>
  <c r="M19" i="277"/>
  <c r="L19" i="277"/>
  <c r="K19" i="277"/>
  <c r="E19" i="277"/>
  <c r="D19" i="277"/>
  <c r="C19" i="277"/>
  <c r="N18" i="277"/>
  <c r="M18" i="277"/>
  <c r="L18" i="277"/>
  <c r="F18" i="277"/>
  <c r="E18" i="277"/>
  <c r="D18" i="277"/>
  <c r="O17" i="277"/>
  <c r="N17" i="277"/>
  <c r="M17" i="277"/>
  <c r="G17" i="277"/>
  <c r="F17" i="277"/>
  <c r="E17" i="277"/>
  <c r="P16" i="277"/>
  <c r="O16" i="277"/>
  <c r="N16" i="277"/>
  <c r="H16" i="277"/>
  <c r="G16" i="277"/>
  <c r="F16" i="277"/>
  <c r="Q15" i="277"/>
  <c r="P15" i="277"/>
  <c r="O15" i="277"/>
  <c r="I15" i="277"/>
  <c r="H15" i="277"/>
  <c r="G15" i="277"/>
  <c r="A15" i="277"/>
  <c r="Q14" i="277"/>
  <c r="P14" i="277"/>
  <c r="J14" i="277"/>
  <c r="I14" i="277"/>
  <c r="H14" i="277"/>
  <c r="B14" i="277"/>
  <c r="A14" i="277"/>
  <c r="Q13" i="277"/>
  <c r="K13" i="277"/>
  <c r="J13" i="277"/>
  <c r="I13" i="277"/>
  <c r="C13" i="277"/>
  <c r="B13" i="277"/>
  <c r="A13" i="277"/>
  <c r="L12" i="277"/>
  <c r="K12" i="277"/>
  <c r="J12" i="277"/>
  <c r="D12" i="277"/>
  <c r="C12" i="277"/>
  <c r="B12" i="277"/>
  <c r="M11" i="277"/>
  <c r="L11" i="277"/>
  <c r="K11" i="277"/>
  <c r="E11" i="277"/>
  <c r="D11" i="277"/>
  <c r="C11" i="277"/>
  <c r="N10" i="277"/>
  <c r="M10" i="277"/>
  <c r="L10" i="277"/>
  <c r="F10" i="277"/>
  <c r="E10" i="277"/>
  <c r="D10" i="277"/>
  <c r="O9" i="277"/>
  <c r="N9" i="277"/>
  <c r="M9" i="277"/>
  <c r="G9" i="277"/>
  <c r="F9" i="277"/>
  <c r="E9" i="277"/>
  <c r="P8" i="277"/>
  <c r="O8" i="277"/>
  <c r="N8" i="277"/>
  <c r="H8" i="277"/>
  <c r="G8" i="277"/>
  <c r="F8" i="277"/>
  <c r="Q7" i="277"/>
  <c r="P7" i="277"/>
  <c r="O7" i="277"/>
  <c r="H7" i="277"/>
  <c r="G7" i="277"/>
  <c r="F7" i="277"/>
  <c r="Q6" i="277"/>
  <c r="P6" i="277"/>
  <c r="O6" i="277"/>
  <c r="H6" i="277"/>
  <c r="G6" i="277"/>
  <c r="F6" i="277"/>
  <c r="Q5" i="277"/>
  <c r="P5" i="277"/>
  <c r="O5" i="277"/>
  <c r="H5" i="277"/>
  <c r="G5" i="277"/>
  <c r="F5" i="277"/>
  <c r="Q4" i="277"/>
  <c r="P4" i="277"/>
  <c r="O4" i="277"/>
  <c r="H4" i="277"/>
  <c r="G4" i="277"/>
  <c r="F4" i="277"/>
  <c r="P3" i="277"/>
  <c r="O3" i="277"/>
  <c r="N3" i="277"/>
  <c r="D3" i="277"/>
  <c r="C3" i="277"/>
  <c r="A3" i="277"/>
  <c r="A1" i="277"/>
  <c r="A192" i="277" s="1"/>
  <c r="O1" i="277"/>
  <c r="N1" i="277"/>
  <c r="M1" i="277"/>
  <c r="I199" i="276"/>
  <c r="G199" i="276"/>
  <c r="Q197" i="276"/>
  <c r="Q199" i="276" s="1"/>
  <c r="G2" i="276" s="1"/>
  <c r="O197" i="276"/>
  <c r="O199" i="276" s="1"/>
  <c r="M197" i="276"/>
  <c r="M199" i="276" s="1"/>
  <c r="K197" i="276"/>
  <c r="K199" i="276" s="1"/>
  <c r="I197" i="276"/>
  <c r="G197" i="276"/>
  <c r="C197" i="276"/>
  <c r="C12" i="276"/>
  <c r="Q10" i="276"/>
  <c r="O10" i="276"/>
  <c r="F2" i="276" s="1"/>
  <c r="M10" i="276"/>
  <c r="K10" i="276"/>
  <c r="I10" i="276"/>
  <c r="G10" i="276"/>
  <c r="C10" i="276"/>
  <c r="I2" i="276" s="1"/>
  <c r="B10" i="276"/>
  <c r="C6" i="276"/>
  <c r="H2" i="276" s="1"/>
  <c r="C3" i="276"/>
  <c r="E2" i="276"/>
  <c r="D2" i="276"/>
  <c r="C2" i="276"/>
  <c r="B2" i="276"/>
  <c r="A2" i="276"/>
  <c r="I1" i="276"/>
  <c r="H1" i="276"/>
  <c r="G1" i="276"/>
  <c r="F1" i="276"/>
  <c r="X1" i="280" s="1"/>
  <c r="E1" i="276"/>
  <c r="D1" i="276"/>
  <c r="C1" i="276"/>
  <c r="B1" i="276"/>
  <c r="A1" i="276"/>
  <c r="AG1" i="280"/>
  <c r="AF1" i="280"/>
  <c r="AE1" i="280"/>
  <c r="AD1" i="280"/>
  <c r="AC1" i="280"/>
  <c r="AB1" i="280"/>
  <c r="AA1" i="280"/>
  <c r="Z1" i="280"/>
  <c r="Y1" i="280"/>
  <c r="T1" i="280"/>
  <c r="S1" i="280"/>
  <c r="D18" i="215"/>
  <c r="H18" i="215"/>
  <c r="G18" i="215"/>
  <c r="F18" i="215"/>
  <c r="E18" i="215"/>
  <c r="K199" i="275"/>
  <c r="I199" i="275"/>
  <c r="G199" i="275"/>
  <c r="Q197" i="275"/>
  <c r="Q199" i="275" s="1"/>
  <c r="G2" i="275" s="1"/>
  <c r="O197" i="275"/>
  <c r="O199" i="275" s="1"/>
  <c r="M197" i="275"/>
  <c r="M199" i="275" s="1"/>
  <c r="K197" i="275"/>
  <c r="I197" i="275"/>
  <c r="G197" i="275"/>
  <c r="C197" i="275"/>
  <c r="Q10" i="275"/>
  <c r="O10" i="275"/>
  <c r="F2" i="275" s="1"/>
  <c r="M10" i="275"/>
  <c r="K10" i="275"/>
  <c r="I10" i="275"/>
  <c r="G10" i="275"/>
  <c r="C10" i="275"/>
  <c r="I2" i="275" s="1"/>
  <c r="B10" i="275"/>
  <c r="C6" i="275"/>
  <c r="H2" i="275" s="1"/>
  <c r="C3" i="275"/>
  <c r="E2" i="275"/>
  <c r="D2" i="275"/>
  <c r="C2" i="275"/>
  <c r="B2" i="275"/>
  <c r="A2" i="275"/>
  <c r="I1" i="275"/>
  <c r="H1" i="275"/>
  <c r="G1" i="275"/>
  <c r="F1" i="275"/>
  <c r="E1" i="275"/>
  <c r="D1" i="275"/>
  <c r="C1" i="275"/>
  <c r="B1" i="275"/>
  <c r="A1" i="275"/>
  <c r="Q199" i="274"/>
  <c r="G2" i="274" s="1"/>
  <c r="K199" i="274"/>
  <c r="I199" i="274"/>
  <c r="G199" i="274"/>
  <c r="Q197" i="274"/>
  <c r="O197" i="274"/>
  <c r="O199" i="274" s="1"/>
  <c r="M197" i="274"/>
  <c r="M199" i="274" s="1"/>
  <c r="K197" i="274"/>
  <c r="I197" i="274"/>
  <c r="G197" i="274"/>
  <c r="C197" i="274"/>
  <c r="C12" i="274"/>
  <c r="Q10" i="274"/>
  <c r="O10" i="274"/>
  <c r="F2" i="274" s="1"/>
  <c r="M10" i="274"/>
  <c r="K10" i="274"/>
  <c r="I10" i="274"/>
  <c r="G10" i="274"/>
  <c r="C10" i="274"/>
  <c r="I2" i="274" s="1"/>
  <c r="B10" i="274"/>
  <c r="C6" i="274"/>
  <c r="H2" i="274" s="1"/>
  <c r="C3" i="274"/>
  <c r="E2" i="274"/>
  <c r="D2" i="274"/>
  <c r="C2" i="274"/>
  <c r="B2" i="274"/>
  <c r="A2" i="274"/>
  <c r="I1" i="274"/>
  <c r="H1" i="274"/>
  <c r="G1" i="274"/>
  <c r="F1" i="274"/>
  <c r="E1" i="274"/>
  <c r="D1" i="274"/>
  <c r="C1" i="274"/>
  <c r="B1" i="274"/>
  <c r="A1" i="274"/>
  <c r="Q199" i="273"/>
  <c r="G199" i="273"/>
  <c r="Q197" i="273"/>
  <c r="O197" i="273"/>
  <c r="O199" i="273" s="1"/>
  <c r="M197" i="273"/>
  <c r="M199" i="273" s="1"/>
  <c r="K197" i="273"/>
  <c r="K199" i="273" s="1"/>
  <c r="I197" i="273"/>
  <c r="I199" i="273" s="1"/>
  <c r="G197" i="273"/>
  <c r="C197" i="273"/>
  <c r="Q10" i="273"/>
  <c r="O10" i="273"/>
  <c r="F2" i="273" s="1"/>
  <c r="M10" i="273"/>
  <c r="E2" i="273" s="1"/>
  <c r="K10" i="273"/>
  <c r="I10" i="273"/>
  <c r="D2" i="273" s="1"/>
  <c r="G10" i="273"/>
  <c r="C10" i="273"/>
  <c r="C12" i="273" s="1"/>
  <c r="B10" i="273"/>
  <c r="C6" i="273"/>
  <c r="H2" i="273" s="1"/>
  <c r="C3" i="273"/>
  <c r="G2" i="273"/>
  <c r="C2" i="273"/>
  <c r="B2" i="273"/>
  <c r="A2" i="273"/>
  <c r="I1" i="273"/>
  <c r="H1" i="273"/>
  <c r="G1" i="273"/>
  <c r="F1" i="273"/>
  <c r="E1" i="273"/>
  <c r="D1" i="273"/>
  <c r="C1" i="273"/>
  <c r="B1" i="273"/>
  <c r="A1" i="273"/>
  <c r="I199" i="272"/>
  <c r="G199" i="272"/>
  <c r="Q197" i="272"/>
  <c r="Q199" i="272" s="1"/>
  <c r="G2" i="272" s="1"/>
  <c r="O197" i="272"/>
  <c r="O199" i="272" s="1"/>
  <c r="M197" i="272"/>
  <c r="M199" i="272" s="1"/>
  <c r="K197" i="272"/>
  <c r="K199" i="272" s="1"/>
  <c r="I197" i="272"/>
  <c r="G197" i="272"/>
  <c r="C197" i="272"/>
  <c r="C12" i="272"/>
  <c r="Q10" i="272"/>
  <c r="O10" i="272"/>
  <c r="F2" i="272" s="1"/>
  <c r="M10" i="272"/>
  <c r="K10" i="272"/>
  <c r="I10" i="272"/>
  <c r="G10" i="272"/>
  <c r="C10" i="272"/>
  <c r="I2" i="272" s="1"/>
  <c r="B10" i="272"/>
  <c r="C6" i="272"/>
  <c r="H2" i="272" s="1"/>
  <c r="C3" i="272"/>
  <c r="E2" i="272"/>
  <c r="D2" i="272"/>
  <c r="C2" i="272"/>
  <c r="B2" i="272"/>
  <c r="A2" i="272"/>
  <c r="I1" i="272"/>
  <c r="H1" i="272"/>
  <c r="G1" i="272"/>
  <c r="F1" i="272"/>
  <c r="E1" i="272"/>
  <c r="D1" i="272"/>
  <c r="C1" i="272"/>
  <c r="B1" i="272"/>
  <c r="A1" i="272"/>
  <c r="Q197" i="271"/>
  <c r="Q199" i="271" s="1"/>
  <c r="G2" i="271" s="1"/>
  <c r="O197" i="271"/>
  <c r="O199" i="271" s="1"/>
  <c r="M197" i="271"/>
  <c r="M199" i="271" s="1"/>
  <c r="K197" i="271"/>
  <c r="K199" i="271" s="1"/>
  <c r="I197" i="271"/>
  <c r="I199" i="271" s="1"/>
  <c r="G197" i="271"/>
  <c r="G199" i="271" s="1"/>
  <c r="C197" i="271"/>
  <c r="Q10" i="271"/>
  <c r="O10" i="271"/>
  <c r="F2" i="271" s="1"/>
  <c r="M10" i="271"/>
  <c r="K10" i="271"/>
  <c r="I10" i="271"/>
  <c r="D2" i="271" s="1"/>
  <c r="G10" i="271"/>
  <c r="C10" i="271"/>
  <c r="I2" i="271" s="1"/>
  <c r="B10" i="271"/>
  <c r="C6" i="271"/>
  <c r="H2" i="271" s="1"/>
  <c r="C3" i="271"/>
  <c r="E2" i="271"/>
  <c r="C2" i="271"/>
  <c r="B2" i="271"/>
  <c r="A2" i="271"/>
  <c r="I1" i="271"/>
  <c r="H1" i="271"/>
  <c r="G1" i="271"/>
  <c r="F1" i="271"/>
  <c r="E1" i="271"/>
  <c r="D1" i="271"/>
  <c r="C1" i="271"/>
  <c r="B1" i="271"/>
  <c r="A1" i="271"/>
  <c r="M199" i="270"/>
  <c r="Q197" i="270"/>
  <c r="Q199" i="270" s="1"/>
  <c r="G2" i="270" s="1"/>
  <c r="O197" i="270"/>
  <c r="O199" i="270" s="1"/>
  <c r="M197" i="270"/>
  <c r="K197" i="270"/>
  <c r="K199" i="270" s="1"/>
  <c r="I197" i="270"/>
  <c r="I199" i="270" s="1"/>
  <c r="G197" i="270"/>
  <c r="G199" i="270" s="1"/>
  <c r="C197" i="270"/>
  <c r="Q10" i="270"/>
  <c r="O10" i="270"/>
  <c r="F2" i="270" s="1"/>
  <c r="M10" i="270"/>
  <c r="K10" i="270"/>
  <c r="I10" i="270"/>
  <c r="D2" i="270" s="1"/>
  <c r="G10" i="270"/>
  <c r="C10" i="270"/>
  <c r="I2" i="270" s="1"/>
  <c r="B10" i="270"/>
  <c r="C6" i="270"/>
  <c r="H2" i="270" s="1"/>
  <c r="C3" i="270"/>
  <c r="E2" i="270"/>
  <c r="C2" i="270"/>
  <c r="B2" i="270"/>
  <c r="A2" i="270"/>
  <c r="I1" i="270"/>
  <c r="H1" i="270"/>
  <c r="G1" i="270"/>
  <c r="F1" i="270"/>
  <c r="E1" i="270"/>
  <c r="D1" i="270"/>
  <c r="C1" i="270"/>
  <c r="B1" i="270"/>
  <c r="A1" i="270"/>
  <c r="Q199" i="269"/>
  <c r="G2" i="269" s="1"/>
  <c r="I199" i="269"/>
  <c r="Q197" i="269"/>
  <c r="O197" i="269"/>
  <c r="O199" i="269" s="1"/>
  <c r="M197" i="269"/>
  <c r="M199" i="269" s="1"/>
  <c r="K197" i="269"/>
  <c r="K199" i="269" s="1"/>
  <c r="I197" i="269"/>
  <c r="G197" i="269"/>
  <c r="G199" i="269" s="1"/>
  <c r="C197" i="269"/>
  <c r="Q10" i="269"/>
  <c r="O10" i="269"/>
  <c r="F2" i="269" s="1"/>
  <c r="M10" i="269"/>
  <c r="K10" i="269"/>
  <c r="I10" i="269"/>
  <c r="D2" i="269" s="1"/>
  <c r="G10" i="269"/>
  <c r="C10" i="269"/>
  <c r="I2" i="269" s="1"/>
  <c r="B10" i="269"/>
  <c r="C6" i="269"/>
  <c r="H2" i="269" s="1"/>
  <c r="C3" i="269"/>
  <c r="E2" i="269"/>
  <c r="C2" i="269"/>
  <c r="B2" i="269"/>
  <c r="A2" i="269"/>
  <c r="I1" i="269"/>
  <c r="H1" i="269"/>
  <c r="G1" i="269"/>
  <c r="F1" i="269"/>
  <c r="E1" i="269"/>
  <c r="D1" i="269"/>
  <c r="C1" i="269"/>
  <c r="B1" i="269"/>
  <c r="A1" i="269"/>
  <c r="P1" i="267"/>
  <c r="O1" i="267"/>
  <c r="N1" i="267"/>
  <c r="M1" i="267"/>
  <c r="L1" i="267"/>
  <c r="K1" i="267"/>
  <c r="J1" i="267"/>
  <c r="I1" i="267"/>
  <c r="H1" i="267"/>
  <c r="G1" i="267"/>
  <c r="F1" i="267"/>
  <c r="E1" i="267"/>
  <c r="D1" i="267"/>
  <c r="C1" i="267"/>
  <c r="B1" i="267"/>
  <c r="A2" i="266"/>
  <c r="B3" i="266"/>
  <c r="D180" i="265"/>
  <c r="P175" i="265"/>
  <c r="C174" i="265"/>
  <c r="Q166" i="265"/>
  <c r="L165" i="265"/>
  <c r="O163" i="265"/>
  <c r="C159" i="265"/>
  <c r="A157" i="265"/>
  <c r="H156" i="265"/>
  <c r="G151" i="265"/>
  <c r="M149" i="265"/>
  <c r="H149" i="265"/>
  <c r="M145" i="265"/>
  <c r="A145" i="265"/>
  <c r="L143" i="265"/>
  <c r="D141" i="265"/>
  <c r="C139" i="265"/>
  <c r="Q138" i="265"/>
  <c r="A136" i="265"/>
  <c r="P134" i="265"/>
  <c r="I134" i="265"/>
  <c r="G132" i="265"/>
  <c r="P131" i="265"/>
  <c r="A131" i="265"/>
  <c r="E129" i="265"/>
  <c r="D128" i="265"/>
  <c r="C128" i="265"/>
  <c r="N125" i="265"/>
  <c r="O124" i="265"/>
  <c r="H124" i="265"/>
  <c r="D122" i="265"/>
  <c r="M121" i="265"/>
  <c r="B121" i="265"/>
  <c r="E119" i="265"/>
  <c r="E118" i="265"/>
  <c r="D118" i="265"/>
  <c r="N116" i="265"/>
  <c r="C116" i="265"/>
  <c r="Q115" i="265"/>
  <c r="L114" i="265"/>
  <c r="H114" i="265"/>
  <c r="Q113" i="265"/>
  <c r="O112" i="265"/>
  <c r="D112" i="265"/>
  <c r="C112" i="265"/>
  <c r="M110" i="265"/>
  <c r="D110" i="265"/>
  <c r="Q109" i="265"/>
  <c r="K108" i="265"/>
  <c r="G108" i="265"/>
  <c r="P107" i="265"/>
  <c r="P106" i="265"/>
  <c r="D106" i="265"/>
  <c r="B106" i="265"/>
  <c r="L104" i="265"/>
  <c r="C104" i="265"/>
  <c r="P103" i="265"/>
  <c r="L102" i="265"/>
  <c r="F102" i="265"/>
  <c r="O101" i="265"/>
  <c r="O100" i="265"/>
  <c r="C100" i="265"/>
  <c r="B100" i="265"/>
  <c r="L98" i="265"/>
  <c r="B98" i="265"/>
  <c r="Q97" i="265"/>
  <c r="K96" i="265"/>
  <c r="F96" i="265"/>
  <c r="P95" i="265"/>
  <c r="D95" i="265"/>
  <c r="N94" i="265"/>
  <c r="M94" i="265"/>
  <c r="O93" i="265"/>
  <c r="I93" i="265"/>
  <c r="G93" i="265"/>
  <c r="J92" i="265"/>
  <c r="G92" i="265"/>
  <c r="B92" i="265"/>
  <c r="H91" i="265"/>
  <c r="A91" i="265"/>
  <c r="Q90" i="265"/>
  <c r="B90" i="265"/>
  <c r="M89" i="265"/>
  <c r="K89" i="265"/>
  <c r="N88" i="265"/>
  <c r="K88" i="265"/>
  <c r="F88" i="265"/>
  <c r="L87" i="265"/>
  <c r="E87" i="265"/>
  <c r="D87" i="265"/>
  <c r="F86" i="265"/>
  <c r="Q85" i="265"/>
  <c r="O85" i="265"/>
  <c r="A85" i="265"/>
  <c r="O84" i="265"/>
  <c r="J84" i="265"/>
  <c r="P83" i="265"/>
  <c r="I83" i="265"/>
  <c r="H83" i="265"/>
  <c r="J82" i="265"/>
  <c r="D82" i="265"/>
  <c r="B82" i="265"/>
  <c r="E81" i="265"/>
  <c r="B81" i="265"/>
  <c r="N80" i="265"/>
  <c r="C80" i="265"/>
  <c r="M79" i="265"/>
  <c r="L79" i="265"/>
  <c r="N78" i="265"/>
  <c r="H78" i="265"/>
  <c r="F78" i="265"/>
  <c r="I77" i="265"/>
  <c r="F77" i="265"/>
  <c r="A77" i="265"/>
  <c r="G76" i="265"/>
  <c r="Q75" i="265"/>
  <c r="P75" i="265"/>
  <c r="A75" i="265"/>
  <c r="L74" i="265"/>
  <c r="J74" i="265"/>
  <c r="M73" i="265"/>
  <c r="J73" i="265"/>
  <c r="E73" i="265"/>
  <c r="K72" i="265"/>
  <c r="D72" i="265"/>
  <c r="C72" i="265"/>
  <c r="E71" i="265"/>
  <c r="P70" i="265"/>
  <c r="N70" i="265"/>
  <c r="Q69" i="265"/>
  <c r="N69" i="265"/>
  <c r="I69" i="265"/>
  <c r="O68" i="265"/>
  <c r="H68" i="265"/>
  <c r="G68" i="265"/>
  <c r="I67" i="265"/>
  <c r="C67" i="265"/>
  <c r="A67" i="265"/>
  <c r="D66" i="265"/>
  <c r="A66" i="265"/>
  <c r="M65" i="265"/>
  <c r="B65" i="265"/>
  <c r="L64" i="265"/>
  <c r="K64" i="265"/>
  <c r="M63" i="265"/>
  <c r="G63" i="265"/>
  <c r="E63" i="265"/>
  <c r="H62" i="265"/>
  <c r="E62" i="265"/>
  <c r="Q61" i="265"/>
  <c r="F61" i="265"/>
  <c r="P60" i="265"/>
  <c r="O60" i="265"/>
  <c r="Q59" i="265"/>
  <c r="K59" i="265"/>
  <c r="I59" i="265"/>
  <c r="L58" i="265"/>
  <c r="I58" i="265"/>
  <c r="H58" i="265"/>
  <c r="Q57" i="265"/>
  <c r="M57" i="265"/>
  <c r="K57" i="265"/>
  <c r="C57" i="265"/>
  <c r="A57" i="265"/>
  <c r="O56" i="265"/>
  <c r="G56" i="265"/>
  <c r="D56" i="265"/>
  <c r="C56" i="265"/>
  <c r="L55" i="265"/>
  <c r="H55" i="265"/>
  <c r="G55" i="265"/>
  <c r="P54" i="265"/>
  <c r="M54" i="265"/>
  <c r="L54" i="265"/>
  <c r="D54" i="265"/>
  <c r="Q53" i="265"/>
  <c r="O53" i="265"/>
  <c r="G53" i="265"/>
  <c r="E53" i="265"/>
  <c r="B53" i="265"/>
  <c r="K52" i="265"/>
  <c r="H52" i="265"/>
  <c r="G52" i="265"/>
  <c r="P51" i="265"/>
  <c r="L51" i="265"/>
  <c r="K51" i="265"/>
  <c r="C51" i="265"/>
  <c r="Q50" i="265"/>
  <c r="P50" i="265"/>
  <c r="H50" i="265"/>
  <c r="D50" i="265"/>
  <c r="B50" i="265"/>
  <c r="K49" i="265"/>
  <c r="I49" i="265"/>
  <c r="H49" i="265"/>
  <c r="B49" i="265"/>
  <c r="Q48" i="265"/>
  <c r="P48" i="265"/>
  <c r="J48" i="265"/>
  <c r="H48" i="265"/>
  <c r="G48" i="265"/>
  <c r="A48" i="265"/>
  <c r="P47" i="265"/>
  <c r="O47" i="265"/>
  <c r="I47" i="265"/>
  <c r="G47" i="265"/>
  <c r="E47" i="265"/>
  <c r="Q46" i="265"/>
  <c r="N46" i="265"/>
  <c r="M46" i="265"/>
  <c r="H46" i="265"/>
  <c r="E46" i="265"/>
  <c r="D46" i="265"/>
  <c r="O45" i="265"/>
  <c r="M45" i="265"/>
  <c r="L45" i="265"/>
  <c r="F45" i="265"/>
  <c r="D45" i="265"/>
  <c r="C45" i="265"/>
  <c r="N44" i="265"/>
  <c r="L44" i="265"/>
  <c r="K44" i="265"/>
  <c r="F44" i="265"/>
  <c r="D44" i="265"/>
  <c r="C44" i="265"/>
  <c r="O43" i="265"/>
  <c r="M43" i="265"/>
  <c r="L43" i="265"/>
  <c r="G43" i="265"/>
  <c r="E43" i="265"/>
  <c r="D43" i="265"/>
  <c r="P42" i="265"/>
  <c r="N42" i="265"/>
  <c r="M42" i="265"/>
  <c r="H42" i="265"/>
  <c r="F42" i="265"/>
  <c r="E42" i="265"/>
  <c r="Q41" i="265"/>
  <c r="O41" i="265"/>
  <c r="N41" i="265"/>
  <c r="I41" i="265"/>
  <c r="G41" i="265"/>
  <c r="F41" i="265"/>
  <c r="A41" i="265"/>
  <c r="P40" i="265"/>
  <c r="O40" i="265"/>
  <c r="J40" i="265"/>
  <c r="H40" i="265"/>
  <c r="G40" i="265"/>
  <c r="B40" i="265"/>
  <c r="Q39" i="265"/>
  <c r="P39" i="265"/>
  <c r="K39" i="265"/>
  <c r="I39" i="265"/>
  <c r="H39" i="265"/>
  <c r="C39" i="265"/>
  <c r="A39" i="265"/>
  <c r="Q38" i="265"/>
  <c r="L38" i="265"/>
  <c r="J38" i="265"/>
  <c r="I38" i="265"/>
  <c r="D38" i="265"/>
  <c r="B38" i="265"/>
  <c r="A38" i="265"/>
  <c r="M37" i="265"/>
  <c r="K37" i="265"/>
  <c r="J37" i="265"/>
  <c r="E37" i="265"/>
  <c r="C37" i="265"/>
  <c r="B37" i="265"/>
  <c r="N36" i="265"/>
  <c r="L36" i="265"/>
  <c r="K36" i="265"/>
  <c r="F36" i="265"/>
  <c r="D36" i="265"/>
  <c r="C36" i="265"/>
  <c r="O35" i="265"/>
  <c r="M35" i="265"/>
  <c r="L35" i="265"/>
  <c r="H35" i="265"/>
  <c r="G35" i="265"/>
  <c r="E35" i="265"/>
  <c r="D35" i="265"/>
  <c r="Q34" i="265"/>
  <c r="P34" i="265"/>
  <c r="N34" i="265"/>
  <c r="M34" i="265"/>
  <c r="I34" i="265"/>
  <c r="H34" i="265"/>
  <c r="F34" i="265"/>
  <c r="E34" i="265"/>
  <c r="A34" i="265"/>
  <c r="Q33" i="265"/>
  <c r="O33" i="265"/>
  <c r="N33" i="265"/>
  <c r="J33" i="265"/>
  <c r="I33" i="265"/>
  <c r="G33" i="265"/>
  <c r="F33" i="265"/>
  <c r="B33" i="265"/>
  <c r="A33" i="265"/>
  <c r="P32" i="265"/>
  <c r="O32" i="265"/>
  <c r="K32" i="265"/>
  <c r="J32" i="265"/>
  <c r="H32" i="265"/>
  <c r="G32" i="265"/>
  <c r="F32" i="265"/>
  <c r="C32" i="265"/>
  <c r="B32" i="265"/>
  <c r="Q31" i="265"/>
  <c r="P31" i="265"/>
  <c r="O31" i="265"/>
  <c r="L31" i="265"/>
  <c r="K31" i="265"/>
  <c r="I31" i="265"/>
  <c r="H31" i="265"/>
  <c r="G31" i="265"/>
  <c r="D31" i="265"/>
  <c r="C31" i="265"/>
  <c r="A31" i="265"/>
  <c r="Q30" i="265"/>
  <c r="P30" i="265"/>
  <c r="M30" i="265"/>
  <c r="L30" i="265"/>
  <c r="J30" i="265"/>
  <c r="I30" i="265"/>
  <c r="H30" i="265"/>
  <c r="E30" i="265"/>
  <c r="D30" i="265"/>
  <c r="B30" i="265"/>
  <c r="A30" i="265"/>
  <c r="Q29" i="265"/>
  <c r="N29" i="265"/>
  <c r="M29" i="265"/>
  <c r="K29" i="265"/>
  <c r="J29" i="265"/>
  <c r="I29" i="265"/>
  <c r="F29" i="265"/>
  <c r="E29" i="265"/>
  <c r="C29" i="265"/>
  <c r="B29" i="265"/>
  <c r="A29" i="265"/>
  <c r="O28" i="265"/>
  <c r="N28" i="265"/>
  <c r="L28" i="265"/>
  <c r="K28" i="265"/>
  <c r="J28" i="265"/>
  <c r="G28" i="265"/>
  <c r="F28" i="265"/>
  <c r="D28" i="265"/>
  <c r="C28" i="265"/>
  <c r="B28" i="265"/>
  <c r="P27" i="265"/>
  <c r="O27" i="265"/>
  <c r="M27" i="265"/>
  <c r="L27" i="265"/>
  <c r="K27" i="265"/>
  <c r="H27" i="265"/>
  <c r="G27" i="265"/>
  <c r="E27" i="265"/>
  <c r="D27" i="265"/>
  <c r="C27" i="265"/>
  <c r="Q26" i="265"/>
  <c r="P26" i="265"/>
  <c r="N26" i="265"/>
  <c r="M26" i="265"/>
  <c r="L26" i="265"/>
  <c r="I26" i="265"/>
  <c r="H26" i="265"/>
  <c r="F26" i="265"/>
  <c r="E26" i="265"/>
  <c r="D26" i="265"/>
  <c r="A26" i="265"/>
  <c r="Q25" i="265"/>
  <c r="O25" i="265"/>
  <c r="N25" i="265"/>
  <c r="M25" i="265"/>
  <c r="J25" i="265"/>
  <c r="I25" i="265"/>
  <c r="G25" i="265"/>
  <c r="F25" i="265"/>
  <c r="E25" i="265"/>
  <c r="B25" i="265"/>
  <c r="A25" i="265"/>
  <c r="P24" i="265"/>
  <c r="O24" i="265"/>
  <c r="N24" i="265"/>
  <c r="K24" i="265"/>
  <c r="J24" i="265"/>
  <c r="H24" i="265"/>
  <c r="G24" i="265"/>
  <c r="F24" i="265"/>
  <c r="C24" i="265"/>
  <c r="B24" i="265"/>
  <c r="Q23" i="265"/>
  <c r="P23" i="265"/>
  <c r="O23" i="265"/>
  <c r="L23" i="265"/>
  <c r="K23" i="265"/>
  <c r="I23" i="265"/>
  <c r="H23" i="265"/>
  <c r="G23" i="265"/>
  <c r="D23" i="265"/>
  <c r="C23" i="265"/>
  <c r="A23" i="265"/>
  <c r="Q22" i="265"/>
  <c r="P22" i="265"/>
  <c r="M22" i="265"/>
  <c r="L22" i="265"/>
  <c r="J22" i="265"/>
  <c r="I22" i="265"/>
  <c r="H22" i="265"/>
  <c r="E22" i="265"/>
  <c r="D22" i="265"/>
  <c r="B22" i="265"/>
  <c r="A22" i="265"/>
  <c r="Q21" i="265"/>
  <c r="N21" i="265"/>
  <c r="M21" i="265"/>
  <c r="K21" i="265"/>
  <c r="J21" i="265"/>
  <c r="I21" i="265"/>
  <c r="F21" i="265"/>
  <c r="E21" i="265"/>
  <c r="C21" i="265"/>
  <c r="B21" i="265"/>
  <c r="A21" i="265"/>
  <c r="O20" i="265"/>
  <c r="N20" i="265"/>
  <c r="L20" i="265"/>
  <c r="K20" i="265"/>
  <c r="J20" i="265"/>
  <c r="G20" i="265"/>
  <c r="F20" i="265"/>
  <c r="D20" i="265"/>
  <c r="C20" i="265"/>
  <c r="B20" i="265"/>
  <c r="P19" i="265"/>
  <c r="O19" i="265"/>
  <c r="M19" i="265"/>
  <c r="L19" i="265"/>
  <c r="K19" i="265"/>
  <c r="H19" i="265"/>
  <c r="G19" i="265"/>
  <c r="E19" i="265"/>
  <c r="D19" i="265"/>
  <c r="C19" i="265"/>
  <c r="Q18" i="265"/>
  <c r="P18" i="265"/>
  <c r="N18" i="265"/>
  <c r="M18" i="265"/>
  <c r="L18" i="265"/>
  <c r="I18" i="265"/>
  <c r="H18" i="265"/>
  <c r="F18" i="265"/>
  <c r="E18" i="265"/>
  <c r="D18" i="265"/>
  <c r="A18" i="265"/>
  <c r="Q17" i="265"/>
  <c r="O17" i="265"/>
  <c r="N17" i="265"/>
  <c r="M17" i="265"/>
  <c r="J17" i="265"/>
  <c r="I17" i="265"/>
  <c r="G17" i="265"/>
  <c r="F17" i="265"/>
  <c r="E17" i="265"/>
  <c r="B17" i="265"/>
  <c r="A17" i="265"/>
  <c r="P16" i="265"/>
  <c r="O16" i="265"/>
  <c r="N16" i="265"/>
  <c r="K16" i="265"/>
  <c r="J16" i="265"/>
  <c r="H16" i="265"/>
  <c r="G16" i="265"/>
  <c r="F16" i="265"/>
  <c r="C16" i="265"/>
  <c r="B16" i="265"/>
  <c r="Q15" i="265"/>
  <c r="P15" i="265"/>
  <c r="O15" i="265"/>
  <c r="L15" i="265"/>
  <c r="K15" i="265"/>
  <c r="I15" i="265"/>
  <c r="H15" i="265"/>
  <c r="G15" i="265"/>
  <c r="D15" i="265"/>
  <c r="C15" i="265"/>
  <c r="A15" i="265"/>
  <c r="Q14" i="265"/>
  <c r="P14" i="265"/>
  <c r="M14" i="265"/>
  <c r="L14" i="265"/>
  <c r="J14" i="265"/>
  <c r="I14" i="265"/>
  <c r="H14" i="265"/>
  <c r="E14" i="265"/>
  <c r="D14" i="265"/>
  <c r="B14" i="265"/>
  <c r="A14" i="265"/>
  <c r="Q13" i="265"/>
  <c r="N13" i="265"/>
  <c r="M13" i="265"/>
  <c r="K13" i="265"/>
  <c r="J13" i="265"/>
  <c r="I13" i="265"/>
  <c r="F13" i="265"/>
  <c r="E13" i="265"/>
  <c r="C13" i="265"/>
  <c r="B13" i="265"/>
  <c r="A13" i="265"/>
  <c r="O12" i="265"/>
  <c r="N12" i="265"/>
  <c r="L12" i="265"/>
  <c r="K12" i="265"/>
  <c r="J12" i="265"/>
  <c r="G12" i="265"/>
  <c r="F12" i="265"/>
  <c r="D12" i="265"/>
  <c r="C12" i="265"/>
  <c r="B12" i="265"/>
  <c r="P11" i="265"/>
  <c r="O11" i="265"/>
  <c r="M11" i="265"/>
  <c r="L11" i="265"/>
  <c r="K11" i="265"/>
  <c r="H11" i="265"/>
  <c r="G11" i="265"/>
  <c r="E11" i="265"/>
  <c r="D11" i="265"/>
  <c r="C11" i="265"/>
  <c r="Q10" i="265"/>
  <c r="P10" i="265"/>
  <c r="N10" i="265"/>
  <c r="M10" i="265"/>
  <c r="L10" i="265"/>
  <c r="I10" i="265"/>
  <c r="H10" i="265"/>
  <c r="F10" i="265"/>
  <c r="E10" i="265"/>
  <c r="D10" i="265"/>
  <c r="A10" i="265"/>
  <c r="Q9" i="265"/>
  <c r="O9" i="265"/>
  <c r="N9" i="265"/>
  <c r="M9" i="265"/>
  <c r="J9" i="265"/>
  <c r="I9" i="265"/>
  <c r="G9" i="265"/>
  <c r="F9" i="265"/>
  <c r="E9" i="265"/>
  <c r="B9" i="265"/>
  <c r="A9" i="265"/>
  <c r="P8" i="265"/>
  <c r="O8" i="265"/>
  <c r="N8" i="265"/>
  <c r="K8" i="265"/>
  <c r="J8" i="265"/>
  <c r="H8" i="265"/>
  <c r="G8" i="265"/>
  <c r="F8" i="265"/>
  <c r="C8" i="265"/>
  <c r="B8" i="265"/>
  <c r="Q7" i="265"/>
  <c r="P7" i="265"/>
  <c r="O7" i="265"/>
  <c r="L7" i="265"/>
  <c r="J7" i="265"/>
  <c r="H7" i="265"/>
  <c r="G7" i="265"/>
  <c r="F7" i="265"/>
  <c r="C7" i="265"/>
  <c r="B7" i="265"/>
  <c r="Q6" i="265"/>
  <c r="P6" i="265"/>
  <c r="O6" i="265"/>
  <c r="L6" i="265"/>
  <c r="J6" i="265"/>
  <c r="H6" i="265"/>
  <c r="G6" i="265"/>
  <c r="F6" i="265"/>
  <c r="C6" i="265"/>
  <c r="B6" i="265"/>
  <c r="Q5" i="265"/>
  <c r="P5" i="265"/>
  <c r="O5" i="265"/>
  <c r="L5" i="265"/>
  <c r="J5" i="265"/>
  <c r="H5" i="265"/>
  <c r="G5" i="265"/>
  <c r="F5" i="265"/>
  <c r="C5" i="265"/>
  <c r="B5" i="265"/>
  <c r="Q4" i="265"/>
  <c r="P4" i="265"/>
  <c r="O4" i="265"/>
  <c r="L4" i="265"/>
  <c r="J4" i="265"/>
  <c r="H4" i="265"/>
  <c r="G4" i="265"/>
  <c r="F4" i="265"/>
  <c r="C4" i="265"/>
  <c r="A4" i="265"/>
  <c r="P3" i="265"/>
  <c r="O3" i="265"/>
  <c r="N3" i="265"/>
  <c r="J3" i="265"/>
  <c r="I3" i="265"/>
  <c r="D3" i="265"/>
  <c r="C3" i="265"/>
  <c r="A3" i="265"/>
  <c r="A1" i="265"/>
  <c r="M187" i="265" s="1"/>
  <c r="O1" i="265"/>
  <c r="N1" i="265"/>
  <c r="M1" i="265"/>
  <c r="O199" i="264"/>
  <c r="M199" i="264"/>
  <c r="G199" i="264"/>
  <c r="Q197" i="264"/>
  <c r="Q199" i="264" s="1"/>
  <c r="G2" i="264" s="1"/>
  <c r="O197" i="264"/>
  <c r="M197" i="264"/>
  <c r="K197" i="264"/>
  <c r="K199" i="264" s="1"/>
  <c r="I197" i="264"/>
  <c r="I199" i="264" s="1"/>
  <c r="G197" i="264"/>
  <c r="C197" i="264"/>
  <c r="C12" i="264"/>
  <c r="Q10" i="264"/>
  <c r="O10" i="264"/>
  <c r="M10" i="264"/>
  <c r="K10" i="264"/>
  <c r="I10" i="264"/>
  <c r="G10" i="264"/>
  <c r="C10" i="264"/>
  <c r="I2" i="264" s="1"/>
  <c r="B10" i="264"/>
  <c r="C6" i="264"/>
  <c r="H2" i="264" s="1"/>
  <c r="C3" i="264"/>
  <c r="F2" i="264"/>
  <c r="E2" i="264"/>
  <c r="D2" i="264"/>
  <c r="C2" i="264"/>
  <c r="B2" i="264"/>
  <c r="A2" i="264"/>
  <c r="I1" i="264"/>
  <c r="AA1" i="268" s="1"/>
  <c r="H1" i="264"/>
  <c r="G1" i="264"/>
  <c r="F1" i="264"/>
  <c r="X1" i="268" s="1"/>
  <c r="E1" i="264"/>
  <c r="D1" i="264"/>
  <c r="C1" i="264"/>
  <c r="B1" i="264"/>
  <c r="A1" i="264"/>
  <c r="S1" i="268" s="1"/>
  <c r="AG1" i="268"/>
  <c r="AF1" i="268"/>
  <c r="AE1" i="268"/>
  <c r="AD1" i="268"/>
  <c r="AC1" i="268"/>
  <c r="AB1" i="268"/>
  <c r="Z1" i="268"/>
  <c r="Y1" i="268"/>
  <c r="V1" i="268"/>
  <c r="U1" i="268"/>
  <c r="T1" i="268"/>
  <c r="Q199" i="263"/>
  <c r="M199" i="263"/>
  <c r="G199" i="263"/>
  <c r="Q197" i="263"/>
  <c r="O197" i="263"/>
  <c r="O199" i="263" s="1"/>
  <c r="M197" i="263"/>
  <c r="K197" i="263"/>
  <c r="K199" i="263" s="1"/>
  <c r="I197" i="263"/>
  <c r="I199" i="263" s="1"/>
  <c r="G197" i="263"/>
  <c r="C197" i="263"/>
  <c r="Q10" i="263"/>
  <c r="O10" i="263"/>
  <c r="F2" i="263" s="1"/>
  <c r="M10" i="263"/>
  <c r="K10" i="263"/>
  <c r="I10" i="263"/>
  <c r="G10" i="263"/>
  <c r="C10" i="263"/>
  <c r="I2" i="263" s="1"/>
  <c r="B10" i="263"/>
  <c r="C6" i="263"/>
  <c r="H2" i="263" s="1"/>
  <c r="C3" i="263"/>
  <c r="G2" i="263"/>
  <c r="E2" i="263"/>
  <c r="D2" i="263"/>
  <c r="C2" i="263"/>
  <c r="B2" i="263"/>
  <c r="A2" i="263"/>
  <c r="I1" i="263"/>
  <c r="H1" i="263"/>
  <c r="G1" i="263"/>
  <c r="F1" i="263"/>
  <c r="E1" i="263"/>
  <c r="D1" i="263"/>
  <c r="C1" i="263"/>
  <c r="B1" i="263"/>
  <c r="A1" i="263"/>
  <c r="K199" i="261"/>
  <c r="I199" i="261"/>
  <c r="G199" i="261"/>
  <c r="Q197" i="261"/>
  <c r="Q199" i="261" s="1"/>
  <c r="G2" i="261" s="1"/>
  <c r="O197" i="261"/>
  <c r="O199" i="261" s="1"/>
  <c r="M197" i="261"/>
  <c r="M199" i="261" s="1"/>
  <c r="K197" i="261"/>
  <c r="I197" i="261"/>
  <c r="G197" i="261"/>
  <c r="C197" i="261"/>
  <c r="Q10" i="261"/>
  <c r="O10" i="261"/>
  <c r="F2" i="261" s="1"/>
  <c r="M10" i="261"/>
  <c r="K10" i="261"/>
  <c r="I10" i="261"/>
  <c r="G10" i="261"/>
  <c r="C10" i="261"/>
  <c r="I2" i="261" s="1"/>
  <c r="B10" i="261"/>
  <c r="C6" i="261"/>
  <c r="H2" i="261" s="1"/>
  <c r="C3" i="261"/>
  <c r="E2" i="261"/>
  <c r="D2" i="261"/>
  <c r="C2" i="261"/>
  <c r="B2" i="261"/>
  <c r="A2" i="261"/>
  <c r="I1" i="261"/>
  <c r="H1" i="261"/>
  <c r="G1" i="261"/>
  <c r="F1" i="261"/>
  <c r="E1" i="261"/>
  <c r="D1" i="261"/>
  <c r="C1" i="261"/>
  <c r="B1" i="261"/>
  <c r="A1" i="261"/>
  <c r="O199" i="260"/>
  <c r="M199" i="260"/>
  <c r="G199" i="260"/>
  <c r="Q197" i="260"/>
  <c r="Q199" i="260" s="1"/>
  <c r="G2" i="260" s="1"/>
  <c r="O197" i="260"/>
  <c r="M197" i="260"/>
  <c r="K197" i="260"/>
  <c r="K199" i="260" s="1"/>
  <c r="I197" i="260"/>
  <c r="I199" i="260" s="1"/>
  <c r="G197" i="260"/>
  <c r="C197" i="260"/>
  <c r="Q10" i="260"/>
  <c r="O10" i="260"/>
  <c r="M10" i="260"/>
  <c r="K10" i="260"/>
  <c r="I10" i="260"/>
  <c r="D2" i="260" s="1"/>
  <c r="G10" i="260"/>
  <c r="C10" i="260"/>
  <c r="I2" i="260" s="1"/>
  <c r="B10" i="260"/>
  <c r="C6" i="260"/>
  <c r="H2" i="260" s="1"/>
  <c r="C3" i="260"/>
  <c r="F2" i="260"/>
  <c r="E2" i="260"/>
  <c r="C2" i="260"/>
  <c r="B2" i="260"/>
  <c r="A2" i="260"/>
  <c r="I1" i="260"/>
  <c r="H1" i="260"/>
  <c r="G1" i="260"/>
  <c r="F1" i="260"/>
  <c r="E1" i="260"/>
  <c r="D1" i="260"/>
  <c r="C1" i="260"/>
  <c r="B1" i="260"/>
  <c r="A1" i="260"/>
  <c r="Q199" i="259"/>
  <c r="G2" i="259" s="1"/>
  <c r="I199" i="259"/>
  <c r="G199" i="259"/>
  <c r="Q197" i="259"/>
  <c r="O197" i="259"/>
  <c r="O199" i="259" s="1"/>
  <c r="M197" i="259"/>
  <c r="M199" i="259" s="1"/>
  <c r="K197" i="259"/>
  <c r="K199" i="259" s="1"/>
  <c r="I197" i="259"/>
  <c r="G197" i="259"/>
  <c r="C197" i="259"/>
  <c r="Q10" i="259"/>
  <c r="O10" i="259"/>
  <c r="F2" i="259" s="1"/>
  <c r="M10" i="259"/>
  <c r="K10" i="259"/>
  <c r="I10" i="259"/>
  <c r="G10" i="259"/>
  <c r="C10" i="259"/>
  <c r="I2" i="259" s="1"/>
  <c r="B10" i="259"/>
  <c r="C6" i="259"/>
  <c r="H2" i="259" s="1"/>
  <c r="C3" i="259"/>
  <c r="E2" i="259"/>
  <c r="D2" i="259"/>
  <c r="C2" i="259"/>
  <c r="B2" i="259"/>
  <c r="A2" i="259"/>
  <c r="I1" i="259"/>
  <c r="H1" i="259"/>
  <c r="G1" i="259"/>
  <c r="F1" i="259"/>
  <c r="E1" i="259"/>
  <c r="D1" i="259"/>
  <c r="C1" i="259"/>
  <c r="B1" i="259"/>
  <c r="A1" i="259"/>
  <c r="Q197" i="258"/>
  <c r="Q199" i="258" s="1"/>
  <c r="G2" i="258" s="1"/>
  <c r="O197" i="258"/>
  <c r="O199" i="258" s="1"/>
  <c r="M197" i="258"/>
  <c r="M199" i="258" s="1"/>
  <c r="K197" i="258"/>
  <c r="K199" i="258" s="1"/>
  <c r="I197" i="258"/>
  <c r="I199" i="258" s="1"/>
  <c r="G197" i="258"/>
  <c r="G199" i="258" s="1"/>
  <c r="C197" i="258"/>
  <c r="Q10" i="258"/>
  <c r="O10" i="258"/>
  <c r="F2" i="258" s="1"/>
  <c r="M10" i="258"/>
  <c r="K10" i="258"/>
  <c r="I10" i="258"/>
  <c r="D2" i="258" s="1"/>
  <c r="G10" i="258"/>
  <c r="C10" i="258"/>
  <c r="I2" i="258" s="1"/>
  <c r="B10" i="258"/>
  <c r="C6" i="258"/>
  <c r="H2" i="258" s="1"/>
  <c r="C3" i="258"/>
  <c r="E2" i="258"/>
  <c r="C2" i="258"/>
  <c r="B2" i="258"/>
  <c r="A2" i="258"/>
  <c r="I1" i="258"/>
  <c r="H1" i="258"/>
  <c r="G1" i="258"/>
  <c r="F1" i="258"/>
  <c r="E1" i="258"/>
  <c r="D1" i="258"/>
  <c r="C1" i="258"/>
  <c r="B1" i="258"/>
  <c r="A1" i="258"/>
  <c r="P1" i="256"/>
  <c r="O1" i="256"/>
  <c r="N1" i="256"/>
  <c r="M1" i="256"/>
  <c r="L1" i="256"/>
  <c r="K1" i="256"/>
  <c r="J1" i="256"/>
  <c r="I1" i="256"/>
  <c r="H1" i="256"/>
  <c r="G1" i="256"/>
  <c r="F1" i="256"/>
  <c r="E1" i="256"/>
  <c r="D1" i="256"/>
  <c r="C1" i="256"/>
  <c r="B1" i="256"/>
  <c r="A2" i="255"/>
  <c r="B3" i="255"/>
  <c r="H183" i="254"/>
  <c r="F183" i="254"/>
  <c r="D183" i="254"/>
  <c r="B183" i="254"/>
  <c r="A170" i="254"/>
  <c r="P169" i="254"/>
  <c r="N169" i="254"/>
  <c r="L169" i="254"/>
  <c r="L157" i="254"/>
  <c r="K157" i="254"/>
  <c r="J157" i="254"/>
  <c r="I157" i="254"/>
  <c r="L151" i="254"/>
  <c r="K151" i="254"/>
  <c r="J151" i="254"/>
  <c r="I151" i="254"/>
  <c r="K146" i="254"/>
  <c r="I146" i="254"/>
  <c r="G146" i="254"/>
  <c r="F146" i="254"/>
  <c r="J141" i="254"/>
  <c r="I141" i="254"/>
  <c r="H141" i="254"/>
  <c r="F141" i="254"/>
  <c r="I136" i="254"/>
  <c r="H136" i="254"/>
  <c r="G136" i="254"/>
  <c r="F136" i="254"/>
  <c r="K132" i="254"/>
  <c r="J132" i="254"/>
  <c r="E132" i="254"/>
  <c r="C132" i="254"/>
  <c r="I128" i="254"/>
  <c r="G128" i="254"/>
  <c r="F128" i="254"/>
  <c r="E128" i="254"/>
  <c r="J124" i="254"/>
  <c r="I124" i="254"/>
  <c r="G124" i="254"/>
  <c r="C124" i="254"/>
  <c r="K120" i="254"/>
  <c r="G120" i="254"/>
  <c r="E120" i="254"/>
  <c r="C120" i="254"/>
  <c r="O116" i="254"/>
  <c r="M116" i="254"/>
  <c r="K116" i="254"/>
  <c r="I116" i="254"/>
  <c r="H113" i="254"/>
  <c r="F113" i="254"/>
  <c r="E113" i="254"/>
  <c r="D113" i="254"/>
  <c r="B110" i="254"/>
  <c r="A110" i="254"/>
  <c r="Q109" i="254"/>
  <c r="P109" i="254"/>
  <c r="N106" i="254"/>
  <c r="M106" i="254"/>
  <c r="K106" i="254"/>
  <c r="G106" i="254"/>
  <c r="H103" i="254"/>
  <c r="F103" i="254"/>
  <c r="D103" i="254"/>
  <c r="B103" i="254"/>
  <c r="H100" i="254"/>
  <c r="G100" i="254"/>
  <c r="E100" i="254"/>
  <c r="D100" i="254"/>
  <c r="N97" i="254"/>
  <c r="M97" i="254"/>
  <c r="K97" i="254"/>
  <c r="I97" i="254"/>
  <c r="D96" i="254"/>
  <c r="B96" i="254"/>
  <c r="P95" i="254"/>
  <c r="O95" i="254"/>
  <c r="I94" i="254"/>
  <c r="H94" i="254"/>
  <c r="F94" i="254"/>
  <c r="D94" i="254"/>
  <c r="M92" i="254"/>
  <c r="L92" i="254"/>
  <c r="K92" i="254"/>
  <c r="J92" i="254"/>
  <c r="D91" i="254"/>
  <c r="C91" i="254"/>
  <c r="P90" i="254"/>
  <c r="O90" i="254"/>
  <c r="M89" i="254"/>
  <c r="K89" i="254"/>
  <c r="I89" i="254"/>
  <c r="H89" i="254"/>
  <c r="H88" i="254"/>
  <c r="G88" i="254"/>
  <c r="F88" i="254"/>
  <c r="D88" i="254"/>
  <c r="C87" i="254"/>
  <c r="B87" i="254"/>
  <c r="A87" i="254"/>
  <c r="Q86" i="254"/>
  <c r="Q85" i="254"/>
  <c r="O85" i="254"/>
  <c r="M85" i="254"/>
  <c r="L85" i="254"/>
  <c r="M84" i="254"/>
  <c r="L84" i="254"/>
  <c r="K84" i="254"/>
  <c r="J84" i="254"/>
  <c r="L83" i="254"/>
  <c r="K83" i="254"/>
  <c r="J83" i="254"/>
  <c r="I83" i="254"/>
  <c r="K82" i="254"/>
  <c r="J82" i="254"/>
  <c r="H82" i="254"/>
  <c r="G82" i="254"/>
  <c r="I81" i="254"/>
  <c r="H81" i="254"/>
  <c r="G81" i="254"/>
  <c r="F81" i="254"/>
  <c r="H80" i="254"/>
  <c r="G80" i="254"/>
  <c r="F80" i="254"/>
  <c r="E80" i="254"/>
  <c r="G79" i="254"/>
  <c r="F79" i="254"/>
  <c r="E79" i="254"/>
  <c r="C79" i="254"/>
  <c r="F78" i="254"/>
  <c r="D78" i="254"/>
  <c r="C78" i="254"/>
  <c r="B78" i="254"/>
  <c r="D77" i="254"/>
  <c r="C77" i="254"/>
  <c r="B77" i="254"/>
  <c r="A77" i="254"/>
  <c r="C76" i="254"/>
  <c r="B76" i="254"/>
  <c r="A76" i="254"/>
  <c r="Q75" i="254"/>
  <c r="B75" i="254"/>
  <c r="A75" i="254"/>
  <c r="P74" i="254"/>
  <c r="O74" i="254"/>
  <c r="Q73" i="254"/>
  <c r="P73" i="254"/>
  <c r="O73" i="254"/>
  <c r="N73" i="254"/>
  <c r="P72" i="254"/>
  <c r="O72" i="254"/>
  <c r="N72" i="254"/>
  <c r="M72" i="254"/>
  <c r="O71" i="254"/>
  <c r="N71" i="254"/>
  <c r="M71" i="254"/>
  <c r="K71" i="254"/>
  <c r="N70" i="254"/>
  <c r="L70" i="254"/>
  <c r="K70" i="254"/>
  <c r="J70" i="254"/>
  <c r="L69" i="254"/>
  <c r="K69" i="254"/>
  <c r="J69" i="254"/>
  <c r="I69" i="254"/>
  <c r="K68" i="254"/>
  <c r="J68" i="254"/>
  <c r="I68" i="254"/>
  <c r="H68" i="254"/>
  <c r="J67" i="254"/>
  <c r="I67" i="254"/>
  <c r="G67" i="254"/>
  <c r="F67" i="254"/>
  <c r="H66" i="254"/>
  <c r="G66" i="254"/>
  <c r="F66" i="254"/>
  <c r="E66" i="254"/>
  <c r="G65" i="254"/>
  <c r="F65" i="254"/>
  <c r="E65" i="254"/>
  <c r="D65" i="254"/>
  <c r="F64" i="254"/>
  <c r="E64" i="254"/>
  <c r="D64" i="254"/>
  <c r="B64" i="254"/>
  <c r="E63" i="254"/>
  <c r="C63" i="254"/>
  <c r="B63" i="254"/>
  <c r="A63" i="254"/>
  <c r="C62" i="254"/>
  <c r="B62" i="254"/>
  <c r="A62" i="254"/>
  <c r="Q61" i="254"/>
  <c r="B61" i="254"/>
  <c r="A61" i="254"/>
  <c r="Q60" i="254"/>
  <c r="P60" i="254"/>
  <c r="A60" i="254"/>
  <c r="Q59" i="254"/>
  <c r="O59" i="254"/>
  <c r="N59" i="254"/>
  <c r="P58" i="254"/>
  <c r="O58" i="254"/>
  <c r="N58" i="254"/>
  <c r="M58" i="254"/>
  <c r="O57" i="254"/>
  <c r="N57" i="254"/>
  <c r="M57" i="254"/>
  <c r="L57" i="254"/>
  <c r="N56" i="254"/>
  <c r="M56" i="254"/>
  <c r="L56" i="254"/>
  <c r="J56" i="254"/>
  <c r="M55" i="254"/>
  <c r="K55" i="254"/>
  <c r="J55" i="254"/>
  <c r="I55" i="254"/>
  <c r="K54" i="254"/>
  <c r="J54" i="254"/>
  <c r="I54" i="254"/>
  <c r="H54" i="254"/>
  <c r="J53" i="254"/>
  <c r="I53" i="254"/>
  <c r="H53" i="254"/>
  <c r="G53" i="254"/>
  <c r="I52" i="254"/>
  <c r="H52" i="254"/>
  <c r="F52" i="254"/>
  <c r="E52" i="254"/>
  <c r="G51" i="254"/>
  <c r="F51" i="254"/>
  <c r="E51" i="254"/>
  <c r="D51" i="254"/>
  <c r="F50" i="254"/>
  <c r="E50" i="254"/>
  <c r="D50" i="254"/>
  <c r="C50" i="254"/>
  <c r="E49" i="254"/>
  <c r="D49" i="254"/>
  <c r="C49" i="254"/>
  <c r="A49" i="254"/>
  <c r="D48" i="254"/>
  <c r="B48" i="254"/>
  <c r="A48" i="254"/>
  <c r="Q47" i="254"/>
  <c r="B47" i="254"/>
  <c r="A47" i="254"/>
  <c r="Q46" i="254"/>
  <c r="P46" i="254"/>
  <c r="A46" i="254"/>
  <c r="Q45" i="254"/>
  <c r="P45" i="254"/>
  <c r="O45" i="254"/>
  <c r="Q44" i="254"/>
  <c r="P44" i="254"/>
  <c r="N44" i="254"/>
  <c r="M44" i="254"/>
  <c r="O43" i="254"/>
  <c r="N43" i="254"/>
  <c r="M43" i="254"/>
  <c r="L43" i="254"/>
  <c r="N42" i="254"/>
  <c r="M42" i="254"/>
  <c r="L42" i="254"/>
  <c r="K42" i="254"/>
  <c r="M41" i="254"/>
  <c r="L41" i="254"/>
  <c r="K41" i="254"/>
  <c r="I41" i="254"/>
  <c r="L40" i="254"/>
  <c r="J40" i="254"/>
  <c r="I40" i="254"/>
  <c r="H40" i="254"/>
  <c r="J39" i="254"/>
  <c r="I39" i="254"/>
  <c r="H39" i="254"/>
  <c r="G39" i="254"/>
  <c r="I38" i="254"/>
  <c r="H38" i="254"/>
  <c r="G38" i="254"/>
  <c r="F38" i="254"/>
  <c r="H37" i="254"/>
  <c r="G37" i="254"/>
  <c r="E37" i="254"/>
  <c r="D37" i="254"/>
  <c r="F36" i="254"/>
  <c r="E36" i="254"/>
  <c r="D36" i="254"/>
  <c r="C36" i="254"/>
  <c r="E35" i="254"/>
  <c r="D35" i="254"/>
  <c r="C35" i="254"/>
  <c r="B35" i="254"/>
  <c r="D34" i="254"/>
  <c r="C34" i="254"/>
  <c r="B34" i="254"/>
  <c r="Q33" i="254"/>
  <c r="C33" i="254"/>
  <c r="A33" i="254"/>
  <c r="Q32" i="254"/>
  <c r="P32" i="254"/>
  <c r="A32" i="254"/>
  <c r="Q31" i="254"/>
  <c r="P31" i="254"/>
  <c r="O31" i="254"/>
  <c r="B31" i="254"/>
  <c r="Q30" i="254"/>
  <c r="P30" i="254"/>
  <c r="O30" i="254"/>
  <c r="F30" i="254"/>
  <c r="D30" i="254"/>
  <c r="A30" i="254"/>
  <c r="P29" i="254"/>
  <c r="G29" i="254"/>
  <c r="E29" i="254"/>
  <c r="D29" i="254"/>
  <c r="C29" i="254"/>
  <c r="K28" i="254"/>
  <c r="H28" i="254"/>
  <c r="E28" i="254"/>
  <c r="D28" i="254"/>
  <c r="M27" i="254"/>
  <c r="L27" i="254"/>
  <c r="K27" i="254"/>
  <c r="H27" i="254"/>
  <c r="B27" i="254"/>
  <c r="Q26" i="254"/>
  <c r="O26" i="254"/>
  <c r="N26" i="254"/>
  <c r="G26" i="254"/>
  <c r="F26" i="254"/>
  <c r="E26" i="254"/>
  <c r="D26" i="254"/>
  <c r="O25" i="254"/>
  <c r="N25" i="254"/>
  <c r="M25" i="254"/>
  <c r="L25" i="254"/>
  <c r="F25" i="254"/>
  <c r="E25" i="254"/>
  <c r="D25" i="254"/>
  <c r="B25" i="254"/>
  <c r="N24" i="254"/>
  <c r="M24" i="254"/>
  <c r="K24" i="254"/>
  <c r="J24" i="254"/>
  <c r="E24" i="254"/>
  <c r="C24" i="254"/>
  <c r="B24" i="254"/>
  <c r="A24" i="254"/>
  <c r="L23" i="254"/>
  <c r="K23" i="254"/>
  <c r="J23" i="254"/>
  <c r="I23" i="254"/>
  <c r="C23" i="254"/>
  <c r="B23" i="254"/>
  <c r="A23" i="254"/>
  <c r="Q22" i="254"/>
  <c r="L22" i="254"/>
  <c r="K22" i="254"/>
  <c r="J22" i="254"/>
  <c r="I22" i="254"/>
  <c r="D22" i="254"/>
  <c r="C22" i="254"/>
  <c r="B22" i="254"/>
  <c r="A22" i="254"/>
  <c r="M21" i="254"/>
  <c r="L21" i="254"/>
  <c r="K21" i="254"/>
  <c r="J21" i="254"/>
  <c r="E21" i="254"/>
  <c r="D21" i="254"/>
  <c r="C21" i="254"/>
  <c r="B21" i="254"/>
  <c r="N20" i="254"/>
  <c r="M20" i="254"/>
  <c r="L20" i="254"/>
  <c r="K20" i="254"/>
  <c r="F20" i="254"/>
  <c r="E20" i="254"/>
  <c r="D20" i="254"/>
  <c r="C20" i="254"/>
  <c r="O19" i="254"/>
  <c r="N19" i="254"/>
  <c r="M19" i="254"/>
  <c r="L19" i="254"/>
  <c r="G19" i="254"/>
  <c r="F19" i="254"/>
  <c r="E19" i="254"/>
  <c r="D19" i="254"/>
  <c r="P18" i="254"/>
  <c r="O18" i="254"/>
  <c r="N18" i="254"/>
  <c r="M18" i="254"/>
  <c r="H18" i="254"/>
  <c r="G18" i="254"/>
  <c r="F18" i="254"/>
  <c r="E18" i="254"/>
  <c r="Q17" i="254"/>
  <c r="P17" i="254"/>
  <c r="O17" i="254"/>
  <c r="N17" i="254"/>
  <c r="I17" i="254"/>
  <c r="H17" i="254"/>
  <c r="G17" i="254"/>
  <c r="F17" i="254"/>
  <c r="A17" i="254"/>
  <c r="Q16" i="254"/>
  <c r="P16" i="254"/>
  <c r="O16" i="254"/>
  <c r="J16" i="254"/>
  <c r="I16" i="254"/>
  <c r="H16" i="254"/>
  <c r="G16" i="254"/>
  <c r="B16" i="254"/>
  <c r="A16" i="254"/>
  <c r="Q15" i="254"/>
  <c r="P15" i="254"/>
  <c r="K15" i="254"/>
  <c r="J15" i="254"/>
  <c r="I15" i="254"/>
  <c r="H15" i="254"/>
  <c r="C15" i="254"/>
  <c r="B15" i="254"/>
  <c r="A15" i="254"/>
  <c r="Q14" i="254"/>
  <c r="L14" i="254"/>
  <c r="K14" i="254"/>
  <c r="J14" i="254"/>
  <c r="I14" i="254"/>
  <c r="D14" i="254"/>
  <c r="C14" i="254"/>
  <c r="B14" i="254"/>
  <c r="A14" i="254"/>
  <c r="M13" i="254"/>
  <c r="L13" i="254"/>
  <c r="K13" i="254"/>
  <c r="J13" i="254"/>
  <c r="E13" i="254"/>
  <c r="D13" i="254"/>
  <c r="C13" i="254"/>
  <c r="B13" i="254"/>
  <c r="N12" i="254"/>
  <c r="M12" i="254"/>
  <c r="L12" i="254"/>
  <c r="K12" i="254"/>
  <c r="F12" i="254"/>
  <c r="E12" i="254"/>
  <c r="D12" i="254"/>
  <c r="C12" i="254"/>
  <c r="O11" i="254"/>
  <c r="N11" i="254"/>
  <c r="M11" i="254"/>
  <c r="L11" i="254"/>
  <c r="G11" i="254"/>
  <c r="F11" i="254"/>
  <c r="E11" i="254"/>
  <c r="D11" i="254"/>
  <c r="P10" i="254"/>
  <c r="O10" i="254"/>
  <c r="N10" i="254"/>
  <c r="M10" i="254"/>
  <c r="H10" i="254"/>
  <c r="G10" i="254"/>
  <c r="F10" i="254"/>
  <c r="E10" i="254"/>
  <c r="Q9" i="254"/>
  <c r="P9" i="254"/>
  <c r="O9" i="254"/>
  <c r="N9" i="254"/>
  <c r="I9" i="254"/>
  <c r="H9" i="254"/>
  <c r="G9" i="254"/>
  <c r="F9" i="254"/>
  <c r="A9" i="254"/>
  <c r="Q8" i="254"/>
  <c r="P8" i="254"/>
  <c r="O8" i="254"/>
  <c r="J8" i="254"/>
  <c r="I8" i="254"/>
  <c r="H8" i="254"/>
  <c r="G8" i="254"/>
  <c r="B8" i="254"/>
  <c r="A8" i="254"/>
  <c r="Q7" i="254"/>
  <c r="P7" i="254"/>
  <c r="J7" i="254"/>
  <c r="I7" i="254"/>
  <c r="H7" i="254"/>
  <c r="G7" i="254"/>
  <c r="B7" i="254"/>
  <c r="A7" i="254"/>
  <c r="Q6" i="254"/>
  <c r="P6" i="254"/>
  <c r="J6" i="254"/>
  <c r="I6" i="254"/>
  <c r="H6" i="254"/>
  <c r="G6" i="254"/>
  <c r="B6" i="254"/>
  <c r="A6" i="254"/>
  <c r="Q5" i="254"/>
  <c r="P5" i="254"/>
  <c r="J5" i="254"/>
  <c r="I5" i="254"/>
  <c r="H5" i="254"/>
  <c r="G5" i="254"/>
  <c r="B5" i="254"/>
  <c r="A5" i="254"/>
  <c r="Q4" i="254"/>
  <c r="P4" i="254"/>
  <c r="J4" i="254"/>
  <c r="I4" i="254"/>
  <c r="H4" i="254"/>
  <c r="G4" i="254"/>
  <c r="A4" i="254"/>
  <c r="Q3" i="254"/>
  <c r="P3" i="254"/>
  <c r="O3" i="254"/>
  <c r="I3" i="254"/>
  <c r="H3" i="254"/>
  <c r="D3" i="254"/>
  <c r="C3" i="254"/>
  <c r="A1" i="254"/>
  <c r="E190" i="254" s="1"/>
  <c r="O1" i="254"/>
  <c r="N1" i="254"/>
  <c r="M1" i="254"/>
  <c r="I199" i="253"/>
  <c r="G199" i="253"/>
  <c r="Q197" i="253"/>
  <c r="Q199" i="253" s="1"/>
  <c r="G2" i="253" s="1"/>
  <c r="O197" i="253"/>
  <c r="O199" i="253" s="1"/>
  <c r="M197" i="253"/>
  <c r="M199" i="253" s="1"/>
  <c r="K197" i="253"/>
  <c r="K199" i="253" s="1"/>
  <c r="I197" i="253"/>
  <c r="G197" i="253"/>
  <c r="C197" i="253"/>
  <c r="C12" i="253"/>
  <c r="Q10" i="253"/>
  <c r="O10" i="253"/>
  <c r="F2" i="253" s="1"/>
  <c r="M10" i="253"/>
  <c r="K10" i="253"/>
  <c r="I10" i="253"/>
  <c r="G10" i="253"/>
  <c r="C10" i="253"/>
  <c r="I2" i="253" s="1"/>
  <c r="B10" i="253"/>
  <c r="C6" i="253"/>
  <c r="H2" i="253" s="1"/>
  <c r="C3" i="253"/>
  <c r="E2" i="253"/>
  <c r="D2" i="253"/>
  <c r="C2" i="253"/>
  <c r="B2" i="253"/>
  <c r="A2" i="253"/>
  <c r="I1" i="253"/>
  <c r="H1" i="253"/>
  <c r="Z1" i="257" s="1"/>
  <c r="G1" i="253"/>
  <c r="F1" i="253"/>
  <c r="X1" i="257" s="1"/>
  <c r="E1" i="253"/>
  <c r="D1" i="253"/>
  <c r="C1" i="253"/>
  <c r="U1" i="257" s="1"/>
  <c r="B1" i="253"/>
  <c r="A1" i="253"/>
  <c r="AG1" i="257"/>
  <c r="AF1" i="257"/>
  <c r="AE1" i="257"/>
  <c r="AD1" i="257"/>
  <c r="AC1" i="257"/>
  <c r="AB1" i="257"/>
  <c r="AA1" i="257"/>
  <c r="Y1" i="257"/>
  <c r="T1" i="257"/>
  <c r="S1" i="257"/>
  <c r="M199" i="251"/>
  <c r="K199" i="251"/>
  <c r="I199" i="251"/>
  <c r="G199" i="251"/>
  <c r="Q197" i="251"/>
  <c r="Q199" i="251" s="1"/>
  <c r="G2" i="251" s="1"/>
  <c r="O197" i="251"/>
  <c r="O199" i="251" s="1"/>
  <c r="M197" i="251"/>
  <c r="K197" i="251"/>
  <c r="I197" i="251"/>
  <c r="G197" i="251"/>
  <c r="C197" i="251"/>
  <c r="Q10" i="251"/>
  <c r="O10" i="251"/>
  <c r="F2" i="251" s="1"/>
  <c r="M10" i="251"/>
  <c r="K10" i="251"/>
  <c r="I10" i="251"/>
  <c r="G10" i="251"/>
  <c r="C10" i="251"/>
  <c r="I2" i="251" s="1"/>
  <c r="B10" i="251"/>
  <c r="C6" i="251"/>
  <c r="H2" i="251" s="1"/>
  <c r="C3" i="251"/>
  <c r="E2" i="251"/>
  <c r="D2" i="251"/>
  <c r="C2" i="251"/>
  <c r="B2" i="251"/>
  <c r="A2" i="251"/>
  <c r="I1" i="251"/>
  <c r="H1" i="251"/>
  <c r="G1" i="251"/>
  <c r="F1" i="251"/>
  <c r="E1" i="251"/>
  <c r="D1" i="251"/>
  <c r="C1" i="251"/>
  <c r="B1" i="251"/>
  <c r="A1" i="251"/>
  <c r="Q199" i="250"/>
  <c r="G199" i="250"/>
  <c r="Q197" i="250"/>
  <c r="O197" i="250"/>
  <c r="O199" i="250" s="1"/>
  <c r="M197" i="250"/>
  <c r="M199" i="250" s="1"/>
  <c r="K197" i="250"/>
  <c r="K199" i="250" s="1"/>
  <c r="I197" i="250"/>
  <c r="I199" i="250" s="1"/>
  <c r="G197" i="250"/>
  <c r="C197" i="250"/>
  <c r="C12" i="250"/>
  <c r="Q10" i="250"/>
  <c r="O10" i="250"/>
  <c r="F2" i="250" s="1"/>
  <c r="M10" i="250"/>
  <c r="K10" i="250"/>
  <c r="I10" i="250"/>
  <c r="G10" i="250"/>
  <c r="C10" i="250"/>
  <c r="I2" i="250" s="1"/>
  <c r="B10" i="250"/>
  <c r="C6" i="250"/>
  <c r="H2" i="250" s="1"/>
  <c r="C3" i="250"/>
  <c r="G2" i="250"/>
  <c r="E2" i="250"/>
  <c r="D2" i="250"/>
  <c r="C2" i="250"/>
  <c r="B2" i="250"/>
  <c r="A2" i="250"/>
  <c r="I1" i="250"/>
  <c r="H1" i="250"/>
  <c r="G1" i="250"/>
  <c r="F1" i="250"/>
  <c r="E1" i="250"/>
  <c r="D1" i="250"/>
  <c r="C1" i="250"/>
  <c r="B1" i="250"/>
  <c r="A1" i="250"/>
  <c r="O199" i="249"/>
  <c r="G199" i="249"/>
  <c r="Q197" i="249"/>
  <c r="Q199" i="249" s="1"/>
  <c r="G2" i="249" s="1"/>
  <c r="O197" i="249"/>
  <c r="M197" i="249"/>
  <c r="M199" i="249" s="1"/>
  <c r="K197" i="249"/>
  <c r="K199" i="249" s="1"/>
  <c r="I197" i="249"/>
  <c r="I199" i="249" s="1"/>
  <c r="G197" i="249"/>
  <c r="C197" i="249"/>
  <c r="Q10" i="249"/>
  <c r="O10" i="249"/>
  <c r="M10" i="249"/>
  <c r="K10" i="249"/>
  <c r="I10" i="249"/>
  <c r="G10" i="249"/>
  <c r="C10" i="249"/>
  <c r="I2" i="249" s="1"/>
  <c r="B10" i="249"/>
  <c r="C6" i="249"/>
  <c r="H2" i="249" s="1"/>
  <c r="C3" i="249"/>
  <c r="F2" i="249"/>
  <c r="E2" i="249"/>
  <c r="D2" i="249"/>
  <c r="C2" i="249"/>
  <c r="B2" i="249"/>
  <c r="A2" i="249"/>
  <c r="I1" i="249"/>
  <c r="H1" i="249"/>
  <c r="G1" i="249"/>
  <c r="F1" i="249"/>
  <c r="E1" i="249"/>
  <c r="D1" i="249"/>
  <c r="C1" i="249"/>
  <c r="B1" i="249"/>
  <c r="A1" i="249"/>
  <c r="Q199" i="248"/>
  <c r="G2" i="248" s="1"/>
  <c r="G199" i="248"/>
  <c r="Q197" i="248"/>
  <c r="O197" i="248"/>
  <c r="O199" i="248" s="1"/>
  <c r="M197" i="248"/>
  <c r="M199" i="248" s="1"/>
  <c r="K197" i="248"/>
  <c r="K199" i="248" s="1"/>
  <c r="I197" i="248"/>
  <c r="I199" i="248" s="1"/>
  <c r="G197" i="248"/>
  <c r="C197" i="248"/>
  <c r="Q10" i="248"/>
  <c r="O10" i="248"/>
  <c r="F2" i="248" s="1"/>
  <c r="M10" i="248"/>
  <c r="E2" i="248" s="1"/>
  <c r="K10" i="248"/>
  <c r="I10" i="248"/>
  <c r="G10" i="248"/>
  <c r="C10" i="248"/>
  <c r="C12" i="248" s="1"/>
  <c r="B10" i="248"/>
  <c r="C6" i="248"/>
  <c r="H2" i="248" s="1"/>
  <c r="C3" i="248"/>
  <c r="D2" i="248"/>
  <c r="C2" i="248"/>
  <c r="B2" i="248"/>
  <c r="A2" i="248"/>
  <c r="I1" i="248"/>
  <c r="H1" i="248"/>
  <c r="G1" i="248"/>
  <c r="F1" i="248"/>
  <c r="E1" i="248"/>
  <c r="D1" i="248"/>
  <c r="C1" i="248"/>
  <c r="B1" i="248"/>
  <c r="A1" i="248"/>
  <c r="Q199" i="247"/>
  <c r="G199" i="247"/>
  <c r="Q197" i="247"/>
  <c r="O197" i="247"/>
  <c r="O199" i="247" s="1"/>
  <c r="M197" i="247"/>
  <c r="M199" i="247" s="1"/>
  <c r="K197" i="247"/>
  <c r="K199" i="247" s="1"/>
  <c r="I197" i="247"/>
  <c r="I199" i="247" s="1"/>
  <c r="G197" i="247"/>
  <c r="C197" i="247"/>
  <c r="C12" i="247"/>
  <c r="Q10" i="247"/>
  <c r="O10" i="247"/>
  <c r="F2" i="247" s="1"/>
  <c r="M10" i="247"/>
  <c r="E2" i="247" s="1"/>
  <c r="K10" i="247"/>
  <c r="I10" i="247"/>
  <c r="G10" i="247"/>
  <c r="C10" i="247"/>
  <c r="B10" i="247"/>
  <c r="C6" i="247"/>
  <c r="H2" i="247" s="1"/>
  <c r="C3" i="247"/>
  <c r="I2" i="247"/>
  <c r="G2" i="247"/>
  <c r="D2" i="247"/>
  <c r="C2" i="247"/>
  <c r="B2" i="247"/>
  <c r="A2" i="247"/>
  <c r="I1" i="247"/>
  <c r="H1" i="247"/>
  <c r="G1" i="247"/>
  <c r="F1" i="247"/>
  <c r="E1" i="247"/>
  <c r="D1" i="247"/>
  <c r="C1" i="247"/>
  <c r="B1" i="247"/>
  <c r="A1" i="247"/>
  <c r="Q199" i="246"/>
  <c r="I199" i="246"/>
  <c r="G199" i="246"/>
  <c r="Q197" i="246"/>
  <c r="O197" i="246"/>
  <c r="O199" i="246" s="1"/>
  <c r="M197" i="246"/>
  <c r="M199" i="246" s="1"/>
  <c r="K197" i="246"/>
  <c r="K199" i="246" s="1"/>
  <c r="I197" i="246"/>
  <c r="G197" i="246"/>
  <c r="C197" i="246"/>
  <c r="Q10" i="246"/>
  <c r="O10" i="246"/>
  <c r="F2" i="246" s="1"/>
  <c r="M10" i="246"/>
  <c r="K10" i="246"/>
  <c r="I10" i="246"/>
  <c r="G10" i="246"/>
  <c r="C10" i="246"/>
  <c r="I2" i="246" s="1"/>
  <c r="B10" i="246"/>
  <c r="C6" i="246"/>
  <c r="H2" i="246" s="1"/>
  <c r="C3" i="246"/>
  <c r="G2" i="246"/>
  <c r="E2" i="246"/>
  <c r="D2" i="246"/>
  <c r="C2" i="246"/>
  <c r="B2" i="246"/>
  <c r="A2" i="246"/>
  <c r="I1" i="246"/>
  <c r="H1" i="246"/>
  <c r="G1" i="246"/>
  <c r="F1" i="246"/>
  <c r="E1" i="246"/>
  <c r="D1" i="246"/>
  <c r="C1" i="246"/>
  <c r="B1" i="246"/>
  <c r="A1" i="246"/>
  <c r="I199" i="245"/>
  <c r="Q197" i="245"/>
  <c r="Q199" i="245" s="1"/>
  <c r="G2" i="245" s="1"/>
  <c r="O197" i="245"/>
  <c r="O199" i="245" s="1"/>
  <c r="M197" i="245"/>
  <c r="M199" i="245" s="1"/>
  <c r="K197" i="245"/>
  <c r="K199" i="245" s="1"/>
  <c r="I197" i="245"/>
  <c r="G197" i="245"/>
  <c r="G199" i="245" s="1"/>
  <c r="C197" i="245"/>
  <c r="Q10" i="245"/>
  <c r="O10" i="245"/>
  <c r="F2" i="245" s="1"/>
  <c r="M10" i="245"/>
  <c r="K10" i="245"/>
  <c r="I10" i="245"/>
  <c r="D2" i="245" s="1"/>
  <c r="G10" i="245"/>
  <c r="C10" i="245"/>
  <c r="I2" i="245" s="1"/>
  <c r="B10" i="245"/>
  <c r="C6" i="245"/>
  <c r="H2" i="245" s="1"/>
  <c r="C3" i="245"/>
  <c r="E2" i="245"/>
  <c r="C2" i="245"/>
  <c r="B2" i="245"/>
  <c r="A2" i="245"/>
  <c r="I1" i="245"/>
  <c r="H1" i="245"/>
  <c r="G1" i="245"/>
  <c r="F1" i="245"/>
  <c r="E1" i="245"/>
  <c r="D1" i="245"/>
  <c r="C1" i="245"/>
  <c r="B1" i="245"/>
  <c r="A1" i="245"/>
  <c r="I199" i="239"/>
  <c r="Q197" i="239"/>
  <c r="Q199" i="239" s="1"/>
  <c r="G2" i="239" s="1"/>
  <c r="O197" i="239"/>
  <c r="O199" i="239" s="1"/>
  <c r="M197" i="239"/>
  <c r="M199" i="239" s="1"/>
  <c r="K197" i="239"/>
  <c r="K199" i="239" s="1"/>
  <c r="I197" i="239"/>
  <c r="G197" i="239"/>
  <c r="G199" i="239" s="1"/>
  <c r="C197" i="239"/>
  <c r="Q10" i="239"/>
  <c r="O10" i="239"/>
  <c r="F2" i="239" s="1"/>
  <c r="M10" i="239"/>
  <c r="K10" i="239"/>
  <c r="I10" i="239"/>
  <c r="D2" i="239" s="1"/>
  <c r="G10" i="239"/>
  <c r="C10" i="239"/>
  <c r="I2" i="239" s="1"/>
  <c r="B10" i="239"/>
  <c r="C6" i="239"/>
  <c r="H2" i="239" s="1"/>
  <c r="C3" i="239"/>
  <c r="E2" i="239"/>
  <c r="C2" i="239"/>
  <c r="B2" i="239"/>
  <c r="A2" i="239"/>
  <c r="I1" i="239"/>
  <c r="H1" i="239"/>
  <c r="G1" i="239"/>
  <c r="F1" i="239"/>
  <c r="E1" i="239"/>
  <c r="D1" i="239"/>
  <c r="C1" i="239"/>
  <c r="B1" i="239"/>
  <c r="A1" i="239"/>
  <c r="I199" i="238"/>
  <c r="G199" i="238"/>
  <c r="Q197" i="238"/>
  <c r="Q199" i="238" s="1"/>
  <c r="G2" i="238" s="1"/>
  <c r="O197" i="238"/>
  <c r="O199" i="238" s="1"/>
  <c r="M197" i="238"/>
  <c r="M199" i="238" s="1"/>
  <c r="K197" i="238"/>
  <c r="K199" i="238" s="1"/>
  <c r="I197" i="238"/>
  <c r="G197" i="238"/>
  <c r="C197" i="238"/>
  <c r="Q10" i="238"/>
  <c r="O10" i="238"/>
  <c r="F2" i="238" s="1"/>
  <c r="M10" i="238"/>
  <c r="K10" i="238"/>
  <c r="I10" i="238"/>
  <c r="G10" i="238"/>
  <c r="C10" i="238"/>
  <c r="I2" i="238" s="1"/>
  <c r="B10" i="238"/>
  <c r="C6" i="238"/>
  <c r="H2" i="238" s="1"/>
  <c r="C3" i="238"/>
  <c r="E2" i="238"/>
  <c r="D2" i="238"/>
  <c r="C2" i="238"/>
  <c r="B2" i="238"/>
  <c r="A2" i="238"/>
  <c r="I1" i="238"/>
  <c r="H1" i="238"/>
  <c r="G1" i="238"/>
  <c r="F1" i="238"/>
  <c r="E1" i="238"/>
  <c r="D1" i="238"/>
  <c r="C1" i="238"/>
  <c r="B1" i="238"/>
  <c r="A1" i="238"/>
  <c r="O199" i="237"/>
  <c r="M199" i="237"/>
  <c r="G199" i="237"/>
  <c r="Q197" i="237"/>
  <c r="Q199" i="237" s="1"/>
  <c r="G2" i="237" s="1"/>
  <c r="O197" i="237"/>
  <c r="M197" i="237"/>
  <c r="K197" i="237"/>
  <c r="K199" i="237" s="1"/>
  <c r="I197" i="237"/>
  <c r="I199" i="237" s="1"/>
  <c r="G197" i="237"/>
  <c r="C197" i="237"/>
  <c r="Q10" i="237"/>
  <c r="O10" i="237"/>
  <c r="M10" i="237"/>
  <c r="K10" i="237"/>
  <c r="I10" i="237"/>
  <c r="G10" i="237"/>
  <c r="C10" i="237"/>
  <c r="I2" i="237" s="1"/>
  <c r="B10" i="237"/>
  <c r="C6" i="237"/>
  <c r="H2" i="237" s="1"/>
  <c r="C3" i="237"/>
  <c r="F2" i="237"/>
  <c r="E2" i="237"/>
  <c r="D2" i="237"/>
  <c r="C2" i="237"/>
  <c r="B2" i="237"/>
  <c r="A2" i="237"/>
  <c r="I1" i="237"/>
  <c r="H1" i="237"/>
  <c r="G1" i="237"/>
  <c r="F1" i="237"/>
  <c r="E1" i="237"/>
  <c r="D1" i="237"/>
  <c r="C1" i="237"/>
  <c r="B1" i="237"/>
  <c r="A1" i="237"/>
  <c r="M199" i="236"/>
  <c r="Q197" i="236"/>
  <c r="Q199" i="236" s="1"/>
  <c r="G2" i="236" s="1"/>
  <c r="O197" i="236"/>
  <c r="O199" i="236" s="1"/>
  <c r="M197" i="236"/>
  <c r="K197" i="236"/>
  <c r="K199" i="236" s="1"/>
  <c r="I197" i="236"/>
  <c r="I199" i="236" s="1"/>
  <c r="G197" i="236"/>
  <c r="G199" i="236" s="1"/>
  <c r="C197" i="236"/>
  <c r="Q10" i="236"/>
  <c r="O10" i="236"/>
  <c r="F2" i="236" s="1"/>
  <c r="M10" i="236"/>
  <c r="K10" i="236"/>
  <c r="I10" i="236"/>
  <c r="D2" i="236" s="1"/>
  <c r="G10" i="236"/>
  <c r="C10" i="236"/>
  <c r="I2" i="236" s="1"/>
  <c r="B10" i="236"/>
  <c r="C6" i="236"/>
  <c r="H2" i="236" s="1"/>
  <c r="C3" i="236"/>
  <c r="E2" i="236"/>
  <c r="C2" i="236"/>
  <c r="B2" i="236"/>
  <c r="A2" i="236"/>
  <c r="I1" i="236"/>
  <c r="H1" i="236"/>
  <c r="G1" i="236"/>
  <c r="F1" i="236"/>
  <c r="E1" i="236"/>
  <c r="D1" i="236"/>
  <c r="C1" i="236"/>
  <c r="B1" i="236"/>
  <c r="A1" i="236"/>
  <c r="Q199" i="235"/>
  <c r="G2" i="235" s="1"/>
  <c r="G199" i="235"/>
  <c r="Q197" i="235"/>
  <c r="O197" i="235"/>
  <c r="O199" i="235" s="1"/>
  <c r="M197" i="235"/>
  <c r="M199" i="235" s="1"/>
  <c r="K197" i="235"/>
  <c r="K199" i="235" s="1"/>
  <c r="I197" i="235"/>
  <c r="I199" i="235" s="1"/>
  <c r="G197" i="235"/>
  <c r="C197" i="235"/>
  <c r="Q10" i="235"/>
  <c r="O10" i="235"/>
  <c r="F2" i="235" s="1"/>
  <c r="M10" i="235"/>
  <c r="E2" i="235" s="1"/>
  <c r="K10" i="235"/>
  <c r="I10" i="235"/>
  <c r="G10" i="235"/>
  <c r="C10" i="235"/>
  <c r="C12" i="235" s="1"/>
  <c r="B10" i="235"/>
  <c r="C6" i="235"/>
  <c r="H2" i="235" s="1"/>
  <c r="C3" i="235"/>
  <c r="I2" i="235"/>
  <c r="D2" i="235"/>
  <c r="C2" i="235"/>
  <c r="B2" i="235"/>
  <c r="A2" i="235"/>
  <c r="I1" i="235"/>
  <c r="H1" i="235"/>
  <c r="G1" i="235"/>
  <c r="F1" i="235"/>
  <c r="E1" i="235"/>
  <c r="D1" i="235"/>
  <c r="C1" i="235"/>
  <c r="B1" i="235"/>
  <c r="A1" i="235"/>
  <c r="G199" i="234"/>
  <c r="Q197" i="234"/>
  <c r="Q199" i="234" s="1"/>
  <c r="G2" i="234" s="1"/>
  <c r="O197" i="234"/>
  <c r="O199" i="234" s="1"/>
  <c r="M197" i="234"/>
  <c r="M199" i="234" s="1"/>
  <c r="K197" i="234"/>
  <c r="K199" i="234" s="1"/>
  <c r="I197" i="234"/>
  <c r="I199" i="234" s="1"/>
  <c r="G197" i="234"/>
  <c r="C197" i="234"/>
  <c r="Q10" i="234"/>
  <c r="O10" i="234"/>
  <c r="F2" i="234" s="1"/>
  <c r="M10" i="234"/>
  <c r="K10" i="234"/>
  <c r="I10" i="234"/>
  <c r="D2" i="234" s="1"/>
  <c r="G10" i="234"/>
  <c r="C10" i="234"/>
  <c r="I2" i="234" s="1"/>
  <c r="B10" i="234"/>
  <c r="C6" i="234"/>
  <c r="H2" i="234" s="1"/>
  <c r="C3" i="234"/>
  <c r="E2" i="234"/>
  <c r="C2" i="234"/>
  <c r="B2" i="234"/>
  <c r="A2" i="234"/>
  <c r="I1" i="234"/>
  <c r="H1" i="234"/>
  <c r="G1" i="234"/>
  <c r="F1" i="234"/>
  <c r="E1" i="234"/>
  <c r="D1" i="234"/>
  <c r="C1" i="234"/>
  <c r="B1" i="234"/>
  <c r="A1" i="234"/>
  <c r="I199" i="233"/>
  <c r="Q197" i="233"/>
  <c r="Q199" i="233" s="1"/>
  <c r="G2" i="233" s="1"/>
  <c r="O197" i="233"/>
  <c r="O199" i="233" s="1"/>
  <c r="M197" i="233"/>
  <c r="M199" i="233" s="1"/>
  <c r="K197" i="233"/>
  <c r="K199" i="233" s="1"/>
  <c r="I197" i="233"/>
  <c r="G197" i="233"/>
  <c r="G199" i="233" s="1"/>
  <c r="C197" i="233"/>
  <c r="Q10" i="233"/>
  <c r="O10" i="233"/>
  <c r="F2" i="233" s="1"/>
  <c r="M10" i="233"/>
  <c r="K10" i="233"/>
  <c r="I10" i="233"/>
  <c r="D2" i="233" s="1"/>
  <c r="G10" i="233"/>
  <c r="C10" i="233"/>
  <c r="I2" i="233" s="1"/>
  <c r="B10" i="233"/>
  <c r="C6" i="233"/>
  <c r="H2" i="233" s="1"/>
  <c r="C3" i="233"/>
  <c r="E2" i="233"/>
  <c r="C2" i="233"/>
  <c r="B2" i="233"/>
  <c r="A2" i="233"/>
  <c r="I1" i="233"/>
  <c r="H1" i="233"/>
  <c r="G1" i="233"/>
  <c r="F1" i="233"/>
  <c r="E1" i="233"/>
  <c r="D1" i="233"/>
  <c r="C1" i="233"/>
  <c r="B1" i="233"/>
  <c r="A1" i="233"/>
  <c r="Q199" i="232"/>
  <c r="O199" i="232"/>
  <c r="M199" i="232"/>
  <c r="G199" i="232"/>
  <c r="Q197" i="232"/>
  <c r="O197" i="232"/>
  <c r="M197" i="232"/>
  <c r="K197" i="232"/>
  <c r="K199" i="232" s="1"/>
  <c r="I197" i="232"/>
  <c r="I199" i="232" s="1"/>
  <c r="G197" i="232"/>
  <c r="C197" i="232"/>
  <c r="Q10" i="232"/>
  <c r="O10" i="232"/>
  <c r="M10" i="232"/>
  <c r="K10" i="232"/>
  <c r="I10" i="232"/>
  <c r="D2" i="232" s="1"/>
  <c r="G10" i="232"/>
  <c r="C10" i="232"/>
  <c r="I2" i="232" s="1"/>
  <c r="B10" i="232"/>
  <c r="C6" i="232"/>
  <c r="H2" i="232" s="1"/>
  <c r="C3" i="232"/>
  <c r="G2" i="232"/>
  <c r="F2" i="232"/>
  <c r="E2" i="232"/>
  <c r="C2" i="232"/>
  <c r="B2" i="232"/>
  <c r="A2" i="232"/>
  <c r="I1" i="232"/>
  <c r="H1" i="232"/>
  <c r="G1" i="232"/>
  <c r="F1" i="232"/>
  <c r="E1" i="232"/>
  <c r="D1" i="232"/>
  <c r="C1" i="232"/>
  <c r="B1" i="232"/>
  <c r="A1" i="232"/>
  <c r="I199" i="227"/>
  <c r="G199" i="227"/>
  <c r="Q197" i="227"/>
  <c r="Q199" i="227" s="1"/>
  <c r="G2" i="227" s="1"/>
  <c r="O197" i="227"/>
  <c r="O199" i="227" s="1"/>
  <c r="M197" i="227"/>
  <c r="M199" i="227" s="1"/>
  <c r="K197" i="227"/>
  <c r="K199" i="227" s="1"/>
  <c r="I197" i="227"/>
  <c r="G197" i="227"/>
  <c r="C197" i="227"/>
  <c r="C12" i="227"/>
  <c r="Q10" i="227"/>
  <c r="O10" i="227"/>
  <c r="F2" i="227" s="1"/>
  <c r="M10" i="227"/>
  <c r="K10" i="227"/>
  <c r="I10" i="227"/>
  <c r="G10" i="227"/>
  <c r="C10" i="227"/>
  <c r="I2" i="227" s="1"/>
  <c r="B10" i="227"/>
  <c r="C6" i="227"/>
  <c r="H2" i="227" s="1"/>
  <c r="C3" i="227"/>
  <c r="E2" i="227"/>
  <c r="D2" i="227"/>
  <c r="C2" i="227"/>
  <c r="B2" i="227"/>
  <c r="A2" i="227"/>
  <c r="I1" i="227"/>
  <c r="H1" i="227"/>
  <c r="G1" i="227"/>
  <c r="F1" i="227"/>
  <c r="X1" i="231" s="1"/>
  <c r="E1" i="227"/>
  <c r="I1" i="230" s="1"/>
  <c r="D1" i="227"/>
  <c r="H1" i="230" s="1"/>
  <c r="C1" i="227"/>
  <c r="G1" i="230" s="1"/>
  <c r="B1" i="227"/>
  <c r="F1" i="230" s="1"/>
  <c r="A1" i="227"/>
  <c r="AG1" i="231"/>
  <c r="AF1" i="231"/>
  <c r="AE1" i="231"/>
  <c r="AD1" i="231"/>
  <c r="AC1" i="231"/>
  <c r="AB1" i="231"/>
  <c r="AA1" i="231"/>
  <c r="Z1" i="231"/>
  <c r="Y1" i="231"/>
  <c r="T1" i="231"/>
  <c r="S1" i="231"/>
  <c r="P1" i="230"/>
  <c r="O1" i="230"/>
  <c r="N1" i="230"/>
  <c r="M1" i="230"/>
  <c r="L1" i="230"/>
  <c r="K1" i="230"/>
  <c r="J1" i="230"/>
  <c r="E1" i="230"/>
  <c r="C1" i="230"/>
  <c r="B1" i="230"/>
  <c r="D7" i="229"/>
  <c r="B3" i="229"/>
  <c r="O1" i="228"/>
  <c r="D1" i="230" s="1"/>
  <c r="N1" i="228"/>
  <c r="M1" i="228"/>
  <c r="O199" i="33"/>
  <c r="M199" i="33"/>
  <c r="G199" i="33"/>
  <c r="Q197" i="33"/>
  <c r="Q199" i="33" s="1"/>
  <c r="G2" i="33" s="1"/>
  <c r="O197" i="33"/>
  <c r="M197" i="33"/>
  <c r="K197" i="33"/>
  <c r="K199" i="33" s="1"/>
  <c r="I197" i="33"/>
  <c r="I199" i="33" s="1"/>
  <c r="G197" i="33"/>
  <c r="C197" i="33"/>
  <c r="C12" i="33"/>
  <c r="Q10" i="33"/>
  <c r="O10" i="33"/>
  <c r="M10" i="33"/>
  <c r="K10" i="33"/>
  <c r="I10" i="33"/>
  <c r="D2" i="33" s="1"/>
  <c r="G10" i="33"/>
  <c r="C10" i="33"/>
  <c r="I2" i="33" s="1"/>
  <c r="B10" i="33"/>
  <c r="C6" i="33"/>
  <c r="H2" i="33" s="1"/>
  <c r="C3" i="33"/>
  <c r="F2" i="33"/>
  <c r="E2" i="33"/>
  <c r="C2" i="33"/>
  <c r="B2" i="33"/>
  <c r="A2" i="33"/>
  <c r="I1" i="33"/>
  <c r="H1" i="33"/>
  <c r="G1" i="33"/>
  <c r="F1" i="33"/>
  <c r="E1" i="33"/>
  <c r="D1" i="33"/>
  <c r="C1" i="33"/>
  <c r="B1" i="33"/>
  <c r="A1" i="33"/>
  <c r="I199" i="181"/>
  <c r="G199" i="181"/>
  <c r="Q197" i="181"/>
  <c r="Q199" i="181" s="1"/>
  <c r="G2" i="181" s="1"/>
  <c r="O197" i="181"/>
  <c r="O199" i="181" s="1"/>
  <c r="M197" i="181"/>
  <c r="M199" i="181" s="1"/>
  <c r="K197" i="181"/>
  <c r="K199" i="181" s="1"/>
  <c r="I197" i="181"/>
  <c r="G197" i="181"/>
  <c r="C197" i="181"/>
  <c r="C12" i="181"/>
  <c r="Q10" i="181"/>
  <c r="O10" i="181"/>
  <c r="F2" i="181" s="1"/>
  <c r="M10" i="181"/>
  <c r="K10" i="181"/>
  <c r="I10" i="181"/>
  <c r="G10" i="181"/>
  <c r="C10" i="181"/>
  <c r="I2" i="181" s="1"/>
  <c r="B10" i="181"/>
  <c r="C6" i="181"/>
  <c r="H2" i="181" s="1"/>
  <c r="C3" i="181"/>
  <c r="E2" i="181"/>
  <c r="D2" i="181"/>
  <c r="C2" i="181"/>
  <c r="B2" i="181"/>
  <c r="A2" i="181"/>
  <c r="I1" i="181"/>
  <c r="H1" i="181"/>
  <c r="G1" i="181"/>
  <c r="F1" i="181"/>
  <c r="E1" i="181"/>
  <c r="D1" i="181"/>
  <c r="C1" i="181"/>
  <c r="B1" i="181"/>
  <c r="A1" i="181"/>
  <c r="C197" i="213"/>
  <c r="P196" i="213"/>
  <c r="O196" i="213"/>
  <c r="L196" i="213"/>
  <c r="K196" i="213"/>
  <c r="M196" i="213" s="1"/>
  <c r="I196" i="213"/>
  <c r="G196" i="213"/>
  <c r="P195" i="213"/>
  <c r="O195" i="213"/>
  <c r="L195" i="213"/>
  <c r="K195" i="213"/>
  <c r="I195" i="213"/>
  <c r="G195" i="213"/>
  <c r="L194" i="213"/>
  <c r="P194" i="213" s="1"/>
  <c r="C191" i="213"/>
  <c r="P190" i="213"/>
  <c r="O190" i="213"/>
  <c r="Q190" i="213" s="1"/>
  <c r="P189" i="213"/>
  <c r="O189" i="213"/>
  <c r="Q189" i="213" s="1"/>
  <c r="N186" i="213"/>
  <c r="P186" i="213" s="1"/>
  <c r="Q184" i="213"/>
  <c r="P184" i="213"/>
  <c r="O184" i="213"/>
  <c r="O183" i="213"/>
  <c r="L183" i="213"/>
  <c r="M183" i="213" s="1"/>
  <c r="I183" i="213"/>
  <c r="G183" i="213"/>
  <c r="O182" i="213"/>
  <c r="L182" i="213"/>
  <c r="M182" i="213" s="1"/>
  <c r="Q182" i="213" s="1"/>
  <c r="I182" i="213"/>
  <c r="G182" i="213"/>
  <c r="O181" i="213"/>
  <c r="L181" i="213"/>
  <c r="I181" i="213"/>
  <c r="G181" i="213"/>
  <c r="O180" i="213"/>
  <c r="L180" i="213"/>
  <c r="P180" i="213" s="1"/>
  <c r="I180" i="213"/>
  <c r="G180" i="213"/>
  <c r="P179" i="213"/>
  <c r="O179" i="213"/>
  <c r="M179" i="213"/>
  <c r="I179" i="213"/>
  <c r="G179" i="213"/>
  <c r="O178" i="213"/>
  <c r="J178" i="213"/>
  <c r="K178" i="213" s="1"/>
  <c r="M178" i="213" s="1"/>
  <c r="H178" i="213"/>
  <c r="P178" i="213" s="1"/>
  <c r="G178" i="213"/>
  <c r="E178" i="213"/>
  <c r="O177" i="213"/>
  <c r="J177" i="213"/>
  <c r="K177" i="213" s="1"/>
  <c r="M177" i="213" s="1"/>
  <c r="H177" i="213"/>
  <c r="P177" i="213" s="1"/>
  <c r="G177" i="213"/>
  <c r="E177" i="213"/>
  <c r="O176" i="213"/>
  <c r="K176" i="213"/>
  <c r="M176" i="213" s="1"/>
  <c r="J176" i="213"/>
  <c r="H176" i="213"/>
  <c r="I176" i="213" s="1"/>
  <c r="G176" i="213"/>
  <c r="E176" i="213"/>
  <c r="O175" i="213"/>
  <c r="J175" i="213"/>
  <c r="K175" i="213" s="1"/>
  <c r="M175" i="213" s="1"/>
  <c r="H175" i="213"/>
  <c r="P175" i="213" s="1"/>
  <c r="G175" i="213"/>
  <c r="E175" i="213"/>
  <c r="O174" i="213"/>
  <c r="J174" i="213"/>
  <c r="P174" i="213" s="1"/>
  <c r="I174" i="213"/>
  <c r="H174" i="213"/>
  <c r="G174" i="213"/>
  <c r="E174" i="213"/>
  <c r="P173" i="213"/>
  <c r="O173" i="213"/>
  <c r="J173" i="213"/>
  <c r="K173" i="213" s="1"/>
  <c r="M173" i="213" s="1"/>
  <c r="I173" i="213"/>
  <c r="H173" i="213"/>
  <c r="G173" i="213"/>
  <c r="E173" i="213"/>
  <c r="O172" i="213"/>
  <c r="K172" i="213"/>
  <c r="M172" i="213" s="1"/>
  <c r="J172" i="213"/>
  <c r="H172" i="213"/>
  <c r="I172" i="213" s="1"/>
  <c r="G172" i="213"/>
  <c r="E172" i="213"/>
  <c r="B172" i="213"/>
  <c r="P171" i="213"/>
  <c r="O171" i="213"/>
  <c r="K171" i="213"/>
  <c r="M171" i="213" s="1"/>
  <c r="J171" i="213"/>
  <c r="H171" i="213"/>
  <c r="I171" i="213" s="1"/>
  <c r="G171" i="213"/>
  <c r="E171" i="213"/>
  <c r="B171" i="213"/>
  <c r="P170" i="213"/>
  <c r="O170" i="213"/>
  <c r="K170" i="213"/>
  <c r="I170" i="213"/>
  <c r="G170" i="213"/>
  <c r="B170" i="213"/>
  <c r="B169" i="213"/>
  <c r="P168" i="213"/>
  <c r="O168" i="213"/>
  <c r="Q168" i="213" s="1"/>
  <c r="B168" i="213"/>
  <c r="P167" i="213"/>
  <c r="O167" i="213"/>
  <c r="Q167" i="213" s="1"/>
  <c r="B167" i="213"/>
  <c r="B166" i="213"/>
  <c r="B165" i="213"/>
  <c r="Q162" i="213"/>
  <c r="P162" i="213"/>
  <c r="O162" i="213"/>
  <c r="O161" i="213"/>
  <c r="L161" i="213"/>
  <c r="P161" i="213" s="1"/>
  <c r="I161" i="213"/>
  <c r="G161" i="213"/>
  <c r="O160" i="213"/>
  <c r="N188" i="213" s="1"/>
  <c r="P188" i="213" s="1"/>
  <c r="L160" i="213"/>
  <c r="M160" i="213" s="1"/>
  <c r="I160" i="213"/>
  <c r="G160" i="213"/>
  <c r="O159" i="213"/>
  <c r="L159" i="213"/>
  <c r="M159" i="213" s="1"/>
  <c r="I159" i="213"/>
  <c r="G159" i="213"/>
  <c r="P158" i="213"/>
  <c r="O158" i="213"/>
  <c r="M158" i="213"/>
  <c r="L158" i="213"/>
  <c r="I158" i="213"/>
  <c r="G158" i="213"/>
  <c r="P157" i="213"/>
  <c r="O157" i="213"/>
  <c r="N185" i="213" s="1"/>
  <c r="O185" i="213" s="1"/>
  <c r="Q185" i="213" s="1"/>
  <c r="M157" i="213"/>
  <c r="I157" i="213"/>
  <c r="G157" i="213"/>
  <c r="O156" i="213"/>
  <c r="J156" i="213"/>
  <c r="K156" i="213" s="1"/>
  <c r="M156" i="213" s="1"/>
  <c r="H156" i="213"/>
  <c r="P156" i="213" s="1"/>
  <c r="G156" i="213"/>
  <c r="E156" i="213"/>
  <c r="O155" i="213"/>
  <c r="J155" i="213"/>
  <c r="K155" i="213" s="1"/>
  <c r="M155" i="213" s="1"/>
  <c r="H155" i="213"/>
  <c r="I155" i="213" s="1"/>
  <c r="G155" i="213"/>
  <c r="E155" i="213"/>
  <c r="O154" i="213"/>
  <c r="J154" i="213"/>
  <c r="K154" i="213" s="1"/>
  <c r="M154" i="213" s="1"/>
  <c r="I154" i="213"/>
  <c r="H154" i="213"/>
  <c r="G154" i="213"/>
  <c r="E154" i="213"/>
  <c r="P153" i="213"/>
  <c r="O153" i="213"/>
  <c r="K153" i="213"/>
  <c r="M153" i="213" s="1"/>
  <c r="J153" i="213"/>
  <c r="H153" i="213"/>
  <c r="I153" i="213" s="1"/>
  <c r="G153" i="213"/>
  <c r="E153" i="213"/>
  <c r="P152" i="213"/>
  <c r="O152" i="213"/>
  <c r="K152" i="213"/>
  <c r="M152" i="213" s="1"/>
  <c r="J152" i="213"/>
  <c r="H152" i="213"/>
  <c r="I152" i="213" s="1"/>
  <c r="G152" i="213"/>
  <c r="E152" i="213"/>
  <c r="O151" i="213"/>
  <c r="J151" i="213"/>
  <c r="K151" i="213" s="1"/>
  <c r="M151" i="213" s="1"/>
  <c r="H151" i="213"/>
  <c r="I151" i="213" s="1"/>
  <c r="G151" i="213"/>
  <c r="E151" i="213"/>
  <c r="B151" i="213"/>
  <c r="P150" i="213"/>
  <c r="O150" i="213"/>
  <c r="J150" i="213"/>
  <c r="K150" i="213" s="1"/>
  <c r="M150" i="213" s="1"/>
  <c r="H150" i="213"/>
  <c r="I150" i="213" s="1"/>
  <c r="G150" i="213"/>
  <c r="E150" i="213"/>
  <c r="B150" i="213"/>
  <c r="P149" i="213"/>
  <c r="O149" i="213"/>
  <c r="J149" i="213"/>
  <c r="K149" i="213" s="1"/>
  <c r="M149" i="213" s="1"/>
  <c r="I149" i="213"/>
  <c r="H149" i="213"/>
  <c r="G149" i="213"/>
  <c r="E149" i="213"/>
  <c r="B149" i="213"/>
  <c r="P148" i="213"/>
  <c r="O148" i="213"/>
  <c r="M148" i="213"/>
  <c r="Q148" i="213" s="1"/>
  <c r="K148" i="213"/>
  <c r="I148" i="213"/>
  <c r="G148" i="213"/>
  <c r="B148" i="213"/>
  <c r="B147" i="213"/>
  <c r="P146" i="213"/>
  <c r="O146" i="213"/>
  <c r="Q146" i="213" s="1"/>
  <c r="B146" i="213"/>
  <c r="P145" i="213"/>
  <c r="O145" i="213"/>
  <c r="Q145" i="213" s="1"/>
  <c r="B145" i="213"/>
  <c r="B144" i="213"/>
  <c r="N143" i="213"/>
  <c r="P143" i="213" s="1"/>
  <c r="P142" i="213"/>
  <c r="P140" i="213"/>
  <c r="O140" i="213"/>
  <c r="Q140" i="213" s="1"/>
  <c r="O139" i="213"/>
  <c r="L139" i="213"/>
  <c r="P139" i="213" s="1"/>
  <c r="I139" i="213"/>
  <c r="G139" i="213"/>
  <c r="O138" i="213"/>
  <c r="N166" i="213" s="1"/>
  <c r="L138" i="213"/>
  <c r="P138" i="213" s="1"/>
  <c r="I138" i="213"/>
  <c r="G138" i="213"/>
  <c r="O137" i="213"/>
  <c r="N165" i="213" s="1"/>
  <c r="P165" i="213" s="1"/>
  <c r="L137" i="213"/>
  <c r="P137" i="213" s="1"/>
  <c r="I137" i="213"/>
  <c r="G137" i="213"/>
  <c r="O136" i="213"/>
  <c r="N164" i="213" s="1"/>
  <c r="L136" i="213"/>
  <c r="M136" i="213" s="1"/>
  <c r="I136" i="213"/>
  <c r="G136" i="213"/>
  <c r="P135" i="213"/>
  <c r="O135" i="213"/>
  <c r="M135" i="213"/>
  <c r="I135" i="213"/>
  <c r="G135" i="213"/>
  <c r="O134" i="213"/>
  <c r="K134" i="213"/>
  <c r="M134" i="213" s="1"/>
  <c r="J134" i="213"/>
  <c r="H134" i="213"/>
  <c r="I134" i="213" s="1"/>
  <c r="G134" i="213"/>
  <c r="E134" i="213"/>
  <c r="O133" i="213"/>
  <c r="J133" i="213"/>
  <c r="K133" i="213" s="1"/>
  <c r="M133" i="213" s="1"/>
  <c r="H133" i="213"/>
  <c r="G133" i="213"/>
  <c r="E133" i="213"/>
  <c r="P132" i="213"/>
  <c r="O132" i="213"/>
  <c r="K132" i="213"/>
  <c r="M132" i="213" s="1"/>
  <c r="J132" i="213"/>
  <c r="I132" i="213"/>
  <c r="H132" i="213"/>
  <c r="G132" i="213"/>
  <c r="E132" i="213"/>
  <c r="P131" i="213"/>
  <c r="O131" i="213"/>
  <c r="K131" i="213"/>
  <c r="M131" i="213" s="1"/>
  <c r="J131" i="213"/>
  <c r="I131" i="213"/>
  <c r="H131" i="213"/>
  <c r="G131" i="213"/>
  <c r="E131" i="213"/>
  <c r="O130" i="213"/>
  <c r="J130" i="213"/>
  <c r="K130" i="213" s="1"/>
  <c r="M130" i="213" s="1"/>
  <c r="H130" i="213"/>
  <c r="I130" i="213" s="1"/>
  <c r="G130" i="213"/>
  <c r="E130" i="213"/>
  <c r="B130" i="213"/>
  <c r="O129" i="213"/>
  <c r="J129" i="213"/>
  <c r="K129" i="213" s="1"/>
  <c r="M129" i="213" s="1"/>
  <c r="H129" i="213"/>
  <c r="I129" i="213" s="1"/>
  <c r="G129" i="213"/>
  <c r="E129" i="213"/>
  <c r="B129" i="213"/>
  <c r="O128" i="213"/>
  <c r="J128" i="213"/>
  <c r="K128" i="213" s="1"/>
  <c r="M128" i="213" s="1"/>
  <c r="I128" i="213"/>
  <c r="H128" i="213"/>
  <c r="G128" i="213"/>
  <c r="E128" i="213"/>
  <c r="B128" i="213"/>
  <c r="P127" i="213"/>
  <c r="O127" i="213"/>
  <c r="K127" i="213"/>
  <c r="M127" i="213" s="1"/>
  <c r="J127" i="213"/>
  <c r="H127" i="213"/>
  <c r="I127" i="213" s="1"/>
  <c r="G127" i="213"/>
  <c r="E127" i="213"/>
  <c r="B127" i="213"/>
  <c r="P126" i="213"/>
  <c r="O126" i="213"/>
  <c r="K126" i="213"/>
  <c r="M126" i="213" s="1"/>
  <c r="Q126" i="213" s="1"/>
  <c r="I126" i="213"/>
  <c r="G126" i="213"/>
  <c r="B126" i="213"/>
  <c r="B125" i="213"/>
  <c r="Q124" i="213"/>
  <c r="P124" i="213"/>
  <c r="O124" i="213"/>
  <c r="B124" i="213"/>
  <c r="P123" i="213"/>
  <c r="O123" i="213"/>
  <c r="Q123" i="213" s="1"/>
  <c r="B123" i="213"/>
  <c r="Q118" i="213"/>
  <c r="P118" i="213"/>
  <c r="O118" i="213"/>
  <c r="O117" i="213"/>
  <c r="L117" i="213"/>
  <c r="I117" i="213"/>
  <c r="G117" i="213"/>
  <c r="O116" i="213"/>
  <c r="N144" i="213" s="1"/>
  <c r="P144" i="213" s="1"/>
  <c r="M116" i="213"/>
  <c r="L116" i="213"/>
  <c r="P116" i="213" s="1"/>
  <c r="I116" i="213"/>
  <c r="G116" i="213"/>
  <c r="O115" i="213"/>
  <c r="L115" i="213"/>
  <c r="P115" i="213" s="1"/>
  <c r="I115" i="213"/>
  <c r="G115" i="213"/>
  <c r="O114" i="213"/>
  <c r="N142" i="213" s="1"/>
  <c r="O142" i="213" s="1"/>
  <c r="Q142" i="213" s="1"/>
  <c r="L114" i="213"/>
  <c r="P114" i="213" s="1"/>
  <c r="I114" i="213"/>
  <c r="G114" i="213"/>
  <c r="P113" i="213"/>
  <c r="O113" i="213"/>
  <c r="N141" i="213" s="1"/>
  <c r="P141" i="213" s="1"/>
  <c r="M113" i="213"/>
  <c r="I113" i="213"/>
  <c r="G113" i="213"/>
  <c r="O112" i="213"/>
  <c r="J112" i="213"/>
  <c r="K112" i="213" s="1"/>
  <c r="M112" i="213" s="1"/>
  <c r="H112" i="213"/>
  <c r="P112" i="213" s="1"/>
  <c r="G112" i="213"/>
  <c r="E112" i="213"/>
  <c r="O111" i="213"/>
  <c r="J111" i="213"/>
  <c r="K111" i="213" s="1"/>
  <c r="M111" i="213" s="1"/>
  <c r="H111" i="213"/>
  <c r="P111" i="213" s="1"/>
  <c r="G111" i="213"/>
  <c r="E111" i="213"/>
  <c r="O110" i="213"/>
  <c r="K110" i="213"/>
  <c r="M110" i="213" s="1"/>
  <c r="J110" i="213"/>
  <c r="H110" i="213"/>
  <c r="P110" i="213" s="1"/>
  <c r="G110" i="213"/>
  <c r="E110" i="213"/>
  <c r="O109" i="213"/>
  <c r="J109" i="213"/>
  <c r="K109" i="213" s="1"/>
  <c r="M109" i="213" s="1"/>
  <c r="H109" i="213"/>
  <c r="I109" i="213" s="1"/>
  <c r="G109" i="213"/>
  <c r="E109" i="213"/>
  <c r="B109" i="213"/>
  <c r="O108" i="213"/>
  <c r="J108" i="213"/>
  <c r="K108" i="213" s="1"/>
  <c r="M108" i="213" s="1"/>
  <c r="H108" i="213"/>
  <c r="I108" i="213" s="1"/>
  <c r="G108" i="213"/>
  <c r="E108" i="213"/>
  <c r="B108" i="213"/>
  <c r="O107" i="213"/>
  <c r="J107" i="213"/>
  <c r="K107" i="213" s="1"/>
  <c r="M107" i="213" s="1"/>
  <c r="H107" i="213"/>
  <c r="P107" i="213" s="1"/>
  <c r="G107" i="213"/>
  <c r="E107" i="213"/>
  <c r="B107" i="213"/>
  <c r="O106" i="213"/>
  <c r="J106" i="213"/>
  <c r="K106" i="213" s="1"/>
  <c r="M106" i="213" s="1"/>
  <c r="Q106" i="213" s="1"/>
  <c r="I106" i="213"/>
  <c r="H106" i="213"/>
  <c r="P106" i="213" s="1"/>
  <c r="G106" i="213"/>
  <c r="E106" i="213"/>
  <c r="B106" i="213"/>
  <c r="O105" i="213"/>
  <c r="J105" i="213"/>
  <c r="K105" i="213" s="1"/>
  <c r="M105" i="213" s="1"/>
  <c r="I105" i="213"/>
  <c r="H105" i="213"/>
  <c r="P105" i="213" s="1"/>
  <c r="G105" i="213"/>
  <c r="E105" i="213"/>
  <c r="B105" i="213"/>
  <c r="P104" i="213"/>
  <c r="O104" i="213"/>
  <c r="Q104" i="213" s="1"/>
  <c r="M104" i="213"/>
  <c r="K104" i="213"/>
  <c r="I104" i="213"/>
  <c r="G104" i="213"/>
  <c r="B104" i="213"/>
  <c r="B103" i="213"/>
  <c r="P102" i="213"/>
  <c r="O102" i="213"/>
  <c r="Q102" i="213" s="1"/>
  <c r="B102" i="213"/>
  <c r="Q101" i="213"/>
  <c r="P101" i="213"/>
  <c r="O101" i="213"/>
  <c r="Q96" i="213"/>
  <c r="P96" i="213"/>
  <c r="O96" i="213"/>
  <c r="O95" i="213"/>
  <c r="L95" i="213"/>
  <c r="P95" i="213" s="1"/>
  <c r="I95" i="213"/>
  <c r="G95" i="213"/>
  <c r="O94" i="213"/>
  <c r="N122" i="213" s="1"/>
  <c r="L94" i="213"/>
  <c r="P94" i="213" s="1"/>
  <c r="I94" i="213"/>
  <c r="G94" i="213"/>
  <c r="O93" i="213"/>
  <c r="N121" i="213" s="1"/>
  <c r="L93" i="213"/>
  <c r="M93" i="213" s="1"/>
  <c r="I93" i="213"/>
  <c r="G93" i="213"/>
  <c r="P92" i="213"/>
  <c r="O92" i="213"/>
  <c r="N120" i="213" s="1"/>
  <c r="M92" i="213"/>
  <c r="Q92" i="213" s="1"/>
  <c r="L92" i="213"/>
  <c r="I92" i="213"/>
  <c r="G92" i="213"/>
  <c r="P91" i="213"/>
  <c r="O91" i="213"/>
  <c r="N119" i="213" s="1"/>
  <c r="M91" i="213"/>
  <c r="I91" i="213"/>
  <c r="G91" i="213"/>
  <c r="O90" i="213"/>
  <c r="J90" i="213"/>
  <c r="K90" i="213" s="1"/>
  <c r="M90" i="213" s="1"/>
  <c r="H90" i="213"/>
  <c r="I90" i="213" s="1"/>
  <c r="G90" i="213"/>
  <c r="E90" i="213"/>
  <c r="O89" i="213"/>
  <c r="K89" i="213"/>
  <c r="M89" i="213" s="1"/>
  <c r="J89" i="213"/>
  <c r="H89" i="213"/>
  <c r="I89" i="213" s="1"/>
  <c r="G89" i="213"/>
  <c r="E89" i="213"/>
  <c r="O88" i="213"/>
  <c r="J88" i="213"/>
  <c r="K88" i="213" s="1"/>
  <c r="M88" i="213" s="1"/>
  <c r="H88" i="213"/>
  <c r="I88" i="213" s="1"/>
  <c r="G88" i="213"/>
  <c r="E88" i="213"/>
  <c r="B88" i="213"/>
  <c r="O87" i="213"/>
  <c r="J87" i="213"/>
  <c r="K87" i="213" s="1"/>
  <c r="M87" i="213" s="1"/>
  <c r="H87" i="213"/>
  <c r="I87" i="213" s="1"/>
  <c r="G87" i="213"/>
  <c r="E87" i="213"/>
  <c r="B87" i="213"/>
  <c r="O86" i="213"/>
  <c r="J86" i="213"/>
  <c r="K86" i="213" s="1"/>
  <c r="M86" i="213" s="1"/>
  <c r="H86" i="213"/>
  <c r="I86" i="213" s="1"/>
  <c r="G86" i="213"/>
  <c r="E86" i="213"/>
  <c r="B86" i="213"/>
  <c r="O85" i="213"/>
  <c r="J85" i="213"/>
  <c r="K85" i="213" s="1"/>
  <c r="M85" i="213" s="1"/>
  <c r="Q85" i="213" s="1"/>
  <c r="I85" i="213"/>
  <c r="H85" i="213"/>
  <c r="G85" i="213"/>
  <c r="E85" i="213"/>
  <c r="B85" i="213"/>
  <c r="O84" i="213"/>
  <c r="J84" i="213"/>
  <c r="P84" i="213" s="1"/>
  <c r="I84" i="213"/>
  <c r="H84" i="213"/>
  <c r="G84" i="213"/>
  <c r="E84" i="213"/>
  <c r="B84" i="213"/>
  <c r="O83" i="213"/>
  <c r="J83" i="213"/>
  <c r="K83" i="213" s="1"/>
  <c r="M83" i="213" s="1"/>
  <c r="I83" i="213"/>
  <c r="H83" i="213"/>
  <c r="G83" i="213"/>
  <c r="E83" i="213"/>
  <c r="B83" i="213"/>
  <c r="P82" i="213"/>
  <c r="O82" i="213"/>
  <c r="Q82" i="213" s="1"/>
  <c r="M82" i="213"/>
  <c r="K82" i="213"/>
  <c r="I82" i="213"/>
  <c r="G82" i="213"/>
  <c r="B82" i="213"/>
  <c r="B81" i="213"/>
  <c r="P80" i="213"/>
  <c r="O80" i="213"/>
  <c r="Q80" i="213" s="1"/>
  <c r="P79" i="213"/>
  <c r="O79" i="213"/>
  <c r="Q79" i="213" s="1"/>
  <c r="N77" i="213"/>
  <c r="P77" i="213" s="1"/>
  <c r="P74" i="213"/>
  <c r="O74" i="213"/>
  <c r="Q74" i="213" s="1"/>
  <c r="O73" i="213"/>
  <c r="L73" i="213"/>
  <c r="P73" i="213" s="1"/>
  <c r="I73" i="213"/>
  <c r="G73" i="213"/>
  <c r="O72" i="213"/>
  <c r="N100" i="213" s="1"/>
  <c r="L72" i="213"/>
  <c r="M72" i="213" s="1"/>
  <c r="I72" i="213"/>
  <c r="G72" i="213"/>
  <c r="O71" i="213"/>
  <c r="N99" i="213" s="1"/>
  <c r="P99" i="213" s="1"/>
  <c r="L71" i="213"/>
  <c r="M71" i="213" s="1"/>
  <c r="Q71" i="213" s="1"/>
  <c r="I71" i="213"/>
  <c r="G71" i="213"/>
  <c r="P70" i="213"/>
  <c r="O70" i="213"/>
  <c r="N98" i="213" s="1"/>
  <c r="L70" i="213"/>
  <c r="M70" i="213" s="1"/>
  <c r="Q70" i="213" s="1"/>
  <c r="I70" i="213"/>
  <c r="G70" i="213"/>
  <c r="P69" i="213"/>
  <c r="O69" i="213"/>
  <c r="N97" i="213" s="1"/>
  <c r="O97" i="213" s="1"/>
  <c r="Q97" i="213" s="1"/>
  <c r="M69" i="213"/>
  <c r="I69" i="213"/>
  <c r="G69" i="213"/>
  <c r="O68" i="213"/>
  <c r="J68" i="213"/>
  <c r="K68" i="213" s="1"/>
  <c r="M68" i="213" s="1"/>
  <c r="H68" i="213"/>
  <c r="I68" i="213" s="1"/>
  <c r="G68" i="213"/>
  <c r="E68" i="213"/>
  <c r="O67" i="213"/>
  <c r="K67" i="213"/>
  <c r="M67" i="213" s="1"/>
  <c r="J67" i="213"/>
  <c r="H67" i="213"/>
  <c r="I67" i="213" s="1"/>
  <c r="G67" i="213"/>
  <c r="E67" i="213"/>
  <c r="B67" i="213"/>
  <c r="O66" i="213"/>
  <c r="J66" i="213"/>
  <c r="K66" i="213" s="1"/>
  <c r="M66" i="213" s="1"/>
  <c r="I66" i="213"/>
  <c r="H66" i="213"/>
  <c r="G66" i="213"/>
  <c r="E66" i="213"/>
  <c r="B66" i="213"/>
  <c r="P65" i="213"/>
  <c r="O65" i="213"/>
  <c r="K65" i="213"/>
  <c r="M65" i="213" s="1"/>
  <c r="J65" i="213"/>
  <c r="I65" i="213"/>
  <c r="H65" i="213"/>
  <c r="G65" i="213"/>
  <c r="E65" i="213"/>
  <c r="B65" i="213"/>
  <c r="O64" i="213"/>
  <c r="M64" i="213"/>
  <c r="K64" i="213"/>
  <c r="J64" i="213"/>
  <c r="H64" i="213"/>
  <c r="G64" i="213"/>
  <c r="E64" i="213"/>
  <c r="B64" i="213"/>
  <c r="O63" i="213"/>
  <c r="K63" i="213"/>
  <c r="M63" i="213" s="1"/>
  <c r="Q63" i="213" s="1"/>
  <c r="J63" i="213"/>
  <c r="P63" i="213" s="1"/>
  <c r="I63" i="213"/>
  <c r="H63" i="213"/>
  <c r="G63" i="213"/>
  <c r="E63" i="213"/>
  <c r="B63" i="213"/>
  <c r="P62" i="213"/>
  <c r="O62" i="213"/>
  <c r="M62" i="213"/>
  <c r="J62" i="213"/>
  <c r="K62" i="213" s="1"/>
  <c r="H62" i="213"/>
  <c r="I62" i="213" s="1"/>
  <c r="Q62" i="213" s="1"/>
  <c r="G62" i="213"/>
  <c r="E62" i="213"/>
  <c r="B62" i="213"/>
  <c r="O61" i="213"/>
  <c r="J61" i="213"/>
  <c r="K61" i="213" s="1"/>
  <c r="M61" i="213" s="1"/>
  <c r="I61" i="213"/>
  <c r="H61" i="213"/>
  <c r="G61" i="213"/>
  <c r="E61" i="213"/>
  <c r="B61" i="213"/>
  <c r="P60" i="213"/>
  <c r="O60" i="213"/>
  <c r="M60" i="213"/>
  <c r="K60" i="213"/>
  <c r="I60" i="213"/>
  <c r="G60" i="213"/>
  <c r="B60" i="213"/>
  <c r="Q58" i="213"/>
  <c r="P58" i="213"/>
  <c r="O58" i="213"/>
  <c r="P57" i="213"/>
  <c r="O57" i="213"/>
  <c r="Q57" i="213" s="1"/>
  <c r="O54" i="213"/>
  <c r="Q54" i="213" s="1"/>
  <c r="P52" i="213"/>
  <c r="O52" i="213"/>
  <c r="Q52" i="213" s="1"/>
  <c r="O51" i="213"/>
  <c r="L51" i="213"/>
  <c r="P51" i="213" s="1"/>
  <c r="I51" i="213"/>
  <c r="G51" i="213"/>
  <c r="O50" i="213"/>
  <c r="N78" i="213" s="1"/>
  <c r="O78" i="213" s="1"/>
  <c r="Q78" i="213" s="1"/>
  <c r="L50" i="213"/>
  <c r="P50" i="213" s="1"/>
  <c r="I50" i="213"/>
  <c r="G50" i="213"/>
  <c r="O49" i="213"/>
  <c r="L49" i="213"/>
  <c r="P49" i="213" s="1"/>
  <c r="I49" i="213"/>
  <c r="G49" i="213"/>
  <c r="O48" i="213"/>
  <c r="N76" i="213" s="1"/>
  <c r="L48" i="213"/>
  <c r="M48" i="213" s="1"/>
  <c r="I48" i="213"/>
  <c r="G48" i="213"/>
  <c r="P47" i="213"/>
  <c r="O47" i="213"/>
  <c r="N75" i="213" s="1"/>
  <c r="M47" i="213"/>
  <c r="I47" i="213"/>
  <c r="G47" i="213"/>
  <c r="O46" i="213"/>
  <c r="J46" i="213"/>
  <c r="K46" i="213" s="1"/>
  <c r="M46" i="213" s="1"/>
  <c r="H46" i="213"/>
  <c r="I46" i="213" s="1"/>
  <c r="G46" i="213"/>
  <c r="E46" i="213"/>
  <c r="B46" i="213"/>
  <c r="O45" i="213"/>
  <c r="J45" i="213"/>
  <c r="K45" i="213" s="1"/>
  <c r="M45" i="213" s="1"/>
  <c r="H45" i="213"/>
  <c r="I45" i="213" s="1"/>
  <c r="G45" i="213"/>
  <c r="E45" i="213"/>
  <c r="B45" i="213"/>
  <c r="O44" i="213"/>
  <c r="J44" i="213"/>
  <c r="K44" i="213" s="1"/>
  <c r="M44" i="213" s="1"/>
  <c r="H44" i="213"/>
  <c r="I44" i="213" s="1"/>
  <c r="G44" i="213"/>
  <c r="E44" i="213"/>
  <c r="B44" i="213"/>
  <c r="O43" i="213"/>
  <c r="J43" i="213"/>
  <c r="K43" i="213" s="1"/>
  <c r="M43" i="213" s="1"/>
  <c r="H43" i="213"/>
  <c r="P43" i="213" s="1"/>
  <c r="G43" i="213"/>
  <c r="E43" i="213"/>
  <c r="B43" i="213"/>
  <c r="O42" i="213"/>
  <c r="J42" i="213"/>
  <c r="H42" i="213"/>
  <c r="I42" i="213" s="1"/>
  <c r="G42" i="213"/>
  <c r="E42" i="213"/>
  <c r="B42" i="213"/>
  <c r="O41" i="213"/>
  <c r="J41" i="213"/>
  <c r="K41" i="213" s="1"/>
  <c r="M41" i="213" s="1"/>
  <c r="H41" i="213"/>
  <c r="P41" i="213" s="1"/>
  <c r="G41" i="213"/>
  <c r="E41" i="213"/>
  <c r="B41" i="213"/>
  <c r="O40" i="213"/>
  <c r="J40" i="213"/>
  <c r="K40" i="213" s="1"/>
  <c r="M40" i="213" s="1"/>
  <c r="H40" i="213"/>
  <c r="I40" i="213" s="1"/>
  <c r="G40" i="213"/>
  <c r="E40" i="213"/>
  <c r="B40" i="213"/>
  <c r="O39" i="213"/>
  <c r="J39" i="213"/>
  <c r="K39" i="213" s="1"/>
  <c r="M39" i="213" s="1"/>
  <c r="H39" i="213"/>
  <c r="P39" i="213" s="1"/>
  <c r="G39" i="213"/>
  <c r="E39" i="213"/>
  <c r="B39" i="213"/>
  <c r="P38" i="213"/>
  <c r="O38" i="213"/>
  <c r="K38" i="213"/>
  <c r="M38" i="213" s="1"/>
  <c r="I38" i="213"/>
  <c r="G38" i="213"/>
  <c r="Q36" i="213"/>
  <c r="P36" i="213"/>
  <c r="O36" i="213"/>
  <c r="P35" i="213"/>
  <c r="O35" i="213"/>
  <c r="Q35" i="213" s="1"/>
  <c r="N34" i="213"/>
  <c r="P34" i="213" s="1"/>
  <c r="P33" i="213"/>
  <c r="O33" i="213"/>
  <c r="Q33" i="213" s="1"/>
  <c r="N33" i="213"/>
  <c r="O32" i="213"/>
  <c r="Q32" i="213" s="1"/>
  <c r="N32" i="213"/>
  <c r="P32" i="213" s="1"/>
  <c r="N31" i="213"/>
  <c r="O31" i="213" s="1"/>
  <c r="Q31" i="213" s="1"/>
  <c r="P30" i="213"/>
  <c r="O30" i="213"/>
  <c r="Q30" i="213" s="1"/>
  <c r="O29" i="213"/>
  <c r="I29" i="213"/>
  <c r="G29" i="213"/>
  <c r="O28" i="213"/>
  <c r="N56" i="213" s="1"/>
  <c r="O56" i="213" s="1"/>
  <c r="Q56" i="213" s="1"/>
  <c r="I28" i="213"/>
  <c r="G28" i="213"/>
  <c r="O27" i="213"/>
  <c r="N55" i="213" s="1"/>
  <c r="I27" i="213"/>
  <c r="G27" i="213"/>
  <c r="O26" i="213"/>
  <c r="N54" i="213" s="1"/>
  <c r="P54" i="213" s="1"/>
  <c r="L26" i="213"/>
  <c r="P26" i="213" s="1"/>
  <c r="I26" i="213"/>
  <c r="G26" i="213"/>
  <c r="P25" i="213"/>
  <c r="O25" i="213"/>
  <c r="N53" i="213" s="1"/>
  <c r="M25" i="213"/>
  <c r="I25" i="213"/>
  <c r="G25" i="213"/>
  <c r="O24" i="213"/>
  <c r="J24" i="213"/>
  <c r="K24" i="213" s="1"/>
  <c r="M24" i="213" s="1"/>
  <c r="H24" i="213"/>
  <c r="P24" i="213" s="1"/>
  <c r="G24" i="213"/>
  <c r="E24" i="213"/>
  <c r="B24" i="213"/>
  <c r="O23" i="213"/>
  <c r="J23" i="213"/>
  <c r="K23" i="213" s="1"/>
  <c r="M23" i="213" s="1"/>
  <c r="H23" i="213"/>
  <c r="I23" i="213" s="1"/>
  <c r="G23" i="213"/>
  <c r="E23" i="213"/>
  <c r="B23" i="213"/>
  <c r="O22" i="213"/>
  <c r="J22" i="213"/>
  <c r="K22" i="213" s="1"/>
  <c r="H22" i="213"/>
  <c r="I22" i="213" s="1"/>
  <c r="G22" i="213"/>
  <c r="E22" i="213"/>
  <c r="B22" i="213"/>
  <c r="O21" i="213"/>
  <c r="K21" i="213"/>
  <c r="M21" i="213" s="1"/>
  <c r="J21" i="213"/>
  <c r="H21" i="213"/>
  <c r="P21" i="213" s="1"/>
  <c r="G21" i="213"/>
  <c r="G10" i="213" s="1"/>
  <c r="E21" i="213"/>
  <c r="B21" i="213"/>
  <c r="O20" i="213"/>
  <c r="K20" i="213"/>
  <c r="M20" i="213" s="1"/>
  <c r="J20" i="213"/>
  <c r="H20" i="213"/>
  <c r="P20" i="213" s="1"/>
  <c r="G20" i="213"/>
  <c r="E20" i="213"/>
  <c r="B20" i="213"/>
  <c r="O19" i="213"/>
  <c r="J19" i="213"/>
  <c r="K19" i="213" s="1"/>
  <c r="M19" i="213" s="1"/>
  <c r="Q19" i="213" s="1"/>
  <c r="H19" i="213"/>
  <c r="I19" i="213" s="1"/>
  <c r="G19" i="213"/>
  <c r="E19" i="213"/>
  <c r="B19" i="213"/>
  <c r="P18" i="213"/>
  <c r="O18" i="213"/>
  <c r="J18" i="213"/>
  <c r="K18" i="213" s="1"/>
  <c r="M18" i="213" s="1"/>
  <c r="H18" i="213"/>
  <c r="I18" i="213" s="1"/>
  <c r="G18" i="213"/>
  <c r="E18" i="213"/>
  <c r="B18" i="213"/>
  <c r="O17" i="213"/>
  <c r="J17" i="213"/>
  <c r="K17" i="213" s="1"/>
  <c r="M17" i="213" s="1"/>
  <c r="H17" i="213"/>
  <c r="I17" i="213" s="1"/>
  <c r="G17" i="213"/>
  <c r="E17" i="213"/>
  <c r="B17" i="213"/>
  <c r="P16" i="213"/>
  <c r="O16" i="213"/>
  <c r="M16" i="213"/>
  <c r="K16" i="213"/>
  <c r="I16" i="213"/>
  <c r="G16" i="213"/>
  <c r="C14" i="213"/>
  <c r="P13" i="213"/>
  <c r="O13" i="213"/>
  <c r="M13" i="213"/>
  <c r="K13" i="213"/>
  <c r="I13" i="213"/>
  <c r="G13" i="213"/>
  <c r="C10" i="213"/>
  <c r="I2" i="213" s="1"/>
  <c r="B10" i="213"/>
  <c r="C6" i="213"/>
  <c r="H2" i="213" s="1"/>
  <c r="C3" i="213"/>
  <c r="B2" i="213"/>
  <c r="A2" i="213"/>
  <c r="I1" i="213"/>
  <c r="H1" i="213"/>
  <c r="G1" i="213"/>
  <c r="F1" i="213"/>
  <c r="E1" i="213"/>
  <c r="D1" i="213"/>
  <c r="C1" i="213"/>
  <c r="B1" i="213"/>
  <c r="A1" i="213"/>
  <c r="Q190" i="66"/>
  <c r="P190" i="66"/>
  <c r="O190" i="66"/>
  <c r="P189" i="66"/>
  <c r="O189" i="66"/>
  <c r="Q189" i="66" s="1"/>
  <c r="P188" i="66"/>
  <c r="N188" i="66"/>
  <c r="O188" i="66" s="1"/>
  <c r="Q188" i="66" s="1"/>
  <c r="N187" i="66"/>
  <c r="P187" i="66" s="1"/>
  <c r="P186" i="66"/>
  <c r="N186" i="66"/>
  <c r="O186" i="66" s="1"/>
  <c r="Q186" i="66" s="1"/>
  <c r="N185" i="66"/>
  <c r="P185" i="66" s="1"/>
  <c r="Q184" i="66"/>
  <c r="P184" i="66"/>
  <c r="O184" i="66"/>
  <c r="O183" i="66"/>
  <c r="L183" i="66"/>
  <c r="P183" i="66" s="1"/>
  <c r="I183" i="66"/>
  <c r="G183" i="66"/>
  <c r="O182" i="66"/>
  <c r="L182" i="66"/>
  <c r="P182" i="66" s="1"/>
  <c r="I182" i="66"/>
  <c r="G182" i="66"/>
  <c r="O181" i="66"/>
  <c r="L181" i="66"/>
  <c r="P181" i="66" s="1"/>
  <c r="I181" i="66"/>
  <c r="G181" i="66"/>
  <c r="P180" i="66"/>
  <c r="O180" i="66"/>
  <c r="L180" i="66"/>
  <c r="M180" i="66" s="1"/>
  <c r="Q180" i="66" s="1"/>
  <c r="I180" i="66"/>
  <c r="G180" i="66"/>
  <c r="P179" i="66"/>
  <c r="O179" i="66"/>
  <c r="Q179" i="66" s="1"/>
  <c r="M179" i="66"/>
  <c r="I179" i="66"/>
  <c r="G179" i="66"/>
  <c r="O178" i="66"/>
  <c r="K178" i="66"/>
  <c r="M178" i="66" s="1"/>
  <c r="J178" i="66"/>
  <c r="H178" i="66"/>
  <c r="I178" i="66" s="1"/>
  <c r="G178" i="66"/>
  <c r="E178" i="66"/>
  <c r="P177" i="66"/>
  <c r="O177" i="66"/>
  <c r="J177" i="66"/>
  <c r="K177" i="66" s="1"/>
  <c r="M177" i="66" s="1"/>
  <c r="H177" i="66"/>
  <c r="I177" i="66" s="1"/>
  <c r="G177" i="66"/>
  <c r="E177" i="66"/>
  <c r="O176" i="66"/>
  <c r="J176" i="66"/>
  <c r="K176" i="66" s="1"/>
  <c r="M176" i="66" s="1"/>
  <c r="H176" i="66"/>
  <c r="P176" i="66" s="1"/>
  <c r="G176" i="66"/>
  <c r="E176" i="66"/>
  <c r="O175" i="66"/>
  <c r="J175" i="66"/>
  <c r="P175" i="66" s="1"/>
  <c r="I175" i="66"/>
  <c r="H175" i="66"/>
  <c r="G175" i="66"/>
  <c r="E175" i="66"/>
  <c r="O174" i="66"/>
  <c r="K174" i="66"/>
  <c r="M174" i="66" s="1"/>
  <c r="J174" i="66"/>
  <c r="H174" i="66"/>
  <c r="I174" i="66" s="1"/>
  <c r="G174" i="66"/>
  <c r="E174" i="66"/>
  <c r="P173" i="66"/>
  <c r="O173" i="66"/>
  <c r="J173" i="66"/>
  <c r="K173" i="66" s="1"/>
  <c r="M173" i="66" s="1"/>
  <c r="H173" i="66"/>
  <c r="I173" i="66" s="1"/>
  <c r="G173" i="66"/>
  <c r="E173" i="66"/>
  <c r="O172" i="66"/>
  <c r="J172" i="66"/>
  <c r="K172" i="66" s="1"/>
  <c r="M172" i="66" s="1"/>
  <c r="H172" i="66"/>
  <c r="P172" i="66" s="1"/>
  <c r="G172" i="66"/>
  <c r="E172" i="66"/>
  <c r="O171" i="66"/>
  <c r="J171" i="66"/>
  <c r="P171" i="66" s="1"/>
  <c r="I171" i="66"/>
  <c r="H171" i="66"/>
  <c r="G171" i="66"/>
  <c r="E171" i="66"/>
  <c r="P170" i="66"/>
  <c r="O170" i="66"/>
  <c r="K170" i="66"/>
  <c r="M170" i="66" s="1"/>
  <c r="I170" i="66"/>
  <c r="G170" i="66"/>
  <c r="Q168" i="66"/>
  <c r="P168" i="66"/>
  <c r="O168" i="66"/>
  <c r="P167" i="66"/>
  <c r="O167" i="66"/>
  <c r="Q167" i="66" s="1"/>
  <c r="P166" i="66"/>
  <c r="N166" i="66"/>
  <c r="O166" i="66" s="1"/>
  <c r="Q166" i="66" s="1"/>
  <c r="N165" i="66"/>
  <c r="P165" i="66" s="1"/>
  <c r="P164" i="66"/>
  <c r="N164" i="66"/>
  <c r="O164" i="66" s="1"/>
  <c r="Q164" i="66" s="1"/>
  <c r="N163" i="66"/>
  <c r="P163" i="66" s="1"/>
  <c r="Q162" i="66"/>
  <c r="P162" i="66"/>
  <c r="O162" i="66"/>
  <c r="O161" i="66"/>
  <c r="L161" i="66"/>
  <c r="P161" i="66" s="1"/>
  <c r="I161" i="66"/>
  <c r="G161" i="66"/>
  <c r="O160" i="66"/>
  <c r="L160" i="66"/>
  <c r="P160" i="66" s="1"/>
  <c r="I160" i="66"/>
  <c r="G160" i="66"/>
  <c r="O159" i="66"/>
  <c r="L159" i="66"/>
  <c r="P159" i="66" s="1"/>
  <c r="I159" i="66"/>
  <c r="G159" i="66"/>
  <c r="O158" i="66"/>
  <c r="L158" i="66"/>
  <c r="M158" i="66" s="1"/>
  <c r="Q158" i="66" s="1"/>
  <c r="I158" i="66"/>
  <c r="G158" i="66"/>
  <c r="P157" i="66"/>
  <c r="O157" i="66"/>
  <c r="Q157" i="66" s="1"/>
  <c r="M157" i="66"/>
  <c r="I157" i="66"/>
  <c r="G157" i="66"/>
  <c r="O156" i="66"/>
  <c r="K156" i="66"/>
  <c r="M156" i="66" s="1"/>
  <c r="J156" i="66"/>
  <c r="H156" i="66"/>
  <c r="I156" i="66" s="1"/>
  <c r="G156" i="66"/>
  <c r="E156" i="66"/>
  <c r="P155" i="66"/>
  <c r="O155" i="66"/>
  <c r="J155" i="66"/>
  <c r="K155" i="66" s="1"/>
  <c r="M155" i="66" s="1"/>
  <c r="H155" i="66"/>
  <c r="I155" i="66" s="1"/>
  <c r="G155" i="66"/>
  <c r="E155" i="66"/>
  <c r="O154" i="66"/>
  <c r="J154" i="66"/>
  <c r="K154" i="66" s="1"/>
  <c r="M154" i="66" s="1"/>
  <c r="H154" i="66"/>
  <c r="P154" i="66" s="1"/>
  <c r="G154" i="66"/>
  <c r="E154" i="66"/>
  <c r="O153" i="66"/>
  <c r="J153" i="66"/>
  <c r="P153" i="66" s="1"/>
  <c r="I153" i="66"/>
  <c r="H153" i="66"/>
  <c r="G153" i="66"/>
  <c r="E153" i="66"/>
  <c r="O152" i="66"/>
  <c r="K152" i="66"/>
  <c r="M152" i="66" s="1"/>
  <c r="J152" i="66"/>
  <c r="H152" i="66"/>
  <c r="I152" i="66" s="1"/>
  <c r="G152" i="66"/>
  <c r="E152" i="66"/>
  <c r="P151" i="66"/>
  <c r="O151" i="66"/>
  <c r="J151" i="66"/>
  <c r="K151" i="66" s="1"/>
  <c r="M151" i="66" s="1"/>
  <c r="H151" i="66"/>
  <c r="I151" i="66" s="1"/>
  <c r="G151" i="66"/>
  <c r="E151" i="66"/>
  <c r="O150" i="66"/>
  <c r="J150" i="66"/>
  <c r="K150" i="66" s="1"/>
  <c r="M150" i="66" s="1"/>
  <c r="H150" i="66"/>
  <c r="P150" i="66" s="1"/>
  <c r="G150" i="66"/>
  <c r="E150" i="66"/>
  <c r="O149" i="66"/>
  <c r="J149" i="66"/>
  <c r="P149" i="66" s="1"/>
  <c r="I149" i="66"/>
  <c r="H149" i="66"/>
  <c r="G149" i="66"/>
  <c r="E149" i="66"/>
  <c r="P148" i="66"/>
  <c r="O148" i="66"/>
  <c r="K148" i="66"/>
  <c r="M148" i="66" s="1"/>
  <c r="I148" i="66"/>
  <c r="Q148" i="66" s="1"/>
  <c r="G148" i="66"/>
  <c r="P146" i="66"/>
  <c r="O146" i="66"/>
  <c r="Q146" i="66" s="1"/>
  <c r="P145" i="66"/>
  <c r="O145" i="66"/>
  <c r="Q145" i="66" s="1"/>
  <c r="P144" i="66"/>
  <c r="N144" i="66"/>
  <c r="O144" i="66" s="1"/>
  <c r="Q144" i="66" s="1"/>
  <c r="N143" i="66"/>
  <c r="P143" i="66" s="1"/>
  <c r="P142" i="66"/>
  <c r="N142" i="66"/>
  <c r="O142" i="66" s="1"/>
  <c r="Q142" i="66" s="1"/>
  <c r="N141" i="66"/>
  <c r="P141" i="66" s="1"/>
  <c r="P140" i="66"/>
  <c r="O140" i="66"/>
  <c r="Q140" i="66" s="1"/>
  <c r="O139" i="66"/>
  <c r="L139" i="66"/>
  <c r="M139" i="66" s="1"/>
  <c r="Q139" i="66" s="1"/>
  <c r="I139" i="66"/>
  <c r="G139" i="66"/>
  <c r="O138" i="66"/>
  <c r="L138" i="66"/>
  <c r="M138" i="66" s="1"/>
  <c r="I138" i="66"/>
  <c r="G138" i="66"/>
  <c r="O137" i="66"/>
  <c r="L137" i="66"/>
  <c r="P137" i="66" s="1"/>
  <c r="I137" i="66"/>
  <c r="G137" i="66"/>
  <c r="O136" i="66"/>
  <c r="L136" i="66"/>
  <c r="M136" i="66" s="1"/>
  <c r="I136" i="66"/>
  <c r="G136" i="66"/>
  <c r="P135" i="66"/>
  <c r="O135" i="66"/>
  <c r="M135" i="66"/>
  <c r="I135" i="66"/>
  <c r="Q135" i="66" s="1"/>
  <c r="G135" i="66"/>
  <c r="O134" i="66"/>
  <c r="K134" i="66"/>
  <c r="M134" i="66" s="1"/>
  <c r="J134" i="66"/>
  <c r="H134" i="66"/>
  <c r="I134" i="66" s="1"/>
  <c r="G134" i="66"/>
  <c r="E134" i="66"/>
  <c r="O133" i="66"/>
  <c r="J133" i="66"/>
  <c r="K133" i="66" s="1"/>
  <c r="M133" i="66" s="1"/>
  <c r="H133" i="66"/>
  <c r="I133" i="66" s="1"/>
  <c r="G133" i="66"/>
  <c r="E133" i="66"/>
  <c r="O132" i="66"/>
  <c r="J132" i="66"/>
  <c r="P132" i="66" s="1"/>
  <c r="I132" i="66"/>
  <c r="H132" i="66"/>
  <c r="G132" i="66"/>
  <c r="E132" i="66"/>
  <c r="P131" i="66"/>
  <c r="O131" i="66"/>
  <c r="K131" i="66"/>
  <c r="M131" i="66" s="1"/>
  <c r="Q131" i="66" s="1"/>
  <c r="J131" i="66"/>
  <c r="I131" i="66"/>
  <c r="H131" i="66"/>
  <c r="G131" i="66"/>
  <c r="E131" i="66"/>
  <c r="O130" i="66"/>
  <c r="Q130" i="66" s="1"/>
  <c r="K130" i="66"/>
  <c r="M130" i="66" s="1"/>
  <c r="J130" i="66"/>
  <c r="H130" i="66"/>
  <c r="I130" i="66" s="1"/>
  <c r="G130" i="66"/>
  <c r="E130" i="66"/>
  <c r="O129" i="66"/>
  <c r="J129" i="66"/>
  <c r="K129" i="66" s="1"/>
  <c r="M129" i="66" s="1"/>
  <c r="H129" i="66"/>
  <c r="I129" i="66" s="1"/>
  <c r="G129" i="66"/>
  <c r="E129" i="66"/>
  <c r="O128" i="66"/>
  <c r="J128" i="66"/>
  <c r="P128" i="66" s="1"/>
  <c r="I128" i="66"/>
  <c r="H128" i="66"/>
  <c r="G128" i="66"/>
  <c r="E128" i="66"/>
  <c r="P127" i="66"/>
  <c r="O127" i="66"/>
  <c r="K127" i="66"/>
  <c r="M127" i="66" s="1"/>
  <c r="Q127" i="66" s="1"/>
  <c r="J127" i="66"/>
  <c r="I127" i="66"/>
  <c r="H127" i="66"/>
  <c r="G127" i="66"/>
  <c r="E127" i="66"/>
  <c r="P126" i="66"/>
  <c r="O126" i="66"/>
  <c r="K126" i="66"/>
  <c r="M126" i="66" s="1"/>
  <c r="I126" i="66"/>
  <c r="Q126" i="66" s="1"/>
  <c r="G126" i="66"/>
  <c r="P124" i="66"/>
  <c r="O124" i="66"/>
  <c r="Q124" i="66" s="1"/>
  <c r="P123" i="66"/>
  <c r="O123" i="66"/>
  <c r="Q123" i="66" s="1"/>
  <c r="P122" i="66"/>
  <c r="N122" i="66"/>
  <c r="O122" i="66" s="1"/>
  <c r="Q122" i="66" s="1"/>
  <c r="N121" i="66"/>
  <c r="P121" i="66" s="1"/>
  <c r="P120" i="66"/>
  <c r="N120" i="66"/>
  <c r="O120" i="66" s="1"/>
  <c r="Q120" i="66" s="1"/>
  <c r="N119" i="66"/>
  <c r="P119" i="66" s="1"/>
  <c r="P118" i="66"/>
  <c r="O118" i="66"/>
  <c r="Q118" i="66" s="1"/>
  <c r="O117" i="66"/>
  <c r="L117" i="66"/>
  <c r="M117" i="66" s="1"/>
  <c r="Q117" i="66" s="1"/>
  <c r="I117" i="66"/>
  <c r="G117" i="66"/>
  <c r="O116" i="66"/>
  <c r="L116" i="66"/>
  <c r="M116" i="66" s="1"/>
  <c r="I116" i="66"/>
  <c r="G116" i="66"/>
  <c r="O115" i="66"/>
  <c r="L115" i="66"/>
  <c r="P115" i="66" s="1"/>
  <c r="I115" i="66"/>
  <c r="G115" i="66"/>
  <c r="O114" i="66"/>
  <c r="L114" i="66"/>
  <c r="M114" i="66" s="1"/>
  <c r="I114" i="66"/>
  <c r="G114" i="66"/>
  <c r="P113" i="66"/>
  <c r="O113" i="66"/>
  <c r="M113" i="66"/>
  <c r="I113" i="66"/>
  <c r="Q113" i="66" s="1"/>
  <c r="G113" i="66"/>
  <c r="O112" i="66"/>
  <c r="K112" i="66"/>
  <c r="M112" i="66" s="1"/>
  <c r="J112" i="66"/>
  <c r="H112" i="66"/>
  <c r="I112" i="66" s="1"/>
  <c r="G112" i="66"/>
  <c r="E112" i="66"/>
  <c r="O111" i="66"/>
  <c r="J111" i="66"/>
  <c r="K111" i="66" s="1"/>
  <c r="M111" i="66" s="1"/>
  <c r="H111" i="66"/>
  <c r="I111" i="66" s="1"/>
  <c r="G111" i="66"/>
  <c r="E111" i="66"/>
  <c r="P110" i="66"/>
  <c r="O110" i="66"/>
  <c r="J110" i="66"/>
  <c r="K110" i="66" s="1"/>
  <c r="M110" i="66" s="1"/>
  <c r="Q110" i="66" s="1"/>
  <c r="H110" i="66"/>
  <c r="I110" i="66" s="1"/>
  <c r="G110" i="66"/>
  <c r="E110" i="66"/>
  <c r="P109" i="66"/>
  <c r="O109" i="66"/>
  <c r="J109" i="66"/>
  <c r="K109" i="66" s="1"/>
  <c r="M109" i="66" s="1"/>
  <c r="Q109" i="66" s="1"/>
  <c r="I109" i="66"/>
  <c r="H109" i="66"/>
  <c r="G109" i="66"/>
  <c r="E109" i="66"/>
  <c r="O108" i="66"/>
  <c r="K108" i="66"/>
  <c r="M108" i="66" s="1"/>
  <c r="J108" i="66"/>
  <c r="H108" i="66"/>
  <c r="I108" i="66" s="1"/>
  <c r="G108" i="66"/>
  <c r="E108" i="66"/>
  <c r="O107" i="66"/>
  <c r="J107" i="66"/>
  <c r="K107" i="66" s="1"/>
  <c r="M107" i="66" s="1"/>
  <c r="H107" i="66"/>
  <c r="I107" i="66" s="1"/>
  <c r="G107" i="66"/>
  <c r="E107" i="66"/>
  <c r="P106" i="66"/>
  <c r="O106" i="66"/>
  <c r="J106" i="66"/>
  <c r="K106" i="66" s="1"/>
  <c r="M106" i="66" s="1"/>
  <c r="Q106" i="66" s="1"/>
  <c r="H106" i="66"/>
  <c r="I106" i="66" s="1"/>
  <c r="G106" i="66"/>
  <c r="E106" i="66"/>
  <c r="P105" i="66"/>
  <c r="O105" i="66"/>
  <c r="J105" i="66"/>
  <c r="K105" i="66" s="1"/>
  <c r="M105" i="66" s="1"/>
  <c r="Q105" i="66" s="1"/>
  <c r="I105" i="66"/>
  <c r="H105" i="66"/>
  <c r="G105" i="66"/>
  <c r="E105" i="66"/>
  <c r="P104" i="66"/>
  <c r="O104" i="66"/>
  <c r="K104" i="66"/>
  <c r="M104" i="66" s="1"/>
  <c r="I104" i="66"/>
  <c r="Q104" i="66" s="1"/>
  <c r="G104" i="66"/>
  <c r="P102" i="66"/>
  <c r="O102" i="66"/>
  <c r="Q102" i="66" s="1"/>
  <c r="P101" i="66"/>
  <c r="O101" i="66"/>
  <c r="Q101" i="66" s="1"/>
  <c r="P100" i="66"/>
  <c r="N100" i="66"/>
  <c r="O100" i="66" s="1"/>
  <c r="Q100" i="66" s="1"/>
  <c r="N99" i="66"/>
  <c r="P99" i="66" s="1"/>
  <c r="P98" i="66"/>
  <c r="N98" i="66"/>
  <c r="O98" i="66" s="1"/>
  <c r="Q98" i="66" s="1"/>
  <c r="N97" i="66"/>
  <c r="P97" i="66" s="1"/>
  <c r="P96" i="66"/>
  <c r="O96" i="66"/>
  <c r="Q96" i="66" s="1"/>
  <c r="O95" i="66"/>
  <c r="L95" i="66"/>
  <c r="M95" i="66" s="1"/>
  <c r="Q95" i="66" s="1"/>
  <c r="I95" i="66"/>
  <c r="G95" i="66"/>
  <c r="O94" i="66"/>
  <c r="L94" i="66"/>
  <c r="M94" i="66" s="1"/>
  <c r="I94" i="66"/>
  <c r="G94" i="66"/>
  <c r="O93" i="66"/>
  <c r="L93" i="66"/>
  <c r="P93" i="66" s="1"/>
  <c r="I93" i="66"/>
  <c r="G93" i="66"/>
  <c r="O92" i="66"/>
  <c r="L92" i="66"/>
  <c r="M92" i="66" s="1"/>
  <c r="I92" i="66"/>
  <c r="G92" i="66"/>
  <c r="P91" i="66"/>
  <c r="O91" i="66"/>
  <c r="M91" i="66"/>
  <c r="I91" i="66"/>
  <c r="Q91" i="66" s="1"/>
  <c r="G91" i="66"/>
  <c r="O90" i="66"/>
  <c r="K90" i="66"/>
  <c r="M90" i="66" s="1"/>
  <c r="J90" i="66"/>
  <c r="H90" i="66"/>
  <c r="I90" i="66" s="1"/>
  <c r="G90" i="66"/>
  <c r="E90" i="66"/>
  <c r="O89" i="66"/>
  <c r="J89" i="66"/>
  <c r="K89" i="66" s="1"/>
  <c r="M89" i="66" s="1"/>
  <c r="H89" i="66"/>
  <c r="I89" i="66" s="1"/>
  <c r="G89" i="66"/>
  <c r="E89" i="66"/>
  <c r="O88" i="66"/>
  <c r="J88" i="66"/>
  <c r="K88" i="66" s="1"/>
  <c r="M88" i="66" s="1"/>
  <c r="H88" i="66"/>
  <c r="P88" i="66" s="1"/>
  <c r="G88" i="66"/>
  <c r="E88" i="66"/>
  <c r="P87" i="66"/>
  <c r="O87" i="66"/>
  <c r="J87" i="66"/>
  <c r="K87" i="66" s="1"/>
  <c r="M87" i="66" s="1"/>
  <c r="Q87" i="66" s="1"/>
  <c r="I87" i="66"/>
  <c r="H87" i="66"/>
  <c r="G87" i="66"/>
  <c r="E87" i="66"/>
  <c r="O86" i="66"/>
  <c r="K86" i="66"/>
  <c r="M86" i="66" s="1"/>
  <c r="J86" i="66"/>
  <c r="H86" i="66"/>
  <c r="I86" i="66" s="1"/>
  <c r="G86" i="66"/>
  <c r="E86" i="66"/>
  <c r="O85" i="66"/>
  <c r="J85" i="66"/>
  <c r="K85" i="66" s="1"/>
  <c r="M85" i="66" s="1"/>
  <c r="H85" i="66"/>
  <c r="I85" i="66" s="1"/>
  <c r="G85" i="66"/>
  <c r="E85" i="66"/>
  <c r="O84" i="66"/>
  <c r="J84" i="66"/>
  <c r="K84" i="66" s="1"/>
  <c r="M84" i="66" s="1"/>
  <c r="H84" i="66"/>
  <c r="P84" i="66" s="1"/>
  <c r="G84" i="66"/>
  <c r="E84" i="66"/>
  <c r="P83" i="66"/>
  <c r="O83" i="66"/>
  <c r="J83" i="66"/>
  <c r="K83" i="66" s="1"/>
  <c r="M83" i="66" s="1"/>
  <c r="Q83" i="66" s="1"/>
  <c r="I83" i="66"/>
  <c r="H83" i="66"/>
  <c r="G83" i="66"/>
  <c r="E83" i="66"/>
  <c r="P82" i="66"/>
  <c r="O82" i="66"/>
  <c r="K82" i="66"/>
  <c r="M82" i="66" s="1"/>
  <c r="I82" i="66"/>
  <c r="Q82" i="66" s="1"/>
  <c r="G82" i="66"/>
  <c r="P80" i="66"/>
  <c r="O80" i="66"/>
  <c r="Q80" i="66" s="1"/>
  <c r="P79" i="66"/>
  <c r="O79" i="66"/>
  <c r="Q79" i="66" s="1"/>
  <c r="P78" i="66"/>
  <c r="N78" i="66"/>
  <c r="O78" i="66" s="1"/>
  <c r="Q78" i="66" s="1"/>
  <c r="N77" i="66"/>
  <c r="P77" i="66" s="1"/>
  <c r="P76" i="66"/>
  <c r="N76" i="66"/>
  <c r="O76" i="66" s="1"/>
  <c r="Q76" i="66" s="1"/>
  <c r="N75" i="66"/>
  <c r="P75" i="66" s="1"/>
  <c r="Q74" i="66"/>
  <c r="P74" i="66"/>
  <c r="O74" i="66"/>
  <c r="O73" i="66"/>
  <c r="L73" i="66"/>
  <c r="P73" i="66" s="1"/>
  <c r="I73" i="66"/>
  <c r="G73" i="66"/>
  <c r="O72" i="66"/>
  <c r="L72" i="66"/>
  <c r="M72" i="66" s="1"/>
  <c r="I72" i="66"/>
  <c r="G72" i="66"/>
  <c r="O71" i="66"/>
  <c r="L71" i="66"/>
  <c r="P71" i="66" s="1"/>
  <c r="I71" i="66"/>
  <c r="G71" i="66"/>
  <c r="O70" i="66"/>
  <c r="L70" i="66"/>
  <c r="P70" i="66" s="1"/>
  <c r="I70" i="66"/>
  <c r="G70" i="66"/>
  <c r="P69" i="66"/>
  <c r="O69" i="66"/>
  <c r="Q69" i="66" s="1"/>
  <c r="M69" i="66"/>
  <c r="I69" i="66"/>
  <c r="G69" i="66"/>
  <c r="O68" i="66"/>
  <c r="K68" i="66"/>
  <c r="M68" i="66" s="1"/>
  <c r="J68" i="66"/>
  <c r="I68" i="66"/>
  <c r="H68" i="66"/>
  <c r="P68" i="66" s="1"/>
  <c r="G68" i="66"/>
  <c r="E68" i="66"/>
  <c r="P67" i="66"/>
  <c r="O67" i="66"/>
  <c r="K67" i="66"/>
  <c r="M67" i="66" s="1"/>
  <c r="J67" i="66"/>
  <c r="H67" i="66"/>
  <c r="I67" i="66" s="1"/>
  <c r="G67" i="66"/>
  <c r="E67" i="66"/>
  <c r="O66" i="66"/>
  <c r="J66" i="66"/>
  <c r="K66" i="66" s="1"/>
  <c r="M66" i="66" s="1"/>
  <c r="H66" i="66"/>
  <c r="P66" i="66" s="1"/>
  <c r="G66" i="66"/>
  <c r="E66" i="66"/>
  <c r="O65" i="66"/>
  <c r="J65" i="66"/>
  <c r="K65" i="66" s="1"/>
  <c r="M65" i="66" s="1"/>
  <c r="Q65" i="66" s="1"/>
  <c r="I65" i="66"/>
  <c r="H65" i="66"/>
  <c r="G65" i="66"/>
  <c r="E65" i="66"/>
  <c r="O64" i="66"/>
  <c r="Q64" i="66" s="1"/>
  <c r="K64" i="66"/>
  <c r="M64" i="66" s="1"/>
  <c r="J64" i="66"/>
  <c r="I64" i="66"/>
  <c r="H64" i="66"/>
  <c r="P64" i="66" s="1"/>
  <c r="G64" i="66"/>
  <c r="E64" i="66"/>
  <c r="P63" i="66"/>
  <c r="O63" i="66"/>
  <c r="Q63" i="66" s="1"/>
  <c r="K63" i="66"/>
  <c r="M63" i="66" s="1"/>
  <c r="J63" i="66"/>
  <c r="H63" i="66"/>
  <c r="I63" i="66" s="1"/>
  <c r="G63" i="66"/>
  <c r="E63" i="66"/>
  <c r="O62" i="66"/>
  <c r="J62" i="66"/>
  <c r="K62" i="66" s="1"/>
  <c r="M62" i="66" s="1"/>
  <c r="H62" i="66"/>
  <c r="P62" i="66" s="1"/>
  <c r="G62" i="66"/>
  <c r="E62" i="66"/>
  <c r="O61" i="66"/>
  <c r="J61" i="66"/>
  <c r="P61" i="66" s="1"/>
  <c r="I61" i="66"/>
  <c r="H61" i="66"/>
  <c r="G61" i="66"/>
  <c r="E61" i="66"/>
  <c r="P60" i="66"/>
  <c r="O60" i="66"/>
  <c r="K60" i="66"/>
  <c r="M60" i="66" s="1"/>
  <c r="I60" i="66"/>
  <c r="Q60" i="66" s="1"/>
  <c r="G60" i="66"/>
  <c r="Q58" i="66"/>
  <c r="P58" i="66"/>
  <c r="O58" i="66"/>
  <c r="P57" i="66"/>
  <c r="O57" i="66"/>
  <c r="Q57" i="66" s="1"/>
  <c r="N56" i="66"/>
  <c r="O56" i="66" s="1"/>
  <c r="Q56" i="66" s="1"/>
  <c r="N55" i="66"/>
  <c r="P55" i="66" s="1"/>
  <c r="P54" i="66"/>
  <c r="N54" i="66"/>
  <c r="O54" i="66" s="1"/>
  <c r="Q54" i="66" s="1"/>
  <c r="N53" i="66"/>
  <c r="P53" i="66" s="1"/>
  <c r="Q52" i="66"/>
  <c r="P52" i="66"/>
  <c r="O52" i="66"/>
  <c r="O51" i="66"/>
  <c r="L51" i="66"/>
  <c r="P51" i="66" s="1"/>
  <c r="I51" i="66"/>
  <c r="G51" i="66"/>
  <c r="O50" i="66"/>
  <c r="L50" i="66"/>
  <c r="M50" i="66" s="1"/>
  <c r="I50" i="66"/>
  <c r="G50" i="66"/>
  <c r="O49" i="66"/>
  <c r="L49" i="66"/>
  <c r="P49" i="66" s="1"/>
  <c r="I49" i="66"/>
  <c r="G49" i="66"/>
  <c r="O48" i="66"/>
  <c r="L48" i="66"/>
  <c r="M48" i="66" s="1"/>
  <c r="Q48" i="66" s="1"/>
  <c r="I48" i="66"/>
  <c r="G48" i="66"/>
  <c r="P47" i="66"/>
  <c r="O47" i="66"/>
  <c r="Q47" i="66" s="1"/>
  <c r="M47" i="66"/>
  <c r="I47" i="66"/>
  <c r="G47" i="66"/>
  <c r="O46" i="66"/>
  <c r="Q46" i="66" s="1"/>
  <c r="K46" i="66"/>
  <c r="M46" i="66" s="1"/>
  <c r="J46" i="66"/>
  <c r="I46" i="66"/>
  <c r="H46" i="66"/>
  <c r="P46" i="66" s="1"/>
  <c r="G46" i="66"/>
  <c r="E46" i="66"/>
  <c r="P45" i="66"/>
  <c r="O45" i="66"/>
  <c r="Q45" i="66" s="1"/>
  <c r="K45" i="66"/>
  <c r="M45" i="66" s="1"/>
  <c r="J45" i="66"/>
  <c r="H45" i="66"/>
  <c r="I45" i="66" s="1"/>
  <c r="G45" i="66"/>
  <c r="E45" i="66"/>
  <c r="O44" i="66"/>
  <c r="J44" i="66"/>
  <c r="K44" i="66" s="1"/>
  <c r="M44" i="66" s="1"/>
  <c r="H44" i="66"/>
  <c r="P44" i="66" s="1"/>
  <c r="G44" i="66"/>
  <c r="E44" i="66"/>
  <c r="O43" i="66"/>
  <c r="J43" i="66"/>
  <c r="K43" i="66" s="1"/>
  <c r="M43" i="66" s="1"/>
  <c r="Q43" i="66" s="1"/>
  <c r="I43" i="66"/>
  <c r="H43" i="66"/>
  <c r="P43" i="66" s="1"/>
  <c r="G43" i="66"/>
  <c r="E43" i="66"/>
  <c r="O42" i="66"/>
  <c r="Q42" i="66" s="1"/>
  <c r="K42" i="66"/>
  <c r="M42" i="66" s="1"/>
  <c r="J42" i="66"/>
  <c r="I42" i="66"/>
  <c r="H42" i="66"/>
  <c r="P42" i="66" s="1"/>
  <c r="G42" i="66"/>
  <c r="E42" i="66"/>
  <c r="P41" i="66"/>
  <c r="O41" i="66"/>
  <c r="Q41" i="66" s="1"/>
  <c r="K41" i="66"/>
  <c r="M41" i="66" s="1"/>
  <c r="J41" i="66"/>
  <c r="H41" i="66"/>
  <c r="I41" i="66" s="1"/>
  <c r="G41" i="66"/>
  <c r="E41" i="66"/>
  <c r="O40" i="66"/>
  <c r="J40" i="66"/>
  <c r="K40" i="66" s="1"/>
  <c r="M40" i="66" s="1"/>
  <c r="H40" i="66"/>
  <c r="P40" i="66" s="1"/>
  <c r="G40" i="66"/>
  <c r="E40" i="66"/>
  <c r="O39" i="66"/>
  <c r="J39" i="66"/>
  <c r="K39" i="66" s="1"/>
  <c r="M39" i="66" s="1"/>
  <c r="Q39" i="66" s="1"/>
  <c r="I39" i="66"/>
  <c r="H39" i="66"/>
  <c r="P39" i="66" s="1"/>
  <c r="G39" i="66"/>
  <c r="E39" i="66"/>
  <c r="P38" i="66"/>
  <c r="O38" i="66"/>
  <c r="K38" i="66"/>
  <c r="M38" i="66" s="1"/>
  <c r="I38" i="66"/>
  <c r="Q38" i="66" s="1"/>
  <c r="G38" i="66"/>
  <c r="O24" i="66"/>
  <c r="K24" i="66"/>
  <c r="M24" i="66" s="1"/>
  <c r="J24" i="66"/>
  <c r="H24" i="66"/>
  <c r="P24" i="66" s="1"/>
  <c r="G24" i="66"/>
  <c r="E24" i="66"/>
  <c r="O23" i="66"/>
  <c r="J23" i="66"/>
  <c r="K23" i="66" s="1"/>
  <c r="M23" i="66" s="1"/>
  <c r="H23" i="66"/>
  <c r="I23" i="66" s="1"/>
  <c r="G23" i="66"/>
  <c r="E23" i="66"/>
  <c r="O22" i="66"/>
  <c r="J22" i="66"/>
  <c r="K22" i="66" s="1"/>
  <c r="M22" i="66" s="1"/>
  <c r="I22" i="66"/>
  <c r="H22" i="66"/>
  <c r="P22" i="66" s="1"/>
  <c r="G22" i="66"/>
  <c r="E22" i="66"/>
  <c r="P21" i="66"/>
  <c r="O21" i="66"/>
  <c r="K21" i="66"/>
  <c r="M21" i="66" s="1"/>
  <c r="Q21" i="66" s="1"/>
  <c r="J21" i="66"/>
  <c r="I21" i="66"/>
  <c r="H21" i="66"/>
  <c r="G21" i="66"/>
  <c r="E21" i="66"/>
  <c r="O20" i="66"/>
  <c r="K20" i="66"/>
  <c r="M20" i="66" s="1"/>
  <c r="J20" i="66"/>
  <c r="H20" i="66"/>
  <c r="P20" i="66" s="1"/>
  <c r="G20" i="66"/>
  <c r="E20" i="66"/>
  <c r="O19" i="66"/>
  <c r="Q19" i="66" s="1"/>
  <c r="J19" i="66"/>
  <c r="K19" i="66" s="1"/>
  <c r="M19" i="66" s="1"/>
  <c r="H19" i="66"/>
  <c r="I19" i="66" s="1"/>
  <c r="G19" i="66"/>
  <c r="E19" i="66"/>
  <c r="O18" i="66"/>
  <c r="Q18" i="66" s="1"/>
  <c r="J18" i="66"/>
  <c r="K18" i="66" s="1"/>
  <c r="M18" i="66" s="1"/>
  <c r="I18" i="66"/>
  <c r="H18" i="66"/>
  <c r="G18" i="66"/>
  <c r="E18" i="66"/>
  <c r="J17" i="66"/>
  <c r="H17" i="66"/>
  <c r="E17" i="66"/>
  <c r="O190" i="65"/>
  <c r="L190" i="65"/>
  <c r="K190" i="65"/>
  <c r="M190" i="65" s="1"/>
  <c r="J190" i="65"/>
  <c r="I190" i="65"/>
  <c r="H190" i="65"/>
  <c r="P190" i="65" s="1"/>
  <c r="G190" i="65"/>
  <c r="E190" i="65"/>
  <c r="O189" i="65"/>
  <c r="L189" i="65"/>
  <c r="K189" i="65"/>
  <c r="J189" i="65"/>
  <c r="H189" i="65"/>
  <c r="I189" i="65" s="1"/>
  <c r="G189" i="65"/>
  <c r="E189" i="65"/>
  <c r="P188" i="65"/>
  <c r="O188" i="65"/>
  <c r="L188" i="65"/>
  <c r="K188" i="65"/>
  <c r="M188" i="65" s="1"/>
  <c r="J188" i="65"/>
  <c r="I188" i="65"/>
  <c r="H188" i="65"/>
  <c r="G188" i="65"/>
  <c r="E188" i="65"/>
  <c r="O187" i="65"/>
  <c r="L187" i="65"/>
  <c r="J187" i="65"/>
  <c r="K187" i="65" s="1"/>
  <c r="M187" i="65" s="1"/>
  <c r="I187" i="65"/>
  <c r="H187" i="65"/>
  <c r="G187" i="65"/>
  <c r="E187" i="65"/>
  <c r="P186" i="65"/>
  <c r="O186" i="65"/>
  <c r="M186" i="65"/>
  <c r="L186" i="65"/>
  <c r="J186" i="65"/>
  <c r="K186" i="65" s="1"/>
  <c r="I186" i="65"/>
  <c r="H186" i="65"/>
  <c r="G186" i="65"/>
  <c r="E186" i="65"/>
  <c r="O185" i="65"/>
  <c r="L185" i="65"/>
  <c r="J185" i="65"/>
  <c r="K185" i="65" s="1"/>
  <c r="M185" i="65" s="1"/>
  <c r="H185" i="65"/>
  <c r="G185" i="65"/>
  <c r="E185" i="65"/>
  <c r="P184" i="65"/>
  <c r="O184" i="65"/>
  <c r="L184" i="65"/>
  <c r="K184" i="65"/>
  <c r="M184" i="65" s="1"/>
  <c r="Q184" i="65" s="1"/>
  <c r="J184" i="65"/>
  <c r="H184" i="65"/>
  <c r="I184" i="65" s="1"/>
  <c r="G184" i="65"/>
  <c r="E184" i="65"/>
  <c r="O183" i="65"/>
  <c r="Q183" i="65" s="1"/>
  <c r="L183" i="65"/>
  <c r="J183" i="65"/>
  <c r="K183" i="65" s="1"/>
  <c r="M183" i="65" s="1"/>
  <c r="H183" i="65"/>
  <c r="I183" i="65" s="1"/>
  <c r="G183" i="65"/>
  <c r="E183" i="65"/>
  <c r="O182" i="65"/>
  <c r="L182" i="65"/>
  <c r="K182" i="65"/>
  <c r="M182" i="65" s="1"/>
  <c r="J182" i="65"/>
  <c r="I182" i="65"/>
  <c r="H182" i="65"/>
  <c r="P182" i="65" s="1"/>
  <c r="G182" i="65"/>
  <c r="E182" i="65"/>
  <c r="O181" i="65"/>
  <c r="L181" i="65"/>
  <c r="K181" i="65"/>
  <c r="M181" i="65" s="1"/>
  <c r="J181" i="65"/>
  <c r="H181" i="65"/>
  <c r="I181" i="65" s="1"/>
  <c r="G181" i="65"/>
  <c r="E181" i="65"/>
  <c r="P180" i="65"/>
  <c r="O180" i="65"/>
  <c r="L180" i="65"/>
  <c r="K180" i="65"/>
  <c r="M180" i="65" s="1"/>
  <c r="J180" i="65"/>
  <c r="I180" i="65"/>
  <c r="H180" i="65"/>
  <c r="G180" i="65"/>
  <c r="E180" i="65"/>
  <c r="O179" i="65"/>
  <c r="L179" i="65"/>
  <c r="J179" i="65"/>
  <c r="K179" i="65" s="1"/>
  <c r="M179" i="65" s="1"/>
  <c r="I179" i="65"/>
  <c r="H179" i="65"/>
  <c r="G179" i="65"/>
  <c r="E179" i="65"/>
  <c r="P178" i="65"/>
  <c r="O178" i="65"/>
  <c r="M178" i="65"/>
  <c r="Q178" i="65" s="1"/>
  <c r="L178" i="65"/>
  <c r="J178" i="65"/>
  <c r="K178" i="65" s="1"/>
  <c r="I178" i="65"/>
  <c r="H178" i="65"/>
  <c r="G178" i="65"/>
  <c r="E178" i="65"/>
  <c r="O177" i="65"/>
  <c r="L177" i="65"/>
  <c r="J177" i="65"/>
  <c r="K177" i="65" s="1"/>
  <c r="M177" i="65" s="1"/>
  <c r="H177" i="65"/>
  <c r="G177" i="65"/>
  <c r="E177" i="65"/>
  <c r="O176" i="65"/>
  <c r="L176" i="65"/>
  <c r="K176" i="65"/>
  <c r="M176" i="65" s="1"/>
  <c r="Q176" i="65" s="1"/>
  <c r="J176" i="65"/>
  <c r="P176" i="65" s="1"/>
  <c r="H176" i="65"/>
  <c r="I176" i="65" s="1"/>
  <c r="G176" i="65"/>
  <c r="E176" i="65"/>
  <c r="O175" i="65"/>
  <c r="L175" i="65"/>
  <c r="J175" i="65"/>
  <c r="K175" i="65" s="1"/>
  <c r="M175" i="65" s="1"/>
  <c r="H175" i="65"/>
  <c r="I175" i="65" s="1"/>
  <c r="G175" i="65"/>
  <c r="E175" i="65"/>
  <c r="O174" i="65"/>
  <c r="L174" i="65"/>
  <c r="K174" i="65"/>
  <c r="M174" i="65" s="1"/>
  <c r="Q174" i="65" s="1"/>
  <c r="J174" i="65"/>
  <c r="I174" i="65"/>
  <c r="H174" i="65"/>
  <c r="P174" i="65" s="1"/>
  <c r="G174" i="65"/>
  <c r="E174" i="65"/>
  <c r="O173" i="65"/>
  <c r="L173" i="65"/>
  <c r="K173" i="65"/>
  <c r="J173" i="65"/>
  <c r="H173" i="65"/>
  <c r="I173" i="65" s="1"/>
  <c r="G173" i="65"/>
  <c r="E173" i="65"/>
  <c r="P172" i="65"/>
  <c r="O172" i="65"/>
  <c r="L172" i="65"/>
  <c r="K172" i="65"/>
  <c r="M172" i="65" s="1"/>
  <c r="J172" i="65"/>
  <c r="I172" i="65"/>
  <c r="H172" i="65"/>
  <c r="G172" i="65"/>
  <c r="E172" i="65"/>
  <c r="O171" i="65"/>
  <c r="Q171" i="65" s="1"/>
  <c r="L171" i="65"/>
  <c r="P171" i="65" s="1"/>
  <c r="J171" i="65"/>
  <c r="K171" i="65" s="1"/>
  <c r="M171" i="65" s="1"/>
  <c r="I171" i="65"/>
  <c r="H171" i="65"/>
  <c r="G171" i="65"/>
  <c r="E171" i="65"/>
  <c r="P170" i="65"/>
  <c r="O170" i="65"/>
  <c r="M170" i="65"/>
  <c r="Q170" i="65" s="1"/>
  <c r="L170" i="65"/>
  <c r="J170" i="65"/>
  <c r="K170" i="65" s="1"/>
  <c r="I170" i="65"/>
  <c r="H170" i="65"/>
  <c r="G170" i="65"/>
  <c r="E170" i="65"/>
  <c r="O169" i="65"/>
  <c r="L169" i="65"/>
  <c r="J169" i="65"/>
  <c r="K169" i="65" s="1"/>
  <c r="M169" i="65" s="1"/>
  <c r="H169" i="65"/>
  <c r="G169" i="65"/>
  <c r="E169" i="65"/>
  <c r="O168" i="65"/>
  <c r="L168" i="65"/>
  <c r="K168" i="65"/>
  <c r="M168" i="65" s="1"/>
  <c r="Q168" i="65" s="1"/>
  <c r="J168" i="65"/>
  <c r="P168" i="65" s="1"/>
  <c r="H168" i="65"/>
  <c r="I168" i="65" s="1"/>
  <c r="G168" i="65"/>
  <c r="E168" i="65"/>
  <c r="O167" i="65"/>
  <c r="Q167" i="65" s="1"/>
  <c r="L167" i="65"/>
  <c r="J167" i="65"/>
  <c r="K167" i="65" s="1"/>
  <c r="M167" i="65" s="1"/>
  <c r="H167" i="65"/>
  <c r="I167" i="65" s="1"/>
  <c r="G167" i="65"/>
  <c r="E167" i="65"/>
  <c r="O166" i="65"/>
  <c r="L166" i="65"/>
  <c r="K166" i="65"/>
  <c r="M166" i="65" s="1"/>
  <c r="Q166" i="65" s="1"/>
  <c r="J166" i="65"/>
  <c r="I166" i="65"/>
  <c r="H166" i="65"/>
  <c r="P166" i="65" s="1"/>
  <c r="G166" i="65"/>
  <c r="E166" i="65"/>
  <c r="O165" i="65"/>
  <c r="L165" i="65"/>
  <c r="K165" i="65"/>
  <c r="M165" i="65" s="1"/>
  <c r="J165" i="65"/>
  <c r="H165" i="65"/>
  <c r="I165" i="65" s="1"/>
  <c r="G165" i="65"/>
  <c r="E165" i="65"/>
  <c r="P164" i="65"/>
  <c r="O164" i="65"/>
  <c r="L164" i="65"/>
  <c r="K164" i="65"/>
  <c r="M164" i="65" s="1"/>
  <c r="J164" i="65"/>
  <c r="I164" i="65"/>
  <c r="H164" i="65"/>
  <c r="G164" i="65"/>
  <c r="E164" i="65"/>
  <c r="O163" i="65"/>
  <c r="L163" i="65"/>
  <c r="J163" i="65"/>
  <c r="K163" i="65" s="1"/>
  <c r="M163" i="65" s="1"/>
  <c r="I163" i="65"/>
  <c r="H163" i="65"/>
  <c r="G163" i="65"/>
  <c r="E163" i="65"/>
  <c r="P162" i="65"/>
  <c r="O162" i="65"/>
  <c r="M162" i="65"/>
  <c r="Q162" i="65" s="1"/>
  <c r="L162" i="65"/>
  <c r="J162" i="65"/>
  <c r="K162" i="65" s="1"/>
  <c r="I162" i="65"/>
  <c r="H162" i="65"/>
  <c r="G162" i="65"/>
  <c r="E162" i="65"/>
  <c r="O161" i="65"/>
  <c r="L161" i="65"/>
  <c r="J161" i="65"/>
  <c r="K161" i="65" s="1"/>
  <c r="M161" i="65" s="1"/>
  <c r="H161" i="65"/>
  <c r="G161" i="65"/>
  <c r="E161" i="65"/>
  <c r="O160" i="65"/>
  <c r="L160" i="65"/>
  <c r="K160" i="65"/>
  <c r="M160" i="65" s="1"/>
  <c r="Q160" i="65" s="1"/>
  <c r="J160" i="65"/>
  <c r="P160" i="65" s="1"/>
  <c r="H160" i="65"/>
  <c r="I160" i="65" s="1"/>
  <c r="G160" i="65"/>
  <c r="E160" i="65"/>
  <c r="O159" i="65"/>
  <c r="L159" i="65"/>
  <c r="J159" i="65"/>
  <c r="K159" i="65" s="1"/>
  <c r="M159" i="65" s="1"/>
  <c r="H159" i="65"/>
  <c r="I159" i="65" s="1"/>
  <c r="G159" i="65"/>
  <c r="E159" i="65"/>
  <c r="O158" i="65"/>
  <c r="L158" i="65"/>
  <c r="K158" i="65"/>
  <c r="M158" i="65" s="1"/>
  <c r="Q158" i="65" s="1"/>
  <c r="J158" i="65"/>
  <c r="I158" i="65"/>
  <c r="H158" i="65"/>
  <c r="P158" i="65" s="1"/>
  <c r="G158" i="65"/>
  <c r="E158" i="65"/>
  <c r="O157" i="65"/>
  <c r="L157" i="65"/>
  <c r="K157" i="65"/>
  <c r="J157" i="65"/>
  <c r="H157" i="65"/>
  <c r="I157" i="65" s="1"/>
  <c r="G157" i="65"/>
  <c r="E157" i="65"/>
  <c r="P156" i="65"/>
  <c r="O156" i="65"/>
  <c r="L156" i="65"/>
  <c r="K156" i="65"/>
  <c r="M156" i="65" s="1"/>
  <c r="J156" i="65"/>
  <c r="I156" i="65"/>
  <c r="H156" i="65"/>
  <c r="G156" i="65"/>
  <c r="E156" i="65"/>
  <c r="O155" i="65"/>
  <c r="Q155" i="65" s="1"/>
  <c r="L155" i="65"/>
  <c r="P155" i="65" s="1"/>
  <c r="J155" i="65"/>
  <c r="K155" i="65" s="1"/>
  <c r="M155" i="65" s="1"/>
  <c r="I155" i="65"/>
  <c r="H155" i="65"/>
  <c r="G155" i="65"/>
  <c r="E155" i="65"/>
  <c r="P154" i="65"/>
  <c r="O154" i="65"/>
  <c r="M154" i="65"/>
  <c r="Q154" i="65" s="1"/>
  <c r="L154" i="65"/>
  <c r="J154" i="65"/>
  <c r="K154" i="65" s="1"/>
  <c r="I154" i="65"/>
  <c r="H154" i="65"/>
  <c r="G154" i="65"/>
  <c r="E154" i="65"/>
  <c r="O153" i="65"/>
  <c r="L153" i="65"/>
  <c r="J153" i="65"/>
  <c r="K153" i="65" s="1"/>
  <c r="M153" i="65" s="1"/>
  <c r="H153" i="65"/>
  <c r="G153" i="65"/>
  <c r="E153" i="65"/>
  <c r="O152" i="65"/>
  <c r="L152" i="65"/>
  <c r="K152" i="65"/>
  <c r="M152" i="65" s="1"/>
  <c r="Q152" i="65" s="1"/>
  <c r="J152" i="65"/>
  <c r="P152" i="65" s="1"/>
  <c r="H152" i="65"/>
  <c r="I152" i="65" s="1"/>
  <c r="G152" i="65"/>
  <c r="E152" i="65"/>
  <c r="O151" i="65"/>
  <c r="Q151" i="65" s="1"/>
  <c r="L151" i="65"/>
  <c r="J151" i="65"/>
  <c r="K151" i="65" s="1"/>
  <c r="M151" i="65" s="1"/>
  <c r="H151" i="65"/>
  <c r="I151" i="65" s="1"/>
  <c r="G151" i="65"/>
  <c r="E151" i="65"/>
  <c r="O150" i="65"/>
  <c r="L150" i="65"/>
  <c r="K150" i="65"/>
  <c r="M150" i="65" s="1"/>
  <c r="Q150" i="65" s="1"/>
  <c r="J150" i="65"/>
  <c r="I150" i="65"/>
  <c r="H150" i="65"/>
  <c r="P150" i="65" s="1"/>
  <c r="G150" i="65"/>
  <c r="E150" i="65"/>
  <c r="O149" i="65"/>
  <c r="L149" i="65"/>
  <c r="K149" i="65"/>
  <c r="M149" i="65" s="1"/>
  <c r="J149" i="65"/>
  <c r="I149" i="65"/>
  <c r="H149" i="65"/>
  <c r="G149" i="65"/>
  <c r="E149" i="65"/>
  <c r="P148" i="65"/>
  <c r="O148" i="65"/>
  <c r="Q148" i="65" s="1"/>
  <c r="L148" i="65"/>
  <c r="K148" i="65"/>
  <c r="M148" i="65" s="1"/>
  <c r="J148" i="65"/>
  <c r="I148" i="65"/>
  <c r="H148" i="65"/>
  <c r="G148" i="65"/>
  <c r="E148" i="65"/>
  <c r="O147" i="65"/>
  <c r="Q147" i="65" s="1"/>
  <c r="L147" i="65"/>
  <c r="P147" i="65" s="1"/>
  <c r="J147" i="65"/>
  <c r="K147" i="65" s="1"/>
  <c r="M147" i="65" s="1"/>
  <c r="I147" i="65"/>
  <c r="H147" i="65"/>
  <c r="G147" i="65"/>
  <c r="E147" i="65"/>
  <c r="P146" i="65"/>
  <c r="O146" i="65"/>
  <c r="M146" i="65"/>
  <c r="Q146" i="65" s="1"/>
  <c r="L146" i="65"/>
  <c r="J146" i="65"/>
  <c r="K146" i="65" s="1"/>
  <c r="I146" i="65"/>
  <c r="H146" i="65"/>
  <c r="G146" i="65"/>
  <c r="E146" i="65"/>
  <c r="O145" i="65"/>
  <c r="L145" i="65"/>
  <c r="J145" i="65"/>
  <c r="K145" i="65" s="1"/>
  <c r="M145" i="65" s="1"/>
  <c r="H145" i="65"/>
  <c r="G145" i="65"/>
  <c r="E145" i="65"/>
  <c r="O144" i="65"/>
  <c r="L144" i="65"/>
  <c r="K144" i="65"/>
  <c r="M144" i="65" s="1"/>
  <c r="Q144" i="65" s="1"/>
  <c r="J144" i="65"/>
  <c r="H144" i="65"/>
  <c r="I144" i="65" s="1"/>
  <c r="G144" i="65"/>
  <c r="E144" i="65"/>
  <c r="O143" i="65"/>
  <c r="L143" i="65"/>
  <c r="K143" i="65"/>
  <c r="M143" i="65" s="1"/>
  <c r="J143" i="65"/>
  <c r="H143" i="65"/>
  <c r="I143" i="65" s="1"/>
  <c r="G143" i="65"/>
  <c r="E143" i="65"/>
  <c r="O142" i="65"/>
  <c r="L142" i="65"/>
  <c r="K142" i="65"/>
  <c r="M142" i="65" s="1"/>
  <c r="J142" i="65"/>
  <c r="I142" i="65"/>
  <c r="H142" i="65"/>
  <c r="P142" i="65" s="1"/>
  <c r="G142" i="65"/>
  <c r="E142" i="65"/>
  <c r="O141" i="65"/>
  <c r="L141" i="65"/>
  <c r="K141" i="65"/>
  <c r="J141" i="65"/>
  <c r="I141" i="65"/>
  <c r="H141" i="65"/>
  <c r="P141" i="65" s="1"/>
  <c r="G141" i="65"/>
  <c r="E141" i="65"/>
  <c r="P140" i="65"/>
  <c r="O140" i="65"/>
  <c r="L140" i="65"/>
  <c r="K140" i="65"/>
  <c r="M140" i="65" s="1"/>
  <c r="J140" i="65"/>
  <c r="I140" i="65"/>
  <c r="H140" i="65"/>
  <c r="G140" i="65"/>
  <c r="E140" i="65"/>
  <c r="O139" i="65"/>
  <c r="L139" i="65"/>
  <c r="J139" i="65"/>
  <c r="K139" i="65" s="1"/>
  <c r="M139" i="65" s="1"/>
  <c r="I139" i="65"/>
  <c r="H139" i="65"/>
  <c r="G139" i="65"/>
  <c r="E139" i="65"/>
  <c r="O138" i="65"/>
  <c r="L138" i="65"/>
  <c r="J138" i="65"/>
  <c r="K138" i="65" s="1"/>
  <c r="M138" i="65" s="1"/>
  <c r="Q138" i="65" s="1"/>
  <c r="I138" i="65"/>
  <c r="H138" i="65"/>
  <c r="G138" i="65"/>
  <c r="E138" i="65"/>
  <c r="O137" i="65"/>
  <c r="L137" i="65"/>
  <c r="J137" i="65"/>
  <c r="K137" i="65" s="1"/>
  <c r="M137" i="65" s="1"/>
  <c r="H137" i="65"/>
  <c r="G137" i="65"/>
  <c r="E137" i="65"/>
  <c r="O136" i="65"/>
  <c r="L136" i="65"/>
  <c r="K136" i="65"/>
  <c r="M136" i="65" s="1"/>
  <c r="J136" i="65"/>
  <c r="H136" i="65"/>
  <c r="I136" i="65" s="1"/>
  <c r="G136" i="65"/>
  <c r="E136" i="65"/>
  <c r="O135" i="65"/>
  <c r="L135" i="65"/>
  <c r="K135" i="65"/>
  <c r="M135" i="65" s="1"/>
  <c r="J135" i="65"/>
  <c r="H135" i="65"/>
  <c r="G135" i="65"/>
  <c r="E135" i="65"/>
  <c r="O134" i="65"/>
  <c r="Q134" i="65" s="1"/>
  <c r="L134" i="65"/>
  <c r="K134" i="65"/>
  <c r="M134" i="65" s="1"/>
  <c r="J134" i="65"/>
  <c r="I134" i="65"/>
  <c r="H134" i="65"/>
  <c r="P134" i="65" s="1"/>
  <c r="G134" i="65"/>
  <c r="E134" i="65"/>
  <c r="O133" i="65"/>
  <c r="L133" i="65"/>
  <c r="K133" i="65"/>
  <c r="J133" i="65"/>
  <c r="I133" i="65"/>
  <c r="H133" i="65"/>
  <c r="P133" i="65" s="1"/>
  <c r="G133" i="65"/>
  <c r="E133" i="65"/>
  <c r="P132" i="65"/>
  <c r="O132" i="65"/>
  <c r="L132" i="65"/>
  <c r="K132" i="65"/>
  <c r="J132" i="65"/>
  <c r="I132" i="65"/>
  <c r="H132" i="65"/>
  <c r="G132" i="65"/>
  <c r="E132" i="65"/>
  <c r="P131" i="65"/>
  <c r="O131" i="65"/>
  <c r="L131" i="65"/>
  <c r="J131" i="65"/>
  <c r="K131" i="65" s="1"/>
  <c r="I131" i="65"/>
  <c r="H131" i="65"/>
  <c r="G131" i="65"/>
  <c r="E131" i="65"/>
  <c r="O130" i="65"/>
  <c r="L130" i="65"/>
  <c r="J130" i="65"/>
  <c r="K130" i="65" s="1"/>
  <c r="M130" i="65" s="1"/>
  <c r="Q130" i="65" s="1"/>
  <c r="I130" i="65"/>
  <c r="H130" i="65"/>
  <c r="G130" i="65"/>
  <c r="E130" i="65"/>
  <c r="O129" i="65"/>
  <c r="L129" i="65"/>
  <c r="J129" i="65"/>
  <c r="K129" i="65" s="1"/>
  <c r="M129" i="65" s="1"/>
  <c r="H129" i="65"/>
  <c r="G129" i="65"/>
  <c r="E129" i="65"/>
  <c r="O128" i="65"/>
  <c r="L128" i="65"/>
  <c r="K128" i="65"/>
  <c r="M128" i="65" s="1"/>
  <c r="J128" i="65"/>
  <c r="H128" i="65"/>
  <c r="G128" i="65"/>
  <c r="E128" i="65"/>
  <c r="O127" i="65"/>
  <c r="L127" i="65"/>
  <c r="K127" i="65"/>
  <c r="M127" i="65" s="1"/>
  <c r="J127" i="65"/>
  <c r="H127" i="65"/>
  <c r="G127" i="65"/>
  <c r="E127" i="65"/>
  <c r="O126" i="65"/>
  <c r="L126" i="65"/>
  <c r="K126" i="65"/>
  <c r="M126" i="65" s="1"/>
  <c r="J126" i="65"/>
  <c r="I126" i="65"/>
  <c r="H126" i="65"/>
  <c r="P126" i="65" s="1"/>
  <c r="G126" i="65"/>
  <c r="E126" i="65"/>
  <c r="O125" i="65"/>
  <c r="L125" i="65"/>
  <c r="K125" i="65"/>
  <c r="M125" i="65" s="1"/>
  <c r="J125" i="65"/>
  <c r="I125" i="65"/>
  <c r="H125" i="65"/>
  <c r="P125" i="65" s="1"/>
  <c r="G125" i="65"/>
  <c r="E125" i="65"/>
  <c r="O124" i="65"/>
  <c r="L124" i="65"/>
  <c r="P124" i="65" s="1"/>
  <c r="K124" i="65"/>
  <c r="M124" i="65" s="1"/>
  <c r="J124" i="65"/>
  <c r="I124" i="65"/>
  <c r="H124" i="65"/>
  <c r="G124" i="65"/>
  <c r="E124" i="65"/>
  <c r="O123" i="65"/>
  <c r="L123" i="65"/>
  <c r="P123" i="65" s="1"/>
  <c r="J123" i="65"/>
  <c r="K123" i="65" s="1"/>
  <c r="I123" i="65"/>
  <c r="H123" i="65"/>
  <c r="G123" i="65"/>
  <c r="E123" i="65"/>
  <c r="O122" i="65"/>
  <c r="M122" i="65"/>
  <c r="Q122" i="65" s="1"/>
  <c r="L122" i="65"/>
  <c r="J122" i="65"/>
  <c r="K122" i="65" s="1"/>
  <c r="I122" i="65"/>
  <c r="H122" i="65"/>
  <c r="G122" i="65"/>
  <c r="E122" i="65"/>
  <c r="Q121" i="65"/>
  <c r="P121" i="65"/>
  <c r="O121" i="65"/>
  <c r="M121" i="65"/>
  <c r="L121" i="65"/>
  <c r="J121" i="65"/>
  <c r="K121" i="65" s="1"/>
  <c r="H121" i="65"/>
  <c r="I121" i="65" s="1"/>
  <c r="G121" i="65"/>
  <c r="E121" i="65"/>
  <c r="O120" i="65"/>
  <c r="M120" i="65"/>
  <c r="L120" i="65"/>
  <c r="K120" i="65"/>
  <c r="J120" i="65"/>
  <c r="H120" i="65"/>
  <c r="G120" i="65"/>
  <c r="E120" i="65"/>
  <c r="O119" i="65"/>
  <c r="M119" i="65"/>
  <c r="L119" i="65"/>
  <c r="K119" i="65"/>
  <c r="J119" i="65"/>
  <c r="H119" i="65"/>
  <c r="G119" i="65"/>
  <c r="E119" i="65"/>
  <c r="O118" i="65"/>
  <c r="L118" i="65"/>
  <c r="K118" i="65"/>
  <c r="M118" i="65" s="1"/>
  <c r="J118" i="65"/>
  <c r="H118" i="65"/>
  <c r="G118" i="65"/>
  <c r="E118" i="65"/>
  <c r="O117" i="65"/>
  <c r="L117" i="65"/>
  <c r="K117" i="65"/>
  <c r="J117" i="65"/>
  <c r="I117" i="65"/>
  <c r="H117" i="65"/>
  <c r="P117" i="65" s="1"/>
  <c r="G117" i="65"/>
  <c r="E117" i="65"/>
  <c r="P116" i="65"/>
  <c r="O116" i="65"/>
  <c r="L116" i="65"/>
  <c r="K116" i="65"/>
  <c r="J116" i="65"/>
  <c r="I116" i="65"/>
  <c r="H116" i="65"/>
  <c r="G116" i="65"/>
  <c r="E116" i="65"/>
  <c r="O115" i="65"/>
  <c r="L115" i="65"/>
  <c r="J115" i="65"/>
  <c r="K115" i="65" s="1"/>
  <c r="M115" i="65" s="1"/>
  <c r="I115" i="65"/>
  <c r="H115" i="65"/>
  <c r="G115" i="65"/>
  <c r="E115" i="65"/>
  <c r="O114" i="65"/>
  <c r="L114" i="65"/>
  <c r="J114" i="65"/>
  <c r="K114" i="65" s="1"/>
  <c r="M114" i="65" s="1"/>
  <c r="Q114" i="65" s="1"/>
  <c r="I114" i="65"/>
  <c r="H114" i="65"/>
  <c r="G114" i="65"/>
  <c r="E114" i="65"/>
  <c r="O113" i="65"/>
  <c r="M113" i="65"/>
  <c r="Q113" i="65" s="1"/>
  <c r="L113" i="65"/>
  <c r="J113" i="65"/>
  <c r="K113" i="65" s="1"/>
  <c r="H113" i="65"/>
  <c r="I113" i="65" s="1"/>
  <c r="G113" i="65"/>
  <c r="E113" i="65"/>
  <c r="O112" i="65"/>
  <c r="M112" i="65"/>
  <c r="L112" i="65"/>
  <c r="K112" i="65"/>
  <c r="J112" i="65"/>
  <c r="H112" i="65"/>
  <c r="G112" i="65"/>
  <c r="E112" i="65"/>
  <c r="O111" i="65"/>
  <c r="L111" i="65"/>
  <c r="K111" i="65"/>
  <c r="M111" i="65" s="1"/>
  <c r="J111" i="65"/>
  <c r="H111" i="65"/>
  <c r="G111" i="65"/>
  <c r="E111" i="65"/>
  <c r="Q110" i="65"/>
  <c r="O110" i="65"/>
  <c r="L110" i="65"/>
  <c r="K110" i="65"/>
  <c r="M110" i="65" s="1"/>
  <c r="J110" i="65"/>
  <c r="I110" i="65"/>
  <c r="H110" i="65"/>
  <c r="P110" i="65" s="1"/>
  <c r="G110" i="65"/>
  <c r="E110" i="65"/>
  <c r="O109" i="65"/>
  <c r="L109" i="65"/>
  <c r="K109" i="65"/>
  <c r="J109" i="65"/>
  <c r="I109" i="65"/>
  <c r="H109" i="65"/>
  <c r="G109" i="65"/>
  <c r="E109" i="65"/>
  <c r="O108" i="65"/>
  <c r="L108" i="65"/>
  <c r="P108" i="65" s="1"/>
  <c r="K108" i="65"/>
  <c r="J108" i="65"/>
  <c r="I108" i="65"/>
  <c r="H108" i="65"/>
  <c r="G108" i="65"/>
  <c r="E108" i="65"/>
  <c r="P107" i="65"/>
  <c r="O107" i="65"/>
  <c r="L107" i="65"/>
  <c r="J107" i="65"/>
  <c r="K107" i="65" s="1"/>
  <c r="I107" i="65"/>
  <c r="H107" i="65"/>
  <c r="G107" i="65"/>
  <c r="E107" i="65"/>
  <c r="P106" i="65"/>
  <c r="O106" i="65"/>
  <c r="M106" i="65"/>
  <c r="L106" i="65"/>
  <c r="J106" i="65"/>
  <c r="K106" i="65" s="1"/>
  <c r="I106" i="65"/>
  <c r="H106" i="65"/>
  <c r="G106" i="65"/>
  <c r="E106" i="65"/>
  <c r="O105" i="65"/>
  <c r="L105" i="65"/>
  <c r="J105" i="65"/>
  <c r="K105" i="65" s="1"/>
  <c r="M105" i="65" s="1"/>
  <c r="Q105" i="65" s="1"/>
  <c r="H105" i="65"/>
  <c r="I105" i="65" s="1"/>
  <c r="G105" i="65"/>
  <c r="E105" i="65"/>
  <c r="O104" i="65"/>
  <c r="L104" i="65"/>
  <c r="J104" i="65"/>
  <c r="K104" i="65" s="1"/>
  <c r="M104" i="65" s="1"/>
  <c r="Q104" i="65" s="1"/>
  <c r="H104" i="65"/>
  <c r="I104" i="65" s="1"/>
  <c r="G104" i="65"/>
  <c r="E104" i="65"/>
  <c r="O103" i="65"/>
  <c r="M103" i="65"/>
  <c r="L103" i="65"/>
  <c r="K103" i="65"/>
  <c r="J103" i="65"/>
  <c r="H103" i="65"/>
  <c r="G103" i="65"/>
  <c r="E103" i="65"/>
  <c r="O102" i="65"/>
  <c r="M102" i="65"/>
  <c r="L102" i="65"/>
  <c r="K102" i="65"/>
  <c r="J102" i="65"/>
  <c r="H102" i="65"/>
  <c r="P102" i="65" s="1"/>
  <c r="G102" i="65"/>
  <c r="E102" i="65"/>
  <c r="O101" i="65"/>
  <c r="L101" i="65"/>
  <c r="K101" i="65"/>
  <c r="J101" i="65"/>
  <c r="H101" i="65"/>
  <c r="P101" i="65" s="1"/>
  <c r="G101" i="65"/>
  <c r="E101" i="65"/>
  <c r="P100" i="65"/>
  <c r="O100" i="65"/>
  <c r="L100" i="65"/>
  <c r="K100" i="65"/>
  <c r="J100" i="65"/>
  <c r="I100" i="65"/>
  <c r="H100" i="65"/>
  <c r="G100" i="65"/>
  <c r="E100" i="65"/>
  <c r="P99" i="65"/>
  <c r="O99" i="65"/>
  <c r="L99" i="65"/>
  <c r="J99" i="65"/>
  <c r="K99" i="65" s="1"/>
  <c r="M99" i="65" s="1"/>
  <c r="I99" i="65"/>
  <c r="H99" i="65"/>
  <c r="G99" i="65"/>
  <c r="E99" i="65"/>
  <c r="O98" i="65"/>
  <c r="L98" i="65"/>
  <c r="J98" i="65"/>
  <c r="K98" i="65" s="1"/>
  <c r="M98" i="65" s="1"/>
  <c r="Q98" i="65" s="1"/>
  <c r="I98" i="65"/>
  <c r="H98" i="65"/>
  <c r="G98" i="65"/>
  <c r="E98" i="65"/>
  <c r="O97" i="65"/>
  <c r="L97" i="65"/>
  <c r="M97" i="65" s="1"/>
  <c r="Q97" i="65" s="1"/>
  <c r="J97" i="65"/>
  <c r="K97" i="65" s="1"/>
  <c r="H97" i="65"/>
  <c r="I97" i="65" s="1"/>
  <c r="G97" i="65"/>
  <c r="E97" i="65"/>
  <c r="O96" i="65"/>
  <c r="M96" i="65"/>
  <c r="Q96" i="65" s="1"/>
  <c r="L96" i="65"/>
  <c r="K96" i="65"/>
  <c r="J96" i="65"/>
  <c r="H96" i="65"/>
  <c r="I96" i="65" s="1"/>
  <c r="G96" i="65"/>
  <c r="E96" i="65"/>
  <c r="O95" i="65"/>
  <c r="M95" i="65"/>
  <c r="L95" i="65"/>
  <c r="K95" i="65"/>
  <c r="J95" i="65"/>
  <c r="H95" i="65"/>
  <c r="G95" i="65"/>
  <c r="E95" i="65"/>
  <c r="O94" i="65"/>
  <c r="M94" i="65"/>
  <c r="L94" i="65"/>
  <c r="K94" i="65"/>
  <c r="J94" i="65"/>
  <c r="H94" i="65"/>
  <c r="G94" i="65"/>
  <c r="E94" i="65"/>
  <c r="O93" i="65"/>
  <c r="L93" i="65"/>
  <c r="K93" i="65"/>
  <c r="M93" i="65" s="1"/>
  <c r="Q93" i="65" s="1"/>
  <c r="J93" i="65"/>
  <c r="H93" i="65"/>
  <c r="I93" i="65" s="1"/>
  <c r="G93" i="65"/>
  <c r="E93" i="65"/>
  <c r="O92" i="65"/>
  <c r="L92" i="65"/>
  <c r="P92" i="65" s="1"/>
  <c r="K92" i="65"/>
  <c r="M92" i="65" s="1"/>
  <c r="J92" i="65"/>
  <c r="I92" i="65"/>
  <c r="H92" i="65"/>
  <c r="G92" i="65"/>
  <c r="E92" i="65"/>
  <c r="O91" i="65"/>
  <c r="M91" i="65"/>
  <c r="L91" i="65"/>
  <c r="P91" i="65" s="1"/>
  <c r="J91" i="65"/>
  <c r="K91" i="65" s="1"/>
  <c r="I91" i="65"/>
  <c r="H91" i="65"/>
  <c r="G91" i="65"/>
  <c r="E91" i="65"/>
  <c r="P90" i="65"/>
  <c r="O90" i="65"/>
  <c r="M90" i="65"/>
  <c r="L90" i="65"/>
  <c r="J90" i="65"/>
  <c r="K90" i="65" s="1"/>
  <c r="H90" i="65"/>
  <c r="I90" i="65" s="1"/>
  <c r="Q90" i="65" s="1"/>
  <c r="G90" i="65"/>
  <c r="E90" i="65"/>
  <c r="O89" i="65"/>
  <c r="L89" i="65"/>
  <c r="J89" i="65"/>
  <c r="K89" i="65" s="1"/>
  <c r="M89" i="65" s="1"/>
  <c r="H89" i="65"/>
  <c r="G89" i="65"/>
  <c r="E89" i="65"/>
  <c r="O88" i="65"/>
  <c r="L88" i="65"/>
  <c r="K88" i="65"/>
  <c r="M88" i="65" s="1"/>
  <c r="Q88" i="65" s="1"/>
  <c r="J88" i="65"/>
  <c r="H88" i="65"/>
  <c r="I88" i="65" s="1"/>
  <c r="G88" i="65"/>
  <c r="E88" i="65"/>
  <c r="O87" i="65"/>
  <c r="Q87" i="65" s="1"/>
  <c r="L87" i="65"/>
  <c r="J87" i="65"/>
  <c r="K87" i="65" s="1"/>
  <c r="M87" i="65" s="1"/>
  <c r="I87" i="65"/>
  <c r="H87" i="65"/>
  <c r="G87" i="65"/>
  <c r="E87" i="65"/>
  <c r="O86" i="65"/>
  <c r="L86" i="65"/>
  <c r="M86" i="65" s="1"/>
  <c r="K86" i="65"/>
  <c r="J86" i="65"/>
  <c r="H86" i="65"/>
  <c r="G86" i="65"/>
  <c r="E86" i="65"/>
  <c r="O85" i="65"/>
  <c r="L85" i="65"/>
  <c r="K85" i="65"/>
  <c r="J85" i="65"/>
  <c r="H85" i="65"/>
  <c r="G85" i="65"/>
  <c r="E85" i="65"/>
  <c r="O84" i="65"/>
  <c r="L84" i="65"/>
  <c r="J84" i="65"/>
  <c r="P84" i="65" s="1"/>
  <c r="I84" i="65"/>
  <c r="H84" i="65"/>
  <c r="G84" i="65"/>
  <c r="E84" i="65"/>
  <c r="O83" i="65"/>
  <c r="L83" i="65"/>
  <c r="J83" i="65"/>
  <c r="K83" i="65" s="1"/>
  <c r="M83" i="65" s="1"/>
  <c r="I83" i="65"/>
  <c r="H83" i="65"/>
  <c r="G83" i="65"/>
  <c r="E83" i="65"/>
  <c r="O82" i="65"/>
  <c r="M82" i="65"/>
  <c r="Q82" i="65" s="1"/>
  <c r="L82" i="65"/>
  <c r="J82" i="65"/>
  <c r="K82" i="65" s="1"/>
  <c r="I82" i="65"/>
  <c r="H82" i="65"/>
  <c r="P82" i="65" s="1"/>
  <c r="G82" i="65"/>
  <c r="E82" i="65"/>
  <c r="P81" i="65"/>
  <c r="O81" i="65"/>
  <c r="M81" i="65"/>
  <c r="L81" i="65"/>
  <c r="K81" i="65"/>
  <c r="J81" i="65"/>
  <c r="H81" i="65"/>
  <c r="I81" i="65" s="1"/>
  <c r="G81" i="65"/>
  <c r="Q81" i="65" s="1"/>
  <c r="E81" i="65"/>
  <c r="O80" i="65"/>
  <c r="L80" i="65"/>
  <c r="J80" i="65"/>
  <c r="K80" i="65" s="1"/>
  <c r="M80" i="65" s="1"/>
  <c r="H80" i="65"/>
  <c r="G80" i="65"/>
  <c r="E80" i="65"/>
  <c r="O79" i="65"/>
  <c r="L79" i="65"/>
  <c r="J79" i="65"/>
  <c r="K79" i="65" s="1"/>
  <c r="M79" i="65" s="1"/>
  <c r="H79" i="65"/>
  <c r="G79" i="65"/>
  <c r="E79" i="65"/>
  <c r="O78" i="65"/>
  <c r="L78" i="65"/>
  <c r="M78" i="65" s="1"/>
  <c r="K78" i="65"/>
  <c r="J78" i="65"/>
  <c r="I78" i="65"/>
  <c r="H78" i="65"/>
  <c r="G78" i="65"/>
  <c r="E78" i="65"/>
  <c r="P77" i="65"/>
  <c r="O77" i="65"/>
  <c r="L77" i="65"/>
  <c r="K77" i="65"/>
  <c r="J77" i="65"/>
  <c r="H77" i="65"/>
  <c r="I77" i="65" s="1"/>
  <c r="G77" i="65"/>
  <c r="E77" i="65"/>
  <c r="P76" i="65"/>
  <c r="O76" i="65"/>
  <c r="L76" i="65"/>
  <c r="K76" i="65"/>
  <c r="J76" i="65"/>
  <c r="I76" i="65"/>
  <c r="H76" i="65"/>
  <c r="G76" i="65"/>
  <c r="E76" i="65"/>
  <c r="P75" i="65"/>
  <c r="O75" i="65"/>
  <c r="M75" i="65"/>
  <c r="L75" i="65"/>
  <c r="J75" i="65"/>
  <c r="K75" i="65" s="1"/>
  <c r="I75" i="65"/>
  <c r="H75" i="65"/>
  <c r="G75" i="65"/>
  <c r="E75" i="65"/>
  <c r="O74" i="65"/>
  <c r="L74" i="65"/>
  <c r="J74" i="65"/>
  <c r="K74" i="65" s="1"/>
  <c r="M74" i="65" s="1"/>
  <c r="H74" i="65"/>
  <c r="I74" i="65" s="1"/>
  <c r="G74" i="65"/>
  <c r="E74" i="65"/>
  <c r="O73" i="65"/>
  <c r="M73" i="65"/>
  <c r="Q73" i="65" s="1"/>
  <c r="L73" i="65"/>
  <c r="K73" i="65"/>
  <c r="J73" i="65"/>
  <c r="H73" i="65"/>
  <c r="I73" i="65" s="1"/>
  <c r="G73" i="65"/>
  <c r="E73" i="65"/>
  <c r="P72" i="65"/>
  <c r="O72" i="65"/>
  <c r="M72" i="65"/>
  <c r="L72" i="65"/>
  <c r="K72" i="65"/>
  <c r="J72" i="65"/>
  <c r="H72" i="65"/>
  <c r="I72" i="65" s="1"/>
  <c r="G72" i="65"/>
  <c r="Q72" i="65" s="1"/>
  <c r="E72" i="65"/>
  <c r="O71" i="65"/>
  <c r="L71" i="65"/>
  <c r="J71" i="65"/>
  <c r="K71" i="65" s="1"/>
  <c r="M71" i="65" s="1"/>
  <c r="H71" i="65"/>
  <c r="G71" i="65"/>
  <c r="E71" i="65"/>
  <c r="O70" i="65"/>
  <c r="L70" i="65"/>
  <c r="K70" i="65"/>
  <c r="M70" i="65" s="1"/>
  <c r="J70" i="65"/>
  <c r="H70" i="65"/>
  <c r="P70" i="65" s="1"/>
  <c r="G70" i="65"/>
  <c r="E70" i="65"/>
  <c r="O69" i="65"/>
  <c r="L69" i="65"/>
  <c r="K69" i="65"/>
  <c r="J69" i="65"/>
  <c r="I69" i="65"/>
  <c r="H69" i="65"/>
  <c r="G69" i="65"/>
  <c r="E69" i="65"/>
  <c r="P68" i="65"/>
  <c r="O68" i="65"/>
  <c r="Q68" i="65" s="1"/>
  <c r="L68" i="65"/>
  <c r="K68" i="65"/>
  <c r="M68" i="65" s="1"/>
  <c r="J68" i="65"/>
  <c r="I68" i="65"/>
  <c r="H68" i="65"/>
  <c r="G68" i="65"/>
  <c r="E68" i="65"/>
  <c r="P67" i="65"/>
  <c r="O67" i="65"/>
  <c r="M67" i="65"/>
  <c r="L67" i="65"/>
  <c r="J67" i="65"/>
  <c r="K67" i="65" s="1"/>
  <c r="I67" i="65"/>
  <c r="H67" i="65"/>
  <c r="G67" i="65"/>
  <c r="E67" i="65"/>
  <c r="O66" i="65"/>
  <c r="M66" i="65"/>
  <c r="L66" i="65"/>
  <c r="J66" i="65"/>
  <c r="K66" i="65" s="1"/>
  <c r="H66" i="65"/>
  <c r="G66" i="65"/>
  <c r="E66" i="65"/>
  <c r="O65" i="65"/>
  <c r="L65" i="65"/>
  <c r="K65" i="65"/>
  <c r="M65" i="65" s="1"/>
  <c r="Q65" i="65" s="1"/>
  <c r="J65" i="65"/>
  <c r="H65" i="65"/>
  <c r="I65" i="65" s="1"/>
  <c r="G65" i="65"/>
  <c r="E65" i="65"/>
  <c r="O64" i="65"/>
  <c r="M64" i="65"/>
  <c r="L64" i="65"/>
  <c r="K64" i="65"/>
  <c r="J64" i="65"/>
  <c r="H64" i="65"/>
  <c r="I64" i="65" s="1"/>
  <c r="G64" i="65"/>
  <c r="E64" i="65"/>
  <c r="O63" i="65"/>
  <c r="M63" i="65"/>
  <c r="L63" i="65"/>
  <c r="K63" i="65"/>
  <c r="J63" i="65"/>
  <c r="H63" i="65"/>
  <c r="G63" i="65"/>
  <c r="E63" i="65"/>
  <c r="O62" i="65"/>
  <c r="M62" i="65"/>
  <c r="L62" i="65"/>
  <c r="K62" i="65"/>
  <c r="J62" i="65"/>
  <c r="H62" i="65"/>
  <c r="G62" i="65"/>
  <c r="E62" i="65"/>
  <c r="O61" i="65"/>
  <c r="L61" i="65"/>
  <c r="K61" i="65"/>
  <c r="M61" i="65" s="1"/>
  <c r="Q61" i="65" s="1"/>
  <c r="J61" i="65"/>
  <c r="H61" i="65"/>
  <c r="I61" i="65" s="1"/>
  <c r="G61" i="65"/>
  <c r="E61" i="65"/>
  <c r="O60" i="65"/>
  <c r="L60" i="65"/>
  <c r="P60" i="65" s="1"/>
  <c r="K60" i="65"/>
  <c r="M60" i="65" s="1"/>
  <c r="J60" i="65"/>
  <c r="I60" i="65"/>
  <c r="H60" i="65"/>
  <c r="G60" i="65"/>
  <c r="E60" i="65"/>
  <c r="O59" i="65"/>
  <c r="M59" i="65"/>
  <c r="L59" i="65"/>
  <c r="P59" i="65" s="1"/>
  <c r="J59" i="65"/>
  <c r="K59" i="65" s="1"/>
  <c r="I59" i="65"/>
  <c r="H59" i="65"/>
  <c r="G59" i="65"/>
  <c r="E59" i="65"/>
  <c r="P58" i="65"/>
  <c r="O58" i="65"/>
  <c r="M58" i="65"/>
  <c r="L58" i="65"/>
  <c r="J58" i="65"/>
  <c r="K58" i="65" s="1"/>
  <c r="H58" i="65"/>
  <c r="I58" i="65" s="1"/>
  <c r="Q58" i="65" s="1"/>
  <c r="G58" i="65"/>
  <c r="E58" i="65"/>
  <c r="O57" i="65"/>
  <c r="L57" i="65"/>
  <c r="J57" i="65"/>
  <c r="K57" i="65" s="1"/>
  <c r="M57" i="65" s="1"/>
  <c r="H57" i="65"/>
  <c r="G57" i="65"/>
  <c r="E57" i="65"/>
  <c r="O56" i="65"/>
  <c r="L56" i="65"/>
  <c r="K56" i="65"/>
  <c r="M56" i="65" s="1"/>
  <c r="Q56" i="65" s="1"/>
  <c r="J56" i="65"/>
  <c r="H56" i="65"/>
  <c r="I56" i="65" s="1"/>
  <c r="G56" i="65"/>
  <c r="E56" i="65"/>
  <c r="O55" i="65"/>
  <c r="M55" i="65"/>
  <c r="L55" i="65"/>
  <c r="P55" i="65" s="1"/>
  <c r="K55" i="65"/>
  <c r="J55" i="65"/>
  <c r="I55" i="65"/>
  <c r="H55" i="65"/>
  <c r="G55" i="65"/>
  <c r="E55" i="65"/>
  <c r="O54" i="65"/>
  <c r="L54" i="65"/>
  <c r="J54" i="65"/>
  <c r="K54" i="65" s="1"/>
  <c r="M54" i="65" s="1"/>
  <c r="H54" i="65"/>
  <c r="G54" i="65"/>
  <c r="E54" i="65"/>
  <c r="O53" i="65"/>
  <c r="L53" i="65"/>
  <c r="K53" i="65"/>
  <c r="M53" i="65" s="1"/>
  <c r="Q53" i="65" s="1"/>
  <c r="J53" i="65"/>
  <c r="I53" i="65"/>
  <c r="H53" i="65"/>
  <c r="P53" i="65" s="1"/>
  <c r="G53" i="65"/>
  <c r="E53" i="65"/>
  <c r="P52" i="65"/>
  <c r="O52" i="65"/>
  <c r="L52" i="65"/>
  <c r="M52" i="65" s="1"/>
  <c r="K52" i="65"/>
  <c r="J52" i="65"/>
  <c r="H52" i="65"/>
  <c r="I52" i="65" s="1"/>
  <c r="G52" i="65"/>
  <c r="E52" i="65"/>
  <c r="O51" i="65"/>
  <c r="L51" i="65"/>
  <c r="J51" i="65"/>
  <c r="P51" i="65" s="1"/>
  <c r="I51" i="65"/>
  <c r="H51" i="65"/>
  <c r="G51" i="65"/>
  <c r="E51" i="65"/>
  <c r="O50" i="65"/>
  <c r="L50" i="65"/>
  <c r="J50" i="65"/>
  <c r="K50" i="65" s="1"/>
  <c r="M50" i="65" s="1"/>
  <c r="Q50" i="65" s="1"/>
  <c r="I50" i="65"/>
  <c r="H50" i="65"/>
  <c r="P50" i="65" s="1"/>
  <c r="G50" i="65"/>
  <c r="E50" i="65"/>
  <c r="P49" i="65"/>
  <c r="O49" i="65"/>
  <c r="M49" i="65"/>
  <c r="L49" i="65"/>
  <c r="K49" i="65"/>
  <c r="J49" i="65"/>
  <c r="H49" i="65"/>
  <c r="I49" i="65" s="1"/>
  <c r="G49" i="65"/>
  <c r="E49" i="65"/>
  <c r="O48" i="65"/>
  <c r="L48" i="65"/>
  <c r="J48" i="65"/>
  <c r="K48" i="65" s="1"/>
  <c r="M48" i="65" s="1"/>
  <c r="H48" i="65"/>
  <c r="I48" i="65" s="1"/>
  <c r="G48" i="65"/>
  <c r="E48" i="65"/>
  <c r="O47" i="65"/>
  <c r="Q47" i="65" s="1"/>
  <c r="M47" i="65"/>
  <c r="L47" i="65"/>
  <c r="P47" i="65" s="1"/>
  <c r="K47" i="65"/>
  <c r="J47" i="65"/>
  <c r="I47" i="65"/>
  <c r="H47" i="65"/>
  <c r="G47" i="65"/>
  <c r="E47" i="65"/>
  <c r="O46" i="65"/>
  <c r="L46" i="65"/>
  <c r="J46" i="65"/>
  <c r="K46" i="65" s="1"/>
  <c r="M46" i="65" s="1"/>
  <c r="H46" i="65"/>
  <c r="P46" i="65" s="1"/>
  <c r="G46" i="65"/>
  <c r="E46" i="65"/>
  <c r="O45" i="65"/>
  <c r="L45" i="65"/>
  <c r="K45" i="65"/>
  <c r="J45" i="65"/>
  <c r="I45" i="65"/>
  <c r="H45" i="65"/>
  <c r="G45" i="65"/>
  <c r="E45" i="65"/>
  <c r="P44" i="65"/>
  <c r="O44" i="65"/>
  <c r="L44" i="65"/>
  <c r="M44" i="65" s="1"/>
  <c r="K44" i="65"/>
  <c r="J44" i="65"/>
  <c r="H44" i="65"/>
  <c r="I44" i="65" s="1"/>
  <c r="G44" i="65"/>
  <c r="E44" i="65"/>
  <c r="O43" i="65"/>
  <c r="L43" i="65"/>
  <c r="J43" i="65"/>
  <c r="I43" i="65"/>
  <c r="H43" i="65"/>
  <c r="G43" i="65"/>
  <c r="E43" i="65"/>
  <c r="O42" i="65"/>
  <c r="L42" i="65"/>
  <c r="M42" i="65" s="1"/>
  <c r="Q42" i="65" s="1"/>
  <c r="J42" i="65"/>
  <c r="K42" i="65" s="1"/>
  <c r="I42" i="65"/>
  <c r="H42" i="65"/>
  <c r="G42" i="65"/>
  <c r="E42" i="65"/>
  <c r="O41" i="65"/>
  <c r="M41" i="65"/>
  <c r="L41" i="65"/>
  <c r="K41" i="65"/>
  <c r="J41" i="65"/>
  <c r="H41" i="65"/>
  <c r="I41" i="65" s="1"/>
  <c r="G41" i="65"/>
  <c r="Q41" i="65" s="1"/>
  <c r="E41" i="65"/>
  <c r="O40" i="65"/>
  <c r="L40" i="65"/>
  <c r="J40" i="65"/>
  <c r="K40" i="65" s="1"/>
  <c r="M40" i="65" s="1"/>
  <c r="Q40" i="65" s="1"/>
  <c r="H40" i="65"/>
  <c r="I40" i="65" s="1"/>
  <c r="G40" i="65"/>
  <c r="E40" i="65"/>
  <c r="O39" i="65"/>
  <c r="M39" i="65"/>
  <c r="L39" i="65"/>
  <c r="K39" i="65"/>
  <c r="J39" i="65"/>
  <c r="H39" i="65"/>
  <c r="I39" i="65" s="1"/>
  <c r="G39" i="65"/>
  <c r="E39" i="65"/>
  <c r="O38" i="65"/>
  <c r="L38" i="65"/>
  <c r="K38" i="65"/>
  <c r="M38" i="65" s="1"/>
  <c r="J38" i="65"/>
  <c r="H38" i="65"/>
  <c r="P38" i="65" s="1"/>
  <c r="G38" i="65"/>
  <c r="E38" i="65"/>
  <c r="O37" i="65"/>
  <c r="Q37" i="65" s="1"/>
  <c r="L37" i="65"/>
  <c r="K37" i="65"/>
  <c r="M37" i="65" s="1"/>
  <c r="J37" i="65"/>
  <c r="I37" i="65"/>
  <c r="H37" i="65"/>
  <c r="P37" i="65" s="1"/>
  <c r="G37" i="65"/>
  <c r="E37" i="65"/>
  <c r="P36" i="65"/>
  <c r="O36" i="65"/>
  <c r="L36" i="65"/>
  <c r="J36" i="65"/>
  <c r="K36" i="65" s="1"/>
  <c r="M36" i="65" s="1"/>
  <c r="I36" i="65"/>
  <c r="H36" i="65"/>
  <c r="G36" i="65"/>
  <c r="E36" i="65"/>
  <c r="O35" i="65"/>
  <c r="L35" i="65"/>
  <c r="J35" i="65"/>
  <c r="I35" i="65"/>
  <c r="H35" i="65"/>
  <c r="G35" i="65"/>
  <c r="E35" i="65"/>
  <c r="O34" i="65"/>
  <c r="M34" i="65"/>
  <c r="Q34" i="65" s="1"/>
  <c r="L34" i="65"/>
  <c r="P34" i="65" s="1"/>
  <c r="J34" i="65"/>
  <c r="K34" i="65" s="1"/>
  <c r="H34" i="65"/>
  <c r="I34" i="65" s="1"/>
  <c r="G34" i="65"/>
  <c r="E34" i="65"/>
  <c r="Q33" i="65"/>
  <c r="P33" i="65"/>
  <c r="O33" i="65"/>
  <c r="L33" i="65"/>
  <c r="J33" i="65"/>
  <c r="K33" i="65" s="1"/>
  <c r="M33" i="65" s="1"/>
  <c r="H33" i="65"/>
  <c r="I33" i="65" s="1"/>
  <c r="G33" i="65"/>
  <c r="E33" i="65"/>
  <c r="O32" i="65"/>
  <c r="L32" i="65"/>
  <c r="K32" i="65"/>
  <c r="M32" i="65" s="1"/>
  <c r="Q32" i="65" s="1"/>
  <c r="J32" i="65"/>
  <c r="H32" i="65"/>
  <c r="I32" i="65" s="1"/>
  <c r="G32" i="65"/>
  <c r="E32" i="65"/>
  <c r="O31" i="65"/>
  <c r="M31" i="65"/>
  <c r="L31" i="65"/>
  <c r="K31" i="65"/>
  <c r="J31" i="65"/>
  <c r="H31" i="65"/>
  <c r="I31" i="65" s="1"/>
  <c r="G31" i="65"/>
  <c r="E31" i="65"/>
  <c r="Q30" i="65"/>
  <c r="O30" i="65"/>
  <c r="L30" i="65"/>
  <c r="K30" i="65"/>
  <c r="M30" i="65" s="1"/>
  <c r="J30" i="65"/>
  <c r="I30" i="65"/>
  <c r="H30" i="65"/>
  <c r="P30" i="65" s="1"/>
  <c r="G30" i="65"/>
  <c r="E30" i="65"/>
  <c r="O29" i="65"/>
  <c r="Q29" i="65" s="1"/>
  <c r="L29" i="65"/>
  <c r="K29" i="65"/>
  <c r="M29" i="65" s="1"/>
  <c r="J29" i="65"/>
  <c r="I29" i="65"/>
  <c r="H29" i="65"/>
  <c r="G29" i="65"/>
  <c r="E29" i="65"/>
  <c r="P28" i="65"/>
  <c r="O28" i="65"/>
  <c r="Q28" i="65" s="1"/>
  <c r="L28" i="65"/>
  <c r="J28" i="65"/>
  <c r="K28" i="65" s="1"/>
  <c r="M28" i="65" s="1"/>
  <c r="I28" i="65"/>
  <c r="H28" i="65"/>
  <c r="G28" i="65"/>
  <c r="E28" i="65"/>
  <c r="O27" i="65"/>
  <c r="L27" i="65"/>
  <c r="J27" i="65"/>
  <c r="I27" i="65"/>
  <c r="H27" i="65"/>
  <c r="G27" i="65"/>
  <c r="E27" i="65"/>
  <c r="O26" i="65"/>
  <c r="M26" i="65"/>
  <c r="Q26" i="65" s="1"/>
  <c r="L26" i="65"/>
  <c r="P26" i="65" s="1"/>
  <c r="J26" i="65"/>
  <c r="K26" i="65" s="1"/>
  <c r="H26" i="65"/>
  <c r="I26" i="65" s="1"/>
  <c r="G26" i="65"/>
  <c r="E26" i="65"/>
  <c r="P25" i="65"/>
  <c r="O25" i="65"/>
  <c r="L25" i="65"/>
  <c r="J25" i="65"/>
  <c r="K25" i="65" s="1"/>
  <c r="M25" i="65" s="1"/>
  <c r="Q25" i="65" s="1"/>
  <c r="H25" i="65"/>
  <c r="I25" i="65" s="1"/>
  <c r="G25" i="65"/>
  <c r="E25" i="65"/>
  <c r="O24" i="65"/>
  <c r="L24" i="65"/>
  <c r="K24" i="65"/>
  <c r="M24" i="65" s="1"/>
  <c r="Q24" i="65" s="1"/>
  <c r="J24" i="65"/>
  <c r="H24" i="65"/>
  <c r="I24" i="65" s="1"/>
  <c r="G24" i="65"/>
  <c r="E24" i="65"/>
  <c r="O23" i="65"/>
  <c r="M23" i="65"/>
  <c r="L23" i="65"/>
  <c r="K23" i="65"/>
  <c r="J23" i="65"/>
  <c r="H23" i="65"/>
  <c r="I23" i="65" s="1"/>
  <c r="G23" i="65"/>
  <c r="E23" i="65"/>
  <c r="O22" i="65"/>
  <c r="L22" i="65"/>
  <c r="K22" i="65"/>
  <c r="M22" i="65" s="1"/>
  <c r="Q22" i="65" s="1"/>
  <c r="J22" i="65"/>
  <c r="I22" i="65"/>
  <c r="H22" i="65"/>
  <c r="P22" i="65" s="1"/>
  <c r="G22" i="65"/>
  <c r="E22" i="65"/>
  <c r="O21" i="65"/>
  <c r="L21" i="65"/>
  <c r="K21" i="65"/>
  <c r="M21" i="65" s="1"/>
  <c r="J21" i="65"/>
  <c r="I21" i="65"/>
  <c r="H21" i="65"/>
  <c r="G21" i="65"/>
  <c r="E21" i="65"/>
  <c r="P20" i="65"/>
  <c r="O20" i="65"/>
  <c r="Q20" i="65" s="1"/>
  <c r="L20" i="65"/>
  <c r="J20" i="65"/>
  <c r="K20" i="65" s="1"/>
  <c r="M20" i="65" s="1"/>
  <c r="I20" i="65"/>
  <c r="H20" i="65"/>
  <c r="G20" i="65"/>
  <c r="E20" i="65"/>
  <c r="O19" i="65"/>
  <c r="L19" i="65"/>
  <c r="J19" i="65"/>
  <c r="I19" i="65"/>
  <c r="H19" i="65"/>
  <c r="G19" i="65"/>
  <c r="E19" i="65"/>
  <c r="O18" i="65"/>
  <c r="L18" i="65"/>
  <c r="P18" i="65" s="1"/>
  <c r="J18" i="65"/>
  <c r="K18" i="65" s="1"/>
  <c r="M18" i="65" s="1"/>
  <c r="Q18" i="65" s="1"/>
  <c r="H18" i="65"/>
  <c r="I18" i="65" s="1"/>
  <c r="G18" i="65"/>
  <c r="E18" i="65"/>
  <c r="O17" i="65"/>
  <c r="L17" i="65"/>
  <c r="J17" i="65"/>
  <c r="K17" i="65" s="1"/>
  <c r="M17" i="65" s="1"/>
  <c r="Q17" i="65" s="1"/>
  <c r="H17" i="65"/>
  <c r="I17" i="65" s="1"/>
  <c r="G17" i="65"/>
  <c r="E17" i="65"/>
  <c r="J16" i="65"/>
  <c r="H16" i="65"/>
  <c r="E16" i="65"/>
  <c r="A2" i="206"/>
  <c r="B3" i="206"/>
  <c r="A2" i="174"/>
  <c r="B3" i="174"/>
  <c r="A2" i="146"/>
  <c r="B3" i="146"/>
  <c r="A2" i="122"/>
  <c r="B3" i="122"/>
  <c r="A2" i="106"/>
  <c r="B3" i="106"/>
  <c r="A2" i="164"/>
  <c r="B3" i="164"/>
  <c r="A2" i="91"/>
  <c r="B3" i="91"/>
  <c r="A2" i="54"/>
  <c r="B3" i="54"/>
  <c r="A2" i="68"/>
  <c r="A2" i="42"/>
  <c r="B3" i="42"/>
  <c r="B3" i="27"/>
  <c r="A2" i="27"/>
  <c r="H17" i="215"/>
  <c r="G17" i="215"/>
  <c r="F17" i="215"/>
  <c r="E17" i="215"/>
  <c r="D17" i="215"/>
  <c r="H16" i="215"/>
  <c r="G16" i="215"/>
  <c r="F16" i="215"/>
  <c r="E16" i="215"/>
  <c r="D16" i="215"/>
  <c r="H15" i="215"/>
  <c r="G15" i="215"/>
  <c r="F15" i="215"/>
  <c r="E15" i="215"/>
  <c r="D15" i="215"/>
  <c r="H14" i="215"/>
  <c r="G14" i="215"/>
  <c r="F14" i="215"/>
  <c r="E14" i="215"/>
  <c r="D14" i="215"/>
  <c r="H13" i="215"/>
  <c r="G13" i="215"/>
  <c r="F13" i="215"/>
  <c r="E13" i="215"/>
  <c r="D13" i="215"/>
  <c r="H12" i="215"/>
  <c r="G12" i="215"/>
  <c r="F12" i="215"/>
  <c r="E12" i="215"/>
  <c r="D12" i="215"/>
  <c r="G32" i="215"/>
  <c r="H31" i="215"/>
  <c r="H3" i="277" l="1"/>
  <c r="Q3" i="277"/>
  <c r="I4" i="277"/>
  <c r="A5" i="277"/>
  <c r="I5" i="277"/>
  <c r="A6" i="277"/>
  <c r="I6" i="277"/>
  <c r="A7" i="277"/>
  <c r="I7" i="277"/>
  <c r="A8" i="277"/>
  <c r="I8" i="277"/>
  <c r="Q8" i="277"/>
  <c r="H9" i="277"/>
  <c r="P9" i="277"/>
  <c r="G10" i="277"/>
  <c r="O10" i="277"/>
  <c r="F11" i="277"/>
  <c r="N11" i="277"/>
  <c r="E12" i="277"/>
  <c r="M12" i="277"/>
  <c r="D13" i="277"/>
  <c r="L13" i="277"/>
  <c r="C14" i="277"/>
  <c r="K14" i="277"/>
  <c r="B15" i="277"/>
  <c r="J15" i="277"/>
  <c r="A16" i="277"/>
  <c r="I16" i="277"/>
  <c r="Q16" i="277"/>
  <c r="H17" i="277"/>
  <c r="P17" i="277"/>
  <c r="G18" i="277"/>
  <c r="O18" i="277"/>
  <c r="F19" i="277"/>
  <c r="N19" i="277"/>
  <c r="E20" i="277"/>
  <c r="M20" i="277"/>
  <c r="D21" i="277"/>
  <c r="L21" i="277"/>
  <c r="C22" i="277"/>
  <c r="K22" i="277"/>
  <c r="B23" i="277"/>
  <c r="J23" i="277"/>
  <c r="A24" i="277"/>
  <c r="I24" i="277"/>
  <c r="Q24" i="277"/>
  <c r="H25" i="277"/>
  <c r="P25" i="277"/>
  <c r="G26" i="277"/>
  <c r="O26" i="277"/>
  <c r="F27" i="277"/>
  <c r="N27" i="277"/>
  <c r="E28" i="277"/>
  <c r="M28" i="277"/>
  <c r="D29" i="277"/>
  <c r="L29" i="277"/>
  <c r="C30" i="277"/>
  <c r="K30" i="277"/>
  <c r="B31" i="277"/>
  <c r="J31" i="277"/>
  <c r="A32" i="277"/>
  <c r="I32" i="277"/>
  <c r="Q32" i="277"/>
  <c r="H33" i="277"/>
  <c r="P33" i="277"/>
  <c r="G34" i="277"/>
  <c r="O34" i="277"/>
  <c r="F35" i="277"/>
  <c r="N35" i="277"/>
  <c r="G36" i="277"/>
  <c r="P36" i="277"/>
  <c r="H37" i="277"/>
  <c r="Q37" i="277"/>
  <c r="I38" i="277"/>
  <c r="A39" i="277"/>
  <c r="J39" i="277"/>
  <c r="C40" i="277"/>
  <c r="L40" i="277"/>
  <c r="D41" i="277"/>
  <c r="M41" i="277"/>
  <c r="E42" i="277"/>
  <c r="N42" i="277"/>
  <c r="F43" i="277"/>
  <c r="P43" i="277"/>
  <c r="H44" i="277"/>
  <c r="Q44" i="277"/>
  <c r="I45" i="277"/>
  <c r="A46" i="277"/>
  <c r="J46" i="277"/>
  <c r="D47" i="277"/>
  <c r="N47" i="277"/>
  <c r="H48" i="277"/>
  <c r="B49" i="277"/>
  <c r="L49" i="277"/>
  <c r="F50" i="277"/>
  <c r="Q50" i="277"/>
  <c r="J51" i="277"/>
  <c r="D52" i="277"/>
  <c r="O52" i="277"/>
  <c r="H53" i="277"/>
  <c r="B54" i="277"/>
  <c r="M54" i="277"/>
  <c r="F55" i="277"/>
  <c r="Q55" i="277"/>
  <c r="K56" i="277"/>
  <c r="D57" i="277"/>
  <c r="O57" i="277"/>
  <c r="I58" i="277"/>
  <c r="B59" i="277"/>
  <c r="M59" i="277"/>
  <c r="G60" i="277"/>
  <c r="B61" i="277"/>
  <c r="O61" i="277"/>
  <c r="K62" i="277"/>
  <c r="F63" i="277"/>
  <c r="C64" i="277"/>
  <c r="Q64" i="277"/>
  <c r="P65" i="277"/>
  <c r="G67" i="277"/>
  <c r="J68" i="277"/>
  <c r="C70" i="277"/>
  <c r="L71" i="277"/>
  <c r="O72" i="277"/>
  <c r="H74" i="277"/>
  <c r="Q75" i="277"/>
  <c r="D77" i="277"/>
  <c r="M78" i="277"/>
  <c r="E80" i="277"/>
  <c r="L81" i="277"/>
  <c r="K83" i="277"/>
  <c r="O85" i="277"/>
  <c r="K87" i="277"/>
  <c r="L89" i="277"/>
  <c r="P91" i="277"/>
  <c r="I93" i="277"/>
  <c r="M95" i="277"/>
  <c r="Q97" i="277"/>
  <c r="J99" i="277"/>
  <c r="N101" i="277"/>
  <c r="O103" i="277"/>
  <c r="K105" i="277"/>
  <c r="O107" i="277"/>
  <c r="P109" i="277"/>
  <c r="L111" i="277"/>
  <c r="M113" i="277"/>
  <c r="Q115" i="277"/>
  <c r="M117" i="277"/>
  <c r="H120" i="277"/>
  <c r="G123" i="277"/>
  <c r="H125" i="277"/>
  <c r="Q128" i="277"/>
  <c r="H132" i="277"/>
  <c r="K135" i="277"/>
  <c r="D141" i="277"/>
  <c r="A151" i="277"/>
  <c r="C162" i="277"/>
  <c r="E184" i="277"/>
  <c r="I3" i="277"/>
  <c r="A4" i="277"/>
  <c r="J4" i="277"/>
  <c r="B5" i="277"/>
  <c r="J5" i="277"/>
  <c r="B6" i="277"/>
  <c r="J6" i="277"/>
  <c r="B7" i="277"/>
  <c r="J7" i="277"/>
  <c r="B8" i="277"/>
  <c r="J8" i="277"/>
  <c r="A9" i="277"/>
  <c r="I9" i="277"/>
  <c r="Q9" i="277"/>
  <c r="H10" i="277"/>
  <c r="P10" i="277"/>
  <c r="G11" i="277"/>
  <c r="O11" i="277"/>
  <c r="F12" i="277"/>
  <c r="N12" i="277"/>
  <c r="E13" i="277"/>
  <c r="M13" i="277"/>
  <c r="D14" i="277"/>
  <c r="L14" i="277"/>
  <c r="C15" i="277"/>
  <c r="K15" i="277"/>
  <c r="B16" i="277"/>
  <c r="J16" i="277"/>
  <c r="A17" i="277"/>
  <c r="I17" i="277"/>
  <c r="Q17" i="277"/>
  <c r="H18" i="277"/>
  <c r="P18" i="277"/>
  <c r="G19" i="277"/>
  <c r="O19" i="277"/>
  <c r="F20" i="277"/>
  <c r="N20" i="277"/>
  <c r="E21" i="277"/>
  <c r="M21" i="277"/>
  <c r="D22" i="277"/>
  <c r="L22" i="277"/>
  <c r="C23" i="277"/>
  <c r="K23" i="277"/>
  <c r="B24" i="277"/>
  <c r="J24" i="277"/>
  <c r="A25" i="277"/>
  <c r="I25" i="277"/>
  <c r="Q25" i="277"/>
  <c r="H26" i="277"/>
  <c r="P26" i="277"/>
  <c r="G27" i="277"/>
  <c r="O27" i="277"/>
  <c r="F28" i="277"/>
  <c r="N28" i="277"/>
  <c r="E29" i="277"/>
  <c r="M29" i="277"/>
  <c r="D30" i="277"/>
  <c r="L30" i="277"/>
  <c r="C31" i="277"/>
  <c r="K31" i="277"/>
  <c r="B32" i="277"/>
  <c r="J32" i="277"/>
  <c r="A33" i="277"/>
  <c r="I33" i="277"/>
  <c r="Q33" i="277"/>
  <c r="H34" i="277"/>
  <c r="P34" i="277"/>
  <c r="G35" i="277"/>
  <c r="P35" i="277"/>
  <c r="H36" i="277"/>
  <c r="Q36" i="277"/>
  <c r="I37" i="277"/>
  <c r="A38" i="277"/>
  <c r="J38" i="277"/>
  <c r="B39" i="277"/>
  <c r="L39" i="277"/>
  <c r="D40" i="277"/>
  <c r="M40" i="277"/>
  <c r="E41" i="277"/>
  <c r="N41" i="277"/>
  <c r="F42" i="277"/>
  <c r="O42" i="277"/>
  <c r="H43" i="277"/>
  <c r="Q43" i="277"/>
  <c r="I44" i="277"/>
  <c r="A45" i="277"/>
  <c r="J45" i="277"/>
  <c r="B46" i="277"/>
  <c r="K46" i="277"/>
  <c r="E47" i="277"/>
  <c r="P47" i="277"/>
  <c r="I48" i="277"/>
  <c r="C49" i="277"/>
  <c r="N49" i="277"/>
  <c r="G50" i="277"/>
  <c r="A51" i="277"/>
  <c r="L51" i="277"/>
  <c r="E52" i="277"/>
  <c r="P52" i="277"/>
  <c r="J53" i="277"/>
  <c r="C54" i="277"/>
  <c r="N54" i="277"/>
  <c r="H55" i="277"/>
  <c r="A56" i="277"/>
  <c r="L56" i="277"/>
  <c r="F57" i="277"/>
  <c r="P57" i="277"/>
  <c r="J58" i="277"/>
  <c r="D59" i="277"/>
  <c r="N59" i="277"/>
  <c r="H60" i="277"/>
  <c r="D61" i="277"/>
  <c r="P61" i="277"/>
  <c r="M62" i="277"/>
  <c r="H63" i="277"/>
  <c r="D64" i="277"/>
  <c r="B65" i="277"/>
  <c r="C66" i="277"/>
  <c r="H67" i="277"/>
  <c r="Q68" i="277"/>
  <c r="D70" i="277"/>
  <c r="M71" i="277"/>
  <c r="E73" i="277"/>
  <c r="I74" i="277"/>
  <c r="A76" i="277"/>
  <c r="J77" i="277"/>
  <c r="N78" i="277"/>
  <c r="F80" i="277"/>
  <c r="C82" i="277"/>
  <c r="O83" i="277"/>
  <c r="P85" i="277"/>
  <c r="C88" i="277"/>
  <c r="M89" i="277"/>
  <c r="Q91" i="277"/>
  <c r="D94" i="277"/>
  <c r="N95" i="277"/>
  <c r="A98" i="277"/>
  <c r="B100" i="277"/>
  <c r="O101" i="277"/>
  <c r="B104" i="277"/>
  <c r="C106" i="277"/>
  <c r="P107" i="277"/>
  <c r="Q109" i="277"/>
  <c r="D112" i="277"/>
  <c r="Q113" i="277"/>
  <c r="A116" i="277"/>
  <c r="F118" i="277"/>
  <c r="I120" i="277"/>
  <c r="H123" i="277"/>
  <c r="G126" i="277"/>
  <c r="A129" i="277"/>
  <c r="I132" i="277"/>
  <c r="L136" i="277"/>
  <c r="E141" i="277"/>
  <c r="F151" i="277"/>
  <c r="Q167" i="277"/>
  <c r="P184" i="277"/>
  <c r="J3" i="277"/>
  <c r="C4" i="277"/>
  <c r="L4" i="277"/>
  <c r="C5" i="277"/>
  <c r="L5" i="277"/>
  <c r="C6" i="277"/>
  <c r="L6" i="277"/>
  <c r="C7" i="277"/>
  <c r="L7" i="277"/>
  <c r="C8" i="277"/>
  <c r="K8" i="277"/>
  <c r="B9" i="277"/>
  <c r="J9" i="277"/>
  <c r="A10" i="277"/>
  <c r="I10" i="277"/>
  <c r="Q10" i="277"/>
  <c r="H11" i="277"/>
  <c r="P11" i="277"/>
  <c r="G12" i="277"/>
  <c r="O12" i="277"/>
  <c r="F13" i="277"/>
  <c r="N13" i="277"/>
  <c r="E14" i="277"/>
  <c r="M14" i="277"/>
  <c r="D15" i="277"/>
  <c r="L15" i="277"/>
  <c r="C16" i="277"/>
  <c r="K16" i="277"/>
  <c r="B17" i="277"/>
  <c r="J17" i="277"/>
  <c r="A18" i="277"/>
  <c r="I18" i="277"/>
  <c r="Q18" i="277"/>
  <c r="H19" i="277"/>
  <c r="P19" i="277"/>
  <c r="G20" i="277"/>
  <c r="O20" i="277"/>
  <c r="F21" i="277"/>
  <c r="N21" i="277"/>
  <c r="E22" i="277"/>
  <c r="M22" i="277"/>
  <c r="D23" i="277"/>
  <c r="L23" i="277"/>
  <c r="C24" i="277"/>
  <c r="K24" i="277"/>
  <c r="B25" i="277"/>
  <c r="J25" i="277"/>
  <c r="A26" i="277"/>
  <c r="I26" i="277"/>
  <c r="Q26" i="277"/>
  <c r="H27" i="277"/>
  <c r="P27" i="277"/>
  <c r="G28" i="277"/>
  <c r="O28" i="277"/>
  <c r="F29" i="277"/>
  <c r="N29" i="277"/>
  <c r="E30" i="277"/>
  <c r="M30" i="277"/>
  <c r="D31" i="277"/>
  <c r="L31" i="277"/>
  <c r="C32" i="277"/>
  <c r="K32" i="277"/>
  <c r="B33" i="277"/>
  <c r="J33" i="277"/>
  <c r="A34" i="277"/>
  <c r="I34" i="277"/>
  <c r="Q34" i="277"/>
  <c r="H35" i="277"/>
  <c r="Q35" i="277"/>
  <c r="I36" i="277"/>
  <c r="A37" i="277"/>
  <c r="J37" i="277"/>
  <c r="B38" i="277"/>
  <c r="K38" i="277"/>
  <c r="D39" i="277"/>
  <c r="M39" i="277"/>
  <c r="E40" i="277"/>
  <c r="N40" i="277"/>
  <c r="F41" i="277"/>
  <c r="O41" i="277"/>
  <c r="G42" i="277"/>
  <c r="Q42" i="277"/>
  <c r="I43" i="277"/>
  <c r="A44" i="277"/>
  <c r="J44" i="277"/>
  <c r="B45" i="277"/>
  <c r="K45" i="277"/>
  <c r="C46" i="277"/>
  <c r="M46" i="277"/>
  <c r="F47" i="277"/>
  <c r="Q47" i="277"/>
  <c r="K48" i="277"/>
  <c r="D49" i="277"/>
  <c r="O49" i="277"/>
  <c r="I50" i="277"/>
  <c r="B51" i="277"/>
  <c r="M51" i="277"/>
  <c r="G52" i="277"/>
  <c r="Q52" i="277"/>
  <c r="K53" i="277"/>
  <c r="E54" i="277"/>
  <c r="O54" i="277"/>
  <c r="I55" i="277"/>
  <c r="C56" i="277"/>
  <c r="M56" i="277"/>
  <c r="G57" i="277"/>
  <c r="A58" i="277"/>
  <c r="K58" i="277"/>
  <c r="E59" i="277"/>
  <c r="P59" i="277"/>
  <c r="I60" i="277"/>
  <c r="F61" i="277"/>
  <c r="A62" i="277"/>
  <c r="N62" i="277"/>
  <c r="J63" i="277"/>
  <c r="E64" i="277"/>
  <c r="D65" i="277"/>
  <c r="E66" i="277"/>
  <c r="I67" i="277"/>
  <c r="A69" i="277"/>
  <c r="K70" i="277"/>
  <c r="N71" i="277"/>
  <c r="F73" i="277"/>
  <c r="P74" i="277"/>
  <c r="B76" i="277"/>
  <c r="L77" i="277"/>
  <c r="D79" i="277"/>
  <c r="G80" i="277"/>
  <c r="D82" i="277"/>
  <c r="G84" i="277"/>
  <c r="Q85" i="277"/>
  <c r="D88" i="277"/>
  <c r="H90" i="277"/>
  <c r="A92" i="277"/>
  <c r="E94" i="277"/>
  <c r="F96" i="277"/>
  <c r="B98" i="277"/>
  <c r="F100" i="277"/>
  <c r="G102" i="277"/>
  <c r="C104" i="277"/>
  <c r="D106" i="277"/>
  <c r="H108" i="277"/>
  <c r="D110" i="277"/>
  <c r="E112" i="277"/>
  <c r="I114" i="277"/>
  <c r="B116" i="277"/>
  <c r="G118" i="277"/>
  <c r="H121" i="277"/>
  <c r="I123" i="277"/>
  <c r="K126" i="277"/>
  <c r="P129" i="277"/>
  <c r="N132" i="277"/>
  <c r="H137" i="277"/>
  <c r="B144" i="277"/>
  <c r="E152" i="277"/>
  <c r="B168" i="277"/>
  <c r="A191" i="277"/>
  <c r="L3" i="277"/>
  <c r="D4" i="277"/>
  <c r="M4" i="277"/>
  <c r="D5" i="277"/>
  <c r="M5" i="277"/>
  <c r="D6" i="277"/>
  <c r="M6" i="277"/>
  <c r="D7" i="277"/>
  <c r="M7" i="277"/>
  <c r="D8" i="277"/>
  <c r="L8" i="277"/>
  <c r="C9" i="277"/>
  <c r="K9" i="277"/>
  <c r="B10" i="277"/>
  <c r="J10" i="277"/>
  <c r="A11" i="277"/>
  <c r="I11" i="277"/>
  <c r="Q11" i="277"/>
  <c r="H12" i="277"/>
  <c r="P12" i="277"/>
  <c r="G13" i="277"/>
  <c r="O13" i="277"/>
  <c r="F14" i="277"/>
  <c r="N14" i="277"/>
  <c r="E15" i="277"/>
  <c r="M15" i="277"/>
  <c r="D16" i="277"/>
  <c r="L16" i="277"/>
  <c r="C17" i="277"/>
  <c r="K17" i="277"/>
  <c r="B18" i="277"/>
  <c r="J18" i="277"/>
  <c r="A19" i="277"/>
  <c r="I19" i="277"/>
  <c r="Q19" i="277"/>
  <c r="H20" i="277"/>
  <c r="P20" i="277"/>
  <c r="G21" i="277"/>
  <c r="O21" i="277"/>
  <c r="F22" i="277"/>
  <c r="N22" i="277"/>
  <c r="E23" i="277"/>
  <c r="M23" i="277"/>
  <c r="D24" i="277"/>
  <c r="L24" i="277"/>
  <c r="C25" i="277"/>
  <c r="K25" i="277"/>
  <c r="B26" i="277"/>
  <c r="J26" i="277"/>
  <c r="A27" i="277"/>
  <c r="I27" i="277"/>
  <c r="Q27" i="277"/>
  <c r="H28" i="277"/>
  <c r="P28" i="277"/>
  <c r="G29" i="277"/>
  <c r="O29" i="277"/>
  <c r="F30" i="277"/>
  <c r="N30" i="277"/>
  <c r="E31" i="277"/>
  <c r="M31" i="277"/>
  <c r="D32" i="277"/>
  <c r="L32" i="277"/>
  <c r="C33" i="277"/>
  <c r="K33" i="277"/>
  <c r="B34" i="277"/>
  <c r="J34" i="277"/>
  <c r="A35" i="277"/>
  <c r="I35" i="277"/>
  <c r="A36" i="277"/>
  <c r="J36" i="277"/>
  <c r="B37" i="277"/>
  <c r="K37" i="277"/>
  <c r="C38" i="277"/>
  <c r="M38" i="277"/>
  <c r="E39" i="277"/>
  <c r="N39" i="277"/>
  <c r="F40" i="277"/>
  <c r="O40" i="277"/>
  <c r="G41" i="277"/>
  <c r="P41" i="277"/>
  <c r="I42" i="277"/>
  <c r="A43" i="277"/>
  <c r="J43" i="277"/>
  <c r="B44" i="277"/>
  <c r="K44" i="277"/>
  <c r="C45" i="277"/>
  <c r="L45" i="277"/>
  <c r="E46" i="277"/>
  <c r="N46" i="277"/>
  <c r="H47" i="277"/>
  <c r="A48" i="277"/>
  <c r="L48" i="277"/>
  <c r="F49" i="277"/>
  <c r="P49" i="277"/>
  <c r="J50" i="277"/>
  <c r="D51" i="277"/>
  <c r="N51" i="277"/>
  <c r="H52" i="277"/>
  <c r="B53" i="277"/>
  <c r="L53" i="277"/>
  <c r="F54" i="277"/>
  <c r="Q54" i="277"/>
  <c r="J55" i="277"/>
  <c r="D56" i="277"/>
  <c r="O56" i="277"/>
  <c r="H57" i="277"/>
  <c r="B58" i="277"/>
  <c r="M58" i="277"/>
  <c r="F59" i="277"/>
  <c r="Q59" i="277"/>
  <c r="K60" i="277"/>
  <c r="G61" i="277"/>
  <c r="C62" i="277"/>
  <c r="O62" i="277"/>
  <c r="L63" i="277"/>
  <c r="G64" i="277"/>
  <c r="E65" i="277"/>
  <c r="G66" i="277"/>
  <c r="P67" i="277"/>
  <c r="B69" i="277"/>
  <c r="L70" i="277"/>
  <c r="D72" i="277"/>
  <c r="H73" i="277"/>
  <c r="Q74" i="277"/>
  <c r="I76" i="277"/>
  <c r="M77" i="277"/>
  <c r="E79" i="277"/>
  <c r="O80" i="277"/>
  <c r="E82" i="277"/>
  <c r="H84" i="277"/>
  <c r="L86" i="277"/>
  <c r="E88" i="277"/>
  <c r="I90" i="277"/>
  <c r="J92" i="277"/>
  <c r="F94" i="277"/>
  <c r="J96" i="277"/>
  <c r="K98" i="277"/>
  <c r="G100" i="277"/>
  <c r="H102" i="277"/>
  <c r="L104" i="277"/>
  <c r="H106" i="277"/>
  <c r="I108" i="277"/>
  <c r="M110" i="277"/>
  <c r="F112" i="277"/>
  <c r="J114" i="277"/>
  <c r="N116" i="277"/>
  <c r="J118" i="277"/>
  <c r="I121" i="277"/>
  <c r="E124" i="277"/>
  <c r="L126" i="277"/>
  <c r="C130" i="277"/>
  <c r="K133" i="277"/>
  <c r="I137" i="277"/>
  <c r="F144" i="277"/>
  <c r="O155" i="277"/>
  <c r="Q169" i="277"/>
  <c r="Q200" i="277"/>
  <c r="O200" i="277"/>
  <c r="G200" i="277"/>
  <c r="P199" i="277"/>
  <c r="H199" i="277"/>
  <c r="Q198" i="277"/>
  <c r="I198" i="277"/>
  <c r="A198" i="277"/>
  <c r="J197" i="277"/>
  <c r="B197" i="277"/>
  <c r="K196" i="277"/>
  <c r="C196" i="277"/>
  <c r="L195" i="277"/>
  <c r="D195" i="277"/>
  <c r="M194" i="277"/>
  <c r="E194" i="277"/>
  <c r="N193" i="277"/>
  <c r="F193" i="277"/>
  <c r="O192" i="277"/>
  <c r="G192" i="277"/>
  <c r="P191" i="277"/>
  <c r="H191" i="277"/>
  <c r="Q190" i="277"/>
  <c r="I190" i="277"/>
  <c r="A190" i="277"/>
  <c r="J189" i="277"/>
  <c r="B189" i="277"/>
  <c r="K188" i="277"/>
  <c r="C188" i="277"/>
  <c r="L187" i="277"/>
  <c r="D187" i="277"/>
  <c r="M186" i="277"/>
  <c r="E186" i="277"/>
  <c r="N185" i="277"/>
  <c r="F185" i="277"/>
  <c r="O184" i="277"/>
  <c r="G184" i="277"/>
  <c r="P183" i="277"/>
  <c r="H183" i="277"/>
  <c r="Q182" i="277"/>
  <c r="I182" i="277"/>
  <c r="A182" i="277"/>
  <c r="J181" i="277"/>
  <c r="B181" i="277"/>
  <c r="K180" i="277"/>
  <c r="C180" i="277"/>
  <c r="L179" i="277"/>
  <c r="D179" i="277"/>
  <c r="M178" i="277"/>
  <c r="E178" i="277"/>
  <c r="N177" i="277"/>
  <c r="F177" i="277"/>
  <c r="O176" i="277"/>
  <c r="G176" i="277"/>
  <c r="P175" i="277"/>
  <c r="H175" i="277"/>
  <c r="Q174" i="277"/>
  <c r="I174" i="277"/>
  <c r="A174" i="277"/>
  <c r="J173" i="277"/>
  <c r="B173" i="277"/>
  <c r="K172" i="277"/>
  <c r="C172" i="277"/>
  <c r="L171" i="277"/>
  <c r="D171" i="277"/>
  <c r="M170" i="277"/>
  <c r="E170" i="277"/>
  <c r="N169" i="277"/>
  <c r="F169" i="277"/>
  <c r="O168" i="277"/>
  <c r="G168" i="277"/>
  <c r="P167" i="277"/>
  <c r="H167" i="277"/>
  <c r="Q166" i="277"/>
  <c r="I166" i="277"/>
  <c r="A166" i="277"/>
  <c r="J165" i="277"/>
  <c r="B165" i="277"/>
  <c r="K164" i="277"/>
  <c r="C164" i="277"/>
  <c r="L163" i="277"/>
  <c r="D163" i="277"/>
  <c r="M162" i="277"/>
  <c r="E162" i="277"/>
  <c r="N161" i="277"/>
  <c r="F161" i="277"/>
  <c r="L200" i="277"/>
  <c r="D200" i="277"/>
  <c r="M199" i="277"/>
  <c r="E199" i="277"/>
  <c r="N198" i="277"/>
  <c r="F198" i="277"/>
  <c r="O197" i="277"/>
  <c r="G197" i="277"/>
  <c r="P196" i="277"/>
  <c r="H196" i="277"/>
  <c r="Q195" i="277"/>
  <c r="I195" i="277"/>
  <c r="A195" i="277"/>
  <c r="J194" i="277"/>
  <c r="B194" i="277"/>
  <c r="K193" i="277"/>
  <c r="C193" i="277"/>
  <c r="L192" i="277"/>
  <c r="D192" i="277"/>
  <c r="M191" i="277"/>
  <c r="E191" i="277"/>
  <c r="N190" i="277"/>
  <c r="F190" i="277"/>
  <c r="O189" i="277"/>
  <c r="G189" i="277"/>
  <c r="P188" i="277"/>
  <c r="H188" i="277"/>
  <c r="Q187" i="277"/>
  <c r="I187" i="277"/>
  <c r="A187" i="277"/>
  <c r="J186" i="277"/>
  <c r="B186" i="277"/>
  <c r="K185" i="277"/>
  <c r="C185" i="277"/>
  <c r="L184" i="277"/>
  <c r="D184" i="277"/>
  <c r="M183" i="277"/>
  <c r="E183" i="277"/>
  <c r="N182" i="277"/>
  <c r="F182" i="277"/>
  <c r="O181" i="277"/>
  <c r="G181" i="277"/>
  <c r="P180" i="277"/>
  <c r="H180" i="277"/>
  <c r="Q179" i="277"/>
  <c r="I179" i="277"/>
  <c r="A179" i="277"/>
  <c r="J178" i="277"/>
  <c r="B178" i="277"/>
  <c r="K177" i="277"/>
  <c r="C177" i="277"/>
  <c r="L176" i="277"/>
  <c r="D176" i="277"/>
  <c r="M175" i="277"/>
  <c r="E175" i="277"/>
  <c r="N174" i="277"/>
  <c r="F174" i="277"/>
  <c r="O173" i="277"/>
  <c r="G173" i="277"/>
  <c r="P172" i="277"/>
  <c r="H172" i="277"/>
  <c r="Q171" i="277"/>
  <c r="I171" i="277"/>
  <c r="A171" i="277"/>
  <c r="J170" i="277"/>
  <c r="B170" i="277"/>
  <c r="K169" i="277"/>
  <c r="C169" i="277"/>
  <c r="L168" i="277"/>
  <c r="D168" i="277"/>
  <c r="M167" i="277"/>
  <c r="E167" i="277"/>
  <c r="N166" i="277"/>
  <c r="F166" i="277"/>
  <c r="O165" i="277"/>
  <c r="G165" i="277"/>
  <c r="P164" i="277"/>
  <c r="H164" i="277"/>
  <c r="Q163" i="277"/>
  <c r="I163" i="277"/>
  <c r="A163" i="277"/>
  <c r="J162" i="277"/>
  <c r="B162" i="277"/>
  <c r="K161" i="277"/>
  <c r="C161" i="277"/>
  <c r="P200" i="277"/>
  <c r="E200" i="277"/>
  <c r="K199" i="277"/>
  <c r="A199" i="277"/>
  <c r="G198" i="277"/>
  <c r="M197" i="277"/>
  <c r="C197" i="277"/>
  <c r="I196" i="277"/>
  <c r="O195" i="277"/>
  <c r="E195" i="277"/>
  <c r="K194" i="277"/>
  <c r="Q193" i="277"/>
  <c r="G193" i="277"/>
  <c r="M192" i="277"/>
  <c r="B192" i="277"/>
  <c r="I191" i="277"/>
  <c r="O190" i="277"/>
  <c r="D190" i="277"/>
  <c r="K189" i="277"/>
  <c r="Q188" i="277"/>
  <c r="F188" i="277"/>
  <c r="M187" i="277"/>
  <c r="B187" i="277"/>
  <c r="H186" i="277"/>
  <c r="O185" i="277"/>
  <c r="D185" i="277"/>
  <c r="J184" i="277"/>
  <c r="Q183" i="277"/>
  <c r="F183" i="277"/>
  <c r="L182" i="277"/>
  <c r="B182" i="277"/>
  <c r="H181" i="277"/>
  <c r="N180" i="277"/>
  <c r="D180" i="277"/>
  <c r="J179" i="277"/>
  <c r="P178" i="277"/>
  <c r="F178" i="277"/>
  <c r="L177" i="277"/>
  <c r="A177" i="277"/>
  <c r="H176" i="277"/>
  <c r="N175" i="277"/>
  <c r="C175" i="277"/>
  <c r="J174" i="277"/>
  <c r="P173" i="277"/>
  <c r="E173" i="277"/>
  <c r="L172" i="277"/>
  <c r="A172" i="277"/>
  <c r="G171" i="277"/>
  <c r="N170" i="277"/>
  <c r="C170" i="277"/>
  <c r="I169" i="277"/>
  <c r="P168" i="277"/>
  <c r="E168" i="277"/>
  <c r="K167" i="277"/>
  <c r="A167" i="277"/>
  <c r="G166" i="277"/>
  <c r="M165" i="277"/>
  <c r="C165" i="277"/>
  <c r="I164" i="277"/>
  <c r="O163" i="277"/>
  <c r="E163" i="277"/>
  <c r="K162" i="277"/>
  <c r="Q161" i="277"/>
  <c r="G161" i="277"/>
  <c r="N160" i="277"/>
  <c r="F160" i="277"/>
  <c r="O159" i="277"/>
  <c r="G159" i="277"/>
  <c r="P158" i="277"/>
  <c r="H158" i="277"/>
  <c r="Q157" i="277"/>
  <c r="I157" i="277"/>
  <c r="A157" i="277"/>
  <c r="J156" i="277"/>
  <c r="B156" i="277"/>
  <c r="K155" i="277"/>
  <c r="C155" i="277"/>
  <c r="L154" i="277"/>
  <c r="D154" i="277"/>
  <c r="M153" i="277"/>
  <c r="E153" i="277"/>
  <c r="N152" i="277"/>
  <c r="F152" i="277"/>
  <c r="O151" i="277"/>
  <c r="G151" i="277"/>
  <c r="K200" i="277"/>
  <c r="A200" i="277"/>
  <c r="G199" i="277"/>
  <c r="M198" i="277"/>
  <c r="C198" i="277"/>
  <c r="I197" i="277"/>
  <c r="O196" i="277"/>
  <c r="E196" i="277"/>
  <c r="K195" i="277"/>
  <c r="Q194" i="277"/>
  <c r="G194" i="277"/>
  <c r="M193" i="277"/>
  <c r="B193" i="277"/>
  <c r="I192" i="277"/>
  <c r="O191" i="277"/>
  <c r="D191" i="277"/>
  <c r="K190" i="277"/>
  <c r="Q189" i="277"/>
  <c r="F189" i="277"/>
  <c r="M188" i="277"/>
  <c r="B188" i="277"/>
  <c r="H187" i="277"/>
  <c r="O186" i="277"/>
  <c r="D186" i="277"/>
  <c r="J185" i="277"/>
  <c r="Q184" i="277"/>
  <c r="F184" i="277"/>
  <c r="L183" i="277"/>
  <c r="B183" i="277"/>
  <c r="H182" i="277"/>
  <c r="N181" i="277"/>
  <c r="D181" i="277"/>
  <c r="J180" i="277"/>
  <c r="P179" i="277"/>
  <c r="F179" i="277"/>
  <c r="L178" i="277"/>
  <c r="A178" i="277"/>
  <c r="H177" i="277"/>
  <c r="N176" i="277"/>
  <c r="C176" i="277"/>
  <c r="J175" i="277"/>
  <c r="P174" i="277"/>
  <c r="E174" i="277"/>
  <c r="L173" i="277"/>
  <c r="A173" i="277"/>
  <c r="G172" i="277"/>
  <c r="N171" i="277"/>
  <c r="C171" i="277"/>
  <c r="I170" i="277"/>
  <c r="P169" i="277"/>
  <c r="E169" i="277"/>
  <c r="K168" i="277"/>
  <c r="A168" i="277"/>
  <c r="G167" i="277"/>
  <c r="M166" i="277"/>
  <c r="C166" i="277"/>
  <c r="I165" i="277"/>
  <c r="O164" i="277"/>
  <c r="E164" i="277"/>
  <c r="K163" i="277"/>
  <c r="Q162" i="277"/>
  <c r="G162" i="277"/>
  <c r="M161" i="277"/>
  <c r="B161" i="277"/>
  <c r="K160" i="277"/>
  <c r="C160" i="277"/>
  <c r="L159" i="277"/>
  <c r="D159" i="277"/>
  <c r="M158" i="277"/>
  <c r="E158" i="277"/>
  <c r="N157" i="277"/>
  <c r="F157" i="277"/>
  <c r="O156" i="277"/>
  <c r="G156" i="277"/>
  <c r="P155" i="277"/>
  <c r="H155" i="277"/>
  <c r="Q154" i="277"/>
  <c r="I154" i="277"/>
  <c r="A154" i="277"/>
  <c r="J153" i="277"/>
  <c r="I200" i="277"/>
  <c r="O199" i="277"/>
  <c r="D199" i="277"/>
  <c r="K198" i="277"/>
  <c r="Q197" i="277"/>
  <c r="F197" i="277"/>
  <c r="M196" i="277"/>
  <c r="B196" i="277"/>
  <c r="H195" i="277"/>
  <c r="O194" i="277"/>
  <c r="D194" i="277"/>
  <c r="J193" i="277"/>
  <c r="Q192" i="277"/>
  <c r="F192" i="277"/>
  <c r="L191" i="277"/>
  <c r="B191" i="277"/>
  <c r="H190" i="277"/>
  <c r="N189" i="277"/>
  <c r="D189" i="277"/>
  <c r="J188" i="277"/>
  <c r="P187" i="277"/>
  <c r="F187" i="277"/>
  <c r="L186" i="277"/>
  <c r="A186" i="277"/>
  <c r="H185" i="277"/>
  <c r="N184" i="277"/>
  <c r="C184" i="277"/>
  <c r="J183" i="277"/>
  <c r="P182" i="277"/>
  <c r="E182" i="277"/>
  <c r="L181" i="277"/>
  <c r="A181" i="277"/>
  <c r="G180" i="277"/>
  <c r="N179" i="277"/>
  <c r="C179" i="277"/>
  <c r="I178" i="277"/>
  <c r="P177" i="277"/>
  <c r="E177" i="277"/>
  <c r="K176" i="277"/>
  <c r="A176" i="277"/>
  <c r="G175" i="277"/>
  <c r="M174" i="277"/>
  <c r="C174" i="277"/>
  <c r="I173" i="277"/>
  <c r="O172" i="277"/>
  <c r="E172" i="277"/>
  <c r="K171" i="277"/>
  <c r="Q170" i="277"/>
  <c r="G170" i="277"/>
  <c r="M169" i="277"/>
  <c r="B169" i="277"/>
  <c r="I168" i="277"/>
  <c r="O167" i="277"/>
  <c r="D167" i="277"/>
  <c r="K166" i="277"/>
  <c r="Q165" i="277"/>
  <c r="F165" i="277"/>
  <c r="M164" i="277"/>
  <c r="B164" i="277"/>
  <c r="H163" i="277"/>
  <c r="O162" i="277"/>
  <c r="D162" i="277"/>
  <c r="J161" i="277"/>
  <c r="Q160" i="277"/>
  <c r="I160" i="277"/>
  <c r="A160" i="277"/>
  <c r="J159" i="277"/>
  <c r="B159" i="277"/>
  <c r="K158" i="277"/>
  <c r="C158" i="277"/>
  <c r="L157" i="277"/>
  <c r="D157" i="277"/>
  <c r="M156" i="277"/>
  <c r="E156" i="277"/>
  <c r="N155" i="277"/>
  <c r="F155" i="277"/>
  <c r="O154" i="277"/>
  <c r="G154" i="277"/>
  <c r="P153" i="277"/>
  <c r="H153" i="277"/>
  <c r="Q152" i="277"/>
  <c r="I152" i="277"/>
  <c r="A152" i="277"/>
  <c r="J151" i="277"/>
  <c r="B151" i="277"/>
  <c r="K150" i="277"/>
  <c r="C150" i="277"/>
  <c r="L149" i="277"/>
  <c r="D149" i="277"/>
  <c r="M148" i="277"/>
  <c r="E148" i="277"/>
  <c r="N147" i="277"/>
  <c r="F147" i="277"/>
  <c r="O146" i="277"/>
  <c r="G146" i="277"/>
  <c r="P145" i="277"/>
  <c r="H145" i="277"/>
  <c r="Q144" i="277"/>
  <c r="I144" i="277"/>
  <c r="A144" i="277"/>
  <c r="J143" i="277"/>
  <c r="B143" i="277"/>
  <c r="K142" i="277"/>
  <c r="C142" i="277"/>
  <c r="N200" i="277"/>
  <c r="N199" i="277"/>
  <c r="O198" i="277"/>
  <c r="N197" i="277"/>
  <c r="N196" i="277"/>
  <c r="N195" i="277"/>
  <c r="N194" i="277"/>
  <c r="O193" i="277"/>
  <c r="N192" i="277"/>
  <c r="N191" i="277"/>
  <c r="M190" i="277"/>
  <c r="M189" i="277"/>
  <c r="N188" i="277"/>
  <c r="N187" i="277"/>
  <c r="N186" i="277"/>
  <c r="M185" i="277"/>
  <c r="M184" i="277"/>
  <c r="N183" i="277"/>
  <c r="M182" i="277"/>
  <c r="M181" i="277"/>
  <c r="M180" i="277"/>
  <c r="M179" i="277"/>
  <c r="N178" i="277"/>
  <c r="M177" i="277"/>
  <c r="M176" i="277"/>
  <c r="M200" i="277"/>
  <c r="L199" i="277"/>
  <c r="L198" i="277"/>
  <c r="L197" i="277"/>
  <c r="L196" i="277"/>
  <c r="M195" i="277"/>
  <c r="L194" i="277"/>
  <c r="L193" i="277"/>
  <c r="K192" i="277"/>
  <c r="K191" i="277"/>
  <c r="L190" i="277"/>
  <c r="L189" i="277"/>
  <c r="L188" i="277"/>
  <c r="K187" i="277"/>
  <c r="K186" i="277"/>
  <c r="L185" i="277"/>
  <c r="K184" i="277"/>
  <c r="K183" i="277"/>
  <c r="K182" i="277"/>
  <c r="K181" i="277"/>
  <c r="L180" i="277"/>
  <c r="K179" i="277"/>
  <c r="K178" i="277"/>
  <c r="J177" i="277"/>
  <c r="J176" i="277"/>
  <c r="K175" i="277"/>
  <c r="K174" i="277"/>
  <c r="K173" i="277"/>
  <c r="J172" i="277"/>
  <c r="J171" i="277"/>
  <c r="K170" i="277"/>
  <c r="J169" i="277"/>
  <c r="J168" i="277"/>
  <c r="J167" i="277"/>
  <c r="J166" i="277"/>
  <c r="K165" i="277"/>
  <c r="J164" i="277"/>
  <c r="J163" i="277"/>
  <c r="I162" i="277"/>
  <c r="I161" i="277"/>
  <c r="L160" i="277"/>
  <c r="P159" i="277"/>
  <c r="C159" i="277"/>
  <c r="G158" i="277"/>
  <c r="K157" i="277"/>
  <c r="P156" i="277"/>
  <c r="C156" i="277"/>
  <c r="G155" i="277"/>
  <c r="K154" i="277"/>
  <c r="O153" i="277"/>
  <c r="C153" i="277"/>
  <c r="J152" i="277"/>
  <c r="P151" i="277"/>
  <c r="E151" i="277"/>
  <c r="M150" i="277"/>
  <c r="D150" i="277"/>
  <c r="K149" i="277"/>
  <c r="B149" i="277"/>
  <c r="J148" i="277"/>
  <c r="A148" i="277"/>
  <c r="I147" i="277"/>
  <c r="Q146" i="277"/>
  <c r="H146" i="277"/>
  <c r="O145" i="277"/>
  <c r="F145" i="277"/>
  <c r="N144" i="277"/>
  <c r="E144" i="277"/>
  <c r="M143" i="277"/>
  <c r="D143" i="277"/>
  <c r="L142" i="277"/>
  <c r="B142" i="277"/>
  <c r="K141" i="277"/>
  <c r="C141" i="277"/>
  <c r="L140" i="277"/>
  <c r="D140" i="277"/>
  <c r="M139" i="277"/>
  <c r="E139" i="277"/>
  <c r="N138" i="277"/>
  <c r="F138" i="277"/>
  <c r="O137" i="277"/>
  <c r="G137" i="277"/>
  <c r="P136" i="277"/>
  <c r="H136" i="277"/>
  <c r="Q135" i="277"/>
  <c r="I135" i="277"/>
  <c r="J200" i="277"/>
  <c r="J199" i="277"/>
  <c r="J198" i="277"/>
  <c r="K197" i="277"/>
  <c r="J196" i="277"/>
  <c r="J195" i="277"/>
  <c r="I194" i="277"/>
  <c r="I193" i="277"/>
  <c r="J192" i="277"/>
  <c r="J191" i="277"/>
  <c r="J190" i="277"/>
  <c r="I189" i="277"/>
  <c r="I188" i="277"/>
  <c r="J187" i="277"/>
  <c r="I186" i="277"/>
  <c r="I185" i="277"/>
  <c r="I184" i="277"/>
  <c r="I183" i="277"/>
  <c r="J182" i="277"/>
  <c r="I181" i="277"/>
  <c r="I180" i="277"/>
  <c r="H179" i="277"/>
  <c r="H178" i="277"/>
  <c r="I177" i="277"/>
  <c r="I176" i="277"/>
  <c r="I175" i="277"/>
  <c r="H174" i="277"/>
  <c r="H173" i="277"/>
  <c r="I172" i="277"/>
  <c r="H171" i="277"/>
  <c r="H170" i="277"/>
  <c r="H169" i="277"/>
  <c r="H168" i="277"/>
  <c r="I167" i="277"/>
  <c r="H166" i="277"/>
  <c r="H165" i="277"/>
  <c r="G164" i="277"/>
  <c r="G163" i="277"/>
  <c r="H162" i="277"/>
  <c r="H161" i="277"/>
  <c r="J160" i="277"/>
  <c r="N159" i="277"/>
  <c r="A159" i="277"/>
  <c r="F158" i="277"/>
  <c r="J157" i="277"/>
  <c r="N156" i="277"/>
  <c r="A156" i="277"/>
  <c r="E155" i="277"/>
  <c r="J154" i="277"/>
  <c r="N153" i="277"/>
  <c r="B153" i="277"/>
  <c r="H152" i="277"/>
  <c r="N151" i="277"/>
  <c r="D151" i="277"/>
  <c r="L150" i="277"/>
  <c r="B150" i="277"/>
  <c r="J149" i="277"/>
  <c r="A149" i="277"/>
  <c r="I148" i="277"/>
  <c r="Q147" i="277"/>
  <c r="H147" i="277"/>
  <c r="P146" i="277"/>
  <c r="F146" i="277"/>
  <c r="N145" i="277"/>
  <c r="E145" i="277"/>
  <c r="M144" i="277"/>
  <c r="D144" i="277"/>
  <c r="L143" i="277"/>
  <c r="C143" i="277"/>
  <c r="J142" i="277"/>
  <c r="A142" i="277"/>
  <c r="J141" i="277"/>
  <c r="B141" i="277"/>
  <c r="K140" i="277"/>
  <c r="C140" i="277"/>
  <c r="L139" i="277"/>
  <c r="D139" i="277"/>
  <c r="M138" i="277"/>
  <c r="E138" i="277"/>
  <c r="N137" i="277"/>
  <c r="F137" i="277"/>
  <c r="O136" i="277"/>
  <c r="G136" i="277"/>
  <c r="P135" i="277"/>
  <c r="H135" i="277"/>
  <c r="Q134" i="277"/>
  <c r="I134" i="277"/>
  <c r="A134" i="277"/>
  <c r="J133" i="277"/>
  <c r="B133" i="277"/>
  <c r="K132" i="277"/>
  <c r="H200" i="277"/>
  <c r="I199" i="277"/>
  <c r="H198" i="277"/>
  <c r="H197" i="277"/>
  <c r="G196" i="277"/>
  <c r="G195" i="277"/>
  <c r="H194" i="277"/>
  <c r="H193" i="277"/>
  <c r="H192" i="277"/>
  <c r="G191" i="277"/>
  <c r="G190" i="277"/>
  <c r="H189" i="277"/>
  <c r="G188" i="277"/>
  <c r="G187" i="277"/>
  <c r="G186" i="277"/>
  <c r="G185" i="277"/>
  <c r="H184" i="277"/>
  <c r="G183" i="277"/>
  <c r="G182" i="277"/>
  <c r="F181" i="277"/>
  <c r="F180" i="277"/>
  <c r="G179" i="277"/>
  <c r="G178" i="277"/>
  <c r="G177" i="277"/>
  <c r="F176" i="277"/>
  <c r="F175" i="277"/>
  <c r="G174" i="277"/>
  <c r="F173" i="277"/>
  <c r="F172" i="277"/>
  <c r="F171" i="277"/>
  <c r="F170" i="277"/>
  <c r="G169" i="277"/>
  <c r="F168" i="277"/>
  <c r="F167" i="277"/>
  <c r="E166" i="277"/>
  <c r="E165" i="277"/>
  <c r="F164" i="277"/>
  <c r="F163" i="277"/>
  <c r="F162" i="277"/>
  <c r="E161" i="277"/>
  <c r="H160" i="277"/>
  <c r="M159" i="277"/>
  <c r="Q158" i="277"/>
  <c r="D158" i="277"/>
  <c r="H157" i="277"/>
  <c r="L156" i="277"/>
  <c r="Q155" i="277"/>
  <c r="D155" i="277"/>
  <c r="H154" i="277"/>
  <c r="L153" i="277"/>
  <c r="A153" i="277"/>
  <c r="G152" i="277"/>
  <c r="M151" i="277"/>
  <c r="C151" i="277"/>
  <c r="J150" i="277"/>
  <c r="A150" i="277"/>
  <c r="I149" i="277"/>
  <c r="Q148" i="277"/>
  <c r="H148" i="277"/>
  <c r="P147" i="277"/>
  <c r="G147" i="277"/>
  <c r="N146" i="277"/>
  <c r="E146" i="277"/>
  <c r="M145" i="277"/>
  <c r="D145" i="277"/>
  <c r="L144" i="277"/>
  <c r="C144" i="277"/>
  <c r="K143" i="277"/>
  <c r="A143" i="277"/>
  <c r="I142" i="277"/>
  <c r="Q141" i="277"/>
  <c r="I141" i="277"/>
  <c r="A141" i="277"/>
  <c r="J140" i="277"/>
  <c r="B140" i="277"/>
  <c r="K139" i="277"/>
  <c r="C139" i="277"/>
  <c r="L138" i="277"/>
  <c r="D138" i="277"/>
  <c r="M137" i="277"/>
  <c r="E137" i="277"/>
  <c r="N136" i="277"/>
  <c r="F136" i="277"/>
  <c r="O135" i="277"/>
  <c r="G135" i="277"/>
  <c r="F200" i="277"/>
  <c r="Q199" i="277"/>
  <c r="P197" i="277"/>
  <c r="P195" i="277"/>
  <c r="P193" i="277"/>
  <c r="Q191" i="277"/>
  <c r="P189" i="277"/>
  <c r="O187" i="277"/>
  <c r="P185" i="277"/>
  <c r="O183" i="277"/>
  <c r="P181" i="277"/>
  <c r="O179" i="277"/>
  <c r="O177" i="277"/>
  <c r="O175" i="277"/>
  <c r="B174" i="277"/>
  <c r="M172" i="277"/>
  <c r="P170" i="277"/>
  <c r="D169" i="277"/>
  <c r="N167" i="277"/>
  <c r="B166" i="277"/>
  <c r="L164" i="277"/>
  <c r="P162" i="277"/>
  <c r="D161" i="277"/>
  <c r="B160" i="277"/>
  <c r="N158" i="277"/>
  <c r="M157" i="277"/>
  <c r="H156" i="277"/>
  <c r="B155" i="277"/>
  <c r="B154" i="277"/>
  <c r="O152" i="277"/>
  <c r="Q151" i="277"/>
  <c r="P150" i="277"/>
  <c r="Q149" i="277"/>
  <c r="E149" i="277"/>
  <c r="F148" i="277"/>
  <c r="J147" i="277"/>
  <c r="K146" i="277"/>
  <c r="L145" i="277"/>
  <c r="P144" i="277"/>
  <c r="Q143" i="277"/>
  <c r="E143" i="277"/>
  <c r="F142" i="277"/>
  <c r="H141" i="277"/>
  <c r="N140" i="277"/>
  <c r="Q139" i="277"/>
  <c r="F139" i="277"/>
  <c r="I138" i="277"/>
  <c r="L137" i="277"/>
  <c r="A137" i="277"/>
  <c r="D136" i="277"/>
  <c r="J135" i="277"/>
  <c r="O134" i="277"/>
  <c r="F134" i="277"/>
  <c r="N133" i="277"/>
  <c r="E133" i="277"/>
  <c r="M132" i="277"/>
  <c r="D132" i="277"/>
  <c r="M131" i="277"/>
  <c r="E131" i="277"/>
  <c r="N130" i="277"/>
  <c r="F130" i="277"/>
  <c r="O129" i="277"/>
  <c r="G129" i="277"/>
  <c r="P128" i="277"/>
  <c r="H128" i="277"/>
  <c r="Q127" i="277"/>
  <c r="I127" i="277"/>
  <c r="A127" i="277"/>
  <c r="J126" i="277"/>
  <c r="F199" i="277"/>
  <c r="E197" i="277"/>
  <c r="F195" i="277"/>
  <c r="E193" i="277"/>
  <c r="F191" i="277"/>
  <c r="E189" i="277"/>
  <c r="E187" i="277"/>
  <c r="E185" i="277"/>
  <c r="D183" i="277"/>
  <c r="E181" i="277"/>
  <c r="E179" i="277"/>
  <c r="D177" i="277"/>
  <c r="L175" i="277"/>
  <c r="Q173" i="277"/>
  <c r="D172" i="277"/>
  <c r="O170" i="277"/>
  <c r="A169" i="277"/>
  <c r="L167" i="277"/>
  <c r="P165" i="277"/>
  <c r="D164" i="277"/>
  <c r="N162" i="277"/>
  <c r="A161" i="277"/>
  <c r="Q159" i="277"/>
  <c r="L158" i="277"/>
  <c r="G157" i="277"/>
  <c r="F156" i="277"/>
  <c r="A155" i="277"/>
  <c r="Q153" i="277"/>
  <c r="M152" i="277"/>
  <c r="L151" i="277"/>
  <c r="O150" i="277"/>
  <c r="P149" i="277"/>
  <c r="C149" i="277"/>
  <c r="D148" i="277"/>
  <c r="E147" i="277"/>
  <c r="J146" i="277"/>
  <c r="K145" i="277"/>
  <c r="O144" i="277"/>
  <c r="P143" i="277"/>
  <c r="Q142" i="277"/>
  <c r="E142" i="277"/>
  <c r="G141" i="277"/>
  <c r="M140" i="277"/>
  <c r="P139" i="277"/>
  <c r="B139" i="277"/>
  <c r="H138" i="277"/>
  <c r="K137" i="277"/>
  <c r="Q136" i="277"/>
  <c r="C136" i="277"/>
  <c r="F135" i="277"/>
  <c r="N134" i="277"/>
  <c r="E134" i="277"/>
  <c r="M133" i="277"/>
  <c r="D133" i="277"/>
  <c r="L132" i="277"/>
  <c r="C132" i="277"/>
  <c r="L131" i="277"/>
  <c r="D131" i="277"/>
  <c r="M130" i="277"/>
  <c r="E130" i="277"/>
  <c r="N129" i="277"/>
  <c r="F129" i="277"/>
  <c r="O128" i="277"/>
  <c r="G128" i="277"/>
  <c r="P127" i="277"/>
  <c r="H127" i="277"/>
  <c r="Q126" i="277"/>
  <c r="I126" i="277"/>
  <c r="A126" i="277"/>
  <c r="J125" i="277"/>
  <c r="B125" i="277"/>
  <c r="K124" i="277"/>
  <c r="C124" i="277"/>
  <c r="L123" i="277"/>
  <c r="D123" i="277"/>
  <c r="M122" i="277"/>
  <c r="E122" i="277"/>
  <c r="N121" i="277"/>
  <c r="F121" i="277"/>
  <c r="O120" i="277"/>
  <c r="G120" i="277"/>
  <c r="P119" i="277"/>
  <c r="H119" i="277"/>
  <c r="Q118" i="277"/>
  <c r="I118" i="277"/>
  <c r="A118" i="277"/>
  <c r="C199" i="277"/>
  <c r="D197" i="277"/>
  <c r="C195" i="277"/>
  <c r="D193" i="277"/>
  <c r="C191" i="277"/>
  <c r="C189" i="277"/>
  <c r="C187" i="277"/>
  <c r="B185" i="277"/>
  <c r="C183" i="277"/>
  <c r="C181" i="277"/>
  <c r="B179" i="277"/>
  <c r="B177" i="277"/>
  <c r="D175" i="277"/>
  <c r="N173" i="277"/>
  <c r="B172" i="277"/>
  <c r="L170" i="277"/>
  <c r="Q168" i="277"/>
  <c r="C167" i="277"/>
  <c r="N165" i="277"/>
  <c r="A164" i="277"/>
  <c r="L162" i="277"/>
  <c r="P160" i="277"/>
  <c r="K159" i="277"/>
  <c r="J158" i="277"/>
  <c r="E157" i="277"/>
  <c r="D156" i="277"/>
  <c r="P154" i="277"/>
  <c r="K153" i="277"/>
  <c r="L152" i="277"/>
  <c r="K151" i="277"/>
  <c r="N150" i="277"/>
  <c r="O149" i="277"/>
  <c r="P148" i="277"/>
  <c r="C148" i="277"/>
  <c r="D147" i="277"/>
  <c r="I146" i="277"/>
  <c r="J145" i="277"/>
  <c r="K144" i="277"/>
  <c r="O143" i="277"/>
  <c r="P142" i="277"/>
  <c r="D142" i="277"/>
  <c r="F141" i="277"/>
  <c r="I140" i="277"/>
  <c r="O139" i="277"/>
  <c r="A139" i="277"/>
  <c r="G138" i="277"/>
  <c r="J137" i="277"/>
  <c r="M136" i="277"/>
  <c r="B136" i="277"/>
  <c r="E135" i="277"/>
  <c r="M134" i="277"/>
  <c r="D134" i="277"/>
  <c r="L133" i="277"/>
  <c r="C133" i="277"/>
  <c r="J132" i="277"/>
  <c r="B132" i="277"/>
  <c r="K131" i="277"/>
  <c r="C131" i="277"/>
  <c r="L130" i="277"/>
  <c r="D130" i="277"/>
  <c r="M129" i="277"/>
  <c r="E129" i="277"/>
  <c r="N128" i="277"/>
  <c r="F128" i="277"/>
  <c r="O127" i="277"/>
  <c r="G127" i="277"/>
  <c r="P126" i="277"/>
  <c r="H126" i="277"/>
  <c r="Q125" i="277"/>
  <c r="I125" i="277"/>
  <c r="A125" i="277"/>
  <c r="J124" i="277"/>
  <c r="B124" i="277"/>
  <c r="K123" i="277"/>
  <c r="C123" i="277"/>
  <c r="L122" i="277"/>
  <c r="D122" i="277"/>
  <c r="M121" i="277"/>
  <c r="E121" i="277"/>
  <c r="N120" i="277"/>
  <c r="F120" i="277"/>
  <c r="O119" i="277"/>
  <c r="G119" i="277"/>
  <c r="P118" i="277"/>
  <c r="H118" i="277"/>
  <c r="C200" i="277"/>
  <c r="Q196" i="277"/>
  <c r="A194" i="277"/>
  <c r="E190" i="277"/>
  <c r="Q186" i="277"/>
  <c r="B184" i="277"/>
  <c r="O180" i="277"/>
  <c r="Q177" i="277"/>
  <c r="O174" i="277"/>
  <c r="P171" i="277"/>
  <c r="O169" i="277"/>
  <c r="P166" i="277"/>
  <c r="N164" i="277"/>
  <c r="P161" i="277"/>
  <c r="I159" i="277"/>
  <c r="P157" i="277"/>
  <c r="M155" i="277"/>
  <c r="C154" i="277"/>
  <c r="D152" i="277"/>
  <c r="I150" i="277"/>
  <c r="G149" i="277"/>
  <c r="O147" i="277"/>
  <c r="L146" i="277"/>
  <c r="C145" i="277"/>
  <c r="N143" i="277"/>
  <c r="H142" i="277"/>
  <c r="B200" i="277"/>
  <c r="F196" i="277"/>
  <c r="A193" i="277"/>
  <c r="C190" i="277"/>
  <c r="P186" i="277"/>
  <c r="A184" i="277"/>
  <c r="E180" i="277"/>
  <c r="Q176" i="277"/>
  <c r="L174" i="277"/>
  <c r="O171" i="277"/>
  <c r="L169" i="277"/>
  <c r="O166" i="277"/>
  <c r="P163" i="277"/>
  <c r="O161" i="277"/>
  <c r="H159" i="277"/>
  <c r="O157" i="277"/>
  <c r="L155" i="277"/>
  <c r="I153" i="277"/>
  <c r="C152" i="277"/>
  <c r="H150" i="277"/>
  <c r="F149" i="277"/>
  <c r="M147" i="277"/>
  <c r="D146" i="277"/>
  <c r="B145" i="277"/>
  <c r="I143" i="277"/>
  <c r="G142" i="277"/>
  <c r="B199" i="277"/>
  <c r="D196" i="277"/>
  <c r="P192" i="277"/>
  <c r="B190" i="277"/>
  <c r="F186" i="277"/>
  <c r="A183" i="277"/>
  <c r="B180" i="277"/>
  <c r="P176" i="277"/>
  <c r="D174" i="277"/>
  <c r="M171" i="277"/>
  <c r="N168" i="277"/>
  <c r="L166" i="277"/>
  <c r="N163" i="277"/>
  <c r="L161" i="277"/>
  <c r="F159" i="277"/>
  <c r="C157" i="277"/>
  <c r="J155" i="277"/>
  <c r="G153" i="277"/>
  <c r="B152" i="277"/>
  <c r="G150" i="277"/>
  <c r="O148" i="277"/>
  <c r="L147" i="277"/>
  <c r="C146" i="277"/>
  <c r="A145" i="277"/>
  <c r="H143" i="277"/>
  <c r="P141" i="277"/>
  <c r="P140" i="277"/>
  <c r="J139" i="277"/>
  <c r="J138" i="277"/>
  <c r="D137" i="277"/>
  <c r="A136" i="277"/>
  <c r="A135" i="277"/>
  <c r="B134" i="277"/>
  <c r="F133" i="277"/>
  <c r="G132" i="277"/>
  <c r="J131" i="277"/>
  <c r="P130" i="277"/>
  <c r="B130" i="277"/>
  <c r="H129" i="277"/>
  <c r="K128" i="277"/>
  <c r="N127" i="277"/>
  <c r="C127" i="277"/>
  <c r="F126" i="277"/>
  <c r="M125" i="277"/>
  <c r="C125" i="277"/>
  <c r="H124" i="277"/>
  <c r="O123" i="277"/>
  <c r="E123" i="277"/>
  <c r="J122" i="277"/>
  <c r="Q121" i="277"/>
  <c r="G121" i="277"/>
  <c r="L120" i="277"/>
  <c r="B120" i="277"/>
  <c r="I119" i="277"/>
  <c r="N118" i="277"/>
  <c r="D118" i="277"/>
  <c r="L117" i="277"/>
  <c r="D117" i="277"/>
  <c r="M116" i="277"/>
  <c r="E116" i="277"/>
  <c r="N115" i="277"/>
  <c r="F115" i="277"/>
  <c r="O114" i="277"/>
  <c r="G114" i="277"/>
  <c r="P113" i="277"/>
  <c r="H113" i="277"/>
  <c r="Q112" i="277"/>
  <c r="I112" i="277"/>
  <c r="A112" i="277"/>
  <c r="J111" i="277"/>
  <c r="B111" i="277"/>
  <c r="K110" i="277"/>
  <c r="C110" i="277"/>
  <c r="L109" i="277"/>
  <c r="D109" i="277"/>
  <c r="M108" i="277"/>
  <c r="E108" i="277"/>
  <c r="N107" i="277"/>
  <c r="F107" i="277"/>
  <c r="O106" i="277"/>
  <c r="G106" i="277"/>
  <c r="P105" i="277"/>
  <c r="H105" i="277"/>
  <c r="Q104" i="277"/>
  <c r="I104" i="277"/>
  <c r="A104" i="277"/>
  <c r="J103" i="277"/>
  <c r="B103" i="277"/>
  <c r="K102" i="277"/>
  <c r="C102" i="277"/>
  <c r="L101" i="277"/>
  <c r="D101" i="277"/>
  <c r="M100" i="277"/>
  <c r="E100" i="277"/>
  <c r="N99" i="277"/>
  <c r="F99" i="277"/>
  <c r="O98" i="277"/>
  <c r="G98" i="277"/>
  <c r="P97" i="277"/>
  <c r="H97" i="277"/>
  <c r="Q96" i="277"/>
  <c r="I96" i="277"/>
  <c r="A96" i="277"/>
  <c r="J95" i="277"/>
  <c r="B95" i="277"/>
  <c r="K94" i="277"/>
  <c r="C94" i="277"/>
  <c r="L93" i="277"/>
  <c r="D93" i="277"/>
  <c r="M92" i="277"/>
  <c r="E92" i="277"/>
  <c r="N91" i="277"/>
  <c r="F91" i="277"/>
  <c r="O90" i="277"/>
  <c r="G90" i="277"/>
  <c r="P89" i="277"/>
  <c r="H89" i="277"/>
  <c r="Q88" i="277"/>
  <c r="I88" i="277"/>
  <c r="A88" i="277"/>
  <c r="J87" i="277"/>
  <c r="B87" i="277"/>
  <c r="K86" i="277"/>
  <c r="C86" i="277"/>
  <c r="L85" i="277"/>
  <c r="D85" i="277"/>
  <c r="M84" i="277"/>
  <c r="E84" i="277"/>
  <c r="N83" i="277"/>
  <c r="F83" i="277"/>
  <c r="O82" i="277"/>
  <c r="G82" i="277"/>
  <c r="P81" i="277"/>
  <c r="H81" i="277"/>
  <c r="Q80" i="277"/>
  <c r="I80" i="277"/>
  <c r="P198" i="277"/>
  <c r="A196" i="277"/>
  <c r="E192" i="277"/>
  <c r="A189" i="277"/>
  <c r="C186" i="277"/>
  <c r="O182" i="277"/>
  <c r="A180" i="277"/>
  <c r="E176" i="277"/>
  <c r="M173" i="277"/>
  <c r="E171" i="277"/>
  <c r="M168" i="277"/>
  <c r="D166" i="277"/>
  <c r="M163" i="277"/>
  <c r="O160" i="277"/>
  <c r="E159" i="277"/>
  <c r="B157" i="277"/>
  <c r="I155" i="277"/>
  <c r="F153" i="277"/>
  <c r="I151" i="277"/>
  <c r="F150" i="277"/>
  <c r="N148" i="277"/>
  <c r="K147" i="277"/>
  <c r="B146" i="277"/>
  <c r="J144" i="277"/>
  <c r="G143" i="277"/>
  <c r="O141" i="277"/>
  <c r="O140" i="277"/>
  <c r="I139" i="277"/>
  <c r="C138" i="277"/>
  <c r="C137" i="277"/>
  <c r="N135" i="277"/>
  <c r="P134" i="277"/>
  <c r="Q133" i="277"/>
  <c r="A133" i="277"/>
  <c r="F132" i="277"/>
  <c r="I131" i="277"/>
  <c r="O130" i="277"/>
  <c r="A130" i="277"/>
  <c r="D129" i="277"/>
  <c r="J128" i="277"/>
  <c r="M127" i="277"/>
  <c r="B127" i="277"/>
  <c r="E126" i="277"/>
  <c r="L125" i="277"/>
  <c r="Q124" i="277"/>
  <c r="G124" i="277"/>
  <c r="N123" i="277"/>
  <c r="B123" i="277"/>
  <c r="I122" i="277"/>
  <c r="P121" i="277"/>
  <c r="D121" i="277"/>
  <c r="K120" i="277"/>
  <c r="A120" i="277"/>
  <c r="F119" i="277"/>
  <c r="M118" i="277"/>
  <c r="C118" i="277"/>
  <c r="K117" i="277"/>
  <c r="C117" i="277"/>
  <c r="L116" i="277"/>
  <c r="D116" i="277"/>
  <c r="M115" i="277"/>
  <c r="E115" i="277"/>
  <c r="N114" i="277"/>
  <c r="F114" i="277"/>
  <c r="O113" i="277"/>
  <c r="G113" i="277"/>
  <c r="P112" i="277"/>
  <c r="H112" i="277"/>
  <c r="Q111" i="277"/>
  <c r="I111" i="277"/>
  <c r="A111" i="277"/>
  <c r="J110" i="277"/>
  <c r="B110" i="277"/>
  <c r="K109" i="277"/>
  <c r="C109" i="277"/>
  <c r="L108" i="277"/>
  <c r="D108" i="277"/>
  <c r="M107" i="277"/>
  <c r="E107" i="277"/>
  <c r="N106" i="277"/>
  <c r="F106" i="277"/>
  <c r="O105" i="277"/>
  <c r="G105" i="277"/>
  <c r="P104" i="277"/>
  <c r="H104" i="277"/>
  <c r="Q103" i="277"/>
  <c r="I103" i="277"/>
  <c r="A103" i="277"/>
  <c r="J102" i="277"/>
  <c r="B102" i="277"/>
  <c r="K101" i="277"/>
  <c r="C101" i="277"/>
  <c r="L100" i="277"/>
  <c r="D100" i="277"/>
  <c r="M99" i="277"/>
  <c r="E99" i="277"/>
  <c r="N98" i="277"/>
  <c r="F98" i="277"/>
  <c r="O97" i="277"/>
  <c r="G97" i="277"/>
  <c r="P96" i="277"/>
  <c r="H96" i="277"/>
  <c r="Q95" i="277"/>
  <c r="I95" i="277"/>
  <c r="A95" i="277"/>
  <c r="J94" i="277"/>
  <c r="B94" i="277"/>
  <c r="K93" i="277"/>
  <c r="C93" i="277"/>
  <c r="L92" i="277"/>
  <c r="D92" i="277"/>
  <c r="M91" i="277"/>
  <c r="E91" i="277"/>
  <c r="N90" i="277"/>
  <c r="F90" i="277"/>
  <c r="O89" i="277"/>
  <c r="G89" i="277"/>
  <c r="P88" i="277"/>
  <c r="H88" i="277"/>
  <c r="Q87" i="277"/>
  <c r="I87" i="277"/>
  <c r="A87" i="277"/>
  <c r="J86" i="277"/>
  <c r="B86" i="277"/>
  <c r="K85" i="277"/>
  <c r="C85" i="277"/>
  <c r="L84" i="277"/>
  <c r="D84" i="277"/>
  <c r="M83" i="277"/>
  <c r="E83" i="277"/>
  <c r="N82" i="277"/>
  <c r="F82" i="277"/>
  <c r="O81" i="277"/>
  <c r="G81" i="277"/>
  <c r="P80" i="277"/>
  <c r="H80" i="277"/>
  <c r="Q79" i="277"/>
  <c r="I79" i="277"/>
  <c r="A79" i="277"/>
  <c r="J78" i="277"/>
  <c r="B78" i="277"/>
  <c r="K77" i="277"/>
  <c r="C77" i="277"/>
  <c r="L76" i="277"/>
  <c r="D76" i="277"/>
  <c r="M75" i="277"/>
  <c r="E75" i="277"/>
  <c r="N74" i="277"/>
  <c r="F74" i="277"/>
  <c r="O73" i="277"/>
  <c r="G73" i="277"/>
  <c r="P72" i="277"/>
  <c r="H72" i="277"/>
  <c r="Q71" i="277"/>
  <c r="I71" i="277"/>
  <c r="A71" i="277"/>
  <c r="J70" i="277"/>
  <c r="B70" i="277"/>
  <c r="K69" i="277"/>
  <c r="C69" i="277"/>
  <c r="L68" i="277"/>
  <c r="D68" i="277"/>
  <c r="M67" i="277"/>
  <c r="E67" i="277"/>
  <c r="N66" i="277"/>
  <c r="F66" i="277"/>
  <c r="O65" i="277"/>
  <c r="G65" i="277"/>
  <c r="P64" i="277"/>
  <c r="H64" i="277"/>
  <c r="E198" i="277"/>
  <c r="B195" i="277"/>
  <c r="C192" i="277"/>
  <c r="O188" i="277"/>
  <c r="Q185" i="277"/>
  <c r="D182" i="277"/>
  <c r="Q178" i="277"/>
  <c r="B176" i="277"/>
  <c r="D173" i="277"/>
  <c r="B171" i="277"/>
  <c r="C168" i="277"/>
  <c r="L165" i="277"/>
  <c r="C163" i="277"/>
  <c r="M160" i="277"/>
  <c r="O158" i="277"/>
  <c r="Q156" i="277"/>
  <c r="N154" i="277"/>
  <c r="D153" i="277"/>
  <c r="H151" i="277"/>
  <c r="E150" i="277"/>
  <c r="L148" i="277"/>
  <c r="C147" i="277"/>
  <c r="A146" i="277"/>
  <c r="H144" i="277"/>
  <c r="F143" i="277"/>
  <c r="N141" i="277"/>
  <c r="H140" i="277"/>
  <c r="H139" i="277"/>
  <c r="B138" i="277"/>
  <c r="B137" i="277"/>
  <c r="M135" i="277"/>
  <c r="L134" i="277"/>
  <c r="P133" i="277"/>
  <c r="Q132" i="277"/>
  <c r="E132" i="277"/>
  <c r="H131" i="277"/>
  <c r="K130" i="277"/>
  <c r="Q129" i="277"/>
  <c r="C129" i="277"/>
  <c r="I128" i="277"/>
  <c r="L127" i="277"/>
  <c r="O126" i="277"/>
  <c r="D126" i="277"/>
  <c r="K125" i="277"/>
  <c r="P124" i="277"/>
  <c r="F124" i="277"/>
  <c r="M123" i="277"/>
  <c r="A123" i="277"/>
  <c r="H122" i="277"/>
  <c r="O121" i="277"/>
  <c r="C121" i="277"/>
  <c r="J120" i="277"/>
  <c r="Q119" i="277"/>
  <c r="E119" i="277"/>
  <c r="L118" i="277"/>
  <c r="B118" i="277"/>
  <c r="J117" i="277"/>
  <c r="B117" i="277"/>
  <c r="K116" i="277"/>
  <c r="C116" i="277"/>
  <c r="L115" i="277"/>
  <c r="D115" i="277"/>
  <c r="M114" i="277"/>
  <c r="E114" i="277"/>
  <c r="N113" i="277"/>
  <c r="F113" i="277"/>
  <c r="O112" i="277"/>
  <c r="G112" i="277"/>
  <c r="P111" i="277"/>
  <c r="H111" i="277"/>
  <c r="Q110" i="277"/>
  <c r="I110" i="277"/>
  <c r="A110" i="277"/>
  <c r="J109" i="277"/>
  <c r="B109" i="277"/>
  <c r="K108" i="277"/>
  <c r="C108" i="277"/>
  <c r="L107" i="277"/>
  <c r="D107" i="277"/>
  <c r="M106" i="277"/>
  <c r="E106" i="277"/>
  <c r="N105" i="277"/>
  <c r="F105" i="277"/>
  <c r="O104" i="277"/>
  <c r="G104" i="277"/>
  <c r="P103" i="277"/>
  <c r="H103" i="277"/>
  <c r="Q102" i="277"/>
  <c r="I102" i="277"/>
  <c r="A102" i="277"/>
  <c r="J101" i="277"/>
  <c r="B101" i="277"/>
  <c r="K100" i="277"/>
  <c r="C100" i="277"/>
  <c r="L99" i="277"/>
  <c r="D99" i="277"/>
  <c r="M98" i="277"/>
  <c r="E98" i="277"/>
  <c r="N97" i="277"/>
  <c r="F97" i="277"/>
  <c r="O96" i="277"/>
  <c r="G96" i="277"/>
  <c r="P95" i="277"/>
  <c r="H95" i="277"/>
  <c r="Q94" i="277"/>
  <c r="I94" i="277"/>
  <c r="A94" i="277"/>
  <c r="J93" i="277"/>
  <c r="B93" i="277"/>
  <c r="K92" i="277"/>
  <c r="C92" i="277"/>
  <c r="L91" i="277"/>
  <c r="D91" i="277"/>
  <c r="M90" i="277"/>
  <c r="E90" i="277"/>
  <c r="N89" i="277"/>
  <c r="F89" i="277"/>
  <c r="O88" i="277"/>
  <c r="G88" i="277"/>
  <c r="P87" i="277"/>
  <c r="H87" i="277"/>
  <c r="Q86" i="277"/>
  <c r="I86" i="277"/>
  <c r="A86" i="277"/>
  <c r="J85" i="277"/>
  <c r="B85" i="277"/>
  <c r="K84" i="277"/>
  <c r="C84" i="277"/>
  <c r="L83" i="277"/>
  <c r="D83" i="277"/>
  <c r="M82" i="277"/>
  <c r="D198" i="277"/>
  <c r="P190" i="277"/>
  <c r="Q181" i="277"/>
  <c r="C173" i="277"/>
  <c r="B167" i="277"/>
  <c r="E160" i="277"/>
  <c r="M154" i="277"/>
  <c r="Q150" i="277"/>
  <c r="A147" i="277"/>
  <c r="O142" i="277"/>
  <c r="G140" i="277"/>
  <c r="O138" i="277"/>
  <c r="K136" i="277"/>
  <c r="B135" i="277"/>
  <c r="I133" i="277"/>
  <c r="A132" i="277"/>
  <c r="A131" i="277"/>
  <c r="L129" i="277"/>
  <c r="L128" i="277"/>
  <c r="F127" i="277"/>
  <c r="C126" i="277"/>
  <c r="E125" i="277"/>
  <c r="D124" i="277"/>
  <c r="F123" i="277"/>
  <c r="C122" i="277"/>
  <c r="B121" i="277"/>
  <c r="D120" i="277"/>
  <c r="C119" i="277"/>
  <c r="E118" i="277"/>
  <c r="G117" i="277"/>
  <c r="J116" i="277"/>
  <c r="P115" i="277"/>
  <c r="B115" i="277"/>
  <c r="H114" i="277"/>
  <c r="K113" i="277"/>
  <c r="N112" i="277"/>
  <c r="C112" i="277"/>
  <c r="F111" i="277"/>
  <c r="L110" i="277"/>
  <c r="O109" i="277"/>
  <c r="A109" i="277"/>
  <c r="G108" i="277"/>
  <c r="J107" i="277"/>
  <c r="P106" i="277"/>
  <c r="B106" i="277"/>
  <c r="E105" i="277"/>
  <c r="K104" i="277"/>
  <c r="N103" i="277"/>
  <c r="C103" i="277"/>
  <c r="F102" i="277"/>
  <c r="I101" i="277"/>
  <c r="O100" i="277"/>
  <c r="A100" i="277"/>
  <c r="G99" i="277"/>
  <c r="J98" i="277"/>
  <c r="M97" i="277"/>
  <c r="B97" i="277"/>
  <c r="E96" i="277"/>
  <c r="K95" i="277"/>
  <c r="N94" i="277"/>
  <c r="Q93" i="277"/>
  <c r="F93" i="277"/>
  <c r="I92" i="277"/>
  <c r="O91" i="277"/>
  <c r="A91" i="277"/>
  <c r="D90" i="277"/>
  <c r="J89" i="277"/>
  <c r="M88" i="277"/>
  <c r="B88" i="277"/>
  <c r="E87" i="277"/>
  <c r="H86" i="277"/>
  <c r="N85" i="277"/>
  <c r="Q84" i="277"/>
  <c r="F84" i="277"/>
  <c r="I83" i="277"/>
  <c r="L82" i="277"/>
  <c r="B82" i="277"/>
  <c r="I81" i="277"/>
  <c r="N80" i="277"/>
  <c r="D80" i="277"/>
  <c r="L79" i="277"/>
  <c r="C79" i="277"/>
  <c r="K78" i="277"/>
  <c r="A78" i="277"/>
  <c r="I77" i="277"/>
  <c r="Q76" i="277"/>
  <c r="H76" i="277"/>
  <c r="P75" i="277"/>
  <c r="G75" i="277"/>
  <c r="O74" i="277"/>
  <c r="E74" i="277"/>
  <c r="M73" i="277"/>
  <c r="D73" i="277"/>
  <c r="L72" i="277"/>
  <c r="C72" i="277"/>
  <c r="K71" i="277"/>
  <c r="B71" i="277"/>
  <c r="I70" i="277"/>
  <c r="Q69" i="277"/>
  <c r="H69" i="277"/>
  <c r="P68" i="277"/>
  <c r="G68" i="277"/>
  <c r="O67" i="277"/>
  <c r="F67" i="277"/>
  <c r="M66" i="277"/>
  <c r="D66" i="277"/>
  <c r="L65" i="277"/>
  <c r="C65" i="277"/>
  <c r="K64" i="277"/>
  <c r="B64" i="277"/>
  <c r="K63" i="277"/>
  <c r="C63" i="277"/>
  <c r="L62" i="277"/>
  <c r="D62" i="277"/>
  <c r="M61" i="277"/>
  <c r="E61" i="277"/>
  <c r="N60" i="277"/>
  <c r="F60" i="277"/>
  <c r="O59" i="277"/>
  <c r="G59" i="277"/>
  <c r="P58" i="277"/>
  <c r="H58" i="277"/>
  <c r="Q57" i="277"/>
  <c r="I57" i="277"/>
  <c r="A57" i="277"/>
  <c r="J56" i="277"/>
  <c r="B56" i="277"/>
  <c r="K55" i="277"/>
  <c r="C55" i="277"/>
  <c r="L54" i="277"/>
  <c r="D54" i="277"/>
  <c r="M53" i="277"/>
  <c r="E53" i="277"/>
  <c r="N52" i="277"/>
  <c r="F52" i="277"/>
  <c r="O51" i="277"/>
  <c r="G51" i="277"/>
  <c r="P50" i="277"/>
  <c r="H50" i="277"/>
  <c r="Q49" i="277"/>
  <c r="I49" i="277"/>
  <c r="A49" i="277"/>
  <c r="J48" i="277"/>
  <c r="B48" i="277"/>
  <c r="K47" i="277"/>
  <c r="C47" i="277"/>
  <c r="L46" i="277"/>
  <c r="D46" i="277"/>
  <c r="M45" i="277"/>
  <c r="E45" i="277"/>
  <c r="N44" i="277"/>
  <c r="F44" i="277"/>
  <c r="O43" i="277"/>
  <c r="G43" i="277"/>
  <c r="P42" i="277"/>
  <c r="H42" i="277"/>
  <c r="Q41" i="277"/>
  <c r="I41" i="277"/>
  <c r="A41" i="277"/>
  <c r="J40" i="277"/>
  <c r="B40" i="277"/>
  <c r="K39" i="277"/>
  <c r="C39" i="277"/>
  <c r="L38" i="277"/>
  <c r="D38" i="277"/>
  <c r="M37" i="277"/>
  <c r="E37" i="277"/>
  <c r="N36" i="277"/>
  <c r="F36" i="277"/>
  <c r="O35" i="277"/>
  <c r="B198" i="277"/>
  <c r="E188" i="277"/>
  <c r="Q180" i="277"/>
  <c r="Q172" i="277"/>
  <c r="D165" i="277"/>
  <c r="D160" i="277"/>
  <c r="F154" i="277"/>
  <c r="N149" i="277"/>
  <c r="M146" i="277"/>
  <c r="N142" i="277"/>
  <c r="F140" i="277"/>
  <c r="K138" i="277"/>
  <c r="J136" i="277"/>
  <c r="K134" i="277"/>
  <c r="H133" i="277"/>
  <c r="Q131" i="277"/>
  <c r="Q130" i="277"/>
  <c r="K129" i="277"/>
  <c r="E128" i="277"/>
  <c r="E127" i="277"/>
  <c r="B126" i="277"/>
  <c r="D125" i="277"/>
  <c r="A124" i="277"/>
  <c r="Q122" i="277"/>
  <c r="B122" i="277"/>
  <c r="A121" i="277"/>
  <c r="C120" i="277"/>
  <c r="B119" i="277"/>
  <c r="Q117" i="277"/>
  <c r="F117" i="277"/>
  <c r="I116" i="277"/>
  <c r="O115" i="277"/>
  <c r="A115" i="277"/>
  <c r="D114" i="277"/>
  <c r="J113" i="277"/>
  <c r="M112" i="277"/>
  <c r="B112" i="277"/>
  <c r="E111" i="277"/>
  <c r="H110" i="277"/>
  <c r="N109" i="277"/>
  <c r="Q108" i="277"/>
  <c r="F108" i="277"/>
  <c r="I107" i="277"/>
  <c r="L106" i="277"/>
  <c r="A106" i="277"/>
  <c r="D105" i="277"/>
  <c r="J104" i="277"/>
  <c r="M103" i="277"/>
  <c r="P102" i="277"/>
  <c r="E102" i="277"/>
  <c r="H101" i="277"/>
  <c r="N100" i="277"/>
  <c r="Q99" i="277"/>
  <c r="C99" i="277"/>
  <c r="I98" i="277"/>
  <c r="L97" i="277"/>
  <c r="A97" i="277"/>
  <c r="D96" i="277"/>
  <c r="G95" i="277"/>
  <c r="M94" i="277"/>
  <c r="P93" i="277"/>
  <c r="E93" i="277"/>
  <c r="H92" i="277"/>
  <c r="K91" i="277"/>
  <c r="Q90" i="277"/>
  <c r="C90" i="277"/>
  <c r="I89" i="277"/>
  <c r="L88" i="277"/>
  <c r="O87" i="277"/>
  <c r="D87" i="277"/>
  <c r="G86" i="277"/>
  <c r="M85" i="277"/>
  <c r="P84" i="277"/>
  <c r="B84" i="277"/>
  <c r="H83" i="277"/>
  <c r="K82" i="277"/>
  <c r="A82" i="277"/>
  <c r="F81" i="277"/>
  <c r="M80" i="277"/>
  <c r="C80" i="277"/>
  <c r="K79" i="277"/>
  <c r="B79" i="277"/>
  <c r="I78" i="277"/>
  <c r="Q77" i="277"/>
  <c r="H77" i="277"/>
  <c r="P76" i="277"/>
  <c r="G76" i="277"/>
  <c r="O75" i="277"/>
  <c r="F75" i="277"/>
  <c r="M74" i="277"/>
  <c r="D74" i="277"/>
  <c r="L73" i="277"/>
  <c r="C73" i="277"/>
  <c r="K72" i="277"/>
  <c r="B72" i="277"/>
  <c r="J71" i="277"/>
  <c r="Q70" i="277"/>
  <c r="H70" i="277"/>
  <c r="P69" i="277"/>
  <c r="G69" i="277"/>
  <c r="O68" i="277"/>
  <c r="F68" i="277"/>
  <c r="N67" i="277"/>
  <c r="D67" i="277"/>
  <c r="L66" i="277"/>
  <c r="A197" i="277"/>
  <c r="D188" i="277"/>
  <c r="O178" i="277"/>
  <c r="N172" i="277"/>
  <c r="A165" i="277"/>
  <c r="I158" i="277"/>
  <c r="E154" i="277"/>
  <c r="M149" i="277"/>
  <c r="Q145" i="277"/>
  <c r="M142" i="277"/>
  <c r="E140" i="277"/>
  <c r="A138" i="277"/>
  <c r="I136" i="277"/>
  <c r="J134" i="277"/>
  <c r="G133" i="277"/>
  <c r="P131" i="277"/>
  <c r="J130" i="277"/>
  <c r="J129" i="277"/>
  <c r="D128" i="277"/>
  <c r="D127" i="277"/>
  <c r="P125" i="277"/>
  <c r="O124" i="277"/>
  <c r="Q123" i="277"/>
  <c r="P122" i="277"/>
  <c r="A122" i="277"/>
  <c r="Q120" i="277"/>
  <c r="N119" i="277"/>
  <c r="A119" i="277"/>
  <c r="P117" i="277"/>
  <c r="E117" i="277"/>
  <c r="H116" i="277"/>
  <c r="K115" i="277"/>
  <c r="Q114" i="277"/>
  <c r="C114" i="277"/>
  <c r="I113" i="277"/>
  <c r="L112" i="277"/>
  <c r="O111" i="277"/>
  <c r="D111" i="277"/>
  <c r="G110" i="277"/>
  <c r="M109" i="277"/>
  <c r="P108" i="277"/>
  <c r="B108" i="277"/>
  <c r="H107" i="277"/>
  <c r="K106" i="277"/>
  <c r="Q105" i="277"/>
  <c r="C105" i="277"/>
  <c r="F104" i="277"/>
  <c r="L103" i="277"/>
  <c r="O102" i="277"/>
  <c r="D102" i="277"/>
  <c r="G101" i="277"/>
  <c r="J100" i="277"/>
  <c r="P99" i="277"/>
  <c r="B99" i="277"/>
  <c r="H98" i="277"/>
  <c r="K97" i="277"/>
  <c r="N96" i="277"/>
  <c r="C96" i="277"/>
  <c r="F95" i="277"/>
  <c r="L94" i="277"/>
  <c r="O93" i="277"/>
  <c r="A93" i="277"/>
  <c r="G92" i="277"/>
  <c r="J91" i="277"/>
  <c r="P90" i="277"/>
  <c r="B90" i="277"/>
  <c r="E89" i="277"/>
  <c r="K88" i="277"/>
  <c r="N87" i="277"/>
  <c r="C87" i="277"/>
  <c r="F86" i="277"/>
  <c r="I85" i="277"/>
  <c r="O84" i="277"/>
  <c r="A84" i="277"/>
  <c r="G83" i="277"/>
  <c r="J82" i="277"/>
  <c r="Q81" i="277"/>
  <c r="E81" i="277"/>
  <c r="L80" i="277"/>
  <c r="B80" i="277"/>
  <c r="J79" i="277"/>
  <c r="Q78" i="277"/>
  <c r="H78" i="277"/>
  <c r="P77" i="277"/>
  <c r="G77" i="277"/>
  <c r="O76" i="277"/>
  <c r="F76" i="277"/>
  <c r="N75" i="277"/>
  <c r="D75" i="277"/>
  <c r="L74" i="277"/>
  <c r="C74" i="277"/>
  <c r="K73" i="277"/>
  <c r="B73" i="277"/>
  <c r="J72" i="277"/>
  <c r="A72" i="277"/>
  <c r="H71" i="277"/>
  <c r="P70" i="277"/>
  <c r="G70" i="277"/>
  <c r="O69" i="277"/>
  <c r="F69" i="277"/>
  <c r="N68" i="277"/>
  <c r="E68" i="277"/>
  <c r="L67" i="277"/>
  <c r="C67" i="277"/>
  <c r="K66" i="277"/>
  <c r="B66" i="277"/>
  <c r="J65" i="277"/>
  <c r="A65" i="277"/>
  <c r="I64" i="277"/>
  <c r="Q63" i="277"/>
  <c r="I63" i="277"/>
  <c r="A63" i="277"/>
  <c r="J62" i="277"/>
  <c r="B62" i="277"/>
  <c r="K61" i="277"/>
  <c r="C61" i="277"/>
  <c r="L60" i="277"/>
  <c r="P194" i="277"/>
  <c r="A188" i="277"/>
  <c r="D178" i="277"/>
  <c r="D170" i="277"/>
  <c r="Q164" i="277"/>
  <c r="B158" i="277"/>
  <c r="P152" i="277"/>
  <c r="H149" i="277"/>
  <c r="I145" i="277"/>
  <c r="M141" i="277"/>
  <c r="A140" i="277"/>
  <c r="Q137" i="277"/>
  <c r="E136" i="277"/>
  <c r="H134" i="277"/>
  <c r="P132" i="277"/>
  <c r="O131" i="277"/>
  <c r="I130" i="277"/>
  <c r="I129" i="277"/>
  <c r="C128" i="277"/>
  <c r="N126" i="277"/>
  <c r="O125" i="277"/>
  <c r="N124" i="277"/>
  <c r="P123" i="277"/>
  <c r="O122" i="277"/>
  <c r="L121" i="277"/>
  <c r="P120" i="277"/>
  <c r="M119" i="277"/>
  <c r="O118" i="277"/>
  <c r="O117" i="277"/>
  <c r="A117" i="277"/>
  <c r="G116" i="277"/>
  <c r="J115" i="277"/>
  <c r="P114" i="277"/>
  <c r="B114" i="277"/>
  <c r="E113" i="277"/>
  <c r="K112" i="277"/>
  <c r="N111" i="277"/>
  <c r="C111" i="277"/>
  <c r="F110" i="277"/>
  <c r="I109" i="277"/>
  <c r="O108" i="277"/>
  <c r="A108" i="277"/>
  <c r="G107" i="277"/>
  <c r="J106" i="277"/>
  <c r="M105" i="277"/>
  <c r="B105" i="277"/>
  <c r="E104" i="277"/>
  <c r="K103" i="277"/>
  <c r="N102" i="277"/>
  <c r="Q101" i="277"/>
  <c r="F101" i="277"/>
  <c r="I100" i="277"/>
  <c r="O99" i="277"/>
  <c r="A99" i="277"/>
  <c r="D98" i="277"/>
  <c r="J97" i="277"/>
  <c r="M96" i="277"/>
  <c r="B96" i="277"/>
  <c r="E95" i="277"/>
  <c r="H94" i="277"/>
  <c r="N93" i="277"/>
  <c r="Q92" i="277"/>
  <c r="F92" i="277"/>
  <c r="I91" i="277"/>
  <c r="L90" i="277"/>
  <c r="A90" i="277"/>
  <c r="D89" i="277"/>
  <c r="J88" i="277"/>
  <c r="M87" i="277"/>
  <c r="P86" i="277"/>
  <c r="E86" i="277"/>
  <c r="H85" i="277"/>
  <c r="N84" i="277"/>
  <c r="Q83" i="277"/>
  <c r="C83" i="277"/>
  <c r="I82" i="277"/>
  <c r="N81" i="277"/>
  <c r="D81" i="277"/>
  <c r="K80" i="277"/>
  <c r="A80" i="277"/>
  <c r="H79" i="277"/>
  <c r="P78" i="277"/>
  <c r="G78" i="277"/>
  <c r="O77" i="277"/>
  <c r="F77" i="277"/>
  <c r="N76" i="277"/>
  <c r="E76" i="277"/>
  <c r="L75" i="277"/>
  <c r="C75" i="277"/>
  <c r="K74" i="277"/>
  <c r="B74" i="277"/>
  <c r="J73" i="277"/>
  <c r="A73" i="277"/>
  <c r="I72" i="277"/>
  <c r="P71" i="277"/>
  <c r="G71" i="277"/>
  <c r="O70" i="277"/>
  <c r="F70" i="277"/>
  <c r="N69" i="277"/>
  <c r="E69" i="277"/>
  <c r="M68" i="277"/>
  <c r="C68" i="277"/>
  <c r="K67" i="277"/>
  <c r="B67" i="277"/>
  <c r="J66" i="277"/>
  <c r="A66" i="277"/>
  <c r="I65" i="277"/>
  <c r="F194" i="277"/>
  <c r="A185" i="277"/>
  <c r="C178" i="277"/>
  <c r="A170" i="277"/>
  <c r="B163" i="277"/>
  <c r="A158" i="277"/>
  <c r="K152" i="277"/>
  <c r="K148" i="277"/>
  <c r="G145" i="277"/>
  <c r="L141" i="277"/>
  <c r="N139" i="277"/>
  <c r="P137" i="277"/>
  <c r="L135" i="277"/>
  <c r="G134" i="277"/>
  <c r="O132" i="277"/>
  <c r="N131" i="277"/>
  <c r="H130" i="277"/>
  <c r="B129" i="277"/>
  <c r="B128" i="277"/>
  <c r="M126" i="277"/>
  <c r="N125" i="277"/>
  <c r="M124" i="277"/>
  <c r="J123" i="277"/>
  <c r="N122" i="277"/>
  <c r="K121" i="277"/>
  <c r="M120" i="277"/>
  <c r="L119" i="277"/>
  <c r="K118" i="277"/>
  <c r="N117" i="277"/>
  <c r="Q116" i="277"/>
  <c r="F116" i="277"/>
  <c r="I115" i="277"/>
  <c r="L114" i="277"/>
  <c r="A114" i="277"/>
  <c r="D113" i="277"/>
  <c r="J112" i="277"/>
  <c r="M111" i="277"/>
  <c r="P110" i="277"/>
  <c r="E110" i="277"/>
  <c r="H109" i="277"/>
  <c r="N108" i="277"/>
  <c r="Q107" i="277"/>
  <c r="C107" i="277"/>
  <c r="I106" i="277"/>
  <c r="L105" i="277"/>
  <c r="A105" i="277"/>
  <c r="D104" i="277"/>
  <c r="G103" i="277"/>
  <c r="M102" i="277"/>
  <c r="P101" i="277"/>
  <c r="E101" i="277"/>
  <c r="H100" i="277"/>
  <c r="K99" i="277"/>
  <c r="Q98" i="277"/>
  <c r="C98" i="277"/>
  <c r="I97" i="277"/>
  <c r="L96" i="277"/>
  <c r="O95" i="277"/>
  <c r="D95" i="277"/>
  <c r="G94" i="277"/>
  <c r="M93" i="277"/>
  <c r="P92" i="277"/>
  <c r="B92" i="277"/>
  <c r="H91" i="277"/>
  <c r="K90" i="277"/>
  <c r="Q89" i="277"/>
  <c r="C89" i="277"/>
  <c r="F88" i="277"/>
  <c r="L87" i="277"/>
  <c r="O86" i="277"/>
  <c r="D86" i="277"/>
  <c r="G85" i="277"/>
  <c r="J84" i="277"/>
  <c r="P83" i="277"/>
  <c r="B83" i="277"/>
  <c r="H82" i="277"/>
  <c r="M81" i="277"/>
  <c r="C81" i="277"/>
  <c r="J80" i="277"/>
  <c r="P79" i="277"/>
  <c r="G79" i="277"/>
  <c r="O78" i="277"/>
  <c r="F78" i="277"/>
  <c r="N77" i="277"/>
  <c r="E77" i="277"/>
  <c r="M76" i="277"/>
  <c r="C76" i="277"/>
  <c r="K75" i="277"/>
  <c r="B75" i="277"/>
  <c r="J74" i="277"/>
  <c r="A74" i="277"/>
  <c r="I73" i="277"/>
  <c r="Q72" i="277"/>
  <c r="G72" i="277"/>
  <c r="O71" i="277"/>
  <c r="F71" i="277"/>
  <c r="N70" i="277"/>
  <c r="E70" i="277"/>
  <c r="M69" i="277"/>
  <c r="D69" i="277"/>
  <c r="K68" i="277"/>
  <c r="B68" i="277"/>
  <c r="J67" i="277"/>
  <c r="A67" i="277"/>
  <c r="I66" i="277"/>
  <c r="Q65" i="277"/>
  <c r="H65" i="277"/>
  <c r="O64" i="277"/>
  <c r="F64" i="277"/>
  <c r="O63" i="277"/>
  <c r="G63" i="277"/>
  <c r="P62" i="277"/>
  <c r="H62" i="277"/>
  <c r="Q61" i="277"/>
  <c r="I61" i="277"/>
  <c r="A61" i="277"/>
  <c r="J60" i="277"/>
  <c r="B60" i="277"/>
  <c r="K59" i="277"/>
  <c r="C59" i="277"/>
  <c r="L58" i="277"/>
  <c r="D58" i="277"/>
  <c r="M57" i="277"/>
  <c r="E57" i="277"/>
  <c r="N56" i="277"/>
  <c r="F56" i="277"/>
  <c r="O55" i="277"/>
  <c r="G55" i="277"/>
  <c r="P54" i="277"/>
  <c r="H54" i="277"/>
  <c r="Q53" i="277"/>
  <c r="I53" i="277"/>
  <c r="A53" i="277"/>
  <c r="J52" i="277"/>
  <c r="B52" i="277"/>
  <c r="K51" i="277"/>
  <c r="C51" i="277"/>
  <c r="L50" i="277"/>
  <c r="D50" i="277"/>
  <c r="M49" i="277"/>
  <c r="E49" i="277"/>
  <c r="N48" i="277"/>
  <c r="F48" i="277"/>
  <c r="O47" i="277"/>
  <c r="G47" i="277"/>
  <c r="P46" i="277"/>
  <c r="M3" i="277"/>
  <c r="E4" i="277"/>
  <c r="N4" i="277"/>
  <c r="E5" i="277"/>
  <c r="N5" i="277"/>
  <c r="E6" i="277"/>
  <c r="N6" i="277"/>
  <c r="E7" i="277"/>
  <c r="N7" i="277"/>
  <c r="E8" i="277"/>
  <c r="M8" i="277"/>
  <c r="D9" i="277"/>
  <c r="L9" i="277"/>
  <c r="C10" i="277"/>
  <c r="K10" i="277"/>
  <c r="B11" i="277"/>
  <c r="J11" i="277"/>
  <c r="A12" i="277"/>
  <c r="I12" i="277"/>
  <c r="Q12" i="277"/>
  <c r="H13" i="277"/>
  <c r="P13" i="277"/>
  <c r="G14" i="277"/>
  <c r="O14" i="277"/>
  <c r="F15" i="277"/>
  <c r="N15" i="277"/>
  <c r="E16" i="277"/>
  <c r="M16" i="277"/>
  <c r="D17" i="277"/>
  <c r="L17" i="277"/>
  <c r="C18" i="277"/>
  <c r="K18" i="277"/>
  <c r="B19" i="277"/>
  <c r="J19" i="277"/>
  <c r="A20" i="277"/>
  <c r="I20" i="277"/>
  <c r="Q20" i="277"/>
  <c r="H21" i="277"/>
  <c r="P21" i="277"/>
  <c r="G22" i="277"/>
  <c r="O22" i="277"/>
  <c r="F23" i="277"/>
  <c r="N23" i="277"/>
  <c r="E24" i="277"/>
  <c r="M24" i="277"/>
  <c r="D25" i="277"/>
  <c r="L25" i="277"/>
  <c r="C26" i="277"/>
  <c r="K26" i="277"/>
  <c r="B27" i="277"/>
  <c r="J27" i="277"/>
  <c r="A28" i="277"/>
  <c r="I28" i="277"/>
  <c r="Q28" i="277"/>
  <c r="H29" i="277"/>
  <c r="P29" i="277"/>
  <c r="G30" i="277"/>
  <c r="O30" i="277"/>
  <c r="F31" i="277"/>
  <c r="N31" i="277"/>
  <c r="E32" i="277"/>
  <c r="M32" i="277"/>
  <c r="D33" i="277"/>
  <c r="L33" i="277"/>
  <c r="C34" i="277"/>
  <c r="K34" i="277"/>
  <c r="B35" i="277"/>
  <c r="J35" i="277"/>
  <c r="B36" i="277"/>
  <c r="K36" i="277"/>
  <c r="C37" i="277"/>
  <c r="L37" i="277"/>
  <c r="E38" i="277"/>
  <c r="N38" i="277"/>
  <c r="F39" i="277"/>
  <c r="O39" i="277"/>
  <c r="G40" i="277"/>
  <c r="P40" i="277"/>
  <c r="H41" i="277"/>
  <c r="A42" i="277"/>
  <c r="J42" i="277"/>
  <c r="B43" i="277"/>
  <c r="K43" i="277"/>
  <c r="C44" i="277"/>
  <c r="L44" i="277"/>
  <c r="D45" i="277"/>
  <c r="N45" i="277"/>
  <c r="F46" i="277"/>
  <c r="O46" i="277"/>
  <c r="I47" i="277"/>
  <c r="C48" i="277"/>
  <c r="M48" i="277"/>
  <c r="G49" i="277"/>
  <c r="A50" i="277"/>
  <c r="K50" i="277"/>
  <c r="E51" i="277"/>
  <c r="P51" i="277"/>
  <c r="I52" i="277"/>
  <c r="C53" i="277"/>
  <c r="N53" i="277"/>
  <c r="G54" i="277"/>
  <c r="A55" i="277"/>
  <c r="L55" i="277"/>
  <c r="E56" i="277"/>
  <c r="P56" i="277"/>
  <c r="J57" i="277"/>
  <c r="C58" i="277"/>
  <c r="N58" i="277"/>
  <c r="H59" i="277"/>
  <c r="A60" i="277"/>
  <c r="M60" i="277"/>
  <c r="H61" i="277"/>
  <c r="E62" i="277"/>
  <c r="Q62" i="277"/>
  <c r="M63" i="277"/>
  <c r="J64" i="277"/>
  <c r="F65" i="277"/>
  <c r="H66" i="277"/>
  <c r="Q67" i="277"/>
  <c r="I69" i="277"/>
  <c r="M70" i="277"/>
  <c r="E72" i="277"/>
  <c r="N73" i="277"/>
  <c r="A75" i="277"/>
  <c r="J76" i="277"/>
  <c r="C78" i="277"/>
  <c r="F79" i="277"/>
  <c r="A81" i="277"/>
  <c r="P82" i="277"/>
  <c r="I84" i="277"/>
  <c r="M86" i="277"/>
  <c r="N88" i="277"/>
  <c r="J90" i="277"/>
  <c r="N92" i="277"/>
  <c r="O94" i="277"/>
  <c r="K96" i="277"/>
  <c r="L98" i="277"/>
  <c r="P100" i="277"/>
  <c r="L102" i="277"/>
  <c r="M104" i="277"/>
  <c r="Q106" i="277"/>
  <c r="J108" i="277"/>
  <c r="N110" i="277"/>
  <c r="A113" i="277"/>
  <c r="K114" i="277"/>
  <c r="O116" i="277"/>
  <c r="D119" i="277"/>
  <c r="J121" i="277"/>
  <c r="I124" i="277"/>
  <c r="J127" i="277"/>
  <c r="G130" i="277"/>
  <c r="O133" i="277"/>
  <c r="P138" i="277"/>
  <c r="G144" i="277"/>
  <c r="I156" i="277"/>
  <c r="A175" i="277"/>
  <c r="C194" i="277"/>
  <c r="V1" i="280"/>
  <c r="U1" i="280"/>
  <c r="W1" i="280"/>
  <c r="C12" i="275"/>
  <c r="I2" i="273"/>
  <c r="C12" i="271"/>
  <c r="C12" i="270"/>
  <c r="C12" i="269"/>
  <c r="H3" i="265"/>
  <c r="Q3" i="265"/>
  <c r="I4" i="265"/>
  <c r="A5" i="265"/>
  <c r="I5" i="265"/>
  <c r="A6" i="265"/>
  <c r="I6" i="265"/>
  <c r="A7" i="265"/>
  <c r="I7" i="265"/>
  <c r="A8" i="265"/>
  <c r="I8" i="265"/>
  <c r="Q8" i="265"/>
  <c r="H9" i="265"/>
  <c r="P9" i="265"/>
  <c r="G10" i="265"/>
  <c r="O10" i="265"/>
  <c r="F11" i="265"/>
  <c r="N11" i="265"/>
  <c r="E12" i="265"/>
  <c r="M12" i="265"/>
  <c r="D13" i="265"/>
  <c r="L13" i="265"/>
  <c r="C14" i="265"/>
  <c r="K14" i="265"/>
  <c r="B15" i="265"/>
  <c r="J15" i="265"/>
  <c r="A16" i="265"/>
  <c r="I16" i="265"/>
  <c r="Q16" i="265"/>
  <c r="H17" i="265"/>
  <c r="P17" i="265"/>
  <c r="G18" i="265"/>
  <c r="O18" i="265"/>
  <c r="F19" i="265"/>
  <c r="N19" i="265"/>
  <c r="E20" i="265"/>
  <c r="M20" i="265"/>
  <c r="D21" i="265"/>
  <c r="L21" i="265"/>
  <c r="C22" i="265"/>
  <c r="K22" i="265"/>
  <c r="B23" i="265"/>
  <c r="J23" i="265"/>
  <c r="A24" i="265"/>
  <c r="I24" i="265"/>
  <c r="Q24" i="265"/>
  <c r="H25" i="265"/>
  <c r="P25" i="265"/>
  <c r="G26" i="265"/>
  <c r="O26" i="265"/>
  <c r="F27" i="265"/>
  <c r="N27" i="265"/>
  <c r="E28" i="265"/>
  <c r="M28" i="265"/>
  <c r="D29" i="265"/>
  <c r="L29" i="265"/>
  <c r="C30" i="265"/>
  <c r="K30" i="265"/>
  <c r="B31" i="265"/>
  <c r="J31" i="265"/>
  <c r="A32" i="265"/>
  <c r="I32" i="265"/>
  <c r="Q32" i="265"/>
  <c r="H33" i="265"/>
  <c r="P33" i="265"/>
  <c r="G34" i="265"/>
  <c r="O34" i="265"/>
  <c r="F35" i="265"/>
  <c r="N35" i="265"/>
  <c r="E36" i="265"/>
  <c r="M36" i="265"/>
  <c r="D37" i="265"/>
  <c r="L37" i="265"/>
  <c r="C38" i="265"/>
  <c r="K38" i="265"/>
  <c r="B39" i="265"/>
  <c r="J39" i="265"/>
  <c r="A40" i="265"/>
  <c r="I40" i="265"/>
  <c r="Q40" i="265"/>
  <c r="H41" i="265"/>
  <c r="P41" i="265"/>
  <c r="G42" i="265"/>
  <c r="O42" i="265"/>
  <c r="F43" i="265"/>
  <c r="N43" i="265"/>
  <c r="E44" i="265"/>
  <c r="M44" i="265"/>
  <c r="E45" i="265"/>
  <c r="N45" i="265"/>
  <c r="F46" i="265"/>
  <c r="P46" i="265"/>
  <c r="H47" i="265"/>
  <c r="Q47" i="265"/>
  <c r="I48" i="265"/>
  <c r="A49" i="265"/>
  <c r="J49" i="265"/>
  <c r="E50" i="265"/>
  <c r="A51" i="265"/>
  <c r="O51" i="265"/>
  <c r="J52" i="265"/>
  <c r="F53" i="265"/>
  <c r="A54" i="265"/>
  <c r="N54" i="265"/>
  <c r="K55" i="265"/>
  <c r="F56" i="265"/>
  <c r="B57" i="265"/>
  <c r="N57" i="265"/>
  <c r="J58" i="265"/>
  <c r="P59" i="265"/>
  <c r="A61" i="265"/>
  <c r="F62" i="265"/>
  <c r="L63" i="265"/>
  <c r="N64" i="265"/>
  <c r="B66" i="265"/>
  <c r="H67" i="265"/>
  <c r="J68" i="265"/>
  <c r="O69" i="265"/>
  <c r="D71" i="265"/>
  <c r="F72" i="265"/>
  <c r="K73" i="265"/>
  <c r="Q74" i="265"/>
  <c r="B76" i="265"/>
  <c r="G77" i="265"/>
  <c r="M78" i="265"/>
  <c r="O79" i="265"/>
  <c r="C81" i="265"/>
  <c r="I82" i="265"/>
  <c r="K83" i="265"/>
  <c r="P84" i="265"/>
  <c r="E86" i="265"/>
  <c r="G87" i="265"/>
  <c r="L88" i="265"/>
  <c r="A90" i="265"/>
  <c r="C91" i="265"/>
  <c r="H92" i="265"/>
  <c r="N93" i="265"/>
  <c r="P94" i="265"/>
  <c r="G96" i="265"/>
  <c r="J98" i="265"/>
  <c r="G100" i="265"/>
  <c r="H102" i="265"/>
  <c r="K104" i="265"/>
  <c r="H106" i="265"/>
  <c r="H108" i="265"/>
  <c r="L110" i="265"/>
  <c r="G112" i="265"/>
  <c r="I114" i="265"/>
  <c r="K116" i="265"/>
  <c r="H118" i="265"/>
  <c r="A122" i="265"/>
  <c r="I125" i="265"/>
  <c r="K128" i="265"/>
  <c r="Q131" i="265"/>
  <c r="P135" i="265"/>
  <c r="N139" i="265"/>
  <c r="D145" i="265"/>
  <c r="E151" i="265"/>
  <c r="I157" i="265"/>
  <c r="I166" i="265"/>
  <c r="P178" i="265"/>
  <c r="P35" i="265"/>
  <c r="G36" i="265"/>
  <c r="O36" i="265"/>
  <c r="F37" i="265"/>
  <c r="N37" i="265"/>
  <c r="E38" i="265"/>
  <c r="M38" i="265"/>
  <c r="D39" i="265"/>
  <c r="L39" i="265"/>
  <c r="C40" i="265"/>
  <c r="K40" i="265"/>
  <c r="B41" i="265"/>
  <c r="J41" i="265"/>
  <c r="A42" i="265"/>
  <c r="I42" i="265"/>
  <c r="Q42" i="265"/>
  <c r="H43" i="265"/>
  <c r="P43" i="265"/>
  <c r="G44" i="265"/>
  <c r="O44" i="265"/>
  <c r="G45" i="265"/>
  <c r="Q45" i="265"/>
  <c r="I46" i="265"/>
  <c r="A47" i="265"/>
  <c r="J47" i="265"/>
  <c r="B48" i="265"/>
  <c r="K48" i="265"/>
  <c r="C49" i="265"/>
  <c r="M49" i="265"/>
  <c r="I50" i="265"/>
  <c r="D51" i="265"/>
  <c r="Q51" i="265"/>
  <c r="N52" i="265"/>
  <c r="I53" i="265"/>
  <c r="E54" i="265"/>
  <c r="Q54" i="265"/>
  <c r="M55" i="265"/>
  <c r="J56" i="265"/>
  <c r="E57" i="265"/>
  <c r="A58" i="265"/>
  <c r="Q58" i="265"/>
  <c r="B60" i="265"/>
  <c r="G61" i="265"/>
  <c r="M62" i="265"/>
  <c r="O63" i="265"/>
  <c r="C65" i="265"/>
  <c r="I66" i="265"/>
  <c r="K67" i="265"/>
  <c r="P68" i="265"/>
  <c r="E70" i="265"/>
  <c r="G71" i="265"/>
  <c r="L72" i="265"/>
  <c r="A74" i="265"/>
  <c r="C75" i="265"/>
  <c r="H76" i="265"/>
  <c r="N77" i="265"/>
  <c r="P78" i="265"/>
  <c r="D80" i="265"/>
  <c r="J81" i="265"/>
  <c r="L82" i="265"/>
  <c r="Q83" i="265"/>
  <c r="F85" i="265"/>
  <c r="H86" i="265"/>
  <c r="M87" i="265"/>
  <c r="B89" i="265"/>
  <c r="D90" i="265"/>
  <c r="I91" i="265"/>
  <c r="O92" i="265"/>
  <c r="Q93" i="265"/>
  <c r="E95" i="265"/>
  <c r="B97" i="265"/>
  <c r="P98" i="265"/>
  <c r="P100" i="265"/>
  <c r="C103" i="265"/>
  <c r="O104" i="265"/>
  <c r="Q106" i="265"/>
  <c r="B109" i="265"/>
  <c r="P110" i="265"/>
  <c r="A113" i="265"/>
  <c r="C115" i="265"/>
  <c r="P116" i="265"/>
  <c r="G119" i="265"/>
  <c r="A123" i="265"/>
  <c r="Q125" i="265"/>
  <c r="J129" i="265"/>
  <c r="A133" i="265"/>
  <c r="I136" i="265"/>
  <c r="E141" i="265"/>
  <c r="C147" i="265"/>
  <c r="D152" i="265"/>
  <c r="H159" i="265"/>
  <c r="G169" i="265"/>
  <c r="N180" i="265"/>
  <c r="L3" i="265"/>
  <c r="D4" i="265"/>
  <c r="M4" i="265"/>
  <c r="D5" i="265"/>
  <c r="M5" i="265"/>
  <c r="D6" i="265"/>
  <c r="M6" i="265"/>
  <c r="D7" i="265"/>
  <c r="M7" i="265"/>
  <c r="D8" i="265"/>
  <c r="L8" i="265"/>
  <c r="C9" i="265"/>
  <c r="K9" i="265"/>
  <c r="B10" i="265"/>
  <c r="J10" i="265"/>
  <c r="A11" i="265"/>
  <c r="I11" i="265"/>
  <c r="Q11" i="265"/>
  <c r="H12" i="265"/>
  <c r="P12" i="265"/>
  <c r="G13" i="265"/>
  <c r="O13" i="265"/>
  <c r="F14" i="265"/>
  <c r="N14" i="265"/>
  <c r="E15" i="265"/>
  <c r="M15" i="265"/>
  <c r="D16" i="265"/>
  <c r="L16" i="265"/>
  <c r="C17" i="265"/>
  <c r="K17" i="265"/>
  <c r="B18" i="265"/>
  <c r="J18" i="265"/>
  <c r="A19" i="265"/>
  <c r="I19" i="265"/>
  <c r="Q19" i="265"/>
  <c r="H20" i="265"/>
  <c r="P20" i="265"/>
  <c r="G21" i="265"/>
  <c r="O21" i="265"/>
  <c r="F22" i="265"/>
  <c r="N22" i="265"/>
  <c r="E23" i="265"/>
  <c r="M23" i="265"/>
  <c r="D24" i="265"/>
  <c r="L24" i="265"/>
  <c r="C25" i="265"/>
  <c r="K25" i="265"/>
  <c r="B26" i="265"/>
  <c r="J26" i="265"/>
  <c r="A27" i="265"/>
  <c r="I27" i="265"/>
  <c r="Q27" i="265"/>
  <c r="H28" i="265"/>
  <c r="P28" i="265"/>
  <c r="G29" i="265"/>
  <c r="O29" i="265"/>
  <c r="F30" i="265"/>
  <c r="N30" i="265"/>
  <c r="E31" i="265"/>
  <c r="M31" i="265"/>
  <c r="D32" i="265"/>
  <c r="L32" i="265"/>
  <c r="C33" i="265"/>
  <c r="K33" i="265"/>
  <c r="B34" i="265"/>
  <c r="J34" i="265"/>
  <c r="A35" i="265"/>
  <c r="I35" i="265"/>
  <c r="Q35" i="265"/>
  <c r="H36" i="265"/>
  <c r="P36" i="265"/>
  <c r="G37" i="265"/>
  <c r="O37" i="265"/>
  <c r="F38" i="265"/>
  <c r="N38" i="265"/>
  <c r="E39" i="265"/>
  <c r="M39" i="265"/>
  <c r="D40" i="265"/>
  <c r="L40" i="265"/>
  <c r="C41" i="265"/>
  <c r="K41" i="265"/>
  <c r="B42" i="265"/>
  <c r="J42" i="265"/>
  <c r="A43" i="265"/>
  <c r="I43" i="265"/>
  <c r="Q43" i="265"/>
  <c r="H44" i="265"/>
  <c r="P44" i="265"/>
  <c r="I45" i="265"/>
  <c r="A46" i="265"/>
  <c r="J46" i="265"/>
  <c r="B47" i="265"/>
  <c r="K47" i="265"/>
  <c r="C48" i="265"/>
  <c r="L48" i="265"/>
  <c r="E49" i="265"/>
  <c r="N49" i="265"/>
  <c r="J50" i="265"/>
  <c r="G51" i="265"/>
  <c r="B52" i="265"/>
  <c r="O52" i="265"/>
  <c r="J53" i="265"/>
  <c r="F54" i="265"/>
  <c r="C55" i="265"/>
  <c r="O55" i="265"/>
  <c r="K56" i="265"/>
  <c r="F57" i="265"/>
  <c r="B58" i="265"/>
  <c r="A59" i="265"/>
  <c r="G60" i="265"/>
  <c r="I61" i="265"/>
  <c r="N62" i="265"/>
  <c r="C64" i="265"/>
  <c r="E65" i="265"/>
  <c r="J66" i="265"/>
  <c r="P67" i="265"/>
  <c r="A69" i="265"/>
  <c r="F70" i="265"/>
  <c r="L71" i="265"/>
  <c r="N72" i="265"/>
  <c r="B74" i="265"/>
  <c r="H75" i="265"/>
  <c r="J76" i="265"/>
  <c r="O77" i="265"/>
  <c r="D79" i="265"/>
  <c r="F80" i="265"/>
  <c r="K81" i="265"/>
  <c r="Q82" i="265"/>
  <c r="B84" i="265"/>
  <c r="G85" i="265"/>
  <c r="M86" i="265"/>
  <c r="O87" i="265"/>
  <c r="C89" i="265"/>
  <c r="I90" i="265"/>
  <c r="K91" i="265"/>
  <c r="P92" i="265"/>
  <c r="E94" i="265"/>
  <c r="G95" i="265"/>
  <c r="C97" i="265"/>
  <c r="G99" i="265"/>
  <c r="B101" i="265"/>
  <c r="D103" i="265"/>
  <c r="F105" i="265"/>
  <c r="C107" i="265"/>
  <c r="E109" i="265"/>
  <c r="G111" i="265"/>
  <c r="C113" i="265"/>
  <c r="D115" i="265"/>
  <c r="G117" i="265"/>
  <c r="M119" i="265"/>
  <c r="C123" i="265"/>
  <c r="N126" i="265"/>
  <c r="M129" i="265"/>
  <c r="F133" i="265"/>
  <c r="D137" i="265"/>
  <c r="P141" i="265"/>
  <c r="F147" i="265"/>
  <c r="B154" i="265"/>
  <c r="D160" i="265"/>
  <c r="N169" i="265"/>
  <c r="Q200" i="265"/>
  <c r="O200" i="265"/>
  <c r="M200" i="265"/>
  <c r="E200" i="265"/>
  <c r="N199" i="265"/>
  <c r="F199" i="265"/>
  <c r="O198" i="265"/>
  <c r="G198" i="265"/>
  <c r="P197" i="265"/>
  <c r="H197" i="265"/>
  <c r="Q196" i="265"/>
  <c r="I196" i="265"/>
  <c r="A196" i="265"/>
  <c r="J195" i="265"/>
  <c r="B195" i="265"/>
  <c r="K194" i="265"/>
  <c r="C194" i="265"/>
  <c r="L193" i="265"/>
  <c r="D193" i="265"/>
  <c r="M192" i="265"/>
  <c r="E192" i="265"/>
  <c r="N191" i="265"/>
  <c r="F191" i="265"/>
  <c r="O190" i="265"/>
  <c r="G190" i="265"/>
  <c r="P189" i="265"/>
  <c r="H189" i="265"/>
  <c r="Q188" i="265"/>
  <c r="I188" i="265"/>
  <c r="A188" i="265"/>
  <c r="J187" i="265"/>
  <c r="B187" i="265"/>
  <c r="K186" i="265"/>
  <c r="C186" i="265"/>
  <c r="L185" i="265"/>
  <c r="D185" i="265"/>
  <c r="M184" i="265"/>
  <c r="E184" i="265"/>
  <c r="N183" i="265"/>
  <c r="F183" i="265"/>
  <c r="O182" i="265"/>
  <c r="G182" i="265"/>
  <c r="P181" i="265"/>
  <c r="H181" i="265"/>
  <c r="Q180" i="265"/>
  <c r="I180" i="265"/>
  <c r="A180" i="265"/>
  <c r="J179" i="265"/>
  <c r="B179" i="265"/>
  <c r="K178" i="265"/>
  <c r="C178" i="265"/>
  <c r="L177" i="265"/>
  <c r="D177" i="265"/>
  <c r="M176" i="265"/>
  <c r="E176" i="265"/>
  <c r="N175" i="265"/>
  <c r="F175" i="265"/>
  <c r="O174" i="265"/>
  <c r="G174" i="265"/>
  <c r="P173" i="265"/>
  <c r="H173" i="265"/>
  <c r="Q172" i="265"/>
  <c r="I172" i="265"/>
  <c r="A172" i="265"/>
  <c r="J171" i="265"/>
  <c r="B171" i="265"/>
  <c r="K170" i="265"/>
  <c r="C170" i="265"/>
  <c r="L169" i="265"/>
  <c r="D169" i="265"/>
  <c r="M168" i="265"/>
  <c r="E168" i="265"/>
  <c r="N167" i="265"/>
  <c r="F167" i="265"/>
  <c r="O166" i="265"/>
  <c r="G166" i="265"/>
  <c r="P165" i="265"/>
  <c r="H165" i="265"/>
  <c r="Q164" i="265"/>
  <c r="I164" i="265"/>
  <c r="A164" i="265"/>
  <c r="J163" i="265"/>
  <c r="B163" i="265"/>
  <c r="K162" i="265"/>
  <c r="C162" i="265"/>
  <c r="L161" i="265"/>
  <c r="D161" i="265"/>
  <c r="L200" i="265"/>
  <c r="D200" i="265"/>
  <c r="M199" i="265"/>
  <c r="E199" i="265"/>
  <c r="N198" i="265"/>
  <c r="F198" i="265"/>
  <c r="O197" i="265"/>
  <c r="G197" i="265"/>
  <c r="P196" i="265"/>
  <c r="H196" i="265"/>
  <c r="Q195" i="265"/>
  <c r="I195" i="265"/>
  <c r="A195" i="265"/>
  <c r="J194" i="265"/>
  <c r="B194" i="265"/>
  <c r="K193" i="265"/>
  <c r="C193" i="265"/>
  <c r="L192" i="265"/>
  <c r="D192" i="265"/>
  <c r="M191" i="265"/>
  <c r="E191" i="265"/>
  <c r="N190" i="265"/>
  <c r="F190" i="265"/>
  <c r="O189" i="265"/>
  <c r="G189" i="265"/>
  <c r="P188" i="265"/>
  <c r="H188" i="265"/>
  <c r="Q187" i="265"/>
  <c r="I187" i="265"/>
  <c r="A187" i="265"/>
  <c r="J186" i="265"/>
  <c r="B186" i="265"/>
  <c r="K185" i="265"/>
  <c r="C185" i="265"/>
  <c r="L184" i="265"/>
  <c r="D184" i="265"/>
  <c r="M183" i="265"/>
  <c r="E183" i="265"/>
  <c r="N182" i="265"/>
  <c r="F182" i="265"/>
  <c r="O181" i="265"/>
  <c r="G181" i="265"/>
  <c r="P180" i="265"/>
  <c r="H180" i="265"/>
  <c r="Q179" i="265"/>
  <c r="I179" i="265"/>
  <c r="A179" i="265"/>
  <c r="J178" i="265"/>
  <c r="B178" i="265"/>
  <c r="K177" i="265"/>
  <c r="C177" i="265"/>
  <c r="L176" i="265"/>
  <c r="D176" i="265"/>
  <c r="M175" i="265"/>
  <c r="E175" i="265"/>
  <c r="N174" i="265"/>
  <c r="F174" i="265"/>
  <c r="O173" i="265"/>
  <c r="G173" i="265"/>
  <c r="P172" i="265"/>
  <c r="H172" i="265"/>
  <c r="Q171" i="265"/>
  <c r="I171" i="265"/>
  <c r="A171" i="265"/>
  <c r="J170" i="265"/>
  <c r="B170" i="265"/>
  <c r="K169" i="265"/>
  <c r="C169" i="265"/>
  <c r="L168" i="265"/>
  <c r="D168" i="265"/>
  <c r="M167" i="265"/>
  <c r="E167" i="265"/>
  <c r="N166" i="265"/>
  <c r="F166" i="265"/>
  <c r="O165" i="265"/>
  <c r="G165" i="265"/>
  <c r="P164" i="265"/>
  <c r="H164" i="265"/>
  <c r="Q163" i="265"/>
  <c r="I163" i="265"/>
  <c r="A163" i="265"/>
  <c r="J162" i="265"/>
  <c r="B162" i="265"/>
  <c r="K161" i="265"/>
  <c r="C161" i="265"/>
  <c r="P200" i="265"/>
  <c r="C200" i="265"/>
  <c r="J199" i="265"/>
  <c r="Q198" i="265"/>
  <c r="E198" i="265"/>
  <c r="L197" i="265"/>
  <c r="B197" i="265"/>
  <c r="G196" i="265"/>
  <c r="N195" i="265"/>
  <c r="D195" i="265"/>
  <c r="I194" i="265"/>
  <c r="P193" i="265"/>
  <c r="F193" i="265"/>
  <c r="K192" i="265"/>
  <c r="A192" i="265"/>
  <c r="H191" i="265"/>
  <c r="M190" i="265"/>
  <c r="C190" i="265"/>
  <c r="J189" i="265"/>
  <c r="O188" i="265"/>
  <c r="E188" i="265"/>
  <c r="L187" i="265"/>
  <c r="Q186" i="265"/>
  <c r="G186" i="265"/>
  <c r="N185" i="265"/>
  <c r="B185" i="265"/>
  <c r="I184" i="265"/>
  <c r="P183" i="265"/>
  <c r="D183" i="265"/>
  <c r="K182" i="265"/>
  <c r="A182" i="265"/>
  <c r="F181" i="265"/>
  <c r="M180" i="265"/>
  <c r="C180" i="265"/>
  <c r="H179" i="265"/>
  <c r="O178" i="265"/>
  <c r="E178" i="265"/>
  <c r="J177" i="265"/>
  <c r="Q176" i="265"/>
  <c r="G176" i="265"/>
  <c r="L175" i="265"/>
  <c r="B175" i="265"/>
  <c r="I174" i="265"/>
  <c r="N173" i="265"/>
  <c r="D173" i="265"/>
  <c r="K172" i="265"/>
  <c r="P171" i="265"/>
  <c r="F171" i="265"/>
  <c r="M170" i="265"/>
  <c r="N200" i="265"/>
  <c r="B200" i="265"/>
  <c r="I199" i="265"/>
  <c r="P198" i="265"/>
  <c r="D198" i="265"/>
  <c r="K197" i="265"/>
  <c r="A197" i="265"/>
  <c r="F196" i="265"/>
  <c r="M195" i="265"/>
  <c r="C195" i="265"/>
  <c r="H194" i="265"/>
  <c r="O193" i="265"/>
  <c r="E193" i="265"/>
  <c r="J192" i="265"/>
  <c r="Q191" i="265"/>
  <c r="G191" i="265"/>
  <c r="L190" i="265"/>
  <c r="B190" i="265"/>
  <c r="I189" i="265"/>
  <c r="N188" i="265"/>
  <c r="D188" i="265"/>
  <c r="K187" i="265"/>
  <c r="P186" i="265"/>
  <c r="F186" i="265"/>
  <c r="M185" i="265"/>
  <c r="A185" i="265"/>
  <c r="H184" i="265"/>
  <c r="K200" i="265"/>
  <c r="A200" i="265"/>
  <c r="H199" i="265"/>
  <c r="M198" i="265"/>
  <c r="C198" i="265"/>
  <c r="J197" i="265"/>
  <c r="O196" i="265"/>
  <c r="E196" i="265"/>
  <c r="L195" i="265"/>
  <c r="Q194" i="265"/>
  <c r="G194" i="265"/>
  <c r="N193" i="265"/>
  <c r="B193" i="265"/>
  <c r="I192" i="265"/>
  <c r="P191" i="265"/>
  <c r="D191" i="265"/>
  <c r="K190" i="265"/>
  <c r="A190" i="265"/>
  <c r="F189" i="265"/>
  <c r="M188" i="265"/>
  <c r="C188" i="265"/>
  <c r="H187" i="265"/>
  <c r="O186" i="265"/>
  <c r="E186" i="265"/>
  <c r="J185" i="265"/>
  <c r="Q184" i="265"/>
  <c r="G184" i="265"/>
  <c r="L183" i="265"/>
  <c r="B183" i="265"/>
  <c r="I182" i="265"/>
  <c r="N181" i="265"/>
  <c r="D181" i="265"/>
  <c r="K180" i="265"/>
  <c r="P179" i="265"/>
  <c r="F179" i="265"/>
  <c r="M178" i="265"/>
  <c r="A178" i="265"/>
  <c r="H177" i="265"/>
  <c r="O176" i="265"/>
  <c r="C176" i="265"/>
  <c r="J175" i="265"/>
  <c r="Q174" i="265"/>
  <c r="E174" i="265"/>
  <c r="L173" i="265"/>
  <c r="B173" i="265"/>
  <c r="G172" i="265"/>
  <c r="N171" i="265"/>
  <c r="D171" i="265"/>
  <c r="I170" i="265"/>
  <c r="P169" i="265"/>
  <c r="F169" i="265"/>
  <c r="K168" i="265"/>
  <c r="A168" i="265"/>
  <c r="H167" i="265"/>
  <c r="M166" i="265"/>
  <c r="C166" i="265"/>
  <c r="J165" i="265"/>
  <c r="O164" i="265"/>
  <c r="E164" i="265"/>
  <c r="L163" i="265"/>
  <c r="Q162" i="265"/>
  <c r="G162" i="265"/>
  <c r="N161" i="265"/>
  <c r="B161" i="265"/>
  <c r="K160" i="265"/>
  <c r="C160" i="265"/>
  <c r="L159" i="265"/>
  <c r="D159" i="265"/>
  <c r="M158" i="265"/>
  <c r="E158" i="265"/>
  <c r="N157" i="265"/>
  <c r="F157" i="265"/>
  <c r="O156" i="265"/>
  <c r="G156" i="265"/>
  <c r="P155" i="265"/>
  <c r="H155" i="265"/>
  <c r="Q154" i="265"/>
  <c r="I154" i="265"/>
  <c r="A154" i="265"/>
  <c r="J153" i="265"/>
  <c r="B153" i="265"/>
  <c r="K152" i="265"/>
  <c r="C152" i="265"/>
  <c r="L151" i="265"/>
  <c r="D151" i="265"/>
  <c r="J200" i="265"/>
  <c r="Q199" i="265"/>
  <c r="G199" i="265"/>
  <c r="L198" i="265"/>
  <c r="B198" i="265"/>
  <c r="I197" i="265"/>
  <c r="N196" i="265"/>
  <c r="D196" i="265"/>
  <c r="K195" i="265"/>
  <c r="P194" i="265"/>
  <c r="F194" i="265"/>
  <c r="M193" i="265"/>
  <c r="A193" i="265"/>
  <c r="H192" i="265"/>
  <c r="O191" i="265"/>
  <c r="C191" i="265"/>
  <c r="J190" i="265"/>
  <c r="Q189" i="265"/>
  <c r="E189" i="265"/>
  <c r="L188" i="265"/>
  <c r="B188" i="265"/>
  <c r="G187" i="265"/>
  <c r="N186" i="265"/>
  <c r="D186" i="265"/>
  <c r="I185" i="265"/>
  <c r="P184" i="265"/>
  <c r="F184" i="265"/>
  <c r="K183" i="265"/>
  <c r="A183" i="265"/>
  <c r="H182" i="265"/>
  <c r="M181" i="265"/>
  <c r="C181" i="265"/>
  <c r="J180" i="265"/>
  <c r="O179" i="265"/>
  <c r="E179" i="265"/>
  <c r="L178" i="265"/>
  <c r="Q177" i="265"/>
  <c r="G177" i="265"/>
  <c r="N176" i="265"/>
  <c r="B176" i="265"/>
  <c r="I175" i="265"/>
  <c r="P174" i="265"/>
  <c r="D174" i="265"/>
  <c r="K173" i="265"/>
  <c r="A173" i="265"/>
  <c r="H200" i="265"/>
  <c r="O199" i="265"/>
  <c r="C199" i="265"/>
  <c r="J198" i="265"/>
  <c r="Q197" i="265"/>
  <c r="E197" i="265"/>
  <c r="L196" i="265"/>
  <c r="B196" i="265"/>
  <c r="G195" i="265"/>
  <c r="N194" i="265"/>
  <c r="D194" i="265"/>
  <c r="I193" i="265"/>
  <c r="P192" i="265"/>
  <c r="F192" i="265"/>
  <c r="K191" i="265"/>
  <c r="A191" i="265"/>
  <c r="H190" i="265"/>
  <c r="M189" i="265"/>
  <c r="C189" i="265"/>
  <c r="J188" i="265"/>
  <c r="O187" i="265"/>
  <c r="E187" i="265"/>
  <c r="L186" i="265"/>
  <c r="Q185" i="265"/>
  <c r="G185" i="265"/>
  <c r="N184" i="265"/>
  <c r="B184" i="265"/>
  <c r="I183" i="265"/>
  <c r="P182" i="265"/>
  <c r="D182" i="265"/>
  <c r="K181" i="265"/>
  <c r="A181" i="265"/>
  <c r="F180" i="265"/>
  <c r="M179" i="265"/>
  <c r="C179" i="265"/>
  <c r="H178" i="265"/>
  <c r="O177" i="265"/>
  <c r="E177" i="265"/>
  <c r="J176" i="265"/>
  <c r="Q175" i="265"/>
  <c r="G175" i="265"/>
  <c r="L174" i="265"/>
  <c r="B174" i="265"/>
  <c r="I173" i="265"/>
  <c r="N172" i="265"/>
  <c r="D172" i="265"/>
  <c r="K171" i="265"/>
  <c r="P170" i="265"/>
  <c r="F170" i="265"/>
  <c r="M169" i="265"/>
  <c r="A169" i="265"/>
  <c r="H168" i="265"/>
  <c r="O167" i="265"/>
  <c r="C167" i="265"/>
  <c r="J166" i="265"/>
  <c r="Q165" i="265"/>
  <c r="E165" i="265"/>
  <c r="L164" i="265"/>
  <c r="B164" i="265"/>
  <c r="G163" i="265"/>
  <c r="N162" i="265"/>
  <c r="D162" i="265"/>
  <c r="I161" i="265"/>
  <c r="P160" i="265"/>
  <c r="H160" i="265"/>
  <c r="Q159" i="265"/>
  <c r="I159" i="265"/>
  <c r="A159" i="265"/>
  <c r="J158" i="265"/>
  <c r="B158" i="265"/>
  <c r="K157" i="265"/>
  <c r="C157" i="265"/>
  <c r="L156" i="265"/>
  <c r="D156" i="265"/>
  <c r="M155" i="265"/>
  <c r="E155" i="265"/>
  <c r="N154" i="265"/>
  <c r="F154" i="265"/>
  <c r="O153" i="265"/>
  <c r="G153" i="265"/>
  <c r="P152" i="265"/>
  <c r="H152" i="265"/>
  <c r="Q151" i="265"/>
  <c r="I151" i="265"/>
  <c r="A151" i="265"/>
  <c r="J150" i="265"/>
  <c r="I200" i="265"/>
  <c r="A199" i="265"/>
  <c r="D197" i="265"/>
  <c r="H195" i="265"/>
  <c r="Q193" i="265"/>
  <c r="C192" i="265"/>
  <c r="I190" i="265"/>
  <c r="A189" i="265"/>
  <c r="D187" i="265"/>
  <c r="H185" i="265"/>
  <c r="Q183" i="265"/>
  <c r="L182" i="265"/>
  <c r="I181" i="265"/>
  <c r="G200" i="265"/>
  <c r="K198" i="265"/>
  <c r="C197" i="265"/>
  <c r="F195" i="265"/>
  <c r="J193" i="265"/>
  <c r="B192" i="265"/>
  <c r="E190" i="265"/>
  <c r="K188" i="265"/>
  <c r="C187" i="265"/>
  <c r="F185" i="265"/>
  <c r="O183" i="265"/>
  <c r="J182" i="265"/>
  <c r="E181" i="265"/>
  <c r="B180" i="265"/>
  <c r="N178" i="265"/>
  <c r="I177" i="265"/>
  <c r="F176" i="265"/>
  <c r="A175" i="265"/>
  <c r="M173" i="265"/>
  <c r="J172" i="265"/>
  <c r="H171" i="265"/>
  <c r="H170" i="265"/>
  <c r="J169" i="265"/>
  <c r="O168" i="265"/>
  <c r="Q167" i="265"/>
  <c r="B167" i="265"/>
  <c r="E166" i="265"/>
  <c r="I165" i="265"/>
  <c r="K164" i="265"/>
  <c r="N163" i="265"/>
  <c r="P162" i="265"/>
  <c r="A162" i="265"/>
  <c r="F161" i="265"/>
  <c r="J160" i="265"/>
  <c r="P159" i="265"/>
  <c r="F159" i="265"/>
  <c r="L158" i="265"/>
  <c r="A158" i="265"/>
  <c r="H157" i="265"/>
  <c r="N156" i="265"/>
  <c r="C156" i="265"/>
  <c r="J155" i="265"/>
  <c r="P154" i="265"/>
  <c r="E154" i="265"/>
  <c r="L153" i="265"/>
  <c r="A153" i="265"/>
  <c r="G152" i="265"/>
  <c r="N151" i="265"/>
  <c r="C151" i="265"/>
  <c r="K150" i="265"/>
  <c r="B150" i="265"/>
  <c r="K149" i="265"/>
  <c r="C149" i="265"/>
  <c r="L148" i="265"/>
  <c r="D148" i="265"/>
  <c r="M147" i="265"/>
  <c r="E147" i="265"/>
  <c r="N146" i="265"/>
  <c r="F146" i="265"/>
  <c r="O145" i="265"/>
  <c r="G145" i="265"/>
  <c r="P144" i="265"/>
  <c r="H144" i="265"/>
  <c r="Q143" i="265"/>
  <c r="I143" i="265"/>
  <c r="A143" i="265"/>
  <c r="J142" i="265"/>
  <c r="B142" i="265"/>
  <c r="K141" i="265"/>
  <c r="C141" i="265"/>
  <c r="L140" i="265"/>
  <c r="D140" i="265"/>
  <c r="M139" i="265"/>
  <c r="E139" i="265"/>
  <c r="N138" i="265"/>
  <c r="F138" i="265"/>
  <c r="O137" i="265"/>
  <c r="G137" i="265"/>
  <c r="P136" i="265"/>
  <c r="H136" i="265"/>
  <c r="Q135" i="265"/>
  <c r="I135" i="265"/>
  <c r="A135" i="265"/>
  <c r="J134" i="265"/>
  <c r="B134" i="265"/>
  <c r="F200" i="265"/>
  <c r="I198" i="265"/>
  <c r="M196" i="265"/>
  <c r="E195" i="265"/>
  <c r="H193" i="265"/>
  <c r="L191" i="265"/>
  <c r="D190" i="265"/>
  <c r="G188" i="265"/>
  <c r="M186" i="265"/>
  <c r="E185" i="265"/>
  <c r="J183" i="265"/>
  <c r="E182" i="265"/>
  <c r="B181" i="265"/>
  <c r="N179" i="265"/>
  <c r="I178" i="265"/>
  <c r="F177" i="265"/>
  <c r="A176" i="265"/>
  <c r="M174" i="265"/>
  <c r="J173" i="265"/>
  <c r="F172" i="265"/>
  <c r="G171" i="265"/>
  <c r="G170" i="265"/>
  <c r="I169" i="265"/>
  <c r="N168" i="265"/>
  <c r="P167" i="265"/>
  <c r="A167" i="265"/>
  <c r="D166" i="265"/>
  <c r="F165" i="265"/>
  <c r="J164" i="265"/>
  <c r="M163" i="265"/>
  <c r="O162" i="265"/>
  <c r="Q161" i="265"/>
  <c r="E161" i="265"/>
  <c r="I160" i="265"/>
  <c r="O159" i="265"/>
  <c r="E159" i="265"/>
  <c r="K158" i="265"/>
  <c r="Q157" i="265"/>
  <c r="G157" i="265"/>
  <c r="M156" i="265"/>
  <c r="B156" i="265"/>
  <c r="I155" i="265"/>
  <c r="O154" i="265"/>
  <c r="D154" i="265"/>
  <c r="K153" i="265"/>
  <c r="Q152" i="265"/>
  <c r="F152" i="265"/>
  <c r="M151" i="265"/>
  <c r="B151" i="265"/>
  <c r="I150" i="265"/>
  <c r="A150" i="265"/>
  <c r="J149" i="265"/>
  <c r="B149" i="265"/>
  <c r="K148" i="265"/>
  <c r="C148" i="265"/>
  <c r="L147" i="265"/>
  <c r="D147" i="265"/>
  <c r="M146" i="265"/>
  <c r="E146" i="265"/>
  <c r="N145" i="265"/>
  <c r="F145" i="265"/>
  <c r="O144" i="265"/>
  <c r="G144" i="265"/>
  <c r="P143" i="265"/>
  <c r="H143" i="265"/>
  <c r="Q142" i="265"/>
  <c r="I142" i="265"/>
  <c r="A142" i="265"/>
  <c r="J141" i="265"/>
  <c r="B141" i="265"/>
  <c r="K140" i="265"/>
  <c r="C140" i="265"/>
  <c r="L139" i="265"/>
  <c r="D139" i="265"/>
  <c r="M138" i="265"/>
  <c r="E138" i="265"/>
  <c r="P199" i="265"/>
  <c r="H198" i="265"/>
  <c r="K196" i="265"/>
  <c r="O194" i="265"/>
  <c r="G193" i="265"/>
  <c r="J191" i="265"/>
  <c r="N189" i="265"/>
  <c r="F188" i="265"/>
  <c r="I186" i="265"/>
  <c r="O184" i="265"/>
  <c r="H183" i="265"/>
  <c r="C182" i="265"/>
  <c r="O180" i="265"/>
  <c r="K199" i="265"/>
  <c r="N197" i="265"/>
  <c r="C196" i="265"/>
  <c r="L194" i="265"/>
  <c r="O192" i="265"/>
  <c r="B191" i="265"/>
  <c r="K189" i="265"/>
  <c r="N187" i="265"/>
  <c r="A186" i="265"/>
  <c r="J184" i="265"/>
  <c r="C183" i="265"/>
  <c r="Q181" i="265"/>
  <c r="L180" i="265"/>
  <c r="G179" i="265"/>
  <c r="D178" i="265"/>
  <c r="P176" i="265"/>
  <c r="K175" i="265"/>
  <c r="H174" i="265"/>
  <c r="C173" i="265"/>
  <c r="B172" i="265"/>
  <c r="Q170" i="265"/>
  <c r="A170" i="265"/>
  <c r="E169" i="265"/>
  <c r="G168" i="265"/>
  <c r="J167" i="265"/>
  <c r="L166" i="265"/>
  <c r="N165" i="265"/>
  <c r="B165" i="265"/>
  <c r="D164" i="265"/>
  <c r="F163" i="265"/>
  <c r="I162" i="265"/>
  <c r="M161" i="265"/>
  <c r="O160" i="265"/>
  <c r="E160" i="265"/>
  <c r="K159" i="265"/>
  <c r="Q158" i="265"/>
  <c r="G158" i="265"/>
  <c r="M157" i="265"/>
  <c r="B157" i="265"/>
  <c r="I156" i="265"/>
  <c r="O155" i="265"/>
  <c r="D155" i="265"/>
  <c r="K154" i="265"/>
  <c r="Q153" i="265"/>
  <c r="F153" i="265"/>
  <c r="M152" i="265"/>
  <c r="B152" i="265"/>
  <c r="H151" i="265"/>
  <c r="O150" i="265"/>
  <c r="F150" i="265"/>
  <c r="O149" i="265"/>
  <c r="G149" i="265"/>
  <c r="P148" i="265"/>
  <c r="H148" i="265"/>
  <c r="Q147" i="265"/>
  <c r="I147" i="265"/>
  <c r="A147" i="265"/>
  <c r="J146" i="265"/>
  <c r="B146" i="265"/>
  <c r="K145" i="265"/>
  <c r="C145" i="265"/>
  <c r="L144" i="265"/>
  <c r="D144" i="265"/>
  <c r="M143" i="265"/>
  <c r="E143" i="265"/>
  <c r="N142" i="265"/>
  <c r="F142" i="265"/>
  <c r="O141" i="265"/>
  <c r="G141" i="265"/>
  <c r="P140" i="265"/>
  <c r="H140" i="265"/>
  <c r="Q139" i="265"/>
  <c r="I139" i="265"/>
  <c r="A139" i="265"/>
  <c r="J138" i="265"/>
  <c r="B138" i="265"/>
  <c r="L199" i="265"/>
  <c r="O195" i="265"/>
  <c r="Q190" i="265"/>
  <c r="H186" i="265"/>
  <c r="M182" i="265"/>
  <c r="L179" i="265"/>
  <c r="N177" i="265"/>
  <c r="O175" i="265"/>
  <c r="Q173" i="265"/>
  <c r="O171" i="265"/>
  <c r="E170" i="265"/>
  <c r="Q168" i="265"/>
  <c r="K167" i="265"/>
  <c r="H166" i="265"/>
  <c r="A165" i="265"/>
  <c r="K163" i="265"/>
  <c r="F162" i="265"/>
  <c r="Q160" i="265"/>
  <c r="A160" i="265"/>
  <c r="P158" i="265"/>
  <c r="P157" i="265"/>
  <c r="Q156" i="265"/>
  <c r="Q155" i="265"/>
  <c r="A155" i="265"/>
  <c r="P153" i="265"/>
  <c r="O152" i="265"/>
  <c r="P151" i="265"/>
  <c r="P150" i="265"/>
  <c r="C150" i="265"/>
  <c r="F149" i="265"/>
  <c r="J148" i="265"/>
  <c r="O147" i="265"/>
  <c r="B147" i="265"/>
  <c r="G146" i="265"/>
  <c r="J145" i="265"/>
  <c r="N144" i="265"/>
  <c r="B144" i="265"/>
  <c r="F143" i="265"/>
  <c r="K142" i="265"/>
  <c r="N141" i="265"/>
  <c r="A141" i="265"/>
  <c r="F140" i="265"/>
  <c r="J139" i="265"/>
  <c r="O138" i="265"/>
  <c r="A138" i="265"/>
  <c r="I137" i="265"/>
  <c r="Q136" i="265"/>
  <c r="G136" i="265"/>
  <c r="O135" i="265"/>
  <c r="F135" i="265"/>
  <c r="N134" i="265"/>
  <c r="E134" i="265"/>
  <c r="M133" i="265"/>
  <c r="E133" i="265"/>
  <c r="N132" i="265"/>
  <c r="F132" i="265"/>
  <c r="O131" i="265"/>
  <c r="G131" i="265"/>
  <c r="P130" i="265"/>
  <c r="H130" i="265"/>
  <c r="Q129" i="265"/>
  <c r="I129" i="265"/>
  <c r="A129" i="265"/>
  <c r="J128" i="265"/>
  <c r="B128" i="265"/>
  <c r="K127" i="265"/>
  <c r="C127" i="265"/>
  <c r="L126" i="265"/>
  <c r="D126" i="265"/>
  <c r="M125" i="265"/>
  <c r="E125" i="265"/>
  <c r="N124" i="265"/>
  <c r="F124" i="265"/>
  <c r="O123" i="265"/>
  <c r="G123" i="265"/>
  <c r="P122" i="265"/>
  <c r="H122" i="265"/>
  <c r="Q121" i="265"/>
  <c r="I121" i="265"/>
  <c r="A121" i="265"/>
  <c r="J120" i="265"/>
  <c r="B120" i="265"/>
  <c r="K119" i="265"/>
  <c r="C119" i="265"/>
  <c r="L118" i="265"/>
  <c r="D199" i="265"/>
  <c r="M194" i="265"/>
  <c r="P190" i="265"/>
  <c r="P185" i="265"/>
  <c r="B182" i="265"/>
  <c r="K179" i="265"/>
  <c r="M177" i="265"/>
  <c r="H175" i="265"/>
  <c r="F173" i="265"/>
  <c r="M171" i="265"/>
  <c r="D170" i="265"/>
  <c r="P168" i="265"/>
  <c r="I167" i="265"/>
  <c r="B166" i="265"/>
  <c r="N164" i="265"/>
  <c r="H163" i="265"/>
  <c r="E162" i="265"/>
  <c r="N160" i="265"/>
  <c r="N159" i="265"/>
  <c r="O158" i="265"/>
  <c r="O157" i="265"/>
  <c r="P156" i="265"/>
  <c r="N155" i="265"/>
  <c r="M154" i="265"/>
  <c r="N153" i="265"/>
  <c r="N152" i="265"/>
  <c r="O151" i="265"/>
  <c r="N150" i="265"/>
  <c r="Q149" i="265"/>
  <c r="E149" i="265"/>
  <c r="I148" i="265"/>
  <c r="N147" i="265"/>
  <c r="Q146" i="265"/>
  <c r="D146" i="265"/>
  <c r="I145" i="265"/>
  <c r="M144" i="265"/>
  <c r="A144" i="265"/>
  <c r="D143" i="265"/>
  <c r="H142" i="265"/>
  <c r="M141" i="265"/>
  <c r="Q140" i="265"/>
  <c r="E140" i="265"/>
  <c r="H139" i="265"/>
  <c r="L138" i="265"/>
  <c r="Q137" i="265"/>
  <c r="H137" i="265"/>
  <c r="O136" i="265"/>
  <c r="F136" i="265"/>
  <c r="N135" i="265"/>
  <c r="E135" i="265"/>
  <c r="M134" i="265"/>
  <c r="D134" i="265"/>
  <c r="L133" i="265"/>
  <c r="D133" i="265"/>
  <c r="M132" i="265"/>
  <c r="E132" i="265"/>
  <c r="N131" i="265"/>
  <c r="F131" i="265"/>
  <c r="O130" i="265"/>
  <c r="G130" i="265"/>
  <c r="P129" i="265"/>
  <c r="H129" i="265"/>
  <c r="Q128" i="265"/>
  <c r="I128" i="265"/>
  <c r="A128" i="265"/>
  <c r="J127" i="265"/>
  <c r="B127" i="265"/>
  <c r="K126" i="265"/>
  <c r="C126" i="265"/>
  <c r="L125" i="265"/>
  <c r="D125" i="265"/>
  <c r="M124" i="265"/>
  <c r="E124" i="265"/>
  <c r="N123" i="265"/>
  <c r="F123" i="265"/>
  <c r="O122" i="265"/>
  <c r="G122" i="265"/>
  <c r="P121" i="265"/>
  <c r="H121" i="265"/>
  <c r="Q120" i="265"/>
  <c r="I120" i="265"/>
  <c r="A120" i="265"/>
  <c r="J119" i="265"/>
  <c r="B119" i="265"/>
  <c r="K118" i="265"/>
  <c r="C118" i="265"/>
  <c r="L117" i="265"/>
  <c r="D117" i="265"/>
  <c r="M116" i="265"/>
  <c r="E116" i="265"/>
  <c r="N115" i="265"/>
  <c r="F115" i="265"/>
  <c r="O114" i="265"/>
  <c r="G114" i="265"/>
  <c r="P113" i="265"/>
  <c r="H113" i="265"/>
  <c r="Q112" i="265"/>
  <c r="I112" i="265"/>
  <c r="A112" i="265"/>
  <c r="J111" i="265"/>
  <c r="B111" i="265"/>
  <c r="K110" i="265"/>
  <c r="C110" i="265"/>
  <c r="L109" i="265"/>
  <c r="D109" i="265"/>
  <c r="M108" i="265"/>
  <c r="E108" i="265"/>
  <c r="N107" i="265"/>
  <c r="F107" i="265"/>
  <c r="O106" i="265"/>
  <c r="G106" i="265"/>
  <c r="P105" i="265"/>
  <c r="H105" i="265"/>
  <c r="Q104" i="265"/>
  <c r="I104" i="265"/>
  <c r="A104" i="265"/>
  <c r="J103" i="265"/>
  <c r="B103" i="265"/>
  <c r="K102" i="265"/>
  <c r="C102" i="265"/>
  <c r="L101" i="265"/>
  <c r="D101" i="265"/>
  <c r="M100" i="265"/>
  <c r="E100" i="265"/>
  <c r="N99" i="265"/>
  <c r="F99" i="265"/>
  <c r="O98" i="265"/>
  <c r="G98" i="265"/>
  <c r="P97" i="265"/>
  <c r="H97" i="265"/>
  <c r="Q96" i="265"/>
  <c r="I96" i="265"/>
  <c r="B199" i="265"/>
  <c r="E194" i="265"/>
  <c r="L189" i="265"/>
  <c r="O185" i="265"/>
  <c r="L181" i="265"/>
  <c r="D179" i="265"/>
  <c r="B177" i="265"/>
  <c r="D175" i="265"/>
  <c r="E173" i="265"/>
  <c r="L171" i="265"/>
  <c r="Q169" i="265"/>
  <c r="J168" i="265"/>
  <c r="G167" i="265"/>
  <c r="A166" i="265"/>
  <c r="M164" i="265"/>
  <c r="E163" i="265"/>
  <c r="P161" i="265"/>
  <c r="M160" i="265"/>
  <c r="M159" i="265"/>
  <c r="N158" i="265"/>
  <c r="L157" i="265"/>
  <c r="K156" i="265"/>
  <c r="L155" i="265"/>
  <c r="L154" i="265"/>
  <c r="M153" i="265"/>
  <c r="L152" i="265"/>
  <c r="K151" i="265"/>
  <c r="M150" i="265"/>
  <c r="P149" i="265"/>
  <c r="D149" i="265"/>
  <c r="G148" i="265"/>
  <c r="K147" i="265"/>
  <c r="P146" i="265"/>
  <c r="C146" i="265"/>
  <c r="H145" i="265"/>
  <c r="K144" i="265"/>
  <c r="O143" i="265"/>
  <c r="C143" i="265"/>
  <c r="G142" i="265"/>
  <c r="L141" i="265"/>
  <c r="O140" i="265"/>
  <c r="B140" i="265"/>
  <c r="G139" i="265"/>
  <c r="K138" i="265"/>
  <c r="P137" i="265"/>
  <c r="F137" i="265"/>
  <c r="N136" i="265"/>
  <c r="E136" i="265"/>
  <c r="M135" i="265"/>
  <c r="D135" i="265"/>
  <c r="L134" i="265"/>
  <c r="C134" i="265"/>
  <c r="K133" i="265"/>
  <c r="C133" i="265"/>
  <c r="L132" i="265"/>
  <c r="D132" i="265"/>
  <c r="M131" i="265"/>
  <c r="E131" i="265"/>
  <c r="N130" i="265"/>
  <c r="F130" i="265"/>
  <c r="O129" i="265"/>
  <c r="G129" i="265"/>
  <c r="P128" i="265"/>
  <c r="H128" i="265"/>
  <c r="Q127" i="265"/>
  <c r="I127" i="265"/>
  <c r="A127" i="265"/>
  <c r="J126" i="265"/>
  <c r="B126" i="265"/>
  <c r="K125" i="265"/>
  <c r="C125" i="265"/>
  <c r="L124" i="265"/>
  <c r="D124" i="265"/>
  <c r="M123" i="265"/>
  <c r="E123" i="265"/>
  <c r="N122" i="265"/>
  <c r="F122" i="265"/>
  <c r="O121" i="265"/>
  <c r="G121" i="265"/>
  <c r="P120" i="265"/>
  <c r="H120" i="265"/>
  <c r="Q119" i="265"/>
  <c r="I119" i="265"/>
  <c r="A119" i="265"/>
  <c r="J118" i="265"/>
  <c r="B118" i="265"/>
  <c r="K117" i="265"/>
  <c r="C117" i="265"/>
  <c r="L116" i="265"/>
  <c r="D116" i="265"/>
  <c r="M115" i="265"/>
  <c r="E115" i="265"/>
  <c r="N114" i="265"/>
  <c r="F114" i="265"/>
  <c r="O113" i="265"/>
  <c r="G113" i="265"/>
  <c r="P112" i="265"/>
  <c r="H112" i="265"/>
  <c r="Q111" i="265"/>
  <c r="I111" i="265"/>
  <c r="A111" i="265"/>
  <c r="J110" i="265"/>
  <c r="B110" i="265"/>
  <c r="K109" i="265"/>
  <c r="C109" i="265"/>
  <c r="L108" i="265"/>
  <c r="D108" i="265"/>
  <c r="M107" i="265"/>
  <c r="E107" i="265"/>
  <c r="N106" i="265"/>
  <c r="F106" i="265"/>
  <c r="O105" i="265"/>
  <c r="G105" i="265"/>
  <c r="P104" i="265"/>
  <c r="H104" i="265"/>
  <c r="Q103" i="265"/>
  <c r="I103" i="265"/>
  <c r="A103" i="265"/>
  <c r="J102" i="265"/>
  <c r="B102" i="265"/>
  <c r="K101" i="265"/>
  <c r="C101" i="265"/>
  <c r="L100" i="265"/>
  <c r="D100" i="265"/>
  <c r="M99" i="265"/>
  <c r="E99" i="265"/>
  <c r="N98" i="265"/>
  <c r="F98" i="265"/>
  <c r="O97" i="265"/>
  <c r="G97" i="265"/>
  <c r="P96" i="265"/>
  <c r="H96" i="265"/>
  <c r="Q95" i="265"/>
  <c r="A198" i="265"/>
  <c r="A194" i="265"/>
  <c r="D189" i="265"/>
  <c r="K184" i="265"/>
  <c r="J181" i="265"/>
  <c r="Q178" i="265"/>
  <c r="A177" i="265"/>
  <c r="C175" i="265"/>
  <c r="O172" i="265"/>
  <c r="E171" i="265"/>
  <c r="O169" i="265"/>
  <c r="I168" i="265"/>
  <c r="D167" i="265"/>
  <c r="M165" i="265"/>
  <c r="G164" i="265"/>
  <c r="D163" i="265"/>
  <c r="O161" i="265"/>
  <c r="L160" i="265"/>
  <c r="J159" i="265"/>
  <c r="I158" i="265"/>
  <c r="J157" i="265"/>
  <c r="J156" i="265"/>
  <c r="K155" i="265"/>
  <c r="J154" i="265"/>
  <c r="I153" i="265"/>
  <c r="J152" i="265"/>
  <c r="J151" i="265"/>
  <c r="L150" i="265"/>
  <c r="N149" i="265"/>
  <c r="A149" i="265"/>
  <c r="F148" i="265"/>
  <c r="J147" i="265"/>
  <c r="O146" i="265"/>
  <c r="A146" i="265"/>
  <c r="E145" i="265"/>
  <c r="J144" i="265"/>
  <c r="N143" i="265"/>
  <c r="B143" i="265"/>
  <c r="E142" i="265"/>
  <c r="I141" i="265"/>
  <c r="N140" i="265"/>
  <c r="A140" i="265"/>
  <c r="F139" i="265"/>
  <c r="I138" i="265"/>
  <c r="N137" i="265"/>
  <c r="E137" i="265"/>
  <c r="M136" i="265"/>
  <c r="D136" i="265"/>
  <c r="L135" i="265"/>
  <c r="C135" i="265"/>
  <c r="K134" i="265"/>
  <c r="A134" i="265"/>
  <c r="J133" i="265"/>
  <c r="B133" i="265"/>
  <c r="K132" i="265"/>
  <c r="C132" i="265"/>
  <c r="L131" i="265"/>
  <c r="D131" i="265"/>
  <c r="M130" i="265"/>
  <c r="E130" i="265"/>
  <c r="N129" i="265"/>
  <c r="F129" i="265"/>
  <c r="O128" i="265"/>
  <c r="G128" i="265"/>
  <c r="P127" i="265"/>
  <c r="H127" i="265"/>
  <c r="Q126" i="265"/>
  <c r="I126" i="265"/>
  <c r="A126" i="265"/>
  <c r="J125" i="265"/>
  <c r="B125" i="265"/>
  <c r="K124" i="265"/>
  <c r="C124" i="265"/>
  <c r="L123" i="265"/>
  <c r="D123" i="265"/>
  <c r="M122" i="265"/>
  <c r="E122" i="265"/>
  <c r="N121" i="265"/>
  <c r="F121" i="265"/>
  <c r="O120" i="265"/>
  <c r="G120" i="265"/>
  <c r="P119" i="265"/>
  <c r="H119" i="265"/>
  <c r="Q118" i="265"/>
  <c r="I118" i="265"/>
  <c r="F197" i="265"/>
  <c r="N192" i="265"/>
  <c r="P187" i="265"/>
  <c r="A184" i="265"/>
  <c r="G180" i="265"/>
  <c r="G178" i="265"/>
  <c r="I176" i="265"/>
  <c r="J174" i="265"/>
  <c r="L172" i="265"/>
  <c r="O170" i="265"/>
  <c r="H169" i="265"/>
  <c r="C168" i="265"/>
  <c r="P166" i="265"/>
  <c r="K165" i="265"/>
  <c r="C164" i="265"/>
  <c r="M162" i="265"/>
  <c r="H161" i="265"/>
  <c r="F160" i="265"/>
  <c r="G159" i="265"/>
  <c r="F158" i="265"/>
  <c r="E157" i="265"/>
  <c r="F156" i="265"/>
  <c r="F155" i="265"/>
  <c r="G154" i="265"/>
  <c r="E153" i="265"/>
  <c r="E152" i="265"/>
  <c r="F151" i="265"/>
  <c r="G150" i="265"/>
  <c r="L149" i="265"/>
  <c r="O148" i="265"/>
  <c r="B148" i="265"/>
  <c r="G147" i="265"/>
  <c r="K146" i="265"/>
  <c r="P145" i="265"/>
  <c r="B145" i="265"/>
  <c r="F144" i="265"/>
  <c r="K143" i="265"/>
  <c r="O142" i="265"/>
  <c r="C142" i="265"/>
  <c r="F141" i="265"/>
  <c r="J140" i="265"/>
  <c r="O139" i="265"/>
  <c r="B139" i="265"/>
  <c r="G138" i="265"/>
  <c r="L137" i="265"/>
  <c r="C137" i="265"/>
  <c r="K136" i="265"/>
  <c r="B136" i="265"/>
  <c r="J135" i="265"/>
  <c r="Q134" i="265"/>
  <c r="H134" i="265"/>
  <c r="P133" i="265"/>
  <c r="H133" i="265"/>
  <c r="Q132" i="265"/>
  <c r="I132" i="265"/>
  <c r="A132" i="265"/>
  <c r="J131" i="265"/>
  <c r="B131" i="265"/>
  <c r="K130" i="265"/>
  <c r="C130" i="265"/>
  <c r="L129" i="265"/>
  <c r="D129" i="265"/>
  <c r="M128" i="265"/>
  <c r="E128" i="265"/>
  <c r="N127" i="265"/>
  <c r="F127" i="265"/>
  <c r="O126" i="265"/>
  <c r="G126" i="265"/>
  <c r="P125" i="265"/>
  <c r="H125" i="265"/>
  <c r="Q124" i="265"/>
  <c r="I124" i="265"/>
  <c r="A124" i="265"/>
  <c r="J123" i="265"/>
  <c r="B123" i="265"/>
  <c r="K122" i="265"/>
  <c r="C122" i="265"/>
  <c r="L121" i="265"/>
  <c r="D121" i="265"/>
  <c r="M120" i="265"/>
  <c r="E120" i="265"/>
  <c r="N119" i="265"/>
  <c r="F119" i="265"/>
  <c r="O118" i="265"/>
  <c r="G118" i="265"/>
  <c r="P117" i="265"/>
  <c r="H117" i="265"/>
  <c r="Q116" i="265"/>
  <c r="I116" i="265"/>
  <c r="A116" i="265"/>
  <c r="J115" i="265"/>
  <c r="B115" i="265"/>
  <c r="K114" i="265"/>
  <c r="C114" i="265"/>
  <c r="L113" i="265"/>
  <c r="D113" i="265"/>
  <c r="M112" i="265"/>
  <c r="E112" i="265"/>
  <c r="N111" i="265"/>
  <c r="F111" i="265"/>
  <c r="O110" i="265"/>
  <c r="G110" i="265"/>
  <c r="P109" i="265"/>
  <c r="H109" i="265"/>
  <c r="Q108" i="265"/>
  <c r="I108" i="265"/>
  <c r="A108" i="265"/>
  <c r="J107" i="265"/>
  <c r="B107" i="265"/>
  <c r="K106" i="265"/>
  <c r="C106" i="265"/>
  <c r="L105" i="265"/>
  <c r="D105" i="265"/>
  <c r="M104" i="265"/>
  <c r="E104" i="265"/>
  <c r="N103" i="265"/>
  <c r="F103" i="265"/>
  <c r="O102" i="265"/>
  <c r="G102" i="265"/>
  <c r="P101" i="265"/>
  <c r="H101" i="265"/>
  <c r="Q100" i="265"/>
  <c r="I100" i="265"/>
  <c r="A100" i="265"/>
  <c r="J99" i="265"/>
  <c r="B99" i="265"/>
  <c r="K98" i="265"/>
  <c r="C98" i="265"/>
  <c r="L97" i="265"/>
  <c r="D97" i="265"/>
  <c r="M96" i="265"/>
  <c r="E96" i="265"/>
  <c r="N95" i="265"/>
  <c r="M197" i="265"/>
  <c r="F187" i="265"/>
  <c r="F178" i="265"/>
  <c r="M172" i="265"/>
  <c r="B169" i="265"/>
  <c r="D165" i="265"/>
  <c r="J161" i="265"/>
  <c r="B159" i="265"/>
  <c r="E156" i="265"/>
  <c r="H153" i="265"/>
  <c r="Q150" i="265"/>
  <c r="N148" i="265"/>
  <c r="L146" i="265"/>
  <c r="Q144" i="265"/>
  <c r="M142" i="265"/>
  <c r="M140" i="265"/>
  <c r="P138" i="265"/>
  <c r="B137" i="265"/>
  <c r="K135" i="265"/>
  <c r="F134" i="265"/>
  <c r="P132" i="265"/>
  <c r="K131" i="265"/>
  <c r="I130" i="265"/>
  <c r="C129" i="265"/>
  <c r="O127" i="265"/>
  <c r="M126" i="265"/>
  <c r="G125" i="265"/>
  <c r="B124" i="265"/>
  <c r="Q122" i="265"/>
  <c r="K121" i="265"/>
  <c r="F120" i="265"/>
  <c r="D119" i="265"/>
  <c r="A118" i="265"/>
  <c r="F117" i="265"/>
  <c r="J116" i="265"/>
  <c r="O115" i="265"/>
  <c r="A115" i="265"/>
  <c r="E114" i="265"/>
  <c r="J113" i="265"/>
  <c r="N112" i="265"/>
  <c r="B112" i="265"/>
  <c r="E111" i="265"/>
  <c r="I110" i="265"/>
  <c r="N109" i="265"/>
  <c r="A109" i="265"/>
  <c r="F108" i="265"/>
  <c r="I107" i="265"/>
  <c r="M106" i="265"/>
  <c r="A106" i="265"/>
  <c r="E105" i="265"/>
  <c r="J104" i="265"/>
  <c r="M103" i="265"/>
  <c r="Q102" i="265"/>
  <c r="E102" i="265"/>
  <c r="I101" i="265"/>
  <c r="N100" i="265"/>
  <c r="Q99" i="265"/>
  <c r="D99" i="265"/>
  <c r="I98" i="265"/>
  <c r="M97" i="265"/>
  <c r="A97" i="265"/>
  <c r="D96" i="265"/>
  <c r="K95" i="265"/>
  <c r="C95" i="265"/>
  <c r="L94" i="265"/>
  <c r="D94" i="265"/>
  <c r="M93" i="265"/>
  <c r="E93" i="265"/>
  <c r="N92" i="265"/>
  <c r="F92" i="265"/>
  <c r="O91" i="265"/>
  <c r="G91" i="265"/>
  <c r="P90" i="265"/>
  <c r="H90" i="265"/>
  <c r="Q89" i="265"/>
  <c r="I89" i="265"/>
  <c r="A89" i="265"/>
  <c r="J88" i="265"/>
  <c r="B88" i="265"/>
  <c r="K87" i="265"/>
  <c r="C87" i="265"/>
  <c r="L86" i="265"/>
  <c r="D86" i="265"/>
  <c r="M85" i="265"/>
  <c r="E85" i="265"/>
  <c r="N84" i="265"/>
  <c r="F84" i="265"/>
  <c r="O83" i="265"/>
  <c r="G83" i="265"/>
  <c r="P82" i="265"/>
  <c r="H82" i="265"/>
  <c r="Q81" i="265"/>
  <c r="I81" i="265"/>
  <c r="A81" i="265"/>
  <c r="J80" i="265"/>
  <c r="B80" i="265"/>
  <c r="K79" i="265"/>
  <c r="C79" i="265"/>
  <c r="L78" i="265"/>
  <c r="D78" i="265"/>
  <c r="M77" i="265"/>
  <c r="E77" i="265"/>
  <c r="N76" i="265"/>
  <c r="F76" i="265"/>
  <c r="O75" i="265"/>
  <c r="G75" i="265"/>
  <c r="P74" i="265"/>
  <c r="H74" i="265"/>
  <c r="Q73" i="265"/>
  <c r="I73" i="265"/>
  <c r="A73" i="265"/>
  <c r="J72" i="265"/>
  <c r="B72" i="265"/>
  <c r="K71" i="265"/>
  <c r="C71" i="265"/>
  <c r="L70" i="265"/>
  <c r="D70" i="265"/>
  <c r="M69" i="265"/>
  <c r="E69" i="265"/>
  <c r="N68" i="265"/>
  <c r="F68" i="265"/>
  <c r="O67" i="265"/>
  <c r="G67" i="265"/>
  <c r="P66" i="265"/>
  <c r="H66" i="265"/>
  <c r="Q65" i="265"/>
  <c r="I65" i="265"/>
  <c r="A65" i="265"/>
  <c r="J64" i="265"/>
  <c r="B64" i="265"/>
  <c r="K63" i="265"/>
  <c r="C63" i="265"/>
  <c r="L62" i="265"/>
  <c r="D62" i="265"/>
  <c r="M61" i="265"/>
  <c r="E61" i="265"/>
  <c r="N60" i="265"/>
  <c r="F60" i="265"/>
  <c r="O59" i="265"/>
  <c r="G59" i="265"/>
  <c r="P58" i="265"/>
  <c r="J196" i="265"/>
  <c r="C184" i="265"/>
  <c r="P177" i="265"/>
  <c r="E172" i="265"/>
  <c r="F168" i="265"/>
  <c r="C165" i="265"/>
  <c r="G161" i="265"/>
  <c r="H158" i="265"/>
  <c r="A156" i="265"/>
  <c r="D153" i="265"/>
  <c r="H150" i="265"/>
  <c r="M148" i="265"/>
  <c r="I146" i="265"/>
  <c r="I144" i="265"/>
  <c r="L142" i="265"/>
  <c r="I140" i="265"/>
  <c r="H138" i="265"/>
  <c r="A137" i="265"/>
  <c r="H135" i="265"/>
  <c r="Q133" i="265"/>
  <c r="O132" i="265"/>
  <c r="I131" i="265"/>
  <c r="D130" i="265"/>
  <c r="B129" i="265"/>
  <c r="M127" i="265"/>
  <c r="H126" i="265"/>
  <c r="F125" i="265"/>
  <c r="Q123" i="265"/>
  <c r="L122" i="265"/>
  <c r="J121" i="265"/>
  <c r="D120" i="265"/>
  <c r="P118" i="265"/>
  <c r="Q117" i="265"/>
  <c r="E117" i="265"/>
  <c r="H116" i="265"/>
  <c r="L115" i="265"/>
  <c r="Q114" i="265"/>
  <c r="D114" i="265"/>
  <c r="I113" i="265"/>
  <c r="L112" i="265"/>
  <c r="P111" i="265"/>
  <c r="D111" i="265"/>
  <c r="H110" i="265"/>
  <c r="M109" i="265"/>
  <c r="P108" i="265"/>
  <c r="C108" i="265"/>
  <c r="H107" i="265"/>
  <c r="L106" i="265"/>
  <c r="Q105" i="265"/>
  <c r="C105" i="265"/>
  <c r="G104" i="265"/>
  <c r="L103" i="265"/>
  <c r="P102" i="265"/>
  <c r="D102" i="265"/>
  <c r="G101" i="265"/>
  <c r="K100" i="265"/>
  <c r="P99" i="265"/>
  <c r="C99" i="265"/>
  <c r="H98" i="265"/>
  <c r="K97" i="265"/>
  <c r="O96" i="265"/>
  <c r="C96" i="265"/>
  <c r="J95" i="265"/>
  <c r="B95" i="265"/>
  <c r="K94" i="265"/>
  <c r="C94" i="265"/>
  <c r="L93" i="265"/>
  <c r="D93" i="265"/>
  <c r="M92" i="265"/>
  <c r="E92" i="265"/>
  <c r="N91" i="265"/>
  <c r="F91" i="265"/>
  <c r="O90" i="265"/>
  <c r="G90" i="265"/>
  <c r="P89" i="265"/>
  <c r="H89" i="265"/>
  <c r="Q88" i="265"/>
  <c r="I88" i="265"/>
  <c r="A88" i="265"/>
  <c r="J87" i="265"/>
  <c r="B87" i="265"/>
  <c r="K86" i="265"/>
  <c r="C86" i="265"/>
  <c r="L85" i="265"/>
  <c r="D85" i="265"/>
  <c r="M84" i="265"/>
  <c r="E84" i="265"/>
  <c r="N83" i="265"/>
  <c r="F83" i="265"/>
  <c r="O82" i="265"/>
  <c r="G82" i="265"/>
  <c r="P81" i="265"/>
  <c r="H81" i="265"/>
  <c r="Q80" i="265"/>
  <c r="I80" i="265"/>
  <c r="A80" i="265"/>
  <c r="J79" i="265"/>
  <c r="B79" i="265"/>
  <c r="K78" i="265"/>
  <c r="C78" i="265"/>
  <c r="L77" i="265"/>
  <c r="D77" i="265"/>
  <c r="M76" i="265"/>
  <c r="E76" i="265"/>
  <c r="N75" i="265"/>
  <c r="F75" i="265"/>
  <c r="O74" i="265"/>
  <c r="G74" i="265"/>
  <c r="P73" i="265"/>
  <c r="H73" i="265"/>
  <c r="Q72" i="265"/>
  <c r="I72" i="265"/>
  <c r="A72" i="265"/>
  <c r="J71" i="265"/>
  <c r="B71" i="265"/>
  <c r="K70" i="265"/>
  <c r="C70" i="265"/>
  <c r="L69" i="265"/>
  <c r="D69" i="265"/>
  <c r="M68" i="265"/>
  <c r="E68" i="265"/>
  <c r="N67" i="265"/>
  <c r="F67" i="265"/>
  <c r="O66" i="265"/>
  <c r="G66" i="265"/>
  <c r="P65" i="265"/>
  <c r="H65" i="265"/>
  <c r="Q64" i="265"/>
  <c r="I64" i="265"/>
  <c r="A64" i="265"/>
  <c r="J63" i="265"/>
  <c r="B63" i="265"/>
  <c r="K62" i="265"/>
  <c r="C62" i="265"/>
  <c r="L61" i="265"/>
  <c r="D61" i="265"/>
  <c r="M60" i="265"/>
  <c r="E60" i="265"/>
  <c r="N59" i="265"/>
  <c r="F59" i="265"/>
  <c r="O58" i="265"/>
  <c r="G58" i="265"/>
  <c r="P57" i="265"/>
  <c r="H57" i="265"/>
  <c r="Q56" i="265"/>
  <c r="I56" i="265"/>
  <c r="A56" i="265"/>
  <c r="J55" i="265"/>
  <c r="B55" i="265"/>
  <c r="K54" i="265"/>
  <c r="C54" i="265"/>
  <c r="L53" i="265"/>
  <c r="D53" i="265"/>
  <c r="M52" i="265"/>
  <c r="E52" i="265"/>
  <c r="N51" i="265"/>
  <c r="F51" i="265"/>
  <c r="O50" i="265"/>
  <c r="G50" i="265"/>
  <c r="P49" i="265"/>
  <c r="P195" i="265"/>
  <c r="G183" i="265"/>
  <c r="K176" i="265"/>
  <c r="C172" i="265"/>
  <c r="B168" i="265"/>
  <c r="F164" i="265"/>
  <c r="A161" i="265"/>
  <c r="D158" i="265"/>
  <c r="G155" i="265"/>
  <c r="C153" i="265"/>
  <c r="E150" i="265"/>
  <c r="E148" i="265"/>
  <c r="H146" i="265"/>
  <c r="E144" i="265"/>
  <c r="D142" i="265"/>
  <c r="G140" i="265"/>
  <c r="D138" i="265"/>
  <c r="L136" i="265"/>
  <c r="G135" i="265"/>
  <c r="O133" i="265"/>
  <c r="J132" i="265"/>
  <c r="H131" i="265"/>
  <c r="B130" i="265"/>
  <c r="N128" i="265"/>
  <c r="L127" i="265"/>
  <c r="F126" i="265"/>
  <c r="A125" i="265"/>
  <c r="P123" i="265"/>
  <c r="J122" i="265"/>
  <c r="E121" i="265"/>
  <c r="C120" i="265"/>
  <c r="N118" i="265"/>
  <c r="O117" i="265"/>
  <c r="B117" i="265"/>
  <c r="G116" i="265"/>
  <c r="K115" i="265"/>
  <c r="P114" i="265"/>
  <c r="B114" i="265"/>
  <c r="F113" i="265"/>
  <c r="K112" i="265"/>
  <c r="O111" i="265"/>
  <c r="C111" i="265"/>
  <c r="F110" i="265"/>
  <c r="J109" i="265"/>
  <c r="O108" i="265"/>
  <c r="B108" i="265"/>
  <c r="G107" i="265"/>
  <c r="J106" i="265"/>
  <c r="N105" i="265"/>
  <c r="B105" i="265"/>
  <c r="F104" i="265"/>
  <c r="K103" i="265"/>
  <c r="N102" i="265"/>
  <c r="A102" i="265"/>
  <c r="F101" i="265"/>
  <c r="J100" i="265"/>
  <c r="O99" i="265"/>
  <c r="A99" i="265"/>
  <c r="E98" i="265"/>
  <c r="J97" i="265"/>
  <c r="N96" i="265"/>
  <c r="B96" i="265"/>
  <c r="I95" i="265"/>
  <c r="A95" i="265"/>
  <c r="J94" i="265"/>
  <c r="B94" i="265"/>
  <c r="K93" i="265"/>
  <c r="C93" i="265"/>
  <c r="L92" i="265"/>
  <c r="D92" i="265"/>
  <c r="M91" i="265"/>
  <c r="E91" i="265"/>
  <c r="N90" i="265"/>
  <c r="F90" i="265"/>
  <c r="O89" i="265"/>
  <c r="G89" i="265"/>
  <c r="P88" i="265"/>
  <c r="H88" i="265"/>
  <c r="Q87" i="265"/>
  <c r="I87" i="265"/>
  <c r="A87" i="265"/>
  <c r="J86" i="265"/>
  <c r="B86" i="265"/>
  <c r="K85" i="265"/>
  <c r="C85" i="265"/>
  <c r="L84" i="265"/>
  <c r="D84" i="265"/>
  <c r="M83" i="265"/>
  <c r="E83" i="265"/>
  <c r="N82" i="265"/>
  <c r="F82" i="265"/>
  <c r="O81" i="265"/>
  <c r="G81" i="265"/>
  <c r="P80" i="265"/>
  <c r="H80" i="265"/>
  <c r="Q79" i="265"/>
  <c r="I79" i="265"/>
  <c r="A79" i="265"/>
  <c r="J78" i="265"/>
  <c r="B78" i="265"/>
  <c r="K77" i="265"/>
  <c r="C77" i="265"/>
  <c r="L76" i="265"/>
  <c r="D76" i="265"/>
  <c r="M75" i="265"/>
  <c r="E75" i="265"/>
  <c r="N74" i="265"/>
  <c r="F74" i="265"/>
  <c r="O73" i="265"/>
  <c r="G73" i="265"/>
  <c r="P72" i="265"/>
  <c r="H72" i="265"/>
  <c r="Q71" i="265"/>
  <c r="I71" i="265"/>
  <c r="A71" i="265"/>
  <c r="J70" i="265"/>
  <c r="B70" i="265"/>
  <c r="K69" i="265"/>
  <c r="C69" i="265"/>
  <c r="L68" i="265"/>
  <c r="D68" i="265"/>
  <c r="M67" i="265"/>
  <c r="E67" i="265"/>
  <c r="N66" i="265"/>
  <c r="F66" i="265"/>
  <c r="O65" i="265"/>
  <c r="G65" i="265"/>
  <c r="P64" i="265"/>
  <c r="H64" i="265"/>
  <c r="Q63" i="265"/>
  <c r="I63" i="265"/>
  <c r="A63" i="265"/>
  <c r="J62" i="265"/>
  <c r="B62" i="265"/>
  <c r="K61" i="265"/>
  <c r="C61" i="265"/>
  <c r="L60" i="265"/>
  <c r="D60" i="265"/>
  <c r="M59" i="265"/>
  <c r="E59" i="265"/>
  <c r="N58" i="265"/>
  <c r="F58" i="265"/>
  <c r="O57" i="265"/>
  <c r="G57" i="265"/>
  <c r="P56" i="265"/>
  <c r="H56" i="265"/>
  <c r="Q55" i="265"/>
  <c r="I55" i="265"/>
  <c r="A55" i="265"/>
  <c r="J54" i="265"/>
  <c r="B54" i="265"/>
  <c r="K53" i="265"/>
  <c r="C53" i="265"/>
  <c r="L52" i="265"/>
  <c r="D52" i="265"/>
  <c r="M51" i="265"/>
  <c r="E51" i="265"/>
  <c r="N50" i="265"/>
  <c r="F50" i="265"/>
  <c r="O49" i="265"/>
  <c r="Q192" i="265"/>
  <c r="Q182" i="265"/>
  <c r="H176" i="265"/>
  <c r="C171" i="265"/>
  <c r="L167" i="265"/>
  <c r="P163" i="265"/>
  <c r="G160" i="265"/>
  <c r="C158" i="265"/>
  <c r="C155" i="265"/>
  <c r="I152" i="265"/>
  <c r="D150" i="265"/>
  <c r="A148" i="265"/>
  <c r="Q145" i="265"/>
  <c r="C144" i="265"/>
  <c r="Q141" i="265"/>
  <c r="P139" i="265"/>
  <c r="C138" i="265"/>
  <c r="J136" i="265"/>
  <c r="B135" i="265"/>
  <c r="N133" i="265"/>
  <c r="H132" i="265"/>
  <c r="C131" i="265"/>
  <c r="A130" i="265"/>
  <c r="L128" i="265"/>
  <c r="G127" i="265"/>
  <c r="E126" i="265"/>
  <c r="P124" i="265"/>
  <c r="K123" i="265"/>
  <c r="I122" i="265"/>
  <c r="C121" i="265"/>
  <c r="O119" i="265"/>
  <c r="M118" i="265"/>
  <c r="N117" i="265"/>
  <c r="A117" i="265"/>
  <c r="F116" i="265"/>
  <c r="I115" i="265"/>
  <c r="M114" i="265"/>
  <c r="A114" i="265"/>
  <c r="E113" i="265"/>
  <c r="J112" i="265"/>
  <c r="M111" i="265"/>
  <c r="Q110" i="265"/>
  <c r="E110" i="265"/>
  <c r="I109" i="265"/>
  <c r="N108" i="265"/>
  <c r="Q107" i="265"/>
  <c r="D107" i="265"/>
  <c r="I106" i="265"/>
  <c r="M105" i="265"/>
  <c r="A105" i="265"/>
  <c r="D104" i="265"/>
  <c r="H103" i="265"/>
  <c r="M102" i="265"/>
  <c r="Q101" i="265"/>
  <c r="E101" i="265"/>
  <c r="H100" i="265"/>
  <c r="L99" i="265"/>
  <c r="Q98" i="265"/>
  <c r="D98" i="265"/>
  <c r="I97" i="265"/>
  <c r="L96" i="265"/>
  <c r="A96" i="265"/>
  <c r="H95" i="265"/>
  <c r="Q94" i="265"/>
  <c r="I94" i="265"/>
  <c r="A94" i="265"/>
  <c r="J93" i="265"/>
  <c r="B93" i="265"/>
  <c r="K92" i="265"/>
  <c r="C92" i="265"/>
  <c r="L91" i="265"/>
  <c r="D91" i="265"/>
  <c r="M90" i="265"/>
  <c r="E90" i="265"/>
  <c r="N89" i="265"/>
  <c r="F89" i="265"/>
  <c r="O88" i="265"/>
  <c r="G88" i="265"/>
  <c r="P87" i="265"/>
  <c r="H87" i="265"/>
  <c r="Q86" i="265"/>
  <c r="I86" i="265"/>
  <c r="A86" i="265"/>
  <c r="J85" i="265"/>
  <c r="B85" i="265"/>
  <c r="K84" i="265"/>
  <c r="C84" i="265"/>
  <c r="L83" i="265"/>
  <c r="D83" i="265"/>
  <c r="M82" i="265"/>
  <c r="E82" i="265"/>
  <c r="N81" i="265"/>
  <c r="F81" i="265"/>
  <c r="O80" i="265"/>
  <c r="G80" i="265"/>
  <c r="P79" i="265"/>
  <c r="H79" i="265"/>
  <c r="Q78" i="265"/>
  <c r="I78" i="265"/>
  <c r="A78" i="265"/>
  <c r="J77" i="265"/>
  <c r="B77" i="265"/>
  <c r="K76" i="265"/>
  <c r="C76" i="265"/>
  <c r="L75" i="265"/>
  <c r="D75" i="265"/>
  <c r="M74" i="265"/>
  <c r="E74" i="265"/>
  <c r="N73" i="265"/>
  <c r="F73" i="265"/>
  <c r="O72" i="265"/>
  <c r="G72" i="265"/>
  <c r="P71" i="265"/>
  <c r="H71" i="265"/>
  <c r="Q70" i="265"/>
  <c r="I70" i="265"/>
  <c r="A70" i="265"/>
  <c r="J69" i="265"/>
  <c r="B69" i="265"/>
  <c r="K68" i="265"/>
  <c r="C68" i="265"/>
  <c r="L67" i="265"/>
  <c r="D67" i="265"/>
  <c r="M66" i="265"/>
  <c r="E66" i="265"/>
  <c r="N65" i="265"/>
  <c r="F65" i="265"/>
  <c r="O64" i="265"/>
  <c r="G64" i="265"/>
  <c r="P63" i="265"/>
  <c r="H63" i="265"/>
  <c r="Q62" i="265"/>
  <c r="I62" i="265"/>
  <c r="A62" i="265"/>
  <c r="J61" i="265"/>
  <c r="B61" i="265"/>
  <c r="K60" i="265"/>
  <c r="C60" i="265"/>
  <c r="L59" i="265"/>
  <c r="D59" i="265"/>
  <c r="M58" i="265"/>
  <c r="I191" i="265"/>
  <c r="E180" i="265"/>
  <c r="K174" i="265"/>
  <c r="L170" i="265"/>
  <c r="K166" i="265"/>
  <c r="C163" i="265"/>
  <c r="B160" i="265"/>
  <c r="D157" i="265"/>
  <c r="H154" i="265"/>
  <c r="A152" i="265"/>
  <c r="I149" i="265"/>
  <c r="H147" i="265"/>
  <c r="L145" i="265"/>
  <c r="J143" i="265"/>
  <c r="H141" i="265"/>
  <c r="K139" i="265"/>
  <c r="K137" i="265"/>
  <c r="C136" i="265"/>
  <c r="O134" i="265"/>
  <c r="G133" i="265"/>
  <c r="B132" i="265"/>
  <c r="Q130" i="265"/>
  <c r="K129" i="265"/>
  <c r="F128" i="265"/>
  <c r="D127" i="265"/>
  <c r="O125" i="265"/>
  <c r="J124" i="265"/>
  <c r="H123" i="265"/>
  <c r="B122" i="265"/>
  <c r="N120" i="265"/>
  <c r="L119" i="265"/>
  <c r="F118" i="265"/>
  <c r="J117" i="265"/>
  <c r="O116" i="265"/>
  <c r="B116" i="265"/>
  <c r="G115" i="265"/>
  <c r="J114" i="265"/>
  <c r="N113" i="265"/>
  <c r="B113" i="265"/>
  <c r="F112" i="265"/>
  <c r="K111" i="265"/>
  <c r="N110" i="265"/>
  <c r="A110" i="265"/>
  <c r="F109" i="265"/>
  <c r="J108" i="265"/>
  <c r="O107" i="265"/>
  <c r="A107" i="265"/>
  <c r="E106" i="265"/>
  <c r="J105" i="265"/>
  <c r="N104" i="265"/>
  <c r="B104" i="265"/>
  <c r="E103" i="265"/>
  <c r="I102" i="265"/>
  <c r="N101" i="265"/>
  <c r="A101" i="265"/>
  <c r="F100" i="265"/>
  <c r="I99" i="265"/>
  <c r="M98" i="265"/>
  <c r="A98" i="265"/>
  <c r="E97" i="265"/>
  <c r="J96" i="265"/>
  <c r="O95" i="265"/>
  <c r="F95" i="265"/>
  <c r="O94" i="265"/>
  <c r="G94" i="265"/>
  <c r="P93" i="265"/>
  <c r="H93" i="265"/>
  <c r="Q92" i="265"/>
  <c r="I92" i="265"/>
  <c r="A92" i="265"/>
  <c r="J91" i="265"/>
  <c r="B91" i="265"/>
  <c r="K90" i="265"/>
  <c r="C90" i="265"/>
  <c r="L89" i="265"/>
  <c r="D89" i="265"/>
  <c r="M88" i="265"/>
  <c r="E88" i="265"/>
  <c r="N87" i="265"/>
  <c r="F87" i="265"/>
  <c r="O86" i="265"/>
  <c r="G86" i="265"/>
  <c r="P85" i="265"/>
  <c r="H85" i="265"/>
  <c r="Q84" i="265"/>
  <c r="I84" i="265"/>
  <c r="A84" i="265"/>
  <c r="J83" i="265"/>
  <c r="B83" i="265"/>
  <c r="K82" i="265"/>
  <c r="C82" i="265"/>
  <c r="L81" i="265"/>
  <c r="D81" i="265"/>
  <c r="M80" i="265"/>
  <c r="E80" i="265"/>
  <c r="N79" i="265"/>
  <c r="F79" i="265"/>
  <c r="O78" i="265"/>
  <c r="G78" i="265"/>
  <c r="P77" i="265"/>
  <c r="H77" i="265"/>
  <c r="Q76" i="265"/>
  <c r="I76" i="265"/>
  <c r="A76" i="265"/>
  <c r="J75" i="265"/>
  <c r="B75" i="265"/>
  <c r="K74" i="265"/>
  <c r="C74" i="265"/>
  <c r="L73" i="265"/>
  <c r="D73" i="265"/>
  <c r="M72" i="265"/>
  <c r="E72" i="265"/>
  <c r="N71" i="265"/>
  <c r="F71" i="265"/>
  <c r="O70" i="265"/>
  <c r="G70" i="265"/>
  <c r="P69" i="265"/>
  <c r="H69" i="265"/>
  <c r="Q68" i="265"/>
  <c r="I68" i="265"/>
  <c r="A68" i="265"/>
  <c r="J67" i="265"/>
  <c r="B67" i="265"/>
  <c r="K66" i="265"/>
  <c r="C66" i="265"/>
  <c r="L65" i="265"/>
  <c r="D65" i="265"/>
  <c r="M64" i="265"/>
  <c r="E64" i="265"/>
  <c r="N63" i="265"/>
  <c r="F63" i="265"/>
  <c r="O62" i="265"/>
  <c r="G62" i="265"/>
  <c r="P61" i="265"/>
  <c r="H61" i="265"/>
  <c r="Q60" i="265"/>
  <c r="I60" i="265"/>
  <c r="A60" i="265"/>
  <c r="J59" i="265"/>
  <c r="B59" i="265"/>
  <c r="K58" i="265"/>
  <c r="C58" i="265"/>
  <c r="L57" i="265"/>
  <c r="D57" i="265"/>
  <c r="M56" i="265"/>
  <c r="E56" i="265"/>
  <c r="N55" i="265"/>
  <c r="F55" i="265"/>
  <c r="O54" i="265"/>
  <c r="G54" i="265"/>
  <c r="P53" i="265"/>
  <c r="H53" i="265"/>
  <c r="Q52" i="265"/>
  <c r="I52" i="265"/>
  <c r="A52" i="265"/>
  <c r="J51" i="265"/>
  <c r="B51" i="265"/>
  <c r="K50" i="265"/>
  <c r="C50" i="265"/>
  <c r="L49" i="265"/>
  <c r="D49" i="265"/>
  <c r="M48" i="265"/>
  <c r="E48" i="265"/>
  <c r="N47" i="265"/>
  <c r="F47" i="265"/>
  <c r="O46" i="265"/>
  <c r="G46" i="265"/>
  <c r="P45" i="265"/>
  <c r="H45" i="265"/>
  <c r="Q44" i="265"/>
  <c r="M3" i="265"/>
  <c r="E4" i="265"/>
  <c r="N4" i="265"/>
  <c r="E5" i="265"/>
  <c r="N5" i="265"/>
  <c r="E6" i="265"/>
  <c r="N6" i="265"/>
  <c r="E7" i="265"/>
  <c r="N7" i="265"/>
  <c r="E8" i="265"/>
  <c r="M8" i="265"/>
  <c r="D9" i="265"/>
  <c r="L9" i="265"/>
  <c r="C10" i="265"/>
  <c r="K10" i="265"/>
  <c r="B11" i="265"/>
  <c r="J11" i="265"/>
  <c r="A12" i="265"/>
  <c r="I12" i="265"/>
  <c r="Q12" i="265"/>
  <c r="H13" i="265"/>
  <c r="P13" i="265"/>
  <c r="G14" i="265"/>
  <c r="O14" i="265"/>
  <c r="F15" i="265"/>
  <c r="N15" i="265"/>
  <c r="E16" i="265"/>
  <c r="M16" i="265"/>
  <c r="D17" i="265"/>
  <c r="L17" i="265"/>
  <c r="C18" i="265"/>
  <c r="K18" i="265"/>
  <c r="B19" i="265"/>
  <c r="J19" i="265"/>
  <c r="A20" i="265"/>
  <c r="I20" i="265"/>
  <c r="Q20" i="265"/>
  <c r="H21" i="265"/>
  <c r="P21" i="265"/>
  <c r="G22" i="265"/>
  <c r="O22" i="265"/>
  <c r="F23" i="265"/>
  <c r="N23" i="265"/>
  <c r="E24" i="265"/>
  <c r="M24" i="265"/>
  <c r="D25" i="265"/>
  <c r="L25" i="265"/>
  <c r="C26" i="265"/>
  <c r="K26" i="265"/>
  <c r="B27" i="265"/>
  <c r="J27" i="265"/>
  <c r="A28" i="265"/>
  <c r="I28" i="265"/>
  <c r="Q28" i="265"/>
  <c r="H29" i="265"/>
  <c r="P29" i="265"/>
  <c r="G30" i="265"/>
  <c r="O30" i="265"/>
  <c r="F31" i="265"/>
  <c r="N31" i="265"/>
  <c r="E32" i="265"/>
  <c r="M32" i="265"/>
  <c r="D33" i="265"/>
  <c r="L33" i="265"/>
  <c r="C34" i="265"/>
  <c r="K34" i="265"/>
  <c r="B35" i="265"/>
  <c r="J35" i="265"/>
  <c r="A36" i="265"/>
  <c r="I36" i="265"/>
  <c r="Q36" i="265"/>
  <c r="H37" i="265"/>
  <c r="P37" i="265"/>
  <c r="G38" i="265"/>
  <c r="O38" i="265"/>
  <c r="F39" i="265"/>
  <c r="N39" i="265"/>
  <c r="E40" i="265"/>
  <c r="M40" i="265"/>
  <c r="D41" i="265"/>
  <c r="L41" i="265"/>
  <c r="C42" i="265"/>
  <c r="K42" i="265"/>
  <c r="B43" i="265"/>
  <c r="J43" i="265"/>
  <c r="A44" i="265"/>
  <c r="I44" i="265"/>
  <c r="A45" i="265"/>
  <c r="J45" i="265"/>
  <c r="B46" i="265"/>
  <c r="K46" i="265"/>
  <c r="C47" i="265"/>
  <c r="L47" i="265"/>
  <c r="D48" i="265"/>
  <c r="N48" i="265"/>
  <c r="F49" i="265"/>
  <c r="Q49" i="265"/>
  <c r="L50" i="265"/>
  <c r="H51" i="265"/>
  <c r="C52" i="265"/>
  <c r="P52" i="265"/>
  <c r="M53" i="265"/>
  <c r="H54" i="265"/>
  <c r="D55" i="265"/>
  <c r="P55" i="265"/>
  <c r="L56" i="265"/>
  <c r="I57" i="265"/>
  <c r="D58" i="265"/>
  <c r="C59" i="265"/>
  <c r="H60" i="265"/>
  <c r="N61" i="265"/>
  <c r="P62" i="265"/>
  <c r="D64" i="265"/>
  <c r="J65" i="265"/>
  <c r="L66" i="265"/>
  <c r="Q67" i="265"/>
  <c r="F69" i="265"/>
  <c r="H70" i="265"/>
  <c r="M71" i="265"/>
  <c r="B73" i="265"/>
  <c r="D74" i="265"/>
  <c r="I75" i="265"/>
  <c r="O76" i="265"/>
  <c r="Q77" i="265"/>
  <c r="E79" i="265"/>
  <c r="K80" i="265"/>
  <c r="M81" i="265"/>
  <c r="A83" i="265"/>
  <c r="G84" i="265"/>
  <c r="I85" i="265"/>
  <c r="N86" i="265"/>
  <c r="C88" i="265"/>
  <c r="E89" i="265"/>
  <c r="J90" i="265"/>
  <c r="P91" i="265"/>
  <c r="A93" i="265"/>
  <c r="F94" i="265"/>
  <c r="L95" i="265"/>
  <c r="F97" i="265"/>
  <c r="H99" i="265"/>
  <c r="J101" i="265"/>
  <c r="G103" i="265"/>
  <c r="I105" i="265"/>
  <c r="K107" i="265"/>
  <c r="G109" i="265"/>
  <c r="H111" i="265"/>
  <c r="K113" i="265"/>
  <c r="H115" i="265"/>
  <c r="I117" i="265"/>
  <c r="K120" i="265"/>
  <c r="I123" i="265"/>
  <c r="P126" i="265"/>
  <c r="J130" i="265"/>
  <c r="I133" i="265"/>
  <c r="J137" i="265"/>
  <c r="P142" i="265"/>
  <c r="P147" i="265"/>
  <c r="C154" i="265"/>
  <c r="H162" i="265"/>
  <c r="N170" i="265"/>
  <c r="B189" i="265"/>
  <c r="N32" i="265"/>
  <c r="E33" i="265"/>
  <c r="M33" i="265"/>
  <c r="D34" i="265"/>
  <c r="L34" i="265"/>
  <c r="C35" i="265"/>
  <c r="K35" i="265"/>
  <c r="B36" i="265"/>
  <c r="J36" i="265"/>
  <c r="A37" i="265"/>
  <c r="I37" i="265"/>
  <c r="Q37" i="265"/>
  <c r="H38" i="265"/>
  <c r="P38" i="265"/>
  <c r="G39" i="265"/>
  <c r="O39" i="265"/>
  <c r="F40" i="265"/>
  <c r="N40" i="265"/>
  <c r="E41" i="265"/>
  <c r="M41" i="265"/>
  <c r="D42" i="265"/>
  <c r="L42" i="265"/>
  <c r="C43" i="265"/>
  <c r="K43" i="265"/>
  <c r="B44" i="265"/>
  <c r="J44" i="265"/>
  <c r="B45" i="265"/>
  <c r="K45" i="265"/>
  <c r="C46" i="265"/>
  <c r="L46" i="265"/>
  <c r="D47" i="265"/>
  <c r="M47" i="265"/>
  <c r="F48" i="265"/>
  <c r="O48" i="265"/>
  <c r="G49" i="265"/>
  <c r="A50" i="265"/>
  <c r="M50" i="265"/>
  <c r="I51" i="265"/>
  <c r="F52" i="265"/>
  <c r="A53" i="265"/>
  <c r="N53" i="265"/>
  <c r="I54" i="265"/>
  <c r="E55" i="265"/>
  <c r="B56" i="265"/>
  <c r="N56" i="265"/>
  <c r="J57" i="265"/>
  <c r="E58" i="265"/>
  <c r="H59" i="265"/>
  <c r="J60" i="265"/>
  <c r="O61" i="265"/>
  <c r="D63" i="265"/>
  <c r="F64" i="265"/>
  <c r="K65" i="265"/>
  <c r="Q66" i="265"/>
  <c r="B68" i="265"/>
  <c r="G69" i="265"/>
  <c r="M70" i="265"/>
  <c r="O71" i="265"/>
  <c r="C73" i="265"/>
  <c r="I74" i="265"/>
  <c r="K75" i="265"/>
  <c r="P76" i="265"/>
  <c r="E78" i="265"/>
  <c r="G79" i="265"/>
  <c r="L80" i="265"/>
  <c r="A82" i="265"/>
  <c r="C83" i="265"/>
  <c r="H84" i="265"/>
  <c r="N85" i="265"/>
  <c r="P86" i="265"/>
  <c r="D88" i="265"/>
  <c r="J89" i="265"/>
  <c r="L90" i="265"/>
  <c r="Q91" i="265"/>
  <c r="F93" i="265"/>
  <c r="H94" i="265"/>
  <c r="M95" i="265"/>
  <c r="N97" i="265"/>
  <c r="K99" i="265"/>
  <c r="M101" i="265"/>
  <c r="O103" i="265"/>
  <c r="K105" i="265"/>
  <c r="L107" i="265"/>
  <c r="O109" i="265"/>
  <c r="L111" i="265"/>
  <c r="M113" i="265"/>
  <c r="P115" i="265"/>
  <c r="M117" i="265"/>
  <c r="L120" i="265"/>
  <c r="G124" i="265"/>
  <c r="E127" i="265"/>
  <c r="L130" i="265"/>
  <c r="G134" i="265"/>
  <c r="M137" i="265"/>
  <c r="G143" i="265"/>
  <c r="Q148" i="265"/>
  <c r="B155" i="265"/>
  <c r="L162" i="265"/>
  <c r="A174" i="265"/>
  <c r="G192" i="265"/>
  <c r="W1" i="268"/>
  <c r="C12" i="263"/>
  <c r="C12" i="261"/>
  <c r="C12" i="260"/>
  <c r="C12" i="259"/>
  <c r="C12" i="258"/>
  <c r="J3" i="254"/>
  <c r="C4" i="254"/>
  <c r="L4" i="254"/>
  <c r="C5" i="254"/>
  <c r="L5" i="254"/>
  <c r="C6" i="254"/>
  <c r="L6" i="254"/>
  <c r="C7" i="254"/>
  <c r="L7" i="254"/>
  <c r="C8" i="254"/>
  <c r="K8" i="254"/>
  <c r="B9" i="254"/>
  <c r="J9" i="254"/>
  <c r="A10" i="254"/>
  <c r="I10" i="254"/>
  <c r="Q10" i="254"/>
  <c r="H11" i="254"/>
  <c r="P11" i="254"/>
  <c r="G12" i="254"/>
  <c r="O12" i="254"/>
  <c r="F13" i="254"/>
  <c r="N13" i="254"/>
  <c r="E14" i="254"/>
  <c r="M14" i="254"/>
  <c r="D15" i="254"/>
  <c r="L15" i="254"/>
  <c r="C16" i="254"/>
  <c r="K16" i="254"/>
  <c r="B17" i="254"/>
  <c r="J17" i="254"/>
  <c r="A18" i="254"/>
  <c r="I18" i="254"/>
  <c r="Q18" i="254"/>
  <c r="H19" i="254"/>
  <c r="P19" i="254"/>
  <c r="G20" i="254"/>
  <c r="O20" i="254"/>
  <c r="F21" i="254"/>
  <c r="N21" i="254"/>
  <c r="E22" i="254"/>
  <c r="M22" i="254"/>
  <c r="D23" i="254"/>
  <c r="N23" i="254"/>
  <c r="F24" i="254"/>
  <c r="O24" i="254"/>
  <c r="G25" i="254"/>
  <c r="P25" i="254"/>
  <c r="I26" i="254"/>
  <c r="C27" i="254"/>
  <c r="N27" i="254"/>
  <c r="L28" i="254"/>
  <c r="I29" i="254"/>
  <c r="G30" i="254"/>
  <c r="F31" i="254"/>
  <c r="G32" i="254"/>
  <c r="H33" i="254"/>
  <c r="J34" i="254"/>
  <c r="K35" i="254"/>
  <c r="L36" i="254"/>
  <c r="M37" i="254"/>
  <c r="O38" i="254"/>
  <c r="P39" i="254"/>
  <c r="Q40" i="254"/>
  <c r="B42" i="254"/>
  <c r="C43" i="254"/>
  <c r="D44" i="254"/>
  <c r="E45" i="254"/>
  <c r="G46" i="254"/>
  <c r="H47" i="254"/>
  <c r="I48" i="254"/>
  <c r="K49" i="254"/>
  <c r="L50" i="254"/>
  <c r="M51" i="254"/>
  <c r="N52" i="254"/>
  <c r="P53" i="254"/>
  <c r="Q54" i="254"/>
  <c r="A56" i="254"/>
  <c r="C57" i="254"/>
  <c r="D58" i="254"/>
  <c r="E59" i="254"/>
  <c r="F60" i="254"/>
  <c r="H61" i="254"/>
  <c r="I62" i="254"/>
  <c r="J63" i="254"/>
  <c r="L64" i="254"/>
  <c r="M65" i="254"/>
  <c r="N66" i="254"/>
  <c r="O67" i="254"/>
  <c r="Q68" i="254"/>
  <c r="A70" i="254"/>
  <c r="B71" i="254"/>
  <c r="D72" i="254"/>
  <c r="E73" i="254"/>
  <c r="F74" i="254"/>
  <c r="G75" i="254"/>
  <c r="I76" i="254"/>
  <c r="J77" i="254"/>
  <c r="K78" i="254"/>
  <c r="M79" i="254"/>
  <c r="N80" i="254"/>
  <c r="O81" i="254"/>
  <c r="P82" i="254"/>
  <c r="A84" i="254"/>
  <c r="B85" i="254"/>
  <c r="F86" i="254"/>
  <c r="J87" i="254"/>
  <c r="O88" i="254"/>
  <c r="D90" i="254"/>
  <c r="M91" i="254"/>
  <c r="E93" i="254"/>
  <c r="A95" i="254"/>
  <c r="N96" i="254"/>
  <c r="N98" i="254"/>
  <c r="J101" i="254"/>
  <c r="O104" i="254"/>
  <c r="C108" i="254"/>
  <c r="H111" i="254"/>
  <c r="O114" i="254"/>
  <c r="C118" i="254"/>
  <c r="C122" i="254"/>
  <c r="E126" i="254"/>
  <c r="D130" i="254"/>
  <c r="C134" i="254"/>
  <c r="N138" i="254"/>
  <c r="O143" i="254"/>
  <c r="O148" i="254"/>
  <c r="F154" i="254"/>
  <c r="Q162" i="254"/>
  <c r="H176" i="254"/>
  <c r="D190" i="254"/>
  <c r="L3" i="254"/>
  <c r="D4" i="254"/>
  <c r="M4" i="254"/>
  <c r="D5" i="254"/>
  <c r="M5" i="254"/>
  <c r="D6" i="254"/>
  <c r="M6" i="254"/>
  <c r="D7" i="254"/>
  <c r="M7" i="254"/>
  <c r="D8" i="254"/>
  <c r="L8" i="254"/>
  <c r="C9" i="254"/>
  <c r="K9" i="254"/>
  <c r="B10" i="254"/>
  <c r="J10" i="254"/>
  <c r="A11" i="254"/>
  <c r="I11" i="254"/>
  <c r="Q11" i="254"/>
  <c r="H12" i="254"/>
  <c r="P12" i="254"/>
  <c r="G13" i="254"/>
  <c r="O13" i="254"/>
  <c r="F14" i="254"/>
  <c r="N14" i="254"/>
  <c r="E15" i="254"/>
  <c r="M15" i="254"/>
  <c r="D16" i="254"/>
  <c r="L16" i="254"/>
  <c r="C17" i="254"/>
  <c r="K17" i="254"/>
  <c r="B18" i="254"/>
  <c r="J18" i="254"/>
  <c r="A19" i="254"/>
  <c r="I19" i="254"/>
  <c r="Q19" i="254"/>
  <c r="H20" i="254"/>
  <c r="P20" i="254"/>
  <c r="G21" i="254"/>
  <c r="O21" i="254"/>
  <c r="F22" i="254"/>
  <c r="N22" i="254"/>
  <c r="F23" i="254"/>
  <c r="O23" i="254"/>
  <c r="G24" i="254"/>
  <c r="P24" i="254"/>
  <c r="H25" i="254"/>
  <c r="Q25" i="254"/>
  <c r="K26" i="254"/>
  <c r="D27" i="254"/>
  <c r="P27" i="254"/>
  <c r="M28" i="254"/>
  <c r="L29" i="254"/>
  <c r="H30" i="254"/>
  <c r="G31" i="254"/>
  <c r="H32" i="254"/>
  <c r="I33" i="254"/>
  <c r="K34" i="254"/>
  <c r="L35" i="254"/>
  <c r="M36" i="254"/>
  <c r="O37" i="254"/>
  <c r="P38" i="254"/>
  <c r="Q39" i="254"/>
  <c r="A41" i="254"/>
  <c r="C42" i="254"/>
  <c r="D43" i="254"/>
  <c r="E44" i="254"/>
  <c r="G45" i="254"/>
  <c r="H46" i="254"/>
  <c r="I47" i="254"/>
  <c r="J48" i="254"/>
  <c r="L49" i="254"/>
  <c r="M50" i="254"/>
  <c r="N51" i="254"/>
  <c r="P52" i="254"/>
  <c r="Q53" i="254"/>
  <c r="A55" i="254"/>
  <c r="B56" i="254"/>
  <c r="D57" i="254"/>
  <c r="E58" i="254"/>
  <c r="F59" i="254"/>
  <c r="H60" i="254"/>
  <c r="I61" i="254"/>
  <c r="J62" i="254"/>
  <c r="K63" i="254"/>
  <c r="M64" i="254"/>
  <c r="N65" i="254"/>
  <c r="O66" i="254"/>
  <c r="Q67" i="254"/>
  <c r="A69" i="254"/>
  <c r="B70" i="254"/>
  <c r="C71" i="254"/>
  <c r="E72" i="254"/>
  <c r="F73" i="254"/>
  <c r="G74" i="254"/>
  <c r="I75" i="254"/>
  <c r="J76" i="254"/>
  <c r="K77" i="254"/>
  <c r="L78" i="254"/>
  <c r="N79" i="254"/>
  <c r="O80" i="254"/>
  <c r="P81" i="254"/>
  <c r="A83" i="254"/>
  <c r="B84" i="254"/>
  <c r="C85" i="254"/>
  <c r="H86" i="254"/>
  <c r="K87" i="254"/>
  <c r="P88" i="254"/>
  <c r="E90" i="254"/>
  <c r="N91" i="254"/>
  <c r="G93" i="254"/>
  <c r="B95" i="254"/>
  <c r="O96" i="254"/>
  <c r="O98" i="254"/>
  <c r="L101" i="254"/>
  <c r="P104" i="254"/>
  <c r="D108" i="254"/>
  <c r="J111" i="254"/>
  <c r="Q114" i="254"/>
  <c r="E118" i="254"/>
  <c r="E122" i="254"/>
  <c r="G126" i="254"/>
  <c r="E130" i="254"/>
  <c r="H134" i="254"/>
  <c r="O138" i="254"/>
  <c r="P143" i="254"/>
  <c r="Q148" i="254"/>
  <c r="G154" i="254"/>
  <c r="D163" i="254"/>
  <c r="I176" i="254"/>
  <c r="Q200" i="254"/>
  <c r="I200" i="254"/>
  <c r="A200" i="254"/>
  <c r="J199" i="254"/>
  <c r="B199" i="254"/>
  <c r="O200" i="254"/>
  <c r="N200" i="254"/>
  <c r="F200" i="254"/>
  <c r="O199" i="254"/>
  <c r="G199" i="254"/>
  <c r="P198" i="254"/>
  <c r="H198" i="254"/>
  <c r="Q197" i="254"/>
  <c r="I197" i="254"/>
  <c r="A197" i="254"/>
  <c r="J196" i="254"/>
  <c r="B196" i="254"/>
  <c r="K195" i="254"/>
  <c r="C195" i="254"/>
  <c r="L194" i="254"/>
  <c r="D194" i="254"/>
  <c r="M193" i="254"/>
  <c r="E193" i="254"/>
  <c r="N192" i="254"/>
  <c r="F192" i="254"/>
  <c r="O191" i="254"/>
  <c r="G191" i="254"/>
  <c r="P190" i="254"/>
  <c r="H190" i="254"/>
  <c r="Q189" i="254"/>
  <c r="I189" i="254"/>
  <c r="A189" i="254"/>
  <c r="J188" i="254"/>
  <c r="B188" i="254"/>
  <c r="K187" i="254"/>
  <c r="C187" i="254"/>
  <c r="L186" i="254"/>
  <c r="D186" i="254"/>
  <c r="M185" i="254"/>
  <c r="E185" i="254"/>
  <c r="N184" i="254"/>
  <c r="F184" i="254"/>
  <c r="O183" i="254"/>
  <c r="G183" i="254"/>
  <c r="P182" i="254"/>
  <c r="H182" i="254"/>
  <c r="Q181" i="254"/>
  <c r="I181" i="254"/>
  <c r="A181" i="254"/>
  <c r="J180" i="254"/>
  <c r="B180" i="254"/>
  <c r="K179" i="254"/>
  <c r="C179" i="254"/>
  <c r="L178" i="254"/>
  <c r="D178" i="254"/>
  <c r="M177" i="254"/>
  <c r="E177" i="254"/>
  <c r="N176" i="254"/>
  <c r="F176" i="254"/>
  <c r="O175" i="254"/>
  <c r="G175" i="254"/>
  <c r="P174" i="254"/>
  <c r="H174" i="254"/>
  <c r="Q173" i="254"/>
  <c r="I173" i="254"/>
  <c r="A173" i="254"/>
  <c r="J172" i="254"/>
  <c r="B172" i="254"/>
  <c r="K171" i="254"/>
  <c r="C171" i="254"/>
  <c r="L170" i="254"/>
  <c r="D170" i="254"/>
  <c r="M169" i="254"/>
  <c r="E169" i="254"/>
  <c r="N168" i="254"/>
  <c r="F168" i="254"/>
  <c r="O167" i="254"/>
  <c r="G167" i="254"/>
  <c r="P166" i="254"/>
  <c r="H166" i="254"/>
  <c r="Q165" i="254"/>
  <c r="I165" i="254"/>
  <c r="A165" i="254"/>
  <c r="J164" i="254"/>
  <c r="B164" i="254"/>
  <c r="K163" i="254"/>
  <c r="C163" i="254"/>
  <c r="L162" i="254"/>
  <c r="D162" i="254"/>
  <c r="M161" i="254"/>
  <c r="E161" i="254"/>
  <c r="M200" i="254"/>
  <c r="E200" i="254"/>
  <c r="N199" i="254"/>
  <c r="F199" i="254"/>
  <c r="L200" i="254"/>
  <c r="D200" i="254"/>
  <c r="M199" i="254"/>
  <c r="E199" i="254"/>
  <c r="N198" i="254"/>
  <c r="F198" i="254"/>
  <c r="O197" i="254"/>
  <c r="G197" i="254"/>
  <c r="P196" i="254"/>
  <c r="H196" i="254"/>
  <c r="Q195" i="254"/>
  <c r="I195" i="254"/>
  <c r="A195" i="254"/>
  <c r="J194" i="254"/>
  <c r="B194" i="254"/>
  <c r="K193" i="254"/>
  <c r="C193" i="254"/>
  <c r="L192" i="254"/>
  <c r="D192" i="254"/>
  <c r="M191" i="254"/>
  <c r="E191" i="254"/>
  <c r="N190" i="254"/>
  <c r="F190" i="254"/>
  <c r="O189" i="254"/>
  <c r="G189" i="254"/>
  <c r="P188" i="254"/>
  <c r="H188" i="254"/>
  <c r="Q187" i="254"/>
  <c r="I187" i="254"/>
  <c r="A187" i="254"/>
  <c r="J186" i="254"/>
  <c r="B186" i="254"/>
  <c r="K185" i="254"/>
  <c r="C185" i="254"/>
  <c r="L184" i="254"/>
  <c r="D184" i="254"/>
  <c r="M183" i="254"/>
  <c r="E183" i="254"/>
  <c r="N182" i="254"/>
  <c r="F182" i="254"/>
  <c r="O181" i="254"/>
  <c r="G181" i="254"/>
  <c r="P180" i="254"/>
  <c r="H180" i="254"/>
  <c r="Q179" i="254"/>
  <c r="I179" i="254"/>
  <c r="A179" i="254"/>
  <c r="J178" i="254"/>
  <c r="B178" i="254"/>
  <c r="K177" i="254"/>
  <c r="C177" i="254"/>
  <c r="L176" i="254"/>
  <c r="D176" i="254"/>
  <c r="M175" i="254"/>
  <c r="E175" i="254"/>
  <c r="N174" i="254"/>
  <c r="F174" i="254"/>
  <c r="O173" i="254"/>
  <c r="G173" i="254"/>
  <c r="P172" i="254"/>
  <c r="H172" i="254"/>
  <c r="Q171" i="254"/>
  <c r="I171" i="254"/>
  <c r="A171" i="254"/>
  <c r="J170" i="254"/>
  <c r="B170" i="254"/>
  <c r="K169" i="254"/>
  <c r="C169" i="254"/>
  <c r="L168" i="254"/>
  <c r="D168" i="254"/>
  <c r="M167" i="254"/>
  <c r="E167" i="254"/>
  <c r="N166" i="254"/>
  <c r="F166" i="254"/>
  <c r="O165" i="254"/>
  <c r="G165" i="254"/>
  <c r="P164" i="254"/>
  <c r="H164" i="254"/>
  <c r="Q163" i="254"/>
  <c r="I163" i="254"/>
  <c r="A163" i="254"/>
  <c r="J162" i="254"/>
  <c r="B162" i="254"/>
  <c r="K161" i="254"/>
  <c r="C161" i="254"/>
  <c r="P200" i="254"/>
  <c r="P199" i="254"/>
  <c r="Q198" i="254"/>
  <c r="E198" i="254"/>
  <c r="L197" i="254"/>
  <c r="B197" i="254"/>
  <c r="G196" i="254"/>
  <c r="N195" i="254"/>
  <c r="D195" i="254"/>
  <c r="I194" i="254"/>
  <c r="P193" i="254"/>
  <c r="F193" i="254"/>
  <c r="K192" i="254"/>
  <c r="A192" i="254"/>
  <c r="H191" i="254"/>
  <c r="M190" i="254"/>
  <c r="C190" i="254"/>
  <c r="J189" i="254"/>
  <c r="K200" i="254"/>
  <c r="L199" i="254"/>
  <c r="O198" i="254"/>
  <c r="D198" i="254"/>
  <c r="K197" i="254"/>
  <c r="Q196" i="254"/>
  <c r="F196" i="254"/>
  <c r="M195" i="254"/>
  <c r="B195" i="254"/>
  <c r="H194" i="254"/>
  <c r="O193" i="254"/>
  <c r="D193" i="254"/>
  <c r="J192" i="254"/>
  <c r="Q191" i="254"/>
  <c r="F191" i="254"/>
  <c r="L190" i="254"/>
  <c r="B190" i="254"/>
  <c r="H189" i="254"/>
  <c r="N188" i="254"/>
  <c r="D188" i="254"/>
  <c r="J187" i="254"/>
  <c r="P186" i="254"/>
  <c r="F186" i="254"/>
  <c r="L185" i="254"/>
  <c r="A185" i="254"/>
  <c r="H184" i="254"/>
  <c r="N183" i="254"/>
  <c r="C183" i="254"/>
  <c r="J182" i="254"/>
  <c r="P181" i="254"/>
  <c r="E181" i="254"/>
  <c r="L180" i="254"/>
  <c r="A180" i="254"/>
  <c r="G179" i="254"/>
  <c r="N178" i="254"/>
  <c r="C178" i="254"/>
  <c r="I177" i="254"/>
  <c r="P176" i="254"/>
  <c r="E176" i="254"/>
  <c r="K175" i="254"/>
  <c r="A175" i="254"/>
  <c r="G174" i="254"/>
  <c r="M173" i="254"/>
  <c r="C173" i="254"/>
  <c r="I172" i="254"/>
  <c r="O171" i="254"/>
  <c r="E171" i="254"/>
  <c r="K170" i="254"/>
  <c r="Q169" i="254"/>
  <c r="G169" i="254"/>
  <c r="M168" i="254"/>
  <c r="B168" i="254"/>
  <c r="I167" i="254"/>
  <c r="O166" i="254"/>
  <c r="D166" i="254"/>
  <c r="K165" i="254"/>
  <c r="Q164" i="254"/>
  <c r="F164" i="254"/>
  <c r="M163" i="254"/>
  <c r="B163" i="254"/>
  <c r="H162" i="254"/>
  <c r="O161" i="254"/>
  <c r="D161" i="254"/>
  <c r="L160" i="254"/>
  <c r="D160" i="254"/>
  <c r="M159" i="254"/>
  <c r="E159" i="254"/>
  <c r="N158" i="254"/>
  <c r="F158" i="254"/>
  <c r="O157" i="254"/>
  <c r="G157" i="254"/>
  <c r="P156" i="254"/>
  <c r="H156" i="254"/>
  <c r="Q155" i="254"/>
  <c r="I155" i="254"/>
  <c r="A155" i="254"/>
  <c r="J154" i="254"/>
  <c r="B154" i="254"/>
  <c r="K153" i="254"/>
  <c r="C153" i="254"/>
  <c r="L152" i="254"/>
  <c r="D152" i="254"/>
  <c r="M151" i="254"/>
  <c r="E151" i="254"/>
  <c r="N150" i="254"/>
  <c r="J200" i="254"/>
  <c r="K199" i="254"/>
  <c r="M198" i="254"/>
  <c r="C198" i="254"/>
  <c r="J197" i="254"/>
  <c r="O196" i="254"/>
  <c r="E196" i="254"/>
  <c r="L195" i="254"/>
  <c r="Q194" i="254"/>
  <c r="G194" i="254"/>
  <c r="N193" i="254"/>
  <c r="B193" i="254"/>
  <c r="I192" i="254"/>
  <c r="P191" i="254"/>
  <c r="D191" i="254"/>
  <c r="K190" i="254"/>
  <c r="A190" i="254"/>
  <c r="F189" i="254"/>
  <c r="H200" i="254"/>
  <c r="I199" i="254"/>
  <c r="L198" i="254"/>
  <c r="B198" i="254"/>
  <c r="H197" i="254"/>
  <c r="N196" i="254"/>
  <c r="D196" i="254"/>
  <c r="J195" i="254"/>
  <c r="P194" i="254"/>
  <c r="F194" i="254"/>
  <c r="L193" i="254"/>
  <c r="A193" i="254"/>
  <c r="H192" i="254"/>
  <c r="N191" i="254"/>
  <c r="C191" i="254"/>
  <c r="J190" i="254"/>
  <c r="P189" i="254"/>
  <c r="E189" i="254"/>
  <c r="L188" i="254"/>
  <c r="A188" i="254"/>
  <c r="G187" i="254"/>
  <c r="N186" i="254"/>
  <c r="C186" i="254"/>
  <c r="I185" i="254"/>
  <c r="P184" i="254"/>
  <c r="E184" i="254"/>
  <c r="K183" i="254"/>
  <c r="A183" i="254"/>
  <c r="G182" i="254"/>
  <c r="M181" i="254"/>
  <c r="C181" i="254"/>
  <c r="I180" i="254"/>
  <c r="O179" i="254"/>
  <c r="E179" i="254"/>
  <c r="K178" i="254"/>
  <c r="Q177" i="254"/>
  <c r="G177" i="254"/>
  <c r="M176" i="254"/>
  <c r="B176" i="254"/>
  <c r="I175" i="254"/>
  <c r="O174" i="254"/>
  <c r="D174" i="254"/>
  <c r="K173" i="254"/>
  <c r="Q172" i="254"/>
  <c r="F172" i="254"/>
  <c r="M171" i="254"/>
  <c r="B171" i="254"/>
  <c r="H170" i="254"/>
  <c r="O169" i="254"/>
  <c r="D169" i="254"/>
  <c r="J168" i="254"/>
  <c r="Q167" i="254"/>
  <c r="F167" i="254"/>
  <c r="L166" i="254"/>
  <c r="B166" i="254"/>
  <c r="H165" i="254"/>
  <c r="N164" i="254"/>
  <c r="D164" i="254"/>
  <c r="J163" i="254"/>
  <c r="P162" i="254"/>
  <c r="F162" i="254"/>
  <c r="L161" i="254"/>
  <c r="A161" i="254"/>
  <c r="J160" i="254"/>
  <c r="B160" i="254"/>
  <c r="K159" i="254"/>
  <c r="C159" i="254"/>
  <c r="L158" i="254"/>
  <c r="D158" i="254"/>
  <c r="M157" i="254"/>
  <c r="E157" i="254"/>
  <c r="G200" i="254"/>
  <c r="K198" i="254"/>
  <c r="F197" i="254"/>
  <c r="C196" i="254"/>
  <c r="O194" i="254"/>
  <c r="J193" i="254"/>
  <c r="G192" i="254"/>
  <c r="B191" i="254"/>
  <c r="N189" i="254"/>
  <c r="O188" i="254"/>
  <c r="P187" i="254"/>
  <c r="D187" i="254"/>
  <c r="G186" i="254"/>
  <c r="H185" i="254"/>
  <c r="K184" i="254"/>
  <c r="P183" i="254"/>
  <c r="Q182" i="254"/>
  <c r="C182" i="254"/>
  <c r="F181" i="254"/>
  <c r="G180" i="254"/>
  <c r="L179" i="254"/>
  <c r="O178" i="254"/>
  <c r="P177" i="254"/>
  <c r="B177" i="254"/>
  <c r="G176" i="254"/>
  <c r="H175" i="254"/>
  <c r="K174" i="254"/>
  <c r="N173" i="254"/>
  <c r="O172" i="254"/>
  <c r="C172" i="254"/>
  <c r="F171" i="254"/>
  <c r="G170" i="254"/>
  <c r="J169" i="254"/>
  <c r="O168" i="254"/>
  <c r="P167" i="254"/>
  <c r="B167" i="254"/>
  <c r="E166" i="254"/>
  <c r="F165" i="254"/>
  <c r="K164" i="254"/>
  <c r="N163" i="254"/>
  <c r="O162" i="254"/>
  <c r="A162" i="254"/>
  <c r="F161" i="254"/>
  <c r="I160" i="254"/>
  <c r="P159" i="254"/>
  <c r="F159" i="254"/>
  <c r="K158" i="254"/>
  <c r="A158" i="254"/>
  <c r="H157" i="254"/>
  <c r="C200" i="254"/>
  <c r="J198" i="254"/>
  <c r="E197" i="254"/>
  <c r="A196" i="254"/>
  <c r="N194" i="254"/>
  <c r="I193" i="254"/>
  <c r="E192" i="254"/>
  <c r="A191" i="254"/>
  <c r="M189" i="254"/>
  <c r="M188" i="254"/>
  <c r="O187" i="254"/>
  <c r="B187" i="254"/>
  <c r="E186" i="254"/>
  <c r="G185" i="254"/>
  <c r="J184" i="254"/>
  <c r="L183" i="254"/>
  <c r="O182" i="254"/>
  <c r="B182" i="254"/>
  <c r="D181" i="254"/>
  <c r="F180" i="254"/>
  <c r="J179" i="254"/>
  <c r="M178" i="254"/>
  <c r="O177" i="254"/>
  <c r="A177" i="254"/>
  <c r="C176" i="254"/>
  <c r="F175" i="254"/>
  <c r="J174" i="254"/>
  <c r="L173" i="254"/>
  <c r="N172" i="254"/>
  <c r="A172" i="254"/>
  <c r="D171" i="254"/>
  <c r="F170" i="254"/>
  <c r="I169" i="254"/>
  <c r="K168" i="254"/>
  <c r="N167" i="254"/>
  <c r="A167" i="254"/>
  <c r="C166" i="254"/>
  <c r="E165" i="254"/>
  <c r="I164" i="254"/>
  <c r="L163" i="254"/>
  <c r="N162" i="254"/>
  <c r="Q161" i="254"/>
  <c r="B161" i="254"/>
  <c r="H160" i="254"/>
  <c r="O159" i="254"/>
  <c r="D159" i="254"/>
  <c r="J158" i="254"/>
  <c r="Q157" i="254"/>
  <c r="F157" i="254"/>
  <c r="M156" i="254"/>
  <c r="D156" i="254"/>
  <c r="L155" i="254"/>
  <c r="C155" i="254"/>
  <c r="K154" i="254"/>
  <c r="A154" i="254"/>
  <c r="I153" i="254"/>
  <c r="Q152" i="254"/>
  <c r="H152" i="254"/>
  <c r="P151" i="254"/>
  <c r="G151" i="254"/>
  <c r="O150" i="254"/>
  <c r="F150" i="254"/>
  <c r="O149" i="254"/>
  <c r="G149" i="254"/>
  <c r="P148" i="254"/>
  <c r="H148" i="254"/>
  <c r="Q147" i="254"/>
  <c r="I147" i="254"/>
  <c r="A147" i="254"/>
  <c r="J146" i="254"/>
  <c r="B146" i="254"/>
  <c r="K145" i="254"/>
  <c r="C145" i="254"/>
  <c r="L144" i="254"/>
  <c r="D144" i="254"/>
  <c r="M143" i="254"/>
  <c r="E143" i="254"/>
  <c r="N142" i="254"/>
  <c r="F142" i="254"/>
  <c r="O141" i="254"/>
  <c r="G141" i="254"/>
  <c r="P140" i="254"/>
  <c r="H140" i="254"/>
  <c r="Q139" i="254"/>
  <c r="I139" i="254"/>
  <c r="A139" i="254"/>
  <c r="J138" i="254"/>
  <c r="B138" i="254"/>
  <c r="K137" i="254"/>
  <c r="C137" i="254"/>
  <c r="L136" i="254"/>
  <c r="D136" i="254"/>
  <c r="M135" i="254"/>
  <c r="E135" i="254"/>
  <c r="N134" i="254"/>
  <c r="F134" i="254"/>
  <c r="O133" i="254"/>
  <c r="G133" i="254"/>
  <c r="P132" i="254"/>
  <c r="H132" i="254"/>
  <c r="Q131" i="254"/>
  <c r="I131" i="254"/>
  <c r="A131" i="254"/>
  <c r="J130" i="254"/>
  <c r="B130" i="254"/>
  <c r="K129" i="254"/>
  <c r="C129" i="254"/>
  <c r="L128" i="254"/>
  <c r="D128" i="254"/>
  <c r="M127" i="254"/>
  <c r="E127" i="254"/>
  <c r="N126" i="254"/>
  <c r="F126" i="254"/>
  <c r="O125" i="254"/>
  <c r="G125" i="254"/>
  <c r="P124" i="254"/>
  <c r="H124" i="254"/>
  <c r="Q123" i="254"/>
  <c r="I123" i="254"/>
  <c r="A123" i="254"/>
  <c r="J122" i="254"/>
  <c r="B122" i="254"/>
  <c r="K121" i="254"/>
  <c r="C121" i="254"/>
  <c r="L120" i="254"/>
  <c r="D120" i="254"/>
  <c r="M119" i="254"/>
  <c r="E119" i="254"/>
  <c r="N118" i="254"/>
  <c r="F118" i="254"/>
  <c r="O117" i="254"/>
  <c r="G117" i="254"/>
  <c r="P116" i="254"/>
  <c r="H116" i="254"/>
  <c r="Q115" i="254"/>
  <c r="I115" i="254"/>
  <c r="A115" i="254"/>
  <c r="J114" i="254"/>
  <c r="B114" i="254"/>
  <c r="K113" i="254"/>
  <c r="C113" i="254"/>
  <c r="L112" i="254"/>
  <c r="D112" i="254"/>
  <c r="M111" i="254"/>
  <c r="E111" i="254"/>
  <c r="N110" i="254"/>
  <c r="F110" i="254"/>
  <c r="O109" i="254"/>
  <c r="G109" i="254"/>
  <c r="P108" i="254"/>
  <c r="H108" i="254"/>
  <c r="Q107" i="254"/>
  <c r="I107" i="254"/>
  <c r="A107" i="254"/>
  <c r="J106" i="254"/>
  <c r="B106" i="254"/>
  <c r="K105" i="254"/>
  <c r="C105" i="254"/>
  <c r="L104" i="254"/>
  <c r="D104" i="254"/>
  <c r="M103" i="254"/>
  <c r="E103" i="254"/>
  <c r="N102" i="254"/>
  <c r="B200" i="254"/>
  <c r="I198" i="254"/>
  <c r="D197" i="254"/>
  <c r="P195" i="254"/>
  <c r="M194" i="254"/>
  <c r="H193" i="254"/>
  <c r="C192" i="254"/>
  <c r="Q190" i="254"/>
  <c r="L189" i="254"/>
  <c r="K188" i="254"/>
  <c r="N187" i="254"/>
  <c r="Q186" i="254"/>
  <c r="A186" i="254"/>
  <c r="F185" i="254"/>
  <c r="I184" i="254"/>
  <c r="J183" i="254"/>
  <c r="M182" i="254"/>
  <c r="A182" i="254"/>
  <c r="B181" i="254"/>
  <c r="E180" i="254"/>
  <c r="H179" i="254"/>
  <c r="I178" i="254"/>
  <c r="N177" i="254"/>
  <c r="Q176" i="254"/>
  <c r="A176" i="254"/>
  <c r="D175" i="254"/>
  <c r="I174" i="254"/>
  <c r="J173" i="254"/>
  <c r="M172" i="254"/>
  <c r="P171" i="254"/>
  <c r="Q170" i="254"/>
  <c r="E170" i="254"/>
  <c r="H169" i="254"/>
  <c r="I168" i="254"/>
  <c r="L167" i="254"/>
  <c r="Q166" i="254"/>
  <c r="A166" i="254"/>
  <c r="D165" i="254"/>
  <c r="G164" i="254"/>
  <c r="H163" i="254"/>
  <c r="M162" i="254"/>
  <c r="P161" i="254"/>
  <c r="Q160" i="254"/>
  <c r="G160" i="254"/>
  <c r="N159" i="254"/>
  <c r="B159" i="254"/>
  <c r="I158" i="254"/>
  <c r="P157" i="254"/>
  <c r="D157" i="254"/>
  <c r="Q199" i="254"/>
  <c r="G198" i="254"/>
  <c r="C197" i="254"/>
  <c r="O195" i="254"/>
  <c r="K194" i="254"/>
  <c r="G193" i="254"/>
  <c r="B192" i="254"/>
  <c r="O190" i="254"/>
  <c r="K189" i="254"/>
  <c r="I188" i="254"/>
  <c r="M187" i="254"/>
  <c r="O186" i="254"/>
  <c r="Q185" i="254"/>
  <c r="D185" i="254"/>
  <c r="G184" i="254"/>
  <c r="I183" i="254"/>
  <c r="L182" i="254"/>
  <c r="N181" i="254"/>
  <c r="Q180" i="254"/>
  <c r="D180" i="254"/>
  <c r="F179" i="254"/>
  <c r="H178" i="254"/>
  <c r="L177" i="254"/>
  <c r="O176" i="254"/>
  <c r="Q175" i="254"/>
  <c r="C175" i="254"/>
  <c r="E174" i="254"/>
  <c r="H173" i="254"/>
  <c r="L172" i="254"/>
  <c r="N171" i="254"/>
  <c r="P170" i="254"/>
  <c r="C170" i="254"/>
  <c r="F169" i="254"/>
  <c r="H168" i="254"/>
  <c r="K167" i="254"/>
  <c r="M166" i="254"/>
  <c r="P165" i="254"/>
  <c r="C165" i="254"/>
  <c r="E164" i="254"/>
  <c r="G163" i="254"/>
  <c r="K162" i="254"/>
  <c r="N161" i="254"/>
  <c r="P160" i="254"/>
  <c r="F160" i="254"/>
  <c r="L159" i="254"/>
  <c r="A159" i="254"/>
  <c r="H158" i="254"/>
  <c r="N157" i="254"/>
  <c r="C157" i="254"/>
  <c r="K156" i="254"/>
  <c r="B156" i="254"/>
  <c r="J155" i="254"/>
  <c r="Q154" i="254"/>
  <c r="H154" i="254"/>
  <c r="P153" i="254"/>
  <c r="G153" i="254"/>
  <c r="O152" i="254"/>
  <c r="F152" i="254"/>
  <c r="N151" i="254"/>
  <c r="D151" i="254"/>
  <c r="L150" i="254"/>
  <c r="D150" i="254"/>
  <c r="M149" i="254"/>
  <c r="E149" i="254"/>
  <c r="N148" i="254"/>
  <c r="F148" i="254"/>
  <c r="O147" i="254"/>
  <c r="G147" i="254"/>
  <c r="P146" i="254"/>
  <c r="H146" i="254"/>
  <c r="Q145" i="254"/>
  <c r="I145" i="254"/>
  <c r="A145" i="254"/>
  <c r="J144" i="254"/>
  <c r="B144" i="254"/>
  <c r="K143" i="254"/>
  <c r="C143" i="254"/>
  <c r="L142" i="254"/>
  <c r="D142" i="254"/>
  <c r="M141" i="254"/>
  <c r="E141" i="254"/>
  <c r="N140" i="254"/>
  <c r="F140" i="254"/>
  <c r="O139" i="254"/>
  <c r="G139" i="254"/>
  <c r="P138" i="254"/>
  <c r="H138" i="254"/>
  <c r="Q137" i="254"/>
  <c r="I137" i="254"/>
  <c r="A137" i="254"/>
  <c r="J136" i="254"/>
  <c r="B136" i="254"/>
  <c r="K135" i="254"/>
  <c r="C135" i="254"/>
  <c r="L134" i="254"/>
  <c r="D134" i="254"/>
  <c r="M133" i="254"/>
  <c r="E133" i="254"/>
  <c r="N132" i="254"/>
  <c r="F132" i="254"/>
  <c r="O131" i="254"/>
  <c r="G131" i="254"/>
  <c r="P130" i="254"/>
  <c r="H130" i="254"/>
  <c r="Q129" i="254"/>
  <c r="I129" i="254"/>
  <c r="A129" i="254"/>
  <c r="J128" i="254"/>
  <c r="B128" i="254"/>
  <c r="K127" i="254"/>
  <c r="C127" i="254"/>
  <c r="L126" i="254"/>
  <c r="D126" i="254"/>
  <c r="M125" i="254"/>
  <c r="E125" i="254"/>
  <c r="N124" i="254"/>
  <c r="F124" i="254"/>
  <c r="O123" i="254"/>
  <c r="G123" i="254"/>
  <c r="P122" i="254"/>
  <c r="H122" i="254"/>
  <c r="Q121" i="254"/>
  <c r="I121" i="254"/>
  <c r="A121" i="254"/>
  <c r="J120" i="254"/>
  <c r="B120" i="254"/>
  <c r="K119" i="254"/>
  <c r="C119" i="254"/>
  <c r="L118" i="254"/>
  <c r="D118" i="254"/>
  <c r="M117" i="254"/>
  <c r="E117" i="254"/>
  <c r="N116" i="254"/>
  <c r="F116" i="254"/>
  <c r="O115" i="254"/>
  <c r="G115" i="254"/>
  <c r="P114" i="254"/>
  <c r="H114" i="254"/>
  <c r="Q113" i="254"/>
  <c r="I113" i="254"/>
  <c r="A113" i="254"/>
  <c r="J112" i="254"/>
  <c r="B112" i="254"/>
  <c r="K111" i="254"/>
  <c r="C111" i="254"/>
  <c r="L110" i="254"/>
  <c r="D110" i="254"/>
  <c r="M109" i="254"/>
  <c r="E109" i="254"/>
  <c r="N108" i="254"/>
  <c r="F108" i="254"/>
  <c r="O107" i="254"/>
  <c r="G107" i="254"/>
  <c r="P106" i="254"/>
  <c r="H106" i="254"/>
  <c r="Q105" i="254"/>
  <c r="I105" i="254"/>
  <c r="A105" i="254"/>
  <c r="J104" i="254"/>
  <c r="B104" i="254"/>
  <c r="K103" i="254"/>
  <c r="C103" i="254"/>
  <c r="L102" i="254"/>
  <c r="D102" i="254"/>
  <c r="M101" i="254"/>
  <c r="E101" i="254"/>
  <c r="N100" i="254"/>
  <c r="F100" i="254"/>
  <c r="O99" i="254"/>
  <c r="G99" i="254"/>
  <c r="H199" i="254"/>
  <c r="M196" i="254"/>
  <c r="E194" i="254"/>
  <c r="L191" i="254"/>
  <c r="D189" i="254"/>
  <c r="L187" i="254"/>
  <c r="P185" i="254"/>
  <c r="C184" i="254"/>
  <c r="K182" i="254"/>
  <c r="O180" i="254"/>
  <c r="D179" i="254"/>
  <c r="J177" i="254"/>
  <c r="P175" i="254"/>
  <c r="C174" i="254"/>
  <c r="K172" i="254"/>
  <c r="O170" i="254"/>
  <c r="B169" i="254"/>
  <c r="J167" i="254"/>
  <c r="N165" i="254"/>
  <c r="C164" i="254"/>
  <c r="I162" i="254"/>
  <c r="O160" i="254"/>
  <c r="J159" i="254"/>
  <c r="G158" i="254"/>
  <c r="B157" i="254"/>
  <c r="G156" i="254"/>
  <c r="M155" i="254"/>
  <c r="P154" i="254"/>
  <c r="E154" i="254"/>
  <c r="J153" i="254"/>
  <c r="N152" i="254"/>
  <c r="B152" i="254"/>
  <c r="H151" i="254"/>
  <c r="K150" i="254"/>
  <c r="A150" i="254"/>
  <c r="H149" i="254"/>
  <c r="M148" i="254"/>
  <c r="C148" i="254"/>
  <c r="J147" i="254"/>
  <c r="O146" i="254"/>
  <c r="E146" i="254"/>
  <c r="L145" i="254"/>
  <c r="Q144" i="254"/>
  <c r="G144" i="254"/>
  <c r="N143" i="254"/>
  <c r="B143" i="254"/>
  <c r="I142" i="254"/>
  <c r="P141" i="254"/>
  <c r="D141" i="254"/>
  <c r="K140" i="254"/>
  <c r="A140" i="254"/>
  <c r="F139" i="254"/>
  <c r="M138" i="254"/>
  <c r="C138" i="254"/>
  <c r="H137" i="254"/>
  <c r="O136" i="254"/>
  <c r="E136" i="254"/>
  <c r="J135" i="254"/>
  <c r="Q134" i="254"/>
  <c r="G134" i="254"/>
  <c r="L133" i="254"/>
  <c r="B133" i="254"/>
  <c r="I132" i="254"/>
  <c r="N131" i="254"/>
  <c r="D131" i="254"/>
  <c r="K130" i="254"/>
  <c r="P129" i="254"/>
  <c r="F129" i="254"/>
  <c r="M128" i="254"/>
  <c r="A128" i="254"/>
  <c r="H127" i="254"/>
  <c r="O126" i="254"/>
  <c r="C126" i="254"/>
  <c r="J125" i="254"/>
  <c r="Q124" i="254"/>
  <c r="E124" i="254"/>
  <c r="L123" i="254"/>
  <c r="B123" i="254"/>
  <c r="G122" i="254"/>
  <c r="N121" i="254"/>
  <c r="D121" i="254"/>
  <c r="I120" i="254"/>
  <c r="P119" i="254"/>
  <c r="F119" i="254"/>
  <c r="K118" i="254"/>
  <c r="D199" i="254"/>
  <c r="L196" i="254"/>
  <c r="C194" i="254"/>
  <c r="K191" i="254"/>
  <c r="C189" i="254"/>
  <c r="H187" i="254"/>
  <c r="O185" i="254"/>
  <c r="B184" i="254"/>
  <c r="I182" i="254"/>
  <c r="N180" i="254"/>
  <c r="B179" i="254"/>
  <c r="H177" i="254"/>
  <c r="N175" i="254"/>
  <c r="B174" i="254"/>
  <c r="G172" i="254"/>
  <c r="N170" i="254"/>
  <c r="A169" i="254"/>
  <c r="H167" i="254"/>
  <c r="M165" i="254"/>
  <c r="A164" i="254"/>
  <c r="G162" i="254"/>
  <c r="N160" i="254"/>
  <c r="I159" i="254"/>
  <c r="E158" i="254"/>
  <c r="A157" i="254"/>
  <c r="F156" i="254"/>
  <c r="K155" i="254"/>
  <c r="O154" i="254"/>
  <c r="D154" i="254"/>
  <c r="H153" i="254"/>
  <c r="M152" i="254"/>
  <c r="A152" i="254"/>
  <c r="F151" i="254"/>
  <c r="J150" i="254"/>
  <c r="Q149" i="254"/>
  <c r="F149" i="254"/>
  <c r="L148" i="254"/>
  <c r="B148" i="254"/>
  <c r="H147" i="254"/>
  <c r="N146" i="254"/>
  <c r="D146" i="254"/>
  <c r="J145" i="254"/>
  <c r="P144" i="254"/>
  <c r="F144" i="254"/>
  <c r="L143" i="254"/>
  <c r="A143" i="254"/>
  <c r="H142" i="254"/>
  <c r="N141" i="254"/>
  <c r="C141" i="254"/>
  <c r="J140" i="254"/>
  <c r="P139" i="254"/>
  <c r="E139" i="254"/>
  <c r="L138" i="254"/>
  <c r="A138" i="254"/>
  <c r="G137" i="254"/>
  <c r="N136" i="254"/>
  <c r="C136" i="254"/>
  <c r="I135" i="254"/>
  <c r="P134" i="254"/>
  <c r="E134" i="254"/>
  <c r="K133" i="254"/>
  <c r="A133" i="254"/>
  <c r="G132" i="254"/>
  <c r="M131" i="254"/>
  <c r="C131" i="254"/>
  <c r="I130" i="254"/>
  <c r="O129" i="254"/>
  <c r="E129" i="254"/>
  <c r="K128" i="254"/>
  <c r="Q127" i="254"/>
  <c r="G127" i="254"/>
  <c r="M126" i="254"/>
  <c r="B126" i="254"/>
  <c r="I125" i="254"/>
  <c r="O124" i="254"/>
  <c r="D124" i="254"/>
  <c r="K123" i="254"/>
  <c r="Q122" i="254"/>
  <c r="F122" i="254"/>
  <c r="M121" i="254"/>
  <c r="B121" i="254"/>
  <c r="H120" i="254"/>
  <c r="O119" i="254"/>
  <c r="D119" i="254"/>
  <c r="J118" i="254"/>
  <c r="Q117" i="254"/>
  <c r="F117" i="254"/>
  <c r="L116" i="254"/>
  <c r="B116" i="254"/>
  <c r="H115" i="254"/>
  <c r="N114" i="254"/>
  <c r="D114" i="254"/>
  <c r="J113" i="254"/>
  <c r="P112" i="254"/>
  <c r="F112" i="254"/>
  <c r="L111" i="254"/>
  <c r="A111" i="254"/>
  <c r="H110" i="254"/>
  <c r="N109" i="254"/>
  <c r="C109" i="254"/>
  <c r="J108" i="254"/>
  <c r="P107" i="254"/>
  <c r="E107" i="254"/>
  <c r="L106" i="254"/>
  <c r="A106" i="254"/>
  <c r="G105" i="254"/>
  <c r="N104" i="254"/>
  <c r="C104" i="254"/>
  <c r="I103" i="254"/>
  <c r="P102" i="254"/>
  <c r="F102" i="254"/>
  <c r="N101" i="254"/>
  <c r="D101" i="254"/>
  <c r="L100" i="254"/>
  <c r="C100" i="254"/>
  <c r="K99" i="254"/>
  <c r="B99" i="254"/>
  <c r="K98" i="254"/>
  <c r="C98" i="254"/>
  <c r="L97" i="254"/>
  <c r="D97" i="254"/>
  <c r="M96" i="254"/>
  <c r="E96" i="254"/>
  <c r="N95" i="254"/>
  <c r="F95" i="254"/>
  <c r="O94" i="254"/>
  <c r="G94" i="254"/>
  <c r="P93" i="254"/>
  <c r="H93" i="254"/>
  <c r="Q92" i="254"/>
  <c r="I92" i="254"/>
  <c r="A92" i="254"/>
  <c r="J91" i="254"/>
  <c r="B91" i="254"/>
  <c r="K90" i="254"/>
  <c r="C90" i="254"/>
  <c r="L89" i="254"/>
  <c r="D89" i="254"/>
  <c r="M88" i="254"/>
  <c r="E88" i="254"/>
  <c r="N87" i="254"/>
  <c r="F87" i="254"/>
  <c r="O86" i="254"/>
  <c r="G86" i="254"/>
  <c r="P85" i="254"/>
  <c r="H85" i="254"/>
  <c r="C199" i="254"/>
  <c r="K196" i="254"/>
  <c r="A194" i="254"/>
  <c r="J191" i="254"/>
  <c r="B189" i="254"/>
  <c r="F187" i="254"/>
  <c r="N185" i="254"/>
  <c r="A184" i="254"/>
  <c r="E182" i="254"/>
  <c r="M180" i="254"/>
  <c r="Q178" i="254"/>
  <c r="F177" i="254"/>
  <c r="L175" i="254"/>
  <c r="A174" i="254"/>
  <c r="E172" i="254"/>
  <c r="M170" i="254"/>
  <c r="Q168" i="254"/>
  <c r="D167" i="254"/>
  <c r="L165" i="254"/>
  <c r="P163" i="254"/>
  <c r="E162" i="254"/>
  <c r="M160" i="254"/>
  <c r="H159" i="254"/>
  <c r="C158" i="254"/>
  <c r="Q156" i="254"/>
  <c r="E156" i="254"/>
  <c r="H155" i="254"/>
  <c r="N154" i="254"/>
  <c r="C154" i="254"/>
  <c r="F153" i="254"/>
  <c r="K152" i="254"/>
  <c r="Q151" i="254"/>
  <c r="C151" i="254"/>
  <c r="I150" i="254"/>
  <c r="P149" i="254"/>
  <c r="D149" i="254"/>
  <c r="K148" i="254"/>
  <c r="A148" i="254"/>
  <c r="F147" i="254"/>
  <c r="M146" i="254"/>
  <c r="C146" i="254"/>
  <c r="H145" i="254"/>
  <c r="O144" i="254"/>
  <c r="E144" i="254"/>
  <c r="J143" i="254"/>
  <c r="Q142" i="254"/>
  <c r="G142" i="254"/>
  <c r="L141" i="254"/>
  <c r="B141" i="254"/>
  <c r="I140" i="254"/>
  <c r="N139" i="254"/>
  <c r="D139" i="254"/>
  <c r="K138" i="254"/>
  <c r="P137" i="254"/>
  <c r="F137" i="254"/>
  <c r="M136" i="254"/>
  <c r="A199" i="254"/>
  <c r="I196" i="254"/>
  <c r="Q193" i="254"/>
  <c r="I191" i="254"/>
  <c r="Q188" i="254"/>
  <c r="E187" i="254"/>
  <c r="J185" i="254"/>
  <c r="Q183" i="254"/>
  <c r="D182" i="254"/>
  <c r="K180" i="254"/>
  <c r="P178" i="254"/>
  <c r="D177" i="254"/>
  <c r="J175" i="254"/>
  <c r="P173" i="254"/>
  <c r="D172" i="254"/>
  <c r="I170" i="254"/>
  <c r="P168" i="254"/>
  <c r="C167" i="254"/>
  <c r="J165" i="254"/>
  <c r="O163" i="254"/>
  <c r="C162" i="254"/>
  <c r="K160" i="254"/>
  <c r="G159" i="254"/>
  <c r="B158" i="254"/>
  <c r="O156" i="254"/>
  <c r="C156" i="254"/>
  <c r="G155" i="254"/>
  <c r="M154" i="254"/>
  <c r="Q153" i="254"/>
  <c r="E153" i="254"/>
  <c r="J152" i="254"/>
  <c r="O151" i="254"/>
  <c r="B151" i="254"/>
  <c r="H150" i="254"/>
  <c r="N149" i="254"/>
  <c r="C149" i="254"/>
  <c r="J148" i="254"/>
  <c r="P147" i="254"/>
  <c r="E147" i="254"/>
  <c r="L146" i="254"/>
  <c r="A146" i="254"/>
  <c r="G145" i="254"/>
  <c r="N144" i="254"/>
  <c r="C144" i="254"/>
  <c r="I143" i="254"/>
  <c r="P142" i="254"/>
  <c r="E142" i="254"/>
  <c r="K141" i="254"/>
  <c r="A141" i="254"/>
  <c r="G140" i="254"/>
  <c r="M139" i="254"/>
  <c r="C139" i="254"/>
  <c r="I138" i="254"/>
  <c r="O137" i="254"/>
  <c r="E137" i="254"/>
  <c r="K136" i="254"/>
  <c r="Q135" i="254"/>
  <c r="G135" i="254"/>
  <c r="M134" i="254"/>
  <c r="B134" i="254"/>
  <c r="I133" i="254"/>
  <c r="O132" i="254"/>
  <c r="D132" i="254"/>
  <c r="K131" i="254"/>
  <c r="Q130" i="254"/>
  <c r="F130" i="254"/>
  <c r="M129" i="254"/>
  <c r="B129" i="254"/>
  <c r="H128" i="254"/>
  <c r="O127" i="254"/>
  <c r="D127" i="254"/>
  <c r="J126" i="254"/>
  <c r="Q125" i="254"/>
  <c r="F125" i="254"/>
  <c r="L124" i="254"/>
  <c r="B124" i="254"/>
  <c r="H123" i="254"/>
  <c r="N122" i="254"/>
  <c r="D122" i="254"/>
  <c r="J121" i="254"/>
  <c r="P120" i="254"/>
  <c r="F120" i="254"/>
  <c r="L119" i="254"/>
  <c r="A119" i="254"/>
  <c r="H118" i="254"/>
  <c r="N117" i="254"/>
  <c r="C117" i="254"/>
  <c r="J116" i="254"/>
  <c r="P115" i="254"/>
  <c r="E115" i="254"/>
  <c r="L114" i="254"/>
  <c r="A114" i="254"/>
  <c r="G113" i="254"/>
  <c r="N112" i="254"/>
  <c r="C112" i="254"/>
  <c r="I111" i="254"/>
  <c r="P110" i="254"/>
  <c r="E110" i="254"/>
  <c r="K109" i="254"/>
  <c r="A109" i="254"/>
  <c r="G108" i="254"/>
  <c r="M107" i="254"/>
  <c r="C107" i="254"/>
  <c r="I106" i="254"/>
  <c r="O105" i="254"/>
  <c r="E105" i="254"/>
  <c r="K104" i="254"/>
  <c r="Q103" i="254"/>
  <c r="G103" i="254"/>
  <c r="M102" i="254"/>
  <c r="C102" i="254"/>
  <c r="K101" i="254"/>
  <c r="B101" i="254"/>
  <c r="J100" i="254"/>
  <c r="A100" i="254"/>
  <c r="I99" i="254"/>
  <c r="Q98" i="254"/>
  <c r="I98" i="254"/>
  <c r="A98" i="254"/>
  <c r="J97" i="254"/>
  <c r="B97" i="254"/>
  <c r="K96" i="254"/>
  <c r="C96" i="254"/>
  <c r="L95" i="254"/>
  <c r="D95" i="254"/>
  <c r="M94" i="254"/>
  <c r="E94" i="254"/>
  <c r="N93" i="254"/>
  <c r="F93" i="254"/>
  <c r="O92" i="254"/>
  <c r="G92" i="254"/>
  <c r="P91" i="254"/>
  <c r="H91" i="254"/>
  <c r="Q90" i="254"/>
  <c r="I90" i="254"/>
  <c r="A90" i="254"/>
  <c r="J89" i="254"/>
  <c r="B89" i="254"/>
  <c r="K88" i="254"/>
  <c r="C88" i="254"/>
  <c r="L87" i="254"/>
  <c r="D87" i="254"/>
  <c r="M86" i="254"/>
  <c r="E86" i="254"/>
  <c r="N85" i="254"/>
  <c r="F85" i="254"/>
  <c r="O84" i="254"/>
  <c r="G84" i="254"/>
  <c r="P83" i="254"/>
  <c r="H83" i="254"/>
  <c r="Q82" i="254"/>
  <c r="I82" i="254"/>
  <c r="A82" i="254"/>
  <c r="J81" i="254"/>
  <c r="B81" i="254"/>
  <c r="K80" i="254"/>
  <c r="C80" i="254"/>
  <c r="L79" i="254"/>
  <c r="D79" i="254"/>
  <c r="M78" i="254"/>
  <c r="E78" i="254"/>
  <c r="N77" i="254"/>
  <c r="F77" i="254"/>
  <c r="O76" i="254"/>
  <c r="G76" i="254"/>
  <c r="P75" i="254"/>
  <c r="H75" i="254"/>
  <c r="Q74" i="254"/>
  <c r="I74" i="254"/>
  <c r="A74" i="254"/>
  <c r="J73" i="254"/>
  <c r="B73" i="254"/>
  <c r="K72" i="254"/>
  <c r="C72" i="254"/>
  <c r="L71" i="254"/>
  <c r="D71" i="254"/>
  <c r="M70" i="254"/>
  <c r="E70" i="254"/>
  <c r="N69" i="254"/>
  <c r="F69" i="254"/>
  <c r="O68" i="254"/>
  <c r="G68" i="254"/>
  <c r="P67" i="254"/>
  <c r="H67" i="254"/>
  <c r="Q66" i="254"/>
  <c r="I66" i="254"/>
  <c r="A66" i="254"/>
  <c r="J65" i="254"/>
  <c r="B65" i="254"/>
  <c r="K64" i="254"/>
  <c r="C64" i="254"/>
  <c r="L63" i="254"/>
  <c r="D63" i="254"/>
  <c r="M62" i="254"/>
  <c r="E62" i="254"/>
  <c r="N61" i="254"/>
  <c r="F61" i="254"/>
  <c r="O60" i="254"/>
  <c r="G60" i="254"/>
  <c r="P59" i="254"/>
  <c r="H59" i="254"/>
  <c r="Q58" i="254"/>
  <c r="I58" i="254"/>
  <c r="A58" i="254"/>
  <c r="J57" i="254"/>
  <c r="B57" i="254"/>
  <c r="K56" i="254"/>
  <c r="C56" i="254"/>
  <c r="L55" i="254"/>
  <c r="D55" i="254"/>
  <c r="M54" i="254"/>
  <c r="E54" i="254"/>
  <c r="N53" i="254"/>
  <c r="F53" i="254"/>
  <c r="O52" i="254"/>
  <c r="G52" i="254"/>
  <c r="P51" i="254"/>
  <c r="H51" i="254"/>
  <c r="Q50" i="254"/>
  <c r="I50" i="254"/>
  <c r="A50" i="254"/>
  <c r="J49" i="254"/>
  <c r="B49" i="254"/>
  <c r="K48" i="254"/>
  <c r="C48" i="254"/>
  <c r="L47" i="254"/>
  <c r="D47" i="254"/>
  <c r="M46" i="254"/>
  <c r="E46" i="254"/>
  <c r="N45" i="254"/>
  <c r="F45" i="254"/>
  <c r="O44" i="254"/>
  <c r="G44" i="254"/>
  <c r="P43" i="254"/>
  <c r="H43" i="254"/>
  <c r="Q42" i="254"/>
  <c r="I42" i="254"/>
  <c r="A42" i="254"/>
  <c r="J41" i="254"/>
  <c r="B41" i="254"/>
  <c r="K40" i="254"/>
  <c r="C40" i="254"/>
  <c r="L39" i="254"/>
  <c r="D39" i="254"/>
  <c r="M38" i="254"/>
  <c r="E38" i="254"/>
  <c r="N37" i="254"/>
  <c r="F37" i="254"/>
  <c r="O36" i="254"/>
  <c r="G36" i="254"/>
  <c r="P35" i="254"/>
  <c r="H35" i="254"/>
  <c r="Q34" i="254"/>
  <c r="I34" i="254"/>
  <c r="A34" i="254"/>
  <c r="J33" i="254"/>
  <c r="B33" i="254"/>
  <c r="K32" i="254"/>
  <c r="C32" i="254"/>
  <c r="L31" i="254"/>
  <c r="D31" i="254"/>
  <c r="M30" i="254"/>
  <c r="E30" i="254"/>
  <c r="N29" i="254"/>
  <c r="F29" i="254"/>
  <c r="O28" i="254"/>
  <c r="G28" i="254"/>
  <c r="A198" i="254"/>
  <c r="Q192" i="254"/>
  <c r="G188" i="254"/>
  <c r="B185" i="254"/>
  <c r="L181" i="254"/>
  <c r="G178" i="254"/>
  <c r="B175" i="254"/>
  <c r="L171" i="254"/>
  <c r="G168" i="254"/>
  <c r="B165" i="254"/>
  <c r="J161" i="254"/>
  <c r="Q158" i="254"/>
  <c r="N156" i="254"/>
  <c r="F155" i="254"/>
  <c r="O153" i="254"/>
  <c r="I152" i="254"/>
  <c r="A151" i="254"/>
  <c r="L149" i="254"/>
  <c r="I148" i="254"/>
  <c r="D147" i="254"/>
  <c r="P145" i="254"/>
  <c r="M144" i="254"/>
  <c r="H143" i="254"/>
  <c r="C142" i="254"/>
  <c r="Q140" i="254"/>
  <c r="L139" i="254"/>
  <c r="G138" i="254"/>
  <c r="D137" i="254"/>
  <c r="A136" i="254"/>
  <c r="B135" i="254"/>
  <c r="A134" i="254"/>
  <c r="C133" i="254"/>
  <c r="B132" i="254"/>
  <c r="B131" i="254"/>
  <c r="C130" i="254"/>
  <c r="Q128" i="254"/>
  <c r="C128" i="254"/>
  <c r="A127" i="254"/>
  <c r="A126" i="254"/>
  <c r="B125" i="254"/>
  <c r="A124" i="254"/>
  <c r="C123" i="254"/>
  <c r="A122" i="254"/>
  <c r="Q120" i="254"/>
  <c r="A120" i="254"/>
  <c r="Q118" i="254"/>
  <c r="B118" i="254"/>
  <c r="D117" i="254"/>
  <c r="G116" i="254"/>
  <c r="K115" i="254"/>
  <c r="M114" i="254"/>
  <c r="O113" i="254"/>
  <c r="B113" i="254"/>
  <c r="E112" i="254"/>
  <c r="G111" i="254"/>
  <c r="J110" i="254"/>
  <c r="L109" i="254"/>
  <c r="O108" i="254"/>
  <c r="B108" i="254"/>
  <c r="D107" i="254"/>
  <c r="F106" i="254"/>
  <c r="J105" i="254"/>
  <c r="M104" i="254"/>
  <c r="O103" i="254"/>
  <c r="A103" i="254"/>
  <c r="E102" i="254"/>
  <c r="I101" i="254"/>
  <c r="O100" i="254"/>
  <c r="B100" i="254"/>
  <c r="F99" i="254"/>
  <c r="M98" i="254"/>
  <c r="B98" i="254"/>
  <c r="P197" i="254"/>
  <c r="P192" i="254"/>
  <c r="F188" i="254"/>
  <c r="Q184" i="254"/>
  <c r="K181" i="254"/>
  <c r="F178" i="254"/>
  <c r="Q174" i="254"/>
  <c r="J171" i="254"/>
  <c r="E168" i="254"/>
  <c r="O164" i="254"/>
  <c r="I161" i="254"/>
  <c r="P158" i="254"/>
  <c r="L156" i="254"/>
  <c r="E155" i="254"/>
  <c r="N153" i="254"/>
  <c r="G152" i="254"/>
  <c r="Q150" i="254"/>
  <c r="K149" i="254"/>
  <c r="G148" i="254"/>
  <c r="C147" i="254"/>
  <c r="O145" i="254"/>
  <c r="K144" i="254"/>
  <c r="G143" i="254"/>
  <c r="B142" i="254"/>
  <c r="O140" i="254"/>
  <c r="K139" i="254"/>
  <c r="F138" i="254"/>
  <c r="B137" i="254"/>
  <c r="P135" i="254"/>
  <c r="A135" i="254"/>
  <c r="Q133" i="254"/>
  <c r="Q132" i="254"/>
  <c r="A132" i="254"/>
  <c r="O130" i="254"/>
  <c r="A130" i="254"/>
  <c r="P128" i="254"/>
  <c r="P127" i="254"/>
  <c r="Q126" i="254"/>
  <c r="P125" i="254"/>
  <c r="A125" i="254"/>
  <c r="P123" i="254"/>
  <c r="O122" i="254"/>
  <c r="P121" i="254"/>
  <c r="O120" i="254"/>
  <c r="Q119" i="254"/>
  <c r="P118" i="254"/>
  <c r="A118" i="254"/>
  <c r="B117" i="254"/>
  <c r="E116" i="254"/>
  <c r="J115" i="254"/>
  <c r="K114" i="254"/>
  <c r="N113" i="254"/>
  <c r="Q112" i="254"/>
  <c r="A112" i="254"/>
  <c r="F111" i="254"/>
  <c r="I110" i="254"/>
  <c r="J109" i="254"/>
  <c r="M108" i="254"/>
  <c r="A108" i="254"/>
  <c r="B107" i="254"/>
  <c r="E106" i="254"/>
  <c r="H105" i="254"/>
  <c r="I104" i="254"/>
  <c r="N103" i="254"/>
  <c r="Q102" i="254"/>
  <c r="B102" i="254"/>
  <c r="H101" i="254"/>
  <c r="M100" i="254"/>
  <c r="Q99" i="254"/>
  <c r="E99" i="254"/>
  <c r="L98" i="254"/>
  <c r="Q97" i="254"/>
  <c r="N197" i="254"/>
  <c r="O192" i="254"/>
  <c r="E188" i="254"/>
  <c r="O184" i="254"/>
  <c r="J181" i="254"/>
  <c r="E178" i="254"/>
  <c r="M174" i="254"/>
  <c r="H171" i="254"/>
  <c r="C168" i="254"/>
  <c r="M164" i="254"/>
  <c r="H161" i="254"/>
  <c r="O158" i="254"/>
  <c r="J156" i="254"/>
  <c r="D155" i="254"/>
  <c r="M153" i="254"/>
  <c r="E152" i="254"/>
  <c r="P150" i="254"/>
  <c r="J149" i="254"/>
  <c r="E148" i="254"/>
  <c r="B147" i="254"/>
  <c r="N145" i="254"/>
  <c r="I144" i="254"/>
  <c r="F143" i="254"/>
  <c r="A142" i="254"/>
  <c r="M140" i="254"/>
  <c r="J139" i="254"/>
  <c r="E138" i="254"/>
  <c r="Q136" i="254"/>
  <c r="O135" i="254"/>
  <c r="O134" i="254"/>
  <c r="P133" i="254"/>
  <c r="M132" i="254"/>
  <c r="P131" i="254"/>
  <c r="N130" i="254"/>
  <c r="N129" i="254"/>
  <c r="O128" i="254"/>
  <c r="N127" i="254"/>
  <c r="P126" i="254"/>
  <c r="N125" i="254"/>
  <c r="M124" i="254"/>
  <c r="N123" i="254"/>
  <c r="M122" i="254"/>
  <c r="O121" i="254"/>
  <c r="N120" i="254"/>
  <c r="N119" i="254"/>
  <c r="O118" i="254"/>
  <c r="P117" i="254"/>
  <c r="A117" i="254"/>
  <c r="D116" i="254"/>
  <c r="F115" i="254"/>
  <c r="I114" i="254"/>
  <c r="M113" i="254"/>
  <c r="O112" i="254"/>
  <c r="Q111" i="254"/>
  <c r="D111" i="254"/>
  <c r="G110" i="254"/>
  <c r="I109" i="254"/>
  <c r="L108" i="254"/>
  <c r="N107" i="254"/>
  <c r="Q106" i="254"/>
  <c r="D106" i="254"/>
  <c r="F105" i="254"/>
  <c r="H104" i="254"/>
  <c r="L103" i="254"/>
  <c r="O102" i="254"/>
  <c r="A102" i="254"/>
  <c r="G101" i="254"/>
  <c r="K100" i="254"/>
  <c r="P99" i="254"/>
  <c r="D99" i="254"/>
  <c r="J98" i="254"/>
  <c r="P97" i="254"/>
  <c r="F97" i="254"/>
  <c r="L96" i="254"/>
  <c r="A96" i="254"/>
  <c r="H95" i="254"/>
  <c r="N94" i="254"/>
  <c r="C94" i="254"/>
  <c r="J93" i="254"/>
  <c r="P92" i="254"/>
  <c r="E92" i="254"/>
  <c r="L91" i="254"/>
  <c r="A91" i="254"/>
  <c r="G90" i="254"/>
  <c r="N89" i="254"/>
  <c r="M197" i="254"/>
  <c r="M192" i="254"/>
  <c r="C188" i="254"/>
  <c r="M184" i="254"/>
  <c r="H181" i="254"/>
  <c r="A178" i="254"/>
  <c r="L174" i="254"/>
  <c r="G171" i="254"/>
  <c r="A168" i="254"/>
  <c r="L164" i="254"/>
  <c r="G161" i="254"/>
  <c r="M158" i="254"/>
  <c r="I156" i="254"/>
  <c r="B155" i="254"/>
  <c r="L153" i="254"/>
  <c r="C152" i="254"/>
  <c r="M150" i="254"/>
  <c r="I149" i="254"/>
  <c r="D148" i="254"/>
  <c r="Q146" i="254"/>
  <c r="M145" i="254"/>
  <c r="H144" i="254"/>
  <c r="D143" i="254"/>
  <c r="Q141" i="254"/>
  <c r="L140" i="254"/>
  <c r="H139" i="254"/>
  <c r="D138" i="254"/>
  <c r="P136" i="254"/>
  <c r="N135" i="254"/>
  <c r="K134" i="254"/>
  <c r="N133" i="254"/>
  <c r="L132" i="254"/>
  <c r="L131" i="254"/>
  <c r="M130" i="254"/>
  <c r="L129" i="254"/>
  <c r="N128" i="254"/>
  <c r="L127" i="254"/>
  <c r="K126" i="254"/>
  <c r="L125" i="254"/>
  <c r="K124" i="254"/>
  <c r="M123" i="254"/>
  <c r="L122" i="254"/>
  <c r="L121" i="254"/>
  <c r="M120" i="254"/>
  <c r="J119" i="254"/>
  <c r="M118" i="254"/>
  <c r="L117" i="254"/>
  <c r="Q116" i="254"/>
  <c r="C116" i="254"/>
  <c r="D115" i="254"/>
  <c r="G114" i="254"/>
  <c r="L113" i="254"/>
  <c r="M112" i="254"/>
  <c r="P111" i="254"/>
  <c r="B111" i="254"/>
  <c r="C110" i="254"/>
  <c r="H109" i="254"/>
  <c r="K108" i="254"/>
  <c r="L107" i="254"/>
  <c r="O106" i="254"/>
  <c r="C106" i="254"/>
  <c r="D105" i="254"/>
  <c r="G104" i="254"/>
  <c r="J103" i="254"/>
  <c r="K102" i="254"/>
  <c r="Q101" i="254"/>
  <c r="F101" i="254"/>
  <c r="I100" i="254"/>
  <c r="N99" i="254"/>
  <c r="C99" i="254"/>
  <c r="H98" i="254"/>
  <c r="O97" i="254"/>
  <c r="E97" i="254"/>
  <c r="J96" i="254"/>
  <c r="Q95" i="254"/>
  <c r="G95" i="254"/>
  <c r="L94" i="254"/>
  <c r="B94" i="254"/>
  <c r="I93" i="254"/>
  <c r="N92" i="254"/>
  <c r="D92" i="254"/>
  <c r="K91" i="254"/>
  <c r="H195" i="254"/>
  <c r="M186" i="254"/>
  <c r="C180" i="254"/>
  <c r="F173" i="254"/>
  <c r="K166" i="254"/>
  <c r="E160" i="254"/>
  <c r="A156" i="254"/>
  <c r="D153" i="254"/>
  <c r="G150" i="254"/>
  <c r="N147" i="254"/>
  <c r="F145" i="254"/>
  <c r="O142" i="254"/>
  <c r="E140" i="254"/>
  <c r="N137" i="254"/>
  <c r="L135" i="254"/>
  <c r="J133" i="254"/>
  <c r="J131" i="254"/>
  <c r="J129" i="254"/>
  <c r="J127" i="254"/>
  <c r="K125" i="254"/>
  <c r="J123" i="254"/>
  <c r="H121" i="254"/>
  <c r="I119" i="254"/>
  <c r="K117" i="254"/>
  <c r="A116" i="254"/>
  <c r="F114" i="254"/>
  <c r="K112" i="254"/>
  <c r="Q110" i="254"/>
  <c r="F109" i="254"/>
  <c r="K107" i="254"/>
  <c r="P105" i="254"/>
  <c r="F104" i="254"/>
  <c r="J102" i="254"/>
  <c r="C101" i="254"/>
  <c r="M99" i="254"/>
  <c r="G98" i="254"/>
  <c r="H97" i="254"/>
  <c r="I96" i="254"/>
  <c r="M95" i="254"/>
  <c r="Q94" i="254"/>
  <c r="A94" i="254"/>
  <c r="D93" i="254"/>
  <c r="H92" i="254"/>
  <c r="I91" i="254"/>
  <c r="N90" i="254"/>
  <c r="B90" i="254"/>
  <c r="G89" i="254"/>
  <c r="N88" i="254"/>
  <c r="B88" i="254"/>
  <c r="I87" i="254"/>
  <c r="P86" i="254"/>
  <c r="D86" i="254"/>
  <c r="K85" i="254"/>
  <c r="A85" i="254"/>
  <c r="I84" i="254"/>
  <c r="Q83" i="254"/>
  <c r="G83" i="254"/>
  <c r="O82" i="254"/>
  <c r="F82" i="254"/>
  <c r="N81" i="254"/>
  <c r="E81" i="254"/>
  <c r="M80" i="254"/>
  <c r="D80" i="254"/>
  <c r="K79" i="254"/>
  <c r="B79" i="254"/>
  <c r="J78" i="254"/>
  <c r="A78" i="254"/>
  <c r="I77" i="254"/>
  <c r="Q76" i="254"/>
  <c r="H76" i="254"/>
  <c r="O75" i="254"/>
  <c r="F75" i="254"/>
  <c r="N74" i="254"/>
  <c r="E74" i="254"/>
  <c r="M73" i="254"/>
  <c r="D73" i="254"/>
  <c r="L72" i="254"/>
  <c r="B72" i="254"/>
  <c r="J71" i="254"/>
  <c r="A71" i="254"/>
  <c r="I70" i="254"/>
  <c r="Q69" i="254"/>
  <c r="H69" i="254"/>
  <c r="P68" i="254"/>
  <c r="F68" i="254"/>
  <c r="N67" i="254"/>
  <c r="E67" i="254"/>
  <c r="M66" i="254"/>
  <c r="D66" i="254"/>
  <c r="L65" i="254"/>
  <c r="C65" i="254"/>
  <c r="J64" i="254"/>
  <c r="A64" i="254"/>
  <c r="I63" i="254"/>
  <c r="Q62" i="254"/>
  <c r="H62" i="254"/>
  <c r="P61" i="254"/>
  <c r="G61" i="254"/>
  <c r="N60" i="254"/>
  <c r="E60" i="254"/>
  <c r="M59" i="254"/>
  <c r="D59" i="254"/>
  <c r="L58" i="254"/>
  <c r="C58" i="254"/>
  <c r="K57" i="254"/>
  <c r="A57" i="254"/>
  <c r="I56" i="254"/>
  <c r="Q55" i="254"/>
  <c r="H55" i="254"/>
  <c r="P54" i="254"/>
  <c r="G54" i="254"/>
  <c r="O53" i="254"/>
  <c r="E53" i="254"/>
  <c r="M52" i="254"/>
  <c r="D52" i="254"/>
  <c r="L51" i="254"/>
  <c r="C51" i="254"/>
  <c r="K50" i="254"/>
  <c r="B50" i="254"/>
  <c r="I49" i="254"/>
  <c r="Q48" i="254"/>
  <c r="H48" i="254"/>
  <c r="P47" i="254"/>
  <c r="G47" i="254"/>
  <c r="O46" i="254"/>
  <c r="F46" i="254"/>
  <c r="M45" i="254"/>
  <c r="D45" i="254"/>
  <c r="L44" i="254"/>
  <c r="C44" i="254"/>
  <c r="K43" i="254"/>
  <c r="B43" i="254"/>
  <c r="J42" i="254"/>
  <c r="Q41" i="254"/>
  <c r="H41" i="254"/>
  <c r="P40" i="254"/>
  <c r="G40" i="254"/>
  <c r="O39" i="254"/>
  <c r="F39" i="254"/>
  <c r="N38" i="254"/>
  <c r="D38" i="254"/>
  <c r="L37" i="254"/>
  <c r="C37" i="254"/>
  <c r="K36" i="254"/>
  <c r="B36" i="254"/>
  <c r="J35" i="254"/>
  <c r="A35" i="254"/>
  <c r="H34" i="254"/>
  <c r="P33" i="254"/>
  <c r="G33" i="254"/>
  <c r="O32" i="254"/>
  <c r="F32" i="254"/>
  <c r="N31" i="254"/>
  <c r="E31" i="254"/>
  <c r="L30" i="254"/>
  <c r="C30" i="254"/>
  <c r="K29" i="254"/>
  <c r="B29" i="254"/>
  <c r="J28" i="254"/>
  <c r="A28" i="254"/>
  <c r="J27" i="254"/>
  <c r="G195" i="254"/>
  <c r="K186" i="254"/>
  <c r="P179" i="254"/>
  <c r="E173" i="254"/>
  <c r="J166" i="254"/>
  <c r="C160" i="254"/>
  <c r="P155" i="254"/>
  <c r="B153" i="254"/>
  <c r="E150" i="254"/>
  <c r="M147" i="254"/>
  <c r="E145" i="254"/>
  <c r="M142" i="254"/>
  <c r="D140" i="254"/>
  <c r="M137" i="254"/>
  <c r="H135" i="254"/>
  <c r="H133" i="254"/>
  <c r="H131" i="254"/>
  <c r="H129" i="254"/>
  <c r="I127" i="254"/>
  <c r="H125" i="254"/>
  <c r="F123" i="254"/>
  <c r="G121" i="254"/>
  <c r="H119" i="254"/>
  <c r="J117" i="254"/>
  <c r="N115" i="254"/>
  <c r="E114" i="254"/>
  <c r="I112" i="254"/>
  <c r="O110" i="254"/>
  <c r="D109" i="254"/>
  <c r="J107" i="254"/>
  <c r="N105" i="254"/>
  <c r="E104" i="254"/>
  <c r="I102" i="254"/>
  <c r="A101" i="254"/>
  <c r="L99" i="254"/>
  <c r="F98" i="254"/>
  <c r="G97" i="254"/>
  <c r="H96" i="254"/>
  <c r="K95" i="254"/>
  <c r="P94" i="254"/>
  <c r="Q93" i="254"/>
  <c r="C93" i="254"/>
  <c r="F92" i="254"/>
  <c r="G91" i="254"/>
  <c r="M90" i="254"/>
  <c r="Q89" i="254"/>
  <c r="F89" i="254"/>
  <c r="L88" i="254"/>
  <c r="A88" i="254"/>
  <c r="H87" i="254"/>
  <c r="N86" i="254"/>
  <c r="C86" i="254"/>
  <c r="J85" i="254"/>
  <c r="Q84" i="254"/>
  <c r="H84" i="254"/>
  <c r="O83" i="254"/>
  <c r="F83" i="254"/>
  <c r="N82" i="254"/>
  <c r="E82" i="254"/>
  <c r="M81" i="254"/>
  <c r="D81" i="254"/>
  <c r="L80" i="254"/>
  <c r="B80" i="254"/>
  <c r="J79" i="254"/>
  <c r="A79" i="254"/>
  <c r="I78" i="254"/>
  <c r="Q77" i="254"/>
  <c r="H77" i="254"/>
  <c r="P76" i="254"/>
  <c r="F76" i="254"/>
  <c r="N75" i="254"/>
  <c r="E75" i="254"/>
  <c r="M74" i="254"/>
  <c r="D74" i="254"/>
  <c r="L73" i="254"/>
  <c r="C73" i="254"/>
  <c r="J72" i="254"/>
  <c r="A72" i="254"/>
  <c r="I71" i="254"/>
  <c r="Q70" i="254"/>
  <c r="H70" i="254"/>
  <c r="P69" i="254"/>
  <c r="G69" i="254"/>
  <c r="N68" i="254"/>
  <c r="E68" i="254"/>
  <c r="M67" i="254"/>
  <c r="D67" i="254"/>
  <c r="L66" i="254"/>
  <c r="C66" i="254"/>
  <c r="K65" i="254"/>
  <c r="A65" i="254"/>
  <c r="I64" i="254"/>
  <c r="Q63" i="254"/>
  <c r="H63" i="254"/>
  <c r="P62" i="254"/>
  <c r="G62" i="254"/>
  <c r="O61" i="254"/>
  <c r="E61" i="254"/>
  <c r="M60" i="254"/>
  <c r="D60" i="254"/>
  <c r="L59" i="254"/>
  <c r="C59" i="254"/>
  <c r="K58" i="254"/>
  <c r="B58" i="254"/>
  <c r="I57" i="254"/>
  <c r="Q56" i="254"/>
  <c r="H56" i="254"/>
  <c r="P55" i="254"/>
  <c r="G55" i="254"/>
  <c r="O54" i="254"/>
  <c r="F54" i="254"/>
  <c r="M53" i="254"/>
  <c r="D53" i="254"/>
  <c r="L52" i="254"/>
  <c r="C52" i="254"/>
  <c r="K51" i="254"/>
  <c r="B51" i="254"/>
  <c r="J50" i="254"/>
  <c r="Q49" i="254"/>
  <c r="H49" i="254"/>
  <c r="P48" i="254"/>
  <c r="G48" i="254"/>
  <c r="O47" i="254"/>
  <c r="F47" i="254"/>
  <c r="N46" i="254"/>
  <c r="D46" i="254"/>
  <c r="L45" i="254"/>
  <c r="C45" i="254"/>
  <c r="K44" i="254"/>
  <c r="B44" i="254"/>
  <c r="J43" i="254"/>
  <c r="A43" i="254"/>
  <c r="H42" i="254"/>
  <c r="P41" i="254"/>
  <c r="G41" i="254"/>
  <c r="O40" i="254"/>
  <c r="F40" i="254"/>
  <c r="N39" i="254"/>
  <c r="E39" i="254"/>
  <c r="L38" i="254"/>
  <c r="C38" i="254"/>
  <c r="K37" i="254"/>
  <c r="B37" i="254"/>
  <c r="J36" i="254"/>
  <c r="A36" i="254"/>
  <c r="I35" i="254"/>
  <c r="P34" i="254"/>
  <c r="G34" i="254"/>
  <c r="O33" i="254"/>
  <c r="F33" i="254"/>
  <c r="N32" i="254"/>
  <c r="E32" i="254"/>
  <c r="M31" i="254"/>
  <c r="C31" i="254"/>
  <c r="K30" i="254"/>
  <c r="B30" i="254"/>
  <c r="J29" i="254"/>
  <c r="A29" i="254"/>
  <c r="I28" i="254"/>
  <c r="Q27" i="254"/>
  <c r="I27" i="254"/>
  <c r="A27" i="254"/>
  <c r="J26" i="254"/>
  <c r="B26" i="254"/>
  <c r="K25" i="254"/>
  <c r="C25" i="254"/>
  <c r="L24" i="254"/>
  <c r="D24" i="254"/>
  <c r="M23" i="254"/>
  <c r="E23" i="254"/>
  <c r="F195" i="254"/>
  <c r="I186" i="254"/>
  <c r="N179" i="254"/>
  <c r="D173" i="254"/>
  <c r="I166" i="254"/>
  <c r="A160" i="254"/>
  <c r="O155" i="254"/>
  <c r="A153" i="254"/>
  <c r="C150" i="254"/>
  <c r="L147" i="254"/>
  <c r="D145" i="254"/>
  <c r="K142" i="254"/>
  <c r="C140" i="254"/>
  <c r="L137" i="254"/>
  <c r="F135" i="254"/>
  <c r="F133" i="254"/>
  <c r="F131" i="254"/>
  <c r="G129" i="254"/>
  <c r="F127" i="254"/>
  <c r="D125" i="254"/>
  <c r="E123" i="254"/>
  <c r="F121" i="254"/>
  <c r="G119" i="254"/>
  <c r="I117" i="254"/>
  <c r="M115" i="254"/>
  <c r="C114" i="254"/>
  <c r="H112" i="254"/>
  <c r="M110" i="254"/>
  <c r="B109" i="254"/>
  <c r="H107" i="254"/>
  <c r="M105" i="254"/>
  <c r="A104" i="254"/>
  <c r="H102" i="254"/>
  <c r="Q100" i="254"/>
  <c r="J99" i="254"/>
  <c r="E98" i="254"/>
  <c r="C97" i="254"/>
  <c r="G96" i="254"/>
  <c r="J95" i="254"/>
  <c r="K94" i="254"/>
  <c r="O93" i="254"/>
  <c r="B93" i="254"/>
  <c r="C92" i="254"/>
  <c r="F91" i="254"/>
  <c r="L90" i="254"/>
  <c r="P89" i="254"/>
  <c r="E89" i="254"/>
  <c r="J88" i="254"/>
  <c r="Q87" i="254"/>
  <c r="G87" i="254"/>
  <c r="L86" i="254"/>
  <c r="B86" i="254"/>
  <c r="I85" i="254"/>
  <c r="P84" i="254"/>
  <c r="F84" i="254"/>
  <c r="N83" i="254"/>
  <c r="E83" i="254"/>
  <c r="M82" i="254"/>
  <c r="D82" i="254"/>
  <c r="L81" i="254"/>
  <c r="C81" i="254"/>
  <c r="J80" i="254"/>
  <c r="A80" i="254"/>
  <c r="I79" i="254"/>
  <c r="Q78" i="254"/>
  <c r="H78" i="254"/>
  <c r="P77" i="254"/>
  <c r="G77" i="254"/>
  <c r="N76" i="254"/>
  <c r="E76" i="254"/>
  <c r="M75" i="254"/>
  <c r="D75" i="254"/>
  <c r="L74" i="254"/>
  <c r="C74" i="254"/>
  <c r="K73" i="254"/>
  <c r="A73" i="254"/>
  <c r="I72" i="254"/>
  <c r="Q71" i="254"/>
  <c r="H71" i="254"/>
  <c r="P70" i="254"/>
  <c r="G70" i="254"/>
  <c r="O69" i="254"/>
  <c r="E69" i="254"/>
  <c r="M68" i="254"/>
  <c r="D68" i="254"/>
  <c r="L67" i="254"/>
  <c r="C67" i="254"/>
  <c r="K66" i="254"/>
  <c r="B66" i="254"/>
  <c r="I65" i="254"/>
  <c r="Q64" i="254"/>
  <c r="H64" i="254"/>
  <c r="P63" i="254"/>
  <c r="G63" i="254"/>
  <c r="O62" i="254"/>
  <c r="F62" i="254"/>
  <c r="M61" i="254"/>
  <c r="D61" i="254"/>
  <c r="L60" i="254"/>
  <c r="C60" i="254"/>
  <c r="K59" i="254"/>
  <c r="B59" i="254"/>
  <c r="J58" i="254"/>
  <c r="Q57" i="254"/>
  <c r="H57" i="254"/>
  <c r="P56" i="254"/>
  <c r="G56" i="254"/>
  <c r="O55" i="254"/>
  <c r="F55" i="254"/>
  <c r="N54" i="254"/>
  <c r="D54" i="254"/>
  <c r="L53" i="254"/>
  <c r="C53" i="254"/>
  <c r="K52" i="254"/>
  <c r="B52" i="254"/>
  <c r="J51" i="254"/>
  <c r="A51" i="254"/>
  <c r="H50" i="254"/>
  <c r="P49" i="254"/>
  <c r="G49" i="254"/>
  <c r="O48" i="254"/>
  <c r="F48" i="254"/>
  <c r="N47" i="254"/>
  <c r="E47" i="254"/>
  <c r="L46" i="254"/>
  <c r="C46" i="254"/>
  <c r="K45" i="254"/>
  <c r="B45" i="254"/>
  <c r="J44" i="254"/>
  <c r="A44" i="254"/>
  <c r="I43" i="254"/>
  <c r="P42" i="254"/>
  <c r="G42" i="254"/>
  <c r="O41" i="254"/>
  <c r="F41" i="254"/>
  <c r="N40" i="254"/>
  <c r="E40" i="254"/>
  <c r="M39" i="254"/>
  <c r="C39" i="254"/>
  <c r="K38" i="254"/>
  <c r="B38" i="254"/>
  <c r="J37" i="254"/>
  <c r="A37" i="254"/>
  <c r="I36" i="254"/>
  <c r="Q35" i="254"/>
  <c r="G35" i="254"/>
  <c r="O34" i="254"/>
  <c r="F34" i="254"/>
  <c r="N33" i="254"/>
  <c r="E33" i="254"/>
  <c r="M32" i="254"/>
  <c r="D32" i="254"/>
  <c r="K31" i="254"/>
  <c r="E195" i="254"/>
  <c r="H186" i="254"/>
  <c r="M179" i="254"/>
  <c r="B173" i="254"/>
  <c r="G166" i="254"/>
  <c r="Q159" i="254"/>
  <c r="N155" i="254"/>
  <c r="P152" i="254"/>
  <c r="B150" i="254"/>
  <c r="K147" i="254"/>
  <c r="B145" i="254"/>
  <c r="J142" i="254"/>
  <c r="B140" i="254"/>
  <c r="J137" i="254"/>
  <c r="D135" i="254"/>
  <c r="D133" i="254"/>
  <c r="E131" i="254"/>
  <c r="D129" i="254"/>
  <c r="B127" i="254"/>
  <c r="C125" i="254"/>
  <c r="D123" i="254"/>
  <c r="E121" i="254"/>
  <c r="B119" i="254"/>
  <c r="H117" i="254"/>
  <c r="L115" i="254"/>
  <c r="P113" i="254"/>
  <c r="G112" i="254"/>
  <c r="K110" i="254"/>
  <c r="Q108" i="254"/>
  <c r="F107" i="254"/>
  <c r="L105" i="254"/>
  <c r="P103" i="254"/>
  <c r="G102" i="254"/>
  <c r="P100" i="254"/>
  <c r="H99" i="254"/>
  <c r="D98" i="254"/>
  <c r="A97" i="254"/>
  <c r="F96" i="254"/>
  <c r="I95" i="254"/>
  <c r="J94" i="254"/>
  <c r="M93" i="254"/>
  <c r="A93" i="254"/>
  <c r="B92" i="254"/>
  <c r="E91" i="254"/>
  <c r="J90" i="254"/>
  <c r="O89" i="254"/>
  <c r="C89" i="254"/>
  <c r="I88" i="254"/>
  <c r="P87" i="254"/>
  <c r="E87" i="254"/>
  <c r="K86" i="254"/>
  <c r="A86" i="254"/>
  <c r="G85" i="254"/>
  <c r="N84" i="254"/>
  <c r="E84" i="254"/>
  <c r="M83" i="254"/>
  <c r="D83" i="254"/>
  <c r="L82" i="254"/>
  <c r="C82" i="254"/>
  <c r="K81" i="254"/>
  <c r="A81" i="254"/>
  <c r="I80" i="254"/>
  <c r="Q79" i="254"/>
  <c r="H79" i="254"/>
  <c r="P78" i="254"/>
  <c r="G78" i="254"/>
  <c r="O77" i="254"/>
  <c r="E77" i="254"/>
  <c r="M76" i="254"/>
  <c r="D76" i="254"/>
  <c r="L75" i="254"/>
  <c r="C75" i="254"/>
  <c r="K74" i="254"/>
  <c r="B74" i="254"/>
  <c r="I73" i="254"/>
  <c r="Q72" i="254"/>
  <c r="H72" i="254"/>
  <c r="P71" i="254"/>
  <c r="G71" i="254"/>
  <c r="O70" i="254"/>
  <c r="F70" i="254"/>
  <c r="M69" i="254"/>
  <c r="D69" i="254"/>
  <c r="L68" i="254"/>
  <c r="C68" i="254"/>
  <c r="K67" i="254"/>
  <c r="B67" i="254"/>
  <c r="J66" i="254"/>
  <c r="Q65" i="254"/>
  <c r="H65" i="254"/>
  <c r="P64" i="254"/>
  <c r="G64" i="254"/>
  <c r="O63" i="254"/>
  <c r="F63" i="254"/>
  <c r="N62" i="254"/>
  <c r="D62" i="254"/>
  <c r="L61" i="254"/>
  <c r="C61" i="254"/>
  <c r="K60" i="254"/>
  <c r="B60" i="254"/>
  <c r="J59" i="254"/>
  <c r="A59" i="254"/>
  <c r="H58" i="254"/>
  <c r="P57" i="254"/>
  <c r="G57" i="254"/>
  <c r="O56" i="254"/>
  <c r="F56" i="254"/>
  <c r="N55" i="254"/>
  <c r="E55" i="254"/>
  <c r="L54" i="254"/>
  <c r="C54" i="254"/>
  <c r="K53" i="254"/>
  <c r="B53" i="254"/>
  <c r="J52" i="254"/>
  <c r="A52" i="254"/>
  <c r="I51" i="254"/>
  <c r="P50" i="254"/>
  <c r="G50" i="254"/>
  <c r="O49" i="254"/>
  <c r="F49" i="254"/>
  <c r="N48" i="254"/>
  <c r="E48" i="254"/>
  <c r="M47" i="254"/>
  <c r="C47" i="254"/>
  <c r="K46" i="254"/>
  <c r="B46" i="254"/>
  <c r="J45" i="254"/>
  <c r="A45" i="254"/>
  <c r="I44" i="254"/>
  <c r="Q43" i="254"/>
  <c r="G43" i="254"/>
  <c r="O42" i="254"/>
  <c r="F42" i="254"/>
  <c r="N41" i="254"/>
  <c r="E41" i="254"/>
  <c r="M40" i="254"/>
  <c r="D40" i="254"/>
  <c r="K39" i="254"/>
  <c r="B39" i="254"/>
  <c r="J38" i="254"/>
  <c r="A38" i="254"/>
  <c r="I37" i="254"/>
  <c r="Q36" i="254"/>
  <c r="H36" i="254"/>
  <c r="O35" i="254"/>
  <c r="F35" i="254"/>
  <c r="N34" i="254"/>
  <c r="E34" i="254"/>
  <c r="M33" i="254"/>
  <c r="D33" i="254"/>
  <c r="L32" i="254"/>
  <c r="B32" i="254"/>
  <c r="J31" i="254"/>
  <c r="A31" i="254"/>
  <c r="I30" i="254"/>
  <c r="Q29" i="254"/>
  <c r="H29" i="254"/>
  <c r="P28" i="254"/>
  <c r="F28" i="254"/>
  <c r="O27" i="254"/>
  <c r="G27" i="254"/>
  <c r="P26" i="254"/>
  <c r="H26" i="254"/>
  <c r="M3" i="254"/>
  <c r="E4" i="254"/>
  <c r="N4" i="254"/>
  <c r="E5" i="254"/>
  <c r="N5" i="254"/>
  <c r="E6" i="254"/>
  <c r="N6" i="254"/>
  <c r="E7" i="254"/>
  <c r="N7" i="254"/>
  <c r="E8" i="254"/>
  <c r="M8" i="254"/>
  <c r="D9" i="254"/>
  <c r="L9" i="254"/>
  <c r="C10" i="254"/>
  <c r="K10" i="254"/>
  <c r="B11" i="254"/>
  <c r="J11" i="254"/>
  <c r="A12" i="254"/>
  <c r="I12" i="254"/>
  <c r="Q12" i="254"/>
  <c r="H13" i="254"/>
  <c r="P13" i="254"/>
  <c r="G14" i="254"/>
  <c r="O14" i="254"/>
  <c r="F15" i="254"/>
  <c r="N15" i="254"/>
  <c r="E16" i="254"/>
  <c r="M16" i="254"/>
  <c r="D17" i="254"/>
  <c r="L17" i="254"/>
  <c r="C18" i="254"/>
  <c r="K18" i="254"/>
  <c r="B19" i="254"/>
  <c r="J19" i="254"/>
  <c r="A20" i="254"/>
  <c r="I20" i="254"/>
  <c r="Q20" i="254"/>
  <c r="H21" i="254"/>
  <c r="P21" i="254"/>
  <c r="G22" i="254"/>
  <c r="O22" i="254"/>
  <c r="G23" i="254"/>
  <c r="P23" i="254"/>
  <c r="H24" i="254"/>
  <c r="Q24" i="254"/>
  <c r="I25" i="254"/>
  <c r="A26" i="254"/>
  <c r="L26" i="254"/>
  <c r="E27" i="254"/>
  <c r="B28" i="254"/>
  <c r="N28" i="254"/>
  <c r="M29" i="254"/>
  <c r="J30" i="254"/>
  <c r="H31" i="254"/>
  <c r="I32" i="254"/>
  <c r="K33" i="254"/>
  <c r="L34" i="254"/>
  <c r="M35" i="254"/>
  <c r="N36" i="254"/>
  <c r="P37" i="254"/>
  <c r="Q38" i="254"/>
  <c r="A40" i="254"/>
  <c r="C41" i="254"/>
  <c r="D42" i="254"/>
  <c r="E43" i="254"/>
  <c r="F44" i="254"/>
  <c r="H45" i="254"/>
  <c r="I46" i="254"/>
  <c r="J47" i="254"/>
  <c r="L48" i="254"/>
  <c r="M49" i="254"/>
  <c r="N50" i="254"/>
  <c r="O51" i="254"/>
  <c r="Q52" i="254"/>
  <c r="A54" i="254"/>
  <c r="B55" i="254"/>
  <c r="D56" i="254"/>
  <c r="E57" i="254"/>
  <c r="F58" i="254"/>
  <c r="G59" i="254"/>
  <c r="I60" i="254"/>
  <c r="J61" i="254"/>
  <c r="K62" i="254"/>
  <c r="M63" i="254"/>
  <c r="N64" i="254"/>
  <c r="O65" i="254"/>
  <c r="P66" i="254"/>
  <c r="A68" i="254"/>
  <c r="B69" i="254"/>
  <c r="C70" i="254"/>
  <c r="E71" i="254"/>
  <c r="F72" i="254"/>
  <c r="G73" i="254"/>
  <c r="H74" i="254"/>
  <c r="J75" i="254"/>
  <c r="K76" i="254"/>
  <c r="L77" i="254"/>
  <c r="N78" i="254"/>
  <c r="O79" i="254"/>
  <c r="P80" i="254"/>
  <c r="Q81" i="254"/>
  <c r="B83" i="254"/>
  <c r="C84" i="254"/>
  <c r="D85" i="254"/>
  <c r="I86" i="254"/>
  <c r="M87" i="254"/>
  <c r="Q88" i="254"/>
  <c r="F90" i="254"/>
  <c r="O91" i="254"/>
  <c r="K93" i="254"/>
  <c r="C95" i="254"/>
  <c r="P96" i="254"/>
  <c r="P98" i="254"/>
  <c r="O101" i="254"/>
  <c r="Q104" i="254"/>
  <c r="E108" i="254"/>
  <c r="N111" i="254"/>
  <c r="B115" i="254"/>
  <c r="G118" i="254"/>
  <c r="I122" i="254"/>
  <c r="H126" i="254"/>
  <c r="G130" i="254"/>
  <c r="I134" i="254"/>
  <c r="Q138" i="254"/>
  <c r="Q143" i="254"/>
  <c r="A149" i="254"/>
  <c r="I154" i="254"/>
  <c r="E163" i="254"/>
  <c r="J176" i="254"/>
  <c r="G190" i="254"/>
  <c r="A3" i="254"/>
  <c r="N3" i="254"/>
  <c r="F4" i="254"/>
  <c r="O4" i="254"/>
  <c r="F5" i="254"/>
  <c r="O5" i="254"/>
  <c r="F6" i="254"/>
  <c r="O6" i="254"/>
  <c r="F7" i="254"/>
  <c r="O7" i="254"/>
  <c r="F8" i="254"/>
  <c r="N8" i="254"/>
  <c r="E9" i="254"/>
  <c r="M9" i="254"/>
  <c r="D10" i="254"/>
  <c r="L10" i="254"/>
  <c r="C11" i="254"/>
  <c r="K11" i="254"/>
  <c r="B12" i="254"/>
  <c r="J12" i="254"/>
  <c r="A13" i="254"/>
  <c r="I13" i="254"/>
  <c r="Q13" i="254"/>
  <c r="H14" i="254"/>
  <c r="P14" i="254"/>
  <c r="G15" i="254"/>
  <c r="O15" i="254"/>
  <c r="F16" i="254"/>
  <c r="N16" i="254"/>
  <c r="E17" i="254"/>
  <c r="M17" i="254"/>
  <c r="D18" i="254"/>
  <c r="L18" i="254"/>
  <c r="C19" i="254"/>
  <c r="K19" i="254"/>
  <c r="B20" i="254"/>
  <c r="J20" i="254"/>
  <c r="A21" i="254"/>
  <c r="I21" i="254"/>
  <c r="Q21" i="254"/>
  <c r="H22" i="254"/>
  <c r="P22" i="254"/>
  <c r="H23" i="254"/>
  <c r="Q23" i="254"/>
  <c r="I24" i="254"/>
  <c r="A25" i="254"/>
  <c r="J25" i="254"/>
  <c r="C26" i="254"/>
  <c r="M26" i="254"/>
  <c r="F27" i="254"/>
  <c r="C28" i="254"/>
  <c r="Q28" i="254"/>
  <c r="O29" i="254"/>
  <c r="N30" i="254"/>
  <c r="I31" i="254"/>
  <c r="J32" i="254"/>
  <c r="L33" i="254"/>
  <c r="M34" i="254"/>
  <c r="N35" i="254"/>
  <c r="P36" i="254"/>
  <c r="Q37" i="254"/>
  <c r="A39" i="254"/>
  <c r="B40" i="254"/>
  <c r="D41" i="254"/>
  <c r="E42" i="254"/>
  <c r="F43" i="254"/>
  <c r="H44" i="254"/>
  <c r="I45" i="254"/>
  <c r="J46" i="254"/>
  <c r="K47" i="254"/>
  <c r="M48" i="254"/>
  <c r="N49" i="254"/>
  <c r="O50" i="254"/>
  <c r="Q51" i="254"/>
  <c r="A53" i="254"/>
  <c r="B54" i="254"/>
  <c r="C55" i="254"/>
  <c r="E56" i="254"/>
  <c r="F57" i="254"/>
  <c r="G58" i="254"/>
  <c r="I59" i="254"/>
  <c r="J60" i="254"/>
  <c r="K61" i="254"/>
  <c r="L62" i="254"/>
  <c r="N63" i="254"/>
  <c r="O64" i="254"/>
  <c r="P65" i="254"/>
  <c r="A67" i="254"/>
  <c r="B68" i="254"/>
  <c r="C69" i="254"/>
  <c r="D70" i="254"/>
  <c r="F71" i="254"/>
  <c r="G72" i="254"/>
  <c r="H73" i="254"/>
  <c r="J74" i="254"/>
  <c r="K75" i="254"/>
  <c r="L76" i="254"/>
  <c r="M77" i="254"/>
  <c r="O78" i="254"/>
  <c r="P79" i="254"/>
  <c r="Q80" i="254"/>
  <c r="B82" i="254"/>
  <c r="C83" i="254"/>
  <c r="D84" i="254"/>
  <c r="E85" i="254"/>
  <c r="J86" i="254"/>
  <c r="O87" i="254"/>
  <c r="A89" i="254"/>
  <c r="H90" i="254"/>
  <c r="Q91" i="254"/>
  <c r="L93" i="254"/>
  <c r="E95" i="254"/>
  <c r="Q96" i="254"/>
  <c r="A99" i="254"/>
  <c r="P101" i="254"/>
  <c r="B105" i="254"/>
  <c r="I108" i="254"/>
  <c r="O111" i="254"/>
  <c r="C115" i="254"/>
  <c r="I118" i="254"/>
  <c r="K122" i="254"/>
  <c r="I126" i="254"/>
  <c r="L130" i="254"/>
  <c r="J134" i="254"/>
  <c r="B139" i="254"/>
  <c r="A144" i="254"/>
  <c r="B149" i="254"/>
  <c r="L154" i="254"/>
  <c r="F163" i="254"/>
  <c r="K176" i="254"/>
  <c r="I190" i="254"/>
  <c r="V1" i="257"/>
  <c r="W1" i="257"/>
  <c r="C12" i="251"/>
  <c r="C12" i="249"/>
  <c r="I2" i="248"/>
  <c r="C12" i="246"/>
  <c r="C12" i="245"/>
  <c r="C12" i="239"/>
  <c r="C12" i="238"/>
  <c r="C12" i="237"/>
  <c r="C12" i="236"/>
  <c r="C12" i="234"/>
  <c r="C12" i="233"/>
  <c r="C12" i="232"/>
  <c r="U1" i="231"/>
  <c r="V1" i="231"/>
  <c r="W1" i="231"/>
  <c r="M180" i="213"/>
  <c r="P182" i="213"/>
  <c r="P71" i="213"/>
  <c r="Q40" i="213"/>
  <c r="Q178" i="213"/>
  <c r="Q127" i="213"/>
  <c r="P53" i="213"/>
  <c r="O53" i="213"/>
  <c r="Q53" i="213" s="1"/>
  <c r="Q18" i="213"/>
  <c r="P98" i="213"/>
  <c r="O98" i="213"/>
  <c r="Q98" i="213" s="1"/>
  <c r="I178" i="213"/>
  <c r="C12" i="213"/>
  <c r="P31" i="213"/>
  <c r="P42" i="213"/>
  <c r="P83" i="213"/>
  <c r="P85" i="213"/>
  <c r="Q90" i="213"/>
  <c r="I112" i="213"/>
  <c r="Q113" i="213"/>
  <c r="Q128" i="213"/>
  <c r="P129" i="213"/>
  <c r="Q173" i="213"/>
  <c r="Q67" i="213"/>
  <c r="Q131" i="213"/>
  <c r="I156" i="213"/>
  <c r="I41" i="213"/>
  <c r="Q83" i="213"/>
  <c r="I21" i="213"/>
  <c r="Q21" i="213" s="1"/>
  <c r="P17" i="213"/>
  <c r="M51" i="213"/>
  <c r="Q51" i="213" s="1"/>
  <c r="P56" i="213"/>
  <c r="Q60" i="213"/>
  <c r="M95" i="213"/>
  <c r="Q132" i="213"/>
  <c r="P154" i="213"/>
  <c r="Q156" i="213"/>
  <c r="Q183" i="213"/>
  <c r="Q105" i="213"/>
  <c r="Q38" i="213"/>
  <c r="Q23" i="213"/>
  <c r="P64" i="213"/>
  <c r="Q116" i="213"/>
  <c r="Q155" i="213"/>
  <c r="P159" i="213"/>
  <c r="Q177" i="213"/>
  <c r="M195" i="213"/>
  <c r="Q195" i="213" s="1"/>
  <c r="Q69" i="213"/>
  <c r="I111" i="213"/>
  <c r="Q111" i="213" s="1"/>
  <c r="Q153" i="213"/>
  <c r="I177" i="213"/>
  <c r="Q25" i="213"/>
  <c r="Q46" i="213"/>
  <c r="P66" i="213"/>
  <c r="P133" i="213"/>
  <c r="Q158" i="213"/>
  <c r="I175" i="213"/>
  <c r="Q175" i="213" s="1"/>
  <c r="Q13" i="213"/>
  <c r="Q61" i="213"/>
  <c r="P128" i="213"/>
  <c r="I133" i="213"/>
  <c r="Q157" i="213"/>
  <c r="K174" i="213"/>
  <c r="M174" i="213" s="1"/>
  <c r="Q174" i="213" s="1"/>
  <c r="Q179" i="213"/>
  <c r="M138" i="213"/>
  <c r="M49" i="213"/>
  <c r="Q49" i="213" s="1"/>
  <c r="M114" i="213"/>
  <c r="Q114" i="213" s="1"/>
  <c r="Q180" i="213"/>
  <c r="M137" i="213"/>
  <c r="Q137" i="213" s="1"/>
  <c r="M161" i="213"/>
  <c r="Q161" i="213" s="1"/>
  <c r="Q95" i="213"/>
  <c r="P160" i="213"/>
  <c r="Q17" i="213"/>
  <c r="P72" i="213"/>
  <c r="P93" i="213"/>
  <c r="P136" i="213"/>
  <c r="Q138" i="213"/>
  <c r="P75" i="213"/>
  <c r="O75" i="213"/>
  <c r="Q75" i="213" s="1"/>
  <c r="C2" i="213"/>
  <c r="Q39" i="213"/>
  <c r="Q41" i="213"/>
  <c r="M22" i="213"/>
  <c r="Q22" i="213" s="1"/>
  <c r="P55" i="213"/>
  <c r="O55" i="213"/>
  <c r="Q55" i="213" s="1"/>
  <c r="O76" i="213"/>
  <c r="Q76" i="213" s="1"/>
  <c r="P76" i="213"/>
  <c r="P100" i="213"/>
  <c r="O100" i="213"/>
  <c r="Q100" i="213" s="1"/>
  <c r="P121" i="213"/>
  <c r="O121" i="213"/>
  <c r="Q121" i="213" s="1"/>
  <c r="Q44" i="213"/>
  <c r="Q66" i="213"/>
  <c r="M73" i="213"/>
  <c r="Q73" i="213" s="1"/>
  <c r="Q86" i="213"/>
  <c r="P97" i="213"/>
  <c r="I107" i="213"/>
  <c r="Q107" i="213" s="1"/>
  <c r="Q152" i="213"/>
  <c r="Q171" i="213"/>
  <c r="Q172" i="213"/>
  <c r="I20" i="213"/>
  <c r="P22" i="213"/>
  <c r="I24" i="213"/>
  <c r="Q24" i="213" s="1"/>
  <c r="I39" i="213"/>
  <c r="I43" i="213"/>
  <c r="P44" i="213"/>
  <c r="Q45" i="213"/>
  <c r="Q47" i="213"/>
  <c r="M50" i="213"/>
  <c r="Q50" i="213" s="1"/>
  <c r="P61" i="213"/>
  <c r="P67" i="213"/>
  <c r="Q72" i="213"/>
  <c r="P78" i="213"/>
  <c r="P86" i="213"/>
  <c r="Q87" i="213"/>
  <c r="Q88" i="213"/>
  <c r="M94" i="213"/>
  <c r="Q94" i="213" s="1"/>
  <c r="Q149" i="213"/>
  <c r="Q150" i="213"/>
  <c r="Q151" i="213"/>
  <c r="Q154" i="213"/>
  <c r="M26" i="213"/>
  <c r="Q26" i="213" s="1"/>
  <c r="I64" i="213"/>
  <c r="Q64" i="213" s="1"/>
  <c r="K84" i="213"/>
  <c r="M84" i="213" s="1"/>
  <c r="Q84" i="213" s="1"/>
  <c r="P119" i="213"/>
  <c r="O119" i="213"/>
  <c r="Q119" i="213" s="1"/>
  <c r="P166" i="213"/>
  <c r="O166" i="213"/>
  <c r="Q166" i="213" s="1"/>
  <c r="P40" i="213"/>
  <c r="P45" i="213"/>
  <c r="P46" i="213"/>
  <c r="Q68" i="213"/>
  <c r="P87" i="213"/>
  <c r="P88" i="213"/>
  <c r="Q89" i="213"/>
  <c r="Q93" i="213"/>
  <c r="P122" i="213"/>
  <c r="O122" i="213"/>
  <c r="Q122" i="213" s="1"/>
  <c r="Q108" i="213"/>
  <c r="Q109" i="213"/>
  <c r="Q112" i="213"/>
  <c r="Q136" i="213"/>
  <c r="Q160" i="213"/>
  <c r="P185" i="213"/>
  <c r="P68" i="213"/>
  <c r="P89" i="213"/>
  <c r="P90" i="213"/>
  <c r="P108" i="213"/>
  <c r="P117" i="213"/>
  <c r="M117" i="213"/>
  <c r="Q117" i="213" s="1"/>
  <c r="Q134" i="213"/>
  <c r="O144" i="213"/>
  <c r="Q144" i="213" s="1"/>
  <c r="P181" i="213"/>
  <c r="M181" i="213"/>
  <c r="Q181" i="213" s="1"/>
  <c r="Q196" i="213"/>
  <c r="K42" i="213"/>
  <c r="M42" i="213" s="1"/>
  <c r="Q42" i="213" s="1"/>
  <c r="Q16" i="213"/>
  <c r="P19" i="213"/>
  <c r="Q48" i="213"/>
  <c r="O99" i="213"/>
  <c r="Q99" i="213" s="1"/>
  <c r="Q129" i="213"/>
  <c r="Q130" i="213"/>
  <c r="Q133" i="213"/>
  <c r="G191" i="213"/>
  <c r="Q176" i="213"/>
  <c r="Q65" i="213"/>
  <c r="N163" i="213"/>
  <c r="Q135" i="213"/>
  <c r="N187" i="213"/>
  <c r="Q159" i="213"/>
  <c r="P164" i="213"/>
  <c r="O164" i="213"/>
  <c r="Q164" i="213" s="1"/>
  <c r="Q20" i="213"/>
  <c r="P23" i="213"/>
  <c r="O34" i="213"/>
  <c r="Q34" i="213" s="1"/>
  <c r="P48" i="213"/>
  <c r="O77" i="213"/>
  <c r="Q77" i="213" s="1"/>
  <c r="Q91" i="213"/>
  <c r="P120" i="213"/>
  <c r="O120" i="213"/>
  <c r="Q120" i="213" s="1"/>
  <c r="I110" i="213"/>
  <c r="Q110" i="213" s="1"/>
  <c r="I191" i="213"/>
  <c r="P183" i="213"/>
  <c r="P109" i="213"/>
  <c r="M115" i="213"/>
  <c r="Q115" i="213" s="1"/>
  <c r="P130" i="213"/>
  <c r="P134" i="213"/>
  <c r="M139" i="213"/>
  <c r="Q139" i="213" s="1"/>
  <c r="O141" i="213"/>
  <c r="Q141" i="213" s="1"/>
  <c r="O143" i="213"/>
  <c r="Q143" i="213" s="1"/>
  <c r="P151" i="213"/>
  <c r="P155" i="213"/>
  <c r="M170" i="213"/>
  <c r="Q170" i="213" s="1"/>
  <c r="P172" i="213"/>
  <c r="P176" i="213"/>
  <c r="O186" i="213"/>
  <c r="Q186" i="213" s="1"/>
  <c r="O188" i="213"/>
  <c r="Q188" i="213" s="1"/>
  <c r="O165" i="213"/>
  <c r="Q165" i="213" s="1"/>
  <c r="Q170" i="66"/>
  <c r="Q182" i="66"/>
  <c r="Q174" i="66"/>
  <c r="Q177" i="66"/>
  <c r="Q173" i="66"/>
  <c r="Q171" i="66"/>
  <c r="Q178" i="66"/>
  <c r="Q176" i="66"/>
  <c r="K171" i="66"/>
  <c r="M171" i="66" s="1"/>
  <c r="K175" i="66"/>
  <c r="M175" i="66" s="1"/>
  <c r="Q175" i="66" s="1"/>
  <c r="P174" i="66"/>
  <c r="P178" i="66"/>
  <c r="M183" i="66"/>
  <c r="Q183" i="66" s="1"/>
  <c r="O185" i="66"/>
  <c r="Q185" i="66" s="1"/>
  <c r="O187" i="66"/>
  <c r="Q187" i="66" s="1"/>
  <c r="I172" i="66"/>
  <c r="Q172" i="66" s="1"/>
  <c r="M182" i="66"/>
  <c r="M181" i="66"/>
  <c r="Q181" i="66" s="1"/>
  <c r="I176" i="66"/>
  <c r="Q114" i="66"/>
  <c r="P136" i="66"/>
  <c r="P158" i="66"/>
  <c r="P139" i="66"/>
  <c r="M137" i="66"/>
  <c r="Q137" i="66" s="1"/>
  <c r="Q149" i="66"/>
  <c r="Q156" i="66"/>
  <c r="Q152" i="66"/>
  <c r="Q155" i="66"/>
  <c r="Q151" i="66"/>
  <c r="Q154" i="66"/>
  <c r="K149" i="66"/>
  <c r="M149" i="66" s="1"/>
  <c r="K153" i="66"/>
  <c r="M153" i="66" s="1"/>
  <c r="Q153" i="66" s="1"/>
  <c r="M115" i="66"/>
  <c r="Q115" i="66" s="1"/>
  <c r="P152" i="66"/>
  <c r="P156" i="66"/>
  <c r="M161" i="66"/>
  <c r="Q161" i="66" s="1"/>
  <c r="O163" i="66"/>
  <c r="Q163" i="66" s="1"/>
  <c r="O165" i="66"/>
  <c r="Q165" i="66" s="1"/>
  <c r="M93" i="66"/>
  <c r="Q93" i="66" s="1"/>
  <c r="P138" i="66"/>
  <c r="M160" i="66"/>
  <c r="Q160" i="66" s="1"/>
  <c r="M159" i="66"/>
  <c r="Q159" i="66" s="1"/>
  <c r="I150" i="66"/>
  <c r="Q150" i="66" s="1"/>
  <c r="Q136" i="66"/>
  <c r="I154" i="66"/>
  <c r="Q134" i="66"/>
  <c r="Q129" i="66"/>
  <c r="Q133" i="66"/>
  <c r="Q138" i="66"/>
  <c r="P48" i="66"/>
  <c r="P114" i="66"/>
  <c r="P117" i="66"/>
  <c r="P129" i="66"/>
  <c r="P133" i="66"/>
  <c r="M70" i="66"/>
  <c r="Q70" i="66" s="1"/>
  <c r="P130" i="66"/>
  <c r="P134" i="66"/>
  <c r="O141" i="66"/>
  <c r="Q141" i="66" s="1"/>
  <c r="O143" i="66"/>
  <c r="Q143" i="66" s="1"/>
  <c r="P116" i="66"/>
  <c r="K128" i="66"/>
  <c r="M128" i="66" s="1"/>
  <c r="Q128" i="66" s="1"/>
  <c r="K132" i="66"/>
  <c r="M132" i="66" s="1"/>
  <c r="Q132" i="66" s="1"/>
  <c r="P56" i="66"/>
  <c r="Q108" i="66"/>
  <c r="Q112" i="66"/>
  <c r="Q107" i="66"/>
  <c r="Q111" i="66"/>
  <c r="Q116" i="66"/>
  <c r="P92" i="66"/>
  <c r="P95" i="66"/>
  <c r="P107" i="66"/>
  <c r="P111" i="66"/>
  <c r="P108" i="66"/>
  <c r="P112" i="66"/>
  <c r="O119" i="66"/>
  <c r="Q119" i="66" s="1"/>
  <c r="O121" i="66"/>
  <c r="Q121" i="66" s="1"/>
  <c r="P94" i="66"/>
  <c r="Q92" i="66"/>
  <c r="Q90" i="66"/>
  <c r="Q86" i="66"/>
  <c r="Q89" i="66"/>
  <c r="Q94" i="66"/>
  <c r="Q85" i="66"/>
  <c r="Q84" i="66"/>
  <c r="Q72" i="66"/>
  <c r="P85" i="66"/>
  <c r="P89" i="66"/>
  <c r="I84" i="66"/>
  <c r="I88" i="66"/>
  <c r="Q88" i="66" s="1"/>
  <c r="P86" i="66"/>
  <c r="P90" i="66"/>
  <c r="O97" i="66"/>
  <c r="Q97" i="66" s="1"/>
  <c r="O99" i="66"/>
  <c r="Q99" i="66" s="1"/>
  <c r="Q50" i="66"/>
  <c r="P72" i="66"/>
  <c r="Q67" i="66"/>
  <c r="Q68" i="66"/>
  <c r="Q66" i="66"/>
  <c r="P50" i="66"/>
  <c r="M73" i="66"/>
  <c r="Q73" i="66" s="1"/>
  <c r="O75" i="66"/>
  <c r="Q75" i="66" s="1"/>
  <c r="O77" i="66"/>
  <c r="Q77" i="66" s="1"/>
  <c r="K61" i="66"/>
  <c r="M61" i="66" s="1"/>
  <c r="Q61" i="66" s="1"/>
  <c r="I66" i="66"/>
  <c r="P65" i="66"/>
  <c r="M71" i="66"/>
  <c r="Q71" i="66" s="1"/>
  <c r="I62" i="66"/>
  <c r="Q62" i="66" s="1"/>
  <c r="M51" i="66"/>
  <c r="Q51" i="66" s="1"/>
  <c r="O53" i="66"/>
  <c r="Q53" i="66" s="1"/>
  <c r="O55" i="66"/>
  <c r="Q55" i="66" s="1"/>
  <c r="M49" i="66"/>
  <c r="Q49" i="66" s="1"/>
  <c r="I44" i="66"/>
  <c r="Q44" i="66" s="1"/>
  <c r="I40" i="66"/>
  <c r="Q40" i="66" s="1"/>
  <c r="Q23" i="66"/>
  <c r="Q22" i="66"/>
  <c r="Q24" i="66"/>
  <c r="I20" i="66"/>
  <c r="Q20" i="66" s="1"/>
  <c r="I24" i="66"/>
  <c r="P18" i="66"/>
  <c r="P19" i="66"/>
  <c r="P23" i="66"/>
  <c r="P54" i="65"/>
  <c r="I54" i="65"/>
  <c r="Q54" i="65" s="1"/>
  <c r="P137" i="65"/>
  <c r="I137" i="65"/>
  <c r="Q31" i="65"/>
  <c r="Q62" i="65"/>
  <c r="Q21" i="65"/>
  <c r="I38" i="65"/>
  <c r="Q38" i="65" s="1"/>
  <c r="P45" i="65"/>
  <c r="P83" i="65"/>
  <c r="P114" i="65"/>
  <c r="Q49" i="65"/>
  <c r="Q64" i="65"/>
  <c r="P17" i="65"/>
  <c r="Q23" i="65"/>
  <c r="P29" i="65"/>
  <c r="P42" i="65"/>
  <c r="I46" i="65"/>
  <c r="Q46" i="65" s="1"/>
  <c r="I66" i="65"/>
  <c r="Q66" i="65" s="1"/>
  <c r="P66" i="65"/>
  <c r="P71" i="65"/>
  <c r="I71" i="65"/>
  <c r="Q74" i="65"/>
  <c r="P19" i="65"/>
  <c r="K19" i="65"/>
  <c r="M19" i="65" s="1"/>
  <c r="Q19" i="65" s="1"/>
  <c r="Q102" i="65"/>
  <c r="I89" i="65"/>
  <c r="Q89" i="65" s="1"/>
  <c r="P89" i="65"/>
  <c r="P35" i="65"/>
  <c r="K35" i="65"/>
  <c r="M35" i="65" s="1"/>
  <c r="Q35" i="65" s="1"/>
  <c r="Q48" i="65"/>
  <c r="Q52" i="65"/>
  <c r="P62" i="65"/>
  <c r="I62" i="65"/>
  <c r="P69" i="65"/>
  <c r="I80" i="65"/>
  <c r="Q80" i="65" s="1"/>
  <c r="P80" i="65"/>
  <c r="Q137" i="65"/>
  <c r="P21" i="65"/>
  <c r="Q36" i="65"/>
  <c r="P43" i="65"/>
  <c r="K43" i="65"/>
  <c r="M43" i="65" s="1"/>
  <c r="Q43" i="65" s="1"/>
  <c r="M45" i="65"/>
  <c r="Q45" i="65" s="1"/>
  <c r="Q55" i="65"/>
  <c r="P85" i="65"/>
  <c r="I85" i="65"/>
  <c r="Q111" i="65"/>
  <c r="Q129" i="65"/>
  <c r="P27" i="65"/>
  <c r="K27" i="65"/>
  <c r="M27" i="65" s="1"/>
  <c r="Q27" i="65" s="1"/>
  <c r="Q44" i="65"/>
  <c r="Q71" i="65"/>
  <c r="P94" i="65"/>
  <c r="I94" i="65"/>
  <c r="Q94" i="65" s="1"/>
  <c r="P118" i="65"/>
  <c r="I118" i="65"/>
  <c r="Q118" i="65" s="1"/>
  <c r="Q135" i="65"/>
  <c r="Q39" i="65"/>
  <c r="P41" i="65"/>
  <c r="I57" i="65"/>
  <c r="Q57" i="65" s="1"/>
  <c r="P57" i="65"/>
  <c r="Q78" i="65"/>
  <c r="P179" i="65"/>
  <c r="P23" i="65"/>
  <c r="P31" i="65"/>
  <c r="P39" i="65"/>
  <c r="K51" i="65"/>
  <c r="M51" i="65" s="1"/>
  <c r="Q51" i="65" s="1"/>
  <c r="Q60" i="65"/>
  <c r="P63" i="65"/>
  <c r="P64" i="65"/>
  <c r="P73" i="65"/>
  <c r="K84" i="65"/>
  <c r="M84" i="65" s="1"/>
  <c r="P86" i="65"/>
  <c r="Q92" i="65"/>
  <c r="P95" i="65"/>
  <c r="P96" i="65"/>
  <c r="I101" i="65"/>
  <c r="P109" i="65"/>
  <c r="P113" i="65"/>
  <c r="M116" i="65"/>
  <c r="Q116" i="65" s="1"/>
  <c r="I120" i="65"/>
  <c r="Q120" i="65" s="1"/>
  <c r="P120" i="65"/>
  <c r="P122" i="65"/>
  <c r="Q124" i="65"/>
  <c r="M131" i="65"/>
  <c r="P139" i="65"/>
  <c r="M141" i="65"/>
  <c r="Q149" i="65"/>
  <c r="P153" i="65"/>
  <c r="I153" i="65"/>
  <c r="Q153" i="65" s="1"/>
  <c r="Q163" i="65"/>
  <c r="Q164" i="65"/>
  <c r="Q165" i="65"/>
  <c r="P169" i="65"/>
  <c r="I169" i="65"/>
  <c r="Q169" i="65" s="1"/>
  <c r="Q179" i="65"/>
  <c r="Q180" i="65"/>
  <c r="Q181" i="65"/>
  <c r="Q182" i="65"/>
  <c r="I135" i="65"/>
  <c r="P135" i="65"/>
  <c r="P163" i="65"/>
  <c r="I63" i="65"/>
  <c r="Q63" i="65" s="1"/>
  <c r="Q83" i="65"/>
  <c r="M85" i="65"/>
  <c r="Q85" i="65" s="1"/>
  <c r="I86" i="65"/>
  <c r="Q86" i="65" s="1"/>
  <c r="I95" i="65"/>
  <c r="Q95" i="65" s="1"/>
  <c r="P97" i="65"/>
  <c r="M100" i="65"/>
  <c r="I102" i="65"/>
  <c r="P104" i="65"/>
  <c r="M107" i="65"/>
  <c r="Q107" i="65" s="1"/>
  <c r="I111" i="65"/>
  <c r="P111" i="65"/>
  <c r="Q115" i="65"/>
  <c r="M117" i="65"/>
  <c r="Q125" i="65"/>
  <c r="Q126" i="65"/>
  <c r="M132" i="65"/>
  <c r="Q136" i="65"/>
  <c r="Q139" i="65"/>
  <c r="Q140" i="65"/>
  <c r="Q143" i="65"/>
  <c r="P185" i="65"/>
  <c r="I185" i="65"/>
  <c r="Q185" i="65" s="1"/>
  <c r="Q59" i="65"/>
  <c r="Q91" i="65"/>
  <c r="I119" i="65"/>
  <c r="Q119" i="65" s="1"/>
  <c r="P119" i="65"/>
  <c r="P56" i="65"/>
  <c r="P61" i="65"/>
  <c r="P65" i="65"/>
  <c r="P74" i="65"/>
  <c r="M76" i="65"/>
  <c r="P78" i="65"/>
  <c r="Q84" i="65"/>
  <c r="P87" i="65"/>
  <c r="P88" i="65"/>
  <c r="P93" i="65"/>
  <c r="Q99" i="65"/>
  <c r="M101" i="65"/>
  <c r="Q101" i="65" s="1"/>
  <c r="I103" i="65"/>
  <c r="Q103" i="65" s="1"/>
  <c r="P103" i="65"/>
  <c r="P105" i="65"/>
  <c r="Q106" i="65"/>
  <c r="M108" i="65"/>
  <c r="I112" i="65"/>
  <c r="Q112" i="65" s="1"/>
  <c r="P112" i="65"/>
  <c r="P115" i="65"/>
  <c r="Q131" i="65"/>
  <c r="M133" i="65"/>
  <c r="Q133" i="65" s="1"/>
  <c r="Q141" i="65"/>
  <c r="Q142" i="65"/>
  <c r="M157" i="65"/>
  <c r="Q157" i="65" s="1"/>
  <c r="Q159" i="65"/>
  <c r="M173" i="65"/>
  <c r="Q175" i="65"/>
  <c r="P24" i="65"/>
  <c r="P32" i="65"/>
  <c r="P40" i="65"/>
  <c r="P48" i="65"/>
  <c r="Q75" i="65"/>
  <c r="M77" i="65"/>
  <c r="Q77" i="65" s="1"/>
  <c r="P98" i="65"/>
  <c r="Q100" i="65"/>
  <c r="M109" i="65"/>
  <c r="Q109" i="65" s="1"/>
  <c r="Q117" i="65"/>
  <c r="P130" i="65"/>
  <c r="Q132" i="65"/>
  <c r="P145" i="65"/>
  <c r="I145" i="65"/>
  <c r="Q145" i="65" s="1"/>
  <c r="P149" i="65"/>
  <c r="M189" i="65"/>
  <c r="Q189" i="65" s="1"/>
  <c r="Q76" i="65"/>
  <c r="P79" i="65"/>
  <c r="Q108" i="65"/>
  <c r="I127" i="65"/>
  <c r="Q127" i="65" s="1"/>
  <c r="P127" i="65"/>
  <c r="I128" i="65"/>
  <c r="Q128" i="65" s="1"/>
  <c r="P128" i="65"/>
  <c r="Q156" i="65"/>
  <c r="P161" i="65"/>
  <c r="I161" i="65"/>
  <c r="Q161" i="65" s="1"/>
  <c r="Q172" i="65"/>
  <c r="Q173" i="65"/>
  <c r="P177" i="65"/>
  <c r="I177" i="65"/>
  <c r="Q177" i="65" s="1"/>
  <c r="P187" i="65"/>
  <c r="Q67" i="65"/>
  <c r="M69" i="65"/>
  <c r="Q69" i="65" s="1"/>
  <c r="I70" i="65"/>
  <c r="Q70" i="65" s="1"/>
  <c r="I79" i="65"/>
  <c r="Q79" i="65" s="1"/>
  <c r="M123" i="65"/>
  <c r="Q123" i="65" s="1"/>
  <c r="P129" i="65"/>
  <c r="I129" i="65"/>
  <c r="Q186" i="65"/>
  <c r="Q187" i="65"/>
  <c r="Q188" i="65"/>
  <c r="Q190" i="65"/>
  <c r="P143" i="65"/>
  <c r="P151" i="65"/>
  <c r="P159" i="65"/>
  <c r="P167" i="65"/>
  <c r="P175" i="65"/>
  <c r="P183" i="65"/>
  <c r="P138" i="65"/>
  <c r="P157" i="65"/>
  <c r="P165" i="65"/>
  <c r="P173" i="65"/>
  <c r="P181" i="65"/>
  <c r="P189" i="65"/>
  <c r="P136" i="65"/>
  <c r="P144" i="65"/>
  <c r="H11" i="215"/>
  <c r="G11" i="215"/>
  <c r="F11" i="215"/>
  <c r="E11" i="215"/>
  <c r="D11" i="215"/>
  <c r="D10" i="215"/>
  <c r="E10" i="215"/>
  <c r="F10" i="215"/>
  <c r="G10" i="215"/>
  <c r="H10" i="215"/>
  <c r="H9" i="215"/>
  <c r="G9" i="215"/>
  <c r="F9" i="215"/>
  <c r="E9" i="215"/>
  <c r="D9" i="215"/>
  <c r="A1" i="29"/>
  <c r="Q199" i="221"/>
  <c r="G2" i="221" s="1"/>
  <c r="K199" i="221"/>
  <c r="I199" i="221"/>
  <c r="G199" i="221"/>
  <c r="Q197" i="221"/>
  <c r="O197" i="221"/>
  <c r="O199" i="221" s="1"/>
  <c r="M197" i="221"/>
  <c r="M199" i="221" s="1"/>
  <c r="K197" i="221"/>
  <c r="I197" i="221"/>
  <c r="G197" i="221"/>
  <c r="C197" i="221"/>
  <c r="Q10" i="221"/>
  <c r="O10" i="221"/>
  <c r="F2" i="221" s="1"/>
  <c r="M10" i="221"/>
  <c r="K10" i="221"/>
  <c r="I10" i="221"/>
  <c r="G10" i="221"/>
  <c r="C10" i="221"/>
  <c r="I2" i="221" s="1"/>
  <c r="B10" i="221"/>
  <c r="C6" i="221"/>
  <c r="H2" i="221" s="1"/>
  <c r="C3" i="221"/>
  <c r="E2" i="221"/>
  <c r="D2" i="221"/>
  <c r="C2" i="221"/>
  <c r="B2" i="221"/>
  <c r="A2" i="221"/>
  <c r="I1" i="221"/>
  <c r="H1" i="221"/>
  <c r="G1" i="221"/>
  <c r="F1" i="221"/>
  <c r="E1" i="221"/>
  <c r="D1" i="221"/>
  <c r="C1" i="221"/>
  <c r="B1" i="221"/>
  <c r="A1" i="221"/>
  <c r="I199" i="220"/>
  <c r="G199" i="220"/>
  <c r="Q197" i="220"/>
  <c r="Q199" i="220" s="1"/>
  <c r="G2" i="220" s="1"/>
  <c r="O197" i="220"/>
  <c r="O199" i="220" s="1"/>
  <c r="M197" i="220"/>
  <c r="M199" i="220" s="1"/>
  <c r="K197" i="220"/>
  <c r="K199" i="220" s="1"/>
  <c r="I197" i="220"/>
  <c r="G197" i="220"/>
  <c r="C197" i="220"/>
  <c r="C12" i="220"/>
  <c r="Q10" i="220"/>
  <c r="O10" i="220"/>
  <c r="F2" i="220" s="1"/>
  <c r="M10" i="220"/>
  <c r="K10" i="220"/>
  <c r="I10" i="220"/>
  <c r="G10" i="220"/>
  <c r="C10" i="220"/>
  <c r="I2" i="220" s="1"/>
  <c r="B10" i="220"/>
  <c r="C6" i="220"/>
  <c r="H2" i="220" s="1"/>
  <c r="C3" i="220"/>
  <c r="E2" i="220"/>
  <c r="D2" i="220"/>
  <c r="C2" i="220"/>
  <c r="B2" i="220"/>
  <c r="A2" i="220"/>
  <c r="I1" i="220"/>
  <c r="H1" i="220"/>
  <c r="G1" i="220"/>
  <c r="F1" i="220"/>
  <c r="E1" i="220"/>
  <c r="D1" i="220"/>
  <c r="C1" i="220"/>
  <c r="B1" i="220"/>
  <c r="A1" i="220"/>
  <c r="K199" i="212"/>
  <c r="I199" i="212"/>
  <c r="G199" i="212"/>
  <c r="Q197" i="212"/>
  <c r="Q199" i="212" s="1"/>
  <c r="G2" i="212" s="1"/>
  <c r="O197" i="212"/>
  <c r="O199" i="212" s="1"/>
  <c r="M197" i="212"/>
  <c r="M199" i="212" s="1"/>
  <c r="K197" i="212"/>
  <c r="I197" i="212"/>
  <c r="G197" i="212"/>
  <c r="C197" i="212"/>
  <c r="C12" i="212"/>
  <c r="Q10" i="212"/>
  <c r="O10" i="212"/>
  <c r="F2" i="212" s="1"/>
  <c r="M10" i="212"/>
  <c r="K10" i="212"/>
  <c r="I10" i="212"/>
  <c r="G10" i="212"/>
  <c r="C10" i="212"/>
  <c r="I2" i="212" s="1"/>
  <c r="B10" i="212"/>
  <c r="C6" i="212"/>
  <c r="H2" i="212" s="1"/>
  <c r="C3" i="212"/>
  <c r="E2" i="212"/>
  <c r="D2" i="212"/>
  <c r="C2" i="212"/>
  <c r="B2" i="212"/>
  <c r="A2" i="212"/>
  <c r="I1" i="212"/>
  <c r="H1" i="212"/>
  <c r="G1" i="212"/>
  <c r="F1" i="212"/>
  <c r="E1" i="212"/>
  <c r="D1" i="212"/>
  <c r="C1" i="212"/>
  <c r="B1" i="212"/>
  <c r="A1" i="212"/>
  <c r="Q199" i="211"/>
  <c r="M199" i="211"/>
  <c r="G199" i="211"/>
  <c r="Q197" i="211"/>
  <c r="O197" i="211"/>
  <c r="O199" i="211" s="1"/>
  <c r="M197" i="211"/>
  <c r="K197" i="211"/>
  <c r="K199" i="211" s="1"/>
  <c r="I197" i="211"/>
  <c r="I199" i="211" s="1"/>
  <c r="G197" i="211"/>
  <c r="C197" i="211"/>
  <c r="C12" i="211"/>
  <c r="Q10" i="211"/>
  <c r="O10" i="211"/>
  <c r="F2" i="211" s="1"/>
  <c r="M10" i="211"/>
  <c r="K10" i="211"/>
  <c r="I10" i="211"/>
  <c r="G10" i="211"/>
  <c r="C10" i="211"/>
  <c r="I2" i="211" s="1"/>
  <c r="B10" i="211"/>
  <c r="C6" i="211"/>
  <c r="H2" i="211" s="1"/>
  <c r="C3" i="211"/>
  <c r="G2" i="211"/>
  <c r="E2" i="211"/>
  <c r="D2" i="211"/>
  <c r="C2" i="211"/>
  <c r="B2" i="211"/>
  <c r="A2" i="211"/>
  <c r="I1" i="211"/>
  <c r="H1" i="211"/>
  <c r="G1" i="211"/>
  <c r="F1" i="211"/>
  <c r="E1" i="211"/>
  <c r="D1" i="211"/>
  <c r="C1" i="211"/>
  <c r="B1" i="211"/>
  <c r="A1" i="211"/>
  <c r="Q199" i="210"/>
  <c r="M199" i="210"/>
  <c r="G199" i="210"/>
  <c r="Q197" i="210"/>
  <c r="O197" i="210"/>
  <c r="O199" i="210" s="1"/>
  <c r="M197" i="210"/>
  <c r="K197" i="210"/>
  <c r="K199" i="210" s="1"/>
  <c r="I197" i="210"/>
  <c r="I199" i="210" s="1"/>
  <c r="G197" i="210"/>
  <c r="C197" i="210"/>
  <c r="C12" i="210"/>
  <c r="Q10" i="210"/>
  <c r="O10" i="210"/>
  <c r="F2" i="210" s="1"/>
  <c r="M10" i="210"/>
  <c r="K10" i="210"/>
  <c r="I10" i="210"/>
  <c r="G10" i="210"/>
  <c r="C10" i="210"/>
  <c r="I2" i="210" s="1"/>
  <c r="B10" i="210"/>
  <c r="C6" i="210"/>
  <c r="H2" i="210" s="1"/>
  <c r="C3" i="210"/>
  <c r="G2" i="210"/>
  <c r="E2" i="210"/>
  <c r="D2" i="210"/>
  <c r="C2" i="210"/>
  <c r="B2" i="210"/>
  <c r="A2" i="210"/>
  <c r="I1" i="210"/>
  <c r="H1" i="210"/>
  <c r="G1" i="210"/>
  <c r="F1" i="210"/>
  <c r="E1" i="210"/>
  <c r="D1" i="210"/>
  <c r="C1" i="210"/>
  <c r="B1" i="210"/>
  <c r="A1" i="210"/>
  <c r="I199" i="209"/>
  <c r="G199" i="209"/>
  <c r="Q197" i="209"/>
  <c r="Q199" i="209" s="1"/>
  <c r="G2" i="209" s="1"/>
  <c r="O197" i="209"/>
  <c r="O199" i="209" s="1"/>
  <c r="M197" i="209"/>
  <c r="M199" i="209" s="1"/>
  <c r="K197" i="209"/>
  <c r="K199" i="209" s="1"/>
  <c r="I197" i="209"/>
  <c r="G197" i="209"/>
  <c r="C197" i="209"/>
  <c r="Q10" i="209"/>
  <c r="O10" i="209"/>
  <c r="F2" i="209" s="1"/>
  <c r="M10" i="209"/>
  <c r="K10" i="209"/>
  <c r="I10" i="209"/>
  <c r="G10" i="209"/>
  <c r="C10" i="209"/>
  <c r="I2" i="209" s="1"/>
  <c r="B10" i="209"/>
  <c r="C6" i="209"/>
  <c r="H2" i="209" s="1"/>
  <c r="C3" i="209"/>
  <c r="E2" i="209"/>
  <c r="D2" i="209"/>
  <c r="C2" i="209"/>
  <c r="B2" i="209"/>
  <c r="A2" i="209"/>
  <c r="I1" i="209"/>
  <c r="H1" i="209"/>
  <c r="G1" i="209"/>
  <c r="F1" i="209"/>
  <c r="E1" i="209"/>
  <c r="D1" i="209"/>
  <c r="C1" i="209"/>
  <c r="B1" i="209"/>
  <c r="A1" i="209"/>
  <c r="I199" i="183"/>
  <c r="Q197" i="183"/>
  <c r="Q199" i="183" s="1"/>
  <c r="G2" i="183" s="1"/>
  <c r="O197" i="183"/>
  <c r="O199" i="183" s="1"/>
  <c r="M197" i="183"/>
  <c r="M199" i="183" s="1"/>
  <c r="K197" i="183"/>
  <c r="K199" i="183" s="1"/>
  <c r="I197" i="183"/>
  <c r="G197" i="183"/>
  <c r="G199" i="183" s="1"/>
  <c r="C197" i="183"/>
  <c r="Q10" i="183"/>
  <c r="O10" i="183"/>
  <c r="F2" i="183" s="1"/>
  <c r="M10" i="183"/>
  <c r="K10" i="183"/>
  <c r="I10" i="183"/>
  <c r="G10" i="183"/>
  <c r="C10" i="183"/>
  <c r="I2" i="183" s="1"/>
  <c r="B10" i="183"/>
  <c r="C6" i="183"/>
  <c r="H2" i="183" s="1"/>
  <c r="C3" i="183"/>
  <c r="E2" i="183"/>
  <c r="D2" i="183"/>
  <c r="C2" i="183"/>
  <c r="B2" i="183"/>
  <c r="A2" i="183"/>
  <c r="I1" i="183"/>
  <c r="H1" i="183"/>
  <c r="G1" i="183"/>
  <c r="F1" i="183"/>
  <c r="E1" i="183"/>
  <c r="D1" i="183"/>
  <c r="C1" i="183"/>
  <c r="B1" i="183"/>
  <c r="A1" i="183"/>
  <c r="I199" i="182"/>
  <c r="G199" i="182"/>
  <c r="Q197" i="182"/>
  <c r="Q199" i="182" s="1"/>
  <c r="G2" i="182" s="1"/>
  <c r="O197" i="182"/>
  <c r="O199" i="182" s="1"/>
  <c r="M197" i="182"/>
  <c r="M199" i="182" s="1"/>
  <c r="K197" i="182"/>
  <c r="K199" i="182" s="1"/>
  <c r="I197" i="182"/>
  <c r="G197" i="182"/>
  <c r="C197" i="182"/>
  <c r="C12" i="182"/>
  <c r="Q10" i="182"/>
  <c r="O10" i="182"/>
  <c r="F2" i="182" s="1"/>
  <c r="M10" i="182"/>
  <c r="K10" i="182"/>
  <c r="I10" i="182"/>
  <c r="G10" i="182"/>
  <c r="C10" i="182"/>
  <c r="I2" i="182" s="1"/>
  <c r="B10" i="182"/>
  <c r="C6" i="182"/>
  <c r="H2" i="182" s="1"/>
  <c r="C3" i="182"/>
  <c r="E2" i="182"/>
  <c r="D2" i="182"/>
  <c r="C2" i="182"/>
  <c r="B2" i="182"/>
  <c r="A2" i="182"/>
  <c r="I1" i="182"/>
  <c r="H1" i="182"/>
  <c r="G1" i="182"/>
  <c r="F1" i="182"/>
  <c r="E1" i="182"/>
  <c r="D1" i="182"/>
  <c r="C1" i="182"/>
  <c r="B1" i="182"/>
  <c r="A1" i="182"/>
  <c r="K199" i="180"/>
  <c r="Q197" i="180"/>
  <c r="Q199" i="180" s="1"/>
  <c r="G2" i="180" s="1"/>
  <c r="O197" i="180"/>
  <c r="O199" i="180" s="1"/>
  <c r="M197" i="180"/>
  <c r="M199" i="180" s="1"/>
  <c r="K197" i="180"/>
  <c r="I197" i="180"/>
  <c r="I199" i="180" s="1"/>
  <c r="G197" i="180"/>
  <c r="G199" i="180" s="1"/>
  <c r="C197" i="180"/>
  <c r="Q10" i="180"/>
  <c r="O10" i="180"/>
  <c r="F2" i="180" s="1"/>
  <c r="M10" i="180"/>
  <c r="K10" i="180"/>
  <c r="I10" i="180"/>
  <c r="D2" i="180" s="1"/>
  <c r="G10" i="180"/>
  <c r="C10" i="180"/>
  <c r="I2" i="180" s="1"/>
  <c r="B10" i="180"/>
  <c r="C6" i="180"/>
  <c r="H2" i="180" s="1"/>
  <c r="C3" i="180"/>
  <c r="E2" i="180"/>
  <c r="C2" i="180"/>
  <c r="B2" i="180"/>
  <c r="A2" i="180"/>
  <c r="I1" i="180"/>
  <c r="H1" i="180"/>
  <c r="G1" i="180"/>
  <c r="F1" i="180"/>
  <c r="E1" i="180"/>
  <c r="D1" i="180"/>
  <c r="C1" i="180"/>
  <c r="B1" i="180"/>
  <c r="A1" i="180"/>
  <c r="Q199" i="179"/>
  <c r="G2" i="179" s="1"/>
  <c r="M199" i="179"/>
  <c r="Q197" i="179"/>
  <c r="O197" i="179"/>
  <c r="O199" i="179" s="1"/>
  <c r="M197" i="179"/>
  <c r="K197" i="179"/>
  <c r="K199" i="179" s="1"/>
  <c r="I197" i="179"/>
  <c r="I199" i="179" s="1"/>
  <c r="G197" i="179"/>
  <c r="G199" i="179" s="1"/>
  <c r="C197" i="179"/>
  <c r="C12" i="179"/>
  <c r="Q10" i="179"/>
  <c r="O10" i="179"/>
  <c r="F2" i="179" s="1"/>
  <c r="M10" i="179"/>
  <c r="K10" i="179"/>
  <c r="I10" i="179"/>
  <c r="D2" i="179" s="1"/>
  <c r="G10" i="179"/>
  <c r="C10" i="179"/>
  <c r="I2" i="179" s="1"/>
  <c r="B10" i="179"/>
  <c r="C6" i="179"/>
  <c r="H2" i="179" s="1"/>
  <c r="C3" i="179"/>
  <c r="E2" i="179"/>
  <c r="C2" i="179"/>
  <c r="B2" i="179"/>
  <c r="A2" i="179"/>
  <c r="I1" i="179"/>
  <c r="H1" i="179"/>
  <c r="G1" i="179"/>
  <c r="F1" i="179"/>
  <c r="E1" i="179"/>
  <c r="D1" i="179"/>
  <c r="C1" i="179"/>
  <c r="B1" i="179"/>
  <c r="A1" i="179"/>
  <c r="I199" i="178"/>
  <c r="G199" i="178"/>
  <c r="Q197" i="178"/>
  <c r="Q199" i="178" s="1"/>
  <c r="G2" i="178" s="1"/>
  <c r="O197" i="178"/>
  <c r="O199" i="178" s="1"/>
  <c r="M197" i="178"/>
  <c r="M199" i="178" s="1"/>
  <c r="K197" i="178"/>
  <c r="K199" i="178" s="1"/>
  <c r="I197" i="178"/>
  <c r="G197" i="178"/>
  <c r="C197" i="178"/>
  <c r="C12" i="178"/>
  <c r="Q10" i="178"/>
  <c r="O10" i="178"/>
  <c r="F2" i="178" s="1"/>
  <c r="M10" i="178"/>
  <c r="K10" i="178"/>
  <c r="I10" i="178"/>
  <c r="G10" i="178"/>
  <c r="C10" i="178"/>
  <c r="I2" i="178" s="1"/>
  <c r="B10" i="178"/>
  <c r="C6" i="178"/>
  <c r="H2" i="178" s="1"/>
  <c r="C3" i="178"/>
  <c r="E2" i="178"/>
  <c r="D2" i="178"/>
  <c r="C2" i="178"/>
  <c r="B2" i="178"/>
  <c r="A2" i="178"/>
  <c r="I1" i="178"/>
  <c r="H1" i="178"/>
  <c r="G1" i="178"/>
  <c r="F1" i="178"/>
  <c r="E1" i="178"/>
  <c r="D1" i="178"/>
  <c r="C1" i="178"/>
  <c r="B1" i="178"/>
  <c r="A1" i="178"/>
  <c r="I199" i="177"/>
  <c r="G199" i="177"/>
  <c r="Q197" i="177"/>
  <c r="Q199" i="177" s="1"/>
  <c r="G2" i="177" s="1"/>
  <c r="O197" i="177"/>
  <c r="O199" i="177" s="1"/>
  <c r="M197" i="177"/>
  <c r="M199" i="177" s="1"/>
  <c r="K197" i="177"/>
  <c r="K199" i="177" s="1"/>
  <c r="I197" i="177"/>
  <c r="G197" i="177"/>
  <c r="C197" i="177"/>
  <c r="C12" i="177"/>
  <c r="Q10" i="177"/>
  <c r="O10" i="177"/>
  <c r="F2" i="177" s="1"/>
  <c r="M10" i="177"/>
  <c r="K10" i="177"/>
  <c r="I10" i="177"/>
  <c r="G10" i="177"/>
  <c r="C10" i="177"/>
  <c r="I2" i="177" s="1"/>
  <c r="B10" i="177"/>
  <c r="C6" i="177"/>
  <c r="H2" i="177" s="1"/>
  <c r="C3" i="177"/>
  <c r="E2" i="177"/>
  <c r="D2" i="177"/>
  <c r="C2" i="177"/>
  <c r="B2" i="177"/>
  <c r="A2" i="177"/>
  <c r="I1" i="177"/>
  <c r="H1" i="177"/>
  <c r="G1" i="177"/>
  <c r="F1" i="177"/>
  <c r="E1" i="177"/>
  <c r="D1" i="177"/>
  <c r="C1" i="177"/>
  <c r="B1" i="177"/>
  <c r="A1" i="177"/>
  <c r="I199" i="161"/>
  <c r="Q197" i="161"/>
  <c r="Q199" i="161" s="1"/>
  <c r="G2" i="161" s="1"/>
  <c r="O197" i="161"/>
  <c r="O199" i="161" s="1"/>
  <c r="M197" i="161"/>
  <c r="M199" i="161" s="1"/>
  <c r="K197" i="161"/>
  <c r="K199" i="161" s="1"/>
  <c r="I197" i="161"/>
  <c r="G197" i="161"/>
  <c r="G199" i="161" s="1"/>
  <c r="C197" i="161"/>
  <c r="Q10" i="161"/>
  <c r="O10" i="161"/>
  <c r="F2" i="161" s="1"/>
  <c r="M10" i="161"/>
  <c r="K10" i="161"/>
  <c r="I10" i="161"/>
  <c r="G10" i="161"/>
  <c r="C10" i="161"/>
  <c r="I2" i="161" s="1"/>
  <c r="B10" i="161"/>
  <c r="C6" i="161"/>
  <c r="H2" i="161" s="1"/>
  <c r="C3" i="161"/>
  <c r="E2" i="161"/>
  <c r="D2" i="161"/>
  <c r="C2" i="161"/>
  <c r="B2" i="161"/>
  <c r="A2" i="161"/>
  <c r="I1" i="161"/>
  <c r="H1" i="161"/>
  <c r="G1" i="161"/>
  <c r="F1" i="161"/>
  <c r="E1" i="161"/>
  <c r="D1" i="161"/>
  <c r="C1" i="161"/>
  <c r="B1" i="161"/>
  <c r="A1" i="161"/>
  <c r="Q197" i="160"/>
  <c r="Q199" i="160" s="1"/>
  <c r="G2" i="160" s="1"/>
  <c r="O197" i="160"/>
  <c r="O199" i="160" s="1"/>
  <c r="M197" i="160"/>
  <c r="M199" i="160" s="1"/>
  <c r="K197" i="160"/>
  <c r="K199" i="160" s="1"/>
  <c r="I197" i="160"/>
  <c r="I199" i="160" s="1"/>
  <c r="G197" i="160"/>
  <c r="G199" i="160" s="1"/>
  <c r="C197" i="160"/>
  <c r="Q10" i="160"/>
  <c r="O10" i="160"/>
  <c r="F2" i="160" s="1"/>
  <c r="M10" i="160"/>
  <c r="E2" i="160" s="1"/>
  <c r="K10" i="160"/>
  <c r="I10" i="160"/>
  <c r="D2" i="160" s="1"/>
  <c r="G10" i="160"/>
  <c r="C10" i="160"/>
  <c r="C12" i="160" s="1"/>
  <c r="B10" i="160"/>
  <c r="C6" i="160"/>
  <c r="H2" i="160" s="1"/>
  <c r="C3" i="160"/>
  <c r="I2" i="160"/>
  <c r="C2" i="160"/>
  <c r="B2" i="160"/>
  <c r="A2" i="160"/>
  <c r="I1" i="160"/>
  <c r="H1" i="160"/>
  <c r="G1" i="160"/>
  <c r="F1" i="160"/>
  <c r="E1" i="160"/>
  <c r="D1" i="160"/>
  <c r="C1" i="160"/>
  <c r="B1" i="160"/>
  <c r="A1" i="160"/>
  <c r="I199" i="159"/>
  <c r="G199" i="159"/>
  <c r="Q197" i="159"/>
  <c r="Q199" i="159" s="1"/>
  <c r="G2" i="159" s="1"/>
  <c r="O197" i="159"/>
  <c r="O199" i="159" s="1"/>
  <c r="M197" i="159"/>
  <c r="M199" i="159" s="1"/>
  <c r="K197" i="159"/>
  <c r="K199" i="159" s="1"/>
  <c r="I197" i="159"/>
  <c r="G197" i="159"/>
  <c r="C197" i="159"/>
  <c r="C12" i="159"/>
  <c r="Q10" i="159"/>
  <c r="O10" i="159"/>
  <c r="F2" i="159" s="1"/>
  <c r="M10" i="159"/>
  <c r="K10" i="159"/>
  <c r="I10" i="159"/>
  <c r="G10" i="159"/>
  <c r="C10" i="159"/>
  <c r="I2" i="159" s="1"/>
  <c r="B10" i="159"/>
  <c r="C6" i="159"/>
  <c r="H2" i="159" s="1"/>
  <c r="C3" i="159"/>
  <c r="E2" i="159"/>
  <c r="D2" i="159"/>
  <c r="C2" i="159"/>
  <c r="B2" i="159"/>
  <c r="A2" i="159"/>
  <c r="I1" i="159"/>
  <c r="H1" i="159"/>
  <c r="G1" i="159"/>
  <c r="F1" i="159"/>
  <c r="E1" i="159"/>
  <c r="D1" i="159"/>
  <c r="C1" i="159"/>
  <c r="B1" i="159"/>
  <c r="A1" i="159"/>
  <c r="I199" i="158"/>
  <c r="G199" i="158"/>
  <c r="Q197" i="158"/>
  <c r="Q199" i="158" s="1"/>
  <c r="G2" i="158" s="1"/>
  <c r="O197" i="158"/>
  <c r="O199" i="158" s="1"/>
  <c r="M197" i="158"/>
  <c r="M199" i="158" s="1"/>
  <c r="K197" i="158"/>
  <c r="K199" i="158" s="1"/>
  <c r="I197" i="158"/>
  <c r="G197" i="158"/>
  <c r="C197" i="158"/>
  <c r="C12" i="158"/>
  <c r="Q10" i="158"/>
  <c r="O10" i="158"/>
  <c r="F2" i="158" s="1"/>
  <c r="M10" i="158"/>
  <c r="K10" i="158"/>
  <c r="I10" i="158"/>
  <c r="G10" i="158"/>
  <c r="C10" i="158"/>
  <c r="I2" i="158" s="1"/>
  <c r="B10" i="158"/>
  <c r="C6" i="158"/>
  <c r="H2" i="158" s="1"/>
  <c r="C3" i="158"/>
  <c r="E2" i="158"/>
  <c r="D2" i="158"/>
  <c r="C2" i="158"/>
  <c r="B2" i="158"/>
  <c r="A2" i="158"/>
  <c r="I1" i="158"/>
  <c r="H1" i="158"/>
  <c r="G1" i="158"/>
  <c r="F1" i="158"/>
  <c r="E1" i="158"/>
  <c r="D1" i="158"/>
  <c r="C1" i="158"/>
  <c r="B1" i="158"/>
  <c r="A1" i="158"/>
  <c r="K199" i="157"/>
  <c r="I199" i="157"/>
  <c r="Q197" i="157"/>
  <c r="Q199" i="157" s="1"/>
  <c r="G2" i="157" s="1"/>
  <c r="O197" i="157"/>
  <c r="O199" i="157" s="1"/>
  <c r="M197" i="157"/>
  <c r="M199" i="157" s="1"/>
  <c r="K197" i="157"/>
  <c r="I197" i="157"/>
  <c r="G197" i="157"/>
  <c r="G199" i="157" s="1"/>
  <c r="C197" i="157"/>
  <c r="Q10" i="157"/>
  <c r="O10" i="157"/>
  <c r="F2" i="157" s="1"/>
  <c r="M10" i="157"/>
  <c r="K10" i="157"/>
  <c r="I10" i="157"/>
  <c r="D2" i="157" s="1"/>
  <c r="G10" i="157"/>
  <c r="C10" i="157"/>
  <c r="I2" i="157" s="1"/>
  <c r="B10" i="157"/>
  <c r="C6" i="157"/>
  <c r="H2" i="157" s="1"/>
  <c r="C3" i="157"/>
  <c r="E2" i="157"/>
  <c r="C2" i="157"/>
  <c r="B2" i="157"/>
  <c r="A2" i="157"/>
  <c r="I1" i="157"/>
  <c r="H1" i="157"/>
  <c r="G1" i="157"/>
  <c r="F1" i="157"/>
  <c r="E1" i="157"/>
  <c r="D1" i="157"/>
  <c r="C1" i="157"/>
  <c r="B1" i="157"/>
  <c r="A1" i="157"/>
  <c r="I199" i="156"/>
  <c r="G199" i="156"/>
  <c r="Q197" i="156"/>
  <c r="Q199" i="156" s="1"/>
  <c r="G2" i="156" s="1"/>
  <c r="O197" i="156"/>
  <c r="O199" i="156" s="1"/>
  <c r="M197" i="156"/>
  <c r="M199" i="156" s="1"/>
  <c r="K197" i="156"/>
  <c r="K199" i="156" s="1"/>
  <c r="I197" i="156"/>
  <c r="G197" i="156"/>
  <c r="C197" i="156"/>
  <c r="C12" i="156"/>
  <c r="Q10" i="156"/>
  <c r="O10" i="156"/>
  <c r="F2" i="156" s="1"/>
  <c r="M10" i="156"/>
  <c r="K10" i="156"/>
  <c r="I10" i="156"/>
  <c r="G10" i="156"/>
  <c r="C10" i="156"/>
  <c r="I2" i="156" s="1"/>
  <c r="B10" i="156"/>
  <c r="C6" i="156"/>
  <c r="H2" i="156" s="1"/>
  <c r="C3" i="156"/>
  <c r="E2" i="156"/>
  <c r="D2" i="156"/>
  <c r="C2" i="156"/>
  <c r="B2" i="156"/>
  <c r="A2" i="156"/>
  <c r="I1" i="156"/>
  <c r="H1" i="156"/>
  <c r="G1" i="156"/>
  <c r="F1" i="156"/>
  <c r="E1" i="156"/>
  <c r="D1" i="156"/>
  <c r="C1" i="156"/>
  <c r="B1" i="156"/>
  <c r="A1" i="156"/>
  <c r="I199" i="150"/>
  <c r="G199" i="150"/>
  <c r="Q197" i="150"/>
  <c r="Q199" i="150" s="1"/>
  <c r="G2" i="150" s="1"/>
  <c r="O197" i="150"/>
  <c r="O199" i="150" s="1"/>
  <c r="M197" i="150"/>
  <c r="M199" i="150" s="1"/>
  <c r="K197" i="150"/>
  <c r="K199" i="150" s="1"/>
  <c r="I197" i="150"/>
  <c r="G197" i="150"/>
  <c r="C197" i="150"/>
  <c r="C12" i="150"/>
  <c r="Q10" i="150"/>
  <c r="O10" i="150"/>
  <c r="F2" i="150" s="1"/>
  <c r="M10" i="150"/>
  <c r="K10" i="150"/>
  <c r="I10" i="150"/>
  <c r="G10" i="150"/>
  <c r="C10" i="150"/>
  <c r="I2" i="150" s="1"/>
  <c r="B10" i="150"/>
  <c r="C6" i="150"/>
  <c r="H2" i="150" s="1"/>
  <c r="C3" i="150"/>
  <c r="E2" i="150"/>
  <c r="D2" i="150"/>
  <c r="C2" i="150"/>
  <c r="B2" i="150"/>
  <c r="A2" i="150"/>
  <c r="I1" i="150"/>
  <c r="H1" i="150"/>
  <c r="G1" i="150"/>
  <c r="F1" i="150"/>
  <c r="E1" i="150"/>
  <c r="D1" i="150"/>
  <c r="C1" i="150"/>
  <c r="B1" i="150"/>
  <c r="A1" i="150"/>
  <c r="I199" i="149"/>
  <c r="G199" i="149"/>
  <c r="Q197" i="149"/>
  <c r="Q199" i="149" s="1"/>
  <c r="G2" i="149" s="1"/>
  <c r="O197" i="149"/>
  <c r="O199" i="149" s="1"/>
  <c r="M197" i="149"/>
  <c r="M199" i="149" s="1"/>
  <c r="K197" i="149"/>
  <c r="K199" i="149" s="1"/>
  <c r="I197" i="149"/>
  <c r="G197" i="149"/>
  <c r="C197" i="149"/>
  <c r="C12" i="149"/>
  <c r="Q10" i="149"/>
  <c r="O10" i="149"/>
  <c r="F2" i="149" s="1"/>
  <c r="M10" i="149"/>
  <c r="K10" i="149"/>
  <c r="I10" i="149"/>
  <c r="G10" i="149"/>
  <c r="C10" i="149"/>
  <c r="I2" i="149" s="1"/>
  <c r="B10" i="149"/>
  <c r="C6" i="149"/>
  <c r="H2" i="149" s="1"/>
  <c r="C3" i="149"/>
  <c r="E2" i="149"/>
  <c r="D2" i="149"/>
  <c r="C2" i="149"/>
  <c r="B2" i="149"/>
  <c r="A2" i="149"/>
  <c r="I1" i="149"/>
  <c r="H1" i="149"/>
  <c r="G1" i="149"/>
  <c r="F1" i="149"/>
  <c r="E1" i="149"/>
  <c r="D1" i="149"/>
  <c r="C1" i="149"/>
  <c r="B1" i="149"/>
  <c r="A1" i="149"/>
  <c r="Q199" i="133"/>
  <c r="M199" i="133"/>
  <c r="G199" i="133"/>
  <c r="Q197" i="133"/>
  <c r="O197" i="133"/>
  <c r="O199" i="133" s="1"/>
  <c r="M197" i="133"/>
  <c r="K197" i="133"/>
  <c r="K199" i="133" s="1"/>
  <c r="I197" i="133"/>
  <c r="I199" i="133" s="1"/>
  <c r="G197" i="133"/>
  <c r="C197" i="133"/>
  <c r="C12" i="133"/>
  <c r="Q10" i="133"/>
  <c r="O10" i="133"/>
  <c r="F2" i="133" s="1"/>
  <c r="M10" i="133"/>
  <c r="K10" i="133"/>
  <c r="I10" i="133"/>
  <c r="G10" i="133"/>
  <c r="C10" i="133"/>
  <c r="I2" i="133" s="1"/>
  <c r="B10" i="133"/>
  <c r="C6" i="133"/>
  <c r="H2" i="133" s="1"/>
  <c r="C3" i="133"/>
  <c r="G2" i="133"/>
  <c r="E2" i="133"/>
  <c r="D2" i="133"/>
  <c r="C2" i="133"/>
  <c r="B2" i="133"/>
  <c r="A2" i="133"/>
  <c r="I1" i="133"/>
  <c r="H1" i="133"/>
  <c r="G1" i="133"/>
  <c r="F1" i="133"/>
  <c r="E1" i="133"/>
  <c r="D1" i="133"/>
  <c r="C1" i="133"/>
  <c r="B1" i="133"/>
  <c r="A1" i="133"/>
  <c r="I199" i="132"/>
  <c r="Q197" i="132"/>
  <c r="Q199" i="132" s="1"/>
  <c r="G2" i="132" s="1"/>
  <c r="O197" i="132"/>
  <c r="O199" i="132" s="1"/>
  <c r="M197" i="132"/>
  <c r="M199" i="132" s="1"/>
  <c r="K197" i="132"/>
  <c r="K199" i="132" s="1"/>
  <c r="I197" i="132"/>
  <c r="G197" i="132"/>
  <c r="G199" i="132" s="1"/>
  <c r="C197" i="132"/>
  <c r="Q10" i="132"/>
  <c r="O10" i="132"/>
  <c r="F2" i="132" s="1"/>
  <c r="M10" i="132"/>
  <c r="K10" i="132"/>
  <c r="I10" i="132"/>
  <c r="G10" i="132"/>
  <c r="C10" i="132"/>
  <c r="I2" i="132" s="1"/>
  <c r="B10" i="132"/>
  <c r="C6" i="132"/>
  <c r="H2" i="132" s="1"/>
  <c r="C3" i="132"/>
  <c r="E2" i="132"/>
  <c r="D2" i="132"/>
  <c r="C2" i="132"/>
  <c r="B2" i="132"/>
  <c r="A2" i="132"/>
  <c r="I1" i="132"/>
  <c r="H1" i="132"/>
  <c r="G1" i="132"/>
  <c r="F1" i="132"/>
  <c r="E1" i="132"/>
  <c r="D1" i="132"/>
  <c r="C1" i="132"/>
  <c r="B1" i="132"/>
  <c r="A1" i="132"/>
  <c r="M199" i="131"/>
  <c r="I199" i="131"/>
  <c r="G199" i="131"/>
  <c r="Q197" i="131"/>
  <c r="Q199" i="131" s="1"/>
  <c r="G2" i="131" s="1"/>
  <c r="O197" i="131"/>
  <c r="O199" i="131" s="1"/>
  <c r="M197" i="131"/>
  <c r="K197" i="131"/>
  <c r="K199" i="131" s="1"/>
  <c r="I197" i="131"/>
  <c r="G197" i="131"/>
  <c r="C197" i="131"/>
  <c r="C12" i="131"/>
  <c r="Q10" i="131"/>
  <c r="O10" i="131"/>
  <c r="F2" i="131" s="1"/>
  <c r="M10" i="131"/>
  <c r="K10" i="131"/>
  <c r="I10" i="131"/>
  <c r="G10" i="131"/>
  <c r="C10" i="131"/>
  <c r="I2" i="131" s="1"/>
  <c r="B10" i="131"/>
  <c r="C6" i="131"/>
  <c r="H2" i="131" s="1"/>
  <c r="C3" i="131"/>
  <c r="E2" i="131"/>
  <c r="D2" i="131"/>
  <c r="C2" i="131"/>
  <c r="B2" i="131"/>
  <c r="A2" i="131"/>
  <c r="I1" i="131"/>
  <c r="H1" i="131"/>
  <c r="G1" i="131"/>
  <c r="F1" i="131"/>
  <c r="E1" i="131"/>
  <c r="D1" i="131"/>
  <c r="C1" i="131"/>
  <c r="B1" i="131"/>
  <c r="A1" i="131"/>
  <c r="I199" i="130"/>
  <c r="G199" i="130"/>
  <c r="Q197" i="130"/>
  <c r="Q199" i="130" s="1"/>
  <c r="G2" i="130" s="1"/>
  <c r="O197" i="130"/>
  <c r="O199" i="130" s="1"/>
  <c r="M197" i="130"/>
  <c r="M199" i="130" s="1"/>
  <c r="K197" i="130"/>
  <c r="K199" i="130" s="1"/>
  <c r="I197" i="130"/>
  <c r="G197" i="130"/>
  <c r="C197" i="130"/>
  <c r="C12" i="130"/>
  <c r="Q10" i="130"/>
  <c r="O10" i="130"/>
  <c r="F2" i="130" s="1"/>
  <c r="M10" i="130"/>
  <c r="K10" i="130"/>
  <c r="I10" i="130"/>
  <c r="G10" i="130"/>
  <c r="C10" i="130"/>
  <c r="I2" i="130" s="1"/>
  <c r="B10" i="130"/>
  <c r="C6" i="130"/>
  <c r="H2" i="130" s="1"/>
  <c r="C3" i="130"/>
  <c r="E2" i="130"/>
  <c r="D2" i="130"/>
  <c r="C2" i="130"/>
  <c r="B2" i="130"/>
  <c r="A2" i="130"/>
  <c r="I1" i="130"/>
  <c r="H1" i="130"/>
  <c r="G1" i="130"/>
  <c r="F1" i="130"/>
  <c r="E1" i="130"/>
  <c r="D1" i="130"/>
  <c r="C1" i="130"/>
  <c r="B1" i="130"/>
  <c r="A1" i="130"/>
  <c r="I199" i="129"/>
  <c r="G199" i="129"/>
  <c r="Q197" i="129"/>
  <c r="Q199" i="129" s="1"/>
  <c r="G2" i="129" s="1"/>
  <c r="O197" i="129"/>
  <c r="O199" i="129" s="1"/>
  <c r="M197" i="129"/>
  <c r="M199" i="129" s="1"/>
  <c r="K197" i="129"/>
  <c r="K199" i="129" s="1"/>
  <c r="I197" i="129"/>
  <c r="G197" i="129"/>
  <c r="C197" i="129"/>
  <c r="C12" i="129"/>
  <c r="Q10" i="129"/>
  <c r="O10" i="129"/>
  <c r="F2" i="129" s="1"/>
  <c r="M10" i="129"/>
  <c r="K10" i="129"/>
  <c r="I10" i="129"/>
  <c r="G10" i="129"/>
  <c r="C10" i="129"/>
  <c r="I2" i="129" s="1"/>
  <c r="B10" i="129"/>
  <c r="C6" i="129"/>
  <c r="H2" i="129" s="1"/>
  <c r="C3" i="129"/>
  <c r="E2" i="129"/>
  <c r="D2" i="129"/>
  <c r="C2" i="129"/>
  <c r="B2" i="129"/>
  <c r="A2" i="129"/>
  <c r="I1" i="129"/>
  <c r="H1" i="129"/>
  <c r="G1" i="129"/>
  <c r="F1" i="129"/>
  <c r="E1" i="129"/>
  <c r="D1" i="129"/>
  <c r="C1" i="129"/>
  <c r="B1" i="129"/>
  <c r="A1" i="129"/>
  <c r="Q197" i="128"/>
  <c r="Q199" i="128" s="1"/>
  <c r="G2" i="128" s="1"/>
  <c r="O197" i="128"/>
  <c r="O199" i="128" s="1"/>
  <c r="M197" i="128"/>
  <c r="M199" i="128" s="1"/>
  <c r="K197" i="128"/>
  <c r="K199" i="128" s="1"/>
  <c r="I197" i="128"/>
  <c r="I199" i="128" s="1"/>
  <c r="G197" i="128"/>
  <c r="G199" i="128" s="1"/>
  <c r="C197" i="128"/>
  <c r="Q10" i="128"/>
  <c r="O10" i="128"/>
  <c r="F2" i="128" s="1"/>
  <c r="M10" i="128"/>
  <c r="K10" i="128"/>
  <c r="I10" i="128"/>
  <c r="D2" i="128" s="1"/>
  <c r="G10" i="128"/>
  <c r="C10" i="128"/>
  <c r="I2" i="128" s="1"/>
  <c r="B10" i="128"/>
  <c r="C6" i="128"/>
  <c r="H2" i="128" s="1"/>
  <c r="C3" i="128"/>
  <c r="E2" i="128"/>
  <c r="C2" i="128"/>
  <c r="B2" i="128"/>
  <c r="A2" i="128"/>
  <c r="I1" i="128"/>
  <c r="H1" i="128"/>
  <c r="G1" i="128"/>
  <c r="F1" i="128"/>
  <c r="E1" i="128"/>
  <c r="D1" i="128"/>
  <c r="C1" i="128"/>
  <c r="B1" i="128"/>
  <c r="A1" i="128"/>
  <c r="I199" i="127"/>
  <c r="G199" i="127"/>
  <c r="Q197" i="127"/>
  <c r="Q199" i="127" s="1"/>
  <c r="G2" i="127" s="1"/>
  <c r="O197" i="127"/>
  <c r="O199" i="127" s="1"/>
  <c r="M197" i="127"/>
  <c r="M199" i="127" s="1"/>
  <c r="K197" i="127"/>
  <c r="K199" i="127" s="1"/>
  <c r="I197" i="127"/>
  <c r="G197" i="127"/>
  <c r="C197" i="127"/>
  <c r="C12" i="127"/>
  <c r="Q10" i="127"/>
  <c r="O10" i="127"/>
  <c r="F2" i="127" s="1"/>
  <c r="M10" i="127"/>
  <c r="K10" i="127"/>
  <c r="I10" i="127"/>
  <c r="G10" i="127"/>
  <c r="C10" i="127"/>
  <c r="I2" i="127" s="1"/>
  <c r="B10" i="127"/>
  <c r="C6" i="127"/>
  <c r="H2" i="127" s="1"/>
  <c r="C3" i="127"/>
  <c r="E2" i="127"/>
  <c r="D2" i="127"/>
  <c r="C2" i="127"/>
  <c r="B2" i="127"/>
  <c r="A2" i="127"/>
  <c r="I1" i="127"/>
  <c r="H1" i="127"/>
  <c r="G1" i="127"/>
  <c r="F1" i="127"/>
  <c r="E1" i="127"/>
  <c r="D1" i="127"/>
  <c r="C1" i="127"/>
  <c r="B1" i="127"/>
  <c r="A1" i="127"/>
  <c r="O199" i="126"/>
  <c r="M199" i="126"/>
  <c r="K199" i="126"/>
  <c r="Q197" i="126"/>
  <c r="Q199" i="126" s="1"/>
  <c r="G2" i="126" s="1"/>
  <c r="O197" i="126"/>
  <c r="M197" i="126"/>
  <c r="K197" i="126"/>
  <c r="I197" i="126"/>
  <c r="I199" i="126" s="1"/>
  <c r="G197" i="126"/>
  <c r="G199" i="126" s="1"/>
  <c r="C197" i="126"/>
  <c r="C12" i="126"/>
  <c r="Q10" i="126"/>
  <c r="O10" i="126"/>
  <c r="M10" i="126"/>
  <c r="K10" i="126"/>
  <c r="I10" i="126"/>
  <c r="D2" i="126" s="1"/>
  <c r="G10" i="126"/>
  <c r="C10" i="126"/>
  <c r="I2" i="126" s="1"/>
  <c r="B10" i="126"/>
  <c r="C6" i="126"/>
  <c r="H2" i="126" s="1"/>
  <c r="C3" i="126"/>
  <c r="F2" i="126"/>
  <c r="E2" i="126"/>
  <c r="C2" i="126"/>
  <c r="B2" i="126"/>
  <c r="A2" i="126"/>
  <c r="I1" i="126"/>
  <c r="H1" i="126"/>
  <c r="G1" i="126"/>
  <c r="F1" i="126"/>
  <c r="E1" i="126"/>
  <c r="D1" i="126"/>
  <c r="C1" i="126"/>
  <c r="B1" i="126"/>
  <c r="A1" i="126"/>
  <c r="I199" i="125"/>
  <c r="G199" i="125"/>
  <c r="Q197" i="125"/>
  <c r="Q199" i="125" s="1"/>
  <c r="G2" i="125" s="1"/>
  <c r="O197" i="125"/>
  <c r="O199" i="125" s="1"/>
  <c r="M197" i="125"/>
  <c r="M199" i="125" s="1"/>
  <c r="K197" i="125"/>
  <c r="K199" i="125" s="1"/>
  <c r="I197" i="125"/>
  <c r="G197" i="125"/>
  <c r="C197" i="125"/>
  <c r="C12" i="125"/>
  <c r="Q10" i="125"/>
  <c r="O10" i="125"/>
  <c r="F2" i="125" s="1"/>
  <c r="M10" i="125"/>
  <c r="K10" i="125"/>
  <c r="I10" i="125"/>
  <c r="G10" i="125"/>
  <c r="C10" i="125"/>
  <c r="I2" i="125" s="1"/>
  <c r="B10" i="125"/>
  <c r="C6" i="125"/>
  <c r="H2" i="125" s="1"/>
  <c r="C3" i="125"/>
  <c r="E2" i="125"/>
  <c r="D2" i="125"/>
  <c r="C2" i="125"/>
  <c r="B2" i="125"/>
  <c r="A2" i="125"/>
  <c r="I1" i="125"/>
  <c r="H1" i="125"/>
  <c r="G1" i="125"/>
  <c r="F1" i="125"/>
  <c r="E1" i="125"/>
  <c r="D1" i="125"/>
  <c r="C1" i="125"/>
  <c r="B1" i="125"/>
  <c r="A1" i="125"/>
  <c r="I199" i="219"/>
  <c r="Q197" i="219"/>
  <c r="Q199" i="219" s="1"/>
  <c r="G2" i="219" s="1"/>
  <c r="O197" i="219"/>
  <c r="O199" i="219" s="1"/>
  <c r="M197" i="219"/>
  <c r="M199" i="219" s="1"/>
  <c r="K197" i="219"/>
  <c r="K199" i="219" s="1"/>
  <c r="I197" i="219"/>
  <c r="G197" i="219"/>
  <c r="G199" i="219" s="1"/>
  <c r="C197" i="219"/>
  <c r="Q10" i="219"/>
  <c r="O10" i="219"/>
  <c r="F2" i="219" s="1"/>
  <c r="M10" i="219"/>
  <c r="K10" i="219"/>
  <c r="I10" i="219"/>
  <c r="G10" i="219"/>
  <c r="C10" i="219"/>
  <c r="I2" i="219" s="1"/>
  <c r="B10" i="219"/>
  <c r="C6" i="219"/>
  <c r="H2" i="219" s="1"/>
  <c r="C3" i="219"/>
  <c r="E2" i="219"/>
  <c r="D2" i="219"/>
  <c r="C2" i="219"/>
  <c r="B2" i="219"/>
  <c r="A2" i="219"/>
  <c r="I1" i="219"/>
  <c r="H1" i="219"/>
  <c r="G1" i="219"/>
  <c r="F1" i="219"/>
  <c r="E1" i="219"/>
  <c r="D1" i="219"/>
  <c r="C1" i="219"/>
  <c r="B1" i="219"/>
  <c r="A1" i="219"/>
  <c r="M199" i="218"/>
  <c r="Q197" i="218"/>
  <c r="Q199" i="218" s="1"/>
  <c r="G2" i="218" s="1"/>
  <c r="O197" i="218"/>
  <c r="O199" i="218" s="1"/>
  <c r="M197" i="218"/>
  <c r="K197" i="218"/>
  <c r="K199" i="218" s="1"/>
  <c r="I197" i="218"/>
  <c r="I199" i="218" s="1"/>
  <c r="G197" i="218"/>
  <c r="G199" i="218" s="1"/>
  <c r="C197" i="218"/>
  <c r="Q10" i="218"/>
  <c r="O10" i="218"/>
  <c r="F2" i="218" s="1"/>
  <c r="M10" i="218"/>
  <c r="K10" i="218"/>
  <c r="I10" i="218"/>
  <c r="D2" i="218" s="1"/>
  <c r="G10" i="218"/>
  <c r="C10" i="218"/>
  <c r="I2" i="218" s="1"/>
  <c r="B10" i="218"/>
  <c r="C6" i="218"/>
  <c r="H2" i="218" s="1"/>
  <c r="C3" i="218"/>
  <c r="E2" i="218"/>
  <c r="C2" i="218"/>
  <c r="B2" i="218"/>
  <c r="A2" i="218"/>
  <c r="I1" i="218"/>
  <c r="H1" i="218"/>
  <c r="G1" i="218"/>
  <c r="F1" i="218"/>
  <c r="E1" i="218"/>
  <c r="D1" i="218"/>
  <c r="C1" i="218"/>
  <c r="B1" i="218"/>
  <c r="A1" i="218"/>
  <c r="Q199" i="119"/>
  <c r="G199" i="119"/>
  <c r="Q197" i="119"/>
  <c r="O197" i="119"/>
  <c r="O199" i="119" s="1"/>
  <c r="M197" i="119"/>
  <c r="M199" i="119" s="1"/>
  <c r="K197" i="119"/>
  <c r="K199" i="119" s="1"/>
  <c r="I197" i="119"/>
  <c r="I199" i="119" s="1"/>
  <c r="G197" i="119"/>
  <c r="C197" i="119"/>
  <c r="Q10" i="119"/>
  <c r="O10" i="119"/>
  <c r="F2" i="119" s="1"/>
  <c r="M10" i="119"/>
  <c r="K10" i="119"/>
  <c r="I10" i="119"/>
  <c r="G10" i="119"/>
  <c r="C10" i="119"/>
  <c r="I2" i="119" s="1"/>
  <c r="B10" i="119"/>
  <c r="C6" i="119"/>
  <c r="H2" i="119" s="1"/>
  <c r="C3" i="119"/>
  <c r="G2" i="119"/>
  <c r="E2" i="119"/>
  <c r="D2" i="119"/>
  <c r="C2" i="119"/>
  <c r="B2" i="119"/>
  <c r="A2" i="119"/>
  <c r="I1" i="119"/>
  <c r="H1" i="119"/>
  <c r="G1" i="119"/>
  <c r="F1" i="119"/>
  <c r="E1" i="119"/>
  <c r="D1" i="119"/>
  <c r="C1" i="119"/>
  <c r="B1" i="119"/>
  <c r="A1" i="119"/>
  <c r="O199" i="118"/>
  <c r="M199" i="118"/>
  <c r="G199" i="118"/>
  <c r="Q197" i="118"/>
  <c r="Q199" i="118" s="1"/>
  <c r="G2" i="118" s="1"/>
  <c r="O197" i="118"/>
  <c r="M197" i="118"/>
  <c r="K197" i="118"/>
  <c r="K199" i="118" s="1"/>
  <c r="I197" i="118"/>
  <c r="I199" i="118" s="1"/>
  <c r="G197" i="118"/>
  <c r="C197" i="118"/>
  <c r="C12" i="118"/>
  <c r="Q10" i="118"/>
  <c r="O10" i="118"/>
  <c r="M10" i="118"/>
  <c r="K10" i="118"/>
  <c r="I10" i="118"/>
  <c r="G10" i="118"/>
  <c r="C10" i="118"/>
  <c r="I2" i="118" s="1"/>
  <c r="B10" i="118"/>
  <c r="C6" i="118"/>
  <c r="H2" i="118" s="1"/>
  <c r="C3" i="118"/>
  <c r="F2" i="118"/>
  <c r="E2" i="118"/>
  <c r="D2" i="118"/>
  <c r="C2" i="118"/>
  <c r="B2" i="118"/>
  <c r="A2" i="118"/>
  <c r="I1" i="118"/>
  <c r="H1" i="118"/>
  <c r="G1" i="118"/>
  <c r="F1" i="118"/>
  <c r="E1" i="118"/>
  <c r="D1" i="118"/>
  <c r="C1" i="118"/>
  <c r="B1" i="118"/>
  <c r="A1" i="118"/>
  <c r="Q199" i="117"/>
  <c r="O199" i="117"/>
  <c r="Q197" i="117"/>
  <c r="O197" i="117"/>
  <c r="M197" i="117"/>
  <c r="M199" i="117" s="1"/>
  <c r="K197" i="117"/>
  <c r="K199" i="117" s="1"/>
  <c r="I197" i="117"/>
  <c r="I199" i="117" s="1"/>
  <c r="G197" i="117"/>
  <c r="G199" i="117" s="1"/>
  <c r="C197" i="117"/>
  <c r="Q10" i="117"/>
  <c r="O10" i="117"/>
  <c r="M10" i="117"/>
  <c r="K10" i="117"/>
  <c r="I10" i="117"/>
  <c r="D2" i="117" s="1"/>
  <c r="G10" i="117"/>
  <c r="C10" i="117"/>
  <c r="I2" i="117" s="1"/>
  <c r="B10" i="117"/>
  <c r="C6" i="117"/>
  <c r="H2" i="117" s="1"/>
  <c r="C3" i="117"/>
  <c r="G2" i="117"/>
  <c r="F2" i="117"/>
  <c r="E2" i="117"/>
  <c r="C2" i="117"/>
  <c r="B2" i="117"/>
  <c r="A2" i="117"/>
  <c r="I1" i="117"/>
  <c r="H1" i="117"/>
  <c r="G1" i="117"/>
  <c r="F1" i="117"/>
  <c r="E1" i="117"/>
  <c r="D1" i="117"/>
  <c r="C1" i="117"/>
  <c r="B1" i="117"/>
  <c r="A1" i="117"/>
  <c r="K199" i="116"/>
  <c r="I199" i="116"/>
  <c r="Q197" i="116"/>
  <c r="Q199" i="116" s="1"/>
  <c r="G2" i="116" s="1"/>
  <c r="O197" i="116"/>
  <c r="O199" i="116" s="1"/>
  <c r="M197" i="116"/>
  <c r="M199" i="116" s="1"/>
  <c r="K197" i="116"/>
  <c r="I197" i="116"/>
  <c r="G197" i="116"/>
  <c r="G199" i="116" s="1"/>
  <c r="C197" i="116"/>
  <c r="Q10" i="116"/>
  <c r="O10" i="116"/>
  <c r="F2" i="116" s="1"/>
  <c r="M10" i="116"/>
  <c r="K10" i="116"/>
  <c r="I10" i="116"/>
  <c r="D2" i="116" s="1"/>
  <c r="G10" i="116"/>
  <c r="C10" i="116"/>
  <c r="I2" i="116" s="1"/>
  <c r="B10" i="116"/>
  <c r="C6" i="116"/>
  <c r="H2" i="116" s="1"/>
  <c r="C3" i="116"/>
  <c r="E2" i="116"/>
  <c r="C2" i="116"/>
  <c r="B2" i="116"/>
  <c r="A2" i="116"/>
  <c r="I1" i="116"/>
  <c r="H1" i="116"/>
  <c r="G1" i="116"/>
  <c r="F1" i="116"/>
  <c r="E1" i="116"/>
  <c r="D1" i="116"/>
  <c r="C1" i="116"/>
  <c r="B1" i="116"/>
  <c r="A1" i="116"/>
  <c r="Q199" i="115"/>
  <c r="M199" i="115"/>
  <c r="G199" i="115"/>
  <c r="Q197" i="115"/>
  <c r="O197" i="115"/>
  <c r="O199" i="115" s="1"/>
  <c r="M197" i="115"/>
  <c r="K197" i="115"/>
  <c r="K199" i="115" s="1"/>
  <c r="I197" i="115"/>
  <c r="I199" i="115" s="1"/>
  <c r="G197" i="115"/>
  <c r="C197" i="115"/>
  <c r="C12" i="115"/>
  <c r="Q10" i="115"/>
  <c r="O10" i="115"/>
  <c r="F2" i="115" s="1"/>
  <c r="M10" i="115"/>
  <c r="E2" i="115" s="1"/>
  <c r="K10" i="115"/>
  <c r="I10" i="115"/>
  <c r="D2" i="115" s="1"/>
  <c r="G10" i="115"/>
  <c r="C10" i="115"/>
  <c r="B10" i="115"/>
  <c r="C6" i="115"/>
  <c r="H2" i="115" s="1"/>
  <c r="C3" i="115"/>
  <c r="I2" i="115"/>
  <c r="G2" i="115"/>
  <c r="C2" i="115"/>
  <c r="B2" i="115"/>
  <c r="A2" i="115"/>
  <c r="I1" i="115"/>
  <c r="H1" i="115"/>
  <c r="G1" i="115"/>
  <c r="F1" i="115"/>
  <c r="E1" i="115"/>
  <c r="D1" i="115"/>
  <c r="C1" i="115"/>
  <c r="B1" i="115"/>
  <c r="A1" i="115"/>
  <c r="M199" i="114"/>
  <c r="K199" i="114"/>
  <c r="Q197" i="114"/>
  <c r="Q199" i="114" s="1"/>
  <c r="G2" i="114" s="1"/>
  <c r="O197" i="114"/>
  <c r="O199" i="114" s="1"/>
  <c r="M197" i="114"/>
  <c r="K197" i="114"/>
  <c r="I197" i="114"/>
  <c r="I199" i="114" s="1"/>
  <c r="G197" i="114"/>
  <c r="G199" i="114" s="1"/>
  <c r="C197" i="114"/>
  <c r="Q10" i="114"/>
  <c r="O10" i="114"/>
  <c r="F2" i="114" s="1"/>
  <c r="M10" i="114"/>
  <c r="K10" i="114"/>
  <c r="I10" i="114"/>
  <c r="D2" i="114" s="1"/>
  <c r="G10" i="114"/>
  <c r="C10" i="114"/>
  <c r="I2" i="114" s="1"/>
  <c r="B10" i="114"/>
  <c r="C6" i="114"/>
  <c r="H2" i="114" s="1"/>
  <c r="C3" i="114"/>
  <c r="E2" i="114"/>
  <c r="C2" i="114"/>
  <c r="B2" i="114"/>
  <c r="A2" i="114"/>
  <c r="I1" i="114"/>
  <c r="H1" i="114"/>
  <c r="G1" i="114"/>
  <c r="F1" i="114"/>
  <c r="E1" i="114"/>
  <c r="D1" i="114"/>
  <c r="C1" i="114"/>
  <c r="B1" i="114"/>
  <c r="A1" i="114"/>
  <c r="K199" i="113"/>
  <c r="I199" i="113"/>
  <c r="Q197" i="113"/>
  <c r="Q199" i="113" s="1"/>
  <c r="G2" i="113" s="1"/>
  <c r="O197" i="113"/>
  <c r="O199" i="113" s="1"/>
  <c r="M197" i="113"/>
  <c r="M199" i="113" s="1"/>
  <c r="K197" i="113"/>
  <c r="I197" i="113"/>
  <c r="G197" i="113"/>
  <c r="G199" i="113" s="1"/>
  <c r="C197" i="113"/>
  <c r="Q10" i="113"/>
  <c r="O10" i="113"/>
  <c r="F2" i="113" s="1"/>
  <c r="M10" i="113"/>
  <c r="K10" i="113"/>
  <c r="I10" i="113"/>
  <c r="D2" i="113" s="1"/>
  <c r="G10" i="113"/>
  <c r="C10" i="113"/>
  <c r="I2" i="113" s="1"/>
  <c r="B10" i="113"/>
  <c r="C6" i="113"/>
  <c r="H2" i="113" s="1"/>
  <c r="C3" i="113"/>
  <c r="E2" i="113"/>
  <c r="C2" i="113"/>
  <c r="B2" i="113"/>
  <c r="A2" i="113"/>
  <c r="I1" i="113"/>
  <c r="H1" i="113"/>
  <c r="G1" i="113"/>
  <c r="F1" i="113"/>
  <c r="E1" i="113"/>
  <c r="D1" i="113"/>
  <c r="C1" i="113"/>
  <c r="B1" i="113"/>
  <c r="A1" i="113"/>
  <c r="Q197" i="112"/>
  <c r="Q199" i="112" s="1"/>
  <c r="G2" i="112" s="1"/>
  <c r="O197" i="112"/>
  <c r="O199" i="112" s="1"/>
  <c r="M197" i="112"/>
  <c r="M199" i="112" s="1"/>
  <c r="K197" i="112"/>
  <c r="K199" i="112" s="1"/>
  <c r="I197" i="112"/>
  <c r="I199" i="112" s="1"/>
  <c r="G197" i="112"/>
  <c r="G199" i="112" s="1"/>
  <c r="C197" i="112"/>
  <c r="Q10" i="112"/>
  <c r="O10" i="112"/>
  <c r="F2" i="112" s="1"/>
  <c r="M10" i="112"/>
  <c r="E2" i="112" s="1"/>
  <c r="K10" i="112"/>
  <c r="I10" i="112"/>
  <c r="D2" i="112" s="1"/>
  <c r="G10" i="112"/>
  <c r="C10" i="112"/>
  <c r="C12" i="112" s="1"/>
  <c r="B10" i="112"/>
  <c r="C6" i="112"/>
  <c r="H2" i="112" s="1"/>
  <c r="C3" i="112"/>
  <c r="I2" i="112"/>
  <c r="C2" i="112"/>
  <c r="B2" i="112"/>
  <c r="A2" i="112"/>
  <c r="I1" i="112"/>
  <c r="H1" i="112"/>
  <c r="G1" i="112"/>
  <c r="F1" i="112"/>
  <c r="E1" i="112"/>
  <c r="D1" i="112"/>
  <c r="C1" i="112"/>
  <c r="B1" i="112"/>
  <c r="A1" i="112"/>
  <c r="M199" i="111"/>
  <c r="K199" i="111"/>
  <c r="I199" i="111"/>
  <c r="Q197" i="111"/>
  <c r="Q199" i="111" s="1"/>
  <c r="G2" i="111" s="1"/>
  <c r="O197" i="111"/>
  <c r="O199" i="111" s="1"/>
  <c r="M197" i="111"/>
  <c r="K197" i="111"/>
  <c r="I197" i="111"/>
  <c r="G197" i="111"/>
  <c r="G199" i="111" s="1"/>
  <c r="C197" i="111"/>
  <c r="Q10" i="111"/>
  <c r="O10" i="111"/>
  <c r="F2" i="111" s="1"/>
  <c r="M10" i="111"/>
  <c r="K10" i="111"/>
  <c r="I10" i="111"/>
  <c r="D2" i="111" s="1"/>
  <c r="G10" i="111"/>
  <c r="C10" i="111"/>
  <c r="I2" i="111" s="1"/>
  <c r="B10" i="111"/>
  <c r="C6" i="111"/>
  <c r="H2" i="111" s="1"/>
  <c r="C3" i="111"/>
  <c r="E2" i="111"/>
  <c r="C2" i="111"/>
  <c r="B2" i="111"/>
  <c r="A2" i="111"/>
  <c r="I1" i="111"/>
  <c r="H1" i="111"/>
  <c r="G1" i="111"/>
  <c r="F1" i="111"/>
  <c r="E1" i="111"/>
  <c r="D1" i="111"/>
  <c r="C1" i="111"/>
  <c r="B1" i="111"/>
  <c r="A1" i="111"/>
  <c r="G199" i="110"/>
  <c r="Q197" i="110"/>
  <c r="Q199" i="110" s="1"/>
  <c r="G2" i="110" s="1"/>
  <c r="O197" i="110"/>
  <c r="O199" i="110" s="1"/>
  <c r="M197" i="110"/>
  <c r="M199" i="110" s="1"/>
  <c r="K197" i="110"/>
  <c r="K199" i="110" s="1"/>
  <c r="I197" i="110"/>
  <c r="I199" i="110" s="1"/>
  <c r="G197" i="110"/>
  <c r="C197" i="110"/>
  <c r="C12" i="110"/>
  <c r="Q10" i="110"/>
  <c r="O10" i="110"/>
  <c r="F2" i="110" s="1"/>
  <c r="M10" i="110"/>
  <c r="E2" i="110" s="1"/>
  <c r="K10" i="110"/>
  <c r="I10" i="110"/>
  <c r="G10" i="110"/>
  <c r="C10" i="110"/>
  <c r="B10" i="110"/>
  <c r="C6" i="110"/>
  <c r="H2" i="110" s="1"/>
  <c r="C3" i="110"/>
  <c r="I2" i="110"/>
  <c r="D2" i="110"/>
  <c r="C2" i="110"/>
  <c r="B2" i="110"/>
  <c r="A2" i="110"/>
  <c r="I1" i="110"/>
  <c r="H1" i="110"/>
  <c r="G1" i="110"/>
  <c r="F1" i="110"/>
  <c r="E1" i="110"/>
  <c r="D1" i="110"/>
  <c r="C1" i="110"/>
  <c r="B1" i="110"/>
  <c r="A1" i="110"/>
  <c r="O199" i="109"/>
  <c r="M199" i="109"/>
  <c r="K199" i="109"/>
  <c r="Q197" i="109"/>
  <c r="Q199" i="109" s="1"/>
  <c r="G2" i="109" s="1"/>
  <c r="O197" i="109"/>
  <c r="M197" i="109"/>
  <c r="K197" i="109"/>
  <c r="I197" i="109"/>
  <c r="I199" i="109" s="1"/>
  <c r="G197" i="109"/>
  <c r="G199" i="109" s="1"/>
  <c r="C197" i="109"/>
  <c r="C12" i="109"/>
  <c r="Q10" i="109"/>
  <c r="O10" i="109"/>
  <c r="M10" i="109"/>
  <c r="E2" i="109" s="1"/>
  <c r="K10" i="109"/>
  <c r="I10" i="109"/>
  <c r="D2" i="109" s="1"/>
  <c r="G10" i="109"/>
  <c r="C10" i="109"/>
  <c r="B10" i="109"/>
  <c r="C6" i="109"/>
  <c r="H2" i="109" s="1"/>
  <c r="C3" i="109"/>
  <c r="I2" i="109"/>
  <c r="F2" i="109"/>
  <c r="C2" i="109"/>
  <c r="B2" i="109"/>
  <c r="A2" i="109"/>
  <c r="I1" i="109"/>
  <c r="H1" i="109"/>
  <c r="G1" i="109"/>
  <c r="F1" i="109"/>
  <c r="E1" i="109"/>
  <c r="D1" i="109"/>
  <c r="C1" i="109"/>
  <c r="B1" i="109"/>
  <c r="A1" i="109"/>
  <c r="I199" i="103"/>
  <c r="G199" i="103"/>
  <c r="Q197" i="103"/>
  <c r="Q199" i="103" s="1"/>
  <c r="G2" i="103" s="1"/>
  <c r="O197" i="103"/>
  <c r="O199" i="103" s="1"/>
  <c r="M197" i="103"/>
  <c r="M199" i="103" s="1"/>
  <c r="K197" i="103"/>
  <c r="K199" i="103" s="1"/>
  <c r="I197" i="103"/>
  <c r="G197" i="103"/>
  <c r="C197" i="103"/>
  <c r="Q10" i="103"/>
  <c r="O10" i="103"/>
  <c r="F2" i="103" s="1"/>
  <c r="M10" i="103"/>
  <c r="K10" i="103"/>
  <c r="I10" i="103"/>
  <c r="G10" i="103"/>
  <c r="C10" i="103"/>
  <c r="I2" i="103" s="1"/>
  <c r="B10" i="103"/>
  <c r="C6" i="103"/>
  <c r="H2" i="103" s="1"/>
  <c r="C3" i="103"/>
  <c r="E2" i="103"/>
  <c r="D2" i="103"/>
  <c r="C2" i="103"/>
  <c r="B2" i="103"/>
  <c r="A2" i="103"/>
  <c r="I1" i="103"/>
  <c r="H1" i="103"/>
  <c r="G1" i="103"/>
  <c r="F1" i="103"/>
  <c r="E1" i="103"/>
  <c r="D1" i="103"/>
  <c r="C1" i="103"/>
  <c r="B1" i="103"/>
  <c r="A1" i="103"/>
  <c r="Q197" i="102"/>
  <c r="Q199" i="102" s="1"/>
  <c r="G2" i="102" s="1"/>
  <c r="O197" i="102"/>
  <c r="O199" i="102" s="1"/>
  <c r="M197" i="102"/>
  <c r="M199" i="102" s="1"/>
  <c r="K197" i="102"/>
  <c r="K199" i="102" s="1"/>
  <c r="I197" i="102"/>
  <c r="I199" i="102" s="1"/>
  <c r="G197" i="102"/>
  <c r="G199" i="102" s="1"/>
  <c r="C197" i="102"/>
  <c r="Q10" i="102"/>
  <c r="O10" i="102"/>
  <c r="F2" i="102" s="1"/>
  <c r="M10" i="102"/>
  <c r="E2" i="102" s="1"/>
  <c r="K10" i="102"/>
  <c r="I10" i="102"/>
  <c r="D2" i="102" s="1"/>
  <c r="G10" i="102"/>
  <c r="C10" i="102"/>
  <c r="C12" i="102" s="1"/>
  <c r="B10" i="102"/>
  <c r="C6" i="102"/>
  <c r="H2" i="102" s="1"/>
  <c r="C3" i="102"/>
  <c r="I2" i="102"/>
  <c r="C2" i="102"/>
  <c r="B2" i="102"/>
  <c r="A2" i="102"/>
  <c r="I1" i="102"/>
  <c r="H1" i="102"/>
  <c r="G1" i="102"/>
  <c r="F1" i="102"/>
  <c r="E1" i="102"/>
  <c r="D1" i="102"/>
  <c r="C1" i="102"/>
  <c r="B1" i="102"/>
  <c r="A1" i="102"/>
  <c r="Q199" i="101"/>
  <c r="G199" i="101"/>
  <c r="Q197" i="101"/>
  <c r="O197" i="101"/>
  <c r="O199" i="101" s="1"/>
  <c r="M197" i="101"/>
  <c r="M199" i="101" s="1"/>
  <c r="K197" i="101"/>
  <c r="K199" i="101" s="1"/>
  <c r="I197" i="101"/>
  <c r="I199" i="101" s="1"/>
  <c r="G197" i="101"/>
  <c r="C197" i="101"/>
  <c r="C12" i="101"/>
  <c r="Q10" i="101"/>
  <c r="O10" i="101"/>
  <c r="F2" i="101" s="1"/>
  <c r="M10" i="101"/>
  <c r="E2" i="101" s="1"/>
  <c r="K10" i="101"/>
  <c r="I10" i="101"/>
  <c r="D2" i="101" s="1"/>
  <c r="G10" i="101"/>
  <c r="C10" i="101"/>
  <c r="B10" i="101"/>
  <c r="C6" i="101"/>
  <c r="H2" i="101" s="1"/>
  <c r="C3" i="101"/>
  <c r="I2" i="101"/>
  <c r="G2" i="101"/>
  <c r="C2" i="101"/>
  <c r="B2" i="101"/>
  <c r="A2" i="101"/>
  <c r="I1" i="101"/>
  <c r="H1" i="101"/>
  <c r="G1" i="101"/>
  <c r="F1" i="101"/>
  <c r="E1" i="101"/>
  <c r="D1" i="101"/>
  <c r="C1" i="101"/>
  <c r="B1" i="101"/>
  <c r="A1" i="101"/>
  <c r="Q199" i="100"/>
  <c r="O199" i="100"/>
  <c r="M199" i="100"/>
  <c r="G199" i="100"/>
  <c r="Q197" i="100"/>
  <c r="O197" i="100"/>
  <c r="M197" i="100"/>
  <c r="K197" i="100"/>
  <c r="K199" i="100" s="1"/>
  <c r="I197" i="100"/>
  <c r="I199" i="100" s="1"/>
  <c r="G197" i="100"/>
  <c r="C197" i="100"/>
  <c r="C12" i="100"/>
  <c r="Q10" i="100"/>
  <c r="O10" i="100"/>
  <c r="M10" i="100"/>
  <c r="K10" i="100"/>
  <c r="I10" i="100"/>
  <c r="G10" i="100"/>
  <c r="C10" i="100"/>
  <c r="I2" i="100" s="1"/>
  <c r="B10" i="100"/>
  <c r="C6" i="100"/>
  <c r="H2" i="100" s="1"/>
  <c r="C3" i="100"/>
  <c r="G2" i="100"/>
  <c r="F2" i="100"/>
  <c r="E2" i="100"/>
  <c r="D2" i="100"/>
  <c r="C2" i="100"/>
  <c r="B2" i="100"/>
  <c r="A2" i="100"/>
  <c r="I1" i="100"/>
  <c r="H1" i="100"/>
  <c r="G1" i="100"/>
  <c r="F1" i="100"/>
  <c r="E1" i="100"/>
  <c r="D1" i="100"/>
  <c r="C1" i="100"/>
  <c r="B1" i="100"/>
  <c r="A1" i="100"/>
  <c r="Q199" i="99"/>
  <c r="O199" i="99"/>
  <c r="I199" i="99"/>
  <c r="Q197" i="99"/>
  <c r="O197" i="99"/>
  <c r="M197" i="99"/>
  <c r="M199" i="99" s="1"/>
  <c r="K197" i="99"/>
  <c r="K199" i="99" s="1"/>
  <c r="I197" i="99"/>
  <c r="G197" i="99"/>
  <c r="G199" i="99" s="1"/>
  <c r="C197" i="99"/>
  <c r="Q10" i="99"/>
  <c r="O10" i="99"/>
  <c r="F2" i="99" s="1"/>
  <c r="M10" i="99"/>
  <c r="K10" i="99"/>
  <c r="I10" i="99"/>
  <c r="D2" i="99" s="1"/>
  <c r="G10" i="99"/>
  <c r="C10" i="99"/>
  <c r="I2" i="99" s="1"/>
  <c r="B10" i="99"/>
  <c r="C6" i="99"/>
  <c r="H2" i="99" s="1"/>
  <c r="C3" i="99"/>
  <c r="G2" i="99"/>
  <c r="E2" i="99"/>
  <c r="C2" i="99"/>
  <c r="B2" i="99"/>
  <c r="A2" i="99"/>
  <c r="I1" i="99"/>
  <c r="H1" i="99"/>
  <c r="G1" i="99"/>
  <c r="F1" i="99"/>
  <c r="E1" i="99"/>
  <c r="D1" i="99"/>
  <c r="C1" i="99"/>
  <c r="B1" i="99"/>
  <c r="A1" i="99"/>
  <c r="O199" i="64"/>
  <c r="M199" i="64"/>
  <c r="G199" i="64"/>
  <c r="Q197" i="64"/>
  <c r="Q199" i="64" s="1"/>
  <c r="G2" i="64" s="1"/>
  <c r="O197" i="64"/>
  <c r="M197" i="64"/>
  <c r="K197" i="64"/>
  <c r="K199" i="64" s="1"/>
  <c r="I197" i="64"/>
  <c r="I199" i="64" s="1"/>
  <c r="G197" i="64"/>
  <c r="C197" i="64"/>
  <c r="C12" i="64"/>
  <c r="Q10" i="64"/>
  <c r="O10" i="64"/>
  <c r="M10" i="64"/>
  <c r="K10" i="64"/>
  <c r="I10" i="64"/>
  <c r="D2" i="64" s="1"/>
  <c r="G10" i="64"/>
  <c r="C10" i="64"/>
  <c r="I2" i="64" s="1"/>
  <c r="B10" i="64"/>
  <c r="C6" i="64"/>
  <c r="H2" i="64" s="1"/>
  <c r="C3" i="64"/>
  <c r="F2" i="64"/>
  <c r="E2" i="64"/>
  <c r="C2" i="64"/>
  <c r="B2" i="64"/>
  <c r="A2" i="64"/>
  <c r="I1" i="64"/>
  <c r="H1" i="64"/>
  <c r="G1" i="64"/>
  <c r="F1" i="64"/>
  <c r="E1" i="64"/>
  <c r="D1" i="64"/>
  <c r="C1" i="64"/>
  <c r="B1" i="64"/>
  <c r="A1" i="64"/>
  <c r="Q199" i="63"/>
  <c r="O199" i="63"/>
  <c r="M199" i="63"/>
  <c r="G199" i="63"/>
  <c r="Q197" i="63"/>
  <c r="O197" i="63"/>
  <c r="M197" i="63"/>
  <c r="K197" i="63"/>
  <c r="K199" i="63" s="1"/>
  <c r="I197" i="63"/>
  <c r="I199" i="63" s="1"/>
  <c r="G197" i="63"/>
  <c r="C197" i="63"/>
  <c r="C12" i="63"/>
  <c r="Q10" i="63"/>
  <c r="O10" i="63"/>
  <c r="M10" i="63"/>
  <c r="K10" i="63"/>
  <c r="I10" i="63"/>
  <c r="D2" i="63" s="1"/>
  <c r="G10" i="63"/>
  <c r="C10" i="63"/>
  <c r="I2" i="63" s="1"/>
  <c r="B10" i="63"/>
  <c r="C6" i="63"/>
  <c r="H2" i="63" s="1"/>
  <c r="C3" i="63"/>
  <c r="G2" i="63"/>
  <c r="F2" i="63"/>
  <c r="E2" i="63"/>
  <c r="C2" i="63"/>
  <c r="B2" i="63"/>
  <c r="A2" i="63"/>
  <c r="I1" i="63"/>
  <c r="H1" i="63"/>
  <c r="G1" i="63"/>
  <c r="F1" i="63"/>
  <c r="E1" i="63"/>
  <c r="D1" i="63"/>
  <c r="C1" i="63"/>
  <c r="B1" i="63"/>
  <c r="A1" i="63"/>
  <c r="O199" i="62"/>
  <c r="M199" i="62"/>
  <c r="G199" i="62"/>
  <c r="Q197" i="62"/>
  <c r="Q199" i="62" s="1"/>
  <c r="G2" i="62" s="1"/>
  <c r="O197" i="62"/>
  <c r="M197" i="62"/>
  <c r="K197" i="62"/>
  <c r="K199" i="62" s="1"/>
  <c r="I197" i="62"/>
  <c r="I199" i="62" s="1"/>
  <c r="G197" i="62"/>
  <c r="C197" i="62"/>
  <c r="C12" i="62"/>
  <c r="Q10" i="62"/>
  <c r="O10" i="62"/>
  <c r="M10" i="62"/>
  <c r="K10" i="62"/>
  <c r="I10" i="62"/>
  <c r="D2" i="62" s="1"/>
  <c r="G10" i="62"/>
  <c r="C10" i="62"/>
  <c r="I2" i="62" s="1"/>
  <c r="B10" i="62"/>
  <c r="C6" i="62"/>
  <c r="H2" i="62" s="1"/>
  <c r="C3" i="62"/>
  <c r="F2" i="62"/>
  <c r="E2" i="62"/>
  <c r="C2" i="62"/>
  <c r="B2" i="62"/>
  <c r="A2" i="62"/>
  <c r="I1" i="62"/>
  <c r="H1" i="62"/>
  <c r="G1" i="62"/>
  <c r="F1" i="62"/>
  <c r="E1" i="62"/>
  <c r="D1" i="62"/>
  <c r="C1" i="62"/>
  <c r="B1" i="62"/>
  <c r="A1" i="62"/>
  <c r="I199" i="61"/>
  <c r="Q197" i="61"/>
  <c r="Q199" i="61" s="1"/>
  <c r="G2" i="61" s="1"/>
  <c r="O197" i="61"/>
  <c r="O199" i="61" s="1"/>
  <c r="M197" i="61"/>
  <c r="M199" i="61" s="1"/>
  <c r="K197" i="61"/>
  <c r="K199" i="61" s="1"/>
  <c r="I197" i="61"/>
  <c r="G197" i="61"/>
  <c r="G199" i="61" s="1"/>
  <c r="C197" i="61"/>
  <c r="Q10" i="61"/>
  <c r="O10" i="61"/>
  <c r="F2" i="61" s="1"/>
  <c r="M10" i="61"/>
  <c r="K10" i="61"/>
  <c r="I10" i="61"/>
  <c r="D2" i="61" s="1"/>
  <c r="G10" i="61"/>
  <c r="C10" i="61"/>
  <c r="I2" i="61" s="1"/>
  <c r="B10" i="61"/>
  <c r="C6" i="61"/>
  <c r="H2" i="61" s="1"/>
  <c r="C3" i="61"/>
  <c r="E2" i="61"/>
  <c r="C2" i="61"/>
  <c r="B2" i="61"/>
  <c r="A2" i="61"/>
  <c r="I1" i="61"/>
  <c r="H1" i="61"/>
  <c r="G1" i="61"/>
  <c r="F1" i="61"/>
  <c r="E1" i="61"/>
  <c r="D1" i="61"/>
  <c r="C1" i="61"/>
  <c r="B1" i="61"/>
  <c r="A1" i="61"/>
  <c r="Q199" i="60"/>
  <c r="G2" i="60" s="1"/>
  <c r="G199" i="60"/>
  <c r="Q197" i="60"/>
  <c r="O197" i="60"/>
  <c r="O199" i="60" s="1"/>
  <c r="M197" i="60"/>
  <c r="M199" i="60" s="1"/>
  <c r="K197" i="60"/>
  <c r="K199" i="60" s="1"/>
  <c r="I197" i="60"/>
  <c r="I199" i="60" s="1"/>
  <c r="G197" i="60"/>
  <c r="C197" i="60"/>
  <c r="C12" i="60"/>
  <c r="Q10" i="60"/>
  <c r="O10" i="60"/>
  <c r="F2" i="60" s="1"/>
  <c r="M10" i="60"/>
  <c r="E2" i="60" s="1"/>
  <c r="K10" i="60"/>
  <c r="I10" i="60"/>
  <c r="G10" i="60"/>
  <c r="C10" i="60"/>
  <c r="B10" i="60"/>
  <c r="C6" i="60"/>
  <c r="H2" i="60" s="1"/>
  <c r="C3" i="60"/>
  <c r="I2" i="60"/>
  <c r="D2" i="60"/>
  <c r="C2" i="60"/>
  <c r="B2" i="60"/>
  <c r="A2" i="60"/>
  <c r="I1" i="60"/>
  <c r="H1" i="60"/>
  <c r="G1" i="60"/>
  <c r="F1" i="60"/>
  <c r="E1" i="60"/>
  <c r="D1" i="60"/>
  <c r="C1" i="60"/>
  <c r="B1" i="60"/>
  <c r="A1" i="60"/>
  <c r="Q199" i="59"/>
  <c r="G2" i="59" s="1"/>
  <c r="I199" i="59"/>
  <c r="G199" i="59"/>
  <c r="Q197" i="59"/>
  <c r="O197" i="59"/>
  <c r="O199" i="59" s="1"/>
  <c r="M197" i="59"/>
  <c r="M199" i="59" s="1"/>
  <c r="K197" i="59"/>
  <c r="K199" i="59" s="1"/>
  <c r="I197" i="59"/>
  <c r="G197" i="59"/>
  <c r="C197" i="59"/>
  <c r="Q10" i="59"/>
  <c r="O10" i="59"/>
  <c r="F2" i="59" s="1"/>
  <c r="M10" i="59"/>
  <c r="K10" i="59"/>
  <c r="I10" i="59"/>
  <c r="G10" i="59"/>
  <c r="C10" i="59"/>
  <c r="I2" i="59" s="1"/>
  <c r="B10" i="59"/>
  <c r="C6" i="59"/>
  <c r="H2" i="59" s="1"/>
  <c r="C3" i="59"/>
  <c r="E2" i="59"/>
  <c r="D2" i="59"/>
  <c r="C2" i="59"/>
  <c r="B2" i="59"/>
  <c r="A2" i="59"/>
  <c r="I1" i="59"/>
  <c r="H1" i="59"/>
  <c r="G1" i="59"/>
  <c r="F1" i="59"/>
  <c r="E1" i="59"/>
  <c r="D1" i="59"/>
  <c r="C1" i="59"/>
  <c r="B1" i="59"/>
  <c r="A1" i="59"/>
  <c r="O199" i="58"/>
  <c r="M199" i="58"/>
  <c r="G199" i="58"/>
  <c r="Q197" i="58"/>
  <c r="Q199" i="58" s="1"/>
  <c r="G2" i="58" s="1"/>
  <c r="O197" i="58"/>
  <c r="M197" i="58"/>
  <c r="K197" i="58"/>
  <c r="K199" i="58" s="1"/>
  <c r="I197" i="58"/>
  <c r="I199" i="58" s="1"/>
  <c r="G197" i="58"/>
  <c r="C197" i="58"/>
  <c r="Q10" i="58"/>
  <c r="O10" i="58"/>
  <c r="M10" i="58"/>
  <c r="K10" i="58"/>
  <c r="I10" i="58"/>
  <c r="D2" i="58" s="1"/>
  <c r="G10" i="58"/>
  <c r="C10" i="58"/>
  <c r="I2" i="58" s="1"/>
  <c r="B10" i="58"/>
  <c r="C6" i="58"/>
  <c r="H2" i="58" s="1"/>
  <c r="C3" i="58"/>
  <c r="F2" i="58"/>
  <c r="E2" i="58"/>
  <c r="C2" i="58"/>
  <c r="B2" i="58"/>
  <c r="A2" i="58"/>
  <c r="I1" i="58"/>
  <c r="H1" i="58"/>
  <c r="G1" i="58"/>
  <c r="F1" i="58"/>
  <c r="E1" i="58"/>
  <c r="D1" i="58"/>
  <c r="C1" i="58"/>
  <c r="B1" i="58"/>
  <c r="A1" i="58"/>
  <c r="I199" i="57"/>
  <c r="G199" i="57"/>
  <c r="Q197" i="57"/>
  <c r="Q199" i="57" s="1"/>
  <c r="G2" i="57" s="1"/>
  <c r="O197" i="57"/>
  <c r="O199" i="57" s="1"/>
  <c r="M197" i="57"/>
  <c r="M199" i="57" s="1"/>
  <c r="K197" i="57"/>
  <c r="K199" i="57" s="1"/>
  <c r="I197" i="57"/>
  <c r="G197" i="57"/>
  <c r="C197" i="57"/>
  <c r="C12" i="57"/>
  <c r="Q10" i="57"/>
  <c r="O10" i="57"/>
  <c r="F2" i="57" s="1"/>
  <c r="M10" i="57"/>
  <c r="K10" i="57"/>
  <c r="I10" i="57"/>
  <c r="G10" i="57"/>
  <c r="C10" i="57"/>
  <c r="I2" i="57" s="1"/>
  <c r="B10" i="57"/>
  <c r="C6" i="57"/>
  <c r="H2" i="57" s="1"/>
  <c r="C3" i="57"/>
  <c r="E2" i="57"/>
  <c r="D2" i="57"/>
  <c r="C2" i="57"/>
  <c r="B2" i="57"/>
  <c r="A2" i="57"/>
  <c r="I1" i="57"/>
  <c r="H1" i="57"/>
  <c r="G1" i="57"/>
  <c r="F1" i="57"/>
  <c r="E1" i="57"/>
  <c r="D1" i="57"/>
  <c r="C1" i="57"/>
  <c r="B1" i="57"/>
  <c r="A1" i="57"/>
  <c r="Q197" i="51"/>
  <c r="Q199" i="51" s="1"/>
  <c r="G2" i="51" s="1"/>
  <c r="O197" i="51"/>
  <c r="O199" i="51" s="1"/>
  <c r="M197" i="51"/>
  <c r="M199" i="51" s="1"/>
  <c r="K197" i="51"/>
  <c r="K199" i="51" s="1"/>
  <c r="I197" i="51"/>
  <c r="I199" i="51" s="1"/>
  <c r="G197" i="51"/>
  <c r="G199" i="51" s="1"/>
  <c r="C197" i="51"/>
  <c r="Q10" i="51"/>
  <c r="O10" i="51"/>
  <c r="F2" i="51" s="1"/>
  <c r="M10" i="51"/>
  <c r="E2" i="51" s="1"/>
  <c r="K10" i="51"/>
  <c r="I10" i="51"/>
  <c r="D2" i="51" s="1"/>
  <c r="G10" i="51"/>
  <c r="C10" i="51"/>
  <c r="C12" i="51" s="1"/>
  <c r="B10" i="51"/>
  <c r="C6" i="51"/>
  <c r="H2" i="51" s="1"/>
  <c r="C3" i="51"/>
  <c r="I2" i="51"/>
  <c r="C2" i="51"/>
  <c r="B2" i="51"/>
  <c r="A2" i="51"/>
  <c r="I1" i="51"/>
  <c r="H1" i="51"/>
  <c r="G1" i="51"/>
  <c r="F1" i="51"/>
  <c r="E1" i="51"/>
  <c r="D1" i="51"/>
  <c r="C1" i="51"/>
  <c r="B1" i="51"/>
  <c r="A1" i="51"/>
  <c r="I199" i="50"/>
  <c r="G199" i="50"/>
  <c r="Q197" i="50"/>
  <c r="Q199" i="50" s="1"/>
  <c r="G2" i="50" s="1"/>
  <c r="O197" i="50"/>
  <c r="O199" i="50" s="1"/>
  <c r="M197" i="50"/>
  <c r="M199" i="50" s="1"/>
  <c r="K197" i="50"/>
  <c r="K199" i="50" s="1"/>
  <c r="I197" i="50"/>
  <c r="G197" i="50"/>
  <c r="C197" i="50"/>
  <c r="C12" i="50"/>
  <c r="Q10" i="50"/>
  <c r="O10" i="50"/>
  <c r="F2" i="50" s="1"/>
  <c r="M10" i="50"/>
  <c r="K10" i="50"/>
  <c r="I10" i="50"/>
  <c r="G10" i="50"/>
  <c r="C10" i="50"/>
  <c r="I2" i="50" s="1"/>
  <c r="B10" i="50"/>
  <c r="C6" i="50"/>
  <c r="H2" i="50" s="1"/>
  <c r="C3" i="50"/>
  <c r="E2" i="50"/>
  <c r="D2" i="50"/>
  <c r="C2" i="50"/>
  <c r="B2" i="50"/>
  <c r="A2" i="50"/>
  <c r="I1" i="50"/>
  <c r="H1" i="50"/>
  <c r="G1" i="50"/>
  <c r="F1" i="50"/>
  <c r="E1" i="50"/>
  <c r="D1" i="50"/>
  <c r="C1" i="50"/>
  <c r="B1" i="50"/>
  <c r="A1" i="50"/>
  <c r="I199" i="49"/>
  <c r="G199" i="49"/>
  <c r="Q197" i="49"/>
  <c r="Q199" i="49" s="1"/>
  <c r="G2" i="49" s="1"/>
  <c r="O197" i="49"/>
  <c r="O199" i="49" s="1"/>
  <c r="M197" i="49"/>
  <c r="M199" i="49" s="1"/>
  <c r="K197" i="49"/>
  <c r="K199" i="49" s="1"/>
  <c r="I197" i="49"/>
  <c r="G197" i="49"/>
  <c r="C197" i="49"/>
  <c r="C12" i="49"/>
  <c r="Q10" i="49"/>
  <c r="O10" i="49"/>
  <c r="F2" i="49" s="1"/>
  <c r="M10" i="49"/>
  <c r="K10" i="49"/>
  <c r="I10" i="49"/>
  <c r="G10" i="49"/>
  <c r="C10" i="49"/>
  <c r="I2" i="49" s="1"/>
  <c r="B10" i="49"/>
  <c r="C6" i="49"/>
  <c r="H2" i="49" s="1"/>
  <c r="C3" i="49"/>
  <c r="E2" i="49"/>
  <c r="D2" i="49"/>
  <c r="C2" i="49"/>
  <c r="B2" i="49"/>
  <c r="A2" i="49"/>
  <c r="I1" i="49"/>
  <c r="H1" i="49"/>
  <c r="G1" i="49"/>
  <c r="F1" i="49"/>
  <c r="E1" i="49"/>
  <c r="D1" i="49"/>
  <c r="C1" i="49"/>
  <c r="B1" i="49"/>
  <c r="A1" i="49"/>
  <c r="I199" i="48"/>
  <c r="G199" i="48"/>
  <c r="Q197" i="48"/>
  <c r="Q199" i="48" s="1"/>
  <c r="G2" i="48" s="1"/>
  <c r="O197" i="48"/>
  <c r="O199" i="48" s="1"/>
  <c r="M197" i="48"/>
  <c r="M199" i="48" s="1"/>
  <c r="K197" i="48"/>
  <c r="K199" i="48" s="1"/>
  <c r="I197" i="48"/>
  <c r="G197" i="48"/>
  <c r="C197" i="48"/>
  <c r="C12" i="48"/>
  <c r="Q10" i="48"/>
  <c r="O10" i="48"/>
  <c r="F2" i="48" s="1"/>
  <c r="M10" i="48"/>
  <c r="K10" i="48"/>
  <c r="I10" i="48"/>
  <c r="G10" i="48"/>
  <c r="C10" i="48"/>
  <c r="I2" i="48" s="1"/>
  <c r="B10" i="48"/>
  <c r="C6" i="48"/>
  <c r="H2" i="48" s="1"/>
  <c r="C3" i="48"/>
  <c r="E2" i="48"/>
  <c r="D2" i="48"/>
  <c r="C2" i="48"/>
  <c r="B2" i="48"/>
  <c r="A2" i="48"/>
  <c r="I1" i="48"/>
  <c r="H1" i="48"/>
  <c r="G1" i="48"/>
  <c r="F1" i="48"/>
  <c r="E1" i="48"/>
  <c r="D1" i="48"/>
  <c r="C1" i="48"/>
  <c r="B1" i="48"/>
  <c r="A1" i="48"/>
  <c r="I199" i="47"/>
  <c r="G199" i="47"/>
  <c r="Q197" i="47"/>
  <c r="Q199" i="47" s="1"/>
  <c r="G2" i="47" s="1"/>
  <c r="O197" i="47"/>
  <c r="O199" i="47" s="1"/>
  <c r="M197" i="47"/>
  <c r="M199" i="47" s="1"/>
  <c r="K197" i="47"/>
  <c r="K199" i="47" s="1"/>
  <c r="I197" i="47"/>
  <c r="G197" i="47"/>
  <c r="C197" i="47"/>
  <c r="C12" i="47"/>
  <c r="Q10" i="47"/>
  <c r="O10" i="47"/>
  <c r="F2" i="47" s="1"/>
  <c r="M10" i="47"/>
  <c r="K10" i="47"/>
  <c r="I10" i="47"/>
  <c r="G10" i="47"/>
  <c r="C10" i="47"/>
  <c r="I2" i="47" s="1"/>
  <c r="B10" i="47"/>
  <c r="C6" i="47"/>
  <c r="H2" i="47" s="1"/>
  <c r="C3" i="47"/>
  <c r="E2" i="47"/>
  <c r="D2" i="47"/>
  <c r="C2" i="47"/>
  <c r="B2" i="47"/>
  <c r="A2" i="47"/>
  <c r="I1" i="47"/>
  <c r="H1" i="47"/>
  <c r="G1" i="47"/>
  <c r="F1" i="47"/>
  <c r="E1" i="47"/>
  <c r="D1" i="47"/>
  <c r="C1" i="47"/>
  <c r="B1" i="47"/>
  <c r="A1" i="47"/>
  <c r="Q199" i="46"/>
  <c r="G2" i="46" s="1"/>
  <c r="I199" i="46"/>
  <c r="G199" i="46"/>
  <c r="Q197" i="46"/>
  <c r="O197" i="46"/>
  <c r="O199" i="46" s="1"/>
  <c r="M197" i="46"/>
  <c r="M199" i="46" s="1"/>
  <c r="K197" i="46"/>
  <c r="K199" i="46" s="1"/>
  <c r="I197" i="46"/>
  <c r="G197" i="46"/>
  <c r="C197" i="46"/>
  <c r="C12" i="46"/>
  <c r="Q10" i="46"/>
  <c r="O10" i="46"/>
  <c r="F2" i="46" s="1"/>
  <c r="M10" i="46"/>
  <c r="K10" i="46"/>
  <c r="I10" i="46"/>
  <c r="G10" i="46"/>
  <c r="C10" i="46"/>
  <c r="I2" i="46" s="1"/>
  <c r="B10" i="46"/>
  <c r="C6" i="46"/>
  <c r="H2" i="46" s="1"/>
  <c r="C3" i="46"/>
  <c r="E2" i="46"/>
  <c r="D2" i="46"/>
  <c r="C2" i="46"/>
  <c r="B2" i="46"/>
  <c r="A2" i="46"/>
  <c r="I1" i="46"/>
  <c r="H1" i="46"/>
  <c r="G1" i="46"/>
  <c r="F1" i="46"/>
  <c r="E1" i="46"/>
  <c r="D1" i="46"/>
  <c r="C1" i="46"/>
  <c r="B1" i="46"/>
  <c r="A1" i="46"/>
  <c r="Q199" i="45"/>
  <c r="G2" i="45" s="1"/>
  <c r="I199" i="45"/>
  <c r="G199" i="45"/>
  <c r="Q197" i="45"/>
  <c r="O197" i="45"/>
  <c r="O199" i="45" s="1"/>
  <c r="M197" i="45"/>
  <c r="M199" i="45" s="1"/>
  <c r="K197" i="45"/>
  <c r="K199" i="45" s="1"/>
  <c r="I197" i="45"/>
  <c r="G197" i="45"/>
  <c r="C197" i="45"/>
  <c r="C12" i="45"/>
  <c r="Q10" i="45"/>
  <c r="O10" i="45"/>
  <c r="F2" i="45" s="1"/>
  <c r="M10" i="45"/>
  <c r="K10" i="45"/>
  <c r="I10" i="45"/>
  <c r="G10" i="45"/>
  <c r="C10" i="45"/>
  <c r="I2" i="45" s="1"/>
  <c r="B10" i="45"/>
  <c r="C6" i="45"/>
  <c r="H2" i="45" s="1"/>
  <c r="C3" i="45"/>
  <c r="E2" i="45"/>
  <c r="D2" i="45"/>
  <c r="C2" i="45"/>
  <c r="B2" i="45"/>
  <c r="A2" i="45"/>
  <c r="I1" i="45"/>
  <c r="H1" i="45"/>
  <c r="G1" i="45"/>
  <c r="F1" i="45"/>
  <c r="E1" i="45"/>
  <c r="D1" i="45"/>
  <c r="C1" i="45"/>
  <c r="B1" i="45"/>
  <c r="A1" i="45"/>
  <c r="I199" i="39"/>
  <c r="G199" i="39"/>
  <c r="Q197" i="39"/>
  <c r="Q199" i="39" s="1"/>
  <c r="G2" i="39" s="1"/>
  <c r="O197" i="39"/>
  <c r="O199" i="39" s="1"/>
  <c r="M197" i="39"/>
  <c r="M199" i="39" s="1"/>
  <c r="K197" i="39"/>
  <c r="K199" i="39" s="1"/>
  <c r="I197" i="39"/>
  <c r="G197" i="39"/>
  <c r="C197" i="39"/>
  <c r="C12" i="39"/>
  <c r="Q10" i="39"/>
  <c r="O10" i="39"/>
  <c r="F2" i="39" s="1"/>
  <c r="M10" i="39"/>
  <c r="K10" i="39"/>
  <c r="I10" i="39"/>
  <c r="G10" i="39"/>
  <c r="C10" i="39"/>
  <c r="I2" i="39" s="1"/>
  <c r="B10" i="39"/>
  <c r="C6" i="39"/>
  <c r="H2" i="39" s="1"/>
  <c r="C3" i="39"/>
  <c r="E2" i="39"/>
  <c r="D2" i="39"/>
  <c r="C2" i="39"/>
  <c r="B2" i="39"/>
  <c r="A2" i="39"/>
  <c r="I1" i="39"/>
  <c r="H1" i="39"/>
  <c r="G1" i="39"/>
  <c r="F1" i="39"/>
  <c r="E1" i="39"/>
  <c r="D1" i="39"/>
  <c r="C1" i="39"/>
  <c r="B1" i="39"/>
  <c r="A1" i="39"/>
  <c r="I199" i="38"/>
  <c r="Q197" i="38"/>
  <c r="Q199" i="38" s="1"/>
  <c r="G2" i="38" s="1"/>
  <c r="O197" i="38"/>
  <c r="O199" i="38" s="1"/>
  <c r="M197" i="38"/>
  <c r="M199" i="38" s="1"/>
  <c r="K197" i="38"/>
  <c r="K199" i="38" s="1"/>
  <c r="I197" i="38"/>
  <c r="G197" i="38"/>
  <c r="G199" i="38" s="1"/>
  <c r="C197" i="38"/>
  <c r="Q10" i="38"/>
  <c r="O10" i="38"/>
  <c r="F2" i="38" s="1"/>
  <c r="M10" i="38"/>
  <c r="K10" i="38"/>
  <c r="I10" i="38"/>
  <c r="D2" i="38" s="1"/>
  <c r="G10" i="38"/>
  <c r="C10" i="38"/>
  <c r="I2" i="38" s="1"/>
  <c r="B10" i="38"/>
  <c r="C6" i="38"/>
  <c r="H2" i="38" s="1"/>
  <c r="C3" i="38"/>
  <c r="E2" i="38"/>
  <c r="C2" i="38"/>
  <c r="B2" i="38"/>
  <c r="A2" i="38"/>
  <c r="I1" i="38"/>
  <c r="H1" i="38"/>
  <c r="G1" i="38"/>
  <c r="F1" i="38"/>
  <c r="E1" i="38"/>
  <c r="D1" i="38"/>
  <c r="C1" i="38"/>
  <c r="B1" i="38"/>
  <c r="A1" i="38"/>
  <c r="Q197" i="37"/>
  <c r="Q199" i="37" s="1"/>
  <c r="G2" i="37" s="1"/>
  <c r="O197" i="37"/>
  <c r="O199" i="37" s="1"/>
  <c r="M197" i="37"/>
  <c r="M199" i="37" s="1"/>
  <c r="K197" i="37"/>
  <c r="K199" i="37" s="1"/>
  <c r="I197" i="37"/>
  <c r="I199" i="37" s="1"/>
  <c r="G197" i="37"/>
  <c r="G199" i="37" s="1"/>
  <c r="C197" i="37"/>
  <c r="Q10" i="37"/>
  <c r="O10" i="37"/>
  <c r="F2" i="37" s="1"/>
  <c r="M10" i="37"/>
  <c r="E2" i="37" s="1"/>
  <c r="K10" i="37"/>
  <c r="I10" i="37"/>
  <c r="D2" i="37" s="1"/>
  <c r="G10" i="37"/>
  <c r="C10" i="37"/>
  <c r="C12" i="37" s="1"/>
  <c r="B10" i="37"/>
  <c r="C6" i="37"/>
  <c r="H2" i="37" s="1"/>
  <c r="C3" i="37"/>
  <c r="I2" i="37"/>
  <c r="C2" i="37"/>
  <c r="B2" i="37"/>
  <c r="A2" i="37"/>
  <c r="I1" i="37"/>
  <c r="H1" i="37"/>
  <c r="G1" i="37"/>
  <c r="F1" i="37"/>
  <c r="E1" i="37"/>
  <c r="D1" i="37"/>
  <c r="C1" i="37"/>
  <c r="B1" i="37"/>
  <c r="A1" i="37"/>
  <c r="I199" i="36"/>
  <c r="G199" i="36"/>
  <c r="Q197" i="36"/>
  <c r="Q199" i="36" s="1"/>
  <c r="G2" i="36" s="1"/>
  <c r="O197" i="36"/>
  <c r="O199" i="36" s="1"/>
  <c r="M197" i="36"/>
  <c r="M199" i="36" s="1"/>
  <c r="K197" i="36"/>
  <c r="K199" i="36" s="1"/>
  <c r="I197" i="36"/>
  <c r="G197" i="36"/>
  <c r="C197" i="36"/>
  <c r="C12" i="36"/>
  <c r="Q10" i="36"/>
  <c r="O10" i="36"/>
  <c r="F2" i="36" s="1"/>
  <c r="M10" i="36"/>
  <c r="K10" i="36"/>
  <c r="I10" i="36"/>
  <c r="G10" i="36"/>
  <c r="C10" i="36"/>
  <c r="I2" i="36" s="1"/>
  <c r="B10" i="36"/>
  <c r="C6" i="36"/>
  <c r="H2" i="36" s="1"/>
  <c r="C3" i="36"/>
  <c r="E2" i="36"/>
  <c r="D2" i="36"/>
  <c r="C2" i="36"/>
  <c r="B2" i="36"/>
  <c r="A2" i="36"/>
  <c r="I1" i="36"/>
  <c r="H1" i="36"/>
  <c r="G1" i="36"/>
  <c r="F1" i="36"/>
  <c r="E1" i="36"/>
  <c r="D1" i="36"/>
  <c r="C1" i="36"/>
  <c r="B1" i="36"/>
  <c r="A1" i="36"/>
  <c r="K199" i="35"/>
  <c r="G199" i="35"/>
  <c r="Q197" i="35"/>
  <c r="Q199" i="35" s="1"/>
  <c r="G2" i="35" s="1"/>
  <c r="O197" i="35"/>
  <c r="O199" i="35" s="1"/>
  <c r="M197" i="35"/>
  <c r="M199" i="35" s="1"/>
  <c r="K197" i="35"/>
  <c r="I197" i="35"/>
  <c r="I199" i="35" s="1"/>
  <c r="G197" i="35"/>
  <c r="C197" i="35"/>
  <c r="C12" i="35"/>
  <c r="Q10" i="35"/>
  <c r="O10" i="35"/>
  <c r="F2" i="35" s="1"/>
  <c r="M10" i="35"/>
  <c r="E2" i="35" s="1"/>
  <c r="K10" i="35"/>
  <c r="I10" i="35"/>
  <c r="G10" i="35"/>
  <c r="C10" i="35"/>
  <c r="B10" i="35"/>
  <c r="C6" i="35"/>
  <c r="H2" i="35" s="1"/>
  <c r="C3" i="35"/>
  <c r="I2" i="35"/>
  <c r="D2" i="35"/>
  <c r="C2" i="35"/>
  <c r="B2" i="35"/>
  <c r="A2" i="35"/>
  <c r="I1" i="35"/>
  <c r="H1" i="35"/>
  <c r="G1" i="35"/>
  <c r="F1" i="35"/>
  <c r="E1" i="35"/>
  <c r="D1" i="35"/>
  <c r="C1" i="35"/>
  <c r="B1" i="35"/>
  <c r="A1" i="35"/>
  <c r="I199" i="34"/>
  <c r="G199" i="34"/>
  <c r="Q197" i="34"/>
  <c r="Q199" i="34" s="1"/>
  <c r="G2" i="34" s="1"/>
  <c r="O197" i="34"/>
  <c r="O199" i="34" s="1"/>
  <c r="M197" i="34"/>
  <c r="M199" i="34" s="1"/>
  <c r="K197" i="34"/>
  <c r="K199" i="34" s="1"/>
  <c r="I197" i="34"/>
  <c r="G197" i="34"/>
  <c r="C197" i="34"/>
  <c r="C12" i="34"/>
  <c r="Q10" i="34"/>
  <c r="O10" i="34"/>
  <c r="F2" i="34" s="1"/>
  <c r="M10" i="34"/>
  <c r="K10" i="34"/>
  <c r="I10" i="34"/>
  <c r="G10" i="34"/>
  <c r="C10" i="34"/>
  <c r="I2" i="34" s="1"/>
  <c r="B10" i="34"/>
  <c r="C6" i="34"/>
  <c r="H2" i="34" s="1"/>
  <c r="C3" i="34"/>
  <c r="E2" i="34"/>
  <c r="D2" i="34"/>
  <c r="C2" i="34"/>
  <c r="B2" i="34"/>
  <c r="A2" i="34"/>
  <c r="I1" i="34"/>
  <c r="H1" i="34"/>
  <c r="G1" i="34"/>
  <c r="F1" i="34"/>
  <c r="E1" i="34"/>
  <c r="D1" i="34"/>
  <c r="C1" i="34"/>
  <c r="B1" i="34"/>
  <c r="A1" i="34"/>
  <c r="C12" i="65"/>
  <c r="C12" i="180" l="1"/>
  <c r="C12" i="183"/>
  <c r="I10" i="213"/>
  <c r="D2" i="213" s="1"/>
  <c r="M191" i="213"/>
  <c r="K191" i="213"/>
  <c r="D194" i="213" s="1"/>
  <c r="Q43" i="213"/>
  <c r="O187" i="213"/>
  <c r="Q187" i="213" s="1"/>
  <c r="P187" i="213"/>
  <c r="K10" i="213"/>
  <c r="P163" i="213"/>
  <c r="O163" i="213"/>
  <c r="O10" i="213"/>
  <c r="F2" i="213" s="1"/>
  <c r="C12" i="221"/>
  <c r="C12" i="209"/>
  <c r="C12" i="161"/>
  <c r="C12" i="157"/>
  <c r="C12" i="132"/>
  <c r="C12" i="128"/>
  <c r="C12" i="219"/>
  <c r="C12" i="218"/>
  <c r="C12" i="119"/>
  <c r="C12" i="117"/>
  <c r="C12" i="116"/>
  <c r="C12" i="114"/>
  <c r="C12" i="113"/>
  <c r="C12" i="111"/>
  <c r="C12" i="103"/>
  <c r="C12" i="99"/>
  <c r="C12" i="61"/>
  <c r="C12" i="59"/>
  <c r="C12" i="58"/>
  <c r="C12" i="38"/>
  <c r="K194" i="213" l="1"/>
  <c r="K197" i="213" s="1"/>
  <c r="K199" i="213" s="1"/>
  <c r="I194" i="213"/>
  <c r="G194" i="213"/>
  <c r="O194" i="213"/>
  <c r="G197" i="213"/>
  <c r="G199" i="213" s="1"/>
  <c r="Q163" i="213"/>
  <c r="O191" i="213"/>
  <c r="I197" i="213"/>
  <c r="I199" i="213" s="1"/>
  <c r="M194" i="213"/>
  <c r="Q194" i="213" s="1"/>
  <c r="Q197" i="213" s="1"/>
  <c r="L27" i="213"/>
  <c r="L28" i="213"/>
  <c r="L29" i="213"/>
  <c r="B10" i="70"/>
  <c r="C10" i="70"/>
  <c r="B10" i="66"/>
  <c r="C10" i="66"/>
  <c r="B10" i="65"/>
  <c r="C10" i="65"/>
  <c r="G199" i="204"/>
  <c r="Q197" i="204"/>
  <c r="Q199" i="204" s="1"/>
  <c r="G2" i="204" s="1"/>
  <c r="O197" i="204"/>
  <c r="O199" i="204" s="1"/>
  <c r="M197" i="204"/>
  <c r="M199" i="204" s="1"/>
  <c r="K197" i="204"/>
  <c r="K199" i="204" s="1"/>
  <c r="I197" i="204"/>
  <c r="I199" i="204" s="1"/>
  <c r="G197" i="204"/>
  <c r="C197" i="204"/>
  <c r="C12" i="204"/>
  <c r="Q10" i="204"/>
  <c r="O10" i="204"/>
  <c r="F2" i="204" s="1"/>
  <c r="M10" i="204"/>
  <c r="E2" i="204" s="1"/>
  <c r="K10" i="204"/>
  <c r="I10" i="204"/>
  <c r="G10" i="204"/>
  <c r="C10" i="204"/>
  <c r="B10" i="204"/>
  <c r="C6" i="204"/>
  <c r="H2" i="204" s="1"/>
  <c r="C3" i="204"/>
  <c r="I2" i="204"/>
  <c r="D2" i="204"/>
  <c r="C2" i="204"/>
  <c r="B2" i="204"/>
  <c r="A2" i="204"/>
  <c r="I1" i="204"/>
  <c r="H1" i="204"/>
  <c r="G1" i="204"/>
  <c r="F1" i="204"/>
  <c r="E1" i="204"/>
  <c r="D1" i="204"/>
  <c r="C1" i="204"/>
  <c r="B1" i="204"/>
  <c r="A1" i="204"/>
  <c r="P1" i="207"/>
  <c r="O1" i="207"/>
  <c r="N1" i="207"/>
  <c r="M1" i="207"/>
  <c r="L1" i="207"/>
  <c r="K1" i="207"/>
  <c r="J1" i="207"/>
  <c r="I1" i="207"/>
  <c r="H1" i="207"/>
  <c r="G1" i="207"/>
  <c r="F1" i="207"/>
  <c r="E1" i="207"/>
  <c r="D1" i="207"/>
  <c r="C1" i="207"/>
  <c r="B1" i="207"/>
  <c r="C167" i="205"/>
  <c r="A160" i="205"/>
  <c r="P159" i="205"/>
  <c r="O144" i="205"/>
  <c r="G143" i="205"/>
  <c r="L139" i="205"/>
  <c r="I132" i="205"/>
  <c r="H132" i="205"/>
  <c r="I131" i="205"/>
  <c r="Q124" i="205"/>
  <c r="B123" i="205"/>
  <c r="A123" i="205"/>
  <c r="O117" i="205"/>
  <c r="L117" i="205"/>
  <c r="E116" i="205"/>
  <c r="B113" i="205"/>
  <c r="K112" i="205"/>
  <c r="I112" i="205"/>
  <c r="F109" i="205"/>
  <c r="A108" i="205"/>
  <c r="L107" i="205"/>
  <c r="M105" i="205"/>
  <c r="L105" i="205"/>
  <c r="O104" i="205"/>
  <c r="Q102" i="205"/>
  <c r="P102" i="205"/>
  <c r="O102" i="205"/>
  <c r="Q100" i="205"/>
  <c r="C100" i="205"/>
  <c r="B100" i="205"/>
  <c r="D98" i="205"/>
  <c r="C98" i="205"/>
  <c r="F97" i="205"/>
  <c r="H95" i="205"/>
  <c r="G95" i="205"/>
  <c r="F95" i="205"/>
  <c r="Q93" i="205"/>
  <c r="J93" i="205"/>
  <c r="I93" i="205"/>
  <c r="H92" i="205"/>
  <c r="G92" i="205"/>
  <c r="Q91" i="205"/>
  <c r="Q90" i="205"/>
  <c r="P90" i="205"/>
  <c r="O90" i="205"/>
  <c r="P89" i="205"/>
  <c r="J89" i="205"/>
  <c r="I89" i="205"/>
  <c r="J88" i="205"/>
  <c r="I88" i="205"/>
  <c r="C88" i="205"/>
  <c r="D87" i="205"/>
  <c r="C87" i="205"/>
  <c r="B87" i="205"/>
  <c r="C86" i="205"/>
  <c r="N85" i="205"/>
  <c r="M85" i="205"/>
  <c r="N84" i="205"/>
  <c r="M84" i="205"/>
  <c r="G84" i="205"/>
  <c r="H83" i="205"/>
  <c r="G83" i="205"/>
  <c r="F83" i="205"/>
  <c r="G82" i="205"/>
  <c r="A82" i="205"/>
  <c r="Q81" i="205"/>
  <c r="A81" i="205"/>
  <c r="Q80" i="205"/>
  <c r="K80" i="205"/>
  <c r="L79" i="205"/>
  <c r="K79" i="205"/>
  <c r="J79" i="205"/>
  <c r="K78" i="205"/>
  <c r="E78" i="205"/>
  <c r="D78" i="205"/>
  <c r="E77" i="205"/>
  <c r="D77" i="205"/>
  <c r="O76" i="205"/>
  <c r="P75" i="205"/>
  <c r="O75" i="205"/>
  <c r="N75" i="205"/>
  <c r="O74" i="205"/>
  <c r="I74" i="205"/>
  <c r="H74" i="205"/>
  <c r="I73" i="205"/>
  <c r="H73" i="205"/>
  <c r="B73" i="205"/>
  <c r="C72" i="205"/>
  <c r="B72" i="205"/>
  <c r="A72" i="205"/>
  <c r="B71" i="205"/>
  <c r="M70" i="205"/>
  <c r="L70" i="205"/>
  <c r="M69" i="205"/>
  <c r="L69" i="205"/>
  <c r="F69" i="205"/>
  <c r="G68" i="205"/>
  <c r="F68" i="205"/>
  <c r="E68" i="205"/>
  <c r="F67" i="205"/>
  <c r="Q66" i="205"/>
  <c r="P66" i="205"/>
  <c r="Q65" i="205"/>
  <c r="P65" i="205"/>
  <c r="J65" i="205"/>
  <c r="K64" i="205"/>
  <c r="J64" i="205"/>
  <c r="I64" i="205"/>
  <c r="J63" i="205"/>
  <c r="D63" i="205"/>
  <c r="C63" i="205"/>
  <c r="D62" i="205"/>
  <c r="C62" i="205"/>
  <c r="N61" i="205"/>
  <c r="O60" i="205"/>
  <c r="N60" i="205"/>
  <c r="M60" i="205"/>
  <c r="N59" i="205"/>
  <c r="H59" i="205"/>
  <c r="G59" i="205"/>
  <c r="H58" i="205"/>
  <c r="G58" i="205"/>
  <c r="A58" i="205"/>
  <c r="B57" i="205"/>
  <c r="A57" i="205"/>
  <c r="Q56" i="205"/>
  <c r="A56" i="205"/>
  <c r="L55" i="205"/>
  <c r="K55" i="205"/>
  <c r="L54" i="205"/>
  <c r="K54" i="205"/>
  <c r="E54" i="205"/>
  <c r="F53" i="205"/>
  <c r="E53" i="205"/>
  <c r="D53" i="205"/>
  <c r="E52" i="205"/>
  <c r="P51" i="205"/>
  <c r="O51" i="205"/>
  <c r="P50" i="205"/>
  <c r="O50" i="205"/>
  <c r="I50" i="205"/>
  <c r="J49" i="205"/>
  <c r="I49" i="205"/>
  <c r="H49" i="205"/>
  <c r="I48" i="205"/>
  <c r="C48" i="205"/>
  <c r="B48" i="205"/>
  <c r="C47" i="205"/>
  <c r="B47" i="205"/>
  <c r="M46" i="205"/>
  <c r="N45" i="205"/>
  <c r="M45" i="205"/>
  <c r="L45" i="205"/>
  <c r="M44" i="205"/>
  <c r="G44" i="205"/>
  <c r="F44" i="205"/>
  <c r="G43" i="205"/>
  <c r="F43" i="205"/>
  <c r="Q42" i="205"/>
  <c r="A42" i="205"/>
  <c r="Q41" i="205"/>
  <c r="P41" i="205"/>
  <c r="Q40" i="205"/>
  <c r="K40" i="205"/>
  <c r="J40" i="205"/>
  <c r="K39" i="205"/>
  <c r="J39" i="205"/>
  <c r="D39" i="205"/>
  <c r="E38" i="205"/>
  <c r="D38" i="205"/>
  <c r="C38" i="205"/>
  <c r="D37" i="205"/>
  <c r="O36" i="205"/>
  <c r="N36" i="205"/>
  <c r="O35" i="205"/>
  <c r="N35" i="205"/>
  <c r="H35" i="205"/>
  <c r="N34" i="205"/>
  <c r="J34" i="205"/>
  <c r="I34" i="205"/>
  <c r="A34" i="205"/>
  <c r="Q33" i="205"/>
  <c r="P33" i="205"/>
  <c r="H33" i="205"/>
  <c r="G33" i="205"/>
  <c r="F33" i="205"/>
  <c r="O32" i="205"/>
  <c r="L32" i="205"/>
  <c r="K32" i="205"/>
  <c r="C32" i="205"/>
  <c r="B32" i="205"/>
  <c r="A32" i="205"/>
  <c r="J31" i="205"/>
  <c r="I31" i="205"/>
  <c r="H31" i="205"/>
  <c r="Q30" i="205"/>
  <c r="N30" i="205"/>
  <c r="M30" i="205"/>
  <c r="E30" i="205"/>
  <c r="D30" i="205"/>
  <c r="C30" i="205"/>
  <c r="L29" i="205"/>
  <c r="K29" i="205"/>
  <c r="J29" i="205"/>
  <c r="D29" i="205"/>
  <c r="C29" i="205"/>
  <c r="B29" i="205"/>
  <c r="M28" i="205"/>
  <c r="L28" i="205"/>
  <c r="K28" i="205"/>
  <c r="E28" i="205"/>
  <c r="D28" i="205"/>
  <c r="C28" i="205"/>
  <c r="N27" i="205"/>
  <c r="M27" i="205"/>
  <c r="L27" i="205"/>
  <c r="F27" i="205"/>
  <c r="E27" i="205"/>
  <c r="D27" i="205"/>
  <c r="O26" i="205"/>
  <c r="N26" i="205"/>
  <c r="M26" i="205"/>
  <c r="G26" i="205"/>
  <c r="F26" i="205"/>
  <c r="E26" i="205"/>
  <c r="P25" i="205"/>
  <c r="O25" i="205"/>
  <c r="N25" i="205"/>
  <c r="H25" i="205"/>
  <c r="G25" i="205"/>
  <c r="F25" i="205"/>
  <c r="Q24" i="205"/>
  <c r="P24" i="205"/>
  <c r="O24" i="205"/>
  <c r="I24" i="205"/>
  <c r="H24" i="205"/>
  <c r="G24" i="205"/>
  <c r="A24" i="205"/>
  <c r="Q23" i="205"/>
  <c r="P23" i="205"/>
  <c r="J23" i="205"/>
  <c r="I23" i="205"/>
  <c r="H23" i="205"/>
  <c r="B23" i="205"/>
  <c r="A23" i="205"/>
  <c r="Q22" i="205"/>
  <c r="K22" i="205"/>
  <c r="J22" i="205"/>
  <c r="I22" i="205"/>
  <c r="C22" i="205"/>
  <c r="B22" i="205"/>
  <c r="A22" i="205"/>
  <c r="L21" i="205"/>
  <c r="K21" i="205"/>
  <c r="J21" i="205"/>
  <c r="D21" i="205"/>
  <c r="C21" i="205"/>
  <c r="B21" i="205"/>
  <c r="M20" i="205"/>
  <c r="L20" i="205"/>
  <c r="K20" i="205"/>
  <c r="E20" i="205"/>
  <c r="D20" i="205"/>
  <c r="C20" i="205"/>
  <c r="N19" i="205"/>
  <c r="M19" i="205"/>
  <c r="L19" i="205"/>
  <c r="F19" i="205"/>
  <c r="E19" i="205"/>
  <c r="D19" i="205"/>
  <c r="O18" i="205"/>
  <c r="N18" i="205"/>
  <c r="M18" i="205"/>
  <c r="G18" i="205"/>
  <c r="F18" i="205"/>
  <c r="E18" i="205"/>
  <c r="P17" i="205"/>
  <c r="O17" i="205"/>
  <c r="N17" i="205"/>
  <c r="H17" i="205"/>
  <c r="G17" i="205"/>
  <c r="F17" i="205"/>
  <c r="Q16" i="205"/>
  <c r="P16" i="205"/>
  <c r="O16" i="205"/>
  <c r="I16" i="205"/>
  <c r="H16" i="205"/>
  <c r="G16" i="205"/>
  <c r="A16" i="205"/>
  <c r="Q15" i="205"/>
  <c r="P15" i="205"/>
  <c r="J15" i="205"/>
  <c r="I15" i="205"/>
  <c r="H15" i="205"/>
  <c r="B15" i="205"/>
  <c r="A15" i="205"/>
  <c r="Q14" i="205"/>
  <c r="K14" i="205"/>
  <c r="J14" i="205"/>
  <c r="I14" i="205"/>
  <c r="C14" i="205"/>
  <c r="B14" i="205"/>
  <c r="A14" i="205"/>
  <c r="L13" i="205"/>
  <c r="K13" i="205"/>
  <c r="J13" i="205"/>
  <c r="D13" i="205"/>
  <c r="C13" i="205"/>
  <c r="B13" i="205"/>
  <c r="M12" i="205"/>
  <c r="L12" i="205"/>
  <c r="K12" i="205"/>
  <c r="E12" i="205"/>
  <c r="D12" i="205"/>
  <c r="C12" i="205"/>
  <c r="N11" i="205"/>
  <c r="M11" i="205"/>
  <c r="L11" i="205"/>
  <c r="F11" i="205"/>
  <c r="E11" i="205"/>
  <c r="D11" i="205"/>
  <c r="O10" i="205"/>
  <c r="N10" i="205"/>
  <c r="M10" i="205"/>
  <c r="G10" i="205"/>
  <c r="F10" i="205"/>
  <c r="E10" i="205"/>
  <c r="P9" i="205"/>
  <c r="O9" i="205"/>
  <c r="N9" i="205"/>
  <c r="H9" i="205"/>
  <c r="G9" i="205"/>
  <c r="F9" i="205"/>
  <c r="Q8" i="205"/>
  <c r="P8" i="205"/>
  <c r="O8" i="205"/>
  <c r="I8" i="205"/>
  <c r="H8" i="205"/>
  <c r="G8" i="205"/>
  <c r="A8" i="205"/>
  <c r="Q7" i="205"/>
  <c r="P7" i="205"/>
  <c r="I7" i="205"/>
  <c r="H7" i="205"/>
  <c r="G7" i="205"/>
  <c r="A7" i="205"/>
  <c r="Q6" i="205"/>
  <c r="P6" i="205"/>
  <c r="I6" i="205"/>
  <c r="H6" i="205"/>
  <c r="G6" i="205"/>
  <c r="A6" i="205"/>
  <c r="Q5" i="205"/>
  <c r="P5" i="205"/>
  <c r="I5" i="205"/>
  <c r="H5" i="205"/>
  <c r="G5" i="205"/>
  <c r="A5" i="205"/>
  <c r="Q4" i="205"/>
  <c r="P4" i="205"/>
  <c r="I4" i="205"/>
  <c r="H4" i="205"/>
  <c r="G4" i="205"/>
  <c r="Q3" i="205"/>
  <c r="P3" i="205"/>
  <c r="O3" i="205"/>
  <c r="H3" i="205"/>
  <c r="D3" i="205"/>
  <c r="C3" i="205"/>
  <c r="A1" i="205"/>
  <c r="A181" i="205" s="1"/>
  <c r="O1" i="205"/>
  <c r="N1" i="205"/>
  <c r="M1" i="205"/>
  <c r="AA1" i="208"/>
  <c r="Z1" i="208"/>
  <c r="T1" i="208"/>
  <c r="S1" i="208"/>
  <c r="AG1" i="208"/>
  <c r="AF1" i="208"/>
  <c r="AE1" i="208"/>
  <c r="AD1" i="208"/>
  <c r="AC1" i="208"/>
  <c r="AB1" i="208"/>
  <c r="Y1" i="208"/>
  <c r="U1" i="208"/>
  <c r="P1" i="175"/>
  <c r="O1" i="175"/>
  <c r="N1" i="175"/>
  <c r="M1" i="175"/>
  <c r="L1" i="175"/>
  <c r="K1" i="175"/>
  <c r="J1" i="175"/>
  <c r="I1" i="175"/>
  <c r="H1" i="175"/>
  <c r="G1" i="175"/>
  <c r="F1" i="175"/>
  <c r="E1" i="175"/>
  <c r="D1" i="175"/>
  <c r="C1" i="175"/>
  <c r="B1" i="175"/>
  <c r="G52" i="173"/>
  <c r="A1" i="173"/>
  <c r="E152" i="173" s="1"/>
  <c r="O1" i="173"/>
  <c r="N1" i="173"/>
  <c r="M1" i="173"/>
  <c r="Q199" i="172"/>
  <c r="M199" i="172"/>
  <c r="K199" i="172"/>
  <c r="I199" i="172"/>
  <c r="Q197" i="172"/>
  <c r="O197" i="172"/>
  <c r="O199" i="172" s="1"/>
  <c r="M197" i="172"/>
  <c r="K197" i="172"/>
  <c r="I197" i="172"/>
  <c r="G197" i="172"/>
  <c r="G199" i="172" s="1"/>
  <c r="C197" i="172"/>
  <c r="Q10" i="172"/>
  <c r="O10" i="172"/>
  <c r="M10" i="172"/>
  <c r="K10" i="172"/>
  <c r="I10" i="172"/>
  <c r="D2" i="172" s="1"/>
  <c r="G10" i="172"/>
  <c r="C10" i="172"/>
  <c r="C12" i="172" s="1"/>
  <c r="B10" i="172"/>
  <c r="C6" i="172"/>
  <c r="H2" i="172" s="1"/>
  <c r="C3" i="172"/>
  <c r="G2" i="172"/>
  <c r="F2" i="172"/>
  <c r="E2" i="172"/>
  <c r="C2" i="172"/>
  <c r="B2" i="172"/>
  <c r="A2" i="172"/>
  <c r="I1" i="172"/>
  <c r="H1" i="172"/>
  <c r="G1" i="172"/>
  <c r="F1" i="172"/>
  <c r="X1" i="176" s="1"/>
  <c r="E1" i="172"/>
  <c r="D1" i="172"/>
  <c r="C1" i="172"/>
  <c r="U1" i="176" s="1"/>
  <c r="B1" i="172"/>
  <c r="A1" i="172"/>
  <c r="AG1" i="176"/>
  <c r="AF1" i="176"/>
  <c r="AE1" i="176"/>
  <c r="AD1" i="176"/>
  <c r="AC1" i="176"/>
  <c r="AB1" i="176"/>
  <c r="AA1" i="176"/>
  <c r="W1" i="176"/>
  <c r="V1" i="176"/>
  <c r="T1" i="176"/>
  <c r="S1" i="176"/>
  <c r="O1" i="163"/>
  <c r="N1" i="163"/>
  <c r="M1" i="163"/>
  <c r="P1" i="165"/>
  <c r="O1" i="165"/>
  <c r="N1" i="165"/>
  <c r="M1" i="165"/>
  <c r="L1" i="165"/>
  <c r="K1" i="165"/>
  <c r="J1" i="165"/>
  <c r="I1" i="165"/>
  <c r="H1" i="165"/>
  <c r="G1" i="165"/>
  <c r="F1" i="165"/>
  <c r="E1" i="165"/>
  <c r="D1" i="165"/>
  <c r="C1" i="165"/>
  <c r="B1" i="165"/>
  <c r="J149" i="163"/>
  <c r="I149" i="163"/>
  <c r="O141" i="163"/>
  <c r="M141" i="163"/>
  <c r="L131" i="163"/>
  <c r="K131" i="163"/>
  <c r="G127" i="163"/>
  <c r="F127" i="163"/>
  <c r="C123" i="163"/>
  <c r="L115" i="163"/>
  <c r="K115" i="163"/>
  <c r="B112" i="163"/>
  <c r="A112" i="163"/>
  <c r="B109" i="163"/>
  <c r="B103" i="163"/>
  <c r="A103" i="163"/>
  <c r="C100" i="163"/>
  <c r="B100" i="163"/>
  <c r="Q96" i="163"/>
  <c r="C91" i="163"/>
  <c r="P90" i="163"/>
  <c r="O88" i="163"/>
  <c r="N88" i="163"/>
  <c r="K86" i="163"/>
  <c r="L82" i="163"/>
  <c r="K82" i="163"/>
  <c r="N80" i="163"/>
  <c r="M80" i="163"/>
  <c r="O78" i="163"/>
  <c r="C75" i="163"/>
  <c r="B75" i="163"/>
  <c r="E73" i="163"/>
  <c r="D73" i="163"/>
  <c r="F71" i="163"/>
  <c r="K67" i="163"/>
  <c r="J67" i="163"/>
  <c r="M65" i="163"/>
  <c r="L65" i="163"/>
  <c r="N63" i="163"/>
  <c r="B60" i="163"/>
  <c r="A60" i="163"/>
  <c r="D58" i="163"/>
  <c r="C58" i="163"/>
  <c r="I56" i="163"/>
  <c r="B54" i="163"/>
  <c r="A54" i="163"/>
  <c r="N52" i="163"/>
  <c r="M52" i="163"/>
  <c r="J51" i="163"/>
  <c r="E50" i="163"/>
  <c r="A49" i="163"/>
  <c r="Q48" i="163"/>
  <c r="O47" i="163"/>
  <c r="N47" i="163"/>
  <c r="J46" i="163"/>
  <c r="I45" i="163"/>
  <c r="I44" i="163"/>
  <c r="G44" i="163"/>
  <c r="I43" i="163"/>
  <c r="H43" i="163"/>
  <c r="I42" i="163"/>
  <c r="K41" i="163"/>
  <c r="J41" i="163"/>
  <c r="L40" i="163"/>
  <c r="K40" i="163"/>
  <c r="N39" i="163"/>
  <c r="L39" i="163"/>
  <c r="N38" i="163"/>
  <c r="M38" i="163"/>
  <c r="P37" i="163"/>
  <c r="O37" i="163"/>
  <c r="N37" i="163"/>
  <c r="P36" i="163"/>
  <c r="A36" i="163"/>
  <c r="Q35" i="163"/>
  <c r="P35" i="163"/>
  <c r="B35" i="163"/>
  <c r="A35" i="163"/>
  <c r="C34" i="163"/>
  <c r="A34" i="163"/>
  <c r="D33" i="163"/>
  <c r="C33" i="163"/>
  <c r="B33" i="163"/>
  <c r="E32" i="163"/>
  <c r="C32" i="163"/>
  <c r="E31" i="163"/>
  <c r="D31" i="163"/>
  <c r="G30" i="163"/>
  <c r="F30" i="163"/>
  <c r="E30" i="163"/>
  <c r="G29" i="163"/>
  <c r="I28" i="163"/>
  <c r="H28" i="163"/>
  <c r="G28" i="163"/>
  <c r="J27" i="163"/>
  <c r="I27" i="163"/>
  <c r="K26" i="163"/>
  <c r="I26" i="163"/>
  <c r="L25" i="163"/>
  <c r="K25" i="163"/>
  <c r="J25" i="163"/>
  <c r="M24" i="163"/>
  <c r="K24" i="163"/>
  <c r="M23" i="163"/>
  <c r="L23" i="163"/>
  <c r="O22" i="163"/>
  <c r="N22" i="163"/>
  <c r="M22" i="163"/>
  <c r="O21" i="163"/>
  <c r="Q20" i="163"/>
  <c r="P20" i="163"/>
  <c r="O20" i="163"/>
  <c r="A20" i="163"/>
  <c r="Q19" i="163"/>
  <c r="B19" i="163"/>
  <c r="Q18" i="163"/>
  <c r="C18" i="163"/>
  <c r="B18" i="163"/>
  <c r="A18" i="163"/>
  <c r="D17" i="163"/>
  <c r="B17" i="163"/>
  <c r="D16" i="163"/>
  <c r="C16" i="163"/>
  <c r="F15" i="163"/>
  <c r="E15" i="163"/>
  <c r="D15" i="163"/>
  <c r="I14" i="163"/>
  <c r="Q13" i="163"/>
  <c r="P13" i="163"/>
  <c r="O13" i="163"/>
  <c r="G13" i="163"/>
  <c r="F13" i="163"/>
  <c r="L12" i="163"/>
  <c r="J12" i="163"/>
  <c r="B12" i="163"/>
  <c r="A12" i="163"/>
  <c r="Q11" i="163"/>
  <c r="I11" i="163"/>
  <c r="E11" i="163"/>
  <c r="M10" i="163"/>
  <c r="L10" i="163"/>
  <c r="D10" i="163"/>
  <c r="C10" i="163"/>
  <c r="B10" i="163"/>
  <c r="J9" i="163"/>
  <c r="P8" i="163"/>
  <c r="O8" i="163"/>
  <c r="N8" i="163"/>
  <c r="F8" i="163"/>
  <c r="E8" i="163"/>
  <c r="M7" i="163"/>
  <c r="I7" i="163"/>
  <c r="C7" i="163"/>
  <c r="A7" i="163"/>
  <c r="Q6" i="163"/>
  <c r="I6" i="163"/>
  <c r="G6" i="163"/>
  <c r="P5" i="163"/>
  <c r="O5" i="163"/>
  <c r="G5" i="163"/>
  <c r="F5" i="163"/>
  <c r="E5" i="163"/>
  <c r="N4" i="163"/>
  <c r="F4" i="163"/>
  <c r="E4" i="163"/>
  <c r="D4" i="163"/>
  <c r="N3" i="163"/>
  <c r="M3" i="163"/>
  <c r="A3" i="163"/>
  <c r="A1" i="163"/>
  <c r="B159" i="163" s="1"/>
  <c r="Q199" i="162"/>
  <c r="G2" i="162" s="1"/>
  <c r="O199" i="162"/>
  <c r="I199" i="162"/>
  <c r="G199" i="162"/>
  <c r="Q197" i="162"/>
  <c r="O197" i="162"/>
  <c r="M197" i="162"/>
  <c r="M199" i="162" s="1"/>
  <c r="K197" i="162"/>
  <c r="K199" i="162" s="1"/>
  <c r="I197" i="162"/>
  <c r="G197" i="162"/>
  <c r="C197" i="162"/>
  <c r="Q10" i="162"/>
  <c r="O10" i="162"/>
  <c r="M10" i="162"/>
  <c r="K10" i="162"/>
  <c r="I10" i="162"/>
  <c r="G10" i="162"/>
  <c r="C10" i="162"/>
  <c r="I2" i="162" s="1"/>
  <c r="B10" i="162"/>
  <c r="C6" i="162"/>
  <c r="H2" i="162" s="1"/>
  <c r="C3" i="162"/>
  <c r="F2" i="162"/>
  <c r="E2" i="162"/>
  <c r="D2" i="162"/>
  <c r="C2" i="162"/>
  <c r="B2" i="162"/>
  <c r="A2" i="162"/>
  <c r="T1" i="166"/>
  <c r="AG1" i="166"/>
  <c r="AF1" i="166"/>
  <c r="AE1" i="166"/>
  <c r="AD1" i="166"/>
  <c r="AC1" i="166"/>
  <c r="AB1" i="166"/>
  <c r="AA1" i="166"/>
  <c r="Z1" i="166"/>
  <c r="Y1" i="166"/>
  <c r="W1" i="166"/>
  <c r="V1" i="166"/>
  <c r="U1" i="166"/>
  <c r="S1" i="166"/>
  <c r="P1" i="28"/>
  <c r="O1" i="28"/>
  <c r="N1" i="28"/>
  <c r="M1" i="28"/>
  <c r="L1" i="28"/>
  <c r="K1" i="28"/>
  <c r="J1" i="28"/>
  <c r="I1" i="28"/>
  <c r="H1" i="28"/>
  <c r="G1" i="28"/>
  <c r="F1" i="28"/>
  <c r="E1" i="28"/>
  <c r="D1" i="28"/>
  <c r="C1" i="28"/>
  <c r="B1" i="28"/>
  <c r="H8" i="215"/>
  <c r="H30" i="215" s="1"/>
  <c r="H34" i="215" s="1"/>
  <c r="H42" i="215" s="1"/>
  <c r="G8" i="215"/>
  <c r="G30" i="215" s="1"/>
  <c r="F8" i="215"/>
  <c r="F30" i="215" s="1"/>
  <c r="E8" i="215"/>
  <c r="E30" i="215" s="1"/>
  <c r="D8" i="215"/>
  <c r="D30" i="215" s="1"/>
  <c r="O199" i="151"/>
  <c r="M199" i="151"/>
  <c r="G199" i="151"/>
  <c r="Q197" i="151"/>
  <c r="Q199" i="151" s="1"/>
  <c r="G2" i="151" s="1"/>
  <c r="O197" i="151"/>
  <c r="M197" i="151"/>
  <c r="K197" i="151"/>
  <c r="K199" i="151" s="1"/>
  <c r="I197" i="151"/>
  <c r="I199" i="151" s="1"/>
  <c r="G197" i="151"/>
  <c r="C197" i="151"/>
  <c r="C12" i="151"/>
  <c r="Q10" i="151"/>
  <c r="O10" i="151"/>
  <c r="F2" i="151" s="1"/>
  <c r="M10" i="151"/>
  <c r="K10" i="151"/>
  <c r="I10" i="151"/>
  <c r="D2" i="151" s="1"/>
  <c r="G10" i="151"/>
  <c r="C10" i="151"/>
  <c r="I2" i="151" s="1"/>
  <c r="B10" i="151"/>
  <c r="C6" i="151"/>
  <c r="H2" i="151" s="1"/>
  <c r="C3" i="151"/>
  <c r="E2" i="151"/>
  <c r="C2" i="151"/>
  <c r="B2" i="151"/>
  <c r="A2" i="151"/>
  <c r="I1" i="151"/>
  <c r="H1" i="151"/>
  <c r="G1" i="151"/>
  <c r="F1" i="151"/>
  <c r="E1" i="151"/>
  <c r="D1" i="151"/>
  <c r="C1" i="151"/>
  <c r="B1" i="151"/>
  <c r="A1" i="151"/>
  <c r="P1" i="43"/>
  <c r="O1" i="43"/>
  <c r="N1" i="43"/>
  <c r="M1" i="43"/>
  <c r="L1" i="43"/>
  <c r="K1" i="43"/>
  <c r="J1" i="43"/>
  <c r="I1" i="43"/>
  <c r="H1" i="43"/>
  <c r="G1" i="43"/>
  <c r="F1" i="43"/>
  <c r="E1" i="43"/>
  <c r="D1" i="43"/>
  <c r="C1" i="43"/>
  <c r="B1" i="43"/>
  <c r="P1" i="55"/>
  <c r="O1" i="55"/>
  <c r="N1" i="55"/>
  <c r="M1" i="55"/>
  <c r="L1" i="55"/>
  <c r="K1" i="55"/>
  <c r="J1" i="55"/>
  <c r="I1" i="55"/>
  <c r="H1" i="55"/>
  <c r="G1" i="55"/>
  <c r="F1" i="55"/>
  <c r="E1" i="55"/>
  <c r="D1" i="55"/>
  <c r="C1" i="55"/>
  <c r="B1" i="55"/>
  <c r="P1" i="92"/>
  <c r="O1" i="92"/>
  <c r="N1" i="92"/>
  <c r="M1" i="92"/>
  <c r="L1" i="92"/>
  <c r="K1" i="92"/>
  <c r="J1" i="92"/>
  <c r="I1" i="92"/>
  <c r="H1" i="92"/>
  <c r="G1" i="92"/>
  <c r="F1" i="92"/>
  <c r="E1" i="92"/>
  <c r="D1" i="92"/>
  <c r="C1" i="92"/>
  <c r="B1" i="92"/>
  <c r="P1" i="107"/>
  <c r="O1" i="107"/>
  <c r="N1" i="107"/>
  <c r="M1" i="107"/>
  <c r="L1" i="107"/>
  <c r="K1" i="107"/>
  <c r="J1" i="107"/>
  <c r="I1" i="107"/>
  <c r="H1" i="107"/>
  <c r="G1" i="107"/>
  <c r="F1" i="107"/>
  <c r="E1" i="107"/>
  <c r="D1" i="107"/>
  <c r="C1" i="107"/>
  <c r="B1" i="107"/>
  <c r="P1" i="123"/>
  <c r="O1" i="123"/>
  <c r="N1" i="123"/>
  <c r="M1" i="123"/>
  <c r="L1" i="123"/>
  <c r="K1" i="123"/>
  <c r="J1" i="123"/>
  <c r="I1" i="123"/>
  <c r="H1" i="123"/>
  <c r="G1" i="123"/>
  <c r="F1" i="123"/>
  <c r="E1" i="123"/>
  <c r="D1" i="123"/>
  <c r="C1" i="123"/>
  <c r="B1" i="123"/>
  <c r="P1" i="147"/>
  <c r="O1" i="147"/>
  <c r="N1" i="147"/>
  <c r="M1" i="147"/>
  <c r="L1" i="147"/>
  <c r="K1" i="147"/>
  <c r="J1" i="147"/>
  <c r="I1" i="147"/>
  <c r="H1" i="147"/>
  <c r="G1" i="147"/>
  <c r="F1" i="147"/>
  <c r="E1" i="147"/>
  <c r="D1" i="147"/>
  <c r="C1" i="147"/>
  <c r="B1" i="147"/>
  <c r="P1" i="71"/>
  <c r="O1" i="71"/>
  <c r="N1" i="71"/>
  <c r="M1" i="71"/>
  <c r="L1" i="71"/>
  <c r="K1" i="71"/>
  <c r="J1" i="71"/>
  <c r="I1" i="71"/>
  <c r="H1" i="71"/>
  <c r="G1" i="71"/>
  <c r="F1" i="71"/>
  <c r="E1" i="71"/>
  <c r="D1" i="71"/>
  <c r="C1" i="71"/>
  <c r="B1" i="71"/>
  <c r="O1" i="26"/>
  <c r="N1" i="26"/>
  <c r="M1" i="26"/>
  <c r="A1" i="26"/>
  <c r="E192" i="41"/>
  <c r="L191" i="41"/>
  <c r="F191" i="41"/>
  <c r="D183" i="41"/>
  <c r="O182" i="41"/>
  <c r="L182" i="41"/>
  <c r="D177" i="41"/>
  <c r="A177" i="41"/>
  <c r="N176" i="41"/>
  <c r="M172" i="41"/>
  <c r="F172" i="41"/>
  <c r="E172" i="41"/>
  <c r="A168" i="41"/>
  <c r="P167" i="41"/>
  <c r="O167" i="41"/>
  <c r="E164" i="41"/>
  <c r="C164" i="41"/>
  <c r="B164" i="41"/>
  <c r="J160" i="41"/>
  <c r="G160" i="41"/>
  <c r="F160" i="41"/>
  <c r="C157" i="41"/>
  <c r="B157" i="41"/>
  <c r="A157" i="41"/>
  <c r="O153" i="41"/>
  <c r="N153" i="41"/>
  <c r="M153" i="41"/>
  <c r="J150" i="41"/>
  <c r="F150" i="41"/>
  <c r="D150" i="41"/>
  <c r="C147" i="41"/>
  <c r="A147" i="41"/>
  <c r="P146" i="41"/>
  <c r="O143" i="41"/>
  <c r="M143" i="41"/>
  <c r="L143" i="41"/>
  <c r="F141" i="41"/>
  <c r="C141" i="41"/>
  <c r="B141" i="41"/>
  <c r="M138" i="41"/>
  <c r="L138" i="41"/>
  <c r="K138" i="41"/>
  <c r="E136" i="41"/>
  <c r="D136" i="41"/>
  <c r="C136" i="41"/>
  <c r="N133" i="41"/>
  <c r="L133" i="41"/>
  <c r="K133" i="41"/>
  <c r="O131" i="41"/>
  <c r="N131" i="41"/>
  <c r="M131" i="41"/>
  <c r="Q129" i="41"/>
  <c r="P129" i="41"/>
  <c r="O129" i="41"/>
  <c r="B128" i="41"/>
  <c r="A128" i="41"/>
  <c r="Q127" i="41"/>
  <c r="D126" i="41"/>
  <c r="C126" i="41"/>
  <c r="B126" i="41"/>
  <c r="F124" i="41"/>
  <c r="E124" i="41"/>
  <c r="D124" i="41"/>
  <c r="N122" i="41"/>
  <c r="M122" i="41"/>
  <c r="I122" i="41"/>
  <c r="F121" i="41"/>
  <c r="B121" i="41"/>
  <c r="A121" i="41"/>
  <c r="L119" i="41"/>
  <c r="K119" i="41"/>
  <c r="J119" i="41"/>
  <c r="D118" i="41"/>
  <c r="C118" i="41"/>
  <c r="B118" i="41"/>
  <c r="M116" i="41"/>
  <c r="L116" i="41"/>
  <c r="K116" i="41"/>
  <c r="E115" i="41"/>
  <c r="D115" i="41"/>
  <c r="Q114" i="41"/>
  <c r="N113" i="41"/>
  <c r="J113" i="41"/>
  <c r="I113" i="41"/>
  <c r="C112" i="41"/>
  <c r="B112" i="41"/>
  <c r="A112" i="41"/>
  <c r="Q110" i="41"/>
  <c r="P110" i="41"/>
  <c r="M110" i="41"/>
  <c r="L109" i="41"/>
  <c r="K109" i="41"/>
  <c r="J109" i="41"/>
  <c r="G108" i="41"/>
  <c r="F108" i="41"/>
  <c r="E108" i="41"/>
  <c r="F107" i="41"/>
  <c r="E107" i="41"/>
  <c r="D107" i="41"/>
  <c r="E106" i="41"/>
  <c r="D106" i="41"/>
  <c r="B106" i="41"/>
  <c r="C105" i="41"/>
  <c r="B105" i="41"/>
  <c r="A105" i="41"/>
  <c r="D104" i="41"/>
  <c r="C104" i="41"/>
  <c r="B104" i="41"/>
  <c r="E103" i="41"/>
  <c r="D103" i="41"/>
  <c r="C103" i="41"/>
  <c r="F102" i="41"/>
  <c r="E102" i="41"/>
  <c r="D102" i="41"/>
  <c r="G101" i="41"/>
  <c r="F101" i="41"/>
  <c r="E101" i="41"/>
  <c r="H100" i="41"/>
  <c r="G100" i="41"/>
  <c r="F100" i="41"/>
  <c r="I99" i="41"/>
  <c r="H99" i="41"/>
  <c r="G99" i="41"/>
  <c r="J98" i="41"/>
  <c r="I98" i="41"/>
  <c r="H98" i="41"/>
  <c r="K97" i="41"/>
  <c r="J97" i="41"/>
  <c r="I97" i="41"/>
  <c r="L96" i="41"/>
  <c r="K96" i="41"/>
  <c r="J96" i="41"/>
  <c r="M95" i="41"/>
  <c r="L95" i="41"/>
  <c r="K95" i="41"/>
  <c r="N94" i="41"/>
  <c r="M94" i="41"/>
  <c r="L94" i="41"/>
  <c r="O93" i="41"/>
  <c r="N93" i="41"/>
  <c r="M93" i="41"/>
  <c r="P92" i="41"/>
  <c r="O92" i="41"/>
  <c r="N92" i="41"/>
  <c r="Q91" i="41"/>
  <c r="P91" i="41"/>
  <c r="O91" i="41"/>
  <c r="A91" i="41"/>
  <c r="Q90" i="41"/>
  <c r="P90" i="41"/>
  <c r="B90" i="41"/>
  <c r="A90" i="41"/>
  <c r="Q89" i="41"/>
  <c r="C89" i="41"/>
  <c r="B89" i="41"/>
  <c r="A89" i="41"/>
  <c r="D88" i="41"/>
  <c r="C88" i="41"/>
  <c r="B88" i="41"/>
  <c r="E87" i="41"/>
  <c r="D87" i="41"/>
  <c r="C87" i="41"/>
  <c r="F86" i="41"/>
  <c r="E86" i="41"/>
  <c r="D86" i="41"/>
  <c r="G85" i="41"/>
  <c r="F85" i="41"/>
  <c r="E85" i="41"/>
  <c r="H84" i="41"/>
  <c r="G84" i="41"/>
  <c r="F84" i="41"/>
  <c r="I83" i="41"/>
  <c r="H83" i="41"/>
  <c r="G83" i="41"/>
  <c r="J82" i="41"/>
  <c r="I82" i="41"/>
  <c r="H82" i="41"/>
  <c r="K81" i="41"/>
  <c r="J81" i="41"/>
  <c r="I81" i="41"/>
  <c r="L80" i="41"/>
  <c r="K80" i="41"/>
  <c r="J80" i="41"/>
  <c r="M79" i="41"/>
  <c r="L79" i="41"/>
  <c r="K79" i="41"/>
  <c r="N78" i="41"/>
  <c r="M78" i="41"/>
  <c r="L78" i="41"/>
  <c r="O77" i="41"/>
  <c r="N77" i="41"/>
  <c r="M77" i="41"/>
  <c r="P76" i="41"/>
  <c r="O76" i="41"/>
  <c r="N76" i="41"/>
  <c r="Q75" i="41"/>
  <c r="P75" i="41"/>
  <c r="O75" i="41"/>
  <c r="A75" i="41"/>
  <c r="Q74" i="41"/>
  <c r="P74" i="41"/>
  <c r="B74" i="41"/>
  <c r="A74" i="41"/>
  <c r="Q73" i="41"/>
  <c r="C73" i="41"/>
  <c r="B73" i="41"/>
  <c r="A73" i="41"/>
  <c r="D72" i="41"/>
  <c r="C72" i="41"/>
  <c r="B72" i="41"/>
  <c r="E71" i="41"/>
  <c r="D71" i="41"/>
  <c r="C71" i="41"/>
  <c r="F70" i="41"/>
  <c r="E70" i="41"/>
  <c r="D70" i="41"/>
  <c r="G69" i="41"/>
  <c r="F69" i="41"/>
  <c r="E69" i="41"/>
  <c r="H68" i="41"/>
  <c r="G68" i="41"/>
  <c r="F68" i="41"/>
  <c r="I67" i="41"/>
  <c r="H67" i="41"/>
  <c r="G67" i="41"/>
  <c r="J66" i="41"/>
  <c r="I66" i="41"/>
  <c r="H66" i="41"/>
  <c r="K65" i="41"/>
  <c r="J65" i="41"/>
  <c r="I65" i="41"/>
  <c r="L64" i="41"/>
  <c r="K64" i="41"/>
  <c r="J64" i="41"/>
  <c r="M63" i="41"/>
  <c r="L63" i="41"/>
  <c r="K63" i="41"/>
  <c r="N62" i="41"/>
  <c r="M62" i="41"/>
  <c r="L62" i="41"/>
  <c r="O61" i="41"/>
  <c r="N61" i="41"/>
  <c r="M61" i="41"/>
  <c r="P60" i="41"/>
  <c r="O60" i="41"/>
  <c r="N60" i="41"/>
  <c r="Q59" i="41"/>
  <c r="P59" i="41"/>
  <c r="O59" i="41"/>
  <c r="A59" i="41"/>
  <c r="Q58" i="41"/>
  <c r="P58" i="41"/>
  <c r="B58" i="41"/>
  <c r="A58" i="41"/>
  <c r="Q57" i="41"/>
  <c r="K57" i="41"/>
  <c r="J57" i="41"/>
  <c r="I57" i="41"/>
  <c r="C57" i="41"/>
  <c r="B57" i="41"/>
  <c r="A57" i="41"/>
  <c r="L56" i="41"/>
  <c r="K56" i="41"/>
  <c r="J56" i="41"/>
  <c r="D56" i="41"/>
  <c r="C56" i="41"/>
  <c r="B56" i="41"/>
  <c r="M55" i="41"/>
  <c r="L55" i="41"/>
  <c r="K55" i="41"/>
  <c r="E55" i="41"/>
  <c r="D55" i="41"/>
  <c r="C55" i="41"/>
  <c r="N54" i="41"/>
  <c r="M54" i="41"/>
  <c r="L54" i="41"/>
  <c r="F54" i="41"/>
  <c r="E54" i="41"/>
  <c r="D54" i="41"/>
  <c r="O53" i="41"/>
  <c r="N53" i="41"/>
  <c r="M53" i="41"/>
  <c r="G53" i="41"/>
  <c r="F53" i="41"/>
  <c r="E53" i="41"/>
  <c r="P52" i="41"/>
  <c r="O52" i="41"/>
  <c r="N52" i="41"/>
  <c r="H52" i="41"/>
  <c r="G52" i="41"/>
  <c r="F52" i="41"/>
  <c r="Q51" i="41"/>
  <c r="P51" i="41"/>
  <c r="O51" i="41"/>
  <c r="I51" i="41"/>
  <c r="H51" i="41"/>
  <c r="G51" i="41"/>
  <c r="A51" i="41"/>
  <c r="Q50" i="41"/>
  <c r="P50" i="41"/>
  <c r="J50" i="41"/>
  <c r="I50" i="41"/>
  <c r="H50" i="41"/>
  <c r="B50" i="41"/>
  <c r="A50" i="41"/>
  <c r="Q49" i="41"/>
  <c r="K49" i="41"/>
  <c r="J49" i="41"/>
  <c r="I49" i="41"/>
  <c r="C49" i="41"/>
  <c r="B49" i="41"/>
  <c r="A49" i="41"/>
  <c r="L48" i="41"/>
  <c r="K48" i="41"/>
  <c r="J48" i="41"/>
  <c r="D48" i="41"/>
  <c r="C48" i="41"/>
  <c r="B48" i="41"/>
  <c r="M47" i="41"/>
  <c r="L47" i="41"/>
  <c r="K47" i="41"/>
  <c r="E47" i="41"/>
  <c r="D47" i="41"/>
  <c r="C47" i="41"/>
  <c r="N46" i="41"/>
  <c r="M46" i="41"/>
  <c r="L46" i="41"/>
  <c r="F46" i="41"/>
  <c r="E46" i="41"/>
  <c r="D46" i="41"/>
  <c r="O45" i="41"/>
  <c r="N45" i="41"/>
  <c r="M45" i="41"/>
  <c r="G45" i="41"/>
  <c r="F45" i="41"/>
  <c r="E45" i="41"/>
  <c r="P44" i="41"/>
  <c r="O44" i="41"/>
  <c r="N44" i="41"/>
  <c r="H44" i="41"/>
  <c r="G44" i="41"/>
  <c r="F44" i="41"/>
  <c r="Q43" i="41"/>
  <c r="P43" i="41"/>
  <c r="O43" i="41"/>
  <c r="I43" i="41"/>
  <c r="H43" i="41"/>
  <c r="G43" i="41"/>
  <c r="A43" i="41"/>
  <c r="Q42" i="41"/>
  <c r="P42" i="41"/>
  <c r="J42" i="41"/>
  <c r="I42" i="41"/>
  <c r="H42" i="41"/>
  <c r="B42" i="41"/>
  <c r="A42" i="41"/>
  <c r="Q41" i="41"/>
  <c r="K41" i="41"/>
  <c r="J41" i="41"/>
  <c r="I41" i="41"/>
  <c r="C41" i="41"/>
  <c r="B41" i="41"/>
  <c r="A41" i="41"/>
  <c r="L40" i="41"/>
  <c r="K40" i="41"/>
  <c r="J40" i="41"/>
  <c r="D40" i="41"/>
  <c r="C40" i="41"/>
  <c r="B40" i="41"/>
  <c r="M39" i="41"/>
  <c r="L39" i="41"/>
  <c r="K39" i="41"/>
  <c r="E39" i="41"/>
  <c r="D39" i="41"/>
  <c r="C39" i="41"/>
  <c r="N38" i="41"/>
  <c r="M38" i="41"/>
  <c r="L38" i="41"/>
  <c r="F38" i="41"/>
  <c r="E38" i="41"/>
  <c r="D38" i="41"/>
  <c r="O37" i="41"/>
  <c r="N37" i="41"/>
  <c r="M37" i="41"/>
  <c r="G37" i="41"/>
  <c r="F37" i="41"/>
  <c r="E37" i="41"/>
  <c r="P36" i="41"/>
  <c r="O36" i="41"/>
  <c r="N36" i="41"/>
  <c r="H36" i="41"/>
  <c r="G36" i="41"/>
  <c r="F36" i="41"/>
  <c r="Q35" i="41"/>
  <c r="P35" i="41"/>
  <c r="O35" i="41"/>
  <c r="I35" i="41"/>
  <c r="H35" i="41"/>
  <c r="G35" i="41"/>
  <c r="A35" i="41"/>
  <c r="Q34" i="41"/>
  <c r="P34" i="41"/>
  <c r="J34" i="41"/>
  <c r="I34" i="41"/>
  <c r="H34" i="41"/>
  <c r="B34" i="41"/>
  <c r="A34" i="41"/>
  <c r="Q33" i="41"/>
  <c r="K33" i="41"/>
  <c r="J33" i="41"/>
  <c r="I33" i="41"/>
  <c r="C33" i="41"/>
  <c r="B33" i="41"/>
  <c r="A33" i="41"/>
  <c r="L32" i="41"/>
  <c r="K32" i="41"/>
  <c r="J32" i="41"/>
  <c r="D32" i="41"/>
  <c r="C32" i="41"/>
  <c r="B32" i="41"/>
  <c r="M31" i="41"/>
  <c r="L31" i="41"/>
  <c r="K31" i="41"/>
  <c r="E31" i="41"/>
  <c r="D31" i="41"/>
  <c r="C31" i="41"/>
  <c r="N30" i="41"/>
  <c r="M30" i="41"/>
  <c r="L30" i="41"/>
  <c r="F30" i="41"/>
  <c r="E30" i="41"/>
  <c r="D30" i="41"/>
  <c r="O29" i="41"/>
  <c r="N29" i="41"/>
  <c r="M29" i="41"/>
  <c r="G29" i="41"/>
  <c r="F29" i="41"/>
  <c r="E29" i="41"/>
  <c r="P28" i="41"/>
  <c r="O28" i="41"/>
  <c r="N28" i="41"/>
  <c r="H28" i="41"/>
  <c r="G28" i="41"/>
  <c r="F28" i="41"/>
  <c r="Q27" i="41"/>
  <c r="P27" i="41"/>
  <c r="O27" i="41"/>
  <c r="I27" i="41"/>
  <c r="H27" i="41"/>
  <c r="G27" i="41"/>
  <c r="A27" i="41"/>
  <c r="Q26" i="41"/>
  <c r="P26" i="41"/>
  <c r="J26" i="41"/>
  <c r="I26" i="41"/>
  <c r="H26" i="41"/>
  <c r="B26" i="41"/>
  <c r="A26" i="41"/>
  <c r="Q25" i="41"/>
  <c r="K25" i="41"/>
  <c r="J25" i="41"/>
  <c r="I25" i="41"/>
  <c r="C25" i="41"/>
  <c r="B25" i="41"/>
  <c r="A25" i="41"/>
  <c r="L24" i="41"/>
  <c r="K24" i="41"/>
  <c r="J24" i="41"/>
  <c r="D24" i="41"/>
  <c r="C24" i="41"/>
  <c r="B24" i="41"/>
  <c r="M23" i="41"/>
  <c r="L23" i="41"/>
  <c r="K23" i="41"/>
  <c r="E23" i="41"/>
  <c r="D23" i="41"/>
  <c r="C23" i="41"/>
  <c r="N22" i="41"/>
  <c r="M22" i="41"/>
  <c r="L22" i="41"/>
  <c r="F22" i="41"/>
  <c r="E22" i="41"/>
  <c r="D22" i="41"/>
  <c r="O21" i="41"/>
  <c r="N21" i="41"/>
  <c r="M21" i="41"/>
  <c r="G21" i="41"/>
  <c r="F21" i="41"/>
  <c r="E21" i="41"/>
  <c r="P20" i="41"/>
  <c r="O20" i="41"/>
  <c r="N20" i="41"/>
  <c r="H20" i="41"/>
  <c r="G20" i="41"/>
  <c r="F20" i="41"/>
  <c r="Q19" i="41"/>
  <c r="P19" i="41"/>
  <c r="O19" i="41"/>
  <c r="I19" i="41"/>
  <c r="H19" i="41"/>
  <c r="G19" i="41"/>
  <c r="A19" i="41"/>
  <c r="Q18" i="41"/>
  <c r="P18" i="41"/>
  <c r="J18" i="41"/>
  <c r="I18" i="41"/>
  <c r="H18" i="41"/>
  <c r="B18" i="41"/>
  <c r="A18" i="41"/>
  <c r="Q17" i="41"/>
  <c r="K17" i="41"/>
  <c r="J17" i="41"/>
  <c r="I17" i="41"/>
  <c r="C17" i="41"/>
  <c r="B17" i="41"/>
  <c r="A17" i="41"/>
  <c r="L16" i="41"/>
  <c r="K16" i="41"/>
  <c r="J16" i="41"/>
  <c r="D16" i="41"/>
  <c r="C16" i="41"/>
  <c r="B16" i="41"/>
  <c r="M15" i="41"/>
  <c r="L15" i="41"/>
  <c r="K15" i="41"/>
  <c r="E15" i="41"/>
  <c r="D15" i="41"/>
  <c r="C15" i="41"/>
  <c r="N14" i="41"/>
  <c r="M14" i="41"/>
  <c r="L14" i="41"/>
  <c r="F14" i="41"/>
  <c r="E14" i="41"/>
  <c r="D14" i="41"/>
  <c r="O13" i="41"/>
  <c r="N13" i="41"/>
  <c r="M13" i="41"/>
  <c r="G13" i="41"/>
  <c r="F13" i="41"/>
  <c r="E13" i="41"/>
  <c r="P12" i="41"/>
  <c r="O12" i="41"/>
  <c r="N12" i="41"/>
  <c r="H12" i="41"/>
  <c r="G12" i="41"/>
  <c r="F12" i="41"/>
  <c r="Q11" i="41"/>
  <c r="P11" i="41"/>
  <c r="O11" i="41"/>
  <c r="I11" i="41"/>
  <c r="H11" i="41"/>
  <c r="G11" i="41"/>
  <c r="A11" i="41"/>
  <c r="Q10" i="41"/>
  <c r="P10" i="41"/>
  <c r="J10" i="41"/>
  <c r="I10" i="41"/>
  <c r="H10" i="41"/>
  <c r="B10" i="41"/>
  <c r="A10" i="41"/>
  <c r="Q9" i="41"/>
  <c r="K9" i="41"/>
  <c r="J9" i="41"/>
  <c r="I9" i="41"/>
  <c r="C9" i="41"/>
  <c r="B9" i="41"/>
  <c r="A9" i="41"/>
  <c r="L8" i="41"/>
  <c r="K8" i="41"/>
  <c r="J8" i="41"/>
  <c r="D8" i="41"/>
  <c r="C8" i="41"/>
  <c r="B8" i="41"/>
  <c r="M7" i="41"/>
  <c r="L7" i="41"/>
  <c r="J7" i="41"/>
  <c r="D7" i="41"/>
  <c r="C7" i="41"/>
  <c r="B7" i="41"/>
  <c r="M6" i="41"/>
  <c r="L6" i="41"/>
  <c r="J6" i="41"/>
  <c r="D6" i="41"/>
  <c r="C6" i="41"/>
  <c r="B6" i="41"/>
  <c r="M5" i="41"/>
  <c r="L5" i="41"/>
  <c r="J5" i="41"/>
  <c r="D5" i="41"/>
  <c r="C5" i="41"/>
  <c r="B5" i="41"/>
  <c r="M4" i="41"/>
  <c r="L4" i="41"/>
  <c r="J4" i="41"/>
  <c r="D4" i="41"/>
  <c r="C4" i="41"/>
  <c r="A4" i="41"/>
  <c r="L3" i="41"/>
  <c r="J3" i="41"/>
  <c r="I3" i="41"/>
  <c r="A1" i="41"/>
  <c r="F121" i="105"/>
  <c r="D113" i="105"/>
  <c r="A105" i="105"/>
  <c r="A1" i="105"/>
  <c r="B174" i="105" s="1"/>
  <c r="O1" i="105"/>
  <c r="N1" i="105"/>
  <c r="M1" i="105"/>
  <c r="Q162" i="90"/>
  <c r="L152" i="90"/>
  <c r="H150" i="90"/>
  <c r="L136" i="90"/>
  <c r="K136" i="90"/>
  <c r="I131" i="90"/>
  <c r="D120" i="90"/>
  <c r="C119" i="90"/>
  <c r="B119" i="90"/>
  <c r="H112" i="90"/>
  <c r="C110" i="90"/>
  <c r="O109" i="90"/>
  <c r="A105" i="90"/>
  <c r="P104" i="90"/>
  <c r="C103" i="90"/>
  <c r="P98" i="90"/>
  <c r="N98" i="90"/>
  <c r="M98" i="90"/>
  <c r="I95" i="90"/>
  <c r="F94" i="90"/>
  <c r="B94" i="90"/>
  <c r="E91" i="90"/>
  <c r="D91" i="90"/>
  <c r="Q89" i="90"/>
  <c r="B87" i="90"/>
  <c r="Q86" i="90"/>
  <c r="P86" i="90"/>
  <c r="Q83" i="90"/>
  <c r="N82" i="90"/>
  <c r="L82" i="90"/>
  <c r="O79" i="90"/>
  <c r="K79" i="90"/>
  <c r="J78" i="90"/>
  <c r="L75" i="90"/>
  <c r="I75" i="90"/>
  <c r="G75" i="90"/>
  <c r="I72" i="90"/>
  <c r="G71" i="90"/>
  <c r="C71" i="90"/>
  <c r="E68" i="90"/>
  <c r="D68" i="90"/>
  <c r="A67" i="90"/>
  <c r="D64" i="90"/>
  <c r="Q63" i="90"/>
  <c r="P63" i="90"/>
  <c r="B61" i="90"/>
  <c r="Q59" i="90"/>
  <c r="N59" i="90"/>
  <c r="O57" i="90"/>
  <c r="M57" i="90"/>
  <c r="E57" i="90"/>
  <c r="J55" i="90"/>
  <c r="H55" i="90"/>
  <c r="G55" i="90"/>
  <c r="K53" i="90"/>
  <c r="C53" i="90"/>
  <c r="P52" i="90"/>
  <c r="E51" i="90"/>
  <c r="D51" i="90"/>
  <c r="L50" i="90"/>
  <c r="E49" i="90"/>
  <c r="A49" i="90"/>
  <c r="P48" i="90"/>
  <c r="I47" i="90"/>
  <c r="A47" i="90"/>
  <c r="P46" i="90"/>
  <c r="I45" i="90"/>
  <c r="G45" i="90"/>
  <c r="P44" i="90"/>
  <c r="I43" i="90"/>
  <c r="E43" i="90"/>
  <c r="D43" i="90"/>
  <c r="N41" i="90"/>
  <c r="F41" i="90"/>
  <c r="C41" i="90"/>
  <c r="A41" i="90"/>
  <c r="J40" i="90"/>
  <c r="M39" i="90"/>
  <c r="K39" i="90"/>
  <c r="C39" i="90"/>
  <c r="A39" i="90"/>
  <c r="P38" i="90"/>
  <c r="M37" i="90"/>
  <c r="J37" i="90"/>
  <c r="I37" i="90"/>
  <c r="A37" i="90"/>
  <c r="N36" i="90"/>
  <c r="B36" i="90"/>
  <c r="K35" i="90"/>
  <c r="G35" i="90"/>
  <c r="F35" i="90"/>
  <c r="O34" i="90"/>
  <c r="Q33" i="90"/>
  <c r="O33" i="90"/>
  <c r="H33" i="90"/>
  <c r="E33" i="90"/>
  <c r="C33" i="90"/>
  <c r="B32" i="90"/>
  <c r="Q31" i="90"/>
  <c r="P31" i="90"/>
  <c r="I31" i="90"/>
  <c r="G31" i="90"/>
  <c r="K30" i="90"/>
  <c r="D30" i="90"/>
  <c r="B30" i="90"/>
  <c r="A30" i="90"/>
  <c r="K29" i="90"/>
  <c r="N28" i="90"/>
  <c r="M28" i="90"/>
  <c r="F28" i="90"/>
  <c r="E28" i="90"/>
  <c r="D28" i="90"/>
  <c r="K27" i="90"/>
  <c r="I27" i="90"/>
  <c r="C27" i="90"/>
  <c r="A27" i="90"/>
  <c r="P26" i="90"/>
  <c r="F26" i="90"/>
  <c r="E26" i="90"/>
  <c r="O25" i="90"/>
  <c r="N25" i="90"/>
  <c r="M25" i="90"/>
  <c r="A25" i="90"/>
  <c r="Q24" i="90"/>
  <c r="J24" i="90"/>
  <c r="I24" i="90"/>
  <c r="H24" i="90"/>
  <c r="O23" i="90"/>
  <c r="M23" i="90"/>
  <c r="G23" i="90"/>
  <c r="E23" i="90"/>
  <c r="C23" i="90"/>
  <c r="J22" i="90"/>
  <c r="I22" i="90"/>
  <c r="B22" i="90"/>
  <c r="A22" i="90"/>
  <c r="Q21" i="90"/>
  <c r="G21" i="90"/>
  <c r="F21" i="90"/>
  <c r="A21" i="90"/>
  <c r="Q20" i="90"/>
  <c r="P20" i="90"/>
  <c r="H20" i="90"/>
  <c r="G20" i="90"/>
  <c r="B20" i="90"/>
  <c r="A20" i="90"/>
  <c r="Q19" i="90"/>
  <c r="I19" i="90"/>
  <c r="H19" i="90"/>
  <c r="C19" i="90"/>
  <c r="B19" i="90"/>
  <c r="A19" i="90"/>
  <c r="J18" i="90"/>
  <c r="I18" i="90"/>
  <c r="D18" i="90"/>
  <c r="C18" i="90"/>
  <c r="B18" i="90"/>
  <c r="K17" i="90"/>
  <c r="J17" i="90"/>
  <c r="E17" i="90"/>
  <c r="D17" i="90"/>
  <c r="C17" i="90"/>
  <c r="L16" i="90"/>
  <c r="K16" i="90"/>
  <c r="F16" i="90"/>
  <c r="E16" i="90"/>
  <c r="D16" i="90"/>
  <c r="M15" i="90"/>
  <c r="L15" i="90"/>
  <c r="G15" i="90"/>
  <c r="F15" i="90"/>
  <c r="E15" i="90"/>
  <c r="N14" i="90"/>
  <c r="M14" i="90"/>
  <c r="H14" i="90"/>
  <c r="G14" i="90"/>
  <c r="F14" i="90"/>
  <c r="O13" i="90"/>
  <c r="N13" i="90"/>
  <c r="I13" i="90"/>
  <c r="H13" i="90"/>
  <c r="G13" i="90"/>
  <c r="P12" i="90"/>
  <c r="O12" i="90"/>
  <c r="J12" i="90"/>
  <c r="I12" i="90"/>
  <c r="H12" i="90"/>
  <c r="Q11" i="90"/>
  <c r="P11" i="90"/>
  <c r="K11" i="90"/>
  <c r="J11" i="90"/>
  <c r="I11" i="90"/>
  <c r="A11" i="90"/>
  <c r="Q10" i="90"/>
  <c r="L10" i="90"/>
  <c r="K10" i="90"/>
  <c r="J10" i="90"/>
  <c r="B10" i="90"/>
  <c r="A10" i="90"/>
  <c r="M9" i="90"/>
  <c r="L9" i="90"/>
  <c r="K9" i="90"/>
  <c r="C9" i="90"/>
  <c r="B9" i="90"/>
  <c r="N8" i="90"/>
  <c r="M8" i="90"/>
  <c r="L8" i="90"/>
  <c r="D8" i="90"/>
  <c r="C8" i="90"/>
  <c r="O7" i="90"/>
  <c r="N7" i="90"/>
  <c r="M7" i="90"/>
  <c r="D7" i="90"/>
  <c r="C7" i="90"/>
  <c r="O6" i="90"/>
  <c r="N6" i="90"/>
  <c r="M6" i="90"/>
  <c r="D6" i="90"/>
  <c r="C6" i="90"/>
  <c r="O5" i="90"/>
  <c r="N5" i="90"/>
  <c r="M5" i="90"/>
  <c r="D5" i="90"/>
  <c r="C5" i="90"/>
  <c r="O4" i="90"/>
  <c r="N4" i="90"/>
  <c r="M4" i="90"/>
  <c r="D4" i="90"/>
  <c r="C4" i="90"/>
  <c r="N3" i="90"/>
  <c r="M3" i="90"/>
  <c r="L3" i="90"/>
  <c r="A1" i="90"/>
  <c r="G160" i="53"/>
  <c r="F154" i="53"/>
  <c r="E113" i="53"/>
  <c r="L96" i="53"/>
  <c r="G85" i="53"/>
  <c r="B76" i="53"/>
  <c r="Q68" i="53"/>
  <c r="A62" i="53"/>
  <c r="E55" i="53"/>
  <c r="O49" i="53"/>
  <c r="J44" i="53"/>
  <c r="D39" i="53"/>
  <c r="M34" i="53"/>
  <c r="E30" i="53"/>
  <c r="N25" i="53"/>
  <c r="H21" i="53"/>
  <c r="O16" i="53"/>
  <c r="I12" i="53"/>
  <c r="C8" i="53"/>
  <c r="A1" i="53"/>
  <c r="Q160" i="53" s="1"/>
  <c r="O1" i="53"/>
  <c r="N1" i="53"/>
  <c r="M1" i="53"/>
  <c r="O1" i="41"/>
  <c r="N1" i="41"/>
  <c r="M1" i="41"/>
  <c r="C137" i="145"/>
  <c r="B137" i="145"/>
  <c r="C112" i="145"/>
  <c r="F110" i="145"/>
  <c r="E110" i="145"/>
  <c r="C90" i="145"/>
  <c r="N88" i="145"/>
  <c r="B75" i="145"/>
  <c r="A70" i="145"/>
  <c r="H55" i="145"/>
  <c r="Q54" i="145"/>
  <c r="L36" i="145"/>
  <c r="F35" i="145"/>
  <c r="K21" i="145"/>
  <c r="J16" i="145"/>
  <c r="A1" i="145"/>
  <c r="I194" i="145" s="1"/>
  <c r="O1" i="145"/>
  <c r="N1" i="145"/>
  <c r="M1" i="145"/>
  <c r="A1" i="69"/>
  <c r="I199" i="144"/>
  <c r="Q197" i="144"/>
  <c r="Q199" i="144" s="1"/>
  <c r="G2" i="144" s="1"/>
  <c r="O197" i="144"/>
  <c r="O199" i="144" s="1"/>
  <c r="M197" i="144"/>
  <c r="M199" i="144" s="1"/>
  <c r="K197" i="144"/>
  <c r="K199" i="144" s="1"/>
  <c r="I197" i="144"/>
  <c r="G197" i="144"/>
  <c r="G199" i="144" s="1"/>
  <c r="C197" i="144"/>
  <c r="Q10" i="144"/>
  <c r="O10" i="144"/>
  <c r="F2" i="144" s="1"/>
  <c r="M10" i="144"/>
  <c r="K10" i="144"/>
  <c r="I10" i="144"/>
  <c r="G10" i="144"/>
  <c r="C10" i="144"/>
  <c r="I2" i="144" s="1"/>
  <c r="B10" i="144"/>
  <c r="C6" i="144"/>
  <c r="H2" i="144" s="1"/>
  <c r="C3" i="144"/>
  <c r="E2" i="144"/>
  <c r="D2" i="144"/>
  <c r="C2" i="144"/>
  <c r="B2" i="144"/>
  <c r="A2" i="144"/>
  <c r="I1" i="144"/>
  <c r="AA1" i="148" s="1"/>
  <c r="H1" i="144"/>
  <c r="G1" i="144"/>
  <c r="F1" i="144"/>
  <c r="X1" i="148" s="1"/>
  <c r="E1" i="144"/>
  <c r="D1" i="144"/>
  <c r="C1" i="144"/>
  <c r="U1" i="148" s="1"/>
  <c r="B1" i="144"/>
  <c r="A1" i="144"/>
  <c r="S1" i="148" s="1"/>
  <c r="AG1" i="148"/>
  <c r="AF1" i="148"/>
  <c r="AE1" i="148"/>
  <c r="AD1" i="148"/>
  <c r="AC1" i="148"/>
  <c r="AB1" i="148"/>
  <c r="Z1" i="148"/>
  <c r="Y1" i="148"/>
  <c r="W1" i="148"/>
  <c r="T1" i="148"/>
  <c r="I199" i="52"/>
  <c r="G199" i="52"/>
  <c r="Q197" i="52"/>
  <c r="Q199" i="52" s="1"/>
  <c r="G2" i="52" s="1"/>
  <c r="O197" i="52"/>
  <c r="O199" i="52" s="1"/>
  <c r="M197" i="52"/>
  <c r="M199" i="52" s="1"/>
  <c r="K197" i="52"/>
  <c r="K199" i="52" s="1"/>
  <c r="I197" i="52"/>
  <c r="G197" i="52"/>
  <c r="C197" i="52"/>
  <c r="C12" i="52"/>
  <c r="Q10" i="52"/>
  <c r="O10" i="52"/>
  <c r="F2" i="52" s="1"/>
  <c r="M10" i="52"/>
  <c r="K10" i="52"/>
  <c r="I10" i="52"/>
  <c r="G10" i="52"/>
  <c r="C10" i="52"/>
  <c r="I2" i="52" s="1"/>
  <c r="B10" i="52"/>
  <c r="C6" i="52"/>
  <c r="H2" i="52" s="1"/>
  <c r="C3" i="52"/>
  <c r="E2" i="52"/>
  <c r="D2" i="52"/>
  <c r="C2" i="52"/>
  <c r="B2" i="52"/>
  <c r="A2" i="52"/>
  <c r="I1" i="52"/>
  <c r="H1" i="52"/>
  <c r="G1" i="52"/>
  <c r="F1" i="52"/>
  <c r="E1" i="52"/>
  <c r="D1" i="52"/>
  <c r="C1" i="52"/>
  <c r="B1" i="52"/>
  <c r="A1" i="52"/>
  <c r="A6" i="4"/>
  <c r="I199" i="120"/>
  <c r="G199" i="120"/>
  <c r="Q197" i="120"/>
  <c r="Q199" i="120" s="1"/>
  <c r="G2" i="120" s="1"/>
  <c r="O197" i="120"/>
  <c r="O199" i="120" s="1"/>
  <c r="M197" i="120"/>
  <c r="M199" i="120" s="1"/>
  <c r="K197" i="120"/>
  <c r="K199" i="120" s="1"/>
  <c r="I197" i="120"/>
  <c r="G197" i="120"/>
  <c r="C197" i="120"/>
  <c r="C12" i="120"/>
  <c r="Q10" i="120"/>
  <c r="O10" i="120"/>
  <c r="F2" i="120" s="1"/>
  <c r="M10" i="120"/>
  <c r="K10" i="120"/>
  <c r="I10" i="120"/>
  <c r="G10" i="120"/>
  <c r="C10" i="120"/>
  <c r="I2" i="120" s="1"/>
  <c r="B10" i="120"/>
  <c r="C6" i="120"/>
  <c r="H2" i="120" s="1"/>
  <c r="C3" i="120"/>
  <c r="E2" i="120"/>
  <c r="D2" i="120"/>
  <c r="C2" i="120"/>
  <c r="B2" i="120"/>
  <c r="A2" i="120"/>
  <c r="I1" i="120"/>
  <c r="H1" i="120"/>
  <c r="G1" i="120"/>
  <c r="Y1" i="124" s="1"/>
  <c r="F1" i="120"/>
  <c r="E1" i="120"/>
  <c r="D1" i="120"/>
  <c r="V1" i="124" s="1"/>
  <c r="C1" i="120"/>
  <c r="B1" i="120"/>
  <c r="A1" i="120"/>
  <c r="AG1" i="124"/>
  <c r="AF1" i="124"/>
  <c r="AE1" i="124"/>
  <c r="AD1" i="124"/>
  <c r="AC1" i="124"/>
  <c r="AB1" i="124"/>
  <c r="AA1" i="124"/>
  <c r="Z1" i="124"/>
  <c r="U1" i="124"/>
  <c r="T1" i="124"/>
  <c r="S1" i="124"/>
  <c r="O1" i="121"/>
  <c r="N1" i="121"/>
  <c r="M1" i="121"/>
  <c r="O199" i="104"/>
  <c r="M199" i="104"/>
  <c r="K199" i="104"/>
  <c r="Q197" i="104"/>
  <c r="Q199" i="104" s="1"/>
  <c r="G2" i="104" s="1"/>
  <c r="O197" i="104"/>
  <c r="M197" i="104"/>
  <c r="K197" i="104"/>
  <c r="I197" i="104"/>
  <c r="I199" i="104" s="1"/>
  <c r="G197" i="104"/>
  <c r="G199" i="104" s="1"/>
  <c r="C197" i="104"/>
  <c r="Q10" i="104"/>
  <c r="O10" i="104"/>
  <c r="M10" i="104"/>
  <c r="K10" i="104"/>
  <c r="I10" i="104"/>
  <c r="D2" i="104" s="1"/>
  <c r="G10" i="104"/>
  <c r="C10" i="104"/>
  <c r="C12" i="104" s="1"/>
  <c r="B10" i="104"/>
  <c r="C6" i="104"/>
  <c r="H2" i="104" s="1"/>
  <c r="C3" i="104"/>
  <c r="F2" i="104"/>
  <c r="E2" i="104"/>
  <c r="C2" i="104"/>
  <c r="B2" i="104"/>
  <c r="A2" i="104"/>
  <c r="I1" i="104"/>
  <c r="H1" i="104"/>
  <c r="G1" i="104"/>
  <c r="F1" i="104"/>
  <c r="E1" i="104"/>
  <c r="D1" i="104"/>
  <c r="V1" i="108" s="1"/>
  <c r="C1" i="104"/>
  <c r="U1" i="108" s="1"/>
  <c r="B1" i="104"/>
  <c r="A1" i="104"/>
  <c r="AG1" i="108"/>
  <c r="AF1" i="108"/>
  <c r="AE1" i="108"/>
  <c r="AD1" i="108"/>
  <c r="AC1" i="108"/>
  <c r="AB1" i="108"/>
  <c r="X1" i="108"/>
  <c r="W1" i="108"/>
  <c r="T1" i="108"/>
  <c r="O1" i="90"/>
  <c r="N1" i="90"/>
  <c r="M1" i="90"/>
  <c r="I199" i="89"/>
  <c r="Q197" i="89"/>
  <c r="Q199" i="89" s="1"/>
  <c r="G2" i="89" s="1"/>
  <c r="O197" i="89"/>
  <c r="O199" i="89" s="1"/>
  <c r="M197" i="89"/>
  <c r="M199" i="89" s="1"/>
  <c r="K197" i="89"/>
  <c r="K199" i="89" s="1"/>
  <c r="I197" i="89"/>
  <c r="G197" i="89"/>
  <c r="G199" i="89" s="1"/>
  <c r="C197" i="89"/>
  <c r="Q10" i="89"/>
  <c r="O10" i="89"/>
  <c r="F2" i="89" s="1"/>
  <c r="M10" i="89"/>
  <c r="K10" i="89"/>
  <c r="I10" i="89"/>
  <c r="G10" i="89"/>
  <c r="C10" i="89"/>
  <c r="I2" i="89" s="1"/>
  <c r="B10" i="89"/>
  <c r="C6" i="89"/>
  <c r="H2" i="89" s="1"/>
  <c r="C3" i="89"/>
  <c r="E2" i="89"/>
  <c r="D2" i="89"/>
  <c r="C2" i="89"/>
  <c r="B2" i="89"/>
  <c r="A2" i="89"/>
  <c r="I1" i="89"/>
  <c r="AA1" i="93" s="1"/>
  <c r="H1" i="89"/>
  <c r="Z1" i="93" s="1"/>
  <c r="G1" i="89"/>
  <c r="Y1" i="93" s="1"/>
  <c r="F1" i="89"/>
  <c r="X1" i="93" s="1"/>
  <c r="E1" i="89"/>
  <c r="D1" i="89"/>
  <c r="C1" i="89"/>
  <c r="U1" i="93" s="1"/>
  <c r="B1" i="89"/>
  <c r="A1" i="89"/>
  <c r="S1" i="93" s="1"/>
  <c r="AG1" i="93"/>
  <c r="AF1" i="93"/>
  <c r="AE1" i="93"/>
  <c r="AD1" i="93"/>
  <c r="AC1" i="93"/>
  <c r="AB1" i="93"/>
  <c r="T1" i="93"/>
  <c r="G4" i="79" a="1"/>
  <c r="G4" i="79" s="1"/>
  <c r="C4" i="79"/>
  <c r="A3" i="79"/>
  <c r="Q199" i="40"/>
  <c r="K199" i="40"/>
  <c r="G199" i="40"/>
  <c r="Q197" i="40"/>
  <c r="O197" i="40"/>
  <c r="O199" i="40" s="1"/>
  <c r="M197" i="40"/>
  <c r="M199" i="40" s="1"/>
  <c r="K197" i="40"/>
  <c r="I197" i="40"/>
  <c r="I199" i="40" s="1"/>
  <c r="G197" i="40"/>
  <c r="C197" i="40"/>
  <c r="C12" i="40"/>
  <c r="Q10" i="40"/>
  <c r="O10" i="40"/>
  <c r="F2" i="40" s="1"/>
  <c r="M10" i="40"/>
  <c r="K10" i="40"/>
  <c r="I10" i="40"/>
  <c r="G10" i="40"/>
  <c r="C10" i="40"/>
  <c r="I2" i="40" s="1"/>
  <c r="B10" i="40"/>
  <c r="C6" i="40"/>
  <c r="H2" i="40" s="1"/>
  <c r="C3" i="40"/>
  <c r="G2" i="40"/>
  <c r="E2" i="40"/>
  <c r="D2" i="40"/>
  <c r="C2" i="40"/>
  <c r="B2" i="40"/>
  <c r="A2" i="40"/>
  <c r="I1" i="40"/>
  <c r="H1" i="40"/>
  <c r="G1" i="40"/>
  <c r="F1" i="40"/>
  <c r="E1" i="40"/>
  <c r="D1" i="40"/>
  <c r="C1" i="40"/>
  <c r="B1" i="40"/>
  <c r="A1" i="40"/>
  <c r="A1" i="80"/>
  <c r="B5" i="81"/>
  <c r="B12" i="79"/>
  <c r="H47" i="79"/>
  <c r="B48" i="79"/>
  <c r="E43" i="79"/>
  <c r="J33" i="79"/>
  <c r="J32" i="79"/>
  <c r="J36" i="79" s="1"/>
  <c r="J39" i="79" s="1"/>
  <c r="D2" i="79" s="1"/>
  <c r="J31" i="79"/>
  <c r="J30" i="79"/>
  <c r="J29" i="79"/>
  <c r="J28" i="79"/>
  <c r="J27" i="79"/>
  <c r="G18" i="79"/>
  <c r="G17" i="79"/>
  <c r="B17" i="79"/>
  <c r="B16" i="79"/>
  <c r="B15" i="79"/>
  <c r="G10" i="79"/>
  <c r="B10" i="79"/>
  <c r="G9" i="79"/>
  <c r="B9" i="79"/>
  <c r="G2" i="79"/>
  <c r="F2" i="79"/>
  <c r="E2" i="79"/>
  <c r="C2" i="79"/>
  <c r="B2" i="79"/>
  <c r="A2" i="79"/>
  <c r="N1" i="79"/>
  <c r="M1" i="79"/>
  <c r="AE1" i="83" s="1"/>
  <c r="G1" i="79"/>
  <c r="F1" i="79"/>
  <c r="E1" i="79"/>
  <c r="W1" i="83" s="1"/>
  <c r="D1" i="79"/>
  <c r="C1" i="79"/>
  <c r="B1" i="79"/>
  <c r="A1" i="79"/>
  <c r="AG1" i="83"/>
  <c r="AF1" i="83"/>
  <c r="AD1" i="83"/>
  <c r="AC1" i="83"/>
  <c r="AB1" i="83"/>
  <c r="AA1" i="83"/>
  <c r="Z1" i="83"/>
  <c r="X1" i="83"/>
  <c r="V1" i="83"/>
  <c r="U1" i="83"/>
  <c r="T1" i="83"/>
  <c r="C2000" i="78"/>
  <c r="A2000" i="78"/>
  <c r="C1999" i="78"/>
  <c r="A1999" i="78"/>
  <c r="C1998" i="78"/>
  <c r="A1998" i="78"/>
  <c r="C1997" i="78"/>
  <c r="A1997" i="78"/>
  <c r="C1996" i="78"/>
  <c r="A1996" i="78"/>
  <c r="C1995" i="78"/>
  <c r="A1995" i="78"/>
  <c r="C1994" i="78"/>
  <c r="A1994" i="78"/>
  <c r="C1993" i="78"/>
  <c r="A1993" i="78"/>
  <c r="C1992" i="78"/>
  <c r="A1992" i="78"/>
  <c r="C1991" i="78"/>
  <c r="A1991" i="78"/>
  <c r="C1990" i="78"/>
  <c r="A1990" i="78"/>
  <c r="C1989" i="78"/>
  <c r="A1989" i="78"/>
  <c r="C1988" i="78"/>
  <c r="A1988" i="78"/>
  <c r="C1987" i="78"/>
  <c r="A1987" i="78"/>
  <c r="C1986" i="78"/>
  <c r="A1986" i="78"/>
  <c r="C1985" i="78"/>
  <c r="A1985" i="78"/>
  <c r="C1984" i="78"/>
  <c r="A1984" i="78"/>
  <c r="C1983" i="78"/>
  <c r="A1983" i="78"/>
  <c r="C1982" i="78"/>
  <c r="A1982" i="78"/>
  <c r="C1981" i="78"/>
  <c r="A1981" i="78"/>
  <c r="C1980" i="78"/>
  <c r="A1980" i="78"/>
  <c r="C1979" i="78"/>
  <c r="A1979" i="78"/>
  <c r="C1978" i="78"/>
  <c r="A1978" i="78"/>
  <c r="C1977" i="78"/>
  <c r="A1977" i="78"/>
  <c r="C1976" i="78"/>
  <c r="A1976" i="78"/>
  <c r="C1975" i="78"/>
  <c r="A1975" i="78"/>
  <c r="C1974" i="78"/>
  <c r="A1974" i="78"/>
  <c r="C1973" i="78"/>
  <c r="A1973" i="78"/>
  <c r="C1972" i="78"/>
  <c r="A1972" i="78"/>
  <c r="C1971" i="78"/>
  <c r="A1971" i="78"/>
  <c r="C1970" i="78"/>
  <c r="A1970" i="78"/>
  <c r="C1969" i="78"/>
  <c r="A1969" i="78"/>
  <c r="C1968" i="78"/>
  <c r="A1968" i="78"/>
  <c r="C1967" i="78"/>
  <c r="A1967" i="78"/>
  <c r="C1966" i="78"/>
  <c r="A1966" i="78"/>
  <c r="C1965" i="78"/>
  <c r="A1965" i="78"/>
  <c r="C1964" i="78"/>
  <c r="A1964" i="78"/>
  <c r="C1963" i="78"/>
  <c r="A1963" i="78"/>
  <c r="C1962" i="78"/>
  <c r="A1962" i="78"/>
  <c r="C1961" i="78"/>
  <c r="A1961" i="78"/>
  <c r="C1960" i="78"/>
  <c r="A1960" i="78"/>
  <c r="C1959" i="78"/>
  <c r="A1959" i="78"/>
  <c r="C1958" i="78"/>
  <c r="A1958" i="78"/>
  <c r="C1957" i="78"/>
  <c r="A1957" i="78"/>
  <c r="C1956" i="78"/>
  <c r="A1956" i="78"/>
  <c r="C1955" i="78"/>
  <c r="A1955" i="78"/>
  <c r="C1954" i="78"/>
  <c r="A1954" i="78"/>
  <c r="C1953" i="78"/>
  <c r="A1953" i="78"/>
  <c r="C1952" i="78"/>
  <c r="A1952" i="78"/>
  <c r="C1951" i="78"/>
  <c r="A1951" i="78"/>
  <c r="C1950" i="78"/>
  <c r="A1950" i="78"/>
  <c r="C1949" i="78"/>
  <c r="A1949" i="78"/>
  <c r="C1948" i="78"/>
  <c r="A1948" i="78"/>
  <c r="C1947" i="78"/>
  <c r="A1947" i="78"/>
  <c r="C1946" i="78"/>
  <c r="A1946" i="78"/>
  <c r="C1945" i="78"/>
  <c r="A1945" i="78"/>
  <c r="C1944" i="78"/>
  <c r="A1944" i="78"/>
  <c r="C1943" i="78"/>
  <c r="A1943" i="78"/>
  <c r="C1942" i="78"/>
  <c r="A1942" i="78"/>
  <c r="C1941" i="78"/>
  <c r="A1941" i="78"/>
  <c r="C1940" i="78"/>
  <c r="A1940" i="78"/>
  <c r="C1939" i="78"/>
  <c r="A1939" i="78"/>
  <c r="C1938" i="78"/>
  <c r="A1938" i="78"/>
  <c r="C1937" i="78"/>
  <c r="A1937" i="78"/>
  <c r="C1936" i="78"/>
  <c r="A1936" i="78"/>
  <c r="C1935" i="78"/>
  <c r="A1935" i="78"/>
  <c r="C1934" i="78"/>
  <c r="A1934" i="78"/>
  <c r="C1933" i="78"/>
  <c r="A1933" i="78"/>
  <c r="C1932" i="78"/>
  <c r="A1932" i="78"/>
  <c r="C1931" i="78"/>
  <c r="A1931" i="78"/>
  <c r="C1930" i="78"/>
  <c r="A1930" i="78"/>
  <c r="C1929" i="78"/>
  <c r="A1929" i="78"/>
  <c r="C1928" i="78"/>
  <c r="A1928" i="78"/>
  <c r="C1927" i="78"/>
  <c r="A1927" i="78"/>
  <c r="C1926" i="78"/>
  <c r="A1926" i="78"/>
  <c r="C1925" i="78"/>
  <c r="A1925" i="78"/>
  <c r="C1924" i="78"/>
  <c r="A1924" i="78"/>
  <c r="C1923" i="78"/>
  <c r="A1923" i="78"/>
  <c r="C1922" i="78"/>
  <c r="A1922" i="78"/>
  <c r="C1921" i="78"/>
  <c r="A1921" i="78"/>
  <c r="C1920" i="78"/>
  <c r="A1920" i="78"/>
  <c r="C1919" i="78"/>
  <c r="A1919" i="78"/>
  <c r="C1918" i="78"/>
  <c r="A1918" i="78"/>
  <c r="C1917" i="78"/>
  <c r="A1917" i="78"/>
  <c r="C1916" i="78"/>
  <c r="A1916" i="78"/>
  <c r="C1915" i="78"/>
  <c r="A1915" i="78"/>
  <c r="C1914" i="78"/>
  <c r="A1914" i="78"/>
  <c r="C1913" i="78"/>
  <c r="A1913" i="78"/>
  <c r="C1912" i="78"/>
  <c r="A1912" i="78"/>
  <c r="C1911" i="78"/>
  <c r="A1911" i="78"/>
  <c r="C1910" i="78"/>
  <c r="A1910" i="78"/>
  <c r="C1909" i="78"/>
  <c r="A1909" i="78"/>
  <c r="C1908" i="78"/>
  <c r="A1908" i="78"/>
  <c r="C1907" i="78"/>
  <c r="A1907" i="78"/>
  <c r="C1906" i="78"/>
  <c r="A1906" i="78"/>
  <c r="C1905" i="78"/>
  <c r="A1905" i="78"/>
  <c r="C1904" i="78"/>
  <c r="A1904" i="78"/>
  <c r="C1903" i="78"/>
  <c r="A1903" i="78"/>
  <c r="C1902" i="78"/>
  <c r="A1902" i="78"/>
  <c r="C1901" i="78"/>
  <c r="A1901" i="78"/>
  <c r="C1900" i="78"/>
  <c r="A1900" i="78"/>
  <c r="C1899" i="78"/>
  <c r="A1899" i="78"/>
  <c r="C1898" i="78"/>
  <c r="A1898" i="78"/>
  <c r="C1897" i="78"/>
  <c r="A1897" i="78"/>
  <c r="C1896" i="78"/>
  <c r="A1896" i="78"/>
  <c r="C1895" i="78"/>
  <c r="A1895" i="78"/>
  <c r="C1894" i="78"/>
  <c r="A1894" i="78"/>
  <c r="C1893" i="78"/>
  <c r="A1893" i="78"/>
  <c r="C1892" i="78"/>
  <c r="A1892" i="78"/>
  <c r="C1891" i="78"/>
  <c r="A1891" i="78"/>
  <c r="C1890" i="78"/>
  <c r="A1890" i="78"/>
  <c r="C1889" i="78"/>
  <c r="A1889" i="78"/>
  <c r="C1888" i="78"/>
  <c r="A1888" i="78"/>
  <c r="C1887" i="78"/>
  <c r="A1887" i="78"/>
  <c r="C1886" i="78"/>
  <c r="A1886" i="78"/>
  <c r="C1885" i="78"/>
  <c r="A1885" i="78"/>
  <c r="C1884" i="78"/>
  <c r="A1884" i="78"/>
  <c r="C1883" i="78"/>
  <c r="A1883" i="78"/>
  <c r="C1882" i="78"/>
  <c r="A1882" i="78"/>
  <c r="C1881" i="78"/>
  <c r="A1881" i="78"/>
  <c r="C1880" i="78"/>
  <c r="A1880" i="78"/>
  <c r="C1879" i="78"/>
  <c r="A1879" i="78"/>
  <c r="C1878" i="78"/>
  <c r="A1878" i="78"/>
  <c r="C1877" i="78"/>
  <c r="A1877" i="78"/>
  <c r="C1876" i="78"/>
  <c r="A1876" i="78"/>
  <c r="C1875" i="78"/>
  <c r="A1875" i="78"/>
  <c r="C1874" i="78"/>
  <c r="A1874" i="78"/>
  <c r="C1873" i="78"/>
  <c r="A1873" i="78"/>
  <c r="C1872" i="78"/>
  <c r="A1872" i="78"/>
  <c r="C1871" i="78"/>
  <c r="A1871" i="78"/>
  <c r="C1870" i="78"/>
  <c r="A1870" i="78"/>
  <c r="C1869" i="78"/>
  <c r="A1869" i="78"/>
  <c r="C1868" i="78"/>
  <c r="A1868" i="78"/>
  <c r="C1867" i="78"/>
  <c r="A1867" i="78"/>
  <c r="C1866" i="78"/>
  <c r="A1866" i="78"/>
  <c r="C1865" i="78"/>
  <c r="A1865" i="78"/>
  <c r="C1864" i="78"/>
  <c r="A1864" i="78"/>
  <c r="C1863" i="78"/>
  <c r="A1863" i="78"/>
  <c r="C1862" i="78"/>
  <c r="A1862" i="78"/>
  <c r="C1861" i="78"/>
  <c r="A1861" i="78"/>
  <c r="C1860" i="78"/>
  <c r="A1860" i="78"/>
  <c r="C1859" i="78"/>
  <c r="A1859" i="78"/>
  <c r="C1858" i="78"/>
  <c r="A1858" i="78"/>
  <c r="C1857" i="78"/>
  <c r="A1857" i="78"/>
  <c r="C1856" i="78"/>
  <c r="A1856" i="78"/>
  <c r="C1855" i="78"/>
  <c r="A1855" i="78"/>
  <c r="C1854" i="78"/>
  <c r="A1854" i="78"/>
  <c r="C1853" i="78"/>
  <c r="A1853" i="78"/>
  <c r="C1852" i="78"/>
  <c r="A1852" i="78"/>
  <c r="C1851" i="78"/>
  <c r="A1851" i="78"/>
  <c r="C1850" i="78"/>
  <c r="A1850" i="78"/>
  <c r="C1849" i="78"/>
  <c r="A1849" i="78"/>
  <c r="C1848" i="78"/>
  <c r="A1848" i="78"/>
  <c r="C1847" i="78"/>
  <c r="A1847" i="78"/>
  <c r="C1846" i="78"/>
  <c r="A1846" i="78"/>
  <c r="C1845" i="78"/>
  <c r="A1845" i="78"/>
  <c r="C1844" i="78"/>
  <c r="A1844" i="78"/>
  <c r="C1843" i="78"/>
  <c r="A1843" i="78"/>
  <c r="C1842" i="78"/>
  <c r="A1842" i="78"/>
  <c r="C1841" i="78"/>
  <c r="A1841" i="78"/>
  <c r="C1840" i="78"/>
  <c r="A1840" i="78"/>
  <c r="C1839" i="78"/>
  <c r="A1839" i="78"/>
  <c r="C1838" i="78"/>
  <c r="A1838" i="78"/>
  <c r="C1837" i="78"/>
  <c r="A1837" i="78"/>
  <c r="C1836" i="78"/>
  <c r="A1836" i="78"/>
  <c r="C1835" i="78"/>
  <c r="A1835" i="78"/>
  <c r="C1834" i="78"/>
  <c r="A1834" i="78"/>
  <c r="C1833" i="78"/>
  <c r="A1833" i="78"/>
  <c r="C1832" i="78"/>
  <c r="A1832" i="78"/>
  <c r="C1831" i="78"/>
  <c r="A1831" i="78"/>
  <c r="C1830" i="78"/>
  <c r="A1830" i="78"/>
  <c r="C1829" i="78"/>
  <c r="A1829" i="78"/>
  <c r="C1828" i="78"/>
  <c r="A1828" i="78"/>
  <c r="C1827" i="78"/>
  <c r="A1827" i="78"/>
  <c r="C1826" i="78"/>
  <c r="A1826" i="78"/>
  <c r="C1825" i="78"/>
  <c r="A1825" i="78"/>
  <c r="C1824" i="78"/>
  <c r="A1824" i="78"/>
  <c r="C1823" i="78"/>
  <c r="A1823" i="78"/>
  <c r="C1822" i="78"/>
  <c r="A1822" i="78"/>
  <c r="C1821" i="78"/>
  <c r="A1821" i="78"/>
  <c r="C1820" i="78"/>
  <c r="A1820" i="78"/>
  <c r="C1819" i="78"/>
  <c r="A1819" i="78"/>
  <c r="C1818" i="78"/>
  <c r="A1818" i="78"/>
  <c r="C1817" i="78"/>
  <c r="A1817" i="78"/>
  <c r="C1816" i="78"/>
  <c r="A1816" i="78"/>
  <c r="C1815" i="78"/>
  <c r="A1815" i="78"/>
  <c r="C1814" i="78"/>
  <c r="A1814" i="78"/>
  <c r="C1813" i="78"/>
  <c r="A1813" i="78"/>
  <c r="C1812" i="78"/>
  <c r="A1812" i="78"/>
  <c r="C1811" i="78"/>
  <c r="A1811" i="78"/>
  <c r="C1810" i="78"/>
  <c r="A1810" i="78"/>
  <c r="C1809" i="78"/>
  <c r="A1809" i="78"/>
  <c r="C1808" i="78"/>
  <c r="A1808" i="78"/>
  <c r="C1807" i="78"/>
  <c r="A1807" i="78"/>
  <c r="C1806" i="78"/>
  <c r="A1806" i="78"/>
  <c r="C1805" i="78"/>
  <c r="A1805" i="78"/>
  <c r="C1804" i="78"/>
  <c r="A1804" i="78"/>
  <c r="C1803" i="78"/>
  <c r="A1803" i="78"/>
  <c r="C1802" i="78"/>
  <c r="A1802" i="78"/>
  <c r="C1801" i="78"/>
  <c r="A1801" i="78"/>
  <c r="C1800" i="78"/>
  <c r="A1800" i="78"/>
  <c r="C1799" i="78"/>
  <c r="A1799" i="78"/>
  <c r="C1798" i="78"/>
  <c r="A1798" i="78"/>
  <c r="C1797" i="78"/>
  <c r="A1797" i="78"/>
  <c r="C1796" i="78"/>
  <c r="A1796" i="78"/>
  <c r="C1795" i="78"/>
  <c r="A1795" i="78"/>
  <c r="C1794" i="78"/>
  <c r="A1794" i="78"/>
  <c r="C1793" i="78"/>
  <c r="A1793" i="78"/>
  <c r="C1792" i="78"/>
  <c r="A1792" i="78"/>
  <c r="C1791" i="78"/>
  <c r="A1791" i="78"/>
  <c r="C1790" i="78"/>
  <c r="A1790" i="78"/>
  <c r="C1789" i="78"/>
  <c r="A1789" i="78"/>
  <c r="C1788" i="78"/>
  <c r="A1788" i="78"/>
  <c r="C1787" i="78"/>
  <c r="A1787" i="78"/>
  <c r="C1786" i="78"/>
  <c r="A1786" i="78"/>
  <c r="C1785" i="78"/>
  <c r="A1785" i="78"/>
  <c r="C1784" i="78"/>
  <c r="A1784" i="78"/>
  <c r="C1783" i="78"/>
  <c r="A1783" i="78"/>
  <c r="C1782" i="78"/>
  <c r="A1782" i="78"/>
  <c r="C1781" i="78"/>
  <c r="A1781" i="78"/>
  <c r="C1780" i="78"/>
  <c r="A1780" i="78"/>
  <c r="C1779" i="78"/>
  <c r="A1779" i="78"/>
  <c r="C1778" i="78"/>
  <c r="A1778" i="78"/>
  <c r="C1777" i="78"/>
  <c r="A1777" i="78"/>
  <c r="C1776" i="78"/>
  <c r="A1776" i="78"/>
  <c r="C1775" i="78"/>
  <c r="A1775" i="78"/>
  <c r="C1774" i="78"/>
  <c r="A1774" i="78"/>
  <c r="C1773" i="78"/>
  <c r="A1773" i="78"/>
  <c r="C1772" i="78"/>
  <c r="A1772" i="78"/>
  <c r="C1771" i="78"/>
  <c r="A1771" i="78"/>
  <c r="C1770" i="78"/>
  <c r="A1770" i="78"/>
  <c r="C1769" i="78"/>
  <c r="A1769" i="78"/>
  <c r="C1768" i="78"/>
  <c r="A1768" i="78"/>
  <c r="C1767" i="78"/>
  <c r="A1767" i="78"/>
  <c r="C1766" i="78"/>
  <c r="A1766" i="78"/>
  <c r="C1765" i="78"/>
  <c r="A1765" i="78"/>
  <c r="C1764" i="78"/>
  <c r="A1764" i="78"/>
  <c r="C1763" i="78"/>
  <c r="A1763" i="78"/>
  <c r="C1762" i="78"/>
  <c r="A1762" i="78"/>
  <c r="C1761" i="78"/>
  <c r="A1761" i="78"/>
  <c r="C1760" i="78"/>
  <c r="A1760" i="78"/>
  <c r="C1759" i="78"/>
  <c r="A1759" i="78"/>
  <c r="C1758" i="78"/>
  <c r="A1758" i="78"/>
  <c r="C1757" i="78"/>
  <c r="A1757" i="78"/>
  <c r="C1756" i="78"/>
  <c r="A1756" i="78"/>
  <c r="C1755" i="78"/>
  <c r="A1755" i="78"/>
  <c r="C1754" i="78"/>
  <c r="A1754" i="78"/>
  <c r="C1753" i="78"/>
  <c r="A1753" i="78"/>
  <c r="C1752" i="78"/>
  <c r="A1752" i="78"/>
  <c r="C1751" i="78"/>
  <c r="A1751" i="78"/>
  <c r="C1750" i="78"/>
  <c r="A1750" i="78"/>
  <c r="C1749" i="78"/>
  <c r="A1749" i="78"/>
  <c r="C1748" i="78"/>
  <c r="A1748" i="78"/>
  <c r="C1747" i="78"/>
  <c r="A1747" i="78"/>
  <c r="C1746" i="78"/>
  <c r="A1746" i="78"/>
  <c r="C1745" i="78"/>
  <c r="A1745" i="78"/>
  <c r="C1744" i="78"/>
  <c r="A1744" i="78"/>
  <c r="C1743" i="78"/>
  <c r="A1743" i="78"/>
  <c r="C1742" i="78"/>
  <c r="A1742" i="78"/>
  <c r="C1741" i="78"/>
  <c r="A1741" i="78"/>
  <c r="C1740" i="78"/>
  <c r="A1740" i="78"/>
  <c r="C1739" i="78"/>
  <c r="A1739" i="78"/>
  <c r="C1738" i="78"/>
  <c r="A1738" i="78"/>
  <c r="C1737" i="78"/>
  <c r="A1737" i="78"/>
  <c r="C1736" i="78"/>
  <c r="A1736" i="78"/>
  <c r="C1735" i="78"/>
  <c r="A1735" i="78"/>
  <c r="C1734" i="78"/>
  <c r="A1734" i="78"/>
  <c r="C1733" i="78"/>
  <c r="A1733" i="78"/>
  <c r="C1732" i="78"/>
  <c r="A1732" i="78"/>
  <c r="C1731" i="78"/>
  <c r="A1731" i="78"/>
  <c r="C1730" i="78"/>
  <c r="A1730" i="78"/>
  <c r="C1729" i="78"/>
  <c r="A1729" i="78"/>
  <c r="C1728" i="78"/>
  <c r="A1728" i="78"/>
  <c r="C1727" i="78"/>
  <c r="A1727" i="78"/>
  <c r="C1726" i="78"/>
  <c r="A1726" i="78"/>
  <c r="C1725" i="78"/>
  <c r="A1725" i="78"/>
  <c r="C1724" i="78"/>
  <c r="A1724" i="78"/>
  <c r="C1723" i="78"/>
  <c r="A1723" i="78"/>
  <c r="C1722" i="78"/>
  <c r="A1722" i="78"/>
  <c r="C1721" i="78"/>
  <c r="A1721" i="78"/>
  <c r="C1720" i="78"/>
  <c r="A1720" i="78"/>
  <c r="C1719" i="78"/>
  <c r="A1719" i="78"/>
  <c r="C1718" i="78"/>
  <c r="A1718" i="78"/>
  <c r="C1717" i="78"/>
  <c r="A1717" i="78"/>
  <c r="C1716" i="78"/>
  <c r="A1716" i="78"/>
  <c r="C1715" i="78"/>
  <c r="A1715" i="78"/>
  <c r="C1714" i="78"/>
  <c r="A1714" i="78"/>
  <c r="C1713" i="78"/>
  <c r="A1713" i="78"/>
  <c r="C1712" i="78"/>
  <c r="A1712" i="78"/>
  <c r="C1711" i="78"/>
  <c r="A1711" i="78"/>
  <c r="C1710" i="78"/>
  <c r="A1710" i="78"/>
  <c r="C1709" i="78"/>
  <c r="A1709" i="78"/>
  <c r="C1708" i="78"/>
  <c r="A1708" i="78"/>
  <c r="C1707" i="78"/>
  <c r="A1707" i="78"/>
  <c r="C1706" i="78"/>
  <c r="A1706" i="78"/>
  <c r="C1705" i="78"/>
  <c r="A1705" i="78"/>
  <c r="C1704" i="78"/>
  <c r="A1704" i="78"/>
  <c r="C1703" i="78"/>
  <c r="A1703" i="78"/>
  <c r="C1702" i="78"/>
  <c r="A1702" i="78"/>
  <c r="C1701" i="78"/>
  <c r="A1701" i="78"/>
  <c r="C1700" i="78"/>
  <c r="A1700" i="78"/>
  <c r="C1699" i="78"/>
  <c r="A1699" i="78"/>
  <c r="C1698" i="78"/>
  <c r="A1698" i="78"/>
  <c r="C1697" i="78"/>
  <c r="A1697" i="78"/>
  <c r="C1696" i="78"/>
  <c r="A1696" i="78"/>
  <c r="C1695" i="78"/>
  <c r="A1695" i="78"/>
  <c r="C1694" i="78"/>
  <c r="A1694" i="78"/>
  <c r="C1693" i="78"/>
  <c r="A1693" i="78"/>
  <c r="C1692" i="78"/>
  <c r="A1692" i="78"/>
  <c r="C1691" i="78"/>
  <c r="A1691" i="78"/>
  <c r="C1690" i="78"/>
  <c r="A1690" i="78"/>
  <c r="C1689" i="78"/>
  <c r="A1689" i="78"/>
  <c r="C1688" i="78"/>
  <c r="A1688" i="78"/>
  <c r="C1687" i="78"/>
  <c r="A1687" i="78"/>
  <c r="C1686" i="78"/>
  <c r="A1686" i="78"/>
  <c r="C1685" i="78"/>
  <c r="A1685" i="78"/>
  <c r="C1684" i="78"/>
  <c r="A1684" i="78"/>
  <c r="C1683" i="78"/>
  <c r="A1683" i="78"/>
  <c r="C1682" i="78"/>
  <c r="A1682" i="78"/>
  <c r="C1681" i="78"/>
  <c r="A1681" i="78"/>
  <c r="C1680" i="78"/>
  <c r="A1680" i="78"/>
  <c r="C1679" i="78"/>
  <c r="A1679" i="78"/>
  <c r="C1678" i="78"/>
  <c r="A1678" i="78"/>
  <c r="C1677" i="78"/>
  <c r="A1677" i="78"/>
  <c r="C1676" i="78"/>
  <c r="A1676" i="78"/>
  <c r="C1675" i="78"/>
  <c r="A1675" i="78"/>
  <c r="C1674" i="78"/>
  <c r="A1674" i="78"/>
  <c r="C1673" i="78"/>
  <c r="A1673" i="78"/>
  <c r="C1672" i="78"/>
  <c r="A1672" i="78"/>
  <c r="C1671" i="78"/>
  <c r="A1671" i="78"/>
  <c r="C1670" i="78"/>
  <c r="A1670" i="78"/>
  <c r="C1669" i="78"/>
  <c r="A1669" i="78"/>
  <c r="C1668" i="78"/>
  <c r="A1668" i="78"/>
  <c r="C1667" i="78"/>
  <c r="A1667" i="78"/>
  <c r="C1666" i="78"/>
  <c r="A1666" i="78"/>
  <c r="C1665" i="78"/>
  <c r="A1665" i="78"/>
  <c r="C1664" i="78"/>
  <c r="A1664" i="78"/>
  <c r="C1663" i="78"/>
  <c r="A1663" i="78"/>
  <c r="C1662" i="78"/>
  <c r="A1662" i="78"/>
  <c r="C1661" i="78"/>
  <c r="A1661" i="78"/>
  <c r="C1660" i="78"/>
  <c r="A1660" i="78"/>
  <c r="C1659" i="78"/>
  <c r="A1659" i="78"/>
  <c r="C1658" i="78"/>
  <c r="A1658" i="78"/>
  <c r="C1657" i="78"/>
  <c r="A1657" i="78"/>
  <c r="C1656" i="78"/>
  <c r="A1656" i="78"/>
  <c r="C1655" i="78"/>
  <c r="A1655" i="78"/>
  <c r="C1654" i="78"/>
  <c r="A1654" i="78"/>
  <c r="C1653" i="78"/>
  <c r="A1653" i="78"/>
  <c r="C1652" i="78"/>
  <c r="A1652" i="78"/>
  <c r="C1651" i="78"/>
  <c r="A1651" i="78"/>
  <c r="C1650" i="78"/>
  <c r="A1650" i="78"/>
  <c r="C1649" i="78"/>
  <c r="A1649" i="78"/>
  <c r="C1648" i="78"/>
  <c r="A1648" i="78"/>
  <c r="C1647" i="78"/>
  <c r="A1647" i="78"/>
  <c r="C1646" i="78"/>
  <c r="A1646" i="78"/>
  <c r="C1645" i="78"/>
  <c r="A1645" i="78"/>
  <c r="C1644" i="78"/>
  <c r="A1644" i="78"/>
  <c r="C1643" i="78"/>
  <c r="A1643" i="78"/>
  <c r="C1642" i="78"/>
  <c r="A1642" i="78"/>
  <c r="C1641" i="78"/>
  <c r="A1641" i="78"/>
  <c r="C1640" i="78"/>
  <c r="A1640" i="78"/>
  <c r="C1639" i="78"/>
  <c r="A1639" i="78"/>
  <c r="C1638" i="78"/>
  <c r="A1638" i="78"/>
  <c r="C1637" i="78"/>
  <c r="A1637" i="78"/>
  <c r="C1636" i="78"/>
  <c r="A1636" i="78"/>
  <c r="C1635" i="78"/>
  <c r="A1635" i="78"/>
  <c r="C1634" i="78"/>
  <c r="A1634" i="78"/>
  <c r="C1633" i="78"/>
  <c r="A1633" i="78"/>
  <c r="C1632" i="78"/>
  <c r="A1632" i="78"/>
  <c r="C1631" i="78"/>
  <c r="A1631" i="78"/>
  <c r="C1630" i="78"/>
  <c r="A1630" i="78"/>
  <c r="C1629" i="78"/>
  <c r="A1629" i="78"/>
  <c r="C1628" i="78"/>
  <c r="A1628" i="78"/>
  <c r="C1627" i="78"/>
  <c r="A1627" i="78"/>
  <c r="C1626" i="78"/>
  <c r="A1626" i="78"/>
  <c r="C1625" i="78"/>
  <c r="A1625" i="78"/>
  <c r="C1624" i="78"/>
  <c r="A1624" i="78"/>
  <c r="C1623" i="78"/>
  <c r="A1623" i="78"/>
  <c r="C1622" i="78"/>
  <c r="A1622" i="78"/>
  <c r="C1621" i="78"/>
  <c r="A1621" i="78"/>
  <c r="C1620" i="78"/>
  <c r="A1620" i="78"/>
  <c r="C1619" i="78"/>
  <c r="A1619" i="78"/>
  <c r="C1618" i="78"/>
  <c r="A1618" i="78"/>
  <c r="C1617" i="78"/>
  <c r="A1617" i="78"/>
  <c r="C1616" i="78"/>
  <c r="A1616" i="78"/>
  <c r="C1615" i="78"/>
  <c r="A1615" i="78"/>
  <c r="C1614" i="78"/>
  <c r="A1614" i="78"/>
  <c r="C1613" i="78"/>
  <c r="A1613" i="78"/>
  <c r="C1612" i="78"/>
  <c r="A1612" i="78"/>
  <c r="C1611" i="78"/>
  <c r="A1611" i="78"/>
  <c r="C1610" i="78"/>
  <c r="A1610" i="78"/>
  <c r="C1609" i="78"/>
  <c r="A1609" i="78"/>
  <c r="C1608" i="78"/>
  <c r="A1608" i="78"/>
  <c r="C1607" i="78"/>
  <c r="A1607" i="78"/>
  <c r="C1606" i="78"/>
  <c r="A1606" i="78"/>
  <c r="C1605" i="78"/>
  <c r="A1605" i="78"/>
  <c r="C1604" i="78"/>
  <c r="A1604" i="78"/>
  <c r="C1603" i="78"/>
  <c r="A1603" i="78"/>
  <c r="C1602" i="78"/>
  <c r="A1602" i="78"/>
  <c r="C1601" i="78"/>
  <c r="A1601" i="78"/>
  <c r="C1600" i="78"/>
  <c r="A1600" i="78"/>
  <c r="C1599" i="78"/>
  <c r="A1599" i="78"/>
  <c r="C1598" i="78"/>
  <c r="A1598" i="78"/>
  <c r="C1597" i="78"/>
  <c r="A1597" i="78"/>
  <c r="C1596" i="78"/>
  <c r="A1596" i="78"/>
  <c r="C1595" i="78"/>
  <c r="A1595" i="78"/>
  <c r="C1594" i="78"/>
  <c r="A1594" i="78"/>
  <c r="C1593" i="78"/>
  <c r="A1593" i="78"/>
  <c r="C1592" i="78"/>
  <c r="A1592" i="78"/>
  <c r="C1591" i="78"/>
  <c r="A1591" i="78"/>
  <c r="C1590" i="78"/>
  <c r="A1590" i="78"/>
  <c r="C1589" i="78"/>
  <c r="A1589" i="78"/>
  <c r="C1588" i="78"/>
  <c r="A1588" i="78"/>
  <c r="C1587" i="78"/>
  <c r="A1587" i="78"/>
  <c r="C1586" i="78"/>
  <c r="A1586" i="78"/>
  <c r="C1585" i="78"/>
  <c r="A1585" i="78"/>
  <c r="C1584" i="78"/>
  <c r="A1584" i="78"/>
  <c r="C1583" i="78"/>
  <c r="A1583" i="78"/>
  <c r="C1582" i="78"/>
  <c r="A1582" i="78"/>
  <c r="C1581" i="78"/>
  <c r="A1581" i="78"/>
  <c r="C1580" i="78"/>
  <c r="A1580" i="78"/>
  <c r="C1579" i="78"/>
  <c r="A1579" i="78"/>
  <c r="C1578" i="78"/>
  <c r="A1578" i="78"/>
  <c r="C1577" i="78"/>
  <c r="A1577" i="78"/>
  <c r="C1576" i="78"/>
  <c r="A1576" i="78"/>
  <c r="C1575" i="78"/>
  <c r="A1575" i="78"/>
  <c r="C1574" i="78"/>
  <c r="A1574" i="78"/>
  <c r="C1573" i="78"/>
  <c r="A1573" i="78"/>
  <c r="C1572" i="78"/>
  <c r="A1572" i="78"/>
  <c r="C1571" i="78"/>
  <c r="A1571" i="78"/>
  <c r="C1570" i="78"/>
  <c r="A1570" i="78"/>
  <c r="C1569" i="78"/>
  <c r="A1569" i="78"/>
  <c r="C1568" i="78"/>
  <c r="A1568" i="78"/>
  <c r="C1567" i="78"/>
  <c r="A1567" i="78"/>
  <c r="C1566" i="78"/>
  <c r="A1566" i="78"/>
  <c r="C1565" i="78"/>
  <c r="A1565" i="78"/>
  <c r="C1564" i="78"/>
  <c r="A1564" i="78"/>
  <c r="C1563" i="78"/>
  <c r="A1563" i="78"/>
  <c r="C1562" i="78"/>
  <c r="A1562" i="78"/>
  <c r="C1561" i="78"/>
  <c r="A1561" i="78"/>
  <c r="C1560" i="78"/>
  <c r="A1560" i="78"/>
  <c r="C1559" i="78"/>
  <c r="A1559" i="78"/>
  <c r="C1558" i="78"/>
  <c r="A1558" i="78"/>
  <c r="C1557" i="78"/>
  <c r="A1557" i="78"/>
  <c r="C1556" i="78"/>
  <c r="A1556" i="78"/>
  <c r="C1555" i="78"/>
  <c r="A1555" i="78"/>
  <c r="C1554" i="78"/>
  <c r="A1554" i="78"/>
  <c r="C1553" i="78"/>
  <c r="A1553" i="78"/>
  <c r="C1552" i="78"/>
  <c r="A1552" i="78"/>
  <c r="C1551" i="78"/>
  <c r="A1551" i="78"/>
  <c r="C1550" i="78"/>
  <c r="A1550" i="78"/>
  <c r="C1549" i="78"/>
  <c r="A1549" i="78"/>
  <c r="C1548" i="78"/>
  <c r="A1548" i="78"/>
  <c r="C1547" i="78"/>
  <c r="A1547" i="78"/>
  <c r="C1546" i="78"/>
  <c r="A1546" i="78"/>
  <c r="C1545" i="78"/>
  <c r="A1545" i="78"/>
  <c r="C1544" i="78"/>
  <c r="A1544" i="78"/>
  <c r="C1543" i="78"/>
  <c r="A1543" i="78"/>
  <c r="C1542" i="78"/>
  <c r="A1542" i="78"/>
  <c r="C1541" i="78"/>
  <c r="A1541" i="78"/>
  <c r="C1540" i="78"/>
  <c r="A1540" i="78"/>
  <c r="C1539" i="78"/>
  <c r="A1539" i="78"/>
  <c r="C1538" i="78"/>
  <c r="A1538" i="78"/>
  <c r="C1537" i="78"/>
  <c r="A1537" i="78"/>
  <c r="C1536" i="78"/>
  <c r="A1536" i="78"/>
  <c r="C1535" i="78"/>
  <c r="A1535" i="78"/>
  <c r="C1534" i="78"/>
  <c r="A1534" i="78"/>
  <c r="C1533" i="78"/>
  <c r="A1533" i="78"/>
  <c r="C1532" i="78"/>
  <c r="A1532" i="78"/>
  <c r="C1531" i="78"/>
  <c r="A1531" i="78"/>
  <c r="C1530" i="78"/>
  <c r="A1530" i="78"/>
  <c r="C1529" i="78"/>
  <c r="A1529" i="78"/>
  <c r="C1528" i="78"/>
  <c r="A1528" i="78"/>
  <c r="C1527" i="78"/>
  <c r="A1527" i="78"/>
  <c r="C1526" i="78"/>
  <c r="A1526" i="78"/>
  <c r="C1525" i="78"/>
  <c r="A1525" i="78"/>
  <c r="C1524" i="78"/>
  <c r="A1524" i="78"/>
  <c r="C1523" i="78"/>
  <c r="A1523" i="78"/>
  <c r="C1522" i="78"/>
  <c r="A1522" i="78"/>
  <c r="C1521" i="78"/>
  <c r="A1521" i="78"/>
  <c r="C1520" i="78"/>
  <c r="A1520" i="78"/>
  <c r="C1519" i="78"/>
  <c r="A1519" i="78"/>
  <c r="C1518" i="78"/>
  <c r="A1518" i="78"/>
  <c r="C1517" i="78"/>
  <c r="A1517" i="78"/>
  <c r="C1516" i="78"/>
  <c r="A1516" i="78"/>
  <c r="C1515" i="78"/>
  <c r="A1515" i="78"/>
  <c r="C1514" i="78"/>
  <c r="A1514" i="78"/>
  <c r="C1513" i="78"/>
  <c r="A1513" i="78"/>
  <c r="C1512" i="78"/>
  <c r="A1512" i="78"/>
  <c r="C1511" i="78"/>
  <c r="A1511" i="78"/>
  <c r="C1510" i="78"/>
  <c r="A1510" i="78"/>
  <c r="C1509" i="78"/>
  <c r="A1509" i="78"/>
  <c r="C1508" i="78"/>
  <c r="A1508" i="78"/>
  <c r="C1507" i="78"/>
  <c r="A1507" i="78"/>
  <c r="C1506" i="78"/>
  <c r="A1506" i="78"/>
  <c r="C1505" i="78"/>
  <c r="A1505" i="78"/>
  <c r="C1504" i="78"/>
  <c r="A1504" i="78"/>
  <c r="C1503" i="78"/>
  <c r="A1503" i="78"/>
  <c r="C1502" i="78"/>
  <c r="A1502" i="78"/>
  <c r="C1501" i="78"/>
  <c r="A1501" i="78"/>
  <c r="C1500" i="78"/>
  <c r="A1500" i="78"/>
  <c r="C1499" i="78"/>
  <c r="A1499" i="78"/>
  <c r="C1498" i="78"/>
  <c r="A1498" i="78"/>
  <c r="C1497" i="78"/>
  <c r="A1497" i="78"/>
  <c r="C1496" i="78"/>
  <c r="A1496" i="78"/>
  <c r="C1495" i="78"/>
  <c r="A1495" i="78"/>
  <c r="C1494" i="78"/>
  <c r="A1494" i="78"/>
  <c r="C1493" i="78"/>
  <c r="A1493" i="78"/>
  <c r="C1492" i="78"/>
  <c r="A1492" i="78"/>
  <c r="C1491" i="78"/>
  <c r="A1491" i="78"/>
  <c r="C1490" i="78"/>
  <c r="A1490" i="78"/>
  <c r="C1489" i="78"/>
  <c r="A1489" i="78"/>
  <c r="C1488" i="78"/>
  <c r="A1488" i="78"/>
  <c r="C1487" i="78"/>
  <c r="A1487" i="78"/>
  <c r="C1486" i="78"/>
  <c r="A1486" i="78"/>
  <c r="C1485" i="78"/>
  <c r="A1485" i="78"/>
  <c r="C1484" i="78"/>
  <c r="A1484" i="78"/>
  <c r="C1483" i="78"/>
  <c r="A1483" i="78"/>
  <c r="C1482" i="78"/>
  <c r="A1482" i="78"/>
  <c r="C1481" i="78"/>
  <c r="A1481" i="78"/>
  <c r="C1480" i="78"/>
  <c r="A1480" i="78"/>
  <c r="C1479" i="78"/>
  <c r="A1479" i="78"/>
  <c r="C1478" i="78"/>
  <c r="A1478" i="78"/>
  <c r="C1477" i="78"/>
  <c r="A1477" i="78"/>
  <c r="C1476" i="78"/>
  <c r="A1476" i="78"/>
  <c r="C1475" i="78"/>
  <c r="A1475" i="78"/>
  <c r="C1474" i="78"/>
  <c r="A1474" i="78"/>
  <c r="C1473" i="78"/>
  <c r="A1473" i="78"/>
  <c r="C1472" i="78"/>
  <c r="A1472" i="78"/>
  <c r="C1471" i="78"/>
  <c r="A1471" i="78"/>
  <c r="C1470" i="78"/>
  <c r="A1470" i="78"/>
  <c r="C1469" i="78"/>
  <c r="A1469" i="78"/>
  <c r="C1468" i="78"/>
  <c r="A1468" i="78"/>
  <c r="C1467" i="78"/>
  <c r="A1467" i="78"/>
  <c r="C1466" i="78"/>
  <c r="A1466" i="78"/>
  <c r="C1465" i="78"/>
  <c r="A1465" i="78"/>
  <c r="C1464" i="78"/>
  <c r="A1464" i="78"/>
  <c r="C1463" i="78"/>
  <c r="A1463" i="78"/>
  <c r="C1462" i="78"/>
  <c r="A1462" i="78"/>
  <c r="C1461" i="78"/>
  <c r="A1461" i="78"/>
  <c r="C1460" i="78"/>
  <c r="A1460" i="78"/>
  <c r="C1459" i="78"/>
  <c r="A1459" i="78"/>
  <c r="C1458" i="78"/>
  <c r="A1458" i="78"/>
  <c r="C1457" i="78"/>
  <c r="A1457" i="78"/>
  <c r="C1456" i="78"/>
  <c r="A1456" i="78"/>
  <c r="C1455" i="78"/>
  <c r="A1455" i="78"/>
  <c r="C1454" i="78"/>
  <c r="A1454" i="78"/>
  <c r="C1453" i="78"/>
  <c r="A1453" i="78"/>
  <c r="C1452" i="78"/>
  <c r="A1452" i="78"/>
  <c r="C1451" i="78"/>
  <c r="A1451" i="78"/>
  <c r="C1450" i="78"/>
  <c r="A1450" i="78"/>
  <c r="C1449" i="78"/>
  <c r="A1449" i="78"/>
  <c r="C1448" i="78"/>
  <c r="A1448" i="78"/>
  <c r="C1447" i="78"/>
  <c r="A1447" i="78"/>
  <c r="C1446" i="78"/>
  <c r="A1446" i="78"/>
  <c r="C1445" i="78"/>
  <c r="A1445" i="78"/>
  <c r="C1444" i="78"/>
  <c r="A1444" i="78"/>
  <c r="C1443" i="78"/>
  <c r="A1443" i="78"/>
  <c r="C1442" i="78"/>
  <c r="A1442" i="78"/>
  <c r="C1441" i="78"/>
  <c r="A1441" i="78"/>
  <c r="C1440" i="78"/>
  <c r="A1440" i="78"/>
  <c r="C1439" i="78"/>
  <c r="A1439" i="78"/>
  <c r="C1438" i="78"/>
  <c r="A1438" i="78"/>
  <c r="C1437" i="78"/>
  <c r="A1437" i="78"/>
  <c r="C1436" i="78"/>
  <c r="A1436" i="78"/>
  <c r="C1435" i="78"/>
  <c r="A1435" i="78"/>
  <c r="C1434" i="78"/>
  <c r="A1434" i="78"/>
  <c r="C1433" i="78"/>
  <c r="A1433" i="78"/>
  <c r="C1432" i="78"/>
  <c r="A1432" i="78"/>
  <c r="C1431" i="78"/>
  <c r="A1431" i="78"/>
  <c r="C1430" i="78"/>
  <c r="A1430" i="78"/>
  <c r="C1429" i="78"/>
  <c r="A1429" i="78"/>
  <c r="C1428" i="78"/>
  <c r="A1428" i="78"/>
  <c r="C1427" i="78"/>
  <c r="A1427" i="78"/>
  <c r="C1426" i="78"/>
  <c r="A1426" i="78"/>
  <c r="C1425" i="78"/>
  <c r="A1425" i="78"/>
  <c r="C1424" i="78"/>
  <c r="A1424" i="78"/>
  <c r="C1423" i="78"/>
  <c r="A1423" i="78"/>
  <c r="C1422" i="78"/>
  <c r="A1422" i="78"/>
  <c r="C1421" i="78"/>
  <c r="A1421" i="78"/>
  <c r="C1420" i="78"/>
  <c r="A1420" i="78"/>
  <c r="C1419" i="78"/>
  <c r="A1419" i="78"/>
  <c r="C1418" i="78"/>
  <c r="A1418" i="78"/>
  <c r="C1417" i="78"/>
  <c r="A1417" i="78"/>
  <c r="C1416" i="78"/>
  <c r="A1416" i="78"/>
  <c r="C1415" i="78"/>
  <c r="A1415" i="78"/>
  <c r="C1414" i="78"/>
  <c r="A1414" i="78"/>
  <c r="C1413" i="78"/>
  <c r="A1413" i="78"/>
  <c r="C1412" i="78"/>
  <c r="A1412" i="78"/>
  <c r="C1411" i="78"/>
  <c r="A1411" i="78"/>
  <c r="C1410" i="78"/>
  <c r="A1410" i="78"/>
  <c r="C1409" i="78"/>
  <c r="A1409" i="78"/>
  <c r="C1408" i="78"/>
  <c r="A1408" i="78"/>
  <c r="C1407" i="78"/>
  <c r="A1407" i="78"/>
  <c r="C1406" i="78"/>
  <c r="A1406" i="78"/>
  <c r="C1405" i="78"/>
  <c r="A1405" i="78"/>
  <c r="C1404" i="78"/>
  <c r="A1404" i="78"/>
  <c r="C1403" i="78"/>
  <c r="A1403" i="78"/>
  <c r="C1402" i="78"/>
  <c r="A1402" i="78"/>
  <c r="C1401" i="78"/>
  <c r="A1401" i="78"/>
  <c r="C1400" i="78"/>
  <c r="A1400" i="78"/>
  <c r="C1399" i="78"/>
  <c r="A1399" i="78"/>
  <c r="C1398" i="78"/>
  <c r="A1398" i="78"/>
  <c r="C1397" i="78"/>
  <c r="A1397" i="78"/>
  <c r="C1396" i="78"/>
  <c r="A1396" i="78"/>
  <c r="C1395" i="78"/>
  <c r="A1395" i="78"/>
  <c r="C1394" i="78"/>
  <c r="A1394" i="78"/>
  <c r="C1393" i="78"/>
  <c r="A1393" i="78"/>
  <c r="C1392" i="78"/>
  <c r="A1392" i="78"/>
  <c r="C1391" i="78"/>
  <c r="A1391" i="78"/>
  <c r="C1390" i="78"/>
  <c r="A1390" i="78"/>
  <c r="C1389" i="78"/>
  <c r="A1389" i="78"/>
  <c r="C1388" i="78"/>
  <c r="A1388" i="78"/>
  <c r="C1387" i="78"/>
  <c r="A1387" i="78"/>
  <c r="C1386" i="78"/>
  <c r="A1386" i="78"/>
  <c r="C1385" i="78"/>
  <c r="A1385" i="78"/>
  <c r="C1384" i="78"/>
  <c r="A1384" i="78"/>
  <c r="C1383" i="78"/>
  <c r="A1383" i="78"/>
  <c r="C1382" i="78"/>
  <c r="A1382" i="78"/>
  <c r="C1381" i="78"/>
  <c r="A1381" i="78"/>
  <c r="C1380" i="78"/>
  <c r="A1380" i="78"/>
  <c r="C1379" i="78"/>
  <c r="A1379" i="78"/>
  <c r="C1378" i="78"/>
  <c r="A1378" i="78"/>
  <c r="C1377" i="78"/>
  <c r="A1377" i="78"/>
  <c r="C1376" i="78"/>
  <c r="A1376" i="78"/>
  <c r="C1375" i="78"/>
  <c r="A1375" i="78"/>
  <c r="C1374" i="78"/>
  <c r="A1374" i="78"/>
  <c r="C1373" i="78"/>
  <c r="A1373" i="78"/>
  <c r="C1372" i="78"/>
  <c r="A1372" i="78"/>
  <c r="C1371" i="78"/>
  <c r="A1371" i="78"/>
  <c r="C1370" i="78"/>
  <c r="A1370" i="78"/>
  <c r="C1369" i="78"/>
  <c r="A1369" i="78"/>
  <c r="C1368" i="78"/>
  <c r="A1368" i="78"/>
  <c r="C1367" i="78"/>
  <c r="A1367" i="78"/>
  <c r="C1366" i="78"/>
  <c r="A1366" i="78"/>
  <c r="C1365" i="78"/>
  <c r="A1365" i="78"/>
  <c r="C1364" i="78"/>
  <c r="A1364" i="78"/>
  <c r="C1363" i="78"/>
  <c r="A1363" i="78"/>
  <c r="C1362" i="78"/>
  <c r="A1362" i="78"/>
  <c r="C1361" i="78"/>
  <c r="A1361" i="78"/>
  <c r="C1360" i="78"/>
  <c r="A1360" i="78"/>
  <c r="C1359" i="78"/>
  <c r="A1359" i="78"/>
  <c r="C1358" i="78"/>
  <c r="A1358" i="78"/>
  <c r="C1357" i="78"/>
  <c r="A1357" i="78"/>
  <c r="C1356" i="78"/>
  <c r="A1356" i="78"/>
  <c r="C1355" i="78"/>
  <c r="A1355" i="78"/>
  <c r="C1354" i="78"/>
  <c r="A1354" i="78"/>
  <c r="C1353" i="78"/>
  <c r="A1353" i="78"/>
  <c r="C1352" i="78"/>
  <c r="A1352" i="78"/>
  <c r="C1351" i="78"/>
  <c r="A1351" i="78"/>
  <c r="C1350" i="78"/>
  <c r="A1350" i="78"/>
  <c r="C1349" i="78"/>
  <c r="A1349" i="78"/>
  <c r="C1348" i="78"/>
  <c r="A1348" i="78"/>
  <c r="C1347" i="78"/>
  <c r="A1347" i="78"/>
  <c r="C1346" i="78"/>
  <c r="A1346" i="78"/>
  <c r="C1345" i="78"/>
  <c r="A1345" i="78"/>
  <c r="C1344" i="78"/>
  <c r="A1344" i="78"/>
  <c r="C1343" i="78"/>
  <c r="A1343" i="78"/>
  <c r="C1342" i="78"/>
  <c r="A1342" i="78"/>
  <c r="C1341" i="78"/>
  <c r="A1341" i="78"/>
  <c r="C1340" i="78"/>
  <c r="A1340" i="78"/>
  <c r="C1339" i="78"/>
  <c r="A1339" i="78"/>
  <c r="C1338" i="78"/>
  <c r="A1338" i="78"/>
  <c r="C1337" i="78"/>
  <c r="A1337" i="78"/>
  <c r="C1336" i="78"/>
  <c r="A1336" i="78"/>
  <c r="C1335" i="78"/>
  <c r="A1335" i="78"/>
  <c r="C1334" i="78"/>
  <c r="A1334" i="78"/>
  <c r="C1333" i="78"/>
  <c r="A1333" i="78"/>
  <c r="C1332" i="78"/>
  <c r="A1332" i="78"/>
  <c r="C1331" i="78"/>
  <c r="A1331" i="78"/>
  <c r="C1330" i="78"/>
  <c r="A1330" i="78"/>
  <c r="C1329" i="78"/>
  <c r="A1329" i="78"/>
  <c r="C1328" i="78"/>
  <c r="A1328" i="78"/>
  <c r="C1327" i="78"/>
  <c r="A1327" i="78"/>
  <c r="C1326" i="78"/>
  <c r="A1326" i="78"/>
  <c r="C1325" i="78"/>
  <c r="A1325" i="78"/>
  <c r="C1324" i="78"/>
  <c r="A1324" i="78"/>
  <c r="C1323" i="78"/>
  <c r="A1323" i="78"/>
  <c r="C1322" i="78"/>
  <c r="A1322" i="78"/>
  <c r="C1321" i="78"/>
  <c r="A1321" i="78"/>
  <c r="C1320" i="78"/>
  <c r="A1320" i="78"/>
  <c r="C1319" i="78"/>
  <c r="A1319" i="78"/>
  <c r="C1318" i="78"/>
  <c r="A1318" i="78"/>
  <c r="C1317" i="78"/>
  <c r="A1317" i="78"/>
  <c r="C1316" i="78"/>
  <c r="A1316" i="78"/>
  <c r="C1315" i="78"/>
  <c r="A1315" i="78"/>
  <c r="C1314" i="78"/>
  <c r="A1314" i="78"/>
  <c r="C1313" i="78"/>
  <c r="A1313" i="78"/>
  <c r="C1312" i="78"/>
  <c r="A1312" i="78"/>
  <c r="C1311" i="78"/>
  <c r="A1311" i="78"/>
  <c r="C1310" i="78"/>
  <c r="A1310" i="78"/>
  <c r="C1309" i="78"/>
  <c r="A1309" i="78"/>
  <c r="C1308" i="78"/>
  <c r="A1308" i="78"/>
  <c r="C1307" i="78"/>
  <c r="A1307" i="78"/>
  <c r="C1306" i="78"/>
  <c r="A1306" i="78"/>
  <c r="C1305" i="78"/>
  <c r="A1305" i="78"/>
  <c r="C1304" i="78"/>
  <c r="A1304" i="78"/>
  <c r="C1303" i="78"/>
  <c r="A1303" i="78"/>
  <c r="C1302" i="78"/>
  <c r="A1302" i="78"/>
  <c r="C1301" i="78"/>
  <c r="A1301" i="78"/>
  <c r="C1300" i="78"/>
  <c r="A1300" i="78"/>
  <c r="C1299" i="78"/>
  <c r="A1299" i="78"/>
  <c r="C1298" i="78"/>
  <c r="A1298" i="78"/>
  <c r="C1297" i="78"/>
  <c r="A1297" i="78"/>
  <c r="C1296" i="78"/>
  <c r="A1296" i="78"/>
  <c r="C1295" i="78"/>
  <c r="A1295" i="78"/>
  <c r="C1294" i="78"/>
  <c r="A1294" i="78"/>
  <c r="C1293" i="78"/>
  <c r="A1293" i="78"/>
  <c r="C1292" i="78"/>
  <c r="A1292" i="78"/>
  <c r="C1291" i="78"/>
  <c r="A1291" i="78"/>
  <c r="C1290" i="78"/>
  <c r="A1290" i="78"/>
  <c r="C1289" i="78"/>
  <c r="A1289" i="78"/>
  <c r="C1288" i="78"/>
  <c r="A1288" i="78"/>
  <c r="C1287" i="78"/>
  <c r="A1287" i="78"/>
  <c r="C1286" i="78"/>
  <c r="A1286" i="78"/>
  <c r="C1285" i="78"/>
  <c r="A1285" i="78"/>
  <c r="C1284" i="78"/>
  <c r="A1284" i="78"/>
  <c r="C1283" i="78"/>
  <c r="A1283" i="78"/>
  <c r="C1282" i="78"/>
  <c r="A1282" i="78"/>
  <c r="C1281" i="78"/>
  <c r="A1281" i="78"/>
  <c r="C1280" i="78"/>
  <c r="A1280" i="78"/>
  <c r="C1279" i="78"/>
  <c r="A1279" i="78"/>
  <c r="C1278" i="78"/>
  <c r="A1278" i="78"/>
  <c r="C1277" i="78"/>
  <c r="A1277" i="78"/>
  <c r="C1276" i="78"/>
  <c r="A1276" i="78"/>
  <c r="C1275" i="78"/>
  <c r="A1275" i="78"/>
  <c r="C1274" i="78"/>
  <c r="A1274" i="78"/>
  <c r="C1273" i="78"/>
  <c r="A1273" i="78"/>
  <c r="C1272" i="78"/>
  <c r="A1272" i="78"/>
  <c r="C1271" i="78"/>
  <c r="A1271" i="78"/>
  <c r="C1270" i="78"/>
  <c r="A1270" i="78"/>
  <c r="C1269" i="78"/>
  <c r="A1269" i="78"/>
  <c r="C1268" i="78"/>
  <c r="A1268" i="78"/>
  <c r="C1267" i="78"/>
  <c r="A1267" i="78"/>
  <c r="C1266" i="78"/>
  <c r="A1266" i="78"/>
  <c r="C1265" i="78"/>
  <c r="A1265" i="78"/>
  <c r="C1264" i="78"/>
  <c r="A1264" i="78"/>
  <c r="C1263" i="78"/>
  <c r="A1263" i="78"/>
  <c r="C1262" i="78"/>
  <c r="A1262" i="78"/>
  <c r="C1261" i="78"/>
  <c r="A1261" i="78"/>
  <c r="C1260" i="78"/>
  <c r="A1260" i="78"/>
  <c r="C1259" i="78"/>
  <c r="A1259" i="78"/>
  <c r="C1258" i="78"/>
  <c r="A1258" i="78"/>
  <c r="C1257" i="78"/>
  <c r="A1257" i="78"/>
  <c r="C1256" i="78"/>
  <c r="A1256" i="78"/>
  <c r="C1255" i="78"/>
  <c r="A1255" i="78"/>
  <c r="C1254" i="78"/>
  <c r="A1254" i="78"/>
  <c r="C1253" i="78"/>
  <c r="A1253" i="78"/>
  <c r="C1252" i="78"/>
  <c r="A1252" i="78"/>
  <c r="C1251" i="78"/>
  <c r="A1251" i="78"/>
  <c r="C1250" i="78"/>
  <c r="A1250" i="78"/>
  <c r="C1249" i="78"/>
  <c r="A1249" i="78"/>
  <c r="C1248" i="78"/>
  <c r="A1248" i="78"/>
  <c r="C1247" i="78"/>
  <c r="A1247" i="78"/>
  <c r="C1246" i="78"/>
  <c r="A1246" i="78"/>
  <c r="C1245" i="78"/>
  <c r="A1245" i="78"/>
  <c r="C1244" i="78"/>
  <c r="A1244" i="78"/>
  <c r="C1243" i="78"/>
  <c r="A1243" i="78"/>
  <c r="C1242" i="78"/>
  <c r="A1242" i="78"/>
  <c r="C1241" i="78"/>
  <c r="A1241" i="78"/>
  <c r="C1240" i="78"/>
  <c r="A1240" i="78"/>
  <c r="C1239" i="78"/>
  <c r="A1239" i="78"/>
  <c r="C1238" i="78"/>
  <c r="A1238" i="78"/>
  <c r="C1237" i="78"/>
  <c r="A1237" i="78"/>
  <c r="C1236" i="78"/>
  <c r="A1236" i="78"/>
  <c r="C1235" i="78"/>
  <c r="A1235" i="78"/>
  <c r="C1234" i="78"/>
  <c r="A1234" i="78"/>
  <c r="C1233" i="78"/>
  <c r="A1233" i="78"/>
  <c r="C1232" i="78"/>
  <c r="A1232" i="78"/>
  <c r="C1231" i="78"/>
  <c r="A1231" i="78"/>
  <c r="C1230" i="78"/>
  <c r="A1230" i="78"/>
  <c r="C1229" i="78"/>
  <c r="A1229" i="78"/>
  <c r="C1228" i="78"/>
  <c r="A1228" i="78"/>
  <c r="C1227" i="78"/>
  <c r="A1227" i="78"/>
  <c r="C1226" i="78"/>
  <c r="A1226" i="78"/>
  <c r="C1225" i="78"/>
  <c r="A1225" i="78"/>
  <c r="C1224" i="78"/>
  <c r="A1224" i="78"/>
  <c r="C1223" i="78"/>
  <c r="A1223" i="78"/>
  <c r="C1222" i="78"/>
  <c r="A1222" i="78"/>
  <c r="C1221" i="78"/>
  <c r="A1221" i="78"/>
  <c r="C1220" i="78"/>
  <c r="A1220" i="78"/>
  <c r="C1219" i="78"/>
  <c r="A1219" i="78"/>
  <c r="C1218" i="78"/>
  <c r="A1218" i="78"/>
  <c r="C1217" i="78"/>
  <c r="A1217" i="78"/>
  <c r="C1216" i="78"/>
  <c r="A1216" i="78"/>
  <c r="C1215" i="78"/>
  <c r="A1215" i="78"/>
  <c r="C1214" i="78"/>
  <c r="A1214" i="78"/>
  <c r="C1213" i="78"/>
  <c r="A1213" i="78"/>
  <c r="C1212" i="78"/>
  <c r="A1212" i="78"/>
  <c r="C1211" i="78"/>
  <c r="A1211" i="78"/>
  <c r="C1210" i="78"/>
  <c r="A1210" i="78"/>
  <c r="C1209" i="78"/>
  <c r="A1209" i="78"/>
  <c r="C1208" i="78"/>
  <c r="A1208" i="78"/>
  <c r="C1207" i="78"/>
  <c r="A1207" i="78"/>
  <c r="C1206" i="78"/>
  <c r="A1206" i="78"/>
  <c r="C1205" i="78"/>
  <c r="A1205" i="78"/>
  <c r="C1204" i="78"/>
  <c r="A1204" i="78"/>
  <c r="C1203" i="78"/>
  <c r="A1203" i="78"/>
  <c r="C1202" i="78"/>
  <c r="A1202" i="78"/>
  <c r="C1201" i="78"/>
  <c r="A1201" i="78"/>
  <c r="C1200" i="78"/>
  <c r="A1200" i="78"/>
  <c r="C1199" i="78"/>
  <c r="A1199" i="78"/>
  <c r="C1198" i="78"/>
  <c r="A1198" i="78"/>
  <c r="C1197" i="78"/>
  <c r="A1197" i="78"/>
  <c r="C1196" i="78"/>
  <c r="A1196" i="78"/>
  <c r="C1195" i="78"/>
  <c r="A1195" i="78"/>
  <c r="C1194" i="78"/>
  <c r="A1194" i="78"/>
  <c r="C1193" i="78"/>
  <c r="A1193" i="78"/>
  <c r="C1192" i="78"/>
  <c r="A1192" i="78"/>
  <c r="C1191" i="78"/>
  <c r="A1191" i="78"/>
  <c r="C1190" i="78"/>
  <c r="A1190" i="78"/>
  <c r="C1189" i="78"/>
  <c r="A1189" i="78"/>
  <c r="C1188" i="78"/>
  <c r="A1188" i="78"/>
  <c r="C1187" i="78"/>
  <c r="A1187" i="78"/>
  <c r="C1186" i="78"/>
  <c r="A1186" i="78"/>
  <c r="C1185" i="78"/>
  <c r="A1185" i="78"/>
  <c r="C1184" i="78"/>
  <c r="A1184" i="78"/>
  <c r="C1183" i="78"/>
  <c r="A1183" i="78"/>
  <c r="C1182" i="78"/>
  <c r="A1182" i="78"/>
  <c r="C1181" i="78"/>
  <c r="A1181" i="78"/>
  <c r="C1180" i="78"/>
  <c r="A1180" i="78"/>
  <c r="C1179" i="78"/>
  <c r="A1179" i="78"/>
  <c r="C1178" i="78"/>
  <c r="A1178" i="78"/>
  <c r="C1177" i="78"/>
  <c r="A1177" i="78"/>
  <c r="C1176" i="78"/>
  <c r="A1176" i="78"/>
  <c r="C1175" i="78"/>
  <c r="A1175" i="78"/>
  <c r="C1174" i="78"/>
  <c r="A1174" i="78"/>
  <c r="C1173" i="78"/>
  <c r="A1173" i="78"/>
  <c r="C1172" i="78"/>
  <c r="A1172" i="78"/>
  <c r="C1171" i="78"/>
  <c r="A1171" i="78"/>
  <c r="C1170" i="78"/>
  <c r="A1170" i="78"/>
  <c r="C1169" i="78"/>
  <c r="A1169" i="78"/>
  <c r="C1168" i="78"/>
  <c r="A1168" i="78"/>
  <c r="C1167" i="78"/>
  <c r="A1167" i="78"/>
  <c r="C1166" i="78"/>
  <c r="A1166" i="78"/>
  <c r="C1165" i="78"/>
  <c r="A1165" i="78"/>
  <c r="C1164" i="78"/>
  <c r="A1164" i="78"/>
  <c r="C1163" i="78"/>
  <c r="A1163" i="78"/>
  <c r="C1162" i="78"/>
  <c r="A1162" i="78"/>
  <c r="C1161" i="78"/>
  <c r="A1161" i="78"/>
  <c r="C1160" i="78"/>
  <c r="A1160" i="78"/>
  <c r="C1159" i="78"/>
  <c r="A1159" i="78"/>
  <c r="C1158" i="78"/>
  <c r="A1158" i="78"/>
  <c r="C1157" i="78"/>
  <c r="A1157" i="78"/>
  <c r="C1156" i="78"/>
  <c r="A1156" i="78"/>
  <c r="C1155" i="78"/>
  <c r="A1155" i="78"/>
  <c r="C1154" i="78"/>
  <c r="A1154" i="78"/>
  <c r="C1153" i="78"/>
  <c r="A1153" i="78"/>
  <c r="C1152" i="78"/>
  <c r="A1152" i="78"/>
  <c r="C1151" i="78"/>
  <c r="A1151" i="78"/>
  <c r="C1150" i="78"/>
  <c r="A1150" i="78"/>
  <c r="C1149" i="78"/>
  <c r="A1149" i="78"/>
  <c r="C1148" i="78"/>
  <c r="A1148" i="78"/>
  <c r="C1147" i="78"/>
  <c r="A1147" i="78"/>
  <c r="C1146" i="78"/>
  <c r="A1146" i="78"/>
  <c r="C1145" i="78"/>
  <c r="A1145" i="78"/>
  <c r="C1144" i="78"/>
  <c r="A1144" i="78"/>
  <c r="C1143" i="78"/>
  <c r="A1143" i="78"/>
  <c r="C1142" i="78"/>
  <c r="A1142" i="78"/>
  <c r="C1141" i="78"/>
  <c r="A1141" i="78"/>
  <c r="C1140" i="78"/>
  <c r="A1140" i="78"/>
  <c r="C1139" i="78"/>
  <c r="A1139" i="78"/>
  <c r="C1138" i="78"/>
  <c r="A1138" i="78"/>
  <c r="C1137" i="78"/>
  <c r="A1137" i="78"/>
  <c r="C1136" i="78"/>
  <c r="A1136" i="78"/>
  <c r="C1135" i="78"/>
  <c r="A1135" i="78"/>
  <c r="C1134" i="78"/>
  <c r="A1134" i="78"/>
  <c r="C1133" i="78"/>
  <c r="A1133" i="78"/>
  <c r="C1132" i="78"/>
  <c r="A1132" i="78"/>
  <c r="C1131" i="78"/>
  <c r="A1131" i="78"/>
  <c r="C1130" i="78"/>
  <c r="A1130" i="78"/>
  <c r="C1129" i="78"/>
  <c r="A1129" i="78"/>
  <c r="C1128" i="78"/>
  <c r="A1128" i="78"/>
  <c r="C1127" i="78"/>
  <c r="A1127" i="78"/>
  <c r="C1126" i="78"/>
  <c r="A1126" i="78"/>
  <c r="C1125" i="78"/>
  <c r="A1125" i="78"/>
  <c r="C1124" i="78"/>
  <c r="A1124" i="78"/>
  <c r="C1123" i="78"/>
  <c r="A1123" i="78"/>
  <c r="C1122" i="78"/>
  <c r="A1122" i="78"/>
  <c r="C1121" i="78"/>
  <c r="A1121" i="78"/>
  <c r="C1120" i="78"/>
  <c r="A1120" i="78"/>
  <c r="C1119" i="78"/>
  <c r="A1119" i="78"/>
  <c r="C1118" i="78"/>
  <c r="A1118" i="78"/>
  <c r="C1117" i="78"/>
  <c r="A1117" i="78"/>
  <c r="C1116" i="78"/>
  <c r="A1116" i="78"/>
  <c r="C1115" i="78"/>
  <c r="A1115" i="78"/>
  <c r="C1114" i="78"/>
  <c r="A1114" i="78"/>
  <c r="C1113" i="78"/>
  <c r="A1113" i="78"/>
  <c r="C1112" i="78"/>
  <c r="A1112" i="78"/>
  <c r="C1111" i="78"/>
  <c r="A1111" i="78"/>
  <c r="C1110" i="78"/>
  <c r="A1110" i="78"/>
  <c r="C1109" i="78"/>
  <c r="A1109" i="78"/>
  <c r="C1108" i="78"/>
  <c r="A1108" i="78"/>
  <c r="C1107" i="78"/>
  <c r="A1107" i="78"/>
  <c r="C1106" i="78"/>
  <c r="A1106" i="78"/>
  <c r="C1105" i="78"/>
  <c r="A1105" i="78"/>
  <c r="C1104" i="78"/>
  <c r="A1104" i="78"/>
  <c r="C1103" i="78"/>
  <c r="A1103" i="78"/>
  <c r="C1102" i="78"/>
  <c r="A1102" i="78"/>
  <c r="C1101" i="78"/>
  <c r="A1101" i="78"/>
  <c r="C1100" i="78"/>
  <c r="A1100" i="78"/>
  <c r="C1099" i="78"/>
  <c r="A1099" i="78"/>
  <c r="C1098" i="78"/>
  <c r="A1098" i="78"/>
  <c r="C1097" i="78"/>
  <c r="A1097" i="78"/>
  <c r="C1096" i="78"/>
  <c r="A1096" i="78"/>
  <c r="C1095" i="78"/>
  <c r="A1095" i="78"/>
  <c r="C1094" i="78"/>
  <c r="A1094" i="78"/>
  <c r="C1093" i="78"/>
  <c r="A1093" i="78"/>
  <c r="C1092" i="78"/>
  <c r="A1092" i="78"/>
  <c r="C1091" i="78"/>
  <c r="A1091" i="78"/>
  <c r="C1090" i="78"/>
  <c r="A1090" i="78"/>
  <c r="C1089" i="78"/>
  <c r="A1089" i="78"/>
  <c r="C1088" i="78"/>
  <c r="A1088" i="78"/>
  <c r="C1087" i="78"/>
  <c r="A1087" i="78"/>
  <c r="C1086" i="78"/>
  <c r="A1086" i="78"/>
  <c r="C1085" i="78"/>
  <c r="A1085" i="78"/>
  <c r="C1084" i="78"/>
  <c r="A1084" i="78"/>
  <c r="C1083" i="78"/>
  <c r="A1083" i="78"/>
  <c r="C1082" i="78"/>
  <c r="A1082" i="78"/>
  <c r="C1081" i="78"/>
  <c r="A1081" i="78"/>
  <c r="C1080" i="78"/>
  <c r="A1080" i="78"/>
  <c r="C1079" i="78"/>
  <c r="A1079" i="78"/>
  <c r="C1078" i="78"/>
  <c r="A1078" i="78"/>
  <c r="C1077" i="78"/>
  <c r="A1077" i="78"/>
  <c r="C1076" i="78"/>
  <c r="A1076" i="78"/>
  <c r="C1075" i="78"/>
  <c r="A1075" i="78"/>
  <c r="C1074" i="78"/>
  <c r="A1074" i="78"/>
  <c r="C1073" i="78"/>
  <c r="A1073" i="78"/>
  <c r="C1072" i="78"/>
  <c r="A1072" i="78"/>
  <c r="C1071" i="78"/>
  <c r="A1071" i="78"/>
  <c r="C1070" i="78"/>
  <c r="A1070" i="78"/>
  <c r="C1069" i="78"/>
  <c r="A1069" i="78"/>
  <c r="C1068" i="78"/>
  <c r="A1068" i="78"/>
  <c r="C1067" i="78"/>
  <c r="A1067" i="78"/>
  <c r="C1066" i="78"/>
  <c r="A1066" i="78"/>
  <c r="C1065" i="78"/>
  <c r="A1065" i="78"/>
  <c r="C1064" i="78"/>
  <c r="A1064" i="78"/>
  <c r="C1063" i="78"/>
  <c r="A1063" i="78"/>
  <c r="C1062" i="78"/>
  <c r="A1062" i="78"/>
  <c r="C1061" i="78"/>
  <c r="A1061" i="78"/>
  <c r="C1060" i="78"/>
  <c r="A1060" i="78"/>
  <c r="C1059" i="78"/>
  <c r="A1059" i="78"/>
  <c r="C1058" i="78"/>
  <c r="A1058" i="78"/>
  <c r="C1057" i="78"/>
  <c r="A1057" i="78"/>
  <c r="C1056" i="78"/>
  <c r="A1056" i="78"/>
  <c r="C1055" i="78"/>
  <c r="A1055" i="78"/>
  <c r="C1054" i="78"/>
  <c r="A1054" i="78"/>
  <c r="C1053" i="78"/>
  <c r="A1053" i="78"/>
  <c r="C1052" i="78"/>
  <c r="A1052" i="78"/>
  <c r="C1051" i="78"/>
  <c r="A1051" i="78"/>
  <c r="C1050" i="78"/>
  <c r="A1050" i="78"/>
  <c r="C1049" i="78"/>
  <c r="A1049" i="78"/>
  <c r="C1048" i="78"/>
  <c r="A1048" i="78"/>
  <c r="C1047" i="78"/>
  <c r="A1047" i="78"/>
  <c r="C1046" i="78"/>
  <c r="A1046" i="78"/>
  <c r="C1045" i="78"/>
  <c r="A1045" i="78"/>
  <c r="C1044" i="78"/>
  <c r="A1044" i="78"/>
  <c r="C1043" i="78"/>
  <c r="A1043" i="78"/>
  <c r="C1042" i="78"/>
  <c r="A1042" i="78"/>
  <c r="C1041" i="78"/>
  <c r="A1041" i="78"/>
  <c r="C1040" i="78"/>
  <c r="A1040" i="78"/>
  <c r="C1039" i="78"/>
  <c r="A1039" i="78"/>
  <c r="C1038" i="78"/>
  <c r="A1038" i="78"/>
  <c r="C1037" i="78"/>
  <c r="A1037" i="78"/>
  <c r="C1036" i="78"/>
  <c r="A1036" i="78"/>
  <c r="C1035" i="78"/>
  <c r="A1035" i="78"/>
  <c r="C1034" i="78"/>
  <c r="A1034" i="78"/>
  <c r="C1033" i="78"/>
  <c r="A1033" i="78"/>
  <c r="C1032" i="78"/>
  <c r="A1032" i="78"/>
  <c r="C1031" i="78"/>
  <c r="A1031" i="78"/>
  <c r="C1030" i="78"/>
  <c r="A1030" i="78"/>
  <c r="C1029" i="78"/>
  <c r="A1029" i="78"/>
  <c r="C1028" i="78"/>
  <c r="A1028" i="78"/>
  <c r="C1027" i="78"/>
  <c r="A1027" i="78"/>
  <c r="C1026" i="78"/>
  <c r="A1026" i="78"/>
  <c r="C1025" i="78"/>
  <c r="A1025" i="78"/>
  <c r="C1024" i="78"/>
  <c r="A1024" i="78"/>
  <c r="C1023" i="78"/>
  <c r="A1023" i="78"/>
  <c r="C1022" i="78"/>
  <c r="A1022" i="78"/>
  <c r="C1021" i="78"/>
  <c r="A1021" i="78"/>
  <c r="C1020" i="78"/>
  <c r="A1020" i="78"/>
  <c r="C1019" i="78"/>
  <c r="A1019" i="78"/>
  <c r="C1018" i="78"/>
  <c r="A1018" i="78"/>
  <c r="C1017" i="78"/>
  <c r="A1017" i="78"/>
  <c r="C1016" i="78"/>
  <c r="A1016" i="78"/>
  <c r="C1015" i="78"/>
  <c r="A1015" i="78"/>
  <c r="C1014" i="78"/>
  <c r="A1014" i="78"/>
  <c r="C1013" i="78"/>
  <c r="A1013" i="78"/>
  <c r="C1012" i="78"/>
  <c r="A1012" i="78"/>
  <c r="C1011" i="78"/>
  <c r="A1011" i="78"/>
  <c r="C1010" i="78"/>
  <c r="A1010" i="78"/>
  <c r="C1009" i="78"/>
  <c r="A1009" i="78"/>
  <c r="C1008" i="78"/>
  <c r="A1008" i="78"/>
  <c r="C1007" i="78"/>
  <c r="A1007" i="78"/>
  <c r="C1006" i="78"/>
  <c r="A1006" i="78"/>
  <c r="C1005" i="78"/>
  <c r="A1005" i="78"/>
  <c r="C1004" i="78"/>
  <c r="A1004" i="78"/>
  <c r="C1003" i="78"/>
  <c r="A1003" i="78"/>
  <c r="C1002" i="78"/>
  <c r="A1002" i="78"/>
  <c r="C1001" i="78"/>
  <c r="A1001" i="78"/>
  <c r="C1000" i="78"/>
  <c r="A1000" i="78"/>
  <c r="C999" i="78"/>
  <c r="A999" i="78"/>
  <c r="C998" i="78"/>
  <c r="A998" i="78"/>
  <c r="C997" i="78"/>
  <c r="A997" i="78"/>
  <c r="C996" i="78"/>
  <c r="A996" i="78"/>
  <c r="C995" i="78"/>
  <c r="A995" i="78"/>
  <c r="C994" i="78"/>
  <c r="A994" i="78"/>
  <c r="C993" i="78"/>
  <c r="A993" i="78"/>
  <c r="C992" i="78"/>
  <c r="A992" i="78"/>
  <c r="C991" i="78"/>
  <c r="A991" i="78"/>
  <c r="C990" i="78"/>
  <c r="A990" i="78"/>
  <c r="C989" i="78"/>
  <c r="A989" i="78"/>
  <c r="C988" i="78"/>
  <c r="A988" i="78"/>
  <c r="C987" i="78"/>
  <c r="A987" i="78"/>
  <c r="C986" i="78"/>
  <c r="A986" i="78"/>
  <c r="C985" i="78"/>
  <c r="A985" i="78"/>
  <c r="C984" i="78"/>
  <c r="A984" i="78"/>
  <c r="C983" i="78"/>
  <c r="A983" i="78"/>
  <c r="C982" i="78"/>
  <c r="A982" i="78"/>
  <c r="C981" i="78"/>
  <c r="A981" i="78"/>
  <c r="C980" i="78"/>
  <c r="A980" i="78"/>
  <c r="C979" i="78"/>
  <c r="A979" i="78"/>
  <c r="C978" i="78"/>
  <c r="A978" i="78"/>
  <c r="C977" i="78"/>
  <c r="A977" i="78"/>
  <c r="C976" i="78"/>
  <c r="A976" i="78"/>
  <c r="C975" i="78"/>
  <c r="A975" i="78"/>
  <c r="C974" i="78"/>
  <c r="A974" i="78"/>
  <c r="C973" i="78"/>
  <c r="A973" i="78"/>
  <c r="C972" i="78"/>
  <c r="A972" i="78"/>
  <c r="C971" i="78"/>
  <c r="A971" i="78"/>
  <c r="C970" i="78"/>
  <c r="A970" i="78"/>
  <c r="C969" i="78"/>
  <c r="A969" i="78"/>
  <c r="C968" i="78"/>
  <c r="A968" i="78"/>
  <c r="C967" i="78"/>
  <c r="A967" i="78"/>
  <c r="C966" i="78"/>
  <c r="A966" i="78"/>
  <c r="C965" i="78"/>
  <c r="A965" i="78"/>
  <c r="C964" i="78"/>
  <c r="A964" i="78"/>
  <c r="C963" i="78"/>
  <c r="A963" i="78"/>
  <c r="C962" i="78"/>
  <c r="A962" i="78"/>
  <c r="C961" i="78"/>
  <c r="A961" i="78"/>
  <c r="C960" i="78"/>
  <c r="A960" i="78"/>
  <c r="C959" i="78"/>
  <c r="A959" i="78"/>
  <c r="C958" i="78"/>
  <c r="A958" i="78"/>
  <c r="C957" i="78"/>
  <c r="A957" i="78"/>
  <c r="C956" i="78"/>
  <c r="A956" i="78"/>
  <c r="C955" i="78"/>
  <c r="A955" i="78"/>
  <c r="C954" i="78"/>
  <c r="A954" i="78"/>
  <c r="C953" i="78"/>
  <c r="A953" i="78"/>
  <c r="C952" i="78"/>
  <c r="A952" i="78"/>
  <c r="C951" i="78"/>
  <c r="A951" i="78"/>
  <c r="C950" i="78"/>
  <c r="A950" i="78"/>
  <c r="C949" i="78"/>
  <c r="A949" i="78"/>
  <c r="C948" i="78"/>
  <c r="A948" i="78"/>
  <c r="C947" i="78"/>
  <c r="A947" i="78"/>
  <c r="C946" i="78"/>
  <c r="A946" i="78"/>
  <c r="C945" i="78"/>
  <c r="A945" i="78"/>
  <c r="C944" i="78"/>
  <c r="A944" i="78"/>
  <c r="C943" i="78"/>
  <c r="A943" i="78"/>
  <c r="C942" i="78"/>
  <c r="A942" i="78"/>
  <c r="C941" i="78"/>
  <c r="A941" i="78"/>
  <c r="C940" i="78"/>
  <c r="A940" i="78"/>
  <c r="C939" i="78"/>
  <c r="A939" i="78"/>
  <c r="C938" i="78"/>
  <c r="A938" i="78"/>
  <c r="C937" i="78"/>
  <c r="A937" i="78"/>
  <c r="C936" i="78"/>
  <c r="A936" i="78"/>
  <c r="C935" i="78"/>
  <c r="A935" i="78"/>
  <c r="C934" i="78"/>
  <c r="A934" i="78"/>
  <c r="C933" i="78"/>
  <c r="A933" i="78"/>
  <c r="C932" i="78"/>
  <c r="A932" i="78"/>
  <c r="C931" i="78"/>
  <c r="A931" i="78"/>
  <c r="C930" i="78"/>
  <c r="A930" i="78"/>
  <c r="C929" i="78"/>
  <c r="A929" i="78"/>
  <c r="C928" i="78"/>
  <c r="A928" i="78"/>
  <c r="C927" i="78"/>
  <c r="A927" i="78"/>
  <c r="C926" i="78"/>
  <c r="A926" i="78"/>
  <c r="C925" i="78"/>
  <c r="A925" i="78"/>
  <c r="C924" i="78"/>
  <c r="A924" i="78"/>
  <c r="C923" i="78"/>
  <c r="A923" i="78"/>
  <c r="C922" i="78"/>
  <c r="A922" i="78"/>
  <c r="C921" i="78"/>
  <c r="A921" i="78"/>
  <c r="C920" i="78"/>
  <c r="A920" i="78"/>
  <c r="C919" i="78"/>
  <c r="A919" i="78"/>
  <c r="C918" i="78"/>
  <c r="A918" i="78"/>
  <c r="C917" i="78"/>
  <c r="A917" i="78"/>
  <c r="C916" i="78"/>
  <c r="A916" i="78"/>
  <c r="C915" i="78"/>
  <c r="A915" i="78"/>
  <c r="C914" i="78"/>
  <c r="A914" i="78"/>
  <c r="C913" i="78"/>
  <c r="A913" i="78"/>
  <c r="C912" i="78"/>
  <c r="A912" i="78"/>
  <c r="C911" i="78"/>
  <c r="A911" i="78"/>
  <c r="C910" i="78"/>
  <c r="A910" i="78"/>
  <c r="C909" i="78"/>
  <c r="A909" i="78"/>
  <c r="C908" i="78"/>
  <c r="A908" i="78"/>
  <c r="C907" i="78"/>
  <c r="A907" i="78"/>
  <c r="C906" i="78"/>
  <c r="A906" i="78"/>
  <c r="C905" i="78"/>
  <c r="A905" i="78"/>
  <c r="C904" i="78"/>
  <c r="A904" i="78"/>
  <c r="C903" i="78"/>
  <c r="A903" i="78"/>
  <c r="C902" i="78"/>
  <c r="A902" i="78"/>
  <c r="C901" i="78"/>
  <c r="A901" i="78"/>
  <c r="C900" i="78"/>
  <c r="A900" i="78"/>
  <c r="C899" i="78"/>
  <c r="A899" i="78"/>
  <c r="C898" i="78"/>
  <c r="A898" i="78"/>
  <c r="C897" i="78"/>
  <c r="A897" i="78"/>
  <c r="C896" i="78"/>
  <c r="A896" i="78"/>
  <c r="C895" i="78"/>
  <c r="A895" i="78"/>
  <c r="C894" i="78"/>
  <c r="A894" i="78"/>
  <c r="C893" i="78"/>
  <c r="A893" i="78"/>
  <c r="C892" i="78"/>
  <c r="A892" i="78"/>
  <c r="C891" i="78"/>
  <c r="A891" i="78"/>
  <c r="C890" i="78"/>
  <c r="A890" i="78"/>
  <c r="C889" i="78"/>
  <c r="A889" i="78"/>
  <c r="C888" i="78"/>
  <c r="A888" i="78"/>
  <c r="C887" i="78"/>
  <c r="A887" i="78"/>
  <c r="C886" i="78"/>
  <c r="A886" i="78"/>
  <c r="C885" i="78"/>
  <c r="A885" i="78"/>
  <c r="C884" i="78"/>
  <c r="A884" i="78"/>
  <c r="C883" i="78"/>
  <c r="A883" i="78"/>
  <c r="C882" i="78"/>
  <c r="A882" i="78"/>
  <c r="C881" i="78"/>
  <c r="A881" i="78"/>
  <c r="C880" i="78"/>
  <c r="A880" i="78"/>
  <c r="C879" i="78"/>
  <c r="A879" i="78"/>
  <c r="C878" i="78"/>
  <c r="A878" i="78"/>
  <c r="C877" i="78"/>
  <c r="A877" i="78"/>
  <c r="C876" i="78"/>
  <c r="A876" i="78"/>
  <c r="C875" i="78"/>
  <c r="A875" i="78"/>
  <c r="C874" i="78"/>
  <c r="A874" i="78"/>
  <c r="C873" i="78"/>
  <c r="A873" i="78"/>
  <c r="C872" i="78"/>
  <c r="A872" i="78"/>
  <c r="C871" i="78"/>
  <c r="A871" i="78"/>
  <c r="C870" i="78"/>
  <c r="A870" i="78"/>
  <c r="C869" i="78"/>
  <c r="A869" i="78"/>
  <c r="C868" i="78"/>
  <c r="A868" i="78"/>
  <c r="C867" i="78"/>
  <c r="A867" i="78"/>
  <c r="C866" i="78"/>
  <c r="A866" i="78"/>
  <c r="C865" i="78"/>
  <c r="A865" i="78"/>
  <c r="C864" i="78"/>
  <c r="A864" i="78"/>
  <c r="C863" i="78"/>
  <c r="A863" i="78"/>
  <c r="C862" i="78"/>
  <c r="A862" i="78"/>
  <c r="C861" i="78"/>
  <c r="A861" i="78"/>
  <c r="C860" i="78"/>
  <c r="A860" i="78"/>
  <c r="C859" i="78"/>
  <c r="A859" i="78"/>
  <c r="C858" i="78"/>
  <c r="A858" i="78"/>
  <c r="C857" i="78"/>
  <c r="A857" i="78"/>
  <c r="C856" i="78"/>
  <c r="A856" i="78"/>
  <c r="C855" i="78"/>
  <c r="A855" i="78"/>
  <c r="C854" i="78"/>
  <c r="A854" i="78"/>
  <c r="C853" i="78"/>
  <c r="A853" i="78"/>
  <c r="C852" i="78"/>
  <c r="A852" i="78"/>
  <c r="C851" i="78"/>
  <c r="A851" i="78"/>
  <c r="C850" i="78"/>
  <c r="A850" i="78"/>
  <c r="C849" i="78"/>
  <c r="A849" i="78"/>
  <c r="C848" i="78"/>
  <c r="A848" i="78"/>
  <c r="C847" i="78"/>
  <c r="A847" i="78"/>
  <c r="C846" i="78"/>
  <c r="A846" i="78"/>
  <c r="C845" i="78"/>
  <c r="A845" i="78"/>
  <c r="C844" i="78"/>
  <c r="A844" i="78"/>
  <c r="C843" i="78"/>
  <c r="A843" i="78"/>
  <c r="C842" i="78"/>
  <c r="A842" i="78"/>
  <c r="C841" i="78"/>
  <c r="A841" i="78"/>
  <c r="C840" i="78"/>
  <c r="A840" i="78"/>
  <c r="C839" i="78"/>
  <c r="A839" i="78"/>
  <c r="C838" i="78"/>
  <c r="A838" i="78"/>
  <c r="C837" i="78"/>
  <c r="A837" i="78"/>
  <c r="C836" i="78"/>
  <c r="A836" i="78"/>
  <c r="C835" i="78"/>
  <c r="A835" i="78"/>
  <c r="C834" i="78"/>
  <c r="A834" i="78"/>
  <c r="C833" i="78"/>
  <c r="A833" i="78"/>
  <c r="C832" i="78"/>
  <c r="A832" i="78"/>
  <c r="C831" i="78"/>
  <c r="A831" i="78"/>
  <c r="C830" i="78"/>
  <c r="A830" i="78"/>
  <c r="C829" i="78"/>
  <c r="A829" i="78"/>
  <c r="C828" i="78"/>
  <c r="A828" i="78"/>
  <c r="C827" i="78"/>
  <c r="A827" i="78"/>
  <c r="C826" i="78"/>
  <c r="A826" i="78"/>
  <c r="C825" i="78"/>
  <c r="A825" i="78"/>
  <c r="C824" i="78"/>
  <c r="A824" i="78"/>
  <c r="C823" i="78"/>
  <c r="A823" i="78"/>
  <c r="C822" i="78"/>
  <c r="A822" i="78"/>
  <c r="C821" i="78"/>
  <c r="A821" i="78"/>
  <c r="C820" i="78"/>
  <c r="A820" i="78"/>
  <c r="C819" i="78"/>
  <c r="A819" i="78"/>
  <c r="C818" i="78"/>
  <c r="A818" i="78"/>
  <c r="C817" i="78"/>
  <c r="A817" i="78"/>
  <c r="C816" i="78"/>
  <c r="A816" i="78"/>
  <c r="C815" i="78"/>
  <c r="A815" i="78"/>
  <c r="C814" i="78"/>
  <c r="A814" i="78"/>
  <c r="C813" i="78"/>
  <c r="A813" i="78"/>
  <c r="C812" i="78"/>
  <c r="A812" i="78"/>
  <c r="C811" i="78"/>
  <c r="A811" i="78"/>
  <c r="C810" i="78"/>
  <c r="A810" i="78"/>
  <c r="C809" i="78"/>
  <c r="A809" i="78"/>
  <c r="C808" i="78"/>
  <c r="A808" i="78"/>
  <c r="C807" i="78"/>
  <c r="A807" i="78"/>
  <c r="C806" i="78"/>
  <c r="A806" i="78"/>
  <c r="C805" i="78"/>
  <c r="A805" i="78"/>
  <c r="C804" i="78"/>
  <c r="A804" i="78"/>
  <c r="C803" i="78"/>
  <c r="A803" i="78"/>
  <c r="C802" i="78"/>
  <c r="A802" i="78"/>
  <c r="C801" i="78"/>
  <c r="A801" i="78"/>
  <c r="C800" i="78"/>
  <c r="A800" i="78"/>
  <c r="C799" i="78"/>
  <c r="A799" i="78"/>
  <c r="C798" i="78"/>
  <c r="A798" i="78"/>
  <c r="C797" i="78"/>
  <c r="A797" i="78"/>
  <c r="C796" i="78"/>
  <c r="A796" i="78"/>
  <c r="C795" i="78"/>
  <c r="A795" i="78"/>
  <c r="C794" i="78"/>
  <c r="A794" i="78"/>
  <c r="C793" i="78"/>
  <c r="A793" i="78"/>
  <c r="C792" i="78"/>
  <c r="A792" i="78"/>
  <c r="C791" i="78"/>
  <c r="A791" i="78"/>
  <c r="C790" i="78"/>
  <c r="A790" i="78"/>
  <c r="C789" i="78"/>
  <c r="A789" i="78"/>
  <c r="C788" i="78"/>
  <c r="A788" i="78"/>
  <c r="C787" i="78"/>
  <c r="A787" i="78"/>
  <c r="C786" i="78"/>
  <c r="A786" i="78"/>
  <c r="C785" i="78"/>
  <c r="A785" i="78"/>
  <c r="C784" i="78"/>
  <c r="A784" i="78"/>
  <c r="C783" i="78"/>
  <c r="A783" i="78"/>
  <c r="C782" i="78"/>
  <c r="A782" i="78"/>
  <c r="C781" i="78"/>
  <c r="A781" i="78"/>
  <c r="C780" i="78"/>
  <c r="A780" i="78"/>
  <c r="C779" i="78"/>
  <c r="A779" i="78"/>
  <c r="C778" i="78"/>
  <c r="A778" i="78"/>
  <c r="C777" i="78"/>
  <c r="A777" i="78"/>
  <c r="C776" i="78"/>
  <c r="A776" i="78"/>
  <c r="C775" i="78"/>
  <c r="A775" i="78"/>
  <c r="C774" i="78"/>
  <c r="A774" i="78"/>
  <c r="C773" i="78"/>
  <c r="A773" i="78"/>
  <c r="C772" i="78"/>
  <c r="A772" i="78"/>
  <c r="C771" i="78"/>
  <c r="A771" i="78"/>
  <c r="C770" i="78"/>
  <c r="A770" i="78"/>
  <c r="C769" i="78"/>
  <c r="A769" i="78"/>
  <c r="C768" i="78"/>
  <c r="A768" i="78"/>
  <c r="C767" i="78"/>
  <c r="A767" i="78"/>
  <c r="C766" i="78"/>
  <c r="A766" i="78"/>
  <c r="C765" i="78"/>
  <c r="A765" i="78"/>
  <c r="C764" i="78"/>
  <c r="A764" i="78"/>
  <c r="C763" i="78"/>
  <c r="A763" i="78"/>
  <c r="C762" i="78"/>
  <c r="A762" i="78"/>
  <c r="C761" i="78"/>
  <c r="A761" i="78"/>
  <c r="C760" i="78"/>
  <c r="A760" i="78"/>
  <c r="C759" i="78"/>
  <c r="A759" i="78"/>
  <c r="C758" i="78"/>
  <c r="A758" i="78"/>
  <c r="C757" i="78"/>
  <c r="A757" i="78"/>
  <c r="C756" i="78"/>
  <c r="A756" i="78"/>
  <c r="C755" i="78"/>
  <c r="A755" i="78"/>
  <c r="C754" i="78"/>
  <c r="A754" i="78"/>
  <c r="C753" i="78"/>
  <c r="A753" i="78"/>
  <c r="C752" i="78"/>
  <c r="A752" i="78"/>
  <c r="C751" i="78"/>
  <c r="A751" i="78"/>
  <c r="C750" i="78"/>
  <c r="A750" i="78"/>
  <c r="C749" i="78"/>
  <c r="A749" i="78"/>
  <c r="C748" i="78"/>
  <c r="A748" i="78"/>
  <c r="C747" i="78"/>
  <c r="A747" i="78"/>
  <c r="C746" i="78"/>
  <c r="A746" i="78"/>
  <c r="C745" i="78"/>
  <c r="A745" i="78"/>
  <c r="C744" i="78"/>
  <c r="A744" i="78"/>
  <c r="C743" i="78"/>
  <c r="A743" i="78"/>
  <c r="C742" i="78"/>
  <c r="A742" i="78"/>
  <c r="C741" i="78"/>
  <c r="A741" i="78"/>
  <c r="C740" i="78"/>
  <c r="A740" i="78"/>
  <c r="C739" i="78"/>
  <c r="A739" i="78"/>
  <c r="C738" i="78"/>
  <c r="A738" i="78"/>
  <c r="C737" i="78"/>
  <c r="A737" i="78"/>
  <c r="C736" i="78"/>
  <c r="A736" i="78"/>
  <c r="C735" i="78"/>
  <c r="A735" i="78"/>
  <c r="C734" i="78"/>
  <c r="A734" i="78"/>
  <c r="C733" i="78"/>
  <c r="A733" i="78"/>
  <c r="C732" i="78"/>
  <c r="A732" i="78"/>
  <c r="C731" i="78"/>
  <c r="A731" i="78"/>
  <c r="C730" i="78"/>
  <c r="A730" i="78"/>
  <c r="C729" i="78"/>
  <c r="A729" i="78"/>
  <c r="C728" i="78"/>
  <c r="A728" i="78"/>
  <c r="C727" i="78"/>
  <c r="A727" i="78"/>
  <c r="C726" i="78"/>
  <c r="A726" i="78"/>
  <c r="C725" i="78"/>
  <c r="A725" i="78"/>
  <c r="C724" i="78"/>
  <c r="A724" i="78"/>
  <c r="C723" i="78"/>
  <c r="A723" i="78"/>
  <c r="C722" i="78"/>
  <c r="A722" i="78"/>
  <c r="C721" i="78"/>
  <c r="A721" i="78"/>
  <c r="C720" i="78"/>
  <c r="A720" i="78"/>
  <c r="C719" i="78"/>
  <c r="A719" i="78"/>
  <c r="C718" i="78"/>
  <c r="A718" i="78"/>
  <c r="C717" i="78"/>
  <c r="A717" i="78"/>
  <c r="C716" i="78"/>
  <c r="A716" i="78"/>
  <c r="C715" i="78"/>
  <c r="A715" i="78"/>
  <c r="C714" i="78"/>
  <c r="A714" i="78"/>
  <c r="C713" i="78"/>
  <c r="A713" i="78"/>
  <c r="C712" i="78"/>
  <c r="A712" i="78"/>
  <c r="C711" i="78"/>
  <c r="A711" i="78"/>
  <c r="C710" i="78"/>
  <c r="A710" i="78"/>
  <c r="C709" i="78"/>
  <c r="A709" i="78"/>
  <c r="C708" i="78"/>
  <c r="A708" i="78"/>
  <c r="C707" i="78"/>
  <c r="A707" i="78"/>
  <c r="C706" i="78"/>
  <c r="A706" i="78"/>
  <c r="C705" i="78"/>
  <c r="A705" i="78"/>
  <c r="C704" i="78"/>
  <c r="A704" i="78"/>
  <c r="C703" i="78"/>
  <c r="A703" i="78"/>
  <c r="C702" i="78"/>
  <c r="A702" i="78"/>
  <c r="C701" i="78"/>
  <c r="A701" i="78"/>
  <c r="C700" i="78"/>
  <c r="A700" i="78"/>
  <c r="C699" i="78"/>
  <c r="A699" i="78"/>
  <c r="C698" i="78"/>
  <c r="A698" i="78"/>
  <c r="C697" i="78"/>
  <c r="A697" i="78"/>
  <c r="C696" i="78"/>
  <c r="A696" i="78"/>
  <c r="C695" i="78"/>
  <c r="A695" i="78"/>
  <c r="C694" i="78"/>
  <c r="A694" i="78"/>
  <c r="C693" i="78"/>
  <c r="A693" i="78"/>
  <c r="C692" i="78"/>
  <c r="A692" i="78"/>
  <c r="C691" i="78"/>
  <c r="A691" i="78"/>
  <c r="C690" i="78"/>
  <c r="A690" i="78"/>
  <c r="C689" i="78"/>
  <c r="A689" i="78"/>
  <c r="C688" i="78"/>
  <c r="A688" i="78"/>
  <c r="C687" i="78"/>
  <c r="A687" i="78"/>
  <c r="C686" i="78"/>
  <c r="A686" i="78"/>
  <c r="C685" i="78"/>
  <c r="A685" i="78"/>
  <c r="C684" i="78"/>
  <c r="A684" i="78"/>
  <c r="C683" i="78"/>
  <c r="A683" i="78"/>
  <c r="C682" i="78"/>
  <c r="A682" i="78"/>
  <c r="C681" i="78"/>
  <c r="A681" i="78"/>
  <c r="C680" i="78"/>
  <c r="A680" i="78"/>
  <c r="C679" i="78"/>
  <c r="A679" i="78"/>
  <c r="C678" i="78"/>
  <c r="A678" i="78"/>
  <c r="C677" i="78"/>
  <c r="A677" i="78"/>
  <c r="C676" i="78"/>
  <c r="A676" i="78"/>
  <c r="C675" i="78"/>
  <c r="A675" i="78"/>
  <c r="C674" i="78"/>
  <c r="A674" i="78"/>
  <c r="C673" i="78"/>
  <c r="A673" i="78"/>
  <c r="C672" i="78"/>
  <c r="A672" i="78"/>
  <c r="C671" i="78"/>
  <c r="A671" i="78"/>
  <c r="C670" i="78"/>
  <c r="A670" i="78"/>
  <c r="C669" i="78"/>
  <c r="A669" i="78"/>
  <c r="C668" i="78"/>
  <c r="A668" i="78"/>
  <c r="C667" i="78"/>
  <c r="A667" i="78"/>
  <c r="C666" i="78"/>
  <c r="A666" i="78"/>
  <c r="C665" i="78"/>
  <c r="A665" i="78"/>
  <c r="C664" i="78"/>
  <c r="A664" i="78"/>
  <c r="C663" i="78"/>
  <c r="A663" i="78"/>
  <c r="C662" i="78"/>
  <c r="A662" i="78"/>
  <c r="C661" i="78"/>
  <c r="A661" i="78"/>
  <c r="C660" i="78"/>
  <c r="A660" i="78"/>
  <c r="C659" i="78"/>
  <c r="A659" i="78"/>
  <c r="C658" i="78"/>
  <c r="A658" i="78"/>
  <c r="C657" i="78"/>
  <c r="A657" i="78"/>
  <c r="C656" i="78"/>
  <c r="A656" i="78"/>
  <c r="C655" i="78"/>
  <c r="A655" i="78"/>
  <c r="C654" i="78"/>
  <c r="A654" i="78"/>
  <c r="C653" i="78"/>
  <c r="A653" i="78"/>
  <c r="C652" i="78"/>
  <c r="A652" i="78"/>
  <c r="C651" i="78"/>
  <c r="A651" i="78"/>
  <c r="C650" i="78"/>
  <c r="A650" i="78"/>
  <c r="C649" i="78"/>
  <c r="A649" i="78"/>
  <c r="C648" i="78"/>
  <c r="A648" i="78"/>
  <c r="C647" i="78"/>
  <c r="A647" i="78"/>
  <c r="C646" i="78"/>
  <c r="A646" i="78"/>
  <c r="C645" i="78"/>
  <c r="A645" i="78"/>
  <c r="C644" i="78"/>
  <c r="A644" i="78"/>
  <c r="C643" i="78"/>
  <c r="A643" i="78"/>
  <c r="C642" i="78"/>
  <c r="A642" i="78"/>
  <c r="C641" i="78"/>
  <c r="A641" i="78"/>
  <c r="C640" i="78"/>
  <c r="A640" i="78"/>
  <c r="C639" i="78"/>
  <c r="A639" i="78"/>
  <c r="C638" i="78"/>
  <c r="A638" i="78"/>
  <c r="C637" i="78"/>
  <c r="A637" i="78"/>
  <c r="C636" i="78"/>
  <c r="A636" i="78"/>
  <c r="C635" i="78"/>
  <c r="A635" i="78"/>
  <c r="C634" i="78"/>
  <c r="A634" i="78"/>
  <c r="C633" i="78"/>
  <c r="A633" i="78"/>
  <c r="C632" i="78"/>
  <c r="A632" i="78"/>
  <c r="C631" i="78"/>
  <c r="A631" i="78"/>
  <c r="C630" i="78"/>
  <c r="A630" i="78"/>
  <c r="C629" i="78"/>
  <c r="A629" i="78"/>
  <c r="C628" i="78"/>
  <c r="A628" i="78"/>
  <c r="C627" i="78"/>
  <c r="A627" i="78"/>
  <c r="C626" i="78"/>
  <c r="A626" i="78"/>
  <c r="C625" i="78"/>
  <c r="A625" i="78"/>
  <c r="C624" i="78"/>
  <c r="A624" i="78"/>
  <c r="C623" i="78"/>
  <c r="A623" i="78"/>
  <c r="C622" i="78"/>
  <c r="A622" i="78"/>
  <c r="C621" i="78"/>
  <c r="A621" i="78"/>
  <c r="C620" i="78"/>
  <c r="A620" i="78"/>
  <c r="C619" i="78"/>
  <c r="A619" i="78"/>
  <c r="C618" i="78"/>
  <c r="A618" i="78"/>
  <c r="C617" i="78"/>
  <c r="A617" i="78"/>
  <c r="C616" i="78"/>
  <c r="A616" i="78"/>
  <c r="C615" i="78"/>
  <c r="A615" i="78"/>
  <c r="C614" i="78"/>
  <c r="A614" i="78"/>
  <c r="C613" i="78"/>
  <c r="A613" i="78"/>
  <c r="C612" i="78"/>
  <c r="A612" i="78"/>
  <c r="C611" i="78"/>
  <c r="A611" i="78"/>
  <c r="C610" i="78"/>
  <c r="A610" i="78"/>
  <c r="C609" i="78"/>
  <c r="A609" i="78"/>
  <c r="C608" i="78"/>
  <c r="A608" i="78"/>
  <c r="C607" i="78"/>
  <c r="A607" i="78"/>
  <c r="C606" i="78"/>
  <c r="A606" i="78"/>
  <c r="C605" i="78"/>
  <c r="A605" i="78"/>
  <c r="C604" i="78"/>
  <c r="A604" i="78"/>
  <c r="C603" i="78"/>
  <c r="A603" i="78"/>
  <c r="C602" i="78"/>
  <c r="A602" i="78"/>
  <c r="C601" i="78"/>
  <c r="A601" i="78"/>
  <c r="C600" i="78"/>
  <c r="A600" i="78"/>
  <c r="C599" i="78"/>
  <c r="A599" i="78"/>
  <c r="C598" i="78"/>
  <c r="A598" i="78"/>
  <c r="C597" i="78"/>
  <c r="A597" i="78"/>
  <c r="C596" i="78"/>
  <c r="A596" i="78"/>
  <c r="C595" i="78"/>
  <c r="A595" i="78"/>
  <c r="C594" i="78"/>
  <c r="A594" i="78"/>
  <c r="C593" i="78"/>
  <c r="A593" i="78"/>
  <c r="C592" i="78"/>
  <c r="A592" i="78"/>
  <c r="C591" i="78"/>
  <c r="A591" i="78"/>
  <c r="C590" i="78"/>
  <c r="A590" i="78"/>
  <c r="C589" i="78"/>
  <c r="A589" i="78"/>
  <c r="C588" i="78"/>
  <c r="A588" i="78"/>
  <c r="C587" i="78"/>
  <c r="A587" i="78"/>
  <c r="C586" i="78"/>
  <c r="A586" i="78"/>
  <c r="C585" i="78"/>
  <c r="A585" i="78"/>
  <c r="C584" i="78"/>
  <c r="A584" i="78"/>
  <c r="C583" i="78"/>
  <c r="A583" i="78"/>
  <c r="C582" i="78"/>
  <c r="A582" i="78"/>
  <c r="C581" i="78"/>
  <c r="A581" i="78"/>
  <c r="C580" i="78"/>
  <c r="A580" i="78"/>
  <c r="C579" i="78"/>
  <c r="A579" i="78"/>
  <c r="C578" i="78"/>
  <c r="A578" i="78"/>
  <c r="C577" i="78"/>
  <c r="A577" i="78"/>
  <c r="C576" i="78"/>
  <c r="A576" i="78"/>
  <c r="C575" i="78"/>
  <c r="A575" i="78"/>
  <c r="C574" i="78"/>
  <c r="A574" i="78"/>
  <c r="C573" i="78"/>
  <c r="A573" i="78"/>
  <c r="C572" i="78"/>
  <c r="A572" i="78"/>
  <c r="C571" i="78"/>
  <c r="A571" i="78"/>
  <c r="C570" i="78"/>
  <c r="A570" i="78"/>
  <c r="C569" i="78"/>
  <c r="A569" i="78"/>
  <c r="C568" i="78"/>
  <c r="A568" i="78"/>
  <c r="C567" i="78"/>
  <c r="A567" i="78"/>
  <c r="C566" i="78"/>
  <c r="A566" i="78"/>
  <c r="C565" i="78"/>
  <c r="A565" i="78"/>
  <c r="C564" i="78"/>
  <c r="A564" i="78"/>
  <c r="C563" i="78"/>
  <c r="A563" i="78"/>
  <c r="C562" i="78"/>
  <c r="A562" i="78"/>
  <c r="C561" i="78"/>
  <c r="A561" i="78"/>
  <c r="C560" i="78"/>
  <c r="A560" i="78"/>
  <c r="C559" i="78"/>
  <c r="A559" i="78"/>
  <c r="C558" i="78"/>
  <c r="A558" i="78"/>
  <c r="C557" i="78"/>
  <c r="A557" i="78"/>
  <c r="C556" i="78"/>
  <c r="A556" i="78"/>
  <c r="C555" i="78"/>
  <c r="A555" i="78"/>
  <c r="C554" i="78"/>
  <c r="A554" i="78"/>
  <c r="C553" i="78"/>
  <c r="A553" i="78"/>
  <c r="C552" i="78"/>
  <c r="A552" i="78"/>
  <c r="C551" i="78"/>
  <c r="A551" i="78"/>
  <c r="C550" i="78"/>
  <c r="A550" i="78"/>
  <c r="C549" i="78"/>
  <c r="A549" i="78"/>
  <c r="C548" i="78"/>
  <c r="A548" i="78"/>
  <c r="C547" i="78"/>
  <c r="A547" i="78"/>
  <c r="C546" i="78"/>
  <c r="A546" i="78"/>
  <c r="C545" i="78"/>
  <c r="A545" i="78"/>
  <c r="C544" i="78"/>
  <c r="A544" i="78"/>
  <c r="C543" i="78"/>
  <c r="A543" i="78"/>
  <c r="C542" i="78"/>
  <c r="A542" i="78"/>
  <c r="C541" i="78"/>
  <c r="A541" i="78"/>
  <c r="C540" i="78"/>
  <c r="A540" i="78"/>
  <c r="C539" i="78"/>
  <c r="A539" i="78"/>
  <c r="C538" i="78"/>
  <c r="A538" i="78"/>
  <c r="C537" i="78"/>
  <c r="A537" i="78"/>
  <c r="C536" i="78"/>
  <c r="A536" i="78"/>
  <c r="C535" i="78"/>
  <c r="A535" i="78"/>
  <c r="C534" i="78"/>
  <c r="A534" i="78"/>
  <c r="C533" i="78"/>
  <c r="A533" i="78"/>
  <c r="C532" i="78"/>
  <c r="A532" i="78"/>
  <c r="C531" i="78"/>
  <c r="A531" i="78"/>
  <c r="C530" i="78"/>
  <c r="A530" i="78"/>
  <c r="C529" i="78"/>
  <c r="A529" i="78"/>
  <c r="C528" i="78"/>
  <c r="A528" i="78"/>
  <c r="C527" i="78"/>
  <c r="A527" i="78"/>
  <c r="C526" i="78"/>
  <c r="A526" i="78"/>
  <c r="C525" i="78"/>
  <c r="A525" i="78"/>
  <c r="C524" i="78"/>
  <c r="A524" i="78"/>
  <c r="C523" i="78"/>
  <c r="A523" i="78"/>
  <c r="C522" i="78"/>
  <c r="A522" i="78"/>
  <c r="C521" i="78"/>
  <c r="A521" i="78"/>
  <c r="C520" i="78"/>
  <c r="A520" i="78"/>
  <c r="C519" i="78"/>
  <c r="A519" i="78"/>
  <c r="C518" i="78"/>
  <c r="A518" i="78"/>
  <c r="C517" i="78"/>
  <c r="A517" i="78"/>
  <c r="C516" i="78"/>
  <c r="A516" i="78"/>
  <c r="C515" i="78"/>
  <c r="A515" i="78"/>
  <c r="C514" i="78"/>
  <c r="A514" i="78"/>
  <c r="C513" i="78"/>
  <c r="A513" i="78"/>
  <c r="C512" i="78"/>
  <c r="A512" i="78"/>
  <c r="C511" i="78"/>
  <c r="A511" i="78"/>
  <c r="C510" i="78"/>
  <c r="A510" i="78"/>
  <c r="C509" i="78"/>
  <c r="A509" i="78"/>
  <c r="C508" i="78"/>
  <c r="A508" i="78"/>
  <c r="C507" i="78"/>
  <c r="A507" i="78"/>
  <c r="C506" i="78"/>
  <c r="A506" i="78"/>
  <c r="C505" i="78"/>
  <c r="A505" i="78"/>
  <c r="C504" i="78"/>
  <c r="A504" i="78"/>
  <c r="C503" i="78"/>
  <c r="A503" i="78"/>
  <c r="C502" i="78"/>
  <c r="A502" i="78"/>
  <c r="C501" i="78"/>
  <c r="A501" i="78"/>
  <c r="C500" i="78"/>
  <c r="A500" i="78"/>
  <c r="C499" i="78"/>
  <c r="A499" i="78"/>
  <c r="C498" i="78"/>
  <c r="A498" i="78"/>
  <c r="C497" i="78"/>
  <c r="A497" i="78"/>
  <c r="C496" i="78"/>
  <c r="A496" i="78"/>
  <c r="C495" i="78"/>
  <c r="A495" i="78"/>
  <c r="C494" i="78"/>
  <c r="A494" i="78"/>
  <c r="C493" i="78"/>
  <c r="A493" i="78"/>
  <c r="C492" i="78"/>
  <c r="A492" i="78"/>
  <c r="C491" i="78"/>
  <c r="A491" i="78"/>
  <c r="C490" i="78"/>
  <c r="A490" i="78"/>
  <c r="C489" i="78"/>
  <c r="A489" i="78"/>
  <c r="C488" i="78"/>
  <c r="A488" i="78"/>
  <c r="C487" i="78"/>
  <c r="A487" i="78"/>
  <c r="C486" i="78"/>
  <c r="A486" i="78"/>
  <c r="C485" i="78"/>
  <c r="A485" i="78"/>
  <c r="C484" i="78"/>
  <c r="A484" i="78"/>
  <c r="C483" i="78"/>
  <c r="A483" i="78"/>
  <c r="C482" i="78"/>
  <c r="A482" i="78"/>
  <c r="C481" i="78"/>
  <c r="A481" i="78"/>
  <c r="C480" i="78"/>
  <c r="A480" i="78"/>
  <c r="C479" i="78"/>
  <c r="A479" i="78"/>
  <c r="C478" i="78"/>
  <c r="A478" i="78"/>
  <c r="C477" i="78"/>
  <c r="A477" i="78"/>
  <c r="C476" i="78"/>
  <c r="A476" i="78"/>
  <c r="C475" i="78"/>
  <c r="A475" i="78"/>
  <c r="C474" i="78"/>
  <c r="A474" i="78"/>
  <c r="C473" i="78"/>
  <c r="A473" i="78"/>
  <c r="C472" i="78"/>
  <c r="A472" i="78"/>
  <c r="C471" i="78"/>
  <c r="A471" i="78"/>
  <c r="C470" i="78"/>
  <c r="A470" i="78"/>
  <c r="C469" i="78"/>
  <c r="A469" i="78"/>
  <c r="C468" i="78"/>
  <c r="A468" i="78"/>
  <c r="C467" i="78"/>
  <c r="A467" i="78"/>
  <c r="C466" i="78"/>
  <c r="A466" i="78"/>
  <c r="C465" i="78"/>
  <c r="A465" i="78"/>
  <c r="C464" i="78"/>
  <c r="A464" i="78"/>
  <c r="C463" i="78"/>
  <c r="A463" i="78"/>
  <c r="C462" i="78"/>
  <c r="A462" i="78"/>
  <c r="C461" i="78"/>
  <c r="A461" i="78"/>
  <c r="C460" i="78"/>
  <c r="A460" i="78"/>
  <c r="C459" i="78"/>
  <c r="A459" i="78"/>
  <c r="C458" i="78"/>
  <c r="A458" i="78"/>
  <c r="C457" i="78"/>
  <c r="A457" i="78"/>
  <c r="C456" i="78"/>
  <c r="A456" i="78"/>
  <c r="C455" i="78"/>
  <c r="A455" i="78"/>
  <c r="C454" i="78"/>
  <c r="A454" i="78"/>
  <c r="C453" i="78"/>
  <c r="A453" i="78"/>
  <c r="C452" i="78"/>
  <c r="A452" i="78"/>
  <c r="C451" i="78"/>
  <c r="A451" i="78"/>
  <c r="C450" i="78"/>
  <c r="A450" i="78"/>
  <c r="C449" i="78"/>
  <c r="A449" i="78"/>
  <c r="C448" i="78"/>
  <c r="A448" i="78"/>
  <c r="C447" i="78"/>
  <c r="A447" i="78"/>
  <c r="C446" i="78"/>
  <c r="A446" i="78"/>
  <c r="C445" i="78"/>
  <c r="A445" i="78"/>
  <c r="C444" i="78"/>
  <c r="A444" i="78"/>
  <c r="C443" i="78"/>
  <c r="A443" i="78"/>
  <c r="C442" i="78"/>
  <c r="A442" i="78"/>
  <c r="C441" i="78"/>
  <c r="A441" i="78"/>
  <c r="C440" i="78"/>
  <c r="A440" i="78"/>
  <c r="C439" i="78"/>
  <c r="A439" i="78"/>
  <c r="C438" i="78"/>
  <c r="A438" i="78"/>
  <c r="C437" i="78"/>
  <c r="A437" i="78"/>
  <c r="C436" i="78"/>
  <c r="A436" i="78"/>
  <c r="C435" i="78"/>
  <c r="A435" i="78"/>
  <c r="C434" i="78"/>
  <c r="A434" i="78"/>
  <c r="C433" i="78"/>
  <c r="A433" i="78"/>
  <c r="C432" i="78"/>
  <c r="A432" i="78"/>
  <c r="C431" i="78"/>
  <c r="A431" i="78"/>
  <c r="C430" i="78"/>
  <c r="A430" i="78"/>
  <c r="C429" i="78"/>
  <c r="A429" i="78"/>
  <c r="C428" i="78"/>
  <c r="A428" i="78"/>
  <c r="C427" i="78"/>
  <c r="A427" i="78"/>
  <c r="C426" i="78"/>
  <c r="A426" i="78"/>
  <c r="C425" i="78"/>
  <c r="A425" i="78"/>
  <c r="C424" i="78"/>
  <c r="A424" i="78"/>
  <c r="C423" i="78"/>
  <c r="A423" i="78"/>
  <c r="C422" i="78"/>
  <c r="A422" i="78"/>
  <c r="C421" i="78"/>
  <c r="A421" i="78"/>
  <c r="C420" i="78"/>
  <c r="A420" i="78"/>
  <c r="C419" i="78"/>
  <c r="A419" i="78"/>
  <c r="C418" i="78"/>
  <c r="A418" i="78"/>
  <c r="C417" i="78"/>
  <c r="A417" i="78"/>
  <c r="C416" i="78"/>
  <c r="A416" i="78"/>
  <c r="C415" i="78"/>
  <c r="A415" i="78"/>
  <c r="C414" i="78"/>
  <c r="A414" i="78"/>
  <c r="C413" i="78"/>
  <c r="A413" i="78"/>
  <c r="C412" i="78"/>
  <c r="A412" i="78"/>
  <c r="C411" i="78"/>
  <c r="A411" i="78"/>
  <c r="C410" i="78"/>
  <c r="A410" i="78"/>
  <c r="C409" i="78"/>
  <c r="A409" i="78"/>
  <c r="C408" i="78"/>
  <c r="A408" i="78"/>
  <c r="C407" i="78"/>
  <c r="A407" i="78"/>
  <c r="C406" i="78"/>
  <c r="A406" i="78"/>
  <c r="C405" i="78"/>
  <c r="A405" i="78"/>
  <c r="C404" i="78"/>
  <c r="A404" i="78"/>
  <c r="C403" i="78"/>
  <c r="A403" i="78"/>
  <c r="C402" i="78"/>
  <c r="A402" i="78"/>
  <c r="C401" i="78"/>
  <c r="A401" i="78"/>
  <c r="C400" i="78"/>
  <c r="A400" i="78"/>
  <c r="C399" i="78"/>
  <c r="A399" i="78"/>
  <c r="C398" i="78"/>
  <c r="A398" i="78"/>
  <c r="C397" i="78"/>
  <c r="A397" i="78"/>
  <c r="C396" i="78"/>
  <c r="A396" i="78"/>
  <c r="C395" i="78"/>
  <c r="A395" i="78"/>
  <c r="C394" i="78"/>
  <c r="A394" i="78"/>
  <c r="C393" i="78"/>
  <c r="A393" i="78"/>
  <c r="C392" i="78"/>
  <c r="A392" i="78"/>
  <c r="C391" i="78"/>
  <c r="A391" i="78"/>
  <c r="C390" i="78"/>
  <c r="A390" i="78"/>
  <c r="C389" i="78"/>
  <c r="A389" i="78"/>
  <c r="C388" i="78"/>
  <c r="A388" i="78"/>
  <c r="C387" i="78"/>
  <c r="A387" i="78"/>
  <c r="C386" i="78"/>
  <c r="A386" i="78"/>
  <c r="C385" i="78"/>
  <c r="A385" i="78"/>
  <c r="C384" i="78"/>
  <c r="A384" i="78"/>
  <c r="C383" i="78"/>
  <c r="A383" i="78"/>
  <c r="C382" i="78"/>
  <c r="A382" i="78"/>
  <c r="C381" i="78"/>
  <c r="A381" i="78"/>
  <c r="C380" i="78"/>
  <c r="A380" i="78"/>
  <c r="C379" i="78"/>
  <c r="A379" i="78"/>
  <c r="C378" i="78"/>
  <c r="A378" i="78"/>
  <c r="C377" i="78"/>
  <c r="A377" i="78"/>
  <c r="C376" i="78"/>
  <c r="A376" i="78"/>
  <c r="C375" i="78"/>
  <c r="A375" i="78"/>
  <c r="C374" i="78"/>
  <c r="A374" i="78"/>
  <c r="C373" i="78"/>
  <c r="A373" i="78"/>
  <c r="C372" i="78"/>
  <c r="A372" i="78"/>
  <c r="C371" i="78"/>
  <c r="A371" i="78"/>
  <c r="C370" i="78"/>
  <c r="A370" i="78"/>
  <c r="C369" i="78"/>
  <c r="A369" i="78"/>
  <c r="C368" i="78"/>
  <c r="A368" i="78"/>
  <c r="C367" i="78"/>
  <c r="A367" i="78"/>
  <c r="C366" i="78"/>
  <c r="A366" i="78"/>
  <c r="C365" i="78"/>
  <c r="A365" i="78"/>
  <c r="C364" i="78"/>
  <c r="A364" i="78"/>
  <c r="C363" i="78"/>
  <c r="A363" i="78"/>
  <c r="C362" i="78"/>
  <c r="A362" i="78"/>
  <c r="C361" i="78"/>
  <c r="A361" i="78"/>
  <c r="C360" i="78"/>
  <c r="A360" i="78"/>
  <c r="C359" i="78"/>
  <c r="A359" i="78"/>
  <c r="C358" i="78"/>
  <c r="A358" i="78"/>
  <c r="C357" i="78"/>
  <c r="A357" i="78"/>
  <c r="C356" i="78"/>
  <c r="A356" i="78"/>
  <c r="C355" i="78"/>
  <c r="A355" i="78"/>
  <c r="C354" i="78"/>
  <c r="A354" i="78"/>
  <c r="C353" i="78"/>
  <c r="A353" i="78"/>
  <c r="C352" i="78"/>
  <c r="A352" i="78"/>
  <c r="C351" i="78"/>
  <c r="A351" i="78"/>
  <c r="C350" i="78"/>
  <c r="A350" i="78"/>
  <c r="C349" i="78"/>
  <c r="A349" i="78"/>
  <c r="C348" i="78"/>
  <c r="A348" i="78"/>
  <c r="C347" i="78"/>
  <c r="A347" i="78"/>
  <c r="C346" i="78"/>
  <c r="A346" i="78"/>
  <c r="C345" i="78"/>
  <c r="A345" i="78"/>
  <c r="C344" i="78"/>
  <c r="A344" i="78"/>
  <c r="C343" i="78"/>
  <c r="A343" i="78"/>
  <c r="C342" i="78"/>
  <c r="A342" i="78"/>
  <c r="C341" i="78"/>
  <c r="A341" i="78"/>
  <c r="C340" i="78"/>
  <c r="A340" i="78"/>
  <c r="C339" i="78"/>
  <c r="A339" i="78"/>
  <c r="C338" i="78"/>
  <c r="A338" i="78"/>
  <c r="C337" i="78"/>
  <c r="A337" i="78"/>
  <c r="C336" i="78"/>
  <c r="A336" i="78"/>
  <c r="C335" i="78"/>
  <c r="A335" i="78"/>
  <c r="C334" i="78"/>
  <c r="A334" i="78"/>
  <c r="C333" i="78"/>
  <c r="A333" i="78"/>
  <c r="C332" i="78"/>
  <c r="A332" i="78"/>
  <c r="C331" i="78"/>
  <c r="A331" i="78"/>
  <c r="C330" i="78"/>
  <c r="A330" i="78"/>
  <c r="C329" i="78"/>
  <c r="A329" i="78"/>
  <c r="C328" i="78"/>
  <c r="A328" i="78"/>
  <c r="C327" i="78"/>
  <c r="A327" i="78"/>
  <c r="C326" i="78"/>
  <c r="A326" i="78"/>
  <c r="C325" i="78"/>
  <c r="A325" i="78"/>
  <c r="C324" i="78"/>
  <c r="A324" i="78"/>
  <c r="C323" i="78"/>
  <c r="A323" i="78"/>
  <c r="C322" i="78"/>
  <c r="A322" i="78"/>
  <c r="C321" i="78"/>
  <c r="A321" i="78"/>
  <c r="C320" i="78"/>
  <c r="A320" i="78"/>
  <c r="C319" i="78"/>
  <c r="A319" i="78"/>
  <c r="C318" i="78"/>
  <c r="A318" i="78"/>
  <c r="C317" i="78"/>
  <c r="A317" i="78"/>
  <c r="C316" i="78"/>
  <c r="A316" i="78"/>
  <c r="C315" i="78"/>
  <c r="A315" i="78"/>
  <c r="C314" i="78"/>
  <c r="A314" i="78"/>
  <c r="C313" i="78"/>
  <c r="A313" i="78"/>
  <c r="C312" i="78"/>
  <c r="A312" i="78"/>
  <c r="C311" i="78"/>
  <c r="A311" i="78"/>
  <c r="C310" i="78"/>
  <c r="A310" i="78"/>
  <c r="C309" i="78"/>
  <c r="A309" i="78"/>
  <c r="C308" i="78"/>
  <c r="A308" i="78"/>
  <c r="C307" i="78"/>
  <c r="A307" i="78"/>
  <c r="C306" i="78"/>
  <c r="A306" i="78"/>
  <c r="C305" i="78"/>
  <c r="A305" i="78"/>
  <c r="C304" i="78"/>
  <c r="A304" i="78"/>
  <c r="C303" i="78"/>
  <c r="A303" i="78"/>
  <c r="C302" i="78"/>
  <c r="A302" i="78"/>
  <c r="C301" i="78"/>
  <c r="A301" i="78"/>
  <c r="C300" i="78"/>
  <c r="A300" i="78"/>
  <c r="C299" i="78"/>
  <c r="A299" i="78"/>
  <c r="C298" i="78"/>
  <c r="A298" i="78"/>
  <c r="C297" i="78"/>
  <c r="A297" i="78"/>
  <c r="C296" i="78"/>
  <c r="A296" i="78"/>
  <c r="C295" i="78"/>
  <c r="A295" i="78"/>
  <c r="C294" i="78"/>
  <c r="A294" i="78"/>
  <c r="C293" i="78"/>
  <c r="A293" i="78"/>
  <c r="C292" i="78"/>
  <c r="A292" i="78"/>
  <c r="C291" i="78"/>
  <c r="A291" i="78"/>
  <c r="C290" i="78"/>
  <c r="A290" i="78"/>
  <c r="C289" i="78"/>
  <c r="A289" i="78"/>
  <c r="C288" i="78"/>
  <c r="A288" i="78"/>
  <c r="C287" i="78"/>
  <c r="A287" i="78"/>
  <c r="C286" i="78"/>
  <c r="A286" i="78"/>
  <c r="C285" i="78"/>
  <c r="A285" i="78"/>
  <c r="C284" i="78"/>
  <c r="A284" i="78"/>
  <c r="C283" i="78"/>
  <c r="A283" i="78"/>
  <c r="C282" i="78"/>
  <c r="A282" i="78"/>
  <c r="C281" i="78"/>
  <c r="A281" i="78"/>
  <c r="C280" i="78"/>
  <c r="A280" i="78"/>
  <c r="C279" i="78"/>
  <c r="A279" i="78"/>
  <c r="C278" i="78"/>
  <c r="A278" i="78"/>
  <c r="C277" i="78"/>
  <c r="A277" i="78"/>
  <c r="C276" i="78"/>
  <c r="A276" i="78"/>
  <c r="C275" i="78"/>
  <c r="A275" i="78"/>
  <c r="C274" i="78"/>
  <c r="A274" i="78"/>
  <c r="C273" i="78"/>
  <c r="A273" i="78"/>
  <c r="C272" i="78"/>
  <c r="A272" i="78"/>
  <c r="C271" i="78"/>
  <c r="A271" i="78"/>
  <c r="C270" i="78"/>
  <c r="A270" i="78"/>
  <c r="C269" i="78"/>
  <c r="A269" i="78"/>
  <c r="C268" i="78"/>
  <c r="A268" i="78"/>
  <c r="C267" i="78"/>
  <c r="A267" i="78"/>
  <c r="C266" i="78"/>
  <c r="A266" i="78"/>
  <c r="C265" i="78"/>
  <c r="A265" i="78"/>
  <c r="C264" i="78"/>
  <c r="A264" i="78"/>
  <c r="C263" i="78"/>
  <c r="A263" i="78"/>
  <c r="C262" i="78"/>
  <c r="A262" i="78"/>
  <c r="C261" i="78"/>
  <c r="A261" i="78"/>
  <c r="C260" i="78"/>
  <c r="A260" i="78"/>
  <c r="C259" i="78"/>
  <c r="A259" i="78"/>
  <c r="C258" i="78"/>
  <c r="A258" i="78"/>
  <c r="C257" i="78"/>
  <c r="A257" i="78"/>
  <c r="C256" i="78"/>
  <c r="A256" i="78"/>
  <c r="C255" i="78"/>
  <c r="A255" i="78"/>
  <c r="C254" i="78"/>
  <c r="A254" i="78"/>
  <c r="C253" i="78"/>
  <c r="A253" i="78"/>
  <c r="C252" i="78"/>
  <c r="A252" i="78"/>
  <c r="C251" i="78"/>
  <c r="A251" i="78"/>
  <c r="C250" i="78"/>
  <c r="A250" i="78"/>
  <c r="C249" i="78"/>
  <c r="A249" i="78"/>
  <c r="C248" i="78"/>
  <c r="A248" i="78"/>
  <c r="C247" i="78"/>
  <c r="A247" i="78"/>
  <c r="C246" i="78"/>
  <c r="A246" i="78"/>
  <c r="C245" i="78"/>
  <c r="A245" i="78"/>
  <c r="C244" i="78"/>
  <c r="A244" i="78"/>
  <c r="C243" i="78"/>
  <c r="A243" i="78"/>
  <c r="C242" i="78"/>
  <c r="A242" i="78"/>
  <c r="C241" i="78"/>
  <c r="A241" i="78"/>
  <c r="C240" i="78"/>
  <c r="A240" i="78"/>
  <c r="C239" i="78"/>
  <c r="A239" i="78"/>
  <c r="C238" i="78"/>
  <c r="A238" i="78"/>
  <c r="C237" i="78"/>
  <c r="A237" i="78"/>
  <c r="C236" i="78"/>
  <c r="A236" i="78"/>
  <c r="C235" i="78"/>
  <c r="A235" i="78"/>
  <c r="C234" i="78"/>
  <c r="A234" i="78"/>
  <c r="C233" i="78"/>
  <c r="A233" i="78"/>
  <c r="C232" i="78"/>
  <c r="A232" i="78"/>
  <c r="C231" i="78"/>
  <c r="A231" i="78"/>
  <c r="C230" i="78"/>
  <c r="A230" i="78"/>
  <c r="C229" i="78"/>
  <c r="A229" i="78"/>
  <c r="C228" i="78"/>
  <c r="A228" i="78"/>
  <c r="C227" i="78"/>
  <c r="A227" i="78"/>
  <c r="C226" i="78"/>
  <c r="A226" i="78"/>
  <c r="C225" i="78"/>
  <c r="A225" i="78"/>
  <c r="C224" i="78"/>
  <c r="A224" i="78"/>
  <c r="C223" i="78"/>
  <c r="A223" i="78"/>
  <c r="C222" i="78"/>
  <c r="A222" i="78"/>
  <c r="C221" i="78"/>
  <c r="A221" i="78"/>
  <c r="C220" i="78"/>
  <c r="A220" i="78"/>
  <c r="C219" i="78"/>
  <c r="A219" i="78"/>
  <c r="C218" i="78"/>
  <c r="A218" i="78"/>
  <c r="C217" i="78"/>
  <c r="A217" i="78"/>
  <c r="C216" i="78"/>
  <c r="A216" i="78"/>
  <c r="C215" i="78"/>
  <c r="A215" i="78"/>
  <c r="C214" i="78"/>
  <c r="A214" i="78"/>
  <c r="C213" i="78"/>
  <c r="A213" i="78"/>
  <c r="C212" i="78"/>
  <c r="A212" i="78"/>
  <c r="C211" i="78"/>
  <c r="A211" i="78"/>
  <c r="C210" i="78"/>
  <c r="A210" i="78"/>
  <c r="C209" i="78"/>
  <c r="A209" i="78"/>
  <c r="C208" i="78"/>
  <c r="A208" i="78"/>
  <c r="C207" i="78"/>
  <c r="A207" i="78"/>
  <c r="C206" i="78"/>
  <c r="A206" i="78"/>
  <c r="C205" i="78"/>
  <c r="A205" i="78"/>
  <c r="C204" i="78"/>
  <c r="A204" i="78"/>
  <c r="C203" i="78"/>
  <c r="A203" i="78"/>
  <c r="C202" i="78"/>
  <c r="A202" i="78"/>
  <c r="C201" i="78"/>
  <c r="A201" i="78"/>
  <c r="C200" i="78"/>
  <c r="A200" i="78"/>
  <c r="C199" i="78"/>
  <c r="A199" i="78"/>
  <c r="C198" i="78"/>
  <c r="A198" i="78"/>
  <c r="C197" i="78"/>
  <c r="A197" i="78"/>
  <c r="C196" i="78"/>
  <c r="A196" i="78"/>
  <c r="C195" i="78"/>
  <c r="A195" i="78"/>
  <c r="C194" i="78"/>
  <c r="A194" i="78"/>
  <c r="C193" i="78"/>
  <c r="A193" i="78"/>
  <c r="C192" i="78"/>
  <c r="A192" i="78"/>
  <c r="C191" i="78"/>
  <c r="A191" i="78"/>
  <c r="C190" i="78"/>
  <c r="A190" i="78"/>
  <c r="C189" i="78"/>
  <c r="A189" i="78"/>
  <c r="C188" i="78"/>
  <c r="A188" i="78"/>
  <c r="C187" i="78"/>
  <c r="A187" i="78"/>
  <c r="C186" i="78"/>
  <c r="A186" i="78"/>
  <c r="C185" i="78"/>
  <c r="A185" i="78"/>
  <c r="C184" i="78"/>
  <c r="A184" i="78"/>
  <c r="C183" i="78"/>
  <c r="A183" i="78"/>
  <c r="C182" i="78"/>
  <c r="A182" i="78"/>
  <c r="C181" i="78"/>
  <c r="A181" i="78"/>
  <c r="C180" i="78"/>
  <c r="A180" i="78"/>
  <c r="C179" i="78"/>
  <c r="A179" i="78"/>
  <c r="C178" i="78"/>
  <c r="A178" i="78"/>
  <c r="C177" i="78"/>
  <c r="A177" i="78"/>
  <c r="C176" i="78"/>
  <c r="A176" i="78"/>
  <c r="C175" i="78"/>
  <c r="A175" i="78"/>
  <c r="C174" i="78"/>
  <c r="A174" i="78"/>
  <c r="C173" i="78"/>
  <c r="A173" i="78"/>
  <c r="C172" i="78"/>
  <c r="A172" i="78"/>
  <c r="C171" i="78"/>
  <c r="A171" i="78"/>
  <c r="C170" i="78"/>
  <c r="A170" i="78"/>
  <c r="C169" i="78"/>
  <c r="A169" i="78"/>
  <c r="C168" i="78"/>
  <c r="A168" i="78"/>
  <c r="C167" i="78"/>
  <c r="A167" i="78"/>
  <c r="C166" i="78"/>
  <c r="A166" i="78"/>
  <c r="C165" i="78"/>
  <c r="A165" i="78"/>
  <c r="C164" i="78"/>
  <c r="A164" i="78"/>
  <c r="C163" i="78"/>
  <c r="A163" i="78"/>
  <c r="C162" i="78"/>
  <c r="A162" i="78"/>
  <c r="C161" i="78"/>
  <c r="A161" i="78"/>
  <c r="C160" i="78"/>
  <c r="A160" i="78"/>
  <c r="C159" i="78"/>
  <c r="A159" i="78"/>
  <c r="C158" i="78"/>
  <c r="A158" i="78"/>
  <c r="C157" i="78"/>
  <c r="A157" i="78"/>
  <c r="C156" i="78"/>
  <c r="A156" i="78"/>
  <c r="C155" i="78"/>
  <c r="A155" i="78"/>
  <c r="C154" i="78"/>
  <c r="A154" i="78"/>
  <c r="C153" i="78"/>
  <c r="A153" i="78"/>
  <c r="C152" i="78"/>
  <c r="A152" i="78"/>
  <c r="C151" i="78"/>
  <c r="A151" i="78"/>
  <c r="C150" i="78"/>
  <c r="A150" i="78"/>
  <c r="C149" i="78"/>
  <c r="A149" i="78"/>
  <c r="C148" i="78"/>
  <c r="A148" i="78"/>
  <c r="C147" i="78"/>
  <c r="A147" i="78"/>
  <c r="C146" i="78"/>
  <c r="A146" i="78"/>
  <c r="C145" i="78"/>
  <c r="A145" i="78"/>
  <c r="C144" i="78"/>
  <c r="A144" i="78"/>
  <c r="C143" i="78"/>
  <c r="A143" i="78"/>
  <c r="C142" i="78"/>
  <c r="A142" i="78"/>
  <c r="C141" i="78"/>
  <c r="A141" i="78"/>
  <c r="C140" i="78"/>
  <c r="A140" i="78"/>
  <c r="C139" i="78"/>
  <c r="A139" i="78"/>
  <c r="C138" i="78"/>
  <c r="A138" i="78"/>
  <c r="C137" i="78"/>
  <c r="A137" i="78"/>
  <c r="C136" i="78"/>
  <c r="A136" i="78"/>
  <c r="C135" i="78"/>
  <c r="A135" i="78"/>
  <c r="C134" i="78"/>
  <c r="A134" i="78"/>
  <c r="C133" i="78"/>
  <c r="A133" i="78"/>
  <c r="C132" i="78"/>
  <c r="A132" i="78"/>
  <c r="C131" i="78"/>
  <c r="A131" i="78"/>
  <c r="C130" i="78"/>
  <c r="A130" i="78"/>
  <c r="C129" i="78"/>
  <c r="A129" i="78"/>
  <c r="C128" i="78"/>
  <c r="A128" i="78"/>
  <c r="C127" i="78"/>
  <c r="A127" i="78"/>
  <c r="C126" i="78"/>
  <c r="A126" i="78"/>
  <c r="C125" i="78"/>
  <c r="A125" i="78"/>
  <c r="C124" i="78"/>
  <c r="A124" i="78"/>
  <c r="C123" i="78"/>
  <c r="A123" i="78"/>
  <c r="C122" i="78"/>
  <c r="A122" i="78"/>
  <c r="C121" i="78"/>
  <c r="A121" i="78"/>
  <c r="C120" i="78"/>
  <c r="A120" i="78"/>
  <c r="C119" i="78"/>
  <c r="A119" i="78"/>
  <c r="C118" i="78"/>
  <c r="A118" i="78"/>
  <c r="C117" i="78"/>
  <c r="A117" i="78"/>
  <c r="C116" i="78"/>
  <c r="A116" i="78"/>
  <c r="C115" i="78"/>
  <c r="A115" i="78"/>
  <c r="C114" i="78"/>
  <c r="A114" i="78"/>
  <c r="C113" i="78"/>
  <c r="A113" i="78"/>
  <c r="C112" i="78"/>
  <c r="A112" i="78"/>
  <c r="C111" i="78"/>
  <c r="A111" i="78"/>
  <c r="C110" i="78"/>
  <c r="A110" i="78"/>
  <c r="C109" i="78"/>
  <c r="A109" i="78"/>
  <c r="C108" i="78"/>
  <c r="A108" i="78"/>
  <c r="C107" i="78"/>
  <c r="A107" i="78"/>
  <c r="C106" i="78"/>
  <c r="A106" i="78"/>
  <c r="C105" i="78"/>
  <c r="A105" i="78"/>
  <c r="C104" i="78"/>
  <c r="A104" i="78"/>
  <c r="C103" i="78"/>
  <c r="A103" i="78"/>
  <c r="C102" i="78"/>
  <c r="A102" i="78"/>
  <c r="C101" i="78"/>
  <c r="A101" i="78"/>
  <c r="C100" i="78"/>
  <c r="A100" i="78"/>
  <c r="C99" i="78"/>
  <c r="A99" i="78"/>
  <c r="C98" i="78"/>
  <c r="A98" i="78"/>
  <c r="C97" i="78"/>
  <c r="A97" i="78"/>
  <c r="C96" i="78"/>
  <c r="A96" i="78"/>
  <c r="C95" i="78"/>
  <c r="A95" i="78"/>
  <c r="C94" i="78"/>
  <c r="A94" i="78"/>
  <c r="C93" i="78"/>
  <c r="A93" i="78"/>
  <c r="C92" i="78"/>
  <c r="A92" i="78"/>
  <c r="C91" i="78"/>
  <c r="A91" i="78"/>
  <c r="C90" i="78"/>
  <c r="A90" i="78"/>
  <c r="C89" i="78"/>
  <c r="A89" i="78"/>
  <c r="C88" i="78"/>
  <c r="A88" i="78"/>
  <c r="C87" i="78"/>
  <c r="A87" i="78"/>
  <c r="C86" i="78"/>
  <c r="A86" i="78"/>
  <c r="C85" i="78"/>
  <c r="A85" i="78"/>
  <c r="C84" i="78"/>
  <c r="A84" i="78"/>
  <c r="C83" i="78"/>
  <c r="A83" i="78"/>
  <c r="C82" i="78"/>
  <c r="A82" i="78"/>
  <c r="C81" i="78"/>
  <c r="A81" i="78"/>
  <c r="C80" i="78"/>
  <c r="A80" i="78"/>
  <c r="C79" i="78"/>
  <c r="A79" i="78"/>
  <c r="C78" i="78"/>
  <c r="A78" i="78"/>
  <c r="C77" i="78"/>
  <c r="A77" i="78"/>
  <c r="C76" i="78"/>
  <c r="A76" i="78"/>
  <c r="C75" i="78"/>
  <c r="A75" i="78"/>
  <c r="C74" i="78"/>
  <c r="A74" i="78"/>
  <c r="C73" i="78"/>
  <c r="A73" i="78"/>
  <c r="C72" i="78"/>
  <c r="A72" i="78"/>
  <c r="C71" i="78"/>
  <c r="A71" i="78"/>
  <c r="C70" i="78"/>
  <c r="A70" i="78"/>
  <c r="C69" i="78"/>
  <c r="A69" i="78"/>
  <c r="C68" i="78"/>
  <c r="A68" i="78"/>
  <c r="C67" i="78"/>
  <c r="A67" i="78"/>
  <c r="C66" i="78"/>
  <c r="A66" i="78"/>
  <c r="C65" i="78"/>
  <c r="A65" i="78"/>
  <c r="C64" i="78"/>
  <c r="A64" i="78"/>
  <c r="C63" i="78"/>
  <c r="A63" i="78"/>
  <c r="C62" i="78"/>
  <c r="A62" i="78"/>
  <c r="C61" i="78"/>
  <c r="A61" i="78"/>
  <c r="C60" i="78"/>
  <c r="A60" i="78"/>
  <c r="C59" i="78"/>
  <c r="A59" i="78"/>
  <c r="C58" i="78"/>
  <c r="A58" i="78"/>
  <c r="C57" i="78"/>
  <c r="A57" i="78"/>
  <c r="C56" i="78"/>
  <c r="A56" i="78"/>
  <c r="C55" i="78"/>
  <c r="A55" i="78"/>
  <c r="C54" i="78"/>
  <c r="A54" i="78"/>
  <c r="C53" i="78"/>
  <c r="A53" i="78"/>
  <c r="C52" i="78"/>
  <c r="A52" i="78"/>
  <c r="C51" i="78"/>
  <c r="A51" i="78"/>
  <c r="C50" i="78"/>
  <c r="A50" i="78"/>
  <c r="C49" i="78"/>
  <c r="A49" i="78"/>
  <c r="C48" i="78"/>
  <c r="A48" i="78"/>
  <c r="C47" i="78"/>
  <c r="A47" i="78"/>
  <c r="C46" i="78"/>
  <c r="A46" i="78"/>
  <c r="C45" i="78"/>
  <c r="A45" i="78"/>
  <c r="C44" i="78"/>
  <c r="A44" i="78"/>
  <c r="C43" i="78"/>
  <c r="A43" i="78"/>
  <c r="C42" i="78"/>
  <c r="A42" i="78"/>
  <c r="C41" i="78"/>
  <c r="A41" i="78"/>
  <c r="C40" i="78"/>
  <c r="A40" i="78"/>
  <c r="C39" i="78"/>
  <c r="A39" i="78"/>
  <c r="C38" i="78"/>
  <c r="A38" i="78"/>
  <c r="C37" i="78"/>
  <c r="A37" i="78"/>
  <c r="C36" i="78"/>
  <c r="A36" i="78"/>
  <c r="C35" i="78"/>
  <c r="A35" i="78"/>
  <c r="C34" i="78"/>
  <c r="A34" i="78"/>
  <c r="C33" i="78"/>
  <c r="A33" i="78"/>
  <c r="C32" i="78"/>
  <c r="A32" i="78"/>
  <c r="C31" i="78"/>
  <c r="A31" i="78"/>
  <c r="C30" i="78"/>
  <c r="A30" i="78"/>
  <c r="C29" i="78"/>
  <c r="A29" i="78"/>
  <c r="C28" i="78"/>
  <c r="A28" i="78"/>
  <c r="C27" i="78"/>
  <c r="A27" i="78"/>
  <c r="C26" i="78"/>
  <c r="A26" i="78"/>
  <c r="C25" i="78"/>
  <c r="A25" i="78"/>
  <c r="C24" i="78"/>
  <c r="A24" i="78"/>
  <c r="C23" i="78"/>
  <c r="A23" i="78"/>
  <c r="C22" i="78"/>
  <c r="A22" i="78"/>
  <c r="C21" i="78"/>
  <c r="A21" i="78"/>
  <c r="C20" i="78"/>
  <c r="A20" i="78"/>
  <c r="C19" i="78"/>
  <c r="A19" i="78"/>
  <c r="C18" i="78"/>
  <c r="A18" i="78"/>
  <c r="C17" i="78"/>
  <c r="A17" i="78"/>
  <c r="C16" i="78"/>
  <c r="A16" i="78"/>
  <c r="C15" i="78"/>
  <c r="A15" i="78"/>
  <c r="C14" i="78"/>
  <c r="A14" i="78"/>
  <c r="C13" i="78"/>
  <c r="A13" i="78"/>
  <c r="C12" i="78"/>
  <c r="A12" i="78"/>
  <c r="C11" i="78"/>
  <c r="A11" i="78"/>
  <c r="C10" i="78"/>
  <c r="A10" i="78"/>
  <c r="C9" i="78"/>
  <c r="A9" i="78"/>
  <c r="C8" i="78"/>
  <c r="A8" i="78"/>
  <c r="C7" i="78"/>
  <c r="A7" i="78"/>
  <c r="C6" i="78"/>
  <c r="A6" i="78"/>
  <c r="C5" i="78"/>
  <c r="A5" i="78"/>
  <c r="C4" i="78"/>
  <c r="A4" i="78"/>
  <c r="C3" i="78"/>
  <c r="A3" i="78"/>
  <c r="C2" i="78"/>
  <c r="A2" i="78"/>
  <c r="P28" i="213" l="1"/>
  <c r="M28" i="213"/>
  <c r="Q28" i="213" s="1"/>
  <c r="O197" i="213"/>
  <c r="O199" i="213"/>
  <c r="P29" i="213"/>
  <c r="M29" i="213"/>
  <c r="Q29" i="213" s="1"/>
  <c r="M27" i="213"/>
  <c r="P27" i="213"/>
  <c r="I3" i="205"/>
  <c r="A4" i="205"/>
  <c r="J4" i="205"/>
  <c r="B5" i="205"/>
  <c r="J5" i="205"/>
  <c r="B6" i="205"/>
  <c r="J6" i="205"/>
  <c r="B7" i="205"/>
  <c r="J7" i="205"/>
  <c r="B8" i="205"/>
  <c r="J8" i="205"/>
  <c r="A9" i="205"/>
  <c r="I9" i="205"/>
  <c r="Q9" i="205"/>
  <c r="H10" i="205"/>
  <c r="P10" i="205"/>
  <c r="G11" i="205"/>
  <c r="O11" i="205"/>
  <c r="F12" i="205"/>
  <c r="N12" i="205"/>
  <c r="E13" i="205"/>
  <c r="M13" i="205"/>
  <c r="D14" i="205"/>
  <c r="L14" i="205"/>
  <c r="C15" i="205"/>
  <c r="K15" i="205"/>
  <c r="B16" i="205"/>
  <c r="J16" i="205"/>
  <c r="A17" i="205"/>
  <c r="I17" i="205"/>
  <c r="Q17" i="205"/>
  <c r="H18" i="205"/>
  <c r="P18" i="205"/>
  <c r="G19" i="205"/>
  <c r="O19" i="205"/>
  <c r="F20" i="205"/>
  <c r="N20" i="205"/>
  <c r="E21" i="205"/>
  <c r="M21" i="205"/>
  <c r="D22" i="205"/>
  <c r="L22" i="205"/>
  <c r="C23" i="205"/>
  <c r="K23" i="205"/>
  <c r="B24" i="205"/>
  <c r="J24" i="205"/>
  <c r="A25" i="205"/>
  <c r="I25" i="205"/>
  <c r="Q25" i="205"/>
  <c r="H26" i="205"/>
  <c r="P26" i="205"/>
  <c r="G27" i="205"/>
  <c r="O27" i="205"/>
  <c r="F28" i="205"/>
  <c r="N28" i="205"/>
  <c r="E29" i="205"/>
  <c r="M29" i="205"/>
  <c r="F30" i="205"/>
  <c r="A31" i="205"/>
  <c r="K31" i="205"/>
  <c r="D32" i="205"/>
  <c r="P32" i="205"/>
  <c r="I33" i="205"/>
  <c r="B34" i="205"/>
  <c r="O34" i="205"/>
  <c r="P35" i="205"/>
  <c r="E37" i="205"/>
  <c r="K38" i="205"/>
  <c r="L39" i="205"/>
  <c r="A41" i="205"/>
  <c r="G42" i="205"/>
  <c r="H43" i="205"/>
  <c r="N44" i="205"/>
  <c r="C46" i="205"/>
  <c r="D47" i="205"/>
  <c r="J48" i="205"/>
  <c r="P49" i="205"/>
  <c r="Q50" i="205"/>
  <c r="F52" i="205"/>
  <c r="L53" i="205"/>
  <c r="M54" i="205"/>
  <c r="B56" i="205"/>
  <c r="H57" i="205"/>
  <c r="I58" i="205"/>
  <c r="O59" i="205"/>
  <c r="D61" i="205"/>
  <c r="E62" i="205"/>
  <c r="K63" i="205"/>
  <c r="Q64" i="205"/>
  <c r="A66" i="205"/>
  <c r="G67" i="205"/>
  <c r="M68" i="205"/>
  <c r="N69" i="205"/>
  <c r="C71" i="205"/>
  <c r="I72" i="205"/>
  <c r="J73" i="205"/>
  <c r="P74" i="205"/>
  <c r="E76" i="205"/>
  <c r="F77" i="205"/>
  <c r="L78" i="205"/>
  <c r="A80" i="205"/>
  <c r="B81" i="205"/>
  <c r="H82" i="205"/>
  <c r="N83" i="205"/>
  <c r="O84" i="205"/>
  <c r="D86" i="205"/>
  <c r="J87" i="205"/>
  <c r="K88" i="205"/>
  <c r="Q89" i="205"/>
  <c r="F91" i="205"/>
  <c r="I92" i="205"/>
  <c r="A94" i="205"/>
  <c r="E96" i="205"/>
  <c r="E98" i="205"/>
  <c r="A101" i="205"/>
  <c r="N103" i="205"/>
  <c r="N105" i="205"/>
  <c r="G109" i="205"/>
  <c r="E114" i="205"/>
  <c r="G118" i="205"/>
  <c r="A125" i="205"/>
  <c r="P134" i="205"/>
  <c r="Q144" i="205"/>
  <c r="G170" i="205"/>
  <c r="J3" i="205"/>
  <c r="C4" i="205"/>
  <c r="L4" i="205"/>
  <c r="C5" i="205"/>
  <c r="L5" i="205"/>
  <c r="C6" i="205"/>
  <c r="L6" i="205"/>
  <c r="C7" i="205"/>
  <c r="L7" i="205"/>
  <c r="C8" i="205"/>
  <c r="K8" i="205"/>
  <c r="B9" i="205"/>
  <c r="J9" i="205"/>
  <c r="A10" i="205"/>
  <c r="I10" i="205"/>
  <c r="Q10" i="205"/>
  <c r="H11" i="205"/>
  <c r="P11" i="205"/>
  <c r="G12" i="205"/>
  <c r="O12" i="205"/>
  <c r="F13" i="205"/>
  <c r="N13" i="205"/>
  <c r="E14" i="205"/>
  <c r="M14" i="205"/>
  <c r="D15" i="205"/>
  <c r="L15" i="205"/>
  <c r="C16" i="205"/>
  <c r="K16" i="205"/>
  <c r="B17" i="205"/>
  <c r="J17" i="205"/>
  <c r="A18" i="205"/>
  <c r="I18" i="205"/>
  <c r="Q18" i="205"/>
  <c r="H19" i="205"/>
  <c r="P19" i="205"/>
  <c r="G20" i="205"/>
  <c r="O20" i="205"/>
  <c r="F21" i="205"/>
  <c r="N21" i="205"/>
  <c r="E22" i="205"/>
  <c r="M22" i="205"/>
  <c r="D23" i="205"/>
  <c r="L23" i="205"/>
  <c r="C24" i="205"/>
  <c r="K24" i="205"/>
  <c r="B25" i="205"/>
  <c r="J25" i="205"/>
  <c r="A26" i="205"/>
  <c r="I26" i="205"/>
  <c r="Q26" i="205"/>
  <c r="H27" i="205"/>
  <c r="P27" i="205"/>
  <c r="G28" i="205"/>
  <c r="O28" i="205"/>
  <c r="F29" i="205"/>
  <c r="N29" i="205"/>
  <c r="I30" i="205"/>
  <c r="B31" i="205"/>
  <c r="L31" i="205"/>
  <c r="G32" i="205"/>
  <c r="Q32" i="205"/>
  <c r="J33" i="205"/>
  <c r="E34" i="205"/>
  <c r="P34" i="205"/>
  <c r="E36" i="205"/>
  <c r="F37" i="205"/>
  <c r="L38" i="205"/>
  <c r="A40" i="205"/>
  <c r="B41" i="205"/>
  <c r="H42" i="205"/>
  <c r="N43" i="205"/>
  <c r="O44" i="205"/>
  <c r="D46" i="205"/>
  <c r="J47" i="205"/>
  <c r="K48" i="205"/>
  <c r="Q49" i="205"/>
  <c r="F51" i="205"/>
  <c r="G52" i="205"/>
  <c r="M53" i="205"/>
  <c r="B55" i="205"/>
  <c r="C56" i="205"/>
  <c r="I57" i="205"/>
  <c r="O58" i="205"/>
  <c r="P59" i="205"/>
  <c r="E61" i="205"/>
  <c r="K62" i="205"/>
  <c r="L63" i="205"/>
  <c r="A65" i="205"/>
  <c r="G66" i="205"/>
  <c r="H67" i="205"/>
  <c r="N68" i="205"/>
  <c r="C70" i="205"/>
  <c r="D71" i="205"/>
  <c r="J72" i="205"/>
  <c r="P73" i="205"/>
  <c r="Q74" i="205"/>
  <c r="F76" i="205"/>
  <c r="L77" i="205"/>
  <c r="M78" i="205"/>
  <c r="B80" i="205"/>
  <c r="H81" i="205"/>
  <c r="I82" i="205"/>
  <c r="O83" i="205"/>
  <c r="D85" i="205"/>
  <c r="E86" i="205"/>
  <c r="K87" i="205"/>
  <c r="Q88" i="205"/>
  <c r="A90" i="205"/>
  <c r="G91" i="205"/>
  <c r="P92" i="205"/>
  <c r="B94" i="205"/>
  <c r="F96" i="205"/>
  <c r="B99" i="205"/>
  <c r="B101" i="205"/>
  <c r="O103" i="205"/>
  <c r="K106" i="205"/>
  <c r="H109" i="205"/>
  <c r="G114" i="205"/>
  <c r="D120" i="205"/>
  <c r="Q125" i="205"/>
  <c r="E135" i="205"/>
  <c r="G150" i="205"/>
  <c r="A172" i="205"/>
  <c r="L3" i="205"/>
  <c r="D4" i="205"/>
  <c r="M4" i="205"/>
  <c r="D5" i="205"/>
  <c r="M5" i="205"/>
  <c r="D6" i="205"/>
  <c r="M6" i="205"/>
  <c r="D7" i="205"/>
  <c r="M7" i="205"/>
  <c r="D8" i="205"/>
  <c r="L8" i="205"/>
  <c r="C9" i="205"/>
  <c r="K9" i="205"/>
  <c r="B10" i="205"/>
  <c r="J10" i="205"/>
  <c r="A11" i="205"/>
  <c r="I11" i="205"/>
  <c r="Q11" i="205"/>
  <c r="H12" i="205"/>
  <c r="P12" i="205"/>
  <c r="G13" i="205"/>
  <c r="O13" i="205"/>
  <c r="F14" i="205"/>
  <c r="N14" i="205"/>
  <c r="E15" i="205"/>
  <c r="M15" i="205"/>
  <c r="D16" i="205"/>
  <c r="L16" i="205"/>
  <c r="C17" i="205"/>
  <c r="K17" i="205"/>
  <c r="B18" i="205"/>
  <c r="J18" i="205"/>
  <c r="A19" i="205"/>
  <c r="I19" i="205"/>
  <c r="Q19" i="205"/>
  <c r="H20" i="205"/>
  <c r="P20" i="205"/>
  <c r="G21" i="205"/>
  <c r="O21" i="205"/>
  <c r="F22" i="205"/>
  <c r="N22" i="205"/>
  <c r="E23" i="205"/>
  <c r="M23" i="205"/>
  <c r="D24" i="205"/>
  <c r="L24" i="205"/>
  <c r="C25" i="205"/>
  <c r="K25" i="205"/>
  <c r="B26" i="205"/>
  <c r="J26" i="205"/>
  <c r="A27" i="205"/>
  <c r="I27" i="205"/>
  <c r="Q27" i="205"/>
  <c r="H28" i="205"/>
  <c r="P28" i="205"/>
  <c r="G29" i="205"/>
  <c r="O29" i="205"/>
  <c r="J30" i="205"/>
  <c r="C31" i="205"/>
  <c r="M31" i="205"/>
  <c r="H32" i="205"/>
  <c r="A33" i="205"/>
  <c r="K33" i="205"/>
  <c r="F34" i="205"/>
  <c r="Q34" i="205"/>
  <c r="F36" i="205"/>
  <c r="L37" i="205"/>
  <c r="M38" i="205"/>
  <c r="B40" i="205"/>
  <c r="H41" i="205"/>
  <c r="I42" i="205"/>
  <c r="O43" i="205"/>
  <c r="D45" i="205"/>
  <c r="E46" i="205"/>
  <c r="K47" i="205"/>
  <c r="Q48" i="205"/>
  <c r="A50" i="205"/>
  <c r="G51" i="205"/>
  <c r="M52" i="205"/>
  <c r="N53" i="205"/>
  <c r="C55" i="205"/>
  <c r="I56" i="205"/>
  <c r="J57" i="205"/>
  <c r="P58" i="205"/>
  <c r="E60" i="205"/>
  <c r="F61" i="205"/>
  <c r="L62" i="205"/>
  <c r="A64" i="205"/>
  <c r="B65" i="205"/>
  <c r="H66" i="205"/>
  <c r="N67" i="205"/>
  <c r="O68" i="205"/>
  <c r="D70" i="205"/>
  <c r="J71" i="205"/>
  <c r="K72" i="205"/>
  <c r="Q73" i="205"/>
  <c r="F75" i="205"/>
  <c r="G76" i="205"/>
  <c r="M77" i="205"/>
  <c r="B79" i="205"/>
  <c r="C80" i="205"/>
  <c r="I81" i="205"/>
  <c r="O82" i="205"/>
  <c r="P83" i="205"/>
  <c r="E85" i="205"/>
  <c r="K86" i="205"/>
  <c r="L87" i="205"/>
  <c r="A89" i="205"/>
  <c r="G90" i="205"/>
  <c r="H91" i="205"/>
  <c r="Q92" i="205"/>
  <c r="I94" i="205"/>
  <c r="G96" i="205"/>
  <c r="C99" i="205"/>
  <c r="P101" i="205"/>
  <c r="P103" i="205"/>
  <c r="L106" i="205"/>
  <c r="M110" i="205"/>
  <c r="I114" i="205"/>
  <c r="E120" i="205"/>
  <c r="L128" i="205"/>
  <c r="D136" i="205"/>
  <c r="H150" i="205"/>
  <c r="Q200" i="205"/>
  <c r="N200" i="205"/>
  <c r="L200" i="205"/>
  <c r="D200" i="205"/>
  <c r="M199" i="205"/>
  <c r="E199" i="205"/>
  <c r="N198" i="205"/>
  <c r="F198" i="205"/>
  <c r="O197" i="205"/>
  <c r="G197" i="205"/>
  <c r="P196" i="205"/>
  <c r="H196" i="205"/>
  <c r="Q195" i="205"/>
  <c r="I195" i="205"/>
  <c r="A195" i="205"/>
  <c r="J194" i="205"/>
  <c r="B194" i="205"/>
  <c r="K193" i="205"/>
  <c r="C193" i="205"/>
  <c r="L192" i="205"/>
  <c r="D192" i="205"/>
  <c r="M191" i="205"/>
  <c r="E191" i="205"/>
  <c r="N190" i="205"/>
  <c r="F190" i="205"/>
  <c r="O189" i="205"/>
  <c r="G189" i="205"/>
  <c r="P188" i="205"/>
  <c r="H188" i="205"/>
  <c r="Q187" i="205"/>
  <c r="I187" i="205"/>
  <c r="A187" i="205"/>
  <c r="J186" i="205"/>
  <c r="B186" i="205"/>
  <c r="K185" i="205"/>
  <c r="C185" i="205"/>
  <c r="L184" i="205"/>
  <c r="D184" i="205"/>
  <c r="M183" i="205"/>
  <c r="E183" i="205"/>
  <c r="N182" i="205"/>
  <c r="F182" i="205"/>
  <c r="O181" i="205"/>
  <c r="G181" i="205"/>
  <c r="P180" i="205"/>
  <c r="H180" i="205"/>
  <c r="Q179" i="205"/>
  <c r="I179" i="205"/>
  <c r="A179" i="205"/>
  <c r="J178" i="205"/>
  <c r="B178" i="205"/>
  <c r="K177" i="205"/>
  <c r="C177" i="205"/>
  <c r="L176" i="205"/>
  <c r="D176" i="205"/>
  <c r="M175" i="205"/>
  <c r="E175" i="205"/>
  <c r="N174" i="205"/>
  <c r="F174" i="205"/>
  <c r="O173" i="205"/>
  <c r="G173" i="205"/>
  <c r="P172" i="205"/>
  <c r="H172" i="205"/>
  <c r="Q171" i="205"/>
  <c r="I171" i="205"/>
  <c r="A171" i="205"/>
  <c r="J170" i="205"/>
  <c r="B170" i="205"/>
  <c r="K169" i="205"/>
  <c r="C169" i="205"/>
  <c r="L168" i="205"/>
  <c r="D168" i="205"/>
  <c r="M167" i="205"/>
  <c r="E167" i="205"/>
  <c r="N166" i="205"/>
  <c r="F166" i="205"/>
  <c r="O165" i="205"/>
  <c r="G165" i="205"/>
  <c r="P164" i="205"/>
  <c r="H164" i="205"/>
  <c r="Q163" i="205"/>
  <c r="I163" i="205"/>
  <c r="A163" i="205"/>
  <c r="J162" i="205"/>
  <c r="B162" i="205"/>
  <c r="K161" i="205"/>
  <c r="C161" i="205"/>
  <c r="K200" i="205"/>
  <c r="C200" i="205"/>
  <c r="L199" i="205"/>
  <c r="D199" i="205"/>
  <c r="M198" i="205"/>
  <c r="E198" i="205"/>
  <c r="N197" i="205"/>
  <c r="F197" i="205"/>
  <c r="O196" i="205"/>
  <c r="G196" i="205"/>
  <c r="P195" i="205"/>
  <c r="H195" i="205"/>
  <c r="Q194" i="205"/>
  <c r="I194" i="205"/>
  <c r="A194" i="205"/>
  <c r="J193" i="205"/>
  <c r="B193" i="205"/>
  <c r="K192" i="205"/>
  <c r="C192" i="205"/>
  <c r="L191" i="205"/>
  <c r="D191" i="205"/>
  <c r="M190" i="205"/>
  <c r="E190" i="205"/>
  <c r="N189" i="205"/>
  <c r="F189" i="205"/>
  <c r="O188" i="205"/>
  <c r="G188" i="205"/>
  <c r="P187" i="205"/>
  <c r="H187" i="205"/>
  <c r="Q186" i="205"/>
  <c r="I186" i="205"/>
  <c r="A186" i="205"/>
  <c r="J185" i="205"/>
  <c r="B185" i="205"/>
  <c r="K184" i="205"/>
  <c r="C184" i="205"/>
  <c r="L183" i="205"/>
  <c r="D183" i="205"/>
  <c r="M182" i="205"/>
  <c r="E182" i="205"/>
  <c r="N181" i="205"/>
  <c r="F181" i="205"/>
  <c r="O180" i="205"/>
  <c r="G180" i="205"/>
  <c r="P179" i="205"/>
  <c r="H179" i="205"/>
  <c r="Q178" i="205"/>
  <c r="I178" i="205"/>
  <c r="A178" i="205"/>
  <c r="J177" i="205"/>
  <c r="B177" i="205"/>
  <c r="K176" i="205"/>
  <c r="C176" i="205"/>
  <c r="L175" i="205"/>
  <c r="D175" i="205"/>
  <c r="M174" i="205"/>
  <c r="E174" i="205"/>
  <c r="N173" i="205"/>
  <c r="F173" i="205"/>
  <c r="O172" i="205"/>
  <c r="G172" i="205"/>
  <c r="P171" i="205"/>
  <c r="H171" i="205"/>
  <c r="Q170" i="205"/>
  <c r="I170" i="205"/>
  <c r="A170" i="205"/>
  <c r="J169" i="205"/>
  <c r="B169" i="205"/>
  <c r="K168" i="205"/>
  <c r="C168" i="205"/>
  <c r="L167" i="205"/>
  <c r="O200" i="205"/>
  <c r="B200" i="205"/>
  <c r="I199" i="205"/>
  <c r="P198" i="205"/>
  <c r="D198" i="205"/>
  <c r="K197" i="205"/>
  <c r="A197" i="205"/>
  <c r="F196" i="205"/>
  <c r="M195" i="205"/>
  <c r="C195" i="205"/>
  <c r="H194" i="205"/>
  <c r="O193" i="205"/>
  <c r="E193" i="205"/>
  <c r="J192" i="205"/>
  <c r="Q191" i="205"/>
  <c r="G191" i="205"/>
  <c r="L190" i="205"/>
  <c r="B190" i="205"/>
  <c r="I189" i="205"/>
  <c r="N188" i="205"/>
  <c r="D188" i="205"/>
  <c r="K187" i="205"/>
  <c r="P186" i="205"/>
  <c r="F186" i="205"/>
  <c r="M185" i="205"/>
  <c r="A185" i="205"/>
  <c r="H184" i="205"/>
  <c r="O183" i="205"/>
  <c r="C183" i="205"/>
  <c r="J182" i="205"/>
  <c r="Q181" i="205"/>
  <c r="E181" i="205"/>
  <c r="L180" i="205"/>
  <c r="B180" i="205"/>
  <c r="G179" i="205"/>
  <c r="N178" i="205"/>
  <c r="D178" i="205"/>
  <c r="I177" i="205"/>
  <c r="P176" i="205"/>
  <c r="F176" i="205"/>
  <c r="K175" i="205"/>
  <c r="A175" i="205"/>
  <c r="H174" i="205"/>
  <c r="M173" i="205"/>
  <c r="C173" i="205"/>
  <c r="J172" i="205"/>
  <c r="O171" i="205"/>
  <c r="E171" i="205"/>
  <c r="L170" i="205"/>
  <c r="Q169" i="205"/>
  <c r="G169" i="205"/>
  <c r="N168" i="205"/>
  <c r="B168" i="205"/>
  <c r="I167" i="205"/>
  <c r="Q166" i="205"/>
  <c r="H166" i="205"/>
  <c r="P165" i="205"/>
  <c r="F165" i="205"/>
  <c r="N164" i="205"/>
  <c r="E164" i="205"/>
  <c r="M163" i="205"/>
  <c r="D163" i="205"/>
  <c r="L162" i="205"/>
  <c r="C162" i="205"/>
  <c r="J161" i="205"/>
  <c r="A161" i="205"/>
  <c r="J160" i="205"/>
  <c r="B160" i="205"/>
  <c r="K159" i="205"/>
  <c r="C159" i="205"/>
  <c r="L158" i="205"/>
  <c r="D158" i="205"/>
  <c r="M157" i="205"/>
  <c r="E157" i="205"/>
  <c r="N156" i="205"/>
  <c r="F156" i="205"/>
  <c r="O155" i="205"/>
  <c r="G155" i="205"/>
  <c r="P154" i="205"/>
  <c r="H154" i="205"/>
  <c r="Q153" i="205"/>
  <c r="I153" i="205"/>
  <c r="A153" i="205"/>
  <c r="J152" i="205"/>
  <c r="B152" i="205"/>
  <c r="J200" i="205"/>
  <c r="Q199" i="205"/>
  <c r="G199" i="205"/>
  <c r="L198" i="205"/>
  <c r="B198" i="205"/>
  <c r="I197" i="205"/>
  <c r="N196" i="205"/>
  <c r="D196" i="205"/>
  <c r="K195" i="205"/>
  <c r="P194" i="205"/>
  <c r="F194" i="205"/>
  <c r="M193" i="205"/>
  <c r="A193" i="205"/>
  <c r="H192" i="205"/>
  <c r="O191" i="205"/>
  <c r="C191" i="205"/>
  <c r="J190" i="205"/>
  <c r="Q189" i="205"/>
  <c r="E189" i="205"/>
  <c r="L188" i="205"/>
  <c r="B188" i="205"/>
  <c r="G187" i="205"/>
  <c r="N186" i="205"/>
  <c r="D186" i="205"/>
  <c r="I185" i="205"/>
  <c r="P184" i="205"/>
  <c r="F184" i="205"/>
  <c r="K183" i="205"/>
  <c r="A183" i="205"/>
  <c r="H182" i="205"/>
  <c r="M181" i="205"/>
  <c r="C181" i="205"/>
  <c r="J180" i="205"/>
  <c r="O179" i="205"/>
  <c r="E179" i="205"/>
  <c r="L178" i="205"/>
  <c r="Q177" i="205"/>
  <c r="G177" i="205"/>
  <c r="N176" i="205"/>
  <c r="B176" i="205"/>
  <c r="I175" i="205"/>
  <c r="P174" i="205"/>
  <c r="D174" i="205"/>
  <c r="K173" i="205"/>
  <c r="A173" i="205"/>
  <c r="F172" i="205"/>
  <c r="M171" i="205"/>
  <c r="C171" i="205"/>
  <c r="H170" i="205"/>
  <c r="O169" i="205"/>
  <c r="E169" i="205"/>
  <c r="J168" i="205"/>
  <c r="Q167" i="205"/>
  <c r="G167" i="205"/>
  <c r="O166" i="205"/>
  <c r="E166" i="205"/>
  <c r="M165" i="205"/>
  <c r="D165" i="205"/>
  <c r="L164" i="205"/>
  <c r="C164" i="205"/>
  <c r="K163" i="205"/>
  <c r="B163" i="205"/>
  <c r="I162" i="205"/>
  <c r="Q161" i="205"/>
  <c r="H161" i="205"/>
  <c r="P160" i="205"/>
  <c r="H160" i="205"/>
  <c r="Q159" i="205"/>
  <c r="I159" i="205"/>
  <c r="A159" i="205"/>
  <c r="J158" i="205"/>
  <c r="B158" i="205"/>
  <c r="K157" i="205"/>
  <c r="C157" i="205"/>
  <c r="L156" i="205"/>
  <c r="D156" i="205"/>
  <c r="M155" i="205"/>
  <c r="E155" i="205"/>
  <c r="N154" i="205"/>
  <c r="F154" i="205"/>
  <c r="O153" i="205"/>
  <c r="G153" i="205"/>
  <c r="P152" i="205"/>
  <c r="H152" i="205"/>
  <c r="Q151" i="205"/>
  <c r="H200" i="205"/>
  <c r="O199" i="205"/>
  <c r="C199" i="205"/>
  <c r="J198" i="205"/>
  <c r="Q197" i="205"/>
  <c r="E197" i="205"/>
  <c r="L196" i="205"/>
  <c r="B196" i="205"/>
  <c r="G195" i="205"/>
  <c r="N194" i="205"/>
  <c r="D194" i="205"/>
  <c r="I193" i="205"/>
  <c r="P192" i="205"/>
  <c r="F192" i="205"/>
  <c r="K191" i="205"/>
  <c r="A191" i="205"/>
  <c r="H190" i="205"/>
  <c r="M189" i="205"/>
  <c r="C189" i="205"/>
  <c r="J188" i="205"/>
  <c r="O187" i="205"/>
  <c r="E187" i="205"/>
  <c r="P200" i="205"/>
  <c r="N199" i="205"/>
  <c r="O198" i="205"/>
  <c r="M197" i="205"/>
  <c r="M196" i="205"/>
  <c r="N195" i="205"/>
  <c r="M194" i="205"/>
  <c r="N193" i="205"/>
  <c r="N192" i="205"/>
  <c r="N191" i="205"/>
  <c r="O190" i="205"/>
  <c r="L189" i="205"/>
  <c r="M188" i="205"/>
  <c r="M187" i="205"/>
  <c r="M186" i="205"/>
  <c r="P185" i="205"/>
  <c r="D185" i="205"/>
  <c r="E184" i="205"/>
  <c r="H183" i="205"/>
  <c r="K182" i="205"/>
  <c r="L181" i="205"/>
  <c r="Q180" i="205"/>
  <c r="C180" i="205"/>
  <c r="D179" i="205"/>
  <c r="G178" i="205"/>
  <c r="L177" i="205"/>
  <c r="M176" i="205"/>
  <c r="P175" i="205"/>
  <c r="B175" i="205"/>
  <c r="C174" i="205"/>
  <c r="H173" i="205"/>
  <c r="K172" i="205"/>
  <c r="L171" i="205"/>
  <c r="O170" i="205"/>
  <c r="C170" i="205"/>
  <c r="D169" i="205"/>
  <c r="G168" i="205"/>
  <c r="J167" i="205"/>
  <c r="M166" i="205"/>
  <c r="B166" i="205"/>
  <c r="H165" i="205"/>
  <c r="K164" i="205"/>
  <c r="P163" i="205"/>
  <c r="E163" i="205"/>
  <c r="H162" i="205"/>
  <c r="N161" i="205"/>
  <c r="B161" i="205"/>
  <c r="G160" i="205"/>
  <c r="N159" i="205"/>
  <c r="D159" i="205"/>
  <c r="I158" i="205"/>
  <c r="P157" i="205"/>
  <c r="F157" i="205"/>
  <c r="K156" i="205"/>
  <c r="A156" i="205"/>
  <c r="H155" i="205"/>
  <c r="M154" i="205"/>
  <c r="C154" i="205"/>
  <c r="J153" i="205"/>
  <c r="O152" i="205"/>
  <c r="E152" i="205"/>
  <c r="L151" i="205"/>
  <c r="D151" i="205"/>
  <c r="M150" i="205"/>
  <c r="E150" i="205"/>
  <c r="N149" i="205"/>
  <c r="F149" i="205"/>
  <c r="O148" i="205"/>
  <c r="G148" i="205"/>
  <c r="P147" i="205"/>
  <c r="H147" i="205"/>
  <c r="Q146" i="205"/>
  <c r="I146" i="205"/>
  <c r="A146" i="205"/>
  <c r="J145" i="205"/>
  <c r="B145" i="205"/>
  <c r="K144" i="205"/>
  <c r="C144" i="205"/>
  <c r="L143" i="205"/>
  <c r="D143" i="205"/>
  <c r="M142" i="205"/>
  <c r="E142" i="205"/>
  <c r="N141" i="205"/>
  <c r="F141" i="205"/>
  <c r="O140" i="205"/>
  <c r="M200" i="205"/>
  <c r="K199" i="205"/>
  <c r="K198" i="205"/>
  <c r="L197" i="205"/>
  <c r="K196" i="205"/>
  <c r="L195" i="205"/>
  <c r="L194" i="205"/>
  <c r="L193" i="205"/>
  <c r="M192" i="205"/>
  <c r="J191" i="205"/>
  <c r="K190" i="205"/>
  <c r="K189" i="205"/>
  <c r="K188" i="205"/>
  <c r="L187" i="205"/>
  <c r="L186" i="205"/>
  <c r="O185" i="205"/>
  <c r="Q184" i="205"/>
  <c r="B184" i="205"/>
  <c r="G183" i="205"/>
  <c r="I182" i="205"/>
  <c r="K181" i="205"/>
  <c r="N180" i="205"/>
  <c r="A180" i="205"/>
  <c r="C179" i="205"/>
  <c r="F178" i="205"/>
  <c r="H177" i="205"/>
  <c r="J176" i="205"/>
  <c r="O175" i="205"/>
  <c r="Q174" i="205"/>
  <c r="B174" i="205"/>
  <c r="E173" i="205"/>
  <c r="I172" i="205"/>
  <c r="K171" i="205"/>
  <c r="N170" i="205"/>
  <c r="P169" i="205"/>
  <c r="A169" i="205"/>
  <c r="F168" i="205"/>
  <c r="H167" i="205"/>
  <c r="L166" i="205"/>
  <c r="A166" i="205"/>
  <c r="E165" i="205"/>
  <c r="J164" i="205"/>
  <c r="O163" i="205"/>
  <c r="C163" i="205"/>
  <c r="G162" i="205"/>
  <c r="M161" i="205"/>
  <c r="Q160" i="205"/>
  <c r="F160" i="205"/>
  <c r="M159" i="205"/>
  <c r="B159" i="205"/>
  <c r="H158" i="205"/>
  <c r="O157" i="205"/>
  <c r="D157" i="205"/>
  <c r="J156" i="205"/>
  <c r="Q155" i="205"/>
  <c r="F155" i="205"/>
  <c r="L154" i="205"/>
  <c r="B154" i="205"/>
  <c r="H153" i="205"/>
  <c r="N152" i="205"/>
  <c r="D152" i="205"/>
  <c r="K151" i="205"/>
  <c r="C151" i="205"/>
  <c r="L150" i="205"/>
  <c r="D150" i="205"/>
  <c r="M149" i="205"/>
  <c r="E149" i="205"/>
  <c r="N148" i="205"/>
  <c r="F148" i="205"/>
  <c r="O147" i="205"/>
  <c r="G147" i="205"/>
  <c r="P146" i="205"/>
  <c r="H146" i="205"/>
  <c r="Q145" i="205"/>
  <c r="I145" i="205"/>
  <c r="A145" i="205"/>
  <c r="J144" i="205"/>
  <c r="B144" i="205"/>
  <c r="K143" i="205"/>
  <c r="C143" i="205"/>
  <c r="L142" i="205"/>
  <c r="D142" i="205"/>
  <c r="M141" i="205"/>
  <c r="E141" i="205"/>
  <c r="N140" i="205"/>
  <c r="F140" i="205"/>
  <c r="O139" i="205"/>
  <c r="G139" i="205"/>
  <c r="P138" i="205"/>
  <c r="H138" i="205"/>
  <c r="Q137" i="205"/>
  <c r="I137" i="205"/>
  <c r="I200" i="205"/>
  <c r="J199" i="205"/>
  <c r="I198" i="205"/>
  <c r="J197" i="205"/>
  <c r="J196" i="205"/>
  <c r="J195" i="205"/>
  <c r="K194" i="205"/>
  <c r="H193" i="205"/>
  <c r="I192" i="205"/>
  <c r="I191" i="205"/>
  <c r="I190" i="205"/>
  <c r="J189" i="205"/>
  <c r="I188" i="205"/>
  <c r="J187" i="205"/>
  <c r="K186" i="205"/>
  <c r="N185" i="205"/>
  <c r="O184" i="205"/>
  <c r="A184" i="205"/>
  <c r="F183" i="205"/>
  <c r="G182" i="205"/>
  <c r="J181" i="205"/>
  <c r="M180" i="205"/>
  <c r="N179" i="205"/>
  <c r="B179" i="205"/>
  <c r="E178" i="205"/>
  <c r="F177" i="205"/>
  <c r="I176" i="205"/>
  <c r="N175" i="205"/>
  <c r="O174" i="205"/>
  <c r="A174" i="205"/>
  <c r="D173" i="205"/>
  <c r="E172" i="205"/>
  <c r="J171" i="205"/>
  <c r="M170" i="205"/>
  <c r="N169" i="205"/>
  <c r="Q168" i="205"/>
  <c r="E168" i="205"/>
  <c r="F167" i="205"/>
  <c r="K166" i="205"/>
  <c r="Q165" i="205"/>
  <c r="C165" i="205"/>
  <c r="I164" i="205"/>
  <c r="N163" i="205"/>
  <c r="Q162" i="205"/>
  <c r="F162" i="205"/>
  <c r="L161" i="205"/>
  <c r="O160" i="205"/>
  <c r="E160" i="205"/>
  <c r="L159" i="205"/>
  <c r="Q158" i="205"/>
  <c r="G158" i="205"/>
  <c r="N157" i="205"/>
  <c r="B157" i="205"/>
  <c r="I156" i="205"/>
  <c r="P155" i="205"/>
  <c r="D155" i="205"/>
  <c r="K154" i="205"/>
  <c r="A154" i="205"/>
  <c r="F153" i="205"/>
  <c r="M152" i="205"/>
  <c r="C152" i="205"/>
  <c r="J151" i="205"/>
  <c r="B151" i="205"/>
  <c r="K150" i="205"/>
  <c r="C150" i="205"/>
  <c r="L149" i="205"/>
  <c r="D149" i="205"/>
  <c r="M148" i="205"/>
  <c r="E148" i="205"/>
  <c r="N147" i="205"/>
  <c r="F147" i="205"/>
  <c r="O146" i="205"/>
  <c r="G146" i="205"/>
  <c r="P145" i="205"/>
  <c r="H145" i="205"/>
  <c r="G200" i="205"/>
  <c r="H199" i="205"/>
  <c r="H198" i="205"/>
  <c r="H197" i="205"/>
  <c r="I196" i="205"/>
  <c r="F195" i="205"/>
  <c r="G194" i="205"/>
  <c r="G193" i="205"/>
  <c r="G192" i="205"/>
  <c r="H191" i="205"/>
  <c r="G190" i="205"/>
  <c r="H189" i="205"/>
  <c r="F188" i="205"/>
  <c r="F187" i="205"/>
  <c r="H186" i="205"/>
  <c r="L185" i="205"/>
  <c r="N184" i="205"/>
  <c r="Q183" i="205"/>
  <c r="B183" i="205"/>
  <c r="D182" i="205"/>
  <c r="I181" i="205"/>
  <c r="K180" i="205"/>
  <c r="M179" i="205"/>
  <c r="P178" i="205"/>
  <c r="C178" i="205"/>
  <c r="E177" i="205"/>
  <c r="H176" i="205"/>
  <c r="J175" i="205"/>
  <c r="L174" i="205"/>
  <c r="Q173" i="205"/>
  <c r="B173" i="205"/>
  <c r="D172" i="205"/>
  <c r="G171" i="205"/>
  <c r="K170" i="205"/>
  <c r="M169" i="205"/>
  <c r="P168" i="205"/>
  <c r="A168" i="205"/>
  <c r="D167" i="205"/>
  <c r="J166" i="205"/>
  <c r="N165" i="205"/>
  <c r="B165" i="205"/>
  <c r="G164" i="205"/>
  <c r="L163" i="205"/>
  <c r="P162" i="205"/>
  <c r="E162" i="205"/>
  <c r="I161" i="205"/>
  <c r="N160" i="205"/>
  <c r="D160" i="205"/>
  <c r="J159" i="205"/>
  <c r="P158" i="205"/>
  <c r="F158" i="205"/>
  <c r="L157" i="205"/>
  <c r="A157" i="205"/>
  <c r="H156" i="205"/>
  <c r="N155" i="205"/>
  <c r="C155" i="205"/>
  <c r="J154" i="205"/>
  <c r="P153" i="205"/>
  <c r="E153" i="205"/>
  <c r="L152" i="205"/>
  <c r="A152" i="205"/>
  <c r="I151" i="205"/>
  <c r="A151" i="205"/>
  <c r="J150" i="205"/>
  <c r="B150" i="205"/>
  <c r="K149" i="205"/>
  <c r="C149" i="205"/>
  <c r="L148" i="205"/>
  <c r="D148" i="205"/>
  <c r="M147" i="205"/>
  <c r="E147" i="205"/>
  <c r="N146" i="205"/>
  <c r="F146" i="205"/>
  <c r="O145" i="205"/>
  <c r="G145" i="205"/>
  <c r="P144" i="205"/>
  <c r="H144" i="205"/>
  <c r="Q143" i="205"/>
  <c r="I143" i="205"/>
  <c r="A143" i="205"/>
  <c r="J142" i="205"/>
  <c r="B142" i="205"/>
  <c r="K141" i="205"/>
  <c r="C141" i="205"/>
  <c r="L140" i="205"/>
  <c r="D140" i="205"/>
  <c r="M139" i="205"/>
  <c r="E139" i="205"/>
  <c r="N138" i="205"/>
  <c r="F138" i="205"/>
  <c r="O137" i="205"/>
  <c r="G137" i="205"/>
  <c r="P136" i="205"/>
  <c r="E200" i="205"/>
  <c r="B199" i="205"/>
  <c r="C198" i="205"/>
  <c r="C197" i="205"/>
  <c r="C196" i="205"/>
  <c r="D195" i="205"/>
  <c r="C194" i="205"/>
  <c r="D193" i="205"/>
  <c r="B192" i="205"/>
  <c r="B191" i="205"/>
  <c r="C190" i="205"/>
  <c r="B189" i="205"/>
  <c r="C188" i="205"/>
  <c r="C187" i="205"/>
  <c r="E186" i="205"/>
  <c r="G185" i="205"/>
  <c r="J184" i="205"/>
  <c r="N183" i="205"/>
  <c r="P182" i="205"/>
  <c r="B182" i="205"/>
  <c r="D181" i="205"/>
  <c r="F180" i="205"/>
  <c r="K179" i="205"/>
  <c r="F200" i="205"/>
  <c r="P197" i="205"/>
  <c r="B195" i="205"/>
  <c r="E192" i="205"/>
  <c r="P189" i="205"/>
  <c r="B187" i="205"/>
  <c r="M184" i="205"/>
  <c r="L182" i="205"/>
  <c r="E180" i="205"/>
  <c r="H178" i="205"/>
  <c r="O176" i="205"/>
  <c r="C175" i="205"/>
  <c r="I173" i="205"/>
  <c r="N171" i="205"/>
  <c r="D170" i="205"/>
  <c r="H168" i="205"/>
  <c r="P166" i="205"/>
  <c r="I165" i="205"/>
  <c r="A164" i="205"/>
  <c r="K162" i="205"/>
  <c r="D161" i="205"/>
  <c r="O159" i="205"/>
  <c r="K158" i="205"/>
  <c r="G157" i="205"/>
  <c r="B156" i="205"/>
  <c r="O154" i="205"/>
  <c r="K153" i="205"/>
  <c r="F152" i="205"/>
  <c r="E151" i="205"/>
  <c r="F150" i="205"/>
  <c r="G149" i="205"/>
  <c r="H148" i="205"/>
  <c r="I147" i="205"/>
  <c r="J146" i="205"/>
  <c r="K145" i="205"/>
  <c r="M144" i="205"/>
  <c r="P143" i="205"/>
  <c r="E143" i="205"/>
  <c r="H142" i="205"/>
  <c r="L141" i="205"/>
  <c r="Q140" i="205"/>
  <c r="E140" i="205"/>
  <c r="K139" i="205"/>
  <c r="A139" i="205"/>
  <c r="G138" i="205"/>
  <c r="M137" i="205"/>
  <c r="C137" i="205"/>
  <c r="K136" i="205"/>
  <c r="C136" i="205"/>
  <c r="L135" i="205"/>
  <c r="D135" i="205"/>
  <c r="M134" i="205"/>
  <c r="E134" i="205"/>
  <c r="N133" i="205"/>
  <c r="F133" i="205"/>
  <c r="O132" i="205"/>
  <c r="G132" i="205"/>
  <c r="P131" i="205"/>
  <c r="H131" i="205"/>
  <c r="Q130" i="205"/>
  <c r="I130" i="205"/>
  <c r="A130" i="205"/>
  <c r="J129" i="205"/>
  <c r="B129" i="205"/>
  <c r="K128" i="205"/>
  <c r="C128" i="205"/>
  <c r="L127" i="205"/>
  <c r="D127" i="205"/>
  <c r="M126" i="205"/>
  <c r="E126" i="205"/>
  <c r="N125" i="205"/>
  <c r="F125" i="205"/>
  <c r="O124" i="205"/>
  <c r="G124" i="205"/>
  <c r="P123" i="205"/>
  <c r="H123" i="205"/>
  <c r="Q122" i="205"/>
  <c r="I122" i="205"/>
  <c r="A122" i="205"/>
  <c r="J121" i="205"/>
  <c r="B121" i="205"/>
  <c r="K120" i="205"/>
  <c r="C120" i="205"/>
  <c r="L119" i="205"/>
  <c r="D119" i="205"/>
  <c r="M118" i="205"/>
  <c r="E118" i="205"/>
  <c r="N117" i="205"/>
  <c r="F117" i="205"/>
  <c r="O116" i="205"/>
  <c r="A200" i="205"/>
  <c r="D197" i="205"/>
  <c r="O194" i="205"/>
  <c r="A192" i="205"/>
  <c r="D189" i="205"/>
  <c r="O186" i="205"/>
  <c r="I184" i="205"/>
  <c r="C182" i="205"/>
  <c r="D180" i="205"/>
  <c r="P177" i="205"/>
  <c r="G176" i="205"/>
  <c r="K174" i="205"/>
  <c r="Q172" i="205"/>
  <c r="F171" i="205"/>
  <c r="L169" i="205"/>
  <c r="P167" i="205"/>
  <c r="I166" i="205"/>
  <c r="A165" i="205"/>
  <c r="J163" i="205"/>
  <c r="D162" i="205"/>
  <c r="M160" i="205"/>
  <c r="H159" i="205"/>
  <c r="E158" i="205"/>
  <c r="Q156" i="205"/>
  <c r="L155" i="205"/>
  <c r="I154" i="205"/>
  <c r="D153" i="205"/>
  <c r="P151" i="205"/>
  <c r="Q150" i="205"/>
  <c r="A150" i="205"/>
  <c r="B149" i="205"/>
  <c r="C148" i="205"/>
  <c r="D147" i="205"/>
  <c r="E146" i="205"/>
  <c r="F145" i="205"/>
  <c r="L144" i="205"/>
  <c r="O143" i="205"/>
  <c r="B143" i="205"/>
  <c r="G142" i="205"/>
  <c r="J141" i="205"/>
  <c r="P140" i="205"/>
  <c r="C140" i="205"/>
  <c r="J139" i="205"/>
  <c r="Q138" i="205"/>
  <c r="E138" i="205"/>
  <c r="L137" i="205"/>
  <c r="B137" i="205"/>
  <c r="J136" i="205"/>
  <c r="B136" i="205"/>
  <c r="K135" i="205"/>
  <c r="C135" i="205"/>
  <c r="L134" i="205"/>
  <c r="D134" i="205"/>
  <c r="M133" i="205"/>
  <c r="E133" i="205"/>
  <c r="N132" i="205"/>
  <c r="F132" i="205"/>
  <c r="O131" i="205"/>
  <c r="G131" i="205"/>
  <c r="P130" i="205"/>
  <c r="H130" i="205"/>
  <c r="Q129" i="205"/>
  <c r="I129" i="205"/>
  <c r="A129" i="205"/>
  <c r="J128" i="205"/>
  <c r="B128" i="205"/>
  <c r="K127" i="205"/>
  <c r="C127" i="205"/>
  <c r="L126" i="205"/>
  <c r="D126" i="205"/>
  <c r="M125" i="205"/>
  <c r="E125" i="205"/>
  <c r="N124" i="205"/>
  <c r="F124" i="205"/>
  <c r="O123" i="205"/>
  <c r="G123" i="205"/>
  <c r="P122" i="205"/>
  <c r="H122" i="205"/>
  <c r="Q121" i="205"/>
  <c r="I121" i="205"/>
  <c r="A121" i="205"/>
  <c r="J120" i="205"/>
  <c r="B120" i="205"/>
  <c r="K119" i="205"/>
  <c r="C119" i="205"/>
  <c r="L118" i="205"/>
  <c r="D118" i="205"/>
  <c r="M117" i="205"/>
  <c r="E117" i="205"/>
  <c r="N116" i="205"/>
  <c r="F116" i="205"/>
  <c r="O115" i="205"/>
  <c r="G115" i="205"/>
  <c r="P114" i="205"/>
  <c r="H114" i="205"/>
  <c r="Q113" i="205"/>
  <c r="I113" i="205"/>
  <c r="A113" i="205"/>
  <c r="J112" i="205"/>
  <c r="B112" i="205"/>
  <c r="K111" i="205"/>
  <c r="C111" i="205"/>
  <c r="L110" i="205"/>
  <c r="D110" i="205"/>
  <c r="M109" i="205"/>
  <c r="E109" i="205"/>
  <c r="N108" i="205"/>
  <c r="F108" i="205"/>
  <c r="P199" i="205"/>
  <c r="B197" i="205"/>
  <c r="E194" i="205"/>
  <c r="P191" i="205"/>
  <c r="A189" i="205"/>
  <c r="G186" i="205"/>
  <c r="G184" i="205"/>
  <c r="A182" i="205"/>
  <c r="L179" i="205"/>
  <c r="O177" i="205"/>
  <c r="E176" i="205"/>
  <c r="J174" i="205"/>
  <c r="N172" i="205"/>
  <c r="D171" i="205"/>
  <c r="I169" i="205"/>
  <c r="O167" i="205"/>
  <c r="G166" i="205"/>
  <c r="Q164" i="205"/>
  <c r="H163" i="205"/>
  <c r="A162" i="205"/>
  <c r="L160" i="205"/>
  <c r="G159" i="205"/>
  <c r="C158" i="205"/>
  <c r="P156" i="205"/>
  <c r="K155" i="205"/>
  <c r="G154" i="205"/>
  <c r="C153" i="205"/>
  <c r="O151" i="205"/>
  <c r="P150" i="205"/>
  <c r="Q149" i="205"/>
  <c r="A149" i="205"/>
  <c r="B148" i="205"/>
  <c r="C147" i="205"/>
  <c r="D146" i="205"/>
  <c r="E145" i="205"/>
  <c r="I144" i="205"/>
  <c r="N143" i="205"/>
  <c r="Q142" i="205"/>
  <c r="F142" i="205"/>
  <c r="I141" i="205"/>
  <c r="M140" i="205"/>
  <c r="B140" i="205"/>
  <c r="I139" i="205"/>
  <c r="O138" i="205"/>
  <c r="D138" i="205"/>
  <c r="K137" i="205"/>
  <c r="A137" i="205"/>
  <c r="I136" i="205"/>
  <c r="A136" i="205"/>
  <c r="J135" i="205"/>
  <c r="B135" i="205"/>
  <c r="K134" i="205"/>
  <c r="C134" i="205"/>
  <c r="L133" i="205"/>
  <c r="D133" i="205"/>
  <c r="M132" i="205"/>
  <c r="E132" i="205"/>
  <c r="N131" i="205"/>
  <c r="F131" i="205"/>
  <c r="O130" i="205"/>
  <c r="G130" i="205"/>
  <c r="P129" i="205"/>
  <c r="H129" i="205"/>
  <c r="Q128" i="205"/>
  <c r="I128" i="205"/>
  <c r="A128" i="205"/>
  <c r="J127" i="205"/>
  <c r="B127" i="205"/>
  <c r="K126" i="205"/>
  <c r="C126" i="205"/>
  <c r="L125" i="205"/>
  <c r="D125" i="205"/>
  <c r="F199" i="205"/>
  <c r="Q196" i="205"/>
  <c r="Q193" i="205"/>
  <c r="F191" i="205"/>
  <c r="Q188" i="205"/>
  <c r="C186" i="205"/>
  <c r="P183" i="205"/>
  <c r="P181" i="205"/>
  <c r="J179" i="205"/>
  <c r="N177" i="205"/>
  <c r="A176" i="205"/>
  <c r="I174" i="205"/>
  <c r="M172" i="205"/>
  <c r="B171" i="205"/>
  <c r="H169" i="205"/>
  <c r="N167" i="205"/>
  <c r="D166" i="205"/>
  <c r="O164" i="205"/>
  <c r="G163" i="205"/>
  <c r="P161" i="205"/>
  <c r="K160" i="205"/>
  <c r="F159" i="205"/>
  <c r="A158" i="205"/>
  <c r="O156" i="205"/>
  <c r="J155" i="205"/>
  <c r="E154" i="205"/>
  <c r="B153" i="205"/>
  <c r="N151" i="205"/>
  <c r="O150" i="205"/>
  <c r="P149" i="205"/>
  <c r="Q148" i="205"/>
  <c r="A148" i="205"/>
  <c r="B147" i="205"/>
  <c r="C146" i="205"/>
  <c r="D145" i="205"/>
  <c r="G144" i="205"/>
  <c r="M143" i="205"/>
  <c r="P142" i="205"/>
  <c r="C142" i="205"/>
  <c r="H141" i="205"/>
  <c r="K140" i="205"/>
  <c r="A140" i="205"/>
  <c r="H139" i="205"/>
  <c r="M138" i="205"/>
  <c r="C138" i="205"/>
  <c r="J137" i="205"/>
  <c r="Q136" i="205"/>
  <c r="H136" i="205"/>
  <c r="Q135" i="205"/>
  <c r="I135" i="205"/>
  <c r="A135" i="205"/>
  <c r="J134" i="205"/>
  <c r="B134" i="205"/>
  <c r="K133" i="205"/>
  <c r="C133" i="205"/>
  <c r="L132" i="205"/>
  <c r="D132" i="205"/>
  <c r="M131" i="205"/>
  <c r="E131" i="205"/>
  <c r="N130" i="205"/>
  <c r="F130" i="205"/>
  <c r="O129" i="205"/>
  <c r="G129" i="205"/>
  <c r="P128" i="205"/>
  <c r="H128" i="205"/>
  <c r="Q127" i="205"/>
  <c r="I127" i="205"/>
  <c r="A127" i="205"/>
  <c r="J126" i="205"/>
  <c r="B126" i="205"/>
  <c r="K125" i="205"/>
  <c r="C125" i="205"/>
  <c r="L124" i="205"/>
  <c r="D124" i="205"/>
  <c r="M123" i="205"/>
  <c r="E123" i="205"/>
  <c r="N122" i="205"/>
  <c r="F122" i="205"/>
  <c r="O121" i="205"/>
  <c r="G121" i="205"/>
  <c r="P120" i="205"/>
  <c r="H120" i="205"/>
  <c r="Q119" i="205"/>
  <c r="I119" i="205"/>
  <c r="A119" i="205"/>
  <c r="J118" i="205"/>
  <c r="B118" i="205"/>
  <c r="K117" i="205"/>
  <c r="C117" i="205"/>
  <c r="L116" i="205"/>
  <c r="D116" i="205"/>
  <c r="M115" i="205"/>
  <c r="E115" i="205"/>
  <c r="N114" i="205"/>
  <c r="F114" i="205"/>
  <c r="O113" i="205"/>
  <c r="G113" i="205"/>
  <c r="P112" i="205"/>
  <c r="H112" i="205"/>
  <c r="Q111" i="205"/>
  <c r="I111" i="205"/>
  <c r="A111" i="205"/>
  <c r="J110" i="205"/>
  <c r="B110" i="205"/>
  <c r="K109" i="205"/>
  <c r="C109" i="205"/>
  <c r="L108" i="205"/>
  <c r="D108" i="205"/>
  <c r="A199" i="205"/>
  <c r="E196" i="205"/>
  <c r="P193" i="205"/>
  <c r="Q190" i="205"/>
  <c r="E188" i="205"/>
  <c r="Q185" i="205"/>
  <c r="J183" i="205"/>
  <c r="H181" i="205"/>
  <c r="F179" i="205"/>
  <c r="M177" i="205"/>
  <c r="Q175" i="205"/>
  <c r="G174" i="205"/>
  <c r="L172" i="205"/>
  <c r="P170" i="205"/>
  <c r="F169" i="205"/>
  <c r="K167" i="205"/>
  <c r="C166" i="205"/>
  <c r="M164" i="205"/>
  <c r="F163" i="205"/>
  <c r="O161" i="205"/>
  <c r="I160" i="205"/>
  <c r="E159" i="205"/>
  <c r="Q157" i="205"/>
  <c r="M156" i="205"/>
  <c r="I155" i="205"/>
  <c r="D154" i="205"/>
  <c r="Q152" i="205"/>
  <c r="M151" i="205"/>
  <c r="N150" i="205"/>
  <c r="O149" i="205"/>
  <c r="P148" i="205"/>
  <c r="Q147" i="205"/>
  <c r="A147" i="205"/>
  <c r="B146" i="205"/>
  <c r="C145" i="205"/>
  <c r="F144" i="205"/>
  <c r="J143" i="205"/>
  <c r="O142" i="205"/>
  <c r="A142" i="205"/>
  <c r="G141" i="205"/>
  <c r="J140" i="205"/>
  <c r="Q139" i="205"/>
  <c r="F139" i="205"/>
  <c r="L138" i="205"/>
  <c r="B138" i="205"/>
  <c r="H137" i="205"/>
  <c r="O136" i="205"/>
  <c r="G136" i="205"/>
  <c r="P135" i="205"/>
  <c r="H135" i="205"/>
  <c r="Q134" i="205"/>
  <c r="I134" i="205"/>
  <c r="A134" i="205"/>
  <c r="J133" i="205"/>
  <c r="B133" i="205"/>
  <c r="K132" i="205"/>
  <c r="C132" i="205"/>
  <c r="L131" i="205"/>
  <c r="D131" i="205"/>
  <c r="M130" i="205"/>
  <c r="E130" i="205"/>
  <c r="N129" i="205"/>
  <c r="F129" i="205"/>
  <c r="O128" i="205"/>
  <c r="G128" i="205"/>
  <c r="P127" i="205"/>
  <c r="H127" i="205"/>
  <c r="Q126" i="205"/>
  <c r="I126" i="205"/>
  <c r="A126" i="205"/>
  <c r="J125" i="205"/>
  <c r="B125" i="205"/>
  <c r="K124" i="205"/>
  <c r="C124" i="205"/>
  <c r="L123" i="205"/>
  <c r="D123" i="205"/>
  <c r="M122" i="205"/>
  <c r="E122" i="205"/>
  <c r="N121" i="205"/>
  <c r="F121" i="205"/>
  <c r="O120" i="205"/>
  <c r="G120" i="205"/>
  <c r="P119" i="205"/>
  <c r="H119" i="205"/>
  <c r="Q118" i="205"/>
  <c r="Q198" i="205"/>
  <c r="O192" i="205"/>
  <c r="F185" i="205"/>
  <c r="O178" i="205"/>
  <c r="F175" i="205"/>
  <c r="F170" i="205"/>
  <c r="L165" i="205"/>
  <c r="M162" i="205"/>
  <c r="N158" i="205"/>
  <c r="B155" i="205"/>
  <c r="G152" i="205"/>
  <c r="I149" i="205"/>
  <c r="M146" i="205"/>
  <c r="N144" i="205"/>
  <c r="K142" i="205"/>
  <c r="I140" i="205"/>
  <c r="B139" i="205"/>
  <c r="E137" i="205"/>
  <c r="O135" i="205"/>
  <c r="N134" i="205"/>
  <c r="H133" i="205"/>
  <c r="B132" i="205"/>
  <c r="A131" i="205"/>
  <c r="L129" i="205"/>
  <c r="F128" i="205"/>
  <c r="E127" i="205"/>
  <c r="P125" i="205"/>
  <c r="M124" i="205"/>
  <c r="N123" i="205"/>
  <c r="O122" i="205"/>
  <c r="P121" i="205"/>
  <c r="Q120" i="205"/>
  <c r="A120" i="205"/>
  <c r="B119" i="205"/>
  <c r="F118" i="205"/>
  <c r="I117" i="205"/>
  <c r="M116" i="205"/>
  <c r="B116" i="205"/>
  <c r="I115" i="205"/>
  <c r="O114" i="205"/>
  <c r="D114" i="205"/>
  <c r="K113" i="205"/>
  <c r="Q112" i="205"/>
  <c r="F112" i="205"/>
  <c r="M111" i="205"/>
  <c r="B111" i="205"/>
  <c r="H110" i="205"/>
  <c r="O109" i="205"/>
  <c r="D109" i="205"/>
  <c r="J108" i="205"/>
  <c r="Q107" i="205"/>
  <c r="I107" i="205"/>
  <c r="A107" i="205"/>
  <c r="J106" i="205"/>
  <c r="B106" i="205"/>
  <c r="K105" i="205"/>
  <c r="C105" i="205"/>
  <c r="L104" i="205"/>
  <c r="D104" i="205"/>
  <c r="M103" i="205"/>
  <c r="E103" i="205"/>
  <c r="N102" i="205"/>
  <c r="F102" i="205"/>
  <c r="O101" i="205"/>
  <c r="G101" i="205"/>
  <c r="P100" i="205"/>
  <c r="H100" i="205"/>
  <c r="Q99" i="205"/>
  <c r="I99" i="205"/>
  <c r="A99" i="205"/>
  <c r="J98" i="205"/>
  <c r="B98" i="205"/>
  <c r="K97" i="205"/>
  <c r="C97" i="205"/>
  <c r="L96" i="205"/>
  <c r="D96" i="205"/>
  <c r="M95" i="205"/>
  <c r="E95" i="205"/>
  <c r="G198" i="205"/>
  <c r="P190" i="205"/>
  <c r="E185" i="205"/>
  <c r="M178" i="205"/>
  <c r="P173" i="205"/>
  <c r="E170" i="205"/>
  <c r="K165" i="205"/>
  <c r="G161" i="205"/>
  <c r="M158" i="205"/>
  <c r="A155" i="205"/>
  <c r="H151" i="205"/>
  <c r="H149" i="205"/>
  <c r="L146" i="205"/>
  <c r="E144" i="205"/>
  <c r="I142" i="205"/>
  <c r="H140" i="205"/>
  <c r="K138" i="205"/>
  <c r="D137" i="205"/>
  <c r="N135" i="205"/>
  <c r="H134" i="205"/>
  <c r="G133" i="205"/>
  <c r="A132" i="205"/>
  <c r="L130" i="205"/>
  <c r="K129" i="205"/>
  <c r="E128" i="205"/>
  <c r="P126" i="205"/>
  <c r="O125" i="205"/>
  <c r="J124" i="205"/>
  <c r="K123" i="205"/>
  <c r="L122" i="205"/>
  <c r="M121" i="205"/>
  <c r="N120" i="205"/>
  <c r="O119" i="205"/>
  <c r="P118" i="205"/>
  <c r="C118" i="205"/>
  <c r="H117" i="205"/>
  <c r="K116" i="205"/>
  <c r="A116" i="205"/>
  <c r="H115" i="205"/>
  <c r="M114" i="205"/>
  <c r="C114" i="205"/>
  <c r="J113" i="205"/>
  <c r="O112" i="205"/>
  <c r="E112" i="205"/>
  <c r="L111" i="205"/>
  <c r="Q110" i="205"/>
  <c r="G110" i="205"/>
  <c r="N109" i="205"/>
  <c r="B109" i="205"/>
  <c r="I108" i="205"/>
  <c r="P107" i="205"/>
  <c r="H107" i="205"/>
  <c r="Q106" i="205"/>
  <c r="I106" i="205"/>
  <c r="A106" i="205"/>
  <c r="J105" i="205"/>
  <c r="B105" i="205"/>
  <c r="K104" i="205"/>
  <c r="C104" i="205"/>
  <c r="L103" i="205"/>
  <c r="D103" i="205"/>
  <c r="M102" i="205"/>
  <c r="E102" i="205"/>
  <c r="N101" i="205"/>
  <c r="F101" i="205"/>
  <c r="O100" i="205"/>
  <c r="G100" i="205"/>
  <c r="P99" i="205"/>
  <c r="H99" i="205"/>
  <c r="Q98" i="205"/>
  <c r="I98" i="205"/>
  <c r="A98" i="205"/>
  <c r="J97" i="205"/>
  <c r="B97" i="205"/>
  <c r="K96" i="205"/>
  <c r="C96" i="205"/>
  <c r="L95" i="205"/>
  <c r="D95" i="205"/>
  <c r="M94" i="205"/>
  <c r="A198" i="205"/>
  <c r="D190" i="205"/>
  <c r="I183" i="205"/>
  <c r="K178" i="205"/>
  <c r="L173" i="205"/>
  <c r="O168" i="205"/>
  <c r="J165" i="205"/>
  <c r="F161" i="205"/>
  <c r="J157" i="205"/>
  <c r="Q154" i="205"/>
  <c r="G151" i="205"/>
  <c r="K148" i="205"/>
  <c r="K146" i="205"/>
  <c r="D144" i="205"/>
  <c r="Q141" i="205"/>
  <c r="G140" i="205"/>
  <c r="J138" i="205"/>
  <c r="N136" i="205"/>
  <c r="M135" i="205"/>
  <c r="G134" i="205"/>
  <c r="A133" i="205"/>
  <c r="Q131" i="205"/>
  <c r="K130" i="205"/>
  <c r="E129" i="205"/>
  <c r="D128" i="205"/>
  <c r="O126" i="205"/>
  <c r="I125" i="205"/>
  <c r="I124" i="205"/>
  <c r="J123" i="205"/>
  <c r="K122" i="205"/>
  <c r="L121" i="205"/>
  <c r="M120" i="205"/>
  <c r="N119" i="205"/>
  <c r="O118" i="205"/>
  <c r="A118" i="205"/>
  <c r="G117" i="205"/>
  <c r="J116" i="205"/>
  <c r="Q115" i="205"/>
  <c r="F115" i="205"/>
  <c r="L114" i="205"/>
  <c r="B114" i="205"/>
  <c r="H113" i="205"/>
  <c r="N112" i="205"/>
  <c r="D112" i="205"/>
  <c r="J111" i="205"/>
  <c r="P110" i="205"/>
  <c r="F110" i="205"/>
  <c r="L109" i="205"/>
  <c r="A109" i="205"/>
  <c r="H108" i="205"/>
  <c r="O107" i="205"/>
  <c r="G107" i="205"/>
  <c r="P106" i="205"/>
  <c r="H106" i="205"/>
  <c r="Q105" i="205"/>
  <c r="I105" i="205"/>
  <c r="A105" i="205"/>
  <c r="J104" i="205"/>
  <c r="B104" i="205"/>
  <c r="K103" i="205"/>
  <c r="C103" i="205"/>
  <c r="L102" i="205"/>
  <c r="D102" i="205"/>
  <c r="M101" i="205"/>
  <c r="E101" i="205"/>
  <c r="N100" i="205"/>
  <c r="F100" i="205"/>
  <c r="O99" i="205"/>
  <c r="G99" i="205"/>
  <c r="P98" i="205"/>
  <c r="H98" i="205"/>
  <c r="Q97" i="205"/>
  <c r="I97" i="205"/>
  <c r="A97" i="205"/>
  <c r="J96" i="205"/>
  <c r="B96" i="205"/>
  <c r="K95" i="205"/>
  <c r="C95" i="205"/>
  <c r="L94" i="205"/>
  <c r="D94" i="205"/>
  <c r="M93" i="205"/>
  <c r="E93" i="205"/>
  <c r="N92" i="205"/>
  <c r="F92" i="205"/>
  <c r="O91" i="205"/>
  <c r="A196" i="205"/>
  <c r="A190" i="205"/>
  <c r="Q182" i="205"/>
  <c r="D177" i="205"/>
  <c r="J173" i="205"/>
  <c r="M168" i="205"/>
  <c r="F164" i="205"/>
  <c r="E161" i="205"/>
  <c r="I157" i="205"/>
  <c r="N153" i="205"/>
  <c r="F151" i="205"/>
  <c r="J148" i="205"/>
  <c r="N145" i="205"/>
  <c r="A144" i="205"/>
  <c r="P141" i="205"/>
  <c r="P139" i="205"/>
  <c r="I138" i="205"/>
  <c r="M136" i="205"/>
  <c r="G135" i="205"/>
  <c r="F134" i="205"/>
  <c r="Q132" i="205"/>
  <c r="K131" i="205"/>
  <c r="J130" i="205"/>
  <c r="D129" i="205"/>
  <c r="O127" i="205"/>
  <c r="N126" i="205"/>
  <c r="H125" i="205"/>
  <c r="H124" i="205"/>
  <c r="I123" i="205"/>
  <c r="J122" i="205"/>
  <c r="K121" i="205"/>
  <c r="L120" i="205"/>
  <c r="M119" i="205"/>
  <c r="N118" i="205"/>
  <c r="Q117" i="205"/>
  <c r="D117" i="205"/>
  <c r="I116" i="205"/>
  <c r="P115" i="205"/>
  <c r="D115" i="205"/>
  <c r="K114" i="205"/>
  <c r="A114" i="205"/>
  <c r="F113" i="205"/>
  <c r="M112" i="205"/>
  <c r="C112" i="205"/>
  <c r="H111" i="205"/>
  <c r="O110" i="205"/>
  <c r="E110" i="205"/>
  <c r="J109" i="205"/>
  <c r="Q108" i="205"/>
  <c r="G108" i="205"/>
  <c r="N107" i="205"/>
  <c r="F107" i="205"/>
  <c r="O195" i="205"/>
  <c r="A188" i="205"/>
  <c r="O182" i="205"/>
  <c r="A177" i="205"/>
  <c r="C172" i="205"/>
  <c r="I168" i="205"/>
  <c r="D164" i="205"/>
  <c r="C160" i="205"/>
  <c r="H157" i="205"/>
  <c r="M153" i="205"/>
  <c r="I150" i="205"/>
  <c r="I148" i="205"/>
  <c r="M145" i="205"/>
  <c r="H143" i="205"/>
  <c r="O141" i="205"/>
  <c r="N139" i="205"/>
  <c r="A138" i="205"/>
  <c r="L136" i="205"/>
  <c r="F135" i="205"/>
  <c r="Q133" i="205"/>
  <c r="P132" i="205"/>
  <c r="J131" i="205"/>
  <c r="D130" i="205"/>
  <c r="C129" i="205"/>
  <c r="N127" i="205"/>
  <c r="H126" i="205"/>
  <c r="G125" i="205"/>
  <c r="E124" i="205"/>
  <c r="F123" i="205"/>
  <c r="G122" i="205"/>
  <c r="H121" i="205"/>
  <c r="I120" i="205"/>
  <c r="J119" i="205"/>
  <c r="K118" i="205"/>
  <c r="P117" i="205"/>
  <c r="B117" i="205"/>
  <c r="H116" i="205"/>
  <c r="N115" i="205"/>
  <c r="C115" i="205"/>
  <c r="J114" i="205"/>
  <c r="P113" i="205"/>
  <c r="E113" i="205"/>
  <c r="L112" i="205"/>
  <c r="A112" i="205"/>
  <c r="G111" i="205"/>
  <c r="N110" i="205"/>
  <c r="C110" i="205"/>
  <c r="I109" i="205"/>
  <c r="P108" i="205"/>
  <c r="E108" i="205"/>
  <c r="M107" i="205"/>
  <c r="E107" i="205"/>
  <c r="N106" i="205"/>
  <c r="F106" i="205"/>
  <c r="O105" i="205"/>
  <c r="G105" i="205"/>
  <c r="P104" i="205"/>
  <c r="H104" i="205"/>
  <c r="Q103" i="205"/>
  <c r="I103" i="205"/>
  <c r="A103" i="205"/>
  <c r="J102" i="205"/>
  <c r="B102" i="205"/>
  <c r="K101" i="205"/>
  <c r="C101" i="205"/>
  <c r="L100" i="205"/>
  <c r="D100" i="205"/>
  <c r="M99" i="205"/>
  <c r="E99" i="205"/>
  <c r="N98" i="205"/>
  <c r="F98" i="205"/>
  <c r="O97" i="205"/>
  <c r="G97" i="205"/>
  <c r="P96" i="205"/>
  <c r="H96" i="205"/>
  <c r="Q95" i="205"/>
  <c r="I95" i="205"/>
  <c r="A95" i="205"/>
  <c r="E195" i="205"/>
  <c r="I180" i="205"/>
  <c r="B167" i="205"/>
  <c r="G156" i="205"/>
  <c r="J149" i="205"/>
  <c r="F143" i="205"/>
  <c r="P137" i="205"/>
  <c r="O134" i="205"/>
  <c r="C131" i="205"/>
  <c r="M127" i="205"/>
  <c r="P124" i="205"/>
  <c r="C122" i="205"/>
  <c r="G119" i="205"/>
  <c r="J117" i="205"/>
  <c r="K115" i="205"/>
  <c r="N113" i="205"/>
  <c r="G112" i="205"/>
  <c r="K110" i="205"/>
  <c r="O108" i="205"/>
  <c r="J107" i="205"/>
  <c r="G106" i="205"/>
  <c r="H105" i="205"/>
  <c r="I104" i="205"/>
  <c r="J103" i="205"/>
  <c r="K102" i="205"/>
  <c r="L101" i="205"/>
  <c r="M100" i="205"/>
  <c r="N99" i="205"/>
  <c r="O98" i="205"/>
  <c r="P97" i="205"/>
  <c r="Q96" i="205"/>
  <c r="A96" i="205"/>
  <c r="B95" i="205"/>
  <c r="H94" i="205"/>
  <c r="P93" i="205"/>
  <c r="G93" i="205"/>
  <c r="O92" i="205"/>
  <c r="E92" i="205"/>
  <c r="M91" i="205"/>
  <c r="E91" i="205"/>
  <c r="N90" i="205"/>
  <c r="F90" i="205"/>
  <c r="O89" i="205"/>
  <c r="G89" i="205"/>
  <c r="P88" i="205"/>
  <c r="H88" i="205"/>
  <c r="Q87" i="205"/>
  <c r="I87" i="205"/>
  <c r="A87" i="205"/>
  <c r="J86" i="205"/>
  <c r="B86" i="205"/>
  <c r="K85" i="205"/>
  <c r="C85" i="205"/>
  <c r="L84" i="205"/>
  <c r="D84" i="205"/>
  <c r="M83" i="205"/>
  <c r="E83" i="205"/>
  <c r="N82" i="205"/>
  <c r="F82" i="205"/>
  <c r="O81" i="205"/>
  <c r="G81" i="205"/>
  <c r="P80" i="205"/>
  <c r="H80" i="205"/>
  <c r="Q79" i="205"/>
  <c r="I79" i="205"/>
  <c r="A79" i="205"/>
  <c r="J78" i="205"/>
  <c r="B78" i="205"/>
  <c r="K77" i="205"/>
  <c r="C77" i="205"/>
  <c r="L76" i="205"/>
  <c r="D76" i="205"/>
  <c r="M75" i="205"/>
  <c r="E75" i="205"/>
  <c r="N74" i="205"/>
  <c r="F74" i="205"/>
  <c r="O73" i="205"/>
  <c r="G73" i="205"/>
  <c r="P72" i="205"/>
  <c r="H72" i="205"/>
  <c r="Q71" i="205"/>
  <c r="I71" i="205"/>
  <c r="A71" i="205"/>
  <c r="J70" i="205"/>
  <c r="B70" i="205"/>
  <c r="K69" i="205"/>
  <c r="C69" i="205"/>
  <c r="L68" i="205"/>
  <c r="D68" i="205"/>
  <c r="M67" i="205"/>
  <c r="E67" i="205"/>
  <c r="N66" i="205"/>
  <c r="F66" i="205"/>
  <c r="O65" i="205"/>
  <c r="G65" i="205"/>
  <c r="P64" i="205"/>
  <c r="H64" i="205"/>
  <c r="Q63" i="205"/>
  <c r="I63" i="205"/>
  <c r="A63" i="205"/>
  <c r="J62" i="205"/>
  <c r="B62" i="205"/>
  <c r="K61" i="205"/>
  <c r="C61" i="205"/>
  <c r="L60" i="205"/>
  <c r="D60" i="205"/>
  <c r="M59" i="205"/>
  <c r="E59" i="205"/>
  <c r="N58" i="205"/>
  <c r="F58" i="205"/>
  <c r="O57" i="205"/>
  <c r="G57" i="205"/>
  <c r="P56" i="205"/>
  <c r="H56" i="205"/>
  <c r="Q55" i="205"/>
  <c r="I55" i="205"/>
  <c r="A55" i="205"/>
  <c r="J54" i="205"/>
  <c r="B54" i="205"/>
  <c r="K53" i="205"/>
  <c r="C53" i="205"/>
  <c r="L52" i="205"/>
  <c r="D52" i="205"/>
  <c r="M51" i="205"/>
  <c r="E51" i="205"/>
  <c r="N50" i="205"/>
  <c r="F50" i="205"/>
  <c r="O49" i="205"/>
  <c r="G49" i="205"/>
  <c r="P48" i="205"/>
  <c r="H48" i="205"/>
  <c r="Q47" i="205"/>
  <c r="I47" i="205"/>
  <c r="A47" i="205"/>
  <c r="J46" i="205"/>
  <c r="B46" i="205"/>
  <c r="K45" i="205"/>
  <c r="C45" i="205"/>
  <c r="L44" i="205"/>
  <c r="D44" i="205"/>
  <c r="M43" i="205"/>
  <c r="E43" i="205"/>
  <c r="N42" i="205"/>
  <c r="F42" i="205"/>
  <c r="O41" i="205"/>
  <c r="G41" i="205"/>
  <c r="P40" i="205"/>
  <c r="H40" i="205"/>
  <c r="Q39" i="205"/>
  <c r="I39" i="205"/>
  <c r="A39" i="205"/>
  <c r="J38" i="205"/>
  <c r="B38" i="205"/>
  <c r="K37" i="205"/>
  <c r="C37" i="205"/>
  <c r="L36" i="205"/>
  <c r="D36" i="205"/>
  <c r="M35" i="205"/>
  <c r="E35" i="205"/>
  <c r="F193" i="205"/>
  <c r="Q176" i="205"/>
  <c r="A167" i="205"/>
  <c r="E156" i="205"/>
  <c r="L147" i="205"/>
  <c r="N142" i="205"/>
  <c r="N137" i="205"/>
  <c r="P133" i="205"/>
  <c r="B131" i="205"/>
  <c r="G127" i="205"/>
  <c r="B124" i="205"/>
  <c r="B122" i="205"/>
  <c r="F119" i="205"/>
  <c r="A117" i="205"/>
  <c r="J115" i="205"/>
  <c r="M113" i="205"/>
  <c r="P111" i="205"/>
  <c r="I110" i="205"/>
  <c r="M108" i="205"/>
  <c r="D107" i="205"/>
  <c r="E106" i="205"/>
  <c r="F105" i="205"/>
  <c r="G104" i="205"/>
  <c r="H103" i="205"/>
  <c r="I102" i="205"/>
  <c r="J101" i="205"/>
  <c r="K100" i="205"/>
  <c r="L99" i="205"/>
  <c r="M98" i="205"/>
  <c r="N97" i="205"/>
  <c r="O96" i="205"/>
  <c r="P95" i="205"/>
  <c r="Q94" i="205"/>
  <c r="G94" i="205"/>
  <c r="O93" i="205"/>
  <c r="F93" i="205"/>
  <c r="M92" i="205"/>
  <c r="D92" i="205"/>
  <c r="L91" i="205"/>
  <c r="D91" i="205"/>
  <c r="M90" i="205"/>
  <c r="E90" i="205"/>
  <c r="N89" i="205"/>
  <c r="F89" i="205"/>
  <c r="O88" i="205"/>
  <c r="G88" i="205"/>
  <c r="P87" i="205"/>
  <c r="H87" i="205"/>
  <c r="Q86" i="205"/>
  <c r="I86" i="205"/>
  <c r="A86" i="205"/>
  <c r="J85" i="205"/>
  <c r="B85" i="205"/>
  <c r="K84" i="205"/>
  <c r="C84" i="205"/>
  <c r="L83" i="205"/>
  <c r="D83" i="205"/>
  <c r="M82" i="205"/>
  <c r="E82" i="205"/>
  <c r="N81" i="205"/>
  <c r="F81" i="205"/>
  <c r="O80" i="205"/>
  <c r="G80" i="205"/>
  <c r="P79" i="205"/>
  <c r="H79" i="205"/>
  <c r="Q78" i="205"/>
  <c r="I78" i="205"/>
  <c r="A78" i="205"/>
  <c r="J77" i="205"/>
  <c r="B77" i="205"/>
  <c r="K76" i="205"/>
  <c r="C76" i="205"/>
  <c r="L75" i="205"/>
  <c r="D75" i="205"/>
  <c r="M74" i="205"/>
  <c r="E74" i="205"/>
  <c r="N73" i="205"/>
  <c r="F73" i="205"/>
  <c r="O72" i="205"/>
  <c r="G72" i="205"/>
  <c r="P71" i="205"/>
  <c r="H71" i="205"/>
  <c r="Q70" i="205"/>
  <c r="I70" i="205"/>
  <c r="A70" i="205"/>
  <c r="J69" i="205"/>
  <c r="B69" i="205"/>
  <c r="K68" i="205"/>
  <c r="C68" i="205"/>
  <c r="L67" i="205"/>
  <c r="D67" i="205"/>
  <c r="M66" i="205"/>
  <c r="E66" i="205"/>
  <c r="N65" i="205"/>
  <c r="F65" i="205"/>
  <c r="O64" i="205"/>
  <c r="G64" i="205"/>
  <c r="P63" i="205"/>
  <c r="H63" i="205"/>
  <c r="Q62" i="205"/>
  <c r="I62" i="205"/>
  <c r="A62" i="205"/>
  <c r="J61" i="205"/>
  <c r="B61" i="205"/>
  <c r="K60" i="205"/>
  <c r="C60" i="205"/>
  <c r="L59" i="205"/>
  <c r="D59" i="205"/>
  <c r="M58" i="205"/>
  <c r="E58" i="205"/>
  <c r="N57" i="205"/>
  <c r="F57" i="205"/>
  <c r="O56" i="205"/>
  <c r="G56" i="205"/>
  <c r="P55" i="205"/>
  <c r="H55" i="205"/>
  <c r="Q54" i="205"/>
  <c r="I54" i="205"/>
  <c r="A54" i="205"/>
  <c r="J53" i="205"/>
  <c r="B53" i="205"/>
  <c r="K52" i="205"/>
  <c r="C52" i="205"/>
  <c r="L51" i="205"/>
  <c r="D51" i="205"/>
  <c r="M50" i="205"/>
  <c r="E50" i="205"/>
  <c r="N49" i="205"/>
  <c r="F49" i="205"/>
  <c r="O48" i="205"/>
  <c r="G48" i="205"/>
  <c r="P47" i="205"/>
  <c r="H47" i="205"/>
  <c r="Q46" i="205"/>
  <c r="I46" i="205"/>
  <c r="A46" i="205"/>
  <c r="J45" i="205"/>
  <c r="B45" i="205"/>
  <c r="K44" i="205"/>
  <c r="C44" i="205"/>
  <c r="L43" i="205"/>
  <c r="D43" i="205"/>
  <c r="M42" i="205"/>
  <c r="E42" i="205"/>
  <c r="N41" i="205"/>
  <c r="F41" i="205"/>
  <c r="O40" i="205"/>
  <c r="G40" i="205"/>
  <c r="P39" i="205"/>
  <c r="H39" i="205"/>
  <c r="Q38" i="205"/>
  <c r="I38" i="205"/>
  <c r="A38" i="205"/>
  <c r="J37" i="205"/>
  <c r="B37" i="205"/>
  <c r="K36" i="205"/>
  <c r="C36" i="205"/>
  <c r="L35" i="205"/>
  <c r="D35" i="205"/>
  <c r="M34" i="205"/>
  <c r="Q192" i="205"/>
  <c r="H175" i="205"/>
  <c r="B164" i="205"/>
  <c r="C156" i="205"/>
  <c r="K147" i="205"/>
  <c r="D141" i="205"/>
  <c r="F137" i="205"/>
  <c r="O133" i="205"/>
  <c r="C130" i="205"/>
  <c r="F127" i="205"/>
  <c r="A124" i="205"/>
  <c r="E121" i="205"/>
  <c r="E119" i="205"/>
  <c r="Q116" i="205"/>
  <c r="B115" i="205"/>
  <c r="L113" i="205"/>
  <c r="O111" i="205"/>
  <c r="A110" i="205"/>
  <c r="K108" i="205"/>
  <c r="C107" i="205"/>
  <c r="D106" i="205"/>
  <c r="E105" i="205"/>
  <c r="F104" i="205"/>
  <c r="G103" i="205"/>
  <c r="H102" i="205"/>
  <c r="I101" i="205"/>
  <c r="J100" i="205"/>
  <c r="K99" i="205"/>
  <c r="L98" i="205"/>
  <c r="M97" i="205"/>
  <c r="N96" i="205"/>
  <c r="O95" i="205"/>
  <c r="P94" i="205"/>
  <c r="F94" i="205"/>
  <c r="N93" i="205"/>
  <c r="D93" i="205"/>
  <c r="L92" i="205"/>
  <c r="C92" i="205"/>
  <c r="K91" i="205"/>
  <c r="C91" i="205"/>
  <c r="L90" i="205"/>
  <c r="D90" i="205"/>
  <c r="M89" i="205"/>
  <c r="E89" i="205"/>
  <c r="N88" i="205"/>
  <c r="F88" i="205"/>
  <c r="O87" i="205"/>
  <c r="G87" i="205"/>
  <c r="P86" i="205"/>
  <c r="H86" i="205"/>
  <c r="Q85" i="205"/>
  <c r="I85" i="205"/>
  <c r="A85" i="205"/>
  <c r="J84" i="205"/>
  <c r="B84" i="205"/>
  <c r="K83" i="205"/>
  <c r="C83" i="205"/>
  <c r="L82" i="205"/>
  <c r="D82" i="205"/>
  <c r="M81" i="205"/>
  <c r="E81" i="205"/>
  <c r="N80" i="205"/>
  <c r="F80" i="205"/>
  <c r="O79" i="205"/>
  <c r="G79" i="205"/>
  <c r="P78" i="205"/>
  <c r="H78" i="205"/>
  <c r="Q77" i="205"/>
  <c r="I77" i="205"/>
  <c r="A77" i="205"/>
  <c r="J76" i="205"/>
  <c r="B76" i="205"/>
  <c r="K75" i="205"/>
  <c r="C75" i="205"/>
  <c r="L74" i="205"/>
  <c r="D74" i="205"/>
  <c r="M73" i="205"/>
  <c r="E73" i="205"/>
  <c r="N72" i="205"/>
  <c r="F72" i="205"/>
  <c r="O71" i="205"/>
  <c r="G71" i="205"/>
  <c r="P70" i="205"/>
  <c r="H70" i="205"/>
  <c r="Q69" i="205"/>
  <c r="I69" i="205"/>
  <c r="A69" i="205"/>
  <c r="J68" i="205"/>
  <c r="B68" i="205"/>
  <c r="K67" i="205"/>
  <c r="C67" i="205"/>
  <c r="L66" i="205"/>
  <c r="D66" i="205"/>
  <c r="M65" i="205"/>
  <c r="E65" i="205"/>
  <c r="N64" i="205"/>
  <c r="F64" i="205"/>
  <c r="O63" i="205"/>
  <c r="G63" i="205"/>
  <c r="P62" i="205"/>
  <c r="H62" i="205"/>
  <c r="Q61" i="205"/>
  <c r="I61" i="205"/>
  <c r="A61" i="205"/>
  <c r="J60" i="205"/>
  <c r="B60" i="205"/>
  <c r="K59" i="205"/>
  <c r="C59" i="205"/>
  <c r="L58" i="205"/>
  <c r="D58" i="205"/>
  <c r="M57" i="205"/>
  <c r="E57" i="205"/>
  <c r="N56" i="205"/>
  <c r="F56" i="205"/>
  <c r="O55" i="205"/>
  <c r="G55" i="205"/>
  <c r="P54" i="205"/>
  <c r="H54" i="205"/>
  <c r="Q53" i="205"/>
  <c r="I53" i="205"/>
  <c r="A53" i="205"/>
  <c r="J52" i="205"/>
  <c r="B52" i="205"/>
  <c r="K51" i="205"/>
  <c r="C51" i="205"/>
  <c r="L50" i="205"/>
  <c r="D50" i="205"/>
  <c r="M49" i="205"/>
  <c r="E49" i="205"/>
  <c r="N48" i="205"/>
  <c r="F48" i="205"/>
  <c r="O47" i="205"/>
  <c r="G47" i="205"/>
  <c r="P46" i="205"/>
  <c r="H46" i="205"/>
  <c r="Q45" i="205"/>
  <c r="I45" i="205"/>
  <c r="A45" i="205"/>
  <c r="J44" i="205"/>
  <c r="B44" i="205"/>
  <c r="K43" i="205"/>
  <c r="C43" i="205"/>
  <c r="L42" i="205"/>
  <c r="D42" i="205"/>
  <c r="M41" i="205"/>
  <c r="E41" i="205"/>
  <c r="N40" i="205"/>
  <c r="F40" i="205"/>
  <c r="O39" i="205"/>
  <c r="G39" i="205"/>
  <c r="P38" i="205"/>
  <c r="H38" i="205"/>
  <c r="Q37" i="205"/>
  <c r="I37" i="205"/>
  <c r="A37" i="205"/>
  <c r="J36" i="205"/>
  <c r="B36" i="205"/>
  <c r="K35" i="205"/>
  <c r="C35" i="205"/>
  <c r="L34" i="205"/>
  <c r="D34" i="205"/>
  <c r="M33" i="205"/>
  <c r="E33" i="205"/>
  <c r="N32" i="205"/>
  <c r="F32" i="205"/>
  <c r="O31" i="205"/>
  <c r="G31" i="205"/>
  <c r="P30" i="205"/>
  <c r="H30" i="205"/>
  <c r="Q29" i="205"/>
  <c r="N187" i="205"/>
  <c r="G175" i="205"/>
  <c r="O162" i="205"/>
  <c r="L153" i="205"/>
  <c r="J147" i="205"/>
  <c r="B141" i="205"/>
  <c r="F136" i="205"/>
  <c r="I133" i="205"/>
  <c r="B130" i="205"/>
  <c r="G126" i="205"/>
  <c r="Q123" i="205"/>
  <c r="D121" i="205"/>
  <c r="I118" i="205"/>
  <c r="P116" i="205"/>
  <c r="A115" i="205"/>
  <c r="D113" i="205"/>
  <c r="N111" i="205"/>
  <c r="Q109" i="205"/>
  <c r="C108" i="205"/>
  <c r="B107" i="205"/>
  <c r="C106" i="205"/>
  <c r="D105" i="205"/>
  <c r="E104" i="205"/>
  <c r="F103" i="205"/>
  <c r="G102" i="205"/>
  <c r="H101" i="205"/>
  <c r="I100" i="205"/>
  <c r="J99" i="205"/>
  <c r="K98" i="205"/>
  <c r="L97" i="205"/>
  <c r="M96" i="205"/>
  <c r="N95" i="205"/>
  <c r="O94" i="205"/>
  <c r="E94" i="205"/>
  <c r="L93" i="205"/>
  <c r="C93" i="205"/>
  <c r="K92" i="205"/>
  <c r="B92" i="205"/>
  <c r="J91" i="205"/>
  <c r="B91" i="205"/>
  <c r="K90" i="205"/>
  <c r="C90" i="205"/>
  <c r="L89" i="205"/>
  <c r="D89" i="205"/>
  <c r="M88" i="205"/>
  <c r="E88" i="205"/>
  <c r="N87" i="205"/>
  <c r="F87" i="205"/>
  <c r="O86" i="205"/>
  <c r="G86" i="205"/>
  <c r="P85" i="205"/>
  <c r="H85" i="205"/>
  <c r="Q84" i="205"/>
  <c r="I84" i="205"/>
  <c r="A84" i="205"/>
  <c r="J83" i="205"/>
  <c r="B83" i="205"/>
  <c r="K82" i="205"/>
  <c r="C82" i="205"/>
  <c r="L81" i="205"/>
  <c r="D81" i="205"/>
  <c r="M80" i="205"/>
  <c r="E80" i="205"/>
  <c r="N79" i="205"/>
  <c r="F79" i="205"/>
  <c r="O78" i="205"/>
  <c r="G78" i="205"/>
  <c r="P77" i="205"/>
  <c r="H77" i="205"/>
  <c r="Q76" i="205"/>
  <c r="I76" i="205"/>
  <c r="A76" i="205"/>
  <c r="J75" i="205"/>
  <c r="B75" i="205"/>
  <c r="K74" i="205"/>
  <c r="C74" i="205"/>
  <c r="L73" i="205"/>
  <c r="D73" i="205"/>
  <c r="M72" i="205"/>
  <c r="E72" i="205"/>
  <c r="N71" i="205"/>
  <c r="F71" i="205"/>
  <c r="O70" i="205"/>
  <c r="G70" i="205"/>
  <c r="P69" i="205"/>
  <c r="H69" i="205"/>
  <c r="Q68" i="205"/>
  <c r="I68" i="205"/>
  <c r="A68" i="205"/>
  <c r="J67" i="205"/>
  <c r="B67" i="205"/>
  <c r="K66" i="205"/>
  <c r="C66" i="205"/>
  <c r="L65" i="205"/>
  <c r="D65" i="205"/>
  <c r="M64" i="205"/>
  <c r="E64" i="205"/>
  <c r="N63" i="205"/>
  <c r="F63" i="205"/>
  <c r="O62" i="205"/>
  <c r="G62" i="205"/>
  <c r="P61" i="205"/>
  <c r="H61" i="205"/>
  <c r="Q60" i="205"/>
  <c r="I60" i="205"/>
  <c r="A60" i="205"/>
  <c r="J59" i="205"/>
  <c r="B59" i="205"/>
  <c r="K58" i="205"/>
  <c r="C58" i="205"/>
  <c r="L57" i="205"/>
  <c r="D57" i="205"/>
  <c r="M56" i="205"/>
  <c r="E56" i="205"/>
  <c r="N55" i="205"/>
  <c r="F55" i="205"/>
  <c r="O54" i="205"/>
  <c r="G54" i="205"/>
  <c r="P53" i="205"/>
  <c r="H53" i="205"/>
  <c r="Q52" i="205"/>
  <c r="I52" i="205"/>
  <c r="A52" i="205"/>
  <c r="J51" i="205"/>
  <c r="B51" i="205"/>
  <c r="K50" i="205"/>
  <c r="C50" i="205"/>
  <c r="L49" i="205"/>
  <c r="D49" i="205"/>
  <c r="M48" i="205"/>
  <c r="E48" i="205"/>
  <c r="N47" i="205"/>
  <c r="F47" i="205"/>
  <c r="O46" i="205"/>
  <c r="G46" i="205"/>
  <c r="P45" i="205"/>
  <c r="H45" i="205"/>
  <c r="Q44" i="205"/>
  <c r="I44" i="205"/>
  <c r="A44" i="205"/>
  <c r="J43" i="205"/>
  <c r="B43" i="205"/>
  <c r="K42" i="205"/>
  <c r="C42" i="205"/>
  <c r="L41" i="205"/>
  <c r="D41" i="205"/>
  <c r="M40" i="205"/>
  <c r="E40" i="205"/>
  <c r="N39" i="205"/>
  <c r="F39" i="205"/>
  <c r="O38" i="205"/>
  <c r="G38" i="205"/>
  <c r="P37" i="205"/>
  <c r="H37" i="205"/>
  <c r="Q36" i="205"/>
  <c r="I36" i="205"/>
  <c r="A36" i="205"/>
  <c r="J35" i="205"/>
  <c r="B35" i="205"/>
  <c r="K34" i="205"/>
  <c r="C34" i="205"/>
  <c r="L33" i="205"/>
  <c r="D33" i="205"/>
  <c r="M32" i="205"/>
  <c r="E32" i="205"/>
  <c r="N31" i="205"/>
  <c r="F31" i="205"/>
  <c r="O30" i="205"/>
  <c r="G30" i="205"/>
  <c r="P29" i="205"/>
  <c r="D187" i="205"/>
  <c r="B172" i="205"/>
  <c r="N162" i="205"/>
  <c r="K152" i="205"/>
  <c r="L145" i="205"/>
  <c r="A141" i="205"/>
  <c r="E136" i="205"/>
  <c r="J132" i="205"/>
  <c r="M129" i="205"/>
  <c r="F126" i="205"/>
  <c r="C123" i="205"/>
  <c r="C121" i="205"/>
  <c r="H118" i="205"/>
  <c r="G116" i="205"/>
  <c r="Q114" i="205"/>
  <c r="C113" i="205"/>
  <c r="F111" i="205"/>
  <c r="P109" i="205"/>
  <c r="B108" i="205"/>
  <c r="O106" i="205"/>
  <c r="P105" i="205"/>
  <c r="Q104" i="205"/>
  <c r="A104" i="205"/>
  <c r="B103" i="205"/>
  <c r="C102" i="205"/>
  <c r="D101" i="205"/>
  <c r="E100" i="205"/>
  <c r="F99" i="205"/>
  <c r="G98" i="205"/>
  <c r="H97" i="205"/>
  <c r="I96" i="205"/>
  <c r="J95" i="205"/>
  <c r="N94" i="205"/>
  <c r="C94" i="205"/>
  <c r="K93" i="205"/>
  <c r="B93" i="205"/>
  <c r="J92" i="205"/>
  <c r="A92" i="205"/>
  <c r="I91" i="205"/>
  <c r="A91" i="205"/>
  <c r="J90" i="205"/>
  <c r="B90" i="205"/>
  <c r="K89" i="205"/>
  <c r="C89" i="205"/>
  <c r="L88" i="205"/>
  <c r="D88" i="205"/>
  <c r="M87" i="205"/>
  <c r="E87" i="205"/>
  <c r="N86" i="205"/>
  <c r="F86" i="205"/>
  <c r="O85" i="205"/>
  <c r="G85" i="205"/>
  <c r="P84" i="205"/>
  <c r="H84" i="205"/>
  <c r="Q83" i="205"/>
  <c r="I83" i="205"/>
  <c r="A83" i="205"/>
  <c r="J82" i="205"/>
  <c r="B82" i="205"/>
  <c r="K81" i="205"/>
  <c r="C81" i="205"/>
  <c r="L80" i="205"/>
  <c r="D80" i="205"/>
  <c r="M79" i="205"/>
  <c r="E79" i="205"/>
  <c r="N78" i="205"/>
  <c r="F78" i="205"/>
  <c r="O77" i="205"/>
  <c r="G77" i="205"/>
  <c r="P76" i="205"/>
  <c r="H76" i="205"/>
  <c r="Q75" i="205"/>
  <c r="I75" i="205"/>
  <c r="A75" i="205"/>
  <c r="J74" i="205"/>
  <c r="B74" i="205"/>
  <c r="K73" i="205"/>
  <c r="C73" i="205"/>
  <c r="L72" i="205"/>
  <c r="D72" i="205"/>
  <c r="M71" i="205"/>
  <c r="E71" i="205"/>
  <c r="N70" i="205"/>
  <c r="F70" i="205"/>
  <c r="O69" i="205"/>
  <c r="G69" i="205"/>
  <c r="P68" i="205"/>
  <c r="H68" i="205"/>
  <c r="Q67" i="205"/>
  <c r="I67" i="205"/>
  <c r="A67" i="205"/>
  <c r="J66" i="205"/>
  <c r="B66" i="205"/>
  <c r="K65" i="205"/>
  <c r="C65" i="205"/>
  <c r="L64" i="205"/>
  <c r="D64" i="205"/>
  <c r="M63" i="205"/>
  <c r="E63" i="205"/>
  <c r="N62" i="205"/>
  <c r="F62" i="205"/>
  <c r="O61" i="205"/>
  <c r="G61" i="205"/>
  <c r="P60" i="205"/>
  <c r="H60" i="205"/>
  <c r="Q59" i="205"/>
  <c r="I59" i="205"/>
  <c r="A59" i="205"/>
  <c r="J58" i="205"/>
  <c r="B58" i="205"/>
  <c r="K57" i="205"/>
  <c r="C57" i="205"/>
  <c r="L56" i="205"/>
  <c r="D56" i="205"/>
  <c r="M55" i="205"/>
  <c r="E55" i="205"/>
  <c r="N54" i="205"/>
  <c r="F54" i="205"/>
  <c r="O53" i="205"/>
  <c r="G53" i="205"/>
  <c r="P52" i="205"/>
  <c r="H52" i="205"/>
  <c r="Q51" i="205"/>
  <c r="I51" i="205"/>
  <c r="A51" i="205"/>
  <c r="J50" i="205"/>
  <c r="B50" i="205"/>
  <c r="K49" i="205"/>
  <c r="C49" i="205"/>
  <c r="L48" i="205"/>
  <c r="D48" i="205"/>
  <c r="M47" i="205"/>
  <c r="E47" i="205"/>
  <c r="N46" i="205"/>
  <c r="F46" i="205"/>
  <c r="O45" i="205"/>
  <c r="G45" i="205"/>
  <c r="P44" i="205"/>
  <c r="H44" i="205"/>
  <c r="Q43" i="205"/>
  <c r="I43" i="205"/>
  <c r="A43" i="205"/>
  <c r="J42" i="205"/>
  <c r="B42" i="205"/>
  <c r="K41" i="205"/>
  <c r="C41" i="205"/>
  <c r="L40" i="205"/>
  <c r="D40" i="205"/>
  <c r="M39" i="205"/>
  <c r="E39" i="205"/>
  <c r="N38" i="205"/>
  <c r="F38" i="205"/>
  <c r="O37" i="205"/>
  <c r="G37" i="205"/>
  <c r="P36" i="205"/>
  <c r="H36" i="205"/>
  <c r="Q35" i="205"/>
  <c r="I35" i="205"/>
  <c r="A35" i="205"/>
  <c r="M3" i="205"/>
  <c r="E4" i="205"/>
  <c r="N4" i="205"/>
  <c r="E5" i="205"/>
  <c r="N5" i="205"/>
  <c r="E6" i="205"/>
  <c r="N6" i="205"/>
  <c r="E7" i="205"/>
  <c r="N7" i="205"/>
  <c r="E8" i="205"/>
  <c r="M8" i="205"/>
  <c r="D9" i="205"/>
  <c r="L9" i="205"/>
  <c r="C10" i="205"/>
  <c r="K10" i="205"/>
  <c r="B11" i="205"/>
  <c r="J11" i="205"/>
  <c r="A12" i="205"/>
  <c r="I12" i="205"/>
  <c r="Q12" i="205"/>
  <c r="H13" i="205"/>
  <c r="P13" i="205"/>
  <c r="G14" i="205"/>
  <c r="O14" i="205"/>
  <c r="F15" i="205"/>
  <c r="N15" i="205"/>
  <c r="E16" i="205"/>
  <c r="M16" i="205"/>
  <c r="D17" i="205"/>
  <c r="L17" i="205"/>
  <c r="C18" i="205"/>
  <c r="K18" i="205"/>
  <c r="B19" i="205"/>
  <c r="J19" i="205"/>
  <c r="A20" i="205"/>
  <c r="I20" i="205"/>
  <c r="Q20" i="205"/>
  <c r="H21" i="205"/>
  <c r="P21" i="205"/>
  <c r="G22" i="205"/>
  <c r="O22" i="205"/>
  <c r="F23" i="205"/>
  <c r="N23" i="205"/>
  <c r="E24" i="205"/>
  <c r="M24" i="205"/>
  <c r="D25" i="205"/>
  <c r="L25" i="205"/>
  <c r="C26" i="205"/>
  <c r="K26" i="205"/>
  <c r="B27" i="205"/>
  <c r="J27" i="205"/>
  <c r="A28" i="205"/>
  <c r="I28" i="205"/>
  <c r="Q28" i="205"/>
  <c r="H29" i="205"/>
  <c r="A30" i="205"/>
  <c r="K30" i="205"/>
  <c r="D31" i="205"/>
  <c r="P31" i="205"/>
  <c r="I32" i="205"/>
  <c r="B33" i="205"/>
  <c r="N33" i="205"/>
  <c r="G34" i="205"/>
  <c r="F35" i="205"/>
  <c r="G36" i="205"/>
  <c r="M37" i="205"/>
  <c r="B39" i="205"/>
  <c r="C40" i="205"/>
  <c r="I41" i="205"/>
  <c r="O42" i="205"/>
  <c r="P43" i="205"/>
  <c r="E45" i="205"/>
  <c r="K46" i="205"/>
  <c r="L47" i="205"/>
  <c r="A49" i="205"/>
  <c r="G50" i="205"/>
  <c r="H51" i="205"/>
  <c r="N52" i="205"/>
  <c r="C54" i="205"/>
  <c r="D55" i="205"/>
  <c r="J56" i="205"/>
  <c r="P57" i="205"/>
  <c r="Q58" i="205"/>
  <c r="F60" i="205"/>
  <c r="L61" i="205"/>
  <c r="M62" i="205"/>
  <c r="B64" i="205"/>
  <c r="H65" i="205"/>
  <c r="I66" i="205"/>
  <c r="O67" i="205"/>
  <c r="D69" i="205"/>
  <c r="E70" i="205"/>
  <c r="K71" i="205"/>
  <c r="Q72" i="205"/>
  <c r="A74" i="205"/>
  <c r="G75" i="205"/>
  <c r="M76" i="205"/>
  <c r="N77" i="205"/>
  <c r="C79" i="205"/>
  <c r="I80" i="205"/>
  <c r="J81" i="205"/>
  <c r="P82" i="205"/>
  <c r="E84" i="205"/>
  <c r="F85" i="205"/>
  <c r="L86" i="205"/>
  <c r="A88" i="205"/>
  <c r="B89" i="205"/>
  <c r="H90" i="205"/>
  <c r="N91" i="205"/>
  <c r="A93" i="205"/>
  <c r="J94" i="205"/>
  <c r="D97" i="205"/>
  <c r="D99" i="205"/>
  <c r="Q101" i="205"/>
  <c r="M104" i="205"/>
  <c r="M106" i="205"/>
  <c r="D111" i="205"/>
  <c r="L115" i="205"/>
  <c r="F120" i="205"/>
  <c r="M128" i="205"/>
  <c r="C139" i="205"/>
  <c r="I152" i="205"/>
  <c r="B181" i="205"/>
  <c r="A3" i="205"/>
  <c r="N3" i="205"/>
  <c r="F4" i="205"/>
  <c r="O4" i="205"/>
  <c r="F5" i="205"/>
  <c r="O5" i="205"/>
  <c r="F6" i="205"/>
  <c r="O6" i="205"/>
  <c r="F7" i="205"/>
  <c r="O7" i="205"/>
  <c r="F8" i="205"/>
  <c r="N8" i="205"/>
  <c r="E9" i="205"/>
  <c r="M9" i="205"/>
  <c r="D10" i="205"/>
  <c r="L10" i="205"/>
  <c r="C11" i="205"/>
  <c r="K11" i="205"/>
  <c r="B12" i="205"/>
  <c r="J12" i="205"/>
  <c r="A13" i="205"/>
  <c r="I13" i="205"/>
  <c r="Q13" i="205"/>
  <c r="H14" i="205"/>
  <c r="P14" i="205"/>
  <c r="G15" i="205"/>
  <c r="O15" i="205"/>
  <c r="F16" i="205"/>
  <c r="N16" i="205"/>
  <c r="E17" i="205"/>
  <c r="M17" i="205"/>
  <c r="D18" i="205"/>
  <c r="L18" i="205"/>
  <c r="C19" i="205"/>
  <c r="K19" i="205"/>
  <c r="B20" i="205"/>
  <c r="J20" i="205"/>
  <c r="A21" i="205"/>
  <c r="I21" i="205"/>
  <c r="Q21" i="205"/>
  <c r="H22" i="205"/>
  <c r="P22" i="205"/>
  <c r="G23" i="205"/>
  <c r="O23" i="205"/>
  <c r="F24" i="205"/>
  <c r="N24" i="205"/>
  <c r="E25" i="205"/>
  <c r="M25" i="205"/>
  <c r="D26" i="205"/>
  <c r="L26" i="205"/>
  <c r="C27" i="205"/>
  <c r="K27" i="205"/>
  <c r="B28" i="205"/>
  <c r="J28" i="205"/>
  <c r="A29" i="205"/>
  <c r="I29" i="205"/>
  <c r="B30" i="205"/>
  <c r="L30" i="205"/>
  <c r="E31" i="205"/>
  <c r="Q31" i="205"/>
  <c r="J32" i="205"/>
  <c r="C33" i="205"/>
  <c r="O33" i="205"/>
  <c r="H34" i="205"/>
  <c r="G35" i="205"/>
  <c r="M36" i="205"/>
  <c r="N37" i="205"/>
  <c r="C39" i="205"/>
  <c r="I40" i="205"/>
  <c r="J41" i="205"/>
  <c r="P42" i="205"/>
  <c r="E44" i="205"/>
  <c r="F45" i="205"/>
  <c r="L46" i="205"/>
  <c r="A48" i="205"/>
  <c r="B49" i="205"/>
  <c r="H50" i="205"/>
  <c r="N51" i="205"/>
  <c r="O52" i="205"/>
  <c r="D54" i="205"/>
  <c r="J55" i="205"/>
  <c r="K56" i="205"/>
  <c r="Q57" i="205"/>
  <c r="F59" i="205"/>
  <c r="G60" i="205"/>
  <c r="M61" i="205"/>
  <c r="B63" i="205"/>
  <c r="C64" i="205"/>
  <c r="I65" i="205"/>
  <c r="O66" i="205"/>
  <c r="P67" i="205"/>
  <c r="E69" i="205"/>
  <c r="K70" i="205"/>
  <c r="L71" i="205"/>
  <c r="A73" i="205"/>
  <c r="G74" i="205"/>
  <c r="H75" i="205"/>
  <c r="N76" i="205"/>
  <c r="C78" i="205"/>
  <c r="D79" i="205"/>
  <c r="J80" i="205"/>
  <c r="P81" i="205"/>
  <c r="Q82" i="205"/>
  <c r="F84" i="205"/>
  <c r="L85" i="205"/>
  <c r="M86" i="205"/>
  <c r="B88" i="205"/>
  <c r="H89" i="205"/>
  <c r="I90" i="205"/>
  <c r="P91" i="205"/>
  <c r="H93" i="205"/>
  <c r="K94" i="205"/>
  <c r="E97" i="205"/>
  <c r="A100" i="205"/>
  <c r="A102" i="205"/>
  <c r="N104" i="205"/>
  <c r="K107" i="205"/>
  <c r="E111" i="205"/>
  <c r="C116" i="205"/>
  <c r="D122" i="205"/>
  <c r="N128" i="205"/>
  <c r="D139" i="205"/>
  <c r="O158" i="205"/>
  <c r="H185" i="205"/>
  <c r="V1" i="208"/>
  <c r="W1" i="208"/>
  <c r="X1" i="208"/>
  <c r="E5" i="173"/>
  <c r="E7" i="173"/>
  <c r="D9" i="173"/>
  <c r="B11" i="173"/>
  <c r="Q12" i="173"/>
  <c r="O14" i="173"/>
  <c r="M16" i="173"/>
  <c r="K18" i="173"/>
  <c r="I20" i="173"/>
  <c r="O22" i="173"/>
  <c r="E32" i="173"/>
  <c r="H42" i="173"/>
  <c r="J117" i="173"/>
  <c r="L3" i="173"/>
  <c r="M5" i="173"/>
  <c r="M7" i="173"/>
  <c r="K9" i="173"/>
  <c r="I11" i="173"/>
  <c r="G13" i="173"/>
  <c r="E15" i="173"/>
  <c r="C17" i="173"/>
  <c r="A19" i="173"/>
  <c r="P20" i="173"/>
  <c r="L23" i="173"/>
  <c r="J33" i="173"/>
  <c r="J43" i="173"/>
  <c r="M53" i="173"/>
  <c r="L63" i="173"/>
  <c r="F76" i="173"/>
  <c r="C95" i="173"/>
  <c r="C122" i="173"/>
  <c r="M3" i="173"/>
  <c r="N5" i="173"/>
  <c r="N7" i="173"/>
  <c r="L9" i="173"/>
  <c r="J11" i="173"/>
  <c r="H13" i="173"/>
  <c r="F15" i="173"/>
  <c r="D17" i="173"/>
  <c r="B19" i="173"/>
  <c r="Q20" i="173"/>
  <c r="M24" i="173"/>
  <c r="P34" i="173"/>
  <c r="O44" i="173"/>
  <c r="O54" i="173"/>
  <c r="C65" i="173"/>
  <c r="Q77" i="173"/>
  <c r="F97" i="173"/>
  <c r="Q126" i="173"/>
  <c r="D4" i="173"/>
  <c r="B10" i="173"/>
  <c r="M15" i="173"/>
  <c r="G21" i="173"/>
  <c r="A26" i="173"/>
  <c r="D46" i="173"/>
  <c r="C56" i="173"/>
  <c r="Q130" i="173"/>
  <c r="E4" i="173"/>
  <c r="E6" i="173"/>
  <c r="E8" i="173"/>
  <c r="C10" i="173"/>
  <c r="A12" i="173"/>
  <c r="P13" i="173"/>
  <c r="N15" i="173"/>
  <c r="L17" i="173"/>
  <c r="J19" i="173"/>
  <c r="H21" i="173"/>
  <c r="G27" i="173"/>
  <c r="F37" i="173"/>
  <c r="F47" i="173"/>
  <c r="I57" i="173"/>
  <c r="Q67" i="173"/>
  <c r="E82" i="173"/>
  <c r="N103" i="173"/>
  <c r="C138" i="173"/>
  <c r="G92" i="173"/>
  <c r="Q11" i="173"/>
  <c r="I19" i="173"/>
  <c r="H66" i="173"/>
  <c r="M4" i="173"/>
  <c r="M6" i="173"/>
  <c r="L8" i="173"/>
  <c r="J10" i="173"/>
  <c r="H12" i="173"/>
  <c r="F14" i="173"/>
  <c r="D16" i="173"/>
  <c r="B18" i="173"/>
  <c r="Q19" i="173"/>
  <c r="O21" i="173"/>
  <c r="I28" i="173"/>
  <c r="L38" i="173"/>
  <c r="K48" i="173"/>
  <c r="K58" i="173"/>
  <c r="N69" i="173"/>
  <c r="O84" i="173"/>
  <c r="P106" i="173"/>
  <c r="B145" i="173"/>
  <c r="G62" i="173"/>
  <c r="D6" i="173"/>
  <c r="O13" i="173"/>
  <c r="K17" i="173"/>
  <c r="A36" i="173"/>
  <c r="B80" i="173"/>
  <c r="N4" i="173"/>
  <c r="N6" i="173"/>
  <c r="M8" i="173"/>
  <c r="K10" i="173"/>
  <c r="I12" i="173"/>
  <c r="G14" i="173"/>
  <c r="E16" i="173"/>
  <c r="C18" i="173"/>
  <c r="A20" i="173"/>
  <c r="P21" i="173"/>
  <c r="N29" i="173"/>
  <c r="N39" i="173"/>
  <c r="Q49" i="173"/>
  <c r="P59" i="173"/>
  <c r="E71" i="173"/>
  <c r="K87" i="173"/>
  <c r="E110" i="173"/>
  <c r="Q200" i="173"/>
  <c r="I200" i="173"/>
  <c r="A200" i="173"/>
  <c r="J199" i="173"/>
  <c r="B199" i="173"/>
  <c r="K198" i="173"/>
  <c r="C198" i="173"/>
  <c r="L197" i="173"/>
  <c r="D197" i="173"/>
  <c r="M196" i="173"/>
  <c r="E196" i="173"/>
  <c r="N195" i="173"/>
  <c r="F195" i="173"/>
  <c r="O194" i="173"/>
  <c r="G194" i="173"/>
  <c r="P193" i="173"/>
  <c r="H193" i="173"/>
  <c r="Q192" i="173"/>
  <c r="I192" i="173"/>
  <c r="A192" i="173"/>
  <c r="J191" i="173"/>
  <c r="B191" i="173"/>
  <c r="K190" i="173"/>
  <c r="C190" i="173"/>
  <c r="L189" i="173"/>
  <c r="D189" i="173"/>
  <c r="M188" i="173"/>
  <c r="E188" i="173"/>
  <c r="N187" i="173"/>
  <c r="F187" i="173"/>
  <c r="O186" i="173"/>
  <c r="G186" i="173"/>
  <c r="P185" i="173"/>
  <c r="H185" i="173"/>
  <c r="Q184" i="173"/>
  <c r="I184" i="173"/>
  <c r="A184" i="173"/>
  <c r="J183" i="173"/>
  <c r="B183" i="173"/>
  <c r="K182" i="173"/>
  <c r="C182" i="173"/>
  <c r="L181" i="173"/>
  <c r="D181" i="173"/>
  <c r="M180" i="173"/>
  <c r="E180" i="173"/>
  <c r="N179" i="173"/>
  <c r="F179" i="173"/>
  <c r="O178" i="173"/>
  <c r="G178" i="173"/>
  <c r="P177" i="173"/>
  <c r="H177" i="173"/>
  <c r="Q176" i="173"/>
  <c r="I176" i="173"/>
  <c r="A176" i="173"/>
  <c r="J175" i="173"/>
  <c r="B175" i="173"/>
  <c r="K174" i="173"/>
  <c r="C174" i="173"/>
  <c r="L173" i="173"/>
  <c r="D173" i="173"/>
  <c r="M172" i="173"/>
  <c r="E172" i="173"/>
  <c r="N171" i="173"/>
  <c r="F171" i="173"/>
  <c r="O170" i="173"/>
  <c r="G170" i="173"/>
  <c r="P169" i="173"/>
  <c r="H169" i="173"/>
  <c r="Q168" i="173"/>
  <c r="I168" i="173"/>
  <c r="A168" i="173"/>
  <c r="J167" i="173"/>
  <c r="B167" i="173"/>
  <c r="K166" i="173"/>
  <c r="C166" i="173"/>
  <c r="L165" i="173"/>
  <c r="D165" i="173"/>
  <c r="M164" i="173"/>
  <c r="E164" i="173"/>
  <c r="N163" i="173"/>
  <c r="F163" i="173"/>
  <c r="O162" i="173"/>
  <c r="G162" i="173"/>
  <c r="P161" i="173"/>
  <c r="H161" i="173"/>
  <c r="P200" i="173"/>
  <c r="H200" i="173"/>
  <c r="Q199" i="173"/>
  <c r="I199" i="173"/>
  <c r="A199" i="173"/>
  <c r="J198" i="173"/>
  <c r="B198" i="173"/>
  <c r="K197" i="173"/>
  <c r="C197" i="173"/>
  <c r="L196" i="173"/>
  <c r="D196" i="173"/>
  <c r="M195" i="173"/>
  <c r="E195" i="173"/>
  <c r="N194" i="173"/>
  <c r="F194" i="173"/>
  <c r="O193" i="173"/>
  <c r="G193" i="173"/>
  <c r="P192" i="173"/>
  <c r="H192" i="173"/>
  <c r="Q191" i="173"/>
  <c r="I191" i="173"/>
  <c r="A191" i="173"/>
  <c r="J190" i="173"/>
  <c r="B190" i="173"/>
  <c r="K189" i="173"/>
  <c r="C189" i="173"/>
  <c r="L188" i="173"/>
  <c r="D188" i="173"/>
  <c r="M187" i="173"/>
  <c r="E187" i="173"/>
  <c r="N186" i="173"/>
  <c r="F186" i="173"/>
  <c r="O185" i="173"/>
  <c r="G185" i="173"/>
  <c r="P184" i="173"/>
  <c r="H184" i="173"/>
  <c r="Q183" i="173"/>
  <c r="I183" i="173"/>
  <c r="A183" i="173"/>
  <c r="J182" i="173"/>
  <c r="B182" i="173"/>
  <c r="K181" i="173"/>
  <c r="C181" i="173"/>
  <c r="L180" i="173"/>
  <c r="D180" i="173"/>
  <c r="M179" i="173"/>
  <c r="E179" i="173"/>
  <c r="N178" i="173"/>
  <c r="F178" i="173"/>
  <c r="O177" i="173"/>
  <c r="G177" i="173"/>
  <c r="P176" i="173"/>
  <c r="H176" i="173"/>
  <c r="Q175" i="173"/>
  <c r="I175" i="173"/>
  <c r="A175" i="173"/>
  <c r="J174" i="173"/>
  <c r="B174" i="173"/>
  <c r="K173" i="173"/>
  <c r="C173" i="173"/>
  <c r="L172" i="173"/>
  <c r="D172" i="173"/>
  <c r="M171" i="173"/>
  <c r="E171" i="173"/>
  <c r="N170" i="173"/>
  <c r="F170" i="173"/>
  <c r="O169" i="173"/>
  <c r="G169" i="173"/>
  <c r="P168" i="173"/>
  <c r="H168" i="173"/>
  <c r="Q167" i="173"/>
  <c r="I167" i="173"/>
  <c r="A167" i="173"/>
  <c r="J166" i="173"/>
  <c r="B166" i="173"/>
  <c r="K165" i="173"/>
  <c r="C165" i="173"/>
  <c r="L164" i="173"/>
  <c r="D164" i="173"/>
  <c r="M163" i="173"/>
  <c r="E163" i="173"/>
  <c r="N162" i="173"/>
  <c r="F162" i="173"/>
  <c r="O161" i="173"/>
  <c r="G161" i="173"/>
  <c r="O200" i="173"/>
  <c r="G200" i="173"/>
  <c r="P199" i="173"/>
  <c r="H199" i="173"/>
  <c r="Q198" i="173"/>
  <c r="I198" i="173"/>
  <c r="A198" i="173"/>
  <c r="J197" i="173"/>
  <c r="B197" i="173"/>
  <c r="K196" i="173"/>
  <c r="C196" i="173"/>
  <c r="L195" i="173"/>
  <c r="D195" i="173"/>
  <c r="M194" i="173"/>
  <c r="E194" i="173"/>
  <c r="N193" i="173"/>
  <c r="F193" i="173"/>
  <c r="O192" i="173"/>
  <c r="G192" i="173"/>
  <c r="P191" i="173"/>
  <c r="H191" i="173"/>
  <c r="Q190" i="173"/>
  <c r="I190" i="173"/>
  <c r="A190" i="173"/>
  <c r="J189" i="173"/>
  <c r="B189" i="173"/>
  <c r="K188" i="173"/>
  <c r="C188" i="173"/>
  <c r="L187" i="173"/>
  <c r="D187" i="173"/>
  <c r="M186" i="173"/>
  <c r="E186" i="173"/>
  <c r="N185" i="173"/>
  <c r="F185" i="173"/>
  <c r="O184" i="173"/>
  <c r="G184" i="173"/>
  <c r="P183" i="173"/>
  <c r="H183" i="173"/>
  <c r="Q182" i="173"/>
  <c r="I182" i="173"/>
  <c r="A182" i="173"/>
  <c r="J181" i="173"/>
  <c r="B181" i="173"/>
  <c r="K180" i="173"/>
  <c r="C180" i="173"/>
  <c r="L179" i="173"/>
  <c r="D179" i="173"/>
  <c r="M178" i="173"/>
  <c r="E178" i="173"/>
  <c r="N177" i="173"/>
  <c r="F177" i="173"/>
  <c r="O176" i="173"/>
  <c r="G176" i="173"/>
  <c r="P175" i="173"/>
  <c r="H175" i="173"/>
  <c r="Q174" i="173"/>
  <c r="I174" i="173"/>
  <c r="A174" i="173"/>
  <c r="J173" i="173"/>
  <c r="B173" i="173"/>
  <c r="K172" i="173"/>
  <c r="C172" i="173"/>
  <c r="L171" i="173"/>
  <c r="D171" i="173"/>
  <c r="M170" i="173"/>
  <c r="E170" i="173"/>
  <c r="N169" i="173"/>
  <c r="F169" i="173"/>
  <c r="O168" i="173"/>
  <c r="G168" i="173"/>
  <c r="P167" i="173"/>
  <c r="H167" i="173"/>
  <c r="Q166" i="173"/>
  <c r="I166" i="173"/>
  <c r="A166" i="173"/>
  <c r="J165" i="173"/>
  <c r="B165" i="173"/>
  <c r="K164" i="173"/>
  <c r="C164" i="173"/>
  <c r="L163" i="173"/>
  <c r="D163" i="173"/>
  <c r="M162" i="173"/>
  <c r="E162" i="173"/>
  <c r="N161" i="173"/>
  <c r="F161" i="173"/>
  <c r="N200" i="173"/>
  <c r="F200" i="173"/>
  <c r="O199" i="173"/>
  <c r="G199" i="173"/>
  <c r="P198" i="173"/>
  <c r="H198" i="173"/>
  <c r="Q197" i="173"/>
  <c r="I197" i="173"/>
  <c r="A197" i="173"/>
  <c r="J196" i="173"/>
  <c r="B196" i="173"/>
  <c r="K195" i="173"/>
  <c r="C195" i="173"/>
  <c r="L194" i="173"/>
  <c r="D194" i="173"/>
  <c r="M193" i="173"/>
  <c r="E193" i="173"/>
  <c r="N192" i="173"/>
  <c r="F192" i="173"/>
  <c r="O191" i="173"/>
  <c r="G191" i="173"/>
  <c r="P190" i="173"/>
  <c r="H190" i="173"/>
  <c r="Q189" i="173"/>
  <c r="I189" i="173"/>
  <c r="A189" i="173"/>
  <c r="J188" i="173"/>
  <c r="B188" i="173"/>
  <c r="K187" i="173"/>
  <c r="C187" i="173"/>
  <c r="L186" i="173"/>
  <c r="D186" i="173"/>
  <c r="M185" i="173"/>
  <c r="E185" i="173"/>
  <c r="N184" i="173"/>
  <c r="F184" i="173"/>
  <c r="O183" i="173"/>
  <c r="G183" i="173"/>
  <c r="P182" i="173"/>
  <c r="H182" i="173"/>
  <c r="Q181" i="173"/>
  <c r="I181" i="173"/>
  <c r="A181" i="173"/>
  <c r="J180" i="173"/>
  <c r="B180" i="173"/>
  <c r="K179" i="173"/>
  <c r="C179" i="173"/>
  <c r="L178" i="173"/>
  <c r="D178" i="173"/>
  <c r="M177" i="173"/>
  <c r="E177" i="173"/>
  <c r="N176" i="173"/>
  <c r="F176" i="173"/>
  <c r="O175" i="173"/>
  <c r="G175" i="173"/>
  <c r="P174" i="173"/>
  <c r="H174" i="173"/>
  <c r="Q173" i="173"/>
  <c r="I173" i="173"/>
  <c r="A173" i="173"/>
  <c r="J172" i="173"/>
  <c r="B172" i="173"/>
  <c r="K171" i="173"/>
  <c r="C171" i="173"/>
  <c r="L170" i="173"/>
  <c r="D170" i="173"/>
  <c r="M169" i="173"/>
  <c r="E169" i="173"/>
  <c r="N168" i="173"/>
  <c r="F168" i="173"/>
  <c r="O167" i="173"/>
  <c r="G167" i="173"/>
  <c r="P166" i="173"/>
  <c r="H166" i="173"/>
  <c r="Q165" i="173"/>
  <c r="I165" i="173"/>
  <c r="A165" i="173"/>
  <c r="J164" i="173"/>
  <c r="B164" i="173"/>
  <c r="K163" i="173"/>
  <c r="C163" i="173"/>
  <c r="L162" i="173"/>
  <c r="D162" i="173"/>
  <c r="M161" i="173"/>
  <c r="E161" i="173"/>
  <c r="M200" i="173"/>
  <c r="E200" i="173"/>
  <c r="N199" i="173"/>
  <c r="F199" i="173"/>
  <c r="O198" i="173"/>
  <c r="G198" i="173"/>
  <c r="P197" i="173"/>
  <c r="H197" i="173"/>
  <c r="Q196" i="173"/>
  <c r="I196" i="173"/>
  <c r="A196" i="173"/>
  <c r="J195" i="173"/>
  <c r="B195" i="173"/>
  <c r="K194" i="173"/>
  <c r="C194" i="173"/>
  <c r="L193" i="173"/>
  <c r="D193" i="173"/>
  <c r="M192" i="173"/>
  <c r="E192" i="173"/>
  <c r="N191" i="173"/>
  <c r="F191" i="173"/>
  <c r="O190" i="173"/>
  <c r="G190" i="173"/>
  <c r="P189" i="173"/>
  <c r="H189" i="173"/>
  <c r="Q188" i="173"/>
  <c r="I188" i="173"/>
  <c r="A188" i="173"/>
  <c r="J187" i="173"/>
  <c r="B187" i="173"/>
  <c r="K186" i="173"/>
  <c r="C186" i="173"/>
  <c r="L185" i="173"/>
  <c r="D185" i="173"/>
  <c r="M184" i="173"/>
  <c r="E184" i="173"/>
  <c r="N183" i="173"/>
  <c r="F183" i="173"/>
  <c r="O182" i="173"/>
  <c r="G182" i="173"/>
  <c r="P181" i="173"/>
  <c r="H181" i="173"/>
  <c r="Q180" i="173"/>
  <c r="I180" i="173"/>
  <c r="A180" i="173"/>
  <c r="J179" i="173"/>
  <c r="B179" i="173"/>
  <c r="K178" i="173"/>
  <c r="C178" i="173"/>
  <c r="L177" i="173"/>
  <c r="D177" i="173"/>
  <c r="M176" i="173"/>
  <c r="E176" i="173"/>
  <c r="N175" i="173"/>
  <c r="F175" i="173"/>
  <c r="O174" i="173"/>
  <c r="G174" i="173"/>
  <c r="P173" i="173"/>
  <c r="H173" i="173"/>
  <c r="Q172" i="173"/>
  <c r="I172" i="173"/>
  <c r="A172" i="173"/>
  <c r="J171" i="173"/>
  <c r="B171" i="173"/>
  <c r="K170" i="173"/>
  <c r="C170" i="173"/>
  <c r="L169" i="173"/>
  <c r="D169" i="173"/>
  <c r="M168" i="173"/>
  <c r="E168" i="173"/>
  <c r="N167" i="173"/>
  <c r="F167" i="173"/>
  <c r="O166" i="173"/>
  <c r="G166" i="173"/>
  <c r="P165" i="173"/>
  <c r="H165" i="173"/>
  <c r="Q164" i="173"/>
  <c r="I164" i="173"/>
  <c r="A164" i="173"/>
  <c r="J163" i="173"/>
  <c r="B163" i="173"/>
  <c r="K162" i="173"/>
  <c r="C162" i="173"/>
  <c r="L161" i="173"/>
  <c r="D161" i="173"/>
  <c r="L200" i="173"/>
  <c r="D200" i="173"/>
  <c r="M199" i="173"/>
  <c r="E199" i="173"/>
  <c r="N198" i="173"/>
  <c r="F198" i="173"/>
  <c r="O197" i="173"/>
  <c r="G197" i="173"/>
  <c r="P196" i="173"/>
  <c r="H196" i="173"/>
  <c r="Q195" i="173"/>
  <c r="I195" i="173"/>
  <c r="A195" i="173"/>
  <c r="J194" i="173"/>
  <c r="B194" i="173"/>
  <c r="K193" i="173"/>
  <c r="C193" i="173"/>
  <c r="L192" i="173"/>
  <c r="D192" i="173"/>
  <c r="M191" i="173"/>
  <c r="E191" i="173"/>
  <c r="N190" i="173"/>
  <c r="F190" i="173"/>
  <c r="O189" i="173"/>
  <c r="G189" i="173"/>
  <c r="P188" i="173"/>
  <c r="H188" i="173"/>
  <c r="Q187" i="173"/>
  <c r="I187" i="173"/>
  <c r="A187" i="173"/>
  <c r="J186" i="173"/>
  <c r="B186" i="173"/>
  <c r="K185" i="173"/>
  <c r="C185" i="173"/>
  <c r="L184" i="173"/>
  <c r="D184" i="173"/>
  <c r="M183" i="173"/>
  <c r="E183" i="173"/>
  <c r="N182" i="173"/>
  <c r="F182" i="173"/>
  <c r="O181" i="173"/>
  <c r="G181" i="173"/>
  <c r="P180" i="173"/>
  <c r="H180" i="173"/>
  <c r="Q179" i="173"/>
  <c r="I179" i="173"/>
  <c r="A179" i="173"/>
  <c r="J178" i="173"/>
  <c r="B178" i="173"/>
  <c r="K177" i="173"/>
  <c r="C177" i="173"/>
  <c r="L176" i="173"/>
  <c r="D176" i="173"/>
  <c r="M175" i="173"/>
  <c r="E175" i="173"/>
  <c r="N174" i="173"/>
  <c r="F174" i="173"/>
  <c r="O173" i="173"/>
  <c r="G173" i="173"/>
  <c r="P172" i="173"/>
  <c r="H172" i="173"/>
  <c r="Q171" i="173"/>
  <c r="I171" i="173"/>
  <c r="A171" i="173"/>
  <c r="J170" i="173"/>
  <c r="B170" i="173"/>
  <c r="K169" i="173"/>
  <c r="C169" i="173"/>
  <c r="L168" i="173"/>
  <c r="D168" i="173"/>
  <c r="M167" i="173"/>
  <c r="E167" i="173"/>
  <c r="N166" i="173"/>
  <c r="F166" i="173"/>
  <c r="O165" i="173"/>
  <c r="G165" i="173"/>
  <c r="P164" i="173"/>
  <c r="H164" i="173"/>
  <c r="Q163" i="173"/>
  <c r="I163" i="173"/>
  <c r="A163" i="173"/>
  <c r="J162" i="173"/>
  <c r="B162" i="173"/>
  <c r="K161" i="173"/>
  <c r="K200" i="173"/>
  <c r="M198" i="173"/>
  <c r="O196" i="173"/>
  <c r="Q194" i="173"/>
  <c r="B193" i="173"/>
  <c r="D191" i="173"/>
  <c r="F189" i="173"/>
  <c r="H187" i="173"/>
  <c r="J185" i="173"/>
  <c r="L183" i="173"/>
  <c r="N181" i="173"/>
  <c r="P179" i="173"/>
  <c r="A178" i="173"/>
  <c r="C176" i="173"/>
  <c r="E174" i="173"/>
  <c r="G172" i="173"/>
  <c r="I170" i="173"/>
  <c r="K168" i="173"/>
  <c r="M166" i="173"/>
  <c r="O164" i="173"/>
  <c r="Q162" i="173"/>
  <c r="C161" i="173"/>
  <c r="L160" i="173"/>
  <c r="D160" i="173"/>
  <c r="M159" i="173"/>
  <c r="E159" i="173"/>
  <c r="N158" i="173"/>
  <c r="F158" i="173"/>
  <c r="O157" i="173"/>
  <c r="G157" i="173"/>
  <c r="P156" i="173"/>
  <c r="H156" i="173"/>
  <c r="Q155" i="173"/>
  <c r="I155" i="173"/>
  <c r="A155" i="173"/>
  <c r="J154" i="173"/>
  <c r="B154" i="173"/>
  <c r="K153" i="173"/>
  <c r="C153" i="173"/>
  <c r="L152" i="173"/>
  <c r="D152" i="173"/>
  <c r="M151" i="173"/>
  <c r="E151" i="173"/>
  <c r="N150" i="173"/>
  <c r="F150" i="173"/>
  <c r="O149" i="173"/>
  <c r="G149" i="173"/>
  <c r="P148" i="173"/>
  <c r="H148" i="173"/>
  <c r="Q147" i="173"/>
  <c r="I147" i="173"/>
  <c r="A147" i="173"/>
  <c r="J146" i="173"/>
  <c r="B146" i="173"/>
  <c r="K145" i="173"/>
  <c r="C145" i="173"/>
  <c r="L144" i="173"/>
  <c r="D144" i="173"/>
  <c r="M143" i="173"/>
  <c r="E143" i="173"/>
  <c r="N142" i="173"/>
  <c r="F142" i="173"/>
  <c r="O141" i="173"/>
  <c r="G141" i="173"/>
  <c r="P140" i="173"/>
  <c r="H140" i="173"/>
  <c r="Q139" i="173"/>
  <c r="I139" i="173"/>
  <c r="A139" i="173"/>
  <c r="J138" i="173"/>
  <c r="B138" i="173"/>
  <c r="K137" i="173"/>
  <c r="C137" i="173"/>
  <c r="L136" i="173"/>
  <c r="D136" i="173"/>
  <c r="M135" i="173"/>
  <c r="E135" i="173"/>
  <c r="N134" i="173"/>
  <c r="F134" i="173"/>
  <c r="O133" i="173"/>
  <c r="G133" i="173"/>
  <c r="P132" i="173"/>
  <c r="H132" i="173"/>
  <c r="Q131" i="173"/>
  <c r="I131" i="173"/>
  <c r="A131" i="173"/>
  <c r="J130" i="173"/>
  <c r="B130" i="173"/>
  <c r="K129" i="173"/>
  <c r="C129" i="173"/>
  <c r="L128" i="173"/>
  <c r="D128" i="173"/>
  <c r="M127" i="173"/>
  <c r="E127" i="173"/>
  <c r="N126" i="173"/>
  <c r="F126" i="173"/>
  <c r="O125" i="173"/>
  <c r="G125" i="173"/>
  <c r="P124" i="173"/>
  <c r="H124" i="173"/>
  <c r="Q123" i="173"/>
  <c r="I123" i="173"/>
  <c r="A123" i="173"/>
  <c r="J122" i="173"/>
  <c r="B122" i="173"/>
  <c r="K121" i="173"/>
  <c r="C121" i="173"/>
  <c r="L120" i="173"/>
  <c r="D120" i="173"/>
  <c r="M119" i="173"/>
  <c r="E119" i="173"/>
  <c r="N118" i="173"/>
  <c r="F118" i="173"/>
  <c r="O117" i="173"/>
  <c r="G117" i="173"/>
  <c r="P116" i="173"/>
  <c r="H116" i="173"/>
  <c r="Q115" i="173"/>
  <c r="I115" i="173"/>
  <c r="A115" i="173"/>
  <c r="J114" i="173"/>
  <c r="J200" i="173"/>
  <c r="L198" i="173"/>
  <c r="N196" i="173"/>
  <c r="P194" i="173"/>
  <c r="A193" i="173"/>
  <c r="C191" i="173"/>
  <c r="E189" i="173"/>
  <c r="G187" i="173"/>
  <c r="I185" i="173"/>
  <c r="K183" i="173"/>
  <c r="M181" i="173"/>
  <c r="O179" i="173"/>
  <c r="Q177" i="173"/>
  <c r="B176" i="173"/>
  <c r="D174" i="173"/>
  <c r="F172" i="173"/>
  <c r="H170" i="173"/>
  <c r="J168" i="173"/>
  <c r="L166" i="173"/>
  <c r="N164" i="173"/>
  <c r="P162" i="173"/>
  <c r="B161" i="173"/>
  <c r="K160" i="173"/>
  <c r="C160" i="173"/>
  <c r="L159" i="173"/>
  <c r="D159" i="173"/>
  <c r="M158" i="173"/>
  <c r="E158" i="173"/>
  <c r="N157" i="173"/>
  <c r="F157" i="173"/>
  <c r="O156" i="173"/>
  <c r="G156" i="173"/>
  <c r="P155" i="173"/>
  <c r="H155" i="173"/>
  <c r="Q154" i="173"/>
  <c r="I154" i="173"/>
  <c r="A154" i="173"/>
  <c r="J153" i="173"/>
  <c r="B153" i="173"/>
  <c r="K152" i="173"/>
  <c r="C152" i="173"/>
  <c r="L151" i="173"/>
  <c r="D151" i="173"/>
  <c r="M150" i="173"/>
  <c r="E150" i="173"/>
  <c r="N149" i="173"/>
  <c r="F149" i="173"/>
  <c r="O148" i="173"/>
  <c r="C200" i="173"/>
  <c r="E198" i="173"/>
  <c r="G196" i="173"/>
  <c r="I194" i="173"/>
  <c r="K192" i="173"/>
  <c r="M190" i="173"/>
  <c r="O188" i="173"/>
  <c r="Q186" i="173"/>
  <c r="B185" i="173"/>
  <c r="D183" i="173"/>
  <c r="F181" i="173"/>
  <c r="H179" i="173"/>
  <c r="J177" i="173"/>
  <c r="L175" i="173"/>
  <c r="N173" i="173"/>
  <c r="P171" i="173"/>
  <c r="A170" i="173"/>
  <c r="C168" i="173"/>
  <c r="E166" i="173"/>
  <c r="G164" i="173"/>
  <c r="I162" i="173"/>
  <c r="A161" i="173"/>
  <c r="J160" i="173"/>
  <c r="B160" i="173"/>
  <c r="K159" i="173"/>
  <c r="C159" i="173"/>
  <c r="L158" i="173"/>
  <c r="D158" i="173"/>
  <c r="M157" i="173"/>
  <c r="E157" i="173"/>
  <c r="N156" i="173"/>
  <c r="F156" i="173"/>
  <c r="O155" i="173"/>
  <c r="G155" i="173"/>
  <c r="P154" i="173"/>
  <c r="H154" i="173"/>
  <c r="Q153" i="173"/>
  <c r="I153" i="173"/>
  <c r="A153" i="173"/>
  <c r="J152" i="173"/>
  <c r="B152" i="173"/>
  <c r="K151" i="173"/>
  <c r="C151" i="173"/>
  <c r="L150" i="173"/>
  <c r="D150" i="173"/>
  <c r="M149" i="173"/>
  <c r="E149" i="173"/>
  <c r="N148" i="173"/>
  <c r="F148" i="173"/>
  <c r="O147" i="173"/>
  <c r="G147" i="173"/>
  <c r="P146" i="173"/>
  <c r="H146" i="173"/>
  <c r="Q145" i="173"/>
  <c r="I145" i="173"/>
  <c r="A145" i="173"/>
  <c r="J144" i="173"/>
  <c r="B144" i="173"/>
  <c r="K143" i="173"/>
  <c r="C143" i="173"/>
  <c r="L142" i="173"/>
  <c r="D142" i="173"/>
  <c r="M141" i="173"/>
  <c r="E141" i="173"/>
  <c r="N140" i="173"/>
  <c r="F140" i="173"/>
  <c r="O139" i="173"/>
  <c r="G139" i="173"/>
  <c r="P138" i="173"/>
  <c r="H138" i="173"/>
  <c r="Q137" i="173"/>
  <c r="I137" i="173"/>
  <c r="A137" i="173"/>
  <c r="J136" i="173"/>
  <c r="B136" i="173"/>
  <c r="K135" i="173"/>
  <c r="C135" i="173"/>
  <c r="L134" i="173"/>
  <c r="D134" i="173"/>
  <c r="M133" i="173"/>
  <c r="E133" i="173"/>
  <c r="N132" i="173"/>
  <c r="F132" i="173"/>
  <c r="O131" i="173"/>
  <c r="G131" i="173"/>
  <c r="P130" i="173"/>
  <c r="B200" i="173"/>
  <c r="D198" i="173"/>
  <c r="F196" i="173"/>
  <c r="H194" i="173"/>
  <c r="J192" i="173"/>
  <c r="L190" i="173"/>
  <c r="N188" i="173"/>
  <c r="P186" i="173"/>
  <c r="A185" i="173"/>
  <c r="C183" i="173"/>
  <c r="E181" i="173"/>
  <c r="G179" i="173"/>
  <c r="I177" i="173"/>
  <c r="K175" i="173"/>
  <c r="M173" i="173"/>
  <c r="O171" i="173"/>
  <c r="Q169" i="173"/>
  <c r="B168" i="173"/>
  <c r="D166" i="173"/>
  <c r="F164" i="173"/>
  <c r="H162" i="173"/>
  <c r="Q160" i="173"/>
  <c r="I160" i="173"/>
  <c r="A160" i="173"/>
  <c r="J159" i="173"/>
  <c r="B159" i="173"/>
  <c r="K158" i="173"/>
  <c r="C158" i="173"/>
  <c r="L157" i="173"/>
  <c r="D157" i="173"/>
  <c r="M156" i="173"/>
  <c r="E156" i="173"/>
  <c r="N155" i="173"/>
  <c r="F155" i="173"/>
  <c r="O154" i="173"/>
  <c r="G154" i="173"/>
  <c r="P153" i="173"/>
  <c r="H153" i="173"/>
  <c r="Q152" i="173"/>
  <c r="I152" i="173"/>
  <c r="A152" i="173"/>
  <c r="J151" i="173"/>
  <c r="B151" i="173"/>
  <c r="K150" i="173"/>
  <c r="C150" i="173"/>
  <c r="L149" i="173"/>
  <c r="D149" i="173"/>
  <c r="M148" i="173"/>
  <c r="E148" i="173"/>
  <c r="N147" i="173"/>
  <c r="F147" i="173"/>
  <c r="O146" i="173"/>
  <c r="G146" i="173"/>
  <c r="P145" i="173"/>
  <c r="H145" i="173"/>
  <c r="Q144" i="173"/>
  <c r="I144" i="173"/>
  <c r="A144" i="173"/>
  <c r="J143" i="173"/>
  <c r="B143" i="173"/>
  <c r="K142" i="173"/>
  <c r="C142" i="173"/>
  <c r="L141" i="173"/>
  <c r="D141" i="173"/>
  <c r="M140" i="173"/>
  <c r="E140" i="173"/>
  <c r="N139" i="173"/>
  <c r="F139" i="173"/>
  <c r="O138" i="173"/>
  <c r="G138" i="173"/>
  <c r="P137" i="173"/>
  <c r="H137" i="173"/>
  <c r="Q136" i="173"/>
  <c r="I136" i="173"/>
  <c r="A136" i="173"/>
  <c r="J135" i="173"/>
  <c r="B135" i="173"/>
  <c r="K134" i="173"/>
  <c r="C134" i="173"/>
  <c r="L133" i="173"/>
  <c r="D133" i="173"/>
  <c r="M132" i="173"/>
  <c r="E132" i="173"/>
  <c r="N131" i="173"/>
  <c r="F131" i="173"/>
  <c r="O130" i="173"/>
  <c r="G130" i="173"/>
  <c r="P129" i="173"/>
  <c r="H129" i="173"/>
  <c r="Q128" i="173"/>
  <c r="I128" i="173"/>
  <c r="A128" i="173"/>
  <c r="J127" i="173"/>
  <c r="B127" i="173"/>
  <c r="K126" i="173"/>
  <c r="C126" i="173"/>
  <c r="L125" i="173"/>
  <c r="D125" i="173"/>
  <c r="M124" i="173"/>
  <c r="E124" i="173"/>
  <c r="N123" i="173"/>
  <c r="F123" i="173"/>
  <c r="O122" i="173"/>
  <c r="G122" i="173"/>
  <c r="P121" i="173"/>
  <c r="H121" i="173"/>
  <c r="Q120" i="173"/>
  <c r="I120" i="173"/>
  <c r="A120" i="173"/>
  <c r="J119" i="173"/>
  <c r="B119" i="173"/>
  <c r="K118" i="173"/>
  <c r="C118" i="173"/>
  <c r="L117" i="173"/>
  <c r="D117" i="173"/>
  <c r="M116" i="173"/>
  <c r="E116" i="173"/>
  <c r="N115" i="173"/>
  <c r="F115" i="173"/>
  <c r="K199" i="173"/>
  <c r="M197" i="173"/>
  <c r="O195" i="173"/>
  <c r="Q193" i="173"/>
  <c r="B192" i="173"/>
  <c r="D190" i="173"/>
  <c r="F188" i="173"/>
  <c r="H186" i="173"/>
  <c r="J184" i="173"/>
  <c r="L182" i="173"/>
  <c r="N180" i="173"/>
  <c r="P178" i="173"/>
  <c r="A177" i="173"/>
  <c r="C175" i="173"/>
  <c r="E173" i="173"/>
  <c r="G171" i="173"/>
  <c r="I169" i="173"/>
  <c r="K167" i="173"/>
  <c r="M165" i="173"/>
  <c r="O163" i="173"/>
  <c r="Q161" i="173"/>
  <c r="O160" i="173"/>
  <c r="G160" i="173"/>
  <c r="P159" i="173"/>
  <c r="H159" i="173"/>
  <c r="Q158" i="173"/>
  <c r="I158" i="173"/>
  <c r="A158" i="173"/>
  <c r="J157" i="173"/>
  <c r="B157" i="173"/>
  <c r="K156" i="173"/>
  <c r="C156" i="173"/>
  <c r="L155" i="173"/>
  <c r="D155" i="173"/>
  <c r="M154" i="173"/>
  <c r="E154" i="173"/>
  <c r="N153" i="173"/>
  <c r="F153" i="173"/>
  <c r="O152" i="173"/>
  <c r="G152" i="173"/>
  <c r="P151" i="173"/>
  <c r="H151" i="173"/>
  <c r="Q150" i="173"/>
  <c r="I150" i="173"/>
  <c r="A150" i="173"/>
  <c r="J149" i="173"/>
  <c r="B149" i="173"/>
  <c r="K148" i="173"/>
  <c r="C148" i="173"/>
  <c r="L147" i="173"/>
  <c r="D147" i="173"/>
  <c r="M146" i="173"/>
  <c r="E146" i="173"/>
  <c r="N145" i="173"/>
  <c r="F145" i="173"/>
  <c r="O144" i="173"/>
  <c r="G144" i="173"/>
  <c r="P143" i="173"/>
  <c r="H143" i="173"/>
  <c r="Q142" i="173"/>
  <c r="I142" i="173"/>
  <c r="A142" i="173"/>
  <c r="J141" i="173"/>
  <c r="B141" i="173"/>
  <c r="K140" i="173"/>
  <c r="C140" i="173"/>
  <c r="L139" i="173"/>
  <c r="D139" i="173"/>
  <c r="M138" i="173"/>
  <c r="E138" i="173"/>
  <c r="N137" i="173"/>
  <c r="F137" i="173"/>
  <c r="O136" i="173"/>
  <c r="G136" i="173"/>
  <c r="P135" i="173"/>
  <c r="H135" i="173"/>
  <c r="Q134" i="173"/>
  <c r="I134" i="173"/>
  <c r="A134" i="173"/>
  <c r="J133" i="173"/>
  <c r="B133" i="173"/>
  <c r="K132" i="173"/>
  <c r="C132" i="173"/>
  <c r="L131" i="173"/>
  <c r="D131" i="173"/>
  <c r="L199" i="173"/>
  <c r="G195" i="173"/>
  <c r="N189" i="173"/>
  <c r="K184" i="173"/>
  <c r="F180" i="173"/>
  <c r="M174" i="173"/>
  <c r="J169" i="173"/>
  <c r="E165" i="173"/>
  <c r="N160" i="173"/>
  <c r="I159" i="173"/>
  <c r="G158" i="173"/>
  <c r="A157" i="173"/>
  <c r="M155" i="173"/>
  <c r="K154" i="173"/>
  <c r="E153" i="173"/>
  <c r="Q151" i="173"/>
  <c r="O150" i="173"/>
  <c r="I149" i="173"/>
  <c r="G148" i="173"/>
  <c r="H147" i="173"/>
  <c r="I146" i="173"/>
  <c r="J145" i="173"/>
  <c r="K144" i="173"/>
  <c r="L143" i="173"/>
  <c r="M142" i="173"/>
  <c r="N141" i="173"/>
  <c r="O140" i="173"/>
  <c r="P139" i="173"/>
  <c r="Q138" i="173"/>
  <c r="A138" i="173"/>
  <c r="B137" i="173"/>
  <c r="C136" i="173"/>
  <c r="D135" i="173"/>
  <c r="E134" i="173"/>
  <c r="F133" i="173"/>
  <c r="G132" i="173"/>
  <c r="H131" i="173"/>
  <c r="K130" i="173"/>
  <c r="Q129" i="173"/>
  <c r="F129" i="173"/>
  <c r="M128" i="173"/>
  <c r="B128" i="173"/>
  <c r="H127" i="173"/>
  <c r="O126" i="173"/>
  <c r="D126" i="173"/>
  <c r="J125" i="173"/>
  <c r="Q124" i="173"/>
  <c r="F124" i="173"/>
  <c r="L123" i="173"/>
  <c r="B123" i="173"/>
  <c r="H122" i="173"/>
  <c r="N121" i="173"/>
  <c r="D121" i="173"/>
  <c r="J120" i="173"/>
  <c r="P119" i="173"/>
  <c r="F119" i="173"/>
  <c r="L118" i="173"/>
  <c r="A118" i="173"/>
  <c r="H117" i="173"/>
  <c r="N116" i="173"/>
  <c r="C116" i="173"/>
  <c r="J115" i="173"/>
  <c r="P114" i="173"/>
  <c r="G114" i="173"/>
  <c r="P113" i="173"/>
  <c r="H113" i="173"/>
  <c r="Q112" i="173"/>
  <c r="I112" i="173"/>
  <c r="A112" i="173"/>
  <c r="J111" i="173"/>
  <c r="B111" i="173"/>
  <c r="K110" i="173"/>
  <c r="C110" i="173"/>
  <c r="L109" i="173"/>
  <c r="D109" i="173"/>
  <c r="M108" i="173"/>
  <c r="E108" i="173"/>
  <c r="N107" i="173"/>
  <c r="F107" i="173"/>
  <c r="O106" i="173"/>
  <c r="G106" i="173"/>
  <c r="P105" i="173"/>
  <c r="H105" i="173"/>
  <c r="Q104" i="173"/>
  <c r="I104" i="173"/>
  <c r="A104" i="173"/>
  <c r="J103" i="173"/>
  <c r="B103" i="173"/>
  <c r="K102" i="173"/>
  <c r="C102" i="173"/>
  <c r="L101" i="173"/>
  <c r="D101" i="173"/>
  <c r="M100" i="173"/>
  <c r="E100" i="173"/>
  <c r="N99" i="173"/>
  <c r="F99" i="173"/>
  <c r="O98" i="173"/>
  <c r="G98" i="173"/>
  <c r="P97" i="173"/>
  <c r="H97" i="173"/>
  <c r="Q96" i="173"/>
  <c r="I96" i="173"/>
  <c r="A96" i="173"/>
  <c r="J95" i="173"/>
  <c r="B95" i="173"/>
  <c r="K94" i="173"/>
  <c r="C94" i="173"/>
  <c r="L93" i="173"/>
  <c r="D93" i="173"/>
  <c r="M92" i="173"/>
  <c r="E92" i="173"/>
  <c r="N91" i="173"/>
  <c r="F91" i="173"/>
  <c r="O90" i="173"/>
  <c r="G90" i="173"/>
  <c r="P89" i="173"/>
  <c r="H89" i="173"/>
  <c r="Q88" i="173"/>
  <c r="I88" i="173"/>
  <c r="A88" i="173"/>
  <c r="J87" i="173"/>
  <c r="B87" i="173"/>
  <c r="K86" i="173"/>
  <c r="C86" i="173"/>
  <c r="L85" i="173"/>
  <c r="D85" i="173"/>
  <c r="M84" i="173"/>
  <c r="E84" i="173"/>
  <c r="N83" i="173"/>
  <c r="F83" i="173"/>
  <c r="O82" i="173"/>
  <c r="G82" i="173"/>
  <c r="P81" i="173"/>
  <c r="H81" i="173"/>
  <c r="Q80" i="173"/>
  <c r="I80" i="173"/>
  <c r="A80" i="173"/>
  <c r="J79" i="173"/>
  <c r="B79" i="173"/>
  <c r="K78" i="173"/>
  <c r="C78" i="173"/>
  <c r="L77" i="173"/>
  <c r="D77" i="173"/>
  <c r="M76" i="173"/>
  <c r="E76" i="173"/>
  <c r="N75" i="173"/>
  <c r="F75" i="173"/>
  <c r="O74" i="173"/>
  <c r="G74" i="173"/>
  <c r="P73" i="173"/>
  <c r="H73" i="173"/>
  <c r="Q72" i="173"/>
  <c r="I72" i="173"/>
  <c r="A72" i="173"/>
  <c r="J71" i="173"/>
  <c r="B71" i="173"/>
  <c r="K70" i="173"/>
  <c r="C70" i="173"/>
  <c r="L69" i="173"/>
  <c r="D69" i="173"/>
  <c r="M68" i="173"/>
  <c r="E68" i="173"/>
  <c r="N67" i="173"/>
  <c r="F67" i="173"/>
  <c r="O66" i="173"/>
  <c r="G66" i="173"/>
  <c r="P65" i="173"/>
  <c r="H65" i="173"/>
  <c r="Q64" i="173"/>
  <c r="I64" i="173"/>
  <c r="D199" i="173"/>
  <c r="A194" i="173"/>
  <c r="M189" i="173"/>
  <c r="C184" i="173"/>
  <c r="Q178" i="173"/>
  <c r="L174" i="173"/>
  <c r="B169" i="173"/>
  <c r="P163" i="173"/>
  <c r="M160" i="173"/>
  <c r="G159" i="173"/>
  <c r="B158" i="173"/>
  <c r="Q156" i="173"/>
  <c r="K155" i="173"/>
  <c r="F154" i="173"/>
  <c r="D153" i="173"/>
  <c r="O151" i="173"/>
  <c r="J150" i="173"/>
  <c r="H149" i="173"/>
  <c r="D148" i="173"/>
  <c r="E147" i="173"/>
  <c r="F146" i="173"/>
  <c r="G145" i="173"/>
  <c r="H144" i="173"/>
  <c r="I143" i="173"/>
  <c r="J142" i="173"/>
  <c r="K141" i="173"/>
  <c r="L140" i="173"/>
  <c r="M139" i="173"/>
  <c r="N138" i="173"/>
  <c r="O137" i="173"/>
  <c r="P136" i="173"/>
  <c r="Q135" i="173"/>
  <c r="A135" i="173"/>
  <c r="B134" i="173"/>
  <c r="C133" i="173"/>
  <c r="D132" i="173"/>
  <c r="E131" i="173"/>
  <c r="I130" i="173"/>
  <c r="O129" i="173"/>
  <c r="E129" i="173"/>
  <c r="K128" i="173"/>
  <c r="Q127" i="173"/>
  <c r="G127" i="173"/>
  <c r="M126" i="173"/>
  <c r="B126" i="173"/>
  <c r="I125" i="173"/>
  <c r="O124" i="173"/>
  <c r="D124" i="173"/>
  <c r="K123" i="173"/>
  <c r="Q122" i="173"/>
  <c r="F122" i="173"/>
  <c r="M121" i="173"/>
  <c r="B121" i="173"/>
  <c r="H120" i="173"/>
  <c r="O119" i="173"/>
  <c r="D119" i="173"/>
  <c r="J118" i="173"/>
  <c r="Q117" i="173"/>
  <c r="F117" i="173"/>
  <c r="L116" i="173"/>
  <c r="B116" i="173"/>
  <c r="H115" i="173"/>
  <c r="O114" i="173"/>
  <c r="F114" i="173"/>
  <c r="O113" i="173"/>
  <c r="G113" i="173"/>
  <c r="P112" i="173"/>
  <c r="H112" i="173"/>
  <c r="Q111" i="173"/>
  <c r="I111" i="173"/>
  <c r="A111" i="173"/>
  <c r="J110" i="173"/>
  <c r="B110" i="173"/>
  <c r="K109" i="173"/>
  <c r="C109" i="173"/>
  <c r="L108" i="173"/>
  <c r="D108" i="173"/>
  <c r="M107" i="173"/>
  <c r="E107" i="173"/>
  <c r="N106" i="173"/>
  <c r="F106" i="173"/>
  <c r="O105" i="173"/>
  <c r="G105" i="173"/>
  <c r="P104" i="173"/>
  <c r="H104" i="173"/>
  <c r="Q103" i="173"/>
  <c r="I103" i="173"/>
  <c r="A103" i="173"/>
  <c r="J102" i="173"/>
  <c r="B102" i="173"/>
  <c r="K101" i="173"/>
  <c r="C101" i="173"/>
  <c r="L100" i="173"/>
  <c r="D100" i="173"/>
  <c r="M99" i="173"/>
  <c r="E99" i="173"/>
  <c r="N98" i="173"/>
  <c r="F98" i="173"/>
  <c r="O97" i="173"/>
  <c r="G97" i="173"/>
  <c r="P96" i="173"/>
  <c r="H96" i="173"/>
  <c r="Q95" i="173"/>
  <c r="I95" i="173"/>
  <c r="A95" i="173"/>
  <c r="J94" i="173"/>
  <c r="B94" i="173"/>
  <c r="K93" i="173"/>
  <c r="C93" i="173"/>
  <c r="L92" i="173"/>
  <c r="D92" i="173"/>
  <c r="M91" i="173"/>
  <c r="E91" i="173"/>
  <c r="N90" i="173"/>
  <c r="F90" i="173"/>
  <c r="O89" i="173"/>
  <c r="G89" i="173"/>
  <c r="P88" i="173"/>
  <c r="H88" i="173"/>
  <c r="Q87" i="173"/>
  <c r="I87" i="173"/>
  <c r="A87" i="173"/>
  <c r="J86" i="173"/>
  <c r="B86" i="173"/>
  <c r="K85" i="173"/>
  <c r="C85" i="173"/>
  <c r="L84" i="173"/>
  <c r="D84" i="173"/>
  <c r="M83" i="173"/>
  <c r="E83" i="173"/>
  <c r="N82" i="173"/>
  <c r="F82" i="173"/>
  <c r="O81" i="173"/>
  <c r="G81" i="173"/>
  <c r="P80" i="173"/>
  <c r="H80" i="173"/>
  <c r="Q79" i="173"/>
  <c r="I79" i="173"/>
  <c r="A79" i="173"/>
  <c r="J78" i="173"/>
  <c r="B78" i="173"/>
  <c r="K77" i="173"/>
  <c r="C77" i="173"/>
  <c r="L76" i="173"/>
  <c r="D76" i="173"/>
  <c r="M75" i="173"/>
  <c r="E75" i="173"/>
  <c r="N74" i="173"/>
  <c r="F74" i="173"/>
  <c r="O73" i="173"/>
  <c r="G73" i="173"/>
  <c r="P72" i="173"/>
  <c r="H72" i="173"/>
  <c r="Q71" i="173"/>
  <c r="I71" i="173"/>
  <c r="A71" i="173"/>
  <c r="J70" i="173"/>
  <c r="B70" i="173"/>
  <c r="K69" i="173"/>
  <c r="C69" i="173"/>
  <c r="L68" i="173"/>
  <c r="D68" i="173"/>
  <c r="M67" i="173"/>
  <c r="C199" i="173"/>
  <c r="J193" i="173"/>
  <c r="G188" i="173"/>
  <c r="B184" i="173"/>
  <c r="I178" i="173"/>
  <c r="F173" i="173"/>
  <c r="A169" i="173"/>
  <c r="H163" i="173"/>
  <c r="H160" i="173"/>
  <c r="F159" i="173"/>
  <c r="Q157" i="173"/>
  <c r="L156" i="173"/>
  <c r="J155" i="173"/>
  <c r="D154" i="173"/>
  <c r="P152" i="173"/>
  <c r="N151" i="173"/>
  <c r="H150" i="173"/>
  <c r="C149" i="173"/>
  <c r="B148" i="173"/>
  <c r="C147" i="173"/>
  <c r="D146" i="173"/>
  <c r="E145" i="173"/>
  <c r="F144" i="173"/>
  <c r="G143" i="173"/>
  <c r="H142" i="173"/>
  <c r="I141" i="173"/>
  <c r="J140" i="173"/>
  <c r="K139" i="173"/>
  <c r="L138" i="173"/>
  <c r="M137" i="173"/>
  <c r="N136" i="173"/>
  <c r="O135" i="173"/>
  <c r="P134" i="173"/>
  <c r="Q133" i="173"/>
  <c r="A133" i="173"/>
  <c r="B132" i="173"/>
  <c r="C131" i="173"/>
  <c r="H130" i="173"/>
  <c r="N129" i="173"/>
  <c r="D129" i="173"/>
  <c r="J128" i="173"/>
  <c r="P127" i="173"/>
  <c r="F127" i="173"/>
  <c r="L126" i="173"/>
  <c r="A126" i="173"/>
  <c r="H125" i="173"/>
  <c r="N124" i="173"/>
  <c r="C124" i="173"/>
  <c r="J123" i="173"/>
  <c r="P122" i="173"/>
  <c r="E122" i="173"/>
  <c r="L121" i="173"/>
  <c r="A121" i="173"/>
  <c r="G120" i="173"/>
  <c r="N119" i="173"/>
  <c r="C119" i="173"/>
  <c r="I118" i="173"/>
  <c r="P117" i="173"/>
  <c r="E117" i="173"/>
  <c r="K116" i="173"/>
  <c r="A116" i="173"/>
  <c r="G115" i="173"/>
  <c r="N114" i="173"/>
  <c r="E114" i="173"/>
  <c r="N113" i="173"/>
  <c r="F113" i="173"/>
  <c r="O112" i="173"/>
  <c r="G112" i="173"/>
  <c r="P111" i="173"/>
  <c r="H111" i="173"/>
  <c r="Q110" i="173"/>
  <c r="I110" i="173"/>
  <c r="A110" i="173"/>
  <c r="J109" i="173"/>
  <c r="B109" i="173"/>
  <c r="K108" i="173"/>
  <c r="C108" i="173"/>
  <c r="L107" i="173"/>
  <c r="D107" i="173"/>
  <c r="M106" i="173"/>
  <c r="E106" i="173"/>
  <c r="N105" i="173"/>
  <c r="F105" i="173"/>
  <c r="O104" i="173"/>
  <c r="G104" i="173"/>
  <c r="P103" i="173"/>
  <c r="H103" i="173"/>
  <c r="Q102" i="173"/>
  <c r="I102" i="173"/>
  <c r="A102" i="173"/>
  <c r="J101" i="173"/>
  <c r="B101" i="173"/>
  <c r="K100" i="173"/>
  <c r="C100" i="173"/>
  <c r="L99" i="173"/>
  <c r="D99" i="173"/>
  <c r="N197" i="173"/>
  <c r="I193" i="173"/>
  <c r="P187" i="173"/>
  <c r="M182" i="173"/>
  <c r="H178" i="173"/>
  <c r="O172" i="173"/>
  <c r="L167" i="173"/>
  <c r="G163" i="173"/>
  <c r="F160" i="173"/>
  <c r="A159" i="173"/>
  <c r="P157" i="173"/>
  <c r="J156" i="173"/>
  <c r="E155" i="173"/>
  <c r="C154" i="173"/>
  <c r="N152" i="173"/>
  <c r="I151" i="173"/>
  <c r="G150" i="173"/>
  <c r="A149" i="173"/>
  <c r="A148" i="173"/>
  <c r="B147" i="173"/>
  <c r="C146" i="173"/>
  <c r="D145" i="173"/>
  <c r="E144" i="173"/>
  <c r="F143" i="173"/>
  <c r="G142" i="173"/>
  <c r="H141" i="173"/>
  <c r="I140" i="173"/>
  <c r="J139" i="173"/>
  <c r="K138" i="173"/>
  <c r="L137" i="173"/>
  <c r="M136" i="173"/>
  <c r="N135" i="173"/>
  <c r="O134" i="173"/>
  <c r="P133" i="173"/>
  <c r="Q132" i="173"/>
  <c r="A132" i="173"/>
  <c r="B131" i="173"/>
  <c r="F130" i="173"/>
  <c r="M129" i="173"/>
  <c r="B129" i="173"/>
  <c r="H128" i="173"/>
  <c r="O127" i="173"/>
  <c r="D127" i="173"/>
  <c r="J126" i="173"/>
  <c r="Q125" i="173"/>
  <c r="F125" i="173"/>
  <c r="L124" i="173"/>
  <c r="B124" i="173"/>
  <c r="H123" i="173"/>
  <c r="N122" i="173"/>
  <c r="D122" i="173"/>
  <c r="J121" i="173"/>
  <c r="P120" i="173"/>
  <c r="F120" i="173"/>
  <c r="L119" i="173"/>
  <c r="A119" i="173"/>
  <c r="H118" i="173"/>
  <c r="N117" i="173"/>
  <c r="C117" i="173"/>
  <c r="J116" i="173"/>
  <c r="P115" i="173"/>
  <c r="E115" i="173"/>
  <c r="M114" i="173"/>
  <c r="D114" i="173"/>
  <c r="M113" i="173"/>
  <c r="E113" i="173"/>
  <c r="N112" i="173"/>
  <c r="F112" i="173"/>
  <c r="O111" i="173"/>
  <c r="G111" i="173"/>
  <c r="P110" i="173"/>
  <c r="H110" i="173"/>
  <c r="Q109" i="173"/>
  <c r="I109" i="173"/>
  <c r="A109" i="173"/>
  <c r="J108" i="173"/>
  <c r="B108" i="173"/>
  <c r="K107" i="173"/>
  <c r="C107" i="173"/>
  <c r="L106" i="173"/>
  <c r="D106" i="173"/>
  <c r="M105" i="173"/>
  <c r="E105" i="173"/>
  <c r="N104" i="173"/>
  <c r="F104" i="173"/>
  <c r="O103" i="173"/>
  <c r="G103" i="173"/>
  <c r="P102" i="173"/>
  <c r="H102" i="173"/>
  <c r="Q101" i="173"/>
  <c r="I101" i="173"/>
  <c r="A101" i="173"/>
  <c r="J100" i="173"/>
  <c r="B100" i="173"/>
  <c r="K99" i="173"/>
  <c r="C99" i="173"/>
  <c r="L98" i="173"/>
  <c r="D98" i="173"/>
  <c r="M97" i="173"/>
  <c r="E97" i="173"/>
  <c r="N96" i="173"/>
  <c r="F96" i="173"/>
  <c r="O95" i="173"/>
  <c r="G95" i="173"/>
  <c r="P94" i="173"/>
  <c r="H94" i="173"/>
  <c r="Q93" i="173"/>
  <c r="I93" i="173"/>
  <c r="A93" i="173"/>
  <c r="J92" i="173"/>
  <c r="B92" i="173"/>
  <c r="K91" i="173"/>
  <c r="C91" i="173"/>
  <c r="L90" i="173"/>
  <c r="D90" i="173"/>
  <c r="M89" i="173"/>
  <c r="E89" i="173"/>
  <c r="N88" i="173"/>
  <c r="F88" i="173"/>
  <c r="O87" i="173"/>
  <c r="G87" i="173"/>
  <c r="P86" i="173"/>
  <c r="H86" i="173"/>
  <c r="Q85" i="173"/>
  <c r="I85" i="173"/>
  <c r="A85" i="173"/>
  <c r="J84" i="173"/>
  <c r="B84" i="173"/>
  <c r="K83" i="173"/>
  <c r="C83" i="173"/>
  <c r="L82" i="173"/>
  <c r="D82" i="173"/>
  <c r="M81" i="173"/>
  <c r="E81" i="173"/>
  <c r="N80" i="173"/>
  <c r="F80" i="173"/>
  <c r="O79" i="173"/>
  <c r="G79" i="173"/>
  <c r="E197" i="173"/>
  <c r="L191" i="173"/>
  <c r="I186" i="173"/>
  <c r="D182" i="173"/>
  <c r="K176" i="173"/>
  <c r="H171" i="173"/>
  <c r="C167" i="173"/>
  <c r="J161" i="173"/>
  <c r="Q159" i="173"/>
  <c r="O158" i="173"/>
  <c r="I157" i="173"/>
  <c r="D156" i="173"/>
  <c r="B155" i="173"/>
  <c r="M153" i="173"/>
  <c r="H152" i="173"/>
  <c r="F151" i="173"/>
  <c r="Q149" i="173"/>
  <c r="L148" i="173"/>
  <c r="M147" i="173"/>
  <c r="N146" i="173"/>
  <c r="O145" i="173"/>
  <c r="P144" i="173"/>
  <c r="Q143" i="173"/>
  <c r="A143" i="173"/>
  <c r="B142" i="173"/>
  <c r="C141" i="173"/>
  <c r="D140" i="173"/>
  <c r="E139" i="173"/>
  <c r="F138" i="173"/>
  <c r="G137" i="173"/>
  <c r="H136" i="173"/>
  <c r="I135" i="173"/>
  <c r="J134" i="173"/>
  <c r="K133" i="173"/>
  <c r="L132" i="173"/>
  <c r="M131" i="173"/>
  <c r="N130" i="173"/>
  <c r="D130" i="173"/>
  <c r="J129" i="173"/>
  <c r="P128" i="173"/>
  <c r="F128" i="173"/>
  <c r="L127" i="173"/>
  <c r="A127" i="173"/>
  <c r="H126" i="173"/>
  <c r="N125" i="173"/>
  <c r="C125" i="173"/>
  <c r="J124" i="173"/>
  <c r="P123" i="173"/>
  <c r="E123" i="173"/>
  <c r="L122" i="173"/>
  <c r="A122" i="173"/>
  <c r="G121" i="173"/>
  <c r="N120" i="173"/>
  <c r="C120" i="173"/>
  <c r="I119" i="173"/>
  <c r="P118" i="173"/>
  <c r="E118" i="173"/>
  <c r="K117" i="173"/>
  <c r="A117" i="173"/>
  <c r="G116" i="173"/>
  <c r="M115" i="173"/>
  <c r="C115" i="173"/>
  <c r="K114" i="173"/>
  <c r="B114" i="173"/>
  <c r="K113" i="173"/>
  <c r="C113" i="173"/>
  <c r="L112" i="173"/>
  <c r="D112" i="173"/>
  <c r="M111" i="173"/>
  <c r="E111" i="173"/>
  <c r="N110" i="173"/>
  <c r="F110" i="173"/>
  <c r="O109" i="173"/>
  <c r="G109" i="173"/>
  <c r="P108" i="173"/>
  <c r="H108" i="173"/>
  <c r="Q107" i="173"/>
  <c r="I107" i="173"/>
  <c r="A107" i="173"/>
  <c r="J106" i="173"/>
  <c r="B106" i="173"/>
  <c r="K105" i="173"/>
  <c r="C105" i="173"/>
  <c r="L104" i="173"/>
  <c r="D104" i="173"/>
  <c r="M103" i="173"/>
  <c r="E103" i="173"/>
  <c r="N102" i="173"/>
  <c r="F102" i="173"/>
  <c r="O101" i="173"/>
  <c r="G101" i="173"/>
  <c r="P100" i="173"/>
  <c r="H100" i="173"/>
  <c r="Q99" i="173"/>
  <c r="I99" i="173"/>
  <c r="A99" i="173"/>
  <c r="J98" i="173"/>
  <c r="B98" i="173"/>
  <c r="K97" i="173"/>
  <c r="C97" i="173"/>
  <c r="L96" i="173"/>
  <c r="D96" i="173"/>
  <c r="M95" i="173"/>
  <c r="E95" i="173"/>
  <c r="N94" i="173"/>
  <c r="F94" i="173"/>
  <c r="O93" i="173"/>
  <c r="G93" i="173"/>
  <c r="P92" i="173"/>
  <c r="H92" i="173"/>
  <c r="Q91" i="173"/>
  <c r="I91" i="173"/>
  <c r="A91" i="173"/>
  <c r="J90" i="173"/>
  <c r="B90" i="173"/>
  <c r="K89" i="173"/>
  <c r="C89" i="173"/>
  <c r="L88" i="173"/>
  <c r="D88" i="173"/>
  <c r="M87" i="173"/>
  <c r="E87" i="173"/>
  <c r="N86" i="173"/>
  <c r="F86" i="173"/>
  <c r="O85" i="173"/>
  <c r="G85" i="173"/>
  <c r="P84" i="173"/>
  <c r="H84" i="173"/>
  <c r="Q83" i="173"/>
  <c r="I83" i="173"/>
  <c r="A83" i="173"/>
  <c r="J82" i="173"/>
  <c r="B82" i="173"/>
  <c r="K81" i="173"/>
  <c r="C81" i="173"/>
  <c r="L80" i="173"/>
  <c r="D80" i="173"/>
  <c r="M79" i="173"/>
  <c r="F197" i="173"/>
  <c r="Q185" i="173"/>
  <c r="Q170" i="173"/>
  <c r="E160" i="173"/>
  <c r="C157" i="173"/>
  <c r="L153" i="173"/>
  <c r="B150" i="173"/>
  <c r="J147" i="173"/>
  <c r="N144" i="173"/>
  <c r="E142" i="173"/>
  <c r="A140" i="173"/>
  <c r="E137" i="173"/>
  <c r="M134" i="173"/>
  <c r="I132" i="173"/>
  <c r="C130" i="173"/>
  <c r="G128" i="173"/>
  <c r="P126" i="173"/>
  <c r="B125" i="173"/>
  <c r="G123" i="173"/>
  <c r="O121" i="173"/>
  <c r="B120" i="173"/>
  <c r="G118" i="173"/>
  <c r="O116" i="173"/>
  <c r="B115" i="173"/>
  <c r="L113" i="173"/>
  <c r="J112" i="173"/>
  <c r="D111" i="173"/>
  <c r="P109" i="173"/>
  <c r="N108" i="173"/>
  <c r="H107" i="173"/>
  <c r="C106" i="173"/>
  <c r="A105" i="173"/>
  <c r="L103" i="173"/>
  <c r="G102" i="173"/>
  <c r="E101" i="173"/>
  <c r="P99" i="173"/>
  <c r="M98" i="173"/>
  <c r="N97" i="173"/>
  <c r="O96" i="173"/>
  <c r="P95" i="173"/>
  <c r="Q94" i="173"/>
  <c r="A94" i="173"/>
  <c r="B93" i="173"/>
  <c r="C92" i="173"/>
  <c r="D91" i="173"/>
  <c r="E90" i="173"/>
  <c r="F89" i="173"/>
  <c r="G88" i="173"/>
  <c r="H87" i="173"/>
  <c r="I86" i="173"/>
  <c r="J85" i="173"/>
  <c r="K84" i="173"/>
  <c r="L83" i="173"/>
  <c r="M82" i="173"/>
  <c r="N81" i="173"/>
  <c r="O80" i="173"/>
  <c r="P79" i="173"/>
  <c r="C79" i="173"/>
  <c r="H78" i="173"/>
  <c r="O77" i="173"/>
  <c r="E77" i="173"/>
  <c r="J76" i="173"/>
  <c r="Q75" i="173"/>
  <c r="G75" i="173"/>
  <c r="L74" i="173"/>
  <c r="B74" i="173"/>
  <c r="I73" i="173"/>
  <c r="N72" i="173"/>
  <c r="D72" i="173"/>
  <c r="K71" i="173"/>
  <c r="P70" i="173"/>
  <c r="F70" i="173"/>
  <c r="M69" i="173"/>
  <c r="A69" i="173"/>
  <c r="H68" i="173"/>
  <c r="O67" i="173"/>
  <c r="D67" i="173"/>
  <c r="L66" i="173"/>
  <c r="C66" i="173"/>
  <c r="K65" i="173"/>
  <c r="B65" i="173"/>
  <c r="J64" i="173"/>
  <c r="A64" i="173"/>
  <c r="J63" i="173"/>
  <c r="B63" i="173"/>
  <c r="K62" i="173"/>
  <c r="C62" i="173"/>
  <c r="L61" i="173"/>
  <c r="D61" i="173"/>
  <c r="M60" i="173"/>
  <c r="E60" i="173"/>
  <c r="N59" i="173"/>
  <c r="F59" i="173"/>
  <c r="O58" i="173"/>
  <c r="G58" i="173"/>
  <c r="P57" i="173"/>
  <c r="H57" i="173"/>
  <c r="Q56" i="173"/>
  <c r="I56" i="173"/>
  <c r="A56" i="173"/>
  <c r="J55" i="173"/>
  <c r="B55" i="173"/>
  <c r="K54" i="173"/>
  <c r="C54" i="173"/>
  <c r="L53" i="173"/>
  <c r="D53" i="173"/>
  <c r="M52" i="173"/>
  <c r="E52" i="173"/>
  <c r="N51" i="173"/>
  <c r="F51" i="173"/>
  <c r="O50" i="173"/>
  <c r="G50" i="173"/>
  <c r="P49" i="173"/>
  <c r="H49" i="173"/>
  <c r="Q48" i="173"/>
  <c r="I48" i="173"/>
  <c r="A48" i="173"/>
  <c r="J47" i="173"/>
  <c r="B47" i="173"/>
  <c r="K46" i="173"/>
  <c r="C46" i="173"/>
  <c r="L45" i="173"/>
  <c r="D45" i="173"/>
  <c r="M44" i="173"/>
  <c r="E44" i="173"/>
  <c r="N43" i="173"/>
  <c r="F43" i="173"/>
  <c r="O42" i="173"/>
  <c r="G42" i="173"/>
  <c r="P41" i="173"/>
  <c r="H41" i="173"/>
  <c r="Q40" i="173"/>
  <c r="I40" i="173"/>
  <c r="A40" i="173"/>
  <c r="J39" i="173"/>
  <c r="B39" i="173"/>
  <c r="K38" i="173"/>
  <c r="C38" i="173"/>
  <c r="L37" i="173"/>
  <c r="D37" i="173"/>
  <c r="M36" i="173"/>
  <c r="E36" i="173"/>
  <c r="N35" i="173"/>
  <c r="F35" i="173"/>
  <c r="O34" i="173"/>
  <c r="G34" i="173"/>
  <c r="P33" i="173"/>
  <c r="H33" i="173"/>
  <c r="Q32" i="173"/>
  <c r="I32" i="173"/>
  <c r="A32" i="173"/>
  <c r="J31" i="173"/>
  <c r="B31" i="173"/>
  <c r="K30" i="173"/>
  <c r="C30" i="173"/>
  <c r="L29" i="173"/>
  <c r="D29" i="173"/>
  <c r="M28" i="173"/>
  <c r="E28" i="173"/>
  <c r="N27" i="173"/>
  <c r="F27" i="173"/>
  <c r="O26" i="173"/>
  <c r="G26" i="173"/>
  <c r="P25" i="173"/>
  <c r="H25" i="173"/>
  <c r="Q24" i="173"/>
  <c r="I24" i="173"/>
  <c r="A24" i="173"/>
  <c r="J23" i="173"/>
  <c r="B23" i="173"/>
  <c r="K22" i="173"/>
  <c r="P195" i="173"/>
  <c r="E182" i="173"/>
  <c r="P170" i="173"/>
  <c r="O159" i="173"/>
  <c r="I156" i="173"/>
  <c r="G153" i="173"/>
  <c r="P149" i="173"/>
  <c r="Q146" i="173"/>
  <c r="M144" i="173"/>
  <c r="Q141" i="173"/>
  <c r="H139" i="173"/>
  <c r="D137" i="173"/>
  <c r="H134" i="173"/>
  <c r="P131" i="173"/>
  <c r="A130" i="173"/>
  <c r="E128" i="173"/>
  <c r="I126" i="173"/>
  <c r="A125" i="173"/>
  <c r="D123" i="173"/>
  <c r="I121" i="173"/>
  <c r="Q119" i="173"/>
  <c r="D118" i="173"/>
  <c r="I116" i="173"/>
  <c r="Q114" i="173"/>
  <c r="J113" i="173"/>
  <c r="E112" i="173"/>
  <c r="C111" i="173"/>
  <c r="N109" i="173"/>
  <c r="I108" i="173"/>
  <c r="G107" i="173"/>
  <c r="A106" i="173"/>
  <c r="M104" i="173"/>
  <c r="K103" i="173"/>
  <c r="E102" i="173"/>
  <c r="Q100" i="173"/>
  <c r="O99" i="173"/>
  <c r="K98" i="173"/>
  <c r="L97" i="173"/>
  <c r="M96" i="173"/>
  <c r="N95" i="173"/>
  <c r="O94" i="173"/>
  <c r="P93" i="173"/>
  <c r="Q92" i="173"/>
  <c r="A92" i="173"/>
  <c r="B91" i="173"/>
  <c r="C90" i="173"/>
  <c r="D89" i="173"/>
  <c r="E88" i="173"/>
  <c r="F87" i="173"/>
  <c r="G86" i="173"/>
  <c r="H85" i="173"/>
  <c r="I84" i="173"/>
  <c r="J83" i="173"/>
  <c r="K82" i="173"/>
  <c r="L81" i="173"/>
  <c r="M80" i="173"/>
  <c r="N79" i="173"/>
  <c r="Q78" i="173"/>
  <c r="G78" i="173"/>
  <c r="N77" i="173"/>
  <c r="B77" i="173"/>
  <c r="I76" i="173"/>
  <c r="P75" i="173"/>
  <c r="D75" i="173"/>
  <c r="K74" i="173"/>
  <c r="A74" i="173"/>
  <c r="F73" i="173"/>
  <c r="M72" i="173"/>
  <c r="C72" i="173"/>
  <c r="H71" i="173"/>
  <c r="O70" i="173"/>
  <c r="E70" i="173"/>
  <c r="J69" i="173"/>
  <c r="Q68" i="173"/>
  <c r="G68" i="173"/>
  <c r="L67" i="173"/>
  <c r="C67" i="173"/>
  <c r="K66" i="173"/>
  <c r="B66" i="173"/>
  <c r="J65" i="173"/>
  <c r="A65" i="173"/>
  <c r="H64" i="173"/>
  <c r="Q63" i="173"/>
  <c r="I63" i="173"/>
  <c r="A63" i="173"/>
  <c r="J62" i="173"/>
  <c r="B62" i="173"/>
  <c r="K61" i="173"/>
  <c r="C61" i="173"/>
  <c r="L60" i="173"/>
  <c r="D60" i="173"/>
  <c r="M59" i="173"/>
  <c r="E59" i="173"/>
  <c r="N58" i="173"/>
  <c r="F58" i="173"/>
  <c r="O57" i="173"/>
  <c r="G57" i="173"/>
  <c r="P56" i="173"/>
  <c r="H56" i="173"/>
  <c r="Q55" i="173"/>
  <c r="I55" i="173"/>
  <c r="A55" i="173"/>
  <c r="J54" i="173"/>
  <c r="B54" i="173"/>
  <c r="K53" i="173"/>
  <c r="C53" i="173"/>
  <c r="L52" i="173"/>
  <c r="D52" i="173"/>
  <c r="M51" i="173"/>
  <c r="E51" i="173"/>
  <c r="N50" i="173"/>
  <c r="F50" i="173"/>
  <c r="O49" i="173"/>
  <c r="G49" i="173"/>
  <c r="P48" i="173"/>
  <c r="H48" i="173"/>
  <c r="Q47" i="173"/>
  <c r="I47" i="173"/>
  <c r="A47" i="173"/>
  <c r="J46" i="173"/>
  <c r="B46" i="173"/>
  <c r="K45" i="173"/>
  <c r="C45" i="173"/>
  <c r="L44" i="173"/>
  <c r="D44" i="173"/>
  <c r="M43" i="173"/>
  <c r="E43" i="173"/>
  <c r="N42" i="173"/>
  <c r="F42" i="173"/>
  <c r="O41" i="173"/>
  <c r="G41" i="173"/>
  <c r="P40" i="173"/>
  <c r="H40" i="173"/>
  <c r="Q39" i="173"/>
  <c r="I39" i="173"/>
  <c r="A39" i="173"/>
  <c r="J38" i="173"/>
  <c r="B38" i="173"/>
  <c r="K37" i="173"/>
  <c r="C37" i="173"/>
  <c r="L36" i="173"/>
  <c r="D36" i="173"/>
  <c r="M35" i="173"/>
  <c r="E35" i="173"/>
  <c r="N34" i="173"/>
  <c r="F34" i="173"/>
  <c r="O33" i="173"/>
  <c r="G33" i="173"/>
  <c r="P32" i="173"/>
  <c r="H32" i="173"/>
  <c r="Q31" i="173"/>
  <c r="I31" i="173"/>
  <c r="A31" i="173"/>
  <c r="J30" i="173"/>
  <c r="B30" i="173"/>
  <c r="K29" i="173"/>
  <c r="C29" i="173"/>
  <c r="L28" i="173"/>
  <c r="D28" i="173"/>
  <c r="M27" i="173"/>
  <c r="E27" i="173"/>
  <c r="N26" i="173"/>
  <c r="F26" i="173"/>
  <c r="O25" i="173"/>
  <c r="G25" i="173"/>
  <c r="P24" i="173"/>
  <c r="H24" i="173"/>
  <c r="H195" i="173"/>
  <c r="O180" i="173"/>
  <c r="D167" i="173"/>
  <c r="N159" i="173"/>
  <c r="B156" i="173"/>
  <c r="M152" i="173"/>
  <c r="K149" i="173"/>
  <c r="L146" i="173"/>
  <c r="C144" i="173"/>
  <c r="P141" i="173"/>
  <c r="C139" i="173"/>
  <c r="K136" i="173"/>
  <c r="G134" i="173"/>
  <c r="K131" i="173"/>
  <c r="L129" i="173"/>
  <c r="C128" i="173"/>
  <c r="G126" i="173"/>
  <c r="K124" i="173"/>
  <c r="C123" i="173"/>
  <c r="F121" i="173"/>
  <c r="K119" i="173"/>
  <c r="B118" i="173"/>
  <c r="F116" i="173"/>
  <c r="L114" i="173"/>
  <c r="I113" i="173"/>
  <c r="C112" i="173"/>
  <c r="O110" i="173"/>
  <c r="M109" i="173"/>
  <c r="G108" i="173"/>
  <c r="B107" i="173"/>
  <c r="Q105" i="173"/>
  <c r="K104" i="173"/>
  <c r="F103" i="173"/>
  <c r="D102" i="173"/>
  <c r="O100" i="173"/>
  <c r="J99" i="173"/>
  <c r="I98" i="173"/>
  <c r="J97" i="173"/>
  <c r="K96" i="173"/>
  <c r="L95" i="173"/>
  <c r="M94" i="173"/>
  <c r="N93" i="173"/>
  <c r="O92" i="173"/>
  <c r="P91" i="173"/>
  <c r="Q90" i="173"/>
  <c r="A90" i="173"/>
  <c r="B89" i="173"/>
  <c r="C88" i="173"/>
  <c r="D87" i="173"/>
  <c r="E86" i="173"/>
  <c r="F85" i="173"/>
  <c r="G84" i="173"/>
  <c r="H83" i="173"/>
  <c r="I82" i="173"/>
  <c r="J81" i="173"/>
  <c r="K80" i="173"/>
  <c r="L79" i="173"/>
  <c r="P78" i="173"/>
  <c r="F78" i="173"/>
  <c r="M77" i="173"/>
  <c r="A77" i="173"/>
  <c r="H76" i="173"/>
  <c r="O75" i="173"/>
  <c r="C75" i="173"/>
  <c r="J74" i="173"/>
  <c r="Q73" i="173"/>
  <c r="E73" i="173"/>
  <c r="L72" i="173"/>
  <c r="B72" i="173"/>
  <c r="G71" i="173"/>
  <c r="N70" i="173"/>
  <c r="D70" i="173"/>
  <c r="I69" i="173"/>
  <c r="P68" i="173"/>
  <c r="F68" i="173"/>
  <c r="K67" i="173"/>
  <c r="B67" i="173"/>
  <c r="J66" i="173"/>
  <c r="A66" i="173"/>
  <c r="I65" i="173"/>
  <c r="P64" i="173"/>
  <c r="G64" i="173"/>
  <c r="P63" i="173"/>
  <c r="H63" i="173"/>
  <c r="Q62" i="173"/>
  <c r="I62" i="173"/>
  <c r="A62" i="173"/>
  <c r="J61" i="173"/>
  <c r="B61" i="173"/>
  <c r="K60" i="173"/>
  <c r="C60" i="173"/>
  <c r="L59" i="173"/>
  <c r="D59" i="173"/>
  <c r="M58" i="173"/>
  <c r="E58" i="173"/>
  <c r="N57" i="173"/>
  <c r="F57" i="173"/>
  <c r="O56" i="173"/>
  <c r="G56" i="173"/>
  <c r="P55" i="173"/>
  <c r="H55" i="173"/>
  <c r="Q54" i="173"/>
  <c r="I54" i="173"/>
  <c r="A54" i="173"/>
  <c r="J53" i="173"/>
  <c r="B53" i="173"/>
  <c r="K52" i="173"/>
  <c r="C52" i="173"/>
  <c r="L51" i="173"/>
  <c r="D51" i="173"/>
  <c r="M50" i="173"/>
  <c r="E50" i="173"/>
  <c r="N49" i="173"/>
  <c r="F49" i="173"/>
  <c r="O48" i="173"/>
  <c r="G48" i="173"/>
  <c r="P47" i="173"/>
  <c r="H47" i="173"/>
  <c r="Q46" i="173"/>
  <c r="I46" i="173"/>
  <c r="A46" i="173"/>
  <c r="J45" i="173"/>
  <c r="B45" i="173"/>
  <c r="K44" i="173"/>
  <c r="C44" i="173"/>
  <c r="L43" i="173"/>
  <c r="D43" i="173"/>
  <c r="M42" i="173"/>
  <c r="E42" i="173"/>
  <c r="N41" i="173"/>
  <c r="F41" i="173"/>
  <c r="O40" i="173"/>
  <c r="G40" i="173"/>
  <c r="P39" i="173"/>
  <c r="H39" i="173"/>
  <c r="Q38" i="173"/>
  <c r="I38" i="173"/>
  <c r="A38" i="173"/>
  <c r="J37" i="173"/>
  <c r="B37" i="173"/>
  <c r="K36" i="173"/>
  <c r="C36" i="173"/>
  <c r="L35" i="173"/>
  <c r="D35" i="173"/>
  <c r="M34" i="173"/>
  <c r="E34" i="173"/>
  <c r="N33" i="173"/>
  <c r="F33" i="173"/>
  <c r="O32" i="173"/>
  <c r="G32" i="173"/>
  <c r="P31" i="173"/>
  <c r="H31" i="173"/>
  <c r="Q30" i="173"/>
  <c r="I30" i="173"/>
  <c r="A30" i="173"/>
  <c r="J29" i="173"/>
  <c r="B29" i="173"/>
  <c r="K28" i="173"/>
  <c r="C28" i="173"/>
  <c r="L27" i="173"/>
  <c r="D27" i="173"/>
  <c r="M26" i="173"/>
  <c r="E26" i="173"/>
  <c r="N25" i="173"/>
  <c r="F25" i="173"/>
  <c r="O24" i="173"/>
  <c r="G24" i="173"/>
  <c r="P23" i="173"/>
  <c r="H23" i="173"/>
  <c r="C192" i="173"/>
  <c r="G180" i="173"/>
  <c r="N165" i="173"/>
  <c r="P158" i="173"/>
  <c r="A156" i="173"/>
  <c r="F152" i="173"/>
  <c r="Q148" i="173"/>
  <c r="K146" i="173"/>
  <c r="O143" i="173"/>
  <c r="F141" i="173"/>
  <c r="B139" i="173"/>
  <c r="F136" i="173"/>
  <c r="N133" i="173"/>
  <c r="J131" i="173"/>
  <c r="I129" i="173"/>
  <c r="N127" i="173"/>
  <c r="E126" i="173"/>
  <c r="I124" i="173"/>
  <c r="M122" i="173"/>
  <c r="E121" i="173"/>
  <c r="H119" i="173"/>
  <c r="M117" i="173"/>
  <c r="D116" i="173"/>
  <c r="I114" i="173"/>
  <c r="D113" i="173"/>
  <c r="B112" i="173"/>
  <c r="M110" i="173"/>
  <c r="H109" i="173"/>
  <c r="F108" i="173"/>
  <c r="Q106" i="173"/>
  <c r="L105" i="173"/>
  <c r="J104" i="173"/>
  <c r="D103" i="173"/>
  <c r="P101" i="173"/>
  <c r="N100" i="173"/>
  <c r="H99" i="173"/>
  <c r="H98" i="173"/>
  <c r="I97" i="173"/>
  <c r="J96" i="173"/>
  <c r="K95" i="173"/>
  <c r="L94" i="173"/>
  <c r="M93" i="173"/>
  <c r="N92" i="173"/>
  <c r="O91" i="173"/>
  <c r="P90" i="173"/>
  <c r="Q89" i="173"/>
  <c r="A89" i="173"/>
  <c r="B88" i="173"/>
  <c r="C87" i="173"/>
  <c r="D86" i="173"/>
  <c r="E85" i="173"/>
  <c r="F84" i="173"/>
  <c r="G83" i="173"/>
  <c r="H82" i="173"/>
  <c r="I81" i="173"/>
  <c r="J80" i="173"/>
  <c r="K79" i="173"/>
  <c r="O78" i="173"/>
  <c r="E78" i="173"/>
  <c r="J77" i="173"/>
  <c r="Q76" i="173"/>
  <c r="G76" i="173"/>
  <c r="L75" i="173"/>
  <c r="B75" i="173"/>
  <c r="I74" i="173"/>
  <c r="N73" i="173"/>
  <c r="D73" i="173"/>
  <c r="K72" i="173"/>
  <c r="P71" i="173"/>
  <c r="F71" i="173"/>
  <c r="M70" i="173"/>
  <c r="A70" i="173"/>
  <c r="H69" i="173"/>
  <c r="O68" i="173"/>
  <c r="C68" i="173"/>
  <c r="J67" i="173"/>
  <c r="A67" i="173"/>
  <c r="I66" i="173"/>
  <c r="Q65" i="173"/>
  <c r="G65" i="173"/>
  <c r="O64" i="173"/>
  <c r="F64" i="173"/>
  <c r="O63" i="173"/>
  <c r="G63" i="173"/>
  <c r="P62" i="173"/>
  <c r="H62" i="173"/>
  <c r="Q61" i="173"/>
  <c r="I61" i="173"/>
  <c r="A61" i="173"/>
  <c r="J60" i="173"/>
  <c r="B60" i="173"/>
  <c r="K59" i="173"/>
  <c r="C59" i="173"/>
  <c r="L58" i="173"/>
  <c r="D58" i="173"/>
  <c r="M57" i="173"/>
  <c r="E57" i="173"/>
  <c r="N56" i="173"/>
  <c r="F56" i="173"/>
  <c r="O55" i="173"/>
  <c r="G55" i="173"/>
  <c r="P54" i="173"/>
  <c r="H54" i="173"/>
  <c r="Q53" i="173"/>
  <c r="I53" i="173"/>
  <c r="A53" i="173"/>
  <c r="J52" i="173"/>
  <c r="B52" i="173"/>
  <c r="K51" i="173"/>
  <c r="C51" i="173"/>
  <c r="L50" i="173"/>
  <c r="D50" i="173"/>
  <c r="M49" i="173"/>
  <c r="E49" i="173"/>
  <c r="N48" i="173"/>
  <c r="F48" i="173"/>
  <c r="O47" i="173"/>
  <c r="G47" i="173"/>
  <c r="P46" i="173"/>
  <c r="H46" i="173"/>
  <c r="Q45" i="173"/>
  <c r="I45" i="173"/>
  <c r="A45" i="173"/>
  <c r="J44" i="173"/>
  <c r="B44" i="173"/>
  <c r="K43" i="173"/>
  <c r="C43" i="173"/>
  <c r="L42" i="173"/>
  <c r="D42" i="173"/>
  <c r="M41" i="173"/>
  <c r="E41" i="173"/>
  <c r="N40" i="173"/>
  <c r="F40" i="173"/>
  <c r="O39" i="173"/>
  <c r="G39" i="173"/>
  <c r="P38" i="173"/>
  <c r="H38" i="173"/>
  <c r="Q37" i="173"/>
  <c r="I37" i="173"/>
  <c r="A37" i="173"/>
  <c r="J36" i="173"/>
  <c r="B36" i="173"/>
  <c r="K35" i="173"/>
  <c r="C35" i="173"/>
  <c r="L34" i="173"/>
  <c r="D34" i="173"/>
  <c r="M33" i="173"/>
  <c r="E33" i="173"/>
  <c r="N32" i="173"/>
  <c r="F32" i="173"/>
  <c r="O31" i="173"/>
  <c r="G31" i="173"/>
  <c r="P30" i="173"/>
  <c r="H30" i="173"/>
  <c r="Q29" i="173"/>
  <c r="I29" i="173"/>
  <c r="A29" i="173"/>
  <c r="J28" i="173"/>
  <c r="B28" i="173"/>
  <c r="K27" i="173"/>
  <c r="C27" i="173"/>
  <c r="L26" i="173"/>
  <c r="D26" i="173"/>
  <c r="M25" i="173"/>
  <c r="E25" i="173"/>
  <c r="N24" i="173"/>
  <c r="F24" i="173"/>
  <c r="O23" i="173"/>
  <c r="G23" i="173"/>
  <c r="P22" i="173"/>
  <c r="E190" i="173"/>
  <c r="J176" i="173"/>
  <c r="A162" i="173"/>
  <c r="H158" i="173"/>
  <c r="N154" i="173"/>
  <c r="G151" i="173"/>
  <c r="I148" i="173"/>
  <c r="M145" i="173"/>
  <c r="D143" i="173"/>
  <c r="Q140" i="173"/>
  <c r="D138" i="173"/>
  <c r="L135" i="173"/>
  <c r="H133" i="173"/>
  <c r="M130" i="173"/>
  <c r="A129" i="173"/>
  <c r="I127" i="173"/>
  <c r="M125" i="173"/>
  <c r="A124" i="173"/>
  <c r="I122" i="173"/>
  <c r="M120" i="173"/>
  <c r="Q118" i="173"/>
  <c r="I117" i="173"/>
  <c r="L115" i="173"/>
  <c r="C114" i="173"/>
  <c r="A113" i="173"/>
  <c r="L111" i="173"/>
  <c r="G110" i="173"/>
  <c r="E109" i="173"/>
  <c r="P107" i="173"/>
  <c r="K106" i="173"/>
  <c r="I105" i="173"/>
  <c r="C104" i="173"/>
  <c r="O102" i="173"/>
  <c r="M101" i="173"/>
  <c r="G100" i="173"/>
  <c r="B99" i="173"/>
  <c r="C98" i="173"/>
  <c r="D97" i="173"/>
  <c r="E96" i="173"/>
  <c r="F95" i="173"/>
  <c r="G94" i="173"/>
  <c r="H93" i="173"/>
  <c r="I92" i="173"/>
  <c r="J91" i="173"/>
  <c r="K90" i="173"/>
  <c r="L89" i="173"/>
  <c r="M88" i="173"/>
  <c r="N87" i="173"/>
  <c r="O86" i="173"/>
  <c r="P85" i="173"/>
  <c r="Q84" i="173"/>
  <c r="A84" i="173"/>
  <c r="B83" i="173"/>
  <c r="C82" i="173"/>
  <c r="D81" i="173"/>
  <c r="E80" i="173"/>
  <c r="F79" i="173"/>
  <c r="M78" i="173"/>
  <c r="A78" i="173"/>
  <c r="H77" i="173"/>
  <c r="O76" i="173"/>
  <c r="C76" i="173"/>
  <c r="J75" i="173"/>
  <c r="Q74" i="173"/>
  <c r="E74" i="173"/>
  <c r="L73" i="173"/>
  <c r="B73" i="173"/>
  <c r="G72" i="173"/>
  <c r="N71" i="173"/>
  <c r="D71" i="173"/>
  <c r="I70" i="173"/>
  <c r="P69" i="173"/>
  <c r="F69" i="173"/>
  <c r="K68" i="173"/>
  <c r="A68" i="173"/>
  <c r="H67" i="173"/>
  <c r="P66" i="173"/>
  <c r="F66" i="173"/>
  <c r="N65" i="173"/>
  <c r="E65" i="173"/>
  <c r="M64" i="173"/>
  <c r="D64" i="173"/>
  <c r="M63" i="173"/>
  <c r="E63" i="173"/>
  <c r="N62" i="173"/>
  <c r="F62" i="173"/>
  <c r="O61" i="173"/>
  <c r="G61" i="173"/>
  <c r="P60" i="173"/>
  <c r="H60" i="173"/>
  <c r="Q59" i="173"/>
  <c r="I59" i="173"/>
  <c r="A59" i="173"/>
  <c r="J58" i="173"/>
  <c r="B58" i="173"/>
  <c r="K57" i="173"/>
  <c r="C57" i="173"/>
  <c r="L56" i="173"/>
  <c r="D56" i="173"/>
  <c r="M55" i="173"/>
  <c r="E55" i="173"/>
  <c r="N54" i="173"/>
  <c r="F54" i="173"/>
  <c r="O53" i="173"/>
  <c r="G53" i="173"/>
  <c r="P52" i="173"/>
  <c r="H52" i="173"/>
  <c r="Q51" i="173"/>
  <c r="I51" i="173"/>
  <c r="A51" i="173"/>
  <c r="J50" i="173"/>
  <c r="B50" i="173"/>
  <c r="K49" i="173"/>
  <c r="C49" i="173"/>
  <c r="L48" i="173"/>
  <c r="D48" i="173"/>
  <c r="M47" i="173"/>
  <c r="E47" i="173"/>
  <c r="N46" i="173"/>
  <c r="F46" i="173"/>
  <c r="O45" i="173"/>
  <c r="G45" i="173"/>
  <c r="P44" i="173"/>
  <c r="H44" i="173"/>
  <c r="Q43" i="173"/>
  <c r="I43" i="173"/>
  <c r="A43" i="173"/>
  <c r="J42" i="173"/>
  <c r="B42" i="173"/>
  <c r="K41" i="173"/>
  <c r="C41" i="173"/>
  <c r="L40" i="173"/>
  <c r="D40" i="173"/>
  <c r="M39" i="173"/>
  <c r="E39" i="173"/>
  <c r="N38" i="173"/>
  <c r="F38" i="173"/>
  <c r="O37" i="173"/>
  <c r="G37" i="173"/>
  <c r="P36" i="173"/>
  <c r="H36" i="173"/>
  <c r="Q35" i="173"/>
  <c r="I35" i="173"/>
  <c r="A35" i="173"/>
  <c r="J34" i="173"/>
  <c r="B34" i="173"/>
  <c r="K33" i="173"/>
  <c r="C33" i="173"/>
  <c r="L32" i="173"/>
  <c r="D32" i="173"/>
  <c r="M31" i="173"/>
  <c r="E31" i="173"/>
  <c r="N30" i="173"/>
  <c r="F30" i="173"/>
  <c r="O29" i="173"/>
  <c r="G29" i="173"/>
  <c r="P28" i="173"/>
  <c r="H28" i="173"/>
  <c r="Q27" i="173"/>
  <c r="I27" i="173"/>
  <c r="A27" i="173"/>
  <c r="J26" i="173"/>
  <c r="B26" i="173"/>
  <c r="K25" i="173"/>
  <c r="C25" i="173"/>
  <c r="L24" i="173"/>
  <c r="D24" i="173"/>
  <c r="M23" i="173"/>
  <c r="E23" i="173"/>
  <c r="K191" i="173"/>
  <c r="P160" i="173"/>
  <c r="A151" i="173"/>
  <c r="N143" i="173"/>
  <c r="J137" i="173"/>
  <c r="L130" i="173"/>
  <c r="P125" i="173"/>
  <c r="Q121" i="173"/>
  <c r="B117" i="173"/>
  <c r="B113" i="173"/>
  <c r="D110" i="173"/>
  <c r="I106" i="173"/>
  <c r="C103" i="173"/>
  <c r="A100" i="173"/>
  <c r="B97" i="173"/>
  <c r="I94" i="173"/>
  <c r="F92" i="173"/>
  <c r="J89" i="173"/>
  <c r="Q86" i="173"/>
  <c r="N84" i="173"/>
  <c r="A82" i="173"/>
  <c r="H79" i="173"/>
  <c r="P77" i="173"/>
  <c r="B76" i="173"/>
  <c r="H74" i="173"/>
  <c r="O72" i="173"/>
  <c r="C71" i="173"/>
  <c r="G69" i="173"/>
  <c r="P67" i="173"/>
  <c r="E66" i="173"/>
  <c r="N64" i="173"/>
  <c r="K63" i="173"/>
  <c r="E62" i="173"/>
  <c r="Q60" i="173"/>
  <c r="O59" i="173"/>
  <c r="I58" i="173"/>
  <c r="D57" i="173"/>
  <c r="B56" i="173"/>
  <c r="M54" i="173"/>
  <c r="H53" i="173"/>
  <c r="F52" i="173"/>
  <c r="Q50" i="173"/>
  <c r="L49" i="173"/>
  <c r="J48" i="173"/>
  <c r="D47" i="173"/>
  <c r="P45" i="173"/>
  <c r="N44" i="173"/>
  <c r="H43" i="173"/>
  <c r="C42" i="173"/>
  <c r="A41" i="173"/>
  <c r="L39" i="173"/>
  <c r="G38" i="173"/>
  <c r="E37" i="173"/>
  <c r="P35" i="173"/>
  <c r="K34" i="173"/>
  <c r="I33" i="173"/>
  <c r="C32" i="173"/>
  <c r="O30" i="173"/>
  <c r="M29" i="173"/>
  <c r="G28" i="173"/>
  <c r="B27" i="173"/>
  <c r="Q25" i="173"/>
  <c r="K24" i="173"/>
  <c r="K23" i="173"/>
  <c r="N22" i="173"/>
  <c r="E22" i="173"/>
  <c r="N21" i="173"/>
  <c r="F21" i="173"/>
  <c r="O20" i="173"/>
  <c r="G20" i="173"/>
  <c r="P19" i="173"/>
  <c r="H19" i="173"/>
  <c r="Q18" i="173"/>
  <c r="I18" i="173"/>
  <c r="A18" i="173"/>
  <c r="J17" i="173"/>
  <c r="B17" i="173"/>
  <c r="K16" i="173"/>
  <c r="C16" i="173"/>
  <c r="L15" i="173"/>
  <c r="D15" i="173"/>
  <c r="M14" i="173"/>
  <c r="E14" i="173"/>
  <c r="N13" i="173"/>
  <c r="F13" i="173"/>
  <c r="O12" i="173"/>
  <c r="G12" i="173"/>
  <c r="P11" i="173"/>
  <c r="H11" i="173"/>
  <c r="Q10" i="173"/>
  <c r="I10" i="173"/>
  <c r="A10" i="173"/>
  <c r="J9" i="173"/>
  <c r="B9" i="173"/>
  <c r="K8" i="173"/>
  <c r="C8" i="173"/>
  <c r="L7" i="173"/>
  <c r="C7" i="173"/>
  <c r="L6" i="173"/>
  <c r="C6" i="173"/>
  <c r="L5" i="173"/>
  <c r="C5" i="173"/>
  <c r="L4" i="173"/>
  <c r="C4" i="173"/>
  <c r="J3" i="173"/>
  <c r="O187" i="173"/>
  <c r="J158" i="173"/>
  <c r="P150" i="173"/>
  <c r="P142" i="173"/>
  <c r="E136" i="173"/>
  <c r="E130" i="173"/>
  <c r="K125" i="173"/>
  <c r="O120" i="173"/>
  <c r="Q116" i="173"/>
  <c r="M112" i="173"/>
  <c r="F109" i="173"/>
  <c r="H106" i="173"/>
  <c r="M102" i="173"/>
  <c r="G99" i="173"/>
  <c r="A97" i="173"/>
  <c r="E94" i="173"/>
  <c r="L91" i="173"/>
  <c r="I89" i="173"/>
  <c r="M86" i="173"/>
  <c r="C84" i="173"/>
  <c r="Q81" i="173"/>
  <c r="E79" i="173"/>
  <c r="I77" i="173"/>
  <c r="A76" i="173"/>
  <c r="D74" i="173"/>
  <c r="J72" i="173"/>
  <c r="Q70" i="173"/>
  <c r="E69" i="173"/>
  <c r="I67" i="173"/>
  <c r="D66" i="173"/>
  <c r="L64" i="173"/>
  <c r="F63" i="173"/>
  <c r="D62" i="173"/>
  <c r="O60" i="173"/>
  <c r="J59" i="173"/>
  <c r="H58" i="173"/>
  <c r="B57" i="173"/>
  <c r="N55" i="173"/>
  <c r="L54" i="173"/>
  <c r="F53" i="173"/>
  <c r="A52" i="173"/>
  <c r="P50" i="173"/>
  <c r="J49" i="173"/>
  <c r="E48" i="173"/>
  <c r="C47" i="173"/>
  <c r="N45" i="173"/>
  <c r="I44" i="173"/>
  <c r="G43" i="173"/>
  <c r="A42" i="173"/>
  <c r="M40" i="173"/>
  <c r="K39" i="173"/>
  <c r="E38" i="173"/>
  <c r="Q36" i="173"/>
  <c r="O35" i="173"/>
  <c r="I34" i="173"/>
  <c r="D33" i="173"/>
  <c r="B32" i="173"/>
  <c r="M30" i="173"/>
  <c r="H29" i="173"/>
  <c r="F28" i="173"/>
  <c r="Q26" i="173"/>
  <c r="L25" i="173"/>
  <c r="J24" i="173"/>
  <c r="I23" i="173"/>
  <c r="M22" i="173"/>
  <c r="D22" i="173"/>
  <c r="M21" i="173"/>
  <c r="E21" i="173"/>
  <c r="N20" i="173"/>
  <c r="F20" i="173"/>
  <c r="O19" i="173"/>
  <c r="G19" i="173"/>
  <c r="P18" i="173"/>
  <c r="H18" i="173"/>
  <c r="Q17" i="173"/>
  <c r="I17" i="173"/>
  <c r="A17" i="173"/>
  <c r="J16" i="173"/>
  <c r="B16" i="173"/>
  <c r="K15" i="173"/>
  <c r="C15" i="173"/>
  <c r="L14" i="173"/>
  <c r="D14" i="173"/>
  <c r="M13" i="173"/>
  <c r="E13" i="173"/>
  <c r="N12" i="173"/>
  <c r="F12" i="173"/>
  <c r="O11" i="173"/>
  <c r="G11" i="173"/>
  <c r="P10" i="173"/>
  <c r="H10" i="173"/>
  <c r="Q9" i="173"/>
  <c r="I9" i="173"/>
  <c r="A9" i="173"/>
  <c r="J8" i="173"/>
  <c r="B8" i="173"/>
  <c r="J7" i="173"/>
  <c r="B7" i="173"/>
  <c r="J6" i="173"/>
  <c r="B6" i="173"/>
  <c r="J5" i="173"/>
  <c r="B5" i="173"/>
  <c r="J4" i="173"/>
  <c r="A4" i="173"/>
  <c r="I3" i="173"/>
  <c r="A186" i="173"/>
  <c r="K157" i="173"/>
  <c r="J148" i="173"/>
  <c r="O142" i="173"/>
  <c r="G135" i="173"/>
  <c r="G129" i="173"/>
  <c r="E125" i="173"/>
  <c r="K120" i="173"/>
  <c r="O115" i="173"/>
  <c r="K112" i="173"/>
  <c r="Q108" i="173"/>
  <c r="J105" i="173"/>
  <c r="L102" i="173"/>
  <c r="Q98" i="173"/>
  <c r="G96" i="173"/>
  <c r="D94" i="173"/>
  <c r="H91" i="173"/>
  <c r="O88" i="173"/>
  <c r="L86" i="173"/>
  <c r="P83" i="173"/>
  <c r="F81" i="173"/>
  <c r="D79" i="173"/>
  <c r="G77" i="173"/>
  <c r="K75" i="173"/>
  <c r="C74" i="173"/>
  <c r="F72" i="173"/>
  <c r="L70" i="173"/>
  <c r="B69" i="173"/>
  <c r="G67" i="173"/>
  <c r="O65" i="173"/>
  <c r="K64" i="173"/>
  <c r="D63" i="173"/>
  <c r="P61" i="173"/>
  <c r="N60" i="173"/>
  <c r="H59" i="173"/>
  <c r="C58" i="173"/>
  <c r="A57" i="173"/>
  <c r="L55" i="173"/>
  <c r="G54" i="173"/>
  <c r="E53" i="173"/>
  <c r="P51" i="173"/>
  <c r="K50" i="173"/>
  <c r="I49" i="173"/>
  <c r="C48" i="173"/>
  <c r="O46" i="173"/>
  <c r="M45" i="173"/>
  <c r="G44" i="173"/>
  <c r="B43" i="173"/>
  <c r="Q41" i="173"/>
  <c r="K40" i="173"/>
  <c r="F39" i="173"/>
  <c r="D38" i="173"/>
  <c r="O36" i="173"/>
  <c r="J35" i="173"/>
  <c r="H34" i="173"/>
  <c r="B33" i="173"/>
  <c r="N31" i="173"/>
  <c r="L30" i="173"/>
  <c r="F29" i="173"/>
  <c r="A28" i="173"/>
  <c r="P26" i="173"/>
  <c r="J25" i="173"/>
  <c r="E24" i="173"/>
  <c r="F23" i="173"/>
  <c r="L22" i="173"/>
  <c r="C22" i="173"/>
  <c r="L21" i="173"/>
  <c r="D21" i="173"/>
  <c r="M20" i="173"/>
  <c r="E20" i="173"/>
  <c r="N19" i="173"/>
  <c r="F19" i="173"/>
  <c r="O18" i="173"/>
  <c r="G18" i="173"/>
  <c r="P17" i="173"/>
  <c r="H17" i="173"/>
  <c r="Q16" i="173"/>
  <c r="I16" i="173"/>
  <c r="A16" i="173"/>
  <c r="J15" i="173"/>
  <c r="B15" i="173"/>
  <c r="K14" i="173"/>
  <c r="C14" i="173"/>
  <c r="L13" i="173"/>
  <c r="D13" i="173"/>
  <c r="M12" i="173"/>
  <c r="E12" i="173"/>
  <c r="N11" i="173"/>
  <c r="F11" i="173"/>
  <c r="O10" i="173"/>
  <c r="G10" i="173"/>
  <c r="P9" i="173"/>
  <c r="H9" i="173"/>
  <c r="Q8" i="173"/>
  <c r="I8" i="173"/>
  <c r="A8" i="173"/>
  <c r="I7" i="173"/>
  <c r="A7" i="173"/>
  <c r="I6" i="173"/>
  <c r="A6" i="173"/>
  <c r="I5" i="173"/>
  <c r="A5" i="173"/>
  <c r="I4" i="173"/>
  <c r="Q3" i="173"/>
  <c r="H3" i="173"/>
  <c r="B177" i="173"/>
  <c r="H157" i="173"/>
  <c r="P147" i="173"/>
  <c r="A141" i="173"/>
  <c r="F135" i="173"/>
  <c r="O128" i="173"/>
  <c r="G124" i="173"/>
  <c r="E120" i="173"/>
  <c r="K115" i="173"/>
  <c r="N111" i="173"/>
  <c r="O108" i="173"/>
  <c r="D105" i="173"/>
  <c r="N101" i="173"/>
  <c r="P98" i="173"/>
  <c r="C96" i="173"/>
  <c r="J93" i="173"/>
  <c r="G91" i="173"/>
  <c r="K88" i="173"/>
  <c r="A86" i="173"/>
  <c r="O83" i="173"/>
  <c r="B81" i="173"/>
  <c r="N78" i="173"/>
  <c r="F77" i="173"/>
  <c r="I75" i="173"/>
  <c r="M73" i="173"/>
  <c r="E72" i="173"/>
  <c r="H70" i="173"/>
  <c r="N68" i="173"/>
  <c r="E67" i="173"/>
  <c r="M65" i="173"/>
  <c r="E64" i="173"/>
  <c r="C63" i="173"/>
  <c r="N61" i="173"/>
  <c r="I60" i="173"/>
  <c r="G59" i="173"/>
  <c r="A58" i="173"/>
  <c r="M56" i="173"/>
  <c r="K55" i="173"/>
  <c r="E54" i="173"/>
  <c r="Q52" i="173"/>
  <c r="O51" i="173"/>
  <c r="I50" i="173"/>
  <c r="D49" i="173"/>
  <c r="B48" i="173"/>
  <c r="M46" i="173"/>
  <c r="H45" i="173"/>
  <c r="F44" i="173"/>
  <c r="Q42" i="173"/>
  <c r="L41" i="173"/>
  <c r="J40" i="173"/>
  <c r="D39" i="173"/>
  <c r="P37" i="173"/>
  <c r="N36" i="173"/>
  <c r="H35" i="173"/>
  <c r="C34" i="173"/>
  <c r="A33" i="173"/>
  <c r="L31" i="173"/>
  <c r="G30" i="173"/>
  <c r="E29" i="173"/>
  <c r="P27" i="173"/>
  <c r="K26" i="173"/>
  <c r="I25" i="173"/>
  <c r="C24" i="173"/>
  <c r="D23" i="173"/>
  <c r="J22" i="173"/>
  <c r="B22" i="173"/>
  <c r="K21" i="173"/>
  <c r="C21" i="173"/>
  <c r="L20" i="173"/>
  <c r="D20" i="173"/>
  <c r="M19" i="173"/>
  <c r="E19" i="173"/>
  <c r="N18" i="173"/>
  <c r="F18" i="173"/>
  <c r="O17" i="173"/>
  <c r="G17" i="173"/>
  <c r="P16" i="173"/>
  <c r="H16" i="173"/>
  <c r="Q15" i="173"/>
  <c r="I15" i="173"/>
  <c r="A15" i="173"/>
  <c r="J14" i="173"/>
  <c r="B14" i="173"/>
  <c r="K13" i="173"/>
  <c r="C13" i="173"/>
  <c r="L12" i="173"/>
  <c r="D12" i="173"/>
  <c r="M11" i="173"/>
  <c r="E11" i="173"/>
  <c r="N10" i="173"/>
  <c r="F10" i="173"/>
  <c r="O9" i="173"/>
  <c r="G9" i="173"/>
  <c r="P8" i="173"/>
  <c r="H8" i="173"/>
  <c r="Q7" i="173"/>
  <c r="H7" i="173"/>
  <c r="Q6" i="173"/>
  <c r="H6" i="173"/>
  <c r="Q5" i="173"/>
  <c r="H5" i="173"/>
  <c r="Q4" i="173"/>
  <c r="H4" i="173"/>
  <c r="P3" i="173"/>
  <c r="D3" i="173"/>
  <c r="D175" i="173"/>
  <c r="C155" i="173"/>
  <c r="K147" i="173"/>
  <c r="G140" i="173"/>
  <c r="I133" i="173"/>
  <c r="N128" i="173"/>
  <c r="O123" i="173"/>
  <c r="G119" i="173"/>
  <c r="D115" i="173"/>
  <c r="K111" i="173"/>
  <c r="A108" i="173"/>
  <c r="B105" i="173"/>
  <c r="H101" i="173"/>
  <c r="E98" i="173"/>
  <c r="B96" i="173"/>
  <c r="F93" i="173"/>
  <c r="M90" i="173"/>
  <c r="J88" i="173"/>
  <c r="N85" i="173"/>
  <c r="D83" i="173"/>
  <c r="A81" i="173"/>
  <c r="L78" i="173"/>
  <c r="P76" i="173"/>
  <c r="H75" i="173"/>
  <c r="K73" i="173"/>
  <c r="O71" i="173"/>
  <c r="G70" i="173"/>
  <c r="J68" i="173"/>
  <c r="Q66" i="173"/>
  <c r="L65" i="173"/>
  <c r="C64" i="173"/>
  <c r="O62" i="173"/>
  <c r="M61" i="173"/>
  <c r="G60" i="173"/>
  <c r="B59" i="173"/>
  <c r="Q57" i="173"/>
  <c r="K56" i="173"/>
  <c r="F55" i="173"/>
  <c r="D54" i="173"/>
  <c r="O52" i="173"/>
  <c r="J51" i="173"/>
  <c r="H50" i="173"/>
  <c r="B49" i="173"/>
  <c r="N47" i="173"/>
  <c r="L46" i="173"/>
  <c r="F45" i="173"/>
  <c r="A44" i="173"/>
  <c r="P42" i="173"/>
  <c r="J41" i="173"/>
  <c r="E40" i="173"/>
  <c r="C39" i="173"/>
  <c r="N37" i="173"/>
  <c r="I36" i="173"/>
  <c r="G35" i="173"/>
  <c r="A34" i="173"/>
  <c r="M32" i="173"/>
  <c r="K31" i="173"/>
  <c r="E30" i="173"/>
  <c r="Q28" i="173"/>
  <c r="O27" i="173"/>
  <c r="I26" i="173"/>
  <c r="D25" i="173"/>
  <c r="B24" i="173"/>
  <c r="C23" i="173"/>
  <c r="I22" i="173"/>
  <c r="A22" i="173"/>
  <c r="J21" i="173"/>
  <c r="B21" i="173"/>
  <c r="K20" i="173"/>
  <c r="C20" i="173"/>
  <c r="L19" i="173"/>
  <c r="D19" i="173"/>
  <c r="M18" i="173"/>
  <c r="E18" i="173"/>
  <c r="N17" i="173"/>
  <c r="F17" i="173"/>
  <c r="O16" i="173"/>
  <c r="G16" i="173"/>
  <c r="P15" i="173"/>
  <c r="H15" i="173"/>
  <c r="Q14" i="173"/>
  <c r="I14" i="173"/>
  <c r="A14" i="173"/>
  <c r="J13" i="173"/>
  <c r="B13" i="173"/>
  <c r="K12" i="173"/>
  <c r="C12" i="173"/>
  <c r="L11" i="173"/>
  <c r="D11" i="173"/>
  <c r="M10" i="173"/>
  <c r="E10" i="173"/>
  <c r="N9" i="173"/>
  <c r="F9" i="173"/>
  <c r="O8" i="173"/>
  <c r="G8" i="173"/>
  <c r="P7" i="173"/>
  <c r="G7" i="173"/>
  <c r="P6" i="173"/>
  <c r="G6" i="173"/>
  <c r="P5" i="173"/>
  <c r="G5" i="173"/>
  <c r="P4" i="173"/>
  <c r="G4" i="173"/>
  <c r="O3" i="173"/>
  <c r="C3" i="173"/>
  <c r="N172" i="173"/>
  <c r="L154" i="173"/>
  <c r="A146" i="173"/>
  <c r="B140" i="173"/>
  <c r="O132" i="173"/>
  <c r="K127" i="173"/>
  <c r="M123" i="173"/>
  <c r="O118" i="173"/>
  <c r="H114" i="173"/>
  <c r="F111" i="173"/>
  <c r="O107" i="173"/>
  <c r="E104" i="173"/>
  <c r="F101" i="173"/>
  <c r="A98" i="173"/>
  <c r="H95" i="173"/>
  <c r="E93" i="173"/>
  <c r="I90" i="173"/>
  <c r="P87" i="173"/>
  <c r="M85" i="173"/>
  <c r="Q82" i="173"/>
  <c r="G80" i="173"/>
  <c r="I78" i="173"/>
  <c r="N76" i="173"/>
  <c r="A75" i="173"/>
  <c r="J73" i="173"/>
  <c r="M71" i="173"/>
  <c r="Q69" i="173"/>
  <c r="I68" i="173"/>
  <c r="N66" i="173"/>
  <c r="F65" i="173"/>
  <c r="B64" i="173"/>
  <c r="M62" i="173"/>
  <c r="H61" i="173"/>
  <c r="F60" i="173"/>
  <c r="Q58" i="173"/>
  <c r="L57" i="173"/>
  <c r="J56" i="173"/>
  <c r="D55" i="173"/>
  <c r="P53" i="173"/>
  <c r="N52" i="173"/>
  <c r="H51" i="173"/>
  <c r="C50" i="173"/>
  <c r="A49" i="173"/>
  <c r="L47" i="173"/>
  <c r="G46" i="173"/>
  <c r="E45" i="173"/>
  <c r="P43" i="173"/>
  <c r="K42" i="173"/>
  <c r="I41" i="173"/>
  <c r="C40" i="173"/>
  <c r="O38" i="173"/>
  <c r="M37" i="173"/>
  <c r="G36" i="173"/>
  <c r="B35" i="173"/>
  <c r="Q33" i="173"/>
  <c r="K32" i="173"/>
  <c r="F31" i="173"/>
  <c r="D30" i="173"/>
  <c r="O28" i="173"/>
  <c r="J27" i="173"/>
  <c r="H26" i="173"/>
  <c r="B25" i="173"/>
  <c r="Q23" i="173"/>
  <c r="A23" i="173"/>
  <c r="H22" i="173"/>
  <c r="Q21" i="173"/>
  <c r="I21" i="173"/>
  <c r="A21" i="173"/>
  <c r="J20" i="173"/>
  <c r="B20" i="173"/>
  <c r="K19" i="173"/>
  <c r="C19" i="173"/>
  <c r="L18" i="173"/>
  <c r="D18" i="173"/>
  <c r="M17" i="173"/>
  <c r="E17" i="173"/>
  <c r="N16" i="173"/>
  <c r="F16" i="173"/>
  <c r="O15" i="173"/>
  <c r="G15" i="173"/>
  <c r="P14" i="173"/>
  <c r="H14" i="173"/>
  <c r="Q13" i="173"/>
  <c r="I13" i="173"/>
  <c r="A13" i="173"/>
  <c r="J12" i="173"/>
  <c r="B12" i="173"/>
  <c r="K11" i="173"/>
  <c r="C11" i="173"/>
  <c r="L10" i="173"/>
  <c r="D10" i="173"/>
  <c r="M9" i="173"/>
  <c r="E9" i="173"/>
  <c r="N8" i="173"/>
  <c r="F8" i="173"/>
  <c r="O7" i="173"/>
  <c r="F7" i="173"/>
  <c r="O6" i="173"/>
  <c r="F6" i="173"/>
  <c r="O5" i="173"/>
  <c r="F5" i="173"/>
  <c r="O4" i="173"/>
  <c r="F4" i="173"/>
  <c r="N3" i="173"/>
  <c r="A3" i="173"/>
  <c r="F165" i="173"/>
  <c r="O153" i="173"/>
  <c r="L145" i="173"/>
  <c r="I138" i="173"/>
  <c r="J132" i="173"/>
  <c r="C127" i="173"/>
  <c r="K122" i="173"/>
  <c r="M118" i="173"/>
  <c r="A114" i="173"/>
  <c r="L110" i="173"/>
  <c r="J107" i="173"/>
  <c r="B104" i="173"/>
  <c r="I100" i="173"/>
  <c r="Q97" i="173"/>
  <c r="D95" i="173"/>
  <c r="K92" i="173"/>
  <c r="H90" i="173"/>
  <c r="L87" i="173"/>
  <c r="B85" i="173"/>
  <c r="P82" i="173"/>
  <c r="C80" i="173"/>
  <c r="D78" i="173"/>
  <c r="K76" i="173"/>
  <c r="P74" i="173"/>
  <c r="C73" i="173"/>
  <c r="L71" i="173"/>
  <c r="O69" i="173"/>
  <c r="B68" i="173"/>
  <c r="M66" i="173"/>
  <c r="D65" i="173"/>
  <c r="N63" i="173"/>
  <c r="L62" i="173"/>
  <c r="F61" i="173"/>
  <c r="A60" i="173"/>
  <c r="P58" i="173"/>
  <c r="J57" i="173"/>
  <c r="E56" i="173"/>
  <c r="C55" i="173"/>
  <c r="N53" i="173"/>
  <c r="I52" i="173"/>
  <c r="G51" i="173"/>
  <c r="A50" i="173"/>
  <c r="M48" i="173"/>
  <c r="K47" i="173"/>
  <c r="E46" i="173"/>
  <c r="Q44" i="173"/>
  <c r="O43" i="173"/>
  <c r="I42" i="173"/>
  <c r="D41" i="173"/>
  <c r="B40" i="173"/>
  <c r="M38" i="173"/>
  <c r="H37" i="173"/>
  <c r="F36" i="173"/>
  <c r="Q34" i="173"/>
  <c r="L33" i="173"/>
  <c r="J32" i="173"/>
  <c r="D31" i="173"/>
  <c r="P29" i="173"/>
  <c r="N28" i="173"/>
  <c r="H27" i="173"/>
  <c r="C26" i="173"/>
  <c r="A25" i="173"/>
  <c r="N23" i="173"/>
  <c r="Q22" i="173"/>
  <c r="G22" i="173"/>
  <c r="M74" i="173"/>
  <c r="D8" i="173"/>
  <c r="F100" i="173"/>
  <c r="D5" i="173"/>
  <c r="D7" i="173"/>
  <c r="C9" i="173"/>
  <c r="A11" i="173"/>
  <c r="P12" i="173"/>
  <c r="N14" i="173"/>
  <c r="L16" i="173"/>
  <c r="J18" i="173"/>
  <c r="H20" i="173"/>
  <c r="F22" i="173"/>
  <c r="C31" i="173"/>
  <c r="B41" i="173"/>
  <c r="B51" i="173"/>
  <c r="E61" i="173"/>
  <c r="A73" i="173"/>
  <c r="N89" i="173"/>
  <c r="Q113" i="173"/>
  <c r="I161" i="173"/>
  <c r="Y1" i="176"/>
  <c r="Z1" i="176"/>
  <c r="I2" i="172"/>
  <c r="L149" i="163"/>
  <c r="F55" i="163"/>
  <c r="P61" i="163"/>
  <c r="H69" i="163"/>
  <c r="Q76" i="163"/>
  <c r="I84" i="163"/>
  <c r="A94" i="163"/>
  <c r="Q105" i="163"/>
  <c r="G119" i="163"/>
  <c r="K136" i="163"/>
  <c r="Q200" i="163"/>
  <c r="I200" i="163"/>
  <c r="A200" i="163"/>
  <c r="J199" i="163"/>
  <c r="B199" i="163"/>
  <c r="K198" i="163"/>
  <c r="C198" i="163"/>
  <c r="L197" i="163"/>
  <c r="D197" i="163"/>
  <c r="M196" i="163"/>
  <c r="E196" i="163"/>
  <c r="N195" i="163"/>
  <c r="F195" i="163"/>
  <c r="O194" i="163"/>
  <c r="G194" i="163"/>
  <c r="P193" i="163"/>
  <c r="H193" i="163"/>
  <c r="Q192" i="163"/>
  <c r="I192" i="163"/>
  <c r="A192" i="163"/>
  <c r="J191" i="163"/>
  <c r="B191" i="163"/>
  <c r="K190" i="163"/>
  <c r="C190" i="163"/>
  <c r="L189" i="163"/>
  <c r="D189" i="163"/>
  <c r="M188" i="163"/>
  <c r="E188" i="163"/>
  <c r="N187" i="163"/>
  <c r="F187" i="163"/>
  <c r="O186" i="163"/>
  <c r="G186" i="163"/>
  <c r="P200" i="163"/>
  <c r="O200" i="163"/>
  <c r="G200" i="163"/>
  <c r="P199" i="163"/>
  <c r="H199" i="163"/>
  <c r="Q198" i="163"/>
  <c r="I198" i="163"/>
  <c r="A198" i="163"/>
  <c r="J197" i="163"/>
  <c r="B197" i="163"/>
  <c r="K196" i="163"/>
  <c r="C196" i="163"/>
  <c r="L195" i="163"/>
  <c r="D195" i="163"/>
  <c r="M194" i="163"/>
  <c r="E194" i="163"/>
  <c r="N193" i="163"/>
  <c r="F193" i="163"/>
  <c r="O192" i="163"/>
  <c r="G192" i="163"/>
  <c r="P191" i="163"/>
  <c r="H191" i="163"/>
  <c r="Q190" i="163"/>
  <c r="I190" i="163"/>
  <c r="A190" i="163"/>
  <c r="J189" i="163"/>
  <c r="B189" i="163"/>
  <c r="K188" i="163"/>
  <c r="C188" i="163"/>
  <c r="L187" i="163"/>
  <c r="D187" i="163"/>
  <c r="M186" i="163"/>
  <c r="E186" i="163"/>
  <c r="N185" i="163"/>
  <c r="F185" i="163"/>
  <c r="O184" i="163"/>
  <c r="G184" i="163"/>
  <c r="P183" i="163"/>
  <c r="H183" i="163"/>
  <c r="Q182" i="163"/>
  <c r="I182" i="163"/>
  <c r="A182" i="163"/>
  <c r="J181" i="163"/>
  <c r="B181" i="163"/>
  <c r="K180" i="163"/>
  <c r="C180" i="163"/>
  <c r="L179" i="163"/>
  <c r="D179" i="163"/>
  <c r="M178" i="163"/>
  <c r="E178" i="163"/>
  <c r="N177" i="163"/>
  <c r="F177" i="163"/>
  <c r="O176" i="163"/>
  <c r="G176" i="163"/>
  <c r="P175" i="163"/>
  <c r="H175" i="163"/>
  <c r="Q174" i="163"/>
  <c r="I174" i="163"/>
  <c r="A174" i="163"/>
  <c r="J173" i="163"/>
  <c r="B173" i="163"/>
  <c r="K172" i="163"/>
  <c r="C172" i="163"/>
  <c r="L171" i="163"/>
  <c r="D171" i="163"/>
  <c r="M170" i="163"/>
  <c r="E170" i="163"/>
  <c r="N169" i="163"/>
  <c r="F169" i="163"/>
  <c r="O168" i="163"/>
  <c r="G168" i="163"/>
  <c r="P167" i="163"/>
  <c r="H167" i="163"/>
  <c r="Q166" i="163"/>
  <c r="I166" i="163"/>
  <c r="A166" i="163"/>
  <c r="J165" i="163"/>
  <c r="B165" i="163"/>
  <c r="K164" i="163"/>
  <c r="C164" i="163"/>
  <c r="L163" i="163"/>
  <c r="D163" i="163"/>
  <c r="M162" i="163"/>
  <c r="E162" i="163"/>
  <c r="N161" i="163"/>
  <c r="F161" i="163"/>
  <c r="N200" i="163"/>
  <c r="M200" i="163"/>
  <c r="E200" i="163"/>
  <c r="N199" i="163"/>
  <c r="F199" i="163"/>
  <c r="O198" i="163"/>
  <c r="G198" i="163"/>
  <c r="P197" i="163"/>
  <c r="H197" i="163"/>
  <c r="Q196" i="163"/>
  <c r="I196" i="163"/>
  <c r="A196" i="163"/>
  <c r="J195" i="163"/>
  <c r="B195" i="163"/>
  <c r="K194" i="163"/>
  <c r="C194" i="163"/>
  <c r="L193" i="163"/>
  <c r="D193" i="163"/>
  <c r="M192" i="163"/>
  <c r="E192" i="163"/>
  <c r="N191" i="163"/>
  <c r="F191" i="163"/>
  <c r="O190" i="163"/>
  <c r="G190" i="163"/>
  <c r="P189" i="163"/>
  <c r="H189" i="163"/>
  <c r="Q188" i="163"/>
  <c r="I188" i="163"/>
  <c r="A188" i="163"/>
  <c r="J187" i="163"/>
  <c r="B187" i="163"/>
  <c r="K186" i="163"/>
  <c r="C186" i="163"/>
  <c r="L185" i="163"/>
  <c r="D185" i="163"/>
  <c r="M184" i="163"/>
  <c r="E184" i="163"/>
  <c r="N183" i="163"/>
  <c r="F183" i="163"/>
  <c r="O182" i="163"/>
  <c r="G182" i="163"/>
  <c r="P181" i="163"/>
  <c r="H181" i="163"/>
  <c r="Q180" i="163"/>
  <c r="I180" i="163"/>
  <c r="A180" i="163"/>
  <c r="J179" i="163"/>
  <c r="B179" i="163"/>
  <c r="K178" i="163"/>
  <c r="C178" i="163"/>
  <c r="L177" i="163"/>
  <c r="D177" i="163"/>
  <c r="M176" i="163"/>
  <c r="E176" i="163"/>
  <c r="N175" i="163"/>
  <c r="F175" i="163"/>
  <c r="O174" i="163"/>
  <c r="G174" i="163"/>
  <c r="P173" i="163"/>
  <c r="H173" i="163"/>
  <c r="Q172" i="163"/>
  <c r="I172" i="163"/>
  <c r="A172" i="163"/>
  <c r="J171" i="163"/>
  <c r="B171" i="163"/>
  <c r="K170" i="163"/>
  <c r="C170" i="163"/>
  <c r="L169" i="163"/>
  <c r="D169" i="163"/>
  <c r="L200" i="163"/>
  <c r="D200" i="163"/>
  <c r="M199" i="163"/>
  <c r="E199" i="163"/>
  <c r="N198" i="163"/>
  <c r="F198" i="163"/>
  <c r="O197" i="163"/>
  <c r="G197" i="163"/>
  <c r="P196" i="163"/>
  <c r="H196" i="163"/>
  <c r="Q195" i="163"/>
  <c r="I195" i="163"/>
  <c r="A195" i="163"/>
  <c r="J194" i="163"/>
  <c r="B194" i="163"/>
  <c r="K193" i="163"/>
  <c r="C193" i="163"/>
  <c r="L192" i="163"/>
  <c r="D192" i="163"/>
  <c r="M191" i="163"/>
  <c r="E191" i="163"/>
  <c r="N190" i="163"/>
  <c r="F190" i="163"/>
  <c r="O189" i="163"/>
  <c r="G189" i="163"/>
  <c r="P188" i="163"/>
  <c r="H188" i="163"/>
  <c r="Q187" i="163"/>
  <c r="I187" i="163"/>
  <c r="A187" i="163"/>
  <c r="J186" i="163"/>
  <c r="B186" i="163"/>
  <c r="K185" i="163"/>
  <c r="C185" i="163"/>
  <c r="L184" i="163"/>
  <c r="D184" i="163"/>
  <c r="M183" i="163"/>
  <c r="E183" i="163"/>
  <c r="N182" i="163"/>
  <c r="F182" i="163"/>
  <c r="O181" i="163"/>
  <c r="G181" i="163"/>
  <c r="P180" i="163"/>
  <c r="H180" i="163"/>
  <c r="Q179" i="163"/>
  <c r="I179" i="163"/>
  <c r="A179" i="163"/>
  <c r="J178" i="163"/>
  <c r="B178" i="163"/>
  <c r="K177" i="163"/>
  <c r="C177" i="163"/>
  <c r="L176" i="163"/>
  <c r="D176" i="163"/>
  <c r="M175" i="163"/>
  <c r="K200" i="163"/>
  <c r="L199" i="163"/>
  <c r="M198" i="163"/>
  <c r="N197" i="163"/>
  <c r="O196" i="163"/>
  <c r="P195" i="163"/>
  <c r="Q194" i="163"/>
  <c r="A194" i="163"/>
  <c r="B193" i="163"/>
  <c r="C192" i="163"/>
  <c r="D191" i="163"/>
  <c r="E190" i="163"/>
  <c r="F189" i="163"/>
  <c r="G188" i="163"/>
  <c r="H187" i="163"/>
  <c r="I186" i="163"/>
  <c r="M185" i="163"/>
  <c r="Q184" i="163"/>
  <c r="C184" i="163"/>
  <c r="I183" i="163"/>
  <c r="L182" i="163"/>
  <c r="Q181" i="163"/>
  <c r="D181" i="163"/>
  <c r="G180" i="163"/>
  <c r="M179" i="163"/>
  <c r="P178" i="163"/>
  <c r="D178" i="163"/>
  <c r="H177" i="163"/>
  <c r="K176" i="163"/>
  <c r="Q175" i="163"/>
  <c r="D175" i="163"/>
  <c r="K174" i="163"/>
  <c r="Q173" i="163"/>
  <c r="F173" i="163"/>
  <c r="M172" i="163"/>
  <c r="B172" i="163"/>
  <c r="H171" i="163"/>
  <c r="O170" i="163"/>
  <c r="D170" i="163"/>
  <c r="J169" i="163"/>
  <c r="Q168" i="163"/>
  <c r="H168" i="163"/>
  <c r="O167" i="163"/>
  <c r="F167" i="163"/>
  <c r="N166" i="163"/>
  <c r="E166" i="163"/>
  <c r="M165" i="163"/>
  <c r="D165" i="163"/>
  <c r="L164" i="163"/>
  <c r="B164" i="163"/>
  <c r="J163" i="163"/>
  <c r="A163" i="163"/>
  <c r="I162" i="163"/>
  <c r="Q161" i="163"/>
  <c r="H161" i="163"/>
  <c r="P160" i="163"/>
  <c r="H160" i="163"/>
  <c r="Q159" i="163"/>
  <c r="I159" i="163"/>
  <c r="A159" i="163"/>
  <c r="J158" i="163"/>
  <c r="B158" i="163"/>
  <c r="K157" i="163"/>
  <c r="C157" i="163"/>
  <c r="L156" i="163"/>
  <c r="D156" i="163"/>
  <c r="M155" i="163"/>
  <c r="E155" i="163"/>
  <c r="N154" i="163"/>
  <c r="F154" i="163"/>
  <c r="O153" i="163"/>
  <c r="G153" i="163"/>
  <c r="P152" i="163"/>
  <c r="H152" i="163"/>
  <c r="Q151" i="163"/>
  <c r="I151" i="163"/>
  <c r="A151" i="163"/>
  <c r="J150" i="163"/>
  <c r="B150" i="163"/>
  <c r="K149" i="163"/>
  <c r="C149" i="163"/>
  <c r="L148" i="163"/>
  <c r="D148" i="163"/>
  <c r="M147" i="163"/>
  <c r="E147" i="163"/>
  <c r="J200" i="163"/>
  <c r="K199" i="163"/>
  <c r="L198" i="163"/>
  <c r="M197" i="163"/>
  <c r="N196" i="163"/>
  <c r="O195" i="163"/>
  <c r="P194" i="163"/>
  <c r="Q193" i="163"/>
  <c r="A193" i="163"/>
  <c r="B192" i="163"/>
  <c r="C191" i="163"/>
  <c r="D190" i="163"/>
  <c r="E189" i="163"/>
  <c r="F188" i="163"/>
  <c r="G187" i="163"/>
  <c r="H186" i="163"/>
  <c r="J185" i="163"/>
  <c r="P184" i="163"/>
  <c r="B184" i="163"/>
  <c r="G183" i="163"/>
  <c r="K182" i="163"/>
  <c r="N181" i="163"/>
  <c r="C181" i="163"/>
  <c r="F180" i="163"/>
  <c r="K179" i="163"/>
  <c r="O178" i="163"/>
  <c r="A178" i="163"/>
  <c r="G177" i="163"/>
  <c r="J176" i="163"/>
  <c r="O175" i="163"/>
  <c r="C175" i="163"/>
  <c r="J174" i="163"/>
  <c r="O173" i="163"/>
  <c r="E173" i="163"/>
  <c r="L172" i="163"/>
  <c r="Q171" i="163"/>
  <c r="G171" i="163"/>
  <c r="N170" i="163"/>
  <c r="B170" i="163"/>
  <c r="H200" i="163"/>
  <c r="I199" i="163"/>
  <c r="J198" i="163"/>
  <c r="K197" i="163"/>
  <c r="L196" i="163"/>
  <c r="M195" i="163"/>
  <c r="N194" i="163"/>
  <c r="O193" i="163"/>
  <c r="P192" i="163"/>
  <c r="Q191" i="163"/>
  <c r="A191" i="163"/>
  <c r="B190" i="163"/>
  <c r="C189" i="163"/>
  <c r="D188" i="163"/>
  <c r="E187" i="163"/>
  <c r="F186" i="163"/>
  <c r="I185" i="163"/>
  <c r="N184" i="163"/>
  <c r="A184" i="163"/>
  <c r="D183" i="163"/>
  <c r="J182" i="163"/>
  <c r="M181" i="163"/>
  <c r="A181" i="163"/>
  <c r="E180" i="163"/>
  <c r="H179" i="163"/>
  <c r="N178" i="163"/>
  <c r="Q177" i="163"/>
  <c r="E177" i="163"/>
  <c r="I176" i="163"/>
  <c r="L175" i="163"/>
  <c r="B175" i="163"/>
  <c r="H174" i="163"/>
  <c r="N173" i="163"/>
  <c r="D173" i="163"/>
  <c r="J172" i="163"/>
  <c r="P171" i="163"/>
  <c r="F171" i="163"/>
  <c r="L170" i="163"/>
  <c r="A170" i="163"/>
  <c r="H169" i="163"/>
  <c r="N168" i="163"/>
  <c r="E168" i="163"/>
  <c r="M167" i="163"/>
  <c r="D167" i="163"/>
  <c r="L166" i="163"/>
  <c r="C166" i="163"/>
  <c r="K165" i="163"/>
  <c r="A165" i="163"/>
  <c r="I164" i="163"/>
  <c r="Q163" i="163"/>
  <c r="H163" i="163"/>
  <c r="P162" i="163"/>
  <c r="G162" i="163"/>
  <c r="O161" i="163"/>
  <c r="E161" i="163"/>
  <c r="N160" i="163"/>
  <c r="F160" i="163"/>
  <c r="O159" i="163"/>
  <c r="G159" i="163"/>
  <c r="P158" i="163"/>
  <c r="H158" i="163"/>
  <c r="Q157" i="163"/>
  <c r="I157" i="163"/>
  <c r="A157" i="163"/>
  <c r="J156" i="163"/>
  <c r="B156" i="163"/>
  <c r="K155" i="163"/>
  <c r="F200" i="163"/>
  <c r="G199" i="163"/>
  <c r="H198" i="163"/>
  <c r="I197" i="163"/>
  <c r="J196" i="163"/>
  <c r="K195" i="163"/>
  <c r="L194" i="163"/>
  <c r="M193" i="163"/>
  <c r="N192" i="163"/>
  <c r="O191" i="163"/>
  <c r="P190" i="163"/>
  <c r="Q189" i="163"/>
  <c r="A189" i="163"/>
  <c r="B188" i="163"/>
  <c r="C187" i="163"/>
  <c r="D186" i="163"/>
  <c r="H185" i="163"/>
  <c r="K184" i="163"/>
  <c r="Q183" i="163"/>
  <c r="C183" i="163"/>
  <c r="H182" i="163"/>
  <c r="L181" i="163"/>
  <c r="O180" i="163"/>
  <c r="D180" i="163"/>
  <c r="G179" i="163"/>
  <c r="L178" i="163"/>
  <c r="P177" i="163"/>
  <c r="B177" i="163"/>
  <c r="H176" i="163"/>
  <c r="K175" i="163"/>
  <c r="A175" i="163"/>
  <c r="F174" i="163"/>
  <c r="M173" i="163"/>
  <c r="C173" i="163"/>
  <c r="H172" i="163"/>
  <c r="O171" i="163"/>
  <c r="E171" i="163"/>
  <c r="J170" i="163"/>
  <c r="Q169" i="163"/>
  <c r="G169" i="163"/>
  <c r="M168" i="163"/>
  <c r="D168" i="163"/>
  <c r="L167" i="163"/>
  <c r="C167" i="163"/>
  <c r="K166" i="163"/>
  <c r="B166" i="163"/>
  <c r="I165" i="163"/>
  <c r="Q164" i="163"/>
  <c r="H164" i="163"/>
  <c r="P163" i="163"/>
  <c r="G163" i="163"/>
  <c r="O162" i="163"/>
  <c r="F162" i="163"/>
  <c r="M161" i="163"/>
  <c r="D161" i="163"/>
  <c r="M160" i="163"/>
  <c r="E160" i="163"/>
  <c r="N159" i="163"/>
  <c r="F159" i="163"/>
  <c r="O158" i="163"/>
  <c r="G158" i="163"/>
  <c r="P157" i="163"/>
  <c r="H157" i="163"/>
  <c r="Q156" i="163"/>
  <c r="I156" i="163"/>
  <c r="C200" i="163"/>
  <c r="E198" i="163"/>
  <c r="G196" i="163"/>
  <c r="I194" i="163"/>
  <c r="K192" i="163"/>
  <c r="M190" i="163"/>
  <c r="O188" i="163"/>
  <c r="Q186" i="163"/>
  <c r="G185" i="163"/>
  <c r="O183" i="163"/>
  <c r="E182" i="163"/>
  <c r="N180" i="163"/>
  <c r="F179" i="163"/>
  <c r="O177" i="163"/>
  <c r="F176" i="163"/>
  <c r="P174" i="163"/>
  <c r="L173" i="163"/>
  <c r="G172" i="163"/>
  <c r="C171" i="163"/>
  <c r="P169" i="163"/>
  <c r="A169" i="163"/>
  <c r="B168" i="163"/>
  <c r="E167" i="163"/>
  <c r="G166" i="163"/>
  <c r="H165" i="163"/>
  <c r="M164" i="163"/>
  <c r="N163" i="163"/>
  <c r="Q162" i="163"/>
  <c r="B162" i="163"/>
  <c r="C161" i="163"/>
  <c r="I160" i="163"/>
  <c r="L159" i="163"/>
  <c r="Q158" i="163"/>
  <c r="D158" i="163"/>
  <c r="G157" i="163"/>
  <c r="M156" i="163"/>
  <c r="Q155" i="163"/>
  <c r="G155" i="163"/>
  <c r="O154" i="163"/>
  <c r="E154" i="163"/>
  <c r="M153" i="163"/>
  <c r="D153" i="163"/>
  <c r="L152" i="163"/>
  <c r="C152" i="163"/>
  <c r="K151" i="163"/>
  <c r="B151" i="163"/>
  <c r="I150" i="163"/>
  <c r="Q149" i="163"/>
  <c r="H149" i="163"/>
  <c r="P148" i="163"/>
  <c r="G148" i="163"/>
  <c r="O147" i="163"/>
  <c r="F147" i="163"/>
  <c r="N146" i="163"/>
  <c r="F146" i="163"/>
  <c r="O145" i="163"/>
  <c r="G145" i="163"/>
  <c r="P144" i="163"/>
  <c r="H144" i="163"/>
  <c r="Q143" i="163"/>
  <c r="I143" i="163"/>
  <c r="A143" i="163"/>
  <c r="J142" i="163"/>
  <c r="B142" i="163"/>
  <c r="K141" i="163"/>
  <c r="C141" i="163"/>
  <c r="L140" i="163"/>
  <c r="D140" i="163"/>
  <c r="M139" i="163"/>
  <c r="E139" i="163"/>
  <c r="N138" i="163"/>
  <c r="F138" i="163"/>
  <c r="O137" i="163"/>
  <c r="G137" i="163"/>
  <c r="P136" i="163"/>
  <c r="H136" i="163"/>
  <c r="Q135" i="163"/>
  <c r="I135" i="163"/>
  <c r="A135" i="163"/>
  <c r="J134" i="163"/>
  <c r="B134" i="163"/>
  <c r="K133" i="163"/>
  <c r="C133" i="163"/>
  <c r="L132" i="163"/>
  <c r="D132" i="163"/>
  <c r="M131" i="163"/>
  <c r="E131" i="163"/>
  <c r="N130" i="163"/>
  <c r="F130" i="163"/>
  <c r="O129" i="163"/>
  <c r="G129" i="163"/>
  <c r="P128" i="163"/>
  <c r="H128" i="163"/>
  <c r="Q127" i="163"/>
  <c r="I127" i="163"/>
  <c r="A127" i="163"/>
  <c r="J126" i="163"/>
  <c r="B126" i="163"/>
  <c r="K125" i="163"/>
  <c r="C125" i="163"/>
  <c r="L124" i="163"/>
  <c r="D124" i="163"/>
  <c r="B200" i="163"/>
  <c r="D198" i="163"/>
  <c r="F196" i="163"/>
  <c r="H194" i="163"/>
  <c r="J192" i="163"/>
  <c r="L190" i="163"/>
  <c r="N188" i="163"/>
  <c r="P186" i="163"/>
  <c r="E185" i="163"/>
  <c r="L183" i="163"/>
  <c r="D182" i="163"/>
  <c r="M180" i="163"/>
  <c r="E179" i="163"/>
  <c r="M177" i="163"/>
  <c r="C176" i="163"/>
  <c r="N174" i="163"/>
  <c r="K173" i="163"/>
  <c r="F172" i="163"/>
  <c r="A171" i="163"/>
  <c r="O169" i="163"/>
  <c r="P168" i="163"/>
  <c r="A168" i="163"/>
  <c r="B167" i="163"/>
  <c r="F166" i="163"/>
  <c r="G165" i="163"/>
  <c r="J164" i="163"/>
  <c r="M163" i="163"/>
  <c r="N162" i="163"/>
  <c r="A162" i="163"/>
  <c r="B161" i="163"/>
  <c r="G160" i="163"/>
  <c r="K159" i="163"/>
  <c r="N158" i="163"/>
  <c r="C158" i="163"/>
  <c r="F157" i="163"/>
  <c r="K156" i="163"/>
  <c r="P155" i="163"/>
  <c r="F155" i="163"/>
  <c r="M154" i="163"/>
  <c r="D154" i="163"/>
  <c r="L153" i="163"/>
  <c r="C153" i="163"/>
  <c r="K152" i="163"/>
  <c r="B152" i="163"/>
  <c r="J151" i="163"/>
  <c r="Q150" i="163"/>
  <c r="H150" i="163"/>
  <c r="P149" i="163"/>
  <c r="G149" i="163"/>
  <c r="O148" i="163"/>
  <c r="F148" i="163"/>
  <c r="N147" i="163"/>
  <c r="D147" i="163"/>
  <c r="M146" i="163"/>
  <c r="E146" i="163"/>
  <c r="N145" i="163"/>
  <c r="F145" i="163"/>
  <c r="O144" i="163"/>
  <c r="G144" i="163"/>
  <c r="P143" i="163"/>
  <c r="H143" i="163"/>
  <c r="Q142" i="163"/>
  <c r="I142" i="163"/>
  <c r="A142" i="163"/>
  <c r="J141" i="163"/>
  <c r="B141" i="163"/>
  <c r="K140" i="163"/>
  <c r="C140" i="163"/>
  <c r="L139" i="163"/>
  <c r="D139" i="163"/>
  <c r="M138" i="163"/>
  <c r="E138" i="163"/>
  <c r="N137" i="163"/>
  <c r="F137" i="163"/>
  <c r="O136" i="163"/>
  <c r="G136" i="163"/>
  <c r="P135" i="163"/>
  <c r="H135" i="163"/>
  <c r="Q134" i="163"/>
  <c r="I134" i="163"/>
  <c r="A134" i="163"/>
  <c r="J133" i="163"/>
  <c r="B133" i="163"/>
  <c r="K132" i="163"/>
  <c r="C132" i="163"/>
  <c r="Q199" i="163"/>
  <c r="B198" i="163"/>
  <c r="D196" i="163"/>
  <c r="F194" i="163"/>
  <c r="H192" i="163"/>
  <c r="J190" i="163"/>
  <c r="L188" i="163"/>
  <c r="N186" i="163"/>
  <c r="B185" i="163"/>
  <c r="K183" i="163"/>
  <c r="C182" i="163"/>
  <c r="L180" i="163"/>
  <c r="C179" i="163"/>
  <c r="J177" i="163"/>
  <c r="B176" i="163"/>
  <c r="M174" i="163"/>
  <c r="I173" i="163"/>
  <c r="E172" i="163"/>
  <c r="Q170" i="163"/>
  <c r="M169" i="163"/>
  <c r="L168" i="163"/>
  <c r="Q167" i="163"/>
  <c r="A167" i="163"/>
  <c r="D166" i="163"/>
  <c r="F165" i="163"/>
  <c r="G164" i="163"/>
  <c r="K163" i="163"/>
  <c r="L162" i="163"/>
  <c r="P161" i="163"/>
  <c r="A161" i="163"/>
  <c r="D160" i="163"/>
  <c r="J159" i="163"/>
  <c r="M158" i="163"/>
  <c r="A158" i="163"/>
  <c r="E157" i="163"/>
  <c r="H156" i="163"/>
  <c r="O155" i="163"/>
  <c r="D155" i="163"/>
  <c r="L154" i="163"/>
  <c r="C154" i="163"/>
  <c r="K153" i="163"/>
  <c r="B153" i="163"/>
  <c r="J152" i="163"/>
  <c r="A152" i="163"/>
  <c r="H151" i="163"/>
  <c r="P150" i="163"/>
  <c r="G150" i="163"/>
  <c r="O149" i="163"/>
  <c r="F149" i="163"/>
  <c r="N148" i="163"/>
  <c r="E148" i="163"/>
  <c r="L147" i="163"/>
  <c r="C147" i="163"/>
  <c r="L146" i="163"/>
  <c r="D146" i="163"/>
  <c r="M145" i="163"/>
  <c r="E145" i="163"/>
  <c r="N144" i="163"/>
  <c r="F144" i="163"/>
  <c r="O143" i="163"/>
  <c r="G143" i="163"/>
  <c r="P142" i="163"/>
  <c r="H142" i="163"/>
  <c r="Q141" i="163"/>
  <c r="I141" i="163"/>
  <c r="O199" i="163"/>
  <c r="Q197" i="163"/>
  <c r="B196" i="163"/>
  <c r="D194" i="163"/>
  <c r="F192" i="163"/>
  <c r="H190" i="163"/>
  <c r="J188" i="163"/>
  <c r="L186" i="163"/>
  <c r="A185" i="163"/>
  <c r="J183" i="163"/>
  <c r="B182" i="163"/>
  <c r="J180" i="163"/>
  <c r="Q178" i="163"/>
  <c r="I177" i="163"/>
  <c r="A176" i="163"/>
  <c r="L174" i="163"/>
  <c r="G173" i="163"/>
  <c r="D172" i="163"/>
  <c r="P170" i="163"/>
  <c r="K169" i="163"/>
  <c r="K168" i="163"/>
  <c r="N167" i="163"/>
  <c r="P166" i="163"/>
  <c r="Q165" i="163"/>
  <c r="E165" i="163"/>
  <c r="F164" i="163"/>
  <c r="I163" i="163"/>
  <c r="K162" i="163"/>
  <c r="L161" i="163"/>
  <c r="Q160" i="163"/>
  <c r="C160" i="163"/>
  <c r="H159" i="163"/>
  <c r="L158" i="163"/>
  <c r="O157" i="163"/>
  <c r="D157" i="163"/>
  <c r="G156" i="163"/>
  <c r="N155" i="163"/>
  <c r="C155" i="163"/>
  <c r="K154" i="163"/>
  <c r="B154" i="163"/>
  <c r="J153" i="163"/>
  <c r="A153" i="163"/>
  <c r="I152" i="163"/>
  <c r="P151" i="163"/>
  <c r="G151" i="163"/>
  <c r="O150" i="163"/>
  <c r="F150" i="163"/>
  <c r="N149" i="163"/>
  <c r="E149" i="163"/>
  <c r="M148" i="163"/>
  <c r="C148" i="163"/>
  <c r="K147" i="163"/>
  <c r="B147" i="163"/>
  <c r="K146" i="163"/>
  <c r="C146" i="163"/>
  <c r="L145" i="163"/>
  <c r="D145" i="163"/>
  <c r="M144" i="163"/>
  <c r="E144" i="163"/>
  <c r="N143" i="163"/>
  <c r="F143" i="163"/>
  <c r="O142" i="163"/>
  <c r="G142" i="163"/>
  <c r="D199" i="163"/>
  <c r="H195" i="163"/>
  <c r="L191" i="163"/>
  <c r="P187" i="163"/>
  <c r="J184" i="163"/>
  <c r="K181" i="163"/>
  <c r="I178" i="163"/>
  <c r="J175" i="163"/>
  <c r="A173" i="163"/>
  <c r="I170" i="163"/>
  <c r="J168" i="163"/>
  <c r="O166" i="163"/>
  <c r="C165" i="163"/>
  <c r="F163" i="163"/>
  <c r="K161" i="163"/>
  <c r="B160" i="163"/>
  <c r="K158" i="163"/>
  <c r="B157" i="163"/>
  <c r="L155" i="163"/>
  <c r="J154" i="163"/>
  <c r="I153" i="163"/>
  <c r="G152" i="163"/>
  <c r="F151" i="163"/>
  <c r="E150" i="163"/>
  <c r="D149" i="163"/>
  <c r="B148" i="163"/>
  <c r="A147" i="163"/>
  <c r="B146" i="163"/>
  <c r="C145" i="163"/>
  <c r="D144" i="163"/>
  <c r="E143" i="163"/>
  <c r="F142" i="163"/>
  <c r="L141" i="163"/>
  <c r="P140" i="163"/>
  <c r="F140" i="163"/>
  <c r="K139" i="163"/>
  <c r="A139" i="163"/>
  <c r="H138" i="163"/>
  <c r="M137" i="163"/>
  <c r="C137" i="163"/>
  <c r="J136" i="163"/>
  <c r="O135" i="163"/>
  <c r="E135" i="163"/>
  <c r="L134" i="163"/>
  <c r="Q133" i="163"/>
  <c r="G133" i="163"/>
  <c r="N132" i="163"/>
  <c r="B132" i="163"/>
  <c r="J131" i="163"/>
  <c r="A131" i="163"/>
  <c r="I130" i="163"/>
  <c r="Q129" i="163"/>
  <c r="H129" i="163"/>
  <c r="O128" i="163"/>
  <c r="F128" i="163"/>
  <c r="N127" i="163"/>
  <c r="E127" i="163"/>
  <c r="M126" i="163"/>
  <c r="D126" i="163"/>
  <c r="L125" i="163"/>
  <c r="B125" i="163"/>
  <c r="J124" i="163"/>
  <c r="A124" i="163"/>
  <c r="J123" i="163"/>
  <c r="B123" i="163"/>
  <c r="K122" i="163"/>
  <c r="C122" i="163"/>
  <c r="L121" i="163"/>
  <c r="D121" i="163"/>
  <c r="M120" i="163"/>
  <c r="E120" i="163"/>
  <c r="N119" i="163"/>
  <c r="F119" i="163"/>
  <c r="O118" i="163"/>
  <c r="G118" i="163"/>
  <c r="P117" i="163"/>
  <c r="H117" i="163"/>
  <c r="Q116" i="163"/>
  <c r="I116" i="163"/>
  <c r="A116" i="163"/>
  <c r="J115" i="163"/>
  <c r="B115" i="163"/>
  <c r="K114" i="163"/>
  <c r="C114" i="163"/>
  <c r="L113" i="163"/>
  <c r="D113" i="163"/>
  <c r="M112" i="163"/>
  <c r="E112" i="163"/>
  <c r="N111" i="163"/>
  <c r="F111" i="163"/>
  <c r="O110" i="163"/>
  <c r="G110" i="163"/>
  <c r="P109" i="163"/>
  <c r="H109" i="163"/>
  <c r="Q108" i="163"/>
  <c r="I108" i="163"/>
  <c r="A108" i="163"/>
  <c r="J107" i="163"/>
  <c r="B107" i="163"/>
  <c r="K106" i="163"/>
  <c r="C106" i="163"/>
  <c r="L105" i="163"/>
  <c r="D105" i="163"/>
  <c r="M104" i="163"/>
  <c r="E104" i="163"/>
  <c r="N103" i="163"/>
  <c r="F103" i="163"/>
  <c r="O102" i="163"/>
  <c r="G102" i="163"/>
  <c r="P101" i="163"/>
  <c r="H101" i="163"/>
  <c r="Q100" i="163"/>
  <c r="I100" i="163"/>
  <c r="A100" i="163"/>
  <c r="J99" i="163"/>
  <c r="B99" i="163"/>
  <c r="K98" i="163"/>
  <c r="C98" i="163"/>
  <c r="L97" i="163"/>
  <c r="D97" i="163"/>
  <c r="M96" i="163"/>
  <c r="E96" i="163"/>
  <c r="N95" i="163"/>
  <c r="F95" i="163"/>
  <c r="O94" i="163"/>
  <c r="G94" i="163"/>
  <c r="P93" i="163"/>
  <c r="H93" i="163"/>
  <c r="Q92" i="163"/>
  <c r="I92" i="163"/>
  <c r="A92" i="163"/>
  <c r="J91" i="163"/>
  <c r="B91" i="163"/>
  <c r="K90" i="163"/>
  <c r="C90" i="163"/>
  <c r="L89" i="163"/>
  <c r="D89" i="163"/>
  <c r="M88" i="163"/>
  <c r="E88" i="163"/>
  <c r="N87" i="163"/>
  <c r="F87" i="163"/>
  <c r="O86" i="163"/>
  <c r="G86" i="163"/>
  <c r="P85" i="163"/>
  <c r="H85" i="163"/>
  <c r="Q84" i="163"/>
  <c r="C199" i="163"/>
  <c r="G195" i="163"/>
  <c r="K191" i="163"/>
  <c r="O187" i="163"/>
  <c r="I184" i="163"/>
  <c r="I181" i="163"/>
  <c r="H178" i="163"/>
  <c r="I175" i="163"/>
  <c r="P172" i="163"/>
  <c r="H170" i="163"/>
  <c r="I168" i="163"/>
  <c r="M166" i="163"/>
  <c r="P164" i="163"/>
  <c r="E163" i="163"/>
  <c r="J161" i="163"/>
  <c r="A160" i="163"/>
  <c r="I158" i="163"/>
  <c r="P156" i="163"/>
  <c r="J155" i="163"/>
  <c r="I154" i="163"/>
  <c r="H153" i="163"/>
  <c r="F152" i="163"/>
  <c r="E151" i="163"/>
  <c r="D150" i="163"/>
  <c r="B149" i="163"/>
  <c r="A148" i="163"/>
  <c r="Q146" i="163"/>
  <c r="A146" i="163"/>
  <c r="B145" i="163"/>
  <c r="C144" i="163"/>
  <c r="D143" i="163"/>
  <c r="E142" i="163"/>
  <c r="H141" i="163"/>
  <c r="O140" i="163"/>
  <c r="E140" i="163"/>
  <c r="J139" i="163"/>
  <c r="Q138" i="163"/>
  <c r="G138" i="163"/>
  <c r="L137" i="163"/>
  <c r="B137" i="163"/>
  <c r="I136" i="163"/>
  <c r="N135" i="163"/>
  <c r="D135" i="163"/>
  <c r="K134" i="163"/>
  <c r="P133" i="163"/>
  <c r="F133" i="163"/>
  <c r="M132" i="163"/>
  <c r="A132" i="163"/>
  <c r="I131" i="163"/>
  <c r="Q130" i="163"/>
  <c r="H130" i="163"/>
  <c r="P129" i="163"/>
  <c r="F129" i="163"/>
  <c r="N128" i="163"/>
  <c r="E128" i="163"/>
  <c r="M127" i="163"/>
  <c r="D127" i="163"/>
  <c r="L126" i="163"/>
  <c r="C126" i="163"/>
  <c r="J125" i="163"/>
  <c r="A125" i="163"/>
  <c r="I124" i="163"/>
  <c r="Q123" i="163"/>
  <c r="I123" i="163"/>
  <c r="A123" i="163"/>
  <c r="J122" i="163"/>
  <c r="B122" i="163"/>
  <c r="K121" i="163"/>
  <c r="C121" i="163"/>
  <c r="L120" i="163"/>
  <c r="D120" i="163"/>
  <c r="M119" i="163"/>
  <c r="E119" i="163"/>
  <c r="N118" i="163"/>
  <c r="F118" i="163"/>
  <c r="O117" i="163"/>
  <c r="G117" i="163"/>
  <c r="P116" i="163"/>
  <c r="H116" i="163"/>
  <c r="Q115" i="163"/>
  <c r="I115" i="163"/>
  <c r="A115" i="163"/>
  <c r="J114" i="163"/>
  <c r="B114" i="163"/>
  <c r="K113" i="163"/>
  <c r="C113" i="163"/>
  <c r="L112" i="163"/>
  <c r="D112" i="163"/>
  <c r="M111" i="163"/>
  <c r="E111" i="163"/>
  <c r="N110" i="163"/>
  <c r="F110" i="163"/>
  <c r="O109" i="163"/>
  <c r="G109" i="163"/>
  <c r="P108" i="163"/>
  <c r="H108" i="163"/>
  <c r="Q107" i="163"/>
  <c r="I107" i="163"/>
  <c r="A107" i="163"/>
  <c r="J106" i="163"/>
  <c r="B106" i="163"/>
  <c r="K105" i="163"/>
  <c r="C105" i="163"/>
  <c r="L104" i="163"/>
  <c r="D104" i="163"/>
  <c r="M103" i="163"/>
  <c r="E103" i="163"/>
  <c r="N102" i="163"/>
  <c r="F102" i="163"/>
  <c r="O101" i="163"/>
  <c r="G101" i="163"/>
  <c r="P100" i="163"/>
  <c r="H100" i="163"/>
  <c r="Q99" i="163"/>
  <c r="I99" i="163"/>
  <c r="A99" i="163"/>
  <c r="J98" i="163"/>
  <c r="B98" i="163"/>
  <c r="K97" i="163"/>
  <c r="C97" i="163"/>
  <c r="L96" i="163"/>
  <c r="D96" i="163"/>
  <c r="M95" i="163"/>
  <c r="E95" i="163"/>
  <c r="N94" i="163"/>
  <c r="F94" i="163"/>
  <c r="O93" i="163"/>
  <c r="G93" i="163"/>
  <c r="P92" i="163"/>
  <c r="H92" i="163"/>
  <c r="Q91" i="163"/>
  <c r="I91" i="163"/>
  <c r="A91" i="163"/>
  <c r="A199" i="163"/>
  <c r="E195" i="163"/>
  <c r="I191" i="163"/>
  <c r="M187" i="163"/>
  <c r="H184" i="163"/>
  <c r="F181" i="163"/>
  <c r="G178" i="163"/>
  <c r="G175" i="163"/>
  <c r="O172" i="163"/>
  <c r="G170" i="163"/>
  <c r="F168" i="163"/>
  <c r="J166" i="163"/>
  <c r="O164" i="163"/>
  <c r="C163" i="163"/>
  <c r="I161" i="163"/>
  <c r="P159" i="163"/>
  <c r="F158" i="163"/>
  <c r="O156" i="163"/>
  <c r="I155" i="163"/>
  <c r="H154" i="163"/>
  <c r="F153" i="163"/>
  <c r="E152" i="163"/>
  <c r="D151" i="163"/>
  <c r="C150" i="163"/>
  <c r="A149" i="163"/>
  <c r="Q147" i="163"/>
  <c r="P146" i="163"/>
  <c r="Q145" i="163"/>
  <c r="A145" i="163"/>
  <c r="B144" i="163"/>
  <c r="C143" i="163"/>
  <c r="D142" i="163"/>
  <c r="G141" i="163"/>
  <c r="N140" i="163"/>
  <c r="B140" i="163"/>
  <c r="I139" i="163"/>
  <c r="P138" i="163"/>
  <c r="D138" i="163"/>
  <c r="K137" i="163"/>
  <c r="A137" i="163"/>
  <c r="F136" i="163"/>
  <c r="M135" i="163"/>
  <c r="C135" i="163"/>
  <c r="H134" i="163"/>
  <c r="O133" i="163"/>
  <c r="E133" i="163"/>
  <c r="J132" i="163"/>
  <c r="Q131" i="163"/>
  <c r="H131" i="163"/>
  <c r="P130" i="163"/>
  <c r="G130" i="163"/>
  <c r="N129" i="163"/>
  <c r="E129" i="163"/>
  <c r="M128" i="163"/>
  <c r="D128" i="163"/>
  <c r="L127" i="163"/>
  <c r="C127" i="163"/>
  <c r="K126" i="163"/>
  <c r="A126" i="163"/>
  <c r="I125" i="163"/>
  <c r="Q124" i="163"/>
  <c r="H124" i="163"/>
  <c r="P123" i="163"/>
  <c r="H123" i="163"/>
  <c r="Q122" i="163"/>
  <c r="I122" i="163"/>
  <c r="A122" i="163"/>
  <c r="J121" i="163"/>
  <c r="B121" i="163"/>
  <c r="K120" i="163"/>
  <c r="C120" i="163"/>
  <c r="L119" i="163"/>
  <c r="D119" i="163"/>
  <c r="M118" i="163"/>
  <c r="E118" i="163"/>
  <c r="N117" i="163"/>
  <c r="F117" i="163"/>
  <c r="O116" i="163"/>
  <c r="G116" i="163"/>
  <c r="P115" i="163"/>
  <c r="H115" i="163"/>
  <c r="Q114" i="163"/>
  <c r="I114" i="163"/>
  <c r="A114" i="163"/>
  <c r="J113" i="163"/>
  <c r="B113" i="163"/>
  <c r="K112" i="163"/>
  <c r="C112" i="163"/>
  <c r="L111" i="163"/>
  <c r="D111" i="163"/>
  <c r="M110" i="163"/>
  <c r="E110" i="163"/>
  <c r="N109" i="163"/>
  <c r="F109" i="163"/>
  <c r="O108" i="163"/>
  <c r="G108" i="163"/>
  <c r="P107" i="163"/>
  <c r="H107" i="163"/>
  <c r="Q106" i="163"/>
  <c r="I106" i="163"/>
  <c r="A106" i="163"/>
  <c r="J105" i="163"/>
  <c r="B105" i="163"/>
  <c r="K104" i="163"/>
  <c r="C104" i="163"/>
  <c r="L103" i="163"/>
  <c r="D103" i="163"/>
  <c r="M102" i="163"/>
  <c r="E102" i="163"/>
  <c r="N101" i="163"/>
  <c r="F101" i="163"/>
  <c r="O100" i="163"/>
  <c r="G100" i="163"/>
  <c r="P99" i="163"/>
  <c r="H99" i="163"/>
  <c r="Q98" i="163"/>
  <c r="I98" i="163"/>
  <c r="A98" i="163"/>
  <c r="J97" i="163"/>
  <c r="B97" i="163"/>
  <c r="K96" i="163"/>
  <c r="C96" i="163"/>
  <c r="L95" i="163"/>
  <c r="D95" i="163"/>
  <c r="M94" i="163"/>
  <c r="E94" i="163"/>
  <c r="N93" i="163"/>
  <c r="F93" i="163"/>
  <c r="O92" i="163"/>
  <c r="G92" i="163"/>
  <c r="P91" i="163"/>
  <c r="H91" i="163"/>
  <c r="Q90" i="163"/>
  <c r="P198" i="163"/>
  <c r="C195" i="163"/>
  <c r="G191" i="163"/>
  <c r="K187" i="163"/>
  <c r="F184" i="163"/>
  <c r="E181" i="163"/>
  <c r="F178" i="163"/>
  <c r="E175" i="163"/>
  <c r="N172" i="163"/>
  <c r="F170" i="163"/>
  <c r="C168" i="163"/>
  <c r="H166" i="163"/>
  <c r="N164" i="163"/>
  <c r="B163" i="163"/>
  <c r="G161" i="163"/>
  <c r="M159" i="163"/>
  <c r="E158" i="163"/>
  <c r="N156" i="163"/>
  <c r="H155" i="163"/>
  <c r="G154" i="163"/>
  <c r="E153" i="163"/>
  <c r="D152" i="163"/>
  <c r="C151" i="163"/>
  <c r="A150" i="163"/>
  <c r="Q148" i="163"/>
  <c r="P147" i="163"/>
  <c r="O146" i="163"/>
  <c r="P145" i="163"/>
  <c r="Q144" i="163"/>
  <c r="A144" i="163"/>
  <c r="B143" i="163"/>
  <c r="C142" i="163"/>
  <c r="F141" i="163"/>
  <c r="M140" i="163"/>
  <c r="A140" i="163"/>
  <c r="H139" i="163"/>
  <c r="O138" i="163"/>
  <c r="C138" i="163"/>
  <c r="J137" i="163"/>
  <c r="Q136" i="163"/>
  <c r="E136" i="163"/>
  <c r="L135" i="163"/>
  <c r="B135" i="163"/>
  <c r="G134" i="163"/>
  <c r="N133" i="163"/>
  <c r="D133" i="163"/>
  <c r="I132" i="163"/>
  <c r="P131" i="163"/>
  <c r="G131" i="163"/>
  <c r="O130" i="163"/>
  <c r="E130" i="163"/>
  <c r="M129" i="163"/>
  <c r="D129" i="163"/>
  <c r="L128" i="163"/>
  <c r="C128" i="163"/>
  <c r="K127" i="163"/>
  <c r="B127" i="163"/>
  <c r="I126" i="163"/>
  <c r="Q125" i="163"/>
  <c r="H125" i="163"/>
  <c r="P124" i="163"/>
  <c r="G124" i="163"/>
  <c r="O123" i="163"/>
  <c r="G123" i="163"/>
  <c r="P122" i="163"/>
  <c r="H122" i="163"/>
  <c r="Q121" i="163"/>
  <c r="I121" i="163"/>
  <c r="A121" i="163"/>
  <c r="J120" i="163"/>
  <c r="B120" i="163"/>
  <c r="K119" i="163"/>
  <c r="C119" i="163"/>
  <c r="L118" i="163"/>
  <c r="D118" i="163"/>
  <c r="M117" i="163"/>
  <c r="E117" i="163"/>
  <c r="N116" i="163"/>
  <c r="F116" i="163"/>
  <c r="O115" i="163"/>
  <c r="G115" i="163"/>
  <c r="P114" i="163"/>
  <c r="H114" i="163"/>
  <c r="Q113" i="163"/>
  <c r="I113" i="163"/>
  <c r="F197" i="163"/>
  <c r="N189" i="163"/>
  <c r="B183" i="163"/>
  <c r="A177" i="163"/>
  <c r="N171" i="163"/>
  <c r="K167" i="163"/>
  <c r="E164" i="163"/>
  <c r="O160" i="163"/>
  <c r="N157" i="163"/>
  <c r="B155" i="163"/>
  <c r="Q152" i="163"/>
  <c r="N150" i="163"/>
  <c r="K148" i="163"/>
  <c r="J146" i="163"/>
  <c r="L144" i="163"/>
  <c r="N142" i="163"/>
  <c r="E141" i="163"/>
  <c r="Q139" i="163"/>
  <c r="L138" i="163"/>
  <c r="I137" i="163"/>
  <c r="D136" i="163"/>
  <c r="P134" i="163"/>
  <c r="M133" i="163"/>
  <c r="H132" i="163"/>
  <c r="F131" i="163"/>
  <c r="D130" i="163"/>
  <c r="C129" i="163"/>
  <c r="B128" i="163"/>
  <c r="Q126" i="163"/>
  <c r="P125" i="163"/>
  <c r="O124" i="163"/>
  <c r="N123" i="163"/>
  <c r="O122" i="163"/>
  <c r="P121" i="163"/>
  <c r="Q120" i="163"/>
  <c r="A120" i="163"/>
  <c r="B119" i="163"/>
  <c r="C118" i="163"/>
  <c r="D117" i="163"/>
  <c r="E116" i="163"/>
  <c r="F115" i="163"/>
  <c r="G114" i="163"/>
  <c r="H113" i="163"/>
  <c r="N112" i="163"/>
  <c r="Q111" i="163"/>
  <c r="C111" i="163"/>
  <c r="I110" i="163"/>
  <c r="L109" i="163"/>
  <c r="A109" i="163"/>
  <c r="D108" i="163"/>
  <c r="G107" i="163"/>
  <c r="M106" i="163"/>
  <c r="P105" i="163"/>
  <c r="E105" i="163"/>
  <c r="H104" i="163"/>
  <c r="K103" i="163"/>
  <c r="Q102" i="163"/>
  <c r="C102" i="163"/>
  <c r="I101" i="163"/>
  <c r="L100" i="163"/>
  <c r="O99" i="163"/>
  <c r="D99" i="163"/>
  <c r="G98" i="163"/>
  <c r="M97" i="163"/>
  <c r="P96" i="163"/>
  <c r="B96" i="163"/>
  <c r="H95" i="163"/>
  <c r="K94" i="163"/>
  <c r="Q93" i="163"/>
  <c r="C93" i="163"/>
  <c r="F92" i="163"/>
  <c r="L91" i="163"/>
  <c r="O90" i="163"/>
  <c r="F90" i="163"/>
  <c r="N89" i="163"/>
  <c r="E89" i="163"/>
  <c r="L88" i="163"/>
  <c r="C88" i="163"/>
  <c r="K87" i="163"/>
  <c r="B87" i="163"/>
  <c r="J86" i="163"/>
  <c r="A86" i="163"/>
  <c r="I85" i="163"/>
  <c r="P84" i="163"/>
  <c r="H84" i="163"/>
  <c r="Q83" i="163"/>
  <c r="I83" i="163"/>
  <c r="A83" i="163"/>
  <c r="J82" i="163"/>
  <c r="B82" i="163"/>
  <c r="K81" i="163"/>
  <c r="C81" i="163"/>
  <c r="L80" i="163"/>
  <c r="D80" i="163"/>
  <c r="M79" i="163"/>
  <c r="E79" i="163"/>
  <c r="N78" i="163"/>
  <c r="F78" i="163"/>
  <c r="O77" i="163"/>
  <c r="G77" i="163"/>
  <c r="P76" i="163"/>
  <c r="H76" i="163"/>
  <c r="Q75" i="163"/>
  <c r="I75" i="163"/>
  <c r="A75" i="163"/>
  <c r="J74" i="163"/>
  <c r="B74" i="163"/>
  <c r="K73" i="163"/>
  <c r="C73" i="163"/>
  <c r="L72" i="163"/>
  <c r="D72" i="163"/>
  <c r="M71" i="163"/>
  <c r="E71" i="163"/>
  <c r="N70" i="163"/>
  <c r="F70" i="163"/>
  <c r="O69" i="163"/>
  <c r="G69" i="163"/>
  <c r="P68" i="163"/>
  <c r="H68" i="163"/>
  <c r="Q67" i="163"/>
  <c r="I67" i="163"/>
  <c r="A67" i="163"/>
  <c r="J66" i="163"/>
  <c r="B66" i="163"/>
  <c r="K65" i="163"/>
  <c r="C65" i="163"/>
  <c r="L64" i="163"/>
  <c r="D64" i="163"/>
  <c r="M63" i="163"/>
  <c r="E63" i="163"/>
  <c r="N62" i="163"/>
  <c r="F62" i="163"/>
  <c r="O61" i="163"/>
  <c r="G61" i="163"/>
  <c r="P60" i="163"/>
  <c r="H60" i="163"/>
  <c r="Q59" i="163"/>
  <c r="I59" i="163"/>
  <c r="A59" i="163"/>
  <c r="J58" i="163"/>
  <c r="B58" i="163"/>
  <c r="K57" i="163"/>
  <c r="C57" i="163"/>
  <c r="L56" i="163"/>
  <c r="D56" i="163"/>
  <c r="M55" i="163"/>
  <c r="E55" i="163"/>
  <c r="N54" i="163"/>
  <c r="F54" i="163"/>
  <c r="O53" i="163"/>
  <c r="G53" i="163"/>
  <c r="P52" i="163"/>
  <c r="H52" i="163"/>
  <c r="Q51" i="163"/>
  <c r="I51" i="163"/>
  <c r="A51" i="163"/>
  <c r="J50" i="163"/>
  <c r="B50" i="163"/>
  <c r="K49" i="163"/>
  <c r="C49" i="163"/>
  <c r="L48" i="163"/>
  <c r="D48" i="163"/>
  <c r="M47" i="163"/>
  <c r="E47" i="163"/>
  <c r="N46" i="163"/>
  <c r="F46" i="163"/>
  <c r="O45" i="163"/>
  <c r="G45" i="163"/>
  <c r="P44" i="163"/>
  <c r="H44" i="163"/>
  <c r="E197" i="163"/>
  <c r="M189" i="163"/>
  <c r="A183" i="163"/>
  <c r="Q176" i="163"/>
  <c r="M171" i="163"/>
  <c r="J167" i="163"/>
  <c r="D164" i="163"/>
  <c r="L160" i="163"/>
  <c r="M157" i="163"/>
  <c r="A155" i="163"/>
  <c r="O152" i="163"/>
  <c r="M150" i="163"/>
  <c r="J148" i="163"/>
  <c r="I146" i="163"/>
  <c r="K144" i="163"/>
  <c r="M142" i="163"/>
  <c r="D141" i="163"/>
  <c r="P139" i="163"/>
  <c r="K138" i="163"/>
  <c r="H137" i="163"/>
  <c r="C136" i="163"/>
  <c r="O134" i="163"/>
  <c r="L133" i="163"/>
  <c r="G132" i="163"/>
  <c r="D131" i="163"/>
  <c r="C130" i="163"/>
  <c r="B129" i="163"/>
  <c r="A128" i="163"/>
  <c r="P126" i="163"/>
  <c r="O125" i="163"/>
  <c r="N124" i="163"/>
  <c r="M123" i="163"/>
  <c r="N122" i="163"/>
  <c r="O121" i="163"/>
  <c r="P120" i="163"/>
  <c r="Q119" i="163"/>
  <c r="A119" i="163"/>
  <c r="B118" i="163"/>
  <c r="C117" i="163"/>
  <c r="D116" i="163"/>
  <c r="E115" i="163"/>
  <c r="F114" i="163"/>
  <c r="G113" i="163"/>
  <c r="J112" i="163"/>
  <c r="P111" i="163"/>
  <c r="B111" i="163"/>
  <c r="H110" i="163"/>
  <c r="K109" i="163"/>
  <c r="N108" i="163"/>
  <c r="C108" i="163"/>
  <c r="F107" i="163"/>
  <c r="L106" i="163"/>
  <c r="O105" i="163"/>
  <c r="A105" i="163"/>
  <c r="G104" i="163"/>
  <c r="J103" i="163"/>
  <c r="P102" i="163"/>
  <c r="B102" i="163"/>
  <c r="E101" i="163"/>
  <c r="K100" i="163"/>
  <c r="N99" i="163"/>
  <c r="C99" i="163"/>
  <c r="F98" i="163"/>
  <c r="I97" i="163"/>
  <c r="O96" i="163"/>
  <c r="A96" i="163"/>
  <c r="G95" i="163"/>
  <c r="J94" i="163"/>
  <c r="M93" i="163"/>
  <c r="B93" i="163"/>
  <c r="E92" i="163"/>
  <c r="K91" i="163"/>
  <c r="N90" i="163"/>
  <c r="E90" i="163"/>
  <c r="M89" i="163"/>
  <c r="C89" i="163"/>
  <c r="K88" i="163"/>
  <c r="B88" i="163"/>
  <c r="J87" i="163"/>
  <c r="A87" i="163"/>
  <c r="I86" i="163"/>
  <c r="Q85" i="163"/>
  <c r="G85" i="163"/>
  <c r="O84" i="163"/>
  <c r="G84" i="163"/>
  <c r="P83" i="163"/>
  <c r="H83" i="163"/>
  <c r="Q82" i="163"/>
  <c r="I82" i="163"/>
  <c r="A82" i="163"/>
  <c r="J81" i="163"/>
  <c r="B81" i="163"/>
  <c r="K80" i="163"/>
  <c r="C80" i="163"/>
  <c r="L79" i="163"/>
  <c r="D79" i="163"/>
  <c r="M78" i="163"/>
  <c r="E78" i="163"/>
  <c r="N77" i="163"/>
  <c r="F77" i="163"/>
  <c r="O76" i="163"/>
  <c r="G76" i="163"/>
  <c r="P75" i="163"/>
  <c r="H75" i="163"/>
  <c r="Q74" i="163"/>
  <c r="I74" i="163"/>
  <c r="A74" i="163"/>
  <c r="J73" i="163"/>
  <c r="B73" i="163"/>
  <c r="K72" i="163"/>
  <c r="C72" i="163"/>
  <c r="L71" i="163"/>
  <c r="D71" i="163"/>
  <c r="M70" i="163"/>
  <c r="E70" i="163"/>
  <c r="N69" i="163"/>
  <c r="F69" i="163"/>
  <c r="O68" i="163"/>
  <c r="G68" i="163"/>
  <c r="P67" i="163"/>
  <c r="H67" i="163"/>
  <c r="Q66" i="163"/>
  <c r="I66" i="163"/>
  <c r="A66" i="163"/>
  <c r="J65" i="163"/>
  <c r="B65" i="163"/>
  <c r="K64" i="163"/>
  <c r="C64" i="163"/>
  <c r="L63" i="163"/>
  <c r="D63" i="163"/>
  <c r="M62" i="163"/>
  <c r="E62" i="163"/>
  <c r="N61" i="163"/>
  <c r="F61" i="163"/>
  <c r="O60" i="163"/>
  <c r="G60" i="163"/>
  <c r="P59" i="163"/>
  <c r="H59" i="163"/>
  <c r="Q58" i="163"/>
  <c r="I58" i="163"/>
  <c r="A58" i="163"/>
  <c r="J57" i="163"/>
  <c r="B57" i="163"/>
  <c r="K56" i="163"/>
  <c r="C56" i="163"/>
  <c r="L55" i="163"/>
  <c r="D55" i="163"/>
  <c r="M54" i="163"/>
  <c r="E54" i="163"/>
  <c r="N53" i="163"/>
  <c r="F53" i="163"/>
  <c r="O52" i="163"/>
  <c r="G52" i="163"/>
  <c r="P51" i="163"/>
  <c r="H51" i="163"/>
  <c r="Q50" i="163"/>
  <c r="I50" i="163"/>
  <c r="A50" i="163"/>
  <c r="J49" i="163"/>
  <c r="B49" i="163"/>
  <c r="K48" i="163"/>
  <c r="C48" i="163"/>
  <c r="L47" i="163"/>
  <c r="D47" i="163"/>
  <c r="C197" i="163"/>
  <c r="K189" i="163"/>
  <c r="P182" i="163"/>
  <c r="P176" i="163"/>
  <c r="K171" i="163"/>
  <c r="I167" i="163"/>
  <c r="A164" i="163"/>
  <c r="K160" i="163"/>
  <c r="L157" i="163"/>
  <c r="Q154" i="163"/>
  <c r="N152" i="163"/>
  <c r="L150" i="163"/>
  <c r="I148" i="163"/>
  <c r="H146" i="163"/>
  <c r="J144" i="163"/>
  <c r="L142" i="163"/>
  <c r="A141" i="163"/>
  <c r="O139" i="163"/>
  <c r="J138" i="163"/>
  <c r="E137" i="163"/>
  <c r="B136" i="163"/>
  <c r="N134" i="163"/>
  <c r="I133" i="163"/>
  <c r="F132" i="163"/>
  <c r="C131" i="163"/>
  <c r="B130" i="163"/>
  <c r="A129" i="163"/>
  <c r="P127" i="163"/>
  <c r="O126" i="163"/>
  <c r="N125" i="163"/>
  <c r="M124" i="163"/>
  <c r="L123" i="163"/>
  <c r="M122" i="163"/>
  <c r="N121" i="163"/>
  <c r="O120" i="163"/>
  <c r="P119" i="163"/>
  <c r="Q118" i="163"/>
  <c r="A118" i="163"/>
  <c r="B117" i="163"/>
  <c r="C116" i="163"/>
  <c r="D115" i="163"/>
  <c r="E114" i="163"/>
  <c r="F113" i="163"/>
  <c r="I112" i="163"/>
  <c r="O111" i="163"/>
  <c r="A111" i="163"/>
  <c r="D110" i="163"/>
  <c r="J109" i="163"/>
  <c r="M108" i="163"/>
  <c r="B108" i="163"/>
  <c r="E107" i="163"/>
  <c r="H106" i="163"/>
  <c r="N105" i="163"/>
  <c r="Q104" i="163"/>
  <c r="F104" i="163"/>
  <c r="I103" i="163"/>
  <c r="L102" i="163"/>
  <c r="A102" i="163"/>
  <c r="D101" i="163"/>
  <c r="J100" i="163"/>
  <c r="M99" i="163"/>
  <c r="P98" i="163"/>
  <c r="E98" i="163"/>
  <c r="H97" i="163"/>
  <c r="N96" i="163"/>
  <c r="Q95" i="163"/>
  <c r="C95" i="163"/>
  <c r="I94" i="163"/>
  <c r="L93" i="163"/>
  <c r="A93" i="163"/>
  <c r="D92" i="163"/>
  <c r="G91" i="163"/>
  <c r="M90" i="163"/>
  <c r="D90" i="163"/>
  <c r="K89" i="163"/>
  <c r="B89" i="163"/>
  <c r="J88" i="163"/>
  <c r="A88" i="163"/>
  <c r="I87" i="163"/>
  <c r="Q86" i="163"/>
  <c r="H86" i="163"/>
  <c r="O85" i="163"/>
  <c r="F85" i="163"/>
  <c r="N84" i="163"/>
  <c r="F84" i="163"/>
  <c r="O83" i="163"/>
  <c r="G83" i="163"/>
  <c r="P82" i="163"/>
  <c r="H82" i="163"/>
  <c r="Q81" i="163"/>
  <c r="I81" i="163"/>
  <c r="A81" i="163"/>
  <c r="J80" i="163"/>
  <c r="B80" i="163"/>
  <c r="K79" i="163"/>
  <c r="C79" i="163"/>
  <c r="L78" i="163"/>
  <c r="D78" i="163"/>
  <c r="M77" i="163"/>
  <c r="E77" i="163"/>
  <c r="N76" i="163"/>
  <c r="F76" i="163"/>
  <c r="O75" i="163"/>
  <c r="G75" i="163"/>
  <c r="P74" i="163"/>
  <c r="H74" i="163"/>
  <c r="Q73" i="163"/>
  <c r="I73" i="163"/>
  <c r="A73" i="163"/>
  <c r="J72" i="163"/>
  <c r="B72" i="163"/>
  <c r="K71" i="163"/>
  <c r="C71" i="163"/>
  <c r="L70" i="163"/>
  <c r="D70" i="163"/>
  <c r="M69" i="163"/>
  <c r="E69" i="163"/>
  <c r="N68" i="163"/>
  <c r="F68" i="163"/>
  <c r="O67" i="163"/>
  <c r="G67" i="163"/>
  <c r="P66" i="163"/>
  <c r="H66" i="163"/>
  <c r="Q65" i="163"/>
  <c r="I65" i="163"/>
  <c r="A65" i="163"/>
  <c r="J64" i="163"/>
  <c r="B64" i="163"/>
  <c r="K63" i="163"/>
  <c r="C63" i="163"/>
  <c r="L62" i="163"/>
  <c r="D62" i="163"/>
  <c r="M61" i="163"/>
  <c r="E61" i="163"/>
  <c r="N60" i="163"/>
  <c r="F60" i="163"/>
  <c r="O59" i="163"/>
  <c r="G59" i="163"/>
  <c r="P58" i="163"/>
  <c r="H58" i="163"/>
  <c r="Q57" i="163"/>
  <c r="I57" i="163"/>
  <c r="A57" i="163"/>
  <c r="A197" i="163"/>
  <c r="I189" i="163"/>
  <c r="M182" i="163"/>
  <c r="N176" i="163"/>
  <c r="I171" i="163"/>
  <c r="G167" i="163"/>
  <c r="O163" i="163"/>
  <c r="J160" i="163"/>
  <c r="J157" i="163"/>
  <c r="P154" i="163"/>
  <c r="M152" i="163"/>
  <c r="K150" i="163"/>
  <c r="H148" i="163"/>
  <c r="G146" i="163"/>
  <c r="I144" i="163"/>
  <c r="K142" i="163"/>
  <c r="Q140" i="163"/>
  <c r="N139" i="163"/>
  <c r="I138" i="163"/>
  <c r="D137" i="163"/>
  <c r="A136" i="163"/>
  <c r="M134" i="163"/>
  <c r="H133" i="163"/>
  <c r="E132" i="163"/>
  <c r="B131" i="163"/>
  <c r="A130" i="163"/>
  <c r="Q128" i="163"/>
  <c r="O127" i="163"/>
  <c r="N126" i="163"/>
  <c r="M125" i="163"/>
  <c r="K124" i="163"/>
  <c r="K123" i="163"/>
  <c r="L122" i="163"/>
  <c r="M121" i="163"/>
  <c r="N120" i="163"/>
  <c r="O119" i="163"/>
  <c r="P118" i="163"/>
  <c r="Q117" i="163"/>
  <c r="A117" i="163"/>
  <c r="B116" i="163"/>
  <c r="C115" i="163"/>
  <c r="D114" i="163"/>
  <c r="E113" i="163"/>
  <c r="H112" i="163"/>
  <c r="K111" i="163"/>
  <c r="Q110" i="163"/>
  <c r="C110" i="163"/>
  <c r="I109" i="163"/>
  <c r="L108" i="163"/>
  <c r="O107" i="163"/>
  <c r="D107" i="163"/>
  <c r="G106" i="163"/>
  <c r="M105" i="163"/>
  <c r="P104" i="163"/>
  <c r="B104" i="163"/>
  <c r="H103" i="163"/>
  <c r="K102" i="163"/>
  <c r="Q101" i="163"/>
  <c r="C101" i="163"/>
  <c r="F100" i="163"/>
  <c r="L99" i="163"/>
  <c r="O98" i="163"/>
  <c r="D98" i="163"/>
  <c r="G97" i="163"/>
  <c r="J96" i="163"/>
  <c r="P95" i="163"/>
  <c r="B95" i="163"/>
  <c r="H94" i="163"/>
  <c r="K93" i="163"/>
  <c r="N92" i="163"/>
  <c r="C92" i="163"/>
  <c r="F91" i="163"/>
  <c r="L90" i="163"/>
  <c r="B90" i="163"/>
  <c r="J89" i="163"/>
  <c r="A89" i="163"/>
  <c r="I88" i="163"/>
  <c r="Q87" i="163"/>
  <c r="H87" i="163"/>
  <c r="P86" i="163"/>
  <c r="F86" i="163"/>
  <c r="N85" i="163"/>
  <c r="E85" i="163"/>
  <c r="M84" i="163"/>
  <c r="E84" i="163"/>
  <c r="N83" i="163"/>
  <c r="F83" i="163"/>
  <c r="O82" i="163"/>
  <c r="G82" i="163"/>
  <c r="P81" i="163"/>
  <c r="H81" i="163"/>
  <c r="Q80" i="163"/>
  <c r="I80" i="163"/>
  <c r="A80" i="163"/>
  <c r="J79" i="163"/>
  <c r="B79" i="163"/>
  <c r="K78" i="163"/>
  <c r="C78" i="163"/>
  <c r="L77" i="163"/>
  <c r="D77" i="163"/>
  <c r="M76" i="163"/>
  <c r="E76" i="163"/>
  <c r="N75" i="163"/>
  <c r="F75" i="163"/>
  <c r="O74" i="163"/>
  <c r="G74" i="163"/>
  <c r="P73" i="163"/>
  <c r="H73" i="163"/>
  <c r="Q72" i="163"/>
  <c r="I72" i="163"/>
  <c r="A72" i="163"/>
  <c r="J71" i="163"/>
  <c r="B71" i="163"/>
  <c r="K70" i="163"/>
  <c r="C70" i="163"/>
  <c r="L69" i="163"/>
  <c r="D69" i="163"/>
  <c r="M68" i="163"/>
  <c r="E68" i="163"/>
  <c r="N67" i="163"/>
  <c r="F67" i="163"/>
  <c r="O66" i="163"/>
  <c r="G66" i="163"/>
  <c r="P65" i="163"/>
  <c r="H65" i="163"/>
  <c r="Q64" i="163"/>
  <c r="I64" i="163"/>
  <c r="A64" i="163"/>
  <c r="J63" i="163"/>
  <c r="B63" i="163"/>
  <c r="K62" i="163"/>
  <c r="C62" i="163"/>
  <c r="L61" i="163"/>
  <c r="D61" i="163"/>
  <c r="M60" i="163"/>
  <c r="E60" i="163"/>
  <c r="N59" i="163"/>
  <c r="F59" i="163"/>
  <c r="O58" i="163"/>
  <c r="G58" i="163"/>
  <c r="P57" i="163"/>
  <c r="J193" i="163"/>
  <c r="B180" i="163"/>
  <c r="I169" i="163"/>
  <c r="J162" i="163"/>
  <c r="F156" i="163"/>
  <c r="O151" i="163"/>
  <c r="J147" i="163"/>
  <c r="M143" i="163"/>
  <c r="J140" i="163"/>
  <c r="B138" i="163"/>
  <c r="K135" i="163"/>
  <c r="A133" i="163"/>
  <c r="M130" i="163"/>
  <c r="K128" i="163"/>
  <c r="H126" i="163"/>
  <c r="F124" i="163"/>
  <c r="G122" i="163"/>
  <c r="I120" i="163"/>
  <c r="K118" i="163"/>
  <c r="M116" i="163"/>
  <c r="O114" i="163"/>
  <c r="A113" i="163"/>
  <c r="J111" i="163"/>
  <c r="B110" i="163"/>
  <c r="K108" i="163"/>
  <c r="C107" i="163"/>
  <c r="I105" i="163"/>
  <c r="A104" i="163"/>
  <c r="J102" i="163"/>
  <c r="B101" i="163"/>
  <c r="K99" i="163"/>
  <c r="Q97" i="163"/>
  <c r="I96" i="163"/>
  <c r="A95" i="163"/>
  <c r="J93" i="163"/>
  <c r="B92" i="163"/>
  <c r="J90" i="163"/>
  <c r="I89" i="163"/>
  <c r="H88" i="163"/>
  <c r="G87" i="163"/>
  <c r="E86" i="163"/>
  <c r="D85" i="163"/>
  <c r="D84" i="163"/>
  <c r="E83" i="163"/>
  <c r="F82" i="163"/>
  <c r="G81" i="163"/>
  <c r="H80" i="163"/>
  <c r="I79" i="163"/>
  <c r="J78" i="163"/>
  <c r="K77" i="163"/>
  <c r="L76" i="163"/>
  <c r="M75" i="163"/>
  <c r="N74" i="163"/>
  <c r="O73" i="163"/>
  <c r="P72" i="163"/>
  <c r="Q71" i="163"/>
  <c r="A71" i="163"/>
  <c r="B70" i="163"/>
  <c r="C69" i="163"/>
  <c r="D68" i="163"/>
  <c r="E67" i="163"/>
  <c r="F66" i="163"/>
  <c r="G65" i="163"/>
  <c r="H64" i="163"/>
  <c r="I63" i="163"/>
  <c r="J62" i="163"/>
  <c r="K61" i="163"/>
  <c r="L60" i="163"/>
  <c r="M59" i="163"/>
  <c r="N58" i="163"/>
  <c r="O57" i="163"/>
  <c r="D57" i="163"/>
  <c r="H56" i="163"/>
  <c r="O55" i="163"/>
  <c r="C55" i="163"/>
  <c r="J54" i="163"/>
  <c r="Q53" i="163"/>
  <c r="E53" i="163"/>
  <c r="L52" i="163"/>
  <c r="B52" i="163"/>
  <c r="G51" i="163"/>
  <c r="N50" i="163"/>
  <c r="D50" i="163"/>
  <c r="I49" i="163"/>
  <c r="P48" i="163"/>
  <c r="F48" i="163"/>
  <c r="K47" i="163"/>
  <c r="A47" i="163"/>
  <c r="I46" i="163"/>
  <c r="Q45" i="163"/>
  <c r="H45" i="163"/>
  <c r="O44" i="163"/>
  <c r="F44" i="163"/>
  <c r="O43" i="163"/>
  <c r="G43" i="163"/>
  <c r="P42" i="163"/>
  <c r="H42" i="163"/>
  <c r="Q41" i="163"/>
  <c r="I41" i="163"/>
  <c r="A41" i="163"/>
  <c r="J40" i="163"/>
  <c r="B40" i="163"/>
  <c r="K39" i="163"/>
  <c r="C39" i="163"/>
  <c r="L38" i="163"/>
  <c r="D38" i="163"/>
  <c r="M37" i="163"/>
  <c r="E37" i="163"/>
  <c r="N36" i="163"/>
  <c r="F36" i="163"/>
  <c r="O35" i="163"/>
  <c r="G35" i="163"/>
  <c r="P34" i="163"/>
  <c r="H34" i="163"/>
  <c r="Q33" i="163"/>
  <c r="I33" i="163"/>
  <c r="A33" i="163"/>
  <c r="J32" i="163"/>
  <c r="B32" i="163"/>
  <c r="K31" i="163"/>
  <c r="C31" i="163"/>
  <c r="L30" i="163"/>
  <c r="D30" i="163"/>
  <c r="M29" i="163"/>
  <c r="E29" i="163"/>
  <c r="N28" i="163"/>
  <c r="F28" i="163"/>
  <c r="O27" i="163"/>
  <c r="G27" i="163"/>
  <c r="P26" i="163"/>
  <c r="H26" i="163"/>
  <c r="Q25" i="163"/>
  <c r="I25" i="163"/>
  <c r="A25" i="163"/>
  <c r="J24" i="163"/>
  <c r="B24" i="163"/>
  <c r="K23" i="163"/>
  <c r="C23" i="163"/>
  <c r="L22" i="163"/>
  <c r="D22" i="163"/>
  <c r="M21" i="163"/>
  <c r="E21" i="163"/>
  <c r="N20" i="163"/>
  <c r="F20" i="163"/>
  <c r="O19" i="163"/>
  <c r="G19" i="163"/>
  <c r="P18" i="163"/>
  <c r="H18" i="163"/>
  <c r="Q17" i="163"/>
  <c r="I17" i="163"/>
  <c r="A17" i="163"/>
  <c r="J16" i="163"/>
  <c r="B16" i="163"/>
  <c r="K15" i="163"/>
  <c r="C15" i="163"/>
  <c r="L14" i="163"/>
  <c r="D14" i="163"/>
  <c r="M13" i="163"/>
  <c r="E13" i="163"/>
  <c r="N12" i="163"/>
  <c r="F12" i="163"/>
  <c r="O11" i="163"/>
  <c r="G11" i="163"/>
  <c r="P10" i="163"/>
  <c r="H10" i="163"/>
  <c r="Q9" i="163"/>
  <c r="I9" i="163"/>
  <c r="A9" i="163"/>
  <c r="J8" i="163"/>
  <c r="B8" i="163"/>
  <c r="J7" i="163"/>
  <c r="B7" i="163"/>
  <c r="J6" i="163"/>
  <c r="B6" i="163"/>
  <c r="J5" i="163"/>
  <c r="B5" i="163"/>
  <c r="I193" i="163"/>
  <c r="P179" i="163"/>
  <c r="E169" i="163"/>
  <c r="H162" i="163"/>
  <c r="E156" i="163"/>
  <c r="N151" i="163"/>
  <c r="I147" i="163"/>
  <c r="L143" i="163"/>
  <c r="I140" i="163"/>
  <c r="A138" i="163"/>
  <c r="J135" i="163"/>
  <c r="Q132" i="163"/>
  <c r="L130" i="163"/>
  <c r="J128" i="163"/>
  <c r="G126" i="163"/>
  <c r="E124" i="163"/>
  <c r="F122" i="163"/>
  <c r="H120" i="163"/>
  <c r="J118" i="163"/>
  <c r="L116" i="163"/>
  <c r="N114" i="163"/>
  <c r="Q112" i="163"/>
  <c r="I111" i="163"/>
  <c r="A110" i="163"/>
  <c r="J108" i="163"/>
  <c r="P106" i="163"/>
  <c r="H105" i="163"/>
  <c r="Q103" i="163"/>
  <c r="I102" i="163"/>
  <c r="A101" i="163"/>
  <c r="G99" i="163"/>
  <c r="P97" i="163"/>
  <c r="H96" i="163"/>
  <c r="Q94" i="163"/>
  <c r="I93" i="163"/>
  <c r="O91" i="163"/>
  <c r="I90" i="163"/>
  <c r="H89" i="163"/>
  <c r="G88" i="163"/>
  <c r="E87" i="163"/>
  <c r="D86" i="163"/>
  <c r="C85" i="163"/>
  <c r="C84" i="163"/>
  <c r="D83" i="163"/>
  <c r="E82" i="163"/>
  <c r="F81" i="163"/>
  <c r="G80" i="163"/>
  <c r="H79" i="163"/>
  <c r="I78" i="163"/>
  <c r="J77" i="163"/>
  <c r="K76" i="163"/>
  <c r="L75" i="163"/>
  <c r="M74" i="163"/>
  <c r="N73" i="163"/>
  <c r="O72" i="163"/>
  <c r="P71" i="163"/>
  <c r="Q70" i="163"/>
  <c r="A70" i="163"/>
  <c r="B69" i="163"/>
  <c r="C68" i="163"/>
  <c r="D67" i="163"/>
  <c r="E66" i="163"/>
  <c r="F65" i="163"/>
  <c r="G64" i="163"/>
  <c r="H63" i="163"/>
  <c r="I62" i="163"/>
  <c r="J61" i="163"/>
  <c r="K60" i="163"/>
  <c r="L59" i="163"/>
  <c r="M58" i="163"/>
  <c r="N57" i="163"/>
  <c r="Q56" i="163"/>
  <c r="G56" i="163"/>
  <c r="N55" i="163"/>
  <c r="B55" i="163"/>
  <c r="I54" i="163"/>
  <c r="P53" i="163"/>
  <c r="D53" i="163"/>
  <c r="K52" i="163"/>
  <c r="A52" i="163"/>
  <c r="F51" i="163"/>
  <c r="M50" i="163"/>
  <c r="C50" i="163"/>
  <c r="H49" i="163"/>
  <c r="O48" i="163"/>
  <c r="E48" i="163"/>
  <c r="J47" i="163"/>
  <c r="Q46" i="163"/>
  <c r="H46" i="163"/>
  <c r="P45" i="163"/>
  <c r="F45" i="163"/>
  <c r="N44" i="163"/>
  <c r="E44" i="163"/>
  <c r="N43" i="163"/>
  <c r="F43" i="163"/>
  <c r="O42" i="163"/>
  <c r="G42" i="163"/>
  <c r="P41" i="163"/>
  <c r="H41" i="163"/>
  <c r="Q40" i="163"/>
  <c r="I40" i="163"/>
  <c r="A40" i="163"/>
  <c r="J39" i="163"/>
  <c r="B39" i="163"/>
  <c r="K38" i="163"/>
  <c r="C38" i="163"/>
  <c r="L37" i="163"/>
  <c r="D37" i="163"/>
  <c r="M36" i="163"/>
  <c r="E36" i="163"/>
  <c r="N35" i="163"/>
  <c r="F35" i="163"/>
  <c r="O34" i="163"/>
  <c r="G34" i="163"/>
  <c r="P33" i="163"/>
  <c r="H33" i="163"/>
  <c r="Q32" i="163"/>
  <c r="I32" i="163"/>
  <c r="A32" i="163"/>
  <c r="J31" i="163"/>
  <c r="B31" i="163"/>
  <c r="K30" i="163"/>
  <c r="C30" i="163"/>
  <c r="L29" i="163"/>
  <c r="D29" i="163"/>
  <c r="M28" i="163"/>
  <c r="E28" i="163"/>
  <c r="N27" i="163"/>
  <c r="F27" i="163"/>
  <c r="O26" i="163"/>
  <c r="G26" i="163"/>
  <c r="P25" i="163"/>
  <c r="H25" i="163"/>
  <c r="Q24" i="163"/>
  <c r="I24" i="163"/>
  <c r="A24" i="163"/>
  <c r="J23" i="163"/>
  <c r="B23" i="163"/>
  <c r="K22" i="163"/>
  <c r="C22" i="163"/>
  <c r="L21" i="163"/>
  <c r="D21" i="163"/>
  <c r="M20" i="163"/>
  <c r="E20" i="163"/>
  <c r="N19" i="163"/>
  <c r="F19" i="163"/>
  <c r="O18" i="163"/>
  <c r="G18" i="163"/>
  <c r="P17" i="163"/>
  <c r="H17" i="163"/>
  <c r="Q16" i="163"/>
  <c r="I16" i="163"/>
  <c r="A16" i="163"/>
  <c r="J15" i="163"/>
  <c r="B15" i="163"/>
  <c r="K14" i="163"/>
  <c r="C14" i="163"/>
  <c r="L13" i="163"/>
  <c r="D13" i="163"/>
  <c r="M12" i="163"/>
  <c r="E12" i="163"/>
  <c r="N11" i="163"/>
  <c r="F11" i="163"/>
  <c r="O10" i="163"/>
  <c r="G10" i="163"/>
  <c r="P9" i="163"/>
  <c r="H9" i="163"/>
  <c r="Q8" i="163"/>
  <c r="I8" i="163"/>
  <c r="A8" i="163"/>
  <c r="G193" i="163"/>
  <c r="O179" i="163"/>
  <c r="C169" i="163"/>
  <c r="D162" i="163"/>
  <c r="C156" i="163"/>
  <c r="M151" i="163"/>
  <c r="H147" i="163"/>
  <c r="K143" i="163"/>
  <c r="H140" i="163"/>
  <c r="Q137" i="163"/>
  <c r="G135" i="163"/>
  <c r="P132" i="163"/>
  <c r="K130" i="163"/>
  <c r="I128" i="163"/>
  <c r="F126" i="163"/>
  <c r="C124" i="163"/>
  <c r="E122" i="163"/>
  <c r="G120" i="163"/>
  <c r="I118" i="163"/>
  <c r="K116" i="163"/>
  <c r="M114" i="163"/>
  <c r="P112" i="163"/>
  <c r="H111" i="163"/>
  <c r="Q109" i="163"/>
  <c r="F108" i="163"/>
  <c r="O106" i="163"/>
  <c r="G105" i="163"/>
  <c r="P103" i="163"/>
  <c r="H102" i="163"/>
  <c r="N100" i="163"/>
  <c r="F99" i="163"/>
  <c r="O97" i="163"/>
  <c r="G96" i="163"/>
  <c r="P94" i="163"/>
  <c r="E93" i="163"/>
  <c r="N91" i="163"/>
  <c r="H90" i="163"/>
  <c r="G89" i="163"/>
  <c r="F88" i="163"/>
  <c r="D87" i="163"/>
  <c r="C86" i="163"/>
  <c r="B85" i="163"/>
  <c r="B84" i="163"/>
  <c r="C83" i="163"/>
  <c r="D82" i="163"/>
  <c r="E81" i="163"/>
  <c r="F80" i="163"/>
  <c r="G79" i="163"/>
  <c r="H78" i="163"/>
  <c r="I77" i="163"/>
  <c r="J76" i="163"/>
  <c r="K75" i="163"/>
  <c r="L74" i="163"/>
  <c r="M73" i="163"/>
  <c r="N72" i="163"/>
  <c r="O71" i="163"/>
  <c r="P70" i="163"/>
  <c r="Q69" i="163"/>
  <c r="A69" i="163"/>
  <c r="B68" i="163"/>
  <c r="C67" i="163"/>
  <c r="D66" i="163"/>
  <c r="E65" i="163"/>
  <c r="F64" i="163"/>
  <c r="G63" i="163"/>
  <c r="H62" i="163"/>
  <c r="I61" i="163"/>
  <c r="J60" i="163"/>
  <c r="K59" i="163"/>
  <c r="L58" i="163"/>
  <c r="M57" i="163"/>
  <c r="P56" i="163"/>
  <c r="F56" i="163"/>
  <c r="K55" i="163"/>
  <c r="A55" i="163"/>
  <c r="H54" i="163"/>
  <c r="M53" i="163"/>
  <c r="C53" i="163"/>
  <c r="J52" i="163"/>
  <c r="O51" i="163"/>
  <c r="E51" i="163"/>
  <c r="L50" i="163"/>
  <c r="Q49" i="163"/>
  <c r="G49" i="163"/>
  <c r="N48" i="163"/>
  <c r="B48" i="163"/>
  <c r="I47" i="163"/>
  <c r="P46" i="163"/>
  <c r="G46" i="163"/>
  <c r="N45" i="163"/>
  <c r="E45" i="163"/>
  <c r="M44" i="163"/>
  <c r="D44" i="163"/>
  <c r="M43" i="163"/>
  <c r="E43" i="163"/>
  <c r="N42" i="163"/>
  <c r="F42" i="163"/>
  <c r="O41" i="163"/>
  <c r="G41" i="163"/>
  <c r="P40" i="163"/>
  <c r="H40" i="163"/>
  <c r="Q39" i="163"/>
  <c r="I39" i="163"/>
  <c r="A39" i="163"/>
  <c r="J38" i="163"/>
  <c r="B38" i="163"/>
  <c r="K37" i="163"/>
  <c r="C37" i="163"/>
  <c r="L36" i="163"/>
  <c r="D36" i="163"/>
  <c r="M35" i="163"/>
  <c r="E35" i="163"/>
  <c r="N34" i="163"/>
  <c r="F34" i="163"/>
  <c r="O33" i="163"/>
  <c r="G33" i="163"/>
  <c r="P32" i="163"/>
  <c r="H32" i="163"/>
  <c r="Q31" i="163"/>
  <c r="I31" i="163"/>
  <c r="A31" i="163"/>
  <c r="J30" i="163"/>
  <c r="B30" i="163"/>
  <c r="K29" i="163"/>
  <c r="C29" i="163"/>
  <c r="L28" i="163"/>
  <c r="D28" i="163"/>
  <c r="M27" i="163"/>
  <c r="E27" i="163"/>
  <c r="N26" i="163"/>
  <c r="F26" i="163"/>
  <c r="O25" i="163"/>
  <c r="G25" i="163"/>
  <c r="P24" i="163"/>
  <c r="H24" i="163"/>
  <c r="Q23" i="163"/>
  <c r="I23" i="163"/>
  <c r="A23" i="163"/>
  <c r="J22" i="163"/>
  <c r="B22" i="163"/>
  <c r="K21" i="163"/>
  <c r="C21" i="163"/>
  <c r="L20" i="163"/>
  <c r="D20" i="163"/>
  <c r="M19" i="163"/>
  <c r="E19" i="163"/>
  <c r="N18" i="163"/>
  <c r="F18" i="163"/>
  <c r="O17" i="163"/>
  <c r="G17" i="163"/>
  <c r="P16" i="163"/>
  <c r="H16" i="163"/>
  <c r="Q15" i="163"/>
  <c r="I15" i="163"/>
  <c r="A15" i="163"/>
  <c r="E193" i="163"/>
  <c r="N179" i="163"/>
  <c r="B169" i="163"/>
  <c r="C162" i="163"/>
  <c r="A156" i="163"/>
  <c r="L151" i="163"/>
  <c r="G147" i="163"/>
  <c r="J143" i="163"/>
  <c r="G140" i="163"/>
  <c r="P137" i="163"/>
  <c r="F135" i="163"/>
  <c r="O132" i="163"/>
  <c r="J130" i="163"/>
  <c r="G128" i="163"/>
  <c r="E126" i="163"/>
  <c r="B124" i="163"/>
  <c r="D122" i="163"/>
  <c r="F120" i="163"/>
  <c r="H118" i="163"/>
  <c r="J116" i="163"/>
  <c r="L114" i="163"/>
  <c r="O112" i="163"/>
  <c r="G111" i="163"/>
  <c r="M109" i="163"/>
  <c r="E108" i="163"/>
  <c r="N106" i="163"/>
  <c r="F105" i="163"/>
  <c r="O103" i="163"/>
  <c r="D102" i="163"/>
  <c r="M100" i="163"/>
  <c r="E99" i="163"/>
  <c r="N97" i="163"/>
  <c r="F96" i="163"/>
  <c r="L94" i="163"/>
  <c r="D93" i="163"/>
  <c r="M91" i="163"/>
  <c r="G90" i="163"/>
  <c r="F89" i="163"/>
  <c r="D88" i="163"/>
  <c r="C87" i="163"/>
  <c r="B86" i="163"/>
  <c r="A85" i="163"/>
  <c r="A84" i="163"/>
  <c r="B83" i="163"/>
  <c r="C82" i="163"/>
  <c r="D81" i="163"/>
  <c r="E80" i="163"/>
  <c r="F79" i="163"/>
  <c r="G78" i="163"/>
  <c r="H77" i="163"/>
  <c r="I76" i="163"/>
  <c r="J75" i="163"/>
  <c r="K74" i="163"/>
  <c r="L73" i="163"/>
  <c r="M72" i="163"/>
  <c r="N71" i="163"/>
  <c r="O70" i="163"/>
  <c r="P69" i="163"/>
  <c r="Q68" i="163"/>
  <c r="A68" i="163"/>
  <c r="B67" i="163"/>
  <c r="C66" i="163"/>
  <c r="D65" i="163"/>
  <c r="E64" i="163"/>
  <c r="F63" i="163"/>
  <c r="G62" i="163"/>
  <c r="H61" i="163"/>
  <c r="I60" i="163"/>
  <c r="J59" i="163"/>
  <c r="K58" i="163"/>
  <c r="L57" i="163"/>
  <c r="O56" i="163"/>
  <c r="E56" i="163"/>
  <c r="J55" i="163"/>
  <c r="Q54" i="163"/>
  <c r="G54" i="163"/>
  <c r="L53" i="163"/>
  <c r="B53" i="163"/>
  <c r="I52" i="163"/>
  <c r="N51" i="163"/>
  <c r="D51" i="163"/>
  <c r="K50" i="163"/>
  <c r="P49" i="163"/>
  <c r="F49" i="163"/>
  <c r="M48" i="163"/>
  <c r="A48" i="163"/>
  <c r="H47" i="163"/>
  <c r="O46" i="163"/>
  <c r="E46" i="163"/>
  <c r="M45" i="163"/>
  <c r="D45" i="163"/>
  <c r="L44" i="163"/>
  <c r="C44" i="163"/>
  <c r="L43" i="163"/>
  <c r="D43" i="163"/>
  <c r="M42" i="163"/>
  <c r="E42" i="163"/>
  <c r="N41" i="163"/>
  <c r="F41" i="163"/>
  <c r="O40" i="163"/>
  <c r="G40" i="163"/>
  <c r="P39" i="163"/>
  <c r="H39" i="163"/>
  <c r="Q38" i="163"/>
  <c r="I38" i="163"/>
  <c r="A38" i="163"/>
  <c r="J37" i="163"/>
  <c r="B37" i="163"/>
  <c r="K36" i="163"/>
  <c r="C36" i="163"/>
  <c r="L35" i="163"/>
  <c r="D35" i="163"/>
  <c r="M34" i="163"/>
  <c r="E34" i="163"/>
  <c r="N33" i="163"/>
  <c r="F33" i="163"/>
  <c r="O32" i="163"/>
  <c r="G32" i="163"/>
  <c r="P31" i="163"/>
  <c r="H31" i="163"/>
  <c r="Q30" i="163"/>
  <c r="I30" i="163"/>
  <c r="A30" i="163"/>
  <c r="J29" i="163"/>
  <c r="B29" i="163"/>
  <c r="K28" i="163"/>
  <c r="C28" i="163"/>
  <c r="L27" i="163"/>
  <c r="D27" i="163"/>
  <c r="M26" i="163"/>
  <c r="E26" i="163"/>
  <c r="N25" i="163"/>
  <c r="F25" i="163"/>
  <c r="O24" i="163"/>
  <c r="G24" i="163"/>
  <c r="P23" i="163"/>
  <c r="H23" i="163"/>
  <c r="Q22" i="163"/>
  <c r="I22" i="163"/>
  <c r="A22" i="163"/>
  <c r="J21" i="163"/>
  <c r="B21" i="163"/>
  <c r="K20" i="163"/>
  <c r="C20" i="163"/>
  <c r="L19" i="163"/>
  <c r="D19" i="163"/>
  <c r="M18" i="163"/>
  <c r="E18" i="163"/>
  <c r="N17" i="163"/>
  <c r="F17" i="163"/>
  <c r="O16" i="163"/>
  <c r="G16" i="163"/>
  <c r="P15" i="163"/>
  <c r="H15" i="163"/>
  <c r="A186" i="163"/>
  <c r="P165" i="163"/>
  <c r="A154" i="163"/>
  <c r="K145" i="163"/>
  <c r="G139" i="163"/>
  <c r="F134" i="163"/>
  <c r="L129" i="163"/>
  <c r="G125" i="163"/>
  <c r="H121" i="163"/>
  <c r="L117" i="163"/>
  <c r="P113" i="163"/>
  <c r="P110" i="163"/>
  <c r="N107" i="163"/>
  <c r="O104" i="163"/>
  <c r="M101" i="163"/>
  <c r="N98" i="163"/>
  <c r="O95" i="163"/>
  <c r="M92" i="163"/>
  <c r="A90" i="163"/>
  <c r="P87" i="163"/>
  <c r="M85" i="163"/>
  <c r="M83" i="163"/>
  <c r="O81" i="163"/>
  <c r="Q79" i="163"/>
  <c r="B78" i="163"/>
  <c r="D76" i="163"/>
  <c r="F74" i="163"/>
  <c r="H72" i="163"/>
  <c r="J70" i="163"/>
  <c r="L68" i="163"/>
  <c r="N66" i="163"/>
  <c r="P64" i="163"/>
  <c r="A63" i="163"/>
  <c r="C61" i="163"/>
  <c r="E59" i="163"/>
  <c r="H57" i="163"/>
  <c r="B56" i="163"/>
  <c r="P54" i="163"/>
  <c r="K53" i="163"/>
  <c r="F52" i="163"/>
  <c r="C51" i="163"/>
  <c r="O49" i="163"/>
  <c r="J48" i="163"/>
  <c r="G47" i="163"/>
  <c r="D46" i="163"/>
  <c r="C45" i="163"/>
  <c r="B44" i="163"/>
  <c r="C43" i="163"/>
  <c r="D42" i="163"/>
  <c r="E41" i="163"/>
  <c r="F40" i="163"/>
  <c r="G39" i="163"/>
  <c r="H38" i="163"/>
  <c r="I37" i="163"/>
  <c r="J36" i="163"/>
  <c r="K35" i="163"/>
  <c r="L34" i="163"/>
  <c r="M33" i="163"/>
  <c r="N32" i="163"/>
  <c r="O31" i="163"/>
  <c r="P30" i="163"/>
  <c r="Q29" i="163"/>
  <c r="A29" i="163"/>
  <c r="B28" i="163"/>
  <c r="C27" i="163"/>
  <c r="D26" i="163"/>
  <c r="E25" i="163"/>
  <c r="F24" i="163"/>
  <c r="G23" i="163"/>
  <c r="H22" i="163"/>
  <c r="I21" i="163"/>
  <c r="J20" i="163"/>
  <c r="K19" i="163"/>
  <c r="L18" i="163"/>
  <c r="M17" i="163"/>
  <c r="N16" i="163"/>
  <c r="O15" i="163"/>
  <c r="Q14" i="163"/>
  <c r="G14" i="163"/>
  <c r="N13" i="163"/>
  <c r="B13" i="163"/>
  <c r="I12" i="163"/>
  <c r="P11" i="163"/>
  <c r="D11" i="163"/>
  <c r="K10" i="163"/>
  <c r="A10" i="163"/>
  <c r="F9" i="163"/>
  <c r="M8" i="163"/>
  <c r="C8" i="163"/>
  <c r="H7" i="163"/>
  <c r="P6" i="163"/>
  <c r="F6" i="163"/>
  <c r="N5" i="163"/>
  <c r="D5" i="163"/>
  <c r="L4" i="163"/>
  <c r="C4" i="163"/>
  <c r="J3" i="163"/>
  <c r="M149" i="163"/>
  <c r="Q185" i="163"/>
  <c r="O165" i="163"/>
  <c r="Q153" i="163"/>
  <c r="J145" i="163"/>
  <c r="F139" i="163"/>
  <c r="E134" i="163"/>
  <c r="K129" i="163"/>
  <c r="F125" i="163"/>
  <c r="G121" i="163"/>
  <c r="K117" i="163"/>
  <c r="O113" i="163"/>
  <c r="L110" i="163"/>
  <c r="M107" i="163"/>
  <c r="N104" i="163"/>
  <c r="L101" i="163"/>
  <c r="M98" i="163"/>
  <c r="K95" i="163"/>
  <c r="L92" i="163"/>
  <c r="Q89" i="163"/>
  <c r="O87" i="163"/>
  <c r="L85" i="163"/>
  <c r="L83" i="163"/>
  <c r="N81" i="163"/>
  <c r="P79" i="163"/>
  <c r="A78" i="163"/>
  <c r="C76" i="163"/>
  <c r="E74" i="163"/>
  <c r="G72" i="163"/>
  <c r="I70" i="163"/>
  <c r="K68" i="163"/>
  <c r="M66" i="163"/>
  <c r="O64" i="163"/>
  <c r="Q62" i="163"/>
  <c r="B61" i="163"/>
  <c r="D59" i="163"/>
  <c r="G57" i="163"/>
  <c r="A56" i="163"/>
  <c r="O54" i="163"/>
  <c r="J53" i="163"/>
  <c r="E52" i="163"/>
  <c r="B51" i="163"/>
  <c r="N49" i="163"/>
  <c r="I48" i="163"/>
  <c r="F47" i="163"/>
  <c r="C46" i="163"/>
  <c r="B45" i="163"/>
  <c r="A44" i="163"/>
  <c r="B43" i="163"/>
  <c r="C42" i="163"/>
  <c r="D41" i="163"/>
  <c r="E40" i="163"/>
  <c r="F39" i="163"/>
  <c r="G38" i="163"/>
  <c r="H37" i="163"/>
  <c r="I36" i="163"/>
  <c r="J35" i="163"/>
  <c r="K34" i="163"/>
  <c r="L33" i="163"/>
  <c r="M32" i="163"/>
  <c r="N31" i="163"/>
  <c r="O30" i="163"/>
  <c r="P29" i="163"/>
  <c r="Q28" i="163"/>
  <c r="A28" i="163"/>
  <c r="B27" i="163"/>
  <c r="C26" i="163"/>
  <c r="D25" i="163"/>
  <c r="E24" i="163"/>
  <c r="F23" i="163"/>
  <c r="G22" i="163"/>
  <c r="H21" i="163"/>
  <c r="I20" i="163"/>
  <c r="J19" i="163"/>
  <c r="K18" i="163"/>
  <c r="L17" i="163"/>
  <c r="M16" i="163"/>
  <c r="N15" i="163"/>
  <c r="P14" i="163"/>
  <c r="F14" i="163"/>
  <c r="K13" i="163"/>
  <c r="A13" i="163"/>
  <c r="H12" i="163"/>
  <c r="M11" i="163"/>
  <c r="C11" i="163"/>
  <c r="J10" i="163"/>
  <c r="O9" i="163"/>
  <c r="E9" i="163"/>
  <c r="L8" i="163"/>
  <c r="Q7" i="163"/>
  <c r="G7" i="163"/>
  <c r="O6" i="163"/>
  <c r="E6" i="163"/>
  <c r="M5" i="163"/>
  <c r="C5" i="163"/>
  <c r="J4" i="163"/>
  <c r="A4" i="163"/>
  <c r="I3" i="163"/>
  <c r="P141" i="163"/>
  <c r="P185" i="163"/>
  <c r="N165" i="163"/>
  <c r="P153" i="163"/>
  <c r="I145" i="163"/>
  <c r="C139" i="163"/>
  <c r="D134" i="163"/>
  <c r="J129" i="163"/>
  <c r="E125" i="163"/>
  <c r="F121" i="163"/>
  <c r="J117" i="163"/>
  <c r="N113" i="163"/>
  <c r="K110" i="163"/>
  <c r="L107" i="163"/>
  <c r="J104" i="163"/>
  <c r="K101" i="163"/>
  <c r="L98" i="163"/>
  <c r="J95" i="163"/>
  <c r="K92" i="163"/>
  <c r="P89" i="163"/>
  <c r="M87" i="163"/>
  <c r="K85" i="163"/>
  <c r="K83" i="163"/>
  <c r="M81" i="163"/>
  <c r="O79" i="163"/>
  <c r="Q77" i="163"/>
  <c r="B76" i="163"/>
  <c r="D74" i="163"/>
  <c r="F72" i="163"/>
  <c r="H70" i="163"/>
  <c r="J68" i="163"/>
  <c r="L66" i="163"/>
  <c r="N64" i="163"/>
  <c r="P62" i="163"/>
  <c r="A61" i="163"/>
  <c r="C59" i="163"/>
  <c r="F57" i="163"/>
  <c r="Q55" i="163"/>
  <c r="L54" i="163"/>
  <c r="I53" i="163"/>
  <c r="D52" i="163"/>
  <c r="P50" i="163"/>
  <c r="M49" i="163"/>
  <c r="H48" i="163"/>
  <c r="C47" i="163"/>
  <c r="B46" i="163"/>
  <c r="A45" i="163"/>
  <c r="Q43" i="163"/>
  <c r="A43" i="163"/>
  <c r="B42" i="163"/>
  <c r="C41" i="163"/>
  <c r="D40" i="163"/>
  <c r="E39" i="163"/>
  <c r="F38" i="163"/>
  <c r="G37" i="163"/>
  <c r="H36" i="163"/>
  <c r="I35" i="163"/>
  <c r="J34" i="163"/>
  <c r="K33" i="163"/>
  <c r="L32" i="163"/>
  <c r="M31" i="163"/>
  <c r="N30" i="163"/>
  <c r="O29" i="163"/>
  <c r="P28" i="163"/>
  <c r="Q27" i="163"/>
  <c r="A27" i="163"/>
  <c r="B26" i="163"/>
  <c r="C25" i="163"/>
  <c r="D24" i="163"/>
  <c r="E23" i="163"/>
  <c r="F22" i="163"/>
  <c r="G21" i="163"/>
  <c r="H20" i="163"/>
  <c r="I19" i="163"/>
  <c r="J18" i="163"/>
  <c r="K17" i="163"/>
  <c r="L16" i="163"/>
  <c r="M15" i="163"/>
  <c r="O14" i="163"/>
  <c r="E14" i="163"/>
  <c r="J13" i="163"/>
  <c r="Q12" i="163"/>
  <c r="G12" i="163"/>
  <c r="L11" i="163"/>
  <c r="B11" i="163"/>
  <c r="I10" i="163"/>
  <c r="N9" i="163"/>
  <c r="D9" i="163"/>
  <c r="K8" i="163"/>
  <c r="P7" i="163"/>
  <c r="F7" i="163"/>
  <c r="N6" i="163"/>
  <c r="D6" i="163"/>
  <c r="L5" i="163"/>
  <c r="A5" i="163"/>
  <c r="I4" i="163"/>
  <c r="Q3" i="163"/>
  <c r="H3" i="163"/>
  <c r="E159" i="163"/>
  <c r="J127" i="163"/>
  <c r="J119" i="163"/>
  <c r="G112" i="163"/>
  <c r="F106" i="163"/>
  <c r="E100" i="163"/>
  <c r="D94" i="163"/>
  <c r="Q88" i="163"/>
  <c r="L84" i="163"/>
  <c r="P80" i="163"/>
  <c r="C77" i="163"/>
  <c r="G73" i="163"/>
  <c r="K69" i="163"/>
  <c r="O65" i="163"/>
  <c r="B62" i="163"/>
  <c r="F58" i="163"/>
  <c r="I55" i="163"/>
  <c r="A53" i="163"/>
  <c r="H50" i="163"/>
  <c r="Q47" i="163"/>
  <c r="L45" i="163"/>
  <c r="K43" i="163"/>
  <c r="M41" i="163"/>
  <c r="O39" i="163"/>
  <c r="Q37" i="163"/>
  <c r="C35" i="163"/>
  <c r="E33" i="163"/>
  <c r="G31" i="163"/>
  <c r="I29" i="163"/>
  <c r="K27" i="163"/>
  <c r="M25" i="163"/>
  <c r="O23" i="163"/>
  <c r="Q21" i="163"/>
  <c r="B20" i="163"/>
  <c r="D18" i="163"/>
  <c r="F16" i="163"/>
  <c r="M14" i="163"/>
  <c r="H13" i="163"/>
  <c r="C12" i="163"/>
  <c r="Q10" i="163"/>
  <c r="L9" i="163"/>
  <c r="G8" i="163"/>
  <c r="D7" i="163"/>
  <c r="A6" i="163"/>
  <c r="P4" i="163"/>
  <c r="O3" i="163"/>
  <c r="D159" i="163"/>
  <c r="M136" i="163"/>
  <c r="H127" i="163"/>
  <c r="I119" i="163"/>
  <c r="F112" i="163"/>
  <c r="E106" i="163"/>
  <c r="D100" i="163"/>
  <c r="D91" i="163"/>
  <c r="M86" i="163"/>
  <c r="K84" i="163"/>
  <c r="O80" i="163"/>
  <c r="B77" i="163"/>
  <c r="F73" i="163"/>
  <c r="L67" i="163"/>
  <c r="P63" i="163"/>
  <c r="C60" i="163"/>
  <c r="H55" i="163"/>
  <c r="L51" i="163"/>
  <c r="D49" i="163"/>
  <c r="L46" i="163"/>
  <c r="J44" i="163"/>
  <c r="K42" i="163"/>
  <c r="M40" i="163"/>
  <c r="O185" i="163"/>
  <c r="L165" i="163"/>
  <c r="N153" i="163"/>
  <c r="H145" i="163"/>
  <c r="B139" i="163"/>
  <c r="C134" i="163"/>
  <c r="I129" i="163"/>
  <c r="D125" i="163"/>
  <c r="E121" i="163"/>
  <c r="I117" i="163"/>
  <c r="M113" i="163"/>
  <c r="J110" i="163"/>
  <c r="K107" i="163"/>
  <c r="I104" i="163"/>
  <c r="J101" i="163"/>
  <c r="H98" i="163"/>
  <c r="I95" i="163"/>
  <c r="J92" i="163"/>
  <c r="O89" i="163"/>
  <c r="L87" i="163"/>
  <c r="J85" i="163"/>
  <c r="J83" i="163"/>
  <c r="L81" i="163"/>
  <c r="N79" i="163"/>
  <c r="P77" i="163"/>
  <c r="A76" i="163"/>
  <c r="C74" i="163"/>
  <c r="E72" i="163"/>
  <c r="G70" i="163"/>
  <c r="I68" i="163"/>
  <c r="K66" i="163"/>
  <c r="M64" i="163"/>
  <c r="O62" i="163"/>
  <c r="Q60" i="163"/>
  <c r="B59" i="163"/>
  <c r="E57" i="163"/>
  <c r="P55" i="163"/>
  <c r="K54" i="163"/>
  <c r="H53" i="163"/>
  <c r="C52" i="163"/>
  <c r="O50" i="163"/>
  <c r="L49" i="163"/>
  <c r="G48" i="163"/>
  <c r="B47" i="163"/>
  <c r="A46" i="163"/>
  <c r="Q44" i="163"/>
  <c r="P43" i="163"/>
  <c r="Q42" i="163"/>
  <c r="A42" i="163"/>
  <c r="B41" i="163"/>
  <c r="C40" i="163"/>
  <c r="D39" i="163"/>
  <c r="E38" i="163"/>
  <c r="F37" i="163"/>
  <c r="G36" i="163"/>
  <c r="H35" i="163"/>
  <c r="I34" i="163"/>
  <c r="J33" i="163"/>
  <c r="K32" i="163"/>
  <c r="L31" i="163"/>
  <c r="M30" i="163"/>
  <c r="N29" i="163"/>
  <c r="O28" i="163"/>
  <c r="P27" i="163"/>
  <c r="Q26" i="163"/>
  <c r="A26" i="163"/>
  <c r="B25" i="163"/>
  <c r="C24" i="163"/>
  <c r="D23" i="163"/>
  <c r="E22" i="163"/>
  <c r="F21" i="163"/>
  <c r="G20" i="163"/>
  <c r="H19" i="163"/>
  <c r="I18" i="163"/>
  <c r="J17" i="163"/>
  <c r="K16" i="163"/>
  <c r="L15" i="163"/>
  <c r="N14" i="163"/>
  <c r="B14" i="163"/>
  <c r="I13" i="163"/>
  <c r="P12" i="163"/>
  <c r="D12" i="163"/>
  <c r="K11" i="163"/>
  <c r="A11" i="163"/>
  <c r="F10" i="163"/>
  <c r="M9" i="163"/>
  <c r="C9" i="163"/>
  <c r="H8" i="163"/>
  <c r="O7" i="163"/>
  <c r="E7" i="163"/>
  <c r="M6" i="163"/>
  <c r="C6" i="163"/>
  <c r="I5" i="163"/>
  <c r="Q4" i="163"/>
  <c r="H4" i="163"/>
  <c r="P3" i="163"/>
  <c r="D3" i="163"/>
  <c r="E174" i="163"/>
  <c r="N136" i="163"/>
  <c r="O131" i="163"/>
  <c r="F123" i="163"/>
  <c r="N115" i="163"/>
  <c r="E109" i="163"/>
  <c r="G103" i="163"/>
  <c r="F97" i="163"/>
  <c r="E91" i="163"/>
  <c r="N86" i="163"/>
  <c r="N82" i="163"/>
  <c r="A79" i="163"/>
  <c r="E75" i="163"/>
  <c r="I71" i="163"/>
  <c r="M67" i="163"/>
  <c r="Q63" i="163"/>
  <c r="D60" i="163"/>
  <c r="N56" i="163"/>
  <c r="D54" i="163"/>
  <c r="M51" i="163"/>
  <c r="E49" i="163"/>
  <c r="M46" i="163"/>
  <c r="K44" i="163"/>
  <c r="L42" i="163"/>
  <c r="N40" i="163"/>
  <c r="P38" i="163"/>
  <c r="A37" i="163"/>
  <c r="B36" i="163"/>
  <c r="D34" i="163"/>
  <c r="F32" i="163"/>
  <c r="H30" i="163"/>
  <c r="J28" i="163"/>
  <c r="L26" i="163"/>
  <c r="N24" i="163"/>
  <c r="P22" i="163"/>
  <c r="A21" i="163"/>
  <c r="C19" i="163"/>
  <c r="E17" i="163"/>
  <c r="G15" i="163"/>
  <c r="A14" i="163"/>
  <c r="O12" i="163"/>
  <c r="J11" i="163"/>
  <c r="E10" i="163"/>
  <c r="B9" i="163"/>
  <c r="N7" i="163"/>
  <c r="L6" i="163"/>
  <c r="H5" i="163"/>
  <c r="G4" i="163"/>
  <c r="C3" i="163"/>
  <c r="D174" i="163"/>
  <c r="N131" i="163"/>
  <c r="E123" i="163"/>
  <c r="M115" i="163"/>
  <c r="D109" i="163"/>
  <c r="C103" i="163"/>
  <c r="E97" i="163"/>
  <c r="C94" i="163"/>
  <c r="P88" i="163"/>
  <c r="M82" i="163"/>
  <c r="Q78" i="163"/>
  <c r="D75" i="163"/>
  <c r="H71" i="163"/>
  <c r="J69" i="163"/>
  <c r="N65" i="163"/>
  <c r="A62" i="163"/>
  <c r="E58" i="163"/>
  <c r="M56" i="163"/>
  <c r="C54" i="163"/>
  <c r="Q52" i="163"/>
  <c r="G50" i="163"/>
  <c r="P47" i="163"/>
  <c r="K45" i="163"/>
  <c r="J43" i="163"/>
  <c r="M4" i="163"/>
  <c r="Q5" i="163"/>
  <c r="L7" i="163"/>
  <c r="G9" i="163"/>
  <c r="N10" i="163"/>
  <c r="K12" i="163"/>
  <c r="H14" i="163"/>
  <c r="E16" i="163"/>
  <c r="A19" i="163"/>
  <c r="N21" i="163"/>
  <c r="N23" i="163"/>
  <c r="J26" i="163"/>
  <c r="F29" i="163"/>
  <c r="F31" i="163"/>
  <c r="B34" i="163"/>
  <c r="O36" i="163"/>
  <c r="O38" i="163"/>
  <c r="L41" i="163"/>
  <c r="J45" i="163"/>
  <c r="F50" i="163"/>
  <c r="G55" i="163"/>
  <c r="Q61" i="163"/>
  <c r="I69" i="163"/>
  <c r="A77" i="163"/>
  <c r="J84" i="163"/>
  <c r="B94" i="163"/>
  <c r="D106" i="163"/>
  <c r="H119" i="163"/>
  <c r="L136" i="163"/>
  <c r="C159" i="163"/>
  <c r="B174" i="163"/>
  <c r="L3" i="163"/>
  <c r="O4" i="163"/>
  <c r="H6" i="163"/>
  <c r="D8" i="163"/>
  <c r="K9" i="163"/>
  <c r="H11" i="163"/>
  <c r="C13" i="163"/>
  <c r="J14" i="163"/>
  <c r="C17" i="163"/>
  <c r="P19" i="163"/>
  <c r="P21" i="163"/>
  <c r="L24" i="163"/>
  <c r="H27" i="163"/>
  <c r="H29" i="163"/>
  <c r="D32" i="163"/>
  <c r="Q34" i="163"/>
  <c r="Q36" i="163"/>
  <c r="M39" i="163"/>
  <c r="J42" i="163"/>
  <c r="K46" i="163"/>
  <c r="K51" i="163"/>
  <c r="J56" i="163"/>
  <c r="O63" i="163"/>
  <c r="G71" i="163"/>
  <c r="P78" i="163"/>
  <c r="L86" i="163"/>
  <c r="A97" i="163"/>
  <c r="C109" i="163"/>
  <c r="D123" i="163"/>
  <c r="N141" i="163"/>
  <c r="C174" i="163"/>
  <c r="X1" i="166"/>
  <c r="C12" i="162"/>
  <c r="Q200" i="41"/>
  <c r="I200" i="41"/>
  <c r="A200" i="41"/>
  <c r="J199" i="41"/>
  <c r="B199" i="41"/>
  <c r="K198" i="41"/>
  <c r="C198" i="41"/>
  <c r="L197" i="41"/>
  <c r="D197" i="41"/>
  <c r="M196" i="41"/>
  <c r="E196" i="41"/>
  <c r="N195" i="41"/>
  <c r="F195" i="41"/>
  <c r="O194" i="41"/>
  <c r="G194" i="41"/>
  <c r="P193" i="41"/>
  <c r="H193" i="41"/>
  <c r="Q192" i="41"/>
  <c r="I192" i="41"/>
  <c r="A192" i="41"/>
  <c r="J191" i="41"/>
  <c r="B191" i="41"/>
  <c r="K190" i="41"/>
  <c r="C190" i="41"/>
  <c r="L189" i="41"/>
  <c r="D189" i="41"/>
  <c r="M188" i="41"/>
  <c r="E188" i="41"/>
  <c r="N187" i="41"/>
  <c r="F187" i="41"/>
  <c r="O186" i="41"/>
  <c r="G186" i="41"/>
  <c r="P185" i="41"/>
  <c r="H185" i="41"/>
  <c r="Q184" i="41"/>
  <c r="I184" i="41"/>
  <c r="A184" i="41"/>
  <c r="J183" i="41"/>
  <c r="B183" i="41"/>
  <c r="K182" i="41"/>
  <c r="C182" i="41"/>
  <c r="L181" i="41"/>
  <c r="D181" i="41"/>
  <c r="P200" i="41"/>
  <c r="H200" i="41"/>
  <c r="Q199" i="41"/>
  <c r="I199" i="41"/>
  <c r="A199" i="41"/>
  <c r="J198" i="41"/>
  <c r="B198" i="41"/>
  <c r="K197" i="41"/>
  <c r="C197" i="41"/>
  <c r="L196" i="41"/>
  <c r="D196" i="41"/>
  <c r="M195" i="41"/>
  <c r="E195" i="41"/>
  <c r="N194" i="41"/>
  <c r="F194" i="41"/>
  <c r="O193" i="41"/>
  <c r="G193" i="41"/>
  <c r="P192" i="41"/>
  <c r="H192" i="41"/>
  <c r="Q191" i="41"/>
  <c r="I191" i="41"/>
  <c r="A191" i="41"/>
  <c r="J190" i="41"/>
  <c r="B190" i="41"/>
  <c r="K189" i="41"/>
  <c r="C189" i="41"/>
  <c r="L188" i="41"/>
  <c r="D188" i="41"/>
  <c r="M187" i="41"/>
  <c r="E187" i="41"/>
  <c r="N186" i="41"/>
  <c r="F186" i="41"/>
  <c r="O185" i="41"/>
  <c r="G185" i="41"/>
  <c r="P184" i="41"/>
  <c r="H184" i="41"/>
  <c r="Q183" i="41"/>
  <c r="I183" i="41"/>
  <c r="A183" i="41"/>
  <c r="J182" i="41"/>
  <c r="B182" i="41"/>
  <c r="K181" i="41"/>
  <c r="C181" i="41"/>
  <c r="L180" i="41"/>
  <c r="D180" i="41"/>
  <c r="M179" i="41"/>
  <c r="E179" i="41"/>
  <c r="N178" i="41"/>
  <c r="F178" i="41"/>
  <c r="O177" i="41"/>
  <c r="G177" i="41"/>
  <c r="P176" i="41"/>
  <c r="H176" i="41"/>
  <c r="Q175" i="41"/>
  <c r="I175" i="41"/>
  <c r="A175" i="41"/>
  <c r="J174" i="41"/>
  <c r="B174" i="41"/>
  <c r="K173" i="41"/>
  <c r="C173" i="41"/>
  <c r="L172" i="41"/>
  <c r="D172" i="41"/>
  <c r="M171" i="41"/>
  <c r="E171" i="41"/>
  <c r="N170" i="41"/>
  <c r="F170" i="41"/>
  <c r="O169" i="41"/>
  <c r="G169" i="41"/>
  <c r="P168" i="41"/>
  <c r="H168" i="41"/>
  <c r="Q167" i="41"/>
  <c r="I167" i="41"/>
  <c r="A167" i="41"/>
  <c r="J166" i="41"/>
  <c r="B166" i="41"/>
  <c r="K165" i="41"/>
  <c r="C165" i="41"/>
  <c r="L164" i="41"/>
  <c r="D164" i="41"/>
  <c r="M163" i="41"/>
  <c r="E163" i="41"/>
  <c r="N162" i="41"/>
  <c r="F162" i="41"/>
  <c r="O161" i="41"/>
  <c r="G161" i="41"/>
  <c r="O200" i="41"/>
  <c r="G200" i="41"/>
  <c r="P199" i="41"/>
  <c r="H199" i="41"/>
  <c r="Q198" i="41"/>
  <c r="I198" i="41"/>
  <c r="A198" i="41"/>
  <c r="J197" i="41"/>
  <c r="B197" i="41"/>
  <c r="K196" i="41"/>
  <c r="C196" i="41"/>
  <c r="L195" i="41"/>
  <c r="D195" i="41"/>
  <c r="M194" i="41"/>
  <c r="E194" i="41"/>
  <c r="N193" i="41"/>
  <c r="F193" i="41"/>
  <c r="O192" i="41"/>
  <c r="G192" i="41"/>
  <c r="P191" i="41"/>
  <c r="H191" i="41"/>
  <c r="Q190" i="41"/>
  <c r="I190" i="41"/>
  <c r="A190" i="41"/>
  <c r="J189" i="41"/>
  <c r="B189" i="41"/>
  <c r="K188" i="41"/>
  <c r="C188" i="41"/>
  <c r="L187" i="41"/>
  <c r="D187" i="41"/>
  <c r="M186" i="41"/>
  <c r="E186" i="41"/>
  <c r="N185" i="41"/>
  <c r="F185" i="41"/>
  <c r="O184" i="41"/>
  <c r="G184" i="41"/>
  <c r="P183" i="41"/>
  <c r="H183" i="41"/>
  <c r="Q182" i="41"/>
  <c r="I182" i="41"/>
  <c r="A182" i="41"/>
  <c r="J181" i="41"/>
  <c r="B181" i="41"/>
  <c r="K180" i="41"/>
  <c r="C180" i="41"/>
  <c r="L179" i="41"/>
  <c r="D179" i="41"/>
  <c r="M178" i="41"/>
  <c r="E178" i="41"/>
  <c r="N177" i="41"/>
  <c r="F177" i="41"/>
  <c r="O176" i="41"/>
  <c r="N200" i="41"/>
  <c r="F200" i="41"/>
  <c r="O199" i="41"/>
  <c r="G199" i="41"/>
  <c r="P198" i="41"/>
  <c r="H198" i="41"/>
  <c r="Q197" i="41"/>
  <c r="I197" i="41"/>
  <c r="A197" i="41"/>
  <c r="J196" i="41"/>
  <c r="B196" i="41"/>
  <c r="K195" i="41"/>
  <c r="C195" i="41"/>
  <c r="L194" i="41"/>
  <c r="D194" i="41"/>
  <c r="M193" i="41"/>
  <c r="E193" i="41"/>
  <c r="N192" i="41"/>
  <c r="F192" i="41"/>
  <c r="O191" i="41"/>
  <c r="G191" i="41"/>
  <c r="P190" i="41"/>
  <c r="H190" i="41"/>
  <c r="Q189" i="41"/>
  <c r="I189" i="41"/>
  <c r="A189" i="41"/>
  <c r="J188" i="41"/>
  <c r="B188" i="41"/>
  <c r="K187" i="41"/>
  <c r="C187" i="41"/>
  <c r="L186" i="41"/>
  <c r="D186" i="41"/>
  <c r="M185" i="41"/>
  <c r="E185" i="41"/>
  <c r="N184" i="41"/>
  <c r="F184" i="41"/>
  <c r="O183" i="41"/>
  <c r="G183" i="41"/>
  <c r="P182" i="41"/>
  <c r="H182" i="41"/>
  <c r="Q181" i="41"/>
  <c r="L200" i="41"/>
  <c r="D200" i="41"/>
  <c r="M199" i="41"/>
  <c r="E199" i="41"/>
  <c r="N198" i="41"/>
  <c r="F198" i="41"/>
  <c r="O197" i="41"/>
  <c r="G197" i="41"/>
  <c r="P196" i="41"/>
  <c r="H196" i="41"/>
  <c r="Q195" i="41"/>
  <c r="I195" i="41"/>
  <c r="A195" i="41"/>
  <c r="J194" i="41"/>
  <c r="B194" i="41"/>
  <c r="K193" i="41"/>
  <c r="C193" i="41"/>
  <c r="L192" i="41"/>
  <c r="D192" i="41"/>
  <c r="M191" i="41"/>
  <c r="E191" i="41"/>
  <c r="N190" i="41"/>
  <c r="F190" i="41"/>
  <c r="O189" i="41"/>
  <c r="G189" i="41"/>
  <c r="P188" i="41"/>
  <c r="H188" i="41"/>
  <c r="Q187" i="41"/>
  <c r="I187" i="41"/>
  <c r="A187" i="41"/>
  <c r="J186" i="41"/>
  <c r="B186" i="41"/>
  <c r="K185" i="41"/>
  <c r="C185" i="41"/>
  <c r="L184" i="41"/>
  <c r="D184" i="41"/>
  <c r="M183" i="41"/>
  <c r="E183" i="41"/>
  <c r="N182" i="41"/>
  <c r="F182" i="41"/>
  <c r="O181" i="41"/>
  <c r="G181" i="41"/>
  <c r="P180" i="41"/>
  <c r="H180" i="41"/>
  <c r="Q179" i="41"/>
  <c r="I179" i="41"/>
  <c r="A179" i="41"/>
  <c r="J178" i="41"/>
  <c r="B178" i="41"/>
  <c r="K177" i="41"/>
  <c r="C177" i="41"/>
  <c r="L176" i="41"/>
  <c r="D176" i="41"/>
  <c r="M175" i="41"/>
  <c r="E175" i="41"/>
  <c r="N174" i="41"/>
  <c r="F174" i="41"/>
  <c r="O173" i="41"/>
  <c r="G173" i="41"/>
  <c r="P172" i="41"/>
  <c r="H172" i="41"/>
  <c r="Q171" i="41"/>
  <c r="I171" i="41"/>
  <c r="A171" i="41"/>
  <c r="J170" i="41"/>
  <c r="B170" i="41"/>
  <c r="K169" i="41"/>
  <c r="C169" i="41"/>
  <c r="L168" i="41"/>
  <c r="D168" i="41"/>
  <c r="K200" i="41"/>
  <c r="F199" i="41"/>
  <c r="D198" i="41"/>
  <c r="O196" i="41"/>
  <c r="J195" i="41"/>
  <c r="H194" i="41"/>
  <c r="B193" i="41"/>
  <c r="N191" i="41"/>
  <c r="L190" i="41"/>
  <c r="F189" i="41"/>
  <c r="A188" i="41"/>
  <c r="P186" i="41"/>
  <c r="J185" i="41"/>
  <c r="E184" i="41"/>
  <c r="C183" i="41"/>
  <c r="N181" i="41"/>
  <c r="O180" i="41"/>
  <c r="B180" i="41"/>
  <c r="G179" i="41"/>
  <c r="K178" i="41"/>
  <c r="P177" i="41"/>
  <c r="B177" i="41"/>
  <c r="G176" i="41"/>
  <c r="N175" i="41"/>
  <c r="C175" i="41"/>
  <c r="I174" i="41"/>
  <c r="P173" i="41"/>
  <c r="E173" i="41"/>
  <c r="K172" i="41"/>
  <c r="A172" i="41"/>
  <c r="G171" i="41"/>
  <c r="M170" i="41"/>
  <c r="C170" i="41"/>
  <c r="I169" i="41"/>
  <c r="O168" i="41"/>
  <c r="E168" i="41"/>
  <c r="L167" i="41"/>
  <c r="C167" i="41"/>
  <c r="K166" i="41"/>
  <c r="A166" i="41"/>
  <c r="I165" i="41"/>
  <c r="Q164" i="41"/>
  <c r="H164" i="41"/>
  <c r="P163" i="41"/>
  <c r="G163" i="41"/>
  <c r="O162" i="41"/>
  <c r="E162" i="41"/>
  <c r="M161" i="41"/>
  <c r="D161" i="41"/>
  <c r="M160" i="41"/>
  <c r="E160" i="41"/>
  <c r="N159" i="41"/>
  <c r="F159" i="41"/>
  <c r="O158" i="41"/>
  <c r="G158" i="41"/>
  <c r="P157" i="41"/>
  <c r="H157" i="41"/>
  <c r="Q156" i="41"/>
  <c r="I156" i="41"/>
  <c r="A156" i="41"/>
  <c r="J155" i="41"/>
  <c r="B155" i="41"/>
  <c r="K154" i="41"/>
  <c r="C154" i="41"/>
  <c r="L153" i="41"/>
  <c r="D153" i="41"/>
  <c r="M152" i="41"/>
  <c r="E152" i="41"/>
  <c r="N151" i="41"/>
  <c r="F151" i="41"/>
  <c r="O150" i="41"/>
  <c r="G150" i="41"/>
  <c r="P149" i="41"/>
  <c r="H149" i="41"/>
  <c r="Q148" i="41"/>
  <c r="I148" i="41"/>
  <c r="A148" i="41"/>
  <c r="J147" i="41"/>
  <c r="B147" i="41"/>
  <c r="K146" i="41"/>
  <c r="C146" i="41"/>
  <c r="L145" i="41"/>
  <c r="D145" i="41"/>
  <c r="M144" i="41"/>
  <c r="E144" i="41"/>
  <c r="N143" i="41"/>
  <c r="E200" i="41"/>
  <c r="C199" i="41"/>
  <c r="N197" i="41"/>
  <c r="I196" i="41"/>
  <c r="G195" i="41"/>
  <c r="A194" i="41"/>
  <c r="M192" i="41"/>
  <c r="K191" i="41"/>
  <c r="E190" i="41"/>
  <c r="Q188" i="41"/>
  <c r="O187" i="41"/>
  <c r="I186" i="41"/>
  <c r="D185" i="41"/>
  <c r="B184" i="41"/>
  <c r="M182" i="41"/>
  <c r="I181" i="41"/>
  <c r="M180" i="41"/>
  <c r="P179" i="41"/>
  <c r="C179" i="41"/>
  <c r="H178" i="41"/>
  <c r="L177" i="41"/>
  <c r="Q176" i="41"/>
  <c r="E176" i="41"/>
  <c r="K175" i="41"/>
  <c r="Q174" i="41"/>
  <c r="G174" i="41"/>
  <c r="M173" i="41"/>
  <c r="B173" i="41"/>
  <c r="I172" i="41"/>
  <c r="O171" i="41"/>
  <c r="D171" i="41"/>
  <c r="K170" i="41"/>
  <c r="Q169" i="41"/>
  <c r="F169" i="41"/>
  <c r="M168" i="41"/>
  <c r="B168" i="41"/>
  <c r="J167" i="41"/>
  <c r="Q166" i="41"/>
  <c r="H166" i="41"/>
  <c r="P165" i="41"/>
  <c r="G165" i="41"/>
  <c r="O164" i="41"/>
  <c r="F164" i="41"/>
  <c r="N163" i="41"/>
  <c r="D163" i="41"/>
  <c r="L162" i="41"/>
  <c r="C162" i="41"/>
  <c r="K161" i="41"/>
  <c r="B161" i="41"/>
  <c r="K160" i="41"/>
  <c r="C160" i="41"/>
  <c r="L159" i="41"/>
  <c r="D159" i="41"/>
  <c r="M158" i="41"/>
  <c r="E158" i="41"/>
  <c r="N157" i="41"/>
  <c r="F157" i="41"/>
  <c r="O156" i="41"/>
  <c r="G156" i="41"/>
  <c r="P155" i="41"/>
  <c r="H155" i="41"/>
  <c r="Q154" i="41"/>
  <c r="I154" i="41"/>
  <c r="A154" i="41"/>
  <c r="J153" i="41"/>
  <c r="B153" i="41"/>
  <c r="K152" i="41"/>
  <c r="C152" i="41"/>
  <c r="L151" i="41"/>
  <c r="D151" i="41"/>
  <c r="M150" i="41"/>
  <c r="E150" i="41"/>
  <c r="N149" i="41"/>
  <c r="F149" i="41"/>
  <c r="O148" i="41"/>
  <c r="G148" i="41"/>
  <c r="P147" i="41"/>
  <c r="H147" i="41"/>
  <c r="Q146" i="41"/>
  <c r="I146" i="41"/>
  <c r="A146" i="41"/>
  <c r="J145" i="41"/>
  <c r="B145" i="41"/>
  <c r="K144" i="41"/>
  <c r="C144" i="41"/>
  <c r="J200" i="41"/>
  <c r="M198" i="41"/>
  <c r="E197" i="41"/>
  <c r="H195" i="41"/>
  <c r="L193" i="41"/>
  <c r="C192" i="41"/>
  <c r="G190" i="41"/>
  <c r="N188" i="41"/>
  <c r="B187" i="41"/>
  <c r="I185" i="41"/>
  <c r="L183" i="41"/>
  <c r="D182" i="41"/>
  <c r="N180" i="41"/>
  <c r="N179" i="41"/>
  <c r="O178" i="41"/>
  <c r="M177" i="41"/>
  <c r="M176" i="41"/>
  <c r="P175" i="41"/>
  <c r="B175" i="41"/>
  <c r="D174" i="41"/>
  <c r="H173" i="41"/>
  <c r="J172" i="41"/>
  <c r="L171" i="41"/>
  <c r="P170" i="41"/>
  <c r="A170" i="41"/>
  <c r="D169" i="41"/>
  <c r="G168" i="41"/>
  <c r="K167" i="41"/>
  <c r="O166" i="41"/>
  <c r="D166" i="41"/>
  <c r="H165" i="41"/>
  <c r="M164" i="41"/>
  <c r="A164" i="41"/>
  <c r="F163" i="41"/>
  <c r="J162" i="41"/>
  <c r="P161" i="41"/>
  <c r="C161" i="41"/>
  <c r="I160" i="41"/>
  <c r="P159" i="41"/>
  <c r="E159" i="41"/>
  <c r="K158" i="41"/>
  <c r="A158" i="41"/>
  <c r="G157" i="41"/>
  <c r="M156" i="41"/>
  <c r="C156" i="41"/>
  <c r="I155" i="41"/>
  <c r="O154" i="41"/>
  <c r="E154" i="41"/>
  <c r="K153" i="41"/>
  <c r="Q152" i="41"/>
  <c r="G152" i="41"/>
  <c r="M151" i="41"/>
  <c r="B151" i="41"/>
  <c r="I150" i="41"/>
  <c r="O149" i="41"/>
  <c r="D149" i="41"/>
  <c r="K148" i="41"/>
  <c r="Q147" i="41"/>
  <c r="F147" i="41"/>
  <c r="M146" i="41"/>
  <c r="B146" i="41"/>
  <c r="H145" i="41"/>
  <c r="O144" i="41"/>
  <c r="D144" i="41"/>
  <c r="K143" i="41"/>
  <c r="C143" i="41"/>
  <c r="L142" i="41"/>
  <c r="D142" i="41"/>
  <c r="M141" i="41"/>
  <c r="E141" i="41"/>
  <c r="N140" i="41"/>
  <c r="F140" i="41"/>
  <c r="O139" i="41"/>
  <c r="G139" i="41"/>
  <c r="P138" i="41"/>
  <c r="H138" i="41"/>
  <c r="Q137" i="41"/>
  <c r="I137" i="41"/>
  <c r="A137" i="41"/>
  <c r="J136" i="41"/>
  <c r="B136" i="41"/>
  <c r="K135" i="41"/>
  <c r="C135" i="41"/>
  <c r="L134" i="41"/>
  <c r="D134" i="41"/>
  <c r="M133" i="41"/>
  <c r="C200" i="41"/>
  <c r="L198" i="41"/>
  <c r="Q196" i="41"/>
  <c r="B195" i="41"/>
  <c r="J193" i="41"/>
  <c r="B192" i="41"/>
  <c r="D190" i="41"/>
  <c r="I188" i="41"/>
  <c r="Q186" i="41"/>
  <c r="B185" i="41"/>
  <c r="K183" i="41"/>
  <c r="P181" i="41"/>
  <c r="J180" i="41"/>
  <c r="K179" i="41"/>
  <c r="L178" i="41"/>
  <c r="J177" i="41"/>
  <c r="K176" i="41"/>
  <c r="O175" i="41"/>
  <c r="P174" i="41"/>
  <c r="C174" i="41"/>
  <c r="F173" i="41"/>
  <c r="G172" i="41"/>
  <c r="K171" i="41"/>
  <c r="O170" i="41"/>
  <c r="P169" i="41"/>
  <c r="B169" i="41"/>
  <c r="F168" i="41"/>
  <c r="H167" i="41"/>
  <c r="N166" i="41"/>
  <c r="C166" i="41"/>
  <c r="F165" i="41"/>
  <c r="K164" i="41"/>
  <c r="Q163" i="41"/>
  <c r="C163" i="41"/>
  <c r="I162" i="41"/>
  <c r="N161" i="41"/>
  <c r="A161" i="41"/>
  <c r="H160" i="41"/>
  <c r="O159" i="41"/>
  <c r="C159" i="41"/>
  <c r="J158" i="41"/>
  <c r="Q157" i="41"/>
  <c r="E157" i="41"/>
  <c r="L156" i="41"/>
  <c r="B156" i="41"/>
  <c r="G155" i="41"/>
  <c r="N154" i="41"/>
  <c r="D154" i="41"/>
  <c r="I153" i="41"/>
  <c r="P152" i="41"/>
  <c r="F152" i="41"/>
  <c r="K151" i="41"/>
  <c r="A151" i="41"/>
  <c r="H150" i="41"/>
  <c r="M149" i="41"/>
  <c r="C149" i="41"/>
  <c r="J148" i="41"/>
  <c r="O147" i="41"/>
  <c r="E147" i="41"/>
  <c r="L146" i="41"/>
  <c r="Q145" i="41"/>
  <c r="G145" i="41"/>
  <c r="N144" i="41"/>
  <c r="B144" i="41"/>
  <c r="J143" i="41"/>
  <c r="B143" i="41"/>
  <c r="K142" i="41"/>
  <c r="C142" i="41"/>
  <c r="L141" i="41"/>
  <c r="D141" i="41"/>
  <c r="M140" i="41"/>
  <c r="E140" i="41"/>
  <c r="N139" i="41"/>
  <c r="F139" i="41"/>
  <c r="O138" i="41"/>
  <c r="G138" i="41"/>
  <c r="P137" i="41"/>
  <c r="H137" i="41"/>
  <c r="Q136" i="41"/>
  <c r="I136" i="41"/>
  <c r="A136" i="41"/>
  <c r="J135" i="41"/>
  <c r="B135" i="41"/>
  <c r="K134" i="41"/>
  <c r="C134" i="41"/>
  <c r="B200" i="41"/>
  <c r="M200" i="41"/>
  <c r="P197" i="41"/>
  <c r="P195" i="41"/>
  <c r="I193" i="41"/>
  <c r="D191" i="41"/>
  <c r="E189" i="41"/>
  <c r="K186" i="41"/>
  <c r="K184" i="41"/>
  <c r="G182" i="41"/>
  <c r="I180" i="41"/>
  <c r="F179" i="41"/>
  <c r="A178" i="41"/>
  <c r="J176" i="41"/>
  <c r="H175" i="41"/>
  <c r="H174" i="41"/>
  <c r="D173" i="41"/>
  <c r="C172" i="41"/>
  <c r="B171" i="41"/>
  <c r="N169" i="41"/>
  <c r="N168" i="41"/>
  <c r="N167" i="41"/>
  <c r="M166" i="41"/>
  <c r="N165" i="41"/>
  <c r="P164" i="41"/>
  <c r="O163" i="41"/>
  <c r="Q162" i="41"/>
  <c r="A162" i="41"/>
  <c r="Q160" i="41"/>
  <c r="D160" i="41"/>
  <c r="H159" i="41"/>
  <c r="I158" i="41"/>
  <c r="L157" i="41"/>
  <c r="P156" i="41"/>
  <c r="Q155" i="41"/>
  <c r="D155" i="41"/>
  <c r="G154" i="41"/>
  <c r="H153" i="41"/>
  <c r="L152" i="41"/>
  <c r="P151" i="41"/>
  <c r="Q150" i="41"/>
  <c r="C150" i="41"/>
  <c r="G149" i="41"/>
  <c r="H148" i="41"/>
  <c r="L147" i="41"/>
  <c r="O146" i="41"/>
  <c r="P145" i="41"/>
  <c r="C145" i="41"/>
  <c r="G144" i="41"/>
  <c r="I143" i="41"/>
  <c r="P142" i="41"/>
  <c r="F142" i="41"/>
  <c r="K141" i="41"/>
  <c r="A141" i="41"/>
  <c r="H140" i="41"/>
  <c r="M139" i="41"/>
  <c r="C139" i="41"/>
  <c r="J138" i="41"/>
  <c r="O137" i="41"/>
  <c r="E137" i="41"/>
  <c r="L136" i="41"/>
  <c r="Q135" i="41"/>
  <c r="G135" i="41"/>
  <c r="N134" i="41"/>
  <c r="B134" i="41"/>
  <c r="J133" i="41"/>
  <c r="B133" i="41"/>
  <c r="K132" i="41"/>
  <c r="C132" i="41"/>
  <c r="L131" i="41"/>
  <c r="D131" i="41"/>
  <c r="M130" i="41"/>
  <c r="E130" i="41"/>
  <c r="N129" i="41"/>
  <c r="F129" i="41"/>
  <c r="O128" i="41"/>
  <c r="G128" i="41"/>
  <c r="P127" i="41"/>
  <c r="H127" i="41"/>
  <c r="Q126" i="41"/>
  <c r="I126" i="41"/>
  <c r="A126" i="41"/>
  <c r="J125" i="41"/>
  <c r="B125" i="41"/>
  <c r="K124" i="41"/>
  <c r="C124" i="41"/>
  <c r="N199" i="41"/>
  <c r="M197" i="41"/>
  <c r="O195" i="41"/>
  <c r="D193" i="41"/>
  <c r="C191" i="41"/>
  <c r="O188" i="41"/>
  <c r="H186" i="41"/>
  <c r="J184" i="41"/>
  <c r="E182" i="41"/>
  <c r="G180" i="41"/>
  <c r="B179" i="41"/>
  <c r="Q177" i="41"/>
  <c r="I176" i="41"/>
  <c r="G175" i="41"/>
  <c r="E174" i="41"/>
  <c r="A173" i="41"/>
  <c r="B172" i="41"/>
  <c r="Q170" i="41"/>
  <c r="M169" i="41"/>
  <c r="K168" i="41"/>
  <c r="M167" i="41"/>
  <c r="L166" i="41"/>
  <c r="M165" i="41"/>
  <c r="N164" i="41"/>
  <c r="L163" i="41"/>
  <c r="P162" i="41"/>
  <c r="Q161" i="41"/>
  <c r="P160" i="41"/>
  <c r="B160" i="41"/>
  <c r="G159" i="41"/>
  <c r="H158" i="41"/>
  <c r="K157" i="41"/>
  <c r="N156" i="41"/>
  <c r="O155" i="41"/>
  <c r="C155" i="41"/>
  <c r="F154" i="41"/>
  <c r="G153" i="41"/>
  <c r="J152" i="41"/>
  <c r="O151" i="41"/>
  <c r="P150" i="41"/>
  <c r="B150" i="41"/>
  <c r="E149" i="41"/>
  <c r="F148" i="41"/>
  <c r="K147" i="41"/>
  <c r="N146" i="41"/>
  <c r="O145" i="41"/>
  <c r="A145" i="41"/>
  <c r="F144" i="41"/>
  <c r="H143" i="41"/>
  <c r="O142" i="41"/>
  <c r="E142" i="41"/>
  <c r="J141" i="41"/>
  <c r="Q140" i="41"/>
  <c r="G140" i="41"/>
  <c r="L139" i="41"/>
  <c r="B139" i="41"/>
  <c r="I138" i="41"/>
  <c r="N137" i="41"/>
  <c r="D137" i="41"/>
  <c r="K136" i="41"/>
  <c r="P135" i="41"/>
  <c r="F135" i="41"/>
  <c r="M134" i="41"/>
  <c r="A134" i="41"/>
  <c r="I133" i="41"/>
  <c r="A133" i="41"/>
  <c r="J132" i="41"/>
  <c r="B132" i="41"/>
  <c r="K131" i="41"/>
  <c r="C131" i="41"/>
  <c r="L130" i="41"/>
  <c r="D130" i="41"/>
  <c r="M129" i="41"/>
  <c r="E129" i="41"/>
  <c r="N128" i="41"/>
  <c r="F128" i="41"/>
  <c r="O127" i="41"/>
  <c r="G127" i="41"/>
  <c r="P126" i="41"/>
  <c r="H126" i="41"/>
  <c r="Q125" i="41"/>
  <c r="I125" i="41"/>
  <c r="A125" i="41"/>
  <c r="J124" i="41"/>
  <c r="B124" i="41"/>
  <c r="K123" i="41"/>
  <c r="C123" i="41"/>
  <c r="L122" i="41"/>
  <c r="D122" i="41"/>
  <c r="M121" i="41"/>
  <c r="E121" i="41"/>
  <c r="N120" i="41"/>
  <c r="F120" i="41"/>
  <c r="O119" i="41"/>
  <c r="G119" i="41"/>
  <c r="P118" i="41"/>
  <c r="H118" i="41"/>
  <c r="Q117" i="41"/>
  <c r="I117" i="41"/>
  <c r="A117" i="41"/>
  <c r="J116" i="41"/>
  <c r="B116" i="41"/>
  <c r="K115" i="41"/>
  <c r="C115" i="41"/>
  <c r="L114" i="41"/>
  <c r="D114" i="41"/>
  <c r="M113" i="41"/>
  <c r="E113" i="41"/>
  <c r="N112" i="41"/>
  <c r="F112" i="41"/>
  <c r="L199" i="41"/>
  <c r="H197" i="41"/>
  <c r="Q194" i="41"/>
  <c r="A193" i="41"/>
  <c r="O190" i="41"/>
  <c r="G188" i="41"/>
  <c r="C186" i="41"/>
  <c r="C184" i="41"/>
  <c r="M181" i="41"/>
  <c r="F180" i="41"/>
  <c r="Q178" i="41"/>
  <c r="I177" i="41"/>
  <c r="F176" i="41"/>
  <c r="F175" i="41"/>
  <c r="A174" i="41"/>
  <c r="Q172" i="41"/>
  <c r="P171" i="41"/>
  <c r="L170" i="41"/>
  <c r="L169" i="41"/>
  <c r="J168" i="41"/>
  <c r="G167" i="41"/>
  <c r="I166" i="41"/>
  <c r="L165" i="41"/>
  <c r="J164" i="41"/>
  <c r="K163" i="41"/>
  <c r="M162" i="41"/>
  <c r="L161" i="41"/>
  <c r="O160" i="41"/>
  <c r="A160" i="41"/>
  <c r="B159" i="41"/>
  <c r="F158" i="41"/>
  <c r="J157" i="41"/>
  <c r="K156" i="41"/>
  <c r="N155" i="41"/>
  <c r="A155" i="41"/>
  <c r="B154" i="41"/>
  <c r="F153" i="41"/>
  <c r="I152" i="41"/>
  <c r="J151" i="41"/>
  <c r="N150" i="41"/>
  <c r="A150" i="41"/>
  <c r="B149" i="41"/>
  <c r="E148" i="41"/>
  <c r="I147" i="41"/>
  <c r="J146" i="41"/>
  <c r="N145" i="41"/>
  <c r="Q144" i="41"/>
  <c r="A144" i="41"/>
  <c r="G143" i="41"/>
  <c r="N142" i="41"/>
  <c r="B142" i="41"/>
  <c r="I141" i="41"/>
  <c r="P140" i="41"/>
  <c r="D140" i="41"/>
  <c r="K139" i="41"/>
  <c r="A139" i="41"/>
  <c r="F138" i="41"/>
  <c r="M137" i="41"/>
  <c r="C137" i="41"/>
  <c r="H136" i="41"/>
  <c r="O135" i="41"/>
  <c r="E135" i="41"/>
  <c r="J134" i="41"/>
  <c r="Q133" i="41"/>
  <c r="H133" i="41"/>
  <c r="Q132" i="41"/>
  <c r="I132" i="41"/>
  <c r="A132" i="41"/>
  <c r="J131" i="41"/>
  <c r="B131" i="41"/>
  <c r="K130" i="41"/>
  <c r="C130" i="41"/>
  <c r="L129" i="41"/>
  <c r="D129" i="41"/>
  <c r="M128" i="41"/>
  <c r="E128" i="41"/>
  <c r="N127" i="41"/>
  <c r="F127" i="41"/>
  <c r="O126" i="41"/>
  <c r="G126" i="41"/>
  <c r="P125" i="41"/>
  <c r="H125" i="41"/>
  <c r="Q124" i="41"/>
  <c r="I124" i="41"/>
  <c r="A124" i="41"/>
  <c r="J123" i="41"/>
  <c r="B123" i="41"/>
  <c r="K122" i="41"/>
  <c r="C122" i="41"/>
  <c r="L121" i="41"/>
  <c r="D121" i="41"/>
  <c r="M120" i="41"/>
  <c r="E120" i="41"/>
  <c r="N119" i="41"/>
  <c r="F119" i="41"/>
  <c r="O118" i="41"/>
  <c r="G118" i="41"/>
  <c r="P117" i="41"/>
  <c r="H117" i="41"/>
  <c r="Q116" i="41"/>
  <c r="I116" i="41"/>
  <c r="A116" i="41"/>
  <c r="J115" i="41"/>
  <c r="B115" i="41"/>
  <c r="K114" i="41"/>
  <c r="C114" i="41"/>
  <c r="L113" i="41"/>
  <c r="D113" i="41"/>
  <c r="M112" i="41"/>
  <c r="E112" i="41"/>
  <c r="N111" i="41"/>
  <c r="F111" i="41"/>
  <c r="O110" i="41"/>
  <c r="G110" i="41"/>
  <c r="P109" i="41"/>
  <c r="H109" i="41"/>
  <c r="Q108" i="41"/>
  <c r="I108" i="41"/>
  <c r="A108" i="41"/>
  <c r="J107" i="41"/>
  <c r="B107" i="41"/>
  <c r="K106" i="41"/>
  <c r="C106" i="41"/>
  <c r="L105" i="41"/>
  <c r="D105" i="41"/>
  <c r="K199" i="41"/>
  <c r="F197" i="41"/>
  <c r="P194" i="41"/>
  <c r="K192" i="41"/>
  <c r="M190" i="41"/>
  <c r="F188" i="41"/>
  <c r="A186" i="41"/>
  <c r="N183" i="41"/>
  <c r="H181" i="41"/>
  <c r="E180" i="41"/>
  <c r="P178" i="41"/>
  <c r="H177" i="41"/>
  <c r="C176" i="41"/>
  <c r="D175" i="41"/>
  <c r="Q173" i="41"/>
  <c r="O172" i="41"/>
  <c r="N171" i="41"/>
  <c r="I170" i="41"/>
  <c r="J169" i="41"/>
  <c r="I168" i="41"/>
  <c r="F167" i="41"/>
  <c r="G166" i="41"/>
  <c r="J165" i="41"/>
  <c r="I164" i="41"/>
  <c r="J163" i="41"/>
  <c r="K162" i="41"/>
  <c r="J161" i="41"/>
  <c r="N160" i="41"/>
  <c r="Q159" i="41"/>
  <c r="A159" i="41"/>
  <c r="D158" i="41"/>
  <c r="I157" i="41"/>
  <c r="J156" i="41"/>
  <c r="M155" i="41"/>
  <c r="P154" i="41"/>
  <c r="Q153" i="41"/>
  <c r="E153" i="41"/>
  <c r="H152" i="41"/>
  <c r="I151" i="41"/>
  <c r="L150" i="41"/>
  <c r="Q149" i="41"/>
  <c r="A149" i="41"/>
  <c r="D148" i="41"/>
  <c r="G147" i="41"/>
  <c r="H146" i="41"/>
  <c r="M145" i="41"/>
  <c r="P144" i="41"/>
  <c r="Q143" i="41"/>
  <c r="F143" i="41"/>
  <c r="M142" i="41"/>
  <c r="A142" i="41"/>
  <c r="H141" i="41"/>
  <c r="O140" i="41"/>
  <c r="C140" i="41"/>
  <c r="J139" i="41"/>
  <c r="Q138" i="41"/>
  <c r="E138" i="41"/>
  <c r="L137" i="41"/>
  <c r="B137" i="41"/>
  <c r="G136" i="41"/>
  <c r="N135" i="41"/>
  <c r="D135" i="41"/>
  <c r="I134" i="41"/>
  <c r="P133" i="41"/>
  <c r="G133" i="41"/>
  <c r="P132" i="41"/>
  <c r="H132" i="41"/>
  <c r="Q131" i="41"/>
  <c r="I131" i="41"/>
  <c r="A131" i="41"/>
  <c r="J130" i="41"/>
  <c r="B130" i="41"/>
  <c r="K129" i="41"/>
  <c r="C129" i="41"/>
  <c r="L128" i="41"/>
  <c r="D128" i="41"/>
  <c r="M127" i="41"/>
  <c r="E127" i="41"/>
  <c r="N126" i="41"/>
  <c r="F126" i="41"/>
  <c r="O125" i="41"/>
  <c r="G125" i="41"/>
  <c r="P124" i="41"/>
  <c r="H124" i="41"/>
  <c r="Q123" i="41"/>
  <c r="I123" i="41"/>
  <c r="A123" i="41"/>
  <c r="J122" i="41"/>
  <c r="B122" i="41"/>
  <c r="K121" i="41"/>
  <c r="C121" i="41"/>
  <c r="L120" i="41"/>
  <c r="D120" i="41"/>
  <c r="M119" i="41"/>
  <c r="E119" i="41"/>
  <c r="N118" i="41"/>
  <c r="F118" i="41"/>
  <c r="O117" i="41"/>
  <c r="G117" i="41"/>
  <c r="P116" i="41"/>
  <c r="H116" i="41"/>
  <c r="Q115" i="41"/>
  <c r="I115" i="41"/>
  <c r="A115" i="41"/>
  <c r="J114" i="41"/>
  <c r="B114" i="41"/>
  <c r="K113" i="41"/>
  <c r="C113" i="41"/>
  <c r="L112" i="41"/>
  <c r="D112" i="41"/>
  <c r="M111" i="41"/>
  <c r="E111" i="41"/>
  <c r="N110" i="41"/>
  <c r="F110" i="41"/>
  <c r="O109" i="41"/>
  <c r="G109" i="41"/>
  <c r="P108" i="41"/>
  <c r="H108" i="41"/>
  <c r="D199" i="41"/>
  <c r="K194" i="41"/>
  <c r="P189" i="41"/>
  <c r="Q185" i="41"/>
  <c r="F181" i="41"/>
  <c r="I178" i="41"/>
  <c r="B176" i="41"/>
  <c r="N173" i="41"/>
  <c r="J171" i="41"/>
  <c r="H169" i="41"/>
  <c r="E167" i="41"/>
  <c r="E165" i="41"/>
  <c r="I163" i="41"/>
  <c r="I161" i="41"/>
  <c r="M159" i="41"/>
  <c r="C158" i="41"/>
  <c r="H156" i="41"/>
  <c r="M154" i="41"/>
  <c r="C153" i="41"/>
  <c r="H151" i="41"/>
  <c r="L149" i="41"/>
  <c r="C148" i="41"/>
  <c r="G146" i="41"/>
  <c r="L144" i="41"/>
  <c r="E143" i="41"/>
  <c r="Q141" i="41"/>
  <c r="L140" i="41"/>
  <c r="I139" i="41"/>
  <c r="D138" i="41"/>
  <c r="P136" i="41"/>
  <c r="M135" i="41"/>
  <c r="H134" i="41"/>
  <c r="F133" i="41"/>
  <c r="G132" i="41"/>
  <c r="H131" i="41"/>
  <c r="I130" i="41"/>
  <c r="J129" i="41"/>
  <c r="K128" i="41"/>
  <c r="L127" i="41"/>
  <c r="M126" i="41"/>
  <c r="N125" i="41"/>
  <c r="O124" i="41"/>
  <c r="P123" i="41"/>
  <c r="E123" i="41"/>
  <c r="H122" i="41"/>
  <c r="N121" i="41"/>
  <c r="Q120" i="41"/>
  <c r="C120" i="41"/>
  <c r="I119" i="41"/>
  <c r="L118" i="41"/>
  <c r="A118" i="41"/>
  <c r="D117" i="41"/>
  <c r="G116" i="41"/>
  <c r="M115" i="41"/>
  <c r="P114" i="41"/>
  <c r="E114" i="41"/>
  <c r="H113" i="41"/>
  <c r="K112" i="41"/>
  <c r="Q111" i="41"/>
  <c r="G111" i="41"/>
  <c r="L110" i="41"/>
  <c r="B110" i="41"/>
  <c r="I109" i="41"/>
  <c r="N108" i="41"/>
  <c r="D108" i="41"/>
  <c r="L107" i="41"/>
  <c r="C107" i="41"/>
  <c r="J106" i="41"/>
  <c r="A106" i="41"/>
  <c r="I105" i="41"/>
  <c r="Q104" i="41"/>
  <c r="I104" i="41"/>
  <c r="A104" i="41"/>
  <c r="J103" i="41"/>
  <c r="B103" i="41"/>
  <c r="K102" i="41"/>
  <c r="C102" i="41"/>
  <c r="L101" i="41"/>
  <c r="D101" i="41"/>
  <c r="M100" i="41"/>
  <c r="E100" i="41"/>
  <c r="N99" i="41"/>
  <c r="F99" i="41"/>
  <c r="O98" i="41"/>
  <c r="G98" i="41"/>
  <c r="P97" i="41"/>
  <c r="H97" i="41"/>
  <c r="Q96" i="41"/>
  <c r="I96" i="41"/>
  <c r="A96" i="41"/>
  <c r="J95" i="41"/>
  <c r="B95" i="41"/>
  <c r="K94" i="41"/>
  <c r="C94" i="41"/>
  <c r="L93" i="41"/>
  <c r="D93" i="41"/>
  <c r="M92" i="41"/>
  <c r="E92" i="41"/>
  <c r="N91" i="41"/>
  <c r="F91" i="41"/>
  <c r="O90" i="41"/>
  <c r="G90" i="41"/>
  <c r="P89" i="41"/>
  <c r="H89" i="41"/>
  <c r="Q88" i="41"/>
  <c r="I88" i="41"/>
  <c r="A88" i="41"/>
  <c r="J87" i="41"/>
  <c r="B87" i="41"/>
  <c r="K86" i="41"/>
  <c r="C86" i="41"/>
  <c r="L85" i="41"/>
  <c r="D85" i="41"/>
  <c r="M84" i="41"/>
  <c r="E84" i="41"/>
  <c r="N83" i="41"/>
  <c r="F83" i="41"/>
  <c r="O82" i="41"/>
  <c r="G82" i="41"/>
  <c r="P81" i="41"/>
  <c r="H81" i="41"/>
  <c r="Q80" i="41"/>
  <c r="I80" i="41"/>
  <c r="A80" i="41"/>
  <c r="J79" i="41"/>
  <c r="B79" i="41"/>
  <c r="K78" i="41"/>
  <c r="C78" i="41"/>
  <c r="L77" i="41"/>
  <c r="D77" i="41"/>
  <c r="M76" i="41"/>
  <c r="E76" i="41"/>
  <c r="N75" i="41"/>
  <c r="F75" i="41"/>
  <c r="O74" i="41"/>
  <c r="G74" i="41"/>
  <c r="P73" i="41"/>
  <c r="H73" i="41"/>
  <c r="Q72" i="41"/>
  <c r="I72" i="41"/>
  <c r="A72" i="41"/>
  <c r="J71" i="41"/>
  <c r="B71" i="41"/>
  <c r="K70" i="41"/>
  <c r="C70" i="41"/>
  <c r="L69" i="41"/>
  <c r="D69" i="41"/>
  <c r="M68" i="41"/>
  <c r="E68" i="41"/>
  <c r="N67" i="41"/>
  <c r="F67" i="41"/>
  <c r="O66" i="41"/>
  <c r="G66" i="41"/>
  <c r="P65" i="41"/>
  <c r="H65" i="41"/>
  <c r="Q64" i="41"/>
  <c r="I64" i="41"/>
  <c r="A64" i="41"/>
  <c r="J63" i="41"/>
  <c r="B63" i="41"/>
  <c r="K62" i="41"/>
  <c r="C62" i="41"/>
  <c r="L61" i="41"/>
  <c r="D61" i="41"/>
  <c r="M60" i="41"/>
  <c r="E60" i="41"/>
  <c r="N59" i="41"/>
  <c r="F59" i="41"/>
  <c r="O58" i="41"/>
  <c r="G58" i="41"/>
  <c r="O198" i="41"/>
  <c r="I194" i="41"/>
  <c r="N189" i="41"/>
  <c r="L185" i="41"/>
  <c r="E181" i="41"/>
  <c r="G178" i="41"/>
  <c r="A176" i="41"/>
  <c r="L173" i="41"/>
  <c r="H171" i="41"/>
  <c r="E169" i="41"/>
  <c r="D167" i="41"/>
  <c r="D165" i="41"/>
  <c r="H163" i="41"/>
  <c r="H161" i="41"/>
  <c r="K159" i="41"/>
  <c r="B158" i="41"/>
  <c r="F156" i="41"/>
  <c r="L154" i="41"/>
  <c r="A153" i="41"/>
  <c r="G151" i="41"/>
  <c r="K149" i="41"/>
  <c r="B148" i="41"/>
  <c r="F146" i="41"/>
  <c r="J144" i="41"/>
  <c r="D143" i="41"/>
  <c r="P141" i="41"/>
  <c r="K140" i="41"/>
  <c r="H139" i="41"/>
  <c r="C138" i="41"/>
  <c r="O136" i="41"/>
  <c r="L135" i="41"/>
  <c r="G134" i="41"/>
  <c r="E133" i="41"/>
  <c r="F132" i="41"/>
  <c r="G131" i="41"/>
  <c r="H130" i="41"/>
  <c r="I129" i="41"/>
  <c r="J128" i="41"/>
  <c r="K127" i="41"/>
  <c r="L126" i="41"/>
  <c r="M125" i="41"/>
  <c r="N124" i="41"/>
  <c r="O123" i="41"/>
  <c r="D123" i="41"/>
  <c r="G122" i="41"/>
  <c r="J121" i="41"/>
  <c r="P120" i="41"/>
  <c r="B120" i="41"/>
  <c r="H119" i="41"/>
  <c r="K118" i="41"/>
  <c r="N117" i="41"/>
  <c r="C117" i="41"/>
  <c r="F116" i="41"/>
  <c r="L115" i="41"/>
  <c r="O114" i="41"/>
  <c r="A114" i="41"/>
  <c r="G113" i="41"/>
  <c r="J112" i="41"/>
  <c r="P111" i="41"/>
  <c r="D111" i="41"/>
  <c r="K110" i="41"/>
  <c r="A110" i="41"/>
  <c r="F109" i="41"/>
  <c r="M108" i="41"/>
  <c r="C108" i="41"/>
  <c r="K107" i="41"/>
  <c r="A107" i="41"/>
  <c r="I106" i="41"/>
  <c r="Q105" i="41"/>
  <c r="H105" i="41"/>
  <c r="P104" i="41"/>
  <c r="H104" i="41"/>
  <c r="Q103" i="41"/>
  <c r="I103" i="41"/>
  <c r="A103" i="41"/>
  <c r="J102" i="41"/>
  <c r="B102" i="41"/>
  <c r="K101" i="41"/>
  <c r="C101" i="41"/>
  <c r="L100" i="41"/>
  <c r="D100" i="41"/>
  <c r="M99" i="41"/>
  <c r="E99" i="41"/>
  <c r="N98" i="41"/>
  <c r="F98" i="41"/>
  <c r="O97" i="41"/>
  <c r="G97" i="41"/>
  <c r="P96" i="41"/>
  <c r="H96" i="41"/>
  <c r="Q95" i="41"/>
  <c r="I95" i="41"/>
  <c r="A95" i="41"/>
  <c r="J94" i="41"/>
  <c r="B94" i="41"/>
  <c r="K93" i="41"/>
  <c r="C93" i="41"/>
  <c r="L92" i="41"/>
  <c r="D92" i="41"/>
  <c r="M91" i="41"/>
  <c r="E91" i="41"/>
  <c r="N90" i="41"/>
  <c r="F90" i="41"/>
  <c r="O89" i="41"/>
  <c r="G89" i="41"/>
  <c r="P88" i="41"/>
  <c r="H88" i="41"/>
  <c r="Q87" i="41"/>
  <c r="I87" i="41"/>
  <c r="A87" i="41"/>
  <c r="J86" i="41"/>
  <c r="B86" i="41"/>
  <c r="K85" i="41"/>
  <c r="C85" i="41"/>
  <c r="L84" i="41"/>
  <c r="D84" i="41"/>
  <c r="M83" i="41"/>
  <c r="E83" i="41"/>
  <c r="N82" i="41"/>
  <c r="F82" i="41"/>
  <c r="O81" i="41"/>
  <c r="G81" i="41"/>
  <c r="P80" i="41"/>
  <c r="H80" i="41"/>
  <c r="Q79" i="41"/>
  <c r="I79" i="41"/>
  <c r="A79" i="41"/>
  <c r="J78" i="41"/>
  <c r="B78" i="41"/>
  <c r="K77" i="41"/>
  <c r="C77" i="41"/>
  <c r="L76" i="41"/>
  <c r="D76" i="41"/>
  <c r="M75" i="41"/>
  <c r="E75" i="41"/>
  <c r="N74" i="41"/>
  <c r="F74" i="41"/>
  <c r="O73" i="41"/>
  <c r="G73" i="41"/>
  <c r="P72" i="41"/>
  <c r="H72" i="41"/>
  <c r="Q71" i="41"/>
  <c r="I71" i="41"/>
  <c r="A71" i="41"/>
  <c r="J70" i="41"/>
  <c r="B70" i="41"/>
  <c r="K69" i="41"/>
  <c r="C69" i="41"/>
  <c r="L68" i="41"/>
  <c r="D68" i="41"/>
  <c r="M67" i="41"/>
  <c r="E67" i="41"/>
  <c r="N66" i="41"/>
  <c r="F66" i="41"/>
  <c r="O65" i="41"/>
  <c r="G65" i="41"/>
  <c r="P64" i="41"/>
  <c r="H64" i="41"/>
  <c r="Q63" i="41"/>
  <c r="I63" i="41"/>
  <c r="A63" i="41"/>
  <c r="J62" i="41"/>
  <c r="B62" i="41"/>
  <c r="K61" i="41"/>
  <c r="C61" i="41"/>
  <c r="L60" i="41"/>
  <c r="D60" i="41"/>
  <c r="M59" i="41"/>
  <c r="E59" i="41"/>
  <c r="N58" i="41"/>
  <c r="F58" i="41"/>
  <c r="G198" i="41"/>
  <c r="C194" i="41"/>
  <c r="M189" i="41"/>
  <c r="A185" i="41"/>
  <c r="A181" i="41"/>
  <c r="D178" i="41"/>
  <c r="L175" i="41"/>
  <c r="J173" i="41"/>
  <c r="F171" i="41"/>
  <c r="A169" i="41"/>
  <c r="B167" i="41"/>
  <c r="B165" i="41"/>
  <c r="B163" i="41"/>
  <c r="F161" i="41"/>
  <c r="J159" i="41"/>
  <c r="O157" i="41"/>
  <c r="E156" i="41"/>
  <c r="J154" i="41"/>
  <c r="O152" i="41"/>
  <c r="E151" i="41"/>
  <c r="J149" i="41"/>
  <c r="N147" i="41"/>
  <c r="E146" i="41"/>
  <c r="I144" i="41"/>
  <c r="A143" i="41"/>
  <c r="O141" i="41"/>
  <c r="J140" i="41"/>
  <c r="E139" i="41"/>
  <c r="B138" i="41"/>
  <c r="N136" i="41"/>
  <c r="I135" i="41"/>
  <c r="F134" i="41"/>
  <c r="D133" i="41"/>
  <c r="E132" i="41"/>
  <c r="F131" i="41"/>
  <c r="G130" i="41"/>
  <c r="H129" i="41"/>
  <c r="I128" i="41"/>
  <c r="J127" i="41"/>
  <c r="K126" i="41"/>
  <c r="L125" i="41"/>
  <c r="M124" i="41"/>
  <c r="N123" i="41"/>
  <c r="Q122" i="41"/>
  <c r="F122" i="41"/>
  <c r="I121" i="41"/>
  <c r="O120" i="41"/>
  <c r="A120" i="41"/>
  <c r="D119" i="41"/>
  <c r="J118" i="41"/>
  <c r="M117" i="41"/>
  <c r="B117" i="41"/>
  <c r="E116" i="41"/>
  <c r="H115" i="41"/>
  <c r="N114" i="41"/>
  <c r="Q113" i="41"/>
  <c r="F113" i="41"/>
  <c r="I112" i="41"/>
  <c r="O111" i="41"/>
  <c r="C111" i="41"/>
  <c r="J110" i="41"/>
  <c r="Q109" i="41"/>
  <c r="E109" i="41"/>
  <c r="L108" i="41"/>
  <c r="B108" i="41"/>
  <c r="I107" i="41"/>
  <c r="Q106" i="41"/>
  <c r="H106" i="41"/>
  <c r="P105" i="41"/>
  <c r="G105" i="41"/>
  <c r="O104" i="41"/>
  <c r="G104" i="41"/>
  <c r="P103" i="41"/>
  <c r="H103" i="41"/>
  <c r="Q102" i="41"/>
  <c r="I102" i="41"/>
  <c r="A102" i="41"/>
  <c r="J101" i="41"/>
  <c r="B101" i="41"/>
  <c r="K100" i="41"/>
  <c r="C100" i="41"/>
  <c r="L99" i="41"/>
  <c r="D99" i="41"/>
  <c r="M98" i="41"/>
  <c r="E98" i="41"/>
  <c r="N97" i="41"/>
  <c r="F97" i="41"/>
  <c r="O96" i="41"/>
  <c r="G96" i="41"/>
  <c r="P95" i="41"/>
  <c r="H95" i="41"/>
  <c r="Q94" i="41"/>
  <c r="I94" i="41"/>
  <c r="A94" i="41"/>
  <c r="J93" i="41"/>
  <c r="B93" i="41"/>
  <c r="K92" i="41"/>
  <c r="C92" i="41"/>
  <c r="L91" i="41"/>
  <c r="D91" i="41"/>
  <c r="M90" i="41"/>
  <c r="E90" i="41"/>
  <c r="N89" i="41"/>
  <c r="F89" i="41"/>
  <c r="O88" i="41"/>
  <c r="G88" i="41"/>
  <c r="P87" i="41"/>
  <c r="H87" i="41"/>
  <c r="Q86" i="41"/>
  <c r="I86" i="41"/>
  <c r="A86" i="41"/>
  <c r="J85" i="41"/>
  <c r="B85" i="41"/>
  <c r="K84" i="41"/>
  <c r="C84" i="41"/>
  <c r="L83" i="41"/>
  <c r="D83" i="41"/>
  <c r="M82" i="41"/>
  <c r="E82" i="41"/>
  <c r="N81" i="41"/>
  <c r="F81" i="41"/>
  <c r="O80" i="41"/>
  <c r="G80" i="41"/>
  <c r="P79" i="41"/>
  <c r="H79" i="41"/>
  <c r="Q78" i="41"/>
  <c r="I78" i="41"/>
  <c r="A78" i="41"/>
  <c r="J77" i="41"/>
  <c r="B77" i="41"/>
  <c r="K76" i="41"/>
  <c r="C76" i="41"/>
  <c r="L75" i="41"/>
  <c r="D75" i="41"/>
  <c r="M74" i="41"/>
  <c r="E74" i="41"/>
  <c r="N73" i="41"/>
  <c r="F73" i="41"/>
  <c r="O72" i="41"/>
  <c r="G72" i="41"/>
  <c r="P71" i="41"/>
  <c r="H71" i="41"/>
  <c r="Q70" i="41"/>
  <c r="I70" i="41"/>
  <c r="A70" i="41"/>
  <c r="J69" i="41"/>
  <c r="B69" i="41"/>
  <c r="K68" i="41"/>
  <c r="C68" i="41"/>
  <c r="L67" i="41"/>
  <c r="D67" i="41"/>
  <c r="M66" i="41"/>
  <c r="E66" i="41"/>
  <c r="N65" i="41"/>
  <c r="F65" i="41"/>
  <c r="O64" i="41"/>
  <c r="G64" i="41"/>
  <c r="P63" i="41"/>
  <c r="H63" i="41"/>
  <c r="Q62" i="41"/>
  <c r="I62" i="41"/>
  <c r="A62" i="41"/>
  <c r="J61" i="41"/>
  <c r="B61" i="41"/>
  <c r="K60" i="41"/>
  <c r="C60" i="41"/>
  <c r="L59" i="41"/>
  <c r="D59" i="41"/>
  <c r="M58" i="41"/>
  <c r="E58" i="41"/>
  <c r="E198" i="41"/>
  <c r="Q193" i="41"/>
  <c r="H189" i="41"/>
  <c r="M184" i="41"/>
  <c r="Q180" i="41"/>
  <c r="C178" i="41"/>
  <c r="J175" i="41"/>
  <c r="I173" i="41"/>
  <c r="C171" i="41"/>
  <c r="Q168" i="41"/>
  <c r="P166" i="41"/>
  <c r="A165" i="41"/>
  <c r="A163" i="41"/>
  <c r="E161" i="41"/>
  <c r="I159" i="41"/>
  <c r="M157" i="41"/>
  <c r="D156" i="41"/>
  <c r="H154" i="41"/>
  <c r="N152" i="41"/>
  <c r="C151" i="41"/>
  <c r="I149" i="41"/>
  <c r="M147" i="41"/>
  <c r="D146" i="41"/>
  <c r="H144" i="41"/>
  <c r="Q142" i="41"/>
  <c r="N141" i="41"/>
  <c r="I140" i="41"/>
  <c r="D139" i="41"/>
  <c r="A138" i="41"/>
  <c r="M136" i="41"/>
  <c r="H135" i="41"/>
  <c r="E134" i="41"/>
  <c r="C133" i="41"/>
  <c r="D132" i="41"/>
  <c r="E131" i="41"/>
  <c r="F130" i="41"/>
  <c r="G129" i="41"/>
  <c r="H128" i="41"/>
  <c r="I127" i="41"/>
  <c r="J126" i="41"/>
  <c r="K125" i="41"/>
  <c r="L124" i="41"/>
  <c r="M123" i="41"/>
  <c r="P122" i="41"/>
  <c r="E122" i="41"/>
  <c r="H121" i="41"/>
  <c r="K120" i="41"/>
  <c r="Q119" i="41"/>
  <c r="C119" i="41"/>
  <c r="I118" i="41"/>
  <c r="L117" i="41"/>
  <c r="O116" i="41"/>
  <c r="D116" i="41"/>
  <c r="G115" i="41"/>
  <c r="M114" i="41"/>
  <c r="P113" i="41"/>
  <c r="B113" i="41"/>
  <c r="H112" i="41"/>
  <c r="L111" i="41"/>
  <c r="B111" i="41"/>
  <c r="I110" i="41"/>
  <c r="N109" i="41"/>
  <c r="D109" i="41"/>
  <c r="K108" i="41"/>
  <c r="Q107" i="41"/>
  <c r="H107" i="41"/>
  <c r="P106" i="41"/>
  <c r="G106" i="41"/>
  <c r="O105" i="41"/>
  <c r="F105" i="41"/>
  <c r="N104" i="41"/>
  <c r="F104" i="41"/>
  <c r="O103" i="41"/>
  <c r="G103" i="41"/>
  <c r="P102" i="41"/>
  <c r="H102" i="41"/>
  <c r="Q101" i="41"/>
  <c r="I101" i="41"/>
  <c r="A101" i="41"/>
  <c r="J100" i="41"/>
  <c r="B100" i="41"/>
  <c r="K99" i="41"/>
  <c r="C99" i="41"/>
  <c r="L98" i="41"/>
  <c r="D98" i="41"/>
  <c r="M97" i="41"/>
  <c r="E97" i="41"/>
  <c r="N96" i="41"/>
  <c r="F96" i="41"/>
  <c r="O95" i="41"/>
  <c r="G95" i="41"/>
  <c r="P94" i="41"/>
  <c r="H94" i="41"/>
  <c r="Q93" i="41"/>
  <c r="I93" i="41"/>
  <c r="A93" i="41"/>
  <c r="J92" i="41"/>
  <c r="B92" i="41"/>
  <c r="K91" i="41"/>
  <c r="C91" i="41"/>
  <c r="L90" i="41"/>
  <c r="D90" i="41"/>
  <c r="M89" i="41"/>
  <c r="E89" i="41"/>
  <c r="N88" i="41"/>
  <c r="F88" i="41"/>
  <c r="O87" i="41"/>
  <c r="G87" i="41"/>
  <c r="P86" i="41"/>
  <c r="H86" i="41"/>
  <c r="Q85" i="41"/>
  <c r="I85" i="41"/>
  <c r="A85" i="41"/>
  <c r="J84" i="41"/>
  <c r="B84" i="41"/>
  <c r="K83" i="41"/>
  <c r="C83" i="41"/>
  <c r="L82" i="41"/>
  <c r="D82" i="41"/>
  <c r="M81" i="41"/>
  <c r="E81" i="41"/>
  <c r="N80" i="41"/>
  <c r="F80" i="41"/>
  <c r="O79" i="41"/>
  <c r="G79" i="41"/>
  <c r="P78" i="41"/>
  <c r="H78" i="41"/>
  <c r="Q77" i="41"/>
  <c r="I77" i="41"/>
  <c r="A77" i="41"/>
  <c r="J76" i="41"/>
  <c r="B76" i="41"/>
  <c r="K75" i="41"/>
  <c r="C75" i="41"/>
  <c r="L74" i="41"/>
  <c r="D74" i="41"/>
  <c r="M73" i="41"/>
  <c r="E73" i="41"/>
  <c r="N72" i="41"/>
  <c r="F72" i="41"/>
  <c r="O71" i="41"/>
  <c r="G71" i="41"/>
  <c r="P70" i="41"/>
  <c r="H70" i="41"/>
  <c r="Q69" i="41"/>
  <c r="I69" i="41"/>
  <c r="A69" i="41"/>
  <c r="J68" i="41"/>
  <c r="B68" i="41"/>
  <c r="K67" i="41"/>
  <c r="C67" i="41"/>
  <c r="L66" i="41"/>
  <c r="D66" i="41"/>
  <c r="M65" i="41"/>
  <c r="E65" i="41"/>
  <c r="N64" i="41"/>
  <c r="F64" i="41"/>
  <c r="O63" i="41"/>
  <c r="G63" i="41"/>
  <c r="P62" i="41"/>
  <c r="H62" i="41"/>
  <c r="Q61" i="41"/>
  <c r="I61" i="41"/>
  <c r="A61" i="41"/>
  <c r="J60" i="41"/>
  <c r="B60" i="41"/>
  <c r="K59" i="41"/>
  <c r="C59" i="41"/>
  <c r="L58" i="41"/>
  <c r="D58" i="41"/>
  <c r="E4" i="41"/>
  <c r="N5" i="41"/>
  <c r="N6" i="41"/>
  <c r="E8" i="41"/>
  <c r="L9" i="41"/>
  <c r="J11" i="41"/>
  <c r="Q12" i="41"/>
  <c r="G14" i="41"/>
  <c r="N15" i="41"/>
  <c r="D17" i="41"/>
  <c r="K18" i="41"/>
  <c r="I20" i="41"/>
  <c r="P21" i="41"/>
  <c r="G22" i="41"/>
  <c r="N23" i="41"/>
  <c r="D25" i="41"/>
  <c r="K26" i="41"/>
  <c r="I28" i="41"/>
  <c r="P29" i="41"/>
  <c r="F31" i="41"/>
  <c r="D33" i="41"/>
  <c r="K34" i="41"/>
  <c r="A36" i="41"/>
  <c r="H37" i="41"/>
  <c r="O38" i="41"/>
  <c r="E40" i="41"/>
  <c r="L41" i="41"/>
  <c r="K42" i="41"/>
  <c r="A44" i="41"/>
  <c r="P45" i="41"/>
  <c r="F47" i="41"/>
  <c r="M48" i="41"/>
  <c r="C50" i="41"/>
  <c r="J51" i="41"/>
  <c r="P53" i="41"/>
  <c r="O54" i="41"/>
  <c r="M56" i="41"/>
  <c r="L57" i="41"/>
  <c r="A60" i="41"/>
  <c r="P61" i="41"/>
  <c r="M64" i="41"/>
  <c r="K66" i="41"/>
  <c r="I68" i="41"/>
  <c r="F71" i="41"/>
  <c r="D73" i="41"/>
  <c r="C74" i="41"/>
  <c r="A76" i="41"/>
  <c r="P77" i="41"/>
  <c r="N79" i="41"/>
  <c r="K82" i="41"/>
  <c r="I84" i="41"/>
  <c r="G86" i="41"/>
  <c r="E88" i="41"/>
  <c r="C90" i="41"/>
  <c r="A92" i="41"/>
  <c r="P93" i="41"/>
  <c r="N95" i="41"/>
  <c r="L97" i="41"/>
  <c r="J99" i="41"/>
  <c r="G102" i="41"/>
  <c r="E104" i="41"/>
  <c r="F106" i="41"/>
  <c r="J108" i="41"/>
  <c r="A111" i="41"/>
  <c r="O113" i="41"/>
  <c r="N116" i="41"/>
  <c r="P119" i="41"/>
  <c r="O122" i="41"/>
  <c r="E126" i="41"/>
  <c r="A130" i="41"/>
  <c r="O133" i="41"/>
  <c r="G141" i="41"/>
  <c r="P143" i="41"/>
  <c r="P153" i="41"/>
  <c r="D157" i="41"/>
  <c r="G164" i="41"/>
  <c r="J192" i="41"/>
  <c r="A3" i="41"/>
  <c r="N3" i="41"/>
  <c r="F4" i="41"/>
  <c r="O4" i="41"/>
  <c r="F5" i="41"/>
  <c r="O5" i="41"/>
  <c r="F6" i="41"/>
  <c r="O6" i="41"/>
  <c r="F7" i="41"/>
  <c r="O7" i="41"/>
  <c r="F8" i="41"/>
  <c r="N8" i="41"/>
  <c r="E9" i="41"/>
  <c r="M9" i="41"/>
  <c r="D10" i="41"/>
  <c r="L10" i="41"/>
  <c r="C11" i="41"/>
  <c r="K11" i="41"/>
  <c r="B12" i="41"/>
  <c r="J12" i="41"/>
  <c r="A13" i="41"/>
  <c r="I13" i="41"/>
  <c r="Q13" i="41"/>
  <c r="H14" i="41"/>
  <c r="P14" i="41"/>
  <c r="G15" i="41"/>
  <c r="O15" i="41"/>
  <c r="F16" i="41"/>
  <c r="N16" i="41"/>
  <c r="E17" i="41"/>
  <c r="M17" i="41"/>
  <c r="D18" i="41"/>
  <c r="L18" i="41"/>
  <c r="C19" i="41"/>
  <c r="K19" i="41"/>
  <c r="B20" i="41"/>
  <c r="J20" i="41"/>
  <c r="A21" i="41"/>
  <c r="I21" i="41"/>
  <c r="Q21" i="41"/>
  <c r="H22" i="41"/>
  <c r="P22" i="41"/>
  <c r="G23" i="41"/>
  <c r="O23" i="41"/>
  <c r="F24" i="41"/>
  <c r="N24" i="41"/>
  <c r="E25" i="41"/>
  <c r="M25" i="41"/>
  <c r="D26" i="41"/>
  <c r="L26" i="41"/>
  <c r="C27" i="41"/>
  <c r="K27" i="41"/>
  <c r="B28" i="41"/>
  <c r="J28" i="41"/>
  <c r="A29" i="41"/>
  <c r="I29" i="41"/>
  <c r="Q29" i="41"/>
  <c r="H30" i="41"/>
  <c r="P30" i="41"/>
  <c r="G31" i="41"/>
  <c r="O31" i="41"/>
  <c r="F32" i="41"/>
  <c r="N32" i="41"/>
  <c r="E33" i="41"/>
  <c r="M33" i="41"/>
  <c r="D34" i="41"/>
  <c r="L34" i="41"/>
  <c r="C35" i="41"/>
  <c r="K35" i="41"/>
  <c r="B36" i="41"/>
  <c r="J36" i="41"/>
  <c r="A37" i="41"/>
  <c r="I37" i="41"/>
  <c r="Q37" i="41"/>
  <c r="H38" i="41"/>
  <c r="P38" i="41"/>
  <c r="G39" i="41"/>
  <c r="O39" i="41"/>
  <c r="F40" i="41"/>
  <c r="N40" i="41"/>
  <c r="E41" i="41"/>
  <c r="M41" i="41"/>
  <c r="D42" i="41"/>
  <c r="L42" i="41"/>
  <c r="C43" i="41"/>
  <c r="K43" i="41"/>
  <c r="B44" i="41"/>
  <c r="J44" i="41"/>
  <c r="A45" i="41"/>
  <c r="I45" i="41"/>
  <c r="Q45" i="41"/>
  <c r="H46" i="41"/>
  <c r="P46" i="41"/>
  <c r="G47" i="41"/>
  <c r="O47" i="41"/>
  <c r="F48" i="41"/>
  <c r="N48" i="41"/>
  <c r="E49" i="41"/>
  <c r="M49" i="41"/>
  <c r="D50" i="41"/>
  <c r="L50" i="41"/>
  <c r="C51" i="41"/>
  <c r="K51" i="41"/>
  <c r="B52" i="41"/>
  <c r="J52" i="41"/>
  <c r="A53" i="41"/>
  <c r="I53" i="41"/>
  <c r="Q53" i="41"/>
  <c r="H54" i="41"/>
  <c r="P54" i="41"/>
  <c r="G55" i="41"/>
  <c r="O55" i="41"/>
  <c r="F56" i="41"/>
  <c r="N56" i="41"/>
  <c r="E57" i="41"/>
  <c r="M57" i="41"/>
  <c r="H58" i="41"/>
  <c r="G59" i="41"/>
  <c r="F60" i="41"/>
  <c r="E61" i="41"/>
  <c r="D62" i="41"/>
  <c r="C63" i="41"/>
  <c r="B64" i="41"/>
  <c r="A65" i="41"/>
  <c r="Q65" i="41"/>
  <c r="P66" i="41"/>
  <c r="O67" i="41"/>
  <c r="N68" i="41"/>
  <c r="M69" i="41"/>
  <c r="L70" i="41"/>
  <c r="K71" i="41"/>
  <c r="J72" i="41"/>
  <c r="I73" i="41"/>
  <c r="H74" i="41"/>
  <c r="G75" i="41"/>
  <c r="F76" i="41"/>
  <c r="E77" i="41"/>
  <c r="D78" i="41"/>
  <c r="C79" i="41"/>
  <c r="B80" i="41"/>
  <c r="A81" i="41"/>
  <c r="Q81" i="41"/>
  <c r="P82" i="41"/>
  <c r="O83" i="41"/>
  <c r="N84" i="41"/>
  <c r="M85" i="41"/>
  <c r="L86" i="41"/>
  <c r="K87" i="41"/>
  <c r="J88" i="41"/>
  <c r="I89" i="41"/>
  <c r="H90" i="41"/>
  <c r="G91" i="41"/>
  <c r="F92" i="41"/>
  <c r="E93" i="41"/>
  <c r="D94" i="41"/>
  <c r="C95" i="41"/>
  <c r="B96" i="41"/>
  <c r="A97" i="41"/>
  <c r="Q97" i="41"/>
  <c r="P98" i="41"/>
  <c r="O99" i="41"/>
  <c r="N100" i="41"/>
  <c r="M101" i="41"/>
  <c r="L102" i="41"/>
  <c r="K103" i="41"/>
  <c r="J104" i="41"/>
  <c r="J105" i="41"/>
  <c r="L106" i="41"/>
  <c r="M107" i="41"/>
  <c r="O108" i="41"/>
  <c r="C110" i="41"/>
  <c r="H111" i="41"/>
  <c r="O112" i="41"/>
  <c r="F114" i="41"/>
  <c r="N115" i="41"/>
  <c r="E117" i="41"/>
  <c r="M118" i="41"/>
  <c r="G120" i="41"/>
  <c r="O121" i="41"/>
  <c r="F123" i="41"/>
  <c r="C125" i="41"/>
  <c r="A127" i="41"/>
  <c r="P128" i="41"/>
  <c r="N130" i="41"/>
  <c r="L132" i="41"/>
  <c r="O134" i="41"/>
  <c r="F137" i="41"/>
  <c r="P139" i="41"/>
  <c r="G142" i="41"/>
  <c r="E145" i="41"/>
  <c r="L148" i="41"/>
  <c r="Q151" i="41"/>
  <c r="E155" i="41"/>
  <c r="L158" i="41"/>
  <c r="B162" i="41"/>
  <c r="O165" i="41"/>
  <c r="D170" i="41"/>
  <c r="K174" i="41"/>
  <c r="H179" i="41"/>
  <c r="G187" i="41"/>
  <c r="A196" i="41"/>
  <c r="N4" i="41"/>
  <c r="E6" i="41"/>
  <c r="N7" i="41"/>
  <c r="M8" i="41"/>
  <c r="C10" i="41"/>
  <c r="B11" i="41"/>
  <c r="I12" i="41"/>
  <c r="P13" i="41"/>
  <c r="F15" i="41"/>
  <c r="E16" i="41"/>
  <c r="L17" i="41"/>
  <c r="J19" i="41"/>
  <c r="Q20" i="41"/>
  <c r="O22" i="41"/>
  <c r="E24" i="41"/>
  <c r="L25" i="41"/>
  <c r="J27" i="41"/>
  <c r="Q28" i="41"/>
  <c r="G30" i="41"/>
  <c r="N31" i="41"/>
  <c r="L33" i="41"/>
  <c r="B35" i="41"/>
  <c r="I36" i="41"/>
  <c r="P37" i="41"/>
  <c r="F39" i="41"/>
  <c r="M40" i="41"/>
  <c r="C42" i="41"/>
  <c r="J43" i="41"/>
  <c r="I44" i="41"/>
  <c r="H45" i="41"/>
  <c r="O46" i="41"/>
  <c r="N47" i="41"/>
  <c r="D49" i="41"/>
  <c r="K50" i="41"/>
  <c r="I52" i="41"/>
  <c r="H53" i="41"/>
  <c r="F55" i="41"/>
  <c r="E56" i="41"/>
  <c r="D57" i="41"/>
  <c r="B59" i="41"/>
  <c r="Q60" i="41"/>
  <c r="N63" i="41"/>
  <c r="L65" i="41"/>
  <c r="J67" i="41"/>
  <c r="G70" i="41"/>
  <c r="E72" i="41"/>
  <c r="B75" i="41"/>
  <c r="Q76" i="41"/>
  <c r="O78" i="41"/>
  <c r="L81" i="41"/>
  <c r="J83" i="41"/>
  <c r="H85" i="41"/>
  <c r="F87" i="41"/>
  <c r="D89" i="41"/>
  <c r="B91" i="41"/>
  <c r="Q92" i="41"/>
  <c r="O94" i="41"/>
  <c r="M96" i="41"/>
  <c r="K98" i="41"/>
  <c r="H101" i="41"/>
  <c r="F103" i="41"/>
  <c r="E105" i="41"/>
  <c r="G107" i="41"/>
  <c r="M109" i="41"/>
  <c r="G112" i="41"/>
  <c r="F115" i="41"/>
  <c r="E118" i="41"/>
  <c r="G121" i="41"/>
  <c r="G124" i="41"/>
  <c r="C128" i="41"/>
  <c r="P131" i="41"/>
  <c r="F136" i="41"/>
  <c r="N138" i="41"/>
  <c r="D147" i="41"/>
  <c r="K150" i="41"/>
  <c r="L160" i="41"/>
  <c r="C168" i="41"/>
  <c r="F183" i="41"/>
  <c r="C3" i="41"/>
  <c r="O3" i="41"/>
  <c r="G4" i="41"/>
  <c r="P4" i="41"/>
  <c r="G5" i="41"/>
  <c r="P5" i="41"/>
  <c r="G6" i="41"/>
  <c r="P6" i="41"/>
  <c r="G7" i="41"/>
  <c r="P7" i="41"/>
  <c r="G8" i="41"/>
  <c r="O8" i="41"/>
  <c r="F9" i="41"/>
  <c r="N9" i="41"/>
  <c r="E10" i="41"/>
  <c r="M10" i="41"/>
  <c r="D11" i="41"/>
  <c r="L11" i="41"/>
  <c r="C12" i="41"/>
  <c r="K12" i="41"/>
  <c r="B13" i="41"/>
  <c r="J13" i="41"/>
  <c r="A14" i="41"/>
  <c r="I14" i="41"/>
  <c r="Q14" i="41"/>
  <c r="H15" i="41"/>
  <c r="P15" i="41"/>
  <c r="G16" i="41"/>
  <c r="O16" i="41"/>
  <c r="F17" i="41"/>
  <c r="N17" i="41"/>
  <c r="E18" i="41"/>
  <c r="M18" i="41"/>
  <c r="D19" i="41"/>
  <c r="L19" i="41"/>
  <c r="C20" i="41"/>
  <c r="K20" i="41"/>
  <c r="B21" i="41"/>
  <c r="J21" i="41"/>
  <c r="A22" i="41"/>
  <c r="I22" i="41"/>
  <c r="Q22" i="41"/>
  <c r="H23" i="41"/>
  <c r="P23" i="41"/>
  <c r="G24" i="41"/>
  <c r="O24" i="41"/>
  <c r="F25" i="41"/>
  <c r="N25" i="41"/>
  <c r="E26" i="41"/>
  <c r="M26" i="41"/>
  <c r="D27" i="41"/>
  <c r="L27" i="41"/>
  <c r="C28" i="41"/>
  <c r="K28" i="41"/>
  <c r="B29" i="41"/>
  <c r="J29" i="41"/>
  <c r="A30" i="41"/>
  <c r="I30" i="41"/>
  <c r="Q30" i="41"/>
  <c r="H31" i="41"/>
  <c r="P31" i="41"/>
  <c r="G32" i="41"/>
  <c r="O32" i="41"/>
  <c r="F33" i="41"/>
  <c r="N33" i="41"/>
  <c r="E34" i="41"/>
  <c r="M34" i="41"/>
  <c r="D35" i="41"/>
  <c r="L35" i="41"/>
  <c r="C36" i="41"/>
  <c r="K36" i="41"/>
  <c r="B37" i="41"/>
  <c r="J37" i="41"/>
  <c r="A38" i="41"/>
  <c r="I38" i="41"/>
  <c r="Q38" i="41"/>
  <c r="H39" i="41"/>
  <c r="P39" i="41"/>
  <c r="G40" i="41"/>
  <c r="O40" i="41"/>
  <c r="F41" i="41"/>
  <c r="N41" i="41"/>
  <c r="E42" i="41"/>
  <c r="M42" i="41"/>
  <c r="D43" i="41"/>
  <c r="L43" i="41"/>
  <c r="C44" i="41"/>
  <c r="K44" i="41"/>
  <c r="B45" i="41"/>
  <c r="J45" i="41"/>
  <c r="A46" i="41"/>
  <c r="I46" i="41"/>
  <c r="Q46" i="41"/>
  <c r="H47" i="41"/>
  <c r="P47" i="41"/>
  <c r="G48" i="41"/>
  <c r="O48" i="41"/>
  <c r="F49" i="41"/>
  <c r="N49" i="41"/>
  <c r="E50" i="41"/>
  <c r="M50" i="41"/>
  <c r="D51" i="41"/>
  <c r="L51" i="41"/>
  <c r="C52" i="41"/>
  <c r="K52" i="41"/>
  <c r="B53" i="41"/>
  <c r="J53" i="41"/>
  <c r="A54" i="41"/>
  <c r="I54" i="41"/>
  <c r="Q54" i="41"/>
  <c r="H55" i="41"/>
  <c r="P55" i="41"/>
  <c r="G56" i="41"/>
  <c r="O56" i="41"/>
  <c r="F57" i="41"/>
  <c r="N57" i="41"/>
  <c r="I58" i="41"/>
  <c r="H59" i="41"/>
  <c r="G60" i="41"/>
  <c r="F61" i="41"/>
  <c r="E62" i="41"/>
  <c r="D63" i="41"/>
  <c r="C64" i="41"/>
  <c r="B65" i="41"/>
  <c r="A66" i="41"/>
  <c r="Q66" i="41"/>
  <c r="P67" i="41"/>
  <c r="O68" i="41"/>
  <c r="N69" i="41"/>
  <c r="M70" i="41"/>
  <c r="L71" i="41"/>
  <c r="K72" i="41"/>
  <c r="J73" i="41"/>
  <c r="I74" i="41"/>
  <c r="H75" i="41"/>
  <c r="G76" i="41"/>
  <c r="F77" i="41"/>
  <c r="E78" i="41"/>
  <c r="D79" i="41"/>
  <c r="C80" i="41"/>
  <c r="B81" i="41"/>
  <c r="A82" i="41"/>
  <c r="Q82" i="41"/>
  <c r="P83" i="41"/>
  <c r="O84" i="41"/>
  <c r="N85" i="41"/>
  <c r="M86" i="41"/>
  <c r="L87" i="41"/>
  <c r="K88" i="41"/>
  <c r="J89" i="41"/>
  <c r="I90" i="41"/>
  <c r="H91" i="41"/>
  <c r="G92" i="41"/>
  <c r="F93" i="41"/>
  <c r="E94" i="41"/>
  <c r="D95" i="41"/>
  <c r="C96" i="41"/>
  <c r="B97" i="41"/>
  <c r="A98" i="41"/>
  <c r="Q98" i="41"/>
  <c r="P99" i="41"/>
  <c r="O100" i="41"/>
  <c r="N101" i="41"/>
  <c r="M102" i="41"/>
  <c r="L103" i="41"/>
  <c r="K104" i="41"/>
  <c r="K105" i="41"/>
  <c r="M106" i="41"/>
  <c r="N107" i="41"/>
  <c r="A109" i="41"/>
  <c r="D110" i="41"/>
  <c r="I111" i="41"/>
  <c r="P112" i="41"/>
  <c r="G114" i="41"/>
  <c r="O115" i="41"/>
  <c r="F117" i="41"/>
  <c r="Q118" i="41"/>
  <c r="H120" i="41"/>
  <c r="P121" i="41"/>
  <c r="G123" i="41"/>
  <c r="D125" i="41"/>
  <c r="B127" i="41"/>
  <c r="Q128" i="41"/>
  <c r="O130" i="41"/>
  <c r="M132" i="41"/>
  <c r="P134" i="41"/>
  <c r="G137" i="41"/>
  <c r="Q139" i="41"/>
  <c r="H142" i="41"/>
  <c r="F145" i="41"/>
  <c r="M148" i="41"/>
  <c r="A152" i="41"/>
  <c r="F155" i="41"/>
  <c r="N158" i="41"/>
  <c r="D162" i="41"/>
  <c r="Q165" i="41"/>
  <c r="E170" i="41"/>
  <c r="L174" i="41"/>
  <c r="J179" i="41"/>
  <c r="H187" i="41"/>
  <c r="F196" i="41"/>
  <c r="M3" i="41"/>
  <c r="E5" i="41"/>
  <c r="E7" i="41"/>
  <c r="D9" i="41"/>
  <c r="K10" i="41"/>
  <c r="A12" i="41"/>
  <c r="H13" i="41"/>
  <c r="O14" i="41"/>
  <c r="M16" i="41"/>
  <c r="B19" i="41"/>
  <c r="A20" i="41"/>
  <c r="H21" i="41"/>
  <c r="F23" i="41"/>
  <c r="M24" i="41"/>
  <c r="C26" i="41"/>
  <c r="B27" i="41"/>
  <c r="A28" i="41"/>
  <c r="H29" i="41"/>
  <c r="O30" i="41"/>
  <c r="E32" i="41"/>
  <c r="M32" i="41"/>
  <c r="C34" i="41"/>
  <c r="J35" i="41"/>
  <c r="Q36" i="41"/>
  <c r="G38" i="41"/>
  <c r="N39" i="41"/>
  <c r="D41" i="41"/>
  <c r="B43" i="41"/>
  <c r="Q44" i="41"/>
  <c r="G46" i="41"/>
  <c r="E48" i="41"/>
  <c r="L49" i="41"/>
  <c r="B51" i="41"/>
  <c r="A52" i="41"/>
  <c r="Q52" i="41"/>
  <c r="G54" i="41"/>
  <c r="N55" i="41"/>
  <c r="C58" i="41"/>
  <c r="O62" i="41"/>
  <c r="H69" i="41"/>
  <c r="M80" i="41"/>
  <c r="I100" i="41"/>
  <c r="E177" i="41"/>
  <c r="D3" i="41"/>
  <c r="P3" i="41"/>
  <c r="H4" i="41"/>
  <c r="Q4" i="41"/>
  <c r="H5" i="41"/>
  <c r="Q5" i="41"/>
  <c r="H6" i="41"/>
  <c r="Q6" i="41"/>
  <c r="H7" i="41"/>
  <c r="Q7" i="41"/>
  <c r="H8" i="41"/>
  <c r="P8" i="41"/>
  <c r="G9" i="41"/>
  <c r="O9" i="41"/>
  <c r="F10" i="41"/>
  <c r="N10" i="41"/>
  <c r="E11" i="41"/>
  <c r="M11" i="41"/>
  <c r="D12" i="41"/>
  <c r="L12" i="41"/>
  <c r="C13" i="41"/>
  <c r="K13" i="41"/>
  <c r="B14" i="41"/>
  <c r="J14" i="41"/>
  <c r="A15" i="41"/>
  <c r="I15" i="41"/>
  <c r="Q15" i="41"/>
  <c r="H16" i="41"/>
  <c r="P16" i="41"/>
  <c r="G17" i="41"/>
  <c r="O17" i="41"/>
  <c r="F18" i="41"/>
  <c r="N18" i="41"/>
  <c r="E19" i="41"/>
  <c r="M19" i="41"/>
  <c r="D20" i="41"/>
  <c r="L20" i="41"/>
  <c r="C21" i="41"/>
  <c r="K21" i="41"/>
  <c r="B22" i="41"/>
  <c r="J22" i="41"/>
  <c r="A23" i="41"/>
  <c r="I23" i="41"/>
  <c r="Q23" i="41"/>
  <c r="H24" i="41"/>
  <c r="P24" i="41"/>
  <c r="G25" i="41"/>
  <c r="O25" i="41"/>
  <c r="F26" i="41"/>
  <c r="N26" i="41"/>
  <c r="E27" i="41"/>
  <c r="M27" i="41"/>
  <c r="D28" i="41"/>
  <c r="L28" i="41"/>
  <c r="C29" i="41"/>
  <c r="K29" i="41"/>
  <c r="B30" i="41"/>
  <c r="J30" i="41"/>
  <c r="A31" i="41"/>
  <c r="I31" i="41"/>
  <c r="Q31" i="41"/>
  <c r="H32" i="41"/>
  <c r="P32" i="41"/>
  <c r="G33" i="41"/>
  <c r="O33" i="41"/>
  <c r="F34" i="41"/>
  <c r="N34" i="41"/>
  <c r="E35" i="41"/>
  <c r="M35" i="41"/>
  <c r="D36" i="41"/>
  <c r="L36" i="41"/>
  <c r="C37" i="41"/>
  <c r="K37" i="41"/>
  <c r="B38" i="41"/>
  <c r="J38" i="41"/>
  <c r="A39" i="41"/>
  <c r="I39" i="41"/>
  <c r="Q39" i="41"/>
  <c r="H40" i="41"/>
  <c r="P40" i="41"/>
  <c r="G41" i="41"/>
  <c r="O41" i="41"/>
  <c r="F42" i="41"/>
  <c r="N42" i="41"/>
  <c r="E43" i="41"/>
  <c r="M43" i="41"/>
  <c r="D44" i="41"/>
  <c r="L44" i="41"/>
  <c r="C45" i="41"/>
  <c r="K45" i="41"/>
  <c r="B46" i="41"/>
  <c r="J46" i="41"/>
  <c r="A47" i="41"/>
  <c r="I47" i="41"/>
  <c r="Q47" i="41"/>
  <c r="H48" i="41"/>
  <c r="P48" i="41"/>
  <c r="G49" i="41"/>
  <c r="O49" i="41"/>
  <c r="F50" i="41"/>
  <c r="N50" i="41"/>
  <c r="E51" i="41"/>
  <c r="M51" i="41"/>
  <c r="D52" i="41"/>
  <c r="L52" i="41"/>
  <c r="C53" i="41"/>
  <c r="K53" i="41"/>
  <c r="B54" i="41"/>
  <c r="J54" i="41"/>
  <c r="A55" i="41"/>
  <c r="I55" i="41"/>
  <c r="Q55" i="41"/>
  <c r="H56" i="41"/>
  <c r="P56" i="41"/>
  <c r="G57" i="41"/>
  <c r="O57" i="41"/>
  <c r="J58" i="41"/>
  <c r="I59" i="41"/>
  <c r="H60" i="41"/>
  <c r="G61" i="41"/>
  <c r="F62" i="41"/>
  <c r="E63" i="41"/>
  <c r="D64" i="41"/>
  <c r="C65" i="41"/>
  <c r="B66" i="41"/>
  <c r="A67" i="41"/>
  <c r="Q67" i="41"/>
  <c r="P68" i="41"/>
  <c r="O69" i="41"/>
  <c r="N70" i="41"/>
  <c r="M71" i="41"/>
  <c r="L72" i="41"/>
  <c r="K73" i="41"/>
  <c r="J74" i="41"/>
  <c r="I75" i="41"/>
  <c r="H76" i="41"/>
  <c r="G77" i="41"/>
  <c r="F78" i="41"/>
  <c r="E79" i="41"/>
  <c r="D80" i="41"/>
  <c r="C81" i="41"/>
  <c r="B82" i="41"/>
  <c r="A83" i="41"/>
  <c r="Q83" i="41"/>
  <c r="P84" i="41"/>
  <c r="O85" i="41"/>
  <c r="N86" i="41"/>
  <c r="M87" i="41"/>
  <c r="L88" i="41"/>
  <c r="K89" i="41"/>
  <c r="J90" i="41"/>
  <c r="I91" i="41"/>
  <c r="H92" i="41"/>
  <c r="G93" i="41"/>
  <c r="F94" i="41"/>
  <c r="E95" i="41"/>
  <c r="D96" i="41"/>
  <c r="C97" i="41"/>
  <c r="B98" i="41"/>
  <c r="A99" i="41"/>
  <c r="Q99" i="41"/>
  <c r="P100" i="41"/>
  <c r="O101" i="41"/>
  <c r="N102" i="41"/>
  <c r="M103" i="41"/>
  <c r="L104" i="41"/>
  <c r="M105" i="41"/>
  <c r="N106" i="41"/>
  <c r="O107" i="41"/>
  <c r="B109" i="41"/>
  <c r="E110" i="41"/>
  <c r="J111" i="41"/>
  <c r="Q112" i="41"/>
  <c r="H114" i="41"/>
  <c r="P115" i="41"/>
  <c r="J117" i="41"/>
  <c r="A119" i="41"/>
  <c r="I120" i="41"/>
  <c r="Q121" i="41"/>
  <c r="H123" i="41"/>
  <c r="E125" i="41"/>
  <c r="C127" i="41"/>
  <c r="A129" i="41"/>
  <c r="P130" i="41"/>
  <c r="N132" i="41"/>
  <c r="Q134" i="41"/>
  <c r="J137" i="41"/>
  <c r="A140" i="41"/>
  <c r="I142" i="41"/>
  <c r="I145" i="41"/>
  <c r="N148" i="41"/>
  <c r="B152" i="41"/>
  <c r="K155" i="41"/>
  <c r="P158" i="41"/>
  <c r="G162" i="41"/>
  <c r="E166" i="41"/>
  <c r="G170" i="41"/>
  <c r="M174" i="41"/>
  <c r="O179" i="41"/>
  <c r="J187" i="41"/>
  <c r="G196" i="41"/>
  <c r="C18" i="41"/>
  <c r="N172" i="41"/>
  <c r="H3" i="41"/>
  <c r="Q3" i="41"/>
  <c r="I4" i="41"/>
  <c r="A5" i="41"/>
  <c r="I5" i="41"/>
  <c r="A6" i="41"/>
  <c r="I6" i="41"/>
  <c r="A7" i="41"/>
  <c r="I7" i="41"/>
  <c r="A8" i="41"/>
  <c r="I8" i="41"/>
  <c r="Q8" i="41"/>
  <c r="H9" i="41"/>
  <c r="P9" i="41"/>
  <c r="G10" i="41"/>
  <c r="O10" i="41"/>
  <c r="F11" i="41"/>
  <c r="N11" i="41"/>
  <c r="E12" i="41"/>
  <c r="M12" i="41"/>
  <c r="D13" i="41"/>
  <c r="L13" i="41"/>
  <c r="C14" i="41"/>
  <c r="K14" i="41"/>
  <c r="B15" i="41"/>
  <c r="J15" i="41"/>
  <c r="A16" i="41"/>
  <c r="I16" i="41"/>
  <c r="Q16" i="41"/>
  <c r="H17" i="41"/>
  <c r="P17" i="41"/>
  <c r="G18" i="41"/>
  <c r="O18" i="41"/>
  <c r="F19" i="41"/>
  <c r="N19" i="41"/>
  <c r="E20" i="41"/>
  <c r="M20" i="41"/>
  <c r="D21" i="41"/>
  <c r="L21" i="41"/>
  <c r="C22" i="41"/>
  <c r="K22" i="41"/>
  <c r="B23" i="41"/>
  <c r="J23" i="41"/>
  <c r="A24" i="41"/>
  <c r="I24" i="41"/>
  <c r="Q24" i="41"/>
  <c r="H25" i="41"/>
  <c r="P25" i="41"/>
  <c r="G26" i="41"/>
  <c r="O26" i="41"/>
  <c r="F27" i="41"/>
  <c r="N27" i="41"/>
  <c r="E28" i="41"/>
  <c r="M28" i="41"/>
  <c r="D29" i="41"/>
  <c r="L29" i="41"/>
  <c r="C30" i="41"/>
  <c r="K30" i="41"/>
  <c r="B31" i="41"/>
  <c r="J31" i="41"/>
  <c r="A32" i="41"/>
  <c r="I32" i="41"/>
  <c r="Q32" i="41"/>
  <c r="H33" i="41"/>
  <c r="P33" i="41"/>
  <c r="G34" i="41"/>
  <c r="O34" i="41"/>
  <c r="F35" i="41"/>
  <c r="N35" i="41"/>
  <c r="E36" i="41"/>
  <c r="M36" i="41"/>
  <c r="D37" i="41"/>
  <c r="L37" i="41"/>
  <c r="C38" i="41"/>
  <c r="K38" i="41"/>
  <c r="B39" i="41"/>
  <c r="J39" i="41"/>
  <c r="A40" i="41"/>
  <c r="I40" i="41"/>
  <c r="Q40" i="41"/>
  <c r="H41" i="41"/>
  <c r="P41" i="41"/>
  <c r="G42" i="41"/>
  <c r="O42" i="41"/>
  <c r="F43" i="41"/>
  <c r="N43" i="41"/>
  <c r="E44" i="41"/>
  <c r="M44" i="41"/>
  <c r="D45" i="41"/>
  <c r="L45" i="41"/>
  <c r="C46" i="41"/>
  <c r="K46" i="41"/>
  <c r="B47" i="41"/>
  <c r="J47" i="41"/>
  <c r="A48" i="41"/>
  <c r="I48" i="41"/>
  <c r="Q48" i="41"/>
  <c r="H49" i="41"/>
  <c r="P49" i="41"/>
  <c r="G50" i="41"/>
  <c r="O50" i="41"/>
  <c r="F51" i="41"/>
  <c r="N51" i="41"/>
  <c r="E52" i="41"/>
  <c r="M52" i="41"/>
  <c r="D53" i="41"/>
  <c r="L53" i="41"/>
  <c r="C54" i="41"/>
  <c r="K54" i="41"/>
  <c r="B55" i="41"/>
  <c r="J55" i="41"/>
  <c r="A56" i="41"/>
  <c r="I56" i="41"/>
  <c r="Q56" i="41"/>
  <c r="H57" i="41"/>
  <c r="P57" i="41"/>
  <c r="K58" i="41"/>
  <c r="J59" i="41"/>
  <c r="I60" i="41"/>
  <c r="H61" i="41"/>
  <c r="G62" i="41"/>
  <c r="F63" i="41"/>
  <c r="E64" i="41"/>
  <c r="D65" i="41"/>
  <c r="C66" i="41"/>
  <c r="B67" i="41"/>
  <c r="A68" i="41"/>
  <c r="Q68" i="41"/>
  <c r="P69" i="41"/>
  <c r="O70" i="41"/>
  <c r="N71" i="41"/>
  <c r="M72" i="41"/>
  <c r="L73" i="41"/>
  <c r="K74" i="41"/>
  <c r="J75" i="41"/>
  <c r="I76" i="41"/>
  <c r="H77" i="41"/>
  <c r="G78" i="41"/>
  <c r="F79" i="41"/>
  <c r="E80" i="41"/>
  <c r="D81" i="41"/>
  <c r="C82" i="41"/>
  <c r="B83" i="41"/>
  <c r="A84" i="41"/>
  <c r="Q84" i="41"/>
  <c r="P85" i="41"/>
  <c r="O86" i="41"/>
  <c r="N87" i="41"/>
  <c r="M88" i="41"/>
  <c r="L89" i="41"/>
  <c r="K90" i="41"/>
  <c r="J91" i="41"/>
  <c r="I92" i="41"/>
  <c r="H93" i="41"/>
  <c r="G94" i="41"/>
  <c r="F95" i="41"/>
  <c r="E96" i="41"/>
  <c r="D97" i="41"/>
  <c r="C98" i="41"/>
  <c r="B99" i="41"/>
  <c r="A100" i="41"/>
  <c r="Q100" i="41"/>
  <c r="P101" i="41"/>
  <c r="O102" i="41"/>
  <c r="N103" i="41"/>
  <c r="M104" i="41"/>
  <c r="N105" i="41"/>
  <c r="O106" i="41"/>
  <c r="P107" i="41"/>
  <c r="C109" i="41"/>
  <c r="H110" i="41"/>
  <c r="K111" i="41"/>
  <c r="A113" i="41"/>
  <c r="I114" i="41"/>
  <c r="C116" i="41"/>
  <c r="K117" i="41"/>
  <c r="B119" i="41"/>
  <c r="J120" i="41"/>
  <c r="A122" i="41"/>
  <c r="L123" i="41"/>
  <c r="F125" i="41"/>
  <c r="D127" i="41"/>
  <c r="B129" i="41"/>
  <c r="Q130" i="41"/>
  <c r="O132" i="41"/>
  <c r="A135" i="41"/>
  <c r="K137" i="41"/>
  <c r="B140" i="41"/>
  <c r="J142" i="41"/>
  <c r="K145" i="41"/>
  <c r="P148" i="41"/>
  <c r="D152" i="41"/>
  <c r="L155" i="41"/>
  <c r="Q158" i="41"/>
  <c r="H162" i="41"/>
  <c r="F166" i="41"/>
  <c r="H170" i="41"/>
  <c r="O174" i="41"/>
  <c r="A180" i="41"/>
  <c r="P187" i="41"/>
  <c r="N196" i="41"/>
  <c r="B6" i="105"/>
  <c r="K8" i="105"/>
  <c r="B11" i="105"/>
  <c r="M13" i="105"/>
  <c r="C16" i="105"/>
  <c r="K18" i="105"/>
  <c r="E21" i="105"/>
  <c r="L23" i="105"/>
  <c r="C26" i="105"/>
  <c r="N28" i="105"/>
  <c r="D31" i="105"/>
  <c r="L33" i="105"/>
  <c r="F36" i="105"/>
  <c r="M38" i="105"/>
  <c r="I41" i="105"/>
  <c r="O45" i="105"/>
  <c r="J51" i="105"/>
  <c r="K57" i="105"/>
  <c r="J63" i="105"/>
  <c r="K69" i="105"/>
  <c r="G78" i="105"/>
  <c r="B89" i="105"/>
  <c r="C154" i="105"/>
  <c r="I3" i="105"/>
  <c r="N4" i="105"/>
  <c r="C6" i="105"/>
  <c r="J7" i="105"/>
  <c r="M8" i="105"/>
  <c r="A10" i="105"/>
  <c r="G11" i="105"/>
  <c r="I12" i="105"/>
  <c r="N13" i="105"/>
  <c r="C15" i="105"/>
  <c r="E16" i="105"/>
  <c r="J17" i="105"/>
  <c r="P18" i="105"/>
  <c r="A20" i="105"/>
  <c r="F21" i="105"/>
  <c r="L22" i="105"/>
  <c r="N23" i="105"/>
  <c r="B25" i="105"/>
  <c r="H26" i="105"/>
  <c r="J27" i="105"/>
  <c r="O28" i="105"/>
  <c r="D30" i="105"/>
  <c r="F31" i="105"/>
  <c r="K32" i="105"/>
  <c r="Q33" i="105"/>
  <c r="B35" i="105"/>
  <c r="G36" i="105"/>
  <c r="M37" i="105"/>
  <c r="O38" i="105"/>
  <c r="C40" i="105"/>
  <c r="L41" i="105"/>
  <c r="J43" i="105"/>
  <c r="B46" i="105"/>
  <c r="N48" i="105"/>
  <c r="N51" i="105"/>
  <c r="O54" i="105"/>
  <c r="O57" i="105"/>
  <c r="P60" i="105"/>
  <c r="O63" i="105"/>
  <c r="O66" i="105"/>
  <c r="Q69" i="105"/>
  <c r="M73" i="105"/>
  <c r="O78" i="105"/>
  <c r="O83" i="105"/>
  <c r="N89" i="105"/>
  <c r="Q97" i="105"/>
  <c r="N105" i="105"/>
  <c r="P113" i="105"/>
  <c r="E122" i="105"/>
  <c r="G135" i="105"/>
  <c r="O156" i="105"/>
  <c r="J3" i="105"/>
  <c r="B5" i="105"/>
  <c r="E6" i="105"/>
  <c r="L7" i="105"/>
  <c r="A9" i="105"/>
  <c r="C10" i="105"/>
  <c r="H11" i="105"/>
  <c r="N12" i="105"/>
  <c r="P13" i="105"/>
  <c r="D15" i="105"/>
  <c r="J16" i="105"/>
  <c r="L17" i="105"/>
  <c r="Q18" i="105"/>
  <c r="F20" i="105"/>
  <c r="H21" i="105"/>
  <c r="M22" i="105"/>
  <c r="B24" i="105"/>
  <c r="D25" i="105"/>
  <c r="I26" i="105"/>
  <c r="O27" i="105"/>
  <c r="Q28" i="105"/>
  <c r="E30" i="105"/>
  <c r="K31" i="105"/>
  <c r="M32" i="105"/>
  <c r="A34" i="105"/>
  <c r="G35" i="105"/>
  <c r="I36" i="105"/>
  <c r="N37" i="105"/>
  <c r="C39" i="105"/>
  <c r="E40" i="105"/>
  <c r="Q41" i="105"/>
  <c r="Q43" i="105"/>
  <c r="H46" i="105"/>
  <c r="E49" i="105"/>
  <c r="E52" i="105"/>
  <c r="F55" i="105"/>
  <c r="F58" i="105"/>
  <c r="G61" i="105"/>
  <c r="F64" i="105"/>
  <c r="F67" i="105"/>
  <c r="J70" i="105"/>
  <c r="K74" i="105"/>
  <c r="I79" i="105"/>
  <c r="N84" i="105"/>
  <c r="D91" i="105"/>
  <c r="B99" i="105"/>
  <c r="C107" i="105"/>
  <c r="F115" i="105"/>
  <c r="B124" i="105"/>
  <c r="A138" i="105"/>
  <c r="G163" i="105"/>
  <c r="A168" i="105"/>
  <c r="A4" i="105"/>
  <c r="E5" i="105"/>
  <c r="L6" i="105"/>
  <c r="B8" i="105"/>
  <c r="D9" i="105"/>
  <c r="I10" i="105"/>
  <c r="O11" i="105"/>
  <c r="Q12" i="105"/>
  <c r="E14" i="105"/>
  <c r="K15" i="105"/>
  <c r="M16" i="105"/>
  <c r="A18" i="105"/>
  <c r="G19" i="105"/>
  <c r="I20" i="105"/>
  <c r="N21" i="105"/>
  <c r="C23" i="105"/>
  <c r="E24" i="105"/>
  <c r="J25" i="105"/>
  <c r="P26" i="105"/>
  <c r="A28" i="105"/>
  <c r="F29" i="105"/>
  <c r="L30" i="105"/>
  <c r="N31" i="105"/>
  <c r="B33" i="105"/>
  <c r="H34" i="105"/>
  <c r="J35" i="105"/>
  <c r="O36" i="105"/>
  <c r="D38" i="105"/>
  <c r="F39" i="105"/>
  <c r="K40" i="105"/>
  <c r="H42" i="105"/>
  <c r="J44" i="105"/>
  <c r="B47" i="105"/>
  <c r="B50" i="105"/>
  <c r="A53" i="105"/>
  <c r="A56" i="105"/>
  <c r="B59" i="105"/>
  <c r="B62" i="105"/>
  <c r="C65" i="105"/>
  <c r="B68" i="105"/>
  <c r="I71" i="105"/>
  <c r="M75" i="105"/>
  <c r="N80" i="105"/>
  <c r="G86" i="105"/>
  <c r="A93" i="105"/>
  <c r="B101" i="105"/>
  <c r="E109" i="105"/>
  <c r="B117" i="105"/>
  <c r="H127" i="105"/>
  <c r="F143" i="105"/>
  <c r="Q200" i="105"/>
  <c r="P200" i="105"/>
  <c r="O200" i="105"/>
  <c r="N200" i="105"/>
  <c r="F200" i="105"/>
  <c r="O199" i="105"/>
  <c r="G199" i="105"/>
  <c r="P198" i="105"/>
  <c r="H198" i="105"/>
  <c r="Q197" i="105"/>
  <c r="I197" i="105"/>
  <c r="A197" i="105"/>
  <c r="J196" i="105"/>
  <c r="B196" i="105"/>
  <c r="K195" i="105"/>
  <c r="C195" i="105"/>
  <c r="L194" i="105"/>
  <c r="D194" i="105"/>
  <c r="M193" i="105"/>
  <c r="E193" i="105"/>
  <c r="N192" i="105"/>
  <c r="F192" i="105"/>
  <c r="O191" i="105"/>
  <c r="G191" i="105"/>
  <c r="P190" i="105"/>
  <c r="H190" i="105"/>
  <c r="Q189" i="105"/>
  <c r="I189" i="105"/>
  <c r="A189" i="105"/>
  <c r="J188" i="105"/>
  <c r="B188" i="105"/>
  <c r="K187" i="105"/>
  <c r="C187" i="105"/>
  <c r="L186" i="105"/>
  <c r="D186" i="105"/>
  <c r="M185" i="105"/>
  <c r="E185" i="105"/>
  <c r="N184" i="105"/>
  <c r="F184" i="105"/>
  <c r="O183" i="105"/>
  <c r="G183" i="105"/>
  <c r="P182" i="105"/>
  <c r="H182" i="105"/>
  <c r="Q181" i="105"/>
  <c r="I181" i="105"/>
  <c r="A181" i="105"/>
  <c r="J180" i="105"/>
  <c r="B180" i="105"/>
  <c r="K179" i="105"/>
  <c r="C179" i="105"/>
  <c r="L178" i="105"/>
  <c r="D178" i="105"/>
  <c r="M177" i="105"/>
  <c r="E177" i="105"/>
  <c r="N176" i="105"/>
  <c r="F176" i="105"/>
  <c r="O175" i="105"/>
  <c r="G175" i="105"/>
  <c r="P174" i="105"/>
  <c r="H174" i="105"/>
  <c r="Q173" i="105"/>
  <c r="I173" i="105"/>
  <c r="A173" i="105"/>
  <c r="J172" i="105"/>
  <c r="B172" i="105"/>
  <c r="K171" i="105"/>
  <c r="C171" i="105"/>
  <c r="L170" i="105"/>
  <c r="D170" i="105"/>
  <c r="M169" i="105"/>
  <c r="E169" i="105"/>
  <c r="N168" i="105"/>
  <c r="F168" i="105"/>
  <c r="O167" i="105"/>
  <c r="G167" i="105"/>
  <c r="P166" i="105"/>
  <c r="H166" i="105"/>
  <c r="Q165" i="105"/>
  <c r="I165" i="105"/>
  <c r="A165" i="105"/>
  <c r="J164" i="105"/>
  <c r="B164" i="105"/>
  <c r="K163" i="105"/>
  <c r="C163" i="105"/>
  <c r="L162" i="105"/>
  <c r="D162" i="105"/>
  <c r="M161" i="105"/>
  <c r="E161" i="105"/>
  <c r="M200" i="105"/>
  <c r="L200" i="105"/>
  <c r="D200" i="105"/>
  <c r="M199" i="105"/>
  <c r="E199" i="105"/>
  <c r="N198" i="105"/>
  <c r="F198" i="105"/>
  <c r="O197" i="105"/>
  <c r="G197" i="105"/>
  <c r="P196" i="105"/>
  <c r="H196" i="105"/>
  <c r="Q195" i="105"/>
  <c r="I195" i="105"/>
  <c r="A195" i="105"/>
  <c r="J194" i="105"/>
  <c r="B194" i="105"/>
  <c r="K193" i="105"/>
  <c r="C193" i="105"/>
  <c r="L192" i="105"/>
  <c r="D192" i="105"/>
  <c r="M191" i="105"/>
  <c r="E191" i="105"/>
  <c r="N190" i="105"/>
  <c r="F190" i="105"/>
  <c r="O189" i="105"/>
  <c r="G189" i="105"/>
  <c r="P188" i="105"/>
  <c r="H188" i="105"/>
  <c r="Q187" i="105"/>
  <c r="I187" i="105"/>
  <c r="A187" i="105"/>
  <c r="J186" i="105"/>
  <c r="B186" i="105"/>
  <c r="K185" i="105"/>
  <c r="C185" i="105"/>
  <c r="L184" i="105"/>
  <c r="D184" i="105"/>
  <c r="M183" i="105"/>
  <c r="E183" i="105"/>
  <c r="N182" i="105"/>
  <c r="F182" i="105"/>
  <c r="O181" i="105"/>
  <c r="G181" i="105"/>
  <c r="P180" i="105"/>
  <c r="H180" i="105"/>
  <c r="Q179" i="105"/>
  <c r="I179" i="105"/>
  <c r="A179" i="105"/>
  <c r="J178" i="105"/>
  <c r="B178" i="105"/>
  <c r="K177" i="105"/>
  <c r="C177" i="105"/>
  <c r="L176" i="105"/>
  <c r="D176" i="105"/>
  <c r="M175" i="105"/>
  <c r="E175" i="105"/>
  <c r="N174" i="105"/>
  <c r="F174" i="105"/>
  <c r="O173" i="105"/>
  <c r="G173" i="105"/>
  <c r="P172" i="105"/>
  <c r="H172" i="105"/>
  <c r="Q171" i="105"/>
  <c r="I171" i="105"/>
  <c r="A171" i="105"/>
  <c r="J170" i="105"/>
  <c r="B170" i="105"/>
  <c r="K169" i="105"/>
  <c r="C169" i="105"/>
  <c r="L168" i="105"/>
  <c r="D168" i="105"/>
  <c r="M167" i="105"/>
  <c r="E167" i="105"/>
  <c r="N166" i="105"/>
  <c r="F166" i="105"/>
  <c r="O165" i="105"/>
  <c r="G165" i="105"/>
  <c r="P164" i="105"/>
  <c r="H164" i="105"/>
  <c r="Q163" i="105"/>
  <c r="I163" i="105"/>
  <c r="A163" i="105"/>
  <c r="J162" i="105"/>
  <c r="B162" i="105"/>
  <c r="K161" i="105"/>
  <c r="C161" i="105"/>
  <c r="K200" i="105"/>
  <c r="J200" i="105"/>
  <c r="Q199" i="105"/>
  <c r="F199" i="105"/>
  <c r="L198" i="105"/>
  <c r="B198" i="105"/>
  <c r="H197" i="105"/>
  <c r="N196" i="105"/>
  <c r="D196" i="105"/>
  <c r="J195" i="105"/>
  <c r="P194" i="105"/>
  <c r="F194" i="105"/>
  <c r="L193" i="105"/>
  <c r="A193" i="105"/>
  <c r="H192" i="105"/>
  <c r="N191" i="105"/>
  <c r="C191" i="105"/>
  <c r="J190" i="105"/>
  <c r="P189" i="105"/>
  <c r="E189" i="105"/>
  <c r="L188" i="105"/>
  <c r="A188" i="105"/>
  <c r="G187" i="105"/>
  <c r="N186" i="105"/>
  <c r="C186" i="105"/>
  <c r="I185" i="105"/>
  <c r="P184" i="105"/>
  <c r="E184" i="105"/>
  <c r="K183" i="105"/>
  <c r="A183" i="105"/>
  <c r="G182" i="105"/>
  <c r="M181" i="105"/>
  <c r="C181" i="105"/>
  <c r="I180" i="105"/>
  <c r="O179" i="105"/>
  <c r="E179" i="105"/>
  <c r="K178" i="105"/>
  <c r="Q177" i="105"/>
  <c r="G177" i="105"/>
  <c r="M176" i="105"/>
  <c r="B176" i="105"/>
  <c r="I175" i="105"/>
  <c r="O174" i="105"/>
  <c r="D174" i="105"/>
  <c r="K173" i="105"/>
  <c r="Q172" i="105"/>
  <c r="F172" i="105"/>
  <c r="M171" i="105"/>
  <c r="B171" i="105"/>
  <c r="H170" i="105"/>
  <c r="O169" i="105"/>
  <c r="D169" i="105"/>
  <c r="J168" i="105"/>
  <c r="Q167" i="105"/>
  <c r="F167" i="105"/>
  <c r="L166" i="105"/>
  <c r="B166" i="105"/>
  <c r="H165" i="105"/>
  <c r="N164" i="105"/>
  <c r="D164" i="105"/>
  <c r="J163" i="105"/>
  <c r="P162" i="105"/>
  <c r="F162" i="105"/>
  <c r="L161" i="105"/>
  <c r="A161" i="105"/>
  <c r="J160" i="105"/>
  <c r="B160" i="105"/>
  <c r="K159" i="105"/>
  <c r="C159" i="105"/>
  <c r="L158" i="105"/>
  <c r="D158" i="105"/>
  <c r="M157" i="105"/>
  <c r="E157" i="105"/>
  <c r="N156" i="105"/>
  <c r="F156" i="105"/>
  <c r="O155" i="105"/>
  <c r="G155" i="105"/>
  <c r="P154" i="105"/>
  <c r="H154" i="105"/>
  <c r="Q153" i="105"/>
  <c r="I153" i="105"/>
  <c r="A153" i="105"/>
  <c r="J152" i="105"/>
  <c r="B152" i="105"/>
  <c r="K151" i="105"/>
  <c r="C151" i="105"/>
  <c r="I200" i="105"/>
  <c r="P199" i="105"/>
  <c r="D199" i="105"/>
  <c r="K198" i="105"/>
  <c r="A198" i="105"/>
  <c r="F197" i="105"/>
  <c r="M196" i="105"/>
  <c r="C196" i="105"/>
  <c r="H195" i="105"/>
  <c r="O194" i="105"/>
  <c r="E194" i="105"/>
  <c r="J193" i="105"/>
  <c r="Q192" i="105"/>
  <c r="G192" i="105"/>
  <c r="L191" i="105"/>
  <c r="B191" i="105"/>
  <c r="I190" i="105"/>
  <c r="N189" i="105"/>
  <c r="D189" i="105"/>
  <c r="K188" i="105"/>
  <c r="P187" i="105"/>
  <c r="F187" i="105"/>
  <c r="M186" i="105"/>
  <c r="A186" i="105"/>
  <c r="H185" i="105"/>
  <c r="O184" i="105"/>
  <c r="C184" i="105"/>
  <c r="J183" i="105"/>
  <c r="Q182" i="105"/>
  <c r="E182" i="105"/>
  <c r="L181" i="105"/>
  <c r="B181" i="105"/>
  <c r="G180" i="105"/>
  <c r="N179" i="105"/>
  <c r="D179" i="105"/>
  <c r="I178" i="105"/>
  <c r="P177" i="105"/>
  <c r="F177" i="105"/>
  <c r="K176" i="105"/>
  <c r="A176" i="105"/>
  <c r="H175" i="105"/>
  <c r="M174" i="105"/>
  <c r="C174" i="105"/>
  <c r="J173" i="105"/>
  <c r="O172" i="105"/>
  <c r="E172" i="105"/>
  <c r="L171" i="105"/>
  <c r="Q170" i="105"/>
  <c r="G170" i="105"/>
  <c r="N169" i="105"/>
  <c r="B169" i="105"/>
  <c r="I168" i="105"/>
  <c r="P167" i="105"/>
  <c r="D167" i="105"/>
  <c r="K166" i="105"/>
  <c r="A166" i="105"/>
  <c r="F165" i="105"/>
  <c r="M164" i="105"/>
  <c r="C164" i="105"/>
  <c r="H163" i="105"/>
  <c r="O162" i="105"/>
  <c r="E162" i="105"/>
  <c r="J161" i="105"/>
  <c r="Q160" i="105"/>
  <c r="I160" i="105"/>
  <c r="A160" i="105"/>
  <c r="J159" i="105"/>
  <c r="B159" i="105"/>
  <c r="K158" i="105"/>
  <c r="C158" i="105"/>
  <c r="L157" i="105"/>
  <c r="D157" i="105"/>
  <c r="M156" i="105"/>
  <c r="E156" i="105"/>
  <c r="N155" i="105"/>
  <c r="F155" i="105"/>
  <c r="O154" i="105"/>
  <c r="G154" i="105"/>
  <c r="H200" i="105"/>
  <c r="N199" i="105"/>
  <c r="C199" i="105"/>
  <c r="J198" i="105"/>
  <c r="P197" i="105"/>
  <c r="E197" i="105"/>
  <c r="L196" i="105"/>
  <c r="A196" i="105"/>
  <c r="G195" i="105"/>
  <c r="N194" i="105"/>
  <c r="C194" i="105"/>
  <c r="I193" i="105"/>
  <c r="P192" i="105"/>
  <c r="E192" i="105"/>
  <c r="K191" i="105"/>
  <c r="A191" i="105"/>
  <c r="G190" i="105"/>
  <c r="M189" i="105"/>
  <c r="C189" i="105"/>
  <c r="E200" i="105"/>
  <c r="K199" i="105"/>
  <c r="A199" i="105"/>
  <c r="G198" i="105"/>
  <c r="M197" i="105"/>
  <c r="C197" i="105"/>
  <c r="I196" i="105"/>
  <c r="O195" i="105"/>
  <c r="E195" i="105"/>
  <c r="K194" i="105"/>
  <c r="Q193" i="105"/>
  <c r="G193" i="105"/>
  <c r="M192" i="105"/>
  <c r="B192" i="105"/>
  <c r="I191" i="105"/>
  <c r="O190" i="105"/>
  <c r="D190" i="105"/>
  <c r="K189" i="105"/>
  <c r="Q188" i="105"/>
  <c r="F188" i="105"/>
  <c r="M187" i="105"/>
  <c r="B187" i="105"/>
  <c r="H186" i="105"/>
  <c r="O185" i="105"/>
  <c r="D185" i="105"/>
  <c r="J184" i="105"/>
  <c r="Q183" i="105"/>
  <c r="F183" i="105"/>
  <c r="L182" i="105"/>
  <c r="B182" i="105"/>
  <c r="H181" i="105"/>
  <c r="N180" i="105"/>
  <c r="D180" i="105"/>
  <c r="J179" i="105"/>
  <c r="P178" i="105"/>
  <c r="F178" i="105"/>
  <c r="L177" i="105"/>
  <c r="A177" i="105"/>
  <c r="H176" i="105"/>
  <c r="N175" i="105"/>
  <c r="C175" i="105"/>
  <c r="J174" i="105"/>
  <c r="P173" i="105"/>
  <c r="E173" i="105"/>
  <c r="L172" i="105"/>
  <c r="A172" i="105"/>
  <c r="G171" i="105"/>
  <c r="N170" i="105"/>
  <c r="C170" i="105"/>
  <c r="I169" i="105"/>
  <c r="P168" i="105"/>
  <c r="E168" i="105"/>
  <c r="K167" i="105"/>
  <c r="A167" i="105"/>
  <c r="G166" i="105"/>
  <c r="M165" i="105"/>
  <c r="C165" i="105"/>
  <c r="I164" i="105"/>
  <c r="O163" i="105"/>
  <c r="E163" i="105"/>
  <c r="K162" i="105"/>
  <c r="Q161" i="105"/>
  <c r="G161" i="105"/>
  <c r="N160" i="105"/>
  <c r="F160" i="105"/>
  <c r="O159" i="105"/>
  <c r="G159" i="105"/>
  <c r="P158" i="105"/>
  <c r="H158" i="105"/>
  <c r="Q157" i="105"/>
  <c r="I157" i="105"/>
  <c r="A157" i="105"/>
  <c r="J156" i="105"/>
  <c r="B156" i="105"/>
  <c r="K155" i="105"/>
  <c r="C200" i="105"/>
  <c r="Q198" i="105"/>
  <c r="L197" i="105"/>
  <c r="G196" i="105"/>
  <c r="D195" i="105"/>
  <c r="P193" i="105"/>
  <c r="K192" i="105"/>
  <c r="H191" i="105"/>
  <c r="C190" i="105"/>
  <c r="O188" i="105"/>
  <c r="O187" i="105"/>
  <c r="P186" i="105"/>
  <c r="P185" i="105"/>
  <c r="Q184" i="105"/>
  <c r="P183" i="105"/>
  <c r="O182" i="105"/>
  <c r="P181" i="105"/>
  <c r="O180" i="105"/>
  <c r="P179" i="105"/>
  <c r="O178" i="105"/>
  <c r="O177" i="105"/>
  <c r="P176" i="105"/>
  <c r="P175" i="105"/>
  <c r="Q174" i="105"/>
  <c r="N173" i="105"/>
  <c r="N172" i="105"/>
  <c r="O171" i="105"/>
  <c r="O170" i="105"/>
  <c r="P169" i="105"/>
  <c r="O168" i="105"/>
  <c r="N167" i="105"/>
  <c r="O166" i="105"/>
  <c r="N165" i="105"/>
  <c r="O164" i="105"/>
  <c r="N163" i="105"/>
  <c r="N162" i="105"/>
  <c r="O161" i="105"/>
  <c r="O160" i="105"/>
  <c r="C160" i="105"/>
  <c r="F159" i="105"/>
  <c r="J158" i="105"/>
  <c r="O157" i="105"/>
  <c r="B157" i="105"/>
  <c r="G156" i="105"/>
  <c r="J155" i="105"/>
  <c r="Q154" i="105"/>
  <c r="E154" i="105"/>
  <c r="M153" i="105"/>
  <c r="D153" i="105"/>
  <c r="L152" i="105"/>
  <c r="C152" i="105"/>
  <c r="J151" i="105"/>
  <c r="A151" i="105"/>
  <c r="J150" i="105"/>
  <c r="B150" i="105"/>
  <c r="K149" i="105"/>
  <c r="C149" i="105"/>
  <c r="L148" i="105"/>
  <c r="D148" i="105"/>
  <c r="M147" i="105"/>
  <c r="E147" i="105"/>
  <c r="N146" i="105"/>
  <c r="F146" i="105"/>
  <c r="O145" i="105"/>
  <c r="G145" i="105"/>
  <c r="P144" i="105"/>
  <c r="H144" i="105"/>
  <c r="Q143" i="105"/>
  <c r="I143" i="105"/>
  <c r="A143" i="105"/>
  <c r="J142" i="105"/>
  <c r="B142" i="105"/>
  <c r="K141" i="105"/>
  <c r="C141" i="105"/>
  <c r="B200" i="105"/>
  <c r="O198" i="105"/>
  <c r="K197" i="105"/>
  <c r="F196" i="105"/>
  <c r="B195" i="105"/>
  <c r="O193" i="105"/>
  <c r="J192" i="105"/>
  <c r="F191" i="105"/>
  <c r="B190" i="105"/>
  <c r="N188" i="105"/>
  <c r="N187" i="105"/>
  <c r="O186" i="105"/>
  <c r="N185" i="105"/>
  <c r="M184" i="105"/>
  <c r="N183" i="105"/>
  <c r="M182" i="105"/>
  <c r="N181" i="105"/>
  <c r="M180" i="105"/>
  <c r="M179" i="105"/>
  <c r="N178" i="105"/>
  <c r="N177" i="105"/>
  <c r="O176" i="105"/>
  <c r="L175" i="105"/>
  <c r="L174" i="105"/>
  <c r="M173" i="105"/>
  <c r="M172" i="105"/>
  <c r="N171" i="105"/>
  <c r="M170" i="105"/>
  <c r="L169" i="105"/>
  <c r="M168" i="105"/>
  <c r="L167" i="105"/>
  <c r="M166" i="105"/>
  <c r="L165" i="105"/>
  <c r="L164" i="105"/>
  <c r="M163" i="105"/>
  <c r="M162" i="105"/>
  <c r="N161" i="105"/>
  <c r="M160" i="105"/>
  <c r="Q159" i="105"/>
  <c r="E159" i="105"/>
  <c r="I158" i="105"/>
  <c r="N157" i="105"/>
  <c r="Q156" i="105"/>
  <c r="D156" i="105"/>
  <c r="I155" i="105"/>
  <c r="N154" i="105"/>
  <c r="D154" i="105"/>
  <c r="L153" i="105"/>
  <c r="C153" i="105"/>
  <c r="K152" i="105"/>
  <c r="A152" i="105"/>
  <c r="I151" i="105"/>
  <c r="Q150" i="105"/>
  <c r="I150" i="105"/>
  <c r="A150" i="105"/>
  <c r="J149" i="105"/>
  <c r="B149" i="105"/>
  <c r="K148" i="105"/>
  <c r="C148" i="105"/>
  <c r="L147" i="105"/>
  <c r="D147" i="105"/>
  <c r="M146" i="105"/>
  <c r="E146" i="105"/>
  <c r="N145" i="105"/>
  <c r="F145" i="105"/>
  <c r="O144" i="105"/>
  <c r="G144" i="105"/>
  <c r="P143" i="105"/>
  <c r="H143" i="105"/>
  <c r="Q142" i="105"/>
  <c r="I142" i="105"/>
  <c r="A142" i="105"/>
  <c r="J141" i="105"/>
  <c r="B141" i="105"/>
  <c r="K140" i="105"/>
  <c r="C140" i="105"/>
  <c r="L139" i="105"/>
  <c r="D139" i="105"/>
  <c r="M138" i="105"/>
  <c r="E138" i="105"/>
  <c r="N137" i="105"/>
  <c r="F137" i="105"/>
  <c r="O136" i="105"/>
  <c r="G136" i="105"/>
  <c r="P135" i="105"/>
  <c r="J199" i="105"/>
  <c r="E198" i="105"/>
  <c r="B197" i="105"/>
  <c r="N195" i="105"/>
  <c r="I194" i="105"/>
  <c r="F193" i="105"/>
  <c r="A192" i="105"/>
  <c r="M190" i="105"/>
  <c r="J189" i="105"/>
  <c r="G188" i="105"/>
  <c r="H187" i="105"/>
  <c r="G186" i="105"/>
  <c r="G185" i="105"/>
  <c r="H184" i="105"/>
  <c r="H183" i="105"/>
  <c r="I182" i="105"/>
  <c r="F181" i="105"/>
  <c r="F180" i="105"/>
  <c r="G179" i="105"/>
  <c r="G178" i="105"/>
  <c r="H177" i="105"/>
  <c r="G176" i="105"/>
  <c r="F175" i="105"/>
  <c r="G174" i="105"/>
  <c r="F173" i="105"/>
  <c r="G172" i="105"/>
  <c r="F171" i="105"/>
  <c r="F170" i="105"/>
  <c r="G169" i="105"/>
  <c r="G168" i="105"/>
  <c r="H167" i="105"/>
  <c r="E166" i="105"/>
  <c r="E165" i="105"/>
  <c r="F164" i="105"/>
  <c r="F163" i="105"/>
  <c r="G162" i="105"/>
  <c r="F161" i="105"/>
  <c r="H160" i="105"/>
  <c r="M159" i="105"/>
  <c r="Q158" i="105"/>
  <c r="E158" i="105"/>
  <c r="H157" i="105"/>
  <c r="L156" i="105"/>
  <c r="Q155" i="105"/>
  <c r="D155" i="105"/>
  <c r="K154" i="105"/>
  <c r="A154" i="105"/>
  <c r="H153" i="105"/>
  <c r="P152" i="105"/>
  <c r="G152" i="105"/>
  <c r="O151" i="105"/>
  <c r="F151" i="105"/>
  <c r="N150" i="105"/>
  <c r="F150" i="105"/>
  <c r="O149" i="105"/>
  <c r="G149" i="105"/>
  <c r="P148" i="105"/>
  <c r="H148" i="105"/>
  <c r="Q147" i="105"/>
  <c r="I147" i="105"/>
  <c r="A147" i="105"/>
  <c r="J146" i="105"/>
  <c r="B146" i="105"/>
  <c r="K145" i="105"/>
  <c r="C145" i="105"/>
  <c r="L144" i="105"/>
  <c r="D144" i="105"/>
  <c r="M143" i="105"/>
  <c r="E143" i="105"/>
  <c r="N142" i="105"/>
  <c r="F142" i="105"/>
  <c r="O141" i="105"/>
  <c r="G141" i="105"/>
  <c r="P140" i="105"/>
  <c r="H140" i="105"/>
  <c r="Q139" i="105"/>
  <c r="I139" i="105"/>
  <c r="A139" i="105"/>
  <c r="J138" i="105"/>
  <c r="B138" i="105"/>
  <c r="K137" i="105"/>
  <c r="C137" i="105"/>
  <c r="L136" i="105"/>
  <c r="D136" i="105"/>
  <c r="M135" i="105"/>
  <c r="G200" i="105"/>
  <c r="D198" i="105"/>
  <c r="E196" i="105"/>
  <c r="G194" i="105"/>
  <c r="C192" i="105"/>
  <c r="E190" i="105"/>
  <c r="E188" i="105"/>
  <c r="K186" i="105"/>
  <c r="B185" i="105"/>
  <c r="I183" i="105"/>
  <c r="A182" i="105"/>
  <c r="E180" i="105"/>
  <c r="M178" i="105"/>
  <c r="B177" i="105"/>
  <c r="J175" i="105"/>
  <c r="A174" i="105"/>
  <c r="D172" i="105"/>
  <c r="K170" i="105"/>
  <c r="A169" i="105"/>
  <c r="I167" i="105"/>
  <c r="P165" i="105"/>
  <c r="E164" i="105"/>
  <c r="I162" i="105"/>
  <c r="B161" i="105"/>
  <c r="N159" i="105"/>
  <c r="M158" i="105"/>
  <c r="G157" i="105"/>
  <c r="C156" i="105"/>
  <c r="B155" i="105"/>
  <c r="B154" i="105"/>
  <c r="E153" i="105"/>
  <c r="F152" i="105"/>
  <c r="H151" i="105"/>
  <c r="L150" i="105"/>
  <c r="P149" i="105"/>
  <c r="D149" i="105"/>
  <c r="G148" i="105"/>
  <c r="K147" i="105"/>
  <c r="P146" i="105"/>
  <c r="C146" i="105"/>
  <c r="H145" i="105"/>
  <c r="K144" i="105"/>
  <c r="O143" i="105"/>
  <c r="C143" i="105"/>
  <c r="G142" i="105"/>
  <c r="L141" i="105"/>
  <c r="O140" i="105"/>
  <c r="E140" i="105"/>
  <c r="K139" i="105"/>
  <c r="Q138" i="105"/>
  <c r="G138" i="105"/>
  <c r="M137" i="105"/>
  <c r="B137" i="105"/>
  <c r="I136" i="105"/>
  <c r="O135" i="105"/>
  <c r="F135" i="105"/>
  <c r="O134" i="105"/>
  <c r="G134" i="105"/>
  <c r="P133" i="105"/>
  <c r="H133" i="105"/>
  <c r="Q132" i="105"/>
  <c r="I132" i="105"/>
  <c r="A132" i="105"/>
  <c r="J131" i="105"/>
  <c r="B131" i="105"/>
  <c r="K130" i="105"/>
  <c r="C130" i="105"/>
  <c r="L129" i="105"/>
  <c r="D129" i="105"/>
  <c r="M128" i="105"/>
  <c r="E128" i="105"/>
  <c r="N127" i="105"/>
  <c r="F127" i="105"/>
  <c r="O126" i="105"/>
  <c r="G126" i="105"/>
  <c r="P125" i="105"/>
  <c r="H125" i="105"/>
  <c r="Q124" i="105"/>
  <c r="I124" i="105"/>
  <c r="A124" i="105"/>
  <c r="J123" i="105"/>
  <c r="B123" i="105"/>
  <c r="K122" i="105"/>
  <c r="C122" i="105"/>
  <c r="L121" i="105"/>
  <c r="A200" i="105"/>
  <c r="C198" i="105"/>
  <c r="P195" i="105"/>
  <c r="A194" i="105"/>
  <c r="Q191" i="105"/>
  <c r="A190" i="105"/>
  <c r="D188" i="105"/>
  <c r="I186" i="105"/>
  <c r="A185" i="105"/>
  <c r="D183" i="105"/>
  <c r="K181" i="105"/>
  <c r="C180" i="105"/>
  <c r="H178" i="105"/>
  <c r="Q176" i="105"/>
  <c r="D175" i="105"/>
  <c r="L173" i="105"/>
  <c r="C172" i="105"/>
  <c r="I170" i="105"/>
  <c r="Q168" i="105"/>
  <c r="C167" i="105"/>
  <c r="K165" i="105"/>
  <c r="A164" i="105"/>
  <c r="H162" i="105"/>
  <c r="P160" i="105"/>
  <c r="L159" i="105"/>
  <c r="G158" i="105"/>
  <c r="F157" i="105"/>
  <c r="A156" i="105"/>
  <c r="A155" i="105"/>
  <c r="P153" i="105"/>
  <c r="B153" i="105"/>
  <c r="E152" i="105"/>
  <c r="G151" i="105"/>
  <c r="K150" i="105"/>
  <c r="N149" i="105"/>
  <c r="A149" i="105"/>
  <c r="F148" i="105"/>
  <c r="J147" i="105"/>
  <c r="O146" i="105"/>
  <c r="A146" i="105"/>
  <c r="E145" i="105"/>
  <c r="J144" i="105"/>
  <c r="N143" i="105"/>
  <c r="B143" i="105"/>
  <c r="E142" i="105"/>
  <c r="I141" i="105"/>
  <c r="N140" i="105"/>
  <c r="D140" i="105"/>
  <c r="J139" i="105"/>
  <c r="P138" i="105"/>
  <c r="F138" i="105"/>
  <c r="L137" i="105"/>
  <c r="A137" i="105"/>
  <c r="H136" i="105"/>
  <c r="N135" i="105"/>
  <c r="E135" i="105"/>
  <c r="N134" i="105"/>
  <c r="F134" i="105"/>
  <c r="O133" i="105"/>
  <c r="G133" i="105"/>
  <c r="P132" i="105"/>
  <c r="H132" i="105"/>
  <c r="Q131" i="105"/>
  <c r="I131" i="105"/>
  <c r="A131" i="105"/>
  <c r="J130" i="105"/>
  <c r="B130" i="105"/>
  <c r="K129" i="105"/>
  <c r="C129" i="105"/>
  <c r="L128" i="105"/>
  <c r="D128" i="105"/>
  <c r="M127" i="105"/>
  <c r="E127" i="105"/>
  <c r="N126" i="105"/>
  <c r="F126" i="105"/>
  <c r="O125" i="105"/>
  <c r="G125" i="105"/>
  <c r="P124" i="105"/>
  <c r="H124" i="105"/>
  <c r="Q123" i="105"/>
  <c r="I123" i="105"/>
  <c r="A123" i="105"/>
  <c r="J122" i="105"/>
  <c r="B122" i="105"/>
  <c r="K121" i="105"/>
  <c r="C121" i="105"/>
  <c r="L120" i="105"/>
  <c r="D120" i="105"/>
  <c r="M119" i="105"/>
  <c r="E119" i="105"/>
  <c r="N118" i="105"/>
  <c r="F118" i="105"/>
  <c r="O117" i="105"/>
  <c r="G117" i="105"/>
  <c r="P116" i="105"/>
  <c r="H116" i="105"/>
  <c r="Q115" i="105"/>
  <c r="I115" i="105"/>
  <c r="A115" i="105"/>
  <c r="J114" i="105"/>
  <c r="B114" i="105"/>
  <c r="K113" i="105"/>
  <c r="C113" i="105"/>
  <c r="L112" i="105"/>
  <c r="D112" i="105"/>
  <c r="M111" i="105"/>
  <c r="E111" i="105"/>
  <c r="N110" i="105"/>
  <c r="F110" i="105"/>
  <c r="O109" i="105"/>
  <c r="G109" i="105"/>
  <c r="P108" i="105"/>
  <c r="H108" i="105"/>
  <c r="Q107" i="105"/>
  <c r="I107" i="105"/>
  <c r="A107" i="105"/>
  <c r="J106" i="105"/>
  <c r="B106" i="105"/>
  <c r="K105" i="105"/>
  <c r="C105" i="105"/>
  <c r="L104" i="105"/>
  <c r="D104" i="105"/>
  <c r="M103" i="105"/>
  <c r="E103" i="105"/>
  <c r="N102" i="105"/>
  <c r="F102" i="105"/>
  <c r="O101" i="105"/>
  <c r="G101" i="105"/>
  <c r="P100" i="105"/>
  <c r="H100" i="105"/>
  <c r="Q99" i="105"/>
  <c r="I99" i="105"/>
  <c r="A99" i="105"/>
  <c r="J98" i="105"/>
  <c r="B98" i="105"/>
  <c r="K97" i="105"/>
  <c r="C97" i="105"/>
  <c r="L96" i="105"/>
  <c r="D96" i="105"/>
  <c r="M95" i="105"/>
  <c r="E95" i="105"/>
  <c r="N94" i="105"/>
  <c r="F94" i="105"/>
  <c r="O93" i="105"/>
  <c r="G93" i="105"/>
  <c r="P92" i="105"/>
  <c r="H92" i="105"/>
  <c r="Q91" i="105"/>
  <c r="I91" i="105"/>
  <c r="A91" i="105"/>
  <c r="J90" i="105"/>
  <c r="B90" i="105"/>
  <c r="K89" i="105"/>
  <c r="C89" i="105"/>
  <c r="L88" i="105"/>
  <c r="D88" i="105"/>
  <c r="M87" i="105"/>
  <c r="E87" i="105"/>
  <c r="N86" i="105"/>
  <c r="F86" i="105"/>
  <c r="O85" i="105"/>
  <c r="G85" i="105"/>
  <c r="P84" i="105"/>
  <c r="H84" i="105"/>
  <c r="Q83" i="105"/>
  <c r="I83" i="105"/>
  <c r="A83" i="105"/>
  <c r="L199" i="105"/>
  <c r="N197" i="105"/>
  <c r="M195" i="105"/>
  <c r="N193" i="105"/>
  <c r="P191" i="105"/>
  <c r="L189" i="105"/>
  <c r="C188" i="105"/>
  <c r="F186" i="105"/>
  <c r="K184" i="105"/>
  <c r="C183" i="105"/>
  <c r="J181" i="105"/>
  <c r="A180" i="105"/>
  <c r="E178" i="105"/>
  <c r="J176" i="105"/>
  <c r="B175" i="105"/>
  <c r="H173" i="105"/>
  <c r="P171" i="105"/>
  <c r="E170" i="105"/>
  <c r="K168" i="105"/>
  <c r="B167" i="105"/>
  <c r="J165" i="105"/>
  <c r="P163" i="105"/>
  <c r="C162" i="105"/>
  <c r="L160" i="105"/>
  <c r="I159" i="105"/>
  <c r="F158" i="105"/>
  <c r="C157" i="105"/>
  <c r="P155" i="105"/>
  <c r="M154" i="105"/>
  <c r="O153" i="105"/>
  <c r="Q152" i="105"/>
  <c r="D152" i="105"/>
  <c r="E151" i="105"/>
  <c r="H150" i="105"/>
  <c r="M149" i="105"/>
  <c r="Q148" i="105"/>
  <c r="E148" i="105"/>
  <c r="H147" i="105"/>
  <c r="L146" i="105"/>
  <c r="Q145" i="105"/>
  <c r="D145" i="105"/>
  <c r="I144" i="105"/>
  <c r="L143" i="105"/>
  <c r="P142" i="105"/>
  <c r="D142" i="105"/>
  <c r="H141" i="105"/>
  <c r="M140" i="105"/>
  <c r="B140" i="105"/>
  <c r="H139" i="105"/>
  <c r="O138" i="105"/>
  <c r="D138" i="105"/>
  <c r="J137" i="105"/>
  <c r="Q136" i="105"/>
  <c r="F136" i="105"/>
  <c r="L135" i="105"/>
  <c r="D135" i="105"/>
  <c r="M134" i="105"/>
  <c r="E134" i="105"/>
  <c r="N133" i="105"/>
  <c r="F133" i="105"/>
  <c r="O132" i="105"/>
  <c r="G132" i="105"/>
  <c r="P131" i="105"/>
  <c r="H131" i="105"/>
  <c r="Q130" i="105"/>
  <c r="I130" i="105"/>
  <c r="A130" i="105"/>
  <c r="J129" i="105"/>
  <c r="B129" i="105"/>
  <c r="K128" i="105"/>
  <c r="C128" i="105"/>
  <c r="L127" i="105"/>
  <c r="D127" i="105"/>
  <c r="M126" i="105"/>
  <c r="E126" i="105"/>
  <c r="N125" i="105"/>
  <c r="F125" i="105"/>
  <c r="O124" i="105"/>
  <c r="G124" i="105"/>
  <c r="P123" i="105"/>
  <c r="H123" i="105"/>
  <c r="Q122" i="105"/>
  <c r="I122" i="105"/>
  <c r="A122" i="105"/>
  <c r="J121" i="105"/>
  <c r="B121" i="105"/>
  <c r="K120" i="105"/>
  <c r="C120" i="105"/>
  <c r="L119" i="105"/>
  <c r="D119" i="105"/>
  <c r="M118" i="105"/>
  <c r="E118" i="105"/>
  <c r="N117" i="105"/>
  <c r="F117" i="105"/>
  <c r="O116" i="105"/>
  <c r="G116" i="105"/>
  <c r="P115" i="105"/>
  <c r="H115" i="105"/>
  <c r="Q114" i="105"/>
  <c r="I114" i="105"/>
  <c r="A114" i="105"/>
  <c r="J113" i="105"/>
  <c r="B113" i="105"/>
  <c r="K112" i="105"/>
  <c r="C112" i="105"/>
  <c r="L111" i="105"/>
  <c r="D111" i="105"/>
  <c r="M110" i="105"/>
  <c r="E110" i="105"/>
  <c r="N109" i="105"/>
  <c r="F109" i="105"/>
  <c r="O108" i="105"/>
  <c r="G108" i="105"/>
  <c r="P107" i="105"/>
  <c r="H107" i="105"/>
  <c r="Q106" i="105"/>
  <c r="I106" i="105"/>
  <c r="A106" i="105"/>
  <c r="J105" i="105"/>
  <c r="B105" i="105"/>
  <c r="K104" i="105"/>
  <c r="C104" i="105"/>
  <c r="L103" i="105"/>
  <c r="D103" i="105"/>
  <c r="M102" i="105"/>
  <c r="E102" i="105"/>
  <c r="N101" i="105"/>
  <c r="F101" i="105"/>
  <c r="O100" i="105"/>
  <c r="G100" i="105"/>
  <c r="P99" i="105"/>
  <c r="H99" i="105"/>
  <c r="Q98" i="105"/>
  <c r="I98" i="105"/>
  <c r="A98" i="105"/>
  <c r="J97" i="105"/>
  <c r="B97" i="105"/>
  <c r="K96" i="105"/>
  <c r="C96" i="105"/>
  <c r="L95" i="105"/>
  <c r="D95" i="105"/>
  <c r="M94" i="105"/>
  <c r="E94" i="105"/>
  <c r="N93" i="105"/>
  <c r="F93" i="105"/>
  <c r="O92" i="105"/>
  <c r="G92" i="105"/>
  <c r="P91" i="105"/>
  <c r="H91" i="105"/>
  <c r="Q90" i="105"/>
  <c r="I90" i="105"/>
  <c r="A90" i="105"/>
  <c r="J89" i="105"/>
  <c r="I199" i="105"/>
  <c r="J197" i="105"/>
  <c r="L195" i="105"/>
  <c r="H193" i="105"/>
  <c r="J191" i="105"/>
  <c r="H189" i="105"/>
  <c r="L187" i="105"/>
  <c r="E186" i="105"/>
  <c r="I184" i="105"/>
  <c r="B183" i="105"/>
  <c r="E181" i="105"/>
  <c r="L179" i="105"/>
  <c r="C178" i="105"/>
  <c r="I176" i="105"/>
  <c r="A175" i="105"/>
  <c r="D173" i="105"/>
  <c r="J171" i="105"/>
  <c r="A170" i="105"/>
  <c r="H168" i="105"/>
  <c r="Q166" i="105"/>
  <c r="D165" i="105"/>
  <c r="L163" i="105"/>
  <c r="A162" i="105"/>
  <c r="K160" i="105"/>
  <c r="H159" i="105"/>
  <c r="B158" i="105"/>
  <c r="P156" i="105"/>
  <c r="M155" i="105"/>
  <c r="L154" i="105"/>
  <c r="N153" i="105"/>
  <c r="O152" i="105"/>
  <c r="Q151" i="105"/>
  <c r="D151" i="105"/>
  <c r="G150" i="105"/>
  <c r="L149" i="105"/>
  <c r="O148" i="105"/>
  <c r="B148" i="105"/>
  <c r="G147" i="105"/>
  <c r="K146" i="105"/>
  <c r="P145" i="105"/>
  <c r="B145" i="105"/>
  <c r="F144" i="105"/>
  <c r="K143" i="105"/>
  <c r="O142" i="105"/>
  <c r="C142" i="105"/>
  <c r="F141" i="105"/>
  <c r="L140" i="105"/>
  <c r="A140" i="105"/>
  <c r="G139" i="105"/>
  <c r="N138" i="105"/>
  <c r="C138" i="105"/>
  <c r="I137" i="105"/>
  <c r="P136" i="105"/>
  <c r="E136" i="105"/>
  <c r="K135" i="105"/>
  <c r="C135" i="105"/>
  <c r="L134" i="105"/>
  <c r="D134" i="105"/>
  <c r="M133" i="105"/>
  <c r="E133" i="105"/>
  <c r="N132" i="105"/>
  <c r="F132" i="105"/>
  <c r="O131" i="105"/>
  <c r="G131" i="105"/>
  <c r="P130" i="105"/>
  <c r="H130" i="105"/>
  <c r="Q129" i="105"/>
  <c r="I129" i="105"/>
  <c r="A129" i="105"/>
  <c r="J128" i="105"/>
  <c r="B128" i="105"/>
  <c r="K127" i="105"/>
  <c r="C127" i="105"/>
  <c r="L126" i="105"/>
  <c r="D126" i="105"/>
  <c r="M125" i="105"/>
  <c r="E125" i="105"/>
  <c r="N124" i="105"/>
  <c r="F124" i="105"/>
  <c r="O123" i="105"/>
  <c r="G123" i="105"/>
  <c r="P122" i="105"/>
  <c r="H122" i="105"/>
  <c r="B199" i="105"/>
  <c r="Q196" i="105"/>
  <c r="Q194" i="105"/>
  <c r="B193" i="105"/>
  <c r="Q190" i="105"/>
  <c r="B189" i="105"/>
  <c r="E187" i="105"/>
  <c r="L185" i="105"/>
  <c r="B184" i="105"/>
  <c r="J182" i="105"/>
  <c r="Q180" i="105"/>
  <c r="F179" i="105"/>
  <c r="J177" i="105"/>
  <c r="C176" i="105"/>
  <c r="I174" i="105"/>
  <c r="B173" i="105"/>
  <c r="E171" i="105"/>
  <c r="J169" i="105"/>
  <c r="B168" i="105"/>
  <c r="I166" i="105"/>
  <c r="Q164" i="105"/>
  <c r="D163" i="105"/>
  <c r="I161" i="105"/>
  <c r="E160" i="105"/>
  <c r="A159" i="105"/>
  <c r="P157" i="105"/>
  <c r="K156" i="105"/>
  <c r="H155" i="105"/>
  <c r="I154" i="105"/>
  <c r="J153" i="105"/>
  <c r="M152" i="105"/>
  <c r="N151" i="105"/>
  <c r="P150" i="105"/>
  <c r="D150" i="105"/>
  <c r="H149" i="105"/>
  <c r="M148" i="105"/>
  <c r="P147" i="105"/>
  <c r="C147" i="105"/>
  <c r="H146" i="105"/>
  <c r="L145" i="105"/>
  <c r="Q144" i="105"/>
  <c r="C144" i="105"/>
  <c r="G143" i="105"/>
  <c r="L142" i="105"/>
  <c r="P141" i="105"/>
  <c r="D141" i="105"/>
  <c r="I140" i="105"/>
  <c r="O139" i="105"/>
  <c r="E139" i="105"/>
  <c r="K138" i="105"/>
  <c r="Q137" i="105"/>
  <c r="G137" i="105"/>
  <c r="M136" i="105"/>
  <c r="B136" i="105"/>
  <c r="I135" i="105"/>
  <c r="A135" i="105"/>
  <c r="J134" i="105"/>
  <c r="B134" i="105"/>
  <c r="K133" i="105"/>
  <c r="C133" i="105"/>
  <c r="L132" i="105"/>
  <c r="D132" i="105"/>
  <c r="M131" i="105"/>
  <c r="E131" i="105"/>
  <c r="N130" i="105"/>
  <c r="F130" i="105"/>
  <c r="O129" i="105"/>
  <c r="G129" i="105"/>
  <c r="P128" i="105"/>
  <c r="H128" i="105"/>
  <c r="Q127" i="105"/>
  <c r="I127" i="105"/>
  <c r="A127" i="105"/>
  <c r="J126" i="105"/>
  <c r="B126" i="105"/>
  <c r="K125" i="105"/>
  <c r="C125" i="105"/>
  <c r="L124" i="105"/>
  <c r="D124" i="105"/>
  <c r="M123" i="105"/>
  <c r="E123" i="105"/>
  <c r="N122" i="105"/>
  <c r="F122" i="105"/>
  <c r="O121" i="105"/>
  <c r="G121" i="105"/>
  <c r="P120" i="105"/>
  <c r="H120" i="105"/>
  <c r="Q119" i="105"/>
  <c r="I119" i="105"/>
  <c r="A119" i="105"/>
  <c r="J118" i="105"/>
  <c r="B118" i="105"/>
  <c r="K117" i="105"/>
  <c r="C117" i="105"/>
  <c r="L116" i="105"/>
  <c r="D116" i="105"/>
  <c r="M115" i="105"/>
  <c r="E115" i="105"/>
  <c r="N114" i="105"/>
  <c r="F114" i="105"/>
  <c r="O113" i="105"/>
  <c r="G113" i="105"/>
  <c r="P112" i="105"/>
  <c r="H112" i="105"/>
  <c r="Q111" i="105"/>
  <c r="I111" i="105"/>
  <c r="A111" i="105"/>
  <c r="J110" i="105"/>
  <c r="B110" i="105"/>
  <c r="K109" i="105"/>
  <c r="C109" i="105"/>
  <c r="L108" i="105"/>
  <c r="D108" i="105"/>
  <c r="M107" i="105"/>
  <c r="E107" i="105"/>
  <c r="N106" i="105"/>
  <c r="F106" i="105"/>
  <c r="O105" i="105"/>
  <c r="G105" i="105"/>
  <c r="P104" i="105"/>
  <c r="H104" i="105"/>
  <c r="Q103" i="105"/>
  <c r="I103" i="105"/>
  <c r="A103" i="105"/>
  <c r="J102" i="105"/>
  <c r="B102" i="105"/>
  <c r="K101" i="105"/>
  <c r="C101" i="105"/>
  <c r="L100" i="105"/>
  <c r="D100" i="105"/>
  <c r="M99" i="105"/>
  <c r="E99" i="105"/>
  <c r="N98" i="105"/>
  <c r="F98" i="105"/>
  <c r="O97" i="105"/>
  <c r="G97" i="105"/>
  <c r="P96" i="105"/>
  <c r="H96" i="105"/>
  <c r="Q95" i="105"/>
  <c r="I95" i="105"/>
  <c r="A95" i="105"/>
  <c r="J94" i="105"/>
  <c r="B94" i="105"/>
  <c r="K93" i="105"/>
  <c r="C93" i="105"/>
  <c r="L92" i="105"/>
  <c r="D92" i="105"/>
  <c r="M91" i="105"/>
  <c r="E91" i="105"/>
  <c r="N90" i="105"/>
  <c r="F90" i="105"/>
  <c r="O89" i="105"/>
  <c r="G89" i="105"/>
  <c r="H199" i="105"/>
  <c r="H194" i="105"/>
  <c r="M188" i="105"/>
  <c r="G184" i="105"/>
  <c r="K180" i="105"/>
  <c r="Q175" i="105"/>
  <c r="H171" i="105"/>
  <c r="J167" i="105"/>
  <c r="B163" i="105"/>
  <c r="D159" i="105"/>
  <c r="H156" i="105"/>
  <c r="G153" i="105"/>
  <c r="B151" i="105"/>
  <c r="E149" i="105"/>
  <c r="B147" i="105"/>
  <c r="A145" i="105"/>
  <c r="D143" i="105"/>
  <c r="A141" i="105"/>
  <c r="F139" i="105"/>
  <c r="O137" i="105"/>
  <c r="A136" i="105"/>
  <c r="K134" i="105"/>
  <c r="I133" i="105"/>
  <c r="C132" i="105"/>
  <c r="O130" i="105"/>
  <c r="M129" i="105"/>
  <c r="G128" i="105"/>
  <c r="B127" i="105"/>
  <c r="Q125" i="105"/>
  <c r="K124" i="105"/>
  <c r="F123" i="105"/>
  <c r="D122" i="105"/>
  <c r="E121" i="105"/>
  <c r="I120" i="105"/>
  <c r="N119" i="105"/>
  <c r="Q118" i="105"/>
  <c r="D118" i="105"/>
  <c r="I117" i="105"/>
  <c r="M116" i="105"/>
  <c r="A116" i="105"/>
  <c r="D115" i="105"/>
  <c r="H114" i="105"/>
  <c r="M113" i="105"/>
  <c r="Q112" i="105"/>
  <c r="E112" i="105"/>
  <c r="H111" i="105"/>
  <c r="L110" i="105"/>
  <c r="Q109" i="105"/>
  <c r="D109" i="105"/>
  <c r="I108" i="105"/>
  <c r="L107" i="105"/>
  <c r="P106" i="105"/>
  <c r="D106" i="105"/>
  <c r="H105" i="105"/>
  <c r="M104" i="105"/>
  <c r="P103" i="105"/>
  <c r="C103" i="105"/>
  <c r="H102" i="105"/>
  <c r="L101" i="105"/>
  <c r="Q100" i="105"/>
  <c r="C100" i="105"/>
  <c r="G99" i="105"/>
  <c r="L98" i="105"/>
  <c r="P97" i="105"/>
  <c r="D97" i="105"/>
  <c r="G96" i="105"/>
  <c r="K95" i="105"/>
  <c r="P94" i="105"/>
  <c r="C94" i="105"/>
  <c r="H93" i="105"/>
  <c r="K92" i="105"/>
  <c r="O91" i="105"/>
  <c r="C91" i="105"/>
  <c r="G90" i="105"/>
  <c r="L89" i="105"/>
  <c r="Q88" i="105"/>
  <c r="H88" i="105"/>
  <c r="P87" i="105"/>
  <c r="G87" i="105"/>
  <c r="O86" i="105"/>
  <c r="E86" i="105"/>
  <c r="M85" i="105"/>
  <c r="D85" i="105"/>
  <c r="L84" i="105"/>
  <c r="C84" i="105"/>
  <c r="K83" i="105"/>
  <c r="B83" i="105"/>
  <c r="J82" i="105"/>
  <c r="B82" i="105"/>
  <c r="K81" i="105"/>
  <c r="C81" i="105"/>
  <c r="L80" i="105"/>
  <c r="D80" i="105"/>
  <c r="M79" i="105"/>
  <c r="E79" i="105"/>
  <c r="N78" i="105"/>
  <c r="F78" i="105"/>
  <c r="O77" i="105"/>
  <c r="G77" i="105"/>
  <c r="P76" i="105"/>
  <c r="H76" i="105"/>
  <c r="Q75" i="105"/>
  <c r="I75" i="105"/>
  <c r="A75" i="105"/>
  <c r="J74" i="105"/>
  <c r="B74" i="105"/>
  <c r="K73" i="105"/>
  <c r="C73" i="105"/>
  <c r="L72" i="105"/>
  <c r="D72" i="105"/>
  <c r="M71" i="105"/>
  <c r="E71" i="105"/>
  <c r="N70" i="105"/>
  <c r="F70" i="105"/>
  <c r="O69" i="105"/>
  <c r="M198" i="105"/>
  <c r="D193" i="105"/>
  <c r="I188" i="105"/>
  <c r="A184" i="105"/>
  <c r="H179" i="105"/>
  <c r="K175" i="105"/>
  <c r="D171" i="105"/>
  <c r="J166" i="105"/>
  <c r="Q162" i="105"/>
  <c r="O158" i="105"/>
  <c r="L155" i="105"/>
  <c r="F153" i="105"/>
  <c r="O150" i="105"/>
  <c r="N148" i="105"/>
  <c r="Q146" i="105"/>
  <c r="N144" i="105"/>
  <c r="M142" i="105"/>
  <c r="Q140" i="105"/>
  <c r="C139" i="105"/>
  <c r="H137" i="105"/>
  <c r="Q135" i="105"/>
  <c r="I134" i="105"/>
  <c r="D133" i="105"/>
  <c r="B132" i="105"/>
  <c r="M130" i="105"/>
  <c r="H129" i="105"/>
  <c r="F128" i="105"/>
  <c r="Q126" i="105"/>
  <c r="L125" i="105"/>
  <c r="J124" i="105"/>
  <c r="D123" i="105"/>
  <c r="Q121" i="105"/>
  <c r="D121" i="105"/>
  <c r="G120" i="105"/>
  <c r="K119" i="105"/>
  <c r="P118" i="105"/>
  <c r="C118" i="105"/>
  <c r="H117" i="105"/>
  <c r="K116" i="105"/>
  <c r="O115" i="105"/>
  <c r="C115" i="105"/>
  <c r="G114" i="105"/>
  <c r="L113" i="105"/>
  <c r="O112" i="105"/>
  <c r="B112" i="105"/>
  <c r="G111" i="105"/>
  <c r="K110" i="105"/>
  <c r="P109" i="105"/>
  <c r="B109" i="105"/>
  <c r="F108" i="105"/>
  <c r="K107" i="105"/>
  <c r="O106" i="105"/>
  <c r="C106" i="105"/>
  <c r="F105" i="105"/>
  <c r="J104" i="105"/>
  <c r="O103" i="105"/>
  <c r="B103" i="105"/>
  <c r="G102" i="105"/>
  <c r="J101" i="105"/>
  <c r="N100" i="105"/>
  <c r="B100" i="105"/>
  <c r="F99" i="105"/>
  <c r="K98" i="105"/>
  <c r="N97" i="105"/>
  <c r="A97" i="105"/>
  <c r="F96" i="105"/>
  <c r="J95" i="105"/>
  <c r="O94" i="105"/>
  <c r="A94" i="105"/>
  <c r="E93" i="105"/>
  <c r="J92" i="105"/>
  <c r="N91" i="105"/>
  <c r="B91" i="105"/>
  <c r="E90" i="105"/>
  <c r="I89" i="105"/>
  <c r="P88" i="105"/>
  <c r="G88" i="105"/>
  <c r="O87" i="105"/>
  <c r="F87" i="105"/>
  <c r="M86" i="105"/>
  <c r="D86" i="105"/>
  <c r="L85" i="105"/>
  <c r="C85" i="105"/>
  <c r="K84" i="105"/>
  <c r="B84" i="105"/>
  <c r="J83" i="105"/>
  <c r="Q82" i="105"/>
  <c r="I82" i="105"/>
  <c r="A82" i="105"/>
  <c r="J81" i="105"/>
  <c r="B81" i="105"/>
  <c r="K80" i="105"/>
  <c r="C80" i="105"/>
  <c r="L79" i="105"/>
  <c r="D79" i="105"/>
  <c r="M78" i="105"/>
  <c r="E78" i="105"/>
  <c r="N77" i="105"/>
  <c r="F77" i="105"/>
  <c r="O76" i="105"/>
  <c r="G76" i="105"/>
  <c r="P75" i="105"/>
  <c r="H75" i="105"/>
  <c r="Q74" i="105"/>
  <c r="I74" i="105"/>
  <c r="A74" i="105"/>
  <c r="J73" i="105"/>
  <c r="B73" i="105"/>
  <c r="K72" i="105"/>
  <c r="C72" i="105"/>
  <c r="L71" i="105"/>
  <c r="D71" i="105"/>
  <c r="M70" i="105"/>
  <c r="E70" i="105"/>
  <c r="N69" i="105"/>
  <c r="F69" i="105"/>
  <c r="O68" i="105"/>
  <c r="G68" i="105"/>
  <c r="P67" i="105"/>
  <c r="H67" i="105"/>
  <c r="Q66" i="105"/>
  <c r="I66" i="105"/>
  <c r="A66" i="105"/>
  <c r="J65" i="105"/>
  <c r="B65" i="105"/>
  <c r="K64" i="105"/>
  <c r="C64" i="105"/>
  <c r="L63" i="105"/>
  <c r="D63" i="105"/>
  <c r="M62" i="105"/>
  <c r="E62" i="105"/>
  <c r="N61" i="105"/>
  <c r="F61" i="105"/>
  <c r="O60" i="105"/>
  <c r="G60" i="105"/>
  <c r="P59" i="105"/>
  <c r="H59" i="105"/>
  <c r="Q58" i="105"/>
  <c r="I58" i="105"/>
  <c r="A58" i="105"/>
  <c r="J57" i="105"/>
  <c r="B57" i="105"/>
  <c r="K56" i="105"/>
  <c r="C56" i="105"/>
  <c r="L55" i="105"/>
  <c r="D55" i="105"/>
  <c r="M54" i="105"/>
  <c r="E54" i="105"/>
  <c r="N53" i="105"/>
  <c r="F53" i="105"/>
  <c r="O52" i="105"/>
  <c r="G52" i="105"/>
  <c r="P51" i="105"/>
  <c r="H51" i="105"/>
  <c r="Q50" i="105"/>
  <c r="I50" i="105"/>
  <c r="A50" i="105"/>
  <c r="J49" i="105"/>
  <c r="B49" i="105"/>
  <c r="K48" i="105"/>
  <c r="C48" i="105"/>
  <c r="L47" i="105"/>
  <c r="I198" i="105"/>
  <c r="O192" i="105"/>
  <c r="J187" i="105"/>
  <c r="L183" i="105"/>
  <c r="B179" i="105"/>
  <c r="K174" i="105"/>
  <c r="P170" i="105"/>
  <c r="D166" i="105"/>
  <c r="P161" i="105"/>
  <c r="N158" i="105"/>
  <c r="E155" i="105"/>
  <c r="N152" i="105"/>
  <c r="M150" i="105"/>
  <c r="J148" i="105"/>
  <c r="I146" i="105"/>
  <c r="M144" i="105"/>
  <c r="K142" i="105"/>
  <c r="J140" i="105"/>
  <c r="B139" i="105"/>
  <c r="E137" i="105"/>
  <c r="J135" i="105"/>
  <c r="H134" i="105"/>
  <c r="B133" i="105"/>
  <c r="N131" i="105"/>
  <c r="L130" i="105"/>
  <c r="F129" i="105"/>
  <c r="A128" i="105"/>
  <c r="P126" i="105"/>
  <c r="J125" i="105"/>
  <c r="E124" i="105"/>
  <c r="C123" i="105"/>
  <c r="P121" i="105"/>
  <c r="A121" i="105"/>
  <c r="F120" i="105"/>
  <c r="J119" i="105"/>
  <c r="O118" i="105"/>
  <c r="A118" i="105"/>
  <c r="E117" i="105"/>
  <c r="J116" i="105"/>
  <c r="N115" i="105"/>
  <c r="B115" i="105"/>
  <c r="E114" i="105"/>
  <c r="I113" i="105"/>
  <c r="N112" i="105"/>
  <c r="A112" i="105"/>
  <c r="F111" i="105"/>
  <c r="I110" i="105"/>
  <c r="M109" i="105"/>
  <c r="A109" i="105"/>
  <c r="E108" i="105"/>
  <c r="J107" i="105"/>
  <c r="M106" i="105"/>
  <c r="Q105" i="105"/>
  <c r="E105" i="105"/>
  <c r="I104" i="105"/>
  <c r="N103" i="105"/>
  <c r="Q102" i="105"/>
  <c r="D102" i="105"/>
  <c r="I101" i="105"/>
  <c r="M100" i="105"/>
  <c r="A100" i="105"/>
  <c r="D99" i="105"/>
  <c r="H98" i="105"/>
  <c r="M97" i="105"/>
  <c r="Q96" i="105"/>
  <c r="E96" i="105"/>
  <c r="H95" i="105"/>
  <c r="L94" i="105"/>
  <c r="Q93" i="105"/>
  <c r="D93" i="105"/>
  <c r="I92" i="105"/>
  <c r="L91" i="105"/>
  <c r="P90" i="105"/>
  <c r="D90" i="105"/>
  <c r="H89" i="105"/>
  <c r="O88" i="105"/>
  <c r="F88" i="105"/>
  <c r="N87" i="105"/>
  <c r="D87" i="105"/>
  <c r="L86" i="105"/>
  <c r="C86" i="105"/>
  <c r="K85" i="105"/>
  <c r="B85" i="105"/>
  <c r="J84" i="105"/>
  <c r="A84" i="105"/>
  <c r="H83" i="105"/>
  <c r="P82" i="105"/>
  <c r="H82" i="105"/>
  <c r="Q81" i="105"/>
  <c r="I81" i="105"/>
  <c r="A81" i="105"/>
  <c r="J80" i="105"/>
  <c r="B80" i="105"/>
  <c r="K79" i="105"/>
  <c r="C79" i="105"/>
  <c r="L78" i="105"/>
  <c r="D78" i="105"/>
  <c r="M77" i="105"/>
  <c r="E77" i="105"/>
  <c r="N76" i="105"/>
  <c r="F76" i="105"/>
  <c r="O75" i="105"/>
  <c r="G75" i="105"/>
  <c r="P74" i="105"/>
  <c r="H74" i="105"/>
  <c r="Q73" i="105"/>
  <c r="I73" i="105"/>
  <c r="A73" i="105"/>
  <c r="J72" i="105"/>
  <c r="B72" i="105"/>
  <c r="K71" i="105"/>
  <c r="C71" i="105"/>
  <c r="L70" i="105"/>
  <c r="D70" i="105"/>
  <c r="M69" i="105"/>
  <c r="E69" i="105"/>
  <c r="N68" i="105"/>
  <c r="F68" i="105"/>
  <c r="O67" i="105"/>
  <c r="G67" i="105"/>
  <c r="P66" i="105"/>
  <c r="H66" i="105"/>
  <c r="Q65" i="105"/>
  <c r="I65" i="105"/>
  <c r="A65" i="105"/>
  <c r="J64" i="105"/>
  <c r="B64" i="105"/>
  <c r="K63" i="105"/>
  <c r="C63" i="105"/>
  <c r="L62" i="105"/>
  <c r="D62" i="105"/>
  <c r="M61" i="105"/>
  <c r="E61" i="105"/>
  <c r="N60" i="105"/>
  <c r="F60" i="105"/>
  <c r="O59" i="105"/>
  <c r="G59" i="105"/>
  <c r="P58" i="105"/>
  <c r="H58" i="105"/>
  <c r="Q57" i="105"/>
  <c r="I57" i="105"/>
  <c r="A57" i="105"/>
  <c r="J56" i="105"/>
  <c r="B56" i="105"/>
  <c r="K55" i="105"/>
  <c r="C55" i="105"/>
  <c r="L54" i="105"/>
  <c r="D54" i="105"/>
  <c r="M53" i="105"/>
  <c r="E53" i="105"/>
  <c r="N52" i="105"/>
  <c r="F52" i="105"/>
  <c r="O51" i="105"/>
  <c r="G51" i="105"/>
  <c r="P50" i="105"/>
  <c r="H50" i="105"/>
  <c r="Q49" i="105"/>
  <c r="I49" i="105"/>
  <c r="A49" i="105"/>
  <c r="J48" i="105"/>
  <c r="B48" i="105"/>
  <c r="K47" i="105"/>
  <c r="C47" i="105"/>
  <c r="L46" i="105"/>
  <c r="D46" i="105"/>
  <c r="M45" i="105"/>
  <c r="E45" i="105"/>
  <c r="N44" i="105"/>
  <c r="F44" i="105"/>
  <c r="O43" i="105"/>
  <c r="D197" i="105"/>
  <c r="I192" i="105"/>
  <c r="D187" i="105"/>
  <c r="K182" i="105"/>
  <c r="Q178" i="105"/>
  <c r="E174" i="105"/>
  <c r="Q169" i="105"/>
  <c r="C166" i="105"/>
  <c r="H161" i="105"/>
  <c r="A158" i="105"/>
  <c r="C155" i="105"/>
  <c r="I152" i="105"/>
  <c r="E150" i="105"/>
  <c r="I148" i="105"/>
  <c r="G146" i="105"/>
  <c r="E144" i="105"/>
  <c r="H142" i="105"/>
  <c r="G140" i="105"/>
  <c r="L138" i="105"/>
  <c r="D137" i="105"/>
  <c r="H135" i="105"/>
  <c r="C134" i="105"/>
  <c r="A133" i="105"/>
  <c r="L131" i="105"/>
  <c r="G130" i="105"/>
  <c r="E129" i="105"/>
  <c r="P127" i="105"/>
  <c r="K126" i="105"/>
  <c r="I125" i="105"/>
  <c r="C124" i="105"/>
  <c r="O122" i="105"/>
  <c r="N121" i="105"/>
  <c r="Q120" i="105"/>
  <c r="E120" i="105"/>
  <c r="H119" i="105"/>
  <c r="L118" i="105"/>
  <c r="Q117" i="105"/>
  <c r="D117" i="105"/>
  <c r="I116" i="105"/>
  <c r="L115" i="105"/>
  <c r="P114" i="105"/>
  <c r="D114" i="105"/>
  <c r="H113" i="105"/>
  <c r="M112" i="105"/>
  <c r="P111" i="105"/>
  <c r="C111" i="105"/>
  <c r="H110" i="105"/>
  <c r="L109" i="105"/>
  <c r="Q108" i="105"/>
  <c r="C108" i="105"/>
  <c r="G107" i="105"/>
  <c r="L106" i="105"/>
  <c r="P105" i="105"/>
  <c r="D105" i="105"/>
  <c r="G104" i="105"/>
  <c r="K103" i="105"/>
  <c r="P102" i="105"/>
  <c r="C102" i="105"/>
  <c r="H101" i="105"/>
  <c r="K100" i="105"/>
  <c r="O99" i="105"/>
  <c r="C99" i="105"/>
  <c r="G98" i="105"/>
  <c r="L97" i="105"/>
  <c r="O96" i="105"/>
  <c r="B96" i="105"/>
  <c r="G95" i="105"/>
  <c r="K94" i="105"/>
  <c r="P93" i="105"/>
  <c r="B93" i="105"/>
  <c r="F92" i="105"/>
  <c r="K91" i="105"/>
  <c r="O90" i="105"/>
  <c r="C90" i="105"/>
  <c r="F89" i="105"/>
  <c r="N88" i="105"/>
  <c r="E88" i="105"/>
  <c r="L87" i="105"/>
  <c r="C87" i="105"/>
  <c r="K86" i="105"/>
  <c r="B86" i="105"/>
  <c r="J85" i="105"/>
  <c r="A85" i="105"/>
  <c r="I84" i="105"/>
  <c r="P83" i="105"/>
  <c r="G83" i="105"/>
  <c r="O82" i="105"/>
  <c r="G82" i="105"/>
  <c r="P81" i="105"/>
  <c r="H81" i="105"/>
  <c r="Q80" i="105"/>
  <c r="I80" i="105"/>
  <c r="A80" i="105"/>
  <c r="J79" i="105"/>
  <c r="B79" i="105"/>
  <c r="K78" i="105"/>
  <c r="C78" i="105"/>
  <c r="L77" i="105"/>
  <c r="D77" i="105"/>
  <c r="M76" i="105"/>
  <c r="E76" i="105"/>
  <c r="N75" i="105"/>
  <c r="F75" i="105"/>
  <c r="O74" i="105"/>
  <c r="G74" i="105"/>
  <c r="P73" i="105"/>
  <c r="K196" i="105"/>
  <c r="L190" i="105"/>
  <c r="Q185" i="105"/>
  <c r="C182" i="105"/>
  <c r="I177" i="105"/>
  <c r="C173" i="105"/>
  <c r="F169" i="105"/>
  <c r="K164" i="105"/>
  <c r="G160" i="105"/>
  <c r="J157" i="105"/>
  <c r="F154" i="105"/>
  <c r="P151" i="105"/>
  <c r="Q149" i="105"/>
  <c r="O147" i="105"/>
  <c r="M145" i="105"/>
  <c r="A144" i="105"/>
  <c r="N141" i="105"/>
  <c r="P139" i="105"/>
  <c r="H138" i="105"/>
  <c r="K136" i="105"/>
  <c r="B135" i="105"/>
  <c r="Q133" i="105"/>
  <c r="K132" i="105"/>
  <c r="F131" i="105"/>
  <c r="D130" i="105"/>
  <c r="O128" i="105"/>
  <c r="J127" i="105"/>
  <c r="H126" i="105"/>
  <c r="B125" i="105"/>
  <c r="N123" i="105"/>
  <c r="L122" i="105"/>
  <c r="I121" i="105"/>
  <c r="N120" i="105"/>
  <c r="A120" i="105"/>
  <c r="F119" i="105"/>
  <c r="I118" i="105"/>
  <c r="M117" i="105"/>
  <c r="A117" i="105"/>
  <c r="E116" i="105"/>
  <c r="J115" i="105"/>
  <c r="M114" i="105"/>
  <c r="Q113" i="105"/>
  <c r="E113" i="105"/>
  <c r="I112" i="105"/>
  <c r="N111" i="105"/>
  <c r="Q110" i="105"/>
  <c r="D110" i="105"/>
  <c r="I109" i="105"/>
  <c r="M108" i="105"/>
  <c r="A108" i="105"/>
  <c r="D107" i="105"/>
  <c r="H106" i="105"/>
  <c r="M105" i="105"/>
  <c r="Q104" i="105"/>
  <c r="E104" i="105"/>
  <c r="H103" i="105"/>
  <c r="L102" i="105"/>
  <c r="Q101" i="105"/>
  <c r="D101" i="105"/>
  <c r="I100" i="105"/>
  <c r="L99" i="105"/>
  <c r="P98" i="105"/>
  <c r="D98" i="105"/>
  <c r="H97" i="105"/>
  <c r="M96" i="105"/>
  <c r="P95" i="105"/>
  <c r="C95" i="105"/>
  <c r="H94" i="105"/>
  <c r="L93" i="105"/>
  <c r="Q92" i="105"/>
  <c r="C92" i="105"/>
  <c r="G91" i="105"/>
  <c r="L90" i="105"/>
  <c r="P89" i="105"/>
  <c r="D89" i="105"/>
  <c r="K88" i="105"/>
  <c r="B88" i="105"/>
  <c r="J87" i="105"/>
  <c r="A87" i="105"/>
  <c r="I86" i="105"/>
  <c r="Q85" i="105"/>
  <c r="H85" i="105"/>
  <c r="O84" i="105"/>
  <c r="F84" i="105"/>
  <c r="N83" i="105"/>
  <c r="E83" i="105"/>
  <c r="M82" i="105"/>
  <c r="E82" i="105"/>
  <c r="N81" i="105"/>
  <c r="F81" i="105"/>
  <c r="O80" i="105"/>
  <c r="G80" i="105"/>
  <c r="P79" i="105"/>
  <c r="H79" i="105"/>
  <c r="Q78" i="105"/>
  <c r="I78" i="105"/>
  <c r="A78" i="105"/>
  <c r="J77" i="105"/>
  <c r="B77" i="105"/>
  <c r="K76" i="105"/>
  <c r="C76" i="105"/>
  <c r="L75" i="105"/>
  <c r="D75" i="105"/>
  <c r="M74" i="105"/>
  <c r="E74" i="105"/>
  <c r="N73" i="105"/>
  <c r="F73" i="105"/>
  <c r="O72" i="105"/>
  <c r="G72" i="105"/>
  <c r="P71" i="105"/>
  <c r="H71" i="105"/>
  <c r="Q70" i="105"/>
  <c r="I70" i="105"/>
  <c r="A70" i="105"/>
  <c r="J69" i="105"/>
  <c r="B69" i="105"/>
  <c r="K68" i="105"/>
  <c r="C68" i="105"/>
  <c r="L67" i="105"/>
  <c r="D67" i="105"/>
  <c r="M66" i="105"/>
  <c r="E66" i="105"/>
  <c r="N65" i="105"/>
  <c r="F65" i="105"/>
  <c r="O64" i="105"/>
  <c r="G64" i="105"/>
  <c r="P63" i="105"/>
  <c r="H63" i="105"/>
  <c r="Q62" i="105"/>
  <c r="I62" i="105"/>
  <c r="A62" i="105"/>
  <c r="J61" i="105"/>
  <c r="B61" i="105"/>
  <c r="K60" i="105"/>
  <c r="C60" i="105"/>
  <c r="L59" i="105"/>
  <c r="D59" i="105"/>
  <c r="M58" i="105"/>
  <c r="E58" i="105"/>
  <c r="N57" i="105"/>
  <c r="F57" i="105"/>
  <c r="O56" i="105"/>
  <c r="G56" i="105"/>
  <c r="P55" i="105"/>
  <c r="H55" i="105"/>
  <c r="Q54" i="105"/>
  <c r="I54" i="105"/>
  <c r="A54" i="105"/>
  <c r="J53" i="105"/>
  <c r="B53" i="105"/>
  <c r="K52" i="105"/>
  <c r="C52" i="105"/>
  <c r="L51" i="105"/>
  <c r="D51" i="105"/>
  <c r="M50" i="105"/>
  <c r="E50" i="105"/>
  <c r="N49" i="105"/>
  <c r="F49" i="105"/>
  <c r="O48" i="105"/>
  <c r="G48" i="105"/>
  <c r="P47" i="105"/>
  <c r="H47" i="105"/>
  <c r="Q46" i="105"/>
  <c r="I46" i="105"/>
  <c r="A46" i="105"/>
  <c r="J45" i="105"/>
  <c r="B45" i="105"/>
  <c r="K44" i="105"/>
  <c r="C44" i="105"/>
  <c r="L43" i="105"/>
  <c r="O196" i="105"/>
  <c r="F185" i="105"/>
  <c r="K172" i="105"/>
  <c r="D161" i="105"/>
  <c r="K153" i="105"/>
  <c r="N147" i="105"/>
  <c r="Q141" i="105"/>
  <c r="P137" i="105"/>
  <c r="L133" i="105"/>
  <c r="E130" i="105"/>
  <c r="G127" i="105"/>
  <c r="L123" i="105"/>
  <c r="O120" i="105"/>
  <c r="B119" i="105"/>
  <c r="Q116" i="105"/>
  <c r="O114" i="105"/>
  <c r="A113" i="105"/>
  <c r="P110" i="105"/>
  <c r="N108" i="105"/>
  <c r="B107" i="105"/>
  <c r="O104" i="105"/>
  <c r="O102" i="105"/>
  <c r="A101" i="105"/>
  <c r="O98" i="105"/>
  <c r="N96" i="105"/>
  <c r="Q94" i="105"/>
  <c r="N92" i="105"/>
  <c r="M90" i="105"/>
  <c r="A89" i="105"/>
  <c r="I87" i="105"/>
  <c r="A86" i="105"/>
  <c r="M84" i="105"/>
  <c r="D83" i="105"/>
  <c r="O81" i="105"/>
  <c r="M80" i="105"/>
  <c r="G79" i="105"/>
  <c r="B78" i="105"/>
  <c r="Q76" i="105"/>
  <c r="K75" i="105"/>
  <c r="F74" i="105"/>
  <c r="E73" i="105"/>
  <c r="F72" i="105"/>
  <c r="G71" i="105"/>
  <c r="H70" i="105"/>
  <c r="I69" i="105"/>
  <c r="M68" i="105"/>
  <c r="A68" i="105"/>
  <c r="E67" i="105"/>
  <c r="J66" i="105"/>
  <c r="M65" i="105"/>
  <c r="Q64" i="105"/>
  <c r="E64" i="105"/>
  <c r="I63" i="105"/>
  <c r="N62" i="105"/>
  <c r="Q61" i="105"/>
  <c r="D61" i="105"/>
  <c r="I60" i="105"/>
  <c r="M59" i="105"/>
  <c r="A59" i="105"/>
  <c r="D58" i="105"/>
  <c r="H57" i="105"/>
  <c r="M56" i="105"/>
  <c r="Q55" i="105"/>
  <c r="E55" i="105"/>
  <c r="H54" i="105"/>
  <c r="L53" i="105"/>
  <c r="Q52" i="105"/>
  <c r="D52" i="105"/>
  <c r="I51" i="105"/>
  <c r="L50" i="105"/>
  <c r="P49" i="105"/>
  <c r="D49" i="105"/>
  <c r="H48" i="105"/>
  <c r="M47" i="105"/>
  <c r="A47" i="105"/>
  <c r="G46" i="105"/>
  <c r="N45" i="105"/>
  <c r="C45" i="105"/>
  <c r="I44" i="105"/>
  <c r="P43" i="105"/>
  <c r="F43" i="105"/>
  <c r="O42" i="105"/>
  <c r="G42" i="105"/>
  <c r="P41" i="105"/>
  <c r="H41" i="105"/>
  <c r="Q40" i="105"/>
  <c r="I40" i="105"/>
  <c r="A40" i="105"/>
  <c r="J39" i="105"/>
  <c r="B39" i="105"/>
  <c r="K38" i="105"/>
  <c r="C38" i="105"/>
  <c r="L37" i="105"/>
  <c r="D37" i="105"/>
  <c r="M36" i="105"/>
  <c r="E36" i="105"/>
  <c r="N35" i="105"/>
  <c r="F35" i="105"/>
  <c r="O34" i="105"/>
  <c r="G34" i="105"/>
  <c r="P33" i="105"/>
  <c r="H33" i="105"/>
  <c r="Q32" i="105"/>
  <c r="I32" i="105"/>
  <c r="A32" i="105"/>
  <c r="J31" i="105"/>
  <c r="B31" i="105"/>
  <c r="K30" i="105"/>
  <c r="C30" i="105"/>
  <c r="L29" i="105"/>
  <c r="D29" i="105"/>
  <c r="M28" i="105"/>
  <c r="E28" i="105"/>
  <c r="N27" i="105"/>
  <c r="F27" i="105"/>
  <c r="O26" i="105"/>
  <c r="G26" i="105"/>
  <c r="P25" i="105"/>
  <c r="H25" i="105"/>
  <c r="Q24" i="105"/>
  <c r="I24" i="105"/>
  <c r="A24" i="105"/>
  <c r="J23" i="105"/>
  <c r="B23" i="105"/>
  <c r="K22" i="105"/>
  <c r="C22" i="105"/>
  <c r="L21" i="105"/>
  <c r="D21" i="105"/>
  <c r="M20" i="105"/>
  <c r="E20" i="105"/>
  <c r="N19" i="105"/>
  <c r="F19" i="105"/>
  <c r="O18" i="105"/>
  <c r="G18" i="105"/>
  <c r="P17" i="105"/>
  <c r="H17" i="105"/>
  <c r="Q16" i="105"/>
  <c r="I16" i="105"/>
  <c r="A16" i="105"/>
  <c r="J15" i="105"/>
  <c r="B15" i="105"/>
  <c r="K14" i="105"/>
  <c r="C14" i="105"/>
  <c r="L13" i="105"/>
  <c r="D13" i="105"/>
  <c r="M12" i="105"/>
  <c r="E12" i="105"/>
  <c r="N11" i="105"/>
  <c r="F11" i="105"/>
  <c r="O10" i="105"/>
  <c r="G10" i="105"/>
  <c r="P9" i="105"/>
  <c r="H9" i="105"/>
  <c r="Q8" i="105"/>
  <c r="I8" i="105"/>
  <c r="A8" i="105"/>
  <c r="I7" i="105"/>
  <c r="A7" i="105"/>
  <c r="I6" i="105"/>
  <c r="A6" i="105"/>
  <c r="I5" i="105"/>
  <c r="A5" i="105"/>
  <c r="I4" i="105"/>
  <c r="Q3" i="105"/>
  <c r="H3" i="105"/>
  <c r="F195" i="105"/>
  <c r="D182" i="105"/>
  <c r="I172" i="105"/>
  <c r="D160" i="105"/>
  <c r="H152" i="105"/>
  <c r="F147" i="105"/>
  <c r="M141" i="105"/>
  <c r="N136" i="105"/>
  <c r="J133" i="105"/>
  <c r="P129" i="105"/>
  <c r="I126" i="105"/>
  <c r="K123" i="105"/>
  <c r="M120" i="105"/>
  <c r="K118" i="105"/>
  <c r="N116" i="105"/>
  <c r="L114" i="105"/>
  <c r="J112" i="105"/>
  <c r="O110" i="105"/>
  <c r="K108" i="105"/>
  <c r="K106" i="105"/>
  <c r="N104" i="105"/>
  <c r="K102" i="105"/>
  <c r="J100" i="105"/>
  <c r="M98" i="105"/>
  <c r="J96" i="105"/>
  <c r="I94" i="105"/>
  <c r="M92" i="105"/>
  <c r="K90" i="105"/>
  <c r="M88" i="105"/>
  <c r="H87" i="105"/>
  <c r="P85" i="105"/>
  <c r="G84" i="105"/>
  <c r="C83" i="105"/>
  <c r="M81" i="105"/>
  <c r="H80" i="105"/>
  <c r="F79" i="105"/>
  <c r="Q77" i="105"/>
  <c r="L76" i="105"/>
  <c r="J75" i="105"/>
  <c r="D74" i="105"/>
  <c r="D73" i="105"/>
  <c r="E72" i="105"/>
  <c r="F71" i="105"/>
  <c r="G70" i="105"/>
  <c r="H69" i="105"/>
  <c r="L68" i="105"/>
  <c r="Q67" i="105"/>
  <c r="C67" i="105"/>
  <c r="G66" i="105"/>
  <c r="L65" i="105"/>
  <c r="P64" i="105"/>
  <c r="D64" i="105"/>
  <c r="G63" i="105"/>
  <c r="K62" i="105"/>
  <c r="P61" i="105"/>
  <c r="C61" i="105"/>
  <c r="H60" i="105"/>
  <c r="K59" i="105"/>
  <c r="O58" i="105"/>
  <c r="C58" i="105"/>
  <c r="G57" i="105"/>
  <c r="L56" i="105"/>
  <c r="O55" i="105"/>
  <c r="B55" i="105"/>
  <c r="G54" i="105"/>
  <c r="K53" i="105"/>
  <c r="P52" i="105"/>
  <c r="B52" i="105"/>
  <c r="F51" i="105"/>
  <c r="K50" i="105"/>
  <c r="O49" i="105"/>
  <c r="C49" i="105"/>
  <c r="F48" i="105"/>
  <c r="J47" i="105"/>
  <c r="P46" i="105"/>
  <c r="F46" i="105"/>
  <c r="L45" i="105"/>
  <c r="A45" i="105"/>
  <c r="H44" i="105"/>
  <c r="N43" i="105"/>
  <c r="E43" i="105"/>
  <c r="N42" i="105"/>
  <c r="F42" i="105"/>
  <c r="O41" i="105"/>
  <c r="G41" i="105"/>
  <c r="P40" i="105"/>
  <c r="H40" i="105"/>
  <c r="Q39" i="105"/>
  <c r="I39" i="105"/>
  <c r="A39" i="105"/>
  <c r="J38" i="105"/>
  <c r="B38" i="105"/>
  <c r="K37" i="105"/>
  <c r="C37" i="105"/>
  <c r="L36" i="105"/>
  <c r="D36" i="105"/>
  <c r="M35" i="105"/>
  <c r="E35" i="105"/>
  <c r="N34" i="105"/>
  <c r="F34" i="105"/>
  <c r="O33" i="105"/>
  <c r="G33" i="105"/>
  <c r="P32" i="105"/>
  <c r="H32" i="105"/>
  <c r="Q31" i="105"/>
  <c r="I31" i="105"/>
  <c r="A31" i="105"/>
  <c r="J30" i="105"/>
  <c r="B30" i="105"/>
  <c r="K29" i="105"/>
  <c r="C29" i="105"/>
  <c r="L28" i="105"/>
  <c r="D28" i="105"/>
  <c r="M27" i="105"/>
  <c r="E27" i="105"/>
  <c r="N26" i="105"/>
  <c r="F26" i="105"/>
  <c r="O25" i="105"/>
  <c r="G25" i="105"/>
  <c r="P24" i="105"/>
  <c r="H24" i="105"/>
  <c r="Q23" i="105"/>
  <c r="I23" i="105"/>
  <c r="A23" i="105"/>
  <c r="J22" i="105"/>
  <c r="B22" i="105"/>
  <c r="K21" i="105"/>
  <c r="C21" i="105"/>
  <c r="L20" i="105"/>
  <c r="D20" i="105"/>
  <c r="M19" i="105"/>
  <c r="E19" i="105"/>
  <c r="N18" i="105"/>
  <c r="F18" i="105"/>
  <c r="O17" i="105"/>
  <c r="G17" i="105"/>
  <c r="P16" i="105"/>
  <c r="H16" i="105"/>
  <c r="Q15" i="105"/>
  <c r="I15" i="105"/>
  <c r="A15" i="105"/>
  <c r="J14" i="105"/>
  <c r="B14" i="105"/>
  <c r="K13" i="105"/>
  <c r="C13" i="105"/>
  <c r="L12" i="105"/>
  <c r="D12" i="105"/>
  <c r="M11" i="105"/>
  <c r="E11" i="105"/>
  <c r="N10" i="105"/>
  <c r="F10" i="105"/>
  <c r="O9" i="105"/>
  <c r="G9" i="105"/>
  <c r="P8" i="105"/>
  <c r="H8" i="105"/>
  <c r="Q7" i="105"/>
  <c r="H7" i="105"/>
  <c r="Q6" i="105"/>
  <c r="H6" i="105"/>
  <c r="Q5" i="105"/>
  <c r="H5" i="105"/>
  <c r="Q4" i="105"/>
  <c r="H4" i="105"/>
  <c r="P3" i="105"/>
  <c r="D3" i="105"/>
  <c r="M194" i="105"/>
  <c r="D181" i="105"/>
  <c r="H169" i="105"/>
  <c r="P159" i="105"/>
  <c r="M151" i="105"/>
  <c r="D146" i="105"/>
  <c r="E141" i="105"/>
  <c r="J136" i="105"/>
  <c r="M132" i="105"/>
  <c r="N129" i="105"/>
  <c r="C126" i="105"/>
  <c r="M122" i="105"/>
  <c r="J120" i="105"/>
  <c r="H118" i="105"/>
  <c r="F116" i="105"/>
  <c r="K114" i="105"/>
  <c r="G112" i="105"/>
  <c r="G110" i="105"/>
  <c r="J108" i="105"/>
  <c r="G106" i="105"/>
  <c r="F104" i="105"/>
  <c r="I102" i="105"/>
  <c r="F100" i="105"/>
  <c r="E98" i="105"/>
  <c r="I96" i="105"/>
  <c r="G94" i="105"/>
  <c r="E92" i="105"/>
  <c r="H90" i="105"/>
  <c r="J88" i="105"/>
  <c r="B87" i="105"/>
  <c r="N85" i="105"/>
  <c r="E84" i="105"/>
  <c r="N82" i="105"/>
  <c r="L81" i="105"/>
  <c r="F80" i="105"/>
  <c r="A79" i="105"/>
  <c r="P77" i="105"/>
  <c r="J76" i="105"/>
  <c r="E75" i="105"/>
  <c r="C74" i="105"/>
  <c r="Q72" i="105"/>
  <c r="A72" i="105"/>
  <c r="B71" i="105"/>
  <c r="C70" i="105"/>
  <c r="G69" i="105"/>
  <c r="J68" i="105"/>
  <c r="N67" i="105"/>
  <c r="B67" i="105"/>
  <c r="F66" i="105"/>
  <c r="K65" i="105"/>
  <c r="N64" i="105"/>
  <c r="A64" i="105"/>
  <c r="F63" i="105"/>
  <c r="J62" i="105"/>
  <c r="O61" i="105"/>
  <c r="A61" i="105"/>
  <c r="E60" i="105"/>
  <c r="J59" i="105"/>
  <c r="N58" i="105"/>
  <c r="B58" i="105"/>
  <c r="E57" i="105"/>
  <c r="I56" i="105"/>
  <c r="N55" i="105"/>
  <c r="A55" i="105"/>
  <c r="F54" i="105"/>
  <c r="I53" i="105"/>
  <c r="M52" i="105"/>
  <c r="A52" i="105"/>
  <c r="E51" i="105"/>
  <c r="J50" i="105"/>
  <c r="M49" i="105"/>
  <c r="Q48" i="105"/>
  <c r="E48" i="105"/>
  <c r="I47" i="105"/>
  <c r="O46" i="105"/>
  <c r="E46" i="105"/>
  <c r="K45" i="105"/>
  <c r="Q44" i="105"/>
  <c r="G44" i="105"/>
  <c r="M43" i="105"/>
  <c r="D43" i="105"/>
  <c r="M42" i="105"/>
  <c r="E42" i="105"/>
  <c r="N41" i="105"/>
  <c r="F41" i="105"/>
  <c r="O40" i="105"/>
  <c r="G40" i="105"/>
  <c r="P39" i="105"/>
  <c r="H39" i="105"/>
  <c r="Q38" i="105"/>
  <c r="I38" i="105"/>
  <c r="A38" i="105"/>
  <c r="J37" i="105"/>
  <c r="B37" i="105"/>
  <c r="K36" i="105"/>
  <c r="C36" i="105"/>
  <c r="L35" i="105"/>
  <c r="D35" i="105"/>
  <c r="M34" i="105"/>
  <c r="E34" i="105"/>
  <c r="N33" i="105"/>
  <c r="F33" i="105"/>
  <c r="O32" i="105"/>
  <c r="G32" i="105"/>
  <c r="P31" i="105"/>
  <c r="H31" i="105"/>
  <c r="Q30" i="105"/>
  <c r="I30" i="105"/>
  <c r="A30" i="105"/>
  <c r="J29" i="105"/>
  <c r="B29" i="105"/>
  <c r="K28" i="105"/>
  <c r="C28" i="105"/>
  <c r="L27" i="105"/>
  <c r="D27" i="105"/>
  <c r="M26" i="105"/>
  <c r="E26" i="105"/>
  <c r="N25" i="105"/>
  <c r="F25" i="105"/>
  <c r="O24" i="105"/>
  <c r="G24" i="105"/>
  <c r="P23" i="105"/>
  <c r="H23" i="105"/>
  <c r="Q22" i="105"/>
  <c r="I22" i="105"/>
  <c r="A22" i="105"/>
  <c r="J21" i="105"/>
  <c r="B21" i="105"/>
  <c r="K20" i="105"/>
  <c r="C20" i="105"/>
  <c r="L19" i="105"/>
  <c r="D19" i="105"/>
  <c r="M18" i="105"/>
  <c r="E18" i="105"/>
  <c r="N17" i="105"/>
  <c r="F17" i="105"/>
  <c r="O16" i="105"/>
  <c r="G16" i="105"/>
  <c r="P15" i="105"/>
  <c r="H15" i="105"/>
  <c r="Q14" i="105"/>
  <c r="I14" i="105"/>
  <c r="A14" i="105"/>
  <c r="J13" i="105"/>
  <c r="B13" i="105"/>
  <c r="K12" i="105"/>
  <c r="C12" i="105"/>
  <c r="L11" i="105"/>
  <c r="D11" i="105"/>
  <c r="M10" i="105"/>
  <c r="E10" i="105"/>
  <c r="N9" i="105"/>
  <c r="F9" i="105"/>
  <c r="O8" i="105"/>
  <c r="G8" i="105"/>
  <c r="P7" i="105"/>
  <c r="G7" i="105"/>
  <c r="P6" i="105"/>
  <c r="G6" i="105"/>
  <c r="P5" i="105"/>
  <c r="G5" i="105"/>
  <c r="P4" i="105"/>
  <c r="G4" i="105"/>
  <c r="O3" i="105"/>
  <c r="C3" i="105"/>
  <c r="D191" i="105"/>
  <c r="L180" i="105"/>
  <c r="C168" i="105"/>
  <c r="K157" i="105"/>
  <c r="L151" i="105"/>
  <c r="J145" i="105"/>
  <c r="F140" i="105"/>
  <c r="C136" i="105"/>
  <c r="J132" i="105"/>
  <c r="Q128" i="105"/>
  <c r="A126" i="105"/>
  <c r="G122" i="105"/>
  <c r="B120" i="105"/>
  <c r="G118" i="105"/>
  <c r="C116" i="105"/>
  <c r="C114" i="105"/>
  <c r="F112" i="105"/>
  <c r="C110" i="105"/>
  <c r="B108" i="105"/>
  <c r="E106" i="105"/>
  <c r="B104" i="105"/>
  <c r="A102" i="105"/>
  <c r="E100" i="105"/>
  <c r="C98" i="105"/>
  <c r="A96" i="105"/>
  <c r="D94" i="105"/>
  <c r="B92" i="105"/>
  <c r="Q89" i="105"/>
  <c r="I88" i="105"/>
  <c r="Q86" i="105"/>
  <c r="I85" i="105"/>
  <c r="D84" i="105"/>
  <c r="L82" i="105"/>
  <c r="G81" i="105"/>
  <c r="E80" i="105"/>
  <c r="P78" i="105"/>
  <c r="K77" i="105"/>
  <c r="I76" i="105"/>
  <c r="C75" i="105"/>
  <c r="O73" i="105"/>
  <c r="P72" i="105"/>
  <c r="Q71" i="105"/>
  <c r="A71" i="105"/>
  <c r="B70" i="105"/>
  <c r="D69" i="105"/>
  <c r="I68" i="105"/>
  <c r="M67" i="105"/>
  <c r="A67" i="105"/>
  <c r="D66" i="105"/>
  <c r="H65" i="105"/>
  <c r="M64" i="105"/>
  <c r="Q63" i="105"/>
  <c r="E63" i="105"/>
  <c r="H62" i="105"/>
  <c r="L61" i="105"/>
  <c r="Q60" i="105"/>
  <c r="D60" i="105"/>
  <c r="I59" i="105"/>
  <c r="L58" i="105"/>
  <c r="P57" i="105"/>
  <c r="D57" i="105"/>
  <c r="H56" i="105"/>
  <c r="M55" i="105"/>
  <c r="P54" i="105"/>
  <c r="C54" i="105"/>
  <c r="H53" i="105"/>
  <c r="L52" i="105"/>
  <c r="Q51" i="105"/>
  <c r="C51" i="105"/>
  <c r="G50" i="105"/>
  <c r="L49" i="105"/>
  <c r="P48" i="105"/>
  <c r="D48" i="105"/>
  <c r="G47" i="105"/>
  <c r="N46" i="105"/>
  <c r="C46" i="105"/>
  <c r="I45" i="105"/>
  <c r="P44" i="105"/>
  <c r="E44" i="105"/>
  <c r="K43" i="105"/>
  <c r="C43" i="105"/>
  <c r="L42" i="105"/>
  <c r="D42" i="105"/>
  <c r="M41" i="105"/>
  <c r="E41" i="105"/>
  <c r="N40" i="105"/>
  <c r="F40" i="105"/>
  <c r="O39" i="105"/>
  <c r="G39" i="105"/>
  <c r="P38" i="105"/>
  <c r="H38" i="105"/>
  <c r="Q37" i="105"/>
  <c r="I37" i="105"/>
  <c r="A37" i="105"/>
  <c r="J36" i="105"/>
  <c r="B36" i="105"/>
  <c r="K35" i="105"/>
  <c r="C35" i="105"/>
  <c r="L34" i="105"/>
  <c r="D34" i="105"/>
  <c r="M33" i="105"/>
  <c r="E33" i="105"/>
  <c r="N32" i="105"/>
  <c r="F32" i="105"/>
  <c r="O31" i="105"/>
  <c r="G31" i="105"/>
  <c r="P30" i="105"/>
  <c r="H30" i="105"/>
  <c r="Q29" i="105"/>
  <c r="I29" i="105"/>
  <c r="A29" i="105"/>
  <c r="J28" i="105"/>
  <c r="B28" i="105"/>
  <c r="K27" i="105"/>
  <c r="C27" i="105"/>
  <c r="L26" i="105"/>
  <c r="D26" i="105"/>
  <c r="M25" i="105"/>
  <c r="E25" i="105"/>
  <c r="N24" i="105"/>
  <c r="F24" i="105"/>
  <c r="O23" i="105"/>
  <c r="G23" i="105"/>
  <c r="P22" i="105"/>
  <c r="H22" i="105"/>
  <c r="Q21" i="105"/>
  <c r="I21" i="105"/>
  <c r="A21" i="105"/>
  <c r="J20" i="105"/>
  <c r="B20" i="105"/>
  <c r="K19" i="105"/>
  <c r="C19" i="105"/>
  <c r="L18" i="105"/>
  <c r="D18" i="105"/>
  <c r="M17" i="105"/>
  <c r="E17" i="105"/>
  <c r="N16" i="105"/>
  <c r="F16" i="105"/>
  <c r="O15" i="105"/>
  <c r="G15" i="105"/>
  <c r="P14" i="105"/>
  <c r="H14" i="105"/>
  <c r="Q13" i="105"/>
  <c r="I13" i="105"/>
  <c r="A13" i="105"/>
  <c r="J12" i="105"/>
  <c r="B12" i="105"/>
  <c r="K11" i="105"/>
  <c r="C11" i="105"/>
  <c r="L10" i="105"/>
  <c r="D10" i="105"/>
  <c r="M9" i="105"/>
  <c r="E9" i="105"/>
  <c r="N8" i="105"/>
  <c r="F8" i="105"/>
  <c r="O7" i="105"/>
  <c r="F7" i="105"/>
  <c r="O6" i="105"/>
  <c r="F6" i="105"/>
  <c r="O5" i="105"/>
  <c r="F5" i="105"/>
  <c r="O4" i="105"/>
  <c r="F4" i="105"/>
  <c r="N3" i="105"/>
  <c r="A3" i="105"/>
  <c r="F189" i="105"/>
  <c r="D177" i="105"/>
  <c r="B165" i="105"/>
  <c r="I156" i="105"/>
  <c r="I149" i="105"/>
  <c r="B144" i="105"/>
  <c r="M139" i="105"/>
  <c r="Q134" i="105"/>
  <c r="K131" i="105"/>
  <c r="I128" i="105"/>
  <c r="A125" i="105"/>
  <c r="M121" i="105"/>
  <c r="O119" i="105"/>
  <c r="L117" i="105"/>
  <c r="K115" i="105"/>
  <c r="N113" i="105"/>
  <c r="K111" i="105"/>
  <c r="J109" i="105"/>
  <c r="N107" i="105"/>
  <c r="L105" i="105"/>
  <c r="J103" i="105"/>
  <c r="M101" i="105"/>
  <c r="K99" i="105"/>
  <c r="I97" i="105"/>
  <c r="N95" i="105"/>
  <c r="J93" i="105"/>
  <c r="J91" i="105"/>
  <c r="M89" i="105"/>
  <c r="A88" i="105"/>
  <c r="J86" i="105"/>
  <c r="E85" i="105"/>
  <c r="M83" i="105"/>
  <c r="F82" i="105"/>
  <c r="D81" i="105"/>
  <c r="O79" i="105"/>
  <c r="J78" i="105"/>
  <c r="H77" i="105"/>
  <c r="B76" i="105"/>
  <c r="N74" i="105"/>
  <c r="L73" i="105"/>
  <c r="M72" i="105"/>
  <c r="N71" i="105"/>
  <c r="O70" i="105"/>
  <c r="P69" i="105"/>
  <c r="A69" i="105"/>
  <c r="E68" i="105"/>
  <c r="J67" i="105"/>
  <c r="N66" i="105"/>
  <c r="B66" i="105"/>
  <c r="E65" i="105"/>
  <c r="I64" i="105"/>
  <c r="N63" i="105"/>
  <c r="A63" i="105"/>
  <c r="F62" i="105"/>
  <c r="I61" i="105"/>
  <c r="M60" i="105"/>
  <c r="A60" i="105"/>
  <c r="E59" i="105"/>
  <c r="J58" i="105"/>
  <c r="M57" i="105"/>
  <c r="Q56" i="105"/>
  <c r="E56" i="105"/>
  <c r="I55" i="105"/>
  <c r="N54" i="105"/>
  <c r="Q53" i="105"/>
  <c r="D53" i="105"/>
  <c r="I52" i="105"/>
  <c r="M51" i="105"/>
  <c r="A51" i="105"/>
  <c r="D50" i="105"/>
  <c r="H49" i="105"/>
  <c r="M48" i="105"/>
  <c r="Q47" i="105"/>
  <c r="E47" i="105"/>
  <c r="K46" i="105"/>
  <c r="Q45" i="105"/>
  <c r="G45" i="105"/>
  <c r="M44" i="105"/>
  <c r="B44" i="105"/>
  <c r="I43" i="105"/>
  <c r="A43" i="105"/>
  <c r="J42" i="105"/>
  <c r="B42" i="105"/>
  <c r="K41" i="105"/>
  <c r="C41" i="105"/>
  <c r="L40" i="105"/>
  <c r="D40" i="105"/>
  <c r="M39" i="105"/>
  <c r="E39" i="105"/>
  <c r="N38" i="105"/>
  <c r="F38" i="105"/>
  <c r="O37" i="105"/>
  <c r="G37" i="105"/>
  <c r="P36" i="105"/>
  <c r="H36" i="105"/>
  <c r="Q35" i="105"/>
  <c r="I35" i="105"/>
  <c r="A35" i="105"/>
  <c r="J34" i="105"/>
  <c r="B34" i="105"/>
  <c r="K33" i="105"/>
  <c r="C33" i="105"/>
  <c r="L32" i="105"/>
  <c r="D32" i="105"/>
  <c r="M31" i="105"/>
  <c r="E31" i="105"/>
  <c r="N30" i="105"/>
  <c r="F30" i="105"/>
  <c r="O29" i="105"/>
  <c r="G29" i="105"/>
  <c r="P28" i="105"/>
  <c r="H28" i="105"/>
  <c r="Q27" i="105"/>
  <c r="I27" i="105"/>
  <c r="A27" i="105"/>
  <c r="J26" i="105"/>
  <c r="B26" i="105"/>
  <c r="K25" i="105"/>
  <c r="C25" i="105"/>
  <c r="L24" i="105"/>
  <c r="D24" i="105"/>
  <c r="M23" i="105"/>
  <c r="E23" i="105"/>
  <c r="N22" i="105"/>
  <c r="F22" i="105"/>
  <c r="O21" i="105"/>
  <c r="G21" i="105"/>
  <c r="P20" i="105"/>
  <c r="H20" i="105"/>
  <c r="Q19" i="105"/>
  <c r="I19" i="105"/>
  <c r="A19" i="105"/>
  <c r="J18" i="105"/>
  <c r="B18" i="105"/>
  <c r="K17" i="105"/>
  <c r="C17" i="105"/>
  <c r="L16" i="105"/>
  <c r="D16" i="105"/>
  <c r="M15" i="105"/>
  <c r="E15" i="105"/>
  <c r="N14" i="105"/>
  <c r="F14" i="105"/>
  <c r="O13" i="105"/>
  <c r="G13" i="105"/>
  <c r="P12" i="105"/>
  <c r="H12" i="105"/>
  <c r="Q11" i="105"/>
  <c r="I11" i="105"/>
  <c r="A11" i="105"/>
  <c r="J10" i="105"/>
  <c r="B10" i="105"/>
  <c r="K9" i="105"/>
  <c r="C9" i="105"/>
  <c r="L8" i="105"/>
  <c r="D8" i="105"/>
  <c r="M7" i="105"/>
  <c r="D7" i="105"/>
  <c r="M6" i="105"/>
  <c r="D6" i="105"/>
  <c r="M5" i="105"/>
  <c r="D5" i="105"/>
  <c r="M4" i="105"/>
  <c r="D4" i="105"/>
  <c r="L3" i="105"/>
  <c r="Q186" i="105"/>
  <c r="E176" i="105"/>
  <c r="G164" i="105"/>
  <c r="J154" i="105"/>
  <c r="F149" i="105"/>
  <c r="J143" i="105"/>
  <c r="I138" i="105"/>
  <c r="P134" i="105"/>
  <c r="D131" i="105"/>
  <c r="O127" i="105"/>
  <c r="M124" i="105"/>
  <c r="H121" i="105"/>
  <c r="G119" i="105"/>
  <c r="J117" i="105"/>
  <c r="G115" i="105"/>
  <c r="F113" i="105"/>
  <c r="J111" i="105"/>
  <c r="H109" i="105"/>
  <c r="F107" i="105"/>
  <c r="I105" i="105"/>
  <c r="G103" i="105"/>
  <c r="E101" i="105"/>
  <c r="J99" i="105"/>
  <c r="F97" i="105"/>
  <c r="F95" i="105"/>
  <c r="I93" i="105"/>
  <c r="F91" i="105"/>
  <c r="E89" i="105"/>
  <c r="Q87" i="105"/>
  <c r="H86" i="105"/>
  <c r="Q84" i="105"/>
  <c r="L83" i="105"/>
  <c r="D82" i="105"/>
  <c r="P80" i="105"/>
  <c r="N79" i="105"/>
  <c r="H78" i="105"/>
  <c r="C77" i="105"/>
  <c r="A76" i="105"/>
  <c r="L74" i="105"/>
  <c r="H73" i="105"/>
  <c r="I72" i="105"/>
  <c r="J71" i="105"/>
  <c r="K70" i="105"/>
  <c r="L69" i="105"/>
  <c r="Q68" i="105"/>
  <c r="D68" i="105"/>
  <c r="I67" i="105"/>
  <c r="L66" i="105"/>
  <c r="P65" i="105"/>
  <c r="D65" i="105"/>
  <c r="H64" i="105"/>
  <c r="M63" i="105"/>
  <c r="P62" i="105"/>
  <c r="C62" i="105"/>
  <c r="H61" i="105"/>
  <c r="L60" i="105"/>
  <c r="Q59" i="105"/>
  <c r="C59" i="105"/>
  <c r="G58" i="105"/>
  <c r="L57" i="105"/>
  <c r="P56" i="105"/>
  <c r="D56" i="105"/>
  <c r="G55" i="105"/>
  <c r="K54" i="105"/>
  <c r="P53" i="105"/>
  <c r="C53" i="105"/>
  <c r="H52" i="105"/>
  <c r="K51" i="105"/>
  <c r="O50" i="105"/>
  <c r="C50" i="105"/>
  <c r="G49" i="105"/>
  <c r="L48" i="105"/>
  <c r="O47" i="105"/>
  <c r="D47" i="105"/>
  <c r="J46" i="105"/>
  <c r="P45" i="105"/>
  <c r="F45" i="105"/>
  <c r="L44" i="105"/>
  <c r="A44" i="105"/>
  <c r="H43" i="105"/>
  <c r="Q42" i="105"/>
  <c r="I42" i="105"/>
  <c r="A42" i="105"/>
  <c r="J41" i="105"/>
  <c r="B41" i="105"/>
  <c r="L4" i="105"/>
  <c r="E7" i="105"/>
  <c r="Q9" i="105"/>
  <c r="G12" i="105"/>
  <c r="O14" i="105"/>
  <c r="I17" i="105"/>
  <c r="P19" i="105"/>
  <c r="G22" i="105"/>
  <c r="A25" i="105"/>
  <c r="H27" i="105"/>
  <c r="P29" i="105"/>
  <c r="J32" i="105"/>
  <c r="Q34" i="105"/>
  <c r="H37" i="105"/>
  <c r="B40" i="105"/>
  <c r="G43" i="105"/>
  <c r="I48" i="105"/>
  <c r="J54" i="105"/>
  <c r="J60" i="105"/>
  <c r="K66" i="105"/>
  <c r="G73" i="105"/>
  <c r="F83" i="105"/>
  <c r="E97" i="105"/>
  <c r="A134" i="105"/>
  <c r="M3" i="105"/>
  <c r="C5" i="105"/>
  <c r="J6" i="105"/>
  <c r="N7" i="105"/>
  <c r="B9" i="105"/>
  <c r="H10" i="105"/>
  <c r="J11" i="105"/>
  <c r="O12" i="105"/>
  <c r="D14" i="105"/>
  <c r="F15" i="105"/>
  <c r="K16" i="105"/>
  <c r="Q17" i="105"/>
  <c r="B19" i="105"/>
  <c r="G20" i="105"/>
  <c r="M21" i="105"/>
  <c r="O22" i="105"/>
  <c r="C24" i="105"/>
  <c r="I25" i="105"/>
  <c r="K26" i="105"/>
  <c r="P27" i="105"/>
  <c r="E29" i="105"/>
  <c r="G30" i="105"/>
  <c r="L31" i="105"/>
  <c r="A33" i="105"/>
  <c r="C34" i="105"/>
  <c r="H35" i="105"/>
  <c r="N36" i="105"/>
  <c r="P37" i="105"/>
  <c r="D39" i="105"/>
  <c r="J40" i="105"/>
  <c r="C42" i="105"/>
  <c r="D44" i="105"/>
  <c r="M46" i="105"/>
  <c r="K49" i="105"/>
  <c r="J52" i="105"/>
  <c r="J55" i="105"/>
  <c r="K58" i="105"/>
  <c r="K61" i="105"/>
  <c r="L64" i="105"/>
  <c r="K67" i="105"/>
  <c r="P70" i="105"/>
  <c r="B75" i="105"/>
  <c r="Q79" i="105"/>
  <c r="F85" i="105"/>
  <c r="A92" i="105"/>
  <c r="N99" i="105"/>
  <c r="O107" i="105"/>
  <c r="N139" i="105"/>
  <c r="C4" i="105"/>
  <c r="J5" i="105"/>
  <c r="N6" i="105"/>
  <c r="C8" i="105"/>
  <c r="I9" i="105"/>
  <c r="K10" i="105"/>
  <c r="P11" i="105"/>
  <c r="E13" i="105"/>
  <c r="G14" i="105"/>
  <c r="L15" i="105"/>
  <c r="A17" i="105"/>
  <c r="C18" i="105"/>
  <c r="H19" i="105"/>
  <c r="N20" i="105"/>
  <c r="P21" i="105"/>
  <c r="D23" i="105"/>
  <c r="J24" i="105"/>
  <c r="L25" i="105"/>
  <c r="Q26" i="105"/>
  <c r="F28" i="105"/>
  <c r="H29" i="105"/>
  <c r="M30" i="105"/>
  <c r="B32" i="105"/>
  <c r="D33" i="105"/>
  <c r="I34" i="105"/>
  <c r="O35" i="105"/>
  <c r="Q36" i="105"/>
  <c r="E38" i="105"/>
  <c r="K39" i="105"/>
  <c r="M40" i="105"/>
  <c r="K42" i="105"/>
  <c r="O44" i="105"/>
  <c r="F47" i="105"/>
  <c r="F50" i="105"/>
  <c r="G53" i="105"/>
  <c r="F56" i="105"/>
  <c r="F59" i="105"/>
  <c r="G62" i="105"/>
  <c r="G65" i="105"/>
  <c r="H68" i="105"/>
  <c r="O71" i="105"/>
  <c r="D76" i="105"/>
  <c r="E81" i="105"/>
  <c r="P86" i="105"/>
  <c r="M93" i="105"/>
  <c r="P101" i="105"/>
  <c r="A110" i="105"/>
  <c r="P117" i="105"/>
  <c r="N128" i="105"/>
  <c r="I145" i="105"/>
  <c r="A178" i="105"/>
  <c r="D125" i="105"/>
  <c r="E4" i="105"/>
  <c r="L5" i="105"/>
  <c r="B7" i="105"/>
  <c r="E8" i="105"/>
  <c r="J9" i="105"/>
  <c r="P10" i="105"/>
  <c r="A12" i="105"/>
  <c r="F13" i="105"/>
  <c r="L14" i="105"/>
  <c r="N15" i="105"/>
  <c r="B17" i="105"/>
  <c r="H18" i="105"/>
  <c r="J19" i="105"/>
  <c r="O20" i="105"/>
  <c r="D22" i="105"/>
  <c r="F23" i="105"/>
  <c r="K24" i="105"/>
  <c r="Q25" i="105"/>
  <c r="B27" i="105"/>
  <c r="G28" i="105"/>
  <c r="M29" i="105"/>
  <c r="O30" i="105"/>
  <c r="C32" i="105"/>
  <c r="I33" i="105"/>
  <c r="K34" i="105"/>
  <c r="P35" i="105"/>
  <c r="E37" i="105"/>
  <c r="G38" i="105"/>
  <c r="L39" i="105"/>
  <c r="A41" i="105"/>
  <c r="P42" i="105"/>
  <c r="D45" i="105"/>
  <c r="N47" i="105"/>
  <c r="N50" i="105"/>
  <c r="O53" i="105"/>
  <c r="N56" i="105"/>
  <c r="N59" i="105"/>
  <c r="O62" i="105"/>
  <c r="O65" i="105"/>
  <c r="P68" i="105"/>
  <c r="H72" i="105"/>
  <c r="A77" i="105"/>
  <c r="C82" i="105"/>
  <c r="K87" i="105"/>
  <c r="B95" i="105"/>
  <c r="F103" i="105"/>
  <c r="B111" i="105"/>
  <c r="C119" i="105"/>
  <c r="C131" i="105"/>
  <c r="A148" i="105"/>
  <c r="J185" i="105"/>
  <c r="B116" i="105"/>
  <c r="J4" i="105"/>
  <c r="N5" i="105"/>
  <c r="C7" i="105"/>
  <c r="J8" i="105"/>
  <c r="L9" i="105"/>
  <c r="Q10" i="105"/>
  <c r="F12" i="105"/>
  <c r="H13" i="105"/>
  <c r="M14" i="105"/>
  <c r="B16" i="105"/>
  <c r="D17" i="105"/>
  <c r="I18" i="105"/>
  <c r="O19" i="105"/>
  <c r="Q20" i="105"/>
  <c r="E22" i="105"/>
  <c r="K23" i="105"/>
  <c r="M24" i="105"/>
  <c r="A26" i="105"/>
  <c r="G27" i="105"/>
  <c r="I28" i="105"/>
  <c r="N29" i="105"/>
  <c r="C31" i="105"/>
  <c r="E32" i="105"/>
  <c r="J33" i="105"/>
  <c r="P34" i="105"/>
  <c r="A36" i="105"/>
  <c r="F37" i="105"/>
  <c r="L38" i="105"/>
  <c r="N39" i="105"/>
  <c r="D41" i="105"/>
  <c r="B43" i="105"/>
  <c r="H45" i="105"/>
  <c r="A48" i="105"/>
  <c r="B51" i="105"/>
  <c r="B54" i="105"/>
  <c r="C57" i="105"/>
  <c r="B60" i="105"/>
  <c r="B63" i="105"/>
  <c r="C66" i="105"/>
  <c r="C69" i="105"/>
  <c r="N72" i="105"/>
  <c r="I77" i="105"/>
  <c r="K82" i="105"/>
  <c r="C88" i="105"/>
  <c r="O95" i="105"/>
  <c r="A104" i="105"/>
  <c r="O111" i="105"/>
  <c r="P119" i="105"/>
  <c r="E132" i="105"/>
  <c r="C150" i="105"/>
  <c r="K190" i="105"/>
  <c r="P200" i="90"/>
  <c r="H200" i="90"/>
  <c r="Q199" i="90"/>
  <c r="I199" i="90"/>
  <c r="A199" i="90"/>
  <c r="J198" i="90"/>
  <c r="B198" i="90"/>
  <c r="K197" i="90"/>
  <c r="C197" i="90"/>
  <c r="L196" i="90"/>
  <c r="D196" i="90"/>
  <c r="M195" i="90"/>
  <c r="E195" i="90"/>
  <c r="N194" i="90"/>
  <c r="F194" i="90"/>
  <c r="O193" i="90"/>
  <c r="G193" i="90"/>
  <c r="P192" i="90"/>
  <c r="H192" i="90"/>
  <c r="Q191" i="90"/>
  <c r="I191" i="90"/>
  <c r="A191" i="90"/>
  <c r="J190" i="90"/>
  <c r="B190" i="90"/>
  <c r="K189" i="90"/>
  <c r="C189" i="90"/>
  <c r="L188" i="90"/>
  <c r="D188" i="90"/>
  <c r="M187" i="90"/>
  <c r="E187" i="90"/>
  <c r="N186" i="90"/>
  <c r="F186" i="90"/>
  <c r="O185" i="90"/>
  <c r="G185" i="90"/>
  <c r="P184" i="90"/>
  <c r="H184" i="90"/>
  <c r="Q183" i="90"/>
  <c r="I183" i="90"/>
  <c r="A183" i="90"/>
  <c r="J182" i="90"/>
  <c r="B182" i="90"/>
  <c r="K181" i="90"/>
  <c r="C181" i="90"/>
  <c r="L180" i="90"/>
  <c r="D180" i="90"/>
  <c r="M179" i="90"/>
  <c r="E179" i="90"/>
  <c r="N178" i="90"/>
  <c r="F178" i="90"/>
  <c r="O177" i="90"/>
  <c r="G177" i="90"/>
  <c r="P176" i="90"/>
  <c r="H176" i="90"/>
  <c r="Q175" i="90"/>
  <c r="I175" i="90"/>
  <c r="A175" i="90"/>
  <c r="J174" i="90"/>
  <c r="B174" i="90"/>
  <c r="K173" i="90"/>
  <c r="C173" i="90"/>
  <c r="L172" i="90"/>
  <c r="D172" i="90"/>
  <c r="M171" i="90"/>
  <c r="E171" i="90"/>
  <c r="N170" i="90"/>
  <c r="F170" i="90"/>
  <c r="O169" i="90"/>
  <c r="G169" i="90"/>
  <c r="P168" i="90"/>
  <c r="H168" i="90"/>
  <c r="Q167" i="90"/>
  <c r="I167" i="90"/>
  <c r="A167" i="90"/>
  <c r="J166" i="90"/>
  <c r="B166" i="90"/>
  <c r="K165" i="90"/>
  <c r="C165" i="90"/>
  <c r="L164" i="90"/>
  <c r="D164" i="90"/>
  <c r="M163" i="90"/>
  <c r="E163" i="90"/>
  <c r="N162" i="90"/>
  <c r="F162" i="90"/>
  <c r="O161" i="90"/>
  <c r="G161" i="90"/>
  <c r="N200" i="90"/>
  <c r="F200" i="90"/>
  <c r="O199" i="90"/>
  <c r="G199" i="90"/>
  <c r="P198" i="90"/>
  <c r="H198" i="90"/>
  <c r="Q197" i="90"/>
  <c r="I197" i="90"/>
  <c r="A197" i="90"/>
  <c r="J196" i="90"/>
  <c r="B196" i="90"/>
  <c r="K195" i="90"/>
  <c r="C195" i="90"/>
  <c r="L194" i="90"/>
  <c r="D194" i="90"/>
  <c r="M193" i="90"/>
  <c r="E193" i="90"/>
  <c r="N192" i="90"/>
  <c r="F192" i="90"/>
  <c r="O191" i="90"/>
  <c r="G191" i="90"/>
  <c r="P190" i="90"/>
  <c r="H190" i="90"/>
  <c r="Q189" i="90"/>
  <c r="I189" i="90"/>
  <c r="A189" i="90"/>
  <c r="J188" i="90"/>
  <c r="B188" i="90"/>
  <c r="K187" i="90"/>
  <c r="C187" i="90"/>
  <c r="L186" i="90"/>
  <c r="D186" i="90"/>
  <c r="M185" i="90"/>
  <c r="E185" i="90"/>
  <c r="N184" i="90"/>
  <c r="F184" i="90"/>
  <c r="O183" i="90"/>
  <c r="G183" i="90"/>
  <c r="P182" i="90"/>
  <c r="H182" i="90"/>
  <c r="Q181" i="90"/>
  <c r="I181" i="90"/>
  <c r="A181" i="90"/>
  <c r="J180" i="90"/>
  <c r="B180" i="90"/>
  <c r="K179" i="90"/>
  <c r="C179" i="90"/>
  <c r="M200" i="90"/>
  <c r="E200" i="90"/>
  <c r="N199" i="90"/>
  <c r="F199" i="90"/>
  <c r="O198" i="90"/>
  <c r="G198" i="90"/>
  <c r="P197" i="90"/>
  <c r="H197" i="90"/>
  <c r="Q196" i="90"/>
  <c r="I196" i="90"/>
  <c r="A196" i="90"/>
  <c r="J195" i="90"/>
  <c r="B195" i="90"/>
  <c r="K194" i="90"/>
  <c r="C194" i="90"/>
  <c r="L193" i="90"/>
  <c r="D193" i="90"/>
  <c r="M192" i="90"/>
  <c r="E192" i="90"/>
  <c r="N191" i="90"/>
  <c r="F191" i="90"/>
  <c r="O190" i="90"/>
  <c r="G190" i="90"/>
  <c r="P189" i="90"/>
  <c r="H189" i="90"/>
  <c r="Q188" i="90"/>
  <c r="I188" i="90"/>
  <c r="A188" i="90"/>
  <c r="J187" i="90"/>
  <c r="B187" i="90"/>
  <c r="K186" i="90"/>
  <c r="C186" i="90"/>
  <c r="L185" i="90"/>
  <c r="D185" i="90"/>
  <c r="M184" i="90"/>
  <c r="E184" i="90"/>
  <c r="N183" i="90"/>
  <c r="F183" i="90"/>
  <c r="O182" i="90"/>
  <c r="G182" i="90"/>
  <c r="P181" i="90"/>
  <c r="H181" i="90"/>
  <c r="Q180" i="90"/>
  <c r="I180" i="90"/>
  <c r="A180" i="90"/>
  <c r="J179" i="90"/>
  <c r="B179" i="90"/>
  <c r="K178" i="90"/>
  <c r="Q200" i="90"/>
  <c r="O200" i="90"/>
  <c r="L200" i="90"/>
  <c r="A200" i="90"/>
  <c r="D199" i="90"/>
  <c r="I198" i="90"/>
  <c r="M197" i="90"/>
  <c r="P196" i="90"/>
  <c r="E196" i="90"/>
  <c r="H195" i="90"/>
  <c r="M194" i="90"/>
  <c r="Q193" i="90"/>
  <c r="C193" i="90"/>
  <c r="I192" i="90"/>
  <c r="L191" i="90"/>
  <c r="Q190" i="90"/>
  <c r="D190" i="90"/>
  <c r="G189" i="90"/>
  <c r="M188" i="90"/>
  <c r="P187" i="90"/>
  <c r="D187" i="90"/>
  <c r="H186" i="90"/>
  <c r="K185" i="90"/>
  <c r="Q184" i="90"/>
  <c r="C184" i="90"/>
  <c r="H183" i="90"/>
  <c r="L182" i="90"/>
  <c r="O181" i="90"/>
  <c r="D181" i="90"/>
  <c r="G180" i="90"/>
  <c r="L179" i="90"/>
  <c r="P178" i="90"/>
  <c r="E178" i="90"/>
  <c r="M177" i="90"/>
  <c r="D177" i="90"/>
  <c r="L176" i="90"/>
  <c r="C176" i="90"/>
  <c r="K175" i="90"/>
  <c r="B175" i="90"/>
  <c r="I174" i="90"/>
  <c r="Q173" i="90"/>
  <c r="H173" i="90"/>
  <c r="P172" i="90"/>
  <c r="G172" i="90"/>
  <c r="O171" i="90"/>
  <c r="F171" i="90"/>
  <c r="M170" i="90"/>
  <c r="D170" i="90"/>
  <c r="L169" i="90"/>
  <c r="C169" i="90"/>
  <c r="K168" i="90"/>
  <c r="B168" i="90"/>
  <c r="J167" i="90"/>
  <c r="Q166" i="90"/>
  <c r="H166" i="90"/>
  <c r="P165" i="90"/>
  <c r="G165" i="90"/>
  <c r="O164" i="90"/>
  <c r="F164" i="90"/>
  <c r="N163" i="90"/>
  <c r="D163" i="90"/>
  <c r="L162" i="90"/>
  <c r="C162" i="90"/>
  <c r="K161" i="90"/>
  <c r="B161" i="90"/>
  <c r="K160" i="90"/>
  <c r="C160" i="90"/>
  <c r="L159" i="90"/>
  <c r="D159" i="90"/>
  <c r="M158" i="90"/>
  <c r="E158" i="90"/>
  <c r="N157" i="90"/>
  <c r="F157" i="90"/>
  <c r="O156" i="90"/>
  <c r="G156" i="90"/>
  <c r="P155" i="90"/>
  <c r="H155" i="90"/>
  <c r="Q154" i="90"/>
  <c r="I154" i="90"/>
  <c r="A154" i="90"/>
  <c r="J153" i="90"/>
  <c r="B153" i="90"/>
  <c r="K152" i="90"/>
  <c r="C152" i="90"/>
  <c r="L151" i="90"/>
  <c r="D151" i="90"/>
  <c r="M150" i="90"/>
  <c r="J200" i="90"/>
  <c r="M199" i="90"/>
  <c r="B199" i="90"/>
  <c r="E198" i="90"/>
  <c r="J197" i="90"/>
  <c r="N196" i="90"/>
  <c r="Q195" i="90"/>
  <c r="F195" i="90"/>
  <c r="I194" i="90"/>
  <c r="N193" i="90"/>
  <c r="A193" i="90"/>
  <c r="D192" i="90"/>
  <c r="J191" i="90"/>
  <c r="M190" i="90"/>
  <c r="A190" i="90"/>
  <c r="E189" i="90"/>
  <c r="H188" i="90"/>
  <c r="N187" i="90"/>
  <c r="Q186" i="90"/>
  <c r="E186" i="90"/>
  <c r="I185" i="90"/>
  <c r="L184" i="90"/>
  <c r="A184" i="90"/>
  <c r="D183" i="90"/>
  <c r="I182" i="90"/>
  <c r="M181" i="90"/>
  <c r="P180" i="90"/>
  <c r="E180" i="90"/>
  <c r="H179" i="90"/>
  <c r="M178" i="90"/>
  <c r="C178" i="90"/>
  <c r="K177" i="90"/>
  <c r="B177" i="90"/>
  <c r="J176" i="90"/>
  <c r="A176" i="90"/>
  <c r="H175" i="90"/>
  <c r="P174" i="90"/>
  <c r="G174" i="90"/>
  <c r="O173" i="90"/>
  <c r="F173" i="90"/>
  <c r="N172" i="90"/>
  <c r="E172" i="90"/>
  <c r="L171" i="90"/>
  <c r="C171" i="90"/>
  <c r="K170" i="90"/>
  <c r="B170" i="90"/>
  <c r="J169" i="90"/>
  <c r="A169" i="90"/>
  <c r="I168" i="90"/>
  <c r="P167" i="90"/>
  <c r="G167" i="90"/>
  <c r="O166" i="90"/>
  <c r="F166" i="90"/>
  <c r="N165" i="90"/>
  <c r="E165" i="90"/>
  <c r="M164" i="90"/>
  <c r="C164" i="90"/>
  <c r="K163" i="90"/>
  <c r="B163" i="90"/>
  <c r="J162" i="90"/>
  <c r="A162" i="90"/>
  <c r="I161" i="90"/>
  <c r="Q160" i="90"/>
  <c r="I160" i="90"/>
  <c r="A160" i="90"/>
  <c r="J159" i="90"/>
  <c r="B159" i="90"/>
  <c r="K158" i="90"/>
  <c r="C158" i="90"/>
  <c r="L157" i="90"/>
  <c r="D157" i="90"/>
  <c r="M156" i="90"/>
  <c r="E156" i="90"/>
  <c r="N155" i="90"/>
  <c r="F155" i="90"/>
  <c r="O154" i="90"/>
  <c r="G154" i="90"/>
  <c r="P153" i="90"/>
  <c r="H153" i="90"/>
  <c r="Q152" i="90"/>
  <c r="I152" i="90"/>
  <c r="A152" i="90"/>
  <c r="J151" i="90"/>
  <c r="B151" i="90"/>
  <c r="K150" i="90"/>
  <c r="K200" i="90"/>
  <c r="K199" i="90"/>
  <c r="L198" i="90"/>
  <c r="L197" i="90"/>
  <c r="K196" i="90"/>
  <c r="L195" i="90"/>
  <c r="J194" i="90"/>
  <c r="J193" i="90"/>
  <c r="K192" i="90"/>
  <c r="K191" i="90"/>
  <c r="K190" i="90"/>
  <c r="L189" i="90"/>
  <c r="K188" i="90"/>
  <c r="I187" i="90"/>
  <c r="J186" i="90"/>
  <c r="J185" i="90"/>
  <c r="J184" i="90"/>
  <c r="K183" i="90"/>
  <c r="K182" i="90"/>
  <c r="J181" i="90"/>
  <c r="K180" i="90"/>
  <c r="I179" i="90"/>
  <c r="J178" i="90"/>
  <c r="P177" i="90"/>
  <c r="C177" i="90"/>
  <c r="G176" i="90"/>
  <c r="M175" i="90"/>
  <c r="Q174" i="90"/>
  <c r="E174" i="90"/>
  <c r="J173" i="90"/>
  <c r="O172" i="90"/>
  <c r="B172" i="90"/>
  <c r="H171" i="90"/>
  <c r="L170" i="90"/>
  <c r="Q169" i="90"/>
  <c r="E169" i="90"/>
  <c r="J168" i="90"/>
  <c r="N167" i="90"/>
  <c r="C167" i="90"/>
  <c r="G166" i="90"/>
  <c r="L165" i="90"/>
  <c r="Q164" i="90"/>
  <c r="E164" i="90"/>
  <c r="I163" i="90"/>
  <c r="O162" i="90"/>
  <c r="B162" i="90"/>
  <c r="F161" i="90"/>
  <c r="M160" i="90"/>
  <c r="B160" i="90"/>
  <c r="H159" i="90"/>
  <c r="O158" i="90"/>
  <c r="D158" i="90"/>
  <c r="J157" i="90"/>
  <c r="Q156" i="90"/>
  <c r="F156" i="90"/>
  <c r="L155" i="90"/>
  <c r="B155" i="90"/>
  <c r="H154" i="90"/>
  <c r="N153" i="90"/>
  <c r="D153" i="90"/>
  <c r="J152" i="90"/>
  <c r="P151" i="90"/>
  <c r="F151" i="90"/>
  <c r="I200" i="90"/>
  <c r="J199" i="90"/>
  <c r="K198" i="90"/>
  <c r="G197" i="90"/>
  <c r="H196" i="90"/>
  <c r="I195" i="90"/>
  <c r="H194" i="90"/>
  <c r="I193" i="90"/>
  <c r="J192" i="90"/>
  <c r="H191" i="90"/>
  <c r="I190" i="90"/>
  <c r="J189" i="90"/>
  <c r="G188" i="90"/>
  <c r="H187" i="90"/>
  <c r="I186" i="90"/>
  <c r="H185" i="90"/>
  <c r="I184" i="90"/>
  <c r="J183" i="90"/>
  <c r="F182" i="90"/>
  <c r="G181" i="90"/>
  <c r="H180" i="90"/>
  <c r="G179" i="90"/>
  <c r="I178" i="90"/>
  <c r="N177" i="90"/>
  <c r="A177" i="90"/>
  <c r="F176" i="90"/>
  <c r="L175" i="90"/>
  <c r="O174" i="90"/>
  <c r="D174" i="90"/>
  <c r="I173" i="90"/>
  <c r="M172" i="90"/>
  <c r="A172" i="90"/>
  <c r="G171" i="90"/>
  <c r="J170" i="90"/>
  <c r="P169" i="90"/>
  <c r="D169" i="90"/>
  <c r="G168" i="90"/>
  <c r="M167" i="90"/>
  <c r="B167" i="90"/>
  <c r="E166" i="90"/>
  <c r="J165" i="90"/>
  <c r="P164" i="90"/>
  <c r="B164" i="90"/>
  <c r="H163" i="90"/>
  <c r="M162" i="90"/>
  <c r="Q161" i="90"/>
  <c r="E161" i="90"/>
  <c r="L160" i="90"/>
  <c r="Q159" i="90"/>
  <c r="G159" i="90"/>
  <c r="N158" i="90"/>
  <c r="B158" i="90"/>
  <c r="I157" i="90"/>
  <c r="P156" i="90"/>
  <c r="D156" i="90"/>
  <c r="K155" i="90"/>
  <c r="A155" i="90"/>
  <c r="F154" i="90"/>
  <c r="M153" i="90"/>
  <c r="C153" i="90"/>
  <c r="H152" i="90"/>
  <c r="O151" i="90"/>
  <c r="E151" i="90"/>
  <c r="G200" i="90"/>
  <c r="H199" i="90"/>
  <c r="F198" i="90"/>
  <c r="F197" i="90"/>
  <c r="G196" i="90"/>
  <c r="G195" i="90"/>
  <c r="G194" i="90"/>
  <c r="H193" i="90"/>
  <c r="G192" i="90"/>
  <c r="E191" i="90"/>
  <c r="F190" i="90"/>
  <c r="F189" i="90"/>
  <c r="F188" i="90"/>
  <c r="G187" i="90"/>
  <c r="G186" i="90"/>
  <c r="F185" i="90"/>
  <c r="G184" i="90"/>
  <c r="E183" i="90"/>
  <c r="E182" i="90"/>
  <c r="F181" i="90"/>
  <c r="F180" i="90"/>
  <c r="F179" i="90"/>
  <c r="H178" i="90"/>
  <c r="L177" i="90"/>
  <c r="Q176" i="90"/>
  <c r="E176" i="90"/>
  <c r="J175" i="90"/>
  <c r="N174" i="90"/>
  <c r="C174" i="90"/>
  <c r="G173" i="90"/>
  <c r="K172" i="90"/>
  <c r="Q171" i="90"/>
  <c r="D171" i="90"/>
  <c r="I170" i="90"/>
  <c r="N169" i="90"/>
  <c r="B169" i="90"/>
  <c r="F168" i="90"/>
  <c r="L167" i="90"/>
  <c r="P166" i="90"/>
  <c r="D166" i="90"/>
  <c r="I165" i="90"/>
  <c r="N164" i="90"/>
  <c r="A164" i="90"/>
  <c r="G163" i="90"/>
  <c r="K162" i="90"/>
  <c r="P161" i="90"/>
  <c r="D161" i="90"/>
  <c r="J160" i="90"/>
  <c r="P159" i="90"/>
  <c r="F159" i="90"/>
  <c r="L158" i="90"/>
  <c r="A158" i="90"/>
  <c r="H157" i="90"/>
  <c r="N156" i="90"/>
  <c r="C156" i="90"/>
  <c r="J155" i="90"/>
  <c r="P154" i="90"/>
  <c r="E154" i="90"/>
  <c r="L153" i="90"/>
  <c r="A153" i="90"/>
  <c r="G152" i="90"/>
  <c r="N151" i="90"/>
  <c r="C151" i="90"/>
  <c r="I150" i="90"/>
  <c r="A150" i="90"/>
  <c r="J149" i="90"/>
  <c r="B149" i="90"/>
  <c r="K148" i="90"/>
  <c r="C148" i="90"/>
  <c r="L147" i="90"/>
  <c r="D147" i="90"/>
  <c r="M146" i="90"/>
  <c r="E146" i="90"/>
  <c r="N145" i="90"/>
  <c r="F145" i="90"/>
  <c r="O144" i="90"/>
  <c r="G144" i="90"/>
  <c r="P143" i="90"/>
  <c r="H143" i="90"/>
  <c r="Q142" i="90"/>
  <c r="I142" i="90"/>
  <c r="A142" i="90"/>
  <c r="J141" i="90"/>
  <c r="B141" i="90"/>
  <c r="K140" i="90"/>
  <c r="C140" i="90"/>
  <c r="L139" i="90"/>
  <c r="D139" i="90"/>
  <c r="M138" i="90"/>
  <c r="E138" i="90"/>
  <c r="N137" i="90"/>
  <c r="F137" i="90"/>
  <c r="O136" i="90"/>
  <c r="G136" i="90"/>
  <c r="P135" i="90"/>
  <c r="H135" i="90"/>
  <c r="Q134" i="90"/>
  <c r="I134" i="90"/>
  <c r="A134" i="90"/>
  <c r="J133" i="90"/>
  <c r="B133" i="90"/>
  <c r="K132" i="90"/>
  <c r="C132" i="90"/>
  <c r="L131" i="90"/>
  <c r="D131" i="90"/>
  <c r="M130" i="90"/>
  <c r="E130" i="90"/>
  <c r="N129" i="90"/>
  <c r="F129" i="90"/>
  <c r="O128" i="90"/>
  <c r="G128" i="90"/>
  <c r="P127" i="90"/>
  <c r="H127" i="90"/>
  <c r="Q126" i="90"/>
  <c r="I126" i="90"/>
  <c r="A126" i="90"/>
  <c r="J125" i="90"/>
  <c r="B125" i="90"/>
  <c r="K124" i="90"/>
  <c r="C124" i="90"/>
  <c r="L123" i="90"/>
  <c r="D123" i="90"/>
  <c r="M122" i="90"/>
  <c r="E122" i="90"/>
  <c r="N121" i="90"/>
  <c r="F121" i="90"/>
  <c r="O120" i="90"/>
  <c r="G120" i="90"/>
  <c r="P119" i="90"/>
  <c r="H119" i="90"/>
  <c r="Q118" i="90"/>
  <c r="I118" i="90"/>
  <c r="A118" i="90"/>
  <c r="J117" i="90"/>
  <c r="B117" i="90"/>
  <c r="K116" i="90"/>
  <c r="C116" i="90"/>
  <c r="L115" i="90"/>
  <c r="D115" i="90"/>
  <c r="M114" i="90"/>
  <c r="E114" i="90"/>
  <c r="N113" i="90"/>
  <c r="F113" i="90"/>
  <c r="O112" i="90"/>
  <c r="G112" i="90"/>
  <c r="P111" i="90"/>
  <c r="H111" i="90"/>
  <c r="Q110" i="90"/>
  <c r="I110" i="90"/>
  <c r="A110" i="90"/>
  <c r="J109" i="90"/>
  <c r="B109" i="90"/>
  <c r="K108" i="90"/>
  <c r="C108" i="90"/>
  <c r="L107" i="90"/>
  <c r="D107" i="90"/>
  <c r="M106" i="90"/>
  <c r="E106" i="90"/>
  <c r="N105" i="90"/>
  <c r="F105" i="90"/>
  <c r="O104" i="90"/>
  <c r="G104" i="90"/>
  <c r="P103" i="90"/>
  <c r="H103" i="90"/>
  <c r="Q102" i="90"/>
  <c r="I102" i="90"/>
  <c r="A102" i="90"/>
  <c r="J101" i="90"/>
  <c r="B101" i="90"/>
  <c r="K100" i="90"/>
  <c r="C200" i="90"/>
  <c r="C199" i="90"/>
  <c r="C198" i="90"/>
  <c r="D197" i="90"/>
  <c r="C196" i="90"/>
  <c r="A195" i="90"/>
  <c r="B194" i="90"/>
  <c r="B193" i="90"/>
  <c r="B192" i="90"/>
  <c r="C191" i="90"/>
  <c r="C190" i="90"/>
  <c r="B189" i="90"/>
  <c r="C188" i="90"/>
  <c r="A187" i="90"/>
  <c r="A186" i="90"/>
  <c r="B185" i="90"/>
  <c r="B184" i="90"/>
  <c r="B183" i="90"/>
  <c r="C182" i="90"/>
  <c r="B181" i="90"/>
  <c r="Q179" i="90"/>
  <c r="A179" i="90"/>
  <c r="D178" i="90"/>
  <c r="I177" i="90"/>
  <c r="N176" i="90"/>
  <c r="B176" i="90"/>
  <c r="F175" i="90"/>
  <c r="L174" i="90"/>
  <c r="P173" i="90"/>
  <c r="D173" i="90"/>
  <c r="I172" i="90"/>
  <c r="N171" i="90"/>
  <c r="A171" i="90"/>
  <c r="G170" i="90"/>
  <c r="K169" i="90"/>
  <c r="O168" i="90"/>
  <c r="D168" i="90"/>
  <c r="H167" i="90"/>
  <c r="M166" i="90"/>
  <c r="A166" i="90"/>
  <c r="F165" i="90"/>
  <c r="J164" i="90"/>
  <c r="P163" i="90"/>
  <c r="C163" i="90"/>
  <c r="H162" i="90"/>
  <c r="M161" i="90"/>
  <c r="A161" i="90"/>
  <c r="G160" i="90"/>
  <c r="N159" i="90"/>
  <c r="C159" i="90"/>
  <c r="I158" i="90"/>
  <c r="P157" i="90"/>
  <c r="E157" i="90"/>
  <c r="K156" i="90"/>
  <c r="A156" i="90"/>
  <c r="G155" i="90"/>
  <c r="M154" i="90"/>
  <c r="C154" i="90"/>
  <c r="I153" i="90"/>
  <c r="O152" i="90"/>
  <c r="E152" i="90"/>
  <c r="K151" i="90"/>
  <c r="Q150" i="90"/>
  <c r="G150" i="90"/>
  <c r="P149" i="90"/>
  <c r="H149" i="90"/>
  <c r="Q148" i="90"/>
  <c r="I148" i="90"/>
  <c r="A148" i="90"/>
  <c r="J147" i="90"/>
  <c r="B147" i="90"/>
  <c r="K146" i="90"/>
  <c r="C146" i="90"/>
  <c r="L145" i="90"/>
  <c r="D145" i="90"/>
  <c r="M144" i="90"/>
  <c r="E144" i="90"/>
  <c r="N143" i="90"/>
  <c r="F143" i="90"/>
  <c r="O142" i="90"/>
  <c r="G142" i="90"/>
  <c r="P141" i="90"/>
  <c r="H141" i="90"/>
  <c r="Q140" i="90"/>
  <c r="I140" i="90"/>
  <c r="A140" i="90"/>
  <c r="J139" i="90"/>
  <c r="B139" i="90"/>
  <c r="K138" i="90"/>
  <c r="C138" i="90"/>
  <c r="L137" i="90"/>
  <c r="D137" i="90"/>
  <c r="M136" i="90"/>
  <c r="E136" i="90"/>
  <c r="N135" i="90"/>
  <c r="F135" i="90"/>
  <c r="O134" i="90"/>
  <c r="G134" i="90"/>
  <c r="P133" i="90"/>
  <c r="H133" i="90"/>
  <c r="Q132" i="90"/>
  <c r="I132" i="90"/>
  <c r="A132" i="90"/>
  <c r="J131" i="90"/>
  <c r="B131" i="90"/>
  <c r="K130" i="90"/>
  <c r="C130" i="90"/>
  <c r="L129" i="90"/>
  <c r="D129" i="90"/>
  <c r="M128" i="90"/>
  <c r="E128" i="90"/>
  <c r="N127" i="90"/>
  <c r="F127" i="90"/>
  <c r="O126" i="90"/>
  <c r="G126" i="90"/>
  <c r="P125" i="90"/>
  <c r="H125" i="90"/>
  <c r="Q124" i="90"/>
  <c r="I124" i="90"/>
  <c r="A124" i="90"/>
  <c r="J123" i="90"/>
  <c r="B123" i="90"/>
  <c r="K122" i="90"/>
  <c r="C122" i="90"/>
  <c r="L121" i="90"/>
  <c r="D121" i="90"/>
  <c r="M120" i="90"/>
  <c r="E120" i="90"/>
  <c r="N119" i="90"/>
  <c r="F119" i="90"/>
  <c r="O118" i="90"/>
  <c r="G118" i="90"/>
  <c r="P117" i="90"/>
  <c r="H117" i="90"/>
  <c r="Q116" i="90"/>
  <c r="I116" i="90"/>
  <c r="A116" i="90"/>
  <c r="J115" i="90"/>
  <c r="B115" i="90"/>
  <c r="K114" i="90"/>
  <c r="C114" i="90"/>
  <c r="L113" i="90"/>
  <c r="D113" i="90"/>
  <c r="M112" i="90"/>
  <c r="E112" i="90"/>
  <c r="N111" i="90"/>
  <c r="F111" i="90"/>
  <c r="O110" i="90"/>
  <c r="G110" i="90"/>
  <c r="P109" i="90"/>
  <c r="H109" i="90"/>
  <c r="Q108" i="90"/>
  <c r="I108" i="90"/>
  <c r="A108" i="90"/>
  <c r="J107" i="90"/>
  <c r="B107" i="90"/>
  <c r="K106" i="90"/>
  <c r="C106" i="90"/>
  <c r="L105" i="90"/>
  <c r="D105" i="90"/>
  <c r="M104" i="90"/>
  <c r="E104" i="90"/>
  <c r="N103" i="90"/>
  <c r="F103" i="90"/>
  <c r="O102" i="90"/>
  <c r="G102" i="90"/>
  <c r="P101" i="90"/>
  <c r="H101" i="90"/>
  <c r="Q100" i="90"/>
  <c r="I100" i="90"/>
  <c r="D200" i="90"/>
  <c r="D198" i="90"/>
  <c r="F196" i="90"/>
  <c r="E194" i="90"/>
  <c r="C192" i="90"/>
  <c r="E190" i="90"/>
  <c r="E188" i="90"/>
  <c r="B186" i="90"/>
  <c r="D184" i="90"/>
  <c r="D182" i="90"/>
  <c r="C180" i="90"/>
  <c r="G178" i="90"/>
  <c r="O176" i="90"/>
  <c r="G175" i="90"/>
  <c r="A174" i="90"/>
  <c r="J172" i="90"/>
  <c r="B171" i="90"/>
  <c r="M169" i="90"/>
  <c r="E168" i="90"/>
  <c r="N166" i="90"/>
  <c r="H165" i="90"/>
  <c r="Q163" i="90"/>
  <c r="I162" i="90"/>
  <c r="C161" i="90"/>
  <c r="O159" i="90"/>
  <c r="J158" i="90"/>
  <c r="G157" i="90"/>
  <c r="B156" i="90"/>
  <c r="N154" i="90"/>
  <c r="K153" i="90"/>
  <c r="F152" i="90"/>
  <c r="A151" i="90"/>
  <c r="E150" i="90"/>
  <c r="L149" i="90"/>
  <c r="A149" i="90"/>
  <c r="G148" i="90"/>
  <c r="N147" i="90"/>
  <c r="C147" i="90"/>
  <c r="I146" i="90"/>
  <c r="P145" i="90"/>
  <c r="E145" i="90"/>
  <c r="K144" i="90"/>
  <c r="A144" i="90"/>
  <c r="G143" i="90"/>
  <c r="M142" i="90"/>
  <c r="C142" i="90"/>
  <c r="I141" i="90"/>
  <c r="O140" i="90"/>
  <c r="E140" i="90"/>
  <c r="K139" i="90"/>
  <c r="Q138" i="90"/>
  <c r="G138" i="90"/>
  <c r="M137" i="90"/>
  <c r="B137" i="90"/>
  <c r="I136" i="90"/>
  <c r="O135" i="90"/>
  <c r="D135" i="90"/>
  <c r="K134" i="90"/>
  <c r="Q133" i="90"/>
  <c r="F133" i="90"/>
  <c r="M132" i="90"/>
  <c r="B132" i="90"/>
  <c r="H131" i="90"/>
  <c r="O130" i="90"/>
  <c r="D130" i="90"/>
  <c r="J129" i="90"/>
  <c r="Q128" i="90"/>
  <c r="F128" i="90"/>
  <c r="L127" i="90"/>
  <c r="B127" i="90"/>
  <c r="H126" i="90"/>
  <c r="N125" i="90"/>
  <c r="D125" i="90"/>
  <c r="J124" i="90"/>
  <c r="P123" i="90"/>
  <c r="F123" i="90"/>
  <c r="L122" i="90"/>
  <c r="A122" i="90"/>
  <c r="H121" i="90"/>
  <c r="N120" i="90"/>
  <c r="C120" i="90"/>
  <c r="J119" i="90"/>
  <c r="P118" i="90"/>
  <c r="E118" i="90"/>
  <c r="L117" i="90"/>
  <c r="B200" i="90"/>
  <c r="A198" i="90"/>
  <c r="P195" i="90"/>
  <c r="A194" i="90"/>
  <c r="A192" i="90"/>
  <c r="O189" i="90"/>
  <c r="Q187" i="90"/>
  <c r="Q185" i="90"/>
  <c r="P183" i="90"/>
  <c r="A182" i="90"/>
  <c r="P179" i="90"/>
  <c r="B178" i="90"/>
  <c r="M176" i="90"/>
  <c r="E175" i="90"/>
  <c r="N173" i="90"/>
  <c r="H172" i="90"/>
  <c r="Q170" i="90"/>
  <c r="I169" i="90"/>
  <c r="C168" i="90"/>
  <c r="L166" i="90"/>
  <c r="D165" i="90"/>
  <c r="O163" i="90"/>
  <c r="G162" i="90"/>
  <c r="P160" i="90"/>
  <c r="M159" i="90"/>
  <c r="H158" i="90"/>
  <c r="C157" i="90"/>
  <c r="Q155" i="90"/>
  <c r="L154" i="90"/>
  <c r="G153" i="90"/>
  <c r="D152" i="90"/>
  <c r="P150" i="90"/>
  <c r="D150" i="90"/>
  <c r="K149" i="90"/>
  <c r="P148" i="90"/>
  <c r="F148" i="90"/>
  <c r="M147" i="90"/>
  <c r="A147" i="90"/>
  <c r="H146" i="90"/>
  <c r="O145" i="90"/>
  <c r="C145" i="90"/>
  <c r="J144" i="90"/>
  <c r="Q143" i="90"/>
  <c r="E143" i="90"/>
  <c r="L142" i="90"/>
  <c r="B142" i="90"/>
  <c r="G141" i="90"/>
  <c r="N140" i="90"/>
  <c r="D140" i="90"/>
  <c r="I139" i="90"/>
  <c r="P138" i="90"/>
  <c r="F138" i="90"/>
  <c r="K137" i="90"/>
  <c r="A137" i="90"/>
  <c r="H136" i="90"/>
  <c r="M135" i="90"/>
  <c r="C135" i="90"/>
  <c r="J134" i="90"/>
  <c r="O133" i="90"/>
  <c r="E133" i="90"/>
  <c r="L132" i="90"/>
  <c r="Q131" i="90"/>
  <c r="G131" i="90"/>
  <c r="N130" i="90"/>
  <c r="B130" i="90"/>
  <c r="I129" i="90"/>
  <c r="P128" i="90"/>
  <c r="D128" i="90"/>
  <c r="K127" i="90"/>
  <c r="A127" i="90"/>
  <c r="F126" i="90"/>
  <c r="M125" i="90"/>
  <c r="C125" i="90"/>
  <c r="H124" i="90"/>
  <c r="O123" i="90"/>
  <c r="E123" i="90"/>
  <c r="J122" i="90"/>
  <c r="Q121" i="90"/>
  <c r="G121" i="90"/>
  <c r="L120" i="90"/>
  <c r="B120" i="90"/>
  <c r="I119" i="90"/>
  <c r="N118" i="90"/>
  <c r="D118" i="90"/>
  <c r="K117" i="90"/>
  <c r="P116" i="90"/>
  <c r="P199" i="90"/>
  <c r="O197" i="90"/>
  <c r="O195" i="90"/>
  <c r="P193" i="90"/>
  <c r="P191" i="90"/>
  <c r="N189" i="90"/>
  <c r="O187" i="90"/>
  <c r="P185" i="90"/>
  <c r="M183" i="90"/>
  <c r="N181" i="90"/>
  <c r="O179" i="90"/>
  <c r="A178" i="90"/>
  <c r="K176" i="90"/>
  <c r="D175" i="90"/>
  <c r="M173" i="90"/>
  <c r="F172" i="90"/>
  <c r="P170" i="90"/>
  <c r="H169" i="90"/>
  <c r="A168" i="90"/>
  <c r="K166" i="90"/>
  <c r="B165" i="90"/>
  <c r="L163" i="90"/>
  <c r="E162" i="90"/>
  <c r="O160" i="90"/>
  <c r="K159" i="90"/>
  <c r="G158" i="90"/>
  <c r="B157" i="90"/>
  <c r="O155" i="90"/>
  <c r="K154" i="90"/>
  <c r="F153" i="90"/>
  <c r="B152" i="90"/>
  <c r="O150" i="90"/>
  <c r="C150" i="90"/>
  <c r="I149" i="90"/>
  <c r="O148" i="90"/>
  <c r="E148" i="90"/>
  <c r="K147" i="90"/>
  <c r="Q146" i="90"/>
  <c r="G146" i="90"/>
  <c r="M145" i="90"/>
  <c r="B145" i="90"/>
  <c r="I144" i="90"/>
  <c r="O143" i="90"/>
  <c r="D143" i="90"/>
  <c r="K142" i="90"/>
  <c r="Q141" i="90"/>
  <c r="F141" i="90"/>
  <c r="M140" i="90"/>
  <c r="B140" i="90"/>
  <c r="H139" i="90"/>
  <c r="O138" i="90"/>
  <c r="D138" i="90"/>
  <c r="J137" i="90"/>
  <c r="Q136" i="90"/>
  <c r="F136" i="90"/>
  <c r="L135" i="90"/>
  <c r="B135" i="90"/>
  <c r="H134" i="90"/>
  <c r="N133" i="90"/>
  <c r="D133" i="90"/>
  <c r="J132" i="90"/>
  <c r="P131" i="90"/>
  <c r="F131" i="90"/>
  <c r="L130" i="90"/>
  <c r="A130" i="90"/>
  <c r="H129" i="90"/>
  <c r="N128" i="90"/>
  <c r="C128" i="90"/>
  <c r="J127" i="90"/>
  <c r="P126" i="90"/>
  <c r="E126" i="90"/>
  <c r="L125" i="90"/>
  <c r="A125" i="90"/>
  <c r="G124" i="90"/>
  <c r="N123" i="90"/>
  <c r="C123" i="90"/>
  <c r="I122" i="90"/>
  <c r="P121" i="90"/>
  <c r="E121" i="90"/>
  <c r="K120" i="90"/>
  <c r="A120" i="90"/>
  <c r="G119" i="90"/>
  <c r="M118" i="90"/>
  <c r="C118" i="90"/>
  <c r="I117" i="90"/>
  <c r="O116" i="90"/>
  <c r="E116" i="90"/>
  <c r="K115" i="90"/>
  <c r="Q114" i="90"/>
  <c r="G114" i="90"/>
  <c r="M113" i="90"/>
  <c r="B113" i="90"/>
  <c r="I112" i="90"/>
  <c r="O111" i="90"/>
  <c r="D111" i="90"/>
  <c r="K110" i="90"/>
  <c r="Q109" i="90"/>
  <c r="F109" i="90"/>
  <c r="M108" i="90"/>
  <c r="B108" i="90"/>
  <c r="H107" i="90"/>
  <c r="O106" i="90"/>
  <c r="D106" i="90"/>
  <c r="J105" i="90"/>
  <c r="Q104" i="90"/>
  <c r="F104" i="90"/>
  <c r="L103" i="90"/>
  <c r="B103" i="90"/>
  <c r="H102" i="90"/>
  <c r="N101" i="90"/>
  <c r="D101" i="90"/>
  <c r="J100" i="90"/>
  <c r="A100" i="90"/>
  <c r="J99" i="90"/>
  <c r="B99" i="90"/>
  <c r="K98" i="90"/>
  <c r="C98" i="90"/>
  <c r="L97" i="90"/>
  <c r="D97" i="90"/>
  <c r="M96" i="90"/>
  <c r="E96" i="90"/>
  <c r="N95" i="90"/>
  <c r="F95" i="90"/>
  <c r="O94" i="90"/>
  <c r="G94" i="90"/>
  <c r="P93" i="90"/>
  <c r="H93" i="90"/>
  <c r="Q92" i="90"/>
  <c r="I92" i="90"/>
  <c r="A92" i="90"/>
  <c r="J91" i="90"/>
  <c r="B91" i="90"/>
  <c r="K90" i="90"/>
  <c r="C90" i="90"/>
  <c r="L89" i="90"/>
  <c r="D89" i="90"/>
  <c r="M88" i="90"/>
  <c r="E88" i="90"/>
  <c r="N87" i="90"/>
  <c r="F87" i="90"/>
  <c r="O86" i="90"/>
  <c r="G86" i="90"/>
  <c r="P85" i="90"/>
  <c r="H85" i="90"/>
  <c r="Q84" i="90"/>
  <c r="I84" i="90"/>
  <c r="A84" i="90"/>
  <c r="J83" i="90"/>
  <c r="B83" i="90"/>
  <c r="K82" i="90"/>
  <c r="C82" i="90"/>
  <c r="L81" i="90"/>
  <c r="D81" i="90"/>
  <c r="M80" i="90"/>
  <c r="E80" i="90"/>
  <c r="N79" i="90"/>
  <c r="F79" i="90"/>
  <c r="O78" i="90"/>
  <c r="G78" i="90"/>
  <c r="P77" i="90"/>
  <c r="H77" i="90"/>
  <c r="Q76" i="90"/>
  <c r="I76" i="90"/>
  <c r="A76" i="90"/>
  <c r="J75" i="90"/>
  <c r="B75" i="90"/>
  <c r="K74" i="90"/>
  <c r="C74" i="90"/>
  <c r="L73" i="90"/>
  <c r="D73" i="90"/>
  <c r="M72" i="90"/>
  <c r="E72" i="90"/>
  <c r="N71" i="90"/>
  <c r="F71" i="90"/>
  <c r="O70" i="90"/>
  <c r="G70" i="90"/>
  <c r="P69" i="90"/>
  <c r="H69" i="90"/>
  <c r="Q68" i="90"/>
  <c r="I68" i="90"/>
  <c r="A68" i="90"/>
  <c r="J67" i="90"/>
  <c r="B67" i="90"/>
  <c r="K66" i="90"/>
  <c r="C66" i="90"/>
  <c r="L65" i="90"/>
  <c r="D65" i="90"/>
  <c r="M64" i="90"/>
  <c r="E64" i="90"/>
  <c r="N63" i="90"/>
  <c r="F63" i="90"/>
  <c r="O62" i="90"/>
  <c r="G62" i="90"/>
  <c r="P61" i="90"/>
  <c r="H61" i="90"/>
  <c r="Q60" i="90"/>
  <c r="I60" i="90"/>
  <c r="A60" i="90"/>
  <c r="J59" i="90"/>
  <c r="B59" i="90"/>
  <c r="K58" i="90"/>
  <c r="C58" i="90"/>
  <c r="L57" i="90"/>
  <c r="D57" i="90"/>
  <c r="M56" i="90"/>
  <c r="E56" i="90"/>
  <c r="N55" i="90"/>
  <c r="F55" i="90"/>
  <c r="O54" i="90"/>
  <c r="G54" i="90"/>
  <c r="P53" i="90"/>
  <c r="H53" i="90"/>
  <c r="Q52" i="90"/>
  <c r="I52" i="90"/>
  <c r="A52" i="90"/>
  <c r="J51" i="90"/>
  <c r="B51" i="90"/>
  <c r="K50" i="90"/>
  <c r="C50" i="90"/>
  <c r="L49" i="90"/>
  <c r="D49" i="90"/>
  <c r="M48" i="90"/>
  <c r="E48" i="90"/>
  <c r="N47" i="90"/>
  <c r="F47" i="90"/>
  <c r="O46" i="90"/>
  <c r="G46" i="90"/>
  <c r="P45" i="90"/>
  <c r="H45" i="90"/>
  <c r="Q44" i="90"/>
  <c r="I44" i="90"/>
  <c r="A44" i="90"/>
  <c r="J43" i="90"/>
  <c r="B43" i="90"/>
  <c r="K42" i="90"/>
  <c r="C42" i="90"/>
  <c r="L41" i="90"/>
  <c r="D41" i="90"/>
  <c r="M40" i="90"/>
  <c r="E40" i="90"/>
  <c r="N39" i="90"/>
  <c r="F39" i="90"/>
  <c r="O38" i="90"/>
  <c r="G38" i="90"/>
  <c r="P37" i="90"/>
  <c r="H37" i="90"/>
  <c r="Q36" i="90"/>
  <c r="I36" i="90"/>
  <c r="A36" i="90"/>
  <c r="J35" i="90"/>
  <c r="B35" i="90"/>
  <c r="K34" i="90"/>
  <c r="C34" i="90"/>
  <c r="L33" i="90"/>
  <c r="D33" i="90"/>
  <c r="M32" i="90"/>
  <c r="E32" i="90"/>
  <c r="N31" i="90"/>
  <c r="F31" i="90"/>
  <c r="O30" i="90"/>
  <c r="G30" i="90"/>
  <c r="P29" i="90"/>
  <c r="H29" i="90"/>
  <c r="Q28" i="90"/>
  <c r="I28" i="90"/>
  <c r="A28" i="90"/>
  <c r="J27" i="90"/>
  <c r="B27" i="90"/>
  <c r="K26" i="90"/>
  <c r="C26" i="90"/>
  <c r="L25" i="90"/>
  <c r="D25" i="90"/>
  <c r="M24" i="90"/>
  <c r="E24" i="90"/>
  <c r="N23" i="90"/>
  <c r="F23" i="90"/>
  <c r="O22" i="90"/>
  <c r="G22" i="90"/>
  <c r="P21" i="90"/>
  <c r="E199" i="90"/>
  <c r="E197" i="90"/>
  <c r="D195" i="90"/>
  <c r="F193" i="90"/>
  <c r="D191" i="90"/>
  <c r="D189" i="90"/>
  <c r="F187" i="90"/>
  <c r="C185" i="90"/>
  <c r="C183" i="90"/>
  <c r="E181" i="90"/>
  <c r="D179" i="90"/>
  <c r="J177" i="90"/>
  <c r="D176" i="90"/>
  <c r="M174" i="90"/>
  <c r="E173" i="90"/>
  <c r="P171" i="90"/>
  <c r="H170" i="90"/>
  <c r="Q168" i="90"/>
  <c r="K167" i="90"/>
  <c r="C166" i="90"/>
  <c r="K164" i="90"/>
  <c r="F163" i="90"/>
  <c r="N161" i="90"/>
  <c r="H160" i="90"/>
  <c r="E159" i="90"/>
  <c r="Q157" i="90"/>
  <c r="L156" i="90"/>
  <c r="I155" i="90"/>
  <c r="D154" i="90"/>
  <c r="P152" i="90"/>
  <c r="M151" i="90"/>
  <c r="L150" i="90"/>
  <c r="Q149" i="90"/>
  <c r="F149" i="90"/>
  <c r="M148" i="90"/>
  <c r="B148" i="90"/>
  <c r="H147" i="90"/>
  <c r="O146" i="90"/>
  <c r="D146" i="90"/>
  <c r="J145" i="90"/>
  <c r="Q144" i="90"/>
  <c r="F144" i="90"/>
  <c r="L143" i="90"/>
  <c r="B143" i="90"/>
  <c r="H142" i="90"/>
  <c r="N141" i="90"/>
  <c r="D141" i="90"/>
  <c r="J140" i="90"/>
  <c r="P139" i="90"/>
  <c r="F139" i="90"/>
  <c r="L138" i="90"/>
  <c r="A138" i="90"/>
  <c r="H137" i="90"/>
  <c r="N136" i="90"/>
  <c r="C136" i="90"/>
  <c r="J135" i="90"/>
  <c r="P134" i="90"/>
  <c r="E134" i="90"/>
  <c r="L133" i="90"/>
  <c r="A133" i="90"/>
  <c r="G132" i="90"/>
  <c r="N131" i="90"/>
  <c r="C131" i="90"/>
  <c r="I130" i="90"/>
  <c r="P129" i="90"/>
  <c r="E129" i="90"/>
  <c r="K128" i="90"/>
  <c r="A128" i="90"/>
  <c r="G127" i="90"/>
  <c r="M126" i="90"/>
  <c r="C126" i="90"/>
  <c r="I125" i="90"/>
  <c r="O124" i="90"/>
  <c r="E124" i="90"/>
  <c r="K123" i="90"/>
  <c r="Q122" i="90"/>
  <c r="G122" i="90"/>
  <c r="M121" i="90"/>
  <c r="B121" i="90"/>
  <c r="I120" i="90"/>
  <c r="O119" i="90"/>
  <c r="D119" i="90"/>
  <c r="K118" i="90"/>
  <c r="Q117" i="90"/>
  <c r="F117" i="90"/>
  <c r="M116" i="90"/>
  <c r="B116" i="90"/>
  <c r="H115" i="90"/>
  <c r="O114" i="90"/>
  <c r="D114" i="90"/>
  <c r="J113" i="90"/>
  <c r="Q112" i="90"/>
  <c r="F112" i="90"/>
  <c r="L111" i="90"/>
  <c r="B111" i="90"/>
  <c r="H110" i="90"/>
  <c r="N109" i="90"/>
  <c r="D109" i="90"/>
  <c r="J108" i="90"/>
  <c r="P107" i="90"/>
  <c r="F107" i="90"/>
  <c r="L106" i="90"/>
  <c r="A106" i="90"/>
  <c r="H105" i="90"/>
  <c r="N104" i="90"/>
  <c r="C104" i="90"/>
  <c r="J103" i="90"/>
  <c r="P102" i="90"/>
  <c r="E102" i="90"/>
  <c r="L101" i="90"/>
  <c r="A101" i="90"/>
  <c r="G100" i="90"/>
  <c r="P99" i="90"/>
  <c r="H99" i="90"/>
  <c r="Q98" i="90"/>
  <c r="I98" i="90"/>
  <c r="A98" i="90"/>
  <c r="J97" i="90"/>
  <c r="B97" i="90"/>
  <c r="K96" i="90"/>
  <c r="C96" i="90"/>
  <c r="L95" i="90"/>
  <c r="D95" i="90"/>
  <c r="M94" i="90"/>
  <c r="E94" i="90"/>
  <c r="N93" i="90"/>
  <c r="F93" i="90"/>
  <c r="O92" i="90"/>
  <c r="G92" i="90"/>
  <c r="P91" i="90"/>
  <c r="H91" i="90"/>
  <c r="Q90" i="90"/>
  <c r="I90" i="90"/>
  <c r="A90" i="90"/>
  <c r="J89" i="90"/>
  <c r="B89" i="90"/>
  <c r="K88" i="90"/>
  <c r="C88" i="90"/>
  <c r="L87" i="90"/>
  <c r="D87" i="90"/>
  <c r="M86" i="90"/>
  <c r="E86" i="90"/>
  <c r="N85" i="90"/>
  <c r="F85" i="90"/>
  <c r="O84" i="90"/>
  <c r="G84" i="90"/>
  <c r="P83" i="90"/>
  <c r="H83" i="90"/>
  <c r="Q82" i="90"/>
  <c r="I82" i="90"/>
  <c r="A82" i="90"/>
  <c r="J81" i="90"/>
  <c r="B81" i="90"/>
  <c r="K80" i="90"/>
  <c r="C80" i="90"/>
  <c r="L79" i="90"/>
  <c r="D79" i="90"/>
  <c r="M78" i="90"/>
  <c r="E78" i="90"/>
  <c r="N77" i="90"/>
  <c r="F77" i="90"/>
  <c r="O76" i="90"/>
  <c r="G76" i="90"/>
  <c r="P75" i="90"/>
  <c r="H75" i="90"/>
  <c r="Q74" i="90"/>
  <c r="I74" i="90"/>
  <c r="A74" i="90"/>
  <c r="J73" i="90"/>
  <c r="B73" i="90"/>
  <c r="K72" i="90"/>
  <c r="C72" i="90"/>
  <c r="L71" i="90"/>
  <c r="D71" i="90"/>
  <c r="M70" i="90"/>
  <c r="E70" i="90"/>
  <c r="N69" i="90"/>
  <c r="F69" i="90"/>
  <c r="O68" i="90"/>
  <c r="G68" i="90"/>
  <c r="P67" i="90"/>
  <c r="H67" i="90"/>
  <c r="Q66" i="90"/>
  <c r="I66" i="90"/>
  <c r="A66" i="90"/>
  <c r="J65" i="90"/>
  <c r="B65" i="90"/>
  <c r="K64" i="90"/>
  <c r="C64" i="90"/>
  <c r="L63" i="90"/>
  <c r="D63" i="90"/>
  <c r="M62" i="90"/>
  <c r="E62" i="90"/>
  <c r="N61" i="90"/>
  <c r="F61" i="90"/>
  <c r="O60" i="90"/>
  <c r="G60" i="90"/>
  <c r="P59" i="90"/>
  <c r="H59" i="90"/>
  <c r="Q58" i="90"/>
  <c r="I58" i="90"/>
  <c r="A58" i="90"/>
  <c r="J57" i="90"/>
  <c r="B57" i="90"/>
  <c r="K56" i="90"/>
  <c r="C56" i="90"/>
  <c r="L55" i="90"/>
  <c r="D55" i="90"/>
  <c r="M54" i="90"/>
  <c r="E54" i="90"/>
  <c r="N53" i="90"/>
  <c r="F53" i="90"/>
  <c r="O52" i="90"/>
  <c r="G52" i="90"/>
  <c r="P51" i="90"/>
  <c r="H51" i="90"/>
  <c r="Q50" i="90"/>
  <c r="I50" i="90"/>
  <c r="A50" i="90"/>
  <c r="J49" i="90"/>
  <c r="B49" i="90"/>
  <c r="K48" i="90"/>
  <c r="C48" i="90"/>
  <c r="L47" i="90"/>
  <c r="D47" i="90"/>
  <c r="M46" i="90"/>
  <c r="E46" i="90"/>
  <c r="N45" i="90"/>
  <c r="F45" i="90"/>
  <c r="O44" i="90"/>
  <c r="G44" i="90"/>
  <c r="P43" i="90"/>
  <c r="H43" i="90"/>
  <c r="Q42" i="90"/>
  <c r="I42" i="90"/>
  <c r="A42" i="90"/>
  <c r="J41" i="90"/>
  <c r="B41" i="90"/>
  <c r="K40" i="90"/>
  <c r="C40" i="90"/>
  <c r="L39" i="90"/>
  <c r="D39" i="90"/>
  <c r="M38" i="90"/>
  <c r="E38" i="90"/>
  <c r="N37" i="90"/>
  <c r="F37" i="90"/>
  <c r="O36" i="90"/>
  <c r="G36" i="90"/>
  <c r="P35" i="90"/>
  <c r="H35" i="90"/>
  <c r="Q34" i="90"/>
  <c r="I34" i="90"/>
  <c r="A34" i="90"/>
  <c r="J33" i="90"/>
  <c r="B33" i="90"/>
  <c r="K32" i="90"/>
  <c r="C32" i="90"/>
  <c r="L31" i="90"/>
  <c r="D31" i="90"/>
  <c r="M30" i="90"/>
  <c r="E30" i="90"/>
  <c r="N29" i="90"/>
  <c r="F29" i="90"/>
  <c r="O28" i="90"/>
  <c r="G28" i="90"/>
  <c r="P27" i="90"/>
  <c r="H27" i="90"/>
  <c r="Q26" i="90"/>
  <c r="I26" i="90"/>
  <c r="A26" i="90"/>
  <c r="J25" i="90"/>
  <c r="B25" i="90"/>
  <c r="K24" i="90"/>
  <c r="C24" i="90"/>
  <c r="L23" i="90"/>
  <c r="D23" i="90"/>
  <c r="M22" i="90"/>
  <c r="E22" i="90"/>
  <c r="N21" i="90"/>
  <c r="L199" i="90"/>
  <c r="N195" i="90"/>
  <c r="M191" i="90"/>
  <c r="L187" i="90"/>
  <c r="L183" i="90"/>
  <c r="N179" i="90"/>
  <c r="I176" i="90"/>
  <c r="L173" i="90"/>
  <c r="O170" i="90"/>
  <c r="O167" i="90"/>
  <c r="A165" i="90"/>
  <c r="D162" i="90"/>
  <c r="I159" i="90"/>
  <c r="A157" i="90"/>
  <c r="J154" i="90"/>
  <c r="Q151" i="90"/>
  <c r="B150" i="90"/>
  <c r="N148" i="90"/>
  <c r="I147" i="90"/>
  <c r="F146" i="90"/>
  <c r="A145" i="90"/>
  <c r="M143" i="90"/>
  <c r="J142" i="90"/>
  <c r="E141" i="90"/>
  <c r="Q139" i="90"/>
  <c r="N138" i="90"/>
  <c r="I137" i="90"/>
  <c r="D136" i="90"/>
  <c r="A135" i="90"/>
  <c r="M133" i="90"/>
  <c r="H132" i="90"/>
  <c r="E131" i="90"/>
  <c r="Q129" i="90"/>
  <c r="L128" i="90"/>
  <c r="I127" i="90"/>
  <c r="D126" i="90"/>
  <c r="P124" i="90"/>
  <c r="M123" i="90"/>
  <c r="H122" i="90"/>
  <c r="C121" i="90"/>
  <c r="Q119" i="90"/>
  <c r="L118" i="90"/>
  <c r="G117" i="90"/>
  <c r="H116" i="90"/>
  <c r="M115" i="90"/>
  <c r="Q198" i="90"/>
  <c r="Q194" i="90"/>
  <c r="B191" i="90"/>
  <c r="P186" i="90"/>
  <c r="Q182" i="90"/>
  <c r="Q178" i="90"/>
  <c r="P175" i="90"/>
  <c r="B173" i="90"/>
  <c r="E170" i="90"/>
  <c r="F167" i="90"/>
  <c r="I164" i="90"/>
  <c r="L161" i="90"/>
  <c r="A159" i="90"/>
  <c r="J156" i="90"/>
  <c r="B154" i="90"/>
  <c r="I151" i="90"/>
  <c r="O149" i="90"/>
  <c r="L148" i="90"/>
  <c r="G147" i="90"/>
  <c r="B146" i="90"/>
  <c r="P144" i="90"/>
  <c r="K143" i="90"/>
  <c r="F142" i="90"/>
  <c r="C141" i="90"/>
  <c r="O139" i="90"/>
  <c r="J138" i="90"/>
  <c r="G137" i="90"/>
  <c r="B136" i="90"/>
  <c r="N134" i="90"/>
  <c r="K133" i="90"/>
  <c r="F132" i="90"/>
  <c r="A131" i="90"/>
  <c r="O129" i="90"/>
  <c r="J128" i="90"/>
  <c r="E127" i="90"/>
  <c r="B126" i="90"/>
  <c r="N124" i="90"/>
  <c r="I123" i="90"/>
  <c r="F122" i="90"/>
  <c r="A121" i="90"/>
  <c r="M119" i="90"/>
  <c r="J118" i="90"/>
  <c r="E117" i="90"/>
  <c r="G116" i="90"/>
  <c r="I115" i="90"/>
  <c r="L114" i="90"/>
  <c r="P113" i="90"/>
  <c r="A113" i="90"/>
  <c r="C112" i="90"/>
  <c r="G111" i="90"/>
  <c r="J110" i="90"/>
  <c r="L109" i="90"/>
  <c r="O108" i="90"/>
  <c r="Q107" i="90"/>
  <c r="C107" i="90"/>
  <c r="G106" i="90"/>
  <c r="I105" i="90"/>
  <c r="K104" i="90"/>
  <c r="O103" i="90"/>
  <c r="A103" i="90"/>
  <c r="C102" i="90"/>
  <c r="F101" i="90"/>
  <c r="H100" i="90"/>
  <c r="N99" i="90"/>
  <c r="D99" i="90"/>
  <c r="J98" i="90"/>
  <c r="P97" i="90"/>
  <c r="F97" i="90"/>
  <c r="L96" i="90"/>
  <c r="A96" i="90"/>
  <c r="H95" i="90"/>
  <c r="N94" i="90"/>
  <c r="C94" i="90"/>
  <c r="J93" i="90"/>
  <c r="P92" i="90"/>
  <c r="E92" i="90"/>
  <c r="L91" i="90"/>
  <c r="A91" i="90"/>
  <c r="G90" i="90"/>
  <c r="N89" i="90"/>
  <c r="C89" i="90"/>
  <c r="I88" i="90"/>
  <c r="P87" i="90"/>
  <c r="E87" i="90"/>
  <c r="K86" i="90"/>
  <c r="A86" i="90"/>
  <c r="G85" i="90"/>
  <c r="M84" i="90"/>
  <c r="C84" i="90"/>
  <c r="I83" i="90"/>
  <c r="O82" i="90"/>
  <c r="E82" i="90"/>
  <c r="K81" i="90"/>
  <c r="Q80" i="90"/>
  <c r="G80" i="90"/>
  <c r="M79" i="90"/>
  <c r="B79" i="90"/>
  <c r="I78" i="90"/>
  <c r="O77" i="90"/>
  <c r="D77" i="90"/>
  <c r="K76" i="90"/>
  <c r="Q75" i="90"/>
  <c r="F75" i="90"/>
  <c r="M74" i="90"/>
  <c r="B74" i="90"/>
  <c r="H73" i="90"/>
  <c r="O72" i="90"/>
  <c r="D72" i="90"/>
  <c r="J71" i="90"/>
  <c r="Q70" i="90"/>
  <c r="F70" i="90"/>
  <c r="L69" i="90"/>
  <c r="B69" i="90"/>
  <c r="H68" i="90"/>
  <c r="N67" i="90"/>
  <c r="D67" i="90"/>
  <c r="J66" i="90"/>
  <c r="P65" i="90"/>
  <c r="F65" i="90"/>
  <c r="L64" i="90"/>
  <c r="A64" i="90"/>
  <c r="H63" i="90"/>
  <c r="N62" i="90"/>
  <c r="C62" i="90"/>
  <c r="J61" i="90"/>
  <c r="P60" i="90"/>
  <c r="E60" i="90"/>
  <c r="L59" i="90"/>
  <c r="A59" i="90"/>
  <c r="G58" i="90"/>
  <c r="N57" i="90"/>
  <c r="C57" i="90"/>
  <c r="I56" i="90"/>
  <c r="P55" i="90"/>
  <c r="E55" i="90"/>
  <c r="K54" i="90"/>
  <c r="A54" i="90"/>
  <c r="G53" i="90"/>
  <c r="M52" i="90"/>
  <c r="C52" i="90"/>
  <c r="I51" i="90"/>
  <c r="O50" i="90"/>
  <c r="E50" i="90"/>
  <c r="K49" i="90"/>
  <c r="Q48" i="90"/>
  <c r="G48" i="90"/>
  <c r="M47" i="90"/>
  <c r="B47" i="90"/>
  <c r="I46" i="90"/>
  <c r="O45" i="90"/>
  <c r="D45" i="90"/>
  <c r="K44" i="90"/>
  <c r="Q43" i="90"/>
  <c r="F43" i="90"/>
  <c r="M42" i="90"/>
  <c r="B42" i="90"/>
  <c r="H41" i="90"/>
  <c r="O40" i="90"/>
  <c r="D40" i="90"/>
  <c r="J39" i="90"/>
  <c r="Q38" i="90"/>
  <c r="F38" i="90"/>
  <c r="L37" i="90"/>
  <c r="B37" i="90"/>
  <c r="H36" i="90"/>
  <c r="N35" i="90"/>
  <c r="D35" i="90"/>
  <c r="J34" i="90"/>
  <c r="P33" i="90"/>
  <c r="F33" i="90"/>
  <c r="N198" i="90"/>
  <c r="P194" i="90"/>
  <c r="N190" i="90"/>
  <c r="O186" i="90"/>
  <c r="N182" i="90"/>
  <c r="O178" i="90"/>
  <c r="O175" i="90"/>
  <c r="A173" i="90"/>
  <c r="C170" i="90"/>
  <c r="E167" i="90"/>
  <c r="H164" i="90"/>
  <c r="J161" i="90"/>
  <c r="Q158" i="90"/>
  <c r="I156" i="90"/>
  <c r="Q153" i="90"/>
  <c r="H151" i="90"/>
  <c r="N149" i="90"/>
  <c r="J148" i="90"/>
  <c r="F147" i="90"/>
  <c r="A146" i="90"/>
  <c r="N144" i="90"/>
  <c r="J143" i="90"/>
  <c r="E142" i="90"/>
  <c r="A141" i="90"/>
  <c r="N139" i="90"/>
  <c r="I138" i="90"/>
  <c r="E137" i="90"/>
  <c r="A136" i="90"/>
  <c r="M134" i="90"/>
  <c r="I133" i="90"/>
  <c r="E132" i="90"/>
  <c r="Q130" i="90"/>
  <c r="M129" i="90"/>
  <c r="I128" i="90"/>
  <c r="D127" i="90"/>
  <c r="Q125" i="90"/>
  <c r="M124" i="90"/>
  <c r="H123" i="90"/>
  <c r="D122" i="90"/>
  <c r="Q120" i="90"/>
  <c r="L119" i="90"/>
  <c r="H118" i="90"/>
  <c r="D117" i="90"/>
  <c r="F116" i="90"/>
  <c r="G115" i="90"/>
  <c r="J114" i="90"/>
  <c r="O113" i="90"/>
  <c r="P112" i="90"/>
  <c r="B112" i="90"/>
  <c r="E111" i="90"/>
  <c r="F110" i="90"/>
  <c r="K109" i="90"/>
  <c r="N108" i="90"/>
  <c r="O107" i="90"/>
  <c r="A107" i="90"/>
  <c r="F106" i="90"/>
  <c r="G105" i="90"/>
  <c r="J104" i="90"/>
  <c r="M103" i="90"/>
  <c r="N102" i="90"/>
  <c r="B102" i="90"/>
  <c r="E101" i="90"/>
  <c r="F100" i="90"/>
  <c r="M99" i="90"/>
  <c r="C99" i="90"/>
  <c r="H98" i="90"/>
  <c r="O97" i="90"/>
  <c r="E97" i="90"/>
  <c r="J96" i="90"/>
  <c r="M198" i="90"/>
  <c r="O194" i="90"/>
  <c r="L190" i="90"/>
  <c r="M186" i="90"/>
  <c r="M182" i="90"/>
  <c r="L178" i="90"/>
  <c r="N175" i="90"/>
  <c r="Q172" i="90"/>
  <c r="A170" i="90"/>
  <c r="D167" i="90"/>
  <c r="G164" i="90"/>
  <c r="H161" i="90"/>
  <c r="P158" i="90"/>
  <c r="H156" i="90"/>
  <c r="O153" i="90"/>
  <c r="G151" i="90"/>
  <c r="M149" i="90"/>
  <c r="H148" i="90"/>
  <c r="E147" i="90"/>
  <c r="Q145" i="90"/>
  <c r="L144" i="90"/>
  <c r="I143" i="90"/>
  <c r="D142" i="90"/>
  <c r="P140" i="90"/>
  <c r="M139" i="90"/>
  <c r="H138" i="90"/>
  <c r="C137" i="90"/>
  <c r="Q135" i="90"/>
  <c r="L134" i="90"/>
  <c r="G133" i="90"/>
  <c r="D132" i="90"/>
  <c r="P130" i="90"/>
  <c r="K129" i="90"/>
  <c r="H128" i="90"/>
  <c r="C127" i="90"/>
  <c r="N197" i="90"/>
  <c r="K193" i="90"/>
  <c r="M189" i="90"/>
  <c r="N185" i="90"/>
  <c r="L181" i="90"/>
  <c r="Q177" i="90"/>
  <c r="C175" i="90"/>
  <c r="C172" i="90"/>
  <c r="F169" i="90"/>
  <c r="I166" i="90"/>
  <c r="J163" i="90"/>
  <c r="N160" i="90"/>
  <c r="F158" i="90"/>
  <c r="M155" i="90"/>
  <c r="E153" i="90"/>
  <c r="N150" i="90"/>
  <c r="G149" i="90"/>
  <c r="D148" i="90"/>
  <c r="P146" i="90"/>
  <c r="K145" i="90"/>
  <c r="H144" i="90"/>
  <c r="C143" i="90"/>
  <c r="O141" i="90"/>
  <c r="L140" i="90"/>
  <c r="G139" i="90"/>
  <c r="B138" i="90"/>
  <c r="P136" i="90"/>
  <c r="K135" i="90"/>
  <c r="F134" i="90"/>
  <c r="C133" i="90"/>
  <c r="O131" i="90"/>
  <c r="J130" i="90"/>
  <c r="G129" i="90"/>
  <c r="B128" i="90"/>
  <c r="N126" i="90"/>
  <c r="K125" i="90"/>
  <c r="F124" i="90"/>
  <c r="A123" i="90"/>
  <c r="O121" i="90"/>
  <c r="J120" i="90"/>
  <c r="E119" i="90"/>
  <c r="B118" i="90"/>
  <c r="A117" i="90"/>
  <c r="Q115" i="90"/>
  <c r="E115" i="90"/>
  <c r="H114" i="90"/>
  <c r="I113" i="90"/>
  <c r="L112" i="90"/>
  <c r="Q111" i="90"/>
  <c r="A111" i="90"/>
  <c r="D110" i="90"/>
  <c r="G109" i="90"/>
  <c r="H108" i="90"/>
  <c r="M107" i="90"/>
  <c r="B197" i="90"/>
  <c r="N188" i="90"/>
  <c r="F177" i="90"/>
  <c r="N168" i="90"/>
  <c r="P162" i="90"/>
  <c r="D155" i="90"/>
  <c r="E149" i="90"/>
  <c r="J146" i="90"/>
  <c r="P142" i="90"/>
  <c r="E139" i="90"/>
  <c r="J136" i="90"/>
  <c r="O132" i="90"/>
  <c r="C129" i="90"/>
  <c r="J126" i="90"/>
  <c r="Q123" i="90"/>
  <c r="I121" i="90"/>
  <c r="A119" i="90"/>
  <c r="J116" i="90"/>
  <c r="P114" i="90"/>
  <c r="H113" i="90"/>
  <c r="D112" i="90"/>
  <c r="N110" i="90"/>
  <c r="I109" i="90"/>
  <c r="E108" i="90"/>
  <c r="P106" i="90"/>
  <c r="O105" i="90"/>
  <c r="L104" i="90"/>
  <c r="I103" i="90"/>
  <c r="J102" i="90"/>
  <c r="G101" i="90"/>
  <c r="D100" i="90"/>
  <c r="G99" i="90"/>
  <c r="L98" i="90"/>
  <c r="M97" i="90"/>
  <c r="P96" i="90"/>
  <c r="B96" i="90"/>
  <c r="G95" i="90"/>
  <c r="K94" i="90"/>
  <c r="Q93" i="90"/>
  <c r="D93" i="90"/>
  <c r="J92" i="90"/>
  <c r="N91" i="90"/>
  <c r="C91" i="90"/>
  <c r="F90" i="90"/>
  <c r="K89" i="90"/>
  <c r="P88" i="90"/>
  <c r="D88" i="90"/>
  <c r="I87" i="90"/>
  <c r="N86" i="90"/>
  <c r="B86" i="90"/>
  <c r="E85" i="90"/>
  <c r="K84" i="90"/>
  <c r="O83" i="90"/>
  <c r="D83" i="90"/>
  <c r="H82" i="90"/>
  <c r="N81" i="90"/>
  <c r="A81" i="90"/>
  <c r="F80" i="90"/>
  <c r="J79" i="90"/>
  <c r="P78" i="90"/>
  <c r="C78" i="90"/>
  <c r="I77" i="90"/>
  <c r="M76" i="90"/>
  <c r="B76" i="90"/>
  <c r="E75" i="90"/>
  <c r="J74" i="90"/>
  <c r="O73" i="90"/>
  <c r="C73" i="90"/>
  <c r="H72" i="90"/>
  <c r="M71" i="90"/>
  <c r="A71" i="90"/>
  <c r="D70" i="90"/>
  <c r="J69" i="90"/>
  <c r="N68" i="90"/>
  <c r="C68" i="90"/>
  <c r="G67" i="90"/>
  <c r="M66" i="90"/>
  <c r="Q65" i="90"/>
  <c r="E65" i="90"/>
  <c r="I64" i="90"/>
  <c r="O63" i="90"/>
  <c r="B63" i="90"/>
  <c r="H62" i="90"/>
  <c r="L61" i="90"/>
  <c r="A61" i="90"/>
  <c r="D60" i="90"/>
  <c r="I59" i="90"/>
  <c r="O196" i="90"/>
  <c r="A185" i="90"/>
  <c r="E177" i="90"/>
  <c r="M168" i="90"/>
  <c r="F160" i="90"/>
  <c r="C155" i="90"/>
  <c r="D149" i="90"/>
  <c r="I145" i="90"/>
  <c r="N142" i="90"/>
  <c r="C139" i="90"/>
  <c r="I135" i="90"/>
  <c r="N132" i="90"/>
  <c r="B129" i="90"/>
  <c r="O125" i="90"/>
  <c r="G123" i="90"/>
  <c r="P120" i="90"/>
  <c r="F118" i="90"/>
  <c r="D116" i="90"/>
  <c r="N114" i="90"/>
  <c r="G113" i="90"/>
  <c r="A112" i="90"/>
  <c r="M110" i="90"/>
  <c r="E109" i="90"/>
  <c r="D108" i="90"/>
  <c r="N106" i="90"/>
  <c r="M105" i="90"/>
  <c r="I104" i="90"/>
  <c r="G103" i="90"/>
  <c r="F102" i="90"/>
  <c r="C101" i="90"/>
  <c r="C100" i="90"/>
  <c r="F99" i="90"/>
  <c r="G98" i="90"/>
  <c r="K97" i="90"/>
  <c r="O96" i="90"/>
  <c r="Q95" i="90"/>
  <c r="E95" i="90"/>
  <c r="J94" i="90"/>
  <c r="O93" i="90"/>
  <c r="C93" i="90"/>
  <c r="H92" i="90"/>
  <c r="M91" i="90"/>
  <c r="P90" i="90"/>
  <c r="E90" i="90"/>
  <c r="I89" i="90"/>
  <c r="O88" i="90"/>
  <c r="B88" i="90"/>
  <c r="H87" i="90"/>
  <c r="L86" i="90"/>
  <c r="Q85" i="90"/>
  <c r="D85" i="90"/>
  <c r="J84" i="90"/>
  <c r="N83" i="90"/>
  <c r="C83" i="90"/>
  <c r="G82" i="90"/>
  <c r="M81" i="90"/>
  <c r="P80" i="90"/>
  <c r="D80" i="90"/>
  <c r="I79" i="90"/>
  <c r="N78" i="90"/>
  <c r="B78" i="90"/>
  <c r="G77" i="90"/>
  <c r="L76" i="90"/>
  <c r="O75" i="90"/>
  <c r="D75" i="90"/>
  <c r="H74" i="90"/>
  <c r="N73" i="90"/>
  <c r="A73" i="90"/>
  <c r="G72" i="90"/>
  <c r="K71" i="90"/>
  <c r="P70" i="90"/>
  <c r="C70" i="90"/>
  <c r="I69" i="90"/>
  <c r="M68" i="90"/>
  <c r="B68" i="90"/>
  <c r="F67" i="90"/>
  <c r="L66" i="90"/>
  <c r="O65" i="90"/>
  <c r="C65" i="90"/>
  <c r="H64" i="90"/>
  <c r="M63" i="90"/>
  <c r="A63" i="90"/>
  <c r="F62" i="90"/>
  <c r="K61" i="90"/>
  <c r="N60" i="90"/>
  <c r="C60" i="90"/>
  <c r="G59" i="90"/>
  <c r="M58" i="90"/>
  <c r="Q57" i="90"/>
  <c r="F57" i="90"/>
  <c r="J56" i="90"/>
  <c r="O55" i="90"/>
  <c r="B55" i="90"/>
  <c r="H54" i="90"/>
  <c r="L53" i="90"/>
  <c r="A53" i="90"/>
  <c r="E52" i="90"/>
  <c r="K51" i="90"/>
  <c r="N50" i="90"/>
  <c r="M196" i="90"/>
  <c r="O184" i="90"/>
  <c r="K174" i="90"/>
  <c r="L168" i="90"/>
  <c r="E160" i="90"/>
  <c r="N152" i="90"/>
  <c r="C149" i="90"/>
  <c r="H145" i="90"/>
  <c r="M141" i="90"/>
  <c r="A139" i="90"/>
  <c r="G135" i="90"/>
  <c r="M131" i="90"/>
  <c r="A129" i="90"/>
  <c r="G125" i="90"/>
  <c r="P122" i="90"/>
  <c r="H120" i="90"/>
  <c r="O117" i="90"/>
  <c r="P115" i="90"/>
  <c r="I114" i="90"/>
  <c r="E113" i="90"/>
  <c r="M111" i="90"/>
  <c r="L110" i="90"/>
  <c r="C109" i="90"/>
  <c r="N107" i="90"/>
  <c r="J106" i="90"/>
  <c r="K105" i="90"/>
  <c r="H104" i="90"/>
  <c r="E103" i="90"/>
  <c r="D102" i="90"/>
  <c r="P100" i="90"/>
  <c r="B100" i="90"/>
  <c r="E99" i="90"/>
  <c r="F98" i="90"/>
  <c r="I97" i="90"/>
  <c r="N96" i="90"/>
  <c r="P95" i="90"/>
  <c r="C95" i="90"/>
  <c r="I94" i="90"/>
  <c r="M93" i="90"/>
  <c r="B93" i="90"/>
  <c r="F92" i="90"/>
  <c r="K91" i="90"/>
  <c r="O90" i="90"/>
  <c r="D90" i="90"/>
  <c r="H89" i="90"/>
  <c r="N88" i="90"/>
  <c r="A88" i="90"/>
  <c r="G87" i="90"/>
  <c r="J86" i="90"/>
  <c r="O85" i="90"/>
  <c r="C85" i="90"/>
  <c r="H84" i="90"/>
  <c r="M83" i="90"/>
  <c r="A83" i="90"/>
  <c r="F82" i="90"/>
  <c r="I81" i="90"/>
  <c r="O80" i="90"/>
  <c r="B80" i="90"/>
  <c r="H79" i="90"/>
  <c r="L78" i="90"/>
  <c r="A78" i="90"/>
  <c r="E77" i="90"/>
  <c r="J76" i="90"/>
  <c r="N75" i="90"/>
  <c r="C75" i="90"/>
  <c r="G74" i="90"/>
  <c r="M73" i="90"/>
  <c r="Q72" i="90"/>
  <c r="F72" i="90"/>
  <c r="I71" i="90"/>
  <c r="N70" i="90"/>
  <c r="B70" i="90"/>
  <c r="G69" i="90"/>
  <c r="L68" i="90"/>
  <c r="Q67" i="90"/>
  <c r="E67" i="90"/>
  <c r="H66" i="90"/>
  <c r="N65" i="90"/>
  <c r="A65" i="90"/>
  <c r="G64" i="90"/>
  <c r="K63" i="90"/>
  <c r="Q62" i="90"/>
  <c r="D62" i="90"/>
  <c r="I61" i="90"/>
  <c r="M60" i="90"/>
  <c r="B60" i="90"/>
  <c r="F59" i="90"/>
  <c r="L58" i="90"/>
  <c r="Q192" i="90"/>
  <c r="K184" i="90"/>
  <c r="H174" i="90"/>
  <c r="Q165" i="90"/>
  <c r="D160" i="90"/>
  <c r="M152" i="90"/>
  <c r="Q147" i="90"/>
  <c r="G145" i="90"/>
  <c r="L141" i="90"/>
  <c r="Q137" i="90"/>
  <c r="E135" i="90"/>
  <c r="K131" i="90"/>
  <c r="Q127" i="90"/>
  <c r="F125" i="90"/>
  <c r="O122" i="90"/>
  <c r="F120" i="90"/>
  <c r="N117" i="90"/>
  <c r="O115" i="90"/>
  <c r="F114" i="90"/>
  <c r="C113" i="90"/>
  <c r="K111" i="90"/>
  <c r="E110" i="90"/>
  <c r="A109" i="90"/>
  <c r="K107" i="90"/>
  <c r="I106" i="90"/>
  <c r="E105" i="90"/>
  <c r="D104" i="90"/>
  <c r="D103" i="90"/>
  <c r="Q101" i="90"/>
  <c r="O100" i="90"/>
  <c r="Q99" i="90"/>
  <c r="A99" i="90"/>
  <c r="E98" i="90"/>
  <c r="H97" i="90"/>
  <c r="I96" i="90"/>
  <c r="O95" i="90"/>
  <c r="B95" i="90"/>
  <c r="H94" i="90"/>
  <c r="L93" i="90"/>
  <c r="A93" i="90"/>
  <c r="D92" i="90"/>
  <c r="I91" i="90"/>
  <c r="N90" i="90"/>
  <c r="B90" i="90"/>
  <c r="G89" i="90"/>
  <c r="L88" i="90"/>
  <c r="Q87" i="90"/>
  <c r="C87" i="90"/>
  <c r="I86" i="90"/>
  <c r="M85" i="90"/>
  <c r="B85" i="90"/>
  <c r="F84" i="90"/>
  <c r="L83" i="90"/>
  <c r="P82" i="90"/>
  <c r="D82" i="90"/>
  <c r="H81" i="90"/>
  <c r="N80" i="90"/>
  <c r="A80" i="90"/>
  <c r="G79" i="90"/>
  <c r="K78" i="90"/>
  <c r="Q77" i="90"/>
  <c r="C77" i="90"/>
  <c r="H76" i="90"/>
  <c r="M75" i="90"/>
  <c r="A75" i="90"/>
  <c r="F74" i="90"/>
  <c r="K73" i="90"/>
  <c r="P72" i="90"/>
  <c r="B72" i="90"/>
  <c r="H71" i="90"/>
  <c r="L70" i="90"/>
  <c r="A70" i="90"/>
  <c r="E69" i="90"/>
  <c r="K68" i="90"/>
  <c r="O67" i="90"/>
  <c r="C67" i="90"/>
  <c r="G66" i="90"/>
  <c r="M65" i="90"/>
  <c r="Q64" i="90"/>
  <c r="F64" i="90"/>
  <c r="J63" i="90"/>
  <c r="P62" i="90"/>
  <c r="B62" i="90"/>
  <c r="G61" i="90"/>
  <c r="L60" i="90"/>
  <c r="O192" i="90"/>
  <c r="F174" i="90"/>
  <c r="O157" i="90"/>
  <c r="P147" i="90"/>
  <c r="K141" i="90"/>
  <c r="D134" i="90"/>
  <c r="O127" i="90"/>
  <c r="N122" i="90"/>
  <c r="M117" i="90"/>
  <c r="B114" i="90"/>
  <c r="J111" i="90"/>
  <c r="P108" i="90"/>
  <c r="H106" i="90"/>
  <c r="B104" i="90"/>
  <c r="O101" i="90"/>
  <c r="O99" i="90"/>
  <c r="D98" i="90"/>
  <c r="H96" i="90"/>
  <c r="A95" i="90"/>
  <c r="K93" i="90"/>
  <c r="C92" i="90"/>
  <c r="M90" i="90"/>
  <c r="F89" i="90"/>
  <c r="O87" i="90"/>
  <c r="H86" i="90"/>
  <c r="A85" i="90"/>
  <c r="K83" i="90"/>
  <c r="B82" i="90"/>
  <c r="L80" i="90"/>
  <c r="E79" i="90"/>
  <c r="M77" i="90"/>
  <c r="F76" i="90"/>
  <c r="P74" i="90"/>
  <c r="I73" i="90"/>
  <c r="A72" i="90"/>
  <c r="K70" i="90"/>
  <c r="D69" i="90"/>
  <c r="M67" i="90"/>
  <c r="F66" i="90"/>
  <c r="P64" i="90"/>
  <c r="I63" i="90"/>
  <c r="A62" i="90"/>
  <c r="K60" i="90"/>
  <c r="K59" i="90"/>
  <c r="H58" i="90"/>
  <c r="K57" i="90"/>
  <c r="O56" i="90"/>
  <c r="A56" i="90"/>
  <c r="C55" i="90"/>
  <c r="F54" i="90"/>
  <c r="J53" i="90"/>
  <c r="L52" i="90"/>
  <c r="O51" i="90"/>
  <c r="C51" i="90"/>
  <c r="F50" i="90"/>
  <c r="I49" i="90"/>
  <c r="O48" i="90"/>
  <c r="B48" i="90"/>
  <c r="H47" i="90"/>
  <c r="L46" i="90"/>
  <c r="A46" i="90"/>
  <c r="E45" i="90"/>
  <c r="J44" i="90"/>
  <c r="N43" i="90"/>
  <c r="C43" i="90"/>
  <c r="G42" i="90"/>
  <c r="M41" i="90"/>
  <c r="Q40" i="90"/>
  <c r="F40" i="90"/>
  <c r="I39" i="90"/>
  <c r="N38" i="90"/>
  <c r="B38" i="90"/>
  <c r="G37" i="90"/>
  <c r="L36" i="90"/>
  <c r="Q35" i="90"/>
  <c r="E35" i="90"/>
  <c r="H34" i="90"/>
  <c r="N33" i="90"/>
  <c r="A33" i="90"/>
  <c r="H32" i="90"/>
  <c r="O31" i="90"/>
  <c r="C31" i="90"/>
  <c r="J30" i="90"/>
  <c r="Q29" i="90"/>
  <c r="E29" i="90"/>
  <c r="L28" i="90"/>
  <c r="B28" i="90"/>
  <c r="G27" i="90"/>
  <c r="N26" i="90"/>
  <c r="D26" i="90"/>
  <c r="I25" i="90"/>
  <c r="P24" i="90"/>
  <c r="F24" i="90"/>
  <c r="K23" i="90"/>
  <c r="A23" i="90"/>
  <c r="H22" i="90"/>
  <c r="M21" i="90"/>
  <c r="E21" i="90"/>
  <c r="N20" i="90"/>
  <c r="F20" i="90"/>
  <c r="O19" i="90"/>
  <c r="G19" i="90"/>
  <c r="P18" i="90"/>
  <c r="H18" i="90"/>
  <c r="Q17" i="90"/>
  <c r="I17" i="90"/>
  <c r="A17" i="90"/>
  <c r="J16" i="90"/>
  <c r="B16" i="90"/>
  <c r="K15" i="90"/>
  <c r="C15" i="90"/>
  <c r="L14" i="90"/>
  <c r="D14" i="90"/>
  <c r="M13" i="90"/>
  <c r="E13" i="90"/>
  <c r="N12" i="90"/>
  <c r="F12" i="90"/>
  <c r="O11" i="90"/>
  <c r="G11" i="90"/>
  <c r="P10" i="90"/>
  <c r="H10" i="90"/>
  <c r="Q9" i="90"/>
  <c r="I9" i="90"/>
  <c r="A9" i="90"/>
  <c r="J8" i="90"/>
  <c r="B8" i="90"/>
  <c r="J7" i="90"/>
  <c r="B7" i="90"/>
  <c r="J6" i="90"/>
  <c r="B6" i="90"/>
  <c r="J5" i="90"/>
  <c r="B5" i="90"/>
  <c r="J4" i="90"/>
  <c r="A4" i="90"/>
  <c r="I3" i="90"/>
  <c r="L192" i="90"/>
  <c r="K171" i="90"/>
  <c r="M157" i="90"/>
  <c r="O147" i="90"/>
  <c r="H140" i="90"/>
  <c r="C134" i="90"/>
  <c r="M127" i="90"/>
  <c r="B122" i="90"/>
  <c r="C117" i="90"/>
  <c r="A114" i="90"/>
  <c r="I111" i="90"/>
  <c r="L108" i="90"/>
  <c r="B106" i="90"/>
  <c r="A104" i="90"/>
  <c r="M101" i="90"/>
  <c r="L99" i="90"/>
  <c r="B98" i="90"/>
  <c r="G96" i="90"/>
  <c r="Q94" i="90"/>
  <c r="I93" i="90"/>
  <c r="B92" i="90"/>
  <c r="L90" i="90"/>
  <c r="E89" i="90"/>
  <c r="M87" i="90"/>
  <c r="F86" i="90"/>
  <c r="P84" i="90"/>
  <c r="G83" i="90"/>
  <c r="Q81" i="90"/>
  <c r="J80" i="90"/>
  <c r="C79" i="90"/>
  <c r="L77" i="90"/>
  <c r="E76" i="90"/>
  <c r="O74" i="90"/>
  <c r="G73" i="90"/>
  <c r="Q71" i="90"/>
  <c r="J70" i="90"/>
  <c r="C69" i="90"/>
  <c r="L67" i="90"/>
  <c r="E66" i="90"/>
  <c r="O64" i="90"/>
  <c r="G63" i="90"/>
  <c r="Q61" i="90"/>
  <c r="J60" i="90"/>
  <c r="E59" i="90"/>
  <c r="F58" i="90"/>
  <c r="I57" i="90"/>
  <c r="N56" i="90"/>
  <c r="Q55" i="90"/>
  <c r="A55" i="90"/>
  <c r="D54" i="90"/>
  <c r="I53" i="90"/>
  <c r="K52" i="90"/>
  <c r="N51" i="90"/>
  <c r="A51" i="90"/>
  <c r="D50" i="90"/>
  <c r="H49" i="90"/>
  <c r="N48" i="90"/>
  <c r="A48" i="90"/>
  <c r="G47" i="90"/>
  <c r="K46" i="90"/>
  <c r="Q45" i="90"/>
  <c r="C45" i="90"/>
  <c r="H44" i="90"/>
  <c r="M43" i="90"/>
  <c r="A43" i="90"/>
  <c r="F42" i="90"/>
  <c r="K41" i="90"/>
  <c r="P40" i="90"/>
  <c r="B40" i="90"/>
  <c r="H39" i="90"/>
  <c r="L38" i="90"/>
  <c r="A38" i="90"/>
  <c r="E37" i="90"/>
  <c r="K36" i="90"/>
  <c r="O35" i="90"/>
  <c r="C35" i="90"/>
  <c r="G34" i="90"/>
  <c r="M33" i="90"/>
  <c r="Q32" i="90"/>
  <c r="G32" i="90"/>
  <c r="M31" i="90"/>
  <c r="B31" i="90"/>
  <c r="I30" i="90"/>
  <c r="O29" i="90"/>
  <c r="D29" i="90"/>
  <c r="K28" i="90"/>
  <c r="Q27" i="90"/>
  <c r="F27" i="90"/>
  <c r="M26" i="90"/>
  <c r="B26" i="90"/>
  <c r="H25" i="90"/>
  <c r="O24" i="90"/>
  <c r="D24" i="90"/>
  <c r="J23" i="90"/>
  <c r="Q22" i="90"/>
  <c r="F22" i="90"/>
  <c r="L21" i="90"/>
  <c r="D21" i="90"/>
  <c r="M20" i="90"/>
  <c r="E20" i="90"/>
  <c r="N19" i="90"/>
  <c r="F19" i="90"/>
  <c r="O18" i="90"/>
  <c r="G18" i="90"/>
  <c r="P17" i="90"/>
  <c r="H17" i="90"/>
  <c r="Q16" i="90"/>
  <c r="I16" i="90"/>
  <c r="A16" i="90"/>
  <c r="J15" i="90"/>
  <c r="B15" i="90"/>
  <c r="K14" i="90"/>
  <c r="C14" i="90"/>
  <c r="L13" i="90"/>
  <c r="D13" i="90"/>
  <c r="M12" i="90"/>
  <c r="E12" i="90"/>
  <c r="N11" i="90"/>
  <c r="F11" i="90"/>
  <c r="O10" i="90"/>
  <c r="G10" i="90"/>
  <c r="P9" i="90"/>
  <c r="H9" i="90"/>
  <c r="Q8" i="90"/>
  <c r="I8" i="90"/>
  <c r="A8" i="90"/>
  <c r="I7" i="90"/>
  <c r="A7" i="90"/>
  <c r="I6" i="90"/>
  <c r="A6" i="90"/>
  <c r="I5" i="90"/>
  <c r="A5" i="90"/>
  <c r="I4" i="90"/>
  <c r="Q3" i="90"/>
  <c r="H3" i="90"/>
  <c r="P188" i="90"/>
  <c r="J171" i="90"/>
  <c r="K157" i="90"/>
  <c r="N146" i="90"/>
  <c r="G140" i="90"/>
  <c r="B134" i="90"/>
  <c r="L126" i="90"/>
  <c r="K121" i="90"/>
  <c r="N116" i="90"/>
  <c r="Q113" i="90"/>
  <c r="C111" i="90"/>
  <c r="G108" i="90"/>
  <c r="Q105" i="90"/>
  <c r="Q103" i="90"/>
  <c r="K101" i="90"/>
  <c r="K99" i="90"/>
  <c r="Q97" i="90"/>
  <c r="F96" i="90"/>
  <c r="P94" i="90"/>
  <c r="G93" i="90"/>
  <c r="Q91" i="90"/>
  <c r="J90" i="90"/>
  <c r="A89" i="90"/>
  <c r="K87" i="90"/>
  <c r="D86" i="90"/>
  <c r="N84" i="90"/>
  <c r="F83" i="90"/>
  <c r="P81" i="90"/>
  <c r="I80" i="90"/>
  <c r="A79" i="90"/>
  <c r="K77" i="90"/>
  <c r="D76" i="90"/>
  <c r="N74" i="90"/>
  <c r="F73" i="90"/>
  <c r="P71" i="90"/>
  <c r="I70" i="90"/>
  <c r="A69" i="90"/>
  <c r="K67" i="90"/>
  <c r="D66" i="90"/>
  <c r="N64" i="90"/>
  <c r="E63" i="90"/>
  <c r="O61" i="90"/>
  <c r="H60" i="90"/>
  <c r="D59" i="90"/>
  <c r="E58" i="90"/>
  <c r="H57" i="90"/>
  <c r="L56" i="90"/>
  <c r="M55" i="90"/>
  <c r="Q54" i="90"/>
  <c r="C54" i="90"/>
  <c r="E53" i="90"/>
  <c r="J52" i="90"/>
  <c r="M51" i="90"/>
  <c r="P50" i="90"/>
  <c r="B50" i="90"/>
  <c r="G49" i="90"/>
  <c r="L48" i="90"/>
  <c r="Q47" i="90"/>
  <c r="E47" i="90"/>
  <c r="J46" i="90"/>
  <c r="M45" i="90"/>
  <c r="B45" i="90"/>
  <c r="F44" i="90"/>
  <c r="L43" i="90"/>
  <c r="P42" i="90"/>
  <c r="E42" i="90"/>
  <c r="I41" i="90"/>
  <c r="N40" i="90"/>
  <c r="A40" i="90"/>
  <c r="G39" i="90"/>
  <c r="K38" i="90"/>
  <c r="Q37" i="90"/>
  <c r="D37" i="90"/>
  <c r="J36" i="90"/>
  <c r="M35" i="90"/>
  <c r="A35" i="90"/>
  <c r="F34" i="90"/>
  <c r="K33" i="90"/>
  <c r="P32" i="90"/>
  <c r="F32" i="90"/>
  <c r="K31" i="90"/>
  <c r="A31" i="90"/>
  <c r="H30" i="90"/>
  <c r="M29" i="90"/>
  <c r="C29" i="90"/>
  <c r="J28" i="90"/>
  <c r="O27" i="90"/>
  <c r="E27" i="90"/>
  <c r="L26" i="90"/>
  <c r="Q25" i="90"/>
  <c r="G25" i="90"/>
  <c r="N24" i="90"/>
  <c r="B24" i="90"/>
  <c r="I23" i="90"/>
  <c r="P22" i="90"/>
  <c r="D22" i="90"/>
  <c r="K21" i="90"/>
  <c r="C21" i="90"/>
  <c r="L20" i="90"/>
  <c r="D20" i="90"/>
  <c r="M19" i="90"/>
  <c r="E19" i="90"/>
  <c r="N18" i="90"/>
  <c r="F18" i="90"/>
  <c r="O17" i="90"/>
  <c r="G17" i="90"/>
  <c r="P16" i="90"/>
  <c r="H16" i="90"/>
  <c r="Q15" i="90"/>
  <c r="I15" i="90"/>
  <c r="A15" i="90"/>
  <c r="J14" i="90"/>
  <c r="B14" i="90"/>
  <c r="K13" i="90"/>
  <c r="C13" i="90"/>
  <c r="L12" i="90"/>
  <c r="D12" i="90"/>
  <c r="M11" i="90"/>
  <c r="E11" i="90"/>
  <c r="N10" i="90"/>
  <c r="F10" i="90"/>
  <c r="O9" i="90"/>
  <c r="G9" i="90"/>
  <c r="P8" i="90"/>
  <c r="H8" i="90"/>
  <c r="Q7" i="90"/>
  <c r="H7" i="90"/>
  <c r="Q6" i="90"/>
  <c r="H6" i="90"/>
  <c r="Q5" i="90"/>
  <c r="H5" i="90"/>
  <c r="Q4" i="90"/>
  <c r="H4" i="90"/>
  <c r="P3" i="90"/>
  <c r="D3" i="90"/>
  <c r="O188" i="90"/>
  <c r="I171" i="90"/>
  <c r="E155" i="90"/>
  <c r="L146" i="90"/>
  <c r="F140" i="90"/>
  <c r="P132" i="90"/>
  <c r="K126" i="90"/>
  <c r="J121" i="90"/>
  <c r="L116" i="90"/>
  <c r="K113" i="90"/>
  <c r="P110" i="90"/>
  <c r="F108" i="90"/>
  <c r="P105" i="90"/>
  <c r="K103" i="90"/>
  <c r="I101" i="90"/>
  <c r="I99" i="90"/>
  <c r="N97" i="90"/>
  <c r="D96" i="90"/>
  <c r="L94" i="90"/>
  <c r="E93" i="90"/>
  <c r="O91" i="90"/>
  <c r="H90" i="90"/>
  <c r="Q88" i="90"/>
  <c r="J87" i="90"/>
  <c r="C86" i="90"/>
  <c r="L84" i="90"/>
  <c r="E83" i="90"/>
  <c r="O81" i="90"/>
  <c r="H80" i="90"/>
  <c r="Q78" i="90"/>
  <c r="J77" i="90"/>
  <c r="C76" i="90"/>
  <c r="L74" i="90"/>
  <c r="E73" i="90"/>
  <c r="O71" i="90"/>
  <c r="H70" i="90"/>
  <c r="P68" i="90"/>
  <c r="I67" i="90"/>
  <c r="B66" i="90"/>
  <c r="J64" i="90"/>
  <c r="C63" i="90"/>
  <c r="M61" i="90"/>
  <c r="F60" i="90"/>
  <c r="C59" i="90"/>
  <c r="D58" i="90"/>
  <c r="G57" i="90"/>
  <c r="H56" i="90"/>
  <c r="K55" i="90"/>
  <c r="P54" i="90"/>
  <c r="B54" i="90"/>
  <c r="D53" i="90"/>
  <c r="H52" i="90"/>
  <c r="L51" i="90"/>
  <c r="M50" i="90"/>
  <c r="Q49" i="90"/>
  <c r="F49" i="90"/>
  <c r="J48" i="90"/>
  <c r="P47" i="90"/>
  <c r="C47" i="90"/>
  <c r="H46" i="90"/>
  <c r="L45" i="90"/>
  <c r="A45" i="90"/>
  <c r="E44" i="90"/>
  <c r="K43" i="90"/>
  <c r="O42" i="90"/>
  <c r="D42" i="90"/>
  <c r="G41" i="90"/>
  <c r="L40" i="90"/>
  <c r="Q39" i="90"/>
  <c r="E39" i="90"/>
  <c r="J38" i="90"/>
  <c r="O37" i="90"/>
  <c r="C37" i="90"/>
  <c r="F36" i="90"/>
  <c r="L35" i="90"/>
  <c r="P34" i="90"/>
  <c r="E34" i="90"/>
  <c r="I33" i="90"/>
  <c r="O32" i="90"/>
  <c r="D32" i="90"/>
  <c r="J31" i="90"/>
  <c r="Q30" i="90"/>
  <c r="F30" i="90"/>
  <c r="L29" i="90"/>
  <c r="B29" i="90"/>
  <c r="H28" i="90"/>
  <c r="N27" i="90"/>
  <c r="D27" i="90"/>
  <c r="J26" i="90"/>
  <c r="P25" i="90"/>
  <c r="F25" i="90"/>
  <c r="L24" i="90"/>
  <c r="A24" i="90"/>
  <c r="H23" i="90"/>
  <c r="N22" i="90"/>
  <c r="C22" i="90"/>
  <c r="J21" i="90"/>
  <c r="B21" i="90"/>
  <c r="K20" i="90"/>
  <c r="C20" i="90"/>
  <c r="L19" i="90"/>
  <c r="D19" i="90"/>
  <c r="M18" i="90"/>
  <c r="E18" i="90"/>
  <c r="N17" i="90"/>
  <c r="F17" i="90"/>
  <c r="O16" i="90"/>
  <c r="G16" i="90"/>
  <c r="P15" i="90"/>
  <c r="H15" i="90"/>
  <c r="Q14" i="90"/>
  <c r="I14" i="90"/>
  <c r="A14" i="90"/>
  <c r="J13" i="90"/>
  <c r="B13" i="90"/>
  <c r="K12" i="90"/>
  <c r="C12" i="90"/>
  <c r="L11" i="90"/>
  <c r="D11" i="90"/>
  <c r="M10" i="90"/>
  <c r="E10" i="90"/>
  <c r="N9" i="90"/>
  <c r="F9" i="90"/>
  <c r="O8" i="90"/>
  <c r="G8" i="90"/>
  <c r="P7" i="90"/>
  <c r="G7" i="90"/>
  <c r="P6" i="90"/>
  <c r="G6" i="90"/>
  <c r="P5" i="90"/>
  <c r="G5" i="90"/>
  <c r="P4" i="90"/>
  <c r="G4" i="90"/>
  <c r="O3" i="90"/>
  <c r="C3" i="90"/>
  <c r="N180" i="90"/>
  <c r="M165" i="90"/>
  <c r="J150" i="90"/>
  <c r="C144" i="90"/>
  <c r="O137" i="90"/>
  <c r="H130" i="90"/>
  <c r="L124" i="90"/>
  <c r="K119" i="90"/>
  <c r="F115" i="90"/>
  <c r="K112" i="90"/>
  <c r="B110" i="90"/>
  <c r="G107" i="90"/>
  <c r="B105" i="90"/>
  <c r="M102" i="90"/>
  <c r="M100" i="90"/>
  <c r="O98" i="90"/>
  <c r="C97" i="90"/>
  <c r="K95" i="90"/>
  <c r="D94" i="90"/>
  <c r="M92" i="90"/>
  <c r="F91" i="90"/>
  <c r="P89" i="90"/>
  <c r="H88" i="90"/>
  <c r="A87" i="90"/>
  <c r="K85" i="90"/>
  <c r="D84" i="90"/>
  <c r="M82" i="90"/>
  <c r="F81" i="90"/>
  <c r="P79" i="90"/>
  <c r="H78" i="90"/>
  <c r="A77" i="90"/>
  <c r="K75" i="90"/>
  <c r="D74" i="90"/>
  <c r="L72" i="90"/>
  <c r="E71" i="90"/>
  <c r="O69" i="90"/>
  <c r="F68" i="90"/>
  <c r="P66" i="90"/>
  <c r="I65" i="90"/>
  <c r="B64" i="90"/>
  <c r="K62" i="90"/>
  <c r="D61" i="90"/>
  <c r="O59" i="90"/>
  <c r="O58" i="90"/>
  <c r="P57" i="90"/>
  <c r="A57" i="90"/>
  <c r="F56" i="90"/>
  <c r="I55" i="90"/>
  <c r="L54" i="90"/>
  <c r="O53" i="90"/>
  <c r="B53" i="90"/>
  <c r="D52" i="90"/>
  <c r="F51" i="90"/>
  <c r="J50" i="90"/>
  <c r="O49" i="90"/>
  <c r="C49" i="90"/>
  <c r="H48" i="90"/>
  <c r="K47" i="90"/>
  <c r="Q46" i="90"/>
  <c r="D46" i="90"/>
  <c r="J45" i="90"/>
  <c r="N44" i="90"/>
  <c r="C44" i="90"/>
  <c r="G43" i="90"/>
  <c r="L42" i="90"/>
  <c r="P41" i="90"/>
  <c r="E41" i="90"/>
  <c r="I40" i="90"/>
  <c r="O39" i="90"/>
  <c r="B39" i="90"/>
  <c r="H38" i="90"/>
  <c r="K37" i="90"/>
  <c r="P36" i="90"/>
  <c r="D36" i="90"/>
  <c r="I35" i="90"/>
  <c r="N34" i="90"/>
  <c r="B34" i="90"/>
  <c r="G33" i="90"/>
  <c r="L32" i="90"/>
  <c r="A32" i="90"/>
  <c r="H31" i="90"/>
  <c r="N30" i="90"/>
  <c r="C30" i="90"/>
  <c r="J29" i="90"/>
  <c r="P28" i="90"/>
  <c r="E4" i="90"/>
  <c r="E5" i="90"/>
  <c r="E6" i="90"/>
  <c r="E7" i="90"/>
  <c r="E8" i="90"/>
  <c r="D9" i="90"/>
  <c r="C10" i="90"/>
  <c r="B11" i="90"/>
  <c r="A12" i="90"/>
  <c r="Q12" i="90"/>
  <c r="P13" i="90"/>
  <c r="O14" i="90"/>
  <c r="N15" i="90"/>
  <c r="M16" i="90"/>
  <c r="L17" i="90"/>
  <c r="K18" i="90"/>
  <c r="J19" i="90"/>
  <c r="I20" i="90"/>
  <c r="H21" i="90"/>
  <c r="K22" i="90"/>
  <c r="P23" i="90"/>
  <c r="C25" i="90"/>
  <c r="G26" i="90"/>
  <c r="L27" i="90"/>
  <c r="A29" i="90"/>
  <c r="L30" i="90"/>
  <c r="I32" i="90"/>
  <c r="D34" i="90"/>
  <c r="C36" i="90"/>
  <c r="C38" i="90"/>
  <c r="P39" i="90"/>
  <c r="O41" i="90"/>
  <c r="O43" i="90"/>
  <c r="K45" i="90"/>
  <c r="J47" i="90"/>
  <c r="M49" i="90"/>
  <c r="G51" i="90"/>
  <c r="M53" i="90"/>
  <c r="B56" i="90"/>
  <c r="B58" i="90"/>
  <c r="C61" i="90"/>
  <c r="G65" i="90"/>
  <c r="J68" i="90"/>
  <c r="J72" i="90"/>
  <c r="N76" i="90"/>
  <c r="Q79" i="90"/>
  <c r="B84" i="90"/>
  <c r="F88" i="90"/>
  <c r="G91" i="90"/>
  <c r="J95" i="90"/>
  <c r="E100" i="90"/>
  <c r="C105" i="90"/>
  <c r="J112" i="90"/>
  <c r="B124" i="90"/>
  <c r="P137" i="90"/>
  <c r="A163" i="90"/>
  <c r="A3" i="90"/>
  <c r="F4" i="90"/>
  <c r="F5" i="90"/>
  <c r="F6" i="90"/>
  <c r="F7" i="90"/>
  <c r="F8" i="90"/>
  <c r="E9" i="90"/>
  <c r="D10" i="90"/>
  <c r="C11" i="90"/>
  <c r="B12" i="90"/>
  <c r="A13" i="90"/>
  <c r="Q13" i="90"/>
  <c r="P14" i="90"/>
  <c r="O15" i="90"/>
  <c r="N16" i="90"/>
  <c r="M17" i="90"/>
  <c r="L18" i="90"/>
  <c r="K19" i="90"/>
  <c r="J20" i="90"/>
  <c r="I21" i="90"/>
  <c r="L22" i="90"/>
  <c r="Q23" i="90"/>
  <c r="E25" i="90"/>
  <c r="H26" i="90"/>
  <c r="M27" i="90"/>
  <c r="G29" i="90"/>
  <c r="P30" i="90"/>
  <c r="J32" i="90"/>
  <c r="L34" i="90"/>
  <c r="E36" i="90"/>
  <c r="D38" i="90"/>
  <c r="G40" i="90"/>
  <c r="Q41" i="90"/>
  <c r="B44" i="90"/>
  <c r="B46" i="90"/>
  <c r="O47" i="90"/>
  <c r="N49" i="90"/>
  <c r="Q51" i="90"/>
  <c r="Q53" i="90"/>
  <c r="D56" i="90"/>
  <c r="J58" i="90"/>
  <c r="E61" i="90"/>
  <c r="H65" i="90"/>
  <c r="K69" i="90"/>
  <c r="N72" i="90"/>
  <c r="P76" i="90"/>
  <c r="C81" i="90"/>
  <c r="E84" i="90"/>
  <c r="G88" i="90"/>
  <c r="K92" i="90"/>
  <c r="M95" i="90"/>
  <c r="L100" i="90"/>
  <c r="Q106" i="90"/>
  <c r="N112" i="90"/>
  <c r="D124" i="90"/>
  <c r="A143" i="90"/>
  <c r="O165" i="90"/>
  <c r="J3" i="90"/>
  <c r="L4" i="90"/>
  <c r="L5" i="90"/>
  <c r="L6" i="90"/>
  <c r="L7" i="90"/>
  <c r="K8" i="90"/>
  <c r="J9" i="90"/>
  <c r="I10" i="90"/>
  <c r="H11" i="90"/>
  <c r="G12" i="90"/>
  <c r="F13" i="90"/>
  <c r="E14" i="90"/>
  <c r="D15" i="90"/>
  <c r="C16" i="90"/>
  <c r="B17" i="90"/>
  <c r="A18" i="90"/>
  <c r="Q18" i="90"/>
  <c r="P19" i="90"/>
  <c r="O20" i="90"/>
  <c r="O21" i="90"/>
  <c r="B23" i="90"/>
  <c r="G24" i="90"/>
  <c r="K25" i="90"/>
  <c r="O26" i="90"/>
  <c r="C28" i="90"/>
  <c r="I29" i="90"/>
  <c r="E31" i="90"/>
  <c r="N32" i="90"/>
  <c r="M34" i="90"/>
  <c r="M36" i="90"/>
  <c r="I38" i="90"/>
  <c r="H40" i="90"/>
  <c r="H42" i="90"/>
  <c r="D44" i="90"/>
  <c r="C46" i="90"/>
  <c r="D48" i="90"/>
  <c r="P49" i="90"/>
  <c r="B52" i="90"/>
  <c r="I54" i="90"/>
  <c r="G56" i="90"/>
  <c r="N58" i="90"/>
  <c r="I62" i="90"/>
  <c r="K65" i="90"/>
  <c r="M69" i="90"/>
  <c r="P73" i="90"/>
  <c r="B77" i="90"/>
  <c r="E81" i="90"/>
  <c r="I85" i="90"/>
  <c r="J88" i="90"/>
  <c r="L92" i="90"/>
  <c r="Q96" i="90"/>
  <c r="N100" i="90"/>
  <c r="E107" i="90"/>
  <c r="A115" i="90"/>
  <c r="E125" i="90"/>
  <c r="B144" i="90"/>
  <c r="H177" i="90"/>
  <c r="J42" i="90"/>
  <c r="L44" i="90"/>
  <c r="F46" i="90"/>
  <c r="F48" i="90"/>
  <c r="G50" i="90"/>
  <c r="F52" i="90"/>
  <c r="J54" i="90"/>
  <c r="P56" i="90"/>
  <c r="P58" i="90"/>
  <c r="J62" i="90"/>
  <c r="N66" i="90"/>
  <c r="Q69" i="90"/>
  <c r="Q73" i="90"/>
  <c r="D78" i="90"/>
  <c r="G81" i="90"/>
  <c r="J85" i="90"/>
  <c r="M89" i="90"/>
  <c r="N92" i="90"/>
  <c r="A97" i="90"/>
  <c r="K102" i="90"/>
  <c r="I107" i="90"/>
  <c r="C115" i="90"/>
  <c r="F130" i="90"/>
  <c r="D144" i="90"/>
  <c r="M180" i="90"/>
  <c r="N42" i="90"/>
  <c r="M44" i="90"/>
  <c r="N46" i="90"/>
  <c r="I48" i="90"/>
  <c r="H50" i="90"/>
  <c r="N52" i="90"/>
  <c r="N54" i="90"/>
  <c r="Q56" i="90"/>
  <c r="M59" i="90"/>
  <c r="L62" i="90"/>
  <c r="O66" i="90"/>
  <c r="B71" i="90"/>
  <c r="E74" i="90"/>
  <c r="F78" i="90"/>
  <c r="J82" i="90"/>
  <c r="L85" i="90"/>
  <c r="O89" i="90"/>
  <c r="A94" i="90"/>
  <c r="G97" i="90"/>
  <c r="L102" i="90"/>
  <c r="M109" i="90"/>
  <c r="N115" i="90"/>
  <c r="G130" i="90"/>
  <c r="F150" i="90"/>
  <c r="O180" i="90"/>
  <c r="G4" i="53"/>
  <c r="B9" i="53"/>
  <c r="H13" i="53"/>
  <c r="C18" i="53"/>
  <c r="I22" i="53"/>
  <c r="Q26" i="53"/>
  <c r="H31" i="53"/>
  <c r="P35" i="53"/>
  <c r="M40" i="53"/>
  <c r="P45" i="53"/>
  <c r="C51" i="53"/>
  <c r="L56" i="53"/>
  <c r="I63" i="53"/>
  <c r="Q70" i="53"/>
  <c r="G78" i="53"/>
  <c r="M87" i="53"/>
  <c r="B100" i="53"/>
  <c r="K122" i="53"/>
  <c r="J199" i="53"/>
  <c r="P195" i="53"/>
  <c r="C192" i="53"/>
  <c r="E188" i="53"/>
  <c r="M184" i="53"/>
  <c r="Q180" i="53"/>
  <c r="D176" i="53"/>
  <c r="O172" i="53"/>
  <c r="B169" i="53"/>
  <c r="D165" i="53"/>
  <c r="B162" i="53"/>
  <c r="Q159" i="53"/>
  <c r="O156" i="53"/>
  <c r="O154" i="53"/>
  <c r="I152" i="53"/>
  <c r="A150" i="53"/>
  <c r="N147" i="53"/>
  <c r="N145" i="53"/>
  <c r="K143" i="53"/>
  <c r="M141" i="53"/>
  <c r="M139" i="53"/>
  <c r="I137" i="53"/>
  <c r="O135" i="53"/>
  <c r="B134" i="53"/>
  <c r="D132" i="53"/>
  <c r="L130" i="53"/>
  <c r="P128" i="53"/>
  <c r="O126" i="53"/>
  <c r="B125" i="53"/>
  <c r="F123" i="53"/>
  <c r="H121" i="53"/>
  <c r="P119" i="53"/>
  <c r="C118" i="53"/>
  <c r="E116" i="53"/>
  <c r="K114" i="53"/>
  <c r="Q112" i="53"/>
  <c r="L110" i="53"/>
  <c r="A109" i="53"/>
  <c r="G107" i="53"/>
  <c r="I105" i="53"/>
  <c r="O103" i="53"/>
  <c r="F102" i="53"/>
  <c r="I100" i="53"/>
  <c r="A99" i="53"/>
  <c r="L97" i="53"/>
  <c r="A96" i="53"/>
  <c r="M94" i="53"/>
  <c r="H93" i="53"/>
  <c r="A92" i="53"/>
  <c r="O90" i="53"/>
  <c r="J89" i="53"/>
  <c r="O87" i="53"/>
  <c r="N86" i="53"/>
  <c r="O85" i="53"/>
  <c r="J84" i="53"/>
  <c r="I83" i="53"/>
  <c r="H82" i="53"/>
  <c r="C81" i="53"/>
  <c r="D80" i="53"/>
  <c r="C79" i="53"/>
  <c r="O77" i="53"/>
  <c r="N76" i="53"/>
  <c r="Q75" i="53"/>
  <c r="A75" i="53"/>
  <c r="D74" i="53"/>
  <c r="G73" i="53"/>
  <c r="H72" i="53"/>
  <c r="M71" i="53"/>
  <c r="P70" i="53"/>
  <c r="Q69" i="53"/>
  <c r="C69" i="53"/>
  <c r="H68" i="53"/>
  <c r="I67" i="53"/>
  <c r="L66" i="53"/>
  <c r="O65" i="53"/>
  <c r="P64" i="53"/>
  <c r="D64" i="53"/>
  <c r="G63" i="53"/>
  <c r="H62" i="53"/>
  <c r="K61" i="53"/>
  <c r="P60" i="53"/>
  <c r="Q59" i="53"/>
  <c r="C59" i="53"/>
  <c r="F58" i="53"/>
  <c r="G57" i="53"/>
  <c r="B199" i="53"/>
  <c r="H195" i="53"/>
  <c r="B192" i="53"/>
  <c r="H187" i="53"/>
  <c r="N183" i="53"/>
  <c r="A180" i="53"/>
  <c r="C176" i="53"/>
  <c r="N172" i="53"/>
  <c r="A169" i="53"/>
  <c r="Q164" i="53"/>
  <c r="A162" i="53"/>
  <c r="P159" i="53"/>
  <c r="N156" i="53"/>
  <c r="H154" i="53"/>
  <c r="H152" i="53"/>
  <c r="O149" i="53"/>
  <c r="I147" i="53"/>
  <c r="J145" i="53"/>
  <c r="B143" i="53"/>
  <c r="D141" i="53"/>
  <c r="F139" i="53"/>
  <c r="H137" i="53"/>
  <c r="N135" i="53"/>
  <c r="A134" i="53"/>
  <c r="C132" i="53"/>
  <c r="K130" i="53"/>
  <c r="O128" i="53"/>
  <c r="J126" i="53"/>
  <c r="A125" i="53"/>
  <c r="E123" i="53"/>
  <c r="G121" i="53"/>
  <c r="K119" i="53"/>
  <c r="B118" i="53"/>
  <c r="N115" i="53"/>
  <c r="E114" i="53"/>
  <c r="I112" i="53"/>
  <c r="K110" i="53"/>
  <c r="Q108" i="53"/>
  <c r="F107" i="53"/>
  <c r="H105" i="53"/>
  <c r="N103" i="53"/>
  <c r="D102" i="53"/>
  <c r="H100" i="53"/>
  <c r="P98" i="53"/>
  <c r="H97" i="53"/>
  <c r="O95" i="53"/>
  <c r="L94" i="53"/>
  <c r="G93" i="53"/>
  <c r="N91" i="53"/>
  <c r="I90" i="53"/>
  <c r="D89" i="53"/>
  <c r="N87" i="53"/>
  <c r="M86" i="53"/>
  <c r="N85" i="53"/>
  <c r="I84" i="53"/>
  <c r="H83" i="53"/>
  <c r="G82" i="53"/>
  <c r="B81" i="53"/>
  <c r="C80" i="53"/>
  <c r="B79" i="53"/>
  <c r="N77" i="53"/>
  <c r="M76" i="53"/>
  <c r="P75" i="53"/>
  <c r="Q74" i="53"/>
  <c r="C74" i="53"/>
  <c r="F73" i="53"/>
  <c r="G72" i="53"/>
  <c r="L71" i="53"/>
  <c r="O70" i="53"/>
  <c r="P69" i="53"/>
  <c r="B69" i="53"/>
  <c r="G68" i="53"/>
  <c r="H67" i="53"/>
  <c r="K66" i="53"/>
  <c r="N65" i="53"/>
  <c r="O64" i="53"/>
  <c r="C64" i="53"/>
  <c r="F63" i="53"/>
  <c r="G62" i="53"/>
  <c r="J61" i="53"/>
  <c r="O60" i="53"/>
  <c r="P59" i="53"/>
  <c r="B59" i="53"/>
  <c r="E58" i="53"/>
  <c r="F57" i="53"/>
  <c r="O198" i="53"/>
  <c r="J193" i="53"/>
  <c r="D189" i="53"/>
  <c r="F183" i="53"/>
  <c r="H178" i="53"/>
  <c r="C174" i="53"/>
  <c r="N167" i="53"/>
  <c r="P163" i="53"/>
  <c r="B160" i="53"/>
  <c r="M156" i="53"/>
  <c r="I153" i="53"/>
  <c r="A151" i="53"/>
  <c r="H147" i="53"/>
  <c r="K144" i="53"/>
  <c r="O141" i="53"/>
  <c r="P138" i="53"/>
  <c r="O136" i="53"/>
  <c r="K134" i="53"/>
  <c r="N131" i="53"/>
  <c r="L129" i="53"/>
  <c r="I127" i="53"/>
  <c r="Q124" i="53"/>
  <c r="H122" i="53"/>
  <c r="A120" i="53"/>
  <c r="I117" i="53"/>
  <c r="K115" i="53"/>
  <c r="D113" i="53"/>
  <c r="J110" i="53"/>
  <c r="C108" i="53"/>
  <c r="E106" i="53"/>
  <c r="F103" i="53"/>
  <c r="J101" i="53"/>
  <c r="I99" i="53"/>
  <c r="E97" i="53"/>
  <c r="G95" i="53"/>
  <c r="L93" i="53"/>
  <c r="K91" i="53"/>
  <c r="P89" i="53"/>
  <c r="I88" i="53"/>
  <c r="L86" i="53"/>
  <c r="E85" i="53"/>
  <c r="K83" i="53"/>
  <c r="B82" i="53"/>
  <c r="N80" i="53"/>
  <c r="E79" i="53"/>
  <c r="M77" i="53"/>
  <c r="E76" i="53"/>
  <c r="E75" i="53"/>
  <c r="B74" i="53"/>
  <c r="P72" i="53"/>
  <c r="O71" i="53"/>
  <c r="J70" i="53"/>
  <c r="K69" i="53"/>
  <c r="J68" i="53"/>
  <c r="E67" i="53"/>
  <c r="D66" i="53"/>
  <c r="E65" i="53"/>
  <c r="Q63" i="53"/>
  <c r="P62" i="53"/>
  <c r="O61" i="53"/>
  <c r="J60" i="53"/>
  <c r="K59" i="53"/>
  <c r="J58" i="53"/>
  <c r="E57" i="53"/>
  <c r="H56" i="53"/>
  <c r="I55" i="53"/>
  <c r="N54" i="53"/>
  <c r="Q53" i="53"/>
  <c r="A53" i="53"/>
  <c r="D52" i="53"/>
  <c r="I51" i="53"/>
  <c r="J50" i="53"/>
  <c r="M49" i="53"/>
  <c r="P48" i="53"/>
  <c r="Q47" i="53"/>
  <c r="E47" i="53"/>
  <c r="H46" i="53"/>
  <c r="I45" i="53"/>
  <c r="L44" i="53"/>
  <c r="Q43" i="53"/>
  <c r="A43" i="53"/>
  <c r="D42" i="53"/>
  <c r="G41" i="53"/>
  <c r="H40" i="53"/>
  <c r="M39" i="53"/>
  <c r="P38" i="53"/>
  <c r="Q37" i="53"/>
  <c r="C37" i="53"/>
  <c r="H36" i="53"/>
  <c r="I35" i="53"/>
  <c r="L34" i="53"/>
  <c r="O33" i="53"/>
  <c r="P32" i="53"/>
  <c r="D32" i="53"/>
  <c r="G31" i="53"/>
  <c r="H30" i="53"/>
  <c r="K29" i="53"/>
  <c r="P28" i="53"/>
  <c r="Q27" i="53"/>
  <c r="C27" i="53"/>
  <c r="F26" i="53"/>
  <c r="G25" i="53"/>
  <c r="L24" i="53"/>
  <c r="O23" i="53"/>
  <c r="P22" i="53"/>
  <c r="B22" i="53"/>
  <c r="G21" i="53"/>
  <c r="H20" i="53"/>
  <c r="K19" i="53"/>
  <c r="N18" i="53"/>
  <c r="O17" i="53"/>
  <c r="C17" i="53"/>
  <c r="F16" i="53"/>
  <c r="G15" i="53"/>
  <c r="J14" i="53"/>
  <c r="O13" i="53"/>
  <c r="P12" i="53"/>
  <c r="B12" i="53"/>
  <c r="E11" i="53"/>
  <c r="F10" i="53"/>
  <c r="K9" i="53"/>
  <c r="N8" i="53"/>
  <c r="O7" i="53"/>
  <c r="Q6" i="53"/>
  <c r="D6" i="53"/>
  <c r="D5" i="53"/>
  <c r="F4" i="53"/>
  <c r="D3" i="53"/>
  <c r="D198" i="53"/>
  <c r="I193" i="53"/>
  <c r="Q188" i="53"/>
  <c r="E183" i="53"/>
  <c r="B178" i="53"/>
  <c r="D173" i="53"/>
  <c r="F167" i="53"/>
  <c r="K163" i="53"/>
  <c r="A160" i="53"/>
  <c r="L156" i="53"/>
  <c r="H153" i="53"/>
  <c r="Q150" i="53"/>
  <c r="O146" i="53"/>
  <c r="J144" i="53"/>
  <c r="N141" i="53"/>
  <c r="O138" i="53"/>
  <c r="J136" i="53"/>
  <c r="G134" i="53"/>
  <c r="K131" i="53"/>
  <c r="F129" i="53"/>
  <c r="H127" i="53"/>
  <c r="L124" i="53"/>
  <c r="G122" i="53"/>
  <c r="Q119" i="53"/>
  <c r="H117" i="53"/>
  <c r="J115" i="53"/>
  <c r="A113" i="53"/>
  <c r="I110" i="53"/>
  <c r="B108" i="53"/>
  <c r="N105" i="53"/>
  <c r="E103" i="53"/>
  <c r="C101" i="53"/>
  <c r="G99" i="53"/>
  <c r="O96" i="53"/>
  <c r="F95" i="53"/>
  <c r="I93" i="53"/>
  <c r="J91" i="53"/>
  <c r="M89" i="53"/>
  <c r="F88" i="53"/>
  <c r="K86" i="53"/>
  <c r="D85" i="53"/>
  <c r="J83" i="53"/>
  <c r="A82" i="53"/>
  <c r="M80" i="53"/>
  <c r="D79" i="53"/>
  <c r="L77" i="53"/>
  <c r="D76" i="53"/>
  <c r="D75" i="53"/>
  <c r="A74" i="53"/>
  <c r="O72" i="53"/>
  <c r="N71" i="53"/>
  <c r="I70" i="53"/>
  <c r="J69" i="53"/>
  <c r="I68" i="53"/>
  <c r="D67" i="53"/>
  <c r="C66" i="53"/>
  <c r="D65" i="53"/>
  <c r="P63" i="53"/>
  <c r="O62" i="53"/>
  <c r="N61" i="53"/>
  <c r="I60" i="53"/>
  <c r="J59" i="53"/>
  <c r="I58" i="53"/>
  <c r="D57" i="53"/>
  <c r="G56" i="53"/>
  <c r="H55" i="53"/>
  <c r="M54" i="53"/>
  <c r="P53" i="53"/>
  <c r="Q52" i="53"/>
  <c r="C52" i="53"/>
  <c r="H51" i="53"/>
  <c r="I50" i="53"/>
  <c r="L49" i="53"/>
  <c r="O48" i="53"/>
  <c r="P47" i="53"/>
  <c r="D47" i="53"/>
  <c r="G46" i="53"/>
  <c r="H45" i="53"/>
  <c r="K44" i="53"/>
  <c r="P43" i="53"/>
  <c r="Q42" i="53"/>
  <c r="C42" i="53"/>
  <c r="F41" i="53"/>
  <c r="G40" i="53"/>
  <c r="L39" i="53"/>
  <c r="O38" i="53"/>
  <c r="P37" i="53"/>
  <c r="B37" i="53"/>
  <c r="G36" i="53"/>
  <c r="H35" i="53"/>
  <c r="K34" i="53"/>
  <c r="N33" i="53"/>
  <c r="O32" i="53"/>
  <c r="C32" i="53"/>
  <c r="F31" i="53"/>
  <c r="G30" i="53"/>
  <c r="J29" i="53"/>
  <c r="O28" i="53"/>
  <c r="P27" i="53"/>
  <c r="B27" i="53"/>
  <c r="E26" i="53"/>
  <c r="F25" i="53"/>
  <c r="K24" i="53"/>
  <c r="N23" i="53"/>
  <c r="O22" i="53"/>
  <c r="A22" i="53"/>
  <c r="F21" i="53"/>
  <c r="G20" i="53"/>
  <c r="J19" i="53"/>
  <c r="M18" i="53"/>
  <c r="N17" i="53"/>
  <c r="B17" i="53"/>
  <c r="E16" i="53"/>
  <c r="F15" i="53"/>
  <c r="I14" i="53"/>
  <c r="N13" i="53"/>
  <c r="O12" i="53"/>
  <c r="A12" i="53"/>
  <c r="D11" i="53"/>
  <c r="E10" i="53"/>
  <c r="J9" i="53"/>
  <c r="M8" i="53"/>
  <c r="N7" i="53"/>
  <c r="P6" i="53"/>
  <c r="C6" i="53"/>
  <c r="C5" i="53"/>
  <c r="E4" i="53"/>
  <c r="C3" i="53"/>
  <c r="H197" i="53"/>
  <c r="Q192" i="53"/>
  <c r="Q186" i="53"/>
  <c r="D182" i="53"/>
  <c r="A178" i="53"/>
  <c r="A172" i="53"/>
  <c r="E167" i="53"/>
  <c r="K162" i="53"/>
  <c r="B159" i="53"/>
  <c r="K156" i="53"/>
  <c r="C153" i="53"/>
  <c r="N149" i="53"/>
  <c r="L146" i="53"/>
  <c r="A144" i="53"/>
  <c r="A141" i="53"/>
  <c r="G138" i="53"/>
  <c r="G136" i="53"/>
  <c r="H133" i="53"/>
  <c r="J131" i="53"/>
  <c r="A129" i="53"/>
  <c r="I126" i="53"/>
  <c r="B124" i="53"/>
  <c r="D122" i="53"/>
  <c r="J119" i="53"/>
  <c r="C117" i="53"/>
  <c r="O114" i="53"/>
  <c r="B112" i="53"/>
  <c r="A110" i="53"/>
  <c r="A108" i="53"/>
  <c r="Q104" i="53"/>
  <c r="A103" i="53"/>
  <c r="G197" i="53"/>
  <c r="D192" i="53"/>
  <c r="P186" i="53"/>
  <c r="H181" i="53"/>
  <c r="H177" i="53"/>
  <c r="Q171" i="53"/>
  <c r="N166" i="53"/>
  <c r="J162" i="53"/>
  <c r="L158" i="53"/>
  <c r="P155" i="53"/>
  <c r="B153" i="53"/>
  <c r="D149" i="53"/>
  <c r="J146" i="53"/>
  <c r="Q143" i="53"/>
  <c r="P140" i="53"/>
  <c r="F138" i="53"/>
  <c r="P135" i="53"/>
  <c r="E133" i="53"/>
  <c r="G131" i="53"/>
  <c r="Q128" i="53"/>
  <c r="H126" i="53"/>
  <c r="A124" i="53"/>
  <c r="C122" i="53"/>
  <c r="F119" i="53"/>
  <c r="B117" i="53"/>
  <c r="L114" i="53"/>
  <c r="A112" i="53"/>
  <c r="Q109" i="53"/>
  <c r="J107" i="53"/>
  <c r="P104" i="53"/>
  <c r="K102" i="53"/>
  <c r="A101" i="53"/>
  <c r="N98" i="53"/>
  <c r="M96" i="53"/>
  <c r="N94" i="53"/>
  <c r="O92" i="53"/>
  <c r="H91" i="53"/>
  <c r="K89" i="53"/>
  <c r="L87" i="53"/>
  <c r="C86" i="53"/>
  <c r="O84" i="53"/>
  <c r="F83" i="53"/>
  <c r="L81" i="53"/>
  <c r="E80" i="53"/>
  <c r="K78" i="53"/>
  <c r="F77" i="53"/>
  <c r="A76" i="53"/>
  <c r="M74" i="53"/>
  <c r="L73" i="53"/>
  <c r="M72" i="53"/>
  <c r="H71" i="53"/>
  <c r="G70" i="53"/>
  <c r="F69" i="53"/>
  <c r="A68" i="53"/>
  <c r="B67" i="53"/>
  <c r="A66" i="53"/>
  <c r="M64" i="53"/>
  <c r="L63" i="53"/>
  <c r="M62" i="53"/>
  <c r="H61" i="53"/>
  <c r="G60" i="53"/>
  <c r="D59" i="53"/>
  <c r="A58" i="53"/>
  <c r="B57" i="53"/>
  <c r="C56" i="53"/>
  <c r="F55" i="53"/>
  <c r="I54" i="53"/>
  <c r="J53" i="53"/>
  <c r="O52" i="53"/>
  <c r="A52" i="53"/>
  <c r="B51" i="53"/>
  <c r="E50" i="53"/>
  <c r="J49" i="53"/>
  <c r="K48" i="53"/>
  <c r="N47" i="53"/>
  <c r="Q46" i="53"/>
  <c r="A46" i="53"/>
  <c r="F45" i="53"/>
  <c r="I44" i="53"/>
  <c r="J43" i="53"/>
  <c r="M42" i="53"/>
  <c r="A42" i="53"/>
  <c r="B41" i="53"/>
  <c r="E40" i="53"/>
  <c r="H39" i="53"/>
  <c r="A196" i="53"/>
  <c r="H186" i="53"/>
  <c r="N175" i="53"/>
  <c r="M166" i="53"/>
  <c r="K158" i="53"/>
  <c r="P151" i="53"/>
  <c r="A146" i="53"/>
  <c r="E140" i="53"/>
  <c r="K135" i="53"/>
  <c r="N130" i="53"/>
  <c r="G126" i="53"/>
  <c r="F121" i="53"/>
  <c r="M116" i="53"/>
  <c r="N111" i="53"/>
  <c r="M106" i="53"/>
  <c r="J102" i="53"/>
  <c r="N99" i="53"/>
  <c r="J96" i="53"/>
  <c r="P92" i="53"/>
  <c r="H90" i="53"/>
  <c r="G87" i="53"/>
  <c r="F85" i="53"/>
  <c r="O82" i="53"/>
  <c r="F80" i="53"/>
  <c r="F78" i="53"/>
  <c r="K75" i="53"/>
  <c r="E74" i="53"/>
  <c r="E72" i="53"/>
  <c r="H70" i="53"/>
  <c r="L68" i="53"/>
  <c r="N66" i="53"/>
  <c r="F65" i="53"/>
  <c r="H63" i="53"/>
  <c r="I61" i="53"/>
  <c r="M59" i="53"/>
  <c r="O57" i="53"/>
  <c r="K56" i="53"/>
  <c r="D55" i="53"/>
  <c r="K53" i="53"/>
  <c r="H52" i="53"/>
  <c r="A51" i="53"/>
  <c r="N49" i="53"/>
  <c r="G48" i="53"/>
  <c r="A47" i="53"/>
  <c r="O45" i="53"/>
  <c r="D44" i="53"/>
  <c r="D43" i="53"/>
  <c r="L41" i="53"/>
  <c r="F40" i="53"/>
  <c r="A39" i="53"/>
  <c r="O37" i="53"/>
  <c r="L36" i="53"/>
  <c r="M35" i="53"/>
  <c r="J34" i="53"/>
  <c r="G33" i="53"/>
  <c r="F32" i="53"/>
  <c r="A31" i="53"/>
  <c r="B30" i="53"/>
  <c r="A29" i="53"/>
  <c r="M27" i="53"/>
  <c r="L26" i="53"/>
  <c r="M25" i="53"/>
  <c r="H24" i="53"/>
  <c r="G23" i="53"/>
  <c r="F22" i="53"/>
  <c r="A21" i="53"/>
  <c r="B20" i="53"/>
  <c r="A19" i="53"/>
  <c r="M17" i="53"/>
  <c r="L16" i="53"/>
  <c r="M15" i="53"/>
  <c r="H14" i="53"/>
  <c r="G13" i="53"/>
  <c r="D12" i="53"/>
  <c r="A11" i="53"/>
  <c r="B10" i="53"/>
  <c r="P8" i="53"/>
  <c r="M7" i="53"/>
  <c r="H6" i="53"/>
  <c r="H5" i="53"/>
  <c r="D4" i="53"/>
  <c r="H194" i="53"/>
  <c r="Q195" i="53"/>
  <c r="G186" i="53"/>
  <c r="M175" i="53"/>
  <c r="P165" i="53"/>
  <c r="C158" i="53"/>
  <c r="J151" i="53"/>
  <c r="O145" i="53"/>
  <c r="D140" i="53"/>
  <c r="J135" i="53"/>
  <c r="M130" i="53"/>
  <c r="P125" i="53"/>
  <c r="O120" i="53"/>
  <c r="J116" i="53"/>
  <c r="I111" i="53"/>
  <c r="H106" i="53"/>
  <c r="I102" i="53"/>
  <c r="O98" i="53"/>
  <c r="N95" i="53"/>
  <c r="N92" i="53"/>
  <c r="G90" i="53"/>
  <c r="F87" i="53"/>
  <c r="P84" i="53"/>
  <c r="L82" i="53"/>
  <c r="O79" i="53"/>
  <c r="E78" i="53"/>
  <c r="J75" i="53"/>
  <c r="M73" i="53"/>
  <c r="D72" i="53"/>
  <c r="F70" i="53"/>
  <c r="K68" i="53"/>
  <c r="M66" i="53"/>
  <c r="N64" i="53"/>
  <c r="A63" i="53"/>
  <c r="C61" i="53"/>
  <c r="L59" i="53"/>
  <c r="N57" i="53"/>
  <c r="D56" i="53"/>
  <c r="P54" i="53"/>
  <c r="I53" i="53"/>
  <c r="G52" i="53"/>
  <c r="Q50" i="53"/>
  <c r="K49" i="53"/>
  <c r="F48" i="53"/>
  <c r="N46" i="53"/>
  <c r="N45" i="53"/>
  <c r="C44" i="53"/>
  <c r="N42" i="53"/>
  <c r="K41" i="53"/>
  <c r="D40" i="53"/>
  <c r="Q38" i="53"/>
  <c r="N37" i="53"/>
  <c r="K36" i="53"/>
  <c r="L35" i="53"/>
  <c r="I34" i="53"/>
  <c r="F33" i="53"/>
  <c r="E32" i="53"/>
  <c r="Q30" i="53"/>
  <c r="A30" i="53"/>
  <c r="Q28" i="53"/>
  <c r="L27" i="53"/>
  <c r="K26" i="53"/>
  <c r="L25" i="53"/>
  <c r="G24" i="53"/>
  <c r="F23" i="53"/>
  <c r="E22" i="53"/>
  <c r="Q20" i="53"/>
  <c r="A20" i="53"/>
  <c r="Q18" i="53"/>
  <c r="L17" i="53"/>
  <c r="K16" i="53"/>
  <c r="L15" i="53"/>
  <c r="G14" i="53"/>
  <c r="F13" i="53"/>
  <c r="C12" i="53"/>
  <c r="Q10" i="53"/>
  <c r="A10" i="53"/>
  <c r="O8" i="53"/>
  <c r="L7" i="53"/>
  <c r="G6" i="53"/>
  <c r="G5" i="53"/>
  <c r="C4" i="53"/>
  <c r="Q184" i="53"/>
  <c r="Q163" i="53"/>
  <c r="N157" i="53"/>
  <c r="B151" i="53"/>
  <c r="L144" i="53"/>
  <c r="N139" i="53"/>
  <c r="L134" i="53"/>
  <c r="Q129" i="53"/>
  <c r="J125" i="53"/>
  <c r="M120" i="53"/>
  <c r="L115" i="53"/>
  <c r="G111" i="53"/>
  <c r="F106" i="53"/>
  <c r="K101" i="53"/>
  <c r="D98" i="53"/>
  <c r="O94" i="53"/>
  <c r="G92" i="53"/>
  <c r="A89" i="53"/>
  <c r="B87" i="53"/>
  <c r="E84" i="53"/>
  <c r="M81" i="53"/>
  <c r="K79" i="53"/>
  <c r="A77" i="53"/>
  <c r="H75" i="53"/>
  <c r="J73" i="53"/>
  <c r="I71" i="53"/>
  <c r="O69" i="53"/>
  <c r="Q67" i="53"/>
  <c r="I66" i="53"/>
  <c r="K64" i="53"/>
  <c r="N62" i="53"/>
  <c r="A61" i="53"/>
  <c r="A59" i="53"/>
  <c r="L57" i="53"/>
  <c r="P55" i="53"/>
  <c r="J54" i="53"/>
  <c r="G53" i="53"/>
  <c r="M51" i="53"/>
  <c r="M50" i="53"/>
  <c r="D49" i="53"/>
  <c r="O47" i="53"/>
  <c r="J46" i="53"/>
  <c r="C45" i="53"/>
  <c r="A44" i="53"/>
  <c r="K42" i="53"/>
  <c r="C41" i="53"/>
  <c r="O39" i="53"/>
  <c r="I38" i="53"/>
  <c r="J37" i="53"/>
  <c r="I36" i="53"/>
  <c r="D35" i="53"/>
  <c r="C34" i="53"/>
  <c r="D33" i="53"/>
  <c r="P31" i="53"/>
  <c r="O30" i="53"/>
  <c r="N29" i="53"/>
  <c r="I28" i="53"/>
  <c r="J27" i="53"/>
  <c r="I26" i="53"/>
  <c r="D25" i="53"/>
  <c r="C24" i="53"/>
  <c r="D23" i="53"/>
  <c r="P21" i="53"/>
  <c r="O20" i="53"/>
  <c r="L19" i="53"/>
  <c r="I18" i="53"/>
  <c r="J17" i="53"/>
  <c r="G16" i="53"/>
  <c r="D15" i="53"/>
  <c r="A14" i="53"/>
  <c r="B13" i="53"/>
  <c r="P11" i="53"/>
  <c r="M10" i="53"/>
  <c r="L9" i="53"/>
  <c r="G8" i="53"/>
  <c r="G7" i="53"/>
  <c r="E6" i="53"/>
  <c r="P4" i="53"/>
  <c r="M3" i="53"/>
  <c r="G170" i="53"/>
  <c r="G154" i="53"/>
  <c r="C148" i="53"/>
  <c r="K142" i="53"/>
  <c r="E137" i="53"/>
  <c r="B133" i="53"/>
  <c r="A128" i="53"/>
  <c r="B123" i="53"/>
  <c r="G118" i="53"/>
  <c r="F113" i="53"/>
  <c r="G195" i="53"/>
  <c r="C185" i="53"/>
  <c r="N174" i="53"/>
  <c r="E164" i="53"/>
  <c r="O157" i="53"/>
  <c r="C151" i="53"/>
  <c r="N144" i="53"/>
  <c r="C140" i="53"/>
  <c r="Q134" i="53"/>
  <c r="C130" i="53"/>
  <c r="K125" i="53"/>
  <c r="N120" i="53"/>
  <c r="M115" i="53"/>
  <c r="H111" i="53"/>
  <c r="G106" i="53"/>
  <c r="L101" i="53"/>
  <c r="E98" i="53"/>
  <c r="J95" i="53"/>
  <c r="M92" i="53"/>
  <c r="L89" i="53"/>
  <c r="C87" i="53"/>
  <c r="F84" i="53"/>
  <c r="K82" i="53"/>
  <c r="N79" i="53"/>
  <c r="G77" i="53"/>
  <c r="I75" i="53"/>
  <c r="K73" i="53"/>
  <c r="C72" i="53"/>
  <c r="E70" i="53"/>
  <c r="B68" i="53"/>
  <c r="J66" i="53"/>
  <c r="L64" i="53"/>
  <c r="Q62" i="53"/>
  <c r="B61" i="53"/>
  <c r="E59" i="53"/>
  <c r="M57" i="53"/>
  <c r="Q55" i="53"/>
  <c r="O54" i="53"/>
  <c r="H53" i="53"/>
  <c r="B52" i="53"/>
  <c r="N50" i="53"/>
  <c r="E49" i="53"/>
  <c r="E48" i="53"/>
  <c r="M46" i="53"/>
  <c r="G45" i="53"/>
  <c r="B44" i="53"/>
  <c r="L42" i="53"/>
  <c r="J41" i="53"/>
  <c r="C40" i="53"/>
  <c r="J38" i="53"/>
  <c r="K37" i="53"/>
  <c r="J36" i="53"/>
  <c r="E35" i="53"/>
  <c r="D34" i="53"/>
  <c r="E33" i="53"/>
  <c r="Q31" i="53"/>
  <c r="P30" i="53"/>
  <c r="O29" i="53"/>
  <c r="J28" i="53"/>
  <c r="K27" i="53"/>
  <c r="J26" i="53"/>
  <c r="E25" i="53"/>
  <c r="D24" i="53"/>
  <c r="E23" i="53"/>
  <c r="Q21" i="53"/>
  <c r="P20" i="53"/>
  <c r="M19" i="53"/>
  <c r="J18" i="53"/>
  <c r="K17" i="53"/>
  <c r="H16" i="53"/>
  <c r="E15" i="53"/>
  <c r="B14" i="53"/>
  <c r="C13" i="53"/>
  <c r="Q11" i="53"/>
  <c r="N10" i="53"/>
  <c r="M9" i="53"/>
  <c r="H8" i="53"/>
  <c r="H7" i="53"/>
  <c r="F6" i="53"/>
  <c r="Q4" i="53"/>
  <c r="N3" i="53"/>
  <c r="F174" i="53"/>
  <c r="K190" i="53"/>
  <c r="G181" i="53"/>
  <c r="P170" i="53"/>
  <c r="K161" i="53"/>
  <c r="G155" i="53"/>
  <c r="C149" i="53"/>
  <c r="A143" i="53"/>
  <c r="E138" i="53"/>
  <c r="D133" i="53"/>
  <c r="E128" i="53"/>
  <c r="O123" i="53"/>
  <c r="P118" i="53"/>
  <c r="Q113" i="53"/>
  <c r="J109" i="53"/>
  <c r="O104" i="53"/>
  <c r="B101" i="53"/>
  <c r="Q97" i="53"/>
  <c r="K94" i="53"/>
  <c r="F92" i="53"/>
  <c r="Q88" i="53"/>
  <c r="D86" i="53"/>
  <c r="B84" i="53"/>
  <c r="K81" i="53"/>
  <c r="J79" i="53"/>
  <c r="Q76" i="53"/>
  <c r="N74" i="53"/>
  <c r="C73" i="53"/>
  <c r="E71" i="53"/>
  <c r="N69" i="53"/>
  <c r="P67" i="53"/>
  <c r="B66" i="53"/>
  <c r="F64" i="53"/>
  <c r="F62" i="53"/>
  <c r="Q60" i="53"/>
  <c r="Q58" i="53"/>
  <c r="C57" i="53"/>
  <c r="O55" i="53"/>
  <c r="F54" i="53"/>
  <c r="F53" i="53"/>
  <c r="L51" i="53"/>
  <c r="F50" i="53"/>
  <c r="C49" i="53"/>
  <c r="M47" i="53"/>
  <c r="I46" i="53"/>
  <c r="B45" i="53"/>
  <c r="K43" i="53"/>
  <c r="F42" i="53"/>
  <c r="P40" i="53"/>
  <c r="N39" i="53"/>
  <c r="H38" i="53"/>
  <c r="G37" i="53"/>
  <c r="B36" i="53"/>
  <c r="C35" i="53"/>
  <c r="B34" i="53"/>
  <c r="N32" i="53"/>
  <c r="M31" i="53"/>
  <c r="N30" i="53"/>
  <c r="I29" i="53"/>
  <c r="H28" i="53"/>
  <c r="E27" i="53"/>
  <c r="B26" i="53"/>
  <c r="C25" i="53"/>
  <c r="Q23" i="53"/>
  <c r="N22" i="53"/>
  <c r="K21" i="53"/>
  <c r="L20" i="53"/>
  <c r="I19" i="53"/>
  <c r="F18" i="53"/>
  <c r="E17" i="53"/>
  <c r="Q15" i="53"/>
  <c r="A15" i="53"/>
  <c r="Q13" i="53"/>
  <c r="L12" i="53"/>
  <c r="K11" i="53"/>
  <c r="L10" i="53"/>
  <c r="G9" i="53"/>
  <c r="F8" i="53"/>
  <c r="D7" i="53"/>
  <c r="O5" i="53"/>
  <c r="O4" i="53"/>
  <c r="L3" i="53"/>
  <c r="G190" i="53"/>
  <c r="D181" i="53"/>
  <c r="H170" i="53"/>
  <c r="C161" i="53"/>
  <c r="F155" i="53"/>
  <c r="B149" i="53"/>
  <c r="Q142" i="53"/>
  <c r="D138" i="53"/>
  <c r="C133" i="53"/>
  <c r="B128" i="53"/>
  <c r="N123" i="53"/>
  <c r="O118" i="53"/>
  <c r="P113" i="53"/>
  <c r="D109" i="53"/>
  <c r="J104" i="53"/>
  <c r="F100" i="53"/>
  <c r="P97" i="53"/>
  <c r="E94" i="53"/>
  <c r="I91" i="53"/>
  <c r="K88" i="53"/>
  <c r="Q85" i="53"/>
  <c r="A84" i="53"/>
  <c r="J81" i="53"/>
  <c r="L78" i="53"/>
  <c r="L76" i="53"/>
  <c r="L74" i="53"/>
  <c r="B73" i="53"/>
  <c r="D71" i="53"/>
  <c r="G69" i="53"/>
  <c r="M67" i="53"/>
  <c r="K65" i="53"/>
  <c r="E64" i="53"/>
  <c r="E62" i="53"/>
  <c r="H60" i="53"/>
  <c r="L58" i="53"/>
  <c r="N56" i="53"/>
  <c r="N55" i="53"/>
  <c r="E54" i="53"/>
  <c r="P52" i="53"/>
  <c r="K51" i="53"/>
  <c r="D50" i="53"/>
  <c r="B49" i="53"/>
  <c r="L47" i="53"/>
  <c r="B46" i="53"/>
  <c r="P44" i="53"/>
  <c r="I43" i="53"/>
  <c r="E42" i="53"/>
  <c r="O40" i="53"/>
  <c r="I39" i="53"/>
  <c r="G38" i="53"/>
  <c r="F37" i="53"/>
  <c r="A36" i="53"/>
  <c r="B35" i="53"/>
  <c r="A34" i="53"/>
  <c r="M32" i="53"/>
  <c r="L31" i="53"/>
  <c r="M30" i="53"/>
  <c r="H29" i="53"/>
  <c r="G28" i="53"/>
  <c r="D27" i="53"/>
  <c r="A26" i="53"/>
  <c r="B25" i="53"/>
  <c r="P23" i="53"/>
  <c r="M22" i="53"/>
  <c r="J21" i="53"/>
  <c r="K20" i="53"/>
  <c r="H19" i="53"/>
  <c r="E18" i="53"/>
  <c r="D17" i="53"/>
  <c r="P15" i="53"/>
  <c r="Q14" i="53"/>
  <c r="P13" i="53"/>
  <c r="K12" i="53"/>
  <c r="J11" i="53"/>
  <c r="K10" i="53"/>
  <c r="F9" i="53"/>
  <c r="E8" i="53"/>
  <c r="C7" i="53"/>
  <c r="N5" i="53"/>
  <c r="N4" i="53"/>
  <c r="J3" i="53"/>
  <c r="D8" i="53"/>
  <c r="J12" i="53"/>
  <c r="P16" i="53"/>
  <c r="I21" i="53"/>
  <c r="O25" i="53"/>
  <c r="F30" i="53"/>
  <c r="N34" i="53"/>
  <c r="E39" i="53"/>
  <c r="O44" i="53"/>
  <c r="C50" i="53"/>
  <c r="G55" i="53"/>
  <c r="B62" i="53"/>
  <c r="A69" i="53"/>
  <c r="J76" i="53"/>
  <c r="P85" i="53"/>
  <c r="N96" i="53"/>
  <c r="D118" i="53"/>
  <c r="H4" i="53"/>
  <c r="C9" i="53"/>
  <c r="I13" i="53"/>
  <c r="D18" i="53"/>
  <c r="J22" i="53"/>
  <c r="A27" i="53"/>
  <c r="I31" i="53"/>
  <c r="Q35" i="53"/>
  <c r="N40" i="53"/>
  <c r="Q45" i="53"/>
  <c r="J51" i="53"/>
  <c r="M56" i="53"/>
  <c r="M63" i="53"/>
  <c r="A71" i="53"/>
  <c r="H78" i="53"/>
  <c r="J88" i="53"/>
  <c r="C100" i="53"/>
  <c r="J127" i="53"/>
  <c r="H169" i="53"/>
  <c r="L5" i="53"/>
  <c r="C10" i="53"/>
  <c r="M14" i="53"/>
  <c r="B19" i="53"/>
  <c r="H23" i="53"/>
  <c r="C28" i="53"/>
  <c r="K32" i="53"/>
  <c r="Q36" i="53"/>
  <c r="M41" i="53"/>
  <c r="F47" i="53"/>
  <c r="K52" i="53"/>
  <c r="B58" i="53"/>
  <c r="G65" i="53"/>
  <c r="F72" i="53"/>
  <c r="Q80" i="53"/>
  <c r="P90" i="53"/>
  <c r="G179" i="53"/>
  <c r="M5" i="53"/>
  <c r="D10" i="53"/>
  <c r="N14" i="53"/>
  <c r="C19" i="53"/>
  <c r="I23" i="53"/>
  <c r="D28" i="53"/>
  <c r="L32" i="53"/>
  <c r="A37" i="53"/>
  <c r="B42" i="53"/>
  <c r="G47" i="53"/>
  <c r="L52" i="53"/>
  <c r="K58" i="53"/>
  <c r="J65" i="53"/>
  <c r="N72" i="53"/>
  <c r="A81" i="53"/>
  <c r="Q90" i="53"/>
  <c r="Q103" i="53"/>
  <c r="D137" i="53"/>
  <c r="H179" i="53"/>
  <c r="K132" i="53"/>
  <c r="N6" i="53"/>
  <c r="H11" i="53"/>
  <c r="N15" i="53"/>
  <c r="C20" i="53"/>
  <c r="M24" i="53"/>
  <c r="B29" i="53"/>
  <c r="J33" i="53"/>
  <c r="E38" i="53"/>
  <c r="E43" i="53"/>
  <c r="H48" i="53"/>
  <c r="A54" i="53"/>
  <c r="C60" i="53"/>
  <c r="C67" i="53"/>
  <c r="F74" i="53"/>
  <c r="P82" i="53"/>
  <c r="P93" i="53"/>
  <c r="M108" i="53"/>
  <c r="J142" i="53"/>
  <c r="C190" i="53"/>
  <c r="P103" i="53"/>
  <c r="O6" i="53"/>
  <c r="I11" i="53"/>
  <c r="O15" i="53"/>
  <c r="D20" i="53"/>
  <c r="N24" i="53"/>
  <c r="C29" i="53"/>
  <c r="K33" i="53"/>
  <c r="F38" i="53"/>
  <c r="H43" i="53"/>
  <c r="L48" i="53"/>
  <c r="B54" i="53"/>
  <c r="D60" i="53"/>
  <c r="L67" i="53"/>
  <c r="K74" i="53"/>
  <c r="G83" i="53"/>
  <c r="Q93" i="53"/>
  <c r="N108" i="53"/>
  <c r="O147" i="53"/>
  <c r="D190" i="53"/>
  <c r="P200" i="53"/>
  <c r="H200" i="53"/>
  <c r="Q199" i="53"/>
  <c r="I199" i="53"/>
  <c r="A199" i="53"/>
  <c r="J198" i="53"/>
  <c r="B198" i="53"/>
  <c r="K197" i="53"/>
  <c r="C197" i="53"/>
  <c r="L196" i="53"/>
  <c r="D196" i="53"/>
  <c r="M195" i="53"/>
  <c r="E195" i="53"/>
  <c r="N194" i="53"/>
  <c r="F194" i="53"/>
  <c r="O193" i="53"/>
  <c r="G193" i="53"/>
  <c r="P192" i="53"/>
  <c r="H192" i="53"/>
  <c r="Q191" i="53"/>
  <c r="I191" i="53"/>
  <c r="A191" i="53"/>
  <c r="J190" i="53"/>
  <c r="B190" i="53"/>
  <c r="K189" i="53"/>
  <c r="C189" i="53"/>
  <c r="L188" i="53"/>
  <c r="D188" i="53"/>
  <c r="M187" i="53"/>
  <c r="E187" i="53"/>
  <c r="N186" i="53"/>
  <c r="F186" i="53"/>
  <c r="O185" i="53"/>
  <c r="G185" i="53"/>
  <c r="P184" i="53"/>
  <c r="H184" i="53"/>
  <c r="Q183" i="53"/>
  <c r="I183" i="53"/>
  <c r="A183" i="53"/>
  <c r="J182" i="53"/>
  <c r="B182" i="53"/>
  <c r="K181" i="53"/>
  <c r="C181" i="53"/>
  <c r="L180" i="53"/>
  <c r="D180" i="53"/>
  <c r="M179" i="53"/>
  <c r="E179" i="53"/>
  <c r="N178" i="53"/>
  <c r="F178" i="53"/>
  <c r="O177" i="53"/>
  <c r="G177" i="53"/>
  <c r="P176" i="53"/>
  <c r="H176" i="53"/>
  <c r="Q175" i="53"/>
  <c r="I175" i="53"/>
  <c r="A175" i="53"/>
  <c r="J174" i="53"/>
  <c r="B174" i="53"/>
  <c r="K173" i="53"/>
  <c r="C173" i="53"/>
  <c r="L172" i="53"/>
  <c r="D172" i="53"/>
  <c r="M171" i="53"/>
  <c r="E171" i="53"/>
  <c r="N170" i="53"/>
  <c r="F170" i="53"/>
  <c r="O169" i="53"/>
  <c r="G169" i="53"/>
  <c r="P168" i="53"/>
  <c r="H168" i="53"/>
  <c r="Q167" i="53"/>
  <c r="I167" i="53"/>
  <c r="A167" i="53"/>
  <c r="J166" i="53"/>
  <c r="B166" i="53"/>
  <c r="K165" i="53"/>
  <c r="C165" i="53"/>
  <c r="L164" i="53"/>
  <c r="D164" i="53"/>
  <c r="M163" i="53"/>
  <c r="E163" i="53"/>
  <c r="N162" i="53"/>
  <c r="F162" i="53"/>
  <c r="O161" i="53"/>
  <c r="G161" i="53"/>
  <c r="O200" i="53"/>
  <c r="G200" i="53"/>
  <c r="P199" i="53"/>
  <c r="H199" i="53"/>
  <c r="Q198" i="53"/>
  <c r="I198" i="53"/>
  <c r="A198" i="53"/>
  <c r="J197" i="53"/>
  <c r="B197" i="53"/>
  <c r="K196" i="53"/>
  <c r="C196" i="53"/>
  <c r="L195" i="53"/>
  <c r="D195" i="53"/>
  <c r="M194" i="53"/>
  <c r="E194" i="53"/>
  <c r="N193" i="53"/>
  <c r="F193" i="53"/>
  <c r="O192" i="53"/>
  <c r="G192" i="53"/>
  <c r="P191" i="53"/>
  <c r="H191" i="53"/>
  <c r="Q190" i="53"/>
  <c r="I190" i="53"/>
  <c r="A190" i="53"/>
  <c r="J189" i="53"/>
  <c r="B189" i="53"/>
  <c r="K188" i="53"/>
  <c r="C188" i="53"/>
  <c r="L187" i="53"/>
  <c r="D187" i="53"/>
  <c r="M186" i="53"/>
  <c r="E186" i="53"/>
  <c r="N185" i="53"/>
  <c r="F185" i="53"/>
  <c r="O184" i="53"/>
  <c r="G184" i="53"/>
  <c r="P183" i="53"/>
  <c r="H183" i="53"/>
  <c r="Q182" i="53"/>
  <c r="I182" i="53"/>
  <c r="A182" i="53"/>
  <c r="J181" i="53"/>
  <c r="B181" i="53"/>
  <c r="K180" i="53"/>
  <c r="C180" i="53"/>
  <c r="L179" i="53"/>
  <c r="D179" i="53"/>
  <c r="M178" i="53"/>
  <c r="E178" i="53"/>
  <c r="N177" i="53"/>
  <c r="F177" i="53"/>
  <c r="O176" i="53"/>
  <c r="G176" i="53"/>
  <c r="P175" i="53"/>
  <c r="H175" i="53"/>
  <c r="Q174" i="53"/>
  <c r="I174" i="53"/>
  <c r="A174" i="53"/>
  <c r="J173" i="53"/>
  <c r="B173" i="53"/>
  <c r="K172" i="53"/>
  <c r="C172" i="53"/>
  <c r="L171" i="53"/>
  <c r="D171" i="53"/>
  <c r="M170" i="53"/>
  <c r="E170" i="53"/>
  <c r="N169" i="53"/>
  <c r="F169" i="53"/>
  <c r="O168" i="53"/>
  <c r="G168" i="53"/>
  <c r="P167" i="53"/>
  <c r="H167" i="53"/>
  <c r="Q166" i="53"/>
  <c r="I166" i="53"/>
  <c r="A166" i="53"/>
  <c r="J165" i="53"/>
  <c r="B165" i="53"/>
  <c r="K164" i="53"/>
  <c r="C164" i="53"/>
  <c r="L163" i="53"/>
  <c r="D163" i="53"/>
  <c r="N200" i="53"/>
  <c r="F200" i="53"/>
  <c r="O199" i="53"/>
  <c r="G199" i="53"/>
  <c r="P198" i="53"/>
  <c r="H198" i="53"/>
  <c r="Q197" i="53"/>
  <c r="I197" i="53"/>
  <c r="A197" i="53"/>
  <c r="J196" i="53"/>
  <c r="B196" i="53"/>
  <c r="K195" i="53"/>
  <c r="C195" i="53"/>
  <c r="L194" i="53"/>
  <c r="D194" i="53"/>
  <c r="M193" i="53"/>
  <c r="E193" i="53"/>
  <c r="N192" i="53"/>
  <c r="F192" i="53"/>
  <c r="O191" i="53"/>
  <c r="G191" i="53"/>
  <c r="P190" i="53"/>
  <c r="H190" i="53"/>
  <c r="Q189" i="53"/>
  <c r="I189" i="53"/>
  <c r="A189" i="53"/>
  <c r="J188" i="53"/>
  <c r="B188" i="53"/>
  <c r="K187" i="53"/>
  <c r="C187" i="53"/>
  <c r="L186" i="53"/>
  <c r="D186" i="53"/>
  <c r="M185" i="53"/>
  <c r="E185" i="53"/>
  <c r="N184" i="53"/>
  <c r="F184" i="53"/>
  <c r="O183" i="53"/>
  <c r="G183" i="53"/>
  <c r="P182" i="53"/>
  <c r="H182" i="53"/>
  <c r="Q181" i="53"/>
  <c r="I181" i="53"/>
  <c r="A181" i="53"/>
  <c r="J180" i="53"/>
  <c r="B180" i="53"/>
  <c r="K179" i="53"/>
  <c r="C179" i="53"/>
  <c r="L178" i="53"/>
  <c r="D178" i="53"/>
  <c r="M177" i="53"/>
  <c r="E177" i="53"/>
  <c r="N176" i="53"/>
  <c r="F176" i="53"/>
  <c r="O175" i="53"/>
  <c r="G175" i="53"/>
  <c r="P174" i="53"/>
  <c r="H174" i="53"/>
  <c r="Q173" i="53"/>
  <c r="I173" i="53"/>
  <c r="A173" i="53"/>
  <c r="J172" i="53"/>
  <c r="B172" i="53"/>
  <c r="K171" i="53"/>
  <c r="C171" i="53"/>
  <c r="L170" i="53"/>
  <c r="D170" i="53"/>
  <c r="M169" i="53"/>
  <c r="E169" i="53"/>
  <c r="N168" i="53"/>
  <c r="F168" i="53"/>
  <c r="O167" i="53"/>
  <c r="G167" i="53"/>
  <c r="P166" i="53"/>
  <c r="H166" i="53"/>
  <c r="Q165" i="53"/>
  <c r="I165" i="53"/>
  <c r="A165" i="53"/>
  <c r="Q200" i="53"/>
  <c r="C200" i="53"/>
  <c r="F199" i="53"/>
  <c r="L198" i="53"/>
  <c r="O197" i="53"/>
  <c r="D197" i="53"/>
  <c r="G196" i="53"/>
  <c r="J195" i="53"/>
  <c r="P194" i="53"/>
  <c r="B194" i="53"/>
  <c r="H193" i="53"/>
  <c r="K192" i="53"/>
  <c r="N191" i="53"/>
  <c r="C191" i="53"/>
  <c r="F190" i="53"/>
  <c r="L189" i="53"/>
  <c r="O188" i="53"/>
  <c r="A188" i="53"/>
  <c r="G187" i="53"/>
  <c r="J186" i="53"/>
  <c r="P185" i="53"/>
  <c r="B185" i="53"/>
  <c r="E184" i="53"/>
  <c r="K183" i="53"/>
  <c r="N182" i="53"/>
  <c r="C182" i="53"/>
  <c r="F181" i="53"/>
  <c r="I180" i="53"/>
  <c r="O179" i="53"/>
  <c r="A179" i="53"/>
  <c r="G178" i="53"/>
  <c r="J177" i="53"/>
  <c r="M176" i="53"/>
  <c r="B176" i="53"/>
  <c r="E175" i="53"/>
  <c r="K174" i="53"/>
  <c r="N173" i="53"/>
  <c r="Q172" i="53"/>
  <c r="F172" i="53"/>
  <c r="I171" i="53"/>
  <c r="O170" i="53"/>
  <c r="A170" i="53"/>
  <c r="D169" i="53"/>
  <c r="J168" i="53"/>
  <c r="M167" i="53"/>
  <c r="B167" i="53"/>
  <c r="E166" i="53"/>
  <c r="H165" i="53"/>
  <c r="N164" i="53"/>
  <c r="B164" i="53"/>
  <c r="I163" i="53"/>
  <c r="P162" i="53"/>
  <c r="G162" i="53"/>
  <c r="N161" i="53"/>
  <c r="E161" i="53"/>
  <c r="N160" i="53"/>
  <c r="F160" i="53"/>
  <c r="O159" i="53"/>
  <c r="G159" i="53"/>
  <c r="P158" i="53"/>
  <c r="H158" i="53"/>
  <c r="Q157" i="53"/>
  <c r="I157" i="53"/>
  <c r="A157" i="53"/>
  <c r="J156" i="53"/>
  <c r="B156" i="53"/>
  <c r="K155" i="53"/>
  <c r="C155" i="53"/>
  <c r="L154" i="53"/>
  <c r="D154" i="53"/>
  <c r="M153" i="53"/>
  <c r="E153" i="53"/>
  <c r="N152" i="53"/>
  <c r="F152" i="53"/>
  <c r="O151" i="53"/>
  <c r="G151" i="53"/>
  <c r="P150" i="53"/>
  <c r="H150" i="53"/>
  <c r="Q149" i="53"/>
  <c r="I149" i="53"/>
  <c r="A149" i="53"/>
  <c r="J148" i="53"/>
  <c r="B148" i="53"/>
  <c r="K147" i="53"/>
  <c r="C147" i="53"/>
  <c r="M200" i="53"/>
  <c r="B200" i="53"/>
  <c r="E199" i="53"/>
  <c r="K198" i="53"/>
  <c r="N197" i="53"/>
  <c r="Q196" i="53"/>
  <c r="F196" i="53"/>
  <c r="I195" i="53"/>
  <c r="O194" i="53"/>
  <c r="A194" i="53"/>
  <c r="D193" i="53"/>
  <c r="J192" i="53"/>
  <c r="M191" i="53"/>
  <c r="B191" i="53"/>
  <c r="E190" i="53"/>
  <c r="H189" i="53"/>
  <c r="N188" i="53"/>
  <c r="Q187" i="53"/>
  <c r="F187" i="53"/>
  <c r="I186" i="53"/>
  <c r="L185" i="53"/>
  <c r="A185" i="53"/>
  <c r="D184" i="53"/>
  <c r="J183" i="53"/>
  <c r="M182" i="53"/>
  <c r="P181" i="53"/>
  <c r="E181" i="53"/>
  <c r="H180" i="53"/>
  <c r="N179" i="53"/>
  <c r="Q178" i="53"/>
  <c r="C178" i="53"/>
  <c r="I177" i="53"/>
  <c r="L176" i="53"/>
  <c r="A176" i="53"/>
  <c r="D175" i="53"/>
  <c r="G174" i="53"/>
  <c r="M173" i="53"/>
  <c r="P172" i="53"/>
  <c r="E172" i="53"/>
  <c r="H171" i="53"/>
  <c r="K170" i="53"/>
  <c r="Q169" i="53"/>
  <c r="C169" i="53"/>
  <c r="I168" i="53"/>
  <c r="L167" i="53"/>
  <c r="O166" i="53"/>
  <c r="D166" i="53"/>
  <c r="G165" i="53"/>
  <c r="M164" i="53"/>
  <c r="A164" i="53"/>
  <c r="H163" i="53"/>
  <c r="O162" i="53"/>
  <c r="E162" i="53"/>
  <c r="M161" i="53"/>
  <c r="D161" i="53"/>
  <c r="M160" i="53"/>
  <c r="E160" i="53"/>
  <c r="N159" i="53"/>
  <c r="F159" i="53"/>
  <c r="O158" i="53"/>
  <c r="G158" i="53"/>
  <c r="P157" i="53"/>
  <c r="H157" i="53"/>
  <c r="Q156" i="53"/>
  <c r="I156" i="53"/>
  <c r="A156" i="53"/>
  <c r="J155" i="53"/>
  <c r="B155" i="53"/>
  <c r="K154" i="53"/>
  <c r="C154" i="53"/>
  <c r="L153" i="53"/>
  <c r="D153" i="53"/>
  <c r="M152" i="53"/>
  <c r="E152" i="53"/>
  <c r="N151" i="53"/>
  <c r="F151" i="53"/>
  <c r="O150" i="53"/>
  <c r="G150" i="53"/>
  <c r="P149" i="53"/>
  <c r="H149" i="53"/>
  <c r="Q148" i="53"/>
  <c r="I148" i="53"/>
  <c r="A148" i="53"/>
  <c r="J147" i="53"/>
  <c r="B147" i="53"/>
  <c r="K146" i="53"/>
  <c r="C146" i="53"/>
  <c r="L145" i="53"/>
  <c r="D145" i="53"/>
  <c r="M144" i="53"/>
  <c r="E144" i="53"/>
  <c r="N143" i="53"/>
  <c r="F143" i="53"/>
  <c r="O142" i="53"/>
  <c r="G142" i="53"/>
  <c r="P141" i="53"/>
  <c r="H141" i="53"/>
  <c r="Q140" i="53"/>
  <c r="I140" i="53"/>
  <c r="A140" i="53"/>
  <c r="J139" i="53"/>
  <c r="L200" i="53"/>
  <c r="M199" i="53"/>
  <c r="N198" i="53"/>
  <c r="M197" i="53"/>
  <c r="N196" i="53"/>
  <c r="O195" i="53"/>
  <c r="K194" i="53"/>
  <c r="L193" i="53"/>
  <c r="M192" i="53"/>
  <c r="L191" i="53"/>
  <c r="M190" i="53"/>
  <c r="N189" i="53"/>
  <c r="M188" i="53"/>
  <c r="N187" i="53"/>
  <c r="O186" i="53"/>
  <c r="K185" i="53"/>
  <c r="L184" i="53"/>
  <c r="M183" i="53"/>
  <c r="L182" i="53"/>
  <c r="M181" i="53"/>
  <c r="N180" i="53"/>
  <c r="J179" i="53"/>
  <c r="K178" i="53"/>
  <c r="L177" i="53"/>
  <c r="K176" i="53"/>
  <c r="L175" i="53"/>
  <c r="M174" i="53"/>
  <c r="L173" i="53"/>
  <c r="M172" i="53"/>
  <c r="N171" i="53"/>
  <c r="J170" i="53"/>
  <c r="K169" i="53"/>
  <c r="L168" i="53"/>
  <c r="K167" i="53"/>
  <c r="L166" i="53"/>
  <c r="M165" i="53"/>
  <c r="J164" i="53"/>
  <c r="O163" i="53"/>
  <c r="A163" i="53"/>
  <c r="D162" i="53"/>
  <c r="J161" i="53"/>
  <c r="P160" i="53"/>
  <c r="D160" i="53"/>
  <c r="K159" i="53"/>
  <c r="A159" i="53"/>
  <c r="F158" i="53"/>
  <c r="M157" i="53"/>
  <c r="C157" i="53"/>
  <c r="H156" i="53"/>
  <c r="O155" i="53"/>
  <c r="E155" i="53"/>
  <c r="J154" i="53"/>
  <c r="Q153" i="53"/>
  <c r="G153" i="53"/>
  <c r="L152" i="53"/>
  <c r="B152" i="53"/>
  <c r="I151" i="53"/>
  <c r="N150" i="53"/>
  <c r="D150" i="53"/>
  <c r="K149" i="53"/>
  <c r="P148" i="53"/>
  <c r="F148" i="53"/>
  <c r="M147" i="53"/>
  <c r="A147" i="53"/>
  <c r="I146" i="53"/>
  <c r="Q145" i="53"/>
  <c r="H145" i="53"/>
  <c r="P144" i="53"/>
  <c r="G144" i="53"/>
  <c r="O143" i="53"/>
  <c r="E143" i="53"/>
  <c r="M142" i="53"/>
  <c r="D142" i="53"/>
  <c r="L141" i="53"/>
  <c r="C141" i="53"/>
  <c r="K140" i="53"/>
  <c r="B140" i="53"/>
  <c r="I139" i="53"/>
  <c r="A139" i="53"/>
  <c r="J138" i="53"/>
  <c r="B138" i="53"/>
  <c r="K137" i="53"/>
  <c r="C137" i="53"/>
  <c r="L136" i="53"/>
  <c r="D136" i="53"/>
  <c r="M135" i="53"/>
  <c r="E135" i="53"/>
  <c r="N134" i="53"/>
  <c r="F134" i="53"/>
  <c r="O133" i="53"/>
  <c r="G133" i="53"/>
  <c r="P132" i="53"/>
  <c r="H132" i="53"/>
  <c r="Q131" i="53"/>
  <c r="I131" i="53"/>
  <c r="A131" i="53"/>
  <c r="J130" i="53"/>
  <c r="B130" i="53"/>
  <c r="K129" i="53"/>
  <c r="C129" i="53"/>
  <c r="L128" i="53"/>
  <c r="D128" i="53"/>
  <c r="M127" i="53"/>
  <c r="E127" i="53"/>
  <c r="N126" i="53"/>
  <c r="F126" i="53"/>
  <c r="O125" i="53"/>
  <c r="G125" i="53"/>
  <c r="P124" i="53"/>
  <c r="H124" i="53"/>
  <c r="Q123" i="53"/>
  <c r="I123" i="53"/>
  <c r="A123" i="53"/>
  <c r="J122" i="53"/>
  <c r="B122" i="53"/>
  <c r="K121" i="53"/>
  <c r="C121" i="53"/>
  <c r="L120" i="53"/>
  <c r="D120" i="53"/>
  <c r="M119" i="53"/>
  <c r="E119" i="53"/>
  <c r="N118" i="53"/>
  <c r="F118" i="53"/>
  <c r="O117" i="53"/>
  <c r="G117" i="53"/>
  <c r="P116" i="53"/>
  <c r="H116" i="53"/>
  <c r="Q115" i="53"/>
  <c r="I115" i="53"/>
  <c r="A115" i="53"/>
  <c r="J114" i="53"/>
  <c r="B114" i="53"/>
  <c r="K113" i="53"/>
  <c r="C113" i="53"/>
  <c r="L112" i="53"/>
  <c r="D112" i="53"/>
  <c r="M111" i="53"/>
  <c r="E111" i="53"/>
  <c r="N110" i="53"/>
  <c r="F110" i="53"/>
  <c r="O109" i="53"/>
  <c r="G109" i="53"/>
  <c r="P108" i="53"/>
  <c r="H108" i="53"/>
  <c r="Q107" i="53"/>
  <c r="I107" i="53"/>
  <c r="A107" i="53"/>
  <c r="J106" i="53"/>
  <c r="B106" i="53"/>
  <c r="K105" i="53"/>
  <c r="C105" i="53"/>
  <c r="L104" i="53"/>
  <c r="D104" i="53"/>
  <c r="M103" i="53"/>
  <c r="K200" i="53"/>
  <c r="L199" i="53"/>
  <c r="M198" i="53"/>
  <c r="L197" i="53"/>
  <c r="M196" i="53"/>
  <c r="N195" i="53"/>
  <c r="J194" i="53"/>
  <c r="K193" i="53"/>
  <c r="L192" i="53"/>
  <c r="K191" i="53"/>
  <c r="L190" i="53"/>
  <c r="M189" i="53"/>
  <c r="I188" i="53"/>
  <c r="J187" i="53"/>
  <c r="K186" i="53"/>
  <c r="J185" i="53"/>
  <c r="K184" i="53"/>
  <c r="L183" i="53"/>
  <c r="K182" i="53"/>
  <c r="L181" i="53"/>
  <c r="M180" i="53"/>
  <c r="I179" i="53"/>
  <c r="J178" i="53"/>
  <c r="K177" i="53"/>
  <c r="J176" i="53"/>
  <c r="K175" i="53"/>
  <c r="L174" i="53"/>
  <c r="H173" i="53"/>
  <c r="I172" i="53"/>
  <c r="J171" i="53"/>
  <c r="I170" i="53"/>
  <c r="J169" i="53"/>
  <c r="K168" i="53"/>
  <c r="J167" i="53"/>
  <c r="K166" i="53"/>
  <c r="L165" i="53"/>
  <c r="I164" i="53"/>
  <c r="N163" i="53"/>
  <c r="Q162" i="53"/>
  <c r="C162" i="53"/>
  <c r="I161" i="53"/>
  <c r="O160" i="53"/>
  <c r="C160" i="53"/>
  <c r="J159" i="53"/>
  <c r="Q158" i="53"/>
  <c r="E158" i="53"/>
  <c r="L157" i="53"/>
  <c r="B157" i="53"/>
  <c r="G156" i="53"/>
  <c r="N155" i="53"/>
  <c r="D155" i="53"/>
  <c r="I154" i="53"/>
  <c r="P153" i="53"/>
  <c r="F153" i="53"/>
  <c r="K152" i="53"/>
  <c r="A152" i="53"/>
  <c r="H151" i="53"/>
  <c r="M150" i="53"/>
  <c r="C150" i="53"/>
  <c r="J149" i="53"/>
  <c r="O148" i="53"/>
  <c r="E148" i="53"/>
  <c r="L147" i="53"/>
  <c r="Q146" i="53"/>
  <c r="H146" i="53"/>
  <c r="P145" i="53"/>
  <c r="G145" i="53"/>
  <c r="O144" i="53"/>
  <c r="F144" i="53"/>
  <c r="M143" i="53"/>
  <c r="D143" i="53"/>
  <c r="L142" i="53"/>
  <c r="C142" i="53"/>
  <c r="K141" i="53"/>
  <c r="B141" i="53"/>
  <c r="J140" i="53"/>
  <c r="Q139" i="53"/>
  <c r="H139" i="53"/>
  <c r="Q138" i="53"/>
  <c r="I138" i="53"/>
  <c r="A138" i="53"/>
  <c r="J137" i="53"/>
  <c r="B137" i="53"/>
  <c r="K136" i="53"/>
  <c r="C136" i="53"/>
  <c r="L135" i="53"/>
  <c r="D135" i="53"/>
  <c r="M134" i="53"/>
  <c r="E134" i="53"/>
  <c r="N133" i="53"/>
  <c r="F133" i="53"/>
  <c r="O132" i="53"/>
  <c r="G132" i="53"/>
  <c r="P131" i="53"/>
  <c r="H131" i="53"/>
  <c r="Q130" i="53"/>
  <c r="I130" i="53"/>
  <c r="A130" i="53"/>
  <c r="J129" i="53"/>
  <c r="B129" i="53"/>
  <c r="K128" i="53"/>
  <c r="C128" i="53"/>
  <c r="L127" i="53"/>
  <c r="D127" i="53"/>
  <c r="M126" i="53"/>
  <c r="E126" i="53"/>
  <c r="N125" i="53"/>
  <c r="F125" i="53"/>
  <c r="O124" i="53"/>
  <c r="G124" i="53"/>
  <c r="P123" i="53"/>
  <c r="H123" i="53"/>
  <c r="Q122" i="53"/>
  <c r="I122" i="53"/>
  <c r="A122" i="53"/>
  <c r="J121" i="53"/>
  <c r="B121" i="53"/>
  <c r="K120" i="53"/>
  <c r="C120" i="53"/>
  <c r="L119" i="53"/>
  <c r="D119" i="53"/>
  <c r="M118" i="53"/>
  <c r="E118" i="53"/>
  <c r="N117" i="53"/>
  <c r="F117" i="53"/>
  <c r="O116" i="53"/>
  <c r="G116" i="53"/>
  <c r="P115" i="53"/>
  <c r="H115" i="53"/>
  <c r="Q114" i="53"/>
  <c r="I114" i="53"/>
  <c r="A114" i="53"/>
  <c r="J113" i="53"/>
  <c r="B113" i="53"/>
  <c r="K112" i="53"/>
  <c r="C112" i="53"/>
  <c r="L111" i="53"/>
  <c r="D111" i="53"/>
  <c r="M110" i="53"/>
  <c r="E110" i="53"/>
  <c r="N109" i="53"/>
  <c r="F109" i="53"/>
  <c r="O108" i="53"/>
  <c r="G108" i="53"/>
  <c r="P107" i="53"/>
  <c r="H107" i="53"/>
  <c r="Q106" i="53"/>
  <c r="I106" i="53"/>
  <c r="A106" i="53"/>
  <c r="J105" i="53"/>
  <c r="B105" i="53"/>
  <c r="K104" i="53"/>
  <c r="C104" i="53"/>
  <c r="L103" i="53"/>
  <c r="D103" i="53"/>
  <c r="M102" i="53"/>
  <c r="E102" i="53"/>
  <c r="N101" i="53"/>
  <c r="F101" i="53"/>
  <c r="O100" i="53"/>
  <c r="G100" i="53"/>
  <c r="P99" i="53"/>
  <c r="H99" i="53"/>
  <c r="Q98" i="53"/>
  <c r="I98" i="53"/>
  <c r="A98" i="53"/>
  <c r="J97" i="53"/>
  <c r="B97" i="53"/>
  <c r="K96" i="53"/>
  <c r="C96" i="53"/>
  <c r="J200" i="53"/>
  <c r="D199" i="53"/>
  <c r="C198" i="53"/>
  <c r="I196" i="53"/>
  <c r="F195" i="53"/>
  <c r="Q193" i="53"/>
  <c r="I192" i="53"/>
  <c r="E191" i="53"/>
  <c r="P189" i="53"/>
  <c r="H188" i="53"/>
  <c r="B187" i="53"/>
  <c r="A186" i="53"/>
  <c r="J184" i="53"/>
  <c r="D183" i="53"/>
  <c r="O181" i="53"/>
  <c r="G180" i="53"/>
  <c r="F179" i="53"/>
  <c r="Q177" i="53"/>
  <c r="I176" i="53"/>
  <c r="C175" i="53"/>
  <c r="P173" i="53"/>
  <c r="H172" i="53"/>
  <c r="B171" i="53"/>
  <c r="P169" i="53"/>
  <c r="E168" i="53"/>
  <c r="D167" i="53"/>
  <c r="O165" i="53"/>
  <c r="H164" i="53"/>
  <c r="G163" i="53"/>
  <c r="I162" i="53"/>
  <c r="H161" i="53"/>
  <c r="J160" i="53"/>
  <c r="M159" i="53"/>
  <c r="N158" i="53"/>
  <c r="B158" i="53"/>
  <c r="E157" i="53"/>
  <c r="F156" i="53"/>
  <c r="I155" i="53"/>
  <c r="N154" i="53"/>
  <c r="O153" i="53"/>
  <c r="A153" i="53"/>
  <c r="D152" i="53"/>
  <c r="E151" i="53"/>
  <c r="J150" i="53"/>
  <c r="M149" i="53"/>
  <c r="N148" i="53"/>
  <c r="Q147" i="53"/>
  <c r="E147" i="53"/>
  <c r="G146" i="53"/>
  <c r="M145" i="53"/>
  <c r="A145" i="53"/>
  <c r="D144" i="53"/>
  <c r="J143" i="53"/>
  <c r="P142" i="53"/>
  <c r="B142" i="53"/>
  <c r="G141" i="53"/>
  <c r="M140" i="53"/>
  <c r="P139" i="53"/>
  <c r="E139" i="53"/>
  <c r="L138" i="53"/>
  <c r="Q137" i="53"/>
  <c r="G137" i="53"/>
  <c r="N136" i="53"/>
  <c r="B136" i="53"/>
  <c r="I135" i="53"/>
  <c r="P134" i="53"/>
  <c r="D134" i="53"/>
  <c r="K133" i="53"/>
  <c r="A133" i="53"/>
  <c r="F132" i="53"/>
  <c r="M131" i="53"/>
  <c r="C131" i="53"/>
  <c r="H130" i="53"/>
  <c r="O129" i="53"/>
  <c r="E129" i="53"/>
  <c r="J128" i="53"/>
  <c r="Q127" i="53"/>
  <c r="G127" i="53"/>
  <c r="L126" i="53"/>
  <c r="B126" i="53"/>
  <c r="I125" i="53"/>
  <c r="N124" i="53"/>
  <c r="D124" i="53"/>
  <c r="K123" i="53"/>
  <c r="P122" i="53"/>
  <c r="F122" i="53"/>
  <c r="M121" i="53"/>
  <c r="A121" i="53"/>
  <c r="H120" i="53"/>
  <c r="O119" i="53"/>
  <c r="C119" i="53"/>
  <c r="J118" i="53"/>
  <c r="Q117" i="53"/>
  <c r="E117" i="53"/>
  <c r="L116" i="53"/>
  <c r="B116" i="53"/>
  <c r="G115" i="53"/>
  <c r="N114" i="53"/>
  <c r="D114" i="53"/>
  <c r="I113" i="53"/>
  <c r="P112" i="53"/>
  <c r="F112" i="53"/>
  <c r="K111" i="53"/>
  <c r="A111" i="53"/>
  <c r="H110" i="53"/>
  <c r="M109" i="53"/>
  <c r="C109" i="53"/>
  <c r="J108" i="53"/>
  <c r="O107" i="53"/>
  <c r="E107" i="53"/>
  <c r="L106" i="53"/>
  <c r="Q105" i="53"/>
  <c r="G105" i="53"/>
  <c r="N104" i="53"/>
  <c r="B104" i="53"/>
  <c r="I103" i="53"/>
  <c r="Q102" i="53"/>
  <c r="H102" i="53"/>
  <c r="P101" i="53"/>
  <c r="G101" i="53"/>
  <c r="N100" i="53"/>
  <c r="E100" i="53"/>
  <c r="M99" i="53"/>
  <c r="D99" i="53"/>
  <c r="L98" i="53"/>
  <c r="C98" i="53"/>
  <c r="K97" i="53"/>
  <c r="A97" i="53"/>
  <c r="I96" i="53"/>
  <c r="Q95" i="53"/>
  <c r="I95" i="53"/>
  <c r="A95" i="53"/>
  <c r="J94" i="53"/>
  <c r="B94" i="53"/>
  <c r="K93" i="53"/>
  <c r="C93" i="53"/>
  <c r="L92" i="53"/>
  <c r="D92" i="53"/>
  <c r="M91" i="53"/>
  <c r="E91" i="53"/>
  <c r="N90" i="53"/>
  <c r="F90" i="53"/>
  <c r="O89" i="53"/>
  <c r="G89" i="53"/>
  <c r="P88" i="53"/>
  <c r="H88" i="53"/>
  <c r="Q87" i="53"/>
  <c r="I87" i="53"/>
  <c r="A87" i="53"/>
  <c r="J86" i="53"/>
  <c r="B86" i="53"/>
  <c r="K85" i="53"/>
  <c r="C85" i="53"/>
  <c r="L84" i="53"/>
  <c r="D84" i="53"/>
  <c r="M83" i="53"/>
  <c r="E83" i="53"/>
  <c r="N82" i="53"/>
  <c r="F82" i="53"/>
  <c r="O81" i="53"/>
  <c r="G81" i="53"/>
  <c r="P80" i="53"/>
  <c r="H80" i="53"/>
  <c r="Q79" i="53"/>
  <c r="I79" i="53"/>
  <c r="A79" i="53"/>
  <c r="J78" i="53"/>
  <c r="B78" i="53"/>
  <c r="K77" i="53"/>
  <c r="C77" i="53"/>
  <c r="I200" i="53"/>
  <c r="C199" i="53"/>
  <c r="P197" i="53"/>
  <c r="H196" i="53"/>
  <c r="B195" i="53"/>
  <c r="P193" i="53"/>
  <c r="E192" i="53"/>
  <c r="D191" i="53"/>
  <c r="O189" i="53"/>
  <c r="G188" i="53"/>
  <c r="A187" i="53"/>
  <c r="Q185" i="53"/>
  <c r="I184" i="53"/>
  <c r="C183" i="53"/>
  <c r="N181" i="53"/>
  <c r="F180" i="53"/>
  <c r="B179" i="53"/>
  <c r="P177" i="53"/>
  <c r="E176" i="53"/>
  <c r="B175" i="53"/>
  <c r="O173" i="53"/>
  <c r="G172" i="53"/>
  <c r="A171" i="53"/>
  <c r="L169" i="53"/>
  <c r="D168" i="53"/>
  <c r="C167" i="53"/>
  <c r="N165" i="53"/>
  <c r="G164" i="53"/>
  <c r="F163" i="53"/>
  <c r="H162" i="53"/>
  <c r="F161" i="53"/>
  <c r="I160" i="53"/>
  <c r="L159" i="53"/>
  <c r="M158" i="53"/>
  <c r="A158" i="53"/>
  <c r="D157" i="53"/>
  <c r="E156" i="53"/>
  <c r="H155" i="53"/>
  <c r="M154" i="53"/>
  <c r="N153" i="53"/>
  <c r="Q152" i="53"/>
  <c r="C152" i="53"/>
  <c r="D151" i="53"/>
  <c r="I150" i="53"/>
  <c r="L149" i="53"/>
  <c r="M148" i="53"/>
  <c r="P147" i="53"/>
  <c r="D147" i="53"/>
  <c r="F146" i="53"/>
  <c r="K145" i="53"/>
  <c r="Q144" i="53"/>
  <c r="C144" i="53"/>
  <c r="I143" i="53"/>
  <c r="N142" i="53"/>
  <c r="A142" i="53"/>
  <c r="F141" i="53"/>
  <c r="L140" i="53"/>
  <c r="O139" i="53"/>
  <c r="D139" i="53"/>
  <c r="K138" i="53"/>
  <c r="P137" i="53"/>
  <c r="F137" i="53"/>
  <c r="M136" i="53"/>
  <c r="A136" i="53"/>
  <c r="H135" i="53"/>
  <c r="O134" i="53"/>
  <c r="C134" i="53"/>
  <c r="J133" i="53"/>
  <c r="Q132" i="53"/>
  <c r="E132" i="53"/>
  <c r="L131" i="53"/>
  <c r="B131" i="53"/>
  <c r="G130" i="53"/>
  <c r="N129" i="53"/>
  <c r="D129" i="53"/>
  <c r="I128" i="53"/>
  <c r="P127" i="53"/>
  <c r="F127" i="53"/>
  <c r="K126" i="53"/>
  <c r="A126" i="53"/>
  <c r="H125" i="53"/>
  <c r="M124" i="53"/>
  <c r="C124" i="53"/>
  <c r="J123" i="53"/>
  <c r="O122" i="53"/>
  <c r="E122" i="53"/>
  <c r="L121" i="53"/>
  <c r="Q120" i="53"/>
  <c r="G120" i="53"/>
  <c r="N119" i="53"/>
  <c r="B119" i="53"/>
  <c r="I118" i="53"/>
  <c r="P117" i="53"/>
  <c r="D117" i="53"/>
  <c r="K116" i="53"/>
  <c r="A116" i="53"/>
  <c r="F115" i="53"/>
  <c r="M114" i="53"/>
  <c r="C114" i="53"/>
  <c r="H113" i="53"/>
  <c r="O112" i="53"/>
  <c r="E112" i="53"/>
  <c r="J111" i="53"/>
  <c r="Q110" i="53"/>
  <c r="G110" i="53"/>
  <c r="L109" i="53"/>
  <c r="B109" i="53"/>
  <c r="I108" i="53"/>
  <c r="N107" i="53"/>
  <c r="D107" i="53"/>
  <c r="K106" i="53"/>
  <c r="P105" i="53"/>
  <c r="F105" i="53"/>
  <c r="M104" i="53"/>
  <c r="A104" i="53"/>
  <c r="H103" i="53"/>
  <c r="P102" i="53"/>
  <c r="G102" i="53"/>
  <c r="O101" i="53"/>
  <c r="E101" i="53"/>
  <c r="M100" i="53"/>
  <c r="D100" i="53"/>
  <c r="L99" i="53"/>
  <c r="C99" i="53"/>
  <c r="K98" i="53"/>
  <c r="B98" i="53"/>
  <c r="I97" i="53"/>
  <c r="Q96" i="53"/>
  <c r="H96" i="53"/>
  <c r="P95" i="53"/>
  <c r="H95" i="53"/>
  <c r="Q94" i="53"/>
  <c r="I94" i="53"/>
  <c r="A94" i="53"/>
  <c r="J93" i="53"/>
  <c r="B93" i="53"/>
  <c r="K92" i="53"/>
  <c r="C92" i="53"/>
  <c r="L91" i="53"/>
  <c r="D91" i="53"/>
  <c r="M90" i="53"/>
  <c r="E90" i="53"/>
  <c r="N89" i="53"/>
  <c r="F89" i="53"/>
  <c r="O88" i="53"/>
  <c r="G88" i="53"/>
  <c r="P87" i="53"/>
  <c r="H87" i="53"/>
  <c r="Q86" i="53"/>
  <c r="I86" i="53"/>
  <c r="A86" i="53"/>
  <c r="J85" i="53"/>
  <c r="B85" i="53"/>
  <c r="K84" i="53"/>
  <c r="C84" i="53"/>
  <c r="L83" i="53"/>
  <c r="D83" i="53"/>
  <c r="M82" i="53"/>
  <c r="E82" i="53"/>
  <c r="N81" i="53"/>
  <c r="F81" i="53"/>
  <c r="O80" i="53"/>
  <c r="G80" i="53"/>
  <c r="P79" i="53"/>
  <c r="H79" i="53"/>
  <c r="Q78" i="53"/>
  <c r="I78" i="53"/>
  <c r="A78" i="53"/>
  <c r="J77" i="53"/>
  <c r="B77" i="53"/>
  <c r="K76" i="53"/>
  <c r="C76" i="53"/>
  <c r="E200" i="53"/>
  <c r="G198" i="53"/>
  <c r="P196" i="53"/>
  <c r="A195" i="53"/>
  <c r="C193" i="53"/>
  <c r="J191" i="53"/>
  <c r="G189" i="53"/>
  <c r="P187" i="53"/>
  <c r="C186" i="53"/>
  <c r="C184" i="53"/>
  <c r="G182" i="53"/>
  <c r="P180" i="53"/>
  <c r="P178" i="53"/>
  <c r="C177" i="53"/>
  <c r="J175" i="53"/>
  <c r="G173" i="53"/>
  <c r="P171" i="53"/>
  <c r="C170" i="53"/>
  <c r="C168" i="53"/>
  <c r="G166" i="53"/>
  <c r="P164" i="53"/>
  <c r="C163" i="53"/>
  <c r="Q161" i="53"/>
  <c r="L160" i="53"/>
  <c r="I159" i="53"/>
  <c r="J158" i="53"/>
  <c r="G157" i="53"/>
  <c r="D156" i="53"/>
  <c r="A155" i="53"/>
  <c r="B154" i="53"/>
  <c r="P152" i="53"/>
  <c r="M151" i="53"/>
  <c r="L150" i="53"/>
  <c r="G149" i="53"/>
  <c r="H148" i="53"/>
  <c r="G147" i="53"/>
  <c r="E146" i="53"/>
  <c r="F145" i="53"/>
  <c r="I144" i="53"/>
  <c r="H143" i="53"/>
  <c r="I142" i="53"/>
  <c r="J141" i="53"/>
  <c r="H140" i="53"/>
  <c r="L139" i="53"/>
  <c r="N138" i="53"/>
  <c r="O137" i="53"/>
  <c r="A137" i="53"/>
  <c r="F136" i="53"/>
  <c r="G135" i="53"/>
  <c r="J134" i="53"/>
  <c r="M133" i="53"/>
  <c r="N132" i="53"/>
  <c r="B132" i="53"/>
  <c r="E131" i="53"/>
  <c r="F130" i="53"/>
  <c r="I129" i="53"/>
  <c r="N128" i="53"/>
  <c r="O127" i="53"/>
  <c r="A127" i="53"/>
  <c r="D126" i="53"/>
  <c r="E125" i="53"/>
  <c r="J124" i="53"/>
  <c r="M123" i="53"/>
  <c r="N122" i="53"/>
  <c r="Q121" i="53"/>
  <c r="E121" i="53"/>
  <c r="F120" i="53"/>
  <c r="I119" i="53"/>
  <c r="L118" i="53"/>
  <c r="M117" i="53"/>
  <c r="A117" i="53"/>
  <c r="D116" i="53"/>
  <c r="E115" i="53"/>
  <c r="H114" i="53"/>
  <c r="M113" i="53"/>
  <c r="N112" i="53"/>
  <c r="Q111" i="53"/>
  <c r="C111" i="53"/>
  <c r="D110" i="53"/>
  <c r="I109" i="53"/>
  <c r="L108" i="53"/>
  <c r="M107" i="53"/>
  <c r="P106" i="53"/>
  <c r="D106" i="53"/>
  <c r="E105" i="53"/>
  <c r="H104" i="53"/>
  <c r="K103" i="53"/>
  <c r="O102" i="53"/>
  <c r="C102" i="53"/>
  <c r="I101" i="53"/>
  <c r="L100" i="53"/>
  <c r="A100" i="53"/>
  <c r="F99" i="53"/>
  <c r="J98" i="53"/>
  <c r="O97" i="53"/>
  <c r="D97" i="53"/>
  <c r="G96" i="53"/>
  <c r="M95" i="53"/>
  <c r="C95" i="53"/>
  <c r="H94" i="53"/>
  <c r="O93" i="53"/>
  <c r="E93" i="53"/>
  <c r="J92" i="53"/>
  <c r="Q91" i="53"/>
  <c r="G91" i="53"/>
  <c r="L90" i="53"/>
  <c r="B90" i="53"/>
  <c r="I89" i="53"/>
  <c r="N88" i="53"/>
  <c r="D88" i="53"/>
  <c r="K87" i="53"/>
  <c r="P86" i="53"/>
  <c r="F86" i="53"/>
  <c r="M85" i="53"/>
  <c r="A85" i="53"/>
  <c r="H84" i="53"/>
  <c r="O83" i="53"/>
  <c r="C83" i="53"/>
  <c r="J82" i="53"/>
  <c r="Q81" i="53"/>
  <c r="E81" i="53"/>
  <c r="L80" i="53"/>
  <c r="B80" i="53"/>
  <c r="G79" i="53"/>
  <c r="N78" i="53"/>
  <c r="D78" i="53"/>
  <c r="I77" i="53"/>
  <c r="P76" i="53"/>
  <c r="G76" i="53"/>
  <c r="O75" i="53"/>
  <c r="G75" i="53"/>
  <c r="P74" i="53"/>
  <c r="H74" i="53"/>
  <c r="Q73" i="53"/>
  <c r="I73" i="53"/>
  <c r="A73" i="53"/>
  <c r="J72" i="53"/>
  <c r="B72" i="53"/>
  <c r="K71" i="53"/>
  <c r="C71" i="53"/>
  <c r="L70" i="53"/>
  <c r="D70" i="53"/>
  <c r="M69" i="53"/>
  <c r="E69" i="53"/>
  <c r="N68" i="53"/>
  <c r="F68" i="53"/>
  <c r="O67" i="53"/>
  <c r="G67" i="53"/>
  <c r="P66" i="53"/>
  <c r="H66" i="53"/>
  <c r="Q65" i="53"/>
  <c r="I65" i="53"/>
  <c r="A65" i="53"/>
  <c r="J64" i="53"/>
  <c r="B64" i="53"/>
  <c r="K63" i="53"/>
  <c r="C63" i="53"/>
  <c r="L62" i="53"/>
  <c r="D62" i="53"/>
  <c r="M61" i="53"/>
  <c r="E61" i="53"/>
  <c r="N60" i="53"/>
  <c r="F60" i="53"/>
  <c r="O59" i="53"/>
  <c r="G59" i="53"/>
  <c r="P58" i="53"/>
  <c r="H58" i="53"/>
  <c r="Q57" i="53"/>
  <c r="I57" i="53"/>
  <c r="A57" i="53"/>
  <c r="J56" i="53"/>
  <c r="B56" i="53"/>
  <c r="K55" i="53"/>
  <c r="C55" i="53"/>
  <c r="L54" i="53"/>
  <c r="D54" i="53"/>
  <c r="M53" i="53"/>
  <c r="E53" i="53"/>
  <c r="N52" i="53"/>
  <c r="F52" i="53"/>
  <c r="O51" i="53"/>
  <c r="G51" i="53"/>
  <c r="P50" i="53"/>
  <c r="H50" i="53"/>
  <c r="Q49" i="53"/>
  <c r="I49" i="53"/>
  <c r="A49" i="53"/>
  <c r="J48" i="53"/>
  <c r="B48" i="53"/>
  <c r="K47" i="53"/>
  <c r="C47" i="53"/>
  <c r="L46" i="53"/>
  <c r="D46" i="53"/>
  <c r="M45" i="53"/>
  <c r="E45" i="53"/>
  <c r="N44" i="53"/>
  <c r="F44" i="53"/>
  <c r="O43" i="53"/>
  <c r="G43" i="53"/>
  <c r="P42" i="53"/>
  <c r="H42" i="53"/>
  <c r="Q41" i="53"/>
  <c r="I41" i="53"/>
  <c r="A41" i="53"/>
  <c r="J40" i="53"/>
  <c r="B40" i="53"/>
  <c r="K39" i="53"/>
  <c r="C39" i="53"/>
  <c r="L38" i="53"/>
  <c r="D38" i="53"/>
  <c r="M37" i="53"/>
  <c r="E37" i="53"/>
  <c r="N36" i="53"/>
  <c r="F36" i="53"/>
  <c r="O35" i="53"/>
  <c r="G35" i="53"/>
  <c r="P34" i="53"/>
  <c r="H34" i="53"/>
  <c r="Q33" i="53"/>
  <c r="I33" i="53"/>
  <c r="A33" i="53"/>
  <c r="J32" i="53"/>
  <c r="B32" i="53"/>
  <c r="K31" i="53"/>
  <c r="C31" i="53"/>
  <c r="L30" i="53"/>
  <c r="D30" i="53"/>
  <c r="M29" i="53"/>
  <c r="E29" i="53"/>
  <c r="N28" i="53"/>
  <c r="F28" i="53"/>
  <c r="O27" i="53"/>
  <c r="G27" i="53"/>
  <c r="P26" i="53"/>
  <c r="H26" i="53"/>
  <c r="Q25" i="53"/>
  <c r="I25" i="53"/>
  <c r="A25" i="53"/>
  <c r="J24" i="53"/>
  <c r="B24" i="53"/>
  <c r="K23" i="53"/>
  <c r="C23" i="53"/>
  <c r="L22" i="53"/>
  <c r="D22" i="53"/>
  <c r="M21" i="53"/>
  <c r="E21" i="53"/>
  <c r="N20" i="53"/>
  <c r="F20" i="53"/>
  <c r="O19" i="53"/>
  <c r="G19" i="53"/>
  <c r="P18" i="53"/>
  <c r="H18" i="53"/>
  <c r="Q17" i="53"/>
  <c r="I17" i="53"/>
  <c r="A17" i="53"/>
  <c r="J16" i="53"/>
  <c r="B16" i="53"/>
  <c r="K15" i="53"/>
  <c r="C15" i="53"/>
  <c r="L14" i="53"/>
  <c r="D14" i="53"/>
  <c r="M13" i="53"/>
  <c r="E13" i="53"/>
  <c r="N12" i="53"/>
  <c r="F12" i="53"/>
  <c r="O11" i="53"/>
  <c r="G11" i="53"/>
  <c r="P10" i="53"/>
  <c r="H10" i="53"/>
  <c r="Q9" i="53"/>
  <c r="I9" i="53"/>
  <c r="A9" i="53"/>
  <c r="J8" i="53"/>
  <c r="B8" i="53"/>
  <c r="J7" i="53"/>
  <c r="B7" i="53"/>
  <c r="J6" i="53"/>
  <c r="B6" i="53"/>
  <c r="J5" i="53"/>
  <c r="B5" i="53"/>
  <c r="J4" i="53"/>
  <c r="A4" i="53"/>
  <c r="I3" i="53"/>
  <c r="E198" i="53"/>
  <c r="E196" i="53"/>
  <c r="I194" i="53"/>
  <c r="A193" i="53"/>
  <c r="O190" i="53"/>
  <c r="E189" i="53"/>
  <c r="I187" i="53"/>
  <c r="I185" i="53"/>
  <c r="E182" i="53"/>
  <c r="E180" i="53"/>
  <c r="I178" i="53"/>
  <c r="O174" i="53"/>
  <c r="G171" i="53"/>
  <c r="I169" i="53"/>
  <c r="C166" i="53"/>
  <c r="M162" i="53"/>
  <c r="L161" i="53"/>
  <c r="E159" i="53"/>
  <c r="D158" i="53"/>
  <c r="Q155" i="53"/>
  <c r="P154" i="53"/>
  <c r="J152" i="53"/>
  <c r="F150" i="53"/>
  <c r="D148" i="53"/>
  <c r="B146" i="53"/>
  <c r="B144" i="53"/>
  <c r="E141" i="53"/>
  <c r="G139" i="53"/>
  <c r="M137" i="53"/>
  <c r="C135" i="53"/>
  <c r="L132" i="53"/>
  <c r="P130" i="53"/>
  <c r="G129" i="53"/>
  <c r="K127" i="53"/>
  <c r="Q125" i="53"/>
  <c r="G123" i="53"/>
  <c r="B120" i="53"/>
  <c r="H118" i="53"/>
  <c r="O115" i="53"/>
  <c r="F114" i="53"/>
  <c r="O111" i="53"/>
  <c r="B110" i="53"/>
  <c r="F108" i="53"/>
  <c r="N106" i="53"/>
  <c r="O105" i="53"/>
  <c r="F104" i="53"/>
  <c r="L102" i="53"/>
  <c r="A102" i="53"/>
  <c r="J100" i="53"/>
  <c r="B99" i="53"/>
  <c r="M97" i="53"/>
  <c r="E96" i="53"/>
  <c r="P94" i="53"/>
  <c r="M93" i="53"/>
  <c r="H92" i="53"/>
  <c r="C91" i="53"/>
  <c r="Q89" i="53"/>
  <c r="L88" i="53"/>
  <c r="D200" i="53"/>
  <c r="F198" i="53"/>
  <c r="O196" i="53"/>
  <c r="Q194" i="53"/>
  <c r="B193" i="53"/>
  <c r="F191" i="53"/>
  <c r="F189" i="53"/>
  <c r="O187" i="53"/>
  <c r="B186" i="53"/>
  <c r="B184" i="53"/>
  <c r="F182" i="53"/>
  <c r="O180" i="53"/>
  <c r="O178" i="53"/>
  <c r="B177" i="53"/>
  <c r="F175" i="53"/>
  <c r="F173" i="53"/>
  <c r="O171" i="53"/>
  <c r="B170" i="53"/>
  <c r="B168" i="53"/>
  <c r="F166" i="53"/>
  <c r="O164" i="53"/>
  <c r="B163" i="53"/>
  <c r="P161" i="53"/>
  <c r="K160" i="53"/>
  <c r="H159" i="53"/>
  <c r="I158" i="53"/>
  <c r="F157" i="53"/>
  <c r="C156" i="53"/>
  <c r="Q154" i="53"/>
  <c r="A154" i="53"/>
  <c r="O152" i="53"/>
  <c r="L151" i="53"/>
  <c r="K150" i="53"/>
  <c r="F149" i="53"/>
  <c r="G148" i="53"/>
  <c r="F147" i="53"/>
  <c r="D146" i="53"/>
  <c r="E145" i="53"/>
  <c r="H144" i="53"/>
  <c r="G143" i="53"/>
  <c r="H142" i="53"/>
  <c r="I141" i="53"/>
  <c r="G140" i="53"/>
  <c r="K139" i="53"/>
  <c r="M138" i="53"/>
  <c r="N137" i="53"/>
  <c r="Q136" i="53"/>
  <c r="E136" i="53"/>
  <c r="F135" i="53"/>
  <c r="I134" i="53"/>
  <c r="L133" i="53"/>
  <c r="M132" i="53"/>
  <c r="A132" i="53"/>
  <c r="D131" i="53"/>
  <c r="E130" i="53"/>
  <c r="H129" i="53"/>
  <c r="M128" i="53"/>
  <c r="N127" i="53"/>
  <c r="Q126" i="53"/>
  <c r="C126" i="53"/>
  <c r="D125" i="53"/>
  <c r="I124" i="53"/>
  <c r="L123" i="53"/>
  <c r="M122" i="53"/>
  <c r="P121" i="53"/>
  <c r="D121" i="53"/>
  <c r="E120" i="53"/>
  <c r="H119" i="53"/>
  <c r="K118" i="53"/>
  <c r="L117" i="53"/>
  <c r="Q116" i="53"/>
  <c r="C116" i="53"/>
  <c r="D115" i="53"/>
  <c r="G114" i="53"/>
  <c r="L113" i="53"/>
  <c r="M112" i="53"/>
  <c r="P111" i="53"/>
  <c r="B111" i="53"/>
  <c r="C110" i="53"/>
  <c r="H109" i="53"/>
  <c r="K108" i="53"/>
  <c r="L107" i="53"/>
  <c r="O106" i="53"/>
  <c r="C106" i="53"/>
  <c r="D105" i="53"/>
  <c r="G104" i="53"/>
  <c r="J103" i="53"/>
  <c r="N102" i="53"/>
  <c r="B102" i="53"/>
  <c r="H101" i="53"/>
  <c r="K100" i="53"/>
  <c r="Q99" i="53"/>
  <c r="E99" i="53"/>
  <c r="H98" i="53"/>
  <c r="N97" i="53"/>
  <c r="C97" i="53"/>
  <c r="F96" i="53"/>
  <c r="L95" i="53"/>
  <c r="B95" i="53"/>
  <c r="G94" i="53"/>
  <c r="N93" i="53"/>
  <c r="D93" i="53"/>
  <c r="I92" i="53"/>
  <c r="P91" i="53"/>
  <c r="F91" i="53"/>
  <c r="K90" i="53"/>
  <c r="A90" i="53"/>
  <c r="H89" i="53"/>
  <c r="M88" i="53"/>
  <c r="C88" i="53"/>
  <c r="J87" i="53"/>
  <c r="O86" i="53"/>
  <c r="E86" i="53"/>
  <c r="L85" i="53"/>
  <c r="Q84" i="53"/>
  <c r="G84" i="53"/>
  <c r="N83" i="53"/>
  <c r="B83" i="53"/>
  <c r="I82" i="53"/>
  <c r="P81" i="53"/>
  <c r="D81" i="53"/>
  <c r="K80" i="53"/>
  <c r="A80" i="53"/>
  <c r="F79" i="53"/>
  <c r="M78" i="53"/>
  <c r="C78" i="53"/>
  <c r="H77" i="53"/>
  <c r="O76" i="53"/>
  <c r="F76" i="53"/>
  <c r="N75" i="53"/>
  <c r="F75" i="53"/>
  <c r="O74" i="53"/>
  <c r="G74" i="53"/>
  <c r="P73" i="53"/>
  <c r="H73" i="53"/>
  <c r="Q72" i="53"/>
  <c r="I72" i="53"/>
  <c r="A72" i="53"/>
  <c r="J71" i="53"/>
  <c r="B71" i="53"/>
  <c r="K70" i="53"/>
  <c r="C70" i="53"/>
  <c r="L69" i="53"/>
  <c r="D69" i="53"/>
  <c r="M68" i="53"/>
  <c r="E68" i="53"/>
  <c r="N67" i="53"/>
  <c r="F67" i="53"/>
  <c r="O66" i="53"/>
  <c r="G66" i="53"/>
  <c r="P65" i="53"/>
  <c r="H65" i="53"/>
  <c r="Q64" i="53"/>
  <c r="I64" i="53"/>
  <c r="A64" i="53"/>
  <c r="J63" i="53"/>
  <c r="B63" i="53"/>
  <c r="K62" i="53"/>
  <c r="C62" i="53"/>
  <c r="L61" i="53"/>
  <c r="D61" i="53"/>
  <c r="M60" i="53"/>
  <c r="E60" i="53"/>
  <c r="N59" i="53"/>
  <c r="F59" i="53"/>
  <c r="O58" i="53"/>
  <c r="G58" i="53"/>
  <c r="P57" i="53"/>
  <c r="H57" i="53"/>
  <c r="Q56" i="53"/>
  <c r="I56" i="53"/>
  <c r="A56" i="53"/>
  <c r="J55" i="53"/>
  <c r="B55" i="53"/>
  <c r="K54" i="53"/>
  <c r="C54" i="53"/>
  <c r="L53" i="53"/>
  <c r="D53" i="53"/>
  <c r="M52" i="53"/>
  <c r="E52" i="53"/>
  <c r="N51" i="53"/>
  <c r="F51" i="53"/>
  <c r="O50" i="53"/>
  <c r="G50" i="53"/>
  <c r="P49" i="53"/>
  <c r="H49" i="53"/>
  <c r="Q48" i="53"/>
  <c r="I48" i="53"/>
  <c r="A48" i="53"/>
  <c r="J47" i="53"/>
  <c r="B47" i="53"/>
  <c r="K46" i="53"/>
  <c r="C46" i="53"/>
  <c r="L45" i="53"/>
  <c r="D45" i="53"/>
  <c r="M44" i="53"/>
  <c r="E44" i="53"/>
  <c r="N43" i="53"/>
  <c r="F43" i="53"/>
  <c r="O42" i="53"/>
  <c r="G42" i="53"/>
  <c r="P41" i="53"/>
  <c r="H41" i="53"/>
  <c r="Q40" i="53"/>
  <c r="I40" i="53"/>
  <c r="A40" i="53"/>
  <c r="J39" i="53"/>
  <c r="B39" i="53"/>
  <c r="K38" i="53"/>
  <c r="C38" i="53"/>
  <c r="L37" i="53"/>
  <c r="D37" i="53"/>
  <c r="M36" i="53"/>
  <c r="E36" i="53"/>
  <c r="N35" i="53"/>
  <c r="F35" i="53"/>
  <c r="O34" i="53"/>
  <c r="G34" i="53"/>
  <c r="P33" i="53"/>
  <c r="H33" i="53"/>
  <c r="Q32" i="53"/>
  <c r="I32" i="53"/>
  <c r="A32" i="53"/>
  <c r="J31" i="53"/>
  <c r="B31" i="53"/>
  <c r="K30" i="53"/>
  <c r="C30" i="53"/>
  <c r="L29" i="53"/>
  <c r="D29" i="53"/>
  <c r="M28" i="53"/>
  <c r="E28" i="53"/>
  <c r="N27" i="53"/>
  <c r="F27" i="53"/>
  <c r="O26" i="53"/>
  <c r="G26" i="53"/>
  <c r="P25" i="53"/>
  <c r="H25" i="53"/>
  <c r="Q24" i="53"/>
  <c r="I24" i="53"/>
  <c r="A24" i="53"/>
  <c r="J23" i="53"/>
  <c r="B23" i="53"/>
  <c r="K22" i="53"/>
  <c r="C22" i="53"/>
  <c r="L21" i="53"/>
  <c r="D21" i="53"/>
  <c r="M20" i="53"/>
  <c r="E20" i="53"/>
  <c r="N19" i="53"/>
  <c r="F19" i="53"/>
  <c r="O18" i="53"/>
  <c r="G18" i="53"/>
  <c r="P17" i="53"/>
  <c r="H17" i="53"/>
  <c r="Q16" i="53"/>
  <c r="I16" i="53"/>
  <c r="A16" i="53"/>
  <c r="J15" i="53"/>
  <c r="B15" i="53"/>
  <c r="K14" i="53"/>
  <c r="C14" i="53"/>
  <c r="L13" i="53"/>
  <c r="D13" i="53"/>
  <c r="M12" i="53"/>
  <c r="E12" i="53"/>
  <c r="N11" i="53"/>
  <c r="F11" i="53"/>
  <c r="O10" i="53"/>
  <c r="G10" i="53"/>
  <c r="P9" i="53"/>
  <c r="H9" i="53"/>
  <c r="Q8" i="53"/>
  <c r="I8" i="53"/>
  <c r="A8" i="53"/>
  <c r="I7" i="53"/>
  <c r="A7" i="53"/>
  <c r="I6" i="53"/>
  <c r="A6" i="53"/>
  <c r="I5" i="53"/>
  <c r="A5" i="53"/>
  <c r="I4" i="53"/>
  <c r="Q3" i="53"/>
  <c r="H3" i="53"/>
  <c r="A200" i="53"/>
  <c r="A184" i="53"/>
  <c r="A177" i="53"/>
  <c r="E173" i="53"/>
  <c r="A168" i="53"/>
  <c r="F164" i="53"/>
  <c r="H160" i="53"/>
  <c r="P156" i="53"/>
  <c r="K153" i="53"/>
  <c r="K151" i="53"/>
  <c r="E149" i="53"/>
  <c r="P146" i="53"/>
  <c r="C145" i="53"/>
  <c r="C143" i="53"/>
  <c r="F142" i="53"/>
  <c r="F140" i="53"/>
  <c r="H138" i="53"/>
  <c r="P136" i="53"/>
  <c r="Q135" i="53"/>
  <c r="H134" i="53"/>
  <c r="I133" i="53"/>
  <c r="O131" i="53"/>
  <c r="D130" i="53"/>
  <c r="H128" i="53"/>
  <c r="P126" i="53"/>
  <c r="C125" i="53"/>
  <c r="F124" i="53"/>
  <c r="L122" i="53"/>
  <c r="O121" i="53"/>
  <c r="P120" i="53"/>
  <c r="G119" i="53"/>
  <c r="K117" i="53"/>
  <c r="N116" i="53"/>
  <c r="C115" i="53"/>
  <c r="G113" i="53"/>
  <c r="J112" i="53"/>
  <c r="P110" i="53"/>
  <c r="E109" i="53"/>
  <c r="K107" i="53"/>
  <c r="A105" i="53"/>
  <c r="G103" i="53"/>
  <c r="D101" i="53"/>
  <c r="O99" i="53"/>
  <c r="G98" i="53"/>
  <c r="P96" i="53"/>
  <c r="K95" i="53"/>
  <c r="F94" i="53"/>
  <c r="A93" i="53"/>
  <c r="O91" i="53"/>
  <c r="J90" i="53"/>
  <c r="E89" i="53"/>
  <c r="B88" i="53"/>
  <c r="O3" i="53"/>
  <c r="L4" i="53"/>
  <c r="E5" i="53"/>
  <c r="P5" i="53"/>
  <c r="L6" i="53"/>
  <c r="E7" i="53"/>
  <c r="P7" i="53"/>
  <c r="K8" i="53"/>
  <c r="D9" i="53"/>
  <c r="N9" i="53"/>
  <c r="I10" i="53"/>
  <c r="B11" i="53"/>
  <c r="L11" i="53"/>
  <c r="G12" i="53"/>
  <c r="Q12" i="53"/>
  <c r="J13" i="53"/>
  <c r="E14" i="53"/>
  <c r="O14" i="53"/>
  <c r="H15" i="53"/>
  <c r="C16" i="53"/>
  <c r="M16" i="53"/>
  <c r="F17" i="53"/>
  <c r="A18" i="53"/>
  <c r="K18" i="53"/>
  <c r="D19" i="53"/>
  <c r="P19" i="53"/>
  <c r="I20" i="53"/>
  <c r="B21" i="53"/>
  <c r="N21" i="53"/>
  <c r="G22" i="53"/>
  <c r="Q22" i="53"/>
  <c r="L23" i="53"/>
  <c r="E24" i="53"/>
  <c r="O24" i="53"/>
  <c r="J25" i="53"/>
  <c r="C26" i="53"/>
  <c r="M26" i="53"/>
  <c r="H27" i="53"/>
  <c r="A28" i="53"/>
  <c r="K28" i="53"/>
  <c r="F29" i="53"/>
  <c r="P29" i="53"/>
  <c r="I30" i="53"/>
  <c r="D31" i="53"/>
  <c r="N31" i="53"/>
  <c r="G32" i="53"/>
  <c r="B33" i="53"/>
  <c r="L33" i="53"/>
  <c r="E34" i="53"/>
  <c r="Q34" i="53"/>
  <c r="J35" i="53"/>
  <c r="C36" i="53"/>
  <c r="O36" i="53"/>
  <c r="H37" i="53"/>
  <c r="A38" i="53"/>
  <c r="M38" i="53"/>
  <c r="F39" i="53"/>
  <c r="P39" i="53"/>
  <c r="K40" i="53"/>
  <c r="D41" i="53"/>
  <c r="N41" i="53"/>
  <c r="I42" i="53"/>
  <c r="B43" i="53"/>
  <c r="L43" i="53"/>
  <c r="G44" i="53"/>
  <c r="Q44" i="53"/>
  <c r="J45" i="53"/>
  <c r="E46" i="53"/>
  <c r="O46" i="53"/>
  <c r="H47" i="53"/>
  <c r="C48" i="53"/>
  <c r="M48" i="53"/>
  <c r="F49" i="53"/>
  <c r="A50" i="53"/>
  <c r="K50" i="53"/>
  <c r="D51" i="53"/>
  <c r="P51" i="53"/>
  <c r="I52" i="53"/>
  <c r="B53" i="53"/>
  <c r="N53" i="53"/>
  <c r="G54" i="53"/>
  <c r="Q54" i="53"/>
  <c r="L55" i="53"/>
  <c r="E56" i="53"/>
  <c r="O56" i="53"/>
  <c r="J57" i="53"/>
  <c r="C58" i="53"/>
  <c r="M58" i="53"/>
  <c r="H59" i="53"/>
  <c r="A60" i="53"/>
  <c r="K60" i="53"/>
  <c r="F61" i="53"/>
  <c r="P61" i="53"/>
  <c r="I62" i="53"/>
  <c r="D63" i="53"/>
  <c r="N63" i="53"/>
  <c r="G64" i="53"/>
  <c r="B65" i="53"/>
  <c r="L65" i="53"/>
  <c r="E66" i="53"/>
  <c r="Q66" i="53"/>
  <c r="J67" i="53"/>
  <c r="C68" i="53"/>
  <c r="O68" i="53"/>
  <c r="H69" i="53"/>
  <c r="A70" i="53"/>
  <c r="M70" i="53"/>
  <c r="F71" i="53"/>
  <c r="P71" i="53"/>
  <c r="K72" i="53"/>
  <c r="D73" i="53"/>
  <c r="N73" i="53"/>
  <c r="I74" i="53"/>
  <c r="B75" i="53"/>
  <c r="L75" i="53"/>
  <c r="H76" i="53"/>
  <c r="D77" i="53"/>
  <c r="P77" i="53"/>
  <c r="O78" i="53"/>
  <c r="L79" i="53"/>
  <c r="I80" i="53"/>
  <c r="H81" i="53"/>
  <c r="C82" i="53"/>
  <c r="Q82" i="53"/>
  <c r="P83" i="53"/>
  <c r="M84" i="53"/>
  <c r="H85" i="53"/>
  <c r="G86" i="53"/>
  <c r="D87" i="53"/>
  <c r="A88" i="53"/>
  <c r="B89" i="53"/>
  <c r="C90" i="53"/>
  <c r="A91" i="53"/>
  <c r="B92" i="53"/>
  <c r="Q92" i="53"/>
  <c r="C94" i="53"/>
  <c r="D95" i="53"/>
  <c r="B96" i="53"/>
  <c r="F97" i="53"/>
  <c r="F98" i="53"/>
  <c r="J99" i="53"/>
  <c r="P100" i="53"/>
  <c r="M101" i="53"/>
  <c r="B103" i="53"/>
  <c r="E104" i="53"/>
  <c r="L105" i="53"/>
  <c r="B107" i="53"/>
  <c r="D108" i="53"/>
  <c r="K109" i="53"/>
  <c r="O110" i="53"/>
  <c r="G112" i="53"/>
  <c r="N113" i="53"/>
  <c r="P114" i="53"/>
  <c r="F116" i="53"/>
  <c r="J117" i="53"/>
  <c r="Q118" i="53"/>
  <c r="I120" i="53"/>
  <c r="I121" i="53"/>
  <c r="C123" i="53"/>
  <c r="E124" i="53"/>
  <c r="L125" i="53"/>
  <c r="B127" i="53"/>
  <c r="F128" i="53"/>
  <c r="M129" i="53"/>
  <c r="O130" i="53"/>
  <c r="I132" i="53"/>
  <c r="P133" i="53"/>
  <c r="A135" i="53"/>
  <c r="H136" i="53"/>
  <c r="L137" i="53"/>
  <c r="B139" i="53"/>
  <c r="N140" i="53"/>
  <c r="Q141" i="53"/>
  <c r="L143" i="53"/>
  <c r="B145" i="53"/>
  <c r="M146" i="53"/>
  <c r="K148" i="53"/>
  <c r="B150" i="53"/>
  <c r="Q151" i="53"/>
  <c r="J153" i="53"/>
  <c r="L155" i="53"/>
  <c r="J157" i="53"/>
  <c r="C159" i="53"/>
  <c r="A161" i="53"/>
  <c r="L162" i="53"/>
  <c r="E165" i="53"/>
  <c r="M168" i="53"/>
  <c r="Q170" i="53"/>
  <c r="D174" i="53"/>
  <c r="Q176" i="53"/>
  <c r="P179" i="53"/>
  <c r="O182" i="53"/>
  <c r="D185" i="53"/>
  <c r="F188" i="53"/>
  <c r="N190" i="53"/>
  <c r="C194" i="53"/>
  <c r="E197" i="53"/>
  <c r="K199" i="53"/>
  <c r="A3" i="53"/>
  <c r="P3" i="53"/>
  <c r="M4" i="53"/>
  <c r="F5" i="53"/>
  <c r="Q5" i="53"/>
  <c r="M6" i="53"/>
  <c r="F7" i="53"/>
  <c r="Q7" i="53"/>
  <c r="L8" i="53"/>
  <c r="E9" i="53"/>
  <c r="O9" i="53"/>
  <c r="J10" i="53"/>
  <c r="C11" i="53"/>
  <c r="M11" i="53"/>
  <c r="H12" i="53"/>
  <c r="A13" i="53"/>
  <c r="K13" i="53"/>
  <c r="F14" i="53"/>
  <c r="P14" i="53"/>
  <c r="I15" i="53"/>
  <c r="D16" i="53"/>
  <c r="N16" i="53"/>
  <c r="G17" i="53"/>
  <c r="B18" i="53"/>
  <c r="L18" i="53"/>
  <c r="E19" i="53"/>
  <c r="Q19" i="53"/>
  <c r="J20" i="53"/>
  <c r="C21" i="53"/>
  <c r="O21" i="53"/>
  <c r="H22" i="53"/>
  <c r="A23" i="53"/>
  <c r="M23" i="53"/>
  <c r="F24" i="53"/>
  <c r="P24" i="53"/>
  <c r="K25" i="53"/>
  <c r="D26" i="53"/>
  <c r="N26" i="53"/>
  <c r="I27" i="53"/>
  <c r="B28" i="53"/>
  <c r="L28" i="53"/>
  <c r="G29" i="53"/>
  <c r="Q29" i="53"/>
  <c r="J30" i="53"/>
  <c r="E31" i="53"/>
  <c r="O31" i="53"/>
  <c r="H32" i="53"/>
  <c r="C33" i="53"/>
  <c r="M33" i="53"/>
  <c r="F34" i="53"/>
  <c r="A35" i="53"/>
  <c r="K35" i="53"/>
  <c r="D36" i="53"/>
  <c r="P36" i="53"/>
  <c r="I37" i="53"/>
  <c r="B38" i="53"/>
  <c r="N38" i="53"/>
  <c r="G39" i="53"/>
  <c r="Q39" i="53"/>
  <c r="L40" i="53"/>
  <c r="E41" i="53"/>
  <c r="O41" i="53"/>
  <c r="J42" i="53"/>
  <c r="C43" i="53"/>
  <c r="M43" i="53"/>
  <c r="H44" i="53"/>
  <c r="A45" i="53"/>
  <c r="K45" i="53"/>
  <c r="F46" i="53"/>
  <c r="P46" i="53"/>
  <c r="I47" i="53"/>
  <c r="D48" i="53"/>
  <c r="N48" i="53"/>
  <c r="G49" i="53"/>
  <c r="B50" i="53"/>
  <c r="L50" i="53"/>
  <c r="E51" i="53"/>
  <c r="Q51" i="53"/>
  <c r="J52" i="53"/>
  <c r="C53" i="53"/>
  <c r="O53" i="53"/>
  <c r="H54" i="53"/>
  <c r="A55" i="53"/>
  <c r="M55" i="53"/>
  <c r="F56" i="53"/>
  <c r="P56" i="53"/>
  <c r="K57" i="53"/>
  <c r="D58" i="53"/>
  <c r="N58" i="53"/>
  <c r="I59" i="53"/>
  <c r="B60" i="53"/>
  <c r="L60" i="53"/>
  <c r="G61" i="53"/>
  <c r="Q61" i="53"/>
  <c r="J62" i="53"/>
  <c r="E63" i="53"/>
  <c r="O63" i="53"/>
  <c r="H64" i="53"/>
  <c r="C65" i="53"/>
  <c r="M65" i="53"/>
  <c r="F66" i="53"/>
  <c r="A67" i="53"/>
  <c r="K67" i="53"/>
  <c r="D68" i="53"/>
  <c r="P68" i="53"/>
  <c r="I69" i="53"/>
  <c r="B70" i="53"/>
  <c r="N70" i="53"/>
  <c r="G71" i="53"/>
  <c r="Q71" i="53"/>
  <c r="L72" i="53"/>
  <c r="E73" i="53"/>
  <c r="O73" i="53"/>
  <c r="J74" i="53"/>
  <c r="C75" i="53"/>
  <c r="M75" i="53"/>
  <c r="I76" i="53"/>
  <c r="E77" i="53"/>
  <c r="Q77" i="53"/>
  <c r="P78" i="53"/>
  <c r="M79" i="53"/>
  <c r="J80" i="53"/>
  <c r="I81" i="53"/>
  <c r="D82" i="53"/>
  <c r="A83" i="53"/>
  <c r="Q83" i="53"/>
  <c r="N84" i="53"/>
  <c r="I85" i="53"/>
  <c r="H86" i="53"/>
  <c r="E87" i="53"/>
  <c r="E88" i="53"/>
  <c r="C89" i="53"/>
  <c r="D90" i="53"/>
  <c r="B91" i="53"/>
  <c r="E92" i="53"/>
  <c r="F93" i="53"/>
  <c r="D94" i="53"/>
  <c r="E95" i="53"/>
  <c r="D96" i="53"/>
  <c r="G97" i="53"/>
  <c r="M98" i="53"/>
  <c r="K99" i="53"/>
  <c r="Q100" i="53"/>
  <c r="Q101" i="53"/>
  <c r="C103" i="53"/>
  <c r="I104" i="53"/>
  <c r="M105" i="53"/>
  <c r="C107" i="53"/>
  <c r="E108" i="53"/>
  <c r="P109" i="53"/>
  <c r="F111" i="53"/>
  <c r="H112" i="53"/>
  <c r="O113" i="53"/>
  <c r="B115" i="53"/>
  <c r="I116" i="53"/>
  <c r="A118" i="53"/>
  <c r="A119" i="53"/>
  <c r="J120" i="53"/>
  <c r="N121" i="53"/>
  <c r="D123" i="53"/>
  <c r="K124" i="53"/>
  <c r="M125" i="53"/>
  <c r="C127" i="53"/>
  <c r="G128" i="53"/>
  <c r="P129" i="53"/>
  <c r="F131" i="53"/>
  <c r="J132" i="53"/>
  <c r="Q133" i="53"/>
  <c r="B135" i="53"/>
  <c r="I136" i="53"/>
  <c r="C138" i="53"/>
  <c r="C139" i="53"/>
  <c r="O140" i="53"/>
  <c r="E142" i="53"/>
  <c r="P143" i="53"/>
  <c r="I145" i="53"/>
  <c r="N146" i="53"/>
  <c r="L148" i="53"/>
  <c r="E150" i="53"/>
  <c r="G152" i="53"/>
  <c r="E154" i="53"/>
  <c r="M155" i="53"/>
  <c r="K157" i="53"/>
  <c r="D159" i="53"/>
  <c r="B161" i="53"/>
  <c r="J163" i="53"/>
  <c r="F165" i="53"/>
  <c r="Q168" i="53"/>
  <c r="F171" i="53"/>
  <c r="E174" i="53"/>
  <c r="D177" i="53"/>
  <c r="Q179" i="53"/>
  <c r="B183" i="53"/>
  <c r="H185" i="53"/>
  <c r="P188" i="53"/>
  <c r="A192" i="53"/>
  <c r="G194" i="53"/>
  <c r="F197" i="53"/>
  <c r="N199" i="53"/>
  <c r="H23" i="145"/>
  <c r="N41" i="145"/>
  <c r="N76" i="145"/>
  <c r="G146" i="145"/>
  <c r="H8" i="145"/>
  <c r="I28" i="145"/>
  <c r="J43" i="145"/>
  <c r="P61" i="145"/>
  <c r="O81" i="145"/>
  <c r="G158" i="145"/>
  <c r="N9" i="145"/>
  <c r="J28" i="145"/>
  <c r="I48" i="145"/>
  <c r="J63" i="145"/>
  <c r="P81" i="145"/>
  <c r="Q101" i="145"/>
  <c r="E121" i="145"/>
  <c r="H158" i="145"/>
  <c r="J95" i="145"/>
  <c r="P96" i="145"/>
  <c r="O14" i="145"/>
  <c r="P29" i="145"/>
  <c r="J48" i="145"/>
  <c r="K68" i="145"/>
  <c r="L83" i="145"/>
  <c r="A102" i="145"/>
  <c r="O127" i="145"/>
  <c r="C178" i="145"/>
  <c r="L21" i="145"/>
  <c r="M41" i="145"/>
  <c r="N56" i="145"/>
  <c r="J75" i="145"/>
  <c r="B95" i="145"/>
  <c r="L145" i="145"/>
  <c r="G8" i="145"/>
  <c r="M61" i="145"/>
  <c r="O118" i="145"/>
  <c r="J119" i="145"/>
  <c r="F15" i="145"/>
  <c r="O34" i="145"/>
  <c r="P49" i="145"/>
  <c r="L68" i="145"/>
  <c r="M88" i="145"/>
  <c r="N103" i="145"/>
  <c r="C128" i="145"/>
  <c r="D178" i="145"/>
  <c r="G130" i="145"/>
  <c r="Q138" i="145"/>
  <c r="Q147" i="145"/>
  <c r="Q162" i="145"/>
  <c r="G183" i="145"/>
  <c r="E10" i="145"/>
  <c r="M16" i="145"/>
  <c r="I23" i="145"/>
  <c r="G30" i="145"/>
  <c r="M36" i="145"/>
  <c r="K43" i="145"/>
  <c r="G50" i="145"/>
  <c r="O56" i="145"/>
  <c r="K63" i="145"/>
  <c r="I70" i="145"/>
  <c r="Q76" i="145"/>
  <c r="M83" i="145"/>
  <c r="K90" i="145"/>
  <c r="Q96" i="145"/>
  <c r="O103" i="145"/>
  <c r="M112" i="145"/>
  <c r="H121" i="145"/>
  <c r="H130" i="145"/>
  <c r="J139" i="145"/>
  <c r="E148" i="145"/>
  <c r="A163" i="145"/>
  <c r="H183" i="145"/>
  <c r="I4" i="145"/>
  <c r="K11" i="145"/>
  <c r="G18" i="145"/>
  <c r="O24" i="145"/>
  <c r="K31" i="145"/>
  <c r="I38" i="145"/>
  <c r="Q44" i="145"/>
  <c r="M51" i="145"/>
  <c r="K58" i="145"/>
  <c r="Q64" i="145"/>
  <c r="O71" i="145"/>
  <c r="K78" i="145"/>
  <c r="B85" i="145"/>
  <c r="O91" i="145"/>
  <c r="M98" i="145"/>
  <c r="J105" i="145"/>
  <c r="J114" i="145"/>
  <c r="N123" i="145"/>
  <c r="E132" i="145"/>
  <c r="G141" i="145"/>
  <c r="G150" i="145"/>
  <c r="D168" i="145"/>
  <c r="H188" i="145"/>
  <c r="A5" i="145"/>
  <c r="L11" i="145"/>
  <c r="H18" i="145"/>
  <c r="F25" i="145"/>
  <c r="N31" i="145"/>
  <c r="J38" i="145"/>
  <c r="H45" i="145"/>
  <c r="N51" i="145"/>
  <c r="L58" i="145"/>
  <c r="H65" i="145"/>
  <c r="P71" i="145"/>
  <c r="L78" i="145"/>
  <c r="J85" i="145"/>
  <c r="A92" i="145"/>
  <c r="N98" i="145"/>
  <c r="C106" i="145"/>
  <c r="K114" i="145"/>
  <c r="O123" i="145"/>
  <c r="O132" i="145"/>
  <c r="H141" i="145"/>
  <c r="H150" i="145"/>
  <c r="E168" i="145"/>
  <c r="I188" i="145"/>
  <c r="H6" i="145"/>
  <c r="H13" i="145"/>
  <c r="N19" i="145"/>
  <c r="L26" i="145"/>
  <c r="H33" i="145"/>
  <c r="P39" i="145"/>
  <c r="L46" i="145"/>
  <c r="J53" i="145"/>
  <c r="A60" i="145"/>
  <c r="N66" i="145"/>
  <c r="L73" i="145"/>
  <c r="A80" i="145"/>
  <c r="P86" i="145"/>
  <c r="L93" i="145"/>
  <c r="C100" i="145"/>
  <c r="O107" i="145"/>
  <c r="Q116" i="145"/>
  <c r="L125" i="145"/>
  <c r="L134" i="145"/>
  <c r="N143" i="145"/>
  <c r="Q153" i="145"/>
  <c r="C173" i="145"/>
  <c r="H194" i="145"/>
  <c r="I6" i="145"/>
  <c r="I13" i="145"/>
  <c r="E20" i="145"/>
  <c r="M26" i="145"/>
  <c r="I33" i="145"/>
  <c r="G40" i="145"/>
  <c r="O46" i="145"/>
  <c r="K53" i="145"/>
  <c r="I60" i="145"/>
  <c r="O66" i="145"/>
  <c r="M73" i="145"/>
  <c r="I80" i="145"/>
  <c r="Q86" i="145"/>
  <c r="M93" i="145"/>
  <c r="K100" i="145"/>
  <c r="A108" i="145"/>
  <c r="A117" i="145"/>
  <c r="E126" i="145"/>
  <c r="M134" i="145"/>
  <c r="O143" i="145"/>
  <c r="A154" i="145"/>
  <c r="E173" i="145"/>
  <c r="Q200" i="145"/>
  <c r="I200" i="145"/>
  <c r="A200" i="145"/>
  <c r="J199" i="145"/>
  <c r="B199" i="145"/>
  <c r="K198" i="145"/>
  <c r="C198" i="145"/>
  <c r="L197" i="145"/>
  <c r="D197" i="145"/>
  <c r="M196" i="145"/>
  <c r="E196" i="145"/>
  <c r="N195" i="145"/>
  <c r="F195" i="145"/>
  <c r="O194" i="145"/>
  <c r="G194" i="145"/>
  <c r="P193" i="145"/>
  <c r="H193" i="145"/>
  <c r="Q192" i="145"/>
  <c r="I192" i="145"/>
  <c r="A192" i="145"/>
  <c r="J191" i="145"/>
  <c r="B191" i="145"/>
  <c r="K190" i="145"/>
  <c r="C190" i="145"/>
  <c r="L189" i="145"/>
  <c r="D189" i="145"/>
  <c r="M188" i="145"/>
  <c r="E188" i="145"/>
  <c r="N187" i="145"/>
  <c r="F187" i="145"/>
  <c r="O186" i="145"/>
  <c r="G186" i="145"/>
  <c r="P185" i="145"/>
  <c r="H185" i="145"/>
  <c r="Q184" i="145"/>
  <c r="I184" i="145"/>
  <c r="A184" i="145"/>
  <c r="J183" i="145"/>
  <c r="B183" i="145"/>
  <c r="K182" i="145"/>
  <c r="C182" i="145"/>
  <c r="L181" i="145"/>
  <c r="D181" i="145"/>
  <c r="M180" i="145"/>
  <c r="E180" i="145"/>
  <c r="N179" i="145"/>
  <c r="F179" i="145"/>
  <c r="O178" i="145"/>
  <c r="G178" i="145"/>
  <c r="P177" i="145"/>
  <c r="H177" i="145"/>
  <c r="Q176" i="145"/>
  <c r="I176" i="145"/>
  <c r="A176" i="145"/>
  <c r="J175" i="145"/>
  <c r="B175" i="145"/>
  <c r="K174" i="145"/>
  <c r="C174" i="145"/>
  <c r="L173" i="145"/>
  <c r="D173" i="145"/>
  <c r="M172" i="145"/>
  <c r="E172" i="145"/>
  <c r="N171" i="145"/>
  <c r="F171" i="145"/>
  <c r="O170" i="145"/>
  <c r="G170" i="145"/>
  <c r="P169" i="145"/>
  <c r="H169" i="145"/>
  <c r="Q168" i="145"/>
  <c r="I168" i="145"/>
  <c r="A168" i="145"/>
  <c r="J167" i="145"/>
  <c r="B167" i="145"/>
  <c r="K166" i="145"/>
  <c r="C166" i="145"/>
  <c r="L165" i="145"/>
  <c r="D165" i="145"/>
  <c r="M164" i="145"/>
  <c r="E164" i="145"/>
  <c r="N163" i="145"/>
  <c r="F163" i="145"/>
  <c r="O162" i="145"/>
  <c r="G162" i="145"/>
  <c r="P161" i="145"/>
  <c r="H161" i="145"/>
  <c r="P200" i="145"/>
  <c r="H200" i="145"/>
  <c r="Q199" i="145"/>
  <c r="I199" i="145"/>
  <c r="O200" i="145"/>
  <c r="G200" i="145"/>
  <c r="P199" i="145"/>
  <c r="H199" i="145"/>
  <c r="Q198" i="145"/>
  <c r="I198" i="145"/>
  <c r="A198" i="145"/>
  <c r="J197" i="145"/>
  <c r="B197" i="145"/>
  <c r="K196" i="145"/>
  <c r="C196" i="145"/>
  <c r="L195" i="145"/>
  <c r="D195" i="145"/>
  <c r="M194" i="145"/>
  <c r="E194" i="145"/>
  <c r="N193" i="145"/>
  <c r="F193" i="145"/>
  <c r="O192" i="145"/>
  <c r="G192" i="145"/>
  <c r="P191" i="145"/>
  <c r="H191" i="145"/>
  <c r="Q190" i="145"/>
  <c r="I190" i="145"/>
  <c r="A190" i="145"/>
  <c r="J189" i="145"/>
  <c r="B189" i="145"/>
  <c r="K188" i="145"/>
  <c r="C188" i="145"/>
  <c r="N200" i="145"/>
  <c r="C200" i="145"/>
  <c r="F199" i="145"/>
  <c r="M198" i="145"/>
  <c r="B198" i="145"/>
  <c r="H197" i="145"/>
  <c r="O196" i="145"/>
  <c r="D196" i="145"/>
  <c r="J195" i="145"/>
  <c r="Q194" i="145"/>
  <c r="F194" i="145"/>
  <c r="L193" i="145"/>
  <c r="B193" i="145"/>
  <c r="H192" i="145"/>
  <c r="N191" i="145"/>
  <c r="D191" i="145"/>
  <c r="J190" i="145"/>
  <c r="P189" i="145"/>
  <c r="F189" i="145"/>
  <c r="L188" i="145"/>
  <c r="A188" i="145"/>
  <c r="I187" i="145"/>
  <c r="Q186" i="145"/>
  <c r="H186" i="145"/>
  <c r="O185" i="145"/>
  <c r="F185" i="145"/>
  <c r="N184" i="145"/>
  <c r="E184" i="145"/>
  <c r="M183" i="145"/>
  <c r="D183" i="145"/>
  <c r="L182" i="145"/>
  <c r="B182" i="145"/>
  <c r="J181" i="145"/>
  <c r="A181" i="145"/>
  <c r="I180" i="145"/>
  <c r="Q179" i="145"/>
  <c r="H179" i="145"/>
  <c r="P178" i="145"/>
  <c r="F178" i="145"/>
  <c r="N177" i="145"/>
  <c r="E177" i="145"/>
  <c r="M176" i="145"/>
  <c r="D176" i="145"/>
  <c r="L175" i="145"/>
  <c r="C175" i="145"/>
  <c r="J174" i="145"/>
  <c r="A174" i="145"/>
  <c r="I173" i="145"/>
  <c r="Q172" i="145"/>
  <c r="H172" i="145"/>
  <c r="P171" i="145"/>
  <c r="G171" i="145"/>
  <c r="N170" i="145"/>
  <c r="E170" i="145"/>
  <c r="M169" i="145"/>
  <c r="D169" i="145"/>
  <c r="L168" i="145"/>
  <c r="C168" i="145"/>
  <c r="K167" i="145"/>
  <c r="A167" i="145"/>
  <c r="I166" i="145"/>
  <c r="Q165" i="145"/>
  <c r="H165" i="145"/>
  <c r="P164" i="145"/>
  <c r="G164" i="145"/>
  <c r="O163" i="145"/>
  <c r="E163" i="145"/>
  <c r="M162" i="145"/>
  <c r="D162" i="145"/>
  <c r="L161" i="145"/>
  <c r="C161" i="145"/>
  <c r="L160" i="145"/>
  <c r="D160" i="145"/>
  <c r="M159" i="145"/>
  <c r="E159" i="145"/>
  <c r="N158" i="145"/>
  <c r="F158" i="145"/>
  <c r="O157" i="145"/>
  <c r="G157" i="145"/>
  <c r="P156" i="145"/>
  <c r="H156" i="145"/>
  <c r="Q155" i="145"/>
  <c r="I155" i="145"/>
  <c r="A155" i="145"/>
  <c r="J154" i="145"/>
  <c r="B154" i="145"/>
  <c r="K153" i="145"/>
  <c r="M200" i="145"/>
  <c r="B200" i="145"/>
  <c r="E199" i="145"/>
  <c r="L198" i="145"/>
  <c r="Q197" i="145"/>
  <c r="G197" i="145"/>
  <c r="N196" i="145"/>
  <c r="B196" i="145"/>
  <c r="I195" i="145"/>
  <c r="P194" i="145"/>
  <c r="D194" i="145"/>
  <c r="K193" i="145"/>
  <c r="A193" i="145"/>
  <c r="F192" i="145"/>
  <c r="M191" i="145"/>
  <c r="C191" i="145"/>
  <c r="H190" i="145"/>
  <c r="O189" i="145"/>
  <c r="E189" i="145"/>
  <c r="J188" i="145"/>
  <c r="Q187" i="145"/>
  <c r="H187" i="145"/>
  <c r="P186" i="145"/>
  <c r="F186" i="145"/>
  <c r="N185" i="145"/>
  <c r="E185" i="145"/>
  <c r="M184" i="145"/>
  <c r="D184" i="145"/>
  <c r="L183" i="145"/>
  <c r="C183" i="145"/>
  <c r="J182" i="145"/>
  <c r="A182" i="145"/>
  <c r="I181" i="145"/>
  <c r="Q180" i="145"/>
  <c r="H180" i="145"/>
  <c r="P179" i="145"/>
  <c r="G179" i="145"/>
  <c r="N178" i="145"/>
  <c r="E178" i="145"/>
  <c r="M177" i="145"/>
  <c r="D177" i="145"/>
  <c r="L176" i="145"/>
  <c r="C176" i="145"/>
  <c r="K175" i="145"/>
  <c r="A175" i="145"/>
  <c r="I174" i="145"/>
  <c r="Q173" i="145"/>
  <c r="H173" i="145"/>
  <c r="P172" i="145"/>
  <c r="G172" i="145"/>
  <c r="O171" i="145"/>
  <c r="E171" i="145"/>
  <c r="M170" i="145"/>
  <c r="D170" i="145"/>
  <c r="L169" i="145"/>
  <c r="C169" i="145"/>
  <c r="K168" i="145"/>
  <c r="B168" i="145"/>
  <c r="I167" i="145"/>
  <c r="Q166" i="145"/>
  <c r="H166" i="145"/>
  <c r="P165" i="145"/>
  <c r="G165" i="145"/>
  <c r="O164" i="145"/>
  <c r="F164" i="145"/>
  <c r="M163" i="145"/>
  <c r="D163" i="145"/>
  <c r="L162" i="145"/>
  <c r="C162" i="145"/>
  <c r="K161" i="145"/>
  <c r="B161" i="145"/>
  <c r="K160" i="145"/>
  <c r="C160" i="145"/>
  <c r="L159" i="145"/>
  <c r="D159" i="145"/>
  <c r="M158" i="145"/>
  <c r="E158" i="145"/>
  <c r="N157" i="145"/>
  <c r="F157" i="145"/>
  <c r="O156" i="145"/>
  <c r="G156" i="145"/>
  <c r="P155" i="145"/>
  <c r="H155" i="145"/>
  <c r="Q154" i="145"/>
  <c r="I154" i="145"/>
  <c r="L200" i="145"/>
  <c r="M199" i="145"/>
  <c r="O198" i="145"/>
  <c r="P197" i="145"/>
  <c r="C197" i="145"/>
  <c r="G196" i="145"/>
  <c r="H195" i="145"/>
  <c r="K194" i="145"/>
  <c r="O193" i="145"/>
  <c r="P192" i="145"/>
  <c r="C192" i="145"/>
  <c r="F191" i="145"/>
  <c r="G190" i="145"/>
  <c r="K189" i="145"/>
  <c r="O188" i="145"/>
  <c r="P187" i="145"/>
  <c r="D187" i="145"/>
  <c r="J186" i="145"/>
  <c r="M185" i="145"/>
  <c r="B185" i="145"/>
  <c r="G184" i="145"/>
  <c r="K183" i="145"/>
  <c r="P182" i="145"/>
  <c r="E182" i="145"/>
  <c r="H181" i="145"/>
  <c r="N180" i="145"/>
  <c r="B180" i="145"/>
  <c r="E179" i="145"/>
  <c r="K178" i="145"/>
  <c r="Q177" i="145"/>
  <c r="C177" i="145"/>
  <c r="H176" i="145"/>
  <c r="N175" i="145"/>
  <c r="Q174" i="145"/>
  <c r="F174" i="145"/>
  <c r="K173" i="145"/>
  <c r="O172" i="145"/>
  <c r="C172" i="145"/>
  <c r="I171" i="145"/>
  <c r="L170" i="145"/>
  <c r="A170" i="145"/>
  <c r="F169" i="145"/>
  <c r="J168" i="145"/>
  <c r="O167" i="145"/>
  <c r="D167" i="145"/>
  <c r="G166" i="145"/>
  <c r="M165" i="145"/>
  <c r="A165" i="145"/>
  <c r="D164" i="145"/>
  <c r="J163" i="145"/>
  <c r="P162" i="145"/>
  <c r="B162" i="145"/>
  <c r="G161" i="145"/>
  <c r="N160" i="145"/>
  <c r="B160" i="145"/>
  <c r="I159" i="145"/>
  <c r="P158" i="145"/>
  <c r="D158" i="145"/>
  <c r="K157" i="145"/>
  <c r="A157" i="145"/>
  <c r="F156" i="145"/>
  <c r="M155" i="145"/>
  <c r="C155" i="145"/>
  <c r="H154" i="145"/>
  <c r="P153" i="145"/>
  <c r="G153" i="145"/>
  <c r="P152" i="145"/>
  <c r="H152" i="145"/>
  <c r="Q151" i="145"/>
  <c r="I151" i="145"/>
  <c r="A151" i="145"/>
  <c r="J150" i="145"/>
  <c r="B150" i="145"/>
  <c r="K149" i="145"/>
  <c r="C149" i="145"/>
  <c r="L148" i="145"/>
  <c r="D148" i="145"/>
  <c r="M147" i="145"/>
  <c r="E147" i="145"/>
  <c r="N146" i="145"/>
  <c r="F146" i="145"/>
  <c r="O145" i="145"/>
  <c r="G145" i="145"/>
  <c r="P144" i="145"/>
  <c r="H144" i="145"/>
  <c r="Q143" i="145"/>
  <c r="I143" i="145"/>
  <c r="A143" i="145"/>
  <c r="J142" i="145"/>
  <c r="B142" i="145"/>
  <c r="K141" i="145"/>
  <c r="C141" i="145"/>
  <c r="L140" i="145"/>
  <c r="D140" i="145"/>
  <c r="M139" i="145"/>
  <c r="E139" i="145"/>
  <c r="N138" i="145"/>
  <c r="F138" i="145"/>
  <c r="O137" i="145"/>
  <c r="G137" i="145"/>
  <c r="P136" i="145"/>
  <c r="H136" i="145"/>
  <c r="Q135" i="145"/>
  <c r="I135" i="145"/>
  <c r="A135" i="145"/>
  <c r="J134" i="145"/>
  <c r="B134" i="145"/>
  <c r="K133" i="145"/>
  <c r="C133" i="145"/>
  <c r="L132" i="145"/>
  <c r="D132" i="145"/>
  <c r="M131" i="145"/>
  <c r="E131" i="145"/>
  <c r="N130" i="145"/>
  <c r="F130" i="145"/>
  <c r="O129" i="145"/>
  <c r="G129" i="145"/>
  <c r="P128" i="145"/>
  <c r="H128" i="145"/>
  <c r="Q127" i="145"/>
  <c r="I127" i="145"/>
  <c r="A127" i="145"/>
  <c r="J126" i="145"/>
  <c r="B126" i="145"/>
  <c r="K125" i="145"/>
  <c r="C125" i="145"/>
  <c r="L124" i="145"/>
  <c r="D124" i="145"/>
  <c r="M123" i="145"/>
  <c r="E123" i="145"/>
  <c r="N122" i="145"/>
  <c r="F122" i="145"/>
  <c r="O121" i="145"/>
  <c r="G121" i="145"/>
  <c r="P120" i="145"/>
  <c r="H120" i="145"/>
  <c r="Q119" i="145"/>
  <c r="I119" i="145"/>
  <c r="A119" i="145"/>
  <c r="J118" i="145"/>
  <c r="B118" i="145"/>
  <c r="K117" i="145"/>
  <c r="C117" i="145"/>
  <c r="L116" i="145"/>
  <c r="D116" i="145"/>
  <c r="M115" i="145"/>
  <c r="E115" i="145"/>
  <c r="N114" i="145"/>
  <c r="F114" i="145"/>
  <c r="O113" i="145"/>
  <c r="G113" i="145"/>
  <c r="P112" i="145"/>
  <c r="H112" i="145"/>
  <c r="Q111" i="145"/>
  <c r="I111" i="145"/>
  <c r="A111" i="145"/>
  <c r="J110" i="145"/>
  <c r="B110" i="145"/>
  <c r="K109" i="145"/>
  <c r="C109" i="145"/>
  <c r="L108" i="145"/>
  <c r="D108" i="145"/>
  <c r="M107" i="145"/>
  <c r="E107" i="145"/>
  <c r="N106" i="145"/>
  <c r="F106" i="145"/>
  <c r="O105" i="145"/>
  <c r="G105" i="145"/>
  <c r="P104" i="145"/>
  <c r="H104" i="145"/>
  <c r="K200" i="145"/>
  <c r="L199" i="145"/>
  <c r="N198" i="145"/>
  <c r="O197" i="145"/>
  <c r="A197" i="145"/>
  <c r="F196" i="145"/>
  <c r="G195" i="145"/>
  <c r="J194" i="145"/>
  <c r="M193" i="145"/>
  <c r="N192" i="145"/>
  <c r="B192" i="145"/>
  <c r="E191" i="145"/>
  <c r="F190" i="145"/>
  <c r="I189" i="145"/>
  <c r="N188" i="145"/>
  <c r="O187" i="145"/>
  <c r="C187" i="145"/>
  <c r="I186" i="145"/>
  <c r="L185" i="145"/>
  <c r="A185" i="145"/>
  <c r="F184" i="145"/>
  <c r="I183" i="145"/>
  <c r="O182" i="145"/>
  <c r="D182" i="145"/>
  <c r="G181" i="145"/>
  <c r="L180" i="145"/>
  <c r="A180" i="145"/>
  <c r="D179" i="145"/>
  <c r="J178" i="145"/>
  <c r="O177" i="145"/>
  <c r="B177" i="145"/>
  <c r="G176" i="145"/>
  <c r="M175" i="145"/>
  <c r="P174" i="145"/>
  <c r="E174" i="145"/>
  <c r="J173" i="145"/>
  <c r="N172" i="145"/>
  <c r="B172" i="145"/>
  <c r="H171" i="145"/>
  <c r="K170" i="145"/>
  <c r="Q169" i="145"/>
  <c r="E169" i="145"/>
  <c r="H168" i="145"/>
  <c r="N167" i="145"/>
  <c r="C167" i="145"/>
  <c r="F166" i="145"/>
  <c r="K165" i="145"/>
  <c r="Q164" i="145"/>
  <c r="C164" i="145"/>
  <c r="I163" i="145"/>
  <c r="N162" i="145"/>
  <c r="A162" i="145"/>
  <c r="F161" i="145"/>
  <c r="M160" i="145"/>
  <c r="A160" i="145"/>
  <c r="H159" i="145"/>
  <c r="O158" i="145"/>
  <c r="C158" i="145"/>
  <c r="J157" i="145"/>
  <c r="Q156" i="145"/>
  <c r="E156" i="145"/>
  <c r="L155" i="145"/>
  <c r="B155" i="145"/>
  <c r="G154" i="145"/>
  <c r="O153" i="145"/>
  <c r="F153" i="145"/>
  <c r="O152" i="145"/>
  <c r="G152" i="145"/>
  <c r="P151" i="145"/>
  <c r="H151" i="145"/>
  <c r="Q150" i="145"/>
  <c r="I150" i="145"/>
  <c r="A150" i="145"/>
  <c r="J149" i="145"/>
  <c r="B149" i="145"/>
  <c r="K148" i="145"/>
  <c r="C148" i="145"/>
  <c r="L147" i="145"/>
  <c r="D147" i="145"/>
  <c r="M146" i="145"/>
  <c r="E146" i="145"/>
  <c r="N145" i="145"/>
  <c r="F145" i="145"/>
  <c r="O144" i="145"/>
  <c r="G144" i="145"/>
  <c r="P143" i="145"/>
  <c r="H143" i="145"/>
  <c r="Q142" i="145"/>
  <c r="I142" i="145"/>
  <c r="A142" i="145"/>
  <c r="J141" i="145"/>
  <c r="B141" i="145"/>
  <c r="K140" i="145"/>
  <c r="C140" i="145"/>
  <c r="L139" i="145"/>
  <c r="D139" i="145"/>
  <c r="M138" i="145"/>
  <c r="E138" i="145"/>
  <c r="N137" i="145"/>
  <c r="F137" i="145"/>
  <c r="O136" i="145"/>
  <c r="G136" i="145"/>
  <c r="P135" i="145"/>
  <c r="H135" i="145"/>
  <c r="Q134" i="145"/>
  <c r="I134" i="145"/>
  <c r="A134" i="145"/>
  <c r="J133" i="145"/>
  <c r="B133" i="145"/>
  <c r="K132" i="145"/>
  <c r="C132" i="145"/>
  <c r="L131" i="145"/>
  <c r="D131" i="145"/>
  <c r="M130" i="145"/>
  <c r="E130" i="145"/>
  <c r="N129" i="145"/>
  <c r="F129" i="145"/>
  <c r="O128" i="145"/>
  <c r="G128" i="145"/>
  <c r="P127" i="145"/>
  <c r="H127" i="145"/>
  <c r="Q126" i="145"/>
  <c r="I126" i="145"/>
  <c r="A126" i="145"/>
  <c r="J125" i="145"/>
  <c r="B125" i="145"/>
  <c r="K124" i="145"/>
  <c r="C124" i="145"/>
  <c r="L123" i="145"/>
  <c r="D123" i="145"/>
  <c r="M122" i="145"/>
  <c r="E122" i="145"/>
  <c r="N121" i="145"/>
  <c r="F121" i="145"/>
  <c r="O120" i="145"/>
  <c r="G120" i="145"/>
  <c r="P119" i="145"/>
  <c r="H119" i="145"/>
  <c r="Q118" i="145"/>
  <c r="I118" i="145"/>
  <c r="A118" i="145"/>
  <c r="J117" i="145"/>
  <c r="B117" i="145"/>
  <c r="K116" i="145"/>
  <c r="C116" i="145"/>
  <c r="L115" i="145"/>
  <c r="D115" i="145"/>
  <c r="M114" i="145"/>
  <c r="E114" i="145"/>
  <c r="N113" i="145"/>
  <c r="F113" i="145"/>
  <c r="O112" i="145"/>
  <c r="G112" i="145"/>
  <c r="P111" i="145"/>
  <c r="H111" i="145"/>
  <c r="Q110" i="145"/>
  <c r="I110" i="145"/>
  <c r="A110" i="145"/>
  <c r="J109" i="145"/>
  <c r="B109" i="145"/>
  <c r="K108" i="145"/>
  <c r="C108" i="145"/>
  <c r="L107" i="145"/>
  <c r="D107" i="145"/>
  <c r="M106" i="145"/>
  <c r="E106" i="145"/>
  <c r="N105" i="145"/>
  <c r="F105" i="145"/>
  <c r="O104" i="145"/>
  <c r="G104" i="145"/>
  <c r="J200" i="145"/>
  <c r="D199" i="145"/>
  <c r="E198" i="145"/>
  <c r="Q196" i="145"/>
  <c r="P195" i="145"/>
  <c r="N194" i="145"/>
  <c r="J193" i="145"/>
  <c r="K192" i="145"/>
  <c r="I191" i="145"/>
  <c r="E190" i="145"/>
  <c r="C189" i="145"/>
  <c r="D188" i="145"/>
  <c r="B187" i="145"/>
  <c r="C186" i="145"/>
  <c r="D185" i="145"/>
  <c r="C184" i="145"/>
  <c r="F183" i="145"/>
  <c r="G182" i="145"/>
  <c r="F181" i="145"/>
  <c r="G180" i="145"/>
  <c r="J179" i="145"/>
  <c r="I178" i="145"/>
  <c r="J177" i="145"/>
  <c r="K176" i="145"/>
  <c r="I175" i="145"/>
  <c r="M174" i="145"/>
  <c r="N173" i="145"/>
  <c r="L172" i="145"/>
  <c r="M171" i="145"/>
  <c r="Q170" i="145"/>
  <c r="O169" i="145"/>
  <c r="P168" i="145"/>
  <c r="Q167" i="145"/>
  <c r="P166" i="145"/>
  <c r="B166" i="145"/>
  <c r="C165" i="145"/>
  <c r="B164" i="145"/>
  <c r="C163" i="145"/>
  <c r="F162" i="145"/>
  <c r="E161" i="145"/>
  <c r="H160" i="145"/>
  <c r="K159" i="145"/>
  <c r="L158" i="145"/>
  <c r="Q157" i="145"/>
  <c r="C157" i="145"/>
  <c r="D156" i="145"/>
  <c r="G155" i="145"/>
  <c r="L154" i="145"/>
  <c r="N153" i="145"/>
  <c r="C153" i="145"/>
  <c r="J152" i="145"/>
  <c r="O151" i="145"/>
  <c r="E151" i="145"/>
  <c r="L150" i="145"/>
  <c r="Q149" i="145"/>
  <c r="G149" i="145"/>
  <c r="N148" i="145"/>
  <c r="B148" i="145"/>
  <c r="I147" i="145"/>
  <c r="P146" i="145"/>
  <c r="D146" i="145"/>
  <c r="K145" i="145"/>
  <c r="A145" i="145"/>
  <c r="F144" i="145"/>
  <c r="M143" i="145"/>
  <c r="C143" i="145"/>
  <c r="H142" i="145"/>
  <c r="O141" i="145"/>
  <c r="E141" i="145"/>
  <c r="J140" i="145"/>
  <c r="Q139" i="145"/>
  <c r="G139" i="145"/>
  <c r="L138" i="145"/>
  <c r="B138" i="145"/>
  <c r="I137" i="145"/>
  <c r="N136" i="145"/>
  <c r="D136" i="145"/>
  <c r="K135" i="145"/>
  <c r="P134" i="145"/>
  <c r="F134" i="145"/>
  <c r="M133" i="145"/>
  <c r="A133" i="145"/>
  <c r="H132" i="145"/>
  <c r="O131" i="145"/>
  <c r="C131" i="145"/>
  <c r="J130" i="145"/>
  <c r="Q129" i="145"/>
  <c r="E129" i="145"/>
  <c r="L128" i="145"/>
  <c r="B128" i="145"/>
  <c r="G127" i="145"/>
  <c r="N126" i="145"/>
  <c r="D126" i="145"/>
  <c r="I125" i="145"/>
  <c r="P124" i="145"/>
  <c r="F124" i="145"/>
  <c r="K123" i="145"/>
  <c r="A123" i="145"/>
  <c r="H122" i="145"/>
  <c r="M121" i="145"/>
  <c r="C121" i="145"/>
  <c r="J120" i="145"/>
  <c r="O119" i="145"/>
  <c r="E119" i="145"/>
  <c r="L118" i="145"/>
  <c r="Q117" i="145"/>
  <c r="G117" i="145"/>
  <c r="N116" i="145"/>
  <c r="B116" i="145"/>
  <c r="I115" i="145"/>
  <c r="P114" i="145"/>
  <c r="D114" i="145"/>
  <c r="K113" i="145"/>
  <c r="A113" i="145"/>
  <c r="F112" i="145"/>
  <c r="M111" i="145"/>
  <c r="C111" i="145"/>
  <c r="H110" i="145"/>
  <c r="O109" i="145"/>
  <c r="E109" i="145"/>
  <c r="J108" i="145"/>
  <c r="Q107" i="145"/>
  <c r="G107" i="145"/>
  <c r="L106" i="145"/>
  <c r="B106" i="145"/>
  <c r="I105" i="145"/>
  <c r="N104" i="145"/>
  <c r="D104" i="145"/>
  <c r="M103" i="145"/>
  <c r="E103" i="145"/>
  <c r="N102" i="145"/>
  <c r="F102" i="145"/>
  <c r="O101" i="145"/>
  <c r="G101" i="145"/>
  <c r="P100" i="145"/>
  <c r="H100" i="145"/>
  <c r="Q99" i="145"/>
  <c r="I99" i="145"/>
  <c r="A99" i="145"/>
  <c r="J98" i="145"/>
  <c r="B98" i="145"/>
  <c r="K97" i="145"/>
  <c r="C97" i="145"/>
  <c r="L96" i="145"/>
  <c r="D96" i="145"/>
  <c r="M95" i="145"/>
  <c r="E95" i="145"/>
  <c r="N94" i="145"/>
  <c r="F94" i="145"/>
  <c r="O93" i="145"/>
  <c r="G93" i="145"/>
  <c r="P92" i="145"/>
  <c r="H92" i="145"/>
  <c r="Q91" i="145"/>
  <c r="I91" i="145"/>
  <c r="A91" i="145"/>
  <c r="J90" i="145"/>
  <c r="B90" i="145"/>
  <c r="K89" i="145"/>
  <c r="C89" i="145"/>
  <c r="L88" i="145"/>
  <c r="D88" i="145"/>
  <c r="M87" i="145"/>
  <c r="E87" i="145"/>
  <c r="N86" i="145"/>
  <c r="F86" i="145"/>
  <c r="O85" i="145"/>
  <c r="G85" i="145"/>
  <c r="P84" i="145"/>
  <c r="H84" i="145"/>
  <c r="Q83" i="145"/>
  <c r="I83" i="145"/>
  <c r="A83" i="145"/>
  <c r="J82" i="145"/>
  <c r="B82" i="145"/>
  <c r="K81" i="145"/>
  <c r="C81" i="145"/>
  <c r="L80" i="145"/>
  <c r="D80" i="145"/>
  <c r="M79" i="145"/>
  <c r="E79" i="145"/>
  <c r="N78" i="145"/>
  <c r="F78" i="145"/>
  <c r="O77" i="145"/>
  <c r="G77" i="145"/>
  <c r="P76" i="145"/>
  <c r="H76" i="145"/>
  <c r="Q75" i="145"/>
  <c r="I75" i="145"/>
  <c r="A75" i="145"/>
  <c r="J74" i="145"/>
  <c r="B74" i="145"/>
  <c r="K73" i="145"/>
  <c r="C73" i="145"/>
  <c r="L72" i="145"/>
  <c r="D72" i="145"/>
  <c r="M71" i="145"/>
  <c r="E71" i="145"/>
  <c r="N70" i="145"/>
  <c r="F70" i="145"/>
  <c r="O69" i="145"/>
  <c r="G69" i="145"/>
  <c r="P68" i="145"/>
  <c r="H68" i="145"/>
  <c r="Q67" i="145"/>
  <c r="I67" i="145"/>
  <c r="A67" i="145"/>
  <c r="J66" i="145"/>
  <c r="B66" i="145"/>
  <c r="K65" i="145"/>
  <c r="C65" i="145"/>
  <c r="L64" i="145"/>
  <c r="D64" i="145"/>
  <c r="M63" i="145"/>
  <c r="E63" i="145"/>
  <c r="N62" i="145"/>
  <c r="F62" i="145"/>
  <c r="O61" i="145"/>
  <c r="G61" i="145"/>
  <c r="P60" i="145"/>
  <c r="H60" i="145"/>
  <c r="Q59" i="145"/>
  <c r="I59" i="145"/>
  <c r="A59" i="145"/>
  <c r="J58" i="145"/>
  <c r="B58" i="145"/>
  <c r="K57" i="145"/>
  <c r="C57" i="145"/>
  <c r="L56" i="145"/>
  <c r="D56" i="145"/>
  <c r="M55" i="145"/>
  <c r="E55" i="145"/>
  <c r="N54" i="145"/>
  <c r="F54" i="145"/>
  <c r="O53" i="145"/>
  <c r="G53" i="145"/>
  <c r="P52" i="145"/>
  <c r="H52" i="145"/>
  <c r="Q51" i="145"/>
  <c r="I51" i="145"/>
  <c r="A51" i="145"/>
  <c r="J50" i="145"/>
  <c r="B50" i="145"/>
  <c r="K49" i="145"/>
  <c r="C49" i="145"/>
  <c r="L48" i="145"/>
  <c r="D48" i="145"/>
  <c r="M47" i="145"/>
  <c r="E47" i="145"/>
  <c r="N46" i="145"/>
  <c r="F46" i="145"/>
  <c r="O45" i="145"/>
  <c r="G45" i="145"/>
  <c r="P44" i="145"/>
  <c r="H44" i="145"/>
  <c r="Q43" i="145"/>
  <c r="I43" i="145"/>
  <c r="A43" i="145"/>
  <c r="J42" i="145"/>
  <c r="B42" i="145"/>
  <c r="K41" i="145"/>
  <c r="C41" i="145"/>
  <c r="L40" i="145"/>
  <c r="D40" i="145"/>
  <c r="M39" i="145"/>
  <c r="E39" i="145"/>
  <c r="N38" i="145"/>
  <c r="F38" i="145"/>
  <c r="O37" i="145"/>
  <c r="G37" i="145"/>
  <c r="P36" i="145"/>
  <c r="H36" i="145"/>
  <c r="Q35" i="145"/>
  <c r="I35" i="145"/>
  <c r="A35" i="145"/>
  <c r="J34" i="145"/>
  <c r="B34" i="145"/>
  <c r="K33" i="145"/>
  <c r="C33" i="145"/>
  <c r="L32" i="145"/>
  <c r="D32" i="145"/>
  <c r="M31" i="145"/>
  <c r="E31" i="145"/>
  <c r="N30" i="145"/>
  <c r="F30" i="145"/>
  <c r="O29" i="145"/>
  <c r="G29" i="145"/>
  <c r="P28" i="145"/>
  <c r="H28" i="145"/>
  <c r="Q27" i="145"/>
  <c r="I27" i="145"/>
  <c r="A27" i="145"/>
  <c r="J26" i="145"/>
  <c r="B26" i="145"/>
  <c r="K25" i="145"/>
  <c r="C25" i="145"/>
  <c r="L24" i="145"/>
  <c r="D24" i="145"/>
  <c r="M23" i="145"/>
  <c r="E23" i="145"/>
  <c r="N22" i="145"/>
  <c r="F22" i="145"/>
  <c r="O21" i="145"/>
  <c r="G21" i="145"/>
  <c r="P20" i="145"/>
  <c r="H20" i="145"/>
  <c r="Q19" i="145"/>
  <c r="I19" i="145"/>
  <c r="A19" i="145"/>
  <c r="J18" i="145"/>
  <c r="B18" i="145"/>
  <c r="K17" i="145"/>
  <c r="C17" i="145"/>
  <c r="L16" i="145"/>
  <c r="D16" i="145"/>
  <c r="M15" i="145"/>
  <c r="E15" i="145"/>
  <c r="N14" i="145"/>
  <c r="F14" i="145"/>
  <c r="O13" i="145"/>
  <c r="G13" i="145"/>
  <c r="P12" i="145"/>
  <c r="H12" i="145"/>
  <c r="Q11" i="145"/>
  <c r="I11" i="145"/>
  <c r="A11" i="145"/>
  <c r="J10" i="145"/>
  <c r="B10" i="145"/>
  <c r="K9" i="145"/>
  <c r="C9" i="145"/>
  <c r="L8" i="145"/>
  <c r="D8" i="145"/>
  <c r="M7" i="145"/>
  <c r="D7" i="145"/>
  <c r="M6" i="145"/>
  <c r="D6" i="145"/>
  <c r="M5" i="145"/>
  <c r="D5" i="145"/>
  <c r="M4" i="145"/>
  <c r="D4" i="145"/>
  <c r="L3" i="145"/>
  <c r="F200" i="145"/>
  <c r="C199" i="145"/>
  <c r="D198" i="145"/>
  <c r="P196" i="145"/>
  <c r="O195" i="145"/>
  <c r="L194" i="145"/>
  <c r="I193" i="145"/>
  <c r="J192" i="145"/>
  <c r="G191" i="145"/>
  <c r="D190" i="145"/>
  <c r="A189" i="145"/>
  <c r="B188" i="145"/>
  <c r="A187" i="145"/>
  <c r="B186" i="145"/>
  <c r="C185" i="145"/>
  <c r="B184" i="145"/>
  <c r="E183" i="145"/>
  <c r="F182" i="145"/>
  <c r="E181" i="145"/>
  <c r="F180" i="145"/>
  <c r="I179" i="145"/>
  <c r="H178" i="145"/>
  <c r="I177" i="145"/>
  <c r="J176" i="145"/>
  <c r="H175" i="145"/>
  <c r="L174" i="145"/>
  <c r="M173" i="145"/>
  <c r="K172" i="145"/>
  <c r="L171" i="145"/>
  <c r="P170" i="145"/>
  <c r="N169" i="145"/>
  <c r="O168" i="145"/>
  <c r="P167" i="145"/>
  <c r="O166" i="145"/>
  <c r="A166" i="145"/>
  <c r="B165" i="145"/>
  <c r="A164" i="145"/>
  <c r="B163" i="145"/>
  <c r="E162" i="145"/>
  <c r="D161" i="145"/>
  <c r="G160" i="145"/>
  <c r="J159" i="145"/>
  <c r="K158" i="145"/>
  <c r="P157" i="145"/>
  <c r="B157" i="145"/>
  <c r="C156" i="145"/>
  <c r="F155" i="145"/>
  <c r="K154" i="145"/>
  <c r="M153" i="145"/>
  <c r="B153" i="145"/>
  <c r="I152" i="145"/>
  <c r="N151" i="145"/>
  <c r="D151" i="145"/>
  <c r="K150" i="145"/>
  <c r="P149" i="145"/>
  <c r="F149" i="145"/>
  <c r="M148" i="145"/>
  <c r="A148" i="145"/>
  <c r="H147" i="145"/>
  <c r="O146" i="145"/>
  <c r="C146" i="145"/>
  <c r="J145" i="145"/>
  <c r="Q144" i="145"/>
  <c r="E144" i="145"/>
  <c r="L143" i="145"/>
  <c r="B143" i="145"/>
  <c r="G142" i="145"/>
  <c r="N141" i="145"/>
  <c r="D141" i="145"/>
  <c r="I140" i="145"/>
  <c r="P139" i="145"/>
  <c r="F139" i="145"/>
  <c r="K138" i="145"/>
  <c r="A138" i="145"/>
  <c r="H137" i="145"/>
  <c r="M136" i="145"/>
  <c r="C136" i="145"/>
  <c r="J135" i="145"/>
  <c r="O134" i="145"/>
  <c r="E134" i="145"/>
  <c r="L133" i="145"/>
  <c r="Q132" i="145"/>
  <c r="G132" i="145"/>
  <c r="N131" i="145"/>
  <c r="B131" i="145"/>
  <c r="I130" i="145"/>
  <c r="P129" i="145"/>
  <c r="D129" i="145"/>
  <c r="K128" i="145"/>
  <c r="A128" i="145"/>
  <c r="F127" i="145"/>
  <c r="M126" i="145"/>
  <c r="C126" i="145"/>
  <c r="H125" i="145"/>
  <c r="O124" i="145"/>
  <c r="E124" i="145"/>
  <c r="J123" i="145"/>
  <c r="Q122" i="145"/>
  <c r="G122" i="145"/>
  <c r="L121" i="145"/>
  <c r="B121" i="145"/>
  <c r="I120" i="145"/>
  <c r="N119" i="145"/>
  <c r="D119" i="145"/>
  <c r="K118" i="145"/>
  <c r="P117" i="145"/>
  <c r="F117" i="145"/>
  <c r="M116" i="145"/>
  <c r="A116" i="145"/>
  <c r="H115" i="145"/>
  <c r="O114" i="145"/>
  <c r="C114" i="145"/>
  <c r="J113" i="145"/>
  <c r="Q112" i="145"/>
  <c r="E112" i="145"/>
  <c r="L111" i="145"/>
  <c r="B111" i="145"/>
  <c r="G110" i="145"/>
  <c r="N109" i="145"/>
  <c r="D109" i="145"/>
  <c r="I108" i="145"/>
  <c r="P107" i="145"/>
  <c r="F107" i="145"/>
  <c r="K106" i="145"/>
  <c r="A106" i="145"/>
  <c r="H105" i="145"/>
  <c r="M104" i="145"/>
  <c r="C104" i="145"/>
  <c r="L103" i="145"/>
  <c r="D103" i="145"/>
  <c r="M102" i="145"/>
  <c r="E102" i="145"/>
  <c r="N101" i="145"/>
  <c r="F101" i="145"/>
  <c r="O100" i="145"/>
  <c r="G100" i="145"/>
  <c r="P99" i="145"/>
  <c r="H99" i="145"/>
  <c r="Q98" i="145"/>
  <c r="I98" i="145"/>
  <c r="A98" i="145"/>
  <c r="J97" i="145"/>
  <c r="B97" i="145"/>
  <c r="K96" i="145"/>
  <c r="C96" i="145"/>
  <c r="L95" i="145"/>
  <c r="D95" i="145"/>
  <c r="M94" i="145"/>
  <c r="E94" i="145"/>
  <c r="N93" i="145"/>
  <c r="F93" i="145"/>
  <c r="O92" i="145"/>
  <c r="G92" i="145"/>
  <c r="P91" i="145"/>
  <c r="H91" i="145"/>
  <c r="Q90" i="145"/>
  <c r="I90" i="145"/>
  <c r="A90" i="145"/>
  <c r="J89" i="145"/>
  <c r="B89" i="145"/>
  <c r="K88" i="145"/>
  <c r="C88" i="145"/>
  <c r="L87" i="145"/>
  <c r="D87" i="145"/>
  <c r="M86" i="145"/>
  <c r="E86" i="145"/>
  <c r="N85" i="145"/>
  <c r="F85" i="145"/>
  <c r="O84" i="145"/>
  <c r="G84" i="145"/>
  <c r="P83" i="145"/>
  <c r="H83" i="145"/>
  <c r="Q82" i="145"/>
  <c r="I82" i="145"/>
  <c r="A82" i="145"/>
  <c r="J81" i="145"/>
  <c r="B81" i="145"/>
  <c r="K80" i="145"/>
  <c r="C80" i="145"/>
  <c r="L79" i="145"/>
  <c r="D79" i="145"/>
  <c r="M78" i="145"/>
  <c r="E78" i="145"/>
  <c r="N77" i="145"/>
  <c r="F77" i="145"/>
  <c r="O76" i="145"/>
  <c r="G76" i="145"/>
  <c r="P75" i="145"/>
  <c r="H75" i="145"/>
  <c r="Q74" i="145"/>
  <c r="I74" i="145"/>
  <c r="A74" i="145"/>
  <c r="J73" i="145"/>
  <c r="B73" i="145"/>
  <c r="K72" i="145"/>
  <c r="C72" i="145"/>
  <c r="L71" i="145"/>
  <c r="D71" i="145"/>
  <c r="M70" i="145"/>
  <c r="E70" i="145"/>
  <c r="N69" i="145"/>
  <c r="F69" i="145"/>
  <c r="O68" i="145"/>
  <c r="G68" i="145"/>
  <c r="P67" i="145"/>
  <c r="H67" i="145"/>
  <c r="Q66" i="145"/>
  <c r="I66" i="145"/>
  <c r="A66" i="145"/>
  <c r="J65" i="145"/>
  <c r="B65" i="145"/>
  <c r="K64" i="145"/>
  <c r="C64" i="145"/>
  <c r="L63" i="145"/>
  <c r="D63" i="145"/>
  <c r="M62" i="145"/>
  <c r="E62" i="145"/>
  <c r="N61" i="145"/>
  <c r="F61" i="145"/>
  <c r="O60" i="145"/>
  <c r="G60" i="145"/>
  <c r="P59" i="145"/>
  <c r="H59" i="145"/>
  <c r="Q58" i="145"/>
  <c r="I58" i="145"/>
  <c r="A58" i="145"/>
  <c r="J57" i="145"/>
  <c r="B57" i="145"/>
  <c r="K56" i="145"/>
  <c r="C56" i="145"/>
  <c r="L55" i="145"/>
  <c r="D55" i="145"/>
  <c r="M54" i="145"/>
  <c r="E54" i="145"/>
  <c r="N53" i="145"/>
  <c r="F53" i="145"/>
  <c r="O52" i="145"/>
  <c r="G52" i="145"/>
  <c r="P51" i="145"/>
  <c r="H51" i="145"/>
  <c r="Q50" i="145"/>
  <c r="I50" i="145"/>
  <c r="A50" i="145"/>
  <c r="J49" i="145"/>
  <c r="B49" i="145"/>
  <c r="K48" i="145"/>
  <c r="C48" i="145"/>
  <c r="L47" i="145"/>
  <c r="D47" i="145"/>
  <c r="M46" i="145"/>
  <c r="E46" i="145"/>
  <c r="N45" i="145"/>
  <c r="F45" i="145"/>
  <c r="O44" i="145"/>
  <c r="G44" i="145"/>
  <c r="P43" i="145"/>
  <c r="H43" i="145"/>
  <c r="Q42" i="145"/>
  <c r="I42" i="145"/>
  <c r="A42" i="145"/>
  <c r="J41" i="145"/>
  <c r="B41" i="145"/>
  <c r="K40" i="145"/>
  <c r="C40" i="145"/>
  <c r="L39" i="145"/>
  <c r="D39" i="145"/>
  <c r="M38" i="145"/>
  <c r="E38" i="145"/>
  <c r="N37" i="145"/>
  <c r="F37" i="145"/>
  <c r="O36" i="145"/>
  <c r="G36" i="145"/>
  <c r="P35" i="145"/>
  <c r="H35" i="145"/>
  <c r="Q34" i="145"/>
  <c r="I34" i="145"/>
  <c r="A34" i="145"/>
  <c r="J33" i="145"/>
  <c r="B33" i="145"/>
  <c r="K32" i="145"/>
  <c r="C32" i="145"/>
  <c r="L31" i="145"/>
  <c r="D31" i="145"/>
  <c r="M30" i="145"/>
  <c r="E30" i="145"/>
  <c r="N29" i="145"/>
  <c r="F29" i="145"/>
  <c r="O28" i="145"/>
  <c r="G28" i="145"/>
  <c r="P27" i="145"/>
  <c r="H27" i="145"/>
  <c r="Q26" i="145"/>
  <c r="I26" i="145"/>
  <c r="A26" i="145"/>
  <c r="J25" i="145"/>
  <c r="B25" i="145"/>
  <c r="K24" i="145"/>
  <c r="C24" i="145"/>
  <c r="L23" i="145"/>
  <c r="D23" i="145"/>
  <c r="M22" i="145"/>
  <c r="E22" i="145"/>
  <c r="N21" i="145"/>
  <c r="F21" i="145"/>
  <c r="O20" i="145"/>
  <c r="G20" i="145"/>
  <c r="P19" i="145"/>
  <c r="H19" i="145"/>
  <c r="Q18" i="145"/>
  <c r="I18" i="145"/>
  <c r="A18" i="145"/>
  <c r="J17" i="145"/>
  <c r="B17" i="145"/>
  <c r="K16" i="145"/>
  <c r="C16" i="145"/>
  <c r="L15" i="145"/>
  <c r="D15" i="145"/>
  <c r="M14" i="145"/>
  <c r="E14" i="145"/>
  <c r="N13" i="145"/>
  <c r="F13" i="145"/>
  <c r="O12" i="145"/>
  <c r="G12" i="145"/>
  <c r="P11" i="145"/>
  <c r="H11" i="145"/>
  <c r="Q10" i="145"/>
  <c r="I10" i="145"/>
  <c r="A10" i="145"/>
  <c r="J9" i="145"/>
  <c r="B9" i="145"/>
  <c r="K8" i="145"/>
  <c r="C8" i="145"/>
  <c r="L7" i="145"/>
  <c r="C7" i="145"/>
  <c r="L6" i="145"/>
  <c r="C6" i="145"/>
  <c r="L5" i="145"/>
  <c r="C5" i="145"/>
  <c r="L4" i="145"/>
  <c r="C4" i="145"/>
  <c r="J3" i="145"/>
  <c r="E200" i="145"/>
  <c r="J198" i="145"/>
  <c r="F197" i="145"/>
  <c r="M195" i="145"/>
  <c r="C194" i="145"/>
  <c r="M192" i="145"/>
  <c r="A191" i="145"/>
  <c r="N189" i="145"/>
  <c r="G188" i="145"/>
  <c r="N186" i="145"/>
  <c r="K185" i="145"/>
  <c r="J184" i="145"/>
  <c r="A183" i="145"/>
  <c r="O181" i="145"/>
  <c r="K180" i="145"/>
  <c r="C179" i="145"/>
  <c r="B178" i="145"/>
  <c r="O176" i="145"/>
  <c r="G175" i="145"/>
  <c r="D174" i="145"/>
  <c r="B173" i="145"/>
  <c r="K171" i="145"/>
  <c r="H170" i="145"/>
  <c r="B169" i="145"/>
  <c r="M167" i="145"/>
  <c r="L166" i="145"/>
  <c r="F165" i="145"/>
  <c r="Q163" i="145"/>
  <c r="K162" i="145"/>
  <c r="J161" i="145"/>
  <c r="F160" i="145"/>
  <c r="C159" i="145"/>
  <c r="B158" i="145"/>
  <c r="N156" i="145"/>
  <c r="O155" i="145"/>
  <c r="N154" i="145"/>
  <c r="L153" i="145"/>
  <c r="N152" i="145"/>
  <c r="B152" i="145"/>
  <c r="C151" i="145"/>
  <c r="F150" i="145"/>
  <c r="I149" i="145"/>
  <c r="J148" i="145"/>
  <c r="O147" i="145"/>
  <c r="A147" i="145"/>
  <c r="B146" i="145"/>
  <c r="E145" i="145"/>
  <c r="J144" i="145"/>
  <c r="K143" i="145"/>
  <c r="N142" i="145"/>
  <c r="Q141" i="145"/>
  <c r="A141" i="145"/>
  <c r="F140" i="145"/>
  <c r="I139" i="145"/>
  <c r="J138" i="145"/>
  <c r="M137" i="145"/>
  <c r="A137" i="145"/>
  <c r="B136" i="145"/>
  <c r="E135" i="145"/>
  <c r="H134" i="145"/>
  <c r="I133" i="145"/>
  <c r="N132" i="145"/>
  <c r="Q131" i="145"/>
  <c r="A131" i="145"/>
  <c r="D130" i="145"/>
  <c r="I129" i="145"/>
  <c r="J128" i="145"/>
  <c r="M127" i="145"/>
  <c r="P126" i="145"/>
  <c r="Q125" i="145"/>
  <c r="E125" i="145"/>
  <c r="H124" i="145"/>
  <c r="I123" i="145"/>
  <c r="L122" i="145"/>
  <c r="Q121" i="145"/>
  <c r="A121" i="145"/>
  <c r="D120" i="145"/>
  <c r="G119" i="145"/>
  <c r="H118" i="145"/>
  <c r="M117" i="145"/>
  <c r="P116" i="145"/>
  <c r="Q115" i="145"/>
  <c r="C115" i="145"/>
  <c r="H114" i="145"/>
  <c r="I113" i="145"/>
  <c r="L112" i="145"/>
  <c r="O111" i="145"/>
  <c r="P110" i="145"/>
  <c r="D110" i="145"/>
  <c r="G109" i="145"/>
  <c r="H108" i="145"/>
  <c r="K107" i="145"/>
  <c r="P106" i="145"/>
  <c r="Q105" i="145"/>
  <c r="C105" i="145"/>
  <c r="F104" i="145"/>
  <c r="K103" i="145"/>
  <c r="A103" i="145"/>
  <c r="H102" i="145"/>
  <c r="M101" i="145"/>
  <c r="C101" i="145"/>
  <c r="J100" i="145"/>
  <c r="O99" i="145"/>
  <c r="E99" i="145"/>
  <c r="L98" i="145"/>
  <c r="Q97" i="145"/>
  <c r="G97" i="145"/>
  <c r="N96" i="145"/>
  <c r="B96" i="145"/>
  <c r="I95" i="145"/>
  <c r="P94" i="145"/>
  <c r="D94" i="145"/>
  <c r="K93" i="145"/>
  <c r="A93" i="145"/>
  <c r="F92" i="145"/>
  <c r="M91" i="145"/>
  <c r="C91" i="145"/>
  <c r="H90" i="145"/>
  <c r="O89" i="145"/>
  <c r="E89" i="145"/>
  <c r="J88" i="145"/>
  <c r="Q87" i="145"/>
  <c r="G87" i="145"/>
  <c r="L86" i="145"/>
  <c r="B86" i="145"/>
  <c r="I85" i="145"/>
  <c r="N84" i="145"/>
  <c r="D84" i="145"/>
  <c r="K83" i="145"/>
  <c r="P82" i="145"/>
  <c r="F82" i="145"/>
  <c r="M81" i="145"/>
  <c r="A81" i="145"/>
  <c r="H80" i="145"/>
  <c r="O79" i="145"/>
  <c r="C79" i="145"/>
  <c r="J78" i="145"/>
  <c r="Q77" i="145"/>
  <c r="E77" i="145"/>
  <c r="L76" i="145"/>
  <c r="B76" i="145"/>
  <c r="G75" i="145"/>
  <c r="N74" i="145"/>
  <c r="D74" i="145"/>
  <c r="I73" i="145"/>
  <c r="P72" i="145"/>
  <c r="F72" i="145"/>
  <c r="K71" i="145"/>
  <c r="A71" i="145"/>
  <c r="H70" i="145"/>
  <c r="M69" i="145"/>
  <c r="C69" i="145"/>
  <c r="J68" i="145"/>
  <c r="O67" i="145"/>
  <c r="E67" i="145"/>
  <c r="L66" i="145"/>
  <c r="Q65" i="145"/>
  <c r="G65" i="145"/>
  <c r="N64" i="145"/>
  <c r="B64" i="145"/>
  <c r="I63" i="145"/>
  <c r="P62" i="145"/>
  <c r="D62" i="145"/>
  <c r="K61" i="145"/>
  <c r="A61" i="145"/>
  <c r="F60" i="145"/>
  <c r="M59" i="145"/>
  <c r="C59" i="145"/>
  <c r="H58" i="145"/>
  <c r="O57" i="145"/>
  <c r="E57" i="145"/>
  <c r="J56" i="145"/>
  <c r="Q55" i="145"/>
  <c r="G55" i="145"/>
  <c r="L54" i="145"/>
  <c r="B54" i="145"/>
  <c r="I53" i="145"/>
  <c r="N52" i="145"/>
  <c r="D52" i="145"/>
  <c r="K51" i="145"/>
  <c r="P50" i="145"/>
  <c r="F50" i="145"/>
  <c r="M49" i="145"/>
  <c r="A49" i="145"/>
  <c r="H48" i="145"/>
  <c r="O47" i="145"/>
  <c r="C47" i="145"/>
  <c r="J46" i="145"/>
  <c r="Q45" i="145"/>
  <c r="E45" i="145"/>
  <c r="L44" i="145"/>
  <c r="B44" i="145"/>
  <c r="G43" i="145"/>
  <c r="N42" i="145"/>
  <c r="D42" i="145"/>
  <c r="I41" i="145"/>
  <c r="P40" i="145"/>
  <c r="F40" i="145"/>
  <c r="K39" i="145"/>
  <c r="A39" i="145"/>
  <c r="H38" i="145"/>
  <c r="M37" i="145"/>
  <c r="C37" i="145"/>
  <c r="J36" i="145"/>
  <c r="O35" i="145"/>
  <c r="E35" i="145"/>
  <c r="L34" i="145"/>
  <c r="Q33" i="145"/>
  <c r="G33" i="145"/>
  <c r="N32" i="145"/>
  <c r="B32" i="145"/>
  <c r="I31" i="145"/>
  <c r="P30" i="145"/>
  <c r="D30" i="145"/>
  <c r="K29" i="145"/>
  <c r="A29" i="145"/>
  <c r="F28" i="145"/>
  <c r="M27" i="145"/>
  <c r="C27" i="145"/>
  <c r="H26" i="145"/>
  <c r="O25" i="145"/>
  <c r="E25" i="145"/>
  <c r="J24" i="145"/>
  <c r="Q23" i="145"/>
  <c r="G23" i="145"/>
  <c r="L22" i="145"/>
  <c r="B22" i="145"/>
  <c r="I21" i="145"/>
  <c r="N20" i="145"/>
  <c r="D20" i="145"/>
  <c r="K19" i="145"/>
  <c r="P18" i="145"/>
  <c r="F18" i="145"/>
  <c r="M17" i="145"/>
  <c r="A17" i="145"/>
  <c r="H16" i="145"/>
  <c r="O15" i="145"/>
  <c r="C15" i="145"/>
  <c r="J14" i="145"/>
  <c r="Q13" i="145"/>
  <c r="E13" i="145"/>
  <c r="L12" i="145"/>
  <c r="B12" i="145"/>
  <c r="G11" i="145"/>
  <c r="N10" i="145"/>
  <c r="D10" i="145"/>
  <c r="I9" i="145"/>
  <c r="P8" i="145"/>
  <c r="F8" i="145"/>
  <c r="J7" i="145"/>
  <c r="Q6" i="145"/>
  <c r="F6" i="145"/>
  <c r="J5" i="145"/>
  <c r="Q4" i="145"/>
  <c r="F4" i="145"/>
  <c r="I3" i="145"/>
  <c r="G198" i="145"/>
  <c r="L196" i="145"/>
  <c r="A194" i="145"/>
  <c r="O190" i="145"/>
  <c r="M187" i="145"/>
  <c r="L186" i="145"/>
  <c r="Q183" i="145"/>
  <c r="M181" i="145"/>
  <c r="L177" i="145"/>
  <c r="P173" i="145"/>
  <c r="C170" i="145"/>
  <c r="E166" i="145"/>
  <c r="A161" i="145"/>
  <c r="K155" i="145"/>
  <c r="L152" i="145"/>
  <c r="P150" i="145"/>
  <c r="E149" i="145"/>
  <c r="H148" i="145"/>
  <c r="L146" i="145"/>
  <c r="Q145" i="145"/>
  <c r="C145" i="145"/>
  <c r="G143" i="145"/>
  <c r="M141" i="145"/>
  <c r="P140" i="145"/>
  <c r="C139" i="145"/>
  <c r="H138" i="145"/>
  <c r="L136" i="145"/>
  <c r="C135" i="145"/>
  <c r="G133" i="145"/>
  <c r="K131" i="145"/>
  <c r="C129" i="145"/>
  <c r="L126" i="145"/>
  <c r="B124" i="145"/>
  <c r="K121" i="145"/>
  <c r="B120" i="145"/>
  <c r="F118" i="145"/>
  <c r="O115" i="145"/>
  <c r="B114" i="145"/>
  <c r="J112" i="145"/>
  <c r="N110" i="145"/>
  <c r="A109" i="145"/>
  <c r="I107" i="145"/>
  <c r="M105" i="145"/>
  <c r="B104" i="145"/>
  <c r="P102" i="145"/>
  <c r="K101" i="145"/>
  <c r="F100" i="145"/>
  <c r="C99" i="145"/>
  <c r="H98" i="145"/>
  <c r="E97" i="145"/>
  <c r="Q95" i="145"/>
  <c r="L94" i="145"/>
  <c r="I93" i="145"/>
  <c r="D92" i="145"/>
  <c r="F90" i="145"/>
  <c r="A89" i="145"/>
  <c r="O87" i="145"/>
  <c r="J86" i="145"/>
  <c r="E85" i="145"/>
  <c r="B84" i="145"/>
  <c r="N82" i="145"/>
  <c r="P80" i="145"/>
  <c r="K79" i="145"/>
  <c r="H78" i="145"/>
  <c r="C77" i="145"/>
  <c r="E75" i="145"/>
  <c r="Q73" i="145"/>
  <c r="N72" i="145"/>
  <c r="I71" i="145"/>
  <c r="D70" i="145"/>
  <c r="A69" i="145"/>
  <c r="M67" i="145"/>
  <c r="O65" i="145"/>
  <c r="J64" i="145"/>
  <c r="G63" i="145"/>
  <c r="B62" i="145"/>
  <c r="N60" i="145"/>
  <c r="K59" i="145"/>
  <c r="F58" i="145"/>
  <c r="A57" i="145"/>
  <c r="C55" i="145"/>
  <c r="Q53" i="145"/>
  <c r="L52" i="145"/>
  <c r="G51" i="145"/>
  <c r="D50" i="145"/>
  <c r="F48" i="145"/>
  <c r="K47" i="145"/>
  <c r="H46" i="145"/>
  <c r="C45" i="145"/>
  <c r="O43" i="145"/>
  <c r="L42" i="145"/>
  <c r="Q41" i="145"/>
  <c r="N40" i="145"/>
  <c r="I39" i="145"/>
  <c r="D38" i="145"/>
  <c r="A37" i="145"/>
  <c r="M35" i="145"/>
  <c r="H34" i="145"/>
  <c r="E33" i="145"/>
  <c r="Q31" i="145"/>
  <c r="L30" i="145"/>
  <c r="I29" i="145"/>
  <c r="D28" i="145"/>
  <c r="P26" i="145"/>
  <c r="M25" i="145"/>
  <c r="A25" i="145"/>
  <c r="O23" i="145"/>
  <c r="C23" i="145"/>
  <c r="Q21" i="145"/>
  <c r="L20" i="145"/>
  <c r="G19" i="145"/>
  <c r="D18" i="145"/>
  <c r="I17" i="145"/>
  <c r="F16" i="145"/>
  <c r="A15" i="145"/>
  <c r="M13" i="145"/>
  <c r="J12" i="145"/>
  <c r="E11" i="145"/>
  <c r="L10" i="145"/>
  <c r="G9" i="145"/>
  <c r="N8" i="145"/>
  <c r="H7" i="145"/>
  <c r="B6" i="145"/>
  <c r="O4" i="145"/>
  <c r="D3" i="145"/>
  <c r="F198" i="145"/>
  <c r="J196" i="145"/>
  <c r="C195" i="145"/>
  <c r="Q193" i="145"/>
  <c r="D192" i="145"/>
  <c r="N190" i="145"/>
  <c r="L187" i="145"/>
  <c r="K186" i="145"/>
  <c r="P183" i="145"/>
  <c r="M182" i="145"/>
  <c r="C180" i="145"/>
  <c r="Q178" i="145"/>
  <c r="E176" i="145"/>
  <c r="O173" i="145"/>
  <c r="I172" i="145"/>
  <c r="B170" i="145"/>
  <c r="G167" i="145"/>
  <c r="L164" i="145"/>
  <c r="H162" i="145"/>
  <c r="Q160" i="145"/>
  <c r="Q158" i="145"/>
  <c r="L157" i="145"/>
  <c r="J155" i="145"/>
  <c r="E154" i="145"/>
  <c r="K152" i="145"/>
  <c r="C150" i="145"/>
  <c r="G148" i="145"/>
  <c r="K146" i="145"/>
  <c r="B145" i="145"/>
  <c r="F143" i="145"/>
  <c r="L141" i="145"/>
  <c r="A140" i="145"/>
  <c r="G138" i="145"/>
  <c r="K136" i="145"/>
  <c r="B135" i="145"/>
  <c r="C134" i="145"/>
  <c r="I132" i="145"/>
  <c r="O130" i="145"/>
  <c r="A130" i="145"/>
  <c r="E128" i="145"/>
  <c r="K126" i="145"/>
  <c r="Q124" i="145"/>
  <c r="F123" i="145"/>
  <c r="I122" i="145"/>
  <c r="M120" i="145"/>
  <c r="B119" i="145"/>
  <c r="H117" i="145"/>
  <c r="N115" i="145"/>
  <c r="A114" i="145"/>
  <c r="I112" i="145"/>
  <c r="M110" i="145"/>
  <c r="Q108" i="145"/>
  <c r="H107" i="145"/>
  <c r="L105" i="145"/>
  <c r="H103" i="145"/>
  <c r="J101" i="145"/>
  <c r="E100" i="145"/>
  <c r="L99" i="145"/>
  <c r="G98" i="145"/>
  <c r="I96" i="145"/>
  <c r="F95" i="145"/>
  <c r="A94" i="145"/>
  <c r="M92" i="145"/>
  <c r="J91" i="145"/>
  <c r="E90" i="145"/>
  <c r="Q88" i="145"/>
  <c r="N87" i="145"/>
  <c r="I86" i="145"/>
  <c r="D85" i="145"/>
  <c r="K84" i="145"/>
  <c r="F83" i="145"/>
  <c r="H81" i="145"/>
  <c r="E80" i="145"/>
  <c r="G78" i="145"/>
  <c r="I76" i="145"/>
  <c r="D75" i="145"/>
  <c r="K74" i="145"/>
  <c r="F73" i="145"/>
  <c r="M72" i="145"/>
  <c r="H71" i="145"/>
  <c r="C70" i="145"/>
  <c r="J69" i="145"/>
  <c r="E68" i="145"/>
  <c r="B67" i="145"/>
  <c r="N65" i="145"/>
  <c r="I64" i="145"/>
  <c r="P63" i="145"/>
  <c r="K62" i="145"/>
  <c r="H61" i="145"/>
  <c r="J59" i="145"/>
  <c r="O58" i="145"/>
  <c r="L57" i="145"/>
  <c r="G56" i="145"/>
  <c r="N55" i="145"/>
  <c r="I54" i="145"/>
  <c r="D53" i="145"/>
  <c r="A52" i="145"/>
  <c r="M50" i="145"/>
  <c r="H49" i="145"/>
  <c r="E48" i="145"/>
  <c r="Q46" i="145"/>
  <c r="L45" i="145"/>
  <c r="I44" i="145"/>
  <c r="D43" i="145"/>
  <c r="P41" i="145"/>
  <c r="M40" i="145"/>
  <c r="H39" i="145"/>
  <c r="J37" i="145"/>
  <c r="E36" i="145"/>
  <c r="B35" i="145"/>
  <c r="N33" i="145"/>
  <c r="I32" i="145"/>
  <c r="F31" i="145"/>
  <c r="A30" i="145"/>
  <c r="H29" i="145"/>
  <c r="J27" i="145"/>
  <c r="E26" i="145"/>
  <c r="Q24" i="145"/>
  <c r="N23" i="145"/>
  <c r="I22" i="145"/>
  <c r="K20" i="145"/>
  <c r="F19" i="145"/>
  <c r="C18" i="145"/>
  <c r="H17" i="145"/>
  <c r="E16" i="145"/>
  <c r="Q14" i="145"/>
  <c r="L13" i="145"/>
  <c r="I12" i="145"/>
  <c r="D11" i="145"/>
  <c r="P9" i="145"/>
  <c r="M8" i="145"/>
  <c r="A8" i="145"/>
  <c r="N6" i="145"/>
  <c r="G5" i="145"/>
  <c r="Q3" i="145"/>
  <c r="N197" i="145"/>
  <c r="I196" i="145"/>
  <c r="B195" i="145"/>
  <c r="G193" i="145"/>
  <c r="Q191" i="145"/>
  <c r="M190" i="145"/>
  <c r="Q188" i="145"/>
  <c r="K187" i="145"/>
  <c r="P184" i="145"/>
  <c r="O183" i="145"/>
  <c r="I182" i="145"/>
  <c r="O179" i="145"/>
  <c r="G177" i="145"/>
  <c r="O174" i="145"/>
  <c r="B171" i="145"/>
  <c r="G168" i="145"/>
  <c r="O165" i="145"/>
  <c r="K164" i="145"/>
  <c r="Q161" i="145"/>
  <c r="P160" i="145"/>
  <c r="J158" i="145"/>
  <c r="J156" i="145"/>
  <c r="D154" i="145"/>
  <c r="F152" i="145"/>
  <c r="O149" i="145"/>
  <c r="F148" i="145"/>
  <c r="J146" i="145"/>
  <c r="N144" i="145"/>
  <c r="E143" i="145"/>
  <c r="I141" i="145"/>
  <c r="O139" i="145"/>
  <c r="D138" i="145"/>
  <c r="J136" i="145"/>
  <c r="N134" i="145"/>
  <c r="I131" i="145"/>
  <c r="M129" i="145"/>
  <c r="A129" i="145"/>
  <c r="E127" i="145"/>
  <c r="M125" i="145"/>
  <c r="Q123" i="145"/>
  <c r="D122" i="145"/>
  <c r="L120" i="145"/>
  <c r="D118" i="145"/>
  <c r="K115" i="145"/>
  <c r="C113" i="145"/>
  <c r="G111" i="145"/>
  <c r="M109" i="145"/>
  <c r="B108" i="145"/>
  <c r="H106" i="145"/>
  <c r="L104" i="145"/>
  <c r="Q103" i="145"/>
  <c r="L102" i="145"/>
  <c r="B102" i="145"/>
  <c r="N100" i="145"/>
  <c r="K99" i="145"/>
  <c r="F98" i="145"/>
  <c r="H96" i="145"/>
  <c r="C95" i="145"/>
  <c r="Q93" i="145"/>
  <c r="L92" i="145"/>
  <c r="G91" i="145"/>
  <c r="N90" i="145"/>
  <c r="I89" i="145"/>
  <c r="F88" i="145"/>
  <c r="A87" i="145"/>
  <c r="M85" i="145"/>
  <c r="J84" i="145"/>
  <c r="L82" i="145"/>
  <c r="G81" i="145"/>
  <c r="B80" i="145"/>
  <c r="P78" i="145"/>
  <c r="D78" i="145"/>
  <c r="A77" i="145"/>
  <c r="M75" i="145"/>
  <c r="H74" i="145"/>
  <c r="E73" i="145"/>
  <c r="Q71" i="145"/>
  <c r="L70" i="145"/>
  <c r="I69" i="145"/>
  <c r="D68" i="145"/>
  <c r="K67" i="145"/>
  <c r="F66" i="145"/>
  <c r="A65" i="145"/>
  <c r="C63" i="145"/>
  <c r="Q61" i="145"/>
  <c r="L60" i="145"/>
  <c r="G59" i="145"/>
  <c r="I57" i="145"/>
  <c r="F56" i="145"/>
  <c r="A55" i="145"/>
  <c r="M53" i="145"/>
  <c r="J52" i="145"/>
  <c r="O51" i="145"/>
  <c r="L50" i="145"/>
  <c r="G49" i="145"/>
  <c r="B48" i="145"/>
  <c r="P46" i="145"/>
  <c r="K45" i="145"/>
  <c r="F44" i="145"/>
  <c r="C43" i="145"/>
  <c r="O41" i="145"/>
  <c r="E41" i="145"/>
  <c r="Q39" i="145"/>
  <c r="L38" i="145"/>
  <c r="B38" i="145"/>
  <c r="N36" i="145"/>
  <c r="K35" i="145"/>
  <c r="F34" i="145"/>
  <c r="H32" i="145"/>
  <c r="C31" i="145"/>
  <c r="Q29" i="145"/>
  <c r="L28" i="145"/>
  <c r="N26" i="145"/>
  <c r="I25" i="145"/>
  <c r="F24" i="145"/>
  <c r="H22" i="145"/>
  <c r="M21" i="145"/>
  <c r="J20" i="145"/>
  <c r="L18" i="145"/>
  <c r="G17" i="145"/>
  <c r="B16" i="145"/>
  <c r="P14" i="145"/>
  <c r="A13" i="145"/>
  <c r="M11" i="145"/>
  <c r="H10" i="145"/>
  <c r="E9" i="145"/>
  <c r="Q7" i="145"/>
  <c r="J6" i="145"/>
  <c r="Q5" i="145"/>
  <c r="J4" i="145"/>
  <c r="A3" i="145"/>
  <c r="G199" i="145"/>
  <c r="H196" i="145"/>
  <c r="A195" i="145"/>
  <c r="E193" i="145"/>
  <c r="O191" i="145"/>
  <c r="L190" i="145"/>
  <c r="P188" i="145"/>
  <c r="J187" i="145"/>
  <c r="D186" i="145"/>
  <c r="O184" i="145"/>
  <c r="N183" i="145"/>
  <c r="H182" i="145"/>
  <c r="B181" i="145"/>
  <c r="M179" i="145"/>
  <c r="L178" i="145"/>
  <c r="F177" i="145"/>
  <c r="Q175" i="145"/>
  <c r="N174" i="145"/>
  <c r="F173" i="145"/>
  <c r="D172" i="145"/>
  <c r="A171" i="145"/>
  <c r="J169" i="145"/>
  <c r="E167" i="145"/>
  <c r="N165" i="145"/>
  <c r="J164" i="145"/>
  <c r="G163" i="145"/>
  <c r="O161" i="145"/>
  <c r="O160" i="145"/>
  <c r="N159" i="145"/>
  <c r="I158" i="145"/>
  <c r="I156" i="145"/>
  <c r="D155" i="145"/>
  <c r="C154" i="145"/>
  <c r="E152" i="145"/>
  <c r="J151" i="145"/>
  <c r="D200" i="145"/>
  <c r="H198" i="145"/>
  <c r="E197" i="145"/>
  <c r="K195" i="145"/>
  <c r="B194" i="145"/>
  <c r="L192" i="145"/>
  <c r="P190" i="145"/>
  <c r="M189" i="145"/>
  <c r="F188" i="145"/>
  <c r="M186" i="145"/>
  <c r="J185" i="145"/>
  <c r="H184" i="145"/>
  <c r="Q182" i="145"/>
  <c r="N181" i="145"/>
  <c r="J180" i="145"/>
  <c r="B179" i="145"/>
  <c r="A178" i="145"/>
  <c r="N176" i="145"/>
  <c r="F175" i="145"/>
  <c r="B174" i="145"/>
  <c r="A173" i="145"/>
  <c r="J171" i="145"/>
  <c r="F170" i="145"/>
  <c r="A169" i="145"/>
  <c r="L167" i="145"/>
  <c r="J166" i="145"/>
  <c r="E165" i="145"/>
  <c r="P163" i="145"/>
  <c r="J162" i="145"/>
  <c r="I161" i="145"/>
  <c r="E160" i="145"/>
  <c r="B159" i="145"/>
  <c r="A158" i="145"/>
  <c r="M156" i="145"/>
  <c r="N155" i="145"/>
  <c r="M154" i="145"/>
  <c r="J153" i="145"/>
  <c r="M152" i="145"/>
  <c r="A152" i="145"/>
  <c r="B151" i="145"/>
  <c r="E150" i="145"/>
  <c r="H149" i="145"/>
  <c r="I148" i="145"/>
  <c r="N147" i="145"/>
  <c r="Q146" i="145"/>
  <c r="A146" i="145"/>
  <c r="D145" i="145"/>
  <c r="I144" i="145"/>
  <c r="J143" i="145"/>
  <c r="M142" i="145"/>
  <c r="P141" i="145"/>
  <c r="Q140" i="145"/>
  <c r="E140" i="145"/>
  <c r="H139" i="145"/>
  <c r="I138" i="145"/>
  <c r="L137" i="145"/>
  <c r="Q136" i="145"/>
  <c r="A136" i="145"/>
  <c r="D135" i="145"/>
  <c r="G134" i="145"/>
  <c r="H133" i="145"/>
  <c r="M132" i="145"/>
  <c r="P131" i="145"/>
  <c r="Q130" i="145"/>
  <c r="C130" i="145"/>
  <c r="H129" i="145"/>
  <c r="I128" i="145"/>
  <c r="L127" i="145"/>
  <c r="O126" i="145"/>
  <c r="P125" i="145"/>
  <c r="D125" i="145"/>
  <c r="G124" i="145"/>
  <c r="H123" i="145"/>
  <c r="K122" i="145"/>
  <c r="P121" i="145"/>
  <c r="Q120" i="145"/>
  <c r="C120" i="145"/>
  <c r="F119" i="145"/>
  <c r="G118" i="145"/>
  <c r="L117" i="145"/>
  <c r="O116" i="145"/>
  <c r="P115" i="145"/>
  <c r="B115" i="145"/>
  <c r="G114" i="145"/>
  <c r="H113" i="145"/>
  <c r="K112" i="145"/>
  <c r="N111" i="145"/>
  <c r="O110" i="145"/>
  <c r="C110" i="145"/>
  <c r="F109" i="145"/>
  <c r="G108" i="145"/>
  <c r="J107" i="145"/>
  <c r="O106" i="145"/>
  <c r="P105" i="145"/>
  <c r="B105" i="145"/>
  <c r="E104" i="145"/>
  <c r="J103" i="145"/>
  <c r="Q102" i="145"/>
  <c r="G102" i="145"/>
  <c r="L101" i="145"/>
  <c r="B101" i="145"/>
  <c r="I100" i="145"/>
  <c r="N99" i="145"/>
  <c r="D99" i="145"/>
  <c r="K98" i="145"/>
  <c r="P97" i="145"/>
  <c r="F97" i="145"/>
  <c r="M96" i="145"/>
  <c r="A96" i="145"/>
  <c r="H95" i="145"/>
  <c r="O94" i="145"/>
  <c r="C94" i="145"/>
  <c r="J93" i="145"/>
  <c r="Q92" i="145"/>
  <c r="E92" i="145"/>
  <c r="L91" i="145"/>
  <c r="B91" i="145"/>
  <c r="G90" i="145"/>
  <c r="N89" i="145"/>
  <c r="D89" i="145"/>
  <c r="I88" i="145"/>
  <c r="P87" i="145"/>
  <c r="F87" i="145"/>
  <c r="K86" i="145"/>
  <c r="A86" i="145"/>
  <c r="H85" i="145"/>
  <c r="M84" i="145"/>
  <c r="C84" i="145"/>
  <c r="J83" i="145"/>
  <c r="O82" i="145"/>
  <c r="E82" i="145"/>
  <c r="L81" i="145"/>
  <c r="Q80" i="145"/>
  <c r="G80" i="145"/>
  <c r="N79" i="145"/>
  <c r="B79" i="145"/>
  <c r="I78" i="145"/>
  <c r="P77" i="145"/>
  <c r="D77" i="145"/>
  <c r="K76" i="145"/>
  <c r="A76" i="145"/>
  <c r="F75" i="145"/>
  <c r="M74" i="145"/>
  <c r="C74" i="145"/>
  <c r="H73" i="145"/>
  <c r="O72" i="145"/>
  <c r="E72" i="145"/>
  <c r="J71" i="145"/>
  <c r="Q70" i="145"/>
  <c r="G70" i="145"/>
  <c r="L69" i="145"/>
  <c r="B69" i="145"/>
  <c r="I68" i="145"/>
  <c r="N67" i="145"/>
  <c r="D67" i="145"/>
  <c r="K66" i="145"/>
  <c r="P65" i="145"/>
  <c r="F65" i="145"/>
  <c r="M64" i="145"/>
  <c r="A64" i="145"/>
  <c r="H63" i="145"/>
  <c r="O62" i="145"/>
  <c r="C62" i="145"/>
  <c r="J61" i="145"/>
  <c r="Q60" i="145"/>
  <c r="E60" i="145"/>
  <c r="L59" i="145"/>
  <c r="B59" i="145"/>
  <c r="G58" i="145"/>
  <c r="N57" i="145"/>
  <c r="D57" i="145"/>
  <c r="I56" i="145"/>
  <c r="P55" i="145"/>
  <c r="F55" i="145"/>
  <c r="K54" i="145"/>
  <c r="A54" i="145"/>
  <c r="H53" i="145"/>
  <c r="M52" i="145"/>
  <c r="C52" i="145"/>
  <c r="J51" i="145"/>
  <c r="O50" i="145"/>
  <c r="E50" i="145"/>
  <c r="L49" i="145"/>
  <c r="Q48" i="145"/>
  <c r="G48" i="145"/>
  <c r="N47" i="145"/>
  <c r="B47" i="145"/>
  <c r="I46" i="145"/>
  <c r="P45" i="145"/>
  <c r="D45" i="145"/>
  <c r="K44" i="145"/>
  <c r="A44" i="145"/>
  <c r="F43" i="145"/>
  <c r="M42" i="145"/>
  <c r="C42" i="145"/>
  <c r="H41" i="145"/>
  <c r="O40" i="145"/>
  <c r="E40" i="145"/>
  <c r="J39" i="145"/>
  <c r="Q38" i="145"/>
  <c r="G38" i="145"/>
  <c r="L37" i="145"/>
  <c r="B37" i="145"/>
  <c r="I36" i="145"/>
  <c r="N35" i="145"/>
  <c r="D35" i="145"/>
  <c r="K34" i="145"/>
  <c r="P33" i="145"/>
  <c r="F33" i="145"/>
  <c r="M32" i="145"/>
  <c r="A32" i="145"/>
  <c r="H31" i="145"/>
  <c r="O30" i="145"/>
  <c r="C30" i="145"/>
  <c r="J29" i="145"/>
  <c r="Q28" i="145"/>
  <c r="E28" i="145"/>
  <c r="L27" i="145"/>
  <c r="B27" i="145"/>
  <c r="G26" i="145"/>
  <c r="N25" i="145"/>
  <c r="D25" i="145"/>
  <c r="I24" i="145"/>
  <c r="P23" i="145"/>
  <c r="F23" i="145"/>
  <c r="K22" i="145"/>
  <c r="A22" i="145"/>
  <c r="H21" i="145"/>
  <c r="M20" i="145"/>
  <c r="C20" i="145"/>
  <c r="J19" i="145"/>
  <c r="O18" i="145"/>
  <c r="E18" i="145"/>
  <c r="L17" i="145"/>
  <c r="Q16" i="145"/>
  <c r="G16" i="145"/>
  <c r="N15" i="145"/>
  <c r="B15" i="145"/>
  <c r="I14" i="145"/>
  <c r="P13" i="145"/>
  <c r="D13" i="145"/>
  <c r="K12" i="145"/>
  <c r="A12" i="145"/>
  <c r="F11" i="145"/>
  <c r="M10" i="145"/>
  <c r="C10" i="145"/>
  <c r="H9" i="145"/>
  <c r="O8" i="145"/>
  <c r="E8" i="145"/>
  <c r="I7" i="145"/>
  <c r="P6" i="145"/>
  <c r="E6" i="145"/>
  <c r="I5" i="145"/>
  <c r="P4" i="145"/>
  <c r="E4" i="145"/>
  <c r="H3" i="145"/>
  <c r="O199" i="145"/>
  <c r="E195" i="145"/>
  <c r="E192" i="145"/>
  <c r="H189" i="145"/>
  <c r="I185" i="145"/>
  <c r="N182" i="145"/>
  <c r="D180" i="145"/>
  <c r="A179" i="145"/>
  <c r="F176" i="145"/>
  <c r="E175" i="145"/>
  <c r="J172" i="145"/>
  <c r="D171" i="145"/>
  <c r="N168" i="145"/>
  <c r="H167" i="145"/>
  <c r="N164" i="145"/>
  <c r="L163" i="145"/>
  <c r="I162" i="145"/>
  <c r="Q159" i="145"/>
  <c r="A159" i="145"/>
  <c r="M157" i="145"/>
  <c r="L156" i="145"/>
  <c r="F154" i="145"/>
  <c r="I153" i="145"/>
  <c r="M151" i="145"/>
  <c r="D150" i="145"/>
  <c r="K147" i="145"/>
  <c r="D144" i="145"/>
  <c r="L142" i="145"/>
  <c r="B140" i="145"/>
  <c r="K137" i="145"/>
  <c r="O135" i="145"/>
  <c r="D134" i="145"/>
  <c r="J132" i="145"/>
  <c r="P130" i="145"/>
  <c r="B130" i="145"/>
  <c r="F128" i="145"/>
  <c r="K127" i="145"/>
  <c r="O125" i="145"/>
  <c r="A125" i="145"/>
  <c r="G123" i="145"/>
  <c r="J122" i="145"/>
  <c r="N120" i="145"/>
  <c r="C119" i="145"/>
  <c r="I117" i="145"/>
  <c r="J116" i="145"/>
  <c r="A115" i="145"/>
  <c r="E113" i="145"/>
  <c r="K111" i="145"/>
  <c r="Q109" i="145"/>
  <c r="F108" i="145"/>
  <c r="J106" i="145"/>
  <c r="A105" i="145"/>
  <c r="I103" i="145"/>
  <c r="D102" i="145"/>
  <c r="A101" i="145"/>
  <c r="M99" i="145"/>
  <c r="O97" i="145"/>
  <c r="J96" i="145"/>
  <c r="G95" i="145"/>
  <c r="B94" i="145"/>
  <c r="N92" i="145"/>
  <c r="K91" i="145"/>
  <c r="P90" i="145"/>
  <c r="M89" i="145"/>
  <c r="H88" i="145"/>
  <c r="C87" i="145"/>
  <c r="Q85" i="145"/>
  <c r="L84" i="145"/>
  <c r="G83" i="145"/>
  <c r="D82" i="145"/>
  <c r="I81" i="145"/>
  <c r="F80" i="145"/>
  <c r="A79" i="145"/>
  <c r="M77" i="145"/>
  <c r="J76" i="145"/>
  <c r="O75" i="145"/>
  <c r="L74" i="145"/>
  <c r="G73" i="145"/>
  <c r="B72" i="145"/>
  <c r="P70" i="145"/>
  <c r="K69" i="145"/>
  <c r="F68" i="145"/>
  <c r="C67" i="145"/>
  <c r="H66" i="145"/>
  <c r="E65" i="145"/>
  <c r="Q63" i="145"/>
  <c r="L62" i="145"/>
  <c r="I61" i="145"/>
  <c r="D60" i="145"/>
  <c r="P58" i="145"/>
  <c r="M57" i="145"/>
  <c r="H56" i="145"/>
  <c r="O55" i="145"/>
  <c r="J54" i="145"/>
  <c r="E53" i="145"/>
  <c r="B52" i="145"/>
  <c r="N50" i="145"/>
  <c r="I49" i="145"/>
  <c r="P48" i="145"/>
  <c r="A47" i="145"/>
  <c r="M45" i="145"/>
  <c r="J44" i="145"/>
  <c r="E43" i="145"/>
  <c r="G41" i="145"/>
  <c r="B40" i="145"/>
  <c r="P38" i="145"/>
  <c r="K37" i="145"/>
  <c r="F36" i="145"/>
  <c r="C35" i="145"/>
  <c r="O33" i="145"/>
  <c r="J32" i="145"/>
  <c r="G31" i="145"/>
  <c r="B30" i="145"/>
  <c r="N28" i="145"/>
  <c r="K27" i="145"/>
  <c r="F26" i="145"/>
  <c r="H24" i="145"/>
  <c r="J22" i="145"/>
  <c r="E21" i="145"/>
  <c r="B20" i="145"/>
  <c r="N18" i="145"/>
  <c r="P16" i="145"/>
  <c r="K15" i="145"/>
  <c r="H14" i="145"/>
  <c r="C13" i="145"/>
  <c r="O11" i="145"/>
  <c r="Q9" i="145"/>
  <c r="B8" i="145"/>
  <c r="O6" i="145"/>
  <c r="H5" i="145"/>
  <c r="A4" i="145"/>
  <c r="N199" i="145"/>
  <c r="G189" i="145"/>
  <c r="G185" i="145"/>
  <c r="K181" i="145"/>
  <c r="K177" i="145"/>
  <c r="D175" i="145"/>
  <c r="C171" i="145"/>
  <c r="M168" i="145"/>
  <c r="D166" i="145"/>
  <c r="K163" i="145"/>
  <c r="P159" i="145"/>
  <c r="K156" i="145"/>
  <c r="H153" i="145"/>
  <c r="L151" i="145"/>
  <c r="O150" i="145"/>
  <c r="D149" i="145"/>
  <c r="J147" i="145"/>
  <c r="P145" i="145"/>
  <c r="C144" i="145"/>
  <c r="K142" i="145"/>
  <c r="O140" i="145"/>
  <c r="B139" i="145"/>
  <c r="J137" i="145"/>
  <c r="N135" i="145"/>
  <c r="F133" i="145"/>
  <c r="J131" i="145"/>
  <c r="B129" i="145"/>
  <c r="J127" i="145"/>
  <c r="N125" i="145"/>
  <c r="A124" i="145"/>
  <c r="J121" i="145"/>
  <c r="A120" i="145"/>
  <c r="E118" i="145"/>
  <c r="I116" i="145"/>
  <c r="Q114" i="145"/>
  <c r="D113" i="145"/>
  <c r="J111" i="145"/>
  <c r="P109" i="145"/>
  <c r="E108" i="145"/>
  <c r="I106" i="145"/>
  <c r="Q104" i="145"/>
  <c r="A104" i="145"/>
  <c r="O102" i="145"/>
  <c r="C102" i="145"/>
  <c r="Q100" i="145"/>
  <c r="B99" i="145"/>
  <c r="N97" i="145"/>
  <c r="D97" i="145"/>
  <c r="P95" i="145"/>
  <c r="K94" i="145"/>
  <c r="H93" i="145"/>
  <c r="C92" i="145"/>
  <c r="O90" i="145"/>
  <c r="L89" i="145"/>
  <c r="G88" i="145"/>
  <c r="B87" i="145"/>
  <c r="P85" i="145"/>
  <c r="A84" i="145"/>
  <c r="M82" i="145"/>
  <c r="C82" i="145"/>
  <c r="O80" i="145"/>
  <c r="J79" i="145"/>
  <c r="Q78" i="145"/>
  <c r="L77" i="145"/>
  <c r="B77" i="145"/>
  <c r="N75" i="145"/>
  <c r="P73" i="145"/>
  <c r="A72" i="145"/>
  <c r="O70" i="145"/>
  <c r="Q68" i="145"/>
  <c r="L67" i="145"/>
  <c r="G66" i="145"/>
  <c r="D65" i="145"/>
  <c r="F63" i="145"/>
  <c r="A62" i="145"/>
  <c r="M60" i="145"/>
  <c r="C60" i="145"/>
  <c r="E58" i="145"/>
  <c r="Q56" i="145"/>
  <c r="B55" i="145"/>
  <c r="P53" i="145"/>
  <c r="K52" i="145"/>
  <c r="F51" i="145"/>
  <c r="C50" i="145"/>
  <c r="O48" i="145"/>
  <c r="J47" i="145"/>
  <c r="G46" i="145"/>
  <c r="B45" i="145"/>
  <c r="N43" i="145"/>
  <c r="K42" i="145"/>
  <c r="F41" i="145"/>
  <c r="A40" i="145"/>
  <c r="O38" i="145"/>
  <c r="C38" i="145"/>
  <c r="Q36" i="145"/>
  <c r="L35" i="145"/>
  <c r="G34" i="145"/>
  <c r="D33" i="145"/>
  <c r="P31" i="145"/>
  <c r="K30" i="145"/>
  <c r="M28" i="145"/>
  <c r="C28" i="145"/>
  <c r="O26" i="145"/>
  <c r="L25" i="145"/>
  <c r="G24" i="145"/>
  <c r="B23" i="145"/>
  <c r="P21" i="145"/>
  <c r="D21" i="145"/>
  <c r="A20" i="145"/>
  <c r="M18" i="145"/>
  <c r="O16" i="145"/>
  <c r="J15" i="145"/>
  <c r="G14" i="145"/>
  <c r="B13" i="145"/>
  <c r="N11" i="145"/>
  <c r="K10" i="145"/>
  <c r="F9" i="145"/>
  <c r="G7" i="145"/>
  <c r="A6" i="145"/>
  <c r="N4" i="145"/>
  <c r="C3" i="145"/>
  <c r="K199" i="145"/>
  <c r="E186" i="145"/>
  <c r="C181" i="145"/>
  <c r="M178" i="145"/>
  <c r="B176" i="145"/>
  <c r="G173" i="145"/>
  <c r="F172" i="145"/>
  <c r="K169" i="145"/>
  <c r="F167" i="145"/>
  <c r="H163" i="145"/>
  <c r="O159" i="145"/>
  <c r="I157" i="145"/>
  <c r="E155" i="145"/>
  <c r="E153" i="145"/>
  <c r="K151" i="145"/>
  <c r="N150" i="145"/>
  <c r="A149" i="145"/>
  <c r="G147" i="145"/>
  <c r="M145" i="145"/>
  <c r="B144" i="145"/>
  <c r="F142" i="145"/>
  <c r="N140" i="145"/>
  <c r="A139" i="145"/>
  <c r="E137" i="145"/>
  <c r="M135" i="145"/>
  <c r="Q133" i="145"/>
  <c r="E133" i="145"/>
  <c r="F132" i="145"/>
  <c r="L130" i="145"/>
  <c r="D128" i="145"/>
  <c r="H126" i="145"/>
  <c r="N124" i="145"/>
  <c r="C123" i="145"/>
  <c r="I121" i="145"/>
  <c r="M119" i="145"/>
  <c r="P118" i="145"/>
  <c r="E117" i="145"/>
  <c r="H116" i="145"/>
  <c r="L114" i="145"/>
  <c r="Q113" i="145"/>
  <c r="D112" i="145"/>
  <c r="L110" i="145"/>
  <c r="P108" i="145"/>
  <c r="C107" i="145"/>
  <c r="K105" i="145"/>
  <c r="G103" i="145"/>
  <c r="I101" i="145"/>
  <c r="D100" i="145"/>
  <c r="P98" i="145"/>
  <c r="M97" i="145"/>
  <c r="A97" i="145"/>
  <c r="O95" i="145"/>
  <c r="J94" i="145"/>
  <c r="E93" i="145"/>
  <c r="B92" i="145"/>
  <c r="D90" i="145"/>
  <c r="P88" i="145"/>
  <c r="K87" i="145"/>
  <c r="H86" i="145"/>
  <c r="C85" i="145"/>
  <c r="O83" i="145"/>
  <c r="E83" i="145"/>
  <c r="Q81" i="145"/>
  <c r="N80" i="145"/>
  <c r="I79" i="145"/>
  <c r="K77" i="145"/>
  <c r="F76" i="145"/>
  <c r="C75" i="145"/>
  <c r="O73" i="145"/>
  <c r="J72" i="145"/>
  <c r="G71" i="145"/>
  <c r="B70" i="145"/>
  <c r="N68" i="145"/>
  <c r="P66" i="145"/>
  <c r="M65" i="145"/>
  <c r="H64" i="145"/>
  <c r="O63" i="145"/>
  <c r="J62" i="145"/>
  <c r="E61" i="145"/>
  <c r="B60" i="145"/>
  <c r="N58" i="145"/>
  <c r="D58" i="145"/>
  <c r="P56" i="145"/>
  <c r="K55" i="145"/>
  <c r="H54" i="145"/>
  <c r="C53" i="145"/>
  <c r="E51" i="145"/>
  <c r="Q49" i="145"/>
  <c r="N48" i="145"/>
  <c r="I47" i="145"/>
  <c r="D46" i="145"/>
  <c r="A45" i="145"/>
  <c r="M43" i="145"/>
  <c r="H42" i="145"/>
  <c r="J40" i="145"/>
  <c r="G39" i="145"/>
  <c r="I37" i="145"/>
  <c r="D36" i="145"/>
  <c r="P34" i="145"/>
  <c r="M33" i="145"/>
  <c r="A33" i="145"/>
  <c r="O31" i="145"/>
  <c r="J30" i="145"/>
  <c r="E29" i="145"/>
  <c r="B28" i="145"/>
  <c r="G27" i="145"/>
  <c r="D26" i="145"/>
  <c r="P24" i="145"/>
  <c r="K23" i="145"/>
  <c r="A23" i="145"/>
  <c r="C21" i="145"/>
  <c r="O19" i="145"/>
  <c r="E19" i="145"/>
  <c r="Q17" i="145"/>
  <c r="N16" i="145"/>
  <c r="I15" i="145"/>
  <c r="D14" i="145"/>
  <c r="K13" i="145"/>
  <c r="F12" i="145"/>
  <c r="C11" i="145"/>
  <c r="O9" i="145"/>
  <c r="J8" i="145"/>
  <c r="F7" i="145"/>
  <c r="F5" i="145"/>
  <c r="P3" i="145"/>
  <c r="M197" i="145"/>
  <c r="F168" i="145"/>
  <c r="H157" i="145"/>
  <c r="D153" i="145"/>
  <c r="M150" i="145"/>
  <c r="A7" i="145"/>
  <c r="F10" i="145"/>
  <c r="J13" i="145"/>
  <c r="D17" i="145"/>
  <c r="F20" i="145"/>
  <c r="J23" i="145"/>
  <c r="D27" i="145"/>
  <c r="H30" i="145"/>
  <c r="L33" i="145"/>
  <c r="D37" i="145"/>
  <c r="H40" i="145"/>
  <c r="L43" i="145"/>
  <c r="F47" i="145"/>
  <c r="H50" i="145"/>
  <c r="L53" i="145"/>
  <c r="F57" i="145"/>
  <c r="G62" i="145"/>
  <c r="M68" i="145"/>
  <c r="N73" i="145"/>
  <c r="O78" i="145"/>
  <c r="N83" i="145"/>
  <c r="H87" i="145"/>
  <c r="I92" i="145"/>
  <c r="K95" i="145"/>
  <c r="O98" i="145"/>
  <c r="I102" i="145"/>
  <c r="D106" i="145"/>
  <c r="K110" i="145"/>
  <c r="F115" i="145"/>
  <c r="K119" i="145"/>
  <c r="A122" i="145"/>
  <c r="F126" i="145"/>
  <c r="K130" i="145"/>
  <c r="F135" i="145"/>
  <c r="K139" i="145"/>
  <c r="A144" i="145"/>
  <c r="H146" i="145"/>
  <c r="F151" i="145"/>
  <c r="O154" i="145"/>
  <c r="G169" i="145"/>
  <c r="Q195" i="145"/>
  <c r="M3" i="145"/>
  <c r="E5" i="145"/>
  <c r="Q8" i="145"/>
  <c r="D12" i="145"/>
  <c r="H15" i="145"/>
  <c r="B19" i="145"/>
  <c r="D22" i="145"/>
  <c r="H25" i="145"/>
  <c r="B29" i="145"/>
  <c r="F32" i="145"/>
  <c r="J35" i="145"/>
  <c r="B39" i="145"/>
  <c r="I40" i="145"/>
  <c r="C44" i="145"/>
  <c r="J45" i="145"/>
  <c r="G47" i="145"/>
  <c r="D49" i="145"/>
  <c r="F52" i="145"/>
  <c r="C54" i="145"/>
  <c r="J55" i="145"/>
  <c r="G57" i="145"/>
  <c r="D59" i="145"/>
  <c r="K60" i="145"/>
  <c r="H62" i="145"/>
  <c r="E64" i="145"/>
  <c r="L65" i="145"/>
  <c r="D69" i="145"/>
  <c r="K70" i="145"/>
  <c r="H72" i="145"/>
  <c r="E74" i="145"/>
  <c r="L75" i="145"/>
  <c r="I77" i="145"/>
  <c r="F79" i="145"/>
  <c r="M80" i="145"/>
  <c r="H82" i="145"/>
  <c r="E84" i="145"/>
  <c r="L85" i="145"/>
  <c r="I87" i="145"/>
  <c r="F89" i="145"/>
  <c r="M90" i="145"/>
  <c r="J92" i="145"/>
  <c r="G94" i="145"/>
  <c r="N95" i="145"/>
  <c r="I97" i="145"/>
  <c r="F99" i="145"/>
  <c r="M100" i="145"/>
  <c r="J102" i="145"/>
  <c r="I104" i="145"/>
  <c r="G106" i="145"/>
  <c r="N108" i="145"/>
  <c r="D111" i="145"/>
  <c r="B113" i="145"/>
  <c r="G115" i="145"/>
  <c r="N117" i="145"/>
  <c r="L119" i="145"/>
  <c r="B122" i="145"/>
  <c r="I124" i="145"/>
  <c r="G126" i="145"/>
  <c r="N128" i="145"/>
  <c r="F131" i="145"/>
  <c r="D133" i="145"/>
  <c r="G135" i="145"/>
  <c r="P137" i="145"/>
  <c r="N139" i="145"/>
  <c r="D142" i="145"/>
  <c r="K144" i="145"/>
  <c r="I146" i="145"/>
  <c r="P148" i="145"/>
  <c r="G151" i="145"/>
  <c r="P154" i="145"/>
  <c r="G159" i="145"/>
  <c r="I164" i="145"/>
  <c r="I169" i="145"/>
  <c r="H174" i="145"/>
  <c r="L179" i="145"/>
  <c r="L184" i="145"/>
  <c r="A196" i="145"/>
  <c r="N3" i="145"/>
  <c r="N5" i="145"/>
  <c r="E7" i="145"/>
  <c r="A9" i="145"/>
  <c r="O10" i="145"/>
  <c r="E12" i="145"/>
  <c r="B14" i="145"/>
  <c r="P15" i="145"/>
  <c r="F17" i="145"/>
  <c r="C19" i="145"/>
  <c r="Q20" i="145"/>
  <c r="G22" i="145"/>
  <c r="B24" i="145"/>
  <c r="P25" i="145"/>
  <c r="F27" i="145"/>
  <c r="C29" i="145"/>
  <c r="Q30" i="145"/>
  <c r="G32" i="145"/>
  <c r="D34" i="145"/>
  <c r="A36" i="145"/>
  <c r="H37" i="145"/>
  <c r="C39" i="145"/>
  <c r="Q40" i="145"/>
  <c r="G42" i="145"/>
  <c r="D44" i="145"/>
  <c r="A46" i="145"/>
  <c r="H47" i="145"/>
  <c r="E49" i="145"/>
  <c r="B51" i="145"/>
  <c r="I52" i="145"/>
  <c r="D54" i="145"/>
  <c r="A56" i="145"/>
  <c r="H57" i="145"/>
  <c r="E59" i="145"/>
  <c r="B61" i="145"/>
  <c r="I62" i="145"/>
  <c r="F64" i="145"/>
  <c r="C66" i="145"/>
  <c r="J67" i="145"/>
  <c r="E69" i="145"/>
  <c r="B71" i="145"/>
  <c r="I72" i="145"/>
  <c r="F74" i="145"/>
  <c r="C76" i="145"/>
  <c r="J77" i="145"/>
  <c r="G79" i="145"/>
  <c r="D81" i="145"/>
  <c r="K82" i="145"/>
  <c r="F84" i="145"/>
  <c r="C86" i="145"/>
  <c r="J87" i="145"/>
  <c r="G89" i="145"/>
  <c r="D91" i="145"/>
  <c r="K92" i="145"/>
  <c r="H94" i="145"/>
  <c r="E96" i="145"/>
  <c r="L97" i="145"/>
  <c r="G99" i="145"/>
  <c r="D101" i="145"/>
  <c r="K102" i="145"/>
  <c r="J104" i="145"/>
  <c r="Q106" i="145"/>
  <c r="O108" i="145"/>
  <c r="E111" i="145"/>
  <c r="L113" i="145"/>
  <c r="J115" i="145"/>
  <c r="O117" i="145"/>
  <c r="E120" i="145"/>
  <c r="C122" i="145"/>
  <c r="J124" i="145"/>
  <c r="B127" i="145"/>
  <c r="Q128" i="145"/>
  <c r="G131" i="145"/>
  <c r="N133" i="145"/>
  <c r="L135" i="145"/>
  <c r="Q137" i="145"/>
  <c r="G140" i="145"/>
  <c r="E142" i="145"/>
  <c r="L144" i="145"/>
  <c r="B147" i="145"/>
  <c r="Q148" i="145"/>
  <c r="C152" i="145"/>
  <c r="A156" i="145"/>
  <c r="I160" i="145"/>
  <c r="I165" i="145"/>
  <c r="I170" i="145"/>
  <c r="O175" i="145"/>
  <c r="O180" i="145"/>
  <c r="Q185" i="145"/>
  <c r="I197" i="145"/>
  <c r="O3" i="145"/>
  <c r="D9" i="145"/>
  <c r="C14" i="145"/>
  <c r="N17" i="145"/>
  <c r="A21" i="145"/>
  <c r="E24" i="145"/>
  <c r="N27" i="145"/>
  <c r="A31" i="145"/>
  <c r="E34" i="145"/>
  <c r="P37" i="145"/>
  <c r="A41" i="145"/>
  <c r="E44" i="145"/>
  <c r="F49" i="145"/>
  <c r="Q52" i="145"/>
  <c r="P57" i="145"/>
  <c r="Q62" i="145"/>
  <c r="D66" i="145"/>
  <c r="C71" i="145"/>
  <c r="D76" i="145"/>
  <c r="E81" i="145"/>
  <c r="I84" i="145"/>
  <c r="A88" i="145"/>
  <c r="H89" i="145"/>
  <c r="B93" i="145"/>
  <c r="I94" i="145"/>
  <c r="C98" i="145"/>
  <c r="E101" i="145"/>
  <c r="K104" i="145"/>
  <c r="H109" i="145"/>
  <c r="M113" i="145"/>
  <c r="C118" i="145"/>
  <c r="O122" i="145"/>
  <c r="C127" i="145"/>
  <c r="H131" i="145"/>
  <c r="O133" i="145"/>
  <c r="C138" i="145"/>
  <c r="H140" i="145"/>
  <c r="M144" i="145"/>
  <c r="C147" i="145"/>
  <c r="L149" i="145"/>
  <c r="D152" i="145"/>
  <c r="B156" i="145"/>
  <c r="J160" i="145"/>
  <c r="J165" i="145"/>
  <c r="J170" i="145"/>
  <c r="P175" i="145"/>
  <c r="P180" i="145"/>
  <c r="A186" i="145"/>
  <c r="K197" i="145"/>
  <c r="G4" i="145"/>
  <c r="P5" i="145"/>
  <c r="O7" i="145"/>
  <c r="L9" i="145"/>
  <c r="B11" i="145"/>
  <c r="N12" i="145"/>
  <c r="K14" i="145"/>
  <c r="A16" i="145"/>
  <c r="O17" i="145"/>
  <c r="L19" i="145"/>
  <c r="B21" i="145"/>
  <c r="P22" i="145"/>
  <c r="M24" i="145"/>
  <c r="C26" i="145"/>
  <c r="O27" i="145"/>
  <c r="L29" i="145"/>
  <c r="B31" i="145"/>
  <c r="P32" i="145"/>
  <c r="M34" i="145"/>
  <c r="C36" i="145"/>
  <c r="Q37" i="145"/>
  <c r="N39" i="145"/>
  <c r="D41" i="145"/>
  <c r="P42" i="145"/>
  <c r="M44" i="145"/>
  <c r="C46" i="145"/>
  <c r="Q47" i="145"/>
  <c r="N49" i="145"/>
  <c r="D51" i="145"/>
  <c r="A53" i="145"/>
  <c r="O54" i="145"/>
  <c r="E56" i="145"/>
  <c r="Q57" i="145"/>
  <c r="N59" i="145"/>
  <c r="D61" i="145"/>
  <c r="A63" i="145"/>
  <c r="O64" i="145"/>
  <c r="E66" i="145"/>
  <c r="B68" i="145"/>
  <c r="P69" i="145"/>
  <c r="F71" i="145"/>
  <c r="A73" i="145"/>
  <c r="O74" i="145"/>
  <c r="E76" i="145"/>
  <c r="B78" i="145"/>
  <c r="P79" i="145"/>
  <c r="F81" i="145"/>
  <c r="C83" i="145"/>
  <c r="Q84" i="145"/>
  <c r="G86" i="145"/>
  <c r="B88" i="145"/>
  <c r="P89" i="145"/>
  <c r="F91" i="145"/>
  <c r="C93" i="145"/>
  <c r="Q94" i="145"/>
  <c r="G96" i="145"/>
  <c r="D98" i="145"/>
  <c r="A100" i="145"/>
  <c r="H101" i="145"/>
  <c r="C103" i="145"/>
  <c r="D105" i="145"/>
  <c r="B107" i="145"/>
  <c r="I109" i="145"/>
  <c r="A112" i="145"/>
  <c r="P113" i="145"/>
  <c r="F116" i="145"/>
  <c r="M118" i="145"/>
  <c r="K120" i="145"/>
  <c r="P122" i="145"/>
  <c r="F125" i="145"/>
  <c r="D127" i="145"/>
  <c r="K129" i="145"/>
  <c r="A132" i="145"/>
  <c r="P133" i="145"/>
  <c r="F136" i="145"/>
  <c r="O138" i="145"/>
  <c r="M140" i="145"/>
  <c r="P142" i="145"/>
  <c r="H145" i="145"/>
  <c r="F147" i="145"/>
  <c r="M149" i="145"/>
  <c r="Q152" i="145"/>
  <c r="D157" i="145"/>
  <c r="M161" i="145"/>
  <c r="M166" i="145"/>
  <c r="Q171" i="145"/>
  <c r="P176" i="145"/>
  <c r="P181" i="145"/>
  <c r="E187" i="145"/>
  <c r="C193" i="145"/>
  <c r="P198" i="145"/>
  <c r="B5" i="145"/>
  <c r="I8" i="145"/>
  <c r="C12" i="145"/>
  <c r="G15" i="145"/>
  <c r="K18" i="145"/>
  <c r="C22" i="145"/>
  <c r="G25" i="145"/>
  <c r="K28" i="145"/>
  <c r="E32" i="145"/>
  <c r="G35" i="145"/>
  <c r="K38" i="145"/>
  <c r="E42" i="145"/>
  <c r="I45" i="145"/>
  <c r="M48" i="145"/>
  <c r="E52" i="145"/>
  <c r="I55" i="145"/>
  <c r="M58" i="145"/>
  <c r="J60" i="145"/>
  <c r="N63" i="145"/>
  <c r="I65" i="145"/>
  <c r="F67" i="145"/>
  <c r="J70" i="145"/>
  <c r="G72" i="145"/>
  <c r="K75" i="145"/>
  <c r="H77" i="145"/>
  <c r="J80" i="145"/>
  <c r="G82" i="145"/>
  <c r="K85" i="145"/>
  <c r="O88" i="145"/>
  <c r="L90" i="145"/>
  <c r="P93" i="145"/>
  <c r="H97" i="145"/>
  <c r="L100" i="145"/>
  <c r="P103" i="145"/>
  <c r="M108" i="145"/>
  <c r="N112" i="145"/>
  <c r="D117" i="145"/>
  <c r="P123" i="145"/>
  <c r="M128" i="145"/>
  <c r="P132" i="145"/>
  <c r="D137" i="145"/>
  <c r="C142" i="145"/>
  <c r="O148" i="145"/>
  <c r="F159" i="145"/>
  <c r="H164" i="145"/>
  <c r="G174" i="145"/>
  <c r="K179" i="145"/>
  <c r="K184" i="145"/>
  <c r="Q189" i="145"/>
  <c r="B7" i="145"/>
  <c r="G10" i="145"/>
  <c r="A14" i="145"/>
  <c r="E17" i="145"/>
  <c r="I20" i="145"/>
  <c r="A24" i="145"/>
  <c r="E27" i="145"/>
  <c r="I30" i="145"/>
  <c r="C34" i="145"/>
  <c r="E37" i="145"/>
  <c r="F42" i="145"/>
  <c r="K50" i="145"/>
  <c r="G67" i="145"/>
  <c r="B190" i="145"/>
  <c r="K191" i="145"/>
  <c r="O5" i="145"/>
  <c r="N7" i="145"/>
  <c r="P10" i="145"/>
  <c r="M12" i="145"/>
  <c r="Q15" i="145"/>
  <c r="D19" i="145"/>
  <c r="O22" i="145"/>
  <c r="Q25" i="145"/>
  <c r="D29" i="145"/>
  <c r="O32" i="145"/>
  <c r="B36" i="145"/>
  <c r="F39" i="145"/>
  <c r="O42" i="145"/>
  <c r="B46" i="145"/>
  <c r="P47" i="145"/>
  <c r="C51" i="145"/>
  <c r="G54" i="145"/>
  <c r="B56" i="145"/>
  <c r="F59" i="145"/>
  <c r="C61" i="145"/>
  <c r="G64" i="145"/>
  <c r="A68" i="145"/>
  <c r="H69" i="145"/>
  <c r="Q72" i="145"/>
  <c r="G74" i="145"/>
  <c r="A78" i="145"/>
  <c r="H79" i="145"/>
  <c r="B83" i="145"/>
  <c r="D86" i="145"/>
  <c r="E91" i="145"/>
  <c r="F96" i="145"/>
  <c r="J99" i="145"/>
  <c r="B103" i="145"/>
  <c r="A107" i="145"/>
  <c r="F111" i="145"/>
  <c r="E116" i="145"/>
  <c r="F120" i="145"/>
  <c r="M124" i="145"/>
  <c r="J129" i="145"/>
  <c r="E136" i="145"/>
  <c r="O142" i="145"/>
  <c r="L191" i="145"/>
  <c r="H4" i="145"/>
  <c r="G6" i="145"/>
  <c r="P7" i="145"/>
  <c r="M9" i="145"/>
  <c r="J11" i="145"/>
  <c r="Q12" i="145"/>
  <c r="L14" i="145"/>
  <c r="I16" i="145"/>
  <c r="P17" i="145"/>
  <c r="M19" i="145"/>
  <c r="J21" i="145"/>
  <c r="Q22" i="145"/>
  <c r="N24" i="145"/>
  <c r="K26" i="145"/>
  <c r="A28" i="145"/>
  <c r="M29" i="145"/>
  <c r="J31" i="145"/>
  <c r="Q32" i="145"/>
  <c r="N34" i="145"/>
  <c r="K36" i="145"/>
  <c r="A38" i="145"/>
  <c r="O39" i="145"/>
  <c r="L41" i="145"/>
  <c r="B43" i="145"/>
  <c r="N44" i="145"/>
  <c r="K46" i="145"/>
  <c r="A48" i="145"/>
  <c r="O49" i="145"/>
  <c r="L51" i="145"/>
  <c r="B53" i="145"/>
  <c r="P54" i="145"/>
  <c r="M56" i="145"/>
  <c r="C58" i="145"/>
  <c r="O59" i="145"/>
  <c r="L61" i="145"/>
  <c r="B63" i="145"/>
  <c r="P64" i="145"/>
  <c r="M66" i="145"/>
  <c r="C68" i="145"/>
  <c r="Q69" i="145"/>
  <c r="N71" i="145"/>
  <c r="D73" i="145"/>
  <c r="P74" i="145"/>
  <c r="M76" i="145"/>
  <c r="C78" i="145"/>
  <c r="Q79" i="145"/>
  <c r="N81" i="145"/>
  <c r="D83" i="145"/>
  <c r="A85" i="145"/>
  <c r="O86" i="145"/>
  <c r="E88" i="145"/>
  <c r="Q89" i="145"/>
  <c r="N91" i="145"/>
  <c r="D93" i="145"/>
  <c r="A95" i="145"/>
  <c r="O96" i="145"/>
  <c r="E98" i="145"/>
  <c r="B100" i="145"/>
  <c r="P101" i="145"/>
  <c r="F103" i="145"/>
  <c r="E105" i="145"/>
  <c r="N107" i="145"/>
  <c r="L109" i="145"/>
  <c r="B112" i="145"/>
  <c r="I114" i="145"/>
  <c r="G116" i="145"/>
  <c r="N118" i="145"/>
  <c r="D121" i="145"/>
  <c r="B123" i="145"/>
  <c r="G125" i="145"/>
  <c r="N127" i="145"/>
  <c r="L129" i="145"/>
  <c r="B132" i="145"/>
  <c r="K134" i="145"/>
  <c r="I136" i="145"/>
  <c r="P138" i="145"/>
  <c r="F141" i="145"/>
  <c r="D143" i="145"/>
  <c r="I145" i="145"/>
  <c r="P147" i="145"/>
  <c r="N149" i="145"/>
  <c r="A153" i="145"/>
  <c r="E157" i="145"/>
  <c r="N161" i="145"/>
  <c r="N166" i="145"/>
  <c r="A172" i="145"/>
  <c r="A177" i="145"/>
  <c r="Q181" i="145"/>
  <c r="G187" i="145"/>
  <c r="D193" i="145"/>
  <c r="A199" i="145"/>
  <c r="V1" i="148"/>
  <c r="C12" i="144"/>
  <c r="W1" i="124"/>
  <c r="X1" i="124"/>
  <c r="Y1" i="108"/>
  <c r="Z1" i="108"/>
  <c r="S1" i="108"/>
  <c r="AA1" i="108"/>
  <c r="I2" i="104"/>
  <c r="V1" i="93"/>
  <c r="W1" i="93"/>
  <c r="C12" i="89"/>
  <c r="Y1" i="83"/>
  <c r="S1" i="83"/>
  <c r="A1" i="83" s="1"/>
  <c r="I69" i="80" s="1"/>
  <c r="AG1" i="72"/>
  <c r="AF1" i="72"/>
  <c r="AE1" i="72"/>
  <c r="AD1" i="72"/>
  <c r="AC1" i="72"/>
  <c r="AB1" i="72"/>
  <c r="AA1" i="72"/>
  <c r="Z1" i="72"/>
  <c r="Y1" i="72"/>
  <c r="X1" i="72"/>
  <c r="W1" i="72"/>
  <c r="V1" i="72"/>
  <c r="U1" i="72"/>
  <c r="T1" i="72"/>
  <c r="S1" i="72"/>
  <c r="C197" i="70"/>
  <c r="O10" i="70"/>
  <c r="F2" i="70" s="1"/>
  <c r="K10" i="70"/>
  <c r="G10" i="70"/>
  <c r="C12" i="70"/>
  <c r="I2" i="70"/>
  <c r="C6" i="70"/>
  <c r="H2" i="70" s="1"/>
  <c r="C3" i="70"/>
  <c r="B2" i="70"/>
  <c r="A2" i="70"/>
  <c r="I1" i="70"/>
  <c r="H1" i="70"/>
  <c r="G1" i="70"/>
  <c r="F1" i="70"/>
  <c r="E1" i="70"/>
  <c r="D1" i="70"/>
  <c r="C1" i="70"/>
  <c r="B1" i="70"/>
  <c r="A1" i="70"/>
  <c r="O1" i="69"/>
  <c r="N1" i="69"/>
  <c r="M1" i="69"/>
  <c r="C3" i="66"/>
  <c r="C3" i="65"/>
  <c r="B3" i="68"/>
  <c r="A1" i="66"/>
  <c r="B1" i="66"/>
  <c r="C1" i="66"/>
  <c r="D1" i="66"/>
  <c r="E1" i="66"/>
  <c r="F1" i="66"/>
  <c r="G1" i="66"/>
  <c r="H1" i="66"/>
  <c r="I1" i="66"/>
  <c r="AH1" i="66"/>
  <c r="AK1" i="66"/>
  <c r="A2" i="66"/>
  <c r="B2" i="66"/>
  <c r="C6" i="66"/>
  <c r="H2" i="66" s="1"/>
  <c r="C12" i="66"/>
  <c r="G13" i="66"/>
  <c r="I13" i="66"/>
  <c r="K13" i="66"/>
  <c r="O13" i="66"/>
  <c r="P13" i="66"/>
  <c r="C14" i="66"/>
  <c r="G16" i="66"/>
  <c r="I16" i="66"/>
  <c r="K16" i="66"/>
  <c r="M16" i="66" s="1"/>
  <c r="O16" i="66"/>
  <c r="P16" i="66"/>
  <c r="B17" i="66"/>
  <c r="G17" i="66"/>
  <c r="I17" i="66"/>
  <c r="P17" i="66"/>
  <c r="O17" i="66"/>
  <c r="B18" i="66"/>
  <c r="B19" i="66"/>
  <c r="B20" i="66"/>
  <c r="B21" i="66"/>
  <c r="B22" i="66"/>
  <c r="B23" i="66"/>
  <c r="B24" i="66"/>
  <c r="G25" i="66"/>
  <c r="I25" i="66"/>
  <c r="M25" i="66"/>
  <c r="O25" i="66"/>
  <c r="P25" i="66"/>
  <c r="Q25" i="66"/>
  <c r="G26" i="66"/>
  <c r="I26" i="66"/>
  <c r="L26" i="66"/>
  <c r="M26" i="66" s="1"/>
  <c r="O26" i="66"/>
  <c r="G27" i="66"/>
  <c r="I27" i="66"/>
  <c r="O27" i="66"/>
  <c r="G28" i="66"/>
  <c r="I28" i="66"/>
  <c r="O28" i="66"/>
  <c r="G29" i="66"/>
  <c r="I29" i="66"/>
  <c r="O29" i="66"/>
  <c r="O30" i="66"/>
  <c r="P30" i="66"/>
  <c r="Q30" i="66"/>
  <c r="N31" i="66"/>
  <c r="O31" i="66" s="1"/>
  <c r="Q31" i="66" s="1"/>
  <c r="N32" i="66"/>
  <c r="O32" i="66" s="1"/>
  <c r="Q32" i="66" s="1"/>
  <c r="P32" i="66"/>
  <c r="N33" i="66"/>
  <c r="O33" i="66" s="1"/>
  <c r="Q33" i="66" s="1"/>
  <c r="N34" i="66"/>
  <c r="O34" i="66" s="1"/>
  <c r="Q34" i="66" s="1"/>
  <c r="O35" i="66"/>
  <c r="P35" i="66"/>
  <c r="Q35" i="66"/>
  <c r="O36" i="66"/>
  <c r="Q36" i="66" s="1"/>
  <c r="P36" i="66"/>
  <c r="B39" i="66"/>
  <c r="B40" i="66"/>
  <c r="B41" i="66"/>
  <c r="B42" i="66"/>
  <c r="B43" i="66"/>
  <c r="B44" i="66"/>
  <c r="B45" i="66"/>
  <c r="B46" i="66"/>
  <c r="B60" i="66"/>
  <c r="B61" i="66"/>
  <c r="B62" i="66"/>
  <c r="B63" i="66"/>
  <c r="B64" i="66"/>
  <c r="B65" i="66"/>
  <c r="B66" i="66"/>
  <c r="B67" i="66"/>
  <c r="B81" i="66"/>
  <c r="B82" i="66"/>
  <c r="B83" i="66"/>
  <c r="B84" i="66"/>
  <c r="B85" i="66"/>
  <c r="B86" i="66"/>
  <c r="B87" i="66"/>
  <c r="B88" i="66"/>
  <c r="B102" i="66"/>
  <c r="B103" i="66"/>
  <c r="B104" i="66"/>
  <c r="B105" i="66"/>
  <c r="B106" i="66"/>
  <c r="B107" i="66"/>
  <c r="B108" i="66"/>
  <c r="B109" i="66"/>
  <c r="B123" i="66"/>
  <c r="B124" i="66"/>
  <c r="B125" i="66"/>
  <c r="B126" i="66"/>
  <c r="B127" i="66"/>
  <c r="B128" i="66"/>
  <c r="B129" i="66"/>
  <c r="B130" i="66"/>
  <c r="B144" i="66"/>
  <c r="B145" i="66"/>
  <c r="B146" i="66"/>
  <c r="B147" i="66"/>
  <c r="B148" i="66"/>
  <c r="B149" i="66"/>
  <c r="B150" i="66"/>
  <c r="B151" i="66"/>
  <c r="B165" i="66"/>
  <c r="B166" i="66"/>
  <c r="B167" i="66"/>
  <c r="B168" i="66"/>
  <c r="B169" i="66"/>
  <c r="B170" i="66"/>
  <c r="B171" i="66"/>
  <c r="B172" i="66"/>
  <c r="C191" i="66"/>
  <c r="L194" i="66"/>
  <c r="P194" i="66"/>
  <c r="G195" i="66"/>
  <c r="I195" i="66"/>
  <c r="K195" i="66"/>
  <c r="L195" i="66"/>
  <c r="M195" i="66" s="1"/>
  <c r="Q195" i="66" s="1"/>
  <c r="O195" i="66"/>
  <c r="P195" i="66"/>
  <c r="G196" i="66"/>
  <c r="I196" i="66"/>
  <c r="K196" i="66"/>
  <c r="L196" i="66"/>
  <c r="M196" i="66"/>
  <c r="O196" i="66"/>
  <c r="P196" i="66"/>
  <c r="C197" i="66"/>
  <c r="M197" i="213" l="1"/>
  <c r="M199" i="213" s="1"/>
  <c r="Q27" i="213"/>
  <c r="M10" i="213"/>
  <c r="E2" i="213" s="1"/>
  <c r="B15" i="80"/>
  <c r="P98" i="80"/>
  <c r="I51" i="80"/>
  <c r="D14" i="80"/>
  <c r="M7" i="80"/>
  <c r="L87" i="80"/>
  <c r="D47" i="80"/>
  <c r="O31" i="80"/>
  <c r="L20" i="80"/>
  <c r="M12" i="80"/>
  <c r="A6" i="80"/>
  <c r="D75" i="80"/>
  <c r="N42" i="80"/>
  <c r="K29" i="80"/>
  <c r="F18" i="80"/>
  <c r="E11" i="80"/>
  <c r="J4" i="80"/>
  <c r="H63" i="80"/>
  <c r="I36" i="80"/>
  <c r="J20" i="80"/>
  <c r="D11" i="80"/>
  <c r="N124" i="80"/>
  <c r="Q47" i="80"/>
  <c r="I29" i="80"/>
  <c r="P15" i="80"/>
  <c r="Q7" i="80"/>
  <c r="B54" i="80"/>
  <c r="K69" i="80"/>
  <c r="H80" i="80"/>
  <c r="B63" i="80"/>
  <c r="I72" i="80"/>
  <c r="H82" i="80"/>
  <c r="H105" i="80"/>
  <c r="O59" i="80"/>
  <c r="P74" i="80"/>
  <c r="E92" i="80"/>
  <c r="E35" i="80"/>
  <c r="N53" i="80"/>
  <c r="O68" i="80"/>
  <c r="J88" i="80"/>
  <c r="A34" i="80"/>
  <c r="K73" i="80"/>
  <c r="H50" i="80"/>
  <c r="J25" i="80"/>
  <c r="D94" i="80"/>
  <c r="K48" i="80"/>
  <c r="A35" i="80"/>
  <c r="J21" i="80"/>
  <c r="E13" i="80"/>
  <c r="N6" i="80"/>
  <c r="H79" i="80"/>
  <c r="E46" i="80"/>
  <c r="O30" i="80"/>
  <c r="D19" i="80"/>
  <c r="N11" i="80"/>
  <c r="B5" i="80"/>
  <c r="H71" i="80"/>
  <c r="N41" i="80"/>
  <c r="H27" i="80"/>
  <c r="O16" i="80"/>
  <c r="F10" i="80"/>
  <c r="B4" i="80"/>
  <c r="L59" i="80"/>
  <c r="J35" i="80"/>
  <c r="M19" i="80"/>
  <c r="M10" i="80"/>
  <c r="A105" i="80"/>
  <c r="A47" i="80"/>
  <c r="Q27" i="80"/>
  <c r="H15" i="80"/>
  <c r="I7" i="80"/>
  <c r="J54" i="80"/>
  <c r="B62" i="80"/>
  <c r="A71" i="80"/>
  <c r="P80" i="80"/>
  <c r="B95" i="80"/>
  <c r="G130" i="80"/>
  <c r="J63" i="80"/>
  <c r="G74" i="80"/>
  <c r="A84" i="80"/>
  <c r="K112" i="80"/>
  <c r="M61" i="80"/>
  <c r="N76" i="80"/>
  <c r="D95" i="80"/>
  <c r="C37" i="80"/>
  <c r="L55" i="80"/>
  <c r="M70" i="80"/>
  <c r="K94" i="80"/>
  <c r="C38" i="80"/>
  <c r="N78" i="80"/>
  <c r="B59" i="80"/>
  <c r="P35" i="80"/>
  <c r="Q35" i="80"/>
  <c r="D117" i="80"/>
  <c r="D88" i="80"/>
  <c r="I47" i="80"/>
  <c r="H32" i="80"/>
  <c r="B20" i="80"/>
  <c r="F12" i="80"/>
  <c r="D6" i="80"/>
  <c r="L75" i="80"/>
  <c r="O42" i="80"/>
  <c r="L28" i="80"/>
  <c r="M17" i="80"/>
  <c r="F11" i="80"/>
  <c r="K4" i="80"/>
  <c r="P63" i="80"/>
  <c r="G39" i="80"/>
  <c r="K25" i="80"/>
  <c r="A16" i="80"/>
  <c r="O9" i="80"/>
  <c r="N129" i="80"/>
  <c r="L50" i="80"/>
  <c r="M31" i="80"/>
  <c r="H17" i="80"/>
  <c r="F9" i="80"/>
  <c r="A86" i="80"/>
  <c r="L42" i="80"/>
  <c r="F25" i="80"/>
  <c r="Q13" i="80"/>
  <c r="O5" i="80"/>
  <c r="Q55" i="80"/>
  <c r="I63" i="80"/>
  <c r="P72" i="80"/>
  <c r="G82" i="80"/>
  <c r="M95" i="80"/>
  <c r="J55" i="80"/>
  <c r="Q64" i="80"/>
  <c r="O74" i="80"/>
  <c r="D86" i="80"/>
  <c r="A126" i="80"/>
  <c r="K63" i="80"/>
  <c r="L78" i="80"/>
  <c r="G98" i="80"/>
  <c r="A39" i="80"/>
  <c r="J57" i="80"/>
  <c r="K72" i="80"/>
  <c r="E101" i="80"/>
  <c r="H42" i="80"/>
  <c r="P86" i="80"/>
  <c r="K66" i="80"/>
  <c r="A45" i="80"/>
  <c r="K61" i="80"/>
  <c r="P79" i="80"/>
  <c r="K45" i="80"/>
  <c r="M29" i="80"/>
  <c r="E19" i="80"/>
  <c r="O11" i="80"/>
  <c r="C5" i="80"/>
  <c r="C68" i="80"/>
  <c r="G40" i="80"/>
  <c r="I27" i="80"/>
  <c r="P16" i="80"/>
  <c r="G10" i="80"/>
  <c r="L3" i="80"/>
  <c r="G56" i="80"/>
  <c r="H38" i="80"/>
  <c r="L24" i="80"/>
  <c r="A15" i="80"/>
  <c r="N8" i="80"/>
  <c r="Q97" i="80"/>
  <c r="A48" i="80"/>
  <c r="J29" i="80"/>
  <c r="Q15" i="80"/>
  <c r="A8" i="80"/>
  <c r="A78" i="80"/>
  <c r="D40" i="80"/>
  <c r="M23" i="80"/>
  <c r="A13" i="80"/>
  <c r="P4" i="80"/>
  <c r="P56" i="80"/>
  <c r="H64" i="80"/>
  <c r="G73" i="80"/>
  <c r="I84" i="80"/>
  <c r="A98" i="80"/>
  <c r="A56" i="80"/>
  <c r="O66" i="80"/>
  <c r="E76" i="80"/>
  <c r="F88" i="80"/>
  <c r="Q150" i="80"/>
  <c r="I65" i="80"/>
  <c r="J80" i="80"/>
  <c r="C102" i="80"/>
  <c r="P40" i="80"/>
  <c r="H59" i="80"/>
  <c r="I74" i="80"/>
  <c r="B113" i="80"/>
  <c r="N47" i="80"/>
  <c r="I98" i="80"/>
  <c r="C74" i="80"/>
  <c r="H54" i="80"/>
  <c r="C112" i="80"/>
  <c r="G22" i="80"/>
  <c r="Q91" i="80"/>
  <c r="G72" i="80"/>
  <c r="K43" i="80"/>
  <c r="M28" i="80"/>
  <c r="N17" i="80"/>
  <c r="P10" i="80"/>
  <c r="D4" i="80"/>
  <c r="G64" i="80"/>
  <c r="H39" i="80"/>
  <c r="L25" i="80"/>
  <c r="K15" i="80"/>
  <c r="H9" i="80"/>
  <c r="H135" i="80"/>
  <c r="A54" i="80"/>
  <c r="J36" i="80"/>
  <c r="P22" i="80"/>
  <c r="B14" i="80"/>
  <c r="B8" i="80"/>
  <c r="P91" i="80"/>
  <c r="C46" i="80"/>
  <c r="A27" i="80"/>
  <c r="Q14" i="80"/>
  <c r="B7" i="80"/>
  <c r="I70" i="80"/>
  <c r="F38" i="80"/>
  <c r="Q21" i="80"/>
  <c r="B12" i="80"/>
  <c r="Q3" i="80"/>
  <c r="O57" i="80"/>
  <c r="G65" i="80"/>
  <c r="N74" i="80"/>
  <c r="A85" i="80"/>
  <c r="N101" i="80"/>
  <c r="H57" i="80"/>
  <c r="F67" i="80"/>
  <c r="C78" i="80"/>
  <c r="G91" i="80"/>
  <c r="D51" i="80"/>
  <c r="G67" i="80"/>
  <c r="I82" i="80"/>
  <c r="F107" i="80"/>
  <c r="O43" i="80"/>
  <c r="F61" i="80"/>
  <c r="G76" i="80"/>
  <c r="O153" i="80"/>
  <c r="N52" i="80"/>
  <c r="C133" i="80"/>
  <c r="L81" i="80"/>
  <c r="Q61" i="80"/>
  <c r="O8" i="80"/>
  <c r="D49" i="80"/>
  <c r="L34" i="80"/>
  <c r="B22" i="80"/>
  <c r="K13" i="80"/>
  <c r="C7" i="80"/>
  <c r="E82" i="80"/>
  <c r="L44" i="80"/>
  <c r="D26" i="80"/>
  <c r="I14" i="80"/>
  <c r="K6" i="80"/>
  <c r="M66" i="80"/>
  <c r="G37" i="80"/>
  <c r="C21" i="80"/>
  <c r="K11" i="80"/>
  <c r="L49" i="80"/>
  <c r="F58" i="80"/>
  <c r="O65" i="80"/>
  <c r="L76" i="80"/>
  <c r="L86" i="80"/>
  <c r="M102" i="80"/>
  <c r="F59" i="80"/>
  <c r="M68" i="80"/>
  <c r="F94" i="80"/>
  <c r="D54" i="80"/>
  <c r="E69" i="80"/>
  <c r="K84" i="80"/>
  <c r="O114" i="80"/>
  <c r="N46" i="80"/>
  <c r="D63" i="80"/>
  <c r="E78" i="80"/>
  <c r="O19" i="80"/>
  <c r="J58" i="80"/>
  <c r="E22" i="80"/>
  <c r="Q90" i="80"/>
  <c r="Q29" i="80"/>
  <c r="H22" i="80"/>
  <c r="G8" i="80"/>
  <c r="O72" i="80"/>
  <c r="E16" i="80"/>
  <c r="G12" i="80"/>
  <c r="E4" i="80"/>
  <c r="L48" i="80"/>
  <c r="O38" i="80"/>
  <c r="I120" i="80"/>
  <c r="Q30" i="80"/>
  <c r="D24" i="80"/>
  <c r="L18" i="80"/>
  <c r="E14" i="80"/>
  <c r="Q10" i="80"/>
  <c r="F7" i="80"/>
  <c r="M101" i="80"/>
  <c r="J47" i="80"/>
  <c r="F6" i="80"/>
  <c r="J10" i="80"/>
  <c r="F14" i="80"/>
  <c r="J19" i="80"/>
  <c r="O25" i="80"/>
  <c r="C35" i="80"/>
  <c r="M43" i="80"/>
  <c r="E58" i="80"/>
  <c r="K89" i="80"/>
  <c r="N5" i="80"/>
  <c r="C10" i="80"/>
  <c r="P13" i="80"/>
  <c r="N18" i="80"/>
  <c r="E25" i="80"/>
  <c r="P33" i="80"/>
  <c r="F42" i="80"/>
  <c r="B55" i="80"/>
  <c r="I85" i="80"/>
  <c r="B199" i="80"/>
  <c r="F195" i="80"/>
  <c r="N39" i="80"/>
  <c r="I32" i="80"/>
  <c r="A25" i="80"/>
  <c r="F19" i="80"/>
  <c r="M14" i="80"/>
  <c r="H11" i="80"/>
  <c r="N3" i="80"/>
  <c r="B69" i="80"/>
  <c r="P6" i="80"/>
  <c r="A11" i="80"/>
  <c r="N14" i="80"/>
  <c r="D20" i="80"/>
  <c r="L26" i="80"/>
  <c r="B36" i="80"/>
  <c r="M45" i="80"/>
  <c r="A62" i="80"/>
  <c r="L95" i="80"/>
  <c r="I6" i="80"/>
  <c r="K10" i="80"/>
  <c r="G14" i="80"/>
  <c r="K19" i="80"/>
  <c r="B26" i="80"/>
  <c r="D35" i="80"/>
  <c r="N43" i="80"/>
  <c r="M58" i="80"/>
  <c r="H90" i="80"/>
  <c r="K198" i="80"/>
  <c r="O194" i="80"/>
  <c r="B191" i="80"/>
  <c r="F187" i="80"/>
  <c r="J183" i="80"/>
  <c r="N179" i="80"/>
  <c r="A176" i="80"/>
  <c r="E172" i="80"/>
  <c r="I168" i="80"/>
  <c r="M164" i="80"/>
  <c r="P200" i="80"/>
  <c r="C197" i="80"/>
  <c r="G193" i="80"/>
  <c r="K189" i="80"/>
  <c r="O185" i="80"/>
  <c r="B182" i="80"/>
  <c r="F178" i="80"/>
  <c r="O200" i="80"/>
  <c r="B197" i="80"/>
  <c r="F193" i="80"/>
  <c r="J189" i="80"/>
  <c r="N185" i="80"/>
  <c r="A182" i="80"/>
  <c r="E178" i="80"/>
  <c r="I174" i="80"/>
  <c r="M170" i="80"/>
  <c r="Q166" i="80"/>
  <c r="D163" i="80"/>
  <c r="G199" i="80"/>
  <c r="K195" i="80"/>
  <c r="O191" i="80"/>
  <c r="B188" i="80"/>
  <c r="F184" i="80"/>
  <c r="J180" i="80"/>
  <c r="N176" i="80"/>
  <c r="A173" i="80"/>
  <c r="E169" i="80"/>
  <c r="I165" i="80"/>
  <c r="M161" i="80"/>
  <c r="P197" i="80"/>
  <c r="C194" i="80"/>
  <c r="G190" i="80"/>
  <c r="K186" i="80"/>
  <c r="O182" i="80"/>
  <c r="B179" i="80"/>
  <c r="G197" i="80"/>
  <c r="K193" i="80"/>
  <c r="O189" i="80"/>
  <c r="B186" i="80"/>
  <c r="F182" i="80"/>
  <c r="J178" i="80"/>
  <c r="N174" i="80"/>
  <c r="A171" i="80"/>
  <c r="E167" i="80"/>
  <c r="I163" i="80"/>
  <c r="L199" i="80"/>
  <c r="P195" i="80"/>
  <c r="C192" i="80"/>
  <c r="G188" i="80"/>
  <c r="M49" i="80"/>
  <c r="M40" i="80"/>
  <c r="N33" i="80"/>
  <c r="N25" i="80"/>
  <c r="C20" i="80"/>
  <c r="E15" i="80"/>
  <c r="N7" i="80"/>
  <c r="A114" i="80"/>
  <c r="G7" i="80"/>
  <c r="I11" i="80"/>
  <c r="F15" i="80"/>
  <c r="A21" i="80"/>
  <c r="O27" i="80"/>
  <c r="M4" i="80"/>
  <c r="K76" i="80"/>
  <c r="K51" i="80"/>
  <c r="D42" i="80"/>
  <c r="B35" i="80"/>
  <c r="K26" i="80"/>
  <c r="Q20" i="80"/>
  <c r="P11" i="80"/>
  <c r="Q8" i="80"/>
  <c r="D5" i="80"/>
  <c r="G80" i="80"/>
  <c r="K54" i="80"/>
  <c r="L43" i="80"/>
  <c r="A36" i="80"/>
  <c r="K27" i="80"/>
  <c r="M15" i="80"/>
  <c r="F4" i="80"/>
  <c r="J8" i="80"/>
  <c r="H12" i="80"/>
  <c r="F16" i="80"/>
  <c r="I22" i="80"/>
  <c r="A30" i="80"/>
  <c r="P38" i="80"/>
  <c r="M48" i="80"/>
  <c r="F73" i="80"/>
  <c r="P3" i="80"/>
  <c r="P7" i="80"/>
  <c r="A12" i="80"/>
  <c r="O15" i="80"/>
  <c r="P21" i="80"/>
  <c r="P28" i="80"/>
  <c r="A38" i="80"/>
  <c r="L47" i="80"/>
  <c r="A70" i="80"/>
  <c r="Q200" i="80"/>
  <c r="D197" i="80"/>
  <c r="H193" i="80"/>
  <c r="L189" i="80"/>
  <c r="P185" i="80"/>
  <c r="C182" i="80"/>
  <c r="G178" i="80"/>
  <c r="K174" i="80"/>
  <c r="O170" i="80"/>
  <c r="B167" i="80"/>
  <c r="F163" i="80"/>
  <c r="I199" i="80"/>
  <c r="M195" i="80"/>
  <c r="Q191" i="80"/>
  <c r="D188" i="80"/>
  <c r="O12" i="80"/>
  <c r="J9" i="80"/>
  <c r="L5" i="80"/>
  <c r="H84" i="80"/>
  <c r="N57" i="80"/>
  <c r="L45" i="80"/>
  <c r="Q36" i="80"/>
  <c r="K21" i="80"/>
  <c r="N4" i="80"/>
  <c r="A9" i="80"/>
  <c r="P12" i="80"/>
  <c r="E17" i="80"/>
  <c r="K23" i="80"/>
  <c r="A31" i="80"/>
  <c r="O39" i="80"/>
  <c r="B50" i="80"/>
  <c r="B77" i="80"/>
  <c r="G4" i="80"/>
  <c r="K8" i="80"/>
  <c r="I12" i="80"/>
  <c r="G16" i="80"/>
  <c r="J22" i="80"/>
  <c r="H30" i="80"/>
  <c r="Q38" i="80"/>
  <c r="N48" i="80"/>
  <c r="N73" i="80"/>
  <c r="I200" i="80"/>
  <c r="M196" i="80"/>
  <c r="Q192" i="80"/>
  <c r="D189" i="80"/>
  <c r="H185" i="80"/>
  <c r="L181" i="80"/>
  <c r="P177" i="80"/>
  <c r="C174" i="80"/>
  <c r="G170" i="80"/>
  <c r="K166" i="80"/>
  <c r="O162" i="80"/>
  <c r="A199" i="80"/>
  <c r="E195" i="80"/>
  <c r="I191" i="80"/>
  <c r="M187" i="80"/>
  <c r="Q183" i="80"/>
  <c r="D180" i="80"/>
  <c r="H176" i="80"/>
  <c r="Q198" i="80"/>
  <c r="D195" i="80"/>
  <c r="H191" i="80"/>
  <c r="L187" i="80"/>
  <c r="P183" i="80"/>
  <c r="C180" i="80"/>
  <c r="G176" i="80"/>
  <c r="K172" i="80"/>
  <c r="O168" i="80"/>
  <c r="B165" i="80"/>
  <c r="F161" i="80"/>
  <c r="I197" i="80"/>
  <c r="D17" i="80"/>
  <c r="F13" i="80"/>
  <c r="A10" i="80"/>
  <c r="E6" i="80"/>
  <c r="Q88" i="80"/>
  <c r="J61" i="80"/>
  <c r="B23" i="80"/>
  <c r="F65" i="80"/>
  <c r="B10" i="80"/>
  <c r="E24" i="80"/>
  <c r="E42" i="80"/>
  <c r="Q84" i="80"/>
  <c r="L9" i="80"/>
  <c r="C18" i="80"/>
  <c r="K32" i="80"/>
  <c r="K52" i="80"/>
  <c r="J199" i="80"/>
  <c r="A192" i="80"/>
  <c r="G186" i="80"/>
  <c r="E180" i="80"/>
  <c r="L173" i="80"/>
  <c r="A168" i="80"/>
  <c r="P161" i="80"/>
  <c r="D196" i="80"/>
  <c r="B190" i="80"/>
  <c r="H184" i="80"/>
  <c r="E179" i="80"/>
  <c r="G200" i="80"/>
  <c r="L195" i="80"/>
  <c r="I190" i="80"/>
  <c r="F185" i="80"/>
  <c r="K180" i="80"/>
  <c r="H175" i="80"/>
  <c r="E170" i="80"/>
  <c r="J165" i="80"/>
  <c r="F200" i="80"/>
  <c r="C195" i="80"/>
  <c r="P190" i="80"/>
  <c r="L186" i="80"/>
  <c r="H182" i="80"/>
  <c r="D178" i="80"/>
  <c r="Q173" i="80"/>
  <c r="M169" i="80"/>
  <c r="A165" i="80"/>
  <c r="M200" i="80"/>
  <c r="I196" i="80"/>
  <c r="E192" i="80"/>
  <c r="A188" i="80"/>
  <c r="N183" i="80"/>
  <c r="J179" i="80"/>
  <c r="P196" i="80"/>
  <c r="L192" i="80"/>
  <c r="H188" i="80"/>
  <c r="D184" i="80"/>
  <c r="Q179" i="80"/>
  <c r="M175" i="80"/>
  <c r="I171" i="80"/>
  <c r="N166" i="80"/>
  <c r="J162" i="80"/>
  <c r="E198" i="80"/>
  <c r="A194" i="80"/>
  <c r="N189" i="80"/>
  <c r="J185" i="80"/>
  <c r="N181" i="80"/>
  <c r="A178" i="80"/>
  <c r="E174" i="80"/>
  <c r="I170" i="80"/>
  <c r="M166" i="80"/>
  <c r="Q162" i="80"/>
  <c r="C199" i="80"/>
  <c r="G195" i="80"/>
  <c r="K191" i="80"/>
  <c r="O187" i="80"/>
  <c r="B184" i="80"/>
  <c r="F180" i="80"/>
  <c r="J176" i="80"/>
  <c r="N172" i="80"/>
  <c r="A169" i="80"/>
  <c r="E165" i="80"/>
  <c r="I161" i="80"/>
  <c r="H165" i="80"/>
  <c r="F158" i="80"/>
  <c r="J154" i="80"/>
  <c r="N150" i="80"/>
  <c r="A147" i="80"/>
  <c r="E143" i="80"/>
  <c r="I139" i="80"/>
  <c r="M135" i="80"/>
  <c r="Q131" i="80"/>
  <c r="D128" i="80"/>
  <c r="H124" i="80"/>
  <c r="L120" i="80"/>
  <c r="O17" i="80"/>
  <c r="P37" i="80"/>
  <c r="G13" i="80"/>
  <c r="O28" i="80"/>
  <c r="K47" i="80"/>
  <c r="M116" i="80"/>
  <c r="J11" i="80"/>
  <c r="B21" i="80"/>
  <c r="B37" i="80"/>
  <c r="E66" i="80"/>
  <c r="L197" i="80"/>
  <c r="K190" i="80"/>
  <c r="I184" i="80"/>
  <c r="O178" i="80"/>
  <c r="M172" i="80"/>
  <c r="C166" i="80"/>
  <c r="H200" i="80"/>
  <c r="F194" i="80"/>
  <c r="L188" i="80"/>
  <c r="A183" i="80"/>
  <c r="O177" i="80"/>
  <c r="H199" i="80"/>
  <c r="E194" i="80"/>
  <c r="B189" i="80"/>
  <c r="G184" i="80"/>
  <c r="D179" i="80"/>
  <c r="A174" i="80"/>
  <c r="N13" i="80"/>
  <c r="O3" i="80"/>
  <c r="O13" i="80"/>
  <c r="J32" i="80"/>
  <c r="Q51" i="80"/>
  <c r="O4" i="80"/>
  <c r="Q12" i="80"/>
  <c r="L23" i="80"/>
  <c r="P39" i="80"/>
  <c r="J77" i="80"/>
  <c r="E196" i="80"/>
  <c r="C190" i="80"/>
  <c r="A184" i="80"/>
  <c r="H177" i="80"/>
  <c r="N171" i="80"/>
  <c r="L165" i="80"/>
  <c r="Q199" i="80"/>
  <c r="O193" i="80"/>
  <c r="E187" i="80"/>
  <c r="J182" i="80"/>
  <c r="G177" i="80"/>
  <c r="I198" i="80"/>
  <c r="N193" i="80"/>
  <c r="K188" i="80"/>
  <c r="H183" i="80"/>
  <c r="M178" i="80"/>
  <c r="J173" i="80"/>
  <c r="G168" i="80"/>
  <c r="L163" i="80"/>
  <c r="H198" i="80"/>
  <c r="M193" i="80"/>
  <c r="I189" i="80"/>
  <c r="E185" i="80"/>
  <c r="A181" i="80"/>
  <c r="F176" i="80"/>
  <c r="B172" i="80"/>
  <c r="O167" i="80"/>
  <c r="K163" i="80"/>
  <c r="F199" i="80"/>
  <c r="B195" i="80"/>
  <c r="O190" i="80"/>
  <c r="C186" i="80"/>
  <c r="P181" i="80"/>
  <c r="M199" i="80"/>
  <c r="I195" i="80"/>
  <c r="E191" i="80"/>
  <c r="A187" i="80"/>
  <c r="N182" i="80"/>
  <c r="B178" i="80"/>
  <c r="O173" i="80"/>
  <c r="K169" i="80"/>
  <c r="G165" i="80"/>
  <c r="C161" i="80"/>
  <c r="O196" i="80"/>
  <c r="K192" i="80"/>
  <c r="P187" i="80"/>
  <c r="C184" i="80"/>
  <c r="G180" i="80"/>
  <c r="K176" i="80"/>
  <c r="O172" i="80"/>
  <c r="B169" i="80"/>
  <c r="F165" i="80"/>
  <c r="J161" i="80"/>
  <c r="M197" i="80"/>
  <c r="Q193" i="80"/>
  <c r="D190" i="80"/>
  <c r="H186" i="80"/>
  <c r="L182" i="80"/>
  <c r="P178" i="80"/>
  <c r="C175" i="80"/>
  <c r="G171" i="80"/>
  <c r="K167" i="80"/>
  <c r="O163" i="80"/>
  <c r="O174" i="80"/>
  <c r="I10" i="80"/>
  <c r="E5" i="80"/>
  <c r="N15" i="80"/>
  <c r="O33" i="80"/>
  <c r="Q54" i="80"/>
  <c r="F5" i="80"/>
  <c r="H13" i="80"/>
  <c r="F24" i="80"/>
  <c r="O40" i="80"/>
  <c r="F81" i="80"/>
  <c r="N195" i="80"/>
  <c r="M188" i="80"/>
  <c r="B183" i="80"/>
  <c r="Q176" i="80"/>
  <c r="F171" i="80"/>
  <c r="D165" i="80"/>
  <c r="J198" i="80"/>
  <c r="P192" i="80"/>
  <c r="N186" i="80"/>
  <c r="K181" i="80"/>
  <c r="P176" i="80"/>
  <c r="A198" i="80"/>
  <c r="O192" i="80"/>
  <c r="C188" i="80"/>
  <c r="Q182" i="80"/>
  <c r="N177" i="80"/>
  <c r="B173" i="80"/>
  <c r="P167" i="80"/>
  <c r="M162" i="80"/>
  <c r="Q197" i="80"/>
  <c r="E193" i="80"/>
  <c r="A189" i="80"/>
  <c r="N184" i="80"/>
  <c r="B180" i="80"/>
  <c r="O175" i="80"/>
  <c r="K171" i="80"/>
  <c r="G167" i="80"/>
  <c r="C163" i="80"/>
  <c r="O198" i="80"/>
  <c r="K194" i="80"/>
  <c r="P189" i="80"/>
  <c r="L185" i="80"/>
  <c r="H181" i="80"/>
  <c r="E199" i="80"/>
  <c r="A195" i="80"/>
  <c r="N190" i="80"/>
  <c r="J186" i="80"/>
  <c r="O181" i="80"/>
  <c r="O6" i="80"/>
  <c r="M5" i="80"/>
  <c r="P17" i="80"/>
  <c r="A37" i="80"/>
  <c r="N65" i="80"/>
  <c r="Q6" i="80"/>
  <c r="O14" i="80"/>
  <c r="M26" i="80"/>
  <c r="N45" i="80"/>
  <c r="I96" i="80"/>
  <c r="G194" i="80"/>
  <c r="E188" i="80"/>
  <c r="K182" i="80"/>
  <c r="I176" i="80"/>
  <c r="P169" i="80"/>
  <c r="E164" i="80"/>
  <c r="B198" i="80"/>
  <c r="H192" i="80"/>
  <c r="F186" i="80"/>
  <c r="C181" i="80"/>
  <c r="Q175" i="80"/>
  <c r="J197" i="80"/>
  <c r="G192" i="80"/>
  <c r="D187" i="80"/>
  <c r="I182" i="80"/>
  <c r="F177" i="80"/>
  <c r="C172" i="80"/>
  <c r="H167" i="80"/>
  <c r="E162" i="80"/>
  <c r="A197" i="80"/>
  <c r="N192" i="80"/>
  <c r="J188" i="80"/>
  <c r="O183" i="80"/>
  <c r="K179" i="80"/>
  <c r="G175" i="80"/>
  <c r="C171" i="80"/>
  <c r="P166" i="80"/>
  <c r="L162" i="80"/>
  <c r="G198" i="80"/>
  <c r="L193" i="80"/>
  <c r="H189" i="80"/>
  <c r="D185" i="80"/>
  <c r="Q180" i="80"/>
  <c r="N198" i="80"/>
  <c r="J194" i="80"/>
  <c r="F190" i="80"/>
  <c r="K185" i="80"/>
  <c r="G181" i="80"/>
  <c r="C177" i="80"/>
  <c r="P172" i="80"/>
  <c r="L168" i="80"/>
  <c r="H164" i="80"/>
  <c r="C200" i="80"/>
  <c r="H195" i="80"/>
  <c r="D191" i="80"/>
  <c r="O94" i="80"/>
  <c r="O7" i="80"/>
  <c r="M18" i="80"/>
  <c r="Q37" i="80"/>
  <c r="J69" i="80"/>
  <c r="H7" i="80"/>
  <c r="G15" i="80"/>
  <c r="P27" i="80"/>
  <c r="M46" i="80"/>
  <c r="L103" i="80"/>
  <c r="P193" i="80"/>
  <c r="N187" i="80"/>
  <c r="D181" i="80"/>
  <c r="K46" i="80"/>
  <c r="K9" i="80"/>
  <c r="L21" i="80"/>
  <c r="N40" i="80"/>
  <c r="O80" i="80"/>
  <c r="B9" i="80"/>
  <c r="F17" i="80"/>
  <c r="K31" i="80"/>
  <c r="D50" i="80"/>
  <c r="A200" i="80"/>
  <c r="I192" i="80"/>
  <c r="O186" i="80"/>
  <c r="M180" i="80"/>
  <c r="B175" i="80"/>
  <c r="Q168" i="80"/>
  <c r="G162" i="80"/>
  <c r="L196" i="80"/>
  <c r="J190" i="80"/>
  <c r="P184" i="80"/>
  <c r="M179" i="80"/>
  <c r="A175" i="80"/>
  <c r="C196" i="80"/>
  <c r="Q190" i="80"/>
  <c r="E186" i="80"/>
  <c r="B181" i="80"/>
  <c r="P175" i="80"/>
  <c r="D171" i="80"/>
  <c r="A166" i="80"/>
  <c r="N200" i="80"/>
  <c r="B196" i="80"/>
  <c r="G191" i="80"/>
  <c r="C187" i="80"/>
  <c r="P182" i="80"/>
  <c r="L178" i="80"/>
  <c r="H174" i="80"/>
  <c r="D170" i="80"/>
  <c r="Q165" i="80"/>
  <c r="E161" i="80"/>
  <c r="E20" i="80"/>
  <c r="D173" i="80"/>
  <c r="C189" i="80"/>
  <c r="M194" i="80"/>
  <c r="Q174" i="80"/>
  <c r="O199" i="80"/>
  <c r="K187" i="80"/>
  <c r="E177" i="80"/>
  <c r="J164" i="80"/>
  <c r="J195" i="80"/>
  <c r="B187" i="80"/>
  <c r="D200" i="80"/>
  <c r="M191" i="80"/>
  <c r="E183" i="80"/>
  <c r="E175" i="80"/>
  <c r="D168" i="80"/>
  <c r="K161" i="80"/>
  <c r="I194" i="80"/>
  <c r="H187" i="80"/>
  <c r="M182" i="80"/>
  <c r="J177" i="80"/>
  <c r="G172" i="80"/>
  <c r="L167" i="80"/>
  <c r="I162" i="80"/>
  <c r="E197" i="80"/>
  <c r="J192" i="80"/>
  <c r="G187" i="80"/>
  <c r="D182" i="80"/>
  <c r="I177" i="80"/>
  <c r="F172" i="80"/>
  <c r="C167" i="80"/>
  <c r="H162" i="80"/>
  <c r="J163" i="80"/>
  <c r="G157" i="80"/>
  <c r="C153" i="80"/>
  <c r="P148" i="80"/>
  <c r="L144" i="80"/>
  <c r="H140" i="80"/>
  <c r="D136" i="80"/>
  <c r="I131" i="80"/>
  <c r="E127" i="80"/>
  <c r="A123" i="80"/>
  <c r="N170" i="80"/>
  <c r="L159" i="80"/>
  <c r="P155" i="80"/>
  <c r="C152" i="80"/>
  <c r="G148" i="80"/>
  <c r="K144" i="80"/>
  <c r="O140" i="80"/>
  <c r="B137" i="80"/>
  <c r="F133" i="80"/>
  <c r="J129" i="80"/>
  <c r="N125" i="80"/>
  <c r="Q164" i="80"/>
  <c r="D158" i="80"/>
  <c r="H154" i="80"/>
  <c r="L150" i="80"/>
  <c r="P146" i="80"/>
  <c r="C143" i="80"/>
  <c r="G139" i="80"/>
  <c r="K135" i="80"/>
  <c r="O131" i="80"/>
  <c r="C36" i="80"/>
  <c r="H169" i="80"/>
  <c r="G185" i="80"/>
  <c r="P191" i="80"/>
  <c r="L171" i="80"/>
  <c r="P198" i="80"/>
  <c r="D186" i="80"/>
  <c r="P174" i="80"/>
  <c r="B164" i="80"/>
  <c r="D193" i="80"/>
  <c r="M184" i="80"/>
  <c r="F198" i="80"/>
  <c r="G189" i="80"/>
  <c r="P180" i="80"/>
  <c r="F174" i="80"/>
  <c r="M167" i="80"/>
  <c r="K200" i="80"/>
  <c r="J193" i="80"/>
  <c r="Q186" i="80"/>
  <c r="E182" i="80"/>
  <c r="B177" i="80"/>
  <c r="P171" i="80"/>
  <c r="D167" i="80"/>
  <c r="A162" i="80"/>
  <c r="N196" i="80"/>
  <c r="B192" i="80"/>
  <c r="P186" i="80"/>
  <c r="M181" i="80"/>
  <c r="A177" i="80"/>
  <c r="O171" i="80"/>
  <c r="L166" i="80"/>
  <c r="Q161" i="80"/>
  <c r="L161" i="80"/>
  <c r="P156" i="80"/>
  <c r="L152" i="80"/>
  <c r="H148" i="80"/>
  <c r="D144" i="80"/>
  <c r="Q139" i="80"/>
  <c r="E135" i="80"/>
  <c r="A131" i="80"/>
  <c r="N126" i="80"/>
  <c r="J122" i="80"/>
  <c r="P168" i="80"/>
  <c r="D159" i="80"/>
  <c r="H155" i="80"/>
  <c r="L151" i="80"/>
  <c r="P147" i="80"/>
  <c r="C144" i="80"/>
  <c r="G140" i="80"/>
  <c r="K136" i="80"/>
  <c r="O132" i="80"/>
  <c r="B129" i="80"/>
  <c r="F125" i="80"/>
  <c r="B163" i="80"/>
  <c r="M157" i="80"/>
  <c r="Q153" i="80"/>
  <c r="D150" i="80"/>
  <c r="H146" i="80"/>
  <c r="L142" i="80"/>
  <c r="P138" i="80"/>
  <c r="C135" i="80"/>
  <c r="D177" i="80"/>
  <c r="Q160" i="80"/>
  <c r="D157" i="80"/>
  <c r="H153" i="80"/>
  <c r="L149" i="80"/>
  <c r="P145" i="80"/>
  <c r="K162" i="80"/>
  <c r="E176" i="80"/>
  <c r="O160" i="80"/>
  <c r="B157" i="80"/>
  <c r="F153" i="80"/>
  <c r="A164" i="80"/>
  <c r="Q157" i="80"/>
  <c r="D154" i="80"/>
  <c r="H150" i="80"/>
  <c r="L146" i="80"/>
  <c r="J149" i="80"/>
  <c r="B142" i="80"/>
  <c r="A136" i="80"/>
  <c r="F130" i="80"/>
  <c r="E125" i="80"/>
  <c r="Q120" i="80"/>
  <c r="C117" i="80"/>
  <c r="G113" i="80"/>
  <c r="N28" i="80"/>
  <c r="I62" i="80"/>
  <c r="J167" i="80"/>
  <c r="I183" i="80"/>
  <c r="A190" i="80"/>
  <c r="N169" i="80"/>
  <c r="J196" i="80"/>
  <c r="M185" i="80"/>
  <c r="I173" i="80"/>
  <c r="D162" i="80"/>
  <c r="M192" i="80"/>
  <c r="E184" i="80"/>
  <c r="O197" i="80"/>
  <c r="P188" i="80"/>
  <c r="H180" i="80"/>
  <c r="G173" i="80"/>
  <c r="F166" i="80"/>
  <c r="D199" i="80"/>
  <c r="B193" i="80"/>
  <c r="I186" i="80"/>
  <c r="F181" i="80"/>
  <c r="C176" i="80"/>
  <c r="H171" i="80"/>
  <c r="E166" i="80"/>
  <c r="B161" i="80"/>
  <c r="F196" i="80"/>
  <c r="C191" i="80"/>
  <c r="Q185" i="80"/>
  <c r="E181" i="80"/>
  <c r="B176" i="80"/>
  <c r="P170" i="80"/>
  <c r="D166" i="80"/>
  <c r="A161" i="80"/>
  <c r="L160" i="80"/>
  <c r="H156" i="80"/>
  <c r="D152" i="80"/>
  <c r="Q147" i="80"/>
  <c r="M143" i="80"/>
  <c r="A139" i="80"/>
  <c r="N134" i="80"/>
  <c r="J130" i="80"/>
  <c r="F126" i="80"/>
  <c r="B122" i="80"/>
  <c r="Q11" i="80"/>
  <c r="C198" i="80"/>
  <c r="N163" i="80"/>
  <c r="L180" i="80"/>
  <c r="M186" i="80"/>
  <c r="F169" i="80"/>
  <c r="L194" i="80"/>
  <c r="G183" i="80"/>
  <c r="J172" i="80"/>
  <c r="E200" i="80"/>
  <c r="N191" i="80"/>
  <c r="F183" i="80"/>
  <c r="H196" i="80"/>
  <c r="Q187" i="80"/>
  <c r="I179" i="80"/>
  <c r="H172" i="80"/>
  <c r="O165" i="80"/>
  <c r="M198" i="80"/>
  <c r="L191" i="80"/>
  <c r="A186" i="80"/>
  <c r="O180" i="80"/>
  <c r="L175" i="80"/>
  <c r="Q170" i="80"/>
  <c r="N165" i="80"/>
  <c r="J200" i="80"/>
  <c r="O195" i="80"/>
  <c r="L190" i="80"/>
  <c r="I185" i="80"/>
  <c r="N180" i="80"/>
  <c r="K175" i="80"/>
  <c r="H170" i="80"/>
  <c r="M165" i="80"/>
  <c r="K178" i="80"/>
  <c r="D160" i="80"/>
  <c r="Q155" i="80"/>
  <c r="M151" i="80"/>
  <c r="I147" i="80"/>
  <c r="N142" i="80"/>
  <c r="J138" i="80"/>
  <c r="F134" i="80"/>
  <c r="B130" i="80"/>
  <c r="O125" i="80"/>
  <c r="K121" i="80"/>
  <c r="C165" i="80"/>
  <c r="E158" i="80"/>
  <c r="I154" i="80"/>
  <c r="M150" i="80"/>
  <c r="Q146" i="80"/>
  <c r="D143" i="80"/>
  <c r="H139" i="80"/>
  <c r="L135" i="80"/>
  <c r="P131" i="80"/>
  <c r="C128" i="80"/>
  <c r="G174" i="80"/>
  <c r="J160" i="80"/>
  <c r="N156" i="80"/>
  <c r="A153" i="80"/>
  <c r="E149" i="80"/>
  <c r="I145" i="80"/>
  <c r="M141" i="80"/>
  <c r="Q137" i="80"/>
  <c r="D134" i="80"/>
  <c r="D172" i="80"/>
  <c r="A160" i="80"/>
  <c r="E156" i="80"/>
  <c r="I152" i="80"/>
  <c r="M148" i="80"/>
  <c r="P173" i="80"/>
  <c r="H160" i="80"/>
  <c r="M171" i="80"/>
  <c r="P159" i="80"/>
  <c r="C156" i="80"/>
  <c r="N175" i="80"/>
  <c r="N160" i="80"/>
  <c r="A157" i="80"/>
  <c r="E153" i="80"/>
  <c r="I149" i="80"/>
  <c r="M160" i="80"/>
  <c r="B147" i="80"/>
  <c r="K140" i="80"/>
  <c r="J134" i="80"/>
  <c r="A129" i="80"/>
  <c r="D124" i="80"/>
  <c r="Q119" i="80"/>
  <c r="D116" i="80"/>
  <c r="D25" i="80"/>
  <c r="J191" i="80"/>
  <c r="H161" i="80"/>
  <c r="N178" i="80"/>
  <c r="O184" i="80"/>
  <c r="I166" i="80"/>
  <c r="D194" i="80"/>
  <c r="Q181" i="80"/>
  <c r="L170" i="80"/>
  <c r="N199" i="80"/>
  <c r="F191" i="80"/>
  <c r="G182" i="80"/>
  <c r="Q195" i="80"/>
  <c r="I187" i="80"/>
  <c r="A179" i="80"/>
  <c r="Q171" i="80"/>
  <c r="P164" i="80"/>
  <c r="N197" i="80"/>
  <c r="M190" i="80"/>
  <c r="B185" i="80"/>
  <c r="P179" i="80"/>
  <c r="D175" i="80"/>
  <c r="A170" i="80"/>
  <c r="O164" i="80"/>
  <c r="B200" i="80"/>
  <c r="P194" i="80"/>
  <c r="M189" i="80"/>
  <c r="L46" i="80"/>
  <c r="Q184" i="80"/>
  <c r="K197" i="80"/>
  <c r="I175" i="80"/>
  <c r="J181" i="80"/>
  <c r="K164" i="80"/>
  <c r="F192" i="80"/>
  <c r="I181" i="80"/>
  <c r="N168" i="80"/>
  <c r="H197" i="80"/>
  <c r="Q188" i="80"/>
  <c r="I180" i="80"/>
  <c r="B194" i="80"/>
  <c r="C185" i="80"/>
  <c r="K177" i="80"/>
  <c r="J170" i="80"/>
  <c r="Q163" i="80"/>
  <c r="F197" i="80"/>
  <c r="E190" i="80"/>
  <c r="K184" i="80"/>
  <c r="H179" i="80"/>
  <c r="M174" i="80"/>
  <c r="J169" i="80"/>
  <c r="G164" i="80"/>
  <c r="K199" i="80"/>
  <c r="H194" i="80"/>
  <c r="E189" i="80"/>
  <c r="J184" i="80"/>
  <c r="G179" i="80"/>
  <c r="D174" i="80"/>
  <c r="I169" i="80"/>
  <c r="F164" i="80"/>
  <c r="B171" i="80"/>
  <c r="E159" i="80"/>
  <c r="A155" i="80"/>
  <c r="F150" i="80"/>
  <c r="B146" i="80"/>
  <c r="O141" i="80"/>
  <c r="K137" i="80"/>
  <c r="G133" i="80"/>
  <c r="C129" i="80"/>
  <c r="P124" i="80"/>
  <c r="C178" i="80"/>
  <c r="G161" i="80"/>
  <c r="F157" i="80"/>
  <c r="J153" i="80"/>
  <c r="N149" i="80"/>
  <c r="A146" i="80"/>
  <c r="E142" i="80"/>
  <c r="I138" i="80"/>
  <c r="M134" i="80"/>
  <c r="Q130" i="80"/>
  <c r="D127" i="80"/>
  <c r="K170" i="80"/>
  <c r="K159" i="80"/>
  <c r="O155" i="80"/>
  <c r="B152" i="80"/>
  <c r="F148" i="80"/>
  <c r="J144" i="80"/>
  <c r="N140" i="80"/>
  <c r="A137" i="80"/>
  <c r="E133" i="80"/>
  <c r="H168" i="80"/>
  <c r="B159" i="80"/>
  <c r="F155" i="80"/>
  <c r="J151" i="80"/>
  <c r="N147" i="80"/>
  <c r="C170" i="80"/>
  <c r="I159" i="80"/>
  <c r="Q167" i="80"/>
  <c r="Q158" i="80"/>
  <c r="D155" i="80"/>
  <c r="J171" i="80"/>
  <c r="O159" i="80"/>
  <c r="B156" i="80"/>
  <c r="F152" i="80"/>
  <c r="J148" i="80"/>
  <c r="L102" i="80"/>
  <c r="F179" i="80"/>
  <c r="N194" i="80"/>
  <c r="P199" i="80"/>
  <c r="L179" i="80"/>
  <c r="C164" i="80"/>
  <c r="H190" i="80"/>
  <c r="C179" i="80"/>
  <c r="F168" i="80"/>
  <c r="Q196" i="80"/>
  <c r="I188" i="80"/>
  <c r="A180" i="80"/>
  <c r="C193" i="80"/>
  <c r="L184" i="80"/>
  <c r="L176" i="80"/>
  <c r="B170" i="80"/>
  <c r="A163" i="80"/>
  <c r="G196" i="80"/>
  <c r="F189" i="80"/>
  <c r="L183" i="80"/>
  <c r="Q178" i="80"/>
  <c r="N173" i="80"/>
  <c r="K168" i="80"/>
  <c r="P163" i="80"/>
  <c r="L198" i="80"/>
  <c r="I193" i="80"/>
  <c r="N188" i="80"/>
  <c r="K183" i="80"/>
  <c r="H178" i="80"/>
  <c r="M173" i="80"/>
  <c r="J168" i="80"/>
  <c r="G163" i="80"/>
  <c r="D169" i="80"/>
  <c r="N158" i="80"/>
  <c r="B154" i="80"/>
  <c r="O149" i="80"/>
  <c r="K145" i="80"/>
  <c r="G141" i="80"/>
  <c r="C137" i="80"/>
  <c r="P132" i="80"/>
  <c r="L128" i="80"/>
  <c r="Q123" i="80"/>
  <c r="J174" i="80"/>
  <c r="K160" i="80"/>
  <c r="O156" i="80"/>
  <c r="B153" i="80"/>
  <c r="F149" i="80"/>
  <c r="J145" i="80"/>
  <c r="N141" i="80"/>
  <c r="A138" i="80"/>
  <c r="E134" i="80"/>
  <c r="I130" i="80"/>
  <c r="M126" i="80"/>
  <c r="M168" i="80"/>
  <c r="C159" i="80"/>
  <c r="G155" i="80"/>
  <c r="K151" i="80"/>
  <c r="O147" i="80"/>
  <c r="B144" i="80"/>
  <c r="F140" i="80"/>
  <c r="J136" i="80"/>
  <c r="N132" i="80"/>
  <c r="J166" i="80"/>
  <c r="K158" i="80"/>
  <c r="O154" i="80"/>
  <c r="B151" i="80"/>
  <c r="F147" i="80"/>
  <c r="E168" i="80"/>
  <c r="A159" i="80"/>
  <c r="B166" i="80"/>
  <c r="I158" i="80"/>
  <c r="M154" i="80"/>
  <c r="L169" i="80"/>
  <c r="G159" i="80"/>
  <c r="K155" i="80"/>
  <c r="O151" i="80"/>
  <c r="B148" i="80"/>
  <c r="L153" i="80"/>
  <c r="G144" i="80"/>
  <c r="F138" i="80"/>
  <c r="E132" i="80"/>
  <c r="C127" i="80"/>
  <c r="K122" i="80"/>
  <c r="J118" i="80"/>
  <c r="N114" i="80"/>
  <c r="B11" i="80"/>
  <c r="J175" i="80"/>
  <c r="A191" i="80"/>
  <c r="K196" i="80"/>
  <c r="O176" i="80"/>
  <c r="N161" i="80"/>
  <c r="Q189" i="80"/>
  <c r="M177" i="80"/>
  <c r="H166" i="80"/>
  <c r="A196" i="80"/>
  <c r="J187" i="80"/>
  <c r="L200" i="80"/>
  <c r="D192" i="80"/>
  <c r="M183" i="80"/>
  <c r="D176" i="80"/>
  <c r="C169" i="80"/>
  <c r="B162" i="80"/>
  <c r="Q194" i="80"/>
  <c r="O188" i="80"/>
  <c r="D183" i="80"/>
  <c r="I178" i="80"/>
  <c r="F173" i="80"/>
  <c r="C168" i="80"/>
  <c r="H163" i="80"/>
  <c r="D198" i="80"/>
  <c r="A193" i="80"/>
  <c r="F188" i="80"/>
  <c r="C183" i="80"/>
  <c r="Q177" i="80"/>
  <c r="E173" i="80"/>
  <c r="B168" i="80"/>
  <c r="P162" i="80"/>
  <c r="F167" i="80"/>
  <c r="O157" i="80"/>
  <c r="K153" i="80"/>
  <c r="G149" i="80"/>
  <c r="C145" i="80"/>
  <c r="P140" i="80"/>
  <c r="M159" i="80"/>
  <c r="H132" i="80"/>
  <c r="E163" i="80"/>
  <c r="D151" i="80"/>
  <c r="F141" i="80"/>
  <c r="H131" i="80"/>
  <c r="D161" i="80"/>
  <c r="C151" i="80"/>
  <c r="E141" i="80"/>
  <c r="B174" i="80"/>
  <c r="M156" i="80"/>
  <c r="D149" i="80"/>
  <c r="P160" i="80"/>
  <c r="G160" i="80"/>
  <c r="O152" i="80"/>
  <c r="I157" i="80"/>
  <c r="Q149" i="80"/>
  <c r="O150" i="80"/>
  <c r="C139" i="80"/>
  <c r="M129" i="80"/>
  <c r="A122" i="80"/>
  <c r="M115" i="80"/>
  <c r="A111" i="80"/>
  <c r="E107" i="80"/>
  <c r="I103" i="80"/>
  <c r="M99" i="80"/>
  <c r="Q95" i="80"/>
  <c r="D92" i="80"/>
  <c r="H88" i="80"/>
  <c r="L84" i="80"/>
  <c r="C157" i="80"/>
  <c r="N145" i="80"/>
  <c r="M139" i="80"/>
  <c r="L133" i="80"/>
  <c r="G128" i="80"/>
  <c r="K123" i="80"/>
  <c r="H119" i="80"/>
  <c r="L115" i="80"/>
  <c r="P111" i="80"/>
  <c r="C108" i="80"/>
  <c r="G104" i="80"/>
  <c r="K100" i="80"/>
  <c r="O96" i="80"/>
  <c r="B93" i="80"/>
  <c r="F89" i="80"/>
  <c r="N151" i="80"/>
  <c r="H143" i="80"/>
  <c r="G137" i="80"/>
  <c r="G131" i="80"/>
  <c r="H126" i="80"/>
  <c r="P121" i="80"/>
  <c r="Q117" i="80"/>
  <c r="D114" i="80"/>
  <c r="H110" i="80"/>
  <c r="L106" i="80"/>
  <c r="P102" i="80"/>
  <c r="C99" i="80"/>
  <c r="G95" i="80"/>
  <c r="K91" i="80"/>
  <c r="F159" i="80"/>
  <c r="K146" i="80"/>
  <c r="E140" i="80"/>
  <c r="G134" i="80"/>
  <c r="O128" i="80"/>
  <c r="A124" i="80"/>
  <c r="N119" i="80"/>
  <c r="A116" i="80"/>
  <c r="E112" i="80"/>
  <c r="I108" i="80"/>
  <c r="M104" i="80"/>
  <c r="Q100" i="80"/>
  <c r="O158" i="80"/>
  <c r="F146" i="80"/>
  <c r="D140" i="80"/>
  <c r="C134" i="80"/>
  <c r="N128" i="80"/>
  <c r="P123" i="80"/>
  <c r="M119" i="80"/>
  <c r="Q115" i="80"/>
  <c r="D112" i="80"/>
  <c r="H108" i="80"/>
  <c r="L104" i="80"/>
  <c r="H152" i="80"/>
  <c r="P143" i="80"/>
  <c r="I155" i="80"/>
  <c r="K129" i="80"/>
  <c r="C160" i="80"/>
  <c r="E150" i="80"/>
  <c r="P139" i="80"/>
  <c r="A130" i="80"/>
  <c r="B160" i="80"/>
  <c r="M149" i="80"/>
  <c r="O139" i="80"/>
  <c r="F170" i="80"/>
  <c r="N155" i="80"/>
  <c r="E148" i="80"/>
  <c r="Q159" i="80"/>
  <c r="H159" i="80"/>
  <c r="H173" i="80"/>
  <c r="J156" i="80"/>
  <c r="A149" i="80"/>
  <c r="D148" i="80"/>
  <c r="L137" i="80"/>
  <c r="H128" i="80"/>
  <c r="I121" i="80"/>
  <c r="E115" i="80"/>
  <c r="J110" i="80"/>
  <c r="N106" i="80"/>
  <c r="A103" i="80"/>
  <c r="E99" i="80"/>
  <c r="I95" i="80"/>
  <c r="M91" i="80"/>
  <c r="Q87" i="80"/>
  <c r="D84" i="80"/>
  <c r="E155" i="80"/>
  <c r="Q144" i="80"/>
  <c r="B139" i="80"/>
  <c r="A133" i="80"/>
  <c r="N127" i="80"/>
  <c r="B123" i="80"/>
  <c r="Q118" i="80"/>
  <c r="D115" i="80"/>
  <c r="H111" i="80"/>
  <c r="L107" i="80"/>
  <c r="P103" i="80"/>
  <c r="C100" i="80"/>
  <c r="G96" i="80"/>
  <c r="K92" i="80"/>
  <c r="O88" i="80"/>
  <c r="I150" i="80"/>
  <c r="K142" i="80"/>
  <c r="M136" i="80"/>
  <c r="N130" i="80"/>
  <c r="M125" i="80"/>
  <c r="G121" i="80"/>
  <c r="I117" i="80"/>
  <c r="M113" i="80"/>
  <c r="Q109" i="80"/>
  <c r="D106" i="80"/>
  <c r="H102" i="80"/>
  <c r="L98" i="80"/>
  <c r="P94" i="80"/>
  <c r="C91" i="80"/>
  <c r="L156" i="80"/>
  <c r="L145" i="80"/>
  <c r="K139" i="80"/>
  <c r="J133" i="80"/>
  <c r="E128" i="80"/>
  <c r="H123" i="80"/>
  <c r="F119" i="80"/>
  <c r="J115" i="80"/>
  <c r="N111" i="80"/>
  <c r="A108" i="80"/>
  <c r="E104" i="80"/>
  <c r="I100" i="80"/>
  <c r="I156" i="80"/>
  <c r="H145" i="80"/>
  <c r="J139" i="80"/>
  <c r="I133" i="80"/>
  <c r="B128" i="80"/>
  <c r="G123" i="80"/>
  <c r="E119" i="80"/>
  <c r="I115" i="80"/>
  <c r="M111" i="80"/>
  <c r="Q107" i="80"/>
  <c r="D104" i="80"/>
  <c r="F151" i="80"/>
  <c r="B143" i="80"/>
  <c r="D137" i="80"/>
  <c r="A185" i="80"/>
  <c r="E151" i="80"/>
  <c r="M127" i="80"/>
  <c r="M158" i="80"/>
  <c r="O148" i="80"/>
  <c r="Q138" i="80"/>
  <c r="K128" i="80"/>
  <c r="L158" i="80"/>
  <c r="N148" i="80"/>
  <c r="H138" i="80"/>
  <c r="L164" i="80"/>
  <c r="G154" i="80"/>
  <c r="O146" i="80"/>
  <c r="J158" i="80"/>
  <c r="A158" i="80"/>
  <c r="N167" i="80"/>
  <c r="C155" i="80"/>
  <c r="K147" i="80"/>
  <c r="O145" i="80"/>
  <c r="O136" i="80"/>
  <c r="O127" i="80"/>
  <c r="H120" i="80"/>
  <c r="F114" i="80"/>
  <c r="B110" i="80"/>
  <c r="F106" i="80"/>
  <c r="J102" i="80"/>
  <c r="N98" i="80"/>
  <c r="A95" i="80"/>
  <c r="E91" i="80"/>
  <c r="I87" i="80"/>
  <c r="M83" i="80"/>
  <c r="G153" i="80"/>
  <c r="F144" i="80"/>
  <c r="E138" i="80"/>
  <c r="D132" i="80"/>
  <c r="B127" i="80"/>
  <c r="I122" i="80"/>
  <c r="I118" i="80"/>
  <c r="M114" i="80"/>
  <c r="Q110" i="80"/>
  <c r="D107" i="80"/>
  <c r="H103" i="80"/>
  <c r="L99" i="80"/>
  <c r="P95" i="80"/>
  <c r="C92" i="80"/>
  <c r="G88" i="80"/>
  <c r="C149" i="80"/>
  <c r="Q141" i="80"/>
  <c r="P135" i="80"/>
  <c r="D130" i="80"/>
  <c r="C125" i="80"/>
  <c r="O120" i="80"/>
  <c r="A117" i="80"/>
  <c r="E113" i="80"/>
  <c r="I109" i="80"/>
  <c r="M105" i="80"/>
  <c r="Q101" i="80"/>
  <c r="D98" i="80"/>
  <c r="H94" i="80"/>
  <c r="L90" i="80"/>
  <c r="N154" i="80"/>
  <c r="O144" i="80"/>
  <c r="N138" i="80"/>
  <c r="M132" i="80"/>
  <c r="J127" i="80"/>
  <c r="P122" i="80"/>
  <c r="O118" i="80"/>
  <c r="B115" i="80"/>
  <c r="F111" i="80"/>
  <c r="J107" i="80"/>
  <c r="N103" i="80"/>
  <c r="A100" i="80"/>
  <c r="K154" i="80"/>
  <c r="N144" i="80"/>
  <c r="M138" i="80"/>
  <c r="L132" i="80"/>
  <c r="I127" i="80"/>
  <c r="O122" i="80"/>
  <c r="N118" i="80"/>
  <c r="A115" i="80"/>
  <c r="E111" i="80"/>
  <c r="I107" i="80"/>
  <c r="M103" i="80"/>
  <c r="A150" i="80"/>
  <c r="H142" i="80"/>
  <c r="O179" i="80"/>
  <c r="J146" i="80"/>
  <c r="G125" i="80"/>
  <c r="N157" i="80"/>
  <c r="H147" i="80"/>
  <c r="J137" i="80"/>
  <c r="L127" i="80"/>
  <c r="E157" i="80"/>
  <c r="G147" i="80"/>
  <c r="I137" i="80"/>
  <c r="N162" i="80"/>
  <c r="P153" i="80"/>
  <c r="G146" i="80"/>
  <c r="B158" i="80"/>
  <c r="J157" i="80"/>
  <c r="P165" i="80"/>
  <c r="L154" i="80"/>
  <c r="C147" i="80"/>
  <c r="D145" i="80"/>
  <c r="G135" i="80"/>
  <c r="J126" i="80"/>
  <c r="I119" i="80"/>
  <c r="O113" i="80"/>
  <c r="K109" i="80"/>
  <c r="O105" i="80"/>
  <c r="L174" i="80"/>
  <c r="F142" i="80"/>
  <c r="I123" i="80"/>
  <c r="G156" i="80"/>
  <c r="I146" i="80"/>
  <c r="C136" i="80"/>
  <c r="E126" i="80"/>
  <c r="F156" i="80"/>
  <c r="Q145" i="80"/>
  <c r="B136" i="80"/>
  <c r="I160" i="80"/>
  <c r="Q152" i="80"/>
  <c r="M176" i="80"/>
  <c r="K173" i="80"/>
  <c r="K156" i="80"/>
  <c r="C162" i="80"/>
  <c r="M153" i="80"/>
  <c r="F175" i="80"/>
  <c r="J143" i="80"/>
  <c r="P133" i="80"/>
  <c r="Q125" i="80"/>
  <c r="A119" i="80"/>
  <c r="P112" i="80"/>
  <c r="C109" i="80"/>
  <c r="G105" i="80"/>
  <c r="K101" i="80"/>
  <c r="O97" i="80"/>
  <c r="B94" i="80"/>
  <c r="F90" i="80"/>
  <c r="J86" i="80"/>
  <c r="N82" i="80"/>
  <c r="J150" i="80"/>
  <c r="O142" i="80"/>
  <c r="N136" i="80"/>
  <c r="O130" i="80"/>
  <c r="P125" i="80"/>
  <c r="H121" i="80"/>
  <c r="J117" i="80"/>
  <c r="N113" i="80"/>
  <c r="A110" i="80"/>
  <c r="E106" i="80"/>
  <c r="I102" i="80"/>
  <c r="M98" i="80"/>
  <c r="Q94" i="80"/>
  <c r="D91" i="80"/>
  <c r="N159" i="80"/>
  <c r="M146" i="80"/>
  <c r="I140" i="80"/>
  <c r="H134" i="80"/>
  <c r="P128" i="80"/>
  <c r="B124" i="80"/>
  <c r="O119" i="80"/>
  <c r="B116" i="80"/>
  <c r="F112" i="80"/>
  <c r="J108" i="80"/>
  <c r="N104" i="80"/>
  <c r="A101" i="80"/>
  <c r="E97" i="80"/>
  <c r="I93" i="80"/>
  <c r="M89" i="80"/>
  <c r="I151" i="80"/>
  <c r="G143" i="80"/>
  <c r="F137" i="80"/>
  <c r="F131" i="80"/>
  <c r="G126" i="80"/>
  <c r="O121" i="80"/>
  <c r="P117" i="80"/>
  <c r="C114" i="80"/>
  <c r="G110" i="80"/>
  <c r="K106" i="80"/>
  <c r="O102" i="80"/>
  <c r="B99" i="80"/>
  <c r="H151" i="80"/>
  <c r="F143" i="80"/>
  <c r="E137" i="80"/>
  <c r="Q169" i="80"/>
  <c r="B138" i="80"/>
  <c r="C121" i="80"/>
  <c r="Q154" i="80"/>
  <c r="B145" i="80"/>
  <c r="D135" i="80"/>
  <c r="L177" i="80"/>
  <c r="P154" i="80"/>
  <c r="A145" i="80"/>
  <c r="L134" i="80"/>
  <c r="J159" i="80"/>
  <c r="A152" i="80"/>
  <c r="A172" i="80"/>
  <c r="O169" i="80"/>
  <c r="L155" i="80"/>
  <c r="F160" i="80"/>
  <c r="N152" i="80"/>
  <c r="H157" i="80"/>
  <c r="P142" i="80"/>
  <c r="B133" i="80"/>
  <c r="M124" i="80"/>
  <c r="B118" i="80"/>
  <c r="H112" i="80"/>
  <c r="L108" i="80"/>
  <c r="P104" i="80"/>
  <c r="C101" i="80"/>
  <c r="G97" i="80"/>
  <c r="K93" i="80"/>
  <c r="O89" i="80"/>
  <c r="B86" i="80"/>
  <c r="F82" i="80"/>
  <c r="H149" i="80"/>
  <c r="A142" i="80"/>
  <c r="Q135" i="80"/>
  <c r="E130" i="80"/>
  <c r="D125" i="80"/>
  <c r="P120" i="80"/>
  <c r="B117" i="80"/>
  <c r="F113" i="80"/>
  <c r="J109" i="80"/>
  <c r="N105" i="80"/>
  <c r="A102" i="80"/>
  <c r="E98" i="80"/>
  <c r="I94" i="80"/>
  <c r="M90" i="80"/>
  <c r="Q156" i="80"/>
  <c r="M145" i="80"/>
  <c r="L139" i="80"/>
  <c r="K133" i="80"/>
  <c r="F128" i="80"/>
  <c r="J123" i="80"/>
  <c r="G119" i="80"/>
  <c r="K115" i="80"/>
  <c r="O111" i="80"/>
  <c r="B108" i="80"/>
  <c r="F104" i="80"/>
  <c r="J100" i="80"/>
  <c r="N96" i="80"/>
  <c r="A93" i="80"/>
  <c r="E89" i="80"/>
  <c r="G150" i="80"/>
  <c r="J142" i="80"/>
  <c r="I136" i="80"/>
  <c r="M130" i="80"/>
  <c r="L125" i="80"/>
  <c r="F121" i="80"/>
  <c r="H117" i="80"/>
  <c r="L113" i="80"/>
  <c r="P109" i="80"/>
  <c r="C106" i="80"/>
  <c r="G102" i="80"/>
  <c r="K98" i="80"/>
  <c r="B150" i="80"/>
  <c r="I142" i="80"/>
  <c r="H136" i="80"/>
  <c r="L130" i="80"/>
  <c r="K125" i="80"/>
  <c r="E121" i="80"/>
  <c r="G117" i="80"/>
  <c r="K113" i="80"/>
  <c r="O109" i="80"/>
  <c r="B106" i="80"/>
  <c r="G158" i="80"/>
  <c r="E146" i="80"/>
  <c r="N164" i="80"/>
  <c r="L136" i="80"/>
  <c r="L172" i="80"/>
  <c r="A154" i="80"/>
  <c r="L143" i="80"/>
  <c r="N133" i="80"/>
  <c r="I172" i="80"/>
  <c r="I153" i="80"/>
  <c r="K143" i="80"/>
  <c r="M133" i="80"/>
  <c r="C158" i="80"/>
  <c r="K150" i="80"/>
  <c r="G166" i="80"/>
  <c r="D164" i="80"/>
  <c r="E154" i="80"/>
  <c r="P158" i="80"/>
  <c r="G151" i="80"/>
  <c r="J155" i="80"/>
  <c r="H141" i="80"/>
  <c r="K131" i="80"/>
  <c r="L123" i="80"/>
  <c r="K117" i="80"/>
  <c r="Q111" i="80"/>
  <c r="D108" i="80"/>
  <c r="H104" i="80"/>
  <c r="L100" i="80"/>
  <c r="P96" i="80"/>
  <c r="C93" i="80"/>
  <c r="G89" i="80"/>
  <c r="K85" i="80"/>
  <c r="C173" i="80"/>
  <c r="C148" i="80"/>
  <c r="D141" i="80"/>
  <c r="F135" i="80"/>
  <c r="L129" i="80"/>
  <c r="L124" i="80"/>
  <c r="G120" i="80"/>
  <c r="K116" i="80"/>
  <c r="O112" i="80"/>
  <c r="B109" i="80"/>
  <c r="F105" i="80"/>
  <c r="J101" i="80"/>
  <c r="N97" i="80"/>
  <c r="A94" i="80"/>
  <c r="E90" i="80"/>
  <c r="B155" i="80"/>
  <c r="P144" i="80"/>
  <c r="O138" i="80"/>
  <c r="Q132" i="80"/>
  <c r="K127" i="80"/>
  <c r="Q122" i="80"/>
  <c r="P118" i="80"/>
  <c r="C115" i="80"/>
  <c r="G111" i="80"/>
  <c r="K107" i="80"/>
  <c r="O103" i="80"/>
  <c r="B100" i="80"/>
  <c r="F96" i="80"/>
  <c r="Q172" i="80"/>
  <c r="O133" i="80"/>
  <c r="A167" i="80"/>
  <c r="K152" i="80"/>
  <c r="M142" i="80"/>
  <c r="G132" i="80"/>
  <c r="O166" i="80"/>
  <c r="J152" i="80"/>
  <c r="D142" i="80"/>
  <c r="F132" i="80"/>
  <c r="L157" i="80"/>
  <c r="C150" i="80"/>
  <c r="I164" i="80"/>
  <c r="F162" i="80"/>
  <c r="C123" i="80"/>
  <c r="H96" i="80"/>
  <c r="E160" i="80"/>
  <c r="Q128" i="80"/>
  <c r="G112" i="80"/>
  <c r="F97" i="80"/>
  <c r="E144" i="80"/>
  <c r="H122" i="80"/>
  <c r="C107" i="80"/>
  <c r="J92" i="80"/>
  <c r="A144" i="80"/>
  <c r="H129" i="80"/>
  <c r="Q116" i="80"/>
  <c r="B107" i="80"/>
  <c r="I167" i="80"/>
  <c r="N135" i="80"/>
  <c r="A125" i="80"/>
  <c r="P116" i="80"/>
  <c r="G109" i="80"/>
  <c r="D156" i="80"/>
  <c r="C140" i="80"/>
  <c r="H133" i="80"/>
  <c r="A128" i="80"/>
  <c r="F123" i="80"/>
  <c r="L116" i="80"/>
  <c r="J94" i="80"/>
  <c r="P151" i="80"/>
  <c r="I126" i="80"/>
  <c r="I110" i="80"/>
  <c r="H95" i="80"/>
  <c r="C141" i="80"/>
  <c r="F120" i="80"/>
  <c r="E105" i="80"/>
  <c r="B92" i="80"/>
  <c r="P141" i="80"/>
  <c r="Q126" i="80"/>
  <c r="I116" i="80"/>
  <c r="L105" i="80"/>
  <c r="M152" i="80"/>
  <c r="Q134" i="80"/>
  <c r="I124" i="80"/>
  <c r="H116" i="80"/>
  <c r="P108" i="80"/>
  <c r="F154" i="80"/>
  <c r="F139" i="80"/>
  <c r="K132" i="80"/>
  <c r="H127" i="80"/>
  <c r="N122" i="80"/>
  <c r="M118" i="80"/>
  <c r="M163" i="80"/>
  <c r="E147" i="80"/>
  <c r="M140" i="80"/>
  <c r="O134" i="80"/>
  <c r="E129" i="80"/>
  <c r="F124" i="80"/>
  <c r="B120" i="80"/>
  <c r="F116" i="80"/>
  <c r="J112" i="80"/>
  <c r="N108" i="80"/>
  <c r="D147" i="80"/>
  <c r="A112" i="80"/>
  <c r="M100" i="80"/>
  <c r="C94" i="80"/>
  <c r="C88" i="80"/>
  <c r="O83" i="80"/>
  <c r="O79" i="80"/>
  <c r="B76" i="80"/>
  <c r="F72" i="80"/>
  <c r="J68" i="80"/>
  <c r="N64" i="80"/>
  <c r="A61" i="80"/>
  <c r="E57" i="80"/>
  <c r="P52" i="80"/>
  <c r="J48" i="80"/>
  <c r="E43" i="80"/>
  <c r="M38" i="80"/>
  <c r="Q34" i="80"/>
  <c r="H29" i="80"/>
  <c r="I24" i="80"/>
  <c r="H20" i="80"/>
  <c r="L16" i="80"/>
  <c r="N115" i="80"/>
  <c r="F102" i="80"/>
  <c r="J95" i="80"/>
  <c r="I89" i="80"/>
  <c r="O84" i="80"/>
  <c r="M80" i="80"/>
  <c r="Q76" i="80"/>
  <c r="D73" i="80"/>
  <c r="H69" i="80"/>
  <c r="L65" i="80"/>
  <c r="P61" i="80"/>
  <c r="C58" i="80"/>
  <c r="G54" i="80"/>
  <c r="H49" i="80"/>
  <c r="Q44" i="80"/>
  <c r="K39" i="80"/>
  <c r="O35" i="80"/>
  <c r="L30" i="80"/>
  <c r="I25" i="80"/>
  <c r="F21" i="80"/>
  <c r="J17" i="80"/>
  <c r="D123" i="80"/>
  <c r="J104" i="80"/>
  <c r="Q96" i="80"/>
  <c r="P90" i="80"/>
  <c r="O85" i="80"/>
  <c r="K81" i="80"/>
  <c r="O77" i="80"/>
  <c r="N153" i="80"/>
  <c r="I111" i="80"/>
  <c r="L92" i="80"/>
  <c r="N146" i="80"/>
  <c r="C124" i="80"/>
  <c r="K108" i="80"/>
  <c r="J93" i="80"/>
  <c r="D138" i="80"/>
  <c r="H118" i="80"/>
  <c r="G103" i="80"/>
  <c r="D90" i="80"/>
  <c r="B141" i="80"/>
  <c r="B125" i="80"/>
  <c r="K114" i="80"/>
  <c r="D105" i="80"/>
  <c r="H158" i="80"/>
  <c r="M107" i="80"/>
  <c r="N90" i="80"/>
  <c r="I143" i="80"/>
  <c r="Q121" i="80"/>
  <c r="M106" i="80"/>
  <c r="L91" i="80"/>
  <c r="B135" i="80"/>
  <c r="J116" i="80"/>
  <c r="I101" i="80"/>
  <c r="N88" i="80"/>
  <c r="C138" i="80"/>
  <c r="J124" i="80"/>
  <c r="D113" i="80"/>
  <c r="F103" i="80"/>
  <c r="L147" i="80"/>
  <c r="E131" i="80"/>
  <c r="N121" i="80"/>
  <c r="B114" i="80"/>
  <c r="J106" i="80"/>
  <c r="J147" i="80"/>
  <c r="O137" i="80"/>
  <c r="D131" i="80"/>
  <c r="C126" i="80"/>
  <c r="M121" i="80"/>
  <c r="N117" i="80"/>
  <c r="A156" i="80"/>
  <c r="F145" i="80"/>
  <c r="E139" i="80"/>
  <c r="D133" i="80"/>
  <c r="Q127" i="80"/>
  <c r="E123" i="80"/>
  <c r="C119" i="80"/>
  <c r="G115" i="80"/>
  <c r="K111" i="80"/>
  <c r="O107" i="80"/>
  <c r="K134" i="80"/>
  <c r="E108" i="80"/>
  <c r="O98" i="80"/>
  <c r="I92" i="80"/>
  <c r="B87" i="80"/>
  <c r="M82" i="80"/>
  <c r="P78" i="80"/>
  <c r="C75" i="80"/>
  <c r="G71" i="80"/>
  <c r="K67" i="80"/>
  <c r="O63" i="80"/>
  <c r="B60" i="80"/>
  <c r="F56" i="80"/>
  <c r="H51" i="80"/>
  <c r="H47" i="80"/>
  <c r="B42" i="80"/>
  <c r="N37" i="80"/>
  <c r="L33" i="80"/>
  <c r="N27" i="80"/>
  <c r="J23" i="80"/>
  <c r="I19" i="80"/>
  <c r="C146" i="80"/>
  <c r="L111" i="80"/>
  <c r="H100" i="80"/>
  <c r="P93" i="80"/>
  <c r="B88" i="80"/>
  <c r="N83" i="80"/>
  <c r="N79" i="80"/>
  <c r="A76" i="80"/>
  <c r="E72" i="80"/>
  <c r="I68" i="80"/>
  <c r="M64" i="80"/>
  <c r="Q60" i="80"/>
  <c r="D57" i="80"/>
  <c r="O52" i="80"/>
  <c r="I48" i="80"/>
  <c r="A43" i="80"/>
  <c r="L38" i="80"/>
  <c r="P34" i="80"/>
  <c r="A29" i="80"/>
  <c r="H24" i="80"/>
  <c r="G20" i="80"/>
  <c r="K16" i="80"/>
  <c r="F115" i="80"/>
  <c r="E102" i="80"/>
  <c r="F95" i="80"/>
  <c r="H89" i="80"/>
  <c r="N84" i="80"/>
  <c r="L80" i="80"/>
  <c r="P76" i="80"/>
  <c r="C73" i="80"/>
  <c r="G69" i="80"/>
  <c r="K65" i="80"/>
  <c r="O61" i="80"/>
  <c r="B58" i="80"/>
  <c r="F54" i="80"/>
  <c r="P150" i="80"/>
  <c r="Q103" i="80"/>
  <c r="P88" i="80"/>
  <c r="J140" i="80"/>
  <c r="P119" i="80"/>
  <c r="O104" i="80"/>
  <c r="N89" i="80"/>
  <c r="C132" i="80"/>
  <c r="L114" i="80"/>
  <c r="K99" i="80"/>
  <c r="G169" i="80"/>
  <c r="O135" i="80"/>
  <c r="G122" i="80"/>
  <c r="Q151" i="80"/>
  <c r="B102" i="80"/>
  <c r="A87" i="80"/>
  <c r="H137" i="80"/>
  <c r="A118" i="80"/>
  <c r="Q102" i="80"/>
  <c r="E171" i="80"/>
  <c r="I129" i="80"/>
  <c r="N112" i="80"/>
  <c r="M97" i="80"/>
  <c r="P152" i="80"/>
  <c r="A135" i="80"/>
  <c r="N120" i="80"/>
  <c r="O110" i="80"/>
  <c r="H101" i="80"/>
  <c r="L141" i="80"/>
  <c r="G129" i="80"/>
  <c r="D120" i="80"/>
  <c r="L112" i="80"/>
  <c r="C105" i="80"/>
  <c r="M144" i="80"/>
  <c r="J135" i="80"/>
  <c r="P129" i="80"/>
  <c r="Q124" i="80"/>
  <c r="K120" i="80"/>
  <c r="O116" i="80"/>
  <c r="G152" i="80"/>
  <c r="O143" i="80"/>
  <c r="N137" i="80"/>
  <c r="M131" i="80"/>
  <c r="L126" i="80"/>
  <c r="D122" i="80"/>
  <c r="D118" i="80"/>
  <c r="H114" i="80"/>
  <c r="L110" i="80"/>
  <c r="P106" i="80"/>
  <c r="E124" i="80"/>
  <c r="Q104" i="80"/>
  <c r="B97" i="80"/>
  <c r="A91" i="80"/>
  <c r="Q85" i="80"/>
  <c r="M81" i="80"/>
  <c r="Q77" i="80"/>
  <c r="D74" i="80"/>
  <c r="H70" i="80"/>
  <c r="L66" i="80"/>
  <c r="P62" i="80"/>
  <c r="C59" i="80"/>
  <c r="G55" i="80"/>
  <c r="I50" i="80"/>
  <c r="I46" i="80"/>
  <c r="K40" i="80"/>
  <c r="O36" i="80"/>
  <c r="A32" i="80"/>
  <c r="I26" i="80"/>
  <c r="F22" i="80"/>
  <c r="J18" i="80"/>
  <c r="Q133" i="80"/>
  <c r="P107" i="80"/>
  <c r="J98" i="80"/>
  <c r="H92" i="80"/>
  <c r="Q86" i="80"/>
  <c r="L82" i="80"/>
  <c r="O78" i="80"/>
  <c r="B75" i="80"/>
  <c r="F71" i="80"/>
  <c r="J67" i="80"/>
  <c r="N63" i="80"/>
  <c r="A60" i="80"/>
  <c r="E56" i="80"/>
  <c r="G51" i="80"/>
  <c r="G47" i="80"/>
  <c r="A42" i="80"/>
  <c r="M37" i="80"/>
  <c r="K33" i="80"/>
  <c r="M27" i="80"/>
  <c r="I23" i="80"/>
  <c r="H19" i="80"/>
  <c r="E145" i="80"/>
  <c r="J111" i="80"/>
  <c r="G100" i="80"/>
  <c r="O93" i="80"/>
  <c r="A88" i="80"/>
  <c r="L83" i="80"/>
  <c r="M79" i="80"/>
  <c r="N139" i="80"/>
  <c r="D100" i="80"/>
  <c r="C85" i="80"/>
  <c r="I134" i="80"/>
  <c r="C116" i="80"/>
  <c r="B101" i="80"/>
  <c r="D153" i="80"/>
  <c r="A127" i="80"/>
  <c r="P110" i="80"/>
  <c r="O95" i="80"/>
  <c r="B149" i="80"/>
  <c r="B132" i="80"/>
  <c r="E120" i="80"/>
  <c r="H109" i="80"/>
  <c r="J99" i="80"/>
  <c r="A141" i="80"/>
  <c r="P126" i="80"/>
  <c r="F118" i="80"/>
  <c r="N110" i="80"/>
  <c r="E103" i="80"/>
  <c r="K141" i="80"/>
  <c r="P134" i="80"/>
  <c r="F129" i="80"/>
  <c r="G124" i="80"/>
  <c r="C120" i="80"/>
  <c r="G116" i="80"/>
  <c r="A151" i="80"/>
  <c r="A143" i="80"/>
  <c r="Q136" i="80"/>
  <c r="C131" i="80"/>
  <c r="B126" i="80"/>
  <c r="L121" i="80"/>
  <c r="M117" i="80"/>
  <c r="Q113" i="80"/>
  <c r="D110" i="80"/>
  <c r="H106" i="80"/>
  <c r="A120" i="80"/>
  <c r="K103" i="80"/>
  <c r="E96" i="80"/>
  <c r="G90" i="80"/>
  <c r="H85" i="80"/>
  <c r="E81" i="80"/>
  <c r="I77" i="80"/>
  <c r="M73" i="80"/>
  <c r="Q69" i="80"/>
  <c r="D66" i="80"/>
  <c r="H62" i="80"/>
  <c r="L58" i="80"/>
  <c r="P54" i="80"/>
  <c r="A50" i="80"/>
  <c r="A46" i="80"/>
  <c r="C40" i="80"/>
  <c r="G36" i="80"/>
  <c r="J31" i="80"/>
  <c r="A26" i="80"/>
  <c r="O21" i="80"/>
  <c r="B18" i="80"/>
  <c r="I128" i="80"/>
  <c r="A106" i="80"/>
  <c r="L97" i="80"/>
  <c r="N91" i="80"/>
  <c r="H86" i="80"/>
  <c r="C82" i="80"/>
  <c r="G78" i="80"/>
  <c r="K74" i="80"/>
  <c r="O70" i="80"/>
  <c r="B67" i="80"/>
  <c r="F63" i="80"/>
  <c r="J59" i="80"/>
  <c r="N55" i="80"/>
  <c r="P50" i="80"/>
  <c r="P46" i="80"/>
  <c r="A41" i="80"/>
  <c r="E37" i="80"/>
  <c r="N32" i="80"/>
  <c r="P26" i="80"/>
  <c r="M22" i="80"/>
  <c r="Q18" i="80"/>
  <c r="D139" i="80"/>
  <c r="L109" i="80"/>
  <c r="H99" i="80"/>
  <c r="D93" i="80"/>
  <c r="H87" i="80"/>
  <c r="C83" i="80"/>
  <c r="E79" i="80"/>
  <c r="I75" i="80"/>
  <c r="M71" i="80"/>
  <c r="Q67" i="80"/>
  <c r="D64" i="80"/>
  <c r="H60" i="80"/>
  <c r="L56" i="80"/>
  <c r="N51" i="80"/>
  <c r="A148" i="80"/>
  <c r="Q108" i="80"/>
  <c r="D126" i="80"/>
  <c r="K105" i="80"/>
  <c r="N131" i="80"/>
  <c r="L119" i="80"/>
  <c r="P149" i="80"/>
  <c r="F136" i="80"/>
  <c r="I125" i="80"/>
  <c r="E117" i="80"/>
  <c r="M109" i="80"/>
  <c r="E116" i="80"/>
  <c r="K95" i="80"/>
  <c r="P84" i="80"/>
  <c r="A77" i="80"/>
  <c r="K124" i="80"/>
  <c r="P101" i="80"/>
  <c r="F122" i="80"/>
  <c r="K165" i="80"/>
  <c r="K130" i="80"/>
  <c r="D119" i="80"/>
  <c r="K148" i="80"/>
  <c r="I135" i="80"/>
  <c r="O124" i="80"/>
  <c r="N116" i="80"/>
  <c r="E109" i="80"/>
  <c r="P113" i="80"/>
  <c r="N94" i="80"/>
  <c r="G84" i="80"/>
  <c r="J76" i="80"/>
  <c r="A69" i="80"/>
  <c r="I61" i="80"/>
  <c r="Q53" i="80"/>
  <c r="A44" i="80"/>
  <c r="H35" i="80"/>
  <c r="Q24" i="80"/>
  <c r="C17" i="80"/>
  <c r="J103" i="80"/>
  <c r="C90" i="80"/>
  <c r="D81" i="80"/>
  <c r="L73" i="80"/>
  <c r="C66" i="80"/>
  <c r="K58" i="80"/>
  <c r="Q49" i="80"/>
  <c r="B40" i="80"/>
  <c r="I31" i="80"/>
  <c r="N21" i="80"/>
  <c r="P127" i="80"/>
  <c r="K97" i="80"/>
  <c r="G86" i="80"/>
  <c r="F78" i="80"/>
  <c r="L72" i="80"/>
  <c r="I67" i="80"/>
  <c r="N62" i="80"/>
  <c r="K57" i="80"/>
  <c r="F51" i="80"/>
  <c r="F47" i="80"/>
  <c r="Q41" i="80"/>
  <c r="L37" i="80"/>
  <c r="J33" i="80"/>
  <c r="L27" i="80"/>
  <c r="H23" i="80"/>
  <c r="G19" i="80"/>
  <c r="H144" i="80"/>
  <c r="D111" i="80"/>
  <c r="F100" i="80"/>
  <c r="N93" i="80"/>
  <c r="P87" i="80"/>
  <c r="K83" i="80"/>
  <c r="L79" i="80"/>
  <c r="P75" i="80"/>
  <c r="C72" i="80"/>
  <c r="G68" i="80"/>
  <c r="K64" i="80"/>
  <c r="O60" i="80"/>
  <c r="B57" i="80"/>
  <c r="M52" i="80"/>
  <c r="G48" i="80"/>
  <c r="P42" i="80"/>
  <c r="J38" i="80"/>
  <c r="N34" i="80"/>
  <c r="K126" i="80"/>
  <c r="I105" i="80"/>
  <c r="I97" i="80"/>
  <c r="H91" i="80"/>
  <c r="E86" i="80"/>
  <c r="Q81" i="80"/>
  <c r="D78" i="80"/>
  <c r="H74" i="80"/>
  <c r="L70" i="80"/>
  <c r="P66" i="80"/>
  <c r="C63" i="80"/>
  <c r="G59" i="80"/>
  <c r="K55" i="80"/>
  <c r="M50" i="80"/>
  <c r="J121" i="80"/>
  <c r="B104" i="80"/>
  <c r="K96" i="80"/>
  <c r="J90" i="80"/>
  <c r="L85" i="80"/>
  <c r="H81" i="80"/>
  <c r="L77" i="80"/>
  <c r="P73" i="80"/>
  <c r="C70" i="80"/>
  <c r="G66" i="80"/>
  <c r="K62" i="80"/>
  <c r="O58" i="80"/>
  <c r="K149" i="80"/>
  <c r="I112" i="80"/>
  <c r="O100" i="80"/>
  <c r="E94" i="80"/>
  <c r="E88" i="80"/>
  <c r="Q83" i="80"/>
  <c r="Q79" i="80"/>
  <c r="D76" i="80"/>
  <c r="H72" i="80"/>
  <c r="L68" i="80"/>
  <c r="P64" i="80"/>
  <c r="C61" i="80"/>
  <c r="G57" i="80"/>
  <c r="K53" i="80"/>
  <c r="H4" i="80"/>
  <c r="L8" i="80"/>
  <c r="J12" i="80"/>
  <c r="M16" i="80"/>
  <c r="K22" i="80"/>
  <c r="I30" i="80"/>
  <c r="E39" i="80"/>
  <c r="B49" i="80"/>
  <c r="E74" i="80"/>
  <c r="A3" i="80"/>
  <c r="J7" i="80"/>
  <c r="L11" i="80"/>
  <c r="I15" i="80"/>
  <c r="D21" i="80"/>
  <c r="A28" i="80"/>
  <c r="H37" i="80"/>
  <c r="B47" i="80"/>
  <c r="D67" i="80"/>
  <c r="I106" i="80"/>
  <c r="L6" i="80"/>
  <c r="N10" i="80"/>
  <c r="J14" i="80"/>
  <c r="N19" i="80"/>
  <c r="E26" i="80"/>
  <c r="K35" i="80"/>
  <c r="M44" i="80"/>
  <c r="C60" i="80"/>
  <c r="M92" i="80"/>
  <c r="J5" i="80"/>
  <c r="P9" i="80"/>
  <c r="L13" i="80"/>
  <c r="G18" i="80"/>
  <c r="M24" i="80"/>
  <c r="H33" i="80"/>
  <c r="O41" i="80"/>
  <c r="C54" i="80"/>
  <c r="G83" i="80"/>
  <c r="L4" i="80"/>
  <c r="P8" i="80"/>
  <c r="N12" i="80"/>
  <c r="Q16" i="80"/>
  <c r="A23" i="80"/>
  <c r="P30" i="80"/>
  <c r="M39" i="80"/>
  <c r="K49" i="80"/>
  <c r="C76" i="80"/>
  <c r="P130" i="80"/>
  <c r="A109" i="80"/>
  <c r="C98" i="80"/>
  <c r="M120" i="80"/>
  <c r="L148" i="80"/>
  <c r="M128" i="80"/>
  <c r="E118" i="80"/>
  <c r="D146" i="80"/>
  <c r="A134" i="80"/>
  <c r="N123" i="80"/>
  <c r="O115" i="80"/>
  <c r="F108" i="80"/>
  <c r="C110" i="80"/>
  <c r="F93" i="80"/>
  <c r="F83" i="80"/>
  <c r="K75" i="80"/>
  <c r="B68" i="80"/>
  <c r="J60" i="80"/>
  <c r="P51" i="80"/>
  <c r="K42" i="80"/>
  <c r="I34" i="80"/>
  <c r="A24" i="80"/>
  <c r="K157" i="80"/>
  <c r="G101" i="80"/>
  <c r="L88" i="80"/>
  <c r="E80" i="80"/>
  <c r="M72" i="80"/>
  <c r="D65" i="80"/>
  <c r="L57" i="80"/>
  <c r="Q48" i="80"/>
  <c r="C39" i="80"/>
  <c r="O29" i="80"/>
  <c r="O20" i="80"/>
  <c r="B119" i="80"/>
  <c r="C96" i="80"/>
  <c r="F85" i="80"/>
  <c r="G77" i="80"/>
  <c r="D72" i="80"/>
  <c r="A67" i="80"/>
  <c r="F62" i="80"/>
  <c r="C57" i="80"/>
  <c r="O50" i="80"/>
  <c r="O46" i="80"/>
  <c r="Q40" i="80"/>
  <c r="D37" i="80"/>
  <c r="M32" i="80"/>
  <c r="O26" i="80"/>
  <c r="L22" i="80"/>
  <c r="P18" i="80"/>
  <c r="G138" i="80"/>
  <c r="F109" i="80"/>
  <c r="G99" i="80"/>
  <c r="Q92" i="80"/>
  <c r="G87" i="80"/>
  <c r="B83" i="80"/>
  <c r="D79" i="80"/>
  <c r="H75" i="80"/>
  <c r="L71" i="80"/>
  <c r="P67" i="80"/>
  <c r="C64" i="80"/>
  <c r="G60" i="80"/>
  <c r="K56" i="80"/>
  <c r="M51" i="80"/>
  <c r="M47" i="80"/>
  <c r="G42" i="80"/>
  <c r="B38" i="80"/>
  <c r="Q33" i="80"/>
  <c r="C122" i="80"/>
  <c r="C104" i="80"/>
  <c r="L96" i="80"/>
  <c r="K90" i="80"/>
  <c r="M85" i="80"/>
  <c r="I81" i="80"/>
  <c r="M77" i="80"/>
  <c r="Q73" i="80"/>
  <c r="D70" i="80"/>
  <c r="H66" i="80"/>
  <c r="L62" i="80"/>
  <c r="P58" i="80"/>
  <c r="C55" i="80"/>
  <c r="E50" i="80"/>
  <c r="L117" i="80"/>
  <c r="N102" i="80"/>
  <c r="N95" i="80"/>
  <c r="P89" i="80"/>
  <c r="B85" i="80"/>
  <c r="Q80" i="80"/>
  <c r="D77" i="80"/>
  <c r="H73" i="80"/>
  <c r="L69" i="80"/>
  <c r="P65" i="80"/>
  <c r="C62" i="80"/>
  <c r="G58" i="80"/>
  <c r="C142" i="80"/>
  <c r="K110" i="80"/>
  <c r="P99" i="80"/>
  <c r="H93" i="80"/>
  <c r="M87" i="80"/>
  <c r="H83" i="80"/>
  <c r="I79" i="80"/>
  <c r="M75" i="80"/>
  <c r="Q71" i="80"/>
  <c r="D68" i="80"/>
  <c r="F98" i="80"/>
  <c r="Q93" i="80"/>
  <c r="Q148" i="80"/>
  <c r="O117" i="80"/>
  <c r="G145" i="80"/>
  <c r="O126" i="80"/>
  <c r="F117" i="80"/>
  <c r="I144" i="80"/>
  <c r="J132" i="80"/>
  <c r="M122" i="80"/>
  <c r="P114" i="80"/>
  <c r="G107" i="80"/>
  <c r="G106" i="80"/>
  <c r="O91" i="80"/>
  <c r="D82" i="80"/>
  <c r="L74" i="80"/>
  <c r="C67" i="80"/>
  <c r="K59" i="80"/>
  <c r="Q50" i="80"/>
  <c r="K41" i="80"/>
  <c r="O32" i="80"/>
  <c r="N22" i="80"/>
  <c r="A140" i="80"/>
  <c r="I99" i="80"/>
  <c r="J87" i="80"/>
  <c r="F79" i="80"/>
  <c r="N71" i="80"/>
  <c r="E64" i="80"/>
  <c r="M56" i="80"/>
  <c r="O47" i="80"/>
  <c r="D38" i="80"/>
  <c r="J28" i="80"/>
  <c r="P19" i="80"/>
  <c r="H113" i="80"/>
  <c r="L94" i="80"/>
  <c r="E84" i="80"/>
  <c r="H76" i="80"/>
  <c r="E71" i="80"/>
  <c r="J66" i="80"/>
  <c r="G61" i="80"/>
  <c r="D56" i="80"/>
  <c r="G50" i="80"/>
  <c r="G46" i="80"/>
  <c r="I40" i="80"/>
  <c r="M36" i="80"/>
  <c r="P31" i="80"/>
  <c r="G26" i="80"/>
  <c r="D22" i="80"/>
  <c r="H18" i="80"/>
  <c r="I132" i="80"/>
  <c r="H107" i="80"/>
  <c r="H98" i="80"/>
  <c r="F92" i="80"/>
  <c r="O86" i="80"/>
  <c r="J82" i="80"/>
  <c r="M78" i="80"/>
  <c r="Q74" i="80"/>
  <c r="D71" i="80"/>
  <c r="H67" i="80"/>
  <c r="L63" i="80"/>
  <c r="P59" i="80"/>
  <c r="C56" i="80"/>
  <c r="E51" i="80"/>
  <c r="E47" i="80"/>
  <c r="P41" i="80"/>
  <c r="K37" i="80"/>
  <c r="I33" i="80"/>
  <c r="C118" i="80"/>
  <c r="B103" i="80"/>
  <c r="A96" i="80"/>
  <c r="Q89" i="80"/>
  <c r="D85" i="80"/>
  <c r="A81" i="80"/>
  <c r="E77" i="80"/>
  <c r="I73" i="80"/>
  <c r="M69" i="80"/>
  <c r="Q65" i="80"/>
  <c r="D62" i="80"/>
  <c r="H58" i="80"/>
  <c r="L54" i="80"/>
  <c r="N49" i="80"/>
  <c r="I114" i="80"/>
  <c r="O101" i="80"/>
  <c r="C95" i="80"/>
  <c r="B89" i="80"/>
  <c r="J84" i="80"/>
  <c r="I80" i="80"/>
  <c r="M76" i="80"/>
  <c r="Q72" i="80"/>
  <c r="D69" i="80"/>
  <c r="H65" i="80"/>
  <c r="L61" i="80"/>
  <c r="P57" i="80"/>
  <c r="E136" i="80"/>
  <c r="M108" i="80"/>
  <c r="Q98" i="80"/>
  <c r="N92" i="80"/>
  <c r="D87" i="80"/>
  <c r="P82" i="80"/>
  <c r="A79" i="80"/>
  <c r="E75" i="80"/>
  <c r="I71" i="80"/>
  <c r="M67" i="80"/>
  <c r="Q63" i="80"/>
  <c r="D60" i="80"/>
  <c r="H56" i="80"/>
  <c r="J51" i="80"/>
  <c r="G5" i="80"/>
  <c r="M9" i="80"/>
  <c r="I13" i="80"/>
  <c r="D18" i="80"/>
  <c r="J24" i="80"/>
  <c r="P32" i="80"/>
  <c r="L41" i="80"/>
  <c r="Q52" i="80"/>
  <c r="N81" i="80"/>
  <c r="I4" i="80"/>
  <c r="M8" i="80"/>
  <c r="K12" i="80"/>
  <c r="N16" i="80"/>
  <c r="O22" i="80"/>
  <c r="J30" i="80"/>
  <c r="F39" i="80"/>
  <c r="C49" i="80"/>
  <c r="M74" i="80"/>
  <c r="K3" i="80"/>
  <c r="K7" i="80"/>
  <c r="M11" i="80"/>
  <c r="J15" i="80"/>
  <c r="H21" i="80"/>
  <c r="H28" i="80"/>
  <c r="I37" i="80"/>
  <c r="C47" i="80"/>
  <c r="L67" i="80"/>
  <c r="G108" i="80"/>
  <c r="M6" i="80"/>
  <c r="O10" i="80"/>
  <c r="K14" i="80"/>
  <c r="A20" i="80"/>
  <c r="F26" i="80"/>
  <c r="L35" i="80"/>
  <c r="N44" i="80"/>
  <c r="K60" i="80"/>
  <c r="G93" i="80"/>
  <c r="K5" i="80"/>
  <c r="Q9" i="80"/>
  <c r="M13" i="80"/>
  <c r="K18" i="80"/>
  <c r="N24" i="80"/>
  <c r="M33" i="80"/>
  <c r="C42" i="80"/>
  <c r="I54" i="80"/>
  <c r="P83" i="80"/>
  <c r="E83" i="80"/>
  <c r="M147" i="80"/>
  <c r="Q143" i="80"/>
  <c r="J114" i="80"/>
  <c r="Q140" i="80"/>
  <c r="J125" i="80"/>
  <c r="P115" i="80"/>
  <c r="G142" i="80"/>
  <c r="H130" i="80"/>
  <c r="B121" i="80"/>
  <c r="I113" i="80"/>
  <c r="Q105" i="80"/>
  <c r="K102" i="80"/>
  <c r="J89" i="80"/>
  <c r="N80" i="80"/>
  <c r="E73" i="80"/>
  <c r="M65" i="80"/>
  <c r="D58" i="80"/>
  <c r="J49" i="80"/>
  <c r="L39" i="80"/>
  <c r="M30" i="80"/>
  <c r="G21" i="80"/>
  <c r="M123" i="80"/>
  <c r="A97" i="80"/>
  <c r="P85" i="80"/>
  <c r="P77" i="80"/>
  <c r="G70" i="80"/>
  <c r="O62" i="80"/>
  <c r="F55" i="80"/>
  <c r="H46" i="80"/>
  <c r="N36" i="80"/>
  <c r="H26" i="80"/>
  <c r="I18" i="80"/>
  <c r="N107" i="80"/>
  <c r="G92" i="80"/>
  <c r="K82" i="80"/>
  <c r="Q75" i="80"/>
  <c r="N70" i="80"/>
  <c r="B66" i="80"/>
  <c r="P60" i="80"/>
  <c r="M55" i="80"/>
  <c r="P49" i="80"/>
  <c r="P45" i="80"/>
  <c r="A40" i="80"/>
  <c r="E36" i="80"/>
  <c r="H31" i="80"/>
  <c r="P25" i="80"/>
  <c r="M21" i="80"/>
  <c r="Q17" i="80"/>
  <c r="F127" i="80"/>
  <c r="J105" i="80"/>
  <c r="J97" i="80"/>
  <c r="I91" i="80"/>
  <c r="F86" i="80"/>
  <c r="A82" i="80"/>
  <c r="J131" i="80"/>
  <c r="C130" i="80"/>
  <c r="P137" i="80"/>
  <c r="C113" i="80"/>
  <c r="L138" i="80"/>
  <c r="O123" i="80"/>
  <c r="H115" i="80"/>
  <c r="J141" i="80"/>
  <c r="O129" i="80"/>
  <c r="J120" i="80"/>
  <c r="A113" i="80"/>
  <c r="O161" i="80"/>
  <c r="L101" i="80"/>
  <c r="M88" i="80"/>
  <c r="F80" i="80"/>
  <c r="N72" i="80"/>
  <c r="E65" i="80"/>
  <c r="M57" i="80"/>
  <c r="A49" i="80"/>
  <c r="D39" i="80"/>
  <c r="P29" i="80"/>
  <c r="P20" i="80"/>
  <c r="J119" i="80"/>
  <c r="D96" i="80"/>
  <c r="G85" i="80"/>
  <c r="H77" i="80"/>
  <c r="P69" i="80"/>
  <c r="G62" i="80"/>
  <c r="O54" i="80"/>
  <c r="Q45" i="80"/>
  <c r="F36" i="80"/>
  <c r="Q25" i="80"/>
  <c r="A18" i="80"/>
  <c r="P105" i="80"/>
  <c r="J91" i="80"/>
  <c r="B82" i="80"/>
  <c r="A75" i="80"/>
  <c r="F70" i="80"/>
  <c r="C65" i="80"/>
  <c r="Q59" i="80"/>
  <c r="E55" i="80"/>
  <c r="G49" i="80"/>
  <c r="P44" i="80"/>
  <c r="J39" i="80"/>
  <c r="N35" i="80"/>
  <c r="K30" i="80"/>
  <c r="H25" i="80"/>
  <c r="E21" i="80"/>
  <c r="I17" i="80"/>
  <c r="L122" i="80"/>
  <c r="I104" i="80"/>
  <c r="M96" i="80"/>
  <c r="O90" i="80"/>
  <c r="N85" i="80"/>
  <c r="J81" i="80"/>
  <c r="N77" i="80"/>
  <c r="A74" i="80"/>
  <c r="E70" i="80"/>
  <c r="I66" i="80"/>
  <c r="M62" i="80"/>
  <c r="Q58" i="80"/>
  <c r="D55" i="80"/>
  <c r="F50" i="80"/>
  <c r="F46" i="80"/>
  <c r="H40" i="80"/>
  <c r="L36" i="80"/>
  <c r="E152" i="80"/>
  <c r="Q112" i="80"/>
  <c r="D101" i="80"/>
  <c r="G94" i="80"/>
  <c r="I88" i="80"/>
  <c r="B84" i="80"/>
  <c r="B80" i="80"/>
  <c r="F76" i="80"/>
  <c r="J72" i="80"/>
  <c r="N68" i="80"/>
  <c r="A65" i="80"/>
  <c r="E61" i="80"/>
  <c r="I57" i="80"/>
  <c r="M53" i="80"/>
  <c r="Q142" i="80"/>
  <c r="M110" i="80"/>
  <c r="Q99" i="80"/>
  <c r="L93" i="80"/>
  <c r="N87" i="80"/>
  <c r="I83" i="80"/>
  <c r="J79" i="80"/>
  <c r="N75" i="80"/>
  <c r="A72" i="80"/>
  <c r="E68" i="80"/>
  <c r="I64" i="80"/>
  <c r="M60" i="80"/>
  <c r="Q56" i="80"/>
  <c r="H125" i="80"/>
  <c r="B105" i="80"/>
  <c r="D97" i="80"/>
  <c r="F91" i="80"/>
  <c r="C86" i="80"/>
  <c r="O81" i="80"/>
  <c r="B78" i="80"/>
  <c r="F74" i="80"/>
  <c r="J70" i="80"/>
  <c r="N66" i="80"/>
  <c r="A63" i="80"/>
  <c r="E59" i="80"/>
  <c r="I55" i="80"/>
  <c r="K50" i="80"/>
  <c r="J6" i="80"/>
  <c r="L10" i="80"/>
  <c r="H14" i="80"/>
  <c r="L19" i="80"/>
  <c r="C26" i="80"/>
  <c r="I35" i="80"/>
  <c r="K44" i="80"/>
  <c r="D59" i="80"/>
  <c r="B91" i="80"/>
  <c r="H5" i="80"/>
  <c r="N9" i="80"/>
  <c r="J13" i="80"/>
  <c r="E18" i="80"/>
  <c r="K24" i="80"/>
  <c r="Q32" i="80"/>
  <c r="M41" i="80"/>
  <c r="L53" i="80"/>
  <c r="E114" i="80"/>
  <c r="G118" i="80"/>
  <c r="A132" i="80"/>
  <c r="F110" i="80"/>
  <c r="G136" i="80"/>
  <c r="E122" i="80"/>
  <c r="P157" i="80"/>
  <c r="B140" i="80"/>
  <c r="J128" i="80"/>
  <c r="K119" i="80"/>
  <c r="B112" i="80"/>
  <c r="L140" i="80"/>
  <c r="N99" i="80"/>
  <c r="K87" i="80"/>
  <c r="G79" i="80"/>
  <c r="O71" i="80"/>
  <c r="F64" i="80"/>
  <c r="N56" i="80"/>
  <c r="P47" i="80"/>
  <c r="E38" i="80"/>
  <c r="K28" i="80"/>
  <c r="Q19" i="80"/>
  <c r="J113" i="80"/>
  <c r="M94" i="80"/>
  <c r="F84" i="80"/>
  <c r="I76" i="80"/>
  <c r="Q68" i="80"/>
  <c r="H61" i="80"/>
  <c r="P53" i="80"/>
  <c r="Q43" i="80"/>
  <c r="G35" i="80"/>
  <c r="P24" i="80"/>
  <c r="B17" i="80"/>
  <c r="D103" i="80"/>
  <c r="B90" i="80"/>
  <c r="C81" i="80"/>
  <c r="J74" i="80"/>
  <c r="O69" i="80"/>
  <c r="L64" i="80"/>
  <c r="I59" i="80"/>
  <c r="N54" i="80"/>
  <c r="P48" i="80"/>
  <c r="P43" i="80"/>
  <c r="B39" i="80"/>
  <c r="F35" i="80"/>
  <c r="N29" i="80"/>
  <c r="O24" i="80"/>
  <c r="N20" i="80"/>
  <c r="A17" i="80"/>
  <c r="K118" i="80"/>
  <c r="C103" i="80"/>
  <c r="B96" i="80"/>
  <c r="A90" i="80"/>
  <c r="E85" i="80"/>
  <c r="B81" i="80"/>
  <c r="F77" i="80"/>
  <c r="J73" i="80"/>
  <c r="N69" i="80"/>
  <c r="A66" i="80"/>
  <c r="E62" i="80"/>
  <c r="I58" i="80"/>
  <c r="M54" i="80"/>
  <c r="O49" i="80"/>
  <c r="O45" i="80"/>
  <c r="Q39" i="80"/>
  <c r="D36" i="80"/>
  <c r="N143" i="80"/>
  <c r="B111" i="80"/>
  <c r="E100" i="80"/>
  <c r="M93" i="80"/>
  <c r="O87" i="80"/>
  <c r="J83" i="80"/>
  <c r="K79" i="80"/>
  <c r="O75" i="80"/>
  <c r="B72" i="80"/>
  <c r="F68" i="80"/>
  <c r="J64" i="80"/>
  <c r="N60" i="80"/>
  <c r="A57" i="80"/>
  <c r="L52" i="80"/>
  <c r="P136" i="80"/>
  <c r="O108" i="80"/>
  <c r="A99" i="80"/>
  <c r="O92" i="80"/>
  <c r="E87" i="80"/>
  <c r="Q82" i="80"/>
  <c r="B79" i="80"/>
  <c r="F75" i="80"/>
  <c r="J71" i="80"/>
  <c r="N67" i="80"/>
  <c r="A64" i="80"/>
  <c r="E60" i="80"/>
  <c r="I56" i="80"/>
  <c r="A121" i="80"/>
  <c r="A104" i="80"/>
  <c r="J96" i="80"/>
  <c r="I90" i="80"/>
  <c r="J85" i="80"/>
  <c r="G81" i="80"/>
  <c r="K77" i="80"/>
  <c r="O73" i="80"/>
  <c r="B70" i="80"/>
  <c r="F66" i="80"/>
  <c r="J62" i="80"/>
  <c r="N58" i="80"/>
  <c r="A55" i="80"/>
  <c r="C50" i="80"/>
  <c r="A7" i="80"/>
  <c r="C11" i="80"/>
  <c r="P14" i="80"/>
  <c r="I20" i="80"/>
  <c r="N26" i="80"/>
  <c r="H36" i="80"/>
  <c r="B46" i="80"/>
  <c r="Q62" i="80"/>
  <c r="C97" i="80"/>
  <c r="P5" i="80"/>
  <c r="E10" i="80"/>
  <c r="A14" i="80"/>
  <c r="B19" i="80"/>
  <c r="G25" i="80"/>
  <c r="K34" i="80"/>
  <c r="M42" i="80"/>
  <c r="P55" i="80"/>
  <c r="K86" i="80"/>
  <c r="A5" i="80"/>
  <c r="G9" i="80"/>
  <c r="C13" i="80"/>
  <c r="L17" i="80"/>
  <c r="O23" i="80"/>
  <c r="N31" i="80"/>
  <c r="F40" i="80"/>
  <c r="A51" i="80"/>
  <c r="Q78" i="80"/>
  <c r="C4" i="80"/>
  <c r="E8" i="80"/>
  <c r="E12" i="80"/>
  <c r="B16" i="80"/>
  <c r="C22" i="80"/>
  <c r="L29" i="80"/>
  <c r="I38" i="80"/>
  <c r="F48" i="80"/>
  <c r="P71" i="80"/>
  <c r="I141" i="80"/>
  <c r="E7" i="80"/>
  <c r="G11" i="80"/>
  <c r="D15" i="80"/>
  <c r="M20" i="80"/>
  <c r="J27" i="80"/>
  <c r="P36" i="80"/>
  <c r="J46" i="80"/>
  <c r="O64" i="80"/>
  <c r="N100" i="80"/>
  <c r="D99" i="80"/>
  <c r="M112" i="80"/>
  <c r="Q129" i="80"/>
  <c r="A107" i="80"/>
  <c r="B134" i="80"/>
  <c r="D121" i="80"/>
  <c r="C154" i="80"/>
  <c r="K138" i="80"/>
  <c r="G127" i="80"/>
  <c r="L118" i="80"/>
  <c r="C111" i="80"/>
  <c r="D129" i="80"/>
  <c r="P97" i="80"/>
  <c r="I86" i="80"/>
  <c r="H78" i="80"/>
  <c r="P70" i="80"/>
  <c r="G63" i="80"/>
  <c r="O55" i="80"/>
  <c r="Q46" i="80"/>
  <c r="F37" i="80"/>
  <c r="Q26" i="80"/>
  <c r="A19" i="80"/>
  <c r="N109" i="80"/>
  <c r="E93" i="80"/>
  <c r="D83" i="80"/>
  <c r="J75" i="80"/>
  <c r="A68" i="80"/>
  <c r="I60" i="80"/>
  <c r="O51" i="80"/>
  <c r="I42" i="80"/>
  <c r="H34" i="80"/>
  <c r="Q23" i="80"/>
  <c r="M155" i="80"/>
  <c r="F101" i="80"/>
  <c r="K88" i="80"/>
  <c r="D80" i="80"/>
  <c r="B74" i="80"/>
  <c r="P68" i="80"/>
  <c r="M63" i="80"/>
  <c r="A59" i="80"/>
  <c r="O53" i="80"/>
  <c r="H48" i="80"/>
  <c r="Q42" i="80"/>
  <c r="K38" i="80"/>
  <c r="O34" i="80"/>
  <c r="Q28" i="80"/>
  <c r="G24" i="80"/>
  <c r="F20" i="80"/>
  <c r="J16" i="80"/>
  <c r="Q114" i="80"/>
  <c r="D102" i="80"/>
  <c r="E95" i="80"/>
  <c r="D89" i="80"/>
  <c r="M84" i="80"/>
  <c r="K80" i="80"/>
  <c r="O76" i="80"/>
  <c r="B73" i="80"/>
  <c r="F69" i="80"/>
  <c r="J65" i="80"/>
  <c r="N61" i="80"/>
  <c r="A58" i="80"/>
  <c r="E54" i="80"/>
  <c r="F49" i="80"/>
  <c r="O44" i="80"/>
  <c r="I39" i="80"/>
  <c r="M35" i="80"/>
  <c r="M137" i="80"/>
  <c r="D109" i="80"/>
  <c r="F99" i="80"/>
  <c r="P92" i="80"/>
  <c r="F87" i="80"/>
  <c r="A83" i="80"/>
  <c r="C79" i="80"/>
  <c r="G75" i="80"/>
  <c r="K71" i="80"/>
  <c r="O67" i="80"/>
  <c r="B64" i="80"/>
  <c r="F60" i="80"/>
  <c r="J56" i="80"/>
  <c r="L51" i="80"/>
  <c r="B131" i="80"/>
  <c r="Q106" i="80"/>
  <c r="B98" i="80"/>
  <c r="A92" i="80"/>
  <c r="M86" i="80"/>
  <c r="K68" i="80"/>
  <c r="L40" i="80"/>
  <c r="J26" i="80"/>
  <c r="D16" i="80"/>
  <c r="H10" i="80"/>
  <c r="M3" i="80"/>
  <c r="O56" i="80"/>
  <c r="J37" i="80"/>
  <c r="B24" i="80"/>
  <c r="K78" i="80"/>
  <c r="B61" i="80"/>
  <c r="N38" i="80"/>
  <c r="M25" i="80"/>
  <c r="L15" i="80"/>
  <c r="I9" i="80"/>
  <c r="E110" i="80"/>
  <c r="C51" i="80"/>
  <c r="K36" i="80"/>
  <c r="Q22" i="80"/>
  <c r="C14" i="80"/>
  <c r="L7" i="80"/>
  <c r="C87" i="80"/>
  <c r="B48" i="80"/>
  <c r="A33" i="80"/>
  <c r="K20" i="80"/>
  <c r="L12" i="80"/>
  <c r="Q5" i="80"/>
  <c r="I78" i="80"/>
  <c r="E40" i="80"/>
  <c r="N23" i="80"/>
  <c r="B13" i="80"/>
  <c r="Q4" i="80"/>
  <c r="H55" i="80"/>
  <c r="J34" i="80"/>
  <c r="O18" i="80"/>
  <c r="D10" i="80"/>
  <c r="B51" i="80"/>
  <c r="M59" i="80"/>
  <c r="E67" i="80"/>
  <c r="C77" i="80"/>
  <c r="A89" i="80"/>
  <c r="O106" i="80"/>
  <c r="N59" i="80"/>
  <c r="K70" i="80"/>
  <c r="A80" i="80"/>
  <c r="H97" i="80"/>
  <c r="B56" i="80"/>
  <c r="C71" i="80"/>
  <c r="N86" i="80"/>
  <c r="L131" i="80"/>
  <c r="O48" i="80"/>
  <c r="B65" i="80"/>
  <c r="C80" i="80"/>
  <c r="P23" i="80"/>
  <c r="E63" i="80"/>
  <c r="Q31" i="80"/>
  <c r="K104" i="80"/>
  <c r="I148" i="80"/>
  <c r="F57" i="80"/>
  <c r="O37" i="80"/>
  <c r="C24" i="80"/>
  <c r="L14" i="80"/>
  <c r="F8" i="80"/>
  <c r="O99" i="80"/>
  <c r="E49" i="80"/>
  <c r="M34" i="80"/>
  <c r="I21" i="80"/>
  <c r="D13" i="80"/>
  <c r="D7" i="80"/>
  <c r="O82" i="80"/>
  <c r="D46" i="80"/>
  <c r="N30" i="80"/>
  <c r="C19" i="80"/>
  <c r="D12" i="80"/>
  <c r="I5" i="80"/>
  <c r="Q70" i="80"/>
  <c r="G38" i="80"/>
  <c r="A22" i="80"/>
  <c r="C12" i="80"/>
  <c r="A4" i="80"/>
  <c r="J50" i="80"/>
  <c r="L31" i="80"/>
  <c r="G17" i="80"/>
  <c r="E9" i="80"/>
  <c r="A52" i="80"/>
  <c r="L60" i="80"/>
  <c r="C69" i="80"/>
  <c r="J78" i="80"/>
  <c r="L89" i="80"/>
  <c r="G114" i="80"/>
  <c r="D61" i="80"/>
  <c r="B71" i="80"/>
  <c r="P81" i="80"/>
  <c r="P100" i="80"/>
  <c r="Q57" i="80"/>
  <c r="A73" i="80"/>
  <c r="C89" i="80"/>
  <c r="L32" i="80"/>
  <c r="N50" i="80"/>
  <c r="Q66" i="80"/>
  <c r="C84" i="80"/>
  <c r="I28" i="80"/>
  <c r="H68" i="80"/>
  <c r="J40" i="80"/>
  <c r="K17" i="80"/>
  <c r="Q16" i="66"/>
  <c r="Q196" i="66"/>
  <c r="AM1" i="66"/>
  <c r="I2" i="66"/>
  <c r="G191" i="66"/>
  <c r="AI1" i="66"/>
  <c r="P31" i="66"/>
  <c r="P34" i="66"/>
  <c r="P33" i="66"/>
  <c r="AL1" i="66"/>
  <c r="K191" i="66"/>
  <c r="D194" i="66" s="1"/>
  <c r="G10" i="66"/>
  <c r="Q26" i="66"/>
  <c r="K17" i="66"/>
  <c r="M17" i="66" s="1"/>
  <c r="M13" i="66"/>
  <c r="P26" i="66"/>
  <c r="A1" i="65"/>
  <c r="B1" i="65"/>
  <c r="C1" i="65"/>
  <c r="D1" i="65"/>
  <c r="E1" i="65"/>
  <c r="F1" i="65"/>
  <c r="G1" i="65"/>
  <c r="H1" i="65"/>
  <c r="I1" i="65"/>
  <c r="A2" i="65"/>
  <c r="B2" i="65"/>
  <c r="C6" i="65"/>
  <c r="H2" i="65" s="1"/>
  <c r="I2" i="65"/>
  <c r="G13" i="65"/>
  <c r="I13" i="65"/>
  <c r="K13" i="65"/>
  <c r="L13" i="65"/>
  <c r="P13" i="65" s="1"/>
  <c r="O13" i="65"/>
  <c r="C15" i="65"/>
  <c r="B16" i="65"/>
  <c r="G16" i="65"/>
  <c r="I16" i="65"/>
  <c r="L16" i="65"/>
  <c r="O16" i="65"/>
  <c r="B17" i="65"/>
  <c r="B18" i="65"/>
  <c r="B19" i="65"/>
  <c r="B20" i="65"/>
  <c r="B21" i="65"/>
  <c r="B22" i="65"/>
  <c r="B23" i="65"/>
  <c r="B24" i="65"/>
  <c r="B25" i="65"/>
  <c r="B26" i="65"/>
  <c r="B27" i="65"/>
  <c r="B28" i="65"/>
  <c r="B29" i="65"/>
  <c r="B30" i="65"/>
  <c r="B31" i="65"/>
  <c r="B32" i="65"/>
  <c r="B33" i="65"/>
  <c r="B34" i="65"/>
  <c r="B35" i="65"/>
  <c r="B36" i="65"/>
  <c r="B37" i="65"/>
  <c r="B38" i="65"/>
  <c r="B39" i="65"/>
  <c r="B40" i="65"/>
  <c r="B41" i="65"/>
  <c r="B42" i="65"/>
  <c r="B43" i="65"/>
  <c r="B44" i="65"/>
  <c r="B45" i="65"/>
  <c r="B46" i="65"/>
  <c r="B47" i="65"/>
  <c r="B48" i="65"/>
  <c r="B49" i="65"/>
  <c r="B50" i="65"/>
  <c r="B51" i="65"/>
  <c r="B52" i="65"/>
  <c r="B53" i="65"/>
  <c r="B54" i="65"/>
  <c r="B55" i="65"/>
  <c r="B56" i="65"/>
  <c r="B57" i="65"/>
  <c r="B58" i="65"/>
  <c r="B59" i="65"/>
  <c r="B60" i="65"/>
  <c r="B61" i="65"/>
  <c r="B62" i="65"/>
  <c r="B63" i="65"/>
  <c r="B64" i="65"/>
  <c r="B65" i="65"/>
  <c r="B66" i="65"/>
  <c r="B67" i="65"/>
  <c r="B68" i="65"/>
  <c r="B69" i="65"/>
  <c r="B70" i="65"/>
  <c r="B71" i="65"/>
  <c r="B72" i="65"/>
  <c r="B73" i="65"/>
  <c r="B74" i="65"/>
  <c r="B75" i="65"/>
  <c r="B76" i="65"/>
  <c r="B77" i="65"/>
  <c r="B78" i="65"/>
  <c r="B79" i="65"/>
  <c r="B80" i="65"/>
  <c r="B81" i="65"/>
  <c r="B82" i="65"/>
  <c r="B83" i="65"/>
  <c r="B84" i="65"/>
  <c r="B85" i="65"/>
  <c r="B86" i="65"/>
  <c r="B87" i="65"/>
  <c r="B88" i="65"/>
  <c r="B89" i="65"/>
  <c r="B90" i="65"/>
  <c r="B91" i="65"/>
  <c r="B92" i="65"/>
  <c r="B93" i="65"/>
  <c r="B94" i="65"/>
  <c r="B95" i="65"/>
  <c r="B96" i="65"/>
  <c r="B97" i="65"/>
  <c r="B98" i="65"/>
  <c r="B99" i="65"/>
  <c r="B100" i="65"/>
  <c r="B101" i="65"/>
  <c r="B102" i="65"/>
  <c r="B103" i="65"/>
  <c r="B104" i="65"/>
  <c r="B105" i="65"/>
  <c r="B106" i="65"/>
  <c r="B107" i="65"/>
  <c r="B108" i="65"/>
  <c r="B109" i="65"/>
  <c r="B110" i="65"/>
  <c r="B111" i="65"/>
  <c r="B112" i="65"/>
  <c r="B113" i="65"/>
  <c r="B114" i="65"/>
  <c r="B115" i="65"/>
  <c r="B116" i="65"/>
  <c r="B117" i="65"/>
  <c r="B118" i="65"/>
  <c r="B119" i="65"/>
  <c r="B120" i="65"/>
  <c r="B121" i="65"/>
  <c r="B122" i="65"/>
  <c r="B123" i="65"/>
  <c r="B124" i="65"/>
  <c r="B125" i="65"/>
  <c r="B126" i="65"/>
  <c r="B127" i="65"/>
  <c r="B128" i="65"/>
  <c r="B129" i="65"/>
  <c r="B130" i="65"/>
  <c r="B131" i="65"/>
  <c r="B132" i="65"/>
  <c r="B133" i="65"/>
  <c r="B134" i="65"/>
  <c r="B135" i="65"/>
  <c r="B136" i="65"/>
  <c r="B137" i="65"/>
  <c r="B138" i="65"/>
  <c r="B139" i="65"/>
  <c r="B140" i="65"/>
  <c r="B141" i="65"/>
  <c r="B142" i="65"/>
  <c r="B143" i="65"/>
  <c r="B144" i="65"/>
  <c r="B145" i="65"/>
  <c r="B146" i="65"/>
  <c r="B147" i="65"/>
  <c r="B148" i="65"/>
  <c r="B149" i="65"/>
  <c r="B150" i="65"/>
  <c r="B151" i="65"/>
  <c r="B152" i="65"/>
  <c r="B153" i="65"/>
  <c r="B154" i="65"/>
  <c r="B155" i="65"/>
  <c r="B156" i="65"/>
  <c r="B157" i="65"/>
  <c r="B158" i="65"/>
  <c r="B159" i="65"/>
  <c r="B160" i="65"/>
  <c r="B161" i="65"/>
  <c r="B162" i="65"/>
  <c r="B163" i="65"/>
  <c r="B164" i="65"/>
  <c r="B165" i="65"/>
  <c r="B166" i="65"/>
  <c r="B167" i="65"/>
  <c r="B168" i="65"/>
  <c r="B169" i="65"/>
  <c r="B170" i="65"/>
  <c r="B171" i="65"/>
  <c r="B172" i="65"/>
  <c r="B173" i="65"/>
  <c r="B174" i="65"/>
  <c r="B175" i="65"/>
  <c r="B176" i="65"/>
  <c r="B177" i="65"/>
  <c r="B178" i="65"/>
  <c r="B179" i="65"/>
  <c r="B180" i="65"/>
  <c r="B181" i="65"/>
  <c r="B182" i="65"/>
  <c r="B183" i="65"/>
  <c r="B184" i="65"/>
  <c r="B185" i="65"/>
  <c r="B186" i="65"/>
  <c r="B187" i="65"/>
  <c r="B188" i="65"/>
  <c r="B189" i="65"/>
  <c r="B190" i="65"/>
  <c r="C191" i="65"/>
  <c r="L194" i="65"/>
  <c r="P194" i="65" s="1"/>
  <c r="G195" i="65"/>
  <c r="I195" i="65"/>
  <c r="K195" i="65"/>
  <c r="L195" i="65"/>
  <c r="O195" i="65"/>
  <c r="P195" i="65"/>
  <c r="G196" i="65"/>
  <c r="I196" i="65"/>
  <c r="K196" i="65"/>
  <c r="L196" i="65"/>
  <c r="O196" i="65"/>
  <c r="P196" i="65"/>
  <c r="C197" i="65"/>
  <c r="AA1" i="56"/>
  <c r="Y1" i="56"/>
  <c r="X1" i="56"/>
  <c r="S1" i="56"/>
  <c r="AG1" i="56"/>
  <c r="AF1" i="56"/>
  <c r="AE1" i="56"/>
  <c r="AD1" i="56"/>
  <c r="AC1" i="56"/>
  <c r="AB1" i="56"/>
  <c r="Z1" i="56"/>
  <c r="U1" i="56"/>
  <c r="T1" i="56"/>
  <c r="Z1" i="44"/>
  <c r="W1" i="44"/>
  <c r="S1" i="44"/>
  <c r="AG1" i="44"/>
  <c r="AF1" i="44"/>
  <c r="AE1" i="44"/>
  <c r="AD1" i="44"/>
  <c r="AC1" i="44"/>
  <c r="AB1" i="44"/>
  <c r="Y1" i="44"/>
  <c r="X1" i="44"/>
  <c r="U1" i="44"/>
  <c r="T1" i="44"/>
  <c r="Q10" i="213" l="1"/>
  <c r="Q199" i="213"/>
  <c r="G2" i="213" s="1"/>
  <c r="A1" i="72"/>
  <c r="Q180" i="69" s="1"/>
  <c r="Q131" i="69"/>
  <c r="F62" i="69"/>
  <c r="H105" i="69"/>
  <c r="G105" i="69"/>
  <c r="N82" i="69"/>
  <c r="M163" i="69"/>
  <c r="M82" i="69"/>
  <c r="O80" i="69"/>
  <c r="B60" i="69"/>
  <c r="F43" i="69"/>
  <c r="L37" i="69"/>
  <c r="N35" i="69"/>
  <c r="L23" i="69"/>
  <c r="O16" i="69"/>
  <c r="M15" i="69"/>
  <c r="F9" i="69"/>
  <c r="Q5" i="69"/>
  <c r="L28" i="69"/>
  <c r="M74" i="69"/>
  <c r="N50" i="69"/>
  <c r="P48" i="69"/>
  <c r="K37" i="69"/>
  <c r="Q31" i="69"/>
  <c r="B30" i="69"/>
  <c r="C21" i="69"/>
  <c r="O17" i="69"/>
  <c r="K14" i="69"/>
  <c r="G11" i="69"/>
  <c r="F10" i="69"/>
  <c r="D9" i="69"/>
  <c r="A7" i="69"/>
  <c r="P5" i="69"/>
  <c r="N3" i="69"/>
  <c r="K126" i="69"/>
  <c r="O69" i="69"/>
  <c r="D59" i="69"/>
  <c r="L56" i="69"/>
  <c r="D52" i="69"/>
  <c r="F50" i="69"/>
  <c r="H48" i="69"/>
  <c r="J46" i="69"/>
  <c r="L44" i="69"/>
  <c r="N42" i="69"/>
  <c r="P40" i="69"/>
  <c r="C37" i="69"/>
  <c r="E35" i="69"/>
  <c r="G33" i="69"/>
  <c r="I31" i="69"/>
  <c r="L29" i="69"/>
  <c r="F28" i="69"/>
  <c r="B27" i="69"/>
  <c r="J24" i="69"/>
  <c r="F23" i="69"/>
  <c r="B22" i="69"/>
  <c r="N20" i="69"/>
  <c r="M19" i="69"/>
  <c r="K18" i="69"/>
  <c r="J17" i="69"/>
  <c r="H15" i="69"/>
  <c r="F14" i="69"/>
  <c r="E13" i="69"/>
  <c r="D12" i="69"/>
  <c r="B11" i="69"/>
  <c r="A10" i="69"/>
  <c r="Q8" i="69"/>
  <c r="M6" i="69"/>
  <c r="J5" i="69"/>
  <c r="J4" i="69"/>
  <c r="I3" i="69"/>
  <c r="G57" i="69"/>
  <c r="A6" i="69"/>
  <c r="P3" i="69"/>
  <c r="M66" i="69"/>
  <c r="L58" i="69"/>
  <c r="D56" i="69"/>
  <c r="M53" i="69"/>
  <c r="O51" i="69"/>
  <c r="Q49" i="69"/>
  <c r="B48" i="69"/>
  <c r="D46" i="69"/>
  <c r="F44" i="69"/>
  <c r="H42" i="69"/>
  <c r="J40" i="69"/>
  <c r="L38" i="69"/>
  <c r="N36" i="69"/>
  <c r="P34" i="69"/>
  <c r="A33" i="69"/>
  <c r="C31" i="69"/>
  <c r="H29" i="69"/>
  <c r="D28" i="69"/>
  <c r="P26" i="69"/>
  <c r="L25" i="69"/>
  <c r="H24" i="69"/>
  <c r="C23" i="69"/>
  <c r="P21" i="69"/>
  <c r="L20" i="69"/>
  <c r="J19" i="69"/>
  <c r="I18" i="69"/>
  <c r="H17" i="69"/>
  <c r="G16" i="69"/>
  <c r="E15" i="69"/>
  <c r="D14" i="69"/>
  <c r="C13" i="69"/>
  <c r="A12" i="69"/>
  <c r="Q10" i="69"/>
  <c r="P9" i="69"/>
  <c r="O8" i="69"/>
  <c r="M7" i="69"/>
  <c r="J6" i="69"/>
  <c r="H5" i="69"/>
  <c r="H4" i="69"/>
  <c r="D3" i="69"/>
  <c r="A189" i="69"/>
  <c r="A49" i="69"/>
  <c r="C47" i="69"/>
  <c r="G43" i="69"/>
  <c r="O35" i="69"/>
  <c r="N28" i="69"/>
  <c r="F26" i="69"/>
  <c r="E21" i="69"/>
  <c r="P16" i="69"/>
  <c r="K12" i="69"/>
  <c r="E8" i="69"/>
  <c r="Q4" i="69"/>
  <c r="Q110" i="69"/>
  <c r="N63" i="69"/>
  <c r="K58" i="69"/>
  <c r="A56" i="69"/>
  <c r="L53" i="69"/>
  <c r="N51" i="69"/>
  <c r="P49" i="69"/>
  <c r="A48" i="69"/>
  <c r="C46" i="69"/>
  <c r="E44" i="69"/>
  <c r="G42" i="69"/>
  <c r="I40" i="69"/>
  <c r="K38" i="69"/>
  <c r="M36" i="69"/>
  <c r="O34" i="69"/>
  <c r="Q32" i="69"/>
  <c r="B31" i="69"/>
  <c r="F29" i="69"/>
  <c r="C28" i="69"/>
  <c r="O26" i="69"/>
  <c r="J25" i="69"/>
  <c r="G24" i="69"/>
  <c r="B23" i="69"/>
  <c r="N21" i="69"/>
  <c r="K20" i="69"/>
  <c r="I19" i="69"/>
  <c r="H18" i="69"/>
  <c r="G17" i="69"/>
  <c r="E16" i="69"/>
  <c r="D15" i="69"/>
  <c r="C14" i="69"/>
  <c r="B13" i="69"/>
  <c r="Q11" i="69"/>
  <c r="P10" i="69"/>
  <c r="O9" i="69"/>
  <c r="M8" i="69"/>
  <c r="L7" i="69"/>
  <c r="I6" i="69"/>
  <c r="G5" i="69"/>
  <c r="G4" i="69"/>
  <c r="C3" i="69"/>
  <c r="N52" i="69"/>
  <c r="M37" i="69"/>
  <c r="D30" i="69"/>
  <c r="N23" i="69"/>
  <c r="A19" i="69"/>
  <c r="M14" i="69"/>
  <c r="H10" i="69"/>
  <c r="H103" i="69"/>
  <c r="J61" i="69"/>
  <c r="J58" i="69"/>
  <c r="Q55" i="69"/>
  <c r="K53" i="69"/>
  <c r="M51" i="69"/>
  <c r="O49" i="69"/>
  <c r="Q47" i="69"/>
  <c r="B46" i="69"/>
  <c r="D44" i="69"/>
  <c r="F42" i="69"/>
  <c r="H40" i="69"/>
  <c r="J38" i="69"/>
  <c r="L36" i="69"/>
  <c r="N34" i="69"/>
  <c r="P32" i="69"/>
  <c r="A31" i="69"/>
  <c r="E29" i="69"/>
  <c r="A28" i="69"/>
  <c r="N26" i="69"/>
  <c r="I25" i="69"/>
  <c r="E24" i="69"/>
  <c r="A23" i="69"/>
  <c r="M21" i="69"/>
  <c r="I20" i="69"/>
  <c r="H19" i="69"/>
  <c r="G18" i="69"/>
  <c r="F17" i="69"/>
  <c r="D16" i="69"/>
  <c r="C15" i="69"/>
  <c r="B14" i="69"/>
  <c r="Q12" i="69"/>
  <c r="P11" i="69"/>
  <c r="O10" i="69"/>
  <c r="N9" i="69"/>
  <c r="L8" i="69"/>
  <c r="J7" i="69"/>
  <c r="H6" i="69"/>
  <c r="F5" i="69"/>
  <c r="F4" i="69"/>
  <c r="A3" i="69"/>
  <c r="P54" i="69"/>
  <c r="K39" i="69"/>
  <c r="B32" i="69"/>
  <c r="J22" i="69"/>
  <c r="Q17" i="69"/>
  <c r="L13" i="69"/>
  <c r="G9" i="69"/>
  <c r="P95" i="69"/>
  <c r="L60" i="69"/>
  <c r="O57" i="69"/>
  <c r="G55" i="69"/>
  <c r="C53" i="69"/>
  <c r="E51" i="69"/>
  <c r="G49" i="69"/>
  <c r="I47" i="69"/>
  <c r="K45" i="69"/>
  <c r="M43" i="69"/>
  <c r="O41" i="69"/>
  <c r="Q39" i="69"/>
  <c r="B38" i="69"/>
  <c r="D36" i="69"/>
  <c r="F34" i="69"/>
  <c r="H32" i="69"/>
  <c r="J30" i="69"/>
  <c r="Q28" i="69"/>
  <c r="M27" i="69"/>
  <c r="H26" i="69"/>
  <c r="D25" i="69"/>
  <c r="Q23" i="69"/>
  <c r="L22" i="69"/>
  <c r="H21" i="69"/>
  <c r="E20" i="69"/>
  <c r="D19" i="69"/>
  <c r="B18" i="69"/>
  <c r="A17" i="69"/>
  <c r="Q15" i="69"/>
  <c r="O14" i="69"/>
  <c r="N13" i="69"/>
  <c r="M12" i="69"/>
  <c r="L11" i="69"/>
  <c r="J10" i="69"/>
  <c r="I9" i="69"/>
  <c r="H8" i="69"/>
  <c r="E7" i="69"/>
  <c r="C6" i="69"/>
  <c r="B5" i="69"/>
  <c r="A4" i="69"/>
  <c r="G88" i="69"/>
  <c r="P50" i="69"/>
  <c r="E45" i="69"/>
  <c r="I41" i="69"/>
  <c r="Q33" i="69"/>
  <c r="J27" i="69"/>
  <c r="A25" i="69"/>
  <c r="C20" i="69"/>
  <c r="N15" i="69"/>
  <c r="I11" i="69"/>
  <c r="C7" i="69"/>
  <c r="N189" i="69"/>
  <c r="H3" i="69"/>
  <c r="N7" i="69"/>
  <c r="C12" i="69"/>
  <c r="H16" i="69"/>
  <c r="M20" i="69"/>
  <c r="N25" i="69"/>
  <c r="D31" i="69"/>
  <c r="M38" i="69"/>
  <c r="E46" i="69"/>
  <c r="N53" i="69"/>
  <c r="N64" i="69"/>
  <c r="D83" i="69"/>
  <c r="F113" i="69"/>
  <c r="M165" i="69"/>
  <c r="N6" i="69"/>
  <c r="D11" i="69"/>
  <c r="I15" i="69"/>
  <c r="N19" i="69"/>
  <c r="K24" i="69"/>
  <c r="M29" i="69"/>
  <c r="D37" i="69"/>
  <c r="M44" i="69"/>
  <c r="E52" i="69"/>
  <c r="G62" i="69"/>
  <c r="M77" i="69"/>
  <c r="E107" i="69"/>
  <c r="J147" i="69"/>
  <c r="M5" i="69"/>
  <c r="C10" i="69"/>
  <c r="I14" i="69"/>
  <c r="N18" i="69"/>
  <c r="I23" i="69"/>
  <c r="I28" i="69"/>
  <c r="G35" i="69"/>
  <c r="P42" i="69"/>
  <c r="H50" i="69"/>
  <c r="I59" i="69"/>
  <c r="Q71" i="69"/>
  <c r="N99" i="69"/>
  <c r="D132" i="69"/>
  <c r="I199" i="69"/>
  <c r="M195" i="69"/>
  <c r="Q191" i="69"/>
  <c r="D188" i="69"/>
  <c r="H184" i="69"/>
  <c r="L180" i="69"/>
  <c r="P176" i="69"/>
  <c r="C173" i="69"/>
  <c r="G169" i="69"/>
  <c r="K165" i="69"/>
  <c r="J197" i="69"/>
  <c r="N193" i="69"/>
  <c r="A190" i="69"/>
  <c r="E186" i="69"/>
  <c r="I182" i="69"/>
  <c r="M178" i="69"/>
  <c r="Q174" i="69"/>
  <c r="D171" i="69"/>
  <c r="H167" i="69"/>
  <c r="L163" i="69"/>
  <c r="M199" i="69"/>
  <c r="Q195" i="69"/>
  <c r="D192" i="69"/>
  <c r="H188" i="69"/>
  <c r="L184" i="69"/>
  <c r="P180" i="69"/>
  <c r="C177" i="69"/>
  <c r="G173" i="69"/>
  <c r="K169" i="69"/>
  <c r="O165" i="69"/>
  <c r="B162" i="69"/>
  <c r="D197" i="69"/>
  <c r="F196" i="69"/>
  <c r="E190" i="69"/>
  <c r="E184" i="69"/>
  <c r="D178" i="69"/>
  <c r="E172" i="69"/>
  <c r="D166" i="69"/>
  <c r="A161" i="69"/>
  <c r="E157" i="69"/>
  <c r="I153" i="69"/>
  <c r="M149" i="69"/>
  <c r="A200" i="69"/>
  <c r="Q193" i="69"/>
  <c r="C199" i="69"/>
  <c r="B193" i="69"/>
  <c r="B187" i="69"/>
  <c r="A181" i="69"/>
  <c r="B175" i="69"/>
  <c r="A169" i="69"/>
  <c r="G163" i="69"/>
  <c r="A159" i="69"/>
  <c r="E155" i="69"/>
  <c r="I151" i="69"/>
  <c r="P195" i="69"/>
  <c r="P186" i="69"/>
  <c r="P178" i="69"/>
  <c r="P170" i="69"/>
  <c r="E163" i="69"/>
  <c r="L157" i="69"/>
  <c r="L152" i="69"/>
  <c r="Q147" i="69"/>
  <c r="A144" i="69"/>
  <c r="E140" i="69"/>
  <c r="I136" i="69"/>
  <c r="M132" i="69"/>
  <c r="Q128" i="69"/>
  <c r="B192" i="69"/>
  <c r="L183" i="69"/>
  <c r="K175" i="69"/>
  <c r="K167" i="69"/>
  <c r="L160" i="69"/>
  <c r="K155" i="69"/>
  <c r="K150" i="69"/>
  <c r="E146" i="69"/>
  <c r="I142" i="69"/>
  <c r="M138" i="69"/>
  <c r="C198" i="69"/>
  <c r="I185" i="69"/>
  <c r="P174" i="69"/>
  <c r="G164" i="69"/>
  <c r="O156" i="69"/>
  <c r="E150" i="69"/>
  <c r="L144" i="69"/>
  <c r="K139" i="69"/>
  <c r="N134" i="69"/>
  <c r="I130" i="69"/>
  <c r="I126" i="69"/>
  <c r="M192" i="69"/>
  <c r="H181" i="69"/>
  <c r="O170" i="69"/>
  <c r="Q160" i="69"/>
  <c r="D154" i="69"/>
  <c r="P147" i="69"/>
  <c r="M142" i="69"/>
  <c r="L137" i="69"/>
  <c r="B133" i="69"/>
  <c r="N128" i="69"/>
  <c r="A125" i="69"/>
  <c r="L190" i="69"/>
  <c r="A180" i="69"/>
  <c r="E169" i="69"/>
  <c r="P159" i="69"/>
  <c r="F153" i="69"/>
  <c r="B147" i="69"/>
  <c r="Q141" i="69"/>
  <c r="A137" i="69"/>
  <c r="J199" i="69"/>
  <c r="G180" i="69"/>
  <c r="K163" i="69"/>
  <c r="D152" i="69"/>
  <c r="C143" i="69"/>
  <c r="C135" i="69"/>
  <c r="B129" i="69"/>
  <c r="C124" i="69"/>
  <c r="F120" i="69"/>
  <c r="J116" i="69"/>
  <c r="Q3" i="69"/>
  <c r="G8" i="69"/>
  <c r="L12" i="69"/>
  <c r="Q16" i="69"/>
  <c r="F21" i="69"/>
  <c r="G26" i="69"/>
  <c r="C32" i="69"/>
  <c r="L39" i="69"/>
  <c r="D47" i="69"/>
  <c r="Q54" i="69"/>
  <c r="E66" i="69"/>
  <c r="Q86" i="69"/>
  <c r="B117" i="69"/>
  <c r="G182" i="69"/>
  <c r="G7" i="69"/>
  <c r="M11" i="69"/>
  <c r="A16" i="69"/>
  <c r="F20" i="69"/>
  <c r="F25" i="69"/>
  <c r="K30" i="69"/>
  <c r="C38" i="69"/>
  <c r="L45" i="69"/>
  <c r="D53" i="69"/>
  <c r="O63" i="69"/>
  <c r="P80" i="69"/>
  <c r="A111" i="69"/>
  <c r="P157" i="69"/>
  <c r="E6" i="69"/>
  <c r="M10" i="69"/>
  <c r="A15" i="69"/>
  <c r="F19" i="69"/>
  <c r="B24" i="69"/>
  <c r="C29" i="69"/>
  <c r="F36" i="69"/>
  <c r="O43" i="69"/>
  <c r="G51" i="69"/>
  <c r="Q60" i="69"/>
  <c r="O74" i="69"/>
  <c r="J103" i="69"/>
  <c r="H139" i="69"/>
  <c r="A199" i="69"/>
  <c r="E195" i="69"/>
  <c r="I191" i="69"/>
  <c r="M187" i="69"/>
  <c r="Q183" i="69"/>
  <c r="D180" i="69"/>
  <c r="H176" i="69"/>
  <c r="L172" i="69"/>
  <c r="P168" i="69"/>
  <c r="O200" i="69"/>
  <c r="B197" i="69"/>
  <c r="F193" i="69"/>
  <c r="J189" i="69"/>
  <c r="N185" i="69"/>
  <c r="A182" i="69"/>
  <c r="E178" i="69"/>
  <c r="I174" i="69"/>
  <c r="M170" i="69"/>
  <c r="Q166" i="69"/>
  <c r="D163" i="69"/>
  <c r="E199" i="69"/>
  <c r="I195" i="69"/>
  <c r="M191" i="69"/>
  <c r="Q187" i="69"/>
  <c r="D184" i="69"/>
  <c r="H180" i="69"/>
  <c r="L176" i="69"/>
  <c r="P172" i="69"/>
  <c r="C169" i="69"/>
  <c r="G165" i="69"/>
  <c r="K161" i="69"/>
  <c r="G196" i="69"/>
  <c r="J195" i="69"/>
  <c r="I189" i="69"/>
  <c r="J183" i="69"/>
  <c r="I177" i="69"/>
  <c r="H171" i="69"/>
  <c r="H165" i="69"/>
  <c r="J160" i="69"/>
  <c r="N156" i="69"/>
  <c r="A153" i="69"/>
  <c r="E149" i="69"/>
  <c r="D199" i="69"/>
  <c r="D193" i="69"/>
  <c r="G198" i="69"/>
  <c r="F192" i="69"/>
  <c r="G186" i="69"/>
  <c r="F180" i="69"/>
  <c r="E174" i="69"/>
  <c r="E168" i="69"/>
  <c r="N162" i="69"/>
  <c r="J158" i="69"/>
  <c r="N154" i="69"/>
  <c r="A151" i="69"/>
  <c r="P194" i="69"/>
  <c r="Q185" i="69"/>
  <c r="P177" i="69"/>
  <c r="P169" i="69"/>
  <c r="H162" i="69"/>
  <c r="A157" i="69"/>
  <c r="A152" i="69"/>
  <c r="H147" i="69"/>
  <c r="J143" i="69"/>
  <c r="N139" i="69"/>
  <c r="A136" i="69"/>
  <c r="E132" i="69"/>
  <c r="F200" i="69"/>
  <c r="M190" i="69"/>
  <c r="L182" i="69"/>
  <c r="L174" i="69"/>
  <c r="K166" i="69"/>
  <c r="A160" i="69"/>
  <c r="A155" i="69"/>
  <c r="Q149" i="69"/>
  <c r="N145" i="69"/>
  <c r="A142" i="69"/>
  <c r="E138" i="69"/>
  <c r="I4" i="69"/>
  <c r="P8" i="69"/>
  <c r="D13" i="69"/>
  <c r="I17" i="69"/>
  <c r="A22" i="69"/>
  <c r="Q26" i="69"/>
  <c r="B33" i="69"/>
  <c r="K40" i="69"/>
  <c r="C48" i="69"/>
  <c r="E56" i="69"/>
  <c r="M67" i="69"/>
  <c r="M90" i="69"/>
  <c r="O120" i="69"/>
  <c r="J3" i="69"/>
  <c r="Q7" i="69"/>
  <c r="E12" i="69"/>
  <c r="J16" i="69"/>
  <c r="O20" i="69"/>
  <c r="P25" i="69"/>
  <c r="J31" i="69"/>
  <c r="B39" i="69"/>
  <c r="K46" i="69"/>
  <c r="C54" i="69"/>
  <c r="F65" i="69"/>
  <c r="L84" i="69"/>
  <c r="N114" i="69"/>
  <c r="G172" i="69"/>
  <c r="P6" i="69"/>
  <c r="E11" i="69"/>
  <c r="J15" i="69"/>
  <c r="O19" i="69"/>
  <c r="M24" i="69"/>
  <c r="N29" i="69"/>
  <c r="E37" i="69"/>
  <c r="N44" i="69"/>
  <c r="F52" i="69"/>
  <c r="H62" i="69"/>
  <c r="P77" i="69"/>
  <c r="F107" i="69"/>
  <c r="K147" i="69"/>
  <c r="J198" i="69"/>
  <c r="N194" i="69"/>
  <c r="A191" i="69"/>
  <c r="E187" i="69"/>
  <c r="I183" i="69"/>
  <c r="M179" i="69"/>
  <c r="Q175" i="69"/>
  <c r="D172" i="69"/>
  <c r="H168" i="69"/>
  <c r="G200" i="69"/>
  <c r="K196" i="69"/>
  <c r="O192" i="69"/>
  <c r="B189" i="69"/>
  <c r="F185" i="69"/>
  <c r="J181" i="69"/>
  <c r="N177" i="69"/>
  <c r="A174" i="69"/>
  <c r="E170" i="69"/>
  <c r="I166" i="69"/>
  <c r="M162" i="69"/>
  <c r="N198" i="69"/>
  <c r="A195" i="69"/>
  <c r="E191" i="69"/>
  <c r="I187" i="69"/>
  <c r="M183" i="69"/>
  <c r="Q179" i="69"/>
  <c r="D176" i="69"/>
  <c r="H172" i="69"/>
  <c r="L168" i="69"/>
  <c r="P164" i="69"/>
  <c r="C161" i="69"/>
  <c r="N200" i="69"/>
  <c r="O194" i="69"/>
  <c r="N188" i="69"/>
  <c r="M182" i="69"/>
  <c r="M176" i="69"/>
  <c r="L170" i="69"/>
  <c r="N164" i="69"/>
  <c r="B160" i="69"/>
  <c r="F156" i="69"/>
  <c r="J152" i="69"/>
  <c r="N148" i="69"/>
  <c r="H198" i="69"/>
  <c r="I192" i="69"/>
  <c r="L197" i="69"/>
  <c r="K191" i="69"/>
  <c r="J185" i="69"/>
  <c r="J179" i="69"/>
  <c r="I173" i="69"/>
  <c r="J167" i="69"/>
  <c r="C162" i="69"/>
  <c r="B158" i="69"/>
  <c r="F154" i="69"/>
  <c r="J150" i="69"/>
  <c r="J193" i="69"/>
  <c r="Q184" i="69"/>
  <c r="Q176" i="69"/>
  <c r="N168" i="69"/>
  <c r="J161" i="69"/>
  <c r="H156" i="69"/>
  <c r="G151" i="69"/>
  <c r="O146" i="69"/>
  <c r="B143" i="69"/>
  <c r="F139" i="69"/>
  <c r="J135" i="69"/>
  <c r="N131" i="69"/>
  <c r="E200" i="69"/>
  <c r="M189" i="69"/>
  <c r="L181" i="69"/>
  <c r="L173" i="69"/>
  <c r="L165" i="69"/>
  <c r="G159" i="69"/>
  <c r="G154" i="69"/>
  <c r="H149" i="69"/>
  <c r="F145" i="69"/>
  <c r="J141" i="69"/>
  <c r="N137" i="69"/>
  <c r="A5" i="69"/>
  <c r="H9" i="69"/>
  <c r="M13" i="69"/>
  <c r="A18" i="69"/>
  <c r="K22" i="69"/>
  <c r="L27" i="69"/>
  <c r="A34" i="69"/>
  <c r="J41" i="69"/>
  <c r="B49" i="69"/>
  <c r="H57" i="69"/>
  <c r="G69" i="69"/>
  <c r="I94" i="69"/>
  <c r="M124" i="69"/>
  <c r="C4" i="69"/>
  <c r="I8" i="69"/>
  <c r="N12" i="69"/>
  <c r="B17" i="69"/>
  <c r="J21" i="69"/>
  <c r="I26" i="69"/>
  <c r="I32" i="69"/>
  <c r="A40" i="69"/>
  <c r="J47" i="69"/>
  <c r="H55" i="69"/>
  <c r="N66" i="69"/>
  <c r="H88" i="69"/>
  <c r="J118" i="69"/>
  <c r="D189" i="69"/>
  <c r="H7" i="69"/>
  <c r="N11" i="69"/>
  <c r="B16" i="69"/>
  <c r="G20" i="69"/>
  <c r="G25" i="69"/>
  <c r="L30" i="69"/>
  <c r="D38" i="69"/>
  <c r="M45" i="69"/>
  <c r="E53" i="69"/>
  <c r="P63" i="69"/>
  <c r="Q80" i="69"/>
  <c r="B111" i="69"/>
  <c r="Q157" i="69"/>
  <c r="B198" i="69"/>
  <c r="F194" i="69"/>
  <c r="J190" i="69"/>
  <c r="N186" i="69"/>
  <c r="A183" i="69"/>
  <c r="E179" i="69"/>
  <c r="I175" i="69"/>
  <c r="M171" i="69"/>
  <c r="Q167" i="69"/>
  <c r="P199" i="69"/>
  <c r="C196" i="69"/>
  <c r="G192" i="69"/>
  <c r="K188" i="69"/>
  <c r="O184" i="69"/>
  <c r="B181" i="69"/>
  <c r="F177" i="69"/>
  <c r="J173" i="69"/>
  <c r="N169" i="69"/>
  <c r="A166" i="69"/>
  <c r="E162" i="69"/>
  <c r="F198" i="69"/>
  <c r="J194" i="69"/>
  <c r="N190" i="69"/>
  <c r="A187" i="69"/>
  <c r="E183" i="69"/>
  <c r="I179" i="69"/>
  <c r="M175" i="69"/>
  <c r="Q171" i="69"/>
  <c r="D168" i="69"/>
  <c r="H164" i="69"/>
  <c r="Q200" i="69"/>
  <c r="B200" i="69"/>
  <c r="A194" i="69"/>
  <c r="A188" i="69"/>
  <c r="Q181" i="69"/>
  <c r="A176" i="69"/>
  <c r="Q169" i="69"/>
  <c r="D164" i="69"/>
  <c r="K159" i="69"/>
  <c r="O155" i="69"/>
  <c r="B152" i="69"/>
  <c r="F148" i="69"/>
  <c r="M197" i="69"/>
  <c r="L191" i="69"/>
  <c r="O196" i="69"/>
  <c r="O190" i="69"/>
  <c r="N184" i="69"/>
  <c r="O178" i="69"/>
  <c r="N172" i="69"/>
  <c r="M166" i="69"/>
  <c r="I161" i="69"/>
  <c r="K157" i="69"/>
  <c r="O153" i="69"/>
  <c r="B150" i="69"/>
  <c r="E192" i="69"/>
  <c r="O183" i="69"/>
  <c r="O175" i="69"/>
  <c r="O167" i="69"/>
  <c r="N160" i="69"/>
  <c r="N155" i="69"/>
  <c r="N150" i="69"/>
  <c r="G146" i="69"/>
  <c r="K142" i="69"/>
  <c r="O138" i="69"/>
  <c r="B135" i="69"/>
  <c r="F131" i="69"/>
  <c r="M198" i="69"/>
  <c r="M188" i="69"/>
  <c r="M180" i="69"/>
  <c r="J172" i="69"/>
  <c r="M164" i="69"/>
  <c r="N158" i="69"/>
  <c r="M153" i="69"/>
  <c r="P148" i="69"/>
  <c r="O144" i="69"/>
  <c r="B141" i="69"/>
  <c r="F137" i="69"/>
  <c r="N192" i="69"/>
  <c r="I181" i="69"/>
  <c r="Q170" i="69"/>
  <c r="B161" i="69"/>
  <c r="E154" i="69"/>
  <c r="I5" i="69"/>
  <c r="Q9" i="69"/>
  <c r="E14" i="69"/>
  <c r="J18" i="69"/>
  <c r="D23" i="69"/>
  <c r="E28" i="69"/>
  <c r="Q34" i="69"/>
  <c r="I42" i="69"/>
  <c r="A50" i="69"/>
  <c r="M58" i="69"/>
  <c r="A71" i="69"/>
  <c r="E98" i="69"/>
  <c r="N129" i="69"/>
  <c r="L4" i="69"/>
  <c r="A9" i="69"/>
  <c r="F13" i="69"/>
  <c r="K17" i="69"/>
  <c r="C22" i="69"/>
  <c r="D27" i="69"/>
  <c r="H33" i="69"/>
  <c r="Q40" i="69"/>
  <c r="I48" i="69"/>
  <c r="M56" i="69"/>
  <c r="H68" i="69"/>
  <c r="D92" i="69"/>
  <c r="F122" i="69"/>
  <c r="L3" i="69"/>
  <c r="A8" i="69"/>
  <c r="F12" i="69"/>
  <c r="K16" i="69"/>
  <c r="Q20" i="69"/>
  <c r="Q25" i="69"/>
  <c r="K31" i="69"/>
  <c r="C39" i="69"/>
  <c r="L46" i="69"/>
  <c r="F54" i="69"/>
  <c r="G65" i="69"/>
  <c r="M84" i="69"/>
  <c r="O114" i="69"/>
  <c r="I172" i="69"/>
  <c r="K197" i="69"/>
  <c r="O193" i="69"/>
  <c r="B190" i="69"/>
  <c r="F186" i="69"/>
  <c r="J182" i="69"/>
  <c r="N178" i="69"/>
  <c r="A175" i="69"/>
  <c r="E171" i="69"/>
  <c r="I167" i="69"/>
  <c r="H199" i="69"/>
  <c r="L195" i="69"/>
  <c r="P191" i="69"/>
  <c r="C188" i="69"/>
  <c r="G184" i="69"/>
  <c r="K180" i="69"/>
  <c r="O176" i="69"/>
  <c r="B173" i="69"/>
  <c r="F169" i="69"/>
  <c r="J165" i="69"/>
  <c r="N161" i="69"/>
  <c r="O197" i="69"/>
  <c r="B194" i="69"/>
  <c r="F190" i="69"/>
  <c r="J186" i="69"/>
  <c r="N182" i="69"/>
  <c r="A179" i="69"/>
  <c r="E175" i="69"/>
  <c r="I171" i="69"/>
  <c r="M167" i="69"/>
  <c r="Q163" i="69"/>
  <c r="C200" i="69"/>
  <c r="F199" i="69"/>
  <c r="E193" i="69"/>
  <c r="F187" i="69"/>
  <c r="E181" i="69"/>
  <c r="D175" i="69"/>
  <c r="D169" i="69"/>
  <c r="J163" i="69"/>
  <c r="C159" i="69"/>
  <c r="G155" i="69"/>
  <c r="K151" i="69"/>
  <c r="O147" i="69"/>
  <c r="Q196" i="69"/>
  <c r="P190" i="69"/>
  <c r="B196" i="69"/>
  <c r="C190" i="69"/>
  <c r="B184" i="69"/>
  <c r="A178" i="69"/>
  <c r="A172" i="69"/>
  <c r="Q165" i="69"/>
  <c r="P160" i="69"/>
  <c r="C157" i="69"/>
  <c r="G153" i="69"/>
  <c r="J200" i="69"/>
  <c r="D191" i="69"/>
  <c r="P182" i="69"/>
  <c r="O174" i="69"/>
  <c r="O166" i="69"/>
  <c r="D160" i="69"/>
  <c r="C155" i="69"/>
  <c r="C150" i="69"/>
  <c r="P145" i="69"/>
  <c r="C142" i="69"/>
  <c r="G138" i="69"/>
  <c r="K134" i="69"/>
  <c r="O130" i="69"/>
  <c r="E197" i="69"/>
  <c r="K187" i="69"/>
  <c r="K179" i="69"/>
  <c r="K171" i="69"/>
  <c r="O163" i="69"/>
  <c r="C158" i="69"/>
  <c r="C153" i="69"/>
  <c r="G148" i="69"/>
  <c r="G144" i="69"/>
  <c r="K140" i="69"/>
  <c r="O136" i="69"/>
  <c r="F191" i="69"/>
  <c r="E180" i="69"/>
  <c r="I169" i="69"/>
  <c r="E160" i="69"/>
  <c r="J153" i="69"/>
  <c r="D147" i="69"/>
  <c r="D142" i="69"/>
  <c r="C137" i="69"/>
  <c r="K132" i="69"/>
  <c r="G128" i="69"/>
  <c r="L199" i="69"/>
  <c r="O186" i="69"/>
  <c r="C176" i="69"/>
  <c r="F165" i="69"/>
  <c r="J157" i="69"/>
  <c r="P150" i="69"/>
  <c r="D145" i="69"/>
  <c r="D140" i="69"/>
  <c r="E135" i="69"/>
  <c r="Q130" i="69"/>
  <c r="P126" i="69"/>
  <c r="I197" i="69"/>
  <c r="E185" i="69"/>
  <c r="K174" i="69"/>
  <c r="E164" i="69"/>
  <c r="K156" i="69"/>
  <c r="P149" i="69"/>
  <c r="J144" i="69"/>
  <c r="I139" i="69"/>
  <c r="L134" i="69"/>
  <c r="O188" i="69"/>
  <c r="J171" i="69"/>
  <c r="G157" i="69"/>
  <c r="F147" i="69"/>
  <c r="C139" i="69"/>
  <c r="P131" i="69"/>
  <c r="J126" i="69"/>
  <c r="D122" i="69"/>
  <c r="H118" i="69"/>
  <c r="L114" i="69"/>
  <c r="B6" i="69"/>
  <c r="I10" i="69"/>
  <c r="N14" i="69"/>
  <c r="B19" i="69"/>
  <c r="P23" i="69"/>
  <c r="O28" i="69"/>
  <c r="P35" i="69"/>
  <c r="H43" i="69"/>
  <c r="Q50" i="69"/>
  <c r="D60" i="69"/>
  <c r="I73" i="69"/>
  <c r="A102" i="69"/>
  <c r="D136" i="69"/>
  <c r="C5" i="69"/>
  <c r="J9" i="69"/>
  <c r="O13" i="69"/>
  <c r="C18" i="69"/>
  <c r="M22" i="69"/>
  <c r="N27" i="69"/>
  <c r="G34" i="69"/>
  <c r="P41" i="69"/>
  <c r="H49" i="69"/>
  <c r="P57" i="69"/>
  <c r="P69" i="69"/>
  <c r="Q95" i="69"/>
  <c r="L126" i="69"/>
  <c r="D4" i="69"/>
  <c r="J8" i="69"/>
  <c r="O12" i="69"/>
  <c r="C17" i="69"/>
  <c r="K21" i="69"/>
  <c r="K26" i="69"/>
  <c r="J32" i="69"/>
  <c r="B40" i="69"/>
  <c r="K47" i="69"/>
  <c r="I55" i="69"/>
  <c r="A67" i="69"/>
  <c r="I88" i="69"/>
  <c r="K118" i="69"/>
  <c r="P200" i="69"/>
  <c r="C197" i="69"/>
  <c r="G193" i="69"/>
  <c r="K189" i="69"/>
  <c r="O185" i="69"/>
  <c r="B182" i="69"/>
  <c r="F178" i="69"/>
  <c r="J174" i="69"/>
  <c r="N170" i="69"/>
  <c r="A167" i="69"/>
  <c r="Q198" i="69"/>
  <c r="D195" i="69"/>
  <c r="H191" i="69"/>
  <c r="L187" i="69"/>
  <c r="P183" i="69"/>
  <c r="C180" i="69"/>
  <c r="G176" i="69"/>
  <c r="K172" i="69"/>
  <c r="O168" i="69"/>
  <c r="B165" i="69"/>
  <c r="F161" i="69"/>
  <c r="G197" i="69"/>
  <c r="K193" i="69"/>
  <c r="O189" i="69"/>
  <c r="B186" i="69"/>
  <c r="F182" i="69"/>
  <c r="J178" i="69"/>
  <c r="N174" i="69"/>
  <c r="A171" i="69"/>
  <c r="E167" i="69"/>
  <c r="I163" i="69"/>
  <c r="G199" i="69"/>
  <c r="K198" i="69"/>
  <c r="J192" i="69"/>
  <c r="I186" i="69"/>
  <c r="I180" i="69"/>
  <c r="H174" i="69"/>
  <c r="I168" i="69"/>
  <c r="P162" i="69"/>
  <c r="L158" i="69"/>
  <c r="P154" i="69"/>
  <c r="C151" i="69"/>
  <c r="G147" i="69"/>
  <c r="E196" i="69"/>
  <c r="D190" i="69"/>
  <c r="G195" i="69"/>
  <c r="F189" i="69"/>
  <c r="F183" i="69"/>
  <c r="E177" i="69"/>
  <c r="F171" i="69"/>
  <c r="E165" i="69"/>
  <c r="H160" i="69"/>
  <c r="L156" i="69"/>
  <c r="P152" i="69"/>
  <c r="I200" i="69"/>
  <c r="P189" i="69"/>
  <c r="P181" i="69"/>
  <c r="P173" i="69"/>
  <c r="N165" i="69"/>
  <c r="J159" i="69"/>
  <c r="J154" i="69"/>
  <c r="J149" i="69"/>
  <c r="H145" i="69"/>
  <c r="L141" i="69"/>
  <c r="P137" i="69"/>
  <c r="C134" i="69"/>
  <c r="G130" i="69"/>
  <c r="N195" i="69"/>
  <c r="L186" i="69"/>
  <c r="K178" i="69"/>
  <c r="K170" i="69"/>
  <c r="B163" i="69"/>
  <c r="I157" i="69"/>
  <c r="I152" i="69"/>
  <c r="N147" i="69"/>
  <c r="P143" i="69"/>
  <c r="C140" i="69"/>
  <c r="G136" i="69"/>
  <c r="L189" i="69"/>
  <c r="B179" i="69"/>
  <c r="C168" i="69"/>
  <c r="F159" i="69"/>
  <c r="M152" i="69"/>
  <c r="J146" i="69"/>
  <c r="I141" i="69"/>
  <c r="J136" i="69"/>
  <c r="B132" i="69"/>
  <c r="L6" i="69"/>
  <c r="A11" i="69"/>
  <c r="F15" i="69"/>
  <c r="L19" i="69"/>
  <c r="I24" i="69"/>
  <c r="K29" i="69"/>
  <c r="O36" i="69"/>
  <c r="G44" i="69"/>
  <c r="P51" i="69"/>
  <c r="O61" i="69"/>
  <c r="K76" i="69"/>
  <c r="N105" i="69"/>
  <c r="E144" i="69"/>
  <c r="L5" i="69"/>
  <c r="B10" i="69"/>
  <c r="G14" i="69"/>
  <c r="M18" i="69"/>
  <c r="H23" i="69"/>
  <c r="G28" i="69"/>
  <c r="F35" i="69"/>
  <c r="O42" i="69"/>
  <c r="G50" i="69"/>
  <c r="E59" i="69"/>
  <c r="P71" i="69"/>
  <c r="M99" i="69"/>
  <c r="C132" i="69"/>
  <c r="M4" i="69"/>
  <c r="B9" i="69"/>
  <c r="G13" i="69"/>
  <c r="L17" i="69"/>
  <c r="D22" i="69"/>
  <c r="E27" i="69"/>
  <c r="I33" i="69"/>
  <c r="A41" i="69"/>
  <c r="J48" i="69"/>
  <c r="N56" i="69"/>
  <c r="I68" i="69"/>
  <c r="E92" i="69"/>
  <c r="G122" i="69"/>
  <c r="H200" i="69"/>
  <c r="L196" i="69"/>
  <c r="P192" i="69"/>
  <c r="C189" i="69"/>
  <c r="G185" i="69"/>
  <c r="K181" i="69"/>
  <c r="O177" i="69"/>
  <c r="B174" i="69"/>
  <c r="F170" i="69"/>
  <c r="J166" i="69"/>
  <c r="I198" i="69"/>
  <c r="M194" i="69"/>
  <c r="Q190" i="69"/>
  <c r="D187" i="69"/>
  <c r="H183" i="69"/>
  <c r="L179" i="69"/>
  <c r="P175" i="69"/>
  <c r="C172" i="69"/>
  <c r="G168" i="69"/>
  <c r="K164" i="69"/>
  <c r="L200" i="69"/>
  <c r="P196" i="69"/>
  <c r="C193" i="69"/>
  <c r="G189" i="69"/>
  <c r="K185" i="69"/>
  <c r="O181" i="69"/>
  <c r="B178" i="69"/>
  <c r="F174" i="69"/>
  <c r="J170" i="69"/>
  <c r="N166" i="69"/>
  <c r="A163" i="69"/>
  <c r="L198" i="69"/>
  <c r="N197" i="69"/>
  <c r="N191" i="69"/>
  <c r="M185" i="69"/>
  <c r="N179" i="69"/>
  <c r="M173" i="69"/>
  <c r="L167" i="69"/>
  <c r="F162" i="69"/>
  <c r="D158" i="69"/>
  <c r="H154" i="69"/>
  <c r="L150" i="69"/>
  <c r="P146" i="69"/>
  <c r="H195" i="69"/>
  <c r="K200" i="69"/>
  <c r="K194" i="69"/>
  <c r="J188" i="69"/>
  <c r="K182" i="69"/>
  <c r="J176" i="69"/>
  <c r="I170" i="69"/>
  <c r="L164" i="69"/>
  <c r="Q159" i="69"/>
  <c r="D156" i="69"/>
  <c r="H152" i="69"/>
  <c r="P198" i="69"/>
  <c r="Q188" i="69"/>
  <c r="O180" i="69"/>
  <c r="O172" i="69"/>
  <c r="Q164" i="69"/>
  <c r="P158" i="69"/>
  <c r="P153" i="69"/>
  <c r="A149" i="69"/>
  <c r="Q144" i="69"/>
  <c r="D141" i="69"/>
  <c r="H137" i="69"/>
  <c r="L133" i="69"/>
  <c r="P129" i="69"/>
  <c r="H194" i="69"/>
  <c r="L185" i="69"/>
  <c r="L177" i="69"/>
  <c r="J169" i="69"/>
  <c r="D162" i="69"/>
  <c r="P156" i="69"/>
  <c r="O151" i="69"/>
  <c r="E147" i="69"/>
  <c r="H143" i="69"/>
  <c r="L139" i="69"/>
  <c r="P135" i="69"/>
  <c r="F188" i="69"/>
  <c r="J177" i="69"/>
  <c r="B167" i="69"/>
  <c r="I158" i="69"/>
  <c r="J11" i="69"/>
  <c r="F63" i="69"/>
  <c r="A24" i="69"/>
  <c r="G139" i="69"/>
  <c r="Q41" i="69"/>
  <c r="H192" i="69"/>
  <c r="A198" i="69"/>
  <c r="P167" i="69"/>
  <c r="K177" i="69"/>
  <c r="A185" i="69"/>
  <c r="M200" i="69"/>
  <c r="A164" i="69"/>
  <c r="B164" i="69"/>
  <c r="H129" i="69"/>
  <c r="M146" i="69"/>
  <c r="B183" i="69"/>
  <c r="A156" i="69"/>
  <c r="E145" i="69"/>
  <c r="M137" i="69"/>
  <c r="Q129" i="69"/>
  <c r="B125" i="69"/>
  <c r="C184" i="69"/>
  <c r="H169" i="69"/>
  <c r="H158" i="69"/>
  <c r="F149" i="69"/>
  <c r="B142" i="69"/>
  <c r="N135" i="69"/>
  <c r="O129" i="69"/>
  <c r="J124" i="69"/>
  <c r="K186" i="69"/>
  <c r="P171" i="69"/>
  <c r="D159" i="69"/>
  <c r="O150" i="69"/>
  <c r="E143" i="69"/>
  <c r="F136" i="69"/>
  <c r="G191" i="69"/>
  <c r="F167" i="69"/>
  <c r="M150" i="69"/>
  <c r="A140" i="69"/>
  <c r="J130" i="69"/>
  <c r="K123" i="69"/>
  <c r="P118" i="69"/>
  <c r="M113" i="69"/>
  <c r="Q109" i="69"/>
  <c r="D106" i="69"/>
  <c r="H102" i="69"/>
  <c r="L98" i="69"/>
  <c r="P94" i="69"/>
  <c r="C91" i="69"/>
  <c r="G87" i="69"/>
  <c r="K83" i="69"/>
  <c r="O79" i="69"/>
  <c r="B76" i="69"/>
  <c r="F72" i="69"/>
  <c r="I188" i="69"/>
  <c r="G171" i="69"/>
  <c r="F157" i="69"/>
  <c r="A147" i="69"/>
  <c r="B139" i="69"/>
  <c r="O131" i="69"/>
  <c r="G126" i="69"/>
  <c r="C122" i="69"/>
  <c r="G118" i="69"/>
  <c r="K114" i="69"/>
  <c r="O110" i="69"/>
  <c r="B107" i="69"/>
  <c r="F103" i="69"/>
  <c r="J99" i="69"/>
  <c r="N95" i="69"/>
  <c r="A92" i="69"/>
  <c r="E88" i="69"/>
  <c r="I84" i="69"/>
  <c r="M80" i="69"/>
  <c r="C182" i="69"/>
  <c r="O164" i="69"/>
  <c r="B153" i="69"/>
  <c r="N143" i="69"/>
  <c r="Q135" i="69"/>
  <c r="K129" i="69"/>
  <c r="I124" i="69"/>
  <c r="L120" i="69"/>
  <c r="P116" i="69"/>
  <c r="C113" i="69"/>
  <c r="G109" i="69"/>
  <c r="K105" i="69"/>
  <c r="O101" i="69"/>
  <c r="B98" i="69"/>
  <c r="F94" i="69"/>
  <c r="J90" i="69"/>
  <c r="N86" i="69"/>
  <c r="A83" i="69"/>
  <c r="E79" i="69"/>
  <c r="I75" i="69"/>
  <c r="M71" i="69"/>
  <c r="A186" i="69"/>
  <c r="M168" i="69"/>
  <c r="J155" i="69"/>
  <c r="L145" i="69"/>
  <c r="O137" i="69"/>
  <c r="P130" i="69"/>
  <c r="L125" i="69"/>
  <c r="J121" i="69"/>
  <c r="N117" i="69"/>
  <c r="A114" i="69"/>
  <c r="E110" i="69"/>
  <c r="I106" i="69"/>
  <c r="M102" i="69"/>
  <c r="Q98" i="69"/>
  <c r="D95" i="69"/>
  <c r="H91" i="69"/>
  <c r="L87" i="69"/>
  <c r="P83" i="69"/>
  <c r="C80" i="69"/>
  <c r="G76" i="69"/>
  <c r="K72" i="69"/>
  <c r="G183" i="69"/>
  <c r="B154" i="69"/>
  <c r="L136" i="69"/>
  <c r="P124" i="69"/>
  <c r="E117" i="69"/>
  <c r="P15" i="69"/>
  <c r="J79" i="69"/>
  <c r="B29" i="69"/>
  <c r="D5" i="69"/>
  <c r="I49" i="69"/>
  <c r="L188" i="69"/>
  <c r="E194" i="69"/>
  <c r="C164" i="69"/>
  <c r="O173" i="69"/>
  <c r="Q178" i="69"/>
  <c r="L194" i="69"/>
  <c r="I159" i="69"/>
  <c r="F158" i="69"/>
  <c r="H193" i="69"/>
  <c r="Q142" i="69"/>
  <c r="E176" i="69"/>
  <c r="D155" i="69"/>
  <c r="B144" i="69"/>
  <c r="O135" i="69"/>
  <c r="G129" i="69"/>
  <c r="Q197" i="69"/>
  <c r="O182" i="69"/>
  <c r="B168" i="69"/>
  <c r="M156" i="69"/>
  <c r="K148" i="69"/>
  <c r="H141" i="69"/>
  <c r="M134" i="69"/>
  <c r="F129" i="69"/>
  <c r="B124" i="69"/>
  <c r="A184" i="69"/>
  <c r="H170" i="69"/>
  <c r="G158" i="69"/>
  <c r="D149" i="69"/>
  <c r="L142" i="69"/>
  <c r="M135" i="69"/>
  <c r="H186" i="69"/>
  <c r="C165" i="69"/>
  <c r="K149" i="69"/>
  <c r="B138" i="69"/>
  <c r="M129" i="69"/>
  <c r="C123" i="69"/>
  <c r="Q117" i="69"/>
  <c r="E113" i="69"/>
  <c r="I109" i="69"/>
  <c r="M105" i="69"/>
  <c r="Q101" i="69"/>
  <c r="D98" i="69"/>
  <c r="H94" i="69"/>
  <c r="L90" i="69"/>
  <c r="P86" i="69"/>
  <c r="C83" i="69"/>
  <c r="G79" i="69"/>
  <c r="K75" i="69"/>
  <c r="O71" i="69"/>
  <c r="D186" i="69"/>
  <c r="B169" i="69"/>
  <c r="B156" i="69"/>
  <c r="B146" i="69"/>
  <c r="A138" i="69"/>
  <c r="C131" i="69"/>
  <c r="N125" i="69"/>
  <c r="L121" i="69"/>
  <c r="P117" i="69"/>
  <c r="C114" i="69"/>
  <c r="G110" i="69"/>
  <c r="K106" i="69"/>
  <c r="O102" i="69"/>
  <c r="B99" i="69"/>
  <c r="F95" i="69"/>
  <c r="J91" i="69"/>
  <c r="N87" i="69"/>
  <c r="A84" i="69"/>
  <c r="O198" i="69"/>
  <c r="H179" i="69"/>
  <c r="O162" i="69"/>
  <c r="P151" i="69"/>
  <c r="P142" i="69"/>
  <c r="Q134" i="69"/>
  <c r="P128" i="69"/>
  <c r="Q123" i="69"/>
  <c r="D120" i="69"/>
  <c r="H116" i="69"/>
  <c r="L112" i="69"/>
  <c r="P108" i="69"/>
  <c r="C105" i="69"/>
  <c r="G101" i="69"/>
  <c r="K97" i="69"/>
  <c r="O93" i="69"/>
  <c r="B90" i="69"/>
  <c r="F86" i="69"/>
  <c r="J82" i="69"/>
  <c r="N78" i="69"/>
  <c r="A75" i="69"/>
  <c r="E71" i="69"/>
  <c r="K183" i="69"/>
  <c r="G166" i="69"/>
  <c r="I154" i="69"/>
  <c r="N144" i="69"/>
  <c r="M136" i="69"/>
  <c r="D130" i="69"/>
  <c r="Q124" i="69"/>
  <c r="B121" i="69"/>
  <c r="F117" i="69"/>
  <c r="J113" i="69"/>
  <c r="N109" i="69"/>
  <c r="A106" i="69"/>
  <c r="E102" i="69"/>
  <c r="I98" i="69"/>
  <c r="M94" i="69"/>
  <c r="Q90" i="69"/>
  <c r="D87" i="69"/>
  <c r="H83" i="69"/>
  <c r="L79" i="69"/>
  <c r="P75" i="69"/>
  <c r="C72" i="69"/>
  <c r="F179" i="69"/>
  <c r="H151" i="69"/>
  <c r="O134" i="69"/>
  <c r="O123" i="69"/>
  <c r="F116" i="69"/>
  <c r="N108" i="69"/>
  <c r="E101" i="69"/>
  <c r="M93" i="69"/>
  <c r="D86" i="69"/>
  <c r="B79" i="69"/>
  <c r="A73" i="69"/>
  <c r="G68" i="69"/>
  <c r="K64" i="69"/>
  <c r="O60" i="69"/>
  <c r="B57" i="69"/>
  <c r="A192" i="69"/>
  <c r="H159" i="69"/>
  <c r="I140" i="69"/>
  <c r="F127" i="69"/>
  <c r="B119" i="69"/>
  <c r="J111" i="69"/>
  <c r="A104" i="69"/>
  <c r="I96" i="69"/>
  <c r="Q88" i="69"/>
  <c r="H81" i="69"/>
  <c r="E75" i="69"/>
  <c r="M69" i="69"/>
  <c r="Q65" i="69"/>
  <c r="D62" i="69"/>
  <c r="H58" i="69"/>
  <c r="L54" i="69"/>
  <c r="C170" i="69"/>
  <c r="F146" i="69"/>
  <c r="G131" i="69"/>
  <c r="O121" i="69"/>
  <c r="F114" i="69"/>
  <c r="N106" i="69"/>
  <c r="E99" i="69"/>
  <c r="M91" i="69"/>
  <c r="D84" i="69"/>
  <c r="H77" i="69"/>
  <c r="H71" i="69"/>
  <c r="F67" i="69"/>
  <c r="J63" i="69"/>
  <c r="N59" i="69"/>
  <c r="M172" i="69"/>
  <c r="L147" i="69"/>
  <c r="F132" i="69"/>
  <c r="H122" i="69"/>
  <c r="P114" i="69"/>
  <c r="G107" i="69"/>
  <c r="O99" i="69"/>
  <c r="F92" i="69"/>
  <c r="N84" i="69"/>
  <c r="A78" i="69"/>
  <c r="D20" i="69"/>
  <c r="J109" i="69"/>
  <c r="E36" i="69"/>
  <c r="K9" i="69"/>
  <c r="B58" i="69"/>
  <c r="P184" i="69"/>
  <c r="I190" i="69"/>
  <c r="D200" i="69"/>
  <c r="B170" i="69"/>
  <c r="Q172" i="69"/>
  <c r="O199" i="69"/>
  <c r="M155" i="69"/>
  <c r="E153" i="69"/>
  <c r="K184" i="69"/>
  <c r="D139" i="69"/>
  <c r="H173" i="69"/>
  <c r="N151" i="69"/>
  <c r="G143" i="69"/>
  <c r="F135" i="69"/>
  <c r="O128" i="69"/>
  <c r="O195" i="69"/>
  <c r="B180" i="69"/>
  <c r="L166" i="69"/>
  <c r="Q155" i="69"/>
  <c r="C147" i="69"/>
  <c r="O140" i="69"/>
  <c r="D134" i="69"/>
  <c r="F128" i="69"/>
  <c r="K199" i="69"/>
  <c r="H182" i="69"/>
  <c r="A168" i="69"/>
  <c r="H157" i="69"/>
  <c r="J148" i="69"/>
  <c r="G141" i="69"/>
  <c r="D135" i="69"/>
  <c r="J184" i="69"/>
  <c r="M161" i="69"/>
  <c r="E148" i="69"/>
  <c r="D137" i="69"/>
  <c r="H128" i="69"/>
  <c r="L122" i="69"/>
  <c r="I117" i="69"/>
  <c r="N112" i="69"/>
  <c r="A109" i="69"/>
  <c r="E105" i="69"/>
  <c r="I101" i="69"/>
  <c r="M97" i="69"/>
  <c r="Q93" i="69"/>
  <c r="D90" i="69"/>
  <c r="H86" i="69"/>
  <c r="L82" i="69"/>
  <c r="P78" i="69"/>
  <c r="C75" i="69"/>
  <c r="G71" i="69"/>
  <c r="I184" i="69"/>
  <c r="D167" i="69"/>
  <c r="L154" i="69"/>
  <c r="A145" i="69"/>
  <c r="P136" i="69"/>
  <c r="F130" i="69"/>
  <c r="D125" i="69"/>
  <c r="D121" i="69"/>
  <c r="H117" i="69"/>
  <c r="L113" i="69"/>
  <c r="P109" i="69"/>
  <c r="C106" i="69"/>
  <c r="G102" i="69"/>
  <c r="K98" i="69"/>
  <c r="O94" i="69"/>
  <c r="B91" i="69"/>
  <c r="F87" i="69"/>
  <c r="J83" i="69"/>
  <c r="F195" i="69"/>
  <c r="M177" i="69"/>
  <c r="E161" i="69"/>
  <c r="H150" i="69"/>
  <c r="O141" i="69"/>
  <c r="A134" i="69"/>
  <c r="D128" i="69"/>
  <c r="I123" i="69"/>
  <c r="M119" i="69"/>
  <c r="Q115" i="69"/>
  <c r="D112" i="69"/>
  <c r="H108" i="69"/>
  <c r="L104" i="69"/>
  <c r="P100" i="69"/>
  <c r="C97" i="69"/>
  <c r="G93" i="69"/>
  <c r="K89" i="69"/>
  <c r="O85" i="69"/>
  <c r="B82" i="69"/>
  <c r="F78" i="69"/>
  <c r="J74" i="69"/>
  <c r="N70" i="69"/>
  <c r="M181" i="69"/>
  <c r="J164" i="69"/>
  <c r="Q152" i="69"/>
  <c r="M143" i="69"/>
  <c r="L135" i="69"/>
  <c r="J129" i="69"/>
  <c r="H124" i="69"/>
  <c r="K120" i="69"/>
  <c r="O116" i="69"/>
  <c r="B113" i="69"/>
  <c r="F109" i="69"/>
  <c r="J105" i="69"/>
  <c r="N101" i="69"/>
  <c r="A98" i="69"/>
  <c r="E94" i="69"/>
  <c r="I90" i="69"/>
  <c r="M86" i="69"/>
  <c r="B25" i="69"/>
  <c r="L153" i="69"/>
  <c r="N43" i="69"/>
  <c r="P13" i="69"/>
  <c r="Q69" i="69"/>
  <c r="C181" i="69"/>
  <c r="M186" i="69"/>
  <c r="H196" i="69"/>
  <c r="F166" i="69"/>
  <c r="P166" i="69"/>
  <c r="P193" i="69"/>
  <c r="Q151" i="69"/>
  <c r="I148" i="69"/>
  <c r="K176" i="69"/>
  <c r="N199" i="69"/>
  <c r="F172" i="69"/>
  <c r="Q150" i="69"/>
  <c r="N142" i="69"/>
  <c r="E134" i="69"/>
  <c r="P127" i="69"/>
  <c r="D194" i="69"/>
  <c r="L178" i="69"/>
  <c r="F164" i="69"/>
  <c r="B155" i="69"/>
  <c r="I146" i="69"/>
  <c r="J139" i="69"/>
  <c r="K133" i="69"/>
  <c r="O127" i="69"/>
  <c r="K195" i="69"/>
  <c r="F181" i="69"/>
  <c r="H166" i="69"/>
  <c r="P155" i="69"/>
  <c r="M147" i="69"/>
  <c r="N140" i="69"/>
  <c r="B134" i="69"/>
  <c r="E182" i="69"/>
  <c r="F160" i="69"/>
  <c r="C146" i="69"/>
  <c r="C136" i="69"/>
  <c r="M127" i="69"/>
  <c r="M121" i="69"/>
  <c r="A117" i="69"/>
  <c r="F112" i="69"/>
  <c r="J108" i="69"/>
  <c r="N104" i="69"/>
  <c r="A101" i="69"/>
  <c r="E97" i="69"/>
  <c r="I93" i="69"/>
  <c r="M89" i="69"/>
  <c r="Q85" i="69"/>
  <c r="D82" i="69"/>
  <c r="H78" i="69"/>
  <c r="L74" i="69"/>
  <c r="P70" i="69"/>
  <c r="D182" i="69"/>
  <c r="A165" i="69"/>
  <c r="D153" i="69"/>
  <c r="C144" i="69"/>
  <c r="B136" i="69"/>
  <c r="L129" i="69"/>
  <c r="K124" i="69"/>
  <c r="M120" i="69"/>
  <c r="Q116" i="69"/>
  <c r="D113" i="69"/>
  <c r="H109" i="69"/>
  <c r="L105" i="69"/>
  <c r="P101" i="69"/>
  <c r="C98" i="69"/>
  <c r="G94" i="69"/>
  <c r="K90" i="69"/>
  <c r="O86" i="69"/>
  <c r="B83" i="69"/>
  <c r="A193" i="69"/>
  <c r="G175" i="69"/>
  <c r="N159" i="69"/>
  <c r="C149" i="69"/>
  <c r="Q140" i="69"/>
  <c r="F133" i="69"/>
  <c r="K127" i="69"/>
  <c r="A123" i="69"/>
  <c r="E119" i="69"/>
  <c r="I115" i="69"/>
  <c r="M111" i="69"/>
  <c r="Q107" i="69"/>
  <c r="D104" i="69"/>
  <c r="H100" i="69"/>
  <c r="L96" i="69"/>
  <c r="P92" i="69"/>
  <c r="C89" i="69"/>
  <c r="G85" i="69"/>
  <c r="K81" i="69"/>
  <c r="O77" i="69"/>
  <c r="B74" i="69"/>
  <c r="E198" i="69"/>
  <c r="G179" i="69"/>
  <c r="L162" i="69"/>
  <c r="J151" i="69"/>
  <c r="O142" i="69"/>
  <c r="P134" i="69"/>
  <c r="M128" i="69"/>
  <c r="P123" i="69"/>
  <c r="C120" i="69"/>
  <c r="G116" i="69"/>
  <c r="K112" i="69"/>
  <c r="O108" i="69"/>
  <c r="B105" i="69"/>
  <c r="F101" i="69"/>
  <c r="J97" i="69"/>
  <c r="N93" i="69"/>
  <c r="A90" i="69"/>
  <c r="E86" i="69"/>
  <c r="I82" i="69"/>
  <c r="M78" i="69"/>
  <c r="Q74" i="69"/>
  <c r="D71" i="69"/>
  <c r="G170" i="69"/>
  <c r="L146" i="69"/>
  <c r="K131" i="69"/>
  <c r="Q121" i="69"/>
  <c r="H114" i="69"/>
  <c r="P106" i="69"/>
  <c r="G99" i="69"/>
  <c r="O91" i="69"/>
  <c r="F84" i="69"/>
  <c r="K77" i="69"/>
  <c r="J71" i="69"/>
  <c r="H67" i="69"/>
  <c r="L63" i="69"/>
  <c r="P59" i="69"/>
  <c r="C56" i="69"/>
  <c r="D183" i="69"/>
  <c r="A154" i="69"/>
  <c r="K136" i="69"/>
  <c r="O124" i="69"/>
  <c r="D117" i="69"/>
  <c r="L109" i="69"/>
  <c r="C102" i="69"/>
  <c r="K94" i="69"/>
  <c r="B87" i="69"/>
  <c r="N79" i="69"/>
  <c r="N73" i="69"/>
  <c r="N68" i="69"/>
  <c r="A65" i="69"/>
  <c r="E30" i="69"/>
  <c r="D6" i="69"/>
  <c r="F51" i="69"/>
  <c r="E18" i="69"/>
  <c r="A96" i="69"/>
  <c r="G177" i="69"/>
  <c r="Q182" i="69"/>
  <c r="L192" i="69"/>
  <c r="J162" i="69"/>
  <c r="L161" i="69"/>
  <c r="O187" i="69"/>
  <c r="H197" i="69"/>
  <c r="I144" i="69"/>
  <c r="K168" i="69"/>
  <c r="A196" i="69"/>
  <c r="I165" i="69"/>
  <c r="G149" i="69"/>
  <c r="P140" i="69"/>
  <c r="M133" i="69"/>
  <c r="H127" i="69"/>
  <c r="C191" i="69"/>
  <c r="H177" i="69"/>
  <c r="C163" i="69"/>
  <c r="H153" i="69"/>
  <c r="O145" i="69"/>
  <c r="Q138" i="69"/>
  <c r="J132" i="69"/>
  <c r="G127" i="69"/>
  <c r="C194" i="69"/>
  <c r="I178" i="69"/>
  <c r="D165" i="69"/>
  <c r="Q154" i="69"/>
  <c r="H146" i="69"/>
  <c r="B140" i="69"/>
  <c r="J133" i="69"/>
  <c r="C178" i="69"/>
  <c r="O158" i="69"/>
  <c r="B145" i="69"/>
  <c r="G134" i="69"/>
  <c r="C127" i="69"/>
  <c r="E121" i="69"/>
  <c r="B116" i="69"/>
  <c r="O111" i="69"/>
  <c r="B108" i="69"/>
  <c r="F104" i="69"/>
  <c r="J100" i="69"/>
  <c r="N96" i="69"/>
  <c r="A93" i="69"/>
  <c r="E89" i="69"/>
  <c r="I85" i="69"/>
  <c r="M81" i="69"/>
  <c r="Q77" i="69"/>
  <c r="D74" i="69"/>
  <c r="B199" i="69"/>
  <c r="O179" i="69"/>
  <c r="H163" i="69"/>
  <c r="C152" i="69"/>
  <c r="A143" i="69"/>
  <c r="A135" i="69"/>
  <c r="A129" i="69"/>
  <c r="A124" i="69"/>
  <c r="E120" i="69"/>
  <c r="I116" i="69"/>
  <c r="M112" i="69"/>
  <c r="Q108" i="69"/>
  <c r="D105" i="69"/>
  <c r="H101" i="69"/>
  <c r="L97" i="69"/>
  <c r="P93" i="69"/>
  <c r="C90" i="69"/>
  <c r="G86" i="69"/>
  <c r="K82" i="69"/>
  <c r="H190" i="69"/>
  <c r="D173" i="69"/>
  <c r="K158" i="69"/>
  <c r="C148" i="69"/>
  <c r="P139" i="69"/>
  <c r="H132" i="69"/>
  <c r="A127" i="69"/>
  <c r="J122" i="69"/>
  <c r="N118" i="69"/>
  <c r="A115" i="69"/>
  <c r="E111" i="69"/>
  <c r="I107" i="69"/>
  <c r="M103" i="69"/>
  <c r="Q99" i="69"/>
  <c r="D96" i="69"/>
  <c r="H92" i="69"/>
  <c r="L88" i="69"/>
  <c r="P84" i="69"/>
  <c r="C81" i="69"/>
  <c r="G77" i="69"/>
  <c r="K73" i="69"/>
  <c r="C195" i="69"/>
  <c r="B177" i="69"/>
  <c r="D161" i="69"/>
  <c r="G150" i="69"/>
  <c r="N141" i="69"/>
  <c r="Q133" i="69"/>
  <c r="C128" i="69"/>
  <c r="H123" i="69"/>
  <c r="L119" i="69"/>
  <c r="P115" i="69"/>
  <c r="C112" i="69"/>
  <c r="G108" i="69"/>
  <c r="K104" i="69"/>
  <c r="O100" i="69"/>
  <c r="B97" i="69"/>
  <c r="F93" i="69"/>
  <c r="J89" i="69"/>
  <c r="N85" i="69"/>
  <c r="A82" i="69"/>
  <c r="E78" i="69"/>
  <c r="I74" i="69"/>
  <c r="M70" i="69"/>
  <c r="N37" i="69"/>
  <c r="K10" i="69"/>
  <c r="P60" i="69"/>
  <c r="O22" i="69"/>
  <c r="M126" i="69"/>
  <c r="K173" i="69"/>
  <c r="D179" i="69"/>
  <c r="P188" i="69"/>
  <c r="P197" i="69"/>
  <c r="M157" i="69"/>
  <c r="N181" i="69"/>
  <c r="P187" i="69"/>
  <c r="M140" i="69"/>
  <c r="G161" i="69"/>
  <c r="G194" i="69"/>
  <c r="F163" i="69"/>
  <c r="L148" i="69"/>
  <c r="F140" i="69"/>
  <c r="C133" i="69"/>
  <c r="Q126" i="69"/>
  <c r="H189" i="69"/>
  <c r="M174" i="69"/>
  <c r="Q161" i="69"/>
  <c r="K152" i="69"/>
  <c r="K144" i="69"/>
  <c r="F138" i="69"/>
  <c r="A132" i="69"/>
  <c r="H126" i="69"/>
  <c r="K192" i="69"/>
  <c r="D177" i="69"/>
  <c r="Q162" i="69"/>
  <c r="C154" i="69"/>
  <c r="M145" i="69"/>
  <c r="P138" i="69"/>
  <c r="A133" i="69"/>
  <c r="L175" i="69"/>
  <c r="C156" i="69"/>
  <c r="D144" i="69"/>
  <c r="H133" i="69"/>
  <c r="O125" i="69"/>
  <c r="N120" i="69"/>
  <c r="K115" i="69"/>
  <c r="G111" i="69"/>
  <c r="K107" i="69"/>
  <c r="O103" i="69"/>
  <c r="B100" i="69"/>
  <c r="F96" i="69"/>
  <c r="J92" i="69"/>
  <c r="N88" i="69"/>
  <c r="A85" i="69"/>
  <c r="E81" i="69"/>
  <c r="I77" i="69"/>
  <c r="M73" i="69"/>
  <c r="I196" i="69"/>
  <c r="Q177" i="69"/>
  <c r="H161" i="69"/>
  <c r="I150" i="69"/>
  <c r="P141" i="69"/>
  <c r="F134" i="69"/>
  <c r="E128" i="69"/>
  <c r="J123" i="69"/>
  <c r="N119" i="69"/>
  <c r="A116" i="69"/>
  <c r="E112" i="69"/>
  <c r="I108" i="69"/>
  <c r="M104" i="69"/>
  <c r="Q100" i="69"/>
  <c r="D97" i="69"/>
  <c r="H93" i="69"/>
  <c r="L89" i="69"/>
  <c r="P85" i="69"/>
  <c r="C82" i="69"/>
  <c r="G188" i="69"/>
  <c r="C171" i="69"/>
  <c r="D157" i="69"/>
  <c r="Q146" i="69"/>
  <c r="N138" i="69"/>
  <c r="M131" i="69"/>
  <c r="F126" i="69"/>
  <c r="B122" i="69"/>
  <c r="F118" i="69"/>
  <c r="J114" i="69"/>
  <c r="N110" i="69"/>
  <c r="A107" i="69"/>
  <c r="E103" i="69"/>
  <c r="I99" i="69"/>
  <c r="M95" i="69"/>
  <c r="Q91" i="69"/>
  <c r="D88" i="69"/>
  <c r="H84" i="69"/>
  <c r="L80" i="69"/>
  <c r="P76" i="69"/>
  <c r="C73" i="69"/>
  <c r="Q192" i="69"/>
  <c r="F175" i="69"/>
  <c r="M159" i="69"/>
  <c r="B149" i="69"/>
  <c r="L140" i="69"/>
  <c r="E133" i="69"/>
  <c r="J127" i="69"/>
  <c r="Q122" i="69"/>
  <c r="D119" i="69"/>
  <c r="H115" i="69"/>
  <c r="L111" i="69"/>
  <c r="P107" i="69"/>
  <c r="C104" i="69"/>
  <c r="G100" i="69"/>
  <c r="K96" i="69"/>
  <c r="O92" i="69"/>
  <c r="B89" i="69"/>
  <c r="F85" i="69"/>
  <c r="J81" i="69"/>
  <c r="N77" i="69"/>
  <c r="A74" i="69"/>
  <c r="D198" i="69"/>
  <c r="K162" i="69"/>
  <c r="J142" i="69"/>
  <c r="L128" i="69"/>
  <c r="B120" i="69"/>
  <c r="J112" i="69"/>
  <c r="A105" i="69"/>
  <c r="I97" i="69"/>
  <c r="Q89" i="69"/>
  <c r="H82" i="69"/>
  <c r="C76" i="69"/>
  <c r="E70" i="69"/>
  <c r="I66" i="69"/>
  <c r="M62" i="69"/>
  <c r="Q58" i="69"/>
  <c r="D55" i="69"/>
  <c r="G174" i="69"/>
  <c r="O148" i="69"/>
  <c r="P132" i="69"/>
  <c r="O122" i="69"/>
  <c r="F115" i="69"/>
  <c r="N107" i="69"/>
  <c r="E100" i="69"/>
  <c r="M92" i="69"/>
  <c r="D85" i="69"/>
  <c r="D78" i="69"/>
  <c r="E72" i="69"/>
  <c r="O67" i="69"/>
  <c r="B64" i="69"/>
  <c r="F60" i="69"/>
  <c r="J56" i="69"/>
  <c r="G187" i="69"/>
  <c r="I156" i="69"/>
  <c r="I138" i="69"/>
  <c r="B126" i="69"/>
  <c r="B118" i="69"/>
  <c r="J110" i="69"/>
  <c r="A103" i="69"/>
  <c r="I95" i="69"/>
  <c r="Q87" i="69"/>
  <c r="H80" i="69"/>
  <c r="G74" i="69"/>
  <c r="D69" i="69"/>
  <c r="H65" i="69"/>
  <c r="L61" i="69"/>
  <c r="Q189" i="69"/>
  <c r="A158" i="69"/>
  <c r="M139" i="69"/>
  <c r="N126" i="69"/>
  <c r="L118" i="69"/>
  <c r="C111" i="69"/>
  <c r="K103" i="69"/>
  <c r="B96" i="69"/>
  <c r="J88" i="69"/>
  <c r="A81" i="69"/>
  <c r="P74" i="69"/>
  <c r="F45" i="69"/>
  <c r="Q14" i="69"/>
  <c r="N74" i="69"/>
  <c r="O27" i="69"/>
  <c r="Q199" i="69"/>
  <c r="O169" i="69"/>
  <c r="H175" i="69"/>
  <c r="C185" i="69"/>
  <c r="A197" i="69"/>
  <c r="Q153" i="69"/>
  <c r="N175" i="69"/>
  <c r="P179" i="69"/>
  <c r="Q136" i="69"/>
  <c r="E156" i="69"/>
  <c r="Q186" i="69"/>
  <c r="A162" i="69"/>
  <c r="A148" i="69"/>
  <c r="A139" i="69"/>
  <c r="J131" i="69"/>
  <c r="A126" i="69"/>
  <c r="E188" i="69"/>
  <c r="F173" i="69"/>
  <c r="C160" i="69"/>
  <c r="M151" i="69"/>
  <c r="Q143" i="69"/>
  <c r="B137" i="69"/>
  <c r="I131" i="69"/>
  <c r="Q125" i="69"/>
  <c r="E189" i="69"/>
  <c r="B176" i="69"/>
  <c r="P161" i="69"/>
  <c r="G152" i="69"/>
  <c r="C145" i="69"/>
  <c r="D138" i="69"/>
  <c r="J196" i="69"/>
  <c r="Q173" i="69"/>
  <c r="M154" i="69"/>
  <c r="E142" i="69"/>
  <c r="L132" i="69"/>
  <c r="E125" i="69"/>
  <c r="O119" i="69"/>
  <c r="C115" i="69"/>
  <c r="P110" i="69"/>
  <c r="C107" i="69"/>
  <c r="G103" i="69"/>
  <c r="K99" i="69"/>
  <c r="O95" i="69"/>
  <c r="B92" i="69"/>
  <c r="F88" i="69"/>
  <c r="J84" i="69"/>
  <c r="N80" i="69"/>
  <c r="A77" i="69"/>
  <c r="E73" i="69"/>
  <c r="I193" i="69"/>
  <c r="J175" i="69"/>
  <c r="O159" i="69"/>
  <c r="I149" i="69"/>
  <c r="A141" i="69"/>
  <c r="G133" i="69"/>
  <c r="L127" i="69"/>
  <c r="B123" i="69"/>
  <c r="F119" i="69"/>
  <c r="J115" i="69"/>
  <c r="N111" i="69"/>
  <c r="A108" i="69"/>
  <c r="E104" i="69"/>
  <c r="I100" i="69"/>
  <c r="M96" i="69"/>
  <c r="Q92" i="69"/>
  <c r="D89" i="69"/>
  <c r="H85" i="69"/>
  <c r="L81" i="69"/>
  <c r="C186" i="69"/>
  <c r="Q168" i="69"/>
  <c r="L155" i="69"/>
  <c r="A146" i="69"/>
  <c r="Q137" i="69"/>
  <c r="B131" i="69"/>
  <c r="M125" i="69"/>
  <c r="K121" i="69"/>
  <c r="O117" i="69"/>
  <c r="B114" i="69"/>
  <c r="F110" i="69"/>
  <c r="J106" i="69"/>
  <c r="N102" i="69"/>
  <c r="A99" i="69"/>
  <c r="E95" i="69"/>
  <c r="I91" i="69"/>
  <c r="M87" i="69"/>
  <c r="Q83" i="69"/>
  <c r="D80" i="69"/>
  <c r="H76" i="69"/>
  <c r="L72" i="69"/>
  <c r="G190" i="69"/>
  <c r="A173" i="69"/>
  <c r="E158" i="69"/>
  <c r="B148" i="69"/>
  <c r="O139" i="69"/>
  <c r="G132" i="69"/>
  <c r="O126" i="69"/>
  <c r="I122" i="69"/>
  <c r="M118" i="69"/>
  <c r="Q114" i="69"/>
  <c r="D111" i="69"/>
  <c r="H107" i="69"/>
  <c r="L103" i="69"/>
  <c r="P99" i="69"/>
  <c r="C96" i="69"/>
  <c r="G92" i="69"/>
  <c r="K88" i="69"/>
  <c r="D7" i="69"/>
  <c r="O52" i="69"/>
  <c r="E19" i="69"/>
  <c r="I103" i="69"/>
  <c r="H34" i="69"/>
  <c r="D196" i="69"/>
  <c r="B166" i="69"/>
  <c r="L171" i="69"/>
  <c r="G181" i="69"/>
  <c r="B191" i="69"/>
  <c r="D150" i="69"/>
  <c r="M169" i="69"/>
  <c r="O171" i="69"/>
  <c r="D133" i="69"/>
  <c r="E151" i="69"/>
  <c r="F184" i="69"/>
  <c r="N157" i="69"/>
  <c r="Q145" i="69"/>
  <c r="H138" i="69"/>
  <c r="A131" i="69"/>
  <c r="J125" i="69"/>
  <c r="H185" i="69"/>
  <c r="B172" i="69"/>
  <c r="E159" i="69"/>
  <c r="A150" i="69"/>
  <c r="F143" i="69"/>
  <c r="H136" i="69"/>
  <c r="H130" i="69"/>
  <c r="I125" i="69"/>
  <c r="B188" i="69"/>
  <c r="E173" i="69"/>
  <c r="O160" i="69"/>
  <c r="L151" i="69"/>
  <c r="O143" i="69"/>
  <c r="K137" i="69"/>
  <c r="L193" i="69"/>
  <c r="L169" i="69"/>
  <c r="K153" i="69"/>
  <c r="C141" i="69"/>
  <c r="D131" i="69"/>
  <c r="L124" i="69"/>
  <c r="G119" i="69"/>
  <c r="D114" i="69"/>
  <c r="H110" i="69"/>
  <c r="L106" i="69"/>
  <c r="P102" i="69"/>
  <c r="C99" i="69"/>
  <c r="G95" i="69"/>
  <c r="K91" i="69"/>
  <c r="O87" i="69"/>
  <c r="B84" i="69"/>
  <c r="F80" i="69"/>
  <c r="J76" i="69"/>
  <c r="N72" i="69"/>
  <c r="K190" i="69"/>
  <c r="N173" i="69"/>
  <c r="M158" i="69"/>
  <c r="D148" i="69"/>
  <c r="Q139" i="69"/>
  <c r="I132" i="69"/>
  <c r="B127" i="69"/>
  <c r="K122" i="69"/>
  <c r="O118" i="69"/>
  <c r="B115" i="69"/>
  <c r="F111" i="69"/>
  <c r="J107" i="69"/>
  <c r="N103" i="69"/>
  <c r="A100" i="69"/>
  <c r="E96" i="69"/>
  <c r="I92" i="69"/>
  <c r="M88" i="69"/>
  <c r="Q84" i="69"/>
  <c r="D81" i="69"/>
  <c r="N183" i="69"/>
  <c r="C167" i="69"/>
  <c r="K154" i="69"/>
  <c r="P144" i="69"/>
  <c r="N136" i="69"/>
  <c r="E130" i="69"/>
  <c r="C125" i="69"/>
  <c r="C121" i="69"/>
  <c r="G117" i="69"/>
  <c r="K113" i="69"/>
  <c r="O109" i="69"/>
  <c r="B106" i="69"/>
  <c r="F102" i="69"/>
  <c r="J98" i="69"/>
  <c r="N94" i="69"/>
  <c r="A91" i="69"/>
  <c r="E87" i="69"/>
  <c r="I83" i="69"/>
  <c r="M79" i="69"/>
  <c r="Q75" i="69"/>
  <c r="D72" i="69"/>
  <c r="N187" i="69"/>
  <c r="B171" i="69"/>
  <c r="B157" i="69"/>
  <c r="N146" i="69"/>
  <c r="L138" i="69"/>
  <c r="L131" i="69"/>
  <c r="E126" i="69"/>
  <c r="A122" i="69"/>
  <c r="E118" i="69"/>
  <c r="I114" i="69"/>
  <c r="M110" i="69"/>
  <c r="Q106" i="69"/>
  <c r="D103" i="69"/>
  <c r="H99" i="69"/>
  <c r="L95" i="69"/>
  <c r="P91" i="69"/>
  <c r="C88" i="69"/>
  <c r="G84" i="69"/>
  <c r="K80" i="69"/>
  <c r="O76" i="69"/>
  <c r="B73" i="69"/>
  <c r="J187" i="69"/>
  <c r="Q156" i="69"/>
  <c r="K138" i="69"/>
  <c r="D126" i="69"/>
  <c r="D118" i="69"/>
  <c r="L110" i="69"/>
  <c r="C103" i="69"/>
  <c r="K95" i="69"/>
  <c r="B88" i="69"/>
  <c r="J80" i="69"/>
  <c r="K74" i="69"/>
  <c r="F69" i="69"/>
  <c r="J65" i="69"/>
  <c r="N61" i="69"/>
  <c r="A58" i="69"/>
  <c r="E54" i="69"/>
  <c r="C166" i="69"/>
  <c r="H144" i="69"/>
  <c r="B130" i="69"/>
  <c r="Q120" i="69"/>
  <c r="H113" i="69"/>
  <c r="P105" i="69"/>
  <c r="G98" i="69"/>
  <c r="O90" i="69"/>
  <c r="F83" i="69"/>
  <c r="M76" i="69"/>
  <c r="L70" i="69"/>
  <c r="P66" i="69"/>
  <c r="Q82" i="69"/>
  <c r="C175" i="69"/>
  <c r="I127" i="69"/>
  <c r="O107" i="69"/>
  <c r="N92" i="69"/>
  <c r="G78" i="69"/>
  <c r="P67" i="69"/>
  <c r="G60" i="69"/>
  <c r="H187" i="69"/>
  <c r="J138" i="69"/>
  <c r="C118" i="69"/>
  <c r="B103" i="69"/>
  <c r="A88" i="69"/>
  <c r="H74" i="69"/>
  <c r="I65" i="69"/>
  <c r="O59" i="69"/>
  <c r="C55" i="69"/>
  <c r="G162" i="69"/>
  <c r="E136" i="69"/>
  <c r="N122" i="69"/>
  <c r="H112" i="69"/>
  <c r="B102" i="69"/>
  <c r="L92" i="69"/>
  <c r="F82" i="69"/>
  <c r="L73" i="69"/>
  <c r="N67" i="69"/>
  <c r="K62" i="69"/>
  <c r="P185" i="69"/>
  <c r="F150" i="69"/>
  <c r="I129" i="69"/>
  <c r="M117" i="69"/>
  <c r="F108" i="69"/>
  <c r="Q97" i="69"/>
  <c r="K87" i="69"/>
  <c r="L78" i="69"/>
  <c r="C187" i="69"/>
  <c r="C138" i="69"/>
  <c r="A118" i="69"/>
  <c r="Q102" i="69"/>
  <c r="P87" i="69"/>
  <c r="F74" i="69"/>
  <c r="L66" i="69"/>
  <c r="K60" i="69"/>
  <c r="F55" i="69"/>
  <c r="D51" i="69"/>
  <c r="H47" i="69"/>
  <c r="L43" i="69"/>
  <c r="P39" i="69"/>
  <c r="C36" i="69"/>
  <c r="G32" i="69"/>
  <c r="D185" i="69"/>
  <c r="I137" i="69"/>
  <c r="L117" i="69"/>
  <c r="K102" i="69"/>
  <c r="J87" i="69"/>
  <c r="C74" i="69"/>
  <c r="K66" i="69"/>
  <c r="J60" i="69"/>
  <c r="E55" i="69"/>
  <c r="C51" i="69"/>
  <c r="G47" i="69"/>
  <c r="K43" i="69"/>
  <c r="O39" i="69"/>
  <c r="B36" i="69"/>
  <c r="F32" i="69"/>
  <c r="J28" i="69"/>
  <c r="N24" i="69"/>
  <c r="A21" i="69"/>
  <c r="E17" i="69"/>
  <c r="I13" i="69"/>
  <c r="M9" i="69"/>
  <c r="O5" i="69"/>
  <c r="I145" i="69"/>
  <c r="G121" i="69"/>
  <c r="F106" i="69"/>
  <c r="E91" i="69"/>
  <c r="B77" i="69"/>
  <c r="A68" i="69"/>
  <c r="Q61" i="69"/>
  <c r="G56" i="69"/>
  <c r="A52" i="69"/>
  <c r="E48" i="69"/>
  <c r="I44" i="69"/>
  <c r="M40" i="69"/>
  <c r="Q36" i="69"/>
  <c r="D33" i="69"/>
  <c r="M184" i="69"/>
  <c r="E137" i="69"/>
  <c r="J117" i="69"/>
  <c r="I102" i="69"/>
  <c r="H87" i="69"/>
  <c r="P73" i="69"/>
  <c r="F66" i="69"/>
  <c r="H60" i="69"/>
  <c r="A55" i="69"/>
  <c r="A51" i="69"/>
  <c r="E47" i="69"/>
  <c r="I43" i="69"/>
  <c r="M39" i="69"/>
  <c r="Q35" i="69"/>
  <c r="D32" i="69"/>
  <c r="L24" i="69"/>
  <c r="P20" i="69"/>
  <c r="O11" i="69"/>
  <c r="H20" i="69"/>
  <c r="M30" i="69"/>
  <c r="N45" i="69"/>
  <c r="F81" i="69"/>
  <c r="Q158" i="69"/>
  <c r="B81" i="69"/>
  <c r="E166" i="69"/>
  <c r="P122" i="69"/>
  <c r="Q105" i="69"/>
  <c r="P90" i="69"/>
  <c r="N76" i="69"/>
  <c r="Q66" i="69"/>
  <c r="H59" i="69"/>
  <c r="C179" i="69"/>
  <c r="J134" i="69"/>
  <c r="E116" i="69"/>
  <c r="D101" i="69"/>
  <c r="C86" i="69"/>
  <c r="Q72" i="69"/>
  <c r="J64" i="69"/>
  <c r="G59" i="69"/>
  <c r="D54" i="69"/>
  <c r="B159" i="69"/>
  <c r="I134" i="69"/>
  <c r="P120" i="69"/>
  <c r="I111" i="69"/>
  <c r="C101" i="69"/>
  <c r="N90" i="69"/>
  <c r="G81" i="69"/>
  <c r="P72" i="69"/>
  <c r="O66" i="69"/>
  <c r="C62" i="69"/>
  <c r="D181" i="69"/>
  <c r="K145" i="69"/>
  <c r="B128" i="69"/>
  <c r="N116" i="69"/>
  <c r="H106" i="69"/>
  <c r="A97" i="69"/>
  <c r="L86" i="69"/>
  <c r="D77" i="69"/>
  <c r="G178" i="69"/>
  <c r="H134" i="69"/>
  <c r="C116" i="69"/>
  <c r="B101" i="69"/>
  <c r="A86" i="69"/>
  <c r="O72" i="69"/>
  <c r="O65" i="69"/>
  <c r="Q59" i="69"/>
  <c r="K54" i="69"/>
  <c r="M50" i="69"/>
  <c r="Q46" i="69"/>
  <c r="D43" i="69"/>
  <c r="H39" i="69"/>
  <c r="L35" i="69"/>
  <c r="P31" i="69"/>
  <c r="N176" i="69"/>
  <c r="O133" i="69"/>
  <c r="N115" i="69"/>
  <c r="M100" i="69"/>
  <c r="L85" i="69"/>
  <c r="J72" i="69"/>
  <c r="N65" i="69"/>
  <c r="M59" i="69"/>
  <c r="J54" i="69"/>
  <c r="L50" i="69"/>
  <c r="P46" i="69"/>
  <c r="C43" i="69"/>
  <c r="G39" i="69"/>
  <c r="K35" i="69"/>
  <c r="O31" i="69"/>
  <c r="B28" i="69"/>
  <c r="F24" i="69"/>
  <c r="J20" i="69"/>
  <c r="N16" i="69"/>
  <c r="A13" i="69"/>
  <c r="E9" i="69"/>
  <c r="I194" i="69"/>
  <c r="F141" i="69"/>
  <c r="I119" i="69"/>
  <c r="H104" i="69"/>
  <c r="G89" i="69"/>
  <c r="J75" i="69"/>
  <c r="D67" i="69"/>
  <c r="C61" i="69"/>
  <c r="N55" i="69"/>
  <c r="J51" i="69"/>
  <c r="N47" i="69"/>
  <c r="A44" i="69"/>
  <c r="E40" i="69"/>
  <c r="I36" i="69"/>
  <c r="M32" i="69"/>
  <c r="F176" i="69"/>
  <c r="I133" i="69"/>
  <c r="L115" i="69"/>
  <c r="K100" i="69"/>
  <c r="J85" i="69"/>
  <c r="H72" i="69"/>
  <c r="L65" i="69"/>
  <c r="K59" i="69"/>
  <c r="H54" i="69"/>
  <c r="J50" i="69"/>
  <c r="N46" i="69"/>
  <c r="A43" i="69"/>
  <c r="E39" i="69"/>
  <c r="I35" i="69"/>
  <c r="M31" i="69"/>
  <c r="Q27" i="69"/>
  <c r="D24" i="69"/>
  <c r="M3" i="69"/>
  <c r="B8" i="69"/>
  <c r="G12" i="69"/>
  <c r="L16" i="69"/>
  <c r="B21" i="69"/>
  <c r="A26" i="69"/>
  <c r="L31" i="69"/>
  <c r="D39" i="69"/>
  <c r="M46" i="69"/>
  <c r="G54" i="69"/>
  <c r="K65" i="69"/>
  <c r="B85" i="69"/>
  <c r="D115" i="69"/>
  <c r="C174" i="69"/>
  <c r="H46" i="69"/>
  <c r="L42" i="69"/>
  <c r="P38" i="69"/>
  <c r="C35" i="69"/>
  <c r="G31" i="69"/>
  <c r="K27" i="69"/>
  <c r="O23" i="69"/>
  <c r="B20" i="69"/>
  <c r="F16" i="69"/>
  <c r="J12" i="69"/>
  <c r="N8" i="69"/>
  <c r="B185" i="69"/>
  <c r="G137" i="69"/>
  <c r="J102" i="69"/>
  <c r="I87" i="69"/>
  <c r="Q73" i="69"/>
  <c r="I60" i="69"/>
  <c r="B51" i="69"/>
  <c r="J43" i="69"/>
  <c r="N39" i="69"/>
  <c r="E32" i="69"/>
  <c r="K130" i="69"/>
  <c r="M98" i="69"/>
  <c r="B71" i="69"/>
  <c r="O64" i="69"/>
  <c r="O53" i="69"/>
  <c r="F46" i="69"/>
  <c r="N38" i="69"/>
  <c r="A35" i="69"/>
  <c r="I27" i="69"/>
  <c r="M23" i="69"/>
  <c r="K8" i="69"/>
  <c r="D17" i="69"/>
  <c r="L21" i="69"/>
  <c r="K32" i="69"/>
  <c r="J55" i="69"/>
  <c r="O88" i="69"/>
  <c r="J191" i="69"/>
  <c r="A70" i="69"/>
  <c r="D79" i="69"/>
  <c r="L159" i="69"/>
  <c r="A121" i="69"/>
  <c r="B104" i="69"/>
  <c r="A89" i="69"/>
  <c r="F75" i="69"/>
  <c r="A66" i="69"/>
  <c r="I58" i="69"/>
  <c r="D170" i="69"/>
  <c r="H131" i="69"/>
  <c r="G114" i="69"/>
  <c r="F99" i="69"/>
  <c r="E84" i="69"/>
  <c r="I71" i="69"/>
  <c r="K63" i="69"/>
  <c r="P58" i="69"/>
  <c r="N196" i="69"/>
  <c r="N153" i="69"/>
  <c r="O132" i="69"/>
  <c r="Q119" i="69"/>
  <c r="K109" i="69"/>
  <c r="D100" i="69"/>
  <c r="O89" i="69"/>
  <c r="K79" i="69"/>
  <c r="B72" i="69"/>
  <c r="G66" i="69"/>
  <c r="D61" i="69"/>
  <c r="A177" i="69"/>
  <c r="L143" i="69"/>
  <c r="K125" i="69"/>
  <c r="O115" i="69"/>
  <c r="I105" i="69"/>
  <c r="C95" i="69"/>
  <c r="M85" i="69"/>
  <c r="I76" i="69"/>
  <c r="A170" i="69"/>
  <c r="E131" i="69"/>
  <c r="E114" i="69"/>
  <c r="D99" i="69"/>
  <c r="C84" i="69"/>
  <c r="K71" i="69"/>
  <c r="D65" i="69"/>
  <c r="C59" i="69"/>
  <c r="A54" i="69"/>
  <c r="E50" i="69"/>
  <c r="I46" i="69"/>
  <c r="M42" i="69"/>
  <c r="Q38" i="69"/>
  <c r="D35" i="69"/>
  <c r="H31" i="69"/>
  <c r="F168" i="69"/>
  <c r="M130" i="69"/>
  <c r="P113" i="69"/>
  <c r="O98" i="69"/>
  <c r="N83" i="69"/>
  <c r="F71" i="69"/>
  <c r="C65" i="69"/>
  <c r="B59" i="69"/>
  <c r="Q53" i="69"/>
  <c r="D50" i="69"/>
  <c r="K117" i="69"/>
  <c r="J66" i="69"/>
  <c r="B55" i="69"/>
  <c r="F47" i="69"/>
  <c r="A36" i="69"/>
  <c r="G167" i="69"/>
  <c r="N113" i="69"/>
  <c r="L83" i="69"/>
  <c r="N58" i="69"/>
  <c r="B50" i="69"/>
  <c r="J42" i="69"/>
  <c r="E31" i="69"/>
  <c r="E4" i="69"/>
  <c r="P12" i="69"/>
  <c r="M26" i="69"/>
  <c r="B67" i="69"/>
  <c r="Q118" i="69"/>
  <c r="F77" i="69"/>
  <c r="Q148" i="69"/>
  <c r="C119" i="69"/>
  <c r="D102" i="69"/>
  <c r="C87" i="69"/>
  <c r="O73" i="69"/>
  <c r="B65" i="69"/>
  <c r="J57" i="69"/>
  <c r="I162" i="69"/>
  <c r="K128" i="69"/>
  <c r="I112" i="69"/>
  <c r="H97" i="69"/>
  <c r="G82" i="69"/>
  <c r="D70" i="69"/>
  <c r="C63" i="69"/>
  <c r="Q57" i="69"/>
  <c r="O191" i="69"/>
  <c r="D151" i="69"/>
  <c r="A130" i="69"/>
  <c r="A119" i="69"/>
  <c r="L108" i="69"/>
  <c r="F98" i="69"/>
  <c r="P88" i="69"/>
  <c r="Q78" i="69"/>
  <c r="K70" i="69"/>
  <c r="P65" i="69"/>
  <c r="M60" i="69"/>
  <c r="J168" i="69"/>
  <c r="M141" i="69"/>
  <c r="G124" i="69"/>
  <c r="Q113" i="69"/>
  <c r="J104" i="69"/>
  <c r="D94" i="69"/>
  <c r="O83" i="69"/>
  <c r="M75" i="69"/>
  <c r="O161" i="69"/>
  <c r="I128" i="69"/>
  <c r="G112" i="69"/>
  <c r="F97" i="69"/>
  <c r="E82" i="69"/>
  <c r="H70" i="69"/>
  <c r="G64" i="69"/>
  <c r="G58" i="69"/>
  <c r="J53" i="69"/>
  <c r="N49" i="69"/>
  <c r="A46" i="69"/>
  <c r="E42" i="69"/>
  <c r="I38" i="69"/>
  <c r="M34" i="69"/>
  <c r="Q30" i="69"/>
  <c r="K160" i="69"/>
  <c r="A128" i="69"/>
  <c r="A112" i="69"/>
  <c r="Q96" i="69"/>
  <c r="P81" i="69"/>
  <c r="G70" i="69"/>
  <c r="F64" i="69"/>
  <c r="F58" i="69"/>
  <c r="I53" i="69"/>
  <c r="M49" i="69"/>
  <c r="Q45" i="69"/>
  <c r="D42" i="69"/>
  <c r="H38" i="69"/>
  <c r="L34" i="69"/>
  <c r="P30" i="69"/>
  <c r="C27" i="69"/>
  <c r="G23" i="69"/>
  <c r="K19" i="69"/>
  <c r="O15" i="69"/>
  <c r="B12" i="69"/>
  <c r="F8" i="69"/>
  <c r="I176" i="69"/>
  <c r="N133" i="69"/>
  <c r="M115" i="69"/>
  <c r="L100" i="69"/>
  <c r="K85" i="69"/>
  <c r="I72" i="69"/>
  <c r="M65" i="69"/>
  <c r="L59" i="69"/>
  <c r="I54" i="69"/>
  <c r="K50" i="69"/>
  <c r="O46" i="69"/>
  <c r="B43" i="69"/>
  <c r="F39" i="69"/>
  <c r="J35" i="69"/>
  <c r="N31" i="69"/>
  <c r="G160" i="69"/>
  <c r="N127" i="69"/>
  <c r="P111" i="69"/>
  <c r="O96" i="69"/>
  <c r="N81" i="69"/>
  <c r="B70" i="69"/>
  <c r="D64" i="69"/>
  <c r="D58" i="69"/>
  <c r="G53" i="69"/>
  <c r="K49" i="69"/>
  <c r="O45" i="69"/>
  <c r="B42" i="69"/>
  <c r="F38" i="69"/>
  <c r="J34" i="69"/>
  <c r="N30" i="69"/>
  <c r="A27" i="69"/>
  <c r="E23" i="69"/>
  <c r="N4" i="69"/>
  <c r="C9" i="69"/>
  <c r="H13" i="69"/>
  <c r="N17" i="69"/>
  <c r="E22" i="69"/>
  <c r="F27" i="69"/>
  <c r="J33" i="69"/>
  <c r="B41" i="69"/>
  <c r="K48" i="69"/>
  <c r="O56" i="69"/>
  <c r="J68" i="69"/>
  <c r="K92" i="69"/>
  <c r="M122" i="69"/>
  <c r="C49" i="69"/>
  <c r="G45" i="69"/>
  <c r="K41" i="69"/>
  <c r="O37" i="69"/>
  <c r="B34" i="69"/>
  <c r="F30" i="69"/>
  <c r="J26" i="69"/>
  <c r="N22" i="69"/>
  <c r="E5" i="69"/>
  <c r="L9" i="69"/>
  <c r="A14" i="69"/>
  <c r="F18" i="69"/>
  <c r="Q22" i="69"/>
  <c r="P27" i="69"/>
  <c r="I34" i="69"/>
  <c r="A42" i="69"/>
  <c r="J49" i="69"/>
  <c r="C58" i="69"/>
  <c r="D127" i="69"/>
  <c r="H75" i="69"/>
  <c r="M144" i="69"/>
  <c r="G115" i="69"/>
  <c r="F100" i="69"/>
  <c r="E85" i="69"/>
  <c r="G72" i="69"/>
  <c r="C64" i="69"/>
  <c r="K56" i="69"/>
  <c r="J156" i="69"/>
  <c r="C126" i="69"/>
  <c r="K110" i="69"/>
  <c r="J95" i="69"/>
  <c r="I80" i="69"/>
  <c r="E69" i="69"/>
  <c r="L62" i="69"/>
  <c r="I57" i="69"/>
  <c r="C183" i="69"/>
  <c r="M148" i="69"/>
  <c r="J128" i="69"/>
  <c r="C117" i="69"/>
  <c r="M107" i="69"/>
  <c r="G97" i="69"/>
  <c r="A87" i="69"/>
  <c r="C78" i="69"/>
  <c r="C70" i="69"/>
  <c r="Q64" i="69"/>
  <c r="E60" i="69"/>
  <c r="I164" i="69"/>
  <c r="J137" i="69"/>
  <c r="G123" i="69"/>
  <c r="A113" i="69"/>
  <c r="L102" i="69"/>
  <c r="E93" i="69"/>
  <c r="P82" i="69"/>
  <c r="E74" i="69"/>
  <c r="G156" i="69"/>
  <c r="P125" i="69"/>
  <c r="I110" i="69"/>
  <c r="H95" i="69"/>
  <c r="G80" i="69"/>
  <c r="K69" i="69"/>
  <c r="M63" i="69"/>
  <c r="N57" i="69"/>
  <c r="B53" i="69"/>
  <c r="F49" i="69"/>
  <c r="J45" i="69"/>
  <c r="N41" i="69"/>
  <c r="A38" i="69"/>
  <c r="E34" i="69"/>
  <c r="I30" i="69"/>
  <c r="H155" i="69"/>
  <c r="H125" i="69"/>
  <c r="C110" i="69"/>
  <c r="B95" i="69"/>
  <c r="B80" i="69"/>
  <c r="J69" i="69"/>
  <c r="I63" i="69"/>
  <c r="M57" i="69"/>
  <c r="A53" i="69"/>
  <c r="E49" i="69"/>
  <c r="I45" i="69"/>
  <c r="M41" i="69"/>
  <c r="Q37" i="69"/>
  <c r="D34" i="69"/>
  <c r="H30" i="69"/>
  <c r="L26" i="69"/>
  <c r="P22" i="69"/>
  <c r="C19" i="69"/>
  <c r="G15" i="69"/>
  <c r="K11" i="69"/>
  <c r="O7" i="69"/>
  <c r="N167" i="69"/>
  <c r="L130" i="69"/>
  <c r="O113" i="69"/>
  <c r="N98" i="69"/>
  <c r="M83" i="69"/>
  <c r="C71" i="69"/>
  <c r="P64" i="69"/>
  <c r="A59" i="69"/>
  <c r="P53" i="69"/>
  <c r="C50" i="69"/>
  <c r="G46" i="69"/>
  <c r="K42" i="69"/>
  <c r="O38" i="69"/>
  <c r="B35" i="69"/>
  <c r="F31" i="69"/>
  <c r="O154" i="69"/>
  <c r="F125" i="69"/>
  <c r="A110" i="69"/>
  <c r="Q94" i="69"/>
  <c r="Q79" i="69"/>
  <c r="H69" i="69"/>
  <c r="G63" i="69"/>
  <c r="K57" i="69"/>
  <c r="P52" i="69"/>
  <c r="J73" i="69"/>
  <c r="J140" i="69"/>
  <c r="I113" i="69"/>
  <c r="H98" i="69"/>
  <c r="G83" i="69"/>
  <c r="O70" i="69"/>
  <c r="D63" i="69"/>
  <c r="L55" i="69"/>
  <c r="F151" i="69"/>
  <c r="N123" i="69"/>
  <c r="M108" i="69"/>
  <c r="L93" i="69"/>
  <c r="A79" i="69"/>
  <c r="F68" i="69"/>
  <c r="M61" i="69"/>
  <c r="A57" i="69"/>
  <c r="H178" i="69"/>
  <c r="F144" i="69"/>
  <c r="E127" i="69"/>
  <c r="D116" i="69"/>
  <c r="O105" i="69"/>
  <c r="H96" i="69"/>
  <c r="B86" i="69"/>
  <c r="L76" i="69"/>
  <c r="L69" i="69"/>
  <c r="I64" i="69"/>
  <c r="F59" i="69"/>
  <c r="M160" i="69"/>
  <c r="K135" i="69"/>
  <c r="I121" i="69"/>
  <c r="B112" i="69"/>
  <c r="M101" i="69"/>
  <c r="G91" i="69"/>
  <c r="Q81" i="69"/>
  <c r="H73" i="69"/>
  <c r="B151" i="69"/>
  <c r="L123" i="69"/>
  <c r="K108" i="69"/>
  <c r="J93" i="69"/>
  <c r="O78" i="69"/>
  <c r="Q68" i="69"/>
  <c r="P62" i="69"/>
  <c r="D57" i="69"/>
  <c r="K52" i="69"/>
  <c r="O48" i="69"/>
  <c r="B45" i="69"/>
  <c r="F41" i="69"/>
  <c r="J37" i="69"/>
  <c r="N33" i="69"/>
  <c r="A30" i="69"/>
  <c r="O149" i="69"/>
  <c r="F123" i="69"/>
  <c r="E108" i="69"/>
  <c r="D93" i="69"/>
  <c r="K78" i="69"/>
  <c r="P68" i="69"/>
  <c r="O62" i="69"/>
  <c r="C57" i="69"/>
  <c r="J52" i="69"/>
  <c r="N48" i="69"/>
  <c r="A45" i="69"/>
  <c r="E41" i="69"/>
  <c r="I37" i="69"/>
  <c r="M33" i="69"/>
  <c r="Q29" i="69"/>
  <c r="D26" i="69"/>
  <c r="H22" i="69"/>
  <c r="L18" i="69"/>
  <c r="P14" i="69"/>
  <c r="C11" i="69"/>
  <c r="F7" i="69"/>
  <c r="I160" i="69"/>
  <c r="Q127" i="69"/>
  <c r="Q111" i="69"/>
  <c r="P96" i="69"/>
  <c r="O81" i="69"/>
  <c r="F70" i="69"/>
  <c r="E64" i="69"/>
  <c r="E58" i="69"/>
  <c r="H53" i="69"/>
  <c r="L49" i="69"/>
  <c r="P45" i="69"/>
  <c r="C42" i="69"/>
  <c r="G38" i="69"/>
  <c r="K34" i="69"/>
  <c r="O30" i="69"/>
  <c r="L149" i="69"/>
  <c r="D123" i="69"/>
  <c r="C108" i="69"/>
  <c r="B93" i="69"/>
  <c r="I78" i="69"/>
  <c r="K68" i="69"/>
  <c r="J62" i="69"/>
  <c r="P56" i="69"/>
  <c r="H52" i="69"/>
  <c r="L48" i="69"/>
  <c r="P44" i="69"/>
  <c r="C41" i="69"/>
  <c r="G37" i="69"/>
  <c r="K33" i="69"/>
  <c r="O29" i="69"/>
  <c r="B26" i="69"/>
  <c r="F22" i="69"/>
  <c r="N5" i="69"/>
  <c r="E10" i="69"/>
  <c r="J14" i="69"/>
  <c r="O18" i="69"/>
  <c r="J23" i="69"/>
  <c r="K28" i="69"/>
  <c r="H35" i="69"/>
  <c r="Q42" i="69"/>
  <c r="I50" i="69"/>
  <c r="J59" i="69"/>
  <c r="A72" i="69"/>
  <c r="C100" i="69"/>
  <c r="N132" i="69"/>
  <c r="E106" i="69"/>
  <c r="Q51" i="69"/>
  <c r="H44" i="69"/>
  <c r="L40" i="69"/>
  <c r="C33" i="69"/>
  <c r="K25" i="69"/>
  <c r="G6" i="69"/>
  <c r="N10" i="69"/>
  <c r="G19" i="69"/>
  <c r="D29" i="69"/>
  <c r="G36" i="69"/>
  <c r="H51" i="69"/>
  <c r="B75" i="69"/>
  <c r="P103" i="69"/>
  <c r="Q63" i="69"/>
  <c r="C40" i="69"/>
  <c r="G96" i="69"/>
  <c r="L71" i="69"/>
  <c r="Q132" i="69"/>
  <c r="K111" i="69"/>
  <c r="J96" i="69"/>
  <c r="I81" i="69"/>
  <c r="N69" i="69"/>
  <c r="E62" i="69"/>
  <c r="M54" i="69"/>
  <c r="K146" i="69"/>
  <c r="P121" i="69"/>
  <c r="O106" i="69"/>
  <c r="N91" i="69"/>
  <c r="J77" i="69"/>
  <c r="G67" i="69"/>
  <c r="E61" i="69"/>
  <c r="B56" i="69"/>
  <c r="D174" i="69"/>
  <c r="G142" i="69"/>
  <c r="N124" i="69"/>
  <c r="E115" i="69"/>
  <c r="P104" i="69"/>
  <c r="J94" i="69"/>
  <c r="C85" i="69"/>
  <c r="O75" i="69"/>
  <c r="M68" i="69"/>
  <c r="A64" i="69"/>
  <c r="O58" i="69"/>
  <c r="I155" i="69"/>
  <c r="P133" i="69"/>
  <c r="J120" i="69"/>
  <c r="D110" i="69"/>
  <c r="N100" i="69"/>
  <c r="H90" i="69"/>
  <c r="E80" i="69"/>
  <c r="M72" i="69"/>
  <c r="D146" i="69"/>
  <c r="N121" i="69"/>
  <c r="M106" i="69"/>
  <c r="L91" i="69"/>
  <c r="E77" i="69"/>
  <c r="C68" i="69"/>
  <c r="B62" i="69"/>
  <c r="I56" i="69"/>
  <c r="C52" i="69"/>
  <c r="G48" i="69"/>
  <c r="K44" i="69"/>
  <c r="O40" i="69"/>
  <c r="B37" i="69"/>
  <c r="F33" i="69"/>
  <c r="J29" i="69"/>
  <c r="J145" i="69"/>
  <c r="H121" i="69"/>
  <c r="G106" i="69"/>
  <c r="F91" i="69"/>
  <c r="C77" i="69"/>
  <c r="B68" i="69"/>
  <c r="A62" i="69"/>
  <c r="H56" i="69"/>
  <c r="B52" i="69"/>
  <c r="F48" i="69"/>
  <c r="J44" i="69"/>
  <c r="N40" i="69"/>
  <c r="A37" i="69"/>
  <c r="E33" i="69"/>
  <c r="I29" i="69"/>
  <c r="M25" i="69"/>
  <c r="Q21" i="69"/>
  <c r="D18" i="69"/>
  <c r="H14" i="69"/>
  <c r="L10" i="69"/>
  <c r="O6" i="69"/>
  <c r="F155" i="69"/>
  <c r="G125" i="69"/>
  <c r="B110" i="69"/>
  <c r="A95" i="69"/>
  <c r="A80" i="69"/>
  <c r="I69" i="69"/>
  <c r="H63" i="69"/>
  <c r="L57" i="69"/>
  <c r="Q52" i="69"/>
  <c r="D49" i="69"/>
  <c r="H45" i="69"/>
  <c r="L41" i="69"/>
  <c r="P37" i="69"/>
  <c r="C34" i="69"/>
  <c r="G30" i="69"/>
  <c r="G145" i="69"/>
  <c r="F121" i="69"/>
  <c r="D91" i="69"/>
  <c r="Q76" i="69"/>
  <c r="Q67" i="69"/>
  <c r="P61" i="69"/>
  <c r="F56" i="69"/>
  <c r="D48" i="69"/>
  <c r="P36" i="69"/>
  <c r="G29" i="69"/>
  <c r="O21" i="69"/>
  <c r="B15" i="69"/>
  <c r="C24" i="69"/>
  <c r="P43" i="69"/>
  <c r="A61" i="69"/>
  <c r="G140" i="69"/>
  <c r="O84" i="69"/>
  <c r="C192" i="69"/>
  <c r="C130" i="69"/>
  <c r="M109" i="69"/>
  <c r="L94" i="69"/>
  <c r="P79" i="69"/>
  <c r="O68" i="69"/>
  <c r="F61" i="69"/>
  <c r="F197" i="69"/>
  <c r="H142" i="69"/>
  <c r="A120" i="69"/>
  <c r="Q104" i="69"/>
  <c r="P89" i="69"/>
  <c r="A76" i="69"/>
  <c r="H66" i="69"/>
  <c r="N60" i="69"/>
  <c r="K55" i="69"/>
  <c r="P165" i="69"/>
  <c r="H140" i="69"/>
  <c r="M123" i="69"/>
  <c r="G113" i="69"/>
  <c r="Q103" i="69"/>
  <c r="K93" i="69"/>
  <c r="E83" i="69"/>
  <c r="D75" i="69"/>
  <c r="E68" i="69"/>
  <c r="B63" i="69"/>
  <c r="B195" i="69"/>
  <c r="O152" i="69"/>
  <c r="N130" i="69"/>
  <c r="K119" i="69"/>
  <c r="E109" i="69"/>
  <c r="P98" i="69"/>
  <c r="I89" i="69"/>
  <c r="I79" i="69"/>
  <c r="M196" i="69"/>
  <c r="F142" i="69"/>
  <c r="P119" i="69"/>
  <c r="O104" i="69"/>
  <c r="N89" i="69"/>
  <c r="N75" i="69"/>
  <c r="I67" i="69"/>
  <c r="H61" i="69"/>
  <c r="P55" i="69"/>
  <c r="L51" i="69"/>
  <c r="P47" i="69"/>
  <c r="C44" i="69"/>
  <c r="G40" i="69"/>
  <c r="K36" i="69"/>
  <c r="O32" i="69"/>
  <c r="Q194" i="69"/>
  <c r="K141" i="69"/>
  <c r="J119" i="69"/>
  <c r="I104" i="69"/>
  <c r="H89" i="69"/>
  <c r="L75" i="69"/>
  <c r="E67" i="69"/>
  <c r="G61" i="69"/>
  <c r="O55" i="69"/>
  <c r="K51" i="69"/>
  <c r="O47" i="69"/>
  <c r="B44" i="69"/>
  <c r="F40" i="69"/>
  <c r="J36" i="69"/>
  <c r="N32" i="69"/>
  <c r="A29" i="69"/>
  <c r="E25" i="69"/>
  <c r="I21" i="69"/>
  <c r="M17" i="69"/>
  <c r="Q13" i="69"/>
  <c r="D10" i="69"/>
  <c r="F6" i="69"/>
  <c r="N149" i="69"/>
  <c r="E123" i="69"/>
  <c r="D108" i="69"/>
  <c r="C93" i="69"/>
  <c r="J78" i="69"/>
  <c r="L68" i="69"/>
  <c r="N62" i="69"/>
  <c r="Q56" i="69"/>
  <c r="I52" i="69"/>
  <c r="M48" i="69"/>
  <c r="Q44" i="69"/>
  <c r="D41" i="69"/>
  <c r="H37" i="69"/>
  <c r="L33" i="69"/>
  <c r="M193" i="69"/>
  <c r="E141" i="69"/>
  <c r="H119" i="69"/>
  <c r="G104" i="69"/>
  <c r="F89" i="69"/>
  <c r="G75" i="69"/>
  <c r="C67" i="69"/>
  <c r="B61" i="69"/>
  <c r="M55" i="69"/>
  <c r="I51" i="69"/>
  <c r="M47" i="69"/>
  <c r="Q43" i="69"/>
  <c r="D40" i="69"/>
  <c r="H36" i="69"/>
  <c r="L32" i="69"/>
  <c r="P28" i="69"/>
  <c r="C25" i="69"/>
  <c r="G21" i="69"/>
  <c r="Q6" i="69"/>
  <c r="F11" i="69"/>
  <c r="K15" i="69"/>
  <c r="P19" i="69"/>
  <c r="O24" i="69"/>
  <c r="P29" i="69"/>
  <c r="F37" i="69"/>
  <c r="O44" i="69"/>
  <c r="G52" i="69"/>
  <c r="I62" i="69"/>
  <c r="B78" i="69"/>
  <c r="L107" i="69"/>
  <c r="H148" i="69"/>
  <c r="H28" i="69"/>
  <c r="I7" i="69"/>
  <c r="C16" i="69"/>
  <c r="H25" i="69"/>
  <c r="E38" i="69"/>
  <c r="F53" i="69"/>
  <c r="H111" i="69"/>
  <c r="L47" i="69"/>
  <c r="Q197" i="70"/>
  <c r="O197" i="70"/>
  <c r="O199" i="70" s="1"/>
  <c r="M197" i="70"/>
  <c r="M199" i="70" s="1"/>
  <c r="I10" i="70"/>
  <c r="D2" i="70" s="1"/>
  <c r="M10" i="70"/>
  <c r="E2" i="70" s="1"/>
  <c r="Q199" i="70"/>
  <c r="G2" i="70" s="1"/>
  <c r="I197" i="70"/>
  <c r="I199" i="70" s="1"/>
  <c r="Q10" i="70"/>
  <c r="C2" i="70"/>
  <c r="M13" i="65"/>
  <c r="Q13" i="65" s="1"/>
  <c r="M196" i="65"/>
  <c r="Q196" i="65" s="1"/>
  <c r="I10" i="66"/>
  <c r="D2" i="66" s="1"/>
  <c r="I191" i="66"/>
  <c r="M195" i="65"/>
  <c r="G194" i="66"/>
  <c r="I194" i="66"/>
  <c r="O194" i="66"/>
  <c r="K194" i="66"/>
  <c r="M191" i="66"/>
  <c r="Q17" i="66"/>
  <c r="Q13" i="66"/>
  <c r="K10" i="66"/>
  <c r="G191" i="65"/>
  <c r="O191" i="65"/>
  <c r="Q195" i="65"/>
  <c r="O10" i="65"/>
  <c r="F2" i="65" s="1"/>
  <c r="G10" i="65"/>
  <c r="K16" i="65"/>
  <c r="P16" i="65"/>
  <c r="V1" i="56"/>
  <c r="W1" i="56"/>
  <c r="V1" i="44"/>
  <c r="A1" i="44" s="1"/>
  <c r="AA1" i="44"/>
  <c r="P18" i="69" l="1"/>
  <c r="O33" i="69"/>
  <c r="L52" i="69"/>
  <c r="B7" i="69"/>
  <c r="Q18" i="69"/>
  <c r="J39" i="69"/>
  <c r="H64" i="69"/>
  <c r="F90" i="69"/>
  <c r="N71" i="69"/>
  <c r="Q19" i="69"/>
  <c r="M35" i="69"/>
  <c r="A60" i="69"/>
  <c r="D8" i="69"/>
  <c r="A20" i="69"/>
  <c r="H41" i="69"/>
  <c r="I70" i="69"/>
  <c r="O97" i="69"/>
  <c r="E122" i="69"/>
  <c r="G22" i="69"/>
  <c r="E43" i="69"/>
  <c r="E139" i="69"/>
  <c r="G10" i="69"/>
  <c r="Q24" i="69"/>
  <c r="O50" i="69"/>
  <c r="E90" i="69"/>
  <c r="L67" i="69"/>
  <c r="I147" i="69"/>
  <c r="H12" i="69"/>
  <c r="K23" i="69"/>
  <c r="C45" i="69"/>
  <c r="C60" i="69"/>
  <c r="H11" i="69"/>
  <c r="E26" i="69"/>
  <c r="O54" i="69"/>
  <c r="O112" i="69"/>
  <c r="G90" i="69"/>
  <c r="N171" i="69"/>
  <c r="J13" i="69"/>
  <c r="G27" i="69"/>
  <c r="A47" i="69"/>
  <c r="O4" i="69"/>
  <c r="L14" i="69"/>
  <c r="M28" i="69"/>
  <c r="F57" i="69"/>
  <c r="G120" i="69"/>
  <c r="P97" i="69"/>
  <c r="G135" i="69"/>
  <c r="C129" i="69"/>
  <c r="P112" i="69"/>
  <c r="E65" i="69"/>
  <c r="A69" i="69"/>
  <c r="H27" i="69"/>
  <c r="D45" i="69"/>
  <c r="J67" i="69"/>
  <c r="D143" i="69"/>
  <c r="I143" i="69"/>
  <c r="D68" i="69"/>
  <c r="D124" i="69"/>
  <c r="P17" i="69"/>
  <c r="C30" i="69"/>
  <c r="M52" i="69"/>
  <c r="D76" i="69"/>
  <c r="L64" i="69"/>
  <c r="Q70" i="69"/>
  <c r="L77" i="69"/>
  <c r="J86" i="69"/>
  <c r="B94" i="69"/>
  <c r="F79" i="69"/>
  <c r="L15" i="69"/>
  <c r="P24" i="69"/>
  <c r="I39" i="69"/>
  <c r="N54" i="69"/>
  <c r="O3" i="69"/>
  <c r="I12" i="69"/>
  <c r="D21" i="69"/>
  <c r="A32" i="69"/>
  <c r="B47" i="69"/>
  <c r="O157" i="69"/>
  <c r="N97" i="69"/>
  <c r="K67" i="69"/>
  <c r="N163" i="69"/>
  <c r="Q112" i="69"/>
  <c r="K84" i="69"/>
  <c r="D73" i="69"/>
  <c r="H135" i="69"/>
  <c r="I118" i="69"/>
  <c r="P7" i="69"/>
  <c r="I16" i="69"/>
  <c r="O25" i="69"/>
  <c r="A39" i="69"/>
  <c r="B54" i="69"/>
  <c r="C8" i="69"/>
  <c r="M16" i="69"/>
  <c r="C26" i="69"/>
  <c r="G41" i="69"/>
  <c r="E57" i="69"/>
  <c r="P4" i="69"/>
  <c r="K13" i="69"/>
  <c r="I22" i="69"/>
  <c r="P33" i="69"/>
  <c r="Q48" i="69"/>
  <c r="I61" i="69"/>
  <c r="F105" i="69"/>
  <c r="E76" i="69"/>
  <c r="K61" i="69"/>
  <c r="I120" i="69"/>
  <c r="D107" i="69"/>
  <c r="C79" i="69"/>
  <c r="N180" i="69"/>
  <c r="M64" i="69"/>
  <c r="E129" i="69"/>
  <c r="M114" i="69"/>
  <c r="K116" i="69"/>
  <c r="L101" i="69"/>
  <c r="F152" i="69"/>
  <c r="C94" i="69"/>
  <c r="D109" i="69"/>
  <c r="H120" i="69"/>
  <c r="F76" i="69"/>
  <c r="K143" i="69"/>
  <c r="C92" i="69"/>
  <c r="Q62" i="69"/>
  <c r="E152" i="69"/>
  <c r="E63" i="69"/>
  <c r="J70" i="69"/>
  <c r="D129" i="69"/>
  <c r="O82" i="69"/>
  <c r="P163" i="69"/>
  <c r="L99" i="69"/>
  <c r="B66" i="69"/>
  <c r="F73" i="69"/>
  <c r="K86" i="69"/>
  <c r="I86" i="69"/>
  <c r="J180" i="69"/>
  <c r="K101" i="69"/>
  <c r="D66" i="69"/>
  <c r="M116" i="69"/>
  <c r="A94" i="69"/>
  <c r="A63" i="69"/>
  <c r="C109" i="69"/>
  <c r="C69" i="69"/>
  <c r="F124" i="69"/>
  <c r="J101" i="69"/>
  <c r="C66" i="69"/>
  <c r="L116" i="69"/>
  <c r="G73" i="69"/>
  <c r="I135" i="69"/>
  <c r="B109" i="69"/>
  <c r="B69" i="69"/>
  <c r="E124" i="69"/>
  <c r="H79" i="69"/>
  <c r="N152" i="69"/>
  <c r="F175" i="26"/>
  <c r="I132" i="26"/>
  <c r="H100" i="26"/>
  <c r="H74" i="26"/>
  <c r="I53" i="26"/>
  <c r="M34" i="26"/>
  <c r="A19" i="26"/>
  <c r="H8" i="26"/>
  <c r="P172" i="26"/>
  <c r="N127" i="26"/>
  <c r="F97" i="26"/>
  <c r="B71" i="26"/>
  <c r="Q50" i="26"/>
  <c r="Q32" i="26"/>
  <c r="J17" i="26"/>
  <c r="D7" i="26"/>
  <c r="H165" i="26"/>
  <c r="D123" i="26"/>
  <c r="G93" i="26"/>
  <c r="M68" i="26"/>
  <c r="K48" i="26"/>
  <c r="G30" i="26"/>
  <c r="B16" i="26"/>
  <c r="O5" i="26"/>
  <c r="L157" i="26"/>
  <c r="C120" i="26"/>
  <c r="M89" i="26"/>
  <c r="D65" i="26"/>
  <c r="K46" i="26"/>
  <c r="O27" i="26"/>
  <c r="N14" i="26"/>
  <c r="H4" i="26"/>
  <c r="E151" i="26"/>
  <c r="N115" i="26"/>
  <c r="N86" i="26"/>
  <c r="E62" i="26"/>
  <c r="E44" i="26"/>
  <c r="A26" i="26"/>
  <c r="I13" i="26"/>
  <c r="F197" i="26"/>
  <c r="J146" i="26"/>
  <c r="E111" i="26"/>
  <c r="N83" i="26"/>
  <c r="H60" i="26"/>
  <c r="L41" i="26"/>
  <c r="P23" i="26"/>
  <c r="D12" i="26"/>
  <c r="K190" i="26"/>
  <c r="M141" i="26"/>
  <c r="C108" i="26"/>
  <c r="E80" i="26"/>
  <c r="P57" i="26"/>
  <c r="L39" i="26"/>
  <c r="G22" i="26"/>
  <c r="A11" i="26"/>
  <c r="J55" i="26"/>
  <c r="F37" i="26"/>
  <c r="G20" i="26"/>
  <c r="M9" i="26"/>
  <c r="H181" i="26"/>
  <c r="L136" i="26"/>
  <c r="J77" i="26"/>
  <c r="O103" i="26"/>
  <c r="L4" i="26"/>
  <c r="B26" i="26"/>
  <c r="B63" i="26"/>
  <c r="E108" i="26"/>
  <c r="L3" i="26"/>
  <c r="E15" i="26"/>
  <c r="M28" i="26"/>
  <c r="P46" i="26"/>
  <c r="C66" i="26"/>
  <c r="O90" i="26"/>
  <c r="E120" i="26"/>
  <c r="P159" i="26"/>
  <c r="E10" i="26"/>
  <c r="B23" i="26"/>
  <c r="K40" i="26"/>
  <c r="O58" i="26"/>
  <c r="K81" i="26"/>
  <c r="H109" i="26"/>
  <c r="F143" i="26"/>
  <c r="N3" i="26"/>
  <c r="B14" i="26"/>
  <c r="A27" i="26"/>
  <c r="A45" i="26"/>
  <c r="P63" i="26"/>
  <c r="E88" i="26"/>
  <c r="H117" i="26"/>
  <c r="I155" i="26"/>
  <c r="L6" i="26"/>
  <c r="Q16" i="26"/>
  <c r="A32" i="26"/>
  <c r="K9" i="26"/>
  <c r="E20" i="26"/>
  <c r="H36" i="26"/>
  <c r="D55" i="26"/>
  <c r="N76" i="26"/>
  <c r="P102" i="26"/>
  <c r="D136" i="26"/>
  <c r="H187" i="26"/>
  <c r="K197" i="26"/>
  <c r="O193" i="26"/>
  <c r="E7" i="26"/>
  <c r="H30" i="26"/>
  <c r="N68" i="26"/>
  <c r="O115" i="26"/>
  <c r="Q4" i="26"/>
  <c r="K16" i="26"/>
  <c r="B31" i="26"/>
  <c r="E49" i="26"/>
  <c r="O68" i="26"/>
  <c r="L94" i="26"/>
  <c r="P124" i="26"/>
  <c r="P165" i="26"/>
  <c r="J11" i="26"/>
  <c r="K24" i="26"/>
  <c r="K42" i="26"/>
  <c r="D61" i="26"/>
  <c r="K84" i="26"/>
  <c r="Q112" i="26"/>
  <c r="J148" i="26"/>
  <c r="D5" i="26"/>
  <c r="G15" i="26"/>
  <c r="G29" i="26"/>
  <c r="K47" i="26"/>
  <c r="K66" i="26"/>
  <c r="B92" i="26"/>
  <c r="J121" i="26"/>
  <c r="G160" i="26"/>
  <c r="P7" i="26"/>
  <c r="H18" i="26"/>
  <c r="A34" i="26"/>
  <c r="N10" i="26"/>
  <c r="N21" i="26"/>
  <c r="Q38" i="26"/>
  <c r="D57" i="26"/>
  <c r="C80" i="26"/>
  <c r="K106" i="26"/>
  <c r="Q139" i="26"/>
  <c r="P200" i="26"/>
  <c r="C197" i="26"/>
  <c r="G193" i="26"/>
  <c r="K189" i="26"/>
  <c r="O185" i="26"/>
  <c r="B182" i="26"/>
  <c r="F178" i="26"/>
  <c r="J174" i="26"/>
  <c r="N170" i="26"/>
  <c r="A167" i="26"/>
  <c r="E163" i="26"/>
  <c r="G199" i="26"/>
  <c r="K195" i="26"/>
  <c r="O191" i="26"/>
  <c r="B188" i="26"/>
  <c r="F184" i="26"/>
  <c r="J180" i="26"/>
  <c r="N176" i="26"/>
  <c r="A173" i="26"/>
  <c r="E169" i="26"/>
  <c r="I165" i="26"/>
  <c r="M161" i="26"/>
  <c r="Q196" i="26"/>
  <c r="A192" i="26"/>
  <c r="Q186" i="26"/>
  <c r="P181" i="26"/>
  <c r="Q176" i="26"/>
  <c r="P171" i="26"/>
  <c r="O166" i="26"/>
  <c r="P161" i="26"/>
  <c r="P157" i="26"/>
  <c r="C154" i="26"/>
  <c r="O200" i="26"/>
  <c r="K198" i="26"/>
  <c r="O192" i="26"/>
  <c r="B187" i="26"/>
  <c r="G181" i="26"/>
  <c r="K175" i="26"/>
  <c r="P169" i="26"/>
  <c r="C164" i="26"/>
  <c r="B159" i="26"/>
  <c r="N154" i="26"/>
  <c r="J150" i="26"/>
  <c r="N146" i="26"/>
  <c r="A143" i="26"/>
  <c r="E139" i="26"/>
  <c r="I135" i="26"/>
  <c r="M131" i="26"/>
  <c r="Q127" i="26"/>
  <c r="D124" i="26"/>
  <c r="H120" i="26"/>
  <c r="L116" i="26"/>
  <c r="P112" i="26"/>
  <c r="C109" i="26"/>
  <c r="N9" i="26"/>
  <c r="G35" i="26"/>
  <c r="K74" i="26"/>
  <c r="G124" i="26"/>
  <c r="F6" i="26"/>
  <c r="B18" i="26"/>
  <c r="B33" i="26"/>
  <c r="O51" i="26"/>
  <c r="D72" i="26"/>
  <c r="I97" i="26"/>
  <c r="O128" i="26"/>
  <c r="O190" i="26"/>
  <c r="O12" i="26"/>
  <c r="M26" i="26"/>
  <c r="Q44" i="26"/>
  <c r="D63" i="26"/>
  <c r="D88" i="26"/>
  <c r="G117" i="26"/>
  <c r="E153" i="26"/>
  <c r="H6" i="26"/>
  <c r="O16" i="26"/>
  <c r="G31" i="26"/>
  <c r="C50" i="26"/>
  <c r="N69" i="26"/>
  <c r="Q94" i="26"/>
  <c r="Q125" i="26"/>
  <c r="B169" i="26"/>
  <c r="D9" i="26"/>
  <c r="N19" i="26"/>
  <c r="G36" i="26"/>
  <c r="B12" i="26"/>
  <c r="G23" i="26"/>
  <c r="J41" i="26"/>
  <c r="J59" i="26"/>
  <c r="I82" i="26"/>
  <c r="G12" i="26"/>
  <c r="P39" i="26"/>
  <c r="Q77" i="26"/>
  <c r="Q132" i="26"/>
  <c r="M7" i="26"/>
  <c r="J19" i="26"/>
  <c r="K35" i="26"/>
  <c r="L53" i="26"/>
  <c r="G75" i="26"/>
  <c r="F101" i="26"/>
  <c r="A133" i="26"/>
  <c r="M3" i="26"/>
  <c r="A14" i="26"/>
  <c r="N28" i="26"/>
  <c r="J47" i="26"/>
  <c r="J66" i="26"/>
  <c r="P90" i="26"/>
  <c r="I121" i="26"/>
  <c r="B160" i="26"/>
  <c r="O7" i="26"/>
  <c r="D18" i="26"/>
  <c r="M33" i="26"/>
  <c r="Q51" i="26"/>
  <c r="C73" i="26"/>
  <c r="O98" i="26"/>
  <c r="M129" i="26"/>
  <c r="K177" i="26"/>
  <c r="I10" i="26"/>
  <c r="M21" i="26"/>
  <c r="J194" i="26"/>
  <c r="G13" i="26"/>
  <c r="H25" i="26"/>
  <c r="G43" i="26"/>
  <c r="C62" i="26"/>
  <c r="Q85" i="26"/>
  <c r="J114" i="26"/>
  <c r="G150" i="26"/>
  <c r="Q199" i="26"/>
  <c r="D196" i="26"/>
  <c r="H192" i="26"/>
  <c r="L188" i="26"/>
  <c r="P184" i="26"/>
  <c r="C181" i="26"/>
  <c r="G177" i="26"/>
  <c r="K173" i="26"/>
  <c r="O169" i="26"/>
  <c r="B166" i="26"/>
  <c r="F162" i="26"/>
  <c r="H198" i="26"/>
  <c r="L194" i="26"/>
  <c r="P190" i="26"/>
  <c r="C187" i="26"/>
  <c r="G183" i="26"/>
  <c r="K179" i="26"/>
  <c r="O175" i="26"/>
  <c r="B172" i="26"/>
  <c r="F168" i="26"/>
  <c r="J13" i="26"/>
  <c r="F44" i="26"/>
  <c r="O83" i="26"/>
  <c r="N141" i="26"/>
  <c r="P8" i="26"/>
  <c r="P20" i="26"/>
  <c r="Q37" i="26"/>
  <c r="D56" i="26"/>
  <c r="A78" i="26"/>
  <c r="F105" i="26"/>
  <c r="P137" i="26"/>
  <c r="C5" i="26"/>
  <c r="F15" i="26"/>
  <c r="F31" i="26"/>
  <c r="F49" i="26"/>
  <c r="J69" i="26"/>
  <c r="O94" i="26"/>
  <c r="Q124" i="26"/>
  <c r="O168" i="26"/>
  <c r="C9" i="26"/>
  <c r="L19" i="26"/>
  <c r="F36" i="26"/>
  <c r="I54" i="26"/>
  <c r="O75" i="26"/>
  <c r="G102" i="26"/>
  <c r="E16" i="26"/>
  <c r="D49" i="26"/>
  <c r="M90" i="26"/>
  <c r="C158" i="26"/>
  <c r="I11" i="26"/>
  <c r="I22" i="26"/>
  <c r="A40" i="26"/>
  <c r="M58" i="26"/>
  <c r="D81" i="26"/>
  <c r="F108" i="26"/>
  <c r="E143" i="26"/>
  <c r="G6" i="26"/>
  <c r="N16" i="26"/>
  <c r="L33" i="26"/>
  <c r="P51" i="26"/>
  <c r="E72" i="26"/>
  <c r="M98" i="26"/>
  <c r="E129" i="26"/>
  <c r="M175" i="26"/>
  <c r="F10" i="26"/>
  <c r="D21" i="26"/>
  <c r="F38" i="26"/>
  <c r="O56" i="26"/>
  <c r="Q78" i="26"/>
  <c r="I105" i="26"/>
  <c r="K139" i="26"/>
  <c r="C194" i="26"/>
  <c r="Q12" i="26"/>
  <c r="D25" i="26"/>
  <c r="M5" i="26"/>
  <c r="P15" i="26"/>
  <c r="M29" i="26"/>
  <c r="E48" i="26"/>
  <c r="H67" i="26"/>
  <c r="H92" i="26"/>
  <c r="B123" i="26"/>
  <c r="A163" i="26"/>
  <c r="A199" i="26"/>
  <c r="E195" i="26"/>
  <c r="I191" i="26"/>
  <c r="M187" i="26"/>
  <c r="Q183" i="26"/>
  <c r="D180" i="26"/>
  <c r="H176" i="26"/>
  <c r="L172" i="26"/>
  <c r="P168" i="26"/>
  <c r="C165" i="26"/>
  <c r="G161" i="26"/>
  <c r="I197" i="26"/>
  <c r="M193" i="26"/>
  <c r="Q189" i="26"/>
  <c r="D186" i="26"/>
  <c r="H182" i="26"/>
  <c r="L178" i="26"/>
  <c r="P174" i="26"/>
  <c r="C171" i="26"/>
  <c r="G167" i="26"/>
  <c r="K163" i="26"/>
  <c r="J199" i="26"/>
  <c r="I194" i="26"/>
  <c r="H189" i="26"/>
  <c r="I184" i="26"/>
  <c r="H179" i="26"/>
  <c r="G174" i="26"/>
  <c r="H169" i="26"/>
  <c r="G164" i="26"/>
  <c r="N159" i="26"/>
  <c r="A156" i="26"/>
  <c r="E152" i="26"/>
  <c r="P197" i="26"/>
  <c r="L195" i="26"/>
  <c r="P189" i="26"/>
  <c r="D184" i="26"/>
  <c r="I178" i="26"/>
  <c r="N172" i="26"/>
  <c r="B167" i="26"/>
  <c r="F161" i="26"/>
  <c r="P156" i="26"/>
  <c r="K152" i="26"/>
  <c r="L148" i="26"/>
  <c r="P144" i="26"/>
  <c r="C141" i="26"/>
  <c r="G137" i="26"/>
  <c r="K133" i="26"/>
  <c r="O129" i="26"/>
  <c r="B126" i="26"/>
  <c r="F122" i="26"/>
  <c r="J118" i="26"/>
  <c r="N114" i="26"/>
  <c r="A111" i="26"/>
  <c r="B19" i="26"/>
  <c r="J53" i="26"/>
  <c r="H97" i="26"/>
  <c r="N174" i="26"/>
  <c r="L12" i="26"/>
  <c r="J24" i="26"/>
  <c r="G42" i="26"/>
  <c r="J60" i="26"/>
  <c r="J84" i="26"/>
  <c r="L112" i="26"/>
  <c r="F147" i="26"/>
  <c r="N7" i="26"/>
  <c r="C18" i="26"/>
  <c r="L35" i="26"/>
  <c r="H54" i="26"/>
  <c r="H75" i="26"/>
  <c r="H101" i="26"/>
  <c r="G134" i="26"/>
  <c r="L184" i="26"/>
  <c r="K11" i="26"/>
  <c r="E23" i="26"/>
  <c r="L40" i="26"/>
  <c r="P58" i="26"/>
  <c r="G82" i="26"/>
  <c r="N109" i="26"/>
  <c r="G143" i="26"/>
  <c r="O3" i="26"/>
  <c r="E14" i="26"/>
  <c r="B27" i="26"/>
  <c r="Q6" i="26"/>
  <c r="H17" i="26"/>
  <c r="B32" i="26"/>
  <c r="E50" i="26"/>
  <c r="P70" i="26"/>
  <c r="E96" i="26"/>
  <c r="F126" i="26"/>
  <c r="J171" i="26"/>
  <c r="J198" i="26"/>
  <c r="N194" i="26"/>
  <c r="A191" i="26"/>
  <c r="E187" i="26"/>
  <c r="I183" i="26"/>
  <c r="M179" i="26"/>
  <c r="Q175" i="26"/>
  <c r="D172" i="26"/>
  <c r="H168" i="26"/>
  <c r="L164" i="26"/>
  <c r="N200" i="26"/>
  <c r="A197" i="26"/>
  <c r="E193" i="26"/>
  <c r="I196" i="26"/>
  <c r="H22" i="26"/>
  <c r="Q57" i="26"/>
  <c r="C104" i="26"/>
  <c r="N190" i="26"/>
  <c r="Q13" i="26"/>
  <c r="C26" i="26"/>
  <c r="P44" i="26"/>
  <c r="C63" i="26"/>
  <c r="E87" i="26"/>
  <c r="O116" i="26"/>
  <c r="Q152" i="26"/>
  <c r="B9" i="26"/>
  <c r="K19" i="26"/>
  <c r="A38" i="26"/>
  <c r="E56" i="26"/>
  <c r="P78" i="26"/>
  <c r="H105" i="26"/>
  <c r="I138" i="26"/>
  <c r="C193" i="26"/>
  <c r="P12" i="26"/>
  <c r="L24" i="26"/>
  <c r="D43" i="26"/>
  <c r="H61" i="26"/>
  <c r="O84" i="26"/>
  <c r="Q113" i="26"/>
  <c r="K148" i="26"/>
  <c r="E5" i="26"/>
  <c r="H15" i="26"/>
  <c r="H29" i="26"/>
  <c r="F8" i="26"/>
  <c r="M18" i="26"/>
  <c r="K34" i="26"/>
  <c r="O52" i="26"/>
  <c r="E73" i="26"/>
  <c r="P99" i="26"/>
  <c r="C131" i="26"/>
  <c r="Q178" i="26"/>
  <c r="B198" i="26"/>
  <c r="F194" i="26"/>
  <c r="J190" i="26"/>
  <c r="N186" i="26"/>
  <c r="A183" i="26"/>
  <c r="E179" i="26"/>
  <c r="I175" i="26"/>
  <c r="M171" i="26"/>
  <c r="Q167" i="26"/>
  <c r="D164" i="26"/>
  <c r="F200" i="26"/>
  <c r="J196" i="26"/>
  <c r="N192" i="26"/>
  <c r="A189" i="26"/>
  <c r="E185" i="26"/>
  <c r="I181" i="26"/>
  <c r="M177" i="26"/>
  <c r="Q173" i="26"/>
  <c r="D170" i="26"/>
  <c r="H166" i="26"/>
  <c r="L162" i="26"/>
  <c r="E198" i="26"/>
  <c r="D193" i="26"/>
  <c r="E188" i="26"/>
  <c r="D183" i="26"/>
  <c r="C178" i="26"/>
  <c r="D173" i="26"/>
  <c r="C168" i="26"/>
  <c r="B163" i="26"/>
  <c r="O158" i="26"/>
  <c r="B155" i="26"/>
  <c r="F151" i="26"/>
  <c r="A200" i="26"/>
  <c r="E194" i="26"/>
  <c r="I188" i="26"/>
  <c r="N182" i="26"/>
  <c r="B177" i="26"/>
  <c r="G171" i="26"/>
  <c r="J14" i="26"/>
  <c r="L155" i="26"/>
  <c r="C189" i="26"/>
  <c r="N178" i="26"/>
  <c r="G169" i="26"/>
  <c r="P198" i="26"/>
  <c r="I189" i="26"/>
  <c r="Q181" i="26"/>
  <c r="H174" i="26"/>
  <c r="P166" i="26"/>
  <c r="M200" i="26"/>
  <c r="K192" i="26"/>
  <c r="B185" i="26"/>
  <c r="E176" i="26"/>
  <c r="M168" i="26"/>
  <c r="M160" i="26"/>
  <c r="K154" i="26"/>
  <c r="L198" i="26"/>
  <c r="C192" i="26"/>
  <c r="J183" i="26"/>
  <c r="D174" i="26"/>
  <c r="J165" i="26"/>
  <c r="J158" i="26"/>
  <c r="C153" i="26"/>
  <c r="M147" i="26"/>
  <c r="J142" i="26"/>
  <c r="O137" i="26"/>
  <c r="L132" i="26"/>
  <c r="I127" i="26"/>
  <c r="N122" i="26"/>
  <c r="K117" i="26"/>
  <c r="H112" i="26"/>
  <c r="M107" i="26"/>
  <c r="O196" i="26"/>
  <c r="F190" i="26"/>
  <c r="M183" i="26"/>
  <c r="D177" i="26"/>
  <c r="M170" i="26"/>
  <c r="A164" i="26"/>
  <c r="H158" i="26"/>
  <c r="I153" i="26"/>
  <c r="P148" i="26"/>
  <c r="Q195" i="26"/>
  <c r="G189" i="26"/>
  <c r="O182" i="26"/>
  <c r="D176" i="26"/>
  <c r="L169" i="26"/>
  <c r="D163" i="26"/>
  <c r="M157" i="26"/>
  <c r="O152" i="26"/>
  <c r="F148" i="26"/>
  <c r="A144" i="26"/>
  <c r="L139" i="26"/>
  <c r="G135" i="26"/>
  <c r="B131" i="26"/>
  <c r="N126" i="26"/>
  <c r="I122" i="26"/>
  <c r="D118" i="26"/>
  <c r="P113" i="26"/>
  <c r="J109" i="26"/>
  <c r="G105" i="26"/>
  <c r="K101" i="26"/>
  <c r="O97" i="26"/>
  <c r="B94" i="26"/>
  <c r="F90" i="26"/>
  <c r="J86" i="26"/>
  <c r="N82" i="26"/>
  <c r="A79" i="26"/>
  <c r="E75" i="26"/>
  <c r="I71" i="26"/>
  <c r="M67" i="26"/>
  <c r="Q63" i="26"/>
  <c r="D60" i="26"/>
  <c r="H56" i="26"/>
  <c r="L52" i="26"/>
  <c r="P48" i="26"/>
  <c r="C45" i="26"/>
  <c r="L27" i="26"/>
  <c r="H200" i="26"/>
  <c r="D188" i="26"/>
  <c r="O177" i="26"/>
  <c r="I167" i="26"/>
  <c r="Q197" i="26"/>
  <c r="J188" i="26"/>
  <c r="A181" i="26"/>
  <c r="I173" i="26"/>
  <c r="Q165" i="26"/>
  <c r="C200" i="26"/>
  <c r="F191" i="26"/>
  <c r="N183" i="26"/>
  <c r="L175" i="26"/>
  <c r="J167" i="26"/>
  <c r="E160" i="26"/>
  <c r="L153" i="26"/>
  <c r="L200" i="26"/>
  <c r="H191" i="26"/>
  <c r="C182" i="26"/>
  <c r="H173" i="26"/>
  <c r="O164" i="26"/>
  <c r="A158" i="26"/>
  <c r="B152" i="26"/>
  <c r="E147" i="26"/>
  <c r="B142" i="26"/>
  <c r="P136" i="26"/>
  <c r="D132" i="26"/>
  <c r="A127" i="26"/>
  <c r="O121" i="26"/>
  <c r="C117" i="26"/>
  <c r="Q111" i="26"/>
  <c r="E107" i="26"/>
  <c r="A196" i="26"/>
  <c r="J189" i="26"/>
  <c r="Q182" i="26"/>
  <c r="I176" i="26"/>
  <c r="N169" i="26"/>
  <c r="F163" i="26"/>
  <c r="N157" i="26"/>
  <c r="P152" i="26"/>
  <c r="G148" i="26"/>
  <c r="D195" i="26"/>
  <c r="K188" i="26"/>
  <c r="A182" i="26"/>
  <c r="H175" i="26"/>
  <c r="Q168" i="26"/>
  <c r="G162" i="26"/>
  <c r="C157" i="26"/>
  <c r="D152" i="26"/>
  <c r="N147" i="26"/>
  <c r="H143" i="26"/>
  <c r="C139" i="26"/>
  <c r="O134" i="26"/>
  <c r="J130" i="26"/>
  <c r="E126" i="26"/>
  <c r="Q121" i="26"/>
  <c r="L117" i="26"/>
  <c r="F113" i="26"/>
  <c r="A109" i="26"/>
  <c r="P104" i="26"/>
  <c r="C101" i="26"/>
  <c r="G97" i="26"/>
  <c r="K93" i="26"/>
  <c r="O89" i="26"/>
  <c r="B86" i="26"/>
  <c r="F82" i="26"/>
  <c r="J78" i="26"/>
  <c r="N74" i="26"/>
  <c r="A71" i="26"/>
  <c r="E67" i="26"/>
  <c r="I63" i="26"/>
  <c r="M59" i="26"/>
  <c r="Q55" i="26"/>
  <c r="D52" i="26"/>
  <c r="H48" i="26"/>
  <c r="L44" i="26"/>
  <c r="P40" i="26"/>
  <c r="C37" i="26"/>
  <c r="G33" i="26"/>
  <c r="K29" i="26"/>
  <c r="O25" i="26"/>
  <c r="B22" i="26"/>
  <c r="F18" i="26"/>
  <c r="D199" i="26"/>
  <c r="G190" i="26"/>
  <c r="L181" i="26"/>
  <c r="O172" i="26"/>
  <c r="E164" i="26"/>
  <c r="N156" i="26"/>
  <c r="P45" i="26"/>
  <c r="I199" i="26"/>
  <c r="F186" i="26"/>
  <c r="P176" i="26"/>
  <c r="J166" i="26"/>
  <c r="B196" i="26"/>
  <c r="K187" i="26"/>
  <c r="B180" i="26"/>
  <c r="J172" i="26"/>
  <c r="A165" i="26"/>
  <c r="O198" i="26"/>
  <c r="M190" i="26"/>
  <c r="K182" i="26"/>
  <c r="B175" i="26"/>
  <c r="E166" i="26"/>
  <c r="F159" i="26"/>
  <c r="D153" i="26"/>
  <c r="E199" i="26"/>
  <c r="L190" i="26"/>
  <c r="K180" i="26"/>
  <c r="A172" i="26"/>
  <c r="H163" i="26"/>
  <c r="I157" i="26"/>
  <c r="J151" i="26"/>
  <c r="F146" i="26"/>
  <c r="K141" i="26"/>
  <c r="H136" i="26"/>
  <c r="E131" i="26"/>
  <c r="J126" i="26"/>
  <c r="G121" i="26"/>
  <c r="D116" i="26"/>
  <c r="I111" i="26"/>
  <c r="N106" i="26"/>
  <c r="F195" i="26"/>
  <c r="M188" i="26"/>
  <c r="D182" i="26"/>
  <c r="J175" i="26"/>
  <c r="A169" i="26"/>
  <c r="H162" i="26"/>
  <c r="D157" i="26"/>
  <c r="F152" i="26"/>
  <c r="O147" i="26"/>
  <c r="G194" i="26"/>
  <c r="N187" i="26"/>
  <c r="D181" i="26"/>
  <c r="L174" i="26"/>
  <c r="B168" i="26"/>
  <c r="J161" i="26"/>
  <c r="J156" i="26"/>
  <c r="K151" i="26"/>
  <c r="D147" i="26"/>
  <c r="P142" i="26"/>
  <c r="K138" i="26"/>
  <c r="F134" i="26"/>
  <c r="A130" i="26"/>
  <c r="M125" i="26"/>
  <c r="H121" i="26"/>
  <c r="B117" i="26"/>
  <c r="N112" i="26"/>
  <c r="H134" i="26"/>
  <c r="G64" i="26"/>
  <c r="L196" i="26"/>
  <c r="G185" i="26"/>
  <c r="A175" i="26"/>
  <c r="K165" i="26"/>
  <c r="C195" i="26"/>
  <c r="L186" i="26"/>
  <c r="C179" i="26"/>
  <c r="K171" i="26"/>
  <c r="J164" i="26"/>
  <c r="L197" i="26"/>
  <c r="C190" i="26"/>
  <c r="F181" i="26"/>
  <c r="N173" i="26"/>
  <c r="L165" i="26"/>
  <c r="G158" i="26"/>
  <c r="M152" i="26"/>
  <c r="O197" i="26"/>
  <c r="E189" i="26"/>
  <c r="P179" i="26"/>
  <c r="J170" i="26"/>
  <c r="M162" i="26"/>
  <c r="G156" i="26"/>
  <c r="A151" i="26"/>
  <c r="O145" i="26"/>
  <c r="L140" i="26"/>
  <c r="Q135" i="26"/>
  <c r="N130" i="26"/>
  <c r="K125" i="26"/>
  <c r="P120" i="26"/>
  <c r="M115" i="26"/>
  <c r="J110" i="26"/>
  <c r="F106" i="26"/>
  <c r="H194" i="26"/>
  <c r="P187" i="26"/>
  <c r="E181" i="26"/>
  <c r="M174" i="26"/>
  <c r="D168" i="26"/>
  <c r="K161" i="26"/>
  <c r="K156" i="26"/>
  <c r="L151" i="26"/>
  <c r="I200" i="26"/>
  <c r="I193" i="26"/>
  <c r="P186" i="26"/>
  <c r="G180" i="26"/>
  <c r="O173" i="26"/>
  <c r="E167" i="26"/>
  <c r="O160" i="26"/>
  <c r="P155" i="26"/>
  <c r="Q150" i="26"/>
  <c r="L146" i="26"/>
  <c r="G142" i="26"/>
  <c r="B138" i="26"/>
  <c r="N133" i="26"/>
  <c r="I129" i="26"/>
  <c r="D125" i="26"/>
  <c r="O120" i="26"/>
  <c r="J116" i="26"/>
  <c r="E112" i="26"/>
  <c r="Q107" i="26"/>
  <c r="Q103" i="26"/>
  <c r="D100" i="26"/>
  <c r="H96" i="26"/>
  <c r="L92" i="26"/>
  <c r="P88" i="26"/>
  <c r="C85" i="26"/>
  <c r="G81" i="26"/>
  <c r="K77" i="26"/>
  <c r="O73" i="26"/>
  <c r="B70" i="26"/>
  <c r="F66" i="26"/>
  <c r="J62" i="26"/>
  <c r="N58" i="26"/>
  <c r="A55" i="26"/>
  <c r="E51" i="26"/>
  <c r="I47" i="26"/>
  <c r="M43" i="26"/>
  <c r="Q39" i="26"/>
  <c r="D36" i="26"/>
  <c r="H32" i="26"/>
  <c r="L28" i="26"/>
  <c r="P24" i="26"/>
  <c r="C21" i="26"/>
  <c r="G17" i="26"/>
  <c r="P196" i="26"/>
  <c r="C188" i="26"/>
  <c r="G179" i="26"/>
  <c r="O170" i="26"/>
  <c r="Q161" i="26"/>
  <c r="C155" i="26"/>
  <c r="Q148" i="26"/>
  <c r="N143" i="26"/>
  <c r="P138" i="26"/>
  <c r="Q133" i="26"/>
  <c r="B129" i="26"/>
  <c r="H193" i="26"/>
  <c r="M184" i="26"/>
  <c r="A176" i="26"/>
  <c r="D167" i="26"/>
  <c r="D159" i="26"/>
  <c r="J152" i="26"/>
  <c r="O146" i="26"/>
  <c r="A185" i="26"/>
  <c r="F89" i="26"/>
  <c r="M195" i="26"/>
  <c r="H184" i="26"/>
  <c r="B174" i="26"/>
  <c r="M163" i="26"/>
  <c r="D194" i="26"/>
  <c r="M185" i="26"/>
  <c r="D178" i="26"/>
  <c r="L170" i="26"/>
  <c r="B164" i="26"/>
  <c r="G196" i="26"/>
  <c r="O188" i="26"/>
  <c r="M180" i="26"/>
  <c r="I172" i="26"/>
  <c r="Q164" i="26"/>
  <c r="H157" i="26"/>
  <c r="N151" i="26"/>
  <c r="D197" i="26"/>
  <c r="O187" i="26"/>
  <c r="D179" i="26"/>
  <c r="C169" i="26"/>
  <c r="A162" i="26"/>
  <c r="O155" i="26"/>
  <c r="B150" i="26"/>
  <c r="G145" i="26"/>
  <c r="D140" i="26"/>
  <c r="A135" i="26"/>
  <c r="F130" i="26"/>
  <c r="C125" i="26"/>
  <c r="Q119" i="26"/>
  <c r="E115" i="26"/>
  <c r="B110" i="26"/>
  <c r="J200" i="26"/>
  <c r="K193" i="26"/>
  <c r="A187" i="26"/>
  <c r="H180" i="26"/>
  <c r="P173" i="26"/>
  <c r="F167" i="26"/>
  <c r="P160" i="26"/>
  <c r="Q155" i="26"/>
  <c r="B151" i="26"/>
  <c r="K199" i="26"/>
  <c r="L192" i="26"/>
  <c r="B186" i="26"/>
  <c r="J179" i="26"/>
  <c r="Q172" i="26"/>
  <c r="I166" i="26"/>
  <c r="D160" i="26"/>
  <c r="E155" i="26"/>
  <c r="H150" i="26"/>
  <c r="C146" i="26"/>
  <c r="O141" i="26"/>
  <c r="J137" i="26"/>
  <c r="E133" i="26"/>
  <c r="Q128" i="26"/>
  <c r="K124" i="26"/>
  <c r="F120" i="26"/>
  <c r="A116" i="26"/>
  <c r="M111" i="26"/>
  <c r="H107" i="26"/>
  <c r="I103" i="26"/>
  <c r="M99" i="26"/>
  <c r="Q95" i="26"/>
  <c r="D92" i="26"/>
  <c r="H88" i="26"/>
  <c r="L84" i="26"/>
  <c r="P80" i="26"/>
  <c r="C77" i="26"/>
  <c r="G73" i="26"/>
  <c r="K69" i="26"/>
  <c r="O65" i="26"/>
  <c r="B62" i="26"/>
  <c r="F58" i="26"/>
  <c r="J54" i="26"/>
  <c r="N50" i="26"/>
  <c r="A47" i="26"/>
  <c r="E43" i="26"/>
  <c r="I39" i="26"/>
  <c r="M35" i="26"/>
  <c r="Q31" i="26"/>
  <c r="D28" i="26"/>
  <c r="H24" i="26"/>
  <c r="L20" i="26"/>
  <c r="L11" i="26"/>
  <c r="Q110" i="26"/>
  <c r="P192" i="26"/>
  <c r="J182" i="26"/>
  <c r="C173" i="26"/>
  <c r="N162" i="26"/>
  <c r="F192" i="26"/>
  <c r="N184" i="26"/>
  <c r="E177" i="26"/>
  <c r="M169" i="26"/>
  <c r="C163" i="26"/>
  <c r="N195" i="26"/>
  <c r="J187" i="26"/>
  <c r="A180" i="26"/>
  <c r="F171" i="26"/>
  <c r="N163" i="26"/>
  <c r="Q156" i="26"/>
  <c r="Q200" i="26"/>
  <c r="H196" i="26"/>
  <c r="H186" i="26"/>
  <c r="N177" i="26"/>
  <c r="I168" i="26"/>
  <c r="L160" i="26"/>
  <c r="F155" i="26"/>
  <c r="K149" i="26"/>
  <c r="H144" i="26"/>
  <c r="M139" i="26"/>
  <c r="J134" i="26"/>
  <c r="G129" i="26"/>
  <c r="L124" i="26"/>
  <c r="I119" i="26"/>
  <c r="F114" i="26"/>
  <c r="K109" i="26"/>
  <c r="L199" i="26"/>
  <c r="M192" i="26"/>
  <c r="C186" i="26"/>
  <c r="L179" i="26"/>
  <c r="B173" i="26"/>
  <c r="K166" i="26"/>
  <c r="F160" i="26"/>
  <c r="G155" i="26"/>
  <c r="I150" i="26"/>
  <c r="I198" i="26"/>
  <c r="N191" i="26"/>
  <c r="F185" i="26"/>
  <c r="M178" i="26"/>
  <c r="E172" i="26"/>
  <c r="M165" i="26"/>
  <c r="J159" i="26"/>
  <c r="L154" i="26"/>
  <c r="P149" i="26"/>
  <c r="K145" i="26"/>
  <c r="F141" i="26"/>
  <c r="A137" i="26"/>
  <c r="M132" i="26"/>
  <c r="G128" i="26"/>
  <c r="B124" i="26"/>
  <c r="N119" i="26"/>
  <c r="I115" i="26"/>
  <c r="D111" i="26"/>
  <c r="P106" i="26"/>
  <c r="A103" i="26"/>
  <c r="E99" i="26"/>
  <c r="I95" i="26"/>
  <c r="M91" i="26"/>
  <c r="Q87" i="26"/>
  <c r="D84" i="26"/>
  <c r="H80" i="26"/>
  <c r="L76" i="26"/>
  <c r="P72" i="26"/>
  <c r="C69" i="26"/>
  <c r="G65" i="26"/>
  <c r="K61" i="26"/>
  <c r="O57" i="26"/>
  <c r="B54" i="26"/>
  <c r="F50" i="26"/>
  <c r="J46" i="26"/>
  <c r="N42" i="26"/>
  <c r="A39" i="26"/>
  <c r="E35" i="26"/>
  <c r="I31" i="26"/>
  <c r="M27" i="26"/>
  <c r="Q23" i="26"/>
  <c r="D20" i="26"/>
  <c r="H16" i="26"/>
  <c r="M194" i="26"/>
  <c r="Q185" i="26"/>
  <c r="F177" i="26"/>
  <c r="J168" i="26"/>
  <c r="A160" i="26"/>
  <c r="J153" i="26"/>
  <c r="I147" i="26"/>
  <c r="K142" i="26"/>
  <c r="L137" i="26"/>
  <c r="N132" i="26"/>
  <c r="G200" i="26"/>
  <c r="E191" i="26"/>
  <c r="I182" i="26"/>
  <c r="M173" i="26"/>
  <c r="D165" i="26"/>
  <c r="J157" i="26"/>
  <c r="P150" i="26"/>
  <c r="J145" i="26"/>
  <c r="K140" i="26"/>
  <c r="M135" i="26"/>
  <c r="O130" i="26"/>
  <c r="P125" i="26"/>
  <c r="A121" i="26"/>
  <c r="F23" i="26"/>
  <c r="L118" i="26"/>
  <c r="Q191" i="26"/>
  <c r="K181" i="26"/>
  <c r="E171" i="26"/>
  <c r="O161" i="26"/>
  <c r="G191" i="26"/>
  <c r="O183" i="26"/>
  <c r="F176" i="26"/>
  <c r="N168" i="26"/>
  <c r="D162" i="26"/>
  <c r="B195" i="26"/>
  <c r="G186" i="26"/>
  <c r="O178" i="26"/>
  <c r="K170" i="26"/>
  <c r="I162" i="26"/>
  <c r="I156" i="26"/>
  <c r="B200" i="26"/>
  <c r="Q194" i="26"/>
  <c r="K185" i="26"/>
  <c r="G176" i="26"/>
  <c r="M167" i="26"/>
  <c r="C160" i="26"/>
  <c r="E154" i="26"/>
  <c r="C149" i="26"/>
  <c r="Q143" i="26"/>
  <c r="N138" i="26"/>
  <c r="B134" i="26"/>
  <c r="P128" i="26"/>
  <c r="M123" i="26"/>
  <c r="A119" i="26"/>
  <c r="O113" i="26"/>
  <c r="L108" i="26"/>
  <c r="M198" i="26"/>
  <c r="P191" i="26"/>
  <c r="H185" i="26"/>
  <c r="P178" i="26"/>
  <c r="F172" i="26"/>
  <c r="N165" i="26"/>
  <c r="L159" i="26"/>
  <c r="M154" i="26"/>
  <c r="Q149" i="26"/>
  <c r="J197" i="26"/>
  <c r="B191" i="26"/>
  <c r="J184" i="26"/>
  <c r="Q177" i="26"/>
  <c r="H171" i="26"/>
  <c r="N164" i="26"/>
  <c r="Q158" i="26"/>
  <c r="A154" i="26"/>
  <c r="G149" i="26"/>
  <c r="B145" i="26"/>
  <c r="N140" i="26"/>
  <c r="I136" i="26"/>
  <c r="C132" i="26"/>
  <c r="O127" i="26"/>
  <c r="J123" i="26"/>
  <c r="E119" i="26"/>
  <c r="Q114" i="26"/>
  <c r="L110" i="26"/>
  <c r="G106" i="26"/>
  <c r="J102" i="26"/>
  <c r="N98" i="26"/>
  <c r="A95" i="26"/>
  <c r="E91" i="26"/>
  <c r="I87" i="26"/>
  <c r="F4" i="26"/>
  <c r="D145" i="26"/>
  <c r="B190" i="26"/>
  <c r="L180" i="26"/>
  <c r="F170" i="26"/>
  <c r="O199" i="26"/>
  <c r="H190" i="26"/>
  <c r="P182" i="26"/>
  <c r="G175" i="26"/>
  <c r="O167" i="26"/>
  <c r="E161" i="26"/>
  <c r="P193" i="26"/>
  <c r="L185" i="26"/>
  <c r="J177" i="26"/>
  <c r="A170" i="26"/>
  <c r="D161" i="26"/>
  <c r="J155" i="26"/>
  <c r="F199" i="26"/>
  <c r="J193" i="26"/>
  <c r="Q184" i="26"/>
  <c r="O174" i="26"/>
  <c r="F166" i="26"/>
  <c r="K159" i="26"/>
  <c r="M153" i="26"/>
  <c r="D148" i="26"/>
  <c r="I143" i="26"/>
  <c r="F138" i="26"/>
  <c r="C133" i="26"/>
  <c r="H128" i="26"/>
  <c r="E123" i="26"/>
  <c r="B118" i="26"/>
  <c r="G113" i="26"/>
  <c r="D108" i="26"/>
  <c r="M197" i="26"/>
  <c r="C191" i="26"/>
  <c r="K184" i="26"/>
  <c r="A178" i="26"/>
  <c r="I171" i="26"/>
  <c r="P164" i="26"/>
  <c r="A159" i="26"/>
  <c r="B154" i="26"/>
  <c r="H149" i="26"/>
  <c r="N196" i="26"/>
  <c r="E190" i="26"/>
  <c r="L183" i="26"/>
  <c r="C177" i="26"/>
  <c r="I170" i="26"/>
  <c r="Q163" i="26"/>
  <c r="F158" i="26"/>
  <c r="H153" i="26"/>
  <c r="O148" i="26"/>
  <c r="J144" i="26"/>
  <c r="E140" i="26"/>
  <c r="P135" i="26"/>
  <c r="K131" i="26"/>
  <c r="F127" i="26"/>
  <c r="A123" i="26"/>
  <c r="M118" i="26"/>
  <c r="H114" i="26"/>
  <c r="C110" i="26"/>
  <c r="O105" i="26"/>
  <c r="B102" i="26"/>
  <c r="F98" i="26"/>
  <c r="J94" i="26"/>
  <c r="N90" i="26"/>
  <c r="A87" i="26"/>
  <c r="E83" i="26"/>
  <c r="I79" i="26"/>
  <c r="M75" i="26"/>
  <c r="Q71" i="26"/>
  <c r="D68" i="26"/>
  <c r="H64" i="26"/>
  <c r="L60" i="26"/>
  <c r="P56" i="26"/>
  <c r="C53" i="26"/>
  <c r="G49" i="26"/>
  <c r="K45" i="26"/>
  <c r="O41" i="26"/>
  <c r="B38" i="26"/>
  <c r="F34" i="26"/>
  <c r="J30" i="26"/>
  <c r="N26" i="26"/>
  <c r="A23" i="26"/>
  <c r="E19" i="26"/>
  <c r="I15" i="26"/>
  <c r="I192" i="26"/>
  <c r="P183" i="26"/>
  <c r="C175" i="26"/>
  <c r="D166" i="26"/>
  <c r="I158" i="26"/>
  <c r="P151" i="26"/>
  <c r="E146" i="26"/>
  <c r="G141" i="26"/>
  <c r="G136" i="26"/>
  <c r="I131" i="26"/>
  <c r="A198" i="26"/>
  <c r="B189" i="26"/>
  <c r="F180" i="26"/>
  <c r="L171" i="26"/>
  <c r="P162" i="26"/>
  <c r="N155" i="26"/>
  <c r="J149" i="26"/>
  <c r="G89" i="26"/>
  <c r="H72" i="26"/>
  <c r="G57" i="26"/>
  <c r="F42" i="26"/>
  <c r="P32" i="26"/>
  <c r="J22" i="26"/>
  <c r="C198" i="26"/>
  <c r="I180" i="26"/>
  <c r="Q162" i="26"/>
  <c r="F150" i="26"/>
  <c r="Q141" i="26"/>
  <c r="K134" i="26"/>
  <c r="M196" i="26"/>
  <c r="K183" i="26"/>
  <c r="I169" i="26"/>
  <c r="M156" i="26"/>
  <c r="H147" i="26"/>
  <c r="E141" i="26"/>
  <c r="C135" i="26"/>
  <c r="K129" i="26"/>
  <c r="A124" i="26"/>
  <c r="I118" i="26"/>
  <c r="K113" i="26"/>
  <c r="M108" i="26"/>
  <c r="B104" i="26"/>
  <c r="N99" i="26"/>
  <c r="H95" i="26"/>
  <c r="C91" i="26"/>
  <c r="N198" i="26"/>
  <c r="M186" i="26"/>
  <c r="E175" i="26"/>
  <c r="J163" i="26"/>
  <c r="D154" i="26"/>
  <c r="H146" i="26"/>
  <c r="O139" i="26"/>
  <c r="D133" i="26"/>
  <c r="P126" i="26"/>
  <c r="E121" i="26"/>
  <c r="L115" i="26"/>
  <c r="A110" i="26"/>
  <c r="L104" i="26"/>
  <c r="L99" i="26"/>
  <c r="N94" i="26"/>
  <c r="P89" i="26"/>
  <c r="F85" i="26"/>
  <c r="A81" i="26"/>
  <c r="M76" i="26"/>
  <c r="G72" i="26"/>
  <c r="B68" i="26"/>
  <c r="N63" i="26"/>
  <c r="M189" i="26"/>
  <c r="P177" i="26"/>
  <c r="G166" i="26"/>
  <c r="E156" i="26"/>
  <c r="Q147" i="26"/>
  <c r="H141" i="26"/>
  <c r="N134" i="26"/>
  <c r="D128" i="26"/>
  <c r="K122" i="26"/>
  <c r="Q116" i="26"/>
  <c r="G111" i="26"/>
  <c r="N105" i="26"/>
  <c r="P100" i="26"/>
  <c r="P95" i="26"/>
  <c r="A91" i="26"/>
  <c r="F86" i="26"/>
  <c r="A82" i="26"/>
  <c r="M77" i="26"/>
  <c r="H73" i="26"/>
  <c r="B69" i="26"/>
  <c r="N64" i="26"/>
  <c r="A190" i="26"/>
  <c r="I174" i="26"/>
  <c r="H159" i="26"/>
  <c r="H148" i="26"/>
  <c r="G139" i="26"/>
  <c r="K130" i="26"/>
  <c r="P122" i="26"/>
  <c r="F115" i="26"/>
  <c r="N107" i="26"/>
  <c r="B101" i="26"/>
  <c r="I94" i="26"/>
  <c r="O87" i="26"/>
  <c r="D82" i="26"/>
  <c r="H76" i="26"/>
  <c r="K85" i="26"/>
  <c r="J70" i="26"/>
  <c r="I55" i="26"/>
  <c r="G41" i="26"/>
  <c r="A31" i="26"/>
  <c r="K21" i="26"/>
  <c r="O195" i="26"/>
  <c r="G178" i="26"/>
  <c r="Q160" i="26"/>
  <c r="L149" i="26"/>
  <c r="M140" i="26"/>
  <c r="G133" i="26"/>
  <c r="J195" i="26"/>
  <c r="J181" i="26"/>
  <c r="G168" i="26"/>
  <c r="A155" i="26"/>
  <c r="D146" i="26"/>
  <c r="A140" i="26"/>
  <c r="I134" i="26"/>
  <c r="A129" i="26"/>
  <c r="H123" i="26"/>
  <c r="P117" i="26"/>
  <c r="A113" i="26"/>
  <c r="B108" i="26"/>
  <c r="J103" i="26"/>
  <c r="D99" i="26"/>
  <c r="P94" i="26"/>
  <c r="M83" i="26"/>
  <c r="L68" i="26"/>
  <c r="K53" i="26"/>
  <c r="H40" i="26"/>
  <c r="B30" i="26"/>
  <c r="M19" i="26"/>
  <c r="L193" i="26"/>
  <c r="B176" i="26"/>
  <c r="E159" i="26"/>
  <c r="C148" i="26"/>
  <c r="B140" i="26"/>
  <c r="B132" i="26"/>
  <c r="K194" i="26"/>
  <c r="F179" i="26"/>
  <c r="C166" i="26"/>
  <c r="F154" i="26"/>
  <c r="Q144" i="26"/>
  <c r="H139" i="26"/>
  <c r="P133" i="26"/>
  <c r="F128" i="26"/>
  <c r="O122" i="26"/>
  <c r="F117" i="26"/>
  <c r="G112" i="26"/>
  <c r="I107" i="26"/>
  <c r="Q102" i="26"/>
  <c r="L98" i="26"/>
  <c r="G94" i="26"/>
  <c r="B90" i="26"/>
  <c r="I195" i="26"/>
  <c r="B184" i="26"/>
  <c r="G172" i="26"/>
  <c r="K160" i="26"/>
  <c r="A152" i="26"/>
  <c r="M144" i="26"/>
  <c r="C138" i="26"/>
  <c r="L131" i="26"/>
  <c r="I125" i="26"/>
  <c r="P119" i="26"/>
  <c r="E114" i="26"/>
  <c r="K108" i="26"/>
  <c r="G103" i="26"/>
  <c r="I98" i="26"/>
  <c r="I108" i="26"/>
  <c r="O81" i="26"/>
  <c r="N66" i="26"/>
  <c r="M51" i="26"/>
  <c r="J38" i="26"/>
  <c r="C29" i="26"/>
  <c r="N18" i="26"/>
  <c r="J191" i="26"/>
  <c r="A174" i="26"/>
  <c r="K157" i="26"/>
  <c r="P146" i="26"/>
  <c r="I139" i="26"/>
  <c r="P130" i="26"/>
  <c r="G192" i="26"/>
  <c r="E178" i="26"/>
  <c r="P163" i="26"/>
  <c r="G153" i="26"/>
  <c r="F144" i="26"/>
  <c r="O138" i="26"/>
  <c r="F133" i="26"/>
  <c r="M127" i="26"/>
  <c r="D122" i="26"/>
  <c r="M116" i="26"/>
  <c r="N111" i="26"/>
  <c r="O106" i="26"/>
  <c r="H102" i="26"/>
  <c r="C98" i="26"/>
  <c r="O93" i="26"/>
  <c r="J89" i="26"/>
  <c r="B194" i="26"/>
  <c r="G182" i="26"/>
  <c r="Q170" i="26"/>
  <c r="M159" i="26"/>
  <c r="O150" i="26"/>
  <c r="P143" i="26"/>
  <c r="F137" i="26"/>
  <c r="M130" i="26"/>
  <c r="O124" i="26"/>
  <c r="D119" i="26"/>
  <c r="J113" i="26"/>
  <c r="P107" i="26"/>
  <c r="N102" i="26"/>
  <c r="P97" i="26"/>
  <c r="Q92" i="26"/>
  <c r="B88" i="26"/>
  <c r="L83" i="26"/>
  <c r="G79" i="26"/>
  <c r="B75" i="26"/>
  <c r="N70" i="26"/>
  <c r="I66" i="26"/>
  <c r="B197" i="26"/>
  <c r="D185" i="26"/>
  <c r="J173" i="26"/>
  <c r="B162" i="26"/>
  <c r="A153" i="26"/>
  <c r="H145" i="26"/>
  <c r="Q138" i="26"/>
  <c r="G132" i="26"/>
  <c r="C126" i="26"/>
  <c r="J120" i="26"/>
  <c r="H104" i="26"/>
  <c r="Q79" i="26"/>
  <c r="P64" i="26"/>
  <c r="O49" i="26"/>
  <c r="K37" i="26"/>
  <c r="E27" i="26"/>
  <c r="O17" i="26"/>
  <c r="D189" i="26"/>
  <c r="N171" i="26"/>
  <c r="B156" i="26"/>
  <c r="L145" i="26"/>
  <c r="E138" i="26"/>
  <c r="E130" i="26"/>
  <c r="D190" i="26"/>
  <c r="A177" i="26"/>
  <c r="N161" i="26"/>
  <c r="O151" i="26"/>
  <c r="M143" i="26"/>
  <c r="D138" i="26"/>
  <c r="K132" i="26"/>
  <c r="C127" i="26"/>
  <c r="K121" i="26"/>
  <c r="B116" i="26"/>
  <c r="C111" i="26"/>
  <c r="D106" i="26"/>
  <c r="P101" i="26"/>
  <c r="K97" i="26"/>
  <c r="F93" i="26"/>
  <c r="A89" i="26"/>
  <c r="Q192" i="26"/>
  <c r="Q180" i="26"/>
  <c r="F169" i="26"/>
  <c r="L158" i="26"/>
  <c r="A150" i="26"/>
  <c r="B143" i="26"/>
  <c r="K136" i="26"/>
  <c r="Q129" i="26"/>
  <c r="C124" i="26"/>
  <c r="H118" i="26"/>
  <c r="O112" i="26"/>
  <c r="D107" i="26"/>
  <c r="D102" i="26"/>
  <c r="E97" i="26"/>
  <c r="G92" i="26"/>
  <c r="H87" i="26"/>
  <c r="C83" i="26"/>
  <c r="O78" i="26"/>
  <c r="J74" i="26"/>
  <c r="E70" i="26"/>
  <c r="Q65" i="26"/>
  <c r="H195" i="26"/>
  <c r="A184" i="26"/>
  <c r="C172" i="26"/>
  <c r="J160" i="26"/>
  <c r="Q151" i="26"/>
  <c r="L144" i="26"/>
  <c r="A138" i="26"/>
  <c r="J131" i="26"/>
  <c r="H125" i="26"/>
  <c r="O119" i="26"/>
  <c r="C114" i="26"/>
  <c r="L100" i="26"/>
  <c r="B78" i="26"/>
  <c r="A63" i="26"/>
  <c r="Q47" i="26"/>
  <c r="L36" i="26"/>
  <c r="F26" i="26"/>
  <c r="P16" i="26"/>
  <c r="D187" i="26"/>
  <c r="J169" i="26"/>
  <c r="G154" i="26"/>
  <c r="A145" i="26"/>
  <c r="B137" i="26"/>
  <c r="L129" i="26"/>
  <c r="A188" i="26"/>
  <c r="Q174" i="26"/>
  <c r="N160" i="26"/>
  <c r="E150" i="26"/>
  <c r="C143" i="26"/>
  <c r="K137" i="26"/>
  <c r="A132" i="26"/>
  <c r="I126" i="26"/>
  <c r="G120" i="26"/>
  <c r="H115" i="26"/>
  <c r="I110" i="26"/>
  <c r="L105" i="26"/>
  <c r="G101" i="26"/>
  <c r="B97" i="26"/>
  <c r="N92" i="26"/>
  <c r="I88" i="26"/>
  <c r="D191" i="26"/>
  <c r="N179" i="26"/>
  <c r="P167" i="26"/>
  <c r="G157" i="26"/>
  <c r="B149" i="26"/>
  <c r="E142" i="26"/>
  <c r="L135" i="26"/>
  <c r="D129" i="26"/>
  <c r="G123" i="26"/>
  <c r="N117" i="26"/>
  <c r="C112" i="26"/>
  <c r="J106" i="26"/>
  <c r="J101" i="26"/>
  <c r="L96" i="26"/>
  <c r="N91" i="26"/>
  <c r="P86" i="26"/>
  <c r="K82" i="26"/>
  <c r="F78" i="26"/>
  <c r="A74" i="26"/>
  <c r="M69" i="26"/>
  <c r="H65" i="26"/>
  <c r="A194" i="26"/>
  <c r="F182" i="26"/>
  <c r="P170" i="26"/>
  <c r="I159" i="26"/>
  <c r="N150" i="26"/>
  <c r="O143" i="26"/>
  <c r="E137" i="26"/>
  <c r="L130" i="26"/>
  <c r="N124" i="26"/>
  <c r="B119" i="26"/>
  <c r="I113" i="26"/>
  <c r="O107" i="26"/>
  <c r="M102" i="26"/>
  <c r="N97" i="26"/>
  <c r="P92" i="26"/>
  <c r="A88" i="26"/>
  <c r="K83" i="26"/>
  <c r="F79" i="26"/>
  <c r="A75" i="26"/>
  <c r="M70" i="26"/>
  <c r="H66" i="26"/>
  <c r="C196" i="26"/>
  <c r="E180" i="26"/>
  <c r="K164" i="26"/>
  <c r="G152" i="26"/>
  <c r="M142" i="26"/>
  <c r="O133" i="26"/>
  <c r="L125" i="26"/>
  <c r="C118" i="26"/>
  <c r="K110" i="26"/>
  <c r="K103" i="26"/>
  <c r="Q96" i="26"/>
  <c r="G90" i="26"/>
  <c r="P96" i="26"/>
  <c r="D76" i="26"/>
  <c r="C61" i="26"/>
  <c r="B46" i="26"/>
  <c r="N34" i="26"/>
  <c r="G25" i="26"/>
  <c r="Q15" i="26"/>
  <c r="O184" i="26"/>
  <c r="H167" i="26"/>
  <c r="L152" i="26"/>
  <c r="G144" i="26"/>
  <c r="N135" i="26"/>
  <c r="I128" i="26"/>
  <c r="O186" i="26"/>
  <c r="M172" i="26"/>
  <c r="Q159" i="26"/>
  <c r="N148" i="26"/>
  <c r="I142" i="26"/>
  <c r="Q136" i="26"/>
  <c r="H131" i="26"/>
  <c r="F125" i="26"/>
  <c r="M119" i="26"/>
  <c r="O114" i="26"/>
  <c r="P109" i="26"/>
  <c r="C105" i="26"/>
  <c r="O100" i="26"/>
  <c r="J96" i="26"/>
  <c r="E92" i="26"/>
  <c r="P87" i="26"/>
  <c r="N189" i="26"/>
  <c r="B178" i="26"/>
  <c r="L166" i="26"/>
  <c r="F156" i="26"/>
  <c r="A148" i="26"/>
  <c r="I141" i="26"/>
  <c r="P134" i="26"/>
  <c r="E128" i="26"/>
  <c r="L122" i="26"/>
  <c r="A117" i="26"/>
  <c r="H111" i="26"/>
  <c r="P105" i="26"/>
  <c r="Q100" i="26"/>
  <c r="B96" i="26"/>
  <c r="B91" i="26"/>
  <c r="G86" i="26"/>
  <c r="B82" i="26"/>
  <c r="N77" i="26"/>
  <c r="I73" i="26"/>
  <c r="D69" i="26"/>
  <c r="O64" i="26"/>
  <c r="J192" i="26"/>
  <c r="P180" i="26"/>
  <c r="D169" i="26"/>
  <c r="K158" i="26"/>
  <c r="O149" i="26"/>
  <c r="Q142" i="26"/>
  <c r="J136" i="26"/>
  <c r="P129" i="26"/>
  <c r="Q123" i="26"/>
  <c r="G118" i="26"/>
  <c r="I23" i="26"/>
  <c r="P185" i="26"/>
  <c r="C119" i="26"/>
  <c r="E200" i="26"/>
  <c r="H155" i="26"/>
  <c r="K127" i="26"/>
  <c r="E105" i="26"/>
  <c r="E89" i="26"/>
  <c r="E77" i="26"/>
  <c r="A67" i="26"/>
  <c r="K176" i="26"/>
  <c r="A149" i="26"/>
  <c r="B133" i="26"/>
  <c r="F116" i="26"/>
  <c r="J108" i="26"/>
  <c r="I101" i="26"/>
  <c r="M94" i="26"/>
  <c r="K88" i="26"/>
  <c r="J82" i="26"/>
  <c r="K76" i="26"/>
  <c r="E71" i="26"/>
  <c r="F65" i="26"/>
  <c r="E186" i="26"/>
  <c r="N166" i="26"/>
  <c r="I149" i="26"/>
  <c r="D137" i="26"/>
  <c r="K126" i="26"/>
  <c r="E116" i="26"/>
  <c r="A106" i="26"/>
  <c r="M97" i="26"/>
  <c r="N88" i="26"/>
  <c r="H81" i="26"/>
  <c r="Q74" i="26"/>
  <c r="F69" i="26"/>
  <c r="J63" i="26"/>
  <c r="D59" i="26"/>
  <c r="P54" i="26"/>
  <c r="K50" i="26"/>
  <c r="F46" i="26"/>
  <c r="A42" i="26"/>
  <c r="M37" i="26"/>
  <c r="H33" i="26"/>
  <c r="B29" i="26"/>
  <c r="N24" i="26"/>
  <c r="I20" i="26"/>
  <c r="D16" i="26"/>
  <c r="F12" i="26"/>
  <c r="J8" i="26"/>
  <c r="J4" i="26"/>
  <c r="P175" i="26"/>
  <c r="E149" i="26"/>
  <c r="G131" i="26"/>
  <c r="C115" i="26"/>
  <c r="M101" i="26"/>
  <c r="J88" i="26"/>
  <c r="Q76" i="26"/>
  <c r="J65" i="26"/>
  <c r="O55" i="26"/>
  <c r="F48" i="26"/>
  <c r="M39" i="26"/>
  <c r="K30" i="26"/>
  <c r="N193" i="26"/>
  <c r="H178" i="26"/>
  <c r="K162" i="26"/>
  <c r="L150" i="26"/>
  <c r="J141" i="26"/>
  <c r="O132" i="26"/>
  <c r="I124" i="26"/>
  <c r="D117" i="26"/>
  <c r="L109" i="26"/>
  <c r="K102" i="26"/>
  <c r="C96" i="26"/>
  <c r="I89" i="26"/>
  <c r="I83" i="26"/>
  <c r="O77" i="26"/>
  <c r="B72" i="26"/>
  <c r="E66" i="26"/>
  <c r="F61" i="26"/>
  <c r="A57" i="26"/>
  <c r="M52" i="26"/>
  <c r="G48" i="26"/>
  <c r="B44" i="26"/>
  <c r="N39" i="26"/>
  <c r="I35" i="26"/>
  <c r="D31" i="26"/>
  <c r="P26" i="26"/>
  <c r="K22" i="26"/>
  <c r="E18" i="26"/>
  <c r="C14" i="26"/>
  <c r="G10" i="26"/>
  <c r="I6" i="26"/>
  <c r="F193" i="26"/>
  <c r="A166" i="26"/>
  <c r="K200" i="26"/>
  <c r="H170" i="26"/>
  <c r="D114" i="26"/>
  <c r="E197" i="26"/>
  <c r="B153" i="26"/>
  <c r="D126" i="26"/>
  <c r="A104" i="26"/>
  <c r="L88" i="26"/>
  <c r="C76" i="26"/>
  <c r="F64" i="26"/>
  <c r="D175" i="26"/>
  <c r="B147" i="26"/>
  <c r="C129" i="26"/>
  <c r="K115" i="26"/>
  <c r="C107" i="26"/>
  <c r="E100" i="26"/>
  <c r="C94" i="26"/>
  <c r="G87" i="26"/>
  <c r="I81" i="26"/>
  <c r="B76" i="26"/>
  <c r="D70" i="26"/>
  <c r="E64" i="26"/>
  <c r="E184" i="26"/>
  <c r="O162" i="26"/>
  <c r="A147" i="26"/>
  <c r="C136" i="26"/>
  <c r="J124" i="26"/>
  <c r="I114" i="26"/>
  <c r="B105" i="26"/>
  <c r="D96" i="26"/>
  <c r="D87" i="26"/>
  <c r="M80" i="26"/>
  <c r="E74" i="26"/>
  <c r="I68" i="26"/>
  <c r="Q62" i="26"/>
  <c r="L58" i="26"/>
  <c r="G54" i="26"/>
  <c r="B50" i="26"/>
  <c r="N45" i="26"/>
  <c r="I41" i="26"/>
  <c r="D37" i="26"/>
  <c r="O32" i="26"/>
  <c r="J28" i="26"/>
  <c r="E24" i="26"/>
  <c r="Q19" i="26"/>
  <c r="L15" i="26"/>
  <c r="O11" i="26"/>
  <c r="B8" i="26"/>
  <c r="A4" i="26"/>
  <c r="Q171" i="26"/>
  <c r="M146" i="26"/>
  <c r="F129" i="26"/>
  <c r="D113" i="26"/>
  <c r="A100" i="26"/>
  <c r="B87" i="26"/>
  <c r="L182" i="26"/>
  <c r="E158" i="26"/>
  <c r="F109" i="26"/>
  <c r="G188" i="26"/>
  <c r="C147" i="26"/>
  <c r="A122" i="26"/>
  <c r="G100" i="26"/>
  <c r="O85" i="26"/>
  <c r="K75" i="26"/>
  <c r="D200" i="26"/>
  <c r="N167" i="26"/>
  <c r="G146" i="26"/>
  <c r="J127" i="26"/>
  <c r="P114" i="26"/>
  <c r="I106" i="26"/>
  <c r="K99" i="26"/>
  <c r="I93" i="26"/>
  <c r="O86" i="26"/>
  <c r="Q80" i="26"/>
  <c r="J75" i="26"/>
  <c r="L69" i="26"/>
  <c r="M63" i="26"/>
  <c r="E182" i="26"/>
  <c r="B161" i="26"/>
  <c r="Q145" i="26"/>
  <c r="B135" i="26"/>
  <c r="N123" i="26"/>
  <c r="H113" i="26"/>
  <c r="F104" i="26"/>
  <c r="E95" i="26"/>
  <c r="I86" i="26"/>
  <c r="B80" i="26"/>
  <c r="K73" i="26"/>
  <c r="O67" i="26"/>
  <c r="H62" i="26"/>
  <c r="C58" i="26"/>
  <c r="O53" i="26"/>
  <c r="J49" i="26"/>
  <c r="E45" i="26"/>
  <c r="Q40" i="26"/>
  <c r="K36" i="26"/>
  <c r="F32" i="26"/>
  <c r="A28" i="26"/>
  <c r="M23" i="26"/>
  <c r="H19" i="26"/>
  <c r="C15" i="26"/>
  <c r="G11" i="26"/>
  <c r="J7" i="26"/>
  <c r="I3" i="26"/>
  <c r="E168" i="26"/>
  <c r="K144" i="26"/>
  <c r="E127" i="26"/>
  <c r="F112" i="26"/>
  <c r="G98" i="26"/>
  <c r="J85" i="26"/>
  <c r="C93" i="26"/>
  <c r="E165" i="26"/>
  <c r="B148" i="26"/>
  <c r="K104" i="26"/>
  <c r="I185" i="26"/>
  <c r="I145" i="26"/>
  <c r="K120" i="26"/>
  <c r="B99" i="26"/>
  <c r="N84" i="26"/>
  <c r="Q72" i="26"/>
  <c r="G198" i="26"/>
  <c r="M164" i="26"/>
  <c r="D142" i="26"/>
  <c r="O126" i="26"/>
  <c r="M112" i="26"/>
  <c r="D105" i="26"/>
  <c r="A99" i="26"/>
  <c r="F92" i="26"/>
  <c r="N85" i="26"/>
  <c r="G80" i="26"/>
  <c r="I74" i="26"/>
  <c r="J68" i="26"/>
  <c r="P199" i="26"/>
  <c r="J178" i="26"/>
  <c r="B158" i="26"/>
  <c r="O144" i="26"/>
  <c r="P132" i="26"/>
  <c r="N121" i="26"/>
  <c r="J112" i="26"/>
  <c r="L102" i="26"/>
  <c r="M93" i="26"/>
  <c r="M85" i="26"/>
  <c r="E79" i="26"/>
  <c r="N72" i="26"/>
  <c r="C67" i="26"/>
  <c r="P61" i="26"/>
  <c r="K57" i="26"/>
  <c r="F53" i="26"/>
  <c r="A49" i="26"/>
  <c r="M44" i="26"/>
  <c r="G40" i="26"/>
  <c r="B36" i="26"/>
  <c r="N31" i="26"/>
  <c r="I27" i="26"/>
  <c r="D23" i="26"/>
  <c r="P18" i="26"/>
  <c r="L14" i="26"/>
  <c r="P10" i="26"/>
  <c r="B7" i="26"/>
  <c r="G197" i="26"/>
  <c r="H164" i="26"/>
  <c r="H142" i="26"/>
  <c r="G125" i="26"/>
  <c r="G110" i="26"/>
  <c r="N96" i="26"/>
  <c r="B84" i="26"/>
  <c r="L72" i="26"/>
  <c r="E61" i="26"/>
  <c r="D53" i="26"/>
  <c r="L45" i="26"/>
  <c r="Q35" i="26"/>
  <c r="G27" i="26"/>
  <c r="L187" i="26"/>
  <c r="H172" i="26"/>
  <c r="Q157" i="26"/>
  <c r="Q146" i="26"/>
  <c r="G138" i="26"/>
  <c r="H129" i="26"/>
  <c r="M121" i="26"/>
  <c r="G114" i="26"/>
  <c r="M106" i="26"/>
  <c r="B100" i="26"/>
  <c r="L93" i="26"/>
  <c r="C87" i="26"/>
  <c r="F81" i="26"/>
  <c r="L75" i="26"/>
  <c r="P69" i="26"/>
  <c r="C64" i="26"/>
  <c r="L59" i="26"/>
  <c r="G55" i="26"/>
  <c r="B51" i="26"/>
  <c r="N46" i="26"/>
  <c r="I42" i="26"/>
  <c r="F74" i="26"/>
  <c r="C151" i="26"/>
  <c r="P141" i="26"/>
  <c r="F100" i="26"/>
  <c r="L176" i="26"/>
  <c r="J140" i="26"/>
  <c r="G116" i="26"/>
  <c r="G95" i="26"/>
  <c r="E84" i="26"/>
  <c r="O71" i="26"/>
  <c r="Q190" i="26"/>
  <c r="I163" i="26"/>
  <c r="I140" i="26"/>
  <c r="F123" i="26"/>
  <c r="B112" i="26"/>
  <c r="J104" i="26"/>
  <c r="H98" i="26"/>
  <c r="K91" i="26"/>
  <c r="E85" i="26"/>
  <c r="O79" i="26"/>
  <c r="Q73" i="26"/>
  <c r="A68" i="26"/>
  <c r="N197" i="26"/>
  <c r="J176" i="26"/>
  <c r="L156" i="26"/>
  <c r="L143" i="26"/>
  <c r="O131" i="26"/>
  <c r="Q120" i="26"/>
  <c r="K111" i="26"/>
  <c r="O101" i="26"/>
  <c r="O92" i="26"/>
  <c r="A85" i="26"/>
  <c r="K78" i="26"/>
  <c r="C72" i="26"/>
  <c r="G66" i="26"/>
  <c r="G61" i="26"/>
  <c r="B57" i="26"/>
  <c r="N52" i="26"/>
  <c r="I48" i="26"/>
  <c r="C44" i="26"/>
  <c r="O39" i="26"/>
  <c r="J35" i="26"/>
  <c r="E31" i="26"/>
  <c r="Q26" i="26"/>
  <c r="L22" i="26"/>
  <c r="G18" i="26"/>
  <c r="D14" i="26"/>
  <c r="H10" i="26"/>
  <c r="J6" i="26"/>
  <c r="G195" i="26"/>
  <c r="C159" i="26"/>
  <c r="F140" i="26"/>
  <c r="K123" i="26"/>
  <c r="H108" i="26"/>
  <c r="C95" i="26"/>
  <c r="M82" i="26"/>
  <c r="D71" i="26"/>
  <c r="C60" i="26"/>
  <c r="B52" i="26"/>
  <c r="J44" i="26"/>
  <c r="P34" i="26"/>
  <c r="E26" i="26"/>
  <c r="A186" i="26"/>
  <c r="E170" i="26"/>
  <c r="H156" i="26"/>
  <c r="P145" i="26"/>
  <c r="C137" i="26"/>
  <c r="J128" i="26"/>
  <c r="N120" i="26"/>
  <c r="E113" i="26"/>
  <c r="Q105" i="26"/>
  <c r="G99" i="26"/>
  <c r="M92" i="26"/>
  <c r="H86" i="26"/>
  <c r="L80" i="26"/>
  <c r="P74" i="26"/>
  <c r="E69" i="26"/>
  <c r="H63" i="26"/>
  <c r="C59" i="26"/>
  <c r="O54" i="26"/>
  <c r="J50" i="26"/>
  <c r="E46" i="26"/>
  <c r="Q41" i="26"/>
  <c r="L37" i="26"/>
  <c r="F33" i="26"/>
  <c r="A29" i="26"/>
  <c r="M24" i="26"/>
  <c r="H20" i="26"/>
  <c r="C16" i="26"/>
  <c r="E12" i="26"/>
  <c r="I8" i="26"/>
  <c r="I4" i="26"/>
  <c r="N181" i="26"/>
  <c r="F153" i="26"/>
  <c r="A136" i="26"/>
  <c r="O118" i="26"/>
  <c r="D104" i="26"/>
  <c r="Q90" i="26"/>
  <c r="N79" i="26"/>
  <c r="L67" i="26"/>
  <c r="J58" i="26"/>
  <c r="O48" i="26"/>
  <c r="E40" i="26"/>
  <c r="D32" i="26"/>
  <c r="B193" i="26"/>
  <c r="A168" i="26"/>
  <c r="I148" i="26"/>
  <c r="E134" i="26"/>
  <c r="F121" i="26"/>
  <c r="D109" i="26"/>
  <c r="E98" i="26"/>
  <c r="C88" i="26"/>
  <c r="M78" i="26"/>
  <c r="I69" i="26"/>
  <c r="B61" i="26"/>
  <c r="D54" i="26"/>
  <c r="H47" i="26"/>
  <c r="J40" i="26"/>
  <c r="K33" i="26"/>
  <c r="L26" i="26"/>
  <c r="O20" i="26"/>
  <c r="D15" i="26"/>
  <c r="C10" i="26"/>
  <c r="P4" i="26"/>
  <c r="G173" i="26"/>
  <c r="P140" i="26"/>
  <c r="M114" i="26"/>
  <c r="E59" i="26"/>
  <c r="D143" i="26"/>
  <c r="F136" i="26"/>
  <c r="A96" i="26"/>
  <c r="L173" i="26"/>
  <c r="A139" i="26"/>
  <c r="A115" i="26"/>
  <c r="D94" i="26"/>
  <c r="J81" i="26"/>
  <c r="F71" i="26"/>
  <c r="F188" i="26"/>
  <c r="F157" i="26"/>
  <c r="N139" i="26"/>
  <c r="P121" i="26"/>
  <c r="M110" i="26"/>
  <c r="P103" i="26"/>
  <c r="D97" i="26"/>
  <c r="H90" i="26"/>
  <c r="M84" i="26"/>
  <c r="N78" i="26"/>
  <c r="O72" i="26"/>
  <c r="I67" i="26"/>
  <c r="Q193" i="26"/>
  <c r="K172" i="26"/>
  <c r="Q154" i="26"/>
  <c r="L141" i="26"/>
  <c r="J129" i="26"/>
  <c r="B120" i="26"/>
  <c r="M109" i="26"/>
  <c r="C100" i="26"/>
  <c r="A92" i="26"/>
  <c r="G84" i="26"/>
  <c r="P77" i="26"/>
  <c r="H71" i="26"/>
  <c r="L65" i="26"/>
  <c r="O60" i="26"/>
  <c r="J56" i="26"/>
  <c r="E52" i="26"/>
  <c r="P47" i="26"/>
  <c r="K43" i="26"/>
  <c r="F39" i="26"/>
  <c r="A35" i="26"/>
  <c r="M30" i="26"/>
  <c r="H26" i="26"/>
  <c r="C22" i="26"/>
  <c r="N17" i="26"/>
  <c r="M13" i="26"/>
  <c r="Q9" i="26"/>
  <c r="B6" i="26"/>
  <c r="L189" i="26"/>
  <c r="D156" i="26"/>
  <c r="Q137" i="26"/>
  <c r="L121" i="26"/>
  <c r="L106" i="26"/>
  <c r="H93" i="26"/>
  <c r="E81" i="26"/>
  <c r="O69" i="26"/>
  <c r="B59" i="26"/>
  <c r="J51" i="26"/>
  <c r="I43" i="26"/>
  <c r="N33" i="26"/>
  <c r="N199" i="26"/>
  <c r="C184" i="26"/>
  <c r="K168" i="26"/>
  <c r="P154" i="26"/>
  <c r="N144" i="26"/>
  <c r="B136" i="26"/>
  <c r="G127" i="26"/>
  <c r="A120" i="26"/>
  <c r="I112" i="26"/>
  <c r="A105" i="26"/>
  <c r="J98" i="26"/>
  <c r="Q91" i="26"/>
  <c r="L85" i="26"/>
  <c r="A80" i="26"/>
  <c r="D74" i="26"/>
  <c r="H68" i="26"/>
  <c r="P62" i="26"/>
  <c r="K58" i="26"/>
  <c r="D44" i="26"/>
  <c r="D135" i="26"/>
  <c r="D130" i="26"/>
  <c r="L91" i="26"/>
  <c r="B165" i="26"/>
  <c r="C134" i="26"/>
  <c r="N110" i="26"/>
  <c r="J93" i="26"/>
  <c r="I80" i="26"/>
  <c r="K68" i="26"/>
  <c r="K186" i="26"/>
  <c r="D155" i="26"/>
  <c r="K135" i="26"/>
  <c r="D121" i="26"/>
  <c r="Q109" i="26"/>
  <c r="F103" i="26"/>
  <c r="K96" i="26"/>
  <c r="N89" i="26"/>
  <c r="C84" i="26"/>
  <c r="E78" i="26"/>
  <c r="F72" i="26"/>
  <c r="Q66" i="26"/>
  <c r="B192" i="26"/>
  <c r="G170" i="26"/>
  <c r="N153" i="26"/>
  <c r="H140" i="26"/>
  <c r="K128" i="26"/>
  <c r="Q118" i="26"/>
  <c r="O108" i="26"/>
  <c r="H99" i="26"/>
  <c r="F91" i="26"/>
  <c r="J83" i="26"/>
  <c r="B77" i="26"/>
  <c r="L70" i="26"/>
  <c r="A65" i="26"/>
  <c r="F60" i="26"/>
  <c r="A56" i="26"/>
  <c r="L51" i="26"/>
  <c r="G47" i="26"/>
  <c r="B43" i="26"/>
  <c r="N38" i="26"/>
  <c r="I34" i="26"/>
  <c r="D30" i="26"/>
  <c r="P25" i="26"/>
  <c r="J21" i="26"/>
  <c r="E17" i="26"/>
  <c r="E13" i="26"/>
  <c r="I9" i="26"/>
  <c r="J5" i="26"/>
  <c r="H183" i="26"/>
  <c r="O154" i="26"/>
  <c r="M134" i="26"/>
  <c r="L119" i="26"/>
  <c r="Q104" i="26"/>
  <c r="P91" i="26"/>
  <c r="C79" i="26"/>
  <c r="G68" i="26"/>
  <c r="A58" i="26"/>
  <c r="I50" i="26"/>
  <c r="P41" i="26"/>
  <c r="M32" i="26"/>
  <c r="H197" i="26"/>
  <c r="O181" i="26"/>
  <c r="M166" i="26"/>
  <c r="K153" i="26"/>
  <c r="K143" i="26"/>
  <c r="Q134" i="26"/>
  <c r="H126" i="26"/>
  <c r="P118" i="26"/>
  <c r="J111" i="26"/>
  <c r="E104" i="26"/>
  <c r="L97" i="26"/>
  <c r="D91" i="26"/>
  <c r="Q84" i="26"/>
  <c r="D79" i="26"/>
  <c r="J73" i="26"/>
  <c r="N67" i="26"/>
  <c r="G62" i="26"/>
  <c r="B58" i="26"/>
  <c r="N53" i="26"/>
  <c r="I49" i="26"/>
  <c r="D45" i="26"/>
  <c r="O40" i="26"/>
  <c r="J36" i="26"/>
  <c r="E32" i="26"/>
  <c r="O33" i="26"/>
  <c r="C199" i="26"/>
  <c r="M124" i="26"/>
  <c r="K90" i="26"/>
  <c r="C162" i="26"/>
  <c r="H132" i="26"/>
  <c r="G109" i="26"/>
  <c r="I90" i="26"/>
  <c r="P79" i="26"/>
  <c r="J67" i="26"/>
  <c r="I179" i="26"/>
  <c r="Q153" i="26"/>
  <c r="A134" i="26"/>
  <c r="M117" i="26"/>
  <c r="E109" i="26"/>
  <c r="C102" i="26"/>
  <c r="F95" i="26"/>
  <c r="D89" i="26"/>
  <c r="B83" i="26"/>
  <c r="D77" i="26"/>
  <c r="N71" i="26"/>
  <c r="P65" i="26"/>
  <c r="Q187" i="26"/>
  <c r="L168" i="26"/>
  <c r="M150" i="26"/>
  <c r="H138" i="26"/>
  <c r="H127" i="26"/>
  <c r="E117" i="26"/>
  <c r="Q106" i="26"/>
  <c r="K98" i="26"/>
  <c r="K89" i="26"/>
  <c r="P82" i="26"/>
  <c r="N75" i="26"/>
  <c r="Q69" i="26"/>
  <c r="D64" i="26"/>
  <c r="N59" i="26"/>
  <c r="H55" i="26"/>
  <c r="C51" i="26"/>
  <c r="O46" i="26"/>
  <c r="J42" i="26"/>
  <c r="E38" i="26"/>
  <c r="Q33" i="26"/>
  <c r="L29" i="26"/>
  <c r="F25" i="26"/>
  <c r="A21" i="26"/>
  <c r="M16" i="26"/>
  <c r="N12" i="26"/>
  <c r="A9" i="26"/>
  <c r="B5" i="26"/>
  <c r="Q179" i="26"/>
  <c r="M151" i="26"/>
  <c r="L133" i="26"/>
  <c r="P116" i="26"/>
  <c r="E103" i="26"/>
  <c r="D90" i="26"/>
  <c r="H78" i="26"/>
  <c r="P66" i="26"/>
  <c r="Q56" i="26"/>
  <c r="H49" i="26"/>
  <c r="N40" i="26"/>
  <c r="L31" i="26"/>
  <c r="P195" i="26"/>
  <c r="C180" i="26"/>
  <c r="I164" i="26"/>
  <c r="C152" i="26"/>
  <c r="L142" i="26"/>
  <c r="M133" i="26"/>
  <c r="J125" i="26"/>
  <c r="A118" i="26"/>
  <c r="H110" i="26"/>
  <c r="H103" i="26"/>
  <c r="O96" i="26"/>
  <c r="E90" i="26"/>
  <c r="F84" i="26"/>
  <c r="I78" i="26"/>
  <c r="M72" i="26"/>
  <c r="B67" i="26"/>
  <c r="O61" i="26"/>
  <c r="J57" i="26"/>
  <c r="E53" i="26"/>
  <c r="Q48" i="26"/>
  <c r="K44" i="26"/>
  <c r="F40" i="26"/>
  <c r="A36" i="26"/>
  <c r="M31" i="26"/>
  <c r="H27" i="26"/>
  <c r="C23" i="26"/>
  <c r="O18" i="26"/>
  <c r="K14" i="26"/>
  <c r="O10" i="26"/>
  <c r="A7" i="26"/>
  <c r="M199" i="26"/>
  <c r="C170" i="26"/>
  <c r="N145" i="26"/>
  <c r="C128" i="26"/>
  <c r="B114" i="26"/>
  <c r="F99" i="26"/>
  <c r="E86" i="26"/>
  <c r="O74" i="26"/>
  <c r="G63" i="26"/>
  <c r="F55" i="26"/>
  <c r="B45" i="26"/>
  <c r="J37" i="26"/>
  <c r="Q28" i="26"/>
  <c r="F183" i="26"/>
  <c r="O159" i="26"/>
  <c r="O142" i="26"/>
  <c r="N128" i="26"/>
  <c r="N116" i="26"/>
  <c r="O104" i="26"/>
  <c r="K94" i="26"/>
  <c r="I84" i="26"/>
  <c r="F75" i="26"/>
  <c r="B66" i="26"/>
  <c r="I58" i="26"/>
  <c r="N51" i="26"/>
  <c r="O44" i="26"/>
  <c r="P37" i="26"/>
  <c r="Q30" i="26"/>
  <c r="I24" i="26"/>
  <c r="L18" i="26"/>
  <c r="F13" i="26"/>
  <c r="E8" i="26"/>
  <c r="A195" i="26"/>
  <c r="O156" i="26"/>
  <c r="C130" i="26"/>
  <c r="G107" i="26"/>
  <c r="M53" i="26"/>
  <c r="O189" i="26"/>
  <c r="F139" i="26"/>
  <c r="L107" i="26"/>
  <c r="C82" i="26"/>
  <c r="E60" i="26"/>
  <c r="F47" i="26"/>
  <c r="B37" i="26"/>
  <c r="I28" i="26"/>
  <c r="I21" i="26"/>
  <c r="B15" i="26"/>
  <c r="Q8" i="26"/>
  <c r="L191" i="26"/>
  <c r="K150" i="26"/>
  <c r="G126" i="26"/>
  <c r="K107" i="26"/>
  <c r="H89" i="26"/>
  <c r="F73" i="26"/>
  <c r="M60" i="26"/>
  <c r="N47" i="26"/>
  <c r="I36" i="26"/>
  <c r="H199" i="26"/>
  <c r="G165" i="26"/>
  <c r="A141" i="26"/>
  <c r="F124" i="26"/>
  <c r="A108" i="26"/>
  <c r="D93" i="26"/>
  <c r="B81" i="26"/>
  <c r="F68" i="26"/>
  <c r="M57" i="26"/>
  <c r="C49" i="26"/>
  <c r="K39" i="26"/>
  <c r="E30" i="26"/>
  <c r="F22" i="26"/>
  <c r="I14" i="26"/>
  <c r="L7" i="26"/>
  <c r="I186" i="26"/>
  <c r="H137" i="26"/>
  <c r="M104" i="26"/>
  <c r="A84" i="26"/>
  <c r="K64" i="26"/>
  <c r="N48" i="26"/>
  <c r="C35" i="26"/>
  <c r="F24" i="26"/>
  <c r="N13" i="26"/>
  <c r="C4" i="26"/>
  <c r="N175" i="26"/>
  <c r="G151" i="26"/>
  <c r="I123" i="26"/>
  <c r="G104" i="26"/>
  <c r="P93" i="26"/>
  <c r="P83" i="26"/>
  <c r="L74" i="26"/>
  <c r="I65" i="26"/>
  <c r="E57" i="26"/>
  <c r="G50" i="26"/>
  <c r="H43" i="26"/>
  <c r="O34" i="26"/>
  <c r="E196" i="26"/>
  <c r="B171" i="26"/>
  <c r="C150" i="26"/>
  <c r="J135" i="26"/>
  <c r="H122" i="26"/>
  <c r="O110" i="26"/>
  <c r="J99" i="26"/>
  <c r="B89" i="26"/>
  <c r="L79" i="26"/>
  <c r="H70" i="26"/>
  <c r="Q61" i="26"/>
  <c r="B55" i="26"/>
  <c r="C48" i="26"/>
  <c r="D41" i="26"/>
  <c r="E34" i="26"/>
  <c r="J27" i="26"/>
  <c r="H21" i="26"/>
  <c r="N15" i="26"/>
  <c r="L10" i="26"/>
  <c r="H5" i="26"/>
  <c r="F164" i="26"/>
  <c r="L128" i="26"/>
  <c r="D103" i="26"/>
  <c r="A83" i="26"/>
  <c r="N65" i="26"/>
  <c r="G52" i="26"/>
  <c r="H39" i="26"/>
  <c r="J23" i="26"/>
  <c r="E47" i="26"/>
  <c r="C176" i="26"/>
  <c r="N131" i="26"/>
  <c r="N101" i="26"/>
  <c r="A77" i="26"/>
  <c r="I56" i="26"/>
  <c r="M45" i="26"/>
  <c r="Q34" i="26"/>
  <c r="Q27" i="26"/>
  <c r="Q20" i="26"/>
  <c r="L13" i="26"/>
  <c r="A8" i="26"/>
  <c r="I187" i="26"/>
  <c r="P147" i="26"/>
  <c r="H124" i="26"/>
  <c r="M105" i="26"/>
  <c r="M87" i="26"/>
  <c r="A72" i="26"/>
  <c r="K59" i="26"/>
  <c r="M46" i="26"/>
  <c r="H35" i="26"/>
  <c r="F196" i="26"/>
  <c r="L161" i="26"/>
  <c r="J139" i="26"/>
  <c r="Q122" i="26"/>
  <c r="E106" i="26"/>
  <c r="O91" i="26"/>
  <c r="M79" i="26"/>
  <c r="F67" i="26"/>
  <c r="N56" i="26"/>
  <c r="D48" i="26"/>
  <c r="O38" i="26"/>
  <c r="F29" i="26"/>
  <c r="L21" i="26"/>
  <c r="P13" i="26"/>
  <c r="P6" i="26"/>
  <c r="O179" i="26"/>
  <c r="J133" i="26"/>
  <c r="A102" i="26"/>
  <c r="N80" i="26"/>
  <c r="M61" i="26"/>
  <c r="C47" i="26"/>
  <c r="I33" i="26"/>
  <c r="O22" i="26"/>
  <c r="I12" i="26"/>
  <c r="F198" i="26"/>
  <c r="E173" i="26"/>
  <c r="D149" i="26"/>
  <c r="I120" i="26"/>
  <c r="B103" i="26"/>
  <c r="I92" i="26"/>
  <c r="L82" i="26"/>
  <c r="L73" i="26"/>
  <c r="I64" i="26"/>
  <c r="F56" i="26"/>
  <c r="K49" i="26"/>
  <c r="L42" i="26"/>
  <c r="C33" i="26"/>
  <c r="A193" i="26"/>
  <c r="L167" i="26"/>
  <c r="L147" i="26"/>
  <c r="D134" i="26"/>
  <c r="C121" i="26"/>
  <c r="B109" i="26"/>
  <c r="D98" i="26"/>
  <c r="L87" i="26"/>
  <c r="L78" i="26"/>
  <c r="H69" i="26"/>
  <c r="A61" i="26"/>
  <c r="C54" i="26"/>
  <c r="D47" i="26"/>
  <c r="I40" i="26"/>
  <c r="J33" i="26"/>
  <c r="K26" i="26"/>
  <c r="N20" i="26"/>
  <c r="A15" i="26"/>
  <c r="B10" i="26"/>
  <c r="O4" i="26"/>
  <c r="N158" i="26"/>
  <c r="E125" i="26"/>
  <c r="K100" i="26"/>
  <c r="N81" i="26"/>
  <c r="K63" i="26"/>
  <c r="L50" i="26"/>
  <c r="N37" i="26"/>
  <c r="D22" i="26"/>
  <c r="K10" i="26"/>
  <c r="P188" i="26"/>
  <c r="O163" i="26"/>
  <c r="M145" i="26"/>
  <c r="P131" i="26"/>
  <c r="G119" i="26"/>
  <c r="F107" i="26"/>
  <c r="I96" i="26"/>
  <c r="D86" i="26"/>
  <c r="F77" i="26"/>
  <c r="Q67" i="26"/>
  <c r="Q59" i="26"/>
  <c r="A53" i="26"/>
  <c r="C46" i="26"/>
  <c r="G39" i="26"/>
  <c r="I32" i="26"/>
  <c r="K25" i="26"/>
  <c r="O19" i="26"/>
  <c r="F14" i="26"/>
  <c r="E9" i="26"/>
  <c r="P3" i="26"/>
  <c r="H133" i="26"/>
  <c r="L111" i="26"/>
  <c r="B28" i="26"/>
  <c r="B11" i="26"/>
  <c r="E42" i="26"/>
  <c r="Q86" i="26"/>
  <c r="N152" i="26"/>
  <c r="F43" i="26"/>
  <c r="I61" i="26"/>
  <c r="P85" i="26"/>
  <c r="A114" i="26"/>
  <c r="M148" i="26"/>
  <c r="C7" i="26"/>
  <c r="I17" i="26"/>
  <c r="C32" i="26"/>
  <c r="P50" i="26"/>
  <c r="Q70" i="26"/>
  <c r="F96" i="26"/>
  <c r="L127" i="26"/>
  <c r="O171" i="26"/>
  <c r="D46" i="26"/>
  <c r="F174" i="26"/>
  <c r="I130" i="26"/>
  <c r="A101" i="26"/>
  <c r="G76" i="26"/>
  <c r="P55" i="26"/>
  <c r="J43" i="26"/>
  <c r="H34" i="26"/>
  <c r="G26" i="26"/>
  <c r="P19" i="26"/>
  <c r="D13" i="26"/>
  <c r="I7" i="26"/>
  <c r="N185" i="26"/>
  <c r="J143" i="26"/>
  <c r="J122" i="26"/>
  <c r="I102" i="26"/>
  <c r="P84" i="26"/>
  <c r="I70" i="26"/>
  <c r="I57" i="26"/>
  <c r="A44" i="26"/>
  <c r="G34" i="26"/>
  <c r="I190" i="26"/>
  <c r="B157" i="26"/>
  <c r="M137" i="26"/>
  <c r="K119" i="26"/>
  <c r="M103" i="26"/>
  <c r="L90" i="26"/>
  <c r="I77" i="26"/>
  <c r="B65" i="26"/>
  <c r="B56" i="26"/>
  <c r="I46" i="26"/>
  <c r="Q36" i="26"/>
  <c r="G28" i="26"/>
  <c r="C20" i="26"/>
  <c r="K12" i="26"/>
  <c r="E6" i="26"/>
  <c r="K167" i="26"/>
  <c r="Q126" i="26"/>
  <c r="I99" i="26"/>
  <c r="G78" i="26"/>
  <c r="A60" i="26"/>
  <c r="H45" i="26"/>
  <c r="K31" i="26"/>
  <c r="G21" i="26"/>
  <c r="D11" i="26"/>
  <c r="D198" i="26"/>
  <c r="Q169" i="26"/>
  <c r="F145" i="26"/>
  <c r="P115" i="26"/>
  <c r="L101" i="26"/>
  <c r="G91" i="26"/>
  <c r="L81" i="26"/>
  <c r="I72" i="26"/>
  <c r="E63" i="26"/>
  <c r="K55" i="26"/>
  <c r="L48" i="26"/>
  <c r="A41" i="26"/>
  <c r="H31" i="26"/>
  <c r="F189" i="26"/>
  <c r="F165" i="26"/>
  <c r="B146" i="26"/>
  <c r="E132" i="26"/>
  <c r="J119" i="26"/>
  <c r="J107" i="26"/>
  <c r="A97" i="26"/>
  <c r="L86" i="26"/>
  <c r="H77" i="26"/>
  <c r="E68" i="26"/>
  <c r="B60" i="26"/>
  <c r="G53" i="26"/>
  <c r="H46" i="26"/>
  <c r="J39" i="26"/>
  <c r="K32" i="26"/>
  <c r="M25" i="26"/>
  <c r="B20" i="26"/>
  <c r="H14" i="26"/>
  <c r="G9" i="26"/>
  <c r="D4" i="26"/>
  <c r="N149" i="26"/>
  <c r="G122" i="26"/>
  <c r="B98" i="26"/>
  <c r="K79" i="26"/>
  <c r="L62" i="26"/>
  <c r="M49" i="26"/>
  <c r="P35" i="26"/>
  <c r="I75" i="26"/>
  <c r="C38" i="26"/>
  <c r="A161" i="26"/>
  <c r="L123" i="26"/>
  <c r="D95" i="26"/>
  <c r="G71" i="26"/>
  <c r="F54" i="26"/>
  <c r="A43" i="26"/>
  <c r="P33" i="26"/>
  <c r="N25" i="26"/>
  <c r="G19" i="26"/>
  <c r="M12" i="26"/>
  <c r="A6" i="26"/>
  <c r="L177" i="26"/>
  <c r="D141" i="26"/>
  <c r="M120" i="26"/>
  <c r="N100" i="26"/>
  <c r="H83" i="26"/>
  <c r="A69" i="26"/>
  <c r="G56" i="26"/>
  <c r="Q42" i="26"/>
  <c r="E33" i="26"/>
  <c r="F187" i="26"/>
  <c r="J154" i="26"/>
  <c r="O135" i="26"/>
  <c r="F118" i="26"/>
  <c r="F102" i="26"/>
  <c r="C89" i="26"/>
  <c r="I76" i="26"/>
  <c r="O63" i="26"/>
  <c r="C55" i="26"/>
  <c r="J45" i="26"/>
  <c r="E36" i="26"/>
  <c r="K27" i="26"/>
  <c r="I19" i="26"/>
  <c r="A12" i="26"/>
  <c r="L5" i="26"/>
  <c r="H161" i="26"/>
  <c r="P123" i="26"/>
  <c r="M96" i="26"/>
  <c r="A76" i="26"/>
  <c r="G58" i="26"/>
  <c r="N43" i="26"/>
  <c r="P29" i="26"/>
  <c r="M20" i="26"/>
  <c r="A10" i="26"/>
  <c r="K191" i="26"/>
  <c r="Q166" i="26"/>
  <c r="A142" i="26"/>
  <c r="B113" i="26"/>
  <c r="I100" i="26"/>
  <c r="Q89" i="26"/>
  <c r="F80" i="26"/>
  <c r="C71" i="26"/>
  <c r="I62" i="26"/>
  <c r="L54" i="26"/>
  <c r="M47" i="26"/>
  <c r="B40" i="26"/>
  <c r="N29" i="26"/>
  <c r="J186" i="26"/>
  <c r="I161" i="26"/>
  <c r="E144" i="26"/>
  <c r="G130" i="26"/>
  <c r="E118" i="26"/>
  <c r="C106" i="26"/>
  <c r="L95" i="26"/>
  <c r="H85" i="26"/>
  <c r="E76" i="26"/>
  <c r="D67" i="26"/>
  <c r="G59" i="26"/>
  <c r="H52" i="26"/>
  <c r="I45" i="26"/>
  <c r="K38" i="26"/>
  <c r="O31" i="26"/>
  <c r="B25" i="26"/>
  <c r="F19" i="26"/>
  <c r="O13" i="26"/>
  <c r="N8" i="26"/>
  <c r="D3" i="26"/>
  <c r="A146" i="26"/>
  <c r="H119" i="26"/>
  <c r="K95" i="26"/>
  <c r="G77" i="26"/>
  <c r="Q60" i="26"/>
  <c r="B48" i="26"/>
  <c r="D34" i="26"/>
  <c r="J18" i="26"/>
  <c r="G7" i="26"/>
  <c r="B183" i="26"/>
  <c r="M158" i="26"/>
  <c r="C142" i="26"/>
  <c r="B128" i="26"/>
  <c r="H116" i="26"/>
  <c r="I104" i="26"/>
  <c r="Q93" i="26"/>
  <c r="Q83" i="26"/>
  <c r="M74" i="26"/>
  <c r="M65" i="26"/>
  <c r="E58" i="26"/>
  <c r="G51" i="26"/>
  <c r="H44" i="26"/>
  <c r="I37" i="26"/>
  <c r="N30" i="26"/>
  <c r="C24" i="26"/>
  <c r="I18" i="26"/>
  <c r="A13" i="26"/>
  <c r="Q7" i="26"/>
  <c r="O194" i="26"/>
  <c r="A128" i="26"/>
  <c r="M41" i="26"/>
  <c r="O24" i="26"/>
  <c r="K17" i="26"/>
  <c r="D51" i="26"/>
  <c r="E101" i="26"/>
  <c r="M181" i="26"/>
  <c r="L47" i="26"/>
  <c r="G67" i="26"/>
  <c r="C92" i="26"/>
  <c r="B122" i="26"/>
  <c r="E162" i="26"/>
  <c r="L9" i="26"/>
  <c r="F20" i="26"/>
  <c r="C74" i="26"/>
  <c r="A37" i="26"/>
  <c r="G159" i="26"/>
  <c r="M122" i="26"/>
  <c r="H94" i="26"/>
  <c r="K70" i="26"/>
  <c r="C52" i="26"/>
  <c r="H41" i="26"/>
  <c r="N32" i="26"/>
  <c r="E25" i="26"/>
  <c r="M17" i="26"/>
  <c r="N11" i="26"/>
  <c r="I5" i="26"/>
  <c r="E174" i="26"/>
  <c r="D139" i="26"/>
  <c r="Q117" i="26"/>
  <c r="J97" i="26"/>
  <c r="Q81" i="26"/>
  <c r="D66" i="26"/>
  <c r="E54" i="26"/>
  <c r="H42" i="26"/>
  <c r="C31" i="26"/>
  <c r="O180" i="26"/>
  <c r="I152" i="26"/>
  <c r="F132" i="26"/>
  <c r="G115" i="26"/>
  <c r="D101" i="26"/>
  <c r="M86" i="26"/>
  <c r="B74" i="26"/>
  <c r="N62" i="26"/>
  <c r="H53" i="26"/>
  <c r="P43" i="26"/>
  <c r="F35" i="26"/>
  <c r="Q25" i="26"/>
  <c r="A18" i="26"/>
  <c r="H11" i="26"/>
  <c r="E4" i="26"/>
  <c r="H154" i="26"/>
  <c r="B121" i="26"/>
  <c r="A94" i="26"/>
  <c r="K72" i="26"/>
  <c r="L56" i="26"/>
  <c r="B42" i="26"/>
  <c r="E28" i="26"/>
  <c r="D19" i="26"/>
  <c r="M8" i="26"/>
  <c r="N188" i="26"/>
  <c r="L163" i="26"/>
  <c r="J138" i="26"/>
  <c r="D110" i="26"/>
  <c r="Q98" i="26"/>
  <c r="G88" i="26"/>
  <c r="H79" i="26"/>
  <c r="C70" i="26"/>
  <c r="J61" i="26"/>
  <c r="P53" i="26"/>
  <c r="Q46" i="26"/>
  <c r="C39" i="26"/>
  <c r="C27" i="26"/>
  <c r="E183" i="26"/>
  <c r="P158" i="26"/>
  <c r="N142" i="26"/>
  <c r="M128" i="26"/>
  <c r="K116" i="26"/>
  <c r="N104" i="26"/>
  <c r="E94" i="26"/>
  <c r="H84" i="26"/>
  <c r="D75" i="26"/>
  <c r="A66" i="26"/>
  <c r="H58" i="26"/>
  <c r="I51" i="26"/>
  <c r="N44" i="26"/>
  <c r="O37" i="26"/>
  <c r="P30" i="26"/>
  <c r="G24" i="26"/>
  <c r="K18" i="26"/>
  <c r="C13" i="26"/>
  <c r="D8" i="26"/>
  <c r="Q198" i="26"/>
  <c r="F142" i="26"/>
  <c r="I116" i="26"/>
  <c r="A93" i="26"/>
  <c r="C75" i="26"/>
  <c r="F59" i="26"/>
  <c r="G46" i="26"/>
  <c r="J32" i="26"/>
  <c r="B17" i="26"/>
  <c r="C6" i="26"/>
  <c r="B179" i="26"/>
  <c r="C156" i="26"/>
  <c r="O140" i="26"/>
  <c r="M126" i="26"/>
  <c r="L114" i="26"/>
  <c r="C103" i="26"/>
  <c r="J92" i="26"/>
  <c r="Q82" i="26"/>
  <c r="M73" i="26"/>
  <c r="J64" i="26"/>
  <c r="F57" i="26"/>
  <c r="H50" i="26"/>
  <c r="L43" i="26"/>
  <c r="N36" i="26"/>
  <c r="O29" i="26"/>
  <c r="H23" i="26"/>
  <c r="L17" i="26"/>
  <c r="H12" i="26"/>
  <c r="F7" i="26"/>
  <c r="M155" i="26"/>
  <c r="A125" i="26"/>
  <c r="M36" i="26"/>
  <c r="M22" i="26"/>
  <c r="J20" i="26"/>
  <c r="C56" i="26"/>
  <c r="K112" i="26"/>
  <c r="D10" i="26"/>
  <c r="D50" i="26"/>
  <c r="A70" i="26"/>
  <c r="N95" i="26"/>
  <c r="A126" i="26"/>
  <c r="K169" i="26"/>
  <c r="Q10" i="26"/>
  <c r="O21" i="26"/>
  <c r="B64" i="26"/>
  <c r="I29" i="26"/>
  <c r="F149" i="26"/>
  <c r="C116" i="26"/>
  <c r="M88" i="26"/>
  <c r="K65" i="26"/>
  <c r="K51" i="26"/>
  <c r="E39" i="26"/>
  <c r="L30" i="26"/>
  <c r="D24" i="26"/>
  <c r="D17" i="26"/>
  <c r="F11" i="26"/>
  <c r="A5" i="26"/>
  <c r="J162" i="26"/>
  <c r="O136" i="26"/>
  <c r="Q115" i="26"/>
  <c r="O95" i="26"/>
  <c r="K80" i="26"/>
  <c r="M64" i="26"/>
  <c r="K52" i="26"/>
  <c r="F41" i="26"/>
  <c r="A30" i="26"/>
  <c r="I177" i="26"/>
  <c r="D150" i="26"/>
  <c r="Q130" i="26"/>
  <c r="N113" i="26"/>
  <c r="O99" i="26"/>
  <c r="I85" i="26"/>
  <c r="B73" i="26"/>
  <c r="A62" i="26"/>
  <c r="I52" i="26"/>
  <c r="C43" i="26"/>
  <c r="J34" i="26"/>
  <c r="C25" i="26"/>
  <c r="F17" i="26"/>
  <c r="M10" i="26"/>
  <c r="J3" i="26"/>
  <c r="I151" i="26"/>
  <c r="O117" i="26"/>
  <c r="I91" i="26"/>
  <c r="K71" i="26"/>
  <c r="Q54" i="26"/>
  <c r="D40" i="26"/>
  <c r="F27" i="26"/>
  <c r="P17" i="26"/>
  <c r="C8" i="26"/>
  <c r="C185" i="26"/>
  <c r="H160" i="26"/>
  <c r="E135" i="26"/>
  <c r="G108" i="26"/>
  <c r="Q97" i="26"/>
  <c r="F87" i="26"/>
  <c r="C78" i="26"/>
  <c r="P68" i="26"/>
  <c r="K60" i="26"/>
  <c r="Q52" i="26"/>
  <c r="A46" i="26"/>
  <c r="G38" i="26"/>
  <c r="J25" i="26"/>
  <c r="N180" i="26"/>
  <c r="A157" i="26"/>
  <c r="Q140" i="26"/>
  <c r="B127" i="26"/>
  <c r="B115" i="26"/>
  <c r="L103" i="26"/>
  <c r="B93" i="26"/>
  <c r="D83" i="26"/>
  <c r="P73" i="26"/>
  <c r="L64" i="26"/>
  <c r="L57" i="26"/>
  <c r="M50" i="26"/>
  <c r="O43" i="26"/>
  <c r="P36" i="26"/>
  <c r="Q29" i="26"/>
  <c r="K23" i="26"/>
  <c r="Q17" i="26"/>
  <c r="J12" i="26"/>
  <c r="H7" i="26"/>
  <c r="C183" i="26"/>
  <c r="M138" i="26"/>
  <c r="P111" i="26"/>
  <c r="C90" i="26"/>
  <c r="N73" i="26"/>
  <c r="H57" i="26"/>
  <c r="I44" i="26"/>
  <c r="O30" i="26"/>
  <c r="M15" i="26"/>
  <c r="N4" i="26"/>
  <c r="M176" i="26"/>
  <c r="P153" i="26"/>
  <c r="L138" i="26"/>
  <c r="B125" i="26"/>
  <c r="C113" i="26"/>
  <c r="Q101" i="26"/>
  <c r="H91" i="26"/>
  <c r="M81" i="26"/>
  <c r="J72" i="26"/>
  <c r="F63" i="26"/>
  <c r="K56" i="26"/>
  <c r="L49" i="26"/>
  <c r="M42" i="26"/>
  <c r="O35" i="26"/>
  <c r="P28" i="26"/>
  <c r="N22" i="26"/>
  <c r="A17" i="26"/>
  <c r="M11" i="26"/>
  <c r="M6" i="26"/>
  <c r="G147" i="26"/>
  <c r="C122" i="26"/>
  <c r="B34" i="26"/>
  <c r="P21" i="26"/>
  <c r="A24" i="26"/>
  <c r="I60" i="26"/>
  <c r="D120" i="26"/>
  <c r="G184" i="26"/>
  <c r="J52" i="26"/>
  <c r="D73" i="26"/>
  <c r="P98" i="26"/>
  <c r="A131" i="26"/>
  <c r="K178" i="26"/>
  <c r="C12" i="26"/>
  <c r="O23" i="26"/>
  <c r="K41" i="26"/>
  <c r="O59" i="26"/>
  <c r="G83" i="26"/>
  <c r="B111" i="26"/>
  <c r="E145" i="26"/>
  <c r="O62" i="26"/>
  <c r="H28" i="26"/>
  <c r="E148" i="26"/>
  <c r="D115" i="26"/>
  <c r="N87" i="26"/>
  <c r="Q64" i="26"/>
  <c r="A50" i="26"/>
  <c r="M38" i="26"/>
  <c r="C30" i="26"/>
  <c r="L23" i="26"/>
  <c r="L16" i="26"/>
  <c r="P9" i="26"/>
  <c r="Q3" i="26"/>
  <c r="I160" i="26"/>
  <c r="J132" i="26"/>
  <c r="F111" i="26"/>
  <c r="F94" i="26"/>
  <c r="L77" i="26"/>
  <c r="F62" i="26"/>
  <c r="A51" i="26"/>
  <c r="D39" i="26"/>
  <c r="P27" i="26"/>
  <c r="K174" i="26"/>
  <c r="I146" i="26"/>
  <c r="D127" i="26"/>
  <c r="D112" i="26"/>
  <c r="C97" i="26"/>
  <c r="F83" i="26"/>
  <c r="M71" i="26"/>
  <c r="G60" i="26"/>
  <c r="O50" i="26"/>
  <c r="D42" i="26"/>
  <c r="L32" i="26"/>
  <c r="N23" i="26"/>
  <c r="J16" i="26"/>
  <c r="J9" i="26"/>
  <c r="E192" i="26"/>
  <c r="K147" i="26"/>
  <c r="L113" i="26"/>
  <c r="Q88" i="26"/>
  <c r="G69" i="26"/>
  <c r="B53" i="26"/>
  <c r="I38" i="26"/>
  <c r="J26" i="26"/>
  <c r="G16" i="26"/>
  <c r="N6" i="26"/>
  <c r="M182" i="26"/>
  <c r="D158" i="26"/>
  <c r="F131" i="26"/>
  <c r="B107" i="26"/>
  <c r="G96" i="26"/>
  <c r="C86" i="26"/>
  <c r="P76" i="26"/>
  <c r="P67" i="26"/>
  <c r="P59" i="26"/>
  <c r="A52" i="26"/>
  <c r="F45" i="26"/>
  <c r="H37" i="26"/>
  <c r="B24" i="26"/>
  <c r="H177" i="26"/>
  <c r="I154" i="26"/>
  <c r="B139" i="26"/>
  <c r="N125" i="26"/>
  <c r="M113" i="26"/>
  <c r="E102" i="26"/>
  <c r="J91" i="26"/>
  <c r="P81" i="26"/>
  <c r="A73" i="26"/>
  <c r="L63" i="26"/>
  <c r="M56" i="26"/>
  <c r="N49" i="26"/>
  <c r="P42" i="26"/>
  <c r="C36" i="26"/>
  <c r="E29" i="26"/>
  <c r="P22" i="26"/>
  <c r="C17" i="26"/>
  <c r="Q11" i="26"/>
  <c r="O6" i="26"/>
  <c r="O176" i="26"/>
  <c r="H135" i="26"/>
  <c r="Q108" i="26"/>
  <c r="K87" i="26"/>
  <c r="G70" i="26"/>
  <c r="M55" i="26"/>
  <c r="O42" i="26"/>
  <c r="D29" i="26"/>
  <c r="G14" i="26"/>
  <c r="C3" i="26"/>
  <c r="F173" i="26"/>
  <c r="H151" i="26"/>
  <c r="N136" i="26"/>
  <c r="O123" i="26"/>
  <c r="O111" i="26"/>
  <c r="J100" i="26"/>
  <c r="A90" i="26"/>
  <c r="J80" i="26"/>
  <c r="J71" i="26"/>
  <c r="K62" i="26"/>
  <c r="L55" i="26"/>
  <c r="M48" i="26"/>
  <c r="N41" i="26"/>
  <c r="B35" i="26"/>
  <c r="C28" i="26"/>
  <c r="Q21" i="26"/>
  <c r="F16" i="26"/>
  <c r="C11" i="26"/>
  <c r="Q5" i="26"/>
  <c r="B144" i="26"/>
  <c r="F119" i="26"/>
  <c r="G32" i="26"/>
  <c r="E21" i="26"/>
  <c r="K28" i="26"/>
  <c r="E65" i="26"/>
  <c r="P127" i="26"/>
  <c r="B21" i="26"/>
  <c r="K54" i="26"/>
  <c r="J76" i="26"/>
  <c r="O102" i="26"/>
  <c r="L134" i="26"/>
  <c r="G187" i="26"/>
  <c r="H13" i="26"/>
  <c r="I25" i="26"/>
  <c r="N54" i="26"/>
  <c r="M191" i="26"/>
  <c r="G140" i="26"/>
  <c r="N108" i="26"/>
  <c r="O82" i="26"/>
  <c r="N60" i="26"/>
  <c r="O47" i="26"/>
  <c r="D38" i="26"/>
  <c r="J29" i="26"/>
  <c r="A22" i="26"/>
  <c r="K15" i="26"/>
  <c r="H9" i="26"/>
  <c r="H3" i="26"/>
  <c r="O157" i="26"/>
  <c r="H130" i="26"/>
  <c r="I109" i="26"/>
  <c r="K92" i="26"/>
  <c r="F76" i="26"/>
  <c r="N61" i="26"/>
  <c r="Q49" i="26"/>
  <c r="L38" i="26"/>
  <c r="O26" i="26"/>
  <c r="D171" i="26"/>
  <c r="I144" i="26"/>
  <c r="O125" i="26"/>
  <c r="P110" i="26"/>
  <c r="M95" i="26"/>
  <c r="E82" i="26"/>
  <c r="O70" i="26"/>
  <c r="H59" i="26"/>
  <c r="P49" i="26"/>
  <c r="E41" i="26"/>
  <c r="P31" i="26"/>
  <c r="Q22" i="26"/>
  <c r="O15" i="26"/>
  <c r="O8" i="26"/>
  <c r="Q188" i="26"/>
  <c r="D144" i="26"/>
  <c r="F110" i="26"/>
  <c r="K86" i="26"/>
  <c r="O66" i="26"/>
  <c r="H51" i="26"/>
  <c r="O36" i="26"/>
  <c r="A25" i="26"/>
  <c r="Q14" i="26"/>
  <c r="G5" i="26"/>
  <c r="A179" i="26"/>
  <c r="O153" i="26"/>
  <c r="L126" i="26"/>
  <c r="J105" i="26"/>
  <c r="B95" i="26"/>
  <c r="B85" i="26"/>
  <c r="P75" i="26"/>
  <c r="L66" i="26"/>
  <c r="Q58" i="26"/>
  <c r="F51" i="26"/>
  <c r="G44" i="26"/>
  <c r="N35" i="26"/>
  <c r="B199" i="26"/>
  <c r="C174" i="26"/>
  <c r="H152" i="26"/>
  <c r="I137" i="26"/>
  <c r="E124" i="26"/>
  <c r="A112" i="26"/>
  <c r="M100" i="26"/>
  <c r="J90" i="26"/>
  <c r="O80" i="26"/>
  <c r="L71" i="26"/>
  <c r="M62" i="26"/>
  <c r="N55" i="26"/>
  <c r="B49" i="26"/>
  <c r="C42" i="26"/>
  <c r="D35" i="26"/>
  <c r="F28" i="26"/>
  <c r="E22" i="26"/>
  <c r="I16" i="26"/>
  <c r="E11" i="26"/>
  <c r="D6" i="26"/>
  <c r="A171" i="26"/>
  <c r="Q131" i="26"/>
  <c r="B106" i="26"/>
  <c r="G85" i="26"/>
  <c r="C68" i="26"/>
  <c r="A54" i="26"/>
  <c r="C41" i="26"/>
  <c r="L25" i="26"/>
  <c r="B13" i="26"/>
  <c r="P194" i="26"/>
  <c r="B170" i="26"/>
  <c r="M149" i="26"/>
  <c r="F135" i="26"/>
  <c r="E122" i="26"/>
  <c r="E110" i="26"/>
  <c r="C99" i="26"/>
  <c r="O88" i="26"/>
  <c r="J79" i="26"/>
  <c r="F70" i="26"/>
  <c r="L61" i="26"/>
  <c r="M54" i="26"/>
  <c r="A48" i="26"/>
  <c r="B41" i="26"/>
  <c r="C34" i="26"/>
  <c r="D27" i="26"/>
  <c r="F21" i="26"/>
  <c r="J15" i="26"/>
  <c r="J10" i="26"/>
  <c r="F5" i="26"/>
  <c r="C140" i="26"/>
  <c r="I117" i="26"/>
  <c r="I30" i="26"/>
  <c r="P5" i="26"/>
  <c r="A33" i="26"/>
  <c r="P71" i="26"/>
  <c r="N137" i="26"/>
  <c r="P38" i="26"/>
  <c r="C57" i="26"/>
  <c r="B79" i="26"/>
  <c r="H106" i="26"/>
  <c r="P139" i="26"/>
  <c r="G4" i="26"/>
  <c r="M14" i="26"/>
  <c r="N27" i="26"/>
  <c r="C167" i="26"/>
  <c r="P108" i="26"/>
  <c r="Q68" i="26"/>
  <c r="C40" i="26"/>
  <c r="P14" i="26"/>
  <c r="K114" i="26"/>
  <c r="C81" i="26"/>
  <c r="H82" i="26"/>
  <c r="A16" i="26"/>
  <c r="J48" i="26"/>
  <c r="O76" i="26"/>
  <c r="J115" i="26"/>
  <c r="G163" i="26"/>
  <c r="C161" i="26"/>
  <c r="K105" i="26"/>
  <c r="M66" i="26"/>
  <c r="H38" i="26"/>
  <c r="K13" i="26"/>
  <c r="D58" i="26"/>
  <c r="N93" i="26"/>
  <c r="F88" i="26"/>
  <c r="Q18" i="26"/>
  <c r="P52" i="26"/>
  <c r="D80" i="26"/>
  <c r="N118" i="26"/>
  <c r="B181" i="26"/>
  <c r="J147" i="26"/>
  <c r="A98" i="26"/>
  <c r="P60" i="26"/>
  <c r="D33" i="26"/>
  <c r="O9" i="26"/>
  <c r="O28" i="26"/>
  <c r="K146" i="26"/>
  <c r="O109" i="26"/>
  <c r="F30" i="26"/>
  <c r="E55" i="26"/>
  <c r="A86" i="26"/>
  <c r="C123" i="26"/>
  <c r="H188" i="26"/>
  <c r="A20" i="26"/>
  <c r="C144" i="26"/>
  <c r="J95" i="26"/>
  <c r="A59" i="26"/>
  <c r="J31" i="26"/>
  <c r="L8" i="26"/>
  <c r="D26" i="26"/>
  <c r="O165" i="26"/>
  <c r="K118" i="26"/>
  <c r="L34" i="26"/>
  <c r="N57" i="26"/>
  <c r="L89" i="26"/>
  <c r="D131" i="26"/>
  <c r="K196" i="26"/>
  <c r="P11" i="26"/>
  <c r="I133" i="26"/>
  <c r="J87" i="26"/>
  <c r="Q53" i="26"/>
  <c r="I26" i="26"/>
  <c r="M4" i="26"/>
  <c r="K8" i="26"/>
  <c r="M40" i="26"/>
  <c r="C145" i="26"/>
  <c r="E37" i="26"/>
  <c r="D62" i="26"/>
  <c r="E93" i="26"/>
  <c r="E136" i="26"/>
  <c r="F9" i="26"/>
  <c r="B130" i="26"/>
  <c r="D85" i="26"/>
  <c r="F52" i="26"/>
  <c r="Q24" i="26"/>
  <c r="A3" i="26"/>
  <c r="O14" i="26"/>
  <c r="O45" i="26"/>
  <c r="K155" i="26"/>
  <c r="B39" i="26"/>
  <c r="C65" i="26"/>
  <c r="Q99" i="26"/>
  <c r="B141" i="26"/>
  <c r="D192" i="26"/>
  <c r="L120" i="26"/>
  <c r="D78" i="26"/>
  <c r="B47" i="26"/>
  <c r="K20" i="26"/>
  <c r="M136" i="26"/>
  <c r="G37" i="26"/>
  <c r="I59" i="26"/>
  <c r="N5" i="26"/>
  <c r="Q43" i="26"/>
  <c r="K67" i="26"/>
  <c r="N103" i="26"/>
  <c r="D151" i="26"/>
  <c r="J185" i="26"/>
  <c r="J117" i="26"/>
  <c r="Q75" i="26"/>
  <c r="G45" i="26"/>
  <c r="C19" i="26"/>
  <c r="N129" i="26"/>
  <c r="L46" i="26"/>
  <c r="A64" i="26"/>
  <c r="G8" i="26"/>
  <c r="Q45" i="26"/>
  <c r="G74" i="26"/>
  <c r="A107" i="26"/>
  <c r="E157" i="26"/>
  <c r="K191" i="65"/>
  <c r="D194" i="65" s="1"/>
  <c r="I197" i="66"/>
  <c r="I199" i="66" s="1"/>
  <c r="K197" i="70"/>
  <c r="K199" i="70" s="1"/>
  <c r="G197" i="70"/>
  <c r="G199" i="70" s="1"/>
  <c r="I10" i="65"/>
  <c r="D2" i="65" s="1"/>
  <c r="M191" i="65"/>
  <c r="O10" i="66"/>
  <c r="F2" i="66" s="1"/>
  <c r="O191" i="66"/>
  <c r="O197" i="66" s="1"/>
  <c r="O199" i="66" s="1"/>
  <c r="L29" i="66"/>
  <c r="L28" i="66"/>
  <c r="L27" i="66"/>
  <c r="M194" i="66"/>
  <c r="Q194" i="66" s="1"/>
  <c r="Q197" i="66" s="1"/>
  <c r="K197" i="66"/>
  <c r="K199" i="66" s="1"/>
  <c r="C2" i="66"/>
  <c r="G197" i="66"/>
  <c r="G199" i="66" s="1"/>
  <c r="M16" i="65"/>
  <c r="K10" i="65"/>
  <c r="I191" i="65"/>
  <c r="C2" i="65"/>
  <c r="M27" i="66" l="1"/>
  <c r="P27" i="66"/>
  <c r="P28" i="66"/>
  <c r="M28" i="66"/>
  <c r="Q28" i="66" s="1"/>
  <c r="P29" i="66"/>
  <c r="M29" i="66"/>
  <c r="Q29" i="66" s="1"/>
  <c r="G194" i="65"/>
  <c r="O194" i="65"/>
  <c r="I194" i="65"/>
  <c r="K194" i="65"/>
  <c r="M10" i="65"/>
  <c r="E2" i="65" s="1"/>
  <c r="Q16" i="65"/>
  <c r="I197" i="65"/>
  <c r="I199" i="65" s="1"/>
  <c r="Q27" i="66" l="1"/>
  <c r="M10" i="66"/>
  <c r="E2" i="66" s="1"/>
  <c r="M197" i="66"/>
  <c r="M199" i="66" s="1"/>
  <c r="M194" i="65"/>
  <c r="Q194" i="65" s="1"/>
  <c r="K197" i="65"/>
  <c r="K199" i="65" s="1"/>
  <c r="O197" i="65"/>
  <c r="O199" i="65" s="1"/>
  <c r="G197" i="65"/>
  <c r="G199" i="65" s="1"/>
  <c r="Q10" i="65"/>
  <c r="Q199" i="66" l="1"/>
  <c r="G2" i="66" s="1"/>
  <c r="Q10" i="66"/>
  <c r="Q197" i="65"/>
  <c r="Q199" i="65"/>
  <c r="G2" i="65" s="1"/>
  <c r="M197" i="65"/>
  <c r="M199" i="6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<sst xmlns="http://schemas.openxmlformats.org/spreadsheetml/2006/main" count="60655" uniqueCount="22372">
  <si>
    <t>tax rate</t>
  </si>
  <si>
    <t>WAGE USED</t>
  </si>
  <si>
    <t>Description</t>
  </si>
  <si>
    <t>Quantity</t>
  </si>
  <si>
    <t>Unit</t>
  </si>
  <si>
    <t>SUB UNIT</t>
  </si>
  <si>
    <t>SUB COST</t>
  </si>
  <si>
    <t>MAT UNIT</t>
  </si>
  <si>
    <t>MAT COST</t>
  </si>
  <si>
    <t>UNITS / WORKHOUR</t>
  </si>
  <si>
    <t>HOURS</t>
  </si>
  <si>
    <t>WAGE / HR</t>
  </si>
  <si>
    <t>LAB COST</t>
  </si>
  <si>
    <t>EQUIP UNIT</t>
  </si>
  <si>
    <t>EQUIP COST</t>
  </si>
  <si>
    <t>Unit Cost</t>
  </si>
  <si>
    <t>Total Cost</t>
  </si>
  <si>
    <t>SUBTOTALS</t>
  </si>
  <si>
    <t>EACH</t>
  </si>
  <si>
    <t>LNFT</t>
  </si>
  <si>
    <t>SQFT</t>
  </si>
  <si>
    <t>SQYD</t>
  </si>
  <si>
    <t>CUFT</t>
  </si>
  <si>
    <t>CUYD</t>
  </si>
  <si>
    <t>HR</t>
  </si>
  <si>
    <t>Subtotal</t>
  </si>
  <si>
    <t>DIV 01</t>
  </si>
  <si>
    <t>Lump Sum/Count/Length/Area</t>
  </si>
  <si>
    <t>UNIT</t>
  </si>
  <si>
    <t>EA</t>
  </si>
  <si>
    <t>LF</t>
  </si>
  <si>
    <t>Benches</t>
  </si>
  <si>
    <t>SF</t>
  </si>
  <si>
    <t>Access Flooring</t>
  </si>
  <si>
    <t>Carpeting</t>
  </si>
  <si>
    <t>Windows</t>
  </si>
  <si>
    <t>Casework</t>
  </si>
  <si>
    <t>General Labor</t>
  </si>
  <si>
    <t>EQUIPMENT</t>
  </si>
  <si>
    <t>LS</t>
  </si>
  <si>
    <t>SMALL TOOLS &amp; FASTENERS</t>
  </si>
  <si>
    <t>INCH</t>
  </si>
  <si>
    <t>TONS</t>
  </si>
  <si>
    <t>UNLOAD/DISTRIBUTE</t>
  </si>
  <si>
    <t>CASEWORK</t>
  </si>
  <si>
    <t>Shelving</t>
  </si>
  <si>
    <t>Entrances</t>
  </si>
  <si>
    <t>Finishes</t>
  </si>
  <si>
    <t>Cabinet</t>
  </si>
  <si>
    <t>Refrigerator</t>
  </si>
  <si>
    <t>HVAC</t>
  </si>
  <si>
    <t>Insulation</t>
  </si>
  <si>
    <t>Excavation</t>
  </si>
  <si>
    <t>lnft</t>
  </si>
  <si>
    <t>Backfill</t>
  </si>
  <si>
    <t>Caissons</t>
  </si>
  <si>
    <t>General Conditions</t>
  </si>
  <si>
    <t>****</t>
  </si>
  <si>
    <t>Each</t>
  </si>
  <si>
    <t>SET</t>
  </si>
  <si>
    <t>PAIR</t>
  </si>
  <si>
    <t>HRS</t>
  </si>
  <si>
    <t>Lnft</t>
  </si>
  <si>
    <t>ELECTRICAL</t>
  </si>
  <si>
    <t>ROLL</t>
  </si>
  <si>
    <t>GALS</t>
  </si>
  <si>
    <t>LBS</t>
  </si>
  <si>
    <t>SHTS</t>
  </si>
  <si>
    <t>PLUMBING</t>
  </si>
  <si>
    <t xml:space="preserve">  3/4"</t>
  </si>
  <si>
    <t xml:space="preserve">  1/2"</t>
  </si>
  <si>
    <t xml:space="preserve">  8"</t>
  </si>
  <si>
    <t xml:space="preserve">  6"</t>
  </si>
  <si>
    <t xml:space="preserve">  4"</t>
  </si>
  <si>
    <t xml:space="preserve">  2"</t>
  </si>
  <si>
    <t>UM</t>
  </si>
  <si>
    <t>Hoist</t>
  </si>
  <si>
    <t>CWT</t>
  </si>
  <si>
    <t>Crane rails 175lbs/yard</t>
  </si>
  <si>
    <t>Crane rails 171lbs/yard</t>
  </si>
  <si>
    <t>Crane rails 135lbs/yard</t>
  </si>
  <si>
    <t>Crane rails 104lbs/yard</t>
  </si>
  <si>
    <t>Crane rails 100lbs/yard</t>
  </si>
  <si>
    <t>Crane rails 85lbs/yard</t>
  </si>
  <si>
    <t>Crane rails 80lbs/yard</t>
  </si>
  <si>
    <t>Crane rails 70lbs/yard</t>
  </si>
  <si>
    <t>Crane rails 60lbs/yard</t>
  </si>
  <si>
    <t>Crane rails 50lbs/yard</t>
  </si>
  <si>
    <t>Crane rails 40lbs/yard</t>
  </si>
  <si>
    <t>Crane rails 30lbs/yard</t>
  </si>
  <si>
    <t>STAT</t>
  </si>
  <si>
    <t>Pneumatic tube system</t>
  </si>
  <si>
    <t>Trash chute</t>
  </si>
  <si>
    <t>Linen chute</t>
  </si>
  <si>
    <t>Conveyor system</t>
  </si>
  <si>
    <t>Moving walks</t>
  </si>
  <si>
    <t>Escalators</t>
  </si>
  <si>
    <t>Add for premium cab</t>
  </si>
  <si>
    <t>Add for oversized cab</t>
  </si>
  <si>
    <t>Add for hospital cab</t>
  </si>
  <si>
    <t>Add for glass enclosed cab</t>
  </si>
  <si>
    <t>Hydraulic freight elev    stop</t>
  </si>
  <si>
    <t>Hydraulic psgr elev    stop</t>
  </si>
  <si>
    <t>Traction freight elev    stop</t>
  </si>
  <si>
    <t>Traction psgr elev    stop</t>
  </si>
  <si>
    <t>** No. of elevators **</t>
  </si>
  <si>
    <t>* No. of elevators *</t>
  </si>
  <si>
    <t>Dumbwaiters</t>
  </si>
  <si>
    <t>* No. of conveying systems *</t>
  </si>
  <si>
    <t xml:space="preserve">  Exterior low profile</t>
  </si>
  <si>
    <t xml:space="preserve">  Exterior standard</t>
  </si>
  <si>
    <t xml:space="preserve"> W/fm req'd equip</t>
  </si>
  <si>
    <t>Fire dept hydrant house</t>
  </si>
  <si>
    <t xml:space="preserve">  Three-way 6" x 2-1/2"</t>
  </si>
  <si>
    <t xml:space="preserve">  Two-way 4" x 2-1/2"</t>
  </si>
  <si>
    <t xml:space="preserve"> W/valve cap &amp; chains</t>
  </si>
  <si>
    <t>Fire dept roof conn-brass</t>
  </si>
  <si>
    <t xml:space="preserve">  Six-way 8" x 2-1/2"</t>
  </si>
  <si>
    <t xml:space="preserve">  Four-way 6" x 2-1/2"</t>
  </si>
  <si>
    <t xml:space="preserve">  Three-way 5" x 2-1/2"</t>
  </si>
  <si>
    <t xml:space="preserve"> W/valve cap and chains</t>
  </si>
  <si>
    <t>Fire dept test conn-ci</t>
  </si>
  <si>
    <t>Fire dept test conn-brass</t>
  </si>
  <si>
    <t xml:space="preserve">  6" x 2-1/2" x 2-1/2"</t>
  </si>
  <si>
    <t xml:space="preserve">  4" x 2-1/2" x 2-1/2"</t>
  </si>
  <si>
    <t xml:space="preserve"> Two-way</t>
  </si>
  <si>
    <t>Sidewalk siamese</t>
  </si>
  <si>
    <t>Wall siamese</t>
  </si>
  <si>
    <t xml:space="preserve"> Flush six-way</t>
  </si>
  <si>
    <t xml:space="preserve"> Flush four-way</t>
  </si>
  <si>
    <t xml:space="preserve"> Flush three-way</t>
  </si>
  <si>
    <t xml:space="preserve"> Flush two-way</t>
  </si>
  <si>
    <t>Fire dept conn's-brass</t>
  </si>
  <si>
    <t xml:space="preserve"> Tamper switch</t>
  </si>
  <si>
    <t xml:space="preserve">  W/elec alarm bell</t>
  </si>
  <si>
    <t xml:space="preserve"> Flow switch</t>
  </si>
  <si>
    <t xml:space="preserve"> Auto ball drip</t>
  </si>
  <si>
    <t xml:space="preserve">  2-1/2" w/cap &amp; chains</t>
  </si>
  <si>
    <t xml:space="preserve">  1-1/2" w/cap &amp; chains</t>
  </si>
  <si>
    <t xml:space="preserve"> Globe</t>
  </si>
  <si>
    <t xml:space="preserve">  2-1/2" w/cap &amp; chain</t>
  </si>
  <si>
    <t xml:space="preserve">  1-1/2" w/cap &amp; chain</t>
  </si>
  <si>
    <t xml:space="preserve"> Angle</t>
  </si>
  <si>
    <t>Fire dept valve</t>
  </si>
  <si>
    <t xml:space="preserve"> 2-1/2" fdv,100'1-1/2 hose</t>
  </si>
  <si>
    <t xml:space="preserve"> 1-1/2" fdv,100'1-1/2 hose</t>
  </si>
  <si>
    <t>Hose rack w/accessories</t>
  </si>
  <si>
    <t xml:space="preserve"> 1-1/2" fdv,75' 1-1/2 hose</t>
  </si>
  <si>
    <t xml:space="preserve"> 1-1/2" fdv,50' 1-1/2 hose</t>
  </si>
  <si>
    <t>Hose reel w/accessories</t>
  </si>
  <si>
    <t xml:space="preserve">  1-1/2" &amp; 2-1/2" FDV</t>
  </si>
  <si>
    <t xml:space="preserve">  2-1/2" fdv w/FE</t>
  </si>
  <si>
    <t xml:space="preserve">  1-1/2" FDV w/fe</t>
  </si>
  <si>
    <t xml:space="preserve">  1-1/2" and 2-1/2" FDV</t>
  </si>
  <si>
    <t xml:space="preserve">  2-1/2" fdv</t>
  </si>
  <si>
    <t xml:space="preserve">  1-1/2" fdv</t>
  </si>
  <si>
    <t xml:space="preserve"> Surface w/100 1-1/2" hose</t>
  </si>
  <si>
    <t xml:space="preserve">  2-1/2" FDV w/fe</t>
  </si>
  <si>
    <t xml:space="preserve">  1-1/2" fdv w/fe</t>
  </si>
  <si>
    <t xml:space="preserve"> Semi rec w/100 1-1/2 hose</t>
  </si>
  <si>
    <t xml:space="preserve">  2-1/2" fdv w/fe</t>
  </si>
  <si>
    <t xml:space="preserve"> Recessed w/100 hose 1-1/2</t>
  </si>
  <si>
    <t>Fire hose cabinet</t>
  </si>
  <si>
    <t>Halon alternative system</t>
  </si>
  <si>
    <t>Pre-action deluge system</t>
  </si>
  <si>
    <t>Dry pipe system</t>
  </si>
  <si>
    <t>Full wet sprinkler system</t>
  </si>
  <si>
    <t xml:space="preserve">  Flush</t>
  </si>
  <si>
    <t xml:space="preserve">  Sidewall</t>
  </si>
  <si>
    <t xml:space="preserve">  Pendant w/canopy</t>
  </si>
  <si>
    <t xml:space="preserve"> Chrome</t>
  </si>
  <si>
    <t xml:space="preserve">  Upright</t>
  </si>
  <si>
    <t xml:space="preserve">  Pendant</t>
  </si>
  <si>
    <t xml:space="preserve"> Brass</t>
  </si>
  <si>
    <t>Sprinkler head</t>
  </si>
  <si>
    <t xml:space="preserve">  Riser clamp 12"</t>
  </si>
  <si>
    <t xml:space="preserve">  Riser clamp 10"</t>
  </si>
  <si>
    <t xml:space="preserve">  Riser clamp 8"</t>
  </si>
  <si>
    <t xml:space="preserve">  Riser clamp 6"</t>
  </si>
  <si>
    <t xml:space="preserve">  Riser clamp 5"</t>
  </si>
  <si>
    <t xml:space="preserve">  Riser clamp 4"</t>
  </si>
  <si>
    <t xml:space="preserve">  Riser clamp 3"</t>
  </si>
  <si>
    <t xml:space="preserve">  Riser clamp 2-1/2"</t>
  </si>
  <si>
    <t xml:space="preserve">  Riser clamp 2"</t>
  </si>
  <si>
    <t xml:space="preserve">  Riser clamp 1-1/2"</t>
  </si>
  <si>
    <t xml:space="preserve">  Riser clamp 1-1/4"</t>
  </si>
  <si>
    <t xml:space="preserve">  Riser clamp 1"</t>
  </si>
  <si>
    <t xml:space="preserve">  Riser clamp,3/4"</t>
  </si>
  <si>
    <t xml:space="preserve">  Riser clamp,1/2"</t>
  </si>
  <si>
    <t xml:space="preserve">  Adj clevis 12"</t>
  </si>
  <si>
    <t xml:space="preserve">  Adj clevis 10"</t>
  </si>
  <si>
    <t xml:space="preserve">  Adj clevis 8"</t>
  </si>
  <si>
    <t xml:space="preserve">  Adj clevis 6"</t>
  </si>
  <si>
    <t xml:space="preserve">  Adj clevis 5"</t>
  </si>
  <si>
    <t xml:space="preserve">  Adj clevis 4"</t>
  </si>
  <si>
    <t xml:space="preserve">  Adj clevis 3"</t>
  </si>
  <si>
    <t xml:space="preserve">  Adj clevis 2-1/2"</t>
  </si>
  <si>
    <t xml:space="preserve">  Adj clevis 2"</t>
  </si>
  <si>
    <t xml:space="preserve">  Adj clevis 1-1/2"</t>
  </si>
  <si>
    <t xml:space="preserve">  Adj clevis 1-1/4"</t>
  </si>
  <si>
    <t xml:space="preserve">  Adj clevis 1"</t>
  </si>
  <si>
    <t xml:space="preserve">  Adj clevis 3/4"</t>
  </si>
  <si>
    <t xml:space="preserve">  Adj clevis 1/2"</t>
  </si>
  <si>
    <t xml:space="preserve"> W/ 3' rod &amp; beam clamp</t>
  </si>
  <si>
    <t>Pipe hangers galv</t>
  </si>
  <si>
    <t xml:space="preserve">  Adj swivel ring 8"</t>
  </si>
  <si>
    <t xml:space="preserve">  Adj swivel ring 6"</t>
  </si>
  <si>
    <t xml:space="preserve">  Adj swivel ring 5"</t>
  </si>
  <si>
    <t xml:space="preserve">  Adj swivel ring 4"</t>
  </si>
  <si>
    <t xml:space="preserve">  Adj swivel ring 3"</t>
  </si>
  <si>
    <t xml:space="preserve">  Adj swivel ring 2-1/2"</t>
  </si>
  <si>
    <t xml:space="preserve">  Adj swivel ring 2"</t>
  </si>
  <si>
    <t xml:space="preserve">  Adj swivel ring 1-1/2"</t>
  </si>
  <si>
    <t xml:space="preserve">  Adj swivel ring 1-1/4"</t>
  </si>
  <si>
    <t xml:space="preserve">  Adj swivel ring 1"</t>
  </si>
  <si>
    <t xml:space="preserve">  Adj swivel ring 3/4"</t>
  </si>
  <si>
    <t xml:space="preserve">  Adj swivel ring 1/2"</t>
  </si>
  <si>
    <t xml:space="preserve">  Adj splt ring 8"</t>
  </si>
  <si>
    <t xml:space="preserve">  Adj splt ring 6"</t>
  </si>
  <si>
    <t xml:space="preserve">  Adj splt ring 5"</t>
  </si>
  <si>
    <t xml:space="preserve">  Adj splt ring 4"</t>
  </si>
  <si>
    <t xml:space="preserve">  Adj splt ring 3"</t>
  </si>
  <si>
    <t xml:space="preserve">  Adj splt ring 2-1/2"</t>
  </si>
  <si>
    <t xml:space="preserve">  Adj splt ring 2"</t>
  </si>
  <si>
    <t xml:space="preserve">  Adj splt ring 1-1/2"</t>
  </si>
  <si>
    <t xml:space="preserve">  Adj splt ring 1-1/4"</t>
  </si>
  <si>
    <t xml:space="preserve">  Adj splt ring 1"</t>
  </si>
  <si>
    <t xml:space="preserve">  Adj splt ring 3/4"</t>
  </si>
  <si>
    <t xml:space="preserve">  Adj splt ring 1/2"</t>
  </si>
  <si>
    <t xml:space="preserve"> W/3' rod &amp; beam clamp</t>
  </si>
  <si>
    <t>Pipe hangers steel</t>
  </si>
  <si>
    <t xml:space="preserve"> Wafer check, 8"</t>
  </si>
  <si>
    <t xml:space="preserve"> Wafer check, 6"</t>
  </si>
  <si>
    <t xml:space="preserve"> Wafer check, 5"</t>
  </si>
  <si>
    <t xml:space="preserve"> Wafer check, 4"</t>
  </si>
  <si>
    <t>Detector check,flng, 12"</t>
  </si>
  <si>
    <t>Detector check,flng, 10"</t>
  </si>
  <si>
    <t>Detector check,flng, 8"</t>
  </si>
  <si>
    <t>Detector check,flng, 6"</t>
  </si>
  <si>
    <t>Detector check,flng, 5"</t>
  </si>
  <si>
    <t>Detector check,flng, 4"</t>
  </si>
  <si>
    <t>Swing check, flng, 12"</t>
  </si>
  <si>
    <t>Swing check, flng, 10"</t>
  </si>
  <si>
    <t>Swing check, flng, 8"</t>
  </si>
  <si>
    <t>Swing check, flng, 6"</t>
  </si>
  <si>
    <t>Swing check, flng, 5"</t>
  </si>
  <si>
    <t>Swing check, flng, 4"</t>
  </si>
  <si>
    <t>Swing check, flng, 3"</t>
  </si>
  <si>
    <t>Swing check, flng, 2-1/2"</t>
  </si>
  <si>
    <t>Swing check, flng, 2"</t>
  </si>
  <si>
    <t>Gate,mj,for vert piv 12"</t>
  </si>
  <si>
    <t>Gate,mj,for vert piv 10"</t>
  </si>
  <si>
    <t>Gate,mj,for vert piv 8"</t>
  </si>
  <si>
    <t>Gate,mj,for vert piv 6"</t>
  </si>
  <si>
    <t>Gate,mj,for vert piv 5"</t>
  </si>
  <si>
    <t>Gate,mj,for vert piv 4"</t>
  </si>
  <si>
    <t>Gate,mj,NRS,w/r.box 12"</t>
  </si>
  <si>
    <t>Gate,mj,NRS,w/r.box 10"</t>
  </si>
  <si>
    <t>Gate,mj,NRS,w/r.box 8"</t>
  </si>
  <si>
    <t>Gate,mj,NRS,w/r.box 6"</t>
  </si>
  <si>
    <t>Gate,mj,NRS,w/r.box 5"</t>
  </si>
  <si>
    <t>Gate,mj,NRS,w/r.box 4"</t>
  </si>
  <si>
    <t>Gate,mj,NRS,w/r.box 3"</t>
  </si>
  <si>
    <t>Gate,mj,NRS,w/r,box 2-1/2"</t>
  </si>
  <si>
    <t>Gate,mj,NRS,w/r,box 2"</t>
  </si>
  <si>
    <t>Gate os&amp;y, flng, 12"</t>
  </si>
  <si>
    <t>Gate os&amp;y, flng, 10"</t>
  </si>
  <si>
    <t>Gate os&amp;y, flng, 8"</t>
  </si>
  <si>
    <t>Gate os&amp;y, flng, 6"</t>
  </si>
  <si>
    <t>Gate os&amp;y, flng, 5"</t>
  </si>
  <si>
    <t>Gate os&amp;y, flng, 4"</t>
  </si>
  <si>
    <t>Gate os&amp;y, flng, 3"</t>
  </si>
  <si>
    <t>Gate os&amp;y, flng, 2-1/2"</t>
  </si>
  <si>
    <t>Gate os&amp;y, flng, 2"</t>
  </si>
  <si>
    <t>Gate flange,piv,12"</t>
  </si>
  <si>
    <t>Gate flange,piv,10"</t>
  </si>
  <si>
    <t>Gate flange,piv,8"</t>
  </si>
  <si>
    <t>Gate flange,piv,6"</t>
  </si>
  <si>
    <t>Gate flange,piv,5"</t>
  </si>
  <si>
    <t>Gate flange,piv,4"</t>
  </si>
  <si>
    <t>Gate flange,NRS, 12"</t>
  </si>
  <si>
    <t>Gate flange,NRS, 10"</t>
  </si>
  <si>
    <t>Gate flange,NRS, 8"</t>
  </si>
  <si>
    <t>Gate flange,NRS, 6"</t>
  </si>
  <si>
    <t>Gate flange,NRS, 5"</t>
  </si>
  <si>
    <t>Gate flange,NRS, 4"</t>
  </si>
  <si>
    <t>Gate flange,NRS, 3"</t>
  </si>
  <si>
    <t>Gate flange,NRS, 2-1/2"</t>
  </si>
  <si>
    <t>Gate flange,NRS, 2"</t>
  </si>
  <si>
    <t>Iron body valves</t>
  </si>
  <si>
    <t>Class 175 os&amp;y,thrd 2"</t>
  </si>
  <si>
    <t>Class 175 os&amp;y,thrd 1-1/2"</t>
  </si>
  <si>
    <t>Class 175 os&amp;y,thrd 1-1/4"</t>
  </si>
  <si>
    <t>Class 175 os&amp;y,thrd 1"</t>
  </si>
  <si>
    <t>Class 175 os&amp;y,thrd 3/4"</t>
  </si>
  <si>
    <t>Swing check,thrd, 2"</t>
  </si>
  <si>
    <t>Swing check,thrd, 1-1/2"</t>
  </si>
  <si>
    <t>Swing check,thrd, 1-1/4"</t>
  </si>
  <si>
    <t>Swing check,thrd, 1"</t>
  </si>
  <si>
    <t>Swing check,thrd, 3/4"</t>
  </si>
  <si>
    <t>Swing check,thrd, 1/2"</t>
  </si>
  <si>
    <t>Globe threaded,NRS, 2"</t>
  </si>
  <si>
    <t>Globe threaded,NRS, 1-1/2"</t>
  </si>
  <si>
    <t>Globe threaded,NRS, 1-1/4"</t>
  </si>
  <si>
    <t>Globe threaded,NRS, 1"</t>
  </si>
  <si>
    <t>Globe threaded,NRS, 3/4"</t>
  </si>
  <si>
    <t>Globe threaded,NRS, 1/2"</t>
  </si>
  <si>
    <t>Angle threaded,NRS, 2"</t>
  </si>
  <si>
    <t>Angle threaded,NRS, 1-1/2"</t>
  </si>
  <si>
    <t>Angle threaded,NRS, 1-1/4"</t>
  </si>
  <si>
    <t>Angle threaded,NRS, 1"</t>
  </si>
  <si>
    <t>Angle threaded,NRS, 3/4"</t>
  </si>
  <si>
    <t>Angle threaded,NRS, 1/2"</t>
  </si>
  <si>
    <t>Gate threaded,NRS, 2"</t>
  </si>
  <si>
    <t>Gate threaded,NRS, 1-1/2"</t>
  </si>
  <si>
    <t>Gate threaded,NRS, 1-1/4"</t>
  </si>
  <si>
    <t>Gate threaded,NRS, 1"</t>
  </si>
  <si>
    <t>Gate threaded,NRS, 3/4"</t>
  </si>
  <si>
    <t>Gate threaded,NRS, 1/2"</t>
  </si>
  <si>
    <t>Gate threaded,rs, 2"</t>
  </si>
  <si>
    <t>Gate threaded,rs, 1-1/2"</t>
  </si>
  <si>
    <t>Gate threaded,rs, 1-1/4"</t>
  </si>
  <si>
    <t>Gate threaded,rs, 1"</t>
  </si>
  <si>
    <t>Gate threaded,rs, 3/4"</t>
  </si>
  <si>
    <t>Gate threaded,rs, 1/2"</t>
  </si>
  <si>
    <t>Bronze body valve</t>
  </si>
  <si>
    <t xml:space="preserve"> Flange pack 12"</t>
  </si>
  <si>
    <t xml:space="preserve"> Flange pack 10"</t>
  </si>
  <si>
    <t xml:space="preserve"> Flange pack 8"</t>
  </si>
  <si>
    <t xml:space="preserve"> Flange pack 6"</t>
  </si>
  <si>
    <t xml:space="preserve"> Flange pack 5"</t>
  </si>
  <si>
    <t xml:space="preserve"> Flange pack 4"</t>
  </si>
  <si>
    <t xml:space="preserve"> Flange pack 3"</t>
  </si>
  <si>
    <t xml:space="preserve"> Flange pack 2-1/2"</t>
  </si>
  <si>
    <t xml:space="preserve"> Flange pack 2"</t>
  </si>
  <si>
    <t xml:space="preserve"> Flange pack 1-1/2"</t>
  </si>
  <si>
    <t xml:space="preserve"> Flange pack 1-1/4"</t>
  </si>
  <si>
    <t xml:space="preserve"> Flange pack 1"</t>
  </si>
  <si>
    <t xml:space="preserve"> Flange pack 3/4"</t>
  </si>
  <si>
    <t xml:space="preserve"> Flange pack 1/2"</t>
  </si>
  <si>
    <t>Bolt and gasket set</t>
  </si>
  <si>
    <t xml:space="preserve">  Slip-on 12"</t>
  </si>
  <si>
    <t xml:space="preserve">  Slip-on 10"</t>
  </si>
  <si>
    <t xml:space="preserve">  Slip-on 8"</t>
  </si>
  <si>
    <t xml:space="preserve">  Slip-on 6"</t>
  </si>
  <si>
    <t xml:space="preserve">  Slip-on 5"</t>
  </si>
  <si>
    <t xml:space="preserve">  Slip-on 4"</t>
  </si>
  <si>
    <t xml:space="preserve">  Slip-on 3"</t>
  </si>
  <si>
    <t xml:space="preserve">  Slip-on 2-1/2"</t>
  </si>
  <si>
    <t xml:space="preserve">  Slip-on 2"</t>
  </si>
  <si>
    <t xml:space="preserve">  Slip-on 1-1/2"</t>
  </si>
  <si>
    <t xml:space="preserve">  Slip-on 1-1/4"</t>
  </si>
  <si>
    <t xml:space="preserve">  Slip-on 1"</t>
  </si>
  <si>
    <t xml:space="preserve">  Slip-on 3/4"</t>
  </si>
  <si>
    <t xml:space="preserve">  Slip-on 1/2"</t>
  </si>
  <si>
    <t xml:space="preserve"> Steel 300 lb.</t>
  </si>
  <si>
    <t xml:space="preserve">  Threaded 12"</t>
  </si>
  <si>
    <t xml:space="preserve">  Threaded 10"</t>
  </si>
  <si>
    <t xml:space="preserve">  Threaded 8"</t>
  </si>
  <si>
    <t xml:space="preserve">  Threaded 6"</t>
  </si>
  <si>
    <t xml:space="preserve">  Threaded 5"</t>
  </si>
  <si>
    <t xml:space="preserve">  Threaded 4"</t>
  </si>
  <si>
    <t xml:space="preserve">  Threaded 3"</t>
  </si>
  <si>
    <t xml:space="preserve">  Threaded 2-1/2"</t>
  </si>
  <si>
    <t xml:space="preserve">  Threaded 2"</t>
  </si>
  <si>
    <t xml:space="preserve">  Threaded 1-1/2"</t>
  </si>
  <si>
    <t xml:space="preserve">  Threaded 1-1/4"</t>
  </si>
  <si>
    <t xml:space="preserve">  Threaded 1"</t>
  </si>
  <si>
    <t xml:space="preserve">  Threaded 3/4"</t>
  </si>
  <si>
    <t xml:space="preserve">  Threaded 1/2"</t>
  </si>
  <si>
    <t xml:space="preserve"> Cast iron 250 lb.</t>
  </si>
  <si>
    <t xml:space="preserve"> Galvanized 150 lb.</t>
  </si>
  <si>
    <t xml:space="preserve">  Grooved 12"</t>
  </si>
  <si>
    <t xml:space="preserve">  Grooved 10"</t>
  </si>
  <si>
    <t xml:space="preserve">  Grooved 8"</t>
  </si>
  <si>
    <t xml:space="preserve">  Grooved 6"</t>
  </si>
  <si>
    <t xml:space="preserve">  Grooved 5"</t>
  </si>
  <si>
    <t xml:space="preserve">  Grooved 4"</t>
  </si>
  <si>
    <t xml:space="preserve">  Grooved 3"</t>
  </si>
  <si>
    <t xml:space="preserve">  Grooved 2-1/2"</t>
  </si>
  <si>
    <t xml:space="preserve">  Grooved 2"</t>
  </si>
  <si>
    <t xml:space="preserve">  Uni-flange 12"</t>
  </si>
  <si>
    <t xml:space="preserve">  Uni-flange 10"</t>
  </si>
  <si>
    <t xml:space="preserve">  Uni-flange 8"</t>
  </si>
  <si>
    <t xml:space="preserve">  Uni-flange 6"</t>
  </si>
  <si>
    <t xml:space="preserve">  Uni-flange 5"</t>
  </si>
  <si>
    <t xml:space="preserve">  Uni-flange 4"</t>
  </si>
  <si>
    <t xml:space="preserve">  Uni-flange 3"</t>
  </si>
  <si>
    <t xml:space="preserve">  Uni-flange 2-1/2"</t>
  </si>
  <si>
    <t xml:space="preserve">  Uni-flange 2"</t>
  </si>
  <si>
    <t xml:space="preserve"> Steel 150 lb.</t>
  </si>
  <si>
    <t xml:space="preserve"> Cast iron 150 lb.</t>
  </si>
  <si>
    <t>Flanges</t>
  </si>
  <si>
    <t xml:space="preserve">  Gland w/T bolts 12"</t>
  </si>
  <si>
    <t xml:space="preserve">  Gland w/T bolts 10"</t>
  </si>
  <si>
    <t xml:space="preserve">  Gland w/T bolts 8"</t>
  </si>
  <si>
    <t xml:space="preserve">  Gland w/T bolts 6"</t>
  </si>
  <si>
    <t xml:space="preserve">  Gland w/T bolts 4"</t>
  </si>
  <si>
    <t xml:space="preserve">  Gland w/T bolts 3"</t>
  </si>
  <si>
    <t xml:space="preserve">  Tee 12"</t>
  </si>
  <si>
    <t xml:space="preserve">  Tee 10"</t>
  </si>
  <si>
    <t xml:space="preserve">  Tee 8"</t>
  </si>
  <si>
    <t xml:space="preserve">  Tee 6"</t>
  </si>
  <si>
    <t xml:space="preserve">  Tee 4"</t>
  </si>
  <si>
    <t xml:space="preserve">  Tee 3"</t>
  </si>
  <si>
    <t xml:space="preserve">  90 ell 12"</t>
  </si>
  <si>
    <t xml:space="preserve">  90 ell 10"</t>
  </si>
  <si>
    <t xml:space="preserve">  90 ell 8"</t>
  </si>
  <si>
    <t xml:space="preserve">  90 ell 6"</t>
  </si>
  <si>
    <t xml:space="preserve">  90 ell 4"</t>
  </si>
  <si>
    <t xml:space="preserve">  90 ell 3"</t>
  </si>
  <si>
    <t xml:space="preserve"> Cast iron mj fittings</t>
  </si>
  <si>
    <t xml:space="preserve">  Pipe 12"</t>
  </si>
  <si>
    <t xml:space="preserve">  Pipe 10"</t>
  </si>
  <si>
    <t xml:space="preserve">  Pipe 8"</t>
  </si>
  <si>
    <t xml:space="preserve">  Pipe 6"</t>
  </si>
  <si>
    <t xml:space="preserve">  Pipe 4"</t>
  </si>
  <si>
    <t xml:space="preserve"> Class 150 slip-joint</t>
  </si>
  <si>
    <t>Pvc awwa-c900</t>
  </si>
  <si>
    <t xml:space="preserve">  Pipe 3"</t>
  </si>
  <si>
    <t xml:space="preserve"> Slip-joint</t>
  </si>
  <si>
    <t>Ductile iron cement lined</t>
  </si>
  <si>
    <t xml:space="preserve"> Mechanical. joint</t>
  </si>
  <si>
    <t xml:space="preserve">  Bell Reducingucer 2-1/2"</t>
  </si>
  <si>
    <t xml:space="preserve">  Bell Reducingucer 2"</t>
  </si>
  <si>
    <t xml:space="preserve">  Bell Reducingucer 1-1/2"</t>
  </si>
  <si>
    <t xml:space="preserve">  Bell Reducingucer 1-1/4"</t>
  </si>
  <si>
    <t xml:space="preserve">  Bell Reducingucer 1"</t>
  </si>
  <si>
    <t xml:space="preserve">  Bell Reducingucer 3/4"</t>
  </si>
  <si>
    <t xml:space="preserve">  Bell Reducingucer 1/2"</t>
  </si>
  <si>
    <t xml:space="preserve">  Cap 12"</t>
  </si>
  <si>
    <t xml:space="preserve">  Cap 10"</t>
  </si>
  <si>
    <t xml:space="preserve">  Cap 8"</t>
  </si>
  <si>
    <t xml:space="preserve">  Cap 6"</t>
  </si>
  <si>
    <t xml:space="preserve">  Cap 5"</t>
  </si>
  <si>
    <t xml:space="preserve">  Cap 4"</t>
  </si>
  <si>
    <t xml:space="preserve">  Cap 3"</t>
  </si>
  <si>
    <t xml:space="preserve">  Cap 2-1/2"</t>
  </si>
  <si>
    <t xml:space="preserve">  Cap 2"</t>
  </si>
  <si>
    <t xml:space="preserve">  Cap 1-1/2"</t>
  </si>
  <si>
    <t xml:space="preserve">  Cap 1-1/4"</t>
  </si>
  <si>
    <t xml:space="preserve">  Cap 1"</t>
  </si>
  <si>
    <t xml:space="preserve">  Cap 3/4"</t>
  </si>
  <si>
    <t xml:space="preserve">  Cap 1/2"</t>
  </si>
  <si>
    <t xml:space="preserve">  Reducing tee 12"</t>
  </si>
  <si>
    <t xml:space="preserve">  Reducing tee 10"</t>
  </si>
  <si>
    <t xml:space="preserve">  Reducing tee 8"</t>
  </si>
  <si>
    <t xml:space="preserve">  Reducing tee 6"</t>
  </si>
  <si>
    <t xml:space="preserve">  Reducing tee 5"</t>
  </si>
  <si>
    <t xml:space="preserve">  Reducing tee 4"</t>
  </si>
  <si>
    <t xml:space="preserve">  Reducing tee 3"</t>
  </si>
  <si>
    <t xml:space="preserve">  Reducing tee 2-1/2"</t>
  </si>
  <si>
    <t xml:space="preserve">  Reducing tee 2"</t>
  </si>
  <si>
    <t xml:space="preserve">  Reducing tee 1-1/2"</t>
  </si>
  <si>
    <t xml:space="preserve">  Reducing tee 1-1/4"</t>
  </si>
  <si>
    <t xml:space="preserve">  Reducing tee 1"</t>
  </si>
  <si>
    <t xml:space="preserve">  Reducing tee 3/4"</t>
  </si>
  <si>
    <t xml:space="preserve">  Reducing tee 1/2"</t>
  </si>
  <si>
    <t xml:space="preserve">  Tee 5"</t>
  </si>
  <si>
    <t xml:space="preserve">  Tee 2-1/2"</t>
  </si>
  <si>
    <t xml:space="preserve">  Tee 2"</t>
  </si>
  <si>
    <t xml:space="preserve">  Tee 1-1/2"</t>
  </si>
  <si>
    <t xml:space="preserve">  Tee 1-1/4"</t>
  </si>
  <si>
    <t xml:space="preserve">  Tee 1"</t>
  </si>
  <si>
    <t xml:space="preserve">  Tee 3/4"</t>
  </si>
  <si>
    <t xml:space="preserve">  Tee 1/2"</t>
  </si>
  <si>
    <t xml:space="preserve">  90 ell 5"</t>
  </si>
  <si>
    <t xml:space="preserve">  90 ell 2-1/2"</t>
  </si>
  <si>
    <t xml:space="preserve">  90 ell 2"</t>
  </si>
  <si>
    <t xml:space="preserve">  90 ell 1-1/2"</t>
  </si>
  <si>
    <t xml:space="preserve">  90 ell 1-1/4"</t>
  </si>
  <si>
    <t xml:space="preserve">  90 ell 1"</t>
  </si>
  <si>
    <t xml:space="preserve">  90 ell 3/4"</t>
  </si>
  <si>
    <t xml:space="preserve">  90 ell 1/2"</t>
  </si>
  <si>
    <t xml:space="preserve">  45 ell 12"</t>
  </si>
  <si>
    <t xml:space="preserve">  45 ell 10"</t>
  </si>
  <si>
    <t xml:space="preserve">  45 ell 8"</t>
  </si>
  <si>
    <t xml:space="preserve">  45 ell 6"</t>
  </si>
  <si>
    <t xml:space="preserve">  45 ell 5"</t>
  </si>
  <si>
    <t xml:space="preserve">  45 ell 4"</t>
  </si>
  <si>
    <t xml:space="preserve">  45 ell 3"</t>
  </si>
  <si>
    <t xml:space="preserve">  45 ell 2-1/2"</t>
  </si>
  <si>
    <t xml:space="preserve">  45 ell 2"</t>
  </si>
  <si>
    <t xml:space="preserve">  45 ell 1-1/2"</t>
  </si>
  <si>
    <t xml:space="preserve">  45 ell 1-1/4"</t>
  </si>
  <si>
    <t xml:space="preserve">  45 ell 1"</t>
  </si>
  <si>
    <t xml:space="preserve">  45 ell 3/4"</t>
  </si>
  <si>
    <t xml:space="preserve">  45 ell 1/2"</t>
  </si>
  <si>
    <t xml:space="preserve"> Weld fittings sch 80</t>
  </si>
  <si>
    <t xml:space="preserve">  Pipe 5"</t>
  </si>
  <si>
    <t xml:space="preserve">  Pipe 2-1/2"</t>
  </si>
  <si>
    <t xml:space="preserve">  Pipe 2"</t>
  </si>
  <si>
    <t xml:space="preserve">  Pipe 1-1/2"</t>
  </si>
  <si>
    <t xml:space="preserve">  Pipe 1-1/4"</t>
  </si>
  <si>
    <t xml:space="preserve">  Pipe 1"</t>
  </si>
  <si>
    <t xml:space="preserve">  Pipe 3/4"</t>
  </si>
  <si>
    <t xml:space="preserve">  Pipe 1/2"</t>
  </si>
  <si>
    <t xml:space="preserve"> Black pe</t>
  </si>
  <si>
    <t>Sch 80 steel pipe</t>
  </si>
  <si>
    <t xml:space="preserve"> Cast iron scrw ftgs 250lb</t>
  </si>
  <si>
    <t xml:space="preserve"> Black t &amp; c</t>
  </si>
  <si>
    <t xml:space="preserve">  Bell Reducer 6"</t>
  </si>
  <si>
    <t xml:space="preserve">  Bell Reducer 5"</t>
  </si>
  <si>
    <t xml:space="preserve">  Bell Reducer 4"</t>
  </si>
  <si>
    <t xml:space="preserve">  Bell Reducer 3"</t>
  </si>
  <si>
    <t xml:space="preserve">  Bell Reducer 2-1/2"</t>
  </si>
  <si>
    <t xml:space="preserve">  Bell Reducer 2"</t>
  </si>
  <si>
    <t xml:space="preserve">  Bell Reducer 1-1/2"</t>
  </si>
  <si>
    <t xml:space="preserve">  Bell Reducer 1-1/4"</t>
  </si>
  <si>
    <t xml:space="preserve">  Bell Reducer 1"</t>
  </si>
  <si>
    <t xml:space="preserve">  Bell Reducer 3/4"</t>
  </si>
  <si>
    <t xml:space="preserve">  Bell Reducer 1/2"</t>
  </si>
  <si>
    <t xml:space="preserve"> Galv scrw ftgs 125lb</t>
  </si>
  <si>
    <t xml:space="preserve"> Galv t&amp;c</t>
  </si>
  <si>
    <t>Sch 40 steel pipe</t>
  </si>
  <si>
    <t xml:space="preserve"> Flange x mj adapt, 12"</t>
  </si>
  <si>
    <t xml:space="preserve"> Flange x mj adapt, 10"</t>
  </si>
  <si>
    <t xml:space="preserve"> Flange x mj adapt, 8"</t>
  </si>
  <si>
    <t xml:space="preserve"> Flange x mj adapt, 6"</t>
  </si>
  <si>
    <t xml:space="preserve"> Flange x mj adapt, 4"</t>
  </si>
  <si>
    <t xml:space="preserve"> Flanged class 150</t>
  </si>
  <si>
    <t>Cast iron fittings</t>
  </si>
  <si>
    <t xml:space="preserve">  Thread-o-let 4"</t>
  </si>
  <si>
    <t xml:space="preserve">  Thread-o-let 3"</t>
  </si>
  <si>
    <t xml:space="preserve">  Thread-o-let 2-1/2"</t>
  </si>
  <si>
    <t xml:space="preserve">  Thread-o-let 2"</t>
  </si>
  <si>
    <t xml:space="preserve">  Thread-o-let 1-1/2"</t>
  </si>
  <si>
    <t xml:space="preserve">  Thread-o-let 1-1/4"</t>
  </si>
  <si>
    <t xml:space="preserve">  Thread-o-let 1"</t>
  </si>
  <si>
    <t xml:space="preserve">  Thread-o-let 3/4"</t>
  </si>
  <si>
    <t xml:space="preserve">  Thread-o-let 1/2"</t>
  </si>
  <si>
    <t xml:space="preserve">  Bell Reducingucer 12"</t>
  </si>
  <si>
    <t xml:space="preserve">  Bell Reducingucer 10"</t>
  </si>
  <si>
    <t xml:space="preserve">  Bell Reducingucer 8"</t>
  </si>
  <si>
    <t xml:space="preserve">  Bell Reducingucer 6"</t>
  </si>
  <si>
    <t xml:space="preserve">  Bell Reducingucer 5"</t>
  </si>
  <si>
    <t xml:space="preserve">  Bell Reducingucer 4"</t>
  </si>
  <si>
    <t xml:space="preserve">  Bell Reducingucer 3"</t>
  </si>
  <si>
    <t xml:space="preserve">  Tee 2½"</t>
  </si>
  <si>
    <t xml:space="preserve">  90 ell 2½"</t>
  </si>
  <si>
    <t xml:space="preserve">  90 ell 1¼"</t>
  </si>
  <si>
    <t xml:space="preserve">  45 ell ½"</t>
  </si>
  <si>
    <t xml:space="preserve"> Weld fittings sch 40</t>
  </si>
  <si>
    <t xml:space="preserve">  Pipe,4"</t>
  </si>
  <si>
    <t xml:space="preserve">  Mechanical tee 8"</t>
  </si>
  <si>
    <t xml:space="preserve">  Mechanical tee 6"</t>
  </si>
  <si>
    <t xml:space="preserve">  Mechanical tee 5"</t>
  </si>
  <si>
    <t xml:space="preserve">  Mechanical tee 4"</t>
  </si>
  <si>
    <t xml:space="preserve">  Mechanical tee 3"</t>
  </si>
  <si>
    <t xml:space="preserve">  Mechanical tee 2-1/2"</t>
  </si>
  <si>
    <t xml:space="preserve">  Mechanical tee 2"</t>
  </si>
  <si>
    <t xml:space="preserve"> Cast iron scrw ftg 125lb</t>
  </si>
  <si>
    <t xml:space="preserve"> Black T&amp;C</t>
  </si>
  <si>
    <t xml:space="preserve"> Slip joint fittings</t>
  </si>
  <si>
    <t xml:space="preserve"> Black slip joint</t>
  </si>
  <si>
    <t>Sch 10 s steel pipe</t>
  </si>
  <si>
    <t xml:space="preserve">  Coupling 12"</t>
  </si>
  <si>
    <t xml:space="preserve">  Coupling 10"</t>
  </si>
  <si>
    <t xml:space="preserve">  Coupling 8"</t>
  </si>
  <si>
    <t xml:space="preserve">  Coupling 6"</t>
  </si>
  <si>
    <t xml:space="preserve">  Coupling 5"</t>
  </si>
  <si>
    <t xml:space="preserve">  Coupling 4"</t>
  </si>
  <si>
    <t xml:space="preserve">  Coupling 3"</t>
  </si>
  <si>
    <t xml:space="preserve">  Coupling 2-1/2"</t>
  </si>
  <si>
    <t xml:space="preserve">  Coupling 2"</t>
  </si>
  <si>
    <t xml:space="preserve">  Coupling 1-1/2"</t>
  </si>
  <si>
    <t xml:space="preserve">  Coupling 1-1/4"</t>
  </si>
  <si>
    <t xml:space="preserve">  Coupling 1"</t>
  </si>
  <si>
    <t xml:space="preserve">  Reducing coupling 8"</t>
  </si>
  <si>
    <t xml:space="preserve">  Reducing coupling 6"</t>
  </si>
  <si>
    <t xml:space="preserve">  Reducing coupling 5"</t>
  </si>
  <si>
    <t xml:space="preserve">  Reducing coupling 4"</t>
  </si>
  <si>
    <t xml:space="preserve">  Reducing coupling 3"</t>
  </si>
  <si>
    <t xml:space="preserve">  Reducing coupling 2-1/2"</t>
  </si>
  <si>
    <t xml:space="preserve">  Reducing coupling 2"</t>
  </si>
  <si>
    <t xml:space="preserve"> Grooved fittings</t>
  </si>
  <si>
    <t xml:space="preserve"> Black grooved</t>
  </si>
  <si>
    <t>Sch 30 steel pipe</t>
  </si>
  <si>
    <t>Sch 20 steel pipe</t>
  </si>
  <si>
    <t>Sch 10S steel pipe</t>
  </si>
  <si>
    <t>300 hp diesel fire and jockey pump</t>
  </si>
  <si>
    <t>250 hp diesel fire and jockey pump</t>
  </si>
  <si>
    <t>200 hp diesel fire and jockey pump</t>
  </si>
  <si>
    <t>175 hp diesel fire and jockey pump</t>
  </si>
  <si>
    <t>150 hp diesel fire and jockey pump</t>
  </si>
  <si>
    <t>125 hp diesel fire and jockey pump</t>
  </si>
  <si>
    <t>100 hp diesel fire and jockey pump</t>
  </si>
  <si>
    <t>85 hp diesel fire and jockey pump</t>
  </si>
  <si>
    <t>300 hp electric fire and jockey pump</t>
  </si>
  <si>
    <t>250 hp electric fire and jockey pump</t>
  </si>
  <si>
    <t>200 hp electric fire and jockey pump</t>
  </si>
  <si>
    <t>150 hp electric fire and jockey pump</t>
  </si>
  <si>
    <t>125 hp electric fire and jockey pump</t>
  </si>
  <si>
    <t>100 hp electric fire and jockey pump</t>
  </si>
  <si>
    <t>75 hp electric fire and jockey pump</t>
  </si>
  <si>
    <t>50 hp electric fire and jockey pump</t>
  </si>
  <si>
    <t xml:space="preserve">  300hp</t>
  </si>
  <si>
    <t xml:space="preserve">  250hp</t>
  </si>
  <si>
    <t xml:space="preserve">  200hp</t>
  </si>
  <si>
    <t xml:space="preserve">  175hp</t>
  </si>
  <si>
    <t xml:space="preserve">  150hp</t>
  </si>
  <si>
    <t xml:space="preserve">  125hp</t>
  </si>
  <si>
    <t xml:space="preserve">  100hp</t>
  </si>
  <si>
    <t xml:space="preserve">  85hp</t>
  </si>
  <si>
    <t xml:space="preserve"> Diesel with control and jockey</t>
  </si>
  <si>
    <t xml:space="preserve">  75hp</t>
  </si>
  <si>
    <t xml:space="preserve">  50hp</t>
  </si>
  <si>
    <t xml:space="preserve"> Electric with control and jockey</t>
  </si>
  <si>
    <t>Fire pump</t>
  </si>
  <si>
    <t xml:space="preserve"> Pipe volume</t>
  </si>
  <si>
    <t>Inches of weld single pass</t>
  </si>
  <si>
    <t>Thrust blocks</t>
  </si>
  <si>
    <t>Sand underlay</t>
  </si>
  <si>
    <t>Compacted backfill</t>
  </si>
  <si>
    <t>Excess dirt removal</t>
  </si>
  <si>
    <t>Backfill backhoe</t>
  </si>
  <si>
    <t>Excavate w/bckhoe</t>
  </si>
  <si>
    <t>Backfill trencher</t>
  </si>
  <si>
    <t>Excav w/trencher</t>
  </si>
  <si>
    <t>Backfill by hand</t>
  </si>
  <si>
    <t>Excavate by hand</t>
  </si>
  <si>
    <t>Sqft</t>
  </si>
  <si>
    <t>* Fire protection area *</t>
  </si>
  <si>
    <t>* No. of fire alarm systems *</t>
  </si>
  <si>
    <t>EOL resistor</t>
  </si>
  <si>
    <t>FA door release switch</t>
  </si>
  <si>
    <t>Mag door holder-dbl,flr mt</t>
  </si>
  <si>
    <t>Mag door holder-sgl,flr mt</t>
  </si>
  <si>
    <t>Mag. door holder,flush</t>
  </si>
  <si>
    <t>Magnetic door holder, semi-flush</t>
  </si>
  <si>
    <t>Mag. door holder,surface</t>
  </si>
  <si>
    <t>Auto door operator conn.</t>
  </si>
  <si>
    <t>Halon (alternateive) system connection</t>
  </si>
  <si>
    <t>Tamper switch connector</t>
  </si>
  <si>
    <t>Supervisory switch conn.</t>
  </si>
  <si>
    <t>Flow switch conn.</t>
  </si>
  <si>
    <t>Security system</t>
  </si>
  <si>
    <t>F/A device wire guard</t>
  </si>
  <si>
    <t>Remote alarm/test station</t>
  </si>
  <si>
    <t>F/A phone w/manual sta.</t>
  </si>
  <si>
    <t>F/A phone in brk-rod cab.</t>
  </si>
  <si>
    <t>F/A phone in locked cabnt</t>
  </si>
  <si>
    <t>F/A phone-jack station</t>
  </si>
  <si>
    <t>F/A light and 10" bell-combo</t>
  </si>
  <si>
    <t>F/A light and 6" bell-combo</t>
  </si>
  <si>
    <t>F/A light and 4" bell-combo</t>
  </si>
  <si>
    <t>F/A light and speaker-combo</t>
  </si>
  <si>
    <t>F/A lt and bi-di horn-combo</t>
  </si>
  <si>
    <t>F/A light &amp; horn combo</t>
  </si>
  <si>
    <t>F/A light,x/p</t>
  </si>
  <si>
    <t>F/A light,w/p</t>
  </si>
  <si>
    <t>F/A light</t>
  </si>
  <si>
    <t>F/A rotating beacon light</t>
  </si>
  <si>
    <t>F/A speaker bi-dir.</t>
  </si>
  <si>
    <t>F/A speaker,w/p</t>
  </si>
  <si>
    <t>F/A speaker,recessed</t>
  </si>
  <si>
    <t>F/A speaker,semi-flush</t>
  </si>
  <si>
    <t>F/A speaker,surface</t>
  </si>
  <si>
    <t>F/A siren</t>
  </si>
  <si>
    <t>F/A horn bi-dir. w/p</t>
  </si>
  <si>
    <t>F/A horn bi-dir. semi-fl</t>
  </si>
  <si>
    <t>F/A horn bi-dir. surface</t>
  </si>
  <si>
    <t>F/A horn,flush</t>
  </si>
  <si>
    <t>F/A horn,x/p</t>
  </si>
  <si>
    <t>F/A horn,w/p</t>
  </si>
  <si>
    <t>F/A horn,semi-flush</t>
  </si>
  <si>
    <t>F/A horn,surface</t>
  </si>
  <si>
    <t>F/A buzzer,x/p</t>
  </si>
  <si>
    <t>F/A buzzer,w/p</t>
  </si>
  <si>
    <t>F/A buzzer,semi-flush</t>
  </si>
  <si>
    <t>F/A buzzer,surface</t>
  </si>
  <si>
    <t>10" alarm bell,x/p</t>
  </si>
  <si>
    <t>10" alarm bell,w/p</t>
  </si>
  <si>
    <t>10" alarm bell,flush</t>
  </si>
  <si>
    <t>10" alarm bell,semi-flush</t>
  </si>
  <si>
    <t>10" alarm bell,surface</t>
  </si>
  <si>
    <t xml:space="preserve"> 6" alarm bell,x/p</t>
  </si>
  <si>
    <t xml:space="preserve"> 6" alarm bell,w/p</t>
  </si>
  <si>
    <t xml:space="preserve"> 6" alarm bell,flush</t>
  </si>
  <si>
    <t xml:space="preserve"> 6" alarm bell,semi-flush</t>
  </si>
  <si>
    <t xml:space="preserve"> 6" alarm bell,surface</t>
  </si>
  <si>
    <t xml:space="preserve"> 4" alarm bell,w/p</t>
  </si>
  <si>
    <t xml:space="preserve"> 4" alarm bell,flush</t>
  </si>
  <si>
    <t xml:space="preserve"> 4" alarm bell,semi-flush</t>
  </si>
  <si>
    <t xml:space="preserve"> 4" alarm bell,surface</t>
  </si>
  <si>
    <t>Air duct heat and smoke detector</t>
  </si>
  <si>
    <t>Air duct heat detector</t>
  </si>
  <si>
    <t>Air duct smoke detect-p.e.</t>
  </si>
  <si>
    <t>Air duct smoke detect-ion.</t>
  </si>
  <si>
    <t xml:space="preserve"> Heat detector-2p-190 deg.</t>
  </si>
  <si>
    <t>Heat det. f-temp/rate-rise</t>
  </si>
  <si>
    <t>Heat detector,f-temp,renew</t>
  </si>
  <si>
    <t>Heat detect,fixed-temp.x/p</t>
  </si>
  <si>
    <t>Heat detector,fixed-temp.</t>
  </si>
  <si>
    <t xml:space="preserve"> Heat detector-2p.-135 deg</t>
  </si>
  <si>
    <t xml:space="preserve"> Heat detector-1p.-190 deg</t>
  </si>
  <si>
    <t xml:space="preserve"> Heat detector-1p.-135 deg</t>
  </si>
  <si>
    <t xml:space="preserve"> Audible alarm device</t>
  </si>
  <si>
    <t>Self contained smoke detector</t>
  </si>
  <si>
    <t>Smoke detector and heat sensor</t>
  </si>
  <si>
    <t>Smoke detector/photoelectric</t>
  </si>
  <si>
    <t>Smoke detector</t>
  </si>
  <si>
    <t>Smoke detector/ionization type</t>
  </si>
  <si>
    <t>F/A brk-glass sta.semi-fl</t>
  </si>
  <si>
    <t>F/A brk-glass sta.surface</t>
  </si>
  <si>
    <t>F/A station,semi-flush</t>
  </si>
  <si>
    <t>F/A station,surface</t>
  </si>
  <si>
    <t>F/A annunciator (24-36) zone</t>
  </si>
  <si>
    <t>F/A annunciator (10-24) zone</t>
  </si>
  <si>
    <t>F/A annunciator (1-10) zone</t>
  </si>
  <si>
    <t>F/A cntl. panel (24-36) zone</t>
  </si>
  <si>
    <t>F/A cntl. panel (10-24) zone</t>
  </si>
  <si>
    <t>F/A cntl. panel (1-10) zone</t>
  </si>
  <si>
    <t>Fire alarm control equip</t>
  </si>
  <si>
    <t xml:space="preserve"> Fire alrm phone jack stat.</t>
  </si>
  <si>
    <t xml:space="preserve"> F/A audio - visual unit</t>
  </si>
  <si>
    <t xml:space="preserve"> Fire alarm speaker</t>
  </si>
  <si>
    <t xml:space="preserve"> Fire alarm bell</t>
  </si>
  <si>
    <t xml:space="preserve"> Fire alarm horn</t>
  </si>
  <si>
    <t xml:space="preserve"> Fire alarm heat detector</t>
  </si>
  <si>
    <t xml:space="preserve"> F/A duct smoke detector</t>
  </si>
  <si>
    <t xml:space="preserve"> Fire alarm smoke detectors</t>
  </si>
  <si>
    <t xml:space="preserve"> Fire alarm pull stations</t>
  </si>
  <si>
    <t>Fire alarm devices</t>
  </si>
  <si>
    <t>Master time and prog control</t>
  </si>
  <si>
    <t>Master time clock</t>
  </si>
  <si>
    <t>2000VA signal gen. package</t>
  </si>
  <si>
    <t>1000VA signal gen. package</t>
  </si>
  <si>
    <t>Solid state signal gener.</t>
  </si>
  <si>
    <t>Clock code converter</t>
  </si>
  <si>
    <t>24 VAC power supply</t>
  </si>
  <si>
    <t>Wired triple coded relay</t>
  </si>
  <si>
    <t>Wired dual coded relay</t>
  </si>
  <si>
    <t>Electronic tri coded relay</t>
  </si>
  <si>
    <t>Electronic dual code relay</t>
  </si>
  <si>
    <t>Distribution relay panel</t>
  </si>
  <si>
    <t>Master relay panel</t>
  </si>
  <si>
    <t>4 prong clock receptacle</t>
  </si>
  <si>
    <t>3 wire clock receptacle</t>
  </si>
  <si>
    <t>2 wire clock receptacle</t>
  </si>
  <si>
    <t>20" sqare wire mesh guard</t>
  </si>
  <si>
    <t>15" round wire guard</t>
  </si>
  <si>
    <t>9"-12" round wire guard</t>
  </si>
  <si>
    <t xml:space="preserve">   12" sqr clk w/rect spkr</t>
  </si>
  <si>
    <t xml:space="preserve">   9" rnd clk w/rect spkr</t>
  </si>
  <si>
    <t xml:space="preserve">   12" sqr clk w/sqr spkr</t>
  </si>
  <si>
    <t xml:space="preserve">   12" rnd clk w/rnd spkr</t>
  </si>
  <si>
    <t xml:space="preserve">   9" rnd clk w/rnd spkp</t>
  </si>
  <si>
    <t>Time-audio unit semi-flush</t>
  </si>
  <si>
    <t xml:space="preserve">   9" rnd clk w/rnd spkr</t>
  </si>
  <si>
    <t>Time-audio unit surface</t>
  </si>
  <si>
    <t xml:space="preserve">   Minute impulse 15" w/p</t>
  </si>
  <si>
    <t xml:space="preserve">   Synch-wired 15" w/p</t>
  </si>
  <si>
    <t xml:space="preserve">   Motorized 15" w/p</t>
  </si>
  <si>
    <t xml:space="preserve">   Electronic 15" w/p</t>
  </si>
  <si>
    <t>Round single dial clock</t>
  </si>
  <si>
    <t>Elapsed time clock control</t>
  </si>
  <si>
    <t>Elapsed time clock</t>
  </si>
  <si>
    <t>Easy-read digital clock</t>
  </si>
  <si>
    <t xml:space="preserve">   Minute impulse dbl dial</t>
  </si>
  <si>
    <t xml:space="preserve">   Synch-wired double dial</t>
  </si>
  <si>
    <t xml:space="preserve">   Motorized double dial</t>
  </si>
  <si>
    <t xml:space="preserve">   Electronic double dial</t>
  </si>
  <si>
    <t xml:space="preserve">   Minute implse sngl dial</t>
  </si>
  <si>
    <t xml:space="preserve">   Synch-wired single dial</t>
  </si>
  <si>
    <t xml:space="preserve">   Motorized single dial</t>
  </si>
  <si>
    <t xml:space="preserve">   Electronic single dial</t>
  </si>
  <si>
    <t xml:space="preserve"> Wall mounted 12"</t>
  </si>
  <si>
    <t xml:space="preserve"> Ceiling mounted 12"</t>
  </si>
  <si>
    <t xml:space="preserve"> Semi-flush 12"</t>
  </si>
  <si>
    <t xml:space="preserve"> Surface mounted 12"</t>
  </si>
  <si>
    <t>Square indicating clock</t>
  </si>
  <si>
    <t>Decorative semi-flsh clock</t>
  </si>
  <si>
    <t xml:space="preserve">   Minute impulse 15"</t>
  </si>
  <si>
    <t xml:space="preserve">   Minute impulse 12"</t>
  </si>
  <si>
    <t xml:space="preserve">   Minute impulse  9"</t>
  </si>
  <si>
    <t xml:space="preserve">   Synch-wired 15"</t>
  </si>
  <si>
    <t xml:space="preserve">   Synch-wired 12"</t>
  </si>
  <si>
    <t xml:space="preserve">   Synch-wired  9"</t>
  </si>
  <si>
    <t xml:space="preserve">   Motorized 15"</t>
  </si>
  <si>
    <t xml:space="preserve">   Motorized 12"</t>
  </si>
  <si>
    <t xml:space="preserve">   Motorized  9"</t>
  </si>
  <si>
    <t xml:space="preserve">   Electronic 15"</t>
  </si>
  <si>
    <t xml:space="preserve">   Electronic 12"</t>
  </si>
  <si>
    <t xml:space="preserve">   Electronic  9"</t>
  </si>
  <si>
    <t xml:space="preserve"> Wall mounted double dial</t>
  </si>
  <si>
    <t xml:space="preserve"> Wall mounted single dial</t>
  </si>
  <si>
    <t xml:space="preserve"> Ceiling mounted double dial</t>
  </si>
  <si>
    <t xml:space="preserve">   Minute impulse  15"</t>
  </si>
  <si>
    <t xml:space="preserve">   Minute impulse  12"</t>
  </si>
  <si>
    <t xml:space="preserve">   Minute impulse   9"</t>
  </si>
  <si>
    <t xml:space="preserve">   Synch-wired  15"</t>
  </si>
  <si>
    <t xml:space="preserve">   Synch-wired  12"</t>
  </si>
  <si>
    <t xml:space="preserve">   Synch-wired   9"</t>
  </si>
  <si>
    <t xml:space="preserve">   Motorized  15"</t>
  </si>
  <si>
    <t xml:space="preserve">   Motorized  12"</t>
  </si>
  <si>
    <t xml:space="preserve">   Motorized   9"</t>
  </si>
  <si>
    <t xml:space="preserve">   Electronic  15"</t>
  </si>
  <si>
    <t xml:space="preserve">   Electronic  12"</t>
  </si>
  <si>
    <t xml:space="preserve">   Electronic   9"</t>
  </si>
  <si>
    <t xml:space="preserve"> Ceiling mounted single dial</t>
  </si>
  <si>
    <t xml:space="preserve"> Semi-flush double dial</t>
  </si>
  <si>
    <t xml:space="preserve"> Semi-flush single dial</t>
  </si>
  <si>
    <t xml:space="preserve"> Surface mtd double dial</t>
  </si>
  <si>
    <t xml:space="preserve"> Surface mtd single dial</t>
  </si>
  <si>
    <t>Round indicating clock</t>
  </si>
  <si>
    <t>Photo-electric cell</t>
  </si>
  <si>
    <t>Time sw. mom-contact adder</t>
  </si>
  <si>
    <t>Time switch reserve power</t>
  </si>
  <si>
    <t xml:space="preserve">  4PDT multi-dial</t>
  </si>
  <si>
    <t xml:space="preserve">  3PDT multi-dial</t>
  </si>
  <si>
    <t xml:space="preserve">  DPDT multi-dial</t>
  </si>
  <si>
    <t xml:space="preserve">  SPDT multi-dial</t>
  </si>
  <si>
    <t xml:space="preserve">  4PST multi-dial</t>
  </si>
  <si>
    <t xml:space="preserve">  3PST multi-dial</t>
  </si>
  <si>
    <t xml:space="preserve">  DPST multi-dial</t>
  </si>
  <si>
    <t xml:space="preserve">  SPST multi-dial</t>
  </si>
  <si>
    <t xml:space="preserve">  4PDT 7-day</t>
  </si>
  <si>
    <t xml:space="preserve">  3PDT 7-day</t>
  </si>
  <si>
    <t xml:space="preserve">  DPDT 7-day</t>
  </si>
  <si>
    <t xml:space="preserve">  SPDT 7-day</t>
  </si>
  <si>
    <t xml:space="preserve">  4PST 7-day</t>
  </si>
  <si>
    <t xml:space="preserve">  3PST 7-day</t>
  </si>
  <si>
    <t xml:space="preserve">  DPST 7-day</t>
  </si>
  <si>
    <t xml:space="preserve">  SPST 7-day</t>
  </si>
  <si>
    <t xml:space="preserve">  4PDT astro w/skip-a-day</t>
  </si>
  <si>
    <t xml:space="preserve">  3PDT astro w/skip-a-day</t>
  </si>
  <si>
    <t xml:space="preserve">  DPDT astro w/skip-a-day</t>
  </si>
  <si>
    <t xml:space="preserve">  SPDT astro w/skip-a-day</t>
  </si>
  <si>
    <t xml:space="preserve">  4PST astro w/skip-a-day</t>
  </si>
  <si>
    <t xml:space="preserve">  3PST astro w/skip-a-day</t>
  </si>
  <si>
    <t xml:space="preserve">  DPST astro w/skip-a-day</t>
  </si>
  <si>
    <t xml:space="preserve">  SPST astrow/skipa-a-day</t>
  </si>
  <si>
    <t xml:space="preserve">  4PDT astro dial</t>
  </si>
  <si>
    <t xml:space="preserve">  3PDT astro dial</t>
  </si>
  <si>
    <t xml:space="preserve">  DPDT astro dial</t>
  </si>
  <si>
    <t xml:space="preserve">  SPDT astro dial</t>
  </si>
  <si>
    <t xml:space="preserve">  4PST astro dial</t>
  </si>
  <si>
    <t xml:space="preserve">  3PST astro dial</t>
  </si>
  <si>
    <t xml:space="preserve">  DPST astro dial</t>
  </si>
  <si>
    <t xml:space="preserve">  SPST astro dial</t>
  </si>
  <si>
    <t xml:space="preserve">  4PDT standard/skip-a-day</t>
  </si>
  <si>
    <t xml:space="preserve">  3PDT standard/skip-a-day</t>
  </si>
  <si>
    <t xml:space="preserve">  DPDT standard/skip-a-day</t>
  </si>
  <si>
    <t xml:space="preserve">  SPDT standard/skip-a-day</t>
  </si>
  <si>
    <t xml:space="preserve">  4PST standard/skip-a-day</t>
  </si>
  <si>
    <t xml:space="preserve">  3PST standard/skip-a-day</t>
  </si>
  <si>
    <t xml:space="preserve">  DPST standard/skip-a-day</t>
  </si>
  <si>
    <t xml:space="preserve">  SPST standard/skip-a-day</t>
  </si>
  <si>
    <t xml:space="preserve">  4PDT standard</t>
  </si>
  <si>
    <t xml:space="preserve">  3PDT standard</t>
  </si>
  <si>
    <t xml:space="preserve">  DPDT standard</t>
  </si>
  <si>
    <t xml:space="preserve">  SPDT standard</t>
  </si>
  <si>
    <t xml:space="preserve">  4PST standard</t>
  </si>
  <si>
    <t xml:space="preserve">  3PST standard</t>
  </si>
  <si>
    <t xml:space="preserve">  DPST standard</t>
  </si>
  <si>
    <t xml:space="preserve">  SPST standard</t>
  </si>
  <si>
    <t>Time switch-outdoor enclosure</t>
  </si>
  <si>
    <t xml:space="preserve">  SPST astro w/skip-a-day</t>
  </si>
  <si>
    <t>Time switch-indoor enclosure</t>
  </si>
  <si>
    <t>Time switch-no enclosure</t>
  </si>
  <si>
    <t xml:space="preserve">        2030 gal</t>
  </si>
  <si>
    <t xml:space="preserve">        1725 gal</t>
  </si>
  <si>
    <t xml:space="preserve">        1675 gal</t>
  </si>
  <si>
    <t xml:space="preserve">        1430 gal</t>
  </si>
  <si>
    <t xml:space="preserve">        1180 gal</t>
  </si>
  <si>
    <t xml:space="preserve">        1080 gal</t>
  </si>
  <si>
    <t xml:space="preserve">        890 gal</t>
  </si>
  <si>
    <t xml:space="preserve">        695 gal</t>
  </si>
  <si>
    <t xml:space="preserve">        500 gal</t>
  </si>
  <si>
    <t xml:space="preserve">        485 gal</t>
  </si>
  <si>
    <t xml:space="preserve">        380 gal</t>
  </si>
  <si>
    <t xml:space="preserve">        270 gal</t>
  </si>
  <si>
    <t xml:space="preserve">        245 gal</t>
  </si>
  <si>
    <t xml:space="preserve">        190 gal</t>
  </si>
  <si>
    <t xml:space="preserve">        135 gal</t>
  </si>
  <si>
    <t xml:space="preserve"> Horizontal</t>
  </si>
  <si>
    <t xml:space="preserve">        1000 gal</t>
  </si>
  <si>
    <t xml:space="preserve">        750 gal</t>
  </si>
  <si>
    <t xml:space="preserve">        250 gal</t>
  </si>
  <si>
    <t xml:space="preserve">        125 gal</t>
  </si>
  <si>
    <t xml:space="preserve">        85 gal</t>
  </si>
  <si>
    <t xml:space="preserve"> Vertical</t>
  </si>
  <si>
    <t>Storage tank, factory insulated</t>
  </si>
  <si>
    <t xml:space="preserve">  4.704 cuyds (set of 2)</t>
  </si>
  <si>
    <t xml:space="preserve">  3.889 cuyds (set of 2)</t>
  </si>
  <si>
    <t xml:space="preserve">  2.963 cuyds (set of 2)</t>
  </si>
  <si>
    <t xml:space="preserve">  2.481 cuyds (set of 2)</t>
  </si>
  <si>
    <t xml:space="preserve">  2.593 cuyds (set of 2)</t>
  </si>
  <si>
    <t xml:space="preserve">  1.963 cuyds (set of 2)</t>
  </si>
  <si>
    <t xml:space="preserve">  2.667 cuyds (set of 2)</t>
  </si>
  <si>
    <t xml:space="preserve">  2.259 cuyds (set of 2)</t>
  </si>
  <si>
    <t xml:space="preserve">  1.852 cuyds (set of 2)</t>
  </si>
  <si>
    <t xml:space="preserve">  1.444 cuyds (set of 2)</t>
  </si>
  <si>
    <t xml:space="preserve">  1.207 cuyds (set of 2)</t>
  </si>
  <si>
    <t xml:space="preserve">  1.037 cuyds (set of 2)</t>
  </si>
  <si>
    <t xml:space="preserve">  0.778 cuyd (set of 2)</t>
  </si>
  <si>
    <t xml:space="preserve">  0.815 cuyd (set of 2)</t>
  </si>
  <si>
    <t xml:space="preserve">  0 .481 cuyd (set of 2)</t>
  </si>
  <si>
    <t xml:space="preserve"> Concrete deadman</t>
  </si>
  <si>
    <t xml:space="preserve">  33.704 cubic yards</t>
  </si>
  <si>
    <t xml:space="preserve">  28.000 cubic yards</t>
  </si>
  <si>
    <t xml:space="preserve">  22.815 cubic yards</t>
  </si>
  <si>
    <t xml:space="preserve">  18.148 cubic yards</t>
  </si>
  <si>
    <t xml:space="preserve">  17.130 cubic yards</t>
  </si>
  <si>
    <t xml:space="preserve">  13.194 cubic yards</t>
  </si>
  <si>
    <t xml:space="preserve">  14.074 cubic yards</t>
  </si>
  <si>
    <t xml:space="preserve">  12.037 cubic yards</t>
  </si>
  <si>
    <t xml:space="preserve">  10.000 cubic yards</t>
  </si>
  <si>
    <t xml:space="preserve">  7.962 cubic yards</t>
  </si>
  <si>
    <t xml:space="preserve">  6.944 cubic yards</t>
  </si>
  <si>
    <t xml:space="preserve">  5.926 cubic yards</t>
  </si>
  <si>
    <t xml:space="preserve">  3.704 cubic yards</t>
  </si>
  <si>
    <t xml:space="preserve">  2.888 cubic yards</t>
  </si>
  <si>
    <t xml:space="preserve">  1.888 cubic yards</t>
  </si>
  <si>
    <t xml:space="preserve"> Concrete pad</t>
  </si>
  <si>
    <t>Installation procedure</t>
  </si>
  <si>
    <t xml:space="preserve">  Submerged, 5 hp</t>
  </si>
  <si>
    <t xml:space="preserve">  Submerged, ¾ hp</t>
  </si>
  <si>
    <t xml:space="preserve">  Submerged, 1/3 hp</t>
  </si>
  <si>
    <t xml:space="preserve">  Duplex,7½ hp</t>
  </si>
  <si>
    <t xml:space="preserve">  Duplex, 5 hp</t>
  </si>
  <si>
    <t xml:space="preserve">  Duplex, 3 hp</t>
  </si>
  <si>
    <t xml:space="preserve">  Duplex,2 hp</t>
  </si>
  <si>
    <t xml:space="preserve">  Duplex, 1½ hp</t>
  </si>
  <si>
    <t xml:space="preserve">  Duplex, 1 hp</t>
  </si>
  <si>
    <t xml:space="preserve">  Duplex, ¾ hp</t>
  </si>
  <si>
    <t xml:space="preserve">  Duplex,1/2 hp</t>
  </si>
  <si>
    <t xml:space="preserve">  Simplex, 7½ hp</t>
  </si>
  <si>
    <t xml:space="preserve">  Simplex, 5 hp</t>
  </si>
  <si>
    <t xml:space="preserve">  Simplex, 3 hp</t>
  </si>
  <si>
    <t xml:space="preserve">  Simplex, 2 hp</t>
  </si>
  <si>
    <t xml:space="preserve">  Simplex, 1½ hp</t>
  </si>
  <si>
    <t xml:space="preserve">  Simplex, 1 hp</t>
  </si>
  <si>
    <t xml:space="preserve">  Simplex, ¾ hp</t>
  </si>
  <si>
    <t xml:space="preserve">  Simplex, ½ hp</t>
  </si>
  <si>
    <t xml:space="preserve"> Direct drive</t>
  </si>
  <si>
    <t>Fuel oil pumps</t>
  </si>
  <si>
    <t xml:space="preserve">  Tank ladder</t>
  </si>
  <si>
    <t xml:space="preserve">  FO gauge w/trans line</t>
  </si>
  <si>
    <t xml:space="preserve">  Vent cap and box</t>
  </si>
  <si>
    <t xml:space="preserve">  Fill cap and box</t>
  </si>
  <si>
    <t xml:space="preserve"> Steel NPT fitting</t>
  </si>
  <si>
    <t xml:space="preserve">  Fiberglass sump</t>
  </si>
  <si>
    <t xml:space="preserve">  Helical heating coil</t>
  </si>
  <si>
    <t xml:space="preserve">  36"dia x24</t>
  </si>
  <si>
    <t xml:space="preserve">  30"dia x24</t>
  </si>
  <si>
    <t xml:space="preserve">  22"dia x24</t>
  </si>
  <si>
    <t xml:space="preserve"> Manway extension</t>
  </si>
  <si>
    <t xml:space="preserve">  36" dia</t>
  </si>
  <si>
    <t xml:space="preserve">  30" dia</t>
  </si>
  <si>
    <t xml:space="preserve">  22" dia</t>
  </si>
  <si>
    <t xml:space="preserve"> Manway</t>
  </si>
  <si>
    <t xml:space="preserve">  Set of 16</t>
  </si>
  <si>
    <t xml:space="preserve">  Set of 12</t>
  </si>
  <si>
    <t xml:space="preserve">  Set of 10</t>
  </si>
  <si>
    <t xml:space="preserve">  Set of 8</t>
  </si>
  <si>
    <t xml:space="preserve">  Set of 6</t>
  </si>
  <si>
    <t xml:space="preserve">  Set of 4</t>
  </si>
  <si>
    <t xml:space="preserve">  Set of 2</t>
  </si>
  <si>
    <t xml:space="preserve"> Turnbuckles and clamp</t>
  </si>
  <si>
    <t>Hold-down straps w/anchors</t>
  </si>
  <si>
    <t>Fuel oil accessories</t>
  </si>
  <si>
    <t xml:space="preserve"> Fuel oil</t>
  </si>
  <si>
    <t xml:space="preserve">  275 gals</t>
  </si>
  <si>
    <t xml:space="preserve">  60 gals</t>
  </si>
  <si>
    <t xml:space="preserve">  25 gals</t>
  </si>
  <si>
    <t xml:space="preserve">  8 gals</t>
  </si>
  <si>
    <t xml:space="preserve"> Steel day tank</t>
  </si>
  <si>
    <t xml:space="preserve">  48000 gals</t>
  </si>
  <si>
    <t xml:space="preserve">  40000 gals</t>
  </si>
  <si>
    <t xml:space="preserve">  30000 gals</t>
  </si>
  <si>
    <t xml:space="preserve">  25000 gals</t>
  </si>
  <si>
    <t xml:space="preserve">  20000 gals</t>
  </si>
  <si>
    <t xml:space="preserve">  15000 gals</t>
  </si>
  <si>
    <t xml:space="preserve">  12000 gals</t>
  </si>
  <si>
    <t xml:space="preserve">  10000 gals</t>
  </si>
  <si>
    <t xml:space="preserve">  8000 gals</t>
  </si>
  <si>
    <t xml:space="preserve">  6000 gals</t>
  </si>
  <si>
    <t xml:space="preserve">  4000 gals</t>
  </si>
  <si>
    <t xml:space="preserve">  2000 gals</t>
  </si>
  <si>
    <t xml:space="preserve">  1000 gals</t>
  </si>
  <si>
    <t xml:space="preserve">  550 gals</t>
  </si>
  <si>
    <t xml:space="preserve"> Fiberglass, below ground, horizontal</t>
  </si>
  <si>
    <t xml:space="preserve"> Fiberglass, above ground , horizontal</t>
  </si>
  <si>
    <t xml:space="preserve"> Fiberglass, above ground, vertical</t>
  </si>
  <si>
    <t xml:space="preserve">  50000 gals</t>
  </si>
  <si>
    <t xml:space="preserve">  5000 gals</t>
  </si>
  <si>
    <t xml:space="preserve"> Steel, below ground</t>
  </si>
  <si>
    <t xml:space="preserve"> Steel, above ground ,painted</t>
  </si>
  <si>
    <t>Fuel oil storage tanks</t>
  </si>
  <si>
    <t xml:space="preserve">  39.704 cubic yards</t>
  </si>
  <si>
    <t xml:space="preserve">  33.185 cubic yards</t>
  </si>
  <si>
    <t xml:space="preserve">  27.259 cubic yards</t>
  </si>
  <si>
    <t xml:space="preserve">  21.926 cubic yards</t>
  </si>
  <si>
    <t xml:space="preserve">  20.944 cubic yards</t>
  </si>
  <si>
    <t xml:space="preserve">  16.380 cubic yards</t>
  </si>
  <si>
    <t xml:space="preserve">  17.778 cubic yards</t>
  </si>
  <si>
    <t xml:space="preserve">  15.333 cubic yards</t>
  </si>
  <si>
    <t xml:space="preserve">  12.889 cubic yards</t>
  </si>
  <si>
    <t xml:space="preserve">  10.444 cubic yards</t>
  </si>
  <si>
    <t xml:space="preserve">  8.889 cubic yards</t>
  </si>
  <si>
    <t xml:space="preserve">  8.000 cubic yards</t>
  </si>
  <si>
    <t xml:space="preserve">  5.370 cubic yards</t>
  </si>
  <si>
    <t xml:space="preserve">  4.444 cubic yards</t>
  </si>
  <si>
    <t xml:space="preserve">  3.111 cubic yards</t>
  </si>
  <si>
    <t xml:space="preserve"> Crushed stone underlay</t>
  </si>
  <si>
    <t xml:space="preserve"> Pea gravel underlay</t>
  </si>
  <si>
    <t xml:space="preserve"> Sand underlay</t>
  </si>
  <si>
    <t xml:space="preserve">  971.259 cubic yards</t>
  </si>
  <si>
    <t xml:space="preserve">  808.296 cubic yards</t>
  </si>
  <si>
    <t xml:space="preserve">  660.148 cubic yards</t>
  </si>
  <si>
    <t xml:space="preserve">  526.815 cubic yards</t>
  </si>
  <si>
    <t xml:space="preserve">  446.611 cubic yards</t>
  </si>
  <si>
    <t xml:space="preserve">  345.713 cubic yards</t>
  </si>
  <si>
    <t xml:space="preserve">  298.666 cubic yards</t>
  </si>
  <si>
    <t xml:space="preserve">  256.296 cubic yards</t>
  </si>
  <si>
    <t xml:space="preserve">  213.926 cubic yards</t>
  </si>
  <si>
    <t xml:space="preserve">  171.555 cubic yards</t>
  </si>
  <si>
    <t xml:space="preserve">  148.444 cubic yards</t>
  </si>
  <si>
    <t xml:space="preserve">  129.185 cubic yards</t>
  </si>
  <si>
    <t xml:space="preserve">  67.704 cubic yards</t>
  </si>
  <si>
    <t xml:space="preserve">  42.075 cubic yards</t>
  </si>
  <si>
    <t xml:space="preserve">  28.741 cubic yards</t>
  </si>
  <si>
    <t xml:space="preserve"> Dragline and backhoe backfill</t>
  </si>
  <si>
    <t xml:space="preserve"> Gravel underlay</t>
  </si>
  <si>
    <t xml:space="preserve"> Backhoe</t>
  </si>
  <si>
    <t>Excavation and backfill</t>
  </si>
  <si>
    <t>Whirlpool</t>
  </si>
  <si>
    <t>Swimming pool   'x   '</t>
  </si>
  <si>
    <t>Tons</t>
  </si>
  <si>
    <t>Unload and shakeout w/forklift</t>
  </si>
  <si>
    <t>Unload and shakeout w/crane</t>
  </si>
  <si>
    <t xml:space="preserve">   3' wide framed opening sashes</t>
  </si>
  <si>
    <t xml:space="preserve">   2' wide framed opening sashes</t>
  </si>
  <si>
    <t xml:space="preserve">   5' wide door reinforcement</t>
  </si>
  <si>
    <t xml:space="preserve">   Astragals</t>
  </si>
  <si>
    <t xml:space="preserve">   Double locks</t>
  </si>
  <si>
    <t xml:space="preserve">   Single locks</t>
  </si>
  <si>
    <t xml:space="preserve">   Weatherstripping (per door)</t>
  </si>
  <si>
    <t xml:space="preserve">   Thresholds</t>
  </si>
  <si>
    <t xml:space="preserve">   Leaves and hinges</t>
  </si>
  <si>
    <t>Miscellaneous accessories</t>
  </si>
  <si>
    <t xml:space="preserve">   Furring</t>
  </si>
  <si>
    <t xml:space="preserve">   Gable fascia</t>
  </si>
  <si>
    <t xml:space="preserve">   Eave flashing</t>
  </si>
  <si>
    <t xml:space="preserve">   Wall caps</t>
  </si>
  <si>
    <t xml:space="preserve">   Plugs</t>
  </si>
  <si>
    <t xml:space="preserve">   Wall splices</t>
  </si>
  <si>
    <t xml:space="preserve">   20' high endwall panels</t>
  </si>
  <si>
    <t xml:space="preserve">   20' high sidewall panels</t>
  </si>
  <si>
    <t xml:space="preserve">   Red head anchors</t>
  </si>
  <si>
    <t xml:space="preserve">   Base zees</t>
  </si>
  <si>
    <t xml:space="preserve">   Base channels</t>
  </si>
  <si>
    <t>Miscellaneous wall items</t>
  </si>
  <si>
    <t xml:space="preserve">   Swage lines</t>
  </si>
  <si>
    <t xml:space="preserve">   Ridges </t>
  </si>
  <si>
    <t xml:space="preserve">   Eaves </t>
  </si>
  <si>
    <t>Miscelleneous roof items</t>
  </si>
  <si>
    <t xml:space="preserve">   Miscellaneous wall girts</t>
  </si>
  <si>
    <t>Set</t>
  </si>
  <si>
    <t xml:space="preserve">   Brace rods</t>
  </si>
  <si>
    <t xml:space="preserve">   Brace tubes</t>
  </si>
  <si>
    <t xml:space="preserve">   Miscellaneous rafters</t>
  </si>
  <si>
    <t xml:space="preserve">   Miscellaneous columns</t>
  </si>
  <si>
    <t xml:space="preserve">   Portal columns</t>
  </si>
  <si>
    <t xml:space="preserve">   Stub columns</t>
  </si>
  <si>
    <t xml:space="preserve">   Eave purlins</t>
  </si>
  <si>
    <t xml:space="preserve">   Interior purlins</t>
  </si>
  <si>
    <t>Miscellaneous structural items</t>
  </si>
  <si>
    <t>Roof curb</t>
  </si>
  <si>
    <t>Ridge vents 1210</t>
  </si>
  <si>
    <t>Ridge vents 410</t>
  </si>
  <si>
    <t xml:space="preserve">   Window glass</t>
  </si>
  <si>
    <t xml:space="preserve">   Large framed window openings</t>
  </si>
  <si>
    <t xml:space="preserve">   Small framed window openings</t>
  </si>
  <si>
    <t xml:space="preserve">   Window wall doors</t>
  </si>
  <si>
    <t xml:space="preserve">   Window wall units</t>
  </si>
  <si>
    <t xml:space="preserve">   5' wide windows</t>
  </si>
  <si>
    <t xml:space="preserve">   3' wide windows</t>
  </si>
  <si>
    <t xml:space="preserve">   2' wide windows</t>
  </si>
  <si>
    <t xml:space="preserve">   Sliding door frame</t>
  </si>
  <si>
    <t xml:space="preserve">   Door glass</t>
  </si>
  <si>
    <t xml:space="preserve">   Panic hardware</t>
  </si>
  <si>
    <t xml:space="preserve">   Closers</t>
  </si>
  <si>
    <t xml:space="preserve">   5' wide doors</t>
  </si>
  <si>
    <t xml:space="preserve">   3' wid doors</t>
  </si>
  <si>
    <t xml:space="preserve">   Framed openings</t>
  </si>
  <si>
    <t>Doors</t>
  </si>
  <si>
    <t xml:space="preserve">   Insulated roof and mesh 200'+ wide, 6' blankets</t>
  </si>
  <si>
    <t xml:space="preserve">   Insulated roof and mesh 200'+ wide, 4' blankets</t>
  </si>
  <si>
    <t xml:space="preserve">   Insulated roof and mesh 200'+ wide, 3' blankets</t>
  </si>
  <si>
    <t xml:space="preserve">   Insulated roof and mesh 121-200' wide, 6' blankets</t>
  </si>
  <si>
    <t xml:space="preserve">   Insulated roof and mesh 121-200' wide, 4' blankets</t>
  </si>
  <si>
    <t xml:space="preserve">   Insulated roof and mesh 121-200' wide, 3' blankets</t>
  </si>
  <si>
    <t xml:space="preserve">   Insulated roof and mesh 81-120' wide, 6' blankets</t>
  </si>
  <si>
    <t xml:space="preserve">   Insulated roof and mesh 81-120' wide, 4' blankets</t>
  </si>
  <si>
    <t xml:space="preserve">   Insulated roof and mesh 81-120' wide, 3' blankets</t>
  </si>
  <si>
    <t xml:space="preserve">   Insulated roof and mesh 61-80' wide, 6' blankets</t>
  </si>
  <si>
    <t xml:space="preserve">   Insulated roof and mesh 61-80' wide, 4' blankets</t>
  </si>
  <si>
    <t xml:space="preserve">   Insulated roof and mesh 61-80' wide, 3' blankets</t>
  </si>
  <si>
    <t xml:space="preserve">   Insulated roof and mesh 0-60' wide, 6' blankets</t>
  </si>
  <si>
    <t xml:space="preserve">   Insulated roof and mesh 0-60' wide, 4' blankets</t>
  </si>
  <si>
    <t xml:space="preserve">   Insulated roof and mesh 0-60' wide, 3' blankets</t>
  </si>
  <si>
    <t xml:space="preserve">   Insulated roof 200'+, 6' blankets</t>
  </si>
  <si>
    <t xml:space="preserve">   Insulated roof 200'+, 4' blankets</t>
  </si>
  <si>
    <t xml:space="preserve">   Insulated roof 200'+, 3' blankets</t>
  </si>
  <si>
    <t xml:space="preserve">   Insulated roof 121-200' wide, 6' blankets</t>
  </si>
  <si>
    <t xml:space="preserve">   Insulated roof 121-200' wide, 4' blankets</t>
  </si>
  <si>
    <t xml:space="preserve">   Insulated roof 121-200' wide, 3' blankets</t>
  </si>
  <si>
    <t xml:space="preserve">   Insulated roof 81-120' wide, 6' blankets</t>
  </si>
  <si>
    <t xml:space="preserve">   Insulated roof 81-120' wide, 4' blankets</t>
  </si>
  <si>
    <t xml:space="preserve">   Insulated roof 81-120' wide, 3' blankets</t>
  </si>
  <si>
    <t xml:space="preserve">   Insulated roof 61-80' wide, 6' blankets</t>
  </si>
  <si>
    <t xml:space="preserve">   Insulated roof 61-80' wide, 4' blankets</t>
  </si>
  <si>
    <t xml:space="preserve">   Insulated roof 61-80' wide, 3' blankets</t>
  </si>
  <si>
    <t xml:space="preserve">   Insulated roof 0-60' wide, 6' blankets</t>
  </si>
  <si>
    <t xml:space="preserve">   Insulated roof 0-60' wide, 4' blankets</t>
  </si>
  <si>
    <t xml:space="preserve">   Insulated roof 0-60' wide, 3' blankets</t>
  </si>
  <si>
    <t xml:space="preserve">   Uninsulated roof (all pieces)</t>
  </si>
  <si>
    <t xml:space="preserve">   Swages</t>
  </si>
  <si>
    <t xml:space="preserve">   Ridges</t>
  </si>
  <si>
    <t xml:space="preserve">   Eaves</t>
  </si>
  <si>
    <t xml:space="preserve">   Start up bay</t>
  </si>
  <si>
    <t>Roof erection</t>
  </si>
  <si>
    <t xml:space="preserve">   Friction fit insulation</t>
  </si>
  <si>
    <t xml:space="preserve">   Snap in insulation</t>
  </si>
  <si>
    <t xml:space="preserve">   Furring for insulation, 24" o.c.</t>
  </si>
  <si>
    <t xml:space="preserve">   Gable liner panels</t>
  </si>
  <si>
    <t xml:space="preserve">   Nestable liner</t>
  </si>
  <si>
    <t xml:space="preserve">   Liner panel</t>
  </si>
  <si>
    <t xml:space="preserve">   6' wide blankets</t>
  </si>
  <si>
    <t xml:space="preserve">   4' wide blankets</t>
  </si>
  <si>
    <t xml:space="preserve">   3' wide blankets</t>
  </si>
  <si>
    <t>Wall insulation</t>
  </si>
  <si>
    <t>Erect sidewall, 25+' high</t>
  </si>
  <si>
    <t>Erect sidewall, 24 high</t>
  </si>
  <si>
    <t>Erect sidewall, 20' high</t>
  </si>
  <si>
    <t>Erect sidewall, 16' high</t>
  </si>
  <si>
    <t>Erect sidewall, 14' high</t>
  </si>
  <si>
    <t>Erect sidewall, 12' high</t>
  </si>
  <si>
    <t>Erect endwall, 25+' high</t>
  </si>
  <si>
    <t>Erect endwall, 24' high</t>
  </si>
  <si>
    <t>Erect endwall, 20' high</t>
  </si>
  <si>
    <t>Erect endwall, 16' high</t>
  </si>
  <si>
    <t>Erect endwall, 14' high</t>
  </si>
  <si>
    <t>Erect endwall, 12' high</t>
  </si>
  <si>
    <t>Erect portal column add ons</t>
  </si>
  <si>
    <t>Erect girts</t>
  </si>
  <si>
    <t>Erect beams and columns, 28x28 bays</t>
  </si>
  <si>
    <t>Erect beams and columns, 24x24 bays</t>
  </si>
  <si>
    <t>Erect beams and columns, 20x20 bays</t>
  </si>
  <si>
    <t>Erect beams and columns, 16x16 bays</t>
  </si>
  <si>
    <t>Erect 28x28 braced interior bay, 81'-120' wide</t>
  </si>
  <si>
    <t>Erect 24x24 braced interior bay, 81'-120' wide</t>
  </si>
  <si>
    <t>Erect 20x20 braced interior bay, 81'-120' wide</t>
  </si>
  <si>
    <t>Erect 16x16 braced interior bay, 81'-120' wide</t>
  </si>
  <si>
    <t>Erect 28x28 braced interior bay, 20'-80' wide</t>
  </si>
  <si>
    <t>Erect 24x24 braced interior bay, 20'-80' wide</t>
  </si>
  <si>
    <t>Erect 20x20 braced interior bay, 20'-80' wide</t>
  </si>
  <si>
    <t>Erect 16x16 braced interior bay, 20'-80' wide</t>
  </si>
  <si>
    <t>Erect 28x28 interior bay, 81'-120' wide</t>
  </si>
  <si>
    <t>Erect 24x24 interior bay, 81'-120' wide</t>
  </si>
  <si>
    <t>Erect 20x20 interior bay, 81'-120' wide</t>
  </si>
  <si>
    <t>Erect 16x16 interior bay, 81'-120' wide</t>
  </si>
  <si>
    <t>Erect 28x28 interior bay, 20'-80' wide</t>
  </si>
  <si>
    <t>Erect 24x24 interior bay, 20'-80' wide</t>
  </si>
  <si>
    <t>Erect 20x20 interior bay, 20'-80' wide</t>
  </si>
  <si>
    <t>Erect 16x16 interior bay, 20'-80' wide</t>
  </si>
  <si>
    <t>Erect 28x28 braced end bay, 81'-120' wide</t>
  </si>
  <si>
    <t>Erect 24x24 braced end bay, 81'-120' wide</t>
  </si>
  <si>
    <t>Erect 20x20 braced end bay, 81'-120' wide</t>
  </si>
  <si>
    <t>Erect 16x16 braced end bay, 81'-120' wide</t>
  </si>
  <si>
    <t>Erect 28x28 braced end bay, 20'-80' wide</t>
  </si>
  <si>
    <t>Erect 24x24 braced end bay, 20'-80' wide</t>
  </si>
  <si>
    <t>Erect 20x20 braced end bay, 20'-80' wide</t>
  </si>
  <si>
    <t>Erect 16x16 braced end bay, 20'-80' wide</t>
  </si>
  <si>
    <t>Erect 28x28 end bay, 81'-120' wide</t>
  </si>
  <si>
    <t>Erect 24x24 end bay, 81'-120' wide</t>
  </si>
  <si>
    <t>Erect 20x20 end bay, 81'-120' wide</t>
  </si>
  <si>
    <t>Erect 16x16 end bay, 81'-120' wide</t>
  </si>
  <si>
    <t>Erect 28x28 end bay, 20'-80' wide</t>
  </si>
  <si>
    <t>Erect 24x24 end bay, 20'-80' wide</t>
  </si>
  <si>
    <t>Erect 20x20 end bay, 20'-80' wide</t>
  </si>
  <si>
    <t>Erect 16x16 end bay, 20'-80' wide</t>
  </si>
  <si>
    <t>Portable booths and offices</t>
  </si>
  <si>
    <t>* No. of prefabricated metal buildings *</t>
  </si>
  <si>
    <t xml:space="preserve">    Frame, roof and siding</t>
  </si>
  <si>
    <t xml:space="preserve">    Frame and roof</t>
  </si>
  <si>
    <t xml:space="preserve">    Frame only</t>
  </si>
  <si>
    <t>Prefabricated metal building</t>
  </si>
  <si>
    <t>Greenhouse/solarium</t>
  </si>
  <si>
    <t xml:space="preserve">  Bus ground clamp ¾"</t>
  </si>
  <si>
    <t xml:space="preserve">  Bus ground clamp 5/8"</t>
  </si>
  <si>
    <t xml:space="preserve">  Bus ground clamp ½"</t>
  </si>
  <si>
    <t xml:space="preserve">  Tap ground clamp ¾"</t>
  </si>
  <si>
    <t xml:space="preserve">  Tap ground clamp 5/8"</t>
  </si>
  <si>
    <t xml:space="preserve">  Tap ground clamp ½2"</t>
  </si>
  <si>
    <t xml:space="preserve">  Lay-in masonry anchor Cu</t>
  </si>
  <si>
    <t xml:space="preserve">  Anchor clip   aluminum</t>
  </si>
  <si>
    <t xml:space="preserve">  Anchor clip   copper</t>
  </si>
  <si>
    <t xml:space="preserve">  Clip          aluminum</t>
  </si>
  <si>
    <t xml:space="preserve">  Clip          copper</t>
  </si>
  <si>
    <t xml:space="preserve">  Stand-off     aluminum</t>
  </si>
  <si>
    <t xml:space="preserve">  Stand-off     copper</t>
  </si>
  <si>
    <t xml:space="preserve">  Loop          aluminum</t>
  </si>
  <si>
    <t xml:space="preserve">  Loop          copper</t>
  </si>
  <si>
    <t xml:space="preserve">  Strap         aluminum</t>
  </si>
  <si>
    <t xml:space="preserve">  Strap         copper</t>
  </si>
  <si>
    <t xml:space="preserve">  Adhesive      aluminum</t>
  </si>
  <si>
    <t xml:space="preserve">  Adhesive      copper</t>
  </si>
  <si>
    <t xml:space="preserve"> Cble fastners &amp; gnd clamp</t>
  </si>
  <si>
    <t xml:space="preserve">  Metal bonding clamp alum</t>
  </si>
  <si>
    <t xml:space="preserve">  Metal bonding clamp Cu</t>
  </si>
  <si>
    <t xml:space="preserve">  Angle or chnl clamp alum</t>
  </si>
  <si>
    <t xml:space="preserve">  Angle or chnl clamp Cu</t>
  </si>
  <si>
    <t xml:space="preserve">  Gutter or rod clamp alum</t>
  </si>
  <si>
    <t xml:space="preserve">  Gutter or rod clamp Cu</t>
  </si>
  <si>
    <t xml:space="preserve">  Water service clamp alum</t>
  </si>
  <si>
    <t xml:space="preserve">  Water service clamp Cu</t>
  </si>
  <si>
    <t xml:space="preserve">  Pipe bonding clamp  alum</t>
  </si>
  <si>
    <t xml:space="preserve">  Pipe bonding clamp  Cu</t>
  </si>
  <si>
    <t xml:space="preserve">  Bonding plate  aluminum</t>
  </si>
  <si>
    <t xml:space="preserve">  Bonding plate  copper</t>
  </si>
  <si>
    <t xml:space="preserve"> Bonding plates and clamps</t>
  </si>
  <si>
    <t xml:space="preserve">  Parallel bi-metallic</t>
  </si>
  <si>
    <t xml:space="preserve">  Straight bi-metallic</t>
  </si>
  <si>
    <t xml:space="preserve">  Cross        aluminum</t>
  </si>
  <si>
    <t xml:space="preserve">  Cross        copper</t>
  </si>
  <si>
    <t xml:space="preserve">  Parallel     aluminum</t>
  </si>
  <si>
    <t xml:space="preserve">  Parallel     copper</t>
  </si>
  <si>
    <t xml:space="preserve">  Combination  aluminum</t>
  </si>
  <si>
    <t xml:space="preserve">  Combination  copper</t>
  </si>
  <si>
    <t xml:space="preserve">  Tee          aluminum</t>
  </si>
  <si>
    <t xml:space="preserve">  Tee          copper</t>
  </si>
  <si>
    <t xml:space="preserve">  Straight     aluminum</t>
  </si>
  <si>
    <t xml:space="preserve">  Straight     copper</t>
  </si>
  <si>
    <t xml:space="preserve"> Cable splicers</t>
  </si>
  <si>
    <t xml:space="preserve">  Stand-off      5/8" alum</t>
  </si>
  <si>
    <t xml:space="preserve">  Stand-off      1/2" alum</t>
  </si>
  <si>
    <t xml:space="preserve">  Stand-off      3/8" alum</t>
  </si>
  <si>
    <t xml:space="preserve">  Stand-off      5/8" Cu</t>
  </si>
  <si>
    <t xml:space="preserve">  Stand-off      1/2" Cu</t>
  </si>
  <si>
    <t xml:space="preserve">  Stand-off      3/8" Cu</t>
  </si>
  <si>
    <t xml:space="preserve">  Spring type    5/8" alum</t>
  </si>
  <si>
    <t xml:space="preserve">  Spring type    1/2" alum</t>
  </si>
  <si>
    <t xml:space="preserve">  Spring type    3/8" alum</t>
  </si>
  <si>
    <t xml:space="preserve">  Spring type    1/2" Cu</t>
  </si>
  <si>
    <t xml:space="preserve">  Spring type    3/8" Cu</t>
  </si>
  <si>
    <t xml:space="preserve">  Metal mounted  5/8" alum</t>
  </si>
  <si>
    <t xml:space="preserve">  Metal mounted  1/2" alum</t>
  </si>
  <si>
    <t xml:space="preserve">  Metal mounted  3/8" alum</t>
  </si>
  <si>
    <t xml:space="preserve">  Metal mounted  5/8" Cu</t>
  </si>
  <si>
    <t xml:space="preserve">  Metal mounted  1/2" Cu</t>
  </si>
  <si>
    <t xml:space="preserve">  Metal mounted  3/8" Cu</t>
  </si>
  <si>
    <t xml:space="preserve">  Adhesive       5/8" alum</t>
  </si>
  <si>
    <t xml:space="preserve">  Adhesive       1/2" alum</t>
  </si>
  <si>
    <t xml:space="preserve">  Adhesive       3/8" alum</t>
  </si>
  <si>
    <t xml:space="preserve">  Adhesive       5/8" Cu</t>
  </si>
  <si>
    <t xml:space="preserve">  Adhesive       3/8" Cu</t>
  </si>
  <si>
    <t xml:space="preserve">  Pipe/hand rail 5/8" alum</t>
  </si>
  <si>
    <t xml:space="preserve">  Pipe/hand rail 1/2" alum</t>
  </si>
  <si>
    <t xml:space="preserve">  Pipe/hand rail 3/8" alum</t>
  </si>
  <si>
    <t xml:space="preserve">  Pipe/hand rail 5/8" Cu</t>
  </si>
  <si>
    <t xml:space="preserve">  Pipe/hand rail 1/2" Cu</t>
  </si>
  <si>
    <t xml:space="preserve">  Pipe/handrail 3/8" Cu</t>
  </si>
  <si>
    <t xml:space="preserve">  Side ridge 1/2" aluminum</t>
  </si>
  <si>
    <t xml:space="preserve">  Side ridge 3/8" aluminum</t>
  </si>
  <si>
    <t xml:space="preserve">  Side ridge 1/2" copper</t>
  </si>
  <si>
    <t xml:space="preserve">  Side ridge 3/8" copper</t>
  </si>
  <si>
    <t xml:space="preserve">  Ridge 5/8"      aluminum</t>
  </si>
  <si>
    <t xml:space="preserve">  Ridge 1/2"      aluminum</t>
  </si>
  <si>
    <t xml:space="preserve">  Ridge 3/8"      aluminum</t>
  </si>
  <si>
    <t xml:space="preserve">  Ridge    5/8"   copper</t>
  </si>
  <si>
    <t xml:space="preserve">  Ridge    1/2"   copper</t>
  </si>
  <si>
    <t xml:space="preserve">  Ridge    3/8"   copper</t>
  </si>
  <si>
    <t xml:space="preserve">  Combination 1/2" alum</t>
  </si>
  <si>
    <t xml:space="preserve">  Combination 3/8" alum</t>
  </si>
  <si>
    <t xml:space="preserve">  Combination 1/2" Cu</t>
  </si>
  <si>
    <t xml:space="preserve">  Combination 3/8" Cu</t>
  </si>
  <si>
    <t xml:space="preserve">  Tee      1/2"   aluminum</t>
  </si>
  <si>
    <t xml:space="preserve">  Tee      3/8"   aluminum</t>
  </si>
  <si>
    <t xml:space="preserve">  Tee      1/2"   copper</t>
  </si>
  <si>
    <t xml:space="preserve">  Tee      3/8"   copper</t>
  </si>
  <si>
    <t xml:space="preserve">  Straight 5/8"   aluminum</t>
  </si>
  <si>
    <t xml:space="preserve">  Straight 1/2"   aluminum</t>
  </si>
  <si>
    <t xml:space="preserve">  Straight 5/8"   copper</t>
  </si>
  <si>
    <t xml:space="preserve">  Straight 1/2"   copper</t>
  </si>
  <si>
    <t xml:space="preserve">  Straight 3/8"   copper</t>
  </si>
  <si>
    <t xml:space="preserve"> Air terminal base</t>
  </si>
  <si>
    <t xml:space="preserve">  5/8" swivel adapter aluminum</t>
  </si>
  <si>
    <t xml:space="preserve">  1/2" swivel adapter aluminum</t>
  </si>
  <si>
    <t xml:space="preserve">  5/8" swivel adapter Cu</t>
  </si>
  <si>
    <t xml:space="preserve">  1/2" swivel adapter Cu</t>
  </si>
  <si>
    <t xml:space="preserve">  5/8" male to male   aluminum</t>
  </si>
  <si>
    <t xml:space="preserve">  5/8" fmale to male  alum</t>
  </si>
  <si>
    <t xml:space="preserve">  5/8" fmale to fmale aluminum</t>
  </si>
  <si>
    <t xml:space="preserve">  1/2" male to male   alum</t>
  </si>
  <si>
    <t xml:space="preserve">  1/2" fmale to male  alum</t>
  </si>
  <si>
    <t xml:space="preserve">  1/2" fmale to fmale aluminum</t>
  </si>
  <si>
    <t xml:space="preserve">  5/8" male to male   Cu</t>
  </si>
  <si>
    <t xml:space="preserve">  5/8" fmale to male  Cu</t>
  </si>
  <si>
    <t xml:space="preserve">  5/8" fmale to fmale Cu</t>
  </si>
  <si>
    <t xml:space="preserve">  1/2" male to male   Cu</t>
  </si>
  <si>
    <t xml:space="preserve">  1/2" fmale to male  Cu</t>
  </si>
  <si>
    <t xml:space="preserve">  1/2" fmale to fmale Cu</t>
  </si>
  <si>
    <t xml:space="preserve">  3/8" male to male   Cu</t>
  </si>
  <si>
    <t xml:space="preserve">  3/8" fmale to male  Cu</t>
  </si>
  <si>
    <t xml:space="preserve">  3/8" fmale to fmale Cu</t>
  </si>
  <si>
    <t xml:space="preserve"> Couplings and adapters</t>
  </si>
  <si>
    <t xml:space="preserve">  5/8" x 60"</t>
  </si>
  <si>
    <t xml:space="preserve">  5/8" x 48"</t>
  </si>
  <si>
    <t xml:space="preserve">  5/8" x 36"</t>
  </si>
  <si>
    <t xml:space="preserve">  5/8" x 30"</t>
  </si>
  <si>
    <t xml:space="preserve">  5/8" x 24"</t>
  </si>
  <si>
    <t xml:space="preserve">  5/8" x 18"</t>
  </si>
  <si>
    <t xml:space="preserve">  5/8" x 15"</t>
  </si>
  <si>
    <t xml:space="preserve">  5/8" x 12"</t>
  </si>
  <si>
    <t xml:space="preserve">  5/8" x 10"</t>
  </si>
  <si>
    <t xml:space="preserve">  1/2" x 60"</t>
  </si>
  <si>
    <t xml:space="preserve">  1/2" x 48"</t>
  </si>
  <si>
    <t xml:space="preserve">  1/2" x 36"</t>
  </si>
  <si>
    <t xml:space="preserve">  1/2" x 30"</t>
  </si>
  <si>
    <t xml:space="preserve">  1/2" x 24"</t>
  </si>
  <si>
    <t xml:space="preserve">  1/2" x 18"</t>
  </si>
  <si>
    <t xml:space="preserve">  1/2" x 15"</t>
  </si>
  <si>
    <t xml:space="preserve">  1/2" x 12"</t>
  </si>
  <si>
    <t xml:space="preserve">  1/2" x 10"</t>
  </si>
  <si>
    <t xml:space="preserve"> Air terminals, aluminum</t>
  </si>
  <si>
    <t xml:space="preserve">  3/8" x 60"</t>
  </si>
  <si>
    <t xml:space="preserve">  3/8" x 48"</t>
  </si>
  <si>
    <t xml:space="preserve">  3/8" x 36"</t>
  </si>
  <si>
    <t xml:space="preserve">  3/8" x 30"</t>
  </si>
  <si>
    <t xml:space="preserve">  3/8" x 24"</t>
  </si>
  <si>
    <t xml:space="preserve">  3/8" x 18"</t>
  </si>
  <si>
    <t xml:space="preserve">  3/8" x 15"</t>
  </si>
  <si>
    <t xml:space="preserve">  3/8" x 12"</t>
  </si>
  <si>
    <t xml:space="preserve">  3/8" x 10"</t>
  </si>
  <si>
    <t xml:space="preserve"> Air terminals, copper</t>
  </si>
  <si>
    <t xml:space="preserve">  1/4" w x 2"      thick</t>
  </si>
  <si>
    <t xml:space="preserve">  1/4" w x 1-1/4"  thick</t>
  </si>
  <si>
    <t xml:space="preserve">  1/4" w x 1"      thick</t>
  </si>
  <si>
    <t xml:space="preserve">  1/4" w x 3/4"    thick</t>
  </si>
  <si>
    <t xml:space="preserve">  1/8" w x 2"      thick</t>
  </si>
  <si>
    <t xml:space="preserve">  1/8" w x 1-1/2"  thick</t>
  </si>
  <si>
    <t xml:space="preserve">  1/8" w x 1"      thick</t>
  </si>
  <si>
    <t xml:space="preserve">  1/8" w x 3/4"    thick</t>
  </si>
  <si>
    <t xml:space="preserve"> Bus bar, aluminum</t>
  </si>
  <si>
    <t xml:space="preserve">  1/4" w x 1-1/2"  thick</t>
  </si>
  <si>
    <t xml:space="preserve">  1/16"w x 1"      thick</t>
  </si>
  <si>
    <t xml:space="preserve"> Bus bar, copper (lightning protection)</t>
  </si>
  <si>
    <t xml:space="preserve">  1/2" diameter</t>
  </si>
  <si>
    <t xml:space="preserve"> Conductor, rod aluminum</t>
  </si>
  <si>
    <t xml:space="preserve"> Conductor, rod copper</t>
  </si>
  <si>
    <t xml:space="preserve">  #2/0 AWG</t>
  </si>
  <si>
    <t xml:space="preserve"> Flexible braid, aluminum</t>
  </si>
  <si>
    <t xml:space="preserve">  #1/0 AWG</t>
  </si>
  <si>
    <t xml:space="preserve">  #2   AWG</t>
  </si>
  <si>
    <t xml:space="preserve">  #4   AWG</t>
  </si>
  <si>
    <t xml:space="preserve">  #6   AWG</t>
  </si>
  <si>
    <t xml:space="preserve"> Flexible braid, copper</t>
  </si>
  <si>
    <t xml:space="preserve">  1¼" wdth x 12ga thick</t>
  </si>
  <si>
    <t xml:space="preserve">      1" wdth x 12ga thick</t>
  </si>
  <si>
    <t xml:space="preserve">    5/8" wdth x 14ga thick</t>
  </si>
  <si>
    <t xml:space="preserve"> Conductor, flat aluminum</t>
  </si>
  <si>
    <t xml:space="preserve">  1¼" wdth x 14ga thick</t>
  </si>
  <si>
    <t xml:space="preserve">      1" wdth x 14ga thick</t>
  </si>
  <si>
    <t xml:space="preserve">    ¾" wdth x 14ga thick</t>
  </si>
  <si>
    <t xml:space="preserve"> Conductor, flat copper</t>
  </si>
  <si>
    <t xml:space="preserve">  #4/0 AWG</t>
  </si>
  <si>
    <t xml:space="preserve"> Conductor, aluminum (Lightning protection)</t>
  </si>
  <si>
    <t xml:space="preserve">  #500 MCM</t>
  </si>
  <si>
    <t xml:space="preserve">  #250 MCM</t>
  </si>
  <si>
    <t xml:space="preserve"> Conductor, copper (Lightning protection)</t>
  </si>
  <si>
    <t>Boron loaded shielding door</t>
  </si>
  <si>
    <t>Lead lining</t>
  </si>
  <si>
    <t>Lead lined doors</t>
  </si>
  <si>
    <t>Lead lined view windows</t>
  </si>
  <si>
    <t>Lead lined gypsum board</t>
  </si>
  <si>
    <t>Sauna</t>
  </si>
  <si>
    <t>Blinds</t>
  </si>
  <si>
    <t>Credenza</t>
  </si>
  <si>
    <t>Autopsy table</t>
  </si>
  <si>
    <t>Mortuary refrigerator, 6 corpses</t>
  </si>
  <si>
    <t>Mortuary refrigerator, 2 corpses</t>
  </si>
  <si>
    <t>Patient room head wall system</t>
  </si>
  <si>
    <t>Ultrasonic sterilizer</t>
  </si>
  <si>
    <t>Ethylene oxide gas sterilizer</t>
  </si>
  <si>
    <t>Cart washer</t>
  </si>
  <si>
    <t>Automatic pass-thru sterilizer/washer</t>
  </si>
  <si>
    <t>Terminal steam sterilizer</t>
  </si>
  <si>
    <t>ALLO</t>
  </si>
  <si>
    <t>Medical equipment allowance</t>
  </si>
  <si>
    <t>Laboratory fume hood (3' long)</t>
  </si>
  <si>
    <t>Laboratory refrigerators</t>
  </si>
  <si>
    <t>Blood bank refrigeration units</t>
  </si>
  <si>
    <t>Laboratory equipment allowance</t>
  </si>
  <si>
    <t>Sand &amp; Cement Grout</t>
  </si>
  <si>
    <t>Non-Shrinking Grout</t>
  </si>
  <si>
    <t>Epoxy Grout</t>
  </si>
  <si>
    <t xml:space="preserve">  Anchor Equipment</t>
  </si>
  <si>
    <t xml:space="preserve">  Alignment of Equipment</t>
  </si>
  <si>
    <t xml:space="preserve">  Rough Setting of Equipment</t>
  </si>
  <si>
    <t xml:space="preserve">  Receive &amp; Unload Equipment</t>
  </si>
  <si>
    <t xml:space="preserve">  Total Weight</t>
  </si>
  <si>
    <t>Athletic equipment allowance</t>
  </si>
  <si>
    <t>Dryer vent</t>
  </si>
  <si>
    <t>Refrigerator ice maker</t>
  </si>
  <si>
    <t>Central vacuum system</t>
  </si>
  <si>
    <t>120° water heater</t>
  </si>
  <si>
    <t>Trash compactor</t>
  </si>
  <si>
    <t>Dryer</t>
  </si>
  <si>
    <t>Washer</t>
  </si>
  <si>
    <t>48" splash plate</t>
  </si>
  <si>
    <t>42" splash plate</t>
  </si>
  <si>
    <t>36" splash plate</t>
  </si>
  <si>
    <t>30" splash plate</t>
  </si>
  <si>
    <t>24" splash plate</t>
  </si>
  <si>
    <t>Refrigerator type B  (Sub-Zero level)</t>
  </si>
  <si>
    <t>Refrigerator type A  (Kenmore level)</t>
  </si>
  <si>
    <t>Freezer</t>
  </si>
  <si>
    <t>Under counter ice maker</t>
  </si>
  <si>
    <t>Under counter refrigerator</t>
  </si>
  <si>
    <t>Side by side refrigerator</t>
  </si>
  <si>
    <t>Refrigerator freezer</t>
  </si>
  <si>
    <t>Dishwasher type B</t>
  </si>
  <si>
    <t>Dishwasher type A</t>
  </si>
  <si>
    <t>Premium quality dishwasher</t>
  </si>
  <si>
    <t>Pot-scrubber dishwasher</t>
  </si>
  <si>
    <t>Multi-cycle dishwasher</t>
  </si>
  <si>
    <t>Standard dishwasher</t>
  </si>
  <si>
    <t>Disposal type B</t>
  </si>
  <si>
    <t>Disposal type A</t>
  </si>
  <si>
    <t>1 h.p. disposal</t>
  </si>
  <si>
    <t>½ h.p. disposal</t>
  </si>
  <si>
    <t>1/3 h.p. disposal</t>
  </si>
  <si>
    <t>¼ h.p. disposal</t>
  </si>
  <si>
    <t>Vent hood type A</t>
  </si>
  <si>
    <t>Non-vented microwave trim kit</t>
  </si>
  <si>
    <t>Vented microwave trim kit</t>
  </si>
  <si>
    <t>42" non-vented hood</t>
  </si>
  <si>
    <t>36" non-vented hood</t>
  </si>
  <si>
    <t>30" non-vented hood</t>
  </si>
  <si>
    <t>42" vented hood</t>
  </si>
  <si>
    <t>36" vented hood</t>
  </si>
  <si>
    <t>30" vented hood</t>
  </si>
  <si>
    <t>Vented grill w/glass top</t>
  </si>
  <si>
    <t>Vented grill range</t>
  </si>
  <si>
    <t>Glasstop cooktop</t>
  </si>
  <si>
    <t>Griddle cooktop</t>
  </si>
  <si>
    <t>Conventional cooktop</t>
  </si>
  <si>
    <t>Electric oven</t>
  </si>
  <si>
    <t>Ice maker</t>
  </si>
  <si>
    <t>Dishwasher</t>
  </si>
  <si>
    <t>Gas oven</t>
  </si>
  <si>
    <t>Range</t>
  </si>
  <si>
    <t>Range type B</t>
  </si>
  <si>
    <t>Range type A</t>
  </si>
  <si>
    <t>Built-in range</t>
  </si>
  <si>
    <t>Free standing range</t>
  </si>
  <si>
    <t>Oven type B</t>
  </si>
  <si>
    <t>Oven type A</t>
  </si>
  <si>
    <t>Single oven/microwave combo</t>
  </si>
  <si>
    <t>Microwave oven</t>
  </si>
  <si>
    <t>Double oven, self cleaning</t>
  </si>
  <si>
    <t>Single oven, self cleaning</t>
  </si>
  <si>
    <t>Double oven, continuous clean</t>
  </si>
  <si>
    <t>Single oven, continuous clean</t>
  </si>
  <si>
    <t>Cafeteria institutional dishwasher</t>
  </si>
  <si>
    <t>Cafeteria serving counter and warmer</t>
  </si>
  <si>
    <t>Range and oven</t>
  </si>
  <si>
    <t>Lunchroom broiler</t>
  </si>
  <si>
    <t>Cafeteria food cooler (6 lnft)</t>
  </si>
  <si>
    <t>Cafeteria freezer</t>
  </si>
  <si>
    <t>Kitchen equipment allowance</t>
  </si>
  <si>
    <t>Food service equipment allowance</t>
  </si>
  <si>
    <t>Detention hardware</t>
  </si>
  <si>
    <t>CELL</t>
  </si>
  <si>
    <t>Vandal proof accessories</t>
  </si>
  <si>
    <t>Cell bunks</t>
  </si>
  <si>
    <t>Cell doors</t>
  </si>
  <si>
    <t>Detention equipment allowance</t>
  </si>
  <si>
    <t>* No. of docks *</t>
  </si>
  <si>
    <t>Neoprene corner guard</t>
  </si>
  <si>
    <t>Dock shelter allow $2,500</t>
  </si>
  <si>
    <t>Dock shelter allow $2,250</t>
  </si>
  <si>
    <t>Dock shelter allow $2,000</t>
  </si>
  <si>
    <t>Dock shelter allow $1,800</t>
  </si>
  <si>
    <t>Dock shelter allow $1,600</t>
  </si>
  <si>
    <t>Dock shelter allow $1,400</t>
  </si>
  <si>
    <t>Dock shelter allow $1,200</t>
  </si>
  <si>
    <t>Dock shelter allow $1,000</t>
  </si>
  <si>
    <t>Door seal</t>
  </si>
  <si>
    <t>Dock bumpers</t>
  </si>
  <si>
    <t>4-1/2x10x36 rubber dock bumper</t>
  </si>
  <si>
    <t>4-1/2x10x12 rubber dock bumper</t>
  </si>
  <si>
    <t>4-1/2x6x36 rubber dock bumper</t>
  </si>
  <si>
    <t>4-1/2x6x14 rubber dock bumper</t>
  </si>
  <si>
    <t>Dock board</t>
  </si>
  <si>
    <t>60x60 15000 lb cap dock board</t>
  </si>
  <si>
    <t>60x60 9000 lb cap dock board</t>
  </si>
  <si>
    <t>60x60 5000 lb cap dock board</t>
  </si>
  <si>
    <t>8x10 dock leveler</t>
  </si>
  <si>
    <t>7x10 dock leveler</t>
  </si>
  <si>
    <t>7x8 dock leveler</t>
  </si>
  <si>
    <t>7x6 dock leveler</t>
  </si>
  <si>
    <t>6x10 dock leveler</t>
  </si>
  <si>
    <t>6x8 dock leveler</t>
  </si>
  <si>
    <t>6x6 dock leveler</t>
  </si>
  <si>
    <t>Dock leveler</t>
  </si>
  <si>
    <t>Parking equipment allowance</t>
  </si>
  <si>
    <t>Projection view windows</t>
  </si>
  <si>
    <t>Rear projection screen</t>
  </si>
  <si>
    <t>Projection screen electric operated</t>
  </si>
  <si>
    <t>Projection screen manually operated</t>
  </si>
  <si>
    <t>Laundry equipment allowance</t>
  </si>
  <si>
    <t>Night depoist</t>
  </si>
  <si>
    <t>Teller window</t>
  </si>
  <si>
    <t>64"x24"x18" jewler's safe</t>
  </si>
  <si>
    <t>24"x24"x20" tool and torch resistive safe</t>
  </si>
  <si>
    <t>60"x36"x18" 4 hour rated safe</t>
  </si>
  <si>
    <t>30"x18"x18" 4 hour rated safe</t>
  </si>
  <si>
    <t>Vault door</t>
  </si>
  <si>
    <t>* Pieces of equipment *</t>
  </si>
  <si>
    <t>Adjustable closet rod 8' to 12'</t>
  </si>
  <si>
    <t>Adjustable closet rod 4'6" to 8'</t>
  </si>
  <si>
    <t>Adjustable closet rod 4' to 6'</t>
  </si>
  <si>
    <t>Adjustable closet rod 2' to 4'</t>
  </si>
  <si>
    <t>Coat rack</t>
  </si>
  <si>
    <t>Coat racks</t>
  </si>
  <si>
    <t>Wire closet unit</t>
  </si>
  <si>
    <t xml:space="preserve">   "x  " decorative mirror</t>
  </si>
  <si>
    <t xml:space="preserve">   "x  " ¼" framed mirror</t>
  </si>
  <si>
    <t xml:space="preserve">   "x  " ¼" plate gl mirror</t>
  </si>
  <si>
    <t>Medicine cabinet Type B</t>
  </si>
  <si>
    <t>Medicine cabinet Type A</t>
  </si>
  <si>
    <t>Antique brass medicine cabinet</t>
  </si>
  <si>
    <t>Chrome medicine cabinet</t>
  </si>
  <si>
    <t>Shower door</t>
  </si>
  <si>
    <t>Sliding tub door</t>
  </si>
  <si>
    <t>Shower curtain rod</t>
  </si>
  <si>
    <t>Tub curtain rod</t>
  </si>
  <si>
    <t>Antique brass robe hook</t>
  </si>
  <si>
    <t>Antique brass soap and grab</t>
  </si>
  <si>
    <t>Antique brass recessed soap dish</t>
  </si>
  <si>
    <t>Antique brass soap dish</t>
  </si>
  <si>
    <t>Antique brass toothbrush holder</t>
  </si>
  <si>
    <t>Antique brass recessed toilet paper holder</t>
  </si>
  <si>
    <t>Antique brass toilet paper holder</t>
  </si>
  <si>
    <t>Antique brass towel ring</t>
  </si>
  <si>
    <t>36" antique brass towel bar</t>
  </si>
  <si>
    <t>30" antique brass towel bar</t>
  </si>
  <si>
    <t>24" antique brass towel bar</t>
  </si>
  <si>
    <t>18" antique brass towel bar</t>
  </si>
  <si>
    <t>12" antique brass towel bar</t>
  </si>
  <si>
    <t>Chrome robe hook</t>
  </si>
  <si>
    <t>Chrome soap and grab</t>
  </si>
  <si>
    <t>Chrome recessed soap dish</t>
  </si>
  <si>
    <t>Chrome soap dish</t>
  </si>
  <si>
    <t>Chrome toothbrush holder</t>
  </si>
  <si>
    <t>Chrome recessed tph</t>
  </si>
  <si>
    <t>Chrome toilet paper holder</t>
  </si>
  <si>
    <t>Chrome towel ring</t>
  </si>
  <si>
    <t>36" chrome towel bar</t>
  </si>
  <si>
    <t>30" chrome towel bar</t>
  </si>
  <si>
    <t>24" chrome towel bar</t>
  </si>
  <si>
    <t>18" chrome towel bar</t>
  </si>
  <si>
    <t>12" chrome towel bar</t>
  </si>
  <si>
    <t>******************************</t>
  </si>
  <si>
    <t>Robe hook</t>
  </si>
  <si>
    <t>Clothes line</t>
  </si>
  <si>
    <t>Facial tissue dispenser</t>
  </si>
  <si>
    <t>Medicine cabinet w/mirror</t>
  </si>
  <si>
    <t>Medicine cabinet</t>
  </si>
  <si>
    <t>Soap dish</t>
  </si>
  <si>
    <t>Towel ring</t>
  </si>
  <si>
    <t>Towel rack</t>
  </si>
  <si>
    <t>Towel shelf</t>
  </si>
  <si>
    <t>Towel bar</t>
  </si>
  <si>
    <t>Grab bar</t>
  </si>
  <si>
    <t>Recessed double roll toilet paper holder</t>
  </si>
  <si>
    <t>Recessed single roll toilet paper holder</t>
  </si>
  <si>
    <t>Surface mounted double roll toilet paper holder</t>
  </si>
  <si>
    <t>Surface mounted single roll toilet paper holder</t>
  </si>
  <si>
    <t>Tub liner</t>
  </si>
  <si>
    <t>Tub surround</t>
  </si>
  <si>
    <t>Shower enclosure</t>
  </si>
  <si>
    <t>Tub/shower door</t>
  </si>
  <si>
    <t>*** Hotel/Residential accessories ***</t>
  </si>
  <si>
    <t>H/C tilt mirror</t>
  </si>
  <si>
    <t xml:space="preserve">     Framed mirror w/shelf</t>
  </si>
  <si>
    <t>Purse shelf</t>
  </si>
  <si>
    <t>SS shelf</t>
  </si>
  <si>
    <t xml:space="preserve">    In SS shelf</t>
  </si>
  <si>
    <t xml:space="preserve">     Framed mirror</t>
  </si>
  <si>
    <t>Specimen pass thru</t>
  </si>
  <si>
    <t>Bed pan storage cabinet</t>
  </si>
  <si>
    <t>Bed pan rack</t>
  </si>
  <si>
    <t>Shower seat</t>
  </si>
  <si>
    <t>Scrub brush dispenser</t>
  </si>
  <si>
    <t>36" towel bar</t>
  </si>
  <si>
    <t>30" towel bar</t>
  </si>
  <si>
    <t>24" towel bar</t>
  </si>
  <si>
    <t>18" towel bar</t>
  </si>
  <si>
    <t>Elect hair dryer</t>
  </si>
  <si>
    <t>Toothbrush/tumbler holder</t>
  </si>
  <si>
    <t>Ash urn</t>
  </si>
  <si>
    <t>Electric hand dryer</t>
  </si>
  <si>
    <t>Mop rack</t>
  </si>
  <si>
    <t>Towel pin</t>
  </si>
  <si>
    <t>Folding purse shelf</t>
  </si>
  <si>
    <t>Toilet seat cover dispenser</t>
  </si>
  <si>
    <t>Dressing room bench</t>
  </si>
  <si>
    <t>Corner shower seat</t>
  </si>
  <si>
    <t>Folding shower seat</t>
  </si>
  <si>
    <t>Mirror/paper towel dispenser/soap combo</t>
  </si>
  <si>
    <t>Soap/shelf combo unit</t>
  </si>
  <si>
    <t>Lav mounted soap dispenser</t>
  </si>
  <si>
    <t>Recessed soap/grab combo</t>
  </si>
  <si>
    <t>Surface mounted soap dish</t>
  </si>
  <si>
    <t>Recessed soap dish</t>
  </si>
  <si>
    <t>Foot control soap dispenser</t>
  </si>
  <si>
    <t>Powdered soap dispenser</t>
  </si>
  <si>
    <t>Liquid soap dispenser</t>
  </si>
  <si>
    <t>Multi-purpose unit</t>
  </si>
  <si>
    <t>Combo dispenser/waste unit</t>
  </si>
  <si>
    <t>Free standing waste receptacle</t>
  </si>
  <si>
    <t>Waste receptacle</t>
  </si>
  <si>
    <t>Paper towel dispenser</t>
  </si>
  <si>
    <t>72" paper towel dispenser/waste combo</t>
  </si>
  <si>
    <t>54" paper towel dispenser/waste combo</t>
  </si>
  <si>
    <t>Recess waste receptacle</t>
  </si>
  <si>
    <t>Surface mouted waste receptacle</t>
  </si>
  <si>
    <t>Recessed paper towel dispenser</t>
  </si>
  <si>
    <t>Surface mounted paper towel dispenser</t>
  </si>
  <si>
    <t>Napkin disposal</t>
  </si>
  <si>
    <t>Napkin vendor</t>
  </si>
  <si>
    <t>Part mounted dual SND</t>
  </si>
  <si>
    <t>Surface mounted SND</t>
  </si>
  <si>
    <t>Recessed SND</t>
  </si>
  <si>
    <t>Sanitary napkin vendor/disposal combo unit</t>
  </si>
  <si>
    <t>Recessed sanitary napkin vendor</t>
  </si>
  <si>
    <t>Surface mounted sanitary napkin vendor</t>
  </si>
  <si>
    <t>Flat sheet toilet paper dispenser</t>
  </si>
  <si>
    <t>Part mtd dual service toilet paper holder</t>
  </si>
  <si>
    <t>Recess double roll toilet paper holder</t>
  </si>
  <si>
    <t>Recess single roll toilet paper holder</t>
  </si>
  <si>
    <t>Surface mtd double roll toilet paper holder</t>
  </si>
  <si>
    <t>Surface mtd single roll toilet paper holder</t>
  </si>
  <si>
    <t>Wall to floor grab bar</t>
  </si>
  <si>
    <t>90 degree angle grab bar</t>
  </si>
  <si>
    <t>Corner grab bar @ tub</t>
  </si>
  <si>
    <t>Corner grab bar @ shower</t>
  </si>
  <si>
    <t>Wall/floor grab bar</t>
  </si>
  <si>
    <t>Straddle grab bar</t>
  </si>
  <si>
    <t>60" grab bar</t>
  </si>
  <si>
    <t>54" grab bar</t>
  </si>
  <si>
    <t>48" grab bar</t>
  </si>
  <si>
    <t>42" grab bar</t>
  </si>
  <si>
    <t>36" grab bar</t>
  </si>
  <si>
    <t>30" grab bar</t>
  </si>
  <si>
    <t>24" grab bar</t>
  </si>
  <si>
    <t>18" grab bar</t>
  </si>
  <si>
    <t>12" grab bar</t>
  </si>
  <si>
    <t>Splash block</t>
  </si>
  <si>
    <t>Decorative mirror</t>
  </si>
  <si>
    <t>Plate glass mirror</t>
  </si>
  <si>
    <t>Frameless ¼" plate mirror</t>
  </si>
  <si>
    <t>* No. of toilet accessories *</t>
  </si>
  <si>
    <t>Toilet and bath accessories</t>
  </si>
  <si>
    <t>Louvers</t>
  </si>
  <si>
    <t>Closet shelf unit</t>
  </si>
  <si>
    <t>Janitor's shelf and mop holder</t>
  </si>
  <si>
    <t>Janitor's shelf</t>
  </si>
  <si>
    <t>Storage shelving</t>
  </si>
  <si>
    <t>Fixed metal storage shelving</t>
  </si>
  <si>
    <t>Operable partitions</t>
  </si>
  <si>
    <t>Moveable partition</t>
  </si>
  <si>
    <t>Folding partition</t>
  </si>
  <si>
    <t>Wire mesh partitions</t>
  </si>
  <si>
    <t>Wire mesh partition</t>
  </si>
  <si>
    <t>Canopies</t>
  </si>
  <si>
    <t>Awnings</t>
  </si>
  <si>
    <t>Lockers</t>
  </si>
  <si>
    <t>OPNG</t>
  </si>
  <si>
    <t>Plaques</t>
  </si>
  <si>
    <t>Directories</t>
  </si>
  <si>
    <t>Flagpoles</t>
  </si>
  <si>
    <t>Cupolas</t>
  </si>
  <si>
    <t>Tackboards</t>
  </si>
  <si>
    <t>Markerboard</t>
  </si>
  <si>
    <t>Chalkboard</t>
  </si>
  <si>
    <t>SQS</t>
  </si>
  <si>
    <t xml:space="preserve"> Type B paint</t>
  </si>
  <si>
    <t xml:space="preserve"> Type A paint</t>
  </si>
  <si>
    <t xml:space="preserve"> Inorganic zinc</t>
  </si>
  <si>
    <t xml:space="preserve"> White zinc chromate</t>
  </si>
  <si>
    <t xml:space="preserve"> Red oxide</t>
  </si>
  <si>
    <t>RSR</t>
  </si>
  <si>
    <t xml:space="preserve"> Concrete</t>
  </si>
  <si>
    <t>Painting</t>
  </si>
  <si>
    <t>SIDE</t>
  </si>
  <si>
    <t>9½" foil faced fiberglass</t>
  </si>
  <si>
    <t>6¼" foil faced fiberglass</t>
  </si>
  <si>
    <t>3½" foil faced fiberglass</t>
  </si>
  <si>
    <t>6¼" kraft faced fiberglass</t>
  </si>
  <si>
    <t>3-5/8" kraft faced fiberglass</t>
  </si>
  <si>
    <t>3½" kraft faced fiberglass</t>
  </si>
  <si>
    <t>6¼" unfaced fiberglass</t>
  </si>
  <si>
    <t>3½" unfaced fiberglass</t>
  </si>
  <si>
    <t>2½" unfaced fiberglass</t>
  </si>
  <si>
    <t>M-H</t>
  </si>
  <si>
    <t>M-D</t>
  </si>
  <si>
    <t>Insulation labor</t>
  </si>
  <si>
    <t>Terrazzo floor</t>
  </si>
  <si>
    <t>Terrazzo @ landing</t>
  </si>
  <si>
    <t>Terrazzo treads and risers</t>
  </si>
  <si>
    <t>Terrazzo base</t>
  </si>
  <si>
    <t>Terrazzo floor 3" thick</t>
  </si>
  <si>
    <t>Terrazzo floor 1¾" thick</t>
  </si>
  <si>
    <t>** Terrazzo flooring **</t>
  </si>
  <si>
    <t>Slate tile</t>
  </si>
  <si>
    <t>Quarry base</t>
  </si>
  <si>
    <t>Quarry tile</t>
  </si>
  <si>
    <t>Quarry tile base</t>
  </si>
  <si>
    <t>Quarry tile floors</t>
  </si>
  <si>
    <t>Tile base</t>
  </si>
  <si>
    <t>Tile floor</t>
  </si>
  <si>
    <t>Ceramic tile wall</t>
  </si>
  <si>
    <t>Ceramic tile floor</t>
  </si>
  <si>
    <t>Mortar set ceramic tile wainscot</t>
  </si>
  <si>
    <t>Thin set ceramic tile wainscot</t>
  </si>
  <si>
    <t>Ceramic tile base</t>
  </si>
  <si>
    <t>Ceramic tile floor w/mortar</t>
  </si>
  <si>
    <t>Ceramic tile floor thin set</t>
  </si>
  <si>
    <t>Ceramic base</t>
  </si>
  <si>
    <t>Mortar set ceramic tile floor</t>
  </si>
  <si>
    <t>Thin set ceramic tile floor</t>
  </si>
  <si>
    <t>Ceramic soap dish</t>
  </si>
  <si>
    <t>Ceramic soap and grab</t>
  </si>
  <si>
    <t>Ceramic paper holder</t>
  </si>
  <si>
    <t>Ceramic robe hook</t>
  </si>
  <si>
    <t>Ceramic recessed soap dish</t>
  </si>
  <si>
    <t>Ceramic toothbrush holder</t>
  </si>
  <si>
    <t>Ceramic recessed toilet paper holder</t>
  </si>
  <si>
    <t>Ceramic toilet paper holder</t>
  </si>
  <si>
    <t>Ceramic towel ring</t>
  </si>
  <si>
    <t>36" ceramic towel bar</t>
  </si>
  <si>
    <t>30" ceramic towel bar</t>
  </si>
  <si>
    <t>24" ceramic towel bar</t>
  </si>
  <si>
    <t>18" ceramic towel bar</t>
  </si>
  <si>
    <t>12" ceramic towel bar</t>
  </si>
  <si>
    <t>* Tile area (ceramic/quarry/stone) *</t>
  </si>
  <si>
    <t>3-7/8" masonry fastener</t>
  </si>
  <si>
    <t>3-3/8" masonry fastener</t>
  </si>
  <si>
    <t>2-7/8" masonry fastener</t>
  </si>
  <si>
    <t>2-3/8" masonry fastener</t>
  </si>
  <si>
    <t>1-7/8" masonry fastener</t>
  </si>
  <si>
    <t>Corner bead</t>
  </si>
  <si>
    <t>** Shaftwall labor **</t>
  </si>
  <si>
    <t>** Drywall partition area **</t>
  </si>
  <si>
    <t>Shaftwall framing</t>
  </si>
  <si>
    <t>Drywall column enclosure</t>
  </si>
  <si>
    <t>Metal stud and gypsum soffit</t>
  </si>
  <si>
    <t>Furrdown</t>
  </si>
  <si>
    <t>Chase partition</t>
  </si>
  <si>
    <t>Shaft partition</t>
  </si>
  <si>
    <t>2 hour drywall partition</t>
  </si>
  <si>
    <t>1 hour drywall partition</t>
  </si>
  <si>
    <t>Standard drywall partition</t>
  </si>
  <si>
    <t>6" mtl stud w/gypsum-1 side</t>
  </si>
  <si>
    <t>4" mtl stud w/gypsum-1 side</t>
  </si>
  <si>
    <t>** Taping labor **</t>
  </si>
  <si>
    <t>** GWB soffit labor **</t>
  </si>
  <si>
    <t>** Gypsum board **</t>
  </si>
  <si>
    <t>* Interior partition area *</t>
  </si>
  <si>
    <t>* Drywall partition length *</t>
  </si>
  <si>
    <t>* Drywall ceiling area *</t>
  </si>
  <si>
    <t>** Soffit taping **</t>
  </si>
  <si>
    <t>Taping labor (soffits)</t>
  </si>
  <si>
    <t>Supervision</t>
  </si>
  <si>
    <t>Layout</t>
  </si>
  <si>
    <t>Scrap, gypsum board</t>
  </si>
  <si>
    <t>Stocking, gypsum board</t>
  </si>
  <si>
    <t>Soffit corner bead trim labor</t>
  </si>
  <si>
    <t>Cornerbead labor</t>
  </si>
  <si>
    <t>Trim labor</t>
  </si>
  <si>
    <t>Firetaping labor</t>
  </si>
  <si>
    <t>Taping labor,</t>
  </si>
  <si>
    <t>Drywall labor,</t>
  </si>
  <si>
    <t>Adhesive</t>
  </si>
  <si>
    <t>1-5/8" drywall screw</t>
  </si>
  <si>
    <t>#6 x 1-5/8" S12 bugle head screw</t>
  </si>
  <si>
    <t>#6 x 1-1/8" S12 bugle head screw</t>
  </si>
  <si>
    <t>1" drywall screw</t>
  </si>
  <si>
    <t>#6 x 7/16" S12 pan head screw</t>
  </si>
  <si>
    <t>3/16" S12 pan head screw</t>
  </si>
  <si>
    <t>Welds</t>
  </si>
  <si>
    <t>Pins and shots</t>
  </si>
  <si>
    <t>Finish gypsum board @ wall</t>
  </si>
  <si>
    <t>Finish gypsum board @ ceiling</t>
  </si>
  <si>
    <t>Hang gypsum board @ wall</t>
  </si>
  <si>
    <t>Hang gypsum board @ ceiling</t>
  </si>
  <si>
    <t>Nails for gypsum board</t>
  </si>
  <si>
    <t>5/8" gypsum board @ ceiling</t>
  </si>
  <si>
    <t>5/8" wtr rstnt gyp bd @ ceilng</t>
  </si>
  <si>
    <t>½" water resistant gyp bd @ ceilng</t>
  </si>
  <si>
    <t>5/8" firecode gyp bd @ ceiling</t>
  </si>
  <si>
    <t>½" gypsum board @ ceiling</t>
  </si>
  <si>
    <t>5/8" gypsum board @ wall</t>
  </si>
  <si>
    <t>5/8" WR gypsum board @ wall</t>
  </si>
  <si>
    <t>½" WR gypsum board @ wall</t>
  </si>
  <si>
    <t>5/8" FC gypsum board @ wall</t>
  </si>
  <si>
    <t>½" FC gypsum board @ wall</t>
  </si>
  <si>
    <t>½" gypsum board @ wall</t>
  </si>
  <si>
    <t>5/8" 4x8 firecode gyp bd @ wall</t>
  </si>
  <si>
    <t>½" 4x8 FC gyp bd @ wall</t>
  </si>
  <si>
    <t>5/8" 4x8 WR gyp bd @ wall</t>
  </si>
  <si>
    <t>½" 4x8 WR gyp bd @ wall</t>
  </si>
  <si>
    <t>5/8" 4x12 gyp bd @ wall</t>
  </si>
  <si>
    <t>½" 4x12 gyp bd @ wall</t>
  </si>
  <si>
    <t>5/8" 4x8 FC gyp bd @ ceiling</t>
  </si>
  <si>
    <t>½" 4x8 FC gyp bd @ ceiling</t>
  </si>
  <si>
    <t>5/8" 4x8 WR gyp bd @ ceiling</t>
  </si>
  <si>
    <t>½" 4x8 WR gyp bd @ ceiling</t>
  </si>
  <si>
    <t>5/8" 4x12 gyp bd @ ceiling</t>
  </si>
  <si>
    <t>½" 4x12 gyp bd @ ceiling</t>
  </si>
  <si>
    <t>Perfatape and joint cement ceiling</t>
  </si>
  <si>
    <t>Drywall tape and joint cement</t>
  </si>
  <si>
    <t>Gypsum soffit</t>
  </si>
  <si>
    <t>Gypsum board @ ceiling</t>
  </si>
  <si>
    <t>Water resistant gypsum board</t>
  </si>
  <si>
    <t>Firecode gypsum board</t>
  </si>
  <si>
    <t>Gypsum board</t>
  </si>
  <si>
    <t>Gypsum board fireproofing</t>
  </si>
  <si>
    <t>Joint cement for trim</t>
  </si>
  <si>
    <t>Fire taping</t>
  </si>
  <si>
    <t xml:space="preserve"> 5/8" firecode foil back gypsum board</t>
  </si>
  <si>
    <t>5/8" tile backer board (Dens-shield)</t>
  </si>
  <si>
    <t>5/8" firecode water resistant gypsum board</t>
  </si>
  <si>
    <t>5/8" firecode veneer plaster gypsum board (blueboard)</t>
  </si>
  <si>
    <t>5/8" firecode gypsum board</t>
  </si>
  <si>
    <t>½" mineral board</t>
  </si>
  <si>
    <t>½" firecode foil back gypsum board</t>
  </si>
  <si>
    <t>1" coreboard</t>
  </si>
  <si>
    <t>1" interlock coreboard</t>
  </si>
  <si>
    <t>½" tile backer board (Dens-shield)</t>
  </si>
  <si>
    <t>½" firecode water resistant gypsum board</t>
  </si>
  <si>
    <t>½" firecode veneer plaster gypsum board (blueboard)</t>
  </si>
  <si>
    <t>½" firecode gypsum board</t>
  </si>
  <si>
    <t>5/8" firecode imperial plaster base</t>
  </si>
  <si>
    <t>½" firecode imperial plaster base</t>
  </si>
  <si>
    <t>5/8" imperial plaster base</t>
  </si>
  <si>
    <t>½" imperial plaster base</t>
  </si>
  <si>
    <t>3/8" veneer plaster gypsum board (blueboard)</t>
  </si>
  <si>
    <t>3/8" foil back gypsum board</t>
  </si>
  <si>
    <t>¼" foil back gypsum board</t>
  </si>
  <si>
    <t>5/8" foil back gypsum board</t>
  </si>
  <si>
    <t>½" foil back gypsum board</t>
  </si>
  <si>
    <t>½" water resistant gypsum board</t>
  </si>
  <si>
    <t>5/8" gypsum board</t>
  </si>
  <si>
    <t>½" gypsum board</t>
  </si>
  <si>
    <t>3/8" gypsum board</t>
  </si>
  <si>
    <t xml:space="preserve"> ¼" gypsum board</t>
  </si>
  <si>
    <t>Drywall screws</t>
  </si>
  <si>
    <t>Drywall adhesive</t>
  </si>
  <si>
    <t>Drywall nails</t>
  </si>
  <si>
    <t>5/8" veneer plaster gypsum board (blueboard)</t>
  </si>
  <si>
    <t>½" veneer plaster gypsum board (blueboard)</t>
  </si>
  <si>
    <t>½" exterior gypsum board</t>
  </si>
  <si>
    <t>5/8" ceiling gypsum board</t>
  </si>
  <si>
    <t>½" ceiling gypsum board</t>
  </si>
  <si>
    <t>Vinyl covered gypsum board</t>
  </si>
  <si>
    <t>Stucco soffit</t>
  </si>
  <si>
    <t>Stucco</t>
  </si>
  <si>
    <t>Stucco on masonry</t>
  </si>
  <si>
    <t>* Plaster partition length *</t>
  </si>
  <si>
    <t>* Plaster ceiling area *</t>
  </si>
  <si>
    <t>* Plaster partition area *</t>
  </si>
  <si>
    <t>Plaster ceiling system</t>
  </si>
  <si>
    <t>Skim coat plaster</t>
  </si>
  <si>
    <t>3 coat plaster ceiling</t>
  </si>
  <si>
    <t>Sprayed acoustical plaster</t>
  </si>
  <si>
    <t>Thin coat plaster</t>
  </si>
  <si>
    <t>2 coat cement plaster</t>
  </si>
  <si>
    <t>2 coat Keene's cement plaster</t>
  </si>
  <si>
    <t>2 coat sand finish plaster</t>
  </si>
  <si>
    <t>2 coat white finish plaster</t>
  </si>
  <si>
    <t>3 coat cement plaster</t>
  </si>
  <si>
    <t>3 coat Keene's cement plaster</t>
  </si>
  <si>
    <t>3 coat sand finish plaster</t>
  </si>
  <si>
    <t>3 coat white finish plaster</t>
  </si>
  <si>
    <t>Perfatape and joint cement</t>
  </si>
  <si>
    <t>5/8" thin coat base</t>
  </si>
  <si>
    <t>½" thin coat base</t>
  </si>
  <si>
    <t>Plaster coat</t>
  </si>
  <si>
    <t>** Furring Labor **</t>
  </si>
  <si>
    <t>Gypsum board furring channel</t>
  </si>
  <si>
    <t>5/8" 200B L trim</t>
  </si>
  <si>
    <t>½" 200B L trim</t>
  </si>
  <si>
    <t>3/8" 200B L trim</t>
  </si>
  <si>
    <t>5/8" 200A U trim</t>
  </si>
  <si>
    <t>½" 200A U trim</t>
  </si>
  <si>
    <t>402P J trim</t>
  </si>
  <si>
    <t>401P J trim</t>
  </si>
  <si>
    <t>402M J trim</t>
  </si>
  <si>
    <t>401M J trim</t>
  </si>
  <si>
    <t>400M J trim</t>
  </si>
  <si>
    <t>Furring labor</t>
  </si>
  <si>
    <t>Stocking, furring channel</t>
  </si>
  <si>
    <t>3" Z furring channel</t>
  </si>
  <si>
    <t>2½" Z furring channel</t>
  </si>
  <si>
    <t>2" Z furring channel</t>
  </si>
  <si>
    <t>1½" Z furring channel</t>
  </si>
  <si>
    <t>1" Z furring channel</t>
  </si>
  <si>
    <t>¾" Z furring channel</t>
  </si>
  <si>
    <t>RC-1 20 ga furring channel</t>
  </si>
  <si>
    <t>1½" 20 ga dw furrng channel</t>
  </si>
  <si>
    <t>7/8" 20 ga dw furrng channel</t>
  </si>
  <si>
    <t>RC-1 25 ga furring channel</t>
  </si>
  <si>
    <t>1½" 25 ga drywall furring channel</t>
  </si>
  <si>
    <t>7/8" 25 ga drywall furring channel</t>
  </si>
  <si>
    <t>3" blueboard styrofoam insulation</t>
  </si>
  <si>
    <t>2½" blueboard styrofoam insulation</t>
  </si>
  <si>
    <t>2" blueboard styrofoam insulation</t>
  </si>
  <si>
    <t>1½" blueboard styrofoam insulation</t>
  </si>
  <si>
    <t>1" blueboard styrofoam insulation</t>
  </si>
  <si>
    <t>Metal furring w/gypsum board</t>
  </si>
  <si>
    <t>3/8" gypsum lath</t>
  </si>
  <si>
    <t xml:space="preserve">3/8" foil back gypsum lath </t>
  </si>
  <si>
    <t>3/8" perforated gypsum lath</t>
  </si>
  <si>
    <t>½" long length gypsum lath</t>
  </si>
  <si>
    <t>R-1 resilient clips</t>
  </si>
  <si>
    <t>Lath @ plaster</t>
  </si>
  <si>
    <t>2.75 rib lath</t>
  </si>
  <si>
    <t>3.4 metal lath</t>
  </si>
  <si>
    <t>2.5 metal lath</t>
  </si>
  <si>
    <t>3/8" rib lath</t>
  </si>
  <si>
    <t>** Interior fixed partitions **</t>
  </si>
  <si>
    <t>*  Gypsum board and plaster area *</t>
  </si>
  <si>
    <t>Sealant</t>
  </si>
  <si>
    <t>Exterior sloped glazing</t>
  </si>
  <si>
    <t>Exterior strip glazing</t>
  </si>
  <si>
    <t>Exterior window wall</t>
  </si>
  <si>
    <t>Exterior curtainwall</t>
  </si>
  <si>
    <t xml:space="preserve">Energy efficient reflective film  </t>
  </si>
  <si>
    <t>Bulletproof glazing</t>
  </si>
  <si>
    <t>¼" plate wire glass</t>
  </si>
  <si>
    <t>¼" polished plate glass</t>
  </si>
  <si>
    <t>** Glass and Glazing Area **</t>
  </si>
  <si>
    <t>Window pulls</t>
  </si>
  <si>
    <t>Window locks</t>
  </si>
  <si>
    <t>Magnetic hold open</t>
  </si>
  <si>
    <t>Garage door opener</t>
  </si>
  <si>
    <t>Garage door lock</t>
  </si>
  <si>
    <t>Door sweep</t>
  </si>
  <si>
    <t xml:space="preserve">Weatherstripping / double door </t>
  </si>
  <si>
    <t xml:space="preserve">Weatherstripping / single door </t>
  </si>
  <si>
    <t>Weatherstripping</t>
  </si>
  <si>
    <t>Bronze threshold /  double door</t>
  </si>
  <si>
    <t>Bronze threshold /  single door</t>
  </si>
  <si>
    <t>Aluminum threshold /  double door</t>
  </si>
  <si>
    <t>Aluminum threshold /  single door</t>
  </si>
  <si>
    <t xml:space="preserve">   Brass threshold</t>
  </si>
  <si>
    <t xml:space="preserve">   Aluminum threshold</t>
  </si>
  <si>
    <t>Pivot set</t>
  </si>
  <si>
    <t>Automatic fire exit flush bolts</t>
  </si>
  <si>
    <t>Concealed flush bolts</t>
  </si>
  <si>
    <t>Magnifying peep hole</t>
  </si>
  <si>
    <t>Pull handle and push bar</t>
  </si>
  <si>
    <t>Bronze push plate</t>
  </si>
  <si>
    <t>Aluminum push plate</t>
  </si>
  <si>
    <t>Flat steel astragal</t>
  </si>
  <si>
    <t>Concealed vertical rod</t>
  </si>
  <si>
    <t>Surface mounted vertical rod</t>
  </si>
  <si>
    <t>Mortise lock exit device</t>
  </si>
  <si>
    <t>Rim lock exit device</t>
  </si>
  <si>
    <t>Concealed stop and holder</t>
  </si>
  <si>
    <t>Surface mounted stop and holder</t>
  </si>
  <si>
    <t>Floor closer</t>
  </si>
  <si>
    <t>Concealed closer and hold open</t>
  </si>
  <si>
    <t>Concealed closer</t>
  </si>
  <si>
    <t>Surface mounted closer, hold open and fusible link</t>
  </si>
  <si>
    <t>Surface mounted closer and hold open</t>
  </si>
  <si>
    <t>Surface mounted closer</t>
  </si>
  <si>
    <t>Holder and bumper doorstop</t>
  </si>
  <si>
    <t>Floor type doorstop</t>
  </si>
  <si>
    <t>Plunger type doorstop</t>
  </si>
  <si>
    <t>Wall bumper doorstop</t>
  </si>
  <si>
    <t>Bumper plate</t>
  </si>
  <si>
    <t>Armored kickplate</t>
  </si>
  <si>
    <t>6" kickplate</t>
  </si>
  <si>
    <t>Standard kickplate</t>
  </si>
  <si>
    <t>Electric mortised deadbolt</t>
  </si>
  <si>
    <t>Mortised deadbolt</t>
  </si>
  <si>
    <t>Dummy trim mortised lockset</t>
  </si>
  <si>
    <t>Keyed mortise lockset</t>
  </si>
  <si>
    <t>Nonkeyed mortise lockset</t>
  </si>
  <si>
    <t>Cylindrical deadbolts</t>
  </si>
  <si>
    <t>Dummy trim cylindrical lockset</t>
  </si>
  <si>
    <t>Keyed cylindrical lockset</t>
  </si>
  <si>
    <t>Nonkeyed cylindrical lockset</t>
  </si>
  <si>
    <t>Electric hinge and electric strike</t>
  </si>
  <si>
    <t>Full mortise hinge and electric strike</t>
  </si>
  <si>
    <t>Special hinge</t>
  </si>
  <si>
    <t>Electric hinge</t>
  </si>
  <si>
    <t>5"x5" full mortise hinge</t>
  </si>
  <si>
    <t>4½"x4½" full mortise hinge</t>
  </si>
  <si>
    <t>Opng</t>
  </si>
  <si>
    <t>Finish hardware allowance</t>
  </si>
  <si>
    <t>Door stop</t>
  </si>
  <si>
    <t>Dummy knob</t>
  </si>
  <si>
    <t>Passage lock</t>
  </si>
  <si>
    <t>Privacy lock</t>
  </si>
  <si>
    <t>Dead bolt lock</t>
  </si>
  <si>
    <t>Keyed entry lock</t>
  </si>
  <si>
    <t>Skyroof</t>
  </si>
  <si>
    <t>Space frame skylight</t>
  </si>
  <si>
    <t>Plastic skylight</t>
  </si>
  <si>
    <t>Pyramid skylight</t>
  </si>
  <si>
    <t>Vaulted skylight</t>
  </si>
  <si>
    <t xml:space="preserve">     Exterior skylight</t>
  </si>
  <si>
    <t>Plastic skylights</t>
  </si>
  <si>
    <t>Skylight</t>
  </si>
  <si>
    <t xml:space="preserve">     Screen</t>
  </si>
  <si>
    <t xml:space="preserve">     Storm window</t>
  </si>
  <si>
    <t xml:space="preserve">     Window type J</t>
  </si>
  <si>
    <t xml:space="preserve">     Window type H</t>
  </si>
  <si>
    <t xml:space="preserve">     Window type G</t>
  </si>
  <si>
    <t xml:space="preserve">     Window type F</t>
  </si>
  <si>
    <t xml:space="preserve">     Window type E</t>
  </si>
  <si>
    <t xml:space="preserve">     Window type D</t>
  </si>
  <si>
    <t xml:space="preserve">     Window type C</t>
  </si>
  <si>
    <t xml:space="preserve">     Window type B</t>
  </si>
  <si>
    <t xml:space="preserve">     Window type A</t>
  </si>
  <si>
    <t xml:space="preserve">     Casement window</t>
  </si>
  <si>
    <t xml:space="preserve">   Vinyl clad mullion</t>
  </si>
  <si>
    <t xml:space="preserve">     Vinyl clad garden window</t>
  </si>
  <si>
    <t xml:space="preserve">     Sliding DG vinyl clad window</t>
  </si>
  <si>
    <t xml:space="preserve">     Fixed DG vinyl clad window</t>
  </si>
  <si>
    <t xml:space="preserve">     DH DG vinyl clad window</t>
  </si>
  <si>
    <t xml:space="preserve">     SG DG vinyl clad window</t>
  </si>
  <si>
    <t xml:space="preserve">     Sliding SG vinyl clad window</t>
  </si>
  <si>
    <t xml:space="preserve">     Fixed SG vinyl clad window</t>
  </si>
  <si>
    <t xml:space="preserve">     DH SG vinyl clad window</t>
  </si>
  <si>
    <t xml:space="preserve">     SH SG vinyl clad window</t>
  </si>
  <si>
    <t xml:space="preserve">   Wood mullion</t>
  </si>
  <si>
    <t xml:space="preserve">     Sliding DG wood window</t>
  </si>
  <si>
    <t xml:space="preserve">     Fixed DG wood window</t>
  </si>
  <si>
    <t xml:space="preserve">     DH DG wood window</t>
  </si>
  <si>
    <t xml:space="preserve">     SH DG wood window</t>
  </si>
  <si>
    <t xml:space="preserve">     Sliding SG wood window</t>
  </si>
  <si>
    <t xml:space="preserve">     Fixed SG wood window</t>
  </si>
  <si>
    <t xml:space="preserve">     DH SG wood window</t>
  </si>
  <si>
    <t xml:space="preserve">     SH SG wood window</t>
  </si>
  <si>
    <t xml:space="preserve">   Bronze aluminum mullion</t>
  </si>
  <si>
    <t xml:space="preserve">     Bronze aluminum garden window</t>
  </si>
  <si>
    <t xml:space="preserve">     Sliding DG bronze aluminum window</t>
  </si>
  <si>
    <t xml:space="preserve">     Fixed DG bronze aluminum window</t>
  </si>
  <si>
    <t xml:space="preserve">     DH DG bronze aluminum window</t>
  </si>
  <si>
    <t xml:space="preserve">     SH DG bronze aluminum window</t>
  </si>
  <si>
    <t xml:space="preserve">     Sliding SG bronze aluminum window</t>
  </si>
  <si>
    <t xml:space="preserve">     Fixed SG bronze alum window</t>
  </si>
  <si>
    <t xml:space="preserve">     DH SG bronze aluminum window</t>
  </si>
  <si>
    <t xml:space="preserve">     SH SG bronze aluminum window</t>
  </si>
  <si>
    <t xml:space="preserve">   White aluminum mullion</t>
  </si>
  <si>
    <t xml:space="preserve">     White aluminum garden window</t>
  </si>
  <si>
    <t xml:space="preserve">     Sliding DG white aluminum window</t>
  </si>
  <si>
    <t xml:space="preserve">     Fixed DG white aluminum window</t>
  </si>
  <si>
    <t xml:space="preserve">     DH DG white aluminum window</t>
  </si>
  <si>
    <t xml:space="preserve">     SH DG white aluminum window</t>
  </si>
  <si>
    <t xml:space="preserve">     Sliding SG white aluminum window</t>
  </si>
  <si>
    <t xml:space="preserve">     Fixed SG white aluminum window</t>
  </si>
  <si>
    <t xml:space="preserve">     DH SG white aluminum window</t>
  </si>
  <si>
    <t xml:space="preserve">     SH SG white aluminum window</t>
  </si>
  <si>
    <t xml:space="preserve">   Aluminum mullion</t>
  </si>
  <si>
    <t xml:space="preserve">     Aluminum garden window</t>
  </si>
  <si>
    <t xml:space="preserve">     Sliding DG aluminum window</t>
  </si>
  <si>
    <t xml:space="preserve">     Fixed DG aluminum window</t>
  </si>
  <si>
    <t xml:space="preserve">     DH DG aluminum window</t>
  </si>
  <si>
    <t xml:space="preserve">     SH DG aluminum window</t>
  </si>
  <si>
    <t xml:space="preserve">     Sliding SG aluminum window</t>
  </si>
  <si>
    <t xml:space="preserve">     Fixed SG aluminum window</t>
  </si>
  <si>
    <t xml:space="preserve">     DH SG aluminum window</t>
  </si>
  <si>
    <t xml:space="preserve">     SH SG aluminum window</t>
  </si>
  <si>
    <t xml:space="preserve">     Leaded glass window</t>
  </si>
  <si>
    <t>Octagonal window</t>
  </si>
  <si>
    <t>Full circle window</t>
  </si>
  <si>
    <t>Half circle window</t>
  </si>
  <si>
    <t>Custom window</t>
  </si>
  <si>
    <t>Operable window</t>
  </si>
  <si>
    <t>Fixed windows</t>
  </si>
  <si>
    <t>Revolving door</t>
  </si>
  <si>
    <t>Automatic custom main entrance door</t>
  </si>
  <si>
    <t>Automatic sliding door</t>
  </si>
  <si>
    <t>Interior storefront</t>
  </si>
  <si>
    <t>Exterior storefront</t>
  </si>
  <si>
    <t>Pair aluminum glass door auto open</t>
  </si>
  <si>
    <t>Single aluminum glass door auto open</t>
  </si>
  <si>
    <t xml:space="preserve">   Cafe door</t>
  </si>
  <si>
    <t xml:space="preserve">  x   elect opr OH door</t>
  </si>
  <si>
    <t>Elect operated OH door</t>
  </si>
  <si>
    <t xml:space="preserve">  x   manual opr OH door</t>
  </si>
  <si>
    <t>Manual operated OH door</t>
  </si>
  <si>
    <t>18' metal garage door</t>
  </si>
  <si>
    <t>16' metal garage door</t>
  </si>
  <si>
    <t>8' metal garage door</t>
  </si>
  <si>
    <t>18' wood garage door</t>
  </si>
  <si>
    <t>16' wood garage door</t>
  </si>
  <si>
    <t>8' wood garage door</t>
  </si>
  <si>
    <t xml:space="preserve">      ,       door and frame</t>
  </si>
  <si>
    <t>Type B bi-fold door</t>
  </si>
  <si>
    <t>Type A bi-fold door</t>
  </si>
  <si>
    <t>Masonite louvered bi-fold door</t>
  </si>
  <si>
    <t>Louvered bi-fold door</t>
  </si>
  <si>
    <t>Raised panel masonite bi-fold</t>
  </si>
  <si>
    <t>Flush masonite HC bi-fold door</t>
  </si>
  <si>
    <t>Flush hollow core bi-fold door</t>
  </si>
  <si>
    <t>Raised panel SC bi-fold door</t>
  </si>
  <si>
    <t>Flush solid core bi-fold door</t>
  </si>
  <si>
    <t>Bi-fold door</t>
  </si>
  <si>
    <t>Darkroom door</t>
  </si>
  <si>
    <t>Special exterior door</t>
  </si>
  <si>
    <t>Rolling grille</t>
  </si>
  <si>
    <t>Rolling shutter</t>
  </si>
  <si>
    <t xml:space="preserve">  x   elect opr rolling door</t>
  </si>
  <si>
    <t>Electric operated rolling door</t>
  </si>
  <si>
    <t xml:space="preserve">  x   manual opr roll door</t>
  </si>
  <si>
    <t>Manual operated rolling door</t>
  </si>
  <si>
    <t>Access panel</t>
  </si>
  <si>
    <t>Type B sliding door</t>
  </si>
  <si>
    <t>Type A sliding door</t>
  </si>
  <si>
    <t>Masonite louvered sliding door</t>
  </si>
  <si>
    <t>Louvered sliding door</t>
  </si>
  <si>
    <t>Raised panel masonite sliding</t>
  </si>
  <si>
    <t>Flush masonite HC sliding door</t>
  </si>
  <si>
    <t>Flush hollow core sliding door</t>
  </si>
  <si>
    <t>Raised panel SC sliding door</t>
  </si>
  <si>
    <t>Flush solid core sliding door</t>
  </si>
  <si>
    <t xml:space="preserve">        ,      ,  door and frame</t>
  </si>
  <si>
    <t>Raised panel masonite pockt dr</t>
  </si>
  <si>
    <t>Flush masonite pocket door</t>
  </si>
  <si>
    <t>Flush hollow core pocket door</t>
  </si>
  <si>
    <t>Pocket door</t>
  </si>
  <si>
    <t>Raised panel masonite door</t>
  </si>
  <si>
    <t>Flush masonite hollow core door</t>
  </si>
  <si>
    <t>Dutch door</t>
  </si>
  <si>
    <t>Cut opening</t>
  </si>
  <si>
    <t>** No. of wood and plastic doors **</t>
  </si>
  <si>
    <t>* No. of wooden doors *</t>
  </si>
  <si>
    <t xml:space="preserve">     Type C door and frame</t>
  </si>
  <si>
    <t xml:space="preserve">     Type B door and frame</t>
  </si>
  <si>
    <t xml:space="preserve">     Type A door and frame</t>
  </si>
  <si>
    <t xml:space="preserve">     Shutter door</t>
  </si>
  <si>
    <t>Double acting door</t>
  </si>
  <si>
    <t>Prehung door</t>
  </si>
  <si>
    <t>Louvered door</t>
  </si>
  <si>
    <t>Flush hollow core door</t>
  </si>
  <si>
    <t>Raised panel solid core door</t>
  </si>
  <si>
    <t>Flush solid core door</t>
  </si>
  <si>
    <t xml:space="preserve">  Side lite</t>
  </si>
  <si>
    <t xml:space="preserve">        ,        ,leaded gl dr</t>
  </si>
  <si>
    <t xml:space="preserve">        ,        ,full gl door</t>
  </si>
  <si>
    <t xml:space="preserve">        ,        ,half gl door</t>
  </si>
  <si>
    <t xml:space="preserve">        ,        ,oval gl door</t>
  </si>
  <si>
    <t xml:space="preserve">        ,        ,french door</t>
  </si>
  <si>
    <t xml:space="preserve">        ,        ,standard dr</t>
  </si>
  <si>
    <t>Hollow core flush door</t>
  </si>
  <si>
    <t xml:space="preserve">        ,        ,full gl opng</t>
  </si>
  <si>
    <t xml:space="preserve">        ,        ,half gl opng</t>
  </si>
  <si>
    <t>Decorative door</t>
  </si>
  <si>
    <t>Raised panel door</t>
  </si>
  <si>
    <t>Solid core flush door</t>
  </si>
  <si>
    <t>Raised panel wood door</t>
  </si>
  <si>
    <t>Labeled wood door</t>
  </si>
  <si>
    <t>HC wood door</t>
  </si>
  <si>
    <t>SC wood door</t>
  </si>
  <si>
    <t xml:space="preserve">      Door</t>
  </si>
  <si>
    <t>1-3/8"</t>
  </si>
  <si>
    <t>1-3/4"</t>
  </si>
  <si>
    <t>Panel wood doors</t>
  </si>
  <si>
    <t xml:space="preserve">      1-3/8" plastic laminated</t>
  </si>
  <si>
    <t xml:space="preserve">      1-3/8" walnut veneer</t>
  </si>
  <si>
    <t xml:space="preserve">      1-3/8" birch veneer</t>
  </si>
  <si>
    <t xml:space="preserve">      1-3/8" oak veneer</t>
  </si>
  <si>
    <t xml:space="preserve">      1-3/8" paint grade</t>
  </si>
  <si>
    <t xml:space="preserve">      1-3/4" plstc lam B label</t>
  </si>
  <si>
    <t xml:space="preserve">      1-3/4" walnut vn B label</t>
  </si>
  <si>
    <t xml:space="preserve">      1-3/4" oak vnr, B label</t>
  </si>
  <si>
    <t xml:space="preserve">      1-3/4" birch vnr B label</t>
  </si>
  <si>
    <t xml:space="preserve">      1-3/4" paint grd B label</t>
  </si>
  <si>
    <t xml:space="preserve">      1-3/4" plastic laminated</t>
  </si>
  <si>
    <t xml:space="preserve">      1-3/4" walnut veneer</t>
  </si>
  <si>
    <t xml:space="preserve">      1-3/4" oak veneer</t>
  </si>
  <si>
    <t xml:space="preserve">      1-3/4" birch veneer</t>
  </si>
  <si>
    <t xml:space="preserve">      1-3/4" paint grade</t>
  </si>
  <si>
    <t>Solid core wood transom panels</t>
  </si>
  <si>
    <t>1-3/8" plastic laminated wood</t>
  </si>
  <si>
    <t>1-3/8" walnut veneer</t>
  </si>
  <si>
    <t>1-3/8" oak veneer</t>
  </si>
  <si>
    <t>1-3/8" birch veneer</t>
  </si>
  <si>
    <t>1-3/8" paint grade veneer</t>
  </si>
  <si>
    <t>1-3/4" plastic lam, B label</t>
  </si>
  <si>
    <t>1-3/4" walnut veneer, B label</t>
  </si>
  <si>
    <t>1-3/4" oak veneer, B label</t>
  </si>
  <si>
    <t>1-3/4" birch veneer, B label</t>
  </si>
  <si>
    <t>1-3/4" paint grade, B label</t>
  </si>
  <si>
    <t>1-3/4" plastic laminated wood</t>
  </si>
  <si>
    <t>1-3/4" walnut veneer</t>
  </si>
  <si>
    <t>1-3/4" oak veneer</t>
  </si>
  <si>
    <t>1-3/4" birch veneer</t>
  </si>
  <si>
    <t>1-3/4" paint grade veneer</t>
  </si>
  <si>
    <t>Solid core wood doors</t>
  </si>
  <si>
    <t>Hollow core wood transom panel</t>
  </si>
  <si>
    <t>Hollow core wood doors</t>
  </si>
  <si>
    <t xml:space="preserve">        Screen door</t>
  </si>
  <si>
    <t xml:space="preserve">        Storm door</t>
  </si>
  <si>
    <t>Sliding glass door</t>
  </si>
  <si>
    <t>8068 sliding glass door</t>
  </si>
  <si>
    <t>7068 sliding glass door</t>
  </si>
  <si>
    <t>6068 sliding glass door</t>
  </si>
  <si>
    <t>5068 sliding glass door</t>
  </si>
  <si>
    <t>4068 sliding glass door</t>
  </si>
  <si>
    <t>Pair aluminum glass door</t>
  </si>
  <si>
    <t>Single aluminum glass door</t>
  </si>
  <si>
    <t>Aluminum frame</t>
  </si>
  <si>
    <t xml:space="preserve">     Alum view window, bronze / black</t>
  </si>
  <si>
    <t xml:space="preserve">     Alum view window, mill finish</t>
  </si>
  <si>
    <t xml:space="preserve">     16 ga view window, label</t>
  </si>
  <si>
    <t xml:space="preserve">     14 gauge view window</t>
  </si>
  <si>
    <t xml:space="preserve">     16 gauge view window</t>
  </si>
  <si>
    <t xml:space="preserve">     18 gauge view window</t>
  </si>
  <si>
    <t xml:space="preserve">       Frame</t>
  </si>
  <si>
    <t>Aluminum, bronze/black finish</t>
  </si>
  <si>
    <t>Aluminum, mill finish</t>
  </si>
  <si>
    <t xml:space="preserve">        Core:          /</t>
  </si>
  <si>
    <t>Maximum duty 14ga seamless 1¾"</t>
  </si>
  <si>
    <t>Maximum duty 14ga full flush 1¾"</t>
  </si>
  <si>
    <t>X-heavy duty 16ga stile&amp;rail 1¾"</t>
  </si>
  <si>
    <t>X-heavy duty 16ga seamless 1¾"</t>
  </si>
  <si>
    <t>X-heavy duty 16ga full flush 1¾"</t>
  </si>
  <si>
    <t>Heavy duty 18ga seamless 1¾"</t>
  </si>
  <si>
    <t>Heavy duty 18ga full flush 1¾"</t>
  </si>
  <si>
    <t>Standard 20ga seamless 1¾"</t>
  </si>
  <si>
    <t>Standard 20ga seamless 1-3/8"</t>
  </si>
  <si>
    <t>Standard 20ga full flush 1¾"</t>
  </si>
  <si>
    <t>Standard 20ga full flush 1-3/8"</t>
  </si>
  <si>
    <t>Uncoated steel doors</t>
  </si>
  <si>
    <t>Galvanized (hot dipped) steel doors</t>
  </si>
  <si>
    <t>Galvannealed (zinc-iron alloy) steel doors</t>
  </si>
  <si>
    <t xml:space="preserve">        Wrought iron door</t>
  </si>
  <si>
    <t>Insulated HM door</t>
  </si>
  <si>
    <t>Labeled HM door</t>
  </si>
  <si>
    <t>Grout filled HM frame</t>
  </si>
  <si>
    <t>HM door</t>
  </si>
  <si>
    <t>HM frame</t>
  </si>
  <si>
    <t xml:space="preserve">        ,        ,French door</t>
  </si>
  <si>
    <t>Insulated metal door</t>
  </si>
  <si>
    <t xml:space="preserve">      Frame</t>
  </si>
  <si>
    <t>16 gauge hollow metal, labeled</t>
  </si>
  <si>
    <t>14 gauge hollow metal</t>
  </si>
  <si>
    <t>16 gauge hollow metal</t>
  </si>
  <si>
    <t>18 gauge hollow metal</t>
  </si>
  <si>
    <t>Textured metal lamination</t>
  </si>
  <si>
    <t>Wood veneer</t>
  </si>
  <si>
    <t>Plastic laminate</t>
  </si>
  <si>
    <t>Vinyl overlay</t>
  </si>
  <si>
    <t>Factory door finish</t>
  </si>
  <si>
    <t xml:space="preserve">Primed door finish </t>
  </si>
  <si>
    <t>Steel door internal mineral fiber board</t>
  </si>
  <si>
    <t>Steel door continuous trss form</t>
  </si>
  <si>
    <t>Steel door polystyrene filling</t>
  </si>
  <si>
    <t>Steel door polyurethane filling</t>
  </si>
  <si>
    <t>Steel door internal honeycomb</t>
  </si>
  <si>
    <t>Steel door stiffeners</t>
  </si>
  <si>
    <t xml:space="preserve">      1-3/8" 20 gauge, C label</t>
  </si>
  <si>
    <t xml:space="preserve">      1-3/8" 20 gauge, B label</t>
  </si>
  <si>
    <t xml:space="preserve">      1-3/8" 20 gauge</t>
  </si>
  <si>
    <t xml:space="preserve">      1-3/4" 16 gauge, C label</t>
  </si>
  <si>
    <t xml:space="preserve">      1-3/4" 18 gauge, C label</t>
  </si>
  <si>
    <t xml:space="preserve">      1-3/4" 20 gauge, C label</t>
  </si>
  <si>
    <t xml:space="preserve">      1-3/4" 16 gauge, A label</t>
  </si>
  <si>
    <t xml:space="preserve">      1-3/4" 18 gauge, A label</t>
  </si>
  <si>
    <t xml:space="preserve">      1-3/4" 20 gauge, A label</t>
  </si>
  <si>
    <t xml:space="preserve">      1-3/4" 16 gauge, B label</t>
  </si>
  <si>
    <t xml:space="preserve">      1-3/4" 18 gauge, B label</t>
  </si>
  <si>
    <t xml:space="preserve">      1-3/4" 20 gauge, B label</t>
  </si>
  <si>
    <t xml:space="preserve">      1-3/4" 16 gauge</t>
  </si>
  <si>
    <t xml:space="preserve">      1-3/4" 18 gauge</t>
  </si>
  <si>
    <t xml:space="preserve">      1-3/4" 20 gauge</t>
  </si>
  <si>
    <t>Hollow metal transom panels</t>
  </si>
  <si>
    <t>1-3/8" 20 gauge, C label</t>
  </si>
  <si>
    <t>1-3/8" 20 gauge, B label</t>
  </si>
  <si>
    <t>1-3/8" 20 gauge</t>
  </si>
  <si>
    <t>1-3/4" 16 ga, C label</t>
  </si>
  <si>
    <t>1-3/4" 18 ga, C label</t>
  </si>
  <si>
    <t>1-3/4" 20 ga, C label</t>
  </si>
  <si>
    <t>1-3/4" 16 ga, A label</t>
  </si>
  <si>
    <t>1-3/4" 18 ga, A label</t>
  </si>
  <si>
    <t>1-3/4" 20 ga, A label</t>
  </si>
  <si>
    <t>1-3/4" 16 ga, B label</t>
  </si>
  <si>
    <t>1-3/4" 18 ga, B label</t>
  </si>
  <si>
    <t>1-3/4" 20 gauge, B label</t>
  </si>
  <si>
    <t>1-3/4" 16 gauge</t>
  </si>
  <si>
    <t>1-3/4" 18 gauge</t>
  </si>
  <si>
    <t>1-3/4" 20 gauge</t>
  </si>
  <si>
    <t>Hollow metal doors</t>
  </si>
  <si>
    <t>* Glass items *</t>
  </si>
  <si>
    <t>* No. of specialty doors *</t>
  </si>
  <si>
    <t>** Total no. of special doors **</t>
  </si>
  <si>
    <t>** No. of HM doors **</t>
  </si>
  <si>
    <t>* No. of metal doors *</t>
  </si>
  <si>
    <t>** Total no. of door frames **</t>
  </si>
  <si>
    <t>** Total no. of doors **</t>
  </si>
  <si>
    <t>Fire safing insulation</t>
  </si>
  <si>
    <t>TOW safing insulation</t>
  </si>
  <si>
    <t>** Fireproofing labor **</t>
  </si>
  <si>
    <t>Top coat labor</t>
  </si>
  <si>
    <t>Adhesive labor</t>
  </si>
  <si>
    <t>Sealant labor</t>
  </si>
  <si>
    <t>Deck flute fireproofing labor</t>
  </si>
  <si>
    <t>Joist/girder fireproof'g labor</t>
  </si>
  <si>
    <t>Deck fireproofing labor</t>
  </si>
  <si>
    <t>Misc shape fireproofing labor</t>
  </si>
  <si>
    <t>Column fireproofing labor</t>
  </si>
  <si>
    <t>Beam fireproofing labor</t>
  </si>
  <si>
    <t>Metal lath labor</t>
  </si>
  <si>
    <t>¼" topcoat</t>
  </si>
  <si>
    <t>1/8" topcoat</t>
  </si>
  <si>
    <t>BDFT</t>
  </si>
  <si>
    <t>Top coat</t>
  </si>
  <si>
    <t>Tie wire for lath</t>
  </si>
  <si>
    <t>Bar joist fireproofing netting</t>
  </si>
  <si>
    <t>Metal lath</t>
  </si>
  <si>
    <t>** Fireproofing **</t>
  </si>
  <si>
    <t>Fireproof metal deck</t>
  </si>
  <si>
    <t>Fireproof beams and columns</t>
  </si>
  <si>
    <t>Fireproof steel structure</t>
  </si>
  <si>
    <t>Acoustical fireproofing</t>
  </si>
  <si>
    <t>Vermiculite cement fireproofing</t>
  </si>
  <si>
    <t>Magnesium oxychloride FP</t>
  </si>
  <si>
    <t>Type B fireproofing</t>
  </si>
  <si>
    <t>Type A fireproofing</t>
  </si>
  <si>
    <t>Hardcoat fireproofing</t>
  </si>
  <si>
    <t>Intumescent fireproofing</t>
  </si>
  <si>
    <t>Mineral fiber fireproofing</t>
  </si>
  <si>
    <t>Cementitious fireproofing</t>
  </si>
  <si>
    <t>Miscellaneous fireproofing</t>
  </si>
  <si>
    <t>Fiber fireproofing</t>
  </si>
  <si>
    <t>1" asphalt impregnated walkway</t>
  </si>
  <si>
    <t>½" asphalt impregnated walkway</t>
  </si>
  <si>
    <t>Covered walkway</t>
  </si>
  <si>
    <t>Roof hatch</t>
  </si>
  <si>
    <t>Window washing davits</t>
  </si>
  <si>
    <t>Roof vent</t>
  </si>
  <si>
    <t>Smoke hatch</t>
  </si>
  <si>
    <t>Roof walkway</t>
  </si>
  <si>
    <t>Ridge vent</t>
  </si>
  <si>
    <t>24" metal half circle vent</t>
  </si>
  <si>
    <t>24" wood half circle vent</t>
  </si>
  <si>
    <t>18x24 rect metal vent</t>
  </si>
  <si>
    <t>18x24 rect wood vent</t>
  </si>
  <si>
    <t>18" diameter metal octagon vent</t>
  </si>
  <si>
    <t>18" diameter wood octagon vent</t>
  </si>
  <si>
    <t>18" diameter metal full circle vent</t>
  </si>
  <si>
    <t>18" diameter wood full circle vent</t>
  </si>
  <si>
    <t>Cont ridge vent end caps</t>
  </si>
  <si>
    <t>Cont ridge vent connector</t>
  </si>
  <si>
    <t>Gable vent</t>
  </si>
  <si>
    <t>8' continuous ridge vent</t>
  </si>
  <si>
    <t>Eave vent 16x8</t>
  </si>
  <si>
    <t>Eave vent 16x4</t>
  </si>
  <si>
    <t>Continuous screen eave vent</t>
  </si>
  <si>
    <t>8' continuous metal eave vent</t>
  </si>
  <si>
    <t>Roof scuppers</t>
  </si>
  <si>
    <t>Roof expansion joint</t>
  </si>
  <si>
    <t>Copper downspout</t>
  </si>
  <si>
    <t>Copper gutter</t>
  </si>
  <si>
    <t>Galvanized downspout</t>
  </si>
  <si>
    <t>Galvanized gutter</t>
  </si>
  <si>
    <t>Aluminum gutter</t>
  </si>
  <si>
    <t>Neoprene expansion joint cover</t>
  </si>
  <si>
    <t>Aluminum downspout</t>
  </si>
  <si>
    <t>3x4 aluminum downspout</t>
  </si>
  <si>
    <t>2x3 aluminum downspout</t>
  </si>
  <si>
    <t>6" aluminum gutter</t>
  </si>
  <si>
    <t>5" aluminum gutter</t>
  </si>
  <si>
    <t>4" aluminum gutter</t>
  </si>
  <si>
    <t>Aluminum expansion joint cover</t>
  </si>
  <si>
    <t>7" galvanized gutter</t>
  </si>
  <si>
    <t>6" galvanized gutter</t>
  </si>
  <si>
    <t>4" galvanized gutter</t>
  </si>
  <si>
    <t>3x4 galvanized downspout</t>
  </si>
  <si>
    <t>2x3 galvanized downspout</t>
  </si>
  <si>
    <t>6" galvanized downspout</t>
  </si>
  <si>
    <t>5" galvanized downspout</t>
  </si>
  <si>
    <t>4" galvanized downspout</t>
  </si>
  <si>
    <t>6" copper gutter</t>
  </si>
  <si>
    <t>5" copper gutter</t>
  </si>
  <si>
    <t>4" copper gutter</t>
  </si>
  <si>
    <t>5" copper downspout</t>
  </si>
  <si>
    <t>4" copper downspout</t>
  </si>
  <si>
    <t>3 x 4 aluminum downspout</t>
  </si>
  <si>
    <t>2 x 3 aluminum downspout</t>
  </si>
  <si>
    <t>3 x 4 galv downspout</t>
  </si>
  <si>
    <t>2 x 3 galv downspout</t>
  </si>
  <si>
    <t>6" round galvanized downspout</t>
  </si>
  <si>
    <t>5" round galv downspout</t>
  </si>
  <si>
    <t>4" round galvanized downspout</t>
  </si>
  <si>
    <t>Drip edge</t>
  </si>
  <si>
    <t>Metal louvers</t>
  </si>
  <si>
    <t>Neoprene flashing</t>
  </si>
  <si>
    <t>Stainless steel flashing</t>
  </si>
  <si>
    <t>Copper flashing</t>
  </si>
  <si>
    <t>Galvanized flashing</t>
  </si>
  <si>
    <t>Aluminum flashing</t>
  </si>
  <si>
    <t>26 ga stainless steel</t>
  </si>
  <si>
    <t>.020 aluminum sheetmetal</t>
  </si>
  <si>
    <t>.032 aluminum sheetmetal</t>
  </si>
  <si>
    <t>26 ga galv iron sheetmetal</t>
  </si>
  <si>
    <t>24 ga galv iron sheetmetal</t>
  </si>
  <si>
    <t>Step flashing</t>
  </si>
  <si>
    <t>28 ga galv iron sheetmetal</t>
  </si>
  <si>
    <t>18 oz copper sheetmetal</t>
  </si>
  <si>
    <t>16 oz copper sheetmetal</t>
  </si>
  <si>
    <t>Miscellaneous flashing</t>
  </si>
  <si>
    <t>Rain diverter</t>
  </si>
  <si>
    <t>Valley flashing</t>
  </si>
  <si>
    <t>28 ga galvanized iron sheetmetal</t>
  </si>
  <si>
    <t>26 ga galvanized iron sheetmetal</t>
  </si>
  <si>
    <t>24 ga galvanized iron sheetmetal</t>
  </si>
  <si>
    <t>Zinc copper alloy sheetmetal roofing, flat seam</t>
  </si>
  <si>
    <t>Zinc copper alloy sheetmetal roofing, batten seam</t>
  </si>
  <si>
    <t>Zinc copper alloy sheetmetal roofing, standing seam</t>
  </si>
  <si>
    <t>Stainless steel sheetmetal roofing, batten seam</t>
  </si>
  <si>
    <t>Stainless steel sheetmetal roofing, standing seam</t>
  </si>
  <si>
    <t>Copper sheetmetal roofing, flat seam</t>
  </si>
  <si>
    <t>Copper sheetmetal roofing, batten seam</t>
  </si>
  <si>
    <t>Copper sheetmetal roofing, standing seam</t>
  </si>
  <si>
    <t>Metal roof</t>
  </si>
  <si>
    <t>Insulated metal roof</t>
  </si>
  <si>
    <t>Standing seam roof</t>
  </si>
  <si>
    <t>Standing seam metal roof</t>
  </si>
  <si>
    <t>* Wood Siding Area *</t>
  </si>
  <si>
    <t>Siding nails</t>
  </si>
  <si>
    <t>Metal soffit</t>
  </si>
  <si>
    <t>Insulated metal siding</t>
  </si>
  <si>
    <t>Metal siding</t>
  </si>
  <si>
    <t>5/8" exterior AC plywood</t>
  </si>
  <si>
    <t>½" exterior AC plywood</t>
  </si>
  <si>
    <t>3/8" exterior AC plywood</t>
  </si>
  <si>
    <t>Prefinished hardboard siding</t>
  </si>
  <si>
    <t>Prefinished bevel siding</t>
  </si>
  <si>
    <t>Prefinished ½" plywood siding</t>
  </si>
  <si>
    <t>Prefinished 3/8" plywood siding</t>
  </si>
  <si>
    <t>Prefinished channel siding</t>
  </si>
  <si>
    <t>Prefinished board and batten</t>
  </si>
  <si>
    <t>Prefinished 5/8" T1-11 siding</t>
  </si>
  <si>
    <t>Hardboard siding</t>
  </si>
  <si>
    <t>Bevel siding</t>
  </si>
  <si>
    <t>½" plywood siding</t>
  </si>
  <si>
    <t>3/8" plywood siding</t>
  </si>
  <si>
    <t>Channel siding</t>
  </si>
  <si>
    <t>Board &amp; batten siding</t>
  </si>
  <si>
    <t>5/8" T1-11 siding</t>
  </si>
  <si>
    <t>Vinyl soffit</t>
  </si>
  <si>
    <t>Aluminum soffit</t>
  </si>
  <si>
    <t>5/8" 4x8 exterior AC plywood</t>
  </si>
  <si>
    <t>½" 4x8 exterior AC plywood</t>
  </si>
  <si>
    <t>3/8" 4x8 exterior AC plywood</t>
  </si>
  <si>
    <t>Vinyl siding</t>
  </si>
  <si>
    <t>Aluminum siding</t>
  </si>
  <si>
    <t>Board and batten siding</t>
  </si>
  <si>
    <t>12" aluminum fascia</t>
  </si>
  <si>
    <t>10" aluminum fascia</t>
  </si>
  <si>
    <t>8" aluminum fascia</t>
  </si>
  <si>
    <t>6" aluminum fascia</t>
  </si>
  <si>
    <t>Fascia, 1x12</t>
  </si>
  <si>
    <t>Fascia, 1x10</t>
  </si>
  <si>
    <t>Fascia, 1x8</t>
  </si>
  <si>
    <t>Fascia, 1x6</t>
  </si>
  <si>
    <t>Fascia, redwood</t>
  </si>
  <si>
    <t>Fascia, S4S cedar</t>
  </si>
  <si>
    <t>Fascia, RS cedar</t>
  </si>
  <si>
    <t>Fascia, wolmanized</t>
  </si>
  <si>
    <t>Fascia, untreated</t>
  </si>
  <si>
    <t>Subfascia, 2x12</t>
  </si>
  <si>
    <t>Subfascia, 2x10</t>
  </si>
  <si>
    <t>Subfascia, 2x8</t>
  </si>
  <si>
    <t>Subfascia, 2x6</t>
  </si>
  <si>
    <t>Subfascia, 1x12</t>
  </si>
  <si>
    <t>Subfascia, 1x10</t>
  </si>
  <si>
    <t>Subfascia, 1x8</t>
  </si>
  <si>
    <t>Subfascia, 1x6</t>
  </si>
  <si>
    <t>Subfascia</t>
  </si>
  <si>
    <t>Aluminum nonvented soffit</t>
  </si>
  <si>
    <t>Aluminum vented soffit</t>
  </si>
  <si>
    <t>5/8" exterior gypsum board</t>
  </si>
  <si>
    <t>½" exterior grade plywood</t>
  </si>
  <si>
    <t>3/8" exterior grade plywood</t>
  </si>
  <si>
    <t>½" RS cedar soffit</t>
  </si>
  <si>
    <t>3/8" RS cedar soffit</t>
  </si>
  <si>
    <t>Aluminum soffit f channel</t>
  </si>
  <si>
    <t>Aluminum cove molding</t>
  </si>
  <si>
    <t>Aluminum frieze molding</t>
  </si>
  <si>
    <t>Aluminum sill trim</t>
  </si>
  <si>
    <t>Aluminum J channel</t>
  </si>
  <si>
    <t>Aluminum starter strip</t>
  </si>
  <si>
    <t>Aluminum interior corners</t>
  </si>
  <si>
    <t>Aluminum exterior corners</t>
  </si>
  <si>
    <t>Steel siding</t>
  </si>
  <si>
    <t>Panel siding</t>
  </si>
  <si>
    <t>12" bevel siding</t>
  </si>
  <si>
    <t>8"  bevel siding</t>
  </si>
  <si>
    <t>4"  bevel siding</t>
  </si>
  <si>
    <t>Wood siding</t>
  </si>
  <si>
    <t xml:space="preserve">Aluminum roof panels, natural </t>
  </si>
  <si>
    <t>Aluminum roof panels, painted</t>
  </si>
  <si>
    <t>22 ga steel roof panels, finished Standing seam</t>
  </si>
  <si>
    <t>24 ga steel roof panels, finished Standing seam</t>
  </si>
  <si>
    <t>26 ga steel roof panels, finished Standing seam</t>
  </si>
  <si>
    <t>28 ga steel roof panels, finished Ribbed</t>
  </si>
  <si>
    <t>Canopy roofing and finish</t>
  </si>
  <si>
    <t>Concrete roof shakes</t>
  </si>
  <si>
    <t>Concrete roof tiles</t>
  </si>
  <si>
    <t>Aluminum roof tiles</t>
  </si>
  <si>
    <t>Clay roof tiles</t>
  </si>
  <si>
    <t>Steel shingles</t>
  </si>
  <si>
    <t>Aluminum shingles</t>
  </si>
  <si>
    <t>Porcelain enamel shingles</t>
  </si>
  <si>
    <t>Fiber cement shingles</t>
  </si>
  <si>
    <t>Vermont slate shingles</t>
  </si>
  <si>
    <t>Virginia slate shingles</t>
  </si>
  <si>
    <t>Slate roof</t>
  </si>
  <si>
    <t>Wood shake shingles</t>
  </si>
  <si>
    <t>Red cedar wood shingles</t>
  </si>
  <si>
    <t>Timberline roof</t>
  </si>
  <si>
    <t>350lb strip shingle roof</t>
  </si>
  <si>
    <t>325# strip shingle roofing</t>
  </si>
  <si>
    <t>300# strip shingle roofing</t>
  </si>
  <si>
    <t>235# strip shingle roofing</t>
  </si>
  <si>
    <t>Roofing nails</t>
  </si>
  <si>
    <t>Concrete tile shingles</t>
  </si>
  <si>
    <t>Clay tile shingles</t>
  </si>
  <si>
    <t>Slate shingles</t>
  </si>
  <si>
    <t>Fiberglass shingles</t>
  </si>
  <si>
    <t>Asphalt shingles</t>
  </si>
  <si>
    <t>12' roll 6 mil poly</t>
  </si>
  <si>
    <t>Ice and water shield 3'x65' roll</t>
  </si>
  <si>
    <t>30 lb felt 216 sqft roll</t>
  </si>
  <si>
    <t>15 lb felt 432 sqft roll</t>
  </si>
  <si>
    <t>Architectural shingles</t>
  </si>
  <si>
    <t>385 lb asphalt shingles, organic</t>
  </si>
  <si>
    <t>300 lb asphalt shingles, inorganic</t>
  </si>
  <si>
    <t>300 lb asphalt shingles, organic</t>
  </si>
  <si>
    <t>260 lb asphalt shingles, inorganic</t>
  </si>
  <si>
    <t>240 lb asphalt shingles, organic</t>
  </si>
  <si>
    <t>235 lb asphalt shingles, inorganic</t>
  </si>
  <si>
    <t>** Shingle, roof tile and metal roof area **</t>
  </si>
  <si>
    <t>* Roof area *</t>
  </si>
  <si>
    <t>8" sill sealer</t>
  </si>
  <si>
    <t>6" sill sealer</t>
  </si>
  <si>
    <t>4" sill sealer</t>
  </si>
  <si>
    <t>Air infiltration barrier</t>
  </si>
  <si>
    <t>TOW (top of wall) filler</t>
  </si>
  <si>
    <t xml:space="preserve">Vapor barrier </t>
  </si>
  <si>
    <t>6 mil plastic subgrade paper</t>
  </si>
  <si>
    <t>Vapor barrier @ slab</t>
  </si>
  <si>
    <t>* EIFS area *</t>
  </si>
  <si>
    <t>Primer for EIFS finish coat</t>
  </si>
  <si>
    <t>EIFS rough stone appearance finish coat</t>
  </si>
  <si>
    <t>EIFS stone appearance finish coat</t>
  </si>
  <si>
    <t>EIFS fine worm holed finish coat</t>
  </si>
  <si>
    <t>EIFS worm holed finish coat</t>
  </si>
  <si>
    <t>EIFS textured finish coat</t>
  </si>
  <si>
    <t>EIFS ceramic coated aggregate finish coat</t>
  </si>
  <si>
    <t>EIFS granite/marble aggregate finish coat</t>
  </si>
  <si>
    <t>EIFS pebbled finish coat</t>
  </si>
  <si>
    <t>EIFS flat finish coat</t>
  </si>
  <si>
    <t>EIFS coarse sand finish coat</t>
  </si>
  <si>
    <t>EIFS fine sand finish coat</t>
  </si>
  <si>
    <t>EIFS fiberglass mesh 20 oz</t>
  </si>
  <si>
    <t>EIFS fiberglass mesh 15 oz</t>
  </si>
  <si>
    <t>EIFS fiberglass mesh 11 oz</t>
  </si>
  <si>
    <t>EIFS fiberglass mesh 6.0 oz</t>
  </si>
  <si>
    <t>EIFS fiberglass mesh 4.5 oz</t>
  </si>
  <si>
    <t>EIFS PM 3/8" thick base coat with fiber reinforcing</t>
  </si>
  <si>
    <t>EIFS PM 5/16" thick base coat with fiber reinforcing</t>
  </si>
  <si>
    <t>EIFS PM 1/4" thick base coat with fiber reinforcing</t>
  </si>
  <si>
    <t>EIFS PM 3/16" thick base coat with fiber reinforcing</t>
  </si>
  <si>
    <t>EIFS PM 3/8" thick base coat</t>
  </si>
  <si>
    <t>EIFS PM 5/16" thick base coat</t>
  </si>
  <si>
    <t>EIFS PM 1/4" thick base coat</t>
  </si>
  <si>
    <t>EIFS PM 3/16" thick base coat</t>
  </si>
  <si>
    <t>EIFS PB 1/4" thick base coat</t>
  </si>
  <si>
    <t>EIFS PB 3/16" thick base coat</t>
  </si>
  <si>
    <t>EIFS PB 1/8" thick base coat</t>
  </si>
  <si>
    <t>EIFS PB 1/16" thick base coat</t>
  </si>
  <si>
    <t>EIFS fasteners</t>
  </si>
  <si>
    <t>EIFS adhesive</t>
  </si>
  <si>
    <t xml:space="preserve">  5" polyisocyanurate</t>
  </si>
  <si>
    <t xml:space="preserve">  4" polyisocyanurate</t>
  </si>
  <si>
    <t xml:space="preserve">  3½" polyisocyanurate</t>
  </si>
  <si>
    <t xml:space="preserve">  3" polyisocyanurate</t>
  </si>
  <si>
    <t xml:space="preserve">  2½" polyisocyanurate</t>
  </si>
  <si>
    <t xml:space="preserve">  2" polyisocyanurate</t>
  </si>
  <si>
    <t xml:space="preserve">  1½" polyisocyanurate</t>
  </si>
  <si>
    <t xml:space="preserve">  1" polyisocyanurate</t>
  </si>
  <si>
    <t xml:space="preserve">  ¾" polyisocyanurate</t>
  </si>
  <si>
    <t xml:space="preserve">  ½" polyisocyanurate</t>
  </si>
  <si>
    <t xml:space="preserve">  4" XPS (extruded polystyrene)</t>
  </si>
  <si>
    <t xml:space="preserve">  3" XPS (extruded polystyrene)</t>
  </si>
  <si>
    <t xml:space="preserve">  2" XPS (extruded polystyrene)</t>
  </si>
  <si>
    <t xml:space="preserve">  1½" XPS (extruded polystyrene)</t>
  </si>
  <si>
    <t xml:space="preserve">  1" XPS (extruded polystyrene)</t>
  </si>
  <si>
    <t xml:space="preserve">  ¾" XPS (extruded polystyrene)</t>
  </si>
  <si>
    <t xml:space="preserve">  ½" XPS (extruded polystyrene)</t>
  </si>
  <si>
    <t xml:space="preserve">  4" EPS (expanded polystyrene)</t>
  </si>
  <si>
    <t xml:space="preserve">  3" EPS (expanded polystyrene)</t>
  </si>
  <si>
    <t xml:space="preserve">  2" EPS (expanded polystyrene)</t>
  </si>
  <si>
    <t xml:space="preserve">  1½" EPS (expanded polystyrene)</t>
  </si>
  <si>
    <t xml:space="preserve">  1" EPS (expanded polystyrene)</t>
  </si>
  <si>
    <t xml:space="preserve">  ¾" EPS (expanded polystyrene)</t>
  </si>
  <si>
    <t xml:space="preserve">  ½" EPS (expanded polystyrene)</t>
  </si>
  <si>
    <t>EIFS insulation board</t>
  </si>
  <si>
    <t xml:space="preserve">  0.010 vapor barrier</t>
  </si>
  <si>
    <t xml:space="preserve">  Red rosin building paper</t>
  </si>
  <si>
    <t xml:space="preserve">  Housewrap</t>
  </si>
  <si>
    <t xml:space="preserve">  30# felt</t>
  </si>
  <si>
    <t xml:space="preserve">  15# felt</t>
  </si>
  <si>
    <t>EIFS secondary barrier</t>
  </si>
  <si>
    <t>Substrate surface preparation</t>
  </si>
  <si>
    <t xml:space="preserve">  ½" rigid gypsum sheathing </t>
  </si>
  <si>
    <t xml:space="preserve">  ½" asphalt impregnated sheathing </t>
  </si>
  <si>
    <t xml:space="preserve">  5/8" exterior gypsum sheathing</t>
  </si>
  <si>
    <t xml:space="preserve">  ½" exterior gypsum sheathing</t>
  </si>
  <si>
    <t xml:space="preserve">  ½" OSB</t>
  </si>
  <si>
    <t xml:space="preserve">  ¾" CD plywood</t>
  </si>
  <si>
    <t xml:space="preserve">  5/8" CD plywood</t>
  </si>
  <si>
    <t xml:space="preserve">  ½" CDX plywood</t>
  </si>
  <si>
    <t xml:space="preserve">  ½" CD plywood</t>
  </si>
  <si>
    <t>EIFS substrate</t>
  </si>
  <si>
    <t>Exterior wall finish</t>
  </si>
  <si>
    <t>Exterior insulation wall system</t>
  </si>
  <si>
    <t>5" polyisocyanurate insulation</t>
  </si>
  <si>
    <t>3½" polyisocyanurate insulation</t>
  </si>
  <si>
    <t>3" polyisocyanurate insulation</t>
  </si>
  <si>
    <t>2½" polyisocyanurate insulation</t>
  </si>
  <si>
    <t>2" polyisocyanurate insulation</t>
  </si>
  <si>
    <t>1½" polyisocyanurate insulation</t>
  </si>
  <si>
    <t>1" polyisocyanurate insulation</t>
  </si>
  <si>
    <t>¾" polyisocyanurate insulation</t>
  </si>
  <si>
    <t>Rubberized asphalt underlayment</t>
  </si>
  <si>
    <t>40lb felt</t>
  </si>
  <si>
    <t>30lb felt</t>
  </si>
  <si>
    <t>15lb felt</t>
  </si>
  <si>
    <t>3-7/16" urethane insulation</t>
  </si>
  <si>
    <t>2-7/8" urethane insulation</t>
  </si>
  <si>
    <t>2¼" urethane insulation</t>
  </si>
  <si>
    <t>1½" urethane insulation</t>
  </si>
  <si>
    <t>13/16" urethane insulation</t>
  </si>
  <si>
    <t>9/16" urethane insulation</t>
  </si>
  <si>
    <t>3" fiberglass insulation</t>
  </si>
  <si>
    <t>2¼" fiberglass insulation</t>
  </si>
  <si>
    <t>1-7/8" fiberglass insulation</t>
  </si>
  <si>
    <t>1-5/8" fiberglass insulation</t>
  </si>
  <si>
    <t>15/16" fiberglass insulation</t>
  </si>
  <si>
    <t>11/16" fiberglass insulation</t>
  </si>
  <si>
    <t>3" fiberboard roof insulation</t>
  </si>
  <si>
    <t>2½"fiberboard roof insulation</t>
  </si>
  <si>
    <t>2" fiberboard roof insulation</t>
  </si>
  <si>
    <t>1½"fiberboard roof insulation</t>
  </si>
  <si>
    <t>1" fiberboard roof insulation</t>
  </si>
  <si>
    <t>½" fiberboard roof insulation</t>
  </si>
  <si>
    <t>** Gypsum board insulation **</t>
  </si>
  <si>
    <t>R19 fiberglass insulation @ walls</t>
  </si>
  <si>
    <t>R11 fiberglass insulation @ walls</t>
  </si>
  <si>
    <t>15 lb felt @ walls</t>
  </si>
  <si>
    <t>Housewrap</t>
  </si>
  <si>
    <t>Spray urethane foam</t>
  </si>
  <si>
    <t>Batt ceiling insulation</t>
  </si>
  <si>
    <t>Loose fill ceiling insulation</t>
  </si>
  <si>
    <t>Blown insulation @ joists</t>
  </si>
  <si>
    <t>1½" rigid insulation @ joists</t>
  </si>
  <si>
    <t>R30 fiberglass insul @ joists</t>
  </si>
  <si>
    <t>R19 fiberglass insul @ joists</t>
  </si>
  <si>
    <t>R11 fiberglass insulation @ joists</t>
  </si>
  <si>
    <t>Partition insulation</t>
  </si>
  <si>
    <t>R49 blown insulation</t>
  </si>
  <si>
    <t>R44 blown insulation</t>
  </si>
  <si>
    <t>R38 blown insulation</t>
  </si>
  <si>
    <t>R30 blown insulation</t>
  </si>
  <si>
    <t>R19 blown insulation</t>
  </si>
  <si>
    <t>8" batt insulation</t>
  </si>
  <si>
    <t>6" batt insulation</t>
  </si>
  <si>
    <t>4" batt insulation</t>
  </si>
  <si>
    <t>3" batt insulation</t>
  </si>
  <si>
    <t>2" batt insulation</t>
  </si>
  <si>
    <t>12" loose fill insulation</t>
  </si>
  <si>
    <t>10" loose fill insulation</t>
  </si>
  <si>
    <t>8" loose fill insulation</t>
  </si>
  <si>
    <t>6" loose fill insulation</t>
  </si>
  <si>
    <t>2" reflective insulation</t>
  </si>
  <si>
    <t>2" rigid insulation</t>
  </si>
  <si>
    <t>1½" rigid insulation</t>
  </si>
  <si>
    <t>1" rigid insulation</t>
  </si>
  <si>
    <t xml:space="preserve"> 3" rigid insulation</t>
  </si>
  <si>
    <t>2½" rigid insulation</t>
  </si>
  <si>
    <t>¾" rigid insulation</t>
  </si>
  <si>
    <t>3" styrofoam</t>
  </si>
  <si>
    <t>2½" styrofoam</t>
  </si>
  <si>
    <t>2" styrofoam</t>
  </si>
  <si>
    <t>1½" styrofoam</t>
  </si>
  <si>
    <t>1" styrofoam</t>
  </si>
  <si>
    <t>¾" styrofoam</t>
  </si>
  <si>
    <t>6¼" FS-25 kraft fiberglass</t>
  </si>
  <si>
    <t>3½" FS-25 kraft fiberglass</t>
  </si>
  <si>
    <t>9½" kraft faced fiberglass</t>
  </si>
  <si>
    <t>10" batt insulation</t>
  </si>
  <si>
    <t>12" batt insulation</t>
  </si>
  <si>
    <t>9" batt insulation</t>
  </si>
  <si>
    <t>3½" batt insulation</t>
  </si>
  <si>
    <t>2" wall insulation</t>
  </si>
  <si>
    <t>1½" wall insulation</t>
  </si>
  <si>
    <t>1" wall insulation</t>
  </si>
  <si>
    <t>2" foundation insulation</t>
  </si>
  <si>
    <t>1½" foundation insulation</t>
  </si>
  <si>
    <t>1" foundation insulation</t>
  </si>
  <si>
    <t>4" foundation insulation</t>
  </si>
  <si>
    <t>3" foundation insulation</t>
  </si>
  <si>
    <t>2½" foundation insulation</t>
  </si>
  <si>
    <t>Bentonite-polymer alloy waterproofing</t>
  </si>
  <si>
    <t>Bentonite wall panels</t>
  </si>
  <si>
    <t>Bentonite slab panels</t>
  </si>
  <si>
    <t>Acrylic cement waterproofing</t>
  </si>
  <si>
    <t>Crystalline waterproofing</t>
  </si>
  <si>
    <t>Iron powder waterproofing</t>
  </si>
  <si>
    <t>Cementitious waterproofing</t>
  </si>
  <si>
    <t>Liquid elastomeric waterproofing</t>
  </si>
  <si>
    <t>Waterproofing</t>
  </si>
  <si>
    <t>Bituminous asphalt coating</t>
  </si>
  <si>
    <t>Waterproofing on masonry</t>
  </si>
  <si>
    <t>Membrane waterproofing 2 ply</t>
  </si>
  <si>
    <t>Slab waterproofing</t>
  </si>
  <si>
    <t>Basement wall waterproofing</t>
  </si>
  <si>
    <t>Membrane waterproofing</t>
  </si>
  <si>
    <t>Elastomeric waterproofing</t>
  </si>
  <si>
    <t>2 ply felt membrane waterproofing</t>
  </si>
  <si>
    <t>* Basement wall dampproofing *</t>
  </si>
  <si>
    <t>Parge coat</t>
  </si>
  <si>
    <t>Dampproof paint</t>
  </si>
  <si>
    <t>DP paint and 2 coats of hydrocide</t>
  </si>
  <si>
    <t>Dampproofing</t>
  </si>
  <si>
    <t>Dampproofing on masonry</t>
  </si>
  <si>
    <t>* Vertical basement wall waterproofing *</t>
  </si>
  <si>
    <t>* Exterior skin area *</t>
  </si>
  <si>
    <t>Simulated marble window sill</t>
  </si>
  <si>
    <t>Cultured marble counter</t>
  </si>
  <si>
    <t>Cultured marble vanity top</t>
  </si>
  <si>
    <t>Cultured marble shelf</t>
  </si>
  <si>
    <t>Cultured marble tub</t>
  </si>
  <si>
    <t>Cultured marble tub enclosure</t>
  </si>
  <si>
    <t>Cultured marble vanity counter</t>
  </si>
  <si>
    <t>Custom made window shutters</t>
  </si>
  <si>
    <t>Raised panel window shutters</t>
  </si>
  <si>
    <t>Solid panel window shutters</t>
  </si>
  <si>
    <t>Louvered window shutters</t>
  </si>
  <si>
    <t>Interior window</t>
  </si>
  <si>
    <t>Pass through</t>
  </si>
  <si>
    <t>Wood and glass partition</t>
  </si>
  <si>
    <t>Wood door frame</t>
  </si>
  <si>
    <t>Interior wood sill</t>
  </si>
  <si>
    <t xml:space="preserve">     Wood view window w/trim</t>
  </si>
  <si>
    <t>Wood door frame with trim</t>
  </si>
  <si>
    <t>2x12 miscellaneous blocking</t>
  </si>
  <si>
    <t>2x10 miscellaneous blocking</t>
  </si>
  <si>
    <t>2x8 miscellaneous blocking</t>
  </si>
  <si>
    <t>2x6 miscellaneous blocking</t>
  </si>
  <si>
    <t>2x4 miscellaneous blocking</t>
  </si>
  <si>
    <t>2x2 miscellaneous blocking</t>
  </si>
  <si>
    <t>2x8 window sill</t>
  </si>
  <si>
    <t>2x6 window sill</t>
  </si>
  <si>
    <t>2x4 window sill</t>
  </si>
  <si>
    <t>2x2 window sill</t>
  </si>
  <si>
    <t>2x12 window header</t>
  </si>
  <si>
    <t>2x10 window header</t>
  </si>
  <si>
    <t>2x8 window header</t>
  </si>
  <si>
    <t>2x6 window header</t>
  </si>
  <si>
    <t>2x4 window header</t>
  </si>
  <si>
    <t>2x12 door header</t>
  </si>
  <si>
    <t>2x10 door header</t>
  </si>
  <si>
    <t>2x8 door header</t>
  </si>
  <si>
    <t>2x6 door header</t>
  </si>
  <si>
    <t>2x4 door header</t>
  </si>
  <si>
    <t>2x8 plates</t>
  </si>
  <si>
    <t>2x8 studs</t>
  </si>
  <si>
    <t>2x6 plates</t>
  </si>
  <si>
    <t>2x6 studs</t>
  </si>
  <si>
    <t>2x4 plates</t>
  </si>
  <si>
    <t>2x4 studs</t>
  </si>
  <si>
    <t>2x2 plates</t>
  </si>
  <si>
    <t>2x2 studs</t>
  </si>
  <si>
    <t>* Trim *</t>
  </si>
  <si>
    <t>Drip cap</t>
  </si>
  <si>
    <t>Brick moulding</t>
  </si>
  <si>
    <t>2x12 exterior trim</t>
  </si>
  <si>
    <t>2x10 exterior trim</t>
  </si>
  <si>
    <t>2x8 exterior trim</t>
  </si>
  <si>
    <t>2x6 exterior trim</t>
  </si>
  <si>
    <t>2x4 exterior trim</t>
  </si>
  <si>
    <t>2x2 exterior trim</t>
  </si>
  <si>
    <t>1x12 exterior trim</t>
  </si>
  <si>
    <t>1x10 exterior trim</t>
  </si>
  <si>
    <t>1x8 exterior trim</t>
  </si>
  <si>
    <t>1x6 exterior trim</t>
  </si>
  <si>
    <t>1x4 exterior trim</t>
  </si>
  <si>
    <t>1x2 exterior trim</t>
  </si>
  <si>
    <t>Trim, 8x8 S4S cedar</t>
  </si>
  <si>
    <t>Trim, 6x6 S4S cedar</t>
  </si>
  <si>
    <t>Trim, 4x6 S4S cedar</t>
  </si>
  <si>
    <t>Trim, 4x4 S4S cedar</t>
  </si>
  <si>
    <t>Trim, 2x12 redwood</t>
  </si>
  <si>
    <t>Trim, 2x10 redwood</t>
  </si>
  <si>
    <t>Trim, 2x8 redwood</t>
  </si>
  <si>
    <t>Trim, 2x6 redwood</t>
  </si>
  <si>
    <t>Trim, 2x4 redwood</t>
  </si>
  <si>
    <t>Trim, 2x2 redwood</t>
  </si>
  <si>
    <t>Trim, 1x12 redwood</t>
  </si>
  <si>
    <t>Trim, 1x10 redwood</t>
  </si>
  <si>
    <t>Trim, 1x8 redwood</t>
  </si>
  <si>
    <t>Trim, 1x6 redwood</t>
  </si>
  <si>
    <t>Trim, 1x4 redwood</t>
  </si>
  <si>
    <t>Trim, 1x3 redwood</t>
  </si>
  <si>
    <t>Trim, 1x2 redwood</t>
  </si>
  <si>
    <t>Trim, 2x12 S4S cedar</t>
  </si>
  <si>
    <t>Trim, 2x10 S4S cedar</t>
  </si>
  <si>
    <t>Trim, 2x8 S4S cedar</t>
  </si>
  <si>
    <t>Trim, 2x6 S4S cedar</t>
  </si>
  <si>
    <t>Trim, 2x4 S4S cedar</t>
  </si>
  <si>
    <t>Trim, 2x2 S4S cedar</t>
  </si>
  <si>
    <t>Trim, 1x12 S4S cedar</t>
  </si>
  <si>
    <t>Trim, 1x10 S4S cedar</t>
  </si>
  <si>
    <t>Trim, 1x8 S4S cedar</t>
  </si>
  <si>
    <t>Trim, 1x6 S4S cedar</t>
  </si>
  <si>
    <t>Trim, 1x4 S4S cedar</t>
  </si>
  <si>
    <t>Trim, 1x3 S4S cedar</t>
  </si>
  <si>
    <t>Trim, 1x2 S4S cedar</t>
  </si>
  <si>
    <t>Trim, 8x8 RS cedar</t>
  </si>
  <si>
    <t>Trim, 6x6 RS cedar</t>
  </si>
  <si>
    <t>Trim, 4x6 RS cedar</t>
  </si>
  <si>
    <t>Trim, 4x4 RS cedar</t>
  </si>
  <si>
    <t>Trim, 2x12 RS cedar</t>
  </si>
  <si>
    <t>Trim, 2x10 RS cedar</t>
  </si>
  <si>
    <t>Trim, 2x8 RS cedar</t>
  </si>
  <si>
    <t>Trim, 2x6 RS cedar</t>
  </si>
  <si>
    <t>Trim, 2x4 RS cedar</t>
  </si>
  <si>
    <t>Trim, 2x2 RS cedar</t>
  </si>
  <si>
    <t>Trim, 1x12 RS cedar</t>
  </si>
  <si>
    <t>Trim, 1x10 RS cedar</t>
  </si>
  <si>
    <t>Trim, 1x8 RS cedar</t>
  </si>
  <si>
    <t>Trim, 1x6 RS cedar</t>
  </si>
  <si>
    <t>Trim, 1x4 RS cedar</t>
  </si>
  <si>
    <t>Trim, 1x3 RS cedar</t>
  </si>
  <si>
    <t>Trim, 1x2 RS cedar</t>
  </si>
  <si>
    <t>Trim, 8x8 wolmanized</t>
  </si>
  <si>
    <t>Trim, 6x6 wolmanized</t>
  </si>
  <si>
    <t>Trim, 4x6 wolmanized</t>
  </si>
  <si>
    <t>Trim, 4x4 wolmanized</t>
  </si>
  <si>
    <t>Trim, 2x12 wolmanized</t>
  </si>
  <si>
    <t>Trim, 2x10 wolmanized</t>
  </si>
  <si>
    <t>Trim, 2x8 wolmanized</t>
  </si>
  <si>
    <t>Trim, 2x6 wolmanized</t>
  </si>
  <si>
    <t>Trim, 2x4 wolmanized</t>
  </si>
  <si>
    <t>Trim, 2x2 wolmanized</t>
  </si>
  <si>
    <t>Trim, 1x12 wolmanized</t>
  </si>
  <si>
    <t>Trim, 1x10 wolmanized</t>
  </si>
  <si>
    <t>Trim, 1x8 wolmanized</t>
  </si>
  <si>
    <t>Trim, 1x6 wolmanized</t>
  </si>
  <si>
    <t>Trim, 1x4 wolmanized</t>
  </si>
  <si>
    <t>Trim, 1x3 wolmanized</t>
  </si>
  <si>
    <t>Trim, 1x2 wolmanized</t>
  </si>
  <si>
    <t>Wind bracing</t>
  </si>
  <si>
    <t>24" aluminum coil wrap trim</t>
  </si>
  <si>
    <t>18" aluminum coil wrap trim</t>
  </si>
  <si>
    <t>16" aluminum coil wrap trim</t>
  </si>
  <si>
    <t>14" aluminum coil wrap trim</t>
  </si>
  <si>
    <t>12" aluminum coil wrap trim</t>
  </si>
  <si>
    <t>Trim, 8x8</t>
  </si>
  <si>
    <t>Trim, 6x6</t>
  </si>
  <si>
    <t>Trim, 4x6</t>
  </si>
  <si>
    <t>Trim, 4x4</t>
  </si>
  <si>
    <t>Trim, 2x12</t>
  </si>
  <si>
    <t>Trim, 2x10</t>
  </si>
  <si>
    <t>Trim, 2x8</t>
  </si>
  <si>
    <t>Trim, 2x6</t>
  </si>
  <si>
    <t>Trim, 2x4</t>
  </si>
  <si>
    <t>Trim, 2x2</t>
  </si>
  <si>
    <t>Trim, 1x12</t>
  </si>
  <si>
    <t>Trim, 1x10</t>
  </si>
  <si>
    <t>Trim, 1x8</t>
  </si>
  <si>
    <t>Trim, 1x6</t>
  </si>
  <si>
    <t>Trim, 1x4</t>
  </si>
  <si>
    <t>Trim, 1x3</t>
  </si>
  <si>
    <t>Trim, 1x2</t>
  </si>
  <si>
    <t>Ledgers, 2x6</t>
  </si>
  <si>
    <t>Ledgers, 2x4</t>
  </si>
  <si>
    <t>Lookouts, 2x6</t>
  </si>
  <si>
    <t>Lookouts, 2x4</t>
  </si>
  <si>
    <t>Lookouts and ledgers</t>
  </si>
  <si>
    <t>Wood base</t>
  </si>
  <si>
    <t>Wood base w/shoe moulding</t>
  </si>
  <si>
    <t>5 piece ceiling moulding</t>
  </si>
  <si>
    <t>4 piece ceiling moulding</t>
  </si>
  <si>
    <t>3 piece ceiling moulding</t>
  </si>
  <si>
    <t>2 piece ceiling moulding</t>
  </si>
  <si>
    <t>Picture moulding</t>
  </si>
  <si>
    <t>3 piece dentil moulding</t>
  </si>
  <si>
    <t>Cove moulding</t>
  </si>
  <si>
    <t>Crown moulding</t>
  </si>
  <si>
    <t>Chair rail</t>
  </si>
  <si>
    <t>Corner moulding</t>
  </si>
  <si>
    <t>Wainscot moulding</t>
  </si>
  <si>
    <t>3¼" casing</t>
  </si>
  <si>
    <t>2¼" casing</t>
  </si>
  <si>
    <t>Half round</t>
  </si>
  <si>
    <t>Quarter round</t>
  </si>
  <si>
    <t>Access panels</t>
  </si>
  <si>
    <t>Stair skirt boards</t>
  </si>
  <si>
    <t>Miscellaneous wood trim</t>
  </si>
  <si>
    <t>Handrail brackets</t>
  </si>
  <si>
    <t>Wall hand rail, legacy</t>
  </si>
  <si>
    <t>Wall hand rail, oak prfinished</t>
  </si>
  <si>
    <t>Wall hand rail, oak unfinished</t>
  </si>
  <si>
    <t>Wall hand rail</t>
  </si>
  <si>
    <t>Wall cap apron, legacy</t>
  </si>
  <si>
    <t>Wall cap apron, oak prefinishd</t>
  </si>
  <si>
    <t>Wall cap apron, oak unfinshed</t>
  </si>
  <si>
    <t>Wall cap apron</t>
  </si>
  <si>
    <t>1x8 wall cap, legacy</t>
  </si>
  <si>
    <t>1x8 wall cap, oak prefinished</t>
  </si>
  <si>
    <t>1x8 wall cap, oak unfinished</t>
  </si>
  <si>
    <t>1x8 wall cap</t>
  </si>
  <si>
    <t>1x6 wall cap, legacy</t>
  </si>
  <si>
    <t>1x6 wall cap, oak prefinished</t>
  </si>
  <si>
    <t>1x6 wall cap, oak unfinished</t>
  </si>
  <si>
    <t>1x6 wall cap</t>
  </si>
  <si>
    <t>Cultured marble window apron</t>
  </si>
  <si>
    <t>Cultured marble window stool</t>
  </si>
  <si>
    <t>Window stool apron, legacy</t>
  </si>
  <si>
    <t>Window stool apron, oak prfnsh</t>
  </si>
  <si>
    <t>Window stool apron, oak unfnsh</t>
  </si>
  <si>
    <t>Window stool apron</t>
  </si>
  <si>
    <t>Wood window stool, legacy</t>
  </si>
  <si>
    <t>Wood window stool, oak prfnshd</t>
  </si>
  <si>
    <t>Wood window stool, oak unfnshd</t>
  </si>
  <si>
    <t>Wood window stool</t>
  </si>
  <si>
    <t>Wndn jamb extns, legacy</t>
  </si>
  <si>
    <t>Wndn jamb extns, oak prefnshd</t>
  </si>
  <si>
    <t>Wndn jamb extns, oak unfnshd</t>
  </si>
  <si>
    <t>Wndn jamb extns</t>
  </si>
  <si>
    <t>Wndw/dr molding, legacy</t>
  </si>
  <si>
    <t>Wndw/dr molding, oak prefinshd</t>
  </si>
  <si>
    <t>Wndw/dr casing, oak unfinshd</t>
  </si>
  <si>
    <t>Wndw/dr casing</t>
  </si>
  <si>
    <t>Wainscot molding, legacy</t>
  </si>
  <si>
    <t>Wainscot molding, oak prefnshd</t>
  </si>
  <si>
    <t>Wainscot molding, oak unfinshd</t>
  </si>
  <si>
    <t>Wainscot molding</t>
  </si>
  <si>
    <t>Chair rail, legacy</t>
  </si>
  <si>
    <t>Chair rail, oak prefinished</t>
  </si>
  <si>
    <t>Chair rail, oak unfinished</t>
  </si>
  <si>
    <t>Ext crnr molding, legacy</t>
  </si>
  <si>
    <t>Ext crnr molding, prefinished</t>
  </si>
  <si>
    <t>Ext crnr molding, unfinished</t>
  </si>
  <si>
    <t>Exterior corner molding</t>
  </si>
  <si>
    <t>Inside crnr molding, legacy</t>
  </si>
  <si>
    <t>Inside crnr molding, oak prefi</t>
  </si>
  <si>
    <t>Inside crnr molding, oak unfin</t>
  </si>
  <si>
    <t>Inside crnr molding</t>
  </si>
  <si>
    <t>Compnt clng molding, legacy</t>
  </si>
  <si>
    <t>Compnt clng molding, oak prefn</t>
  </si>
  <si>
    <t>Compnt clng molding, oak unfin</t>
  </si>
  <si>
    <t>Compnt clng molding</t>
  </si>
  <si>
    <t>Cove molding, legacy</t>
  </si>
  <si>
    <t>Cove molding, oak prefinished</t>
  </si>
  <si>
    <t>Cove molding, oak unfinished</t>
  </si>
  <si>
    <t>Cove molding</t>
  </si>
  <si>
    <t>Crown molding, legacy</t>
  </si>
  <si>
    <t>Crown molding, oak prefinished</t>
  </si>
  <si>
    <t>Crown molding, oak unfinished</t>
  </si>
  <si>
    <t>Crown molding</t>
  </si>
  <si>
    <t>Half round, legacy</t>
  </si>
  <si>
    <t>Half round, oak prefinished</t>
  </si>
  <si>
    <t>Half round, oak unfinished</t>
  </si>
  <si>
    <t>Quarter round, legacy</t>
  </si>
  <si>
    <t>Quarter round, oak prefinished</t>
  </si>
  <si>
    <t>Quarter round, oak unfinished</t>
  </si>
  <si>
    <t>Wood shoe, legacy</t>
  </si>
  <si>
    <t>Wood shoe, oak prefinished</t>
  </si>
  <si>
    <t>Wood shoe, oak unfinished</t>
  </si>
  <si>
    <t>Wood shoe</t>
  </si>
  <si>
    <t>Wood base board, legacy</t>
  </si>
  <si>
    <t>Wood base board, oak prefinshd</t>
  </si>
  <si>
    <t>Wood base board, oak unfinishd</t>
  </si>
  <si>
    <t>Wood base board</t>
  </si>
  <si>
    <t>Jamb size C @ window</t>
  </si>
  <si>
    <t>Jamb size B @ window</t>
  </si>
  <si>
    <t>Jamb size A @ window</t>
  </si>
  <si>
    <t>6" jamb @ window</t>
  </si>
  <si>
    <t>4¾" jamb @ window</t>
  </si>
  <si>
    <t>4-5/8" jamb @ window</t>
  </si>
  <si>
    <t>4½" jamb @ window</t>
  </si>
  <si>
    <t>4¼" jamb @ window</t>
  </si>
  <si>
    <t>4" jamb @ window</t>
  </si>
  <si>
    <t>Jamb @ window</t>
  </si>
  <si>
    <t>5 piece ceiling molding</t>
  </si>
  <si>
    <t>4 piece ceiling molding</t>
  </si>
  <si>
    <t>3 piece ceiling molding</t>
  </si>
  <si>
    <t>2 piece ceiling molding</t>
  </si>
  <si>
    <t>3 piece dentil molding</t>
  </si>
  <si>
    <t>Cove mold</t>
  </si>
  <si>
    <t>Crown mold</t>
  </si>
  <si>
    <t>Picture molding</t>
  </si>
  <si>
    <t>PCS</t>
  </si>
  <si>
    <t>Outside corner molding / 8ft</t>
  </si>
  <si>
    <t>Inside corner molding / 8ft</t>
  </si>
  <si>
    <t>Half round molding</t>
  </si>
  <si>
    <t>Quarter round molding</t>
  </si>
  <si>
    <t>Wood stud railing</t>
  </si>
  <si>
    <t>Fireplace mantel</t>
  </si>
  <si>
    <t>Jamb size c @ cased opening</t>
  </si>
  <si>
    <t>Jamb size b @ cased opening</t>
  </si>
  <si>
    <t>Jamb size a @ cased opening</t>
  </si>
  <si>
    <t>6" jamb @ cased opening</t>
  </si>
  <si>
    <t>4¾" jamb @ cased opening</t>
  </si>
  <si>
    <t>4-5/8" jamb @ cased opening</t>
  </si>
  <si>
    <t>4½" jamb @ cased opening</t>
  </si>
  <si>
    <t>4¼" jamb @ cased opening</t>
  </si>
  <si>
    <t>4" jamb @ cased opening</t>
  </si>
  <si>
    <t>Jamb @ cased opening</t>
  </si>
  <si>
    <t>3¼" casing @ window</t>
  </si>
  <si>
    <t>2¼" casing @ window</t>
  </si>
  <si>
    <t>Window casing</t>
  </si>
  <si>
    <t>Window apron</t>
  </si>
  <si>
    <t>Window stool</t>
  </si>
  <si>
    <t>3¼" casing @ cased opng</t>
  </si>
  <si>
    <t>2¼" casing @ cased opng</t>
  </si>
  <si>
    <t>Casing @ cased opng</t>
  </si>
  <si>
    <t>Wood apron</t>
  </si>
  <si>
    <t>Wood stool</t>
  </si>
  <si>
    <t>Wood valance</t>
  </si>
  <si>
    <t>Mantel</t>
  </si>
  <si>
    <t>* No. of wood stair risers *</t>
  </si>
  <si>
    <t>Flights</t>
  </si>
  <si>
    <t>* No. of wood stairs *</t>
  </si>
  <si>
    <t>Wood wall rail,fire trtd</t>
  </si>
  <si>
    <t>Wood wall rail,redwood</t>
  </si>
  <si>
    <t>Wood wall rail,S4S cedar</t>
  </si>
  <si>
    <t>Wood wall rail,RS cedar</t>
  </si>
  <si>
    <t>Wood wall rail,wolmanizd</t>
  </si>
  <si>
    <t>Wood wall rail,legacy</t>
  </si>
  <si>
    <t>Wood wall rail,oak prefn</t>
  </si>
  <si>
    <t>Wood wall rail,oak unfin</t>
  </si>
  <si>
    <t>Wood wall rail</t>
  </si>
  <si>
    <t>Wood handrail,fire treated</t>
  </si>
  <si>
    <t>Wood handrail,redwood</t>
  </si>
  <si>
    <t>Wood handrail,S4S cedar</t>
  </si>
  <si>
    <t>Wood handrail,RS cedar</t>
  </si>
  <si>
    <t>Wood handrail,wolmanizd</t>
  </si>
  <si>
    <t>Wood handrail,legacy</t>
  </si>
  <si>
    <t>Wood handrail,oak prefn</t>
  </si>
  <si>
    <t>Wood handrail,oak unfin</t>
  </si>
  <si>
    <t>Wood handrail</t>
  </si>
  <si>
    <t>2x8 handrail,fire treated</t>
  </si>
  <si>
    <t>2x8 handrail,redwood</t>
  </si>
  <si>
    <t>2x8 handrail,S4S cedar</t>
  </si>
  <si>
    <t>2x8 handrail,RS cedar</t>
  </si>
  <si>
    <t>2x8 handrail,wolmanizd</t>
  </si>
  <si>
    <t>2x8 handrail,legacy</t>
  </si>
  <si>
    <t>2x8 handrail,oak prefinished</t>
  </si>
  <si>
    <t>2x8 handrail,oak unfin</t>
  </si>
  <si>
    <t>2x8 handrail</t>
  </si>
  <si>
    <t>2x6 handrail,fire treated</t>
  </si>
  <si>
    <t>2x6 handrail,redwood</t>
  </si>
  <si>
    <t>2x6 handrail,S4S cedar</t>
  </si>
  <si>
    <t>2x6 handrail,RS cedar</t>
  </si>
  <si>
    <t>2x6 handrail,wolmanizd</t>
  </si>
  <si>
    <t>2x6 handrail,legacy</t>
  </si>
  <si>
    <t>2x6 handrail,oak prefn</t>
  </si>
  <si>
    <t>2x6 handrail,oak unfinished</t>
  </si>
  <si>
    <t>2x6 handrail</t>
  </si>
  <si>
    <t>2x4 handrail,fire treated</t>
  </si>
  <si>
    <t>2x4 handrail,redwood</t>
  </si>
  <si>
    <t>2x4 handrail,S4S cedar</t>
  </si>
  <si>
    <t>2x4 handrail,RS cedar</t>
  </si>
  <si>
    <t>2x4 handrail,wolmanizd</t>
  </si>
  <si>
    <t>2x4 handrail,legacy</t>
  </si>
  <si>
    <t>2x4 handrail,oak prefn</t>
  </si>
  <si>
    <t>2x4 handrail,oak unfin</t>
  </si>
  <si>
    <t>2x4 handrail</t>
  </si>
  <si>
    <t>2x2 handrail,fire trtd</t>
  </si>
  <si>
    <t>2x2 handrail,redwood</t>
  </si>
  <si>
    <t>2x2 handrail,S4S cedar</t>
  </si>
  <si>
    <t>2x2 handrail,RS cedar</t>
  </si>
  <si>
    <t>2x2 handrail,wolmanizd</t>
  </si>
  <si>
    <t>2x2 handrail,legacy</t>
  </si>
  <si>
    <t>2x2 handrail,oak prefn</t>
  </si>
  <si>
    <t>2x2 handrail,oak unfin</t>
  </si>
  <si>
    <t>2x2 handrail</t>
  </si>
  <si>
    <t>2x8 riser,fire trtd</t>
  </si>
  <si>
    <t>2x8 riser,redwood</t>
  </si>
  <si>
    <t>2x8 riser,S4S cedar</t>
  </si>
  <si>
    <t>2x8 riser,RS cedar</t>
  </si>
  <si>
    <t>2x8 riser,wolmanizd</t>
  </si>
  <si>
    <t>2x8 riser,legacy</t>
  </si>
  <si>
    <t>2x8 riser,oak prefn</t>
  </si>
  <si>
    <t>2x8 riser,oak unfin</t>
  </si>
  <si>
    <t>2x8 @ riser</t>
  </si>
  <si>
    <t>2x6 riser,fire trtd</t>
  </si>
  <si>
    <t>2x6 riser,redwood</t>
  </si>
  <si>
    <t>2x6 riser,S4S cedar</t>
  </si>
  <si>
    <t>2x6 riser,RS cedar</t>
  </si>
  <si>
    <t>2x6 riser,wolmanizd</t>
  </si>
  <si>
    <t>2x6 riser,legacy</t>
  </si>
  <si>
    <t>2x6 riser,oak prefn</t>
  </si>
  <si>
    <t>2x6 riser,oak unfin</t>
  </si>
  <si>
    <t>2x6 riser</t>
  </si>
  <si>
    <t>2x4 riser,fire trtd</t>
  </si>
  <si>
    <t>2x4 riser,redwood</t>
  </si>
  <si>
    <t>2x4 riser,S4S cedar</t>
  </si>
  <si>
    <t>2x4 riser,RS cedar</t>
  </si>
  <si>
    <t>2x4 riser,wolmanizd</t>
  </si>
  <si>
    <t>2x4 riser,legacy</t>
  </si>
  <si>
    <t>2x4 riser,oak prefn</t>
  </si>
  <si>
    <t>2x4 riser,oak unfin</t>
  </si>
  <si>
    <t>2x4 riser</t>
  </si>
  <si>
    <t>1x8 riser,fire trtd</t>
  </si>
  <si>
    <t>1x8 riser,redwood</t>
  </si>
  <si>
    <t>1x8 riser,S4S cedar</t>
  </si>
  <si>
    <t>1x8 riser,RS cedar</t>
  </si>
  <si>
    <t>1x8 riser,wolmanizd</t>
  </si>
  <si>
    <t>1x8 riser,legacy</t>
  </si>
  <si>
    <t>1x8 riser,oak prefn</t>
  </si>
  <si>
    <t>1x8 riser,oak unfin</t>
  </si>
  <si>
    <t>1x8 riser</t>
  </si>
  <si>
    <t>3/4" plywd riser,fire trtd</t>
  </si>
  <si>
    <t>3/4" plywd riser,redwood</t>
  </si>
  <si>
    <t>3/4" plywd riser,S4S cedar</t>
  </si>
  <si>
    <t>3/4" plywd riser,RS cedar</t>
  </si>
  <si>
    <t>3/4" plywd riser,wolmanizd</t>
  </si>
  <si>
    <t>3/4" plywd riser,legacy</t>
  </si>
  <si>
    <t>3/4" plywd riser,oak prefn</t>
  </si>
  <si>
    <t>3/4" plywd riser,oak unfin</t>
  </si>
  <si>
    <t>3/4" plywood riser</t>
  </si>
  <si>
    <t>5/8" plywd riser,fire trtd</t>
  </si>
  <si>
    <t>5/8" plywd riser,redwood</t>
  </si>
  <si>
    <t>5/8" plywd riser,S4S cedar</t>
  </si>
  <si>
    <t>5/8" plywd riser,RS cedar</t>
  </si>
  <si>
    <t>5/8" plywd riser,wolmanizd</t>
  </si>
  <si>
    <t>5/8" plywd riser,legacy</t>
  </si>
  <si>
    <t>5/8" plywd riser,oak prefn</t>
  </si>
  <si>
    <t>5/8" plywd riser,oak unfin</t>
  </si>
  <si>
    <t>5/8" plywood riser</t>
  </si>
  <si>
    <t>1/2" plywd riser,fire trtd</t>
  </si>
  <si>
    <t>1/2" plywd riser,redwood</t>
  </si>
  <si>
    <t>1/2" plywd riser,S4S cedar</t>
  </si>
  <si>
    <t>1/2" plywd riser,RS cedar</t>
  </si>
  <si>
    <t>1/2" plywd riser,wolmanizd</t>
  </si>
  <si>
    <t>1/2" plywd riser,legacy</t>
  </si>
  <si>
    <t>1/2" plywd riser,oak prefn</t>
  </si>
  <si>
    <t>1/2" plywd riser,oak unfin</t>
  </si>
  <si>
    <t>1/2" plywood riseRS</t>
  </si>
  <si>
    <t>Particleboard, fire treated</t>
  </si>
  <si>
    <t>Particleboard tread</t>
  </si>
  <si>
    <t>2x12 tread,fire trtd</t>
  </si>
  <si>
    <t>2x12 tread,redwood</t>
  </si>
  <si>
    <t>2x12 tread,S4S cedar</t>
  </si>
  <si>
    <t>2x12 tread,RS cedar</t>
  </si>
  <si>
    <t>2x12 tread,wolmanizd</t>
  </si>
  <si>
    <t>2x12 tread,legacy</t>
  </si>
  <si>
    <t>2x12 tread,oak prefn</t>
  </si>
  <si>
    <t>2x12 tread,oak unfin</t>
  </si>
  <si>
    <t>2x12 tread</t>
  </si>
  <si>
    <t>2x10 tread,fire trtd</t>
  </si>
  <si>
    <t>2x10 tread,redwood</t>
  </si>
  <si>
    <t>2x10 tread,S4S cedar</t>
  </si>
  <si>
    <t>2x10 tread,RS cedar</t>
  </si>
  <si>
    <t>2x10 tread,wolmanizd</t>
  </si>
  <si>
    <t>2x10 tread,legacy</t>
  </si>
  <si>
    <t>2x10 tread,oak prefn</t>
  </si>
  <si>
    <t>2x10 tread,oak unfin</t>
  </si>
  <si>
    <t>2x10 tread</t>
  </si>
  <si>
    <t>2x8 tread,fire trtd</t>
  </si>
  <si>
    <t>2x8 tread,redwood</t>
  </si>
  <si>
    <t>2x8 tread,S4S cedar</t>
  </si>
  <si>
    <t>2x8 tread,RS cedar</t>
  </si>
  <si>
    <t>2x8 tread,wolmanizd</t>
  </si>
  <si>
    <t>2x8 tread,legacy</t>
  </si>
  <si>
    <t>2x8 tread,oak prefn</t>
  </si>
  <si>
    <t>2x8 tread,oak unfin</t>
  </si>
  <si>
    <t>2x8 tread</t>
  </si>
  <si>
    <t>2x6 tread,fire trtd</t>
  </si>
  <si>
    <t>2x6 tread,redwood</t>
  </si>
  <si>
    <t>2x6 tread,S4S cedar</t>
  </si>
  <si>
    <t>2x6 tread,RS cedar</t>
  </si>
  <si>
    <t>2x6 tread,wolmanizd</t>
  </si>
  <si>
    <t>2x6 tread,legacy</t>
  </si>
  <si>
    <t>2x6 tread,oak prefn</t>
  </si>
  <si>
    <t>2x6 tread,oak unfin</t>
  </si>
  <si>
    <t>2x6 tread</t>
  </si>
  <si>
    <t>2x4 tread,fire trtd</t>
  </si>
  <si>
    <t>2x4 tread,redwood</t>
  </si>
  <si>
    <t>2x4 tread,S4S cedar</t>
  </si>
  <si>
    <t>2x4 tread,RS cedar</t>
  </si>
  <si>
    <t>2x4 tread,wolmanizd</t>
  </si>
  <si>
    <t>2x4 tread,legacy</t>
  </si>
  <si>
    <t>2x4 tread,oak prefn</t>
  </si>
  <si>
    <t>2x4 tread,oak unfin</t>
  </si>
  <si>
    <t>2x4 treads</t>
  </si>
  <si>
    <t>3/4" plywd tread,fire trtd</t>
  </si>
  <si>
    <t>3/4" plywd tread,redwood</t>
  </si>
  <si>
    <t>3/4" plywd tread,S4S cedar</t>
  </si>
  <si>
    <t>3/4" plywd tread,RS cedar</t>
  </si>
  <si>
    <t>3/4" plywd tread,wolmanizd</t>
  </si>
  <si>
    <t>3/4" plywd tread,legacy</t>
  </si>
  <si>
    <t>3/4" plywd tread,oak prefn</t>
  </si>
  <si>
    <t>3/4" plywd tread,oak unfin</t>
  </si>
  <si>
    <t>3/4" plywood treads</t>
  </si>
  <si>
    <t>5/8" plywd tread,fire trtd</t>
  </si>
  <si>
    <t>5/8" plywd tread,redwood</t>
  </si>
  <si>
    <t>5/8" plywd tread,S4S cedar</t>
  </si>
  <si>
    <t>5/8" plywd tread,RS cedar</t>
  </si>
  <si>
    <t>5/8" plywd tread,wolmanizd</t>
  </si>
  <si>
    <t>5/8" plywd tread,legacy</t>
  </si>
  <si>
    <t>5/8" plywd tread,oak prefn</t>
  </si>
  <si>
    <t>5/8" plywd tread,oak unfin</t>
  </si>
  <si>
    <t>5/8" plywood treads</t>
  </si>
  <si>
    <t>1/2" plywd tread,fire trtd</t>
  </si>
  <si>
    <t>1/2" plywd tread,redwood</t>
  </si>
  <si>
    <t>1/2" plywd tread,S4S cedar</t>
  </si>
  <si>
    <t>1/2" plywd tread,RS cedar</t>
  </si>
  <si>
    <t>1/2" plywd tread,wolmanizd</t>
  </si>
  <si>
    <t>1/2" plywd tread,legacy</t>
  </si>
  <si>
    <t>1/2" plywd tread,oak prefn</t>
  </si>
  <si>
    <t>1/2" plywd tread,oak unfin</t>
  </si>
  <si>
    <t>1/2" plywood treads</t>
  </si>
  <si>
    <t>Particle board landing deck</t>
  </si>
  <si>
    <t>2x12 @ lndng dck,fire trtd</t>
  </si>
  <si>
    <t>2x12 @ lndng dck,redwood</t>
  </si>
  <si>
    <t>2x12 @ lndng dck,S4S cedar</t>
  </si>
  <si>
    <t>2x12 @ lndng dck,RS cedar</t>
  </si>
  <si>
    <t>2x12 @ lndng dck,wolmanizd</t>
  </si>
  <si>
    <t>2x12 @ lndng dck,legacy</t>
  </si>
  <si>
    <t>2x12 @ lndng dck,oak prefn</t>
  </si>
  <si>
    <t>2x12 @ lndng dck,oak unfin</t>
  </si>
  <si>
    <t>2x12 @ landing deck</t>
  </si>
  <si>
    <t>2x10 @ lndng dck,fire trtd</t>
  </si>
  <si>
    <t>2x10 @ lndng dck,redwood</t>
  </si>
  <si>
    <t>2x10 @ lndng dck,S4S cedar</t>
  </si>
  <si>
    <t>2x10 @ lndng dck,RS cedar</t>
  </si>
  <si>
    <t>2x10 @ lndng dck,wolmanizd</t>
  </si>
  <si>
    <t>2x10 @ lndng dck,legacy</t>
  </si>
  <si>
    <t>2x10 @ lndng dck,oak prefn</t>
  </si>
  <si>
    <t>2x10 @ lndng dck,oak unfin</t>
  </si>
  <si>
    <t>2x10 @ landing deck</t>
  </si>
  <si>
    <t>2x8 @ lndng dck,fire trtd</t>
  </si>
  <si>
    <t>2x8 @ lndng dck,redwood</t>
  </si>
  <si>
    <t>2x8 @ lndng dck,S4S cedar</t>
  </si>
  <si>
    <t>2x8 @ lndng dck,RS cedar</t>
  </si>
  <si>
    <t>2x8 @ lndng dck,wolmanizd</t>
  </si>
  <si>
    <t>2x8 @ lndng dck,legacy</t>
  </si>
  <si>
    <t>2x8 @ lndng dck,oak prefn</t>
  </si>
  <si>
    <t>2x8 @ lndng dck,oak unfin</t>
  </si>
  <si>
    <t>2x8 @ landing deck</t>
  </si>
  <si>
    <t>2x6 @ lndng dck,fire trtd</t>
  </si>
  <si>
    <t>2x6 @ lndng dck,redwood</t>
  </si>
  <si>
    <t>2x6 @ lndng dck,S4S cedar</t>
  </si>
  <si>
    <t>2x6 @ lndng dck,RS cedar</t>
  </si>
  <si>
    <t>2x6 @ lndng dck,wolmanizd</t>
  </si>
  <si>
    <t>2x6 @ lndng dck,legacy</t>
  </si>
  <si>
    <t>2x6 @ lndng dck,oak prefn</t>
  </si>
  <si>
    <t>2x6 @ lndng dck,oak unfin</t>
  </si>
  <si>
    <t>2x6 @ landing deck</t>
  </si>
  <si>
    <t>2x4 @ lndng dck,fire trtd</t>
  </si>
  <si>
    <t>2x4 @ lndng dck,redwood</t>
  </si>
  <si>
    <t>2x4 @ lndng dck,S4S cedar</t>
  </si>
  <si>
    <t>2x4 @ lndng dck,RS cedar</t>
  </si>
  <si>
    <t>2x4 @ lndng dck,wolmanizd</t>
  </si>
  <si>
    <t>2x4 @ lndng dck,legacy</t>
  </si>
  <si>
    <t>2x4 @ lndng dck,oak prefn</t>
  </si>
  <si>
    <t>2x4 @ lndng dck,oak unfin</t>
  </si>
  <si>
    <t>2x4 @ landing deck</t>
  </si>
  <si>
    <t>3/4" plywd@lndng dck,fire trtd</t>
  </si>
  <si>
    <t>3/4" plywd@lndng dck,redwood</t>
  </si>
  <si>
    <t>3/4" plywd@lndng dck,S4S cedar</t>
  </si>
  <si>
    <t>3/4" plywd@lndng dck,RS cedar</t>
  </si>
  <si>
    <t>3/4" plywd@lndng dck,wolmanizd</t>
  </si>
  <si>
    <t>3/4" plywd@lndng dck,legacy</t>
  </si>
  <si>
    <t>3/4" plywd@lndng dck,oak prefn</t>
  </si>
  <si>
    <t>3/4" plywd@lndng dck,oak unfin</t>
  </si>
  <si>
    <t>3/4" plywood @ landing deck</t>
  </si>
  <si>
    <t>5/8" plywd@lndng dck,fire trtd</t>
  </si>
  <si>
    <t>5/8" plywd@lndng dck,redwood</t>
  </si>
  <si>
    <t>5/8" plywd@lndng dck,S4S cedar</t>
  </si>
  <si>
    <t>5/8" plywd@lndng dck,RS cedar</t>
  </si>
  <si>
    <t>5/8" plywd@lndng dck,wolmanizd</t>
  </si>
  <si>
    <t>5/8" plywd@lndng dck,legacy</t>
  </si>
  <si>
    <t>5/8" plywd@lndng dck,oak prefn</t>
  </si>
  <si>
    <t>5/8" plywd@lndng dck,oak unfin</t>
  </si>
  <si>
    <t>5/8" plywood @ landing deck</t>
  </si>
  <si>
    <t>1/2" plywd@lndng dck,fire trtd</t>
  </si>
  <si>
    <t>1/2" plywd@lndng dck,redwood</t>
  </si>
  <si>
    <t>1/2" plywd@lndng dck,S4S cedar</t>
  </si>
  <si>
    <t>1/2" plywd@lndng dck,RS cedar</t>
  </si>
  <si>
    <t>1/2" plywd@lndng dck,wolmanizd</t>
  </si>
  <si>
    <t>1/2" plywd@lndng dck,legacy</t>
  </si>
  <si>
    <t>1/2" plywd@lndng dck,oak prefn</t>
  </si>
  <si>
    <t>1/2" plywd@lndng dck,oak unfin</t>
  </si>
  <si>
    <t>1/2" plywood @ landing deck</t>
  </si>
  <si>
    <t>2x12x20 stiffner, fire treated</t>
  </si>
  <si>
    <t>2x12x20 stiffner, redwood</t>
  </si>
  <si>
    <t>2x12x20 stiffner, S4S cedar</t>
  </si>
  <si>
    <t>2x12x20 stiffner, RS cedar</t>
  </si>
  <si>
    <t>2x12x20 stiffner, wolmanized</t>
  </si>
  <si>
    <t>2x12x20 stiffner, legacy</t>
  </si>
  <si>
    <t>2x12x20 stiffner, oak prefin</t>
  </si>
  <si>
    <t>2x12x20 stiffner, oak unfin</t>
  </si>
  <si>
    <t>2x12x20 stiffner</t>
  </si>
  <si>
    <t>2x12x18 stiffner, fire treated</t>
  </si>
  <si>
    <t>2x12x18 stiffner, redwood</t>
  </si>
  <si>
    <t>2x12x18 stiffner, S4S cedar</t>
  </si>
  <si>
    <t>2x12x18 stiffner, RS cedar</t>
  </si>
  <si>
    <t>2x12x18 stiffner, wolmanized</t>
  </si>
  <si>
    <t>2x12x18 stiffner, legacy</t>
  </si>
  <si>
    <t>2x12x18 stiffner, oak prefin</t>
  </si>
  <si>
    <t>2x12x18 stiffner, oak unfin</t>
  </si>
  <si>
    <t>2x12x18 stiffner</t>
  </si>
  <si>
    <t>2x12x16 stiffner, fire treated</t>
  </si>
  <si>
    <t>2x12x16 stiffner, redwood</t>
  </si>
  <si>
    <t>2x12x16 stiffner, S4S cedar</t>
  </si>
  <si>
    <t>2x12x16 stiffner, RS cedar</t>
  </si>
  <si>
    <t>2x12x16 stiffner, wolmanized</t>
  </si>
  <si>
    <t>2x12x16 stiffner, legacy</t>
  </si>
  <si>
    <t>2x12x16 stiffner, oak prefin</t>
  </si>
  <si>
    <t>2x12x16 stiffner, oak unfin</t>
  </si>
  <si>
    <t>2x12x16 stiffner</t>
  </si>
  <si>
    <t>2x12x14 stiffner, fire treated</t>
  </si>
  <si>
    <t>2x12x14 stiffner, redwood</t>
  </si>
  <si>
    <t>2x12x14 stiffner, S4S</t>
  </si>
  <si>
    <t>2x12x14 stiffner, RS cedar</t>
  </si>
  <si>
    <t>2x12x14 stiffner, wolmanized</t>
  </si>
  <si>
    <t>2x12x14 stiffner, legacy</t>
  </si>
  <si>
    <t>2x12x14 stiffner, oak prefin</t>
  </si>
  <si>
    <t>2x12x14 stiffner, oak unfin</t>
  </si>
  <si>
    <t>2x12x14 stiffner</t>
  </si>
  <si>
    <t>2x12x12 stiffner, fire treated</t>
  </si>
  <si>
    <t>2x12x12 stiffner, redwood</t>
  </si>
  <si>
    <t>2x12x12 stiffner, S4S cedar</t>
  </si>
  <si>
    <t>2x12x12 stiffner, RS cedar</t>
  </si>
  <si>
    <t>2x12x12 stiffner, wolmanized</t>
  </si>
  <si>
    <t>2x12x12 stiffner, legacy</t>
  </si>
  <si>
    <t>2x12x12 stiffner, oak prefin</t>
  </si>
  <si>
    <t>2x12x12 stiffner, oak unfin</t>
  </si>
  <si>
    <t>2x12x12 stiffner</t>
  </si>
  <si>
    <t>2x12x10 stiffner, fire treated</t>
  </si>
  <si>
    <t>2x12x10 stiffner, redwood</t>
  </si>
  <si>
    <t>2x12x10 stiffner, S4S cedar</t>
  </si>
  <si>
    <t>2x12x10 stiffner, RS cedar</t>
  </si>
  <si>
    <t>2x12x10 stiffner, wolmanized</t>
  </si>
  <si>
    <t>2x12x10 stiffner, legacy</t>
  </si>
  <si>
    <t>2x12x10 stiffner, oak prefin</t>
  </si>
  <si>
    <t>2x12x10 stiffner, oak unfin</t>
  </si>
  <si>
    <t>2x12x10 stiffner</t>
  </si>
  <si>
    <t>2x12x8  stiffner, fire treated</t>
  </si>
  <si>
    <t>2x12x8  stiffner, redwood</t>
  </si>
  <si>
    <t>2x12x8  stiffner, S4S cedar</t>
  </si>
  <si>
    <t>2x12x8  stiffner, RS cedar</t>
  </si>
  <si>
    <t>2x12x8  stiffner, wolmanized</t>
  </si>
  <si>
    <t>2x12x8  stiffner, legacy</t>
  </si>
  <si>
    <t>2x12x8  stiffner, oak prefin</t>
  </si>
  <si>
    <t>2x12x8  stiffner, oak unfin</t>
  </si>
  <si>
    <t>2x12x8  stiffner</t>
  </si>
  <si>
    <t>2x10x20 stiffner, fire treated</t>
  </si>
  <si>
    <t>2x10x20 stiffner, redwood</t>
  </si>
  <si>
    <t>2x10x20 stiffner, S4S cedar</t>
  </si>
  <si>
    <t>2x10x20 stiffner, RS cedar</t>
  </si>
  <si>
    <t>2x10x20 stiffner, wolmanized</t>
  </si>
  <si>
    <t>2x10x20 stiffner, legacy</t>
  </si>
  <si>
    <t>2x10x20 stiffner, oak prefin</t>
  </si>
  <si>
    <t>2x10x20 stiffner, oak unfin</t>
  </si>
  <si>
    <t>2x10x20 stiffner</t>
  </si>
  <si>
    <t>2x10x18 stiffner, fire treated</t>
  </si>
  <si>
    <t>2x10x18 stiffner, redwood</t>
  </si>
  <si>
    <t>2x10x18 stiffner, S4S cedar</t>
  </si>
  <si>
    <t>2x10x18 stiffner, RS cedar</t>
  </si>
  <si>
    <t>2x10x18 stiffner, wolmanized</t>
  </si>
  <si>
    <t>2x10x18 stiffner, legacy</t>
  </si>
  <si>
    <t>2x10x18 stiffner, oak prefin</t>
  </si>
  <si>
    <t>2x10x18 stiffner, oak unfin</t>
  </si>
  <si>
    <t>2x10x18 stiffner</t>
  </si>
  <si>
    <t>2x10x16 stiffner, fire treated</t>
  </si>
  <si>
    <t>2x10x16 stiffner, redwood</t>
  </si>
  <si>
    <t>2x10x16 stiffner, S4S cedar</t>
  </si>
  <si>
    <t>2x10x16 stiffner, RS cedar</t>
  </si>
  <si>
    <t>2x10x16 stiffner, wolmanized</t>
  </si>
  <si>
    <t>2x10x16 stiffner, legacy</t>
  </si>
  <si>
    <t>2x10x16 stiffner, oak prefin</t>
  </si>
  <si>
    <t>2x10x16 stiffner, oak unfin</t>
  </si>
  <si>
    <t>2x10x16 stiffner</t>
  </si>
  <si>
    <t>2x10x14 stiffner, fire treated</t>
  </si>
  <si>
    <t>2x10x14 stiffner, redwood</t>
  </si>
  <si>
    <t>2x10x14 stiffner, S4S</t>
  </si>
  <si>
    <t>2x10x14 stiffner, RS cedar</t>
  </si>
  <si>
    <t>2x10x14 stiffner, wolmanized</t>
  </si>
  <si>
    <t>2x10x14 stiffner, legacy</t>
  </si>
  <si>
    <t>2x10x14 stiffner, oak prefin</t>
  </si>
  <si>
    <t>2x10x14 stiffner, oak unfin</t>
  </si>
  <si>
    <t>2x10x14 stiffner</t>
  </si>
  <si>
    <t>2x10x12 stiffner, fire treated</t>
  </si>
  <si>
    <t>2x10x12 stiffner, redwood</t>
  </si>
  <si>
    <t>2x10x12 stiffner, S4S cedar</t>
  </si>
  <si>
    <t>2x10x12 stiffner, RS cedar</t>
  </si>
  <si>
    <t>2x10x12 stiffner, wolmanized</t>
  </si>
  <si>
    <t>2x10x12 stiffner, legacy</t>
  </si>
  <si>
    <t>2x10x12 stiffner, oak prefin</t>
  </si>
  <si>
    <t>2x10x12 stiffner, oak unfin</t>
  </si>
  <si>
    <t>2x10x12 stiffner</t>
  </si>
  <si>
    <t>2x10x10 stiffner, fire treated</t>
  </si>
  <si>
    <t>2x10x10 stiffner, redwood</t>
  </si>
  <si>
    <t>2x10x10 stiffner, S4S cedar</t>
  </si>
  <si>
    <t>2x10x10 stiffner, RS cedar</t>
  </si>
  <si>
    <t>2x10x10 stiffner, wolmanized</t>
  </si>
  <si>
    <t>2x10x10 stiffner, legacy</t>
  </si>
  <si>
    <t>2x10x10 stiffner, oak prefin</t>
  </si>
  <si>
    <t>2x10x10 stiffner, oak unfin</t>
  </si>
  <si>
    <t>2x10x10 stiffner</t>
  </si>
  <si>
    <t>2x10x8  stiffner, fire treated</t>
  </si>
  <si>
    <t>2x10x8  stiffner, redwood</t>
  </si>
  <si>
    <t>2x10x8  stiffner, S4S cedar</t>
  </si>
  <si>
    <t>2x10x8  stiffner, RS cedar</t>
  </si>
  <si>
    <t>2x10x8  stiffner, wolmanized</t>
  </si>
  <si>
    <t>2x10x8  stiffner, legacy</t>
  </si>
  <si>
    <t>2x10x8  stiffner, oak prefin</t>
  </si>
  <si>
    <t>2x10x8  stiffner, oak unfin</t>
  </si>
  <si>
    <t>2x10x8  stiffner</t>
  </si>
  <si>
    <t>2x8x20 stiffner, fire treated</t>
  </si>
  <si>
    <t>2x8x20 stiffner, redwood</t>
  </si>
  <si>
    <t>2x8x20 stiffner, S4S cedar</t>
  </si>
  <si>
    <t>2x8x20 stiffner, RS cedar</t>
  </si>
  <si>
    <t>2x8x20 stiffner, wolmanized</t>
  </si>
  <si>
    <t>2x8x20 stiffner, legacy</t>
  </si>
  <si>
    <t>2x8x20 stiffner, oak prefin</t>
  </si>
  <si>
    <t>2x8x20 stiffner, oak unfin</t>
  </si>
  <si>
    <t>2x8x20 stiffner</t>
  </si>
  <si>
    <t>2x8x18 stiffner, fire treated</t>
  </si>
  <si>
    <t>2x8x18 stiffner, redwood</t>
  </si>
  <si>
    <t>2x8x18 stiffner, S4S cedar</t>
  </si>
  <si>
    <t>2x8x18 stiffner, RS cedar</t>
  </si>
  <si>
    <t>2x8x18 stiffner, wolmanized</t>
  </si>
  <si>
    <t>2x8x18 stiffner, legacy</t>
  </si>
  <si>
    <t>2x8x18 stiffner, oak prefin</t>
  </si>
  <si>
    <t>2x8x18 stiffner, oak unfin</t>
  </si>
  <si>
    <t>2x8x18 stiffner</t>
  </si>
  <si>
    <t>2x8x16 stiffner, fire treated</t>
  </si>
  <si>
    <t>2x8x16 stiffner, redwood</t>
  </si>
  <si>
    <t>2x8x16 stiffner, S4S cedar</t>
  </si>
  <si>
    <t>2x8x16 stiffner, RS cedar</t>
  </si>
  <si>
    <t>2x8x16 stiffner, wolmanized</t>
  </si>
  <si>
    <t>2x8x16 stiffner, legacy</t>
  </si>
  <si>
    <t>2x8x16 stiffner, oak prefin</t>
  </si>
  <si>
    <t>2x8x16 stiffner, oak unfin</t>
  </si>
  <si>
    <t>2x8x16 stiffner</t>
  </si>
  <si>
    <t>2x8x14 stiffner, fire treated</t>
  </si>
  <si>
    <t>2x8x14 stiffner, redwood</t>
  </si>
  <si>
    <t>2x8x14 stiffner, S4S</t>
  </si>
  <si>
    <t>2x8x14 stiffner, RS cedar</t>
  </si>
  <si>
    <t>2x8x14 stiffner, wolmanized</t>
  </si>
  <si>
    <t>2x8x14 stiffner, legacy</t>
  </si>
  <si>
    <t>2x8x14 stiffner, oak prefin</t>
  </si>
  <si>
    <t>2x8x14 stiffner, oak unfin</t>
  </si>
  <si>
    <t>2x8x14 stiffner</t>
  </si>
  <si>
    <t>2x8x12 stiffner, fire treated</t>
  </si>
  <si>
    <t>2x8x12 stiffner, redwood</t>
  </si>
  <si>
    <t>2x8x12 stiffner, S4S cedar</t>
  </si>
  <si>
    <t>2x8x12 stiffner, RS cedar</t>
  </si>
  <si>
    <t>2x8x12 stiffner, wolmanized</t>
  </si>
  <si>
    <t>2x8x12 stiffner, legacy</t>
  </si>
  <si>
    <t>2x8x12 stiffner, oak prefin</t>
  </si>
  <si>
    <t>2x8x12 stiffner, oak unfin</t>
  </si>
  <si>
    <t>2x8x12 stiffner</t>
  </si>
  <si>
    <t>2x8x10 stiffner, fire treated</t>
  </si>
  <si>
    <t>2x8x10 stiffner, redwood</t>
  </si>
  <si>
    <t>2x8x10 stiffner, S4S cedar</t>
  </si>
  <si>
    <t>2x8x10 stiffner, RS cedar</t>
  </si>
  <si>
    <t>2x8x10 stiffner, wolmanized</t>
  </si>
  <si>
    <t>2x8x10 stiffner, legacy</t>
  </si>
  <si>
    <t>2x8x10 stiffner, oak prefin</t>
  </si>
  <si>
    <t>2x8x10 stiffner, oak unfin</t>
  </si>
  <si>
    <t>2x8x10 stiffner</t>
  </si>
  <si>
    <t>2x8x8  stiffner, fire treated</t>
  </si>
  <si>
    <t>2x8x8  stiffner, redwood</t>
  </si>
  <si>
    <t>2x8x8  stiffner, S4S cedar</t>
  </si>
  <si>
    <t>2x8x8  stiffner, RS cedar</t>
  </si>
  <si>
    <t>2x8x8  stiffner, wolmanized</t>
  </si>
  <si>
    <t>2x8x8  stiffner, legacy</t>
  </si>
  <si>
    <t>2x8x8  stiffner, oak prefin</t>
  </si>
  <si>
    <t>2x8x8  stiffner, oak unfin</t>
  </si>
  <si>
    <t>2x8x8  stiffner</t>
  </si>
  <si>
    <t>2x4x20 stiffner, fire treated</t>
  </si>
  <si>
    <t>2x4x20 stiffner, redwood</t>
  </si>
  <si>
    <t>2x4x20 stiffner, S4S cedar</t>
  </si>
  <si>
    <t>2x4x20 stiffner, RS cedar</t>
  </si>
  <si>
    <t>2x4x20 stiffner, wolmanized</t>
  </si>
  <si>
    <t>2x4x20 stiffner, legacy</t>
  </si>
  <si>
    <t>2x4x20 stiffner, oak prefin</t>
  </si>
  <si>
    <t>2x4x20 stiffner, oak unfin</t>
  </si>
  <si>
    <t>2x4x20 stiffner</t>
  </si>
  <si>
    <t>2x4x18 stiffner, fire treated</t>
  </si>
  <si>
    <t>2x4x18 stiffner, redwood</t>
  </si>
  <si>
    <t>2x4x18 stiffner, S4S cedar</t>
  </si>
  <si>
    <t>2x4x18 stiffner, RS cedar</t>
  </si>
  <si>
    <t>2x4x18 stiffner, wolmanized</t>
  </si>
  <si>
    <t>2x4x18 stiffner, legacy</t>
  </si>
  <si>
    <t>2x4x18 stiffner, oak prefin</t>
  </si>
  <si>
    <t>2x4x18 stiffner, oak unfin</t>
  </si>
  <si>
    <t>2x4x18 stiffner</t>
  </si>
  <si>
    <t>2x4x16 stiffner, fire treated</t>
  </si>
  <si>
    <t>2x4x16 stiffner, redwood</t>
  </si>
  <si>
    <t>2x4x16 stiffner, S4S cedar</t>
  </si>
  <si>
    <t>2x4x16 stiffner, RS cedar</t>
  </si>
  <si>
    <t>2x4x16 stiffner, wolmanized</t>
  </si>
  <si>
    <t>2x4x16 stiffner, legacy</t>
  </si>
  <si>
    <t>2x4x16 stiffner, oak prefin</t>
  </si>
  <si>
    <t>2x4x16 stiffner, oak unfin</t>
  </si>
  <si>
    <t>2x4x16 stiffner</t>
  </si>
  <si>
    <t>2x4x14 stiffner, fire treated</t>
  </si>
  <si>
    <t>2x4x14 stiffner, redwood</t>
  </si>
  <si>
    <t>2x4x14 stiffner, S4S</t>
  </si>
  <si>
    <t>2x4x14 stiffner, RS cedar</t>
  </si>
  <si>
    <t>2x4x14 stiffner, wolmanized</t>
  </si>
  <si>
    <t>2x4x14 stiffner, legacy</t>
  </si>
  <si>
    <t>2x4x14 stiffner, oak prefin</t>
  </si>
  <si>
    <t>2x4x14 stiffner, oak unfin</t>
  </si>
  <si>
    <t>2x4x14 stiffner</t>
  </si>
  <si>
    <t>2x4x12 stiffner, fire treated</t>
  </si>
  <si>
    <t>2x4x12 stiffner, redwood</t>
  </si>
  <si>
    <t>2x4x12 stiffner, S4S cedar</t>
  </si>
  <si>
    <t>2x4x12 stiffner, RS cedar</t>
  </si>
  <si>
    <t>2x4x12 stiffner, wolmanized</t>
  </si>
  <si>
    <t>2x4x12 stiffner, legacy</t>
  </si>
  <si>
    <t>2x4x12 stiffner, oak prefin</t>
  </si>
  <si>
    <t>2x4x12 stiffner, oak unfin</t>
  </si>
  <si>
    <t>2x4x12 stiffner</t>
  </si>
  <si>
    <t>2x4x10 stiffner, fire treated</t>
  </si>
  <si>
    <t>2x4x10 stiffner, redwood</t>
  </si>
  <si>
    <t>2x4x10 stiffner, S4S cedar</t>
  </si>
  <si>
    <t>2x4x10 stiffner, RS cedar</t>
  </si>
  <si>
    <t>2x4x10 stiffner, wolmanized</t>
  </si>
  <si>
    <t>2x4x10 stiffner, legacy</t>
  </si>
  <si>
    <t>2x4x10 stiffner, oak prefin</t>
  </si>
  <si>
    <t>2x4x10 stiffner, oak unfin</t>
  </si>
  <si>
    <t>2x4x10 stiffner</t>
  </si>
  <si>
    <t>Finishing nails</t>
  </si>
  <si>
    <t>2x4x8  stiffner, fire treated</t>
  </si>
  <si>
    <t>2x4x8  stiffner, redwood</t>
  </si>
  <si>
    <t>2x4x8  stiffner, S4S cedar</t>
  </si>
  <si>
    <t>2x4x8  stiffner, RS cedar</t>
  </si>
  <si>
    <t>2x4x8  stiffner, wolmanized</t>
  </si>
  <si>
    <t>2x4x8  stiffner, legacy</t>
  </si>
  <si>
    <t>2x4x8  stiffner, oak prefin</t>
  </si>
  <si>
    <t>2x4x8  stiffner, oak unfin</t>
  </si>
  <si>
    <t>2x4x8  stiffner</t>
  </si>
  <si>
    <t>Prefabricated metal newel psts</t>
  </si>
  <si>
    <t>Prefabricated wood newel posts</t>
  </si>
  <si>
    <t>Metal newel posts</t>
  </si>
  <si>
    <t>Wood newel posts, fire treated</t>
  </si>
  <si>
    <t>Wood newel posts, redwood</t>
  </si>
  <si>
    <t>Wood newel posts, S4S cedar</t>
  </si>
  <si>
    <t>Wood newel posts, RS cedar</t>
  </si>
  <si>
    <t>Wood newel posts, wolmanized</t>
  </si>
  <si>
    <t>Wood newel posts, legacy</t>
  </si>
  <si>
    <t>Wood newel posts, oak prefinsh</t>
  </si>
  <si>
    <t>Wood newel posts, oak unfinish</t>
  </si>
  <si>
    <t>Wood newel posts</t>
  </si>
  <si>
    <t>6x6 newel posts, fire treated</t>
  </si>
  <si>
    <t>6x6 newel posts, redwood</t>
  </si>
  <si>
    <t>6x6 newel posts, S4S cedar</t>
  </si>
  <si>
    <t>6x6 newel posts, RS cedar</t>
  </si>
  <si>
    <t>6x6 newel posts, wolmanized</t>
  </si>
  <si>
    <t>6x6 newel posts, legacy</t>
  </si>
  <si>
    <t>6x6 newel posts, oak prefinshd</t>
  </si>
  <si>
    <t>6x6 newel posts, oak unfinshd</t>
  </si>
  <si>
    <t>6x6 newel posts</t>
  </si>
  <si>
    <t>4x6 newel posts, fire treated</t>
  </si>
  <si>
    <t>4x6 newel posts, redwood</t>
  </si>
  <si>
    <t>4x6 newel posts, S4S cedar</t>
  </si>
  <si>
    <t>4x6 newel posts, RS cedar</t>
  </si>
  <si>
    <t>4x6 newel posts, wolmanized</t>
  </si>
  <si>
    <t>4x6 newel posts, legacy</t>
  </si>
  <si>
    <t>4x6 newel posts, oak prefinshd</t>
  </si>
  <si>
    <t>4x6 newel posts, oak unfinshd</t>
  </si>
  <si>
    <t>4x6 newel posts</t>
  </si>
  <si>
    <t>4x4 newel posts, fire treated</t>
  </si>
  <si>
    <t>4x4 newel posts, redwood</t>
  </si>
  <si>
    <t>4x4 newel posts, S4S cedar</t>
  </si>
  <si>
    <t>4x4 newel posts, RS cedar</t>
  </si>
  <si>
    <t>4x4 newel posts, wolmanized</t>
  </si>
  <si>
    <t>4x4 newel posts, legacy</t>
  </si>
  <si>
    <t>4x4 newel posts, oak prefinshd</t>
  </si>
  <si>
    <t>4x4 newel posts, oak unfinishd</t>
  </si>
  <si>
    <t>4x4 newel posts</t>
  </si>
  <si>
    <t>Prefabricated metal spindles</t>
  </si>
  <si>
    <t>Prefabricated wood spindles</t>
  </si>
  <si>
    <t>Metal spindles</t>
  </si>
  <si>
    <t>Wood spindles, fire treated</t>
  </si>
  <si>
    <t>Wood spindles, redwood</t>
  </si>
  <si>
    <t>Wood spindles, S4S cedar</t>
  </si>
  <si>
    <t>Wood spindles, RS cedar</t>
  </si>
  <si>
    <t>Wood spindles, wolmanized</t>
  </si>
  <si>
    <t>Wood spindles, legacy</t>
  </si>
  <si>
    <t>Wood spindles, oak prefinished</t>
  </si>
  <si>
    <t>Wood spindles, oak unfinished</t>
  </si>
  <si>
    <t>Wood spindles</t>
  </si>
  <si>
    <t>1x8 spindles, fire treated</t>
  </si>
  <si>
    <t>1x8 spindles, redwood</t>
  </si>
  <si>
    <t>1x8 spindles, S4S cedar</t>
  </si>
  <si>
    <t>1x8 spindles, RS cedar</t>
  </si>
  <si>
    <t>1x8 spindles, wolmanized</t>
  </si>
  <si>
    <t>1x8 spindles, legacy</t>
  </si>
  <si>
    <t>1x8 spindles, oak prefinished</t>
  </si>
  <si>
    <t>1x8 spindles, oak unfinished</t>
  </si>
  <si>
    <t>1x8 spindles</t>
  </si>
  <si>
    <t>1x6 spindles, fire treated</t>
  </si>
  <si>
    <t>1x6 spindles, redwood</t>
  </si>
  <si>
    <t>1x6 spindles, S4S cedar</t>
  </si>
  <si>
    <t>1x6 spindles, RS cedar</t>
  </si>
  <si>
    <t>1x6 spindles, wolmanized</t>
  </si>
  <si>
    <t>1x6 spindles, legacy</t>
  </si>
  <si>
    <t>1x6 spindles, oak prefinished</t>
  </si>
  <si>
    <t>1x6 spindles, oak unfinished</t>
  </si>
  <si>
    <t>1x6 spindles</t>
  </si>
  <si>
    <t>1x4 spindles, fire treated</t>
  </si>
  <si>
    <t>1x4 spindles, redwood</t>
  </si>
  <si>
    <t>1x4 spindles, S4S cedar</t>
  </si>
  <si>
    <t>1x4 spindles, RS cedar</t>
  </si>
  <si>
    <t>1x4 spindles, wolmanized</t>
  </si>
  <si>
    <t>1x4 spindles, legacy</t>
  </si>
  <si>
    <t>1x4 spindles, oak prefinished</t>
  </si>
  <si>
    <t>1x4 spindles, oak unfinished</t>
  </si>
  <si>
    <t>1x4 spindles</t>
  </si>
  <si>
    <t>2x4 spindles, fire treated</t>
  </si>
  <si>
    <t>2x4 spindles, redwood</t>
  </si>
  <si>
    <t>2x4 spindles, S4S cedar</t>
  </si>
  <si>
    <t>2x4 spindles, RS cedar</t>
  </si>
  <si>
    <t>2x4 spindles, wolmanized</t>
  </si>
  <si>
    <t>2x4 spindles, legacy</t>
  </si>
  <si>
    <t>2x4 spindles, oak prefinished</t>
  </si>
  <si>
    <t>2x4 spindles, oak unfinished</t>
  </si>
  <si>
    <t>2x4 spindles</t>
  </si>
  <si>
    <t>2x2 spindles, fire treated</t>
  </si>
  <si>
    <t>2x2 spindles, redwood</t>
  </si>
  <si>
    <t>2x2 spindles, S4S cedar</t>
  </si>
  <si>
    <t>2x2 spindles, RS cedar</t>
  </si>
  <si>
    <t>2x2 spindles, wolmanized</t>
  </si>
  <si>
    <t>2x2 spindles, legacy</t>
  </si>
  <si>
    <t>2x2 spindles, oak prefinished</t>
  </si>
  <si>
    <t>2x2 spindles, oak unfinished</t>
  </si>
  <si>
    <t>2x2 spindles</t>
  </si>
  <si>
    <t>Oak landing</t>
  </si>
  <si>
    <t>Oak riser</t>
  </si>
  <si>
    <t>Oak tread</t>
  </si>
  <si>
    <t>Wood balcony rail</t>
  </si>
  <si>
    <t>Wall rail</t>
  </si>
  <si>
    <t>Prefabricated metal railing</t>
  </si>
  <si>
    <t>Pre-fabricated wood railing</t>
  </si>
  <si>
    <t>Custom railing</t>
  </si>
  <si>
    <t>Wood toprail</t>
  </si>
  <si>
    <t>2x handrail</t>
  </si>
  <si>
    <t>Wood railing</t>
  </si>
  <si>
    <t>Wood spiral stair</t>
  </si>
  <si>
    <t>Wood spiral stairs</t>
  </si>
  <si>
    <t>Wood ladder</t>
  </si>
  <si>
    <t>Wood wallrail @ stairs</t>
  </si>
  <si>
    <t>Wood handrail @ stairs</t>
  </si>
  <si>
    <t>Wood landing</t>
  </si>
  <si>
    <t>Disappearing stair</t>
  </si>
  <si>
    <t>Custom stair</t>
  </si>
  <si>
    <t>Wood stair</t>
  </si>
  <si>
    <t>Wood spindle</t>
  </si>
  <si>
    <t>48" spindles</t>
  </si>
  <si>
    <t>8ft square post</t>
  </si>
  <si>
    <t>8ft round post</t>
  </si>
  <si>
    <t>Newel post</t>
  </si>
  <si>
    <t>18"   x20 LVL strngr, fire tt</t>
  </si>
  <si>
    <t>18"   x20 LVL strngr, redwood</t>
  </si>
  <si>
    <t>18"   x20 LVL strngr, S4S cdr</t>
  </si>
  <si>
    <t>18"   x20 LVL strngr, RS cedar</t>
  </si>
  <si>
    <t>18"   x20 LVL strngr, wolmnzd</t>
  </si>
  <si>
    <t>18"   x20 LVL strngr, legacy</t>
  </si>
  <si>
    <t>18"   x20 LVL strngr, oak prf</t>
  </si>
  <si>
    <t>18"   x20 LVL strngr, oak unf</t>
  </si>
  <si>
    <t>18"   x20 LVL strngr</t>
  </si>
  <si>
    <t>18"   x18 LVL strngr, fire tt</t>
  </si>
  <si>
    <t>18"   x18 LVL strngr, redwood</t>
  </si>
  <si>
    <t>18"   x18 LVL strngr, S4S ced</t>
  </si>
  <si>
    <t>18"   x18 LVL strngr, RS ceda</t>
  </si>
  <si>
    <t>18"   x18 LVL strngr, wolmnzd</t>
  </si>
  <si>
    <t>18"   x18 LVL strngr, legacy</t>
  </si>
  <si>
    <t>18"   x18 LVL strngr, oak prf</t>
  </si>
  <si>
    <t>18"   x18 LVL strngr, oak unf</t>
  </si>
  <si>
    <t>18"   x18 LVL strngr</t>
  </si>
  <si>
    <t>18"   x16 LVL strngr, fire tt</t>
  </si>
  <si>
    <t>18"   x16 LVL strngr, redwood</t>
  </si>
  <si>
    <t>18"   x16 LVL strngr, S4S ced</t>
  </si>
  <si>
    <t>18"   x16 LVL strngr, RS ceda</t>
  </si>
  <si>
    <t>18"   x16 LVL strngr, wolmnzd</t>
  </si>
  <si>
    <t>18"   x16 LVL strngr, legacy</t>
  </si>
  <si>
    <t>18"   x16 LVL strngr, oak prf</t>
  </si>
  <si>
    <t>18"   x16 LVL strngr, oak unf</t>
  </si>
  <si>
    <t>18"   x16 LVL strngr</t>
  </si>
  <si>
    <t>18"   x14 LVL strngr, fire tt</t>
  </si>
  <si>
    <t>18"   x14 LVL strngr, redwood</t>
  </si>
  <si>
    <t>18"   x14 LVL strngr, S4S cdr</t>
  </si>
  <si>
    <t>18"   x14 LVL strngr, RS ceda</t>
  </si>
  <si>
    <t>18"   x14 LVL strngr, wolmnzd</t>
  </si>
  <si>
    <t>18"   x14 LVL strngr, legacy</t>
  </si>
  <si>
    <t>18"   x14 LVL strngr, oak prf</t>
  </si>
  <si>
    <t>18"   x14 LVL strngr, oak unf</t>
  </si>
  <si>
    <t>18"   x14 LVL strngr</t>
  </si>
  <si>
    <t>18"   x12 LVL strngr, fire tt</t>
  </si>
  <si>
    <t>18"   x12 LVL strngr, redwood</t>
  </si>
  <si>
    <t>18"   x12 LVL strngr, S4S ced</t>
  </si>
  <si>
    <t>18"   x12 LVL strngr, RS ceda</t>
  </si>
  <si>
    <t>18"   x12 LVL strngr, wolmnzd</t>
  </si>
  <si>
    <t>18"   x12 LVL strngr, legacy</t>
  </si>
  <si>
    <t>18"   x12 LVL strngr, oak prf</t>
  </si>
  <si>
    <t>18"   x12 LVL strngr, oak unf</t>
  </si>
  <si>
    <t>18"   x12 LVL strngr</t>
  </si>
  <si>
    <t>18"   x10 LVL strngr, fire tt</t>
  </si>
  <si>
    <t>18"   x10 LVL strngr, redwood</t>
  </si>
  <si>
    <t>18"   x10 LVL strngr, S4S ced</t>
  </si>
  <si>
    <t>18"   x10 LVL strngr, RS ceda</t>
  </si>
  <si>
    <t>18"   x10 LVL strngr, wolmnzd</t>
  </si>
  <si>
    <t>18"   x10 LVL strngr, legacy</t>
  </si>
  <si>
    <t>18"   x10 LVL strngr, oak prf</t>
  </si>
  <si>
    <t>18"   x10 LVL strngr, oak unf</t>
  </si>
  <si>
    <t>18"   x10 LVL strngr</t>
  </si>
  <si>
    <t>18"   x8 LVL strngr, fire trt</t>
  </si>
  <si>
    <t>18"   x8 LVL strngr, redwood</t>
  </si>
  <si>
    <t>18"   x8 LVL strngr, S4S ceda</t>
  </si>
  <si>
    <t>18"   x8 LVL strngr, RS cedar</t>
  </si>
  <si>
    <t>18"   x8 LVL strngr, wolmaniz</t>
  </si>
  <si>
    <t>18"   x8 LVL strngr, legacy</t>
  </si>
  <si>
    <t>18"   x8 LVL strngr, oak prfi</t>
  </si>
  <si>
    <t>18"   x8 LVL strngr, oak unfi</t>
  </si>
  <si>
    <t>18"   x8 LVL strngr</t>
  </si>
  <si>
    <t>14"   x20 LVL strngr, fire tt</t>
  </si>
  <si>
    <t>14"   x20 LVL strngr, redwood</t>
  </si>
  <si>
    <t>14"   x20 LVL strngr, S4S cdr</t>
  </si>
  <si>
    <t>14"   x20 LVL strngr, RS ceda</t>
  </si>
  <si>
    <t>14"   x20 LVL strngr, wolmnzd</t>
  </si>
  <si>
    <t>14"   x20 LVL strngr, legacy</t>
  </si>
  <si>
    <t>14"   x20 LVL strngr, oak prf</t>
  </si>
  <si>
    <t>14"   x20 LVL strngr, oak unf</t>
  </si>
  <si>
    <t>14"   x20 LVL strngr</t>
  </si>
  <si>
    <t>14"   x18 LVL strngr, fire tt</t>
  </si>
  <si>
    <t>14"   x18 LVL strngr, redwood</t>
  </si>
  <si>
    <t>14"   x18 LVL strngr, S4S ced</t>
  </si>
  <si>
    <t>14"   x18 LVL strngr, RS ceda</t>
  </si>
  <si>
    <t>14"   x18 LVL strngr, wolmnzd</t>
  </si>
  <si>
    <t>14"   x18 LVL strngr, legacy</t>
  </si>
  <si>
    <t>14"   x18 LVL strngr, oak prf</t>
  </si>
  <si>
    <t>14"   x18 LVL strngr, oak unf</t>
  </si>
  <si>
    <t>14"   x18 LVL strngr</t>
  </si>
  <si>
    <t>14"   x16 LVL strngr, fire tt</t>
  </si>
  <si>
    <t>14"   x16 LVL strngr, redwood</t>
  </si>
  <si>
    <t>14"   x16 LVL strngr, S4S ced</t>
  </si>
  <si>
    <t>14"   x16 LVL strngr, RS ceda</t>
  </si>
  <si>
    <t>14"   x16 LVL strngr, wolmnzd</t>
  </si>
  <si>
    <t>14"   x16 LVL strngr, legacy</t>
  </si>
  <si>
    <t>14"   x16 LVL strngr, oak prf</t>
  </si>
  <si>
    <t>14"   x16 LVL strngr, oak unf</t>
  </si>
  <si>
    <t>14"   x16 LVL strngr</t>
  </si>
  <si>
    <t>14"   x14 LVL strngr, fire tt</t>
  </si>
  <si>
    <t>14"   x14 LVL strngr, redwood</t>
  </si>
  <si>
    <t>14"   x14 LVL strngr, S4S cdr</t>
  </si>
  <si>
    <t>14"   x14 LVL strngr, RS ceda</t>
  </si>
  <si>
    <t>14"   x14 LVL strngr, wolmnzd</t>
  </si>
  <si>
    <t>14"   x14 LVL strngr, legacy</t>
  </si>
  <si>
    <t>14"   x14 LVL strngr, oak prf</t>
  </si>
  <si>
    <t>14"   x14 LVL strngr, oak unf</t>
  </si>
  <si>
    <t>14"   x14 LVL strngr</t>
  </si>
  <si>
    <t>14"   x12 LVL strngr, fire tt</t>
  </si>
  <si>
    <t>14"   x12 LVL strngr, redwood</t>
  </si>
  <si>
    <t>14"   x12 LVL strngr, S4S ced</t>
  </si>
  <si>
    <t>14"   x12 LVL strngr, RS ceda</t>
  </si>
  <si>
    <t>14"   x12 LVL strngr, wolmnzd</t>
  </si>
  <si>
    <t>14"   x12 LVL strngr, legacy</t>
  </si>
  <si>
    <t>14"   x12 LVL strngr, oak prf</t>
  </si>
  <si>
    <t>14"   x12 LVL strngr, oak unf</t>
  </si>
  <si>
    <t>14"   x12 LVL strngr</t>
  </si>
  <si>
    <t>14"   x10 LVL strngr, fire tt</t>
  </si>
  <si>
    <t>14"   x10 LVL strngr, redwood</t>
  </si>
  <si>
    <t>14"   x10 LVL strngr, S4S ced</t>
  </si>
  <si>
    <t>14"   x10 LVL strngr, RS ceda</t>
  </si>
  <si>
    <t>14"   x10 LVL strngr, wolmnzd</t>
  </si>
  <si>
    <t>14"   x10 LVL strngr, legacy</t>
  </si>
  <si>
    <t>14"   x10 LVL strngr, oak prf</t>
  </si>
  <si>
    <t>14"   x10 LVL strngr, oak unf</t>
  </si>
  <si>
    <t>14"   x10 LVL strngr</t>
  </si>
  <si>
    <t>14"   x8 LVL strngr, fire trt</t>
  </si>
  <si>
    <t>14"   x8 LVL strngr, redwood</t>
  </si>
  <si>
    <t>14"   x8 LVL strngr, S4S ceda</t>
  </si>
  <si>
    <t>14"   x8 LVL strngr, RS cedar</t>
  </si>
  <si>
    <t>14"   x8 LVL strngr, wolmaniz</t>
  </si>
  <si>
    <t>14"   x8 LVL strngr, legacy</t>
  </si>
  <si>
    <t>14"   x8 LVL strngr, oak prfi</t>
  </si>
  <si>
    <t>14"   x8 LVL strngr, oak unfi</t>
  </si>
  <si>
    <t>14"   x8 LVL strngr</t>
  </si>
  <si>
    <t>11-1/2x20 LVL strngr, fire tt</t>
  </si>
  <si>
    <t>11-1/2x20 LVL strngr, redwood</t>
  </si>
  <si>
    <t>11-1/2x20 LVL strngr, S4S cdr</t>
  </si>
  <si>
    <t>11-1/2x20 LVL strngr, RS ceda</t>
  </si>
  <si>
    <t>11-1/2x20 LVL strngr, wolmnzd</t>
  </si>
  <si>
    <t>11-1/2x20 LVL strngr, legacy</t>
  </si>
  <si>
    <t>11-1/2x20 LVL strngr, oak prf</t>
  </si>
  <si>
    <t>11-1/2x20 LVL strngr, oak unf</t>
  </si>
  <si>
    <t>11-1/2x20 LVL strngr</t>
  </si>
  <si>
    <t>11-1/2x18 LVL strngr, fire tt</t>
  </si>
  <si>
    <t>11-1/2x18 LVL strngr, redwood</t>
  </si>
  <si>
    <t>11-1/2x18 LVL strngr, S4S ced</t>
  </si>
  <si>
    <t>11-1/2x18 LVL strngr, RS ceda</t>
  </si>
  <si>
    <t>11-1/2x18 LVL strngr, wolmnzd</t>
  </si>
  <si>
    <t>11-1/2x18 LVL strngr, legacy</t>
  </si>
  <si>
    <t>11-1/2x18 LVL strngr, oak prf</t>
  </si>
  <si>
    <t>11-1/2x18 LVL strngr, oak unf</t>
  </si>
  <si>
    <t>11-1/2x18 LVL strngr</t>
  </si>
  <si>
    <t>11-1/2x16 LVL strngr, fire tt</t>
  </si>
  <si>
    <t>11-1/2x16 LVL strngr, redwood</t>
  </si>
  <si>
    <t>11-1/2x16 LVL strngr, S4S ced</t>
  </si>
  <si>
    <t>11-1/2x16 LVL strngr, RS ceda</t>
  </si>
  <si>
    <t>11-1/2x16 LVL strngr, wolmnzd</t>
  </si>
  <si>
    <t>11-1/2x16 LVL strngr, legacy</t>
  </si>
  <si>
    <t>11-1/2x16 LVL strngr, oak prf</t>
  </si>
  <si>
    <t>11-1/2x16 LVL strngr, oak unf</t>
  </si>
  <si>
    <t>11-1/2x16 LVL strngr</t>
  </si>
  <si>
    <t>11-1/2x14 LVL strngr, fire tt</t>
  </si>
  <si>
    <t>11-1/2x14 LVL strngr, redwood</t>
  </si>
  <si>
    <t>11-1/2x14 LVL strngr, S4S cdr</t>
  </si>
  <si>
    <t>11-1/2x14 LVL strngr, RS ceda</t>
  </si>
  <si>
    <t>11-1/2x14 LVL strngr, wolmnzd</t>
  </si>
  <si>
    <t>11-1/2x14 LVL strngr, legacy</t>
  </si>
  <si>
    <t>11-1/2x14 LVL strngr, oak prf</t>
  </si>
  <si>
    <t>11-1/2x14 LVL strngr, oak unf</t>
  </si>
  <si>
    <t>11-1/2x14 LVL strngr</t>
  </si>
  <si>
    <t>11-1/2x12 LVL strngr, fire tt</t>
  </si>
  <si>
    <t>11-1/2x12 LVL strngr, redwood</t>
  </si>
  <si>
    <t>11-1/2x12 LVL strngr, S4S ced</t>
  </si>
  <si>
    <t>11-1/2x12 LVL strngr, RS ceda</t>
  </si>
  <si>
    <t>11-1/2x12 LVL strngr, wolmnzd</t>
  </si>
  <si>
    <t>11-1/2x12 LVL strngr, legacy</t>
  </si>
  <si>
    <t>11-1/2x12 LVL strngr, oak prf</t>
  </si>
  <si>
    <t>11-1/2x12 LVL strngr, oak unf</t>
  </si>
  <si>
    <t>11-1/2x12 LVL strngr</t>
  </si>
  <si>
    <t>11-1/2x10 LVL strngr, fire tt</t>
  </si>
  <si>
    <t>11-1/2x10 LVL strngr, redwood</t>
  </si>
  <si>
    <t>11-1/2x10 LVL strngr, S4S ced</t>
  </si>
  <si>
    <t>11-1/2x10 LVL strngr, RS ceda</t>
  </si>
  <si>
    <t>11-1/2x10 LVL strngr, wolmnzd</t>
  </si>
  <si>
    <t>11-1/2x10 LVL strngr, legacy</t>
  </si>
  <si>
    <t>11-1/2x10 LVL strngr, oak prf</t>
  </si>
  <si>
    <t>11-1/2x10 LVL strngr, oak unf</t>
  </si>
  <si>
    <t>11-1/2x10 LVL strngr</t>
  </si>
  <si>
    <t>11-1/2x8 LVL strngr, fire trt</t>
  </si>
  <si>
    <t>11-1/2x8 LVL strngr, redwood</t>
  </si>
  <si>
    <t>11-1/2x8 LVL strngr, S4S ceda</t>
  </si>
  <si>
    <t>11-1/2x8 LVL strngr, RS cedar</t>
  </si>
  <si>
    <t>11-1/2x8 LVL strngr, wolmaniz</t>
  </si>
  <si>
    <t>11-1/2x8 LVL strngr, legacy</t>
  </si>
  <si>
    <t>11-1/2x8 LVL strngr, oak prfi</t>
  </si>
  <si>
    <t>11-1/2x8 LVL strngr, oak unfi</t>
  </si>
  <si>
    <t>11-1/2x8 LVL strngr</t>
  </si>
  <si>
    <t>9-1/2x20 LVL strngr, fire ttd</t>
  </si>
  <si>
    <t>9-1/2x20 LVL strngr, redwood</t>
  </si>
  <si>
    <t>9-1/2x20 LVL strngr, S4S cdr</t>
  </si>
  <si>
    <t>9-1/2x20 LVL strngr, RS cedar</t>
  </si>
  <si>
    <t>9-1/2x20 LVL strngr, wolmnzd</t>
  </si>
  <si>
    <t>9-1/2x20 LVL strngr, legacy</t>
  </si>
  <si>
    <t>9-1/2x20 LVL strngr, oak prfn</t>
  </si>
  <si>
    <t>9-1/2x20 LVL strngr, oak unfn</t>
  </si>
  <si>
    <t>9-1/2x20 LVL strngr</t>
  </si>
  <si>
    <t>9-1/2x18 LVL strngr, fire ttd</t>
  </si>
  <si>
    <t>9-1/2x18 LVL strngr, redwood</t>
  </si>
  <si>
    <t>9-1/2x18 LVL strngr, S4S cedr</t>
  </si>
  <si>
    <t>9-1/2x18 LVL strngr, RS cedar</t>
  </si>
  <si>
    <t>9-1/2x18 LVL strngr, wolmnzd</t>
  </si>
  <si>
    <t>9-1/2x18 LVL strngr, legacy</t>
  </si>
  <si>
    <t>9-1/2x18 LVL strngr, oak prfn</t>
  </si>
  <si>
    <t>9-1/2x18 LVL strngr, oak unfn</t>
  </si>
  <si>
    <t>9-1/2x18 LVL strngr</t>
  </si>
  <si>
    <t>9-1/2x16 LVL strngr, fire ttd</t>
  </si>
  <si>
    <t>9-1/2x16 LVL strngr, redwood</t>
  </si>
  <si>
    <t>9-1/2x16 LVL strngr, S4S cedr</t>
  </si>
  <si>
    <t>9-1/2x16 LVL strngr, RS cedar</t>
  </si>
  <si>
    <t>9-1/2x16 LVL strngr, wolmnzd</t>
  </si>
  <si>
    <t>9-1/2x16 LVL strngr, legacy</t>
  </si>
  <si>
    <t>9-1/2x16 LVL strngr, oak prfn</t>
  </si>
  <si>
    <t>9-1/2x16 LVL strngr, oak unfn</t>
  </si>
  <si>
    <t>9-1/2x16 LVL strngr</t>
  </si>
  <si>
    <t>9-1/2x14 LVL strngr, fire ttd</t>
  </si>
  <si>
    <t>9-1/2x14 LVL strngr, redwood</t>
  </si>
  <si>
    <t>9-1/2x14 LVL strngr, S4S cdr</t>
  </si>
  <si>
    <t>9-1/2x14 LVL strngr, RS cedar</t>
  </si>
  <si>
    <t>9-1/2x14 LVL strngr, wolmnzd</t>
  </si>
  <si>
    <t>9-1/2x14 LVL strngr, legacy</t>
  </si>
  <si>
    <t>9-1/2x14 LVL strngr, oak prfn</t>
  </si>
  <si>
    <t>9-1/2x14 LVL strngr, oak unfn</t>
  </si>
  <si>
    <t>9-1/2x14 LVL stringer</t>
  </si>
  <si>
    <t>9-1/2x12 LVL strngr, fire ttd</t>
  </si>
  <si>
    <t>9-1/2x12 LVL strngr, redwood</t>
  </si>
  <si>
    <t>9-1/2x12 LVL stringer, S4S cedar</t>
  </si>
  <si>
    <t>9-1/2x12 LVL strngr, RS cedar</t>
  </si>
  <si>
    <t>9-1/2x12 LVL strngr, wolmnzd</t>
  </si>
  <si>
    <t>9-1/2x12 LVL strngr, legacy</t>
  </si>
  <si>
    <t>9-1/2x12 LVL strngr, oak prfn</t>
  </si>
  <si>
    <t>9-1/2x12 LVL strngr, oak unfn</t>
  </si>
  <si>
    <t>9-1/2x12 LVL stringer</t>
  </si>
  <si>
    <t>9-1/2x10 LVL strngr, fire ttd</t>
  </si>
  <si>
    <t>9-1/2x10 LVL strngr, redwood</t>
  </si>
  <si>
    <t>9-1/2x10 LVL strngr, S4S cedr</t>
  </si>
  <si>
    <t>9-1/2x10 LVL strngr, RS cedar</t>
  </si>
  <si>
    <t>9-1/2x10 LVL strngr, wolmnzd</t>
  </si>
  <si>
    <t>9-1/2x10 LVL strngr, legacy</t>
  </si>
  <si>
    <t>9-1/2x10 LVL strngr, oak prfn</t>
  </si>
  <si>
    <t>9-1/2x10 LVL strngr, oak unfn</t>
  </si>
  <si>
    <t>9-1/2x10 LVL strngr</t>
  </si>
  <si>
    <t>9-1/2x8 LVL strngr, fire trtd</t>
  </si>
  <si>
    <t>9-1/2x8 LVL strngr, redwood</t>
  </si>
  <si>
    <t>9-1/2x8 LVL strngr, S4S cedar</t>
  </si>
  <si>
    <t>9-1/2x8 LVL strngr, RS cedar</t>
  </si>
  <si>
    <t>9-1/2x8 LVL strngr, wolmanize</t>
  </si>
  <si>
    <t>9-1/2x8 LVL strngr, legacy</t>
  </si>
  <si>
    <t>9-1/2x8 LVL strngr, oak prfin</t>
  </si>
  <si>
    <t>9-1/2x8 LVL strngr, oak unfin</t>
  </si>
  <si>
    <t>9-1/2x8 LVL stringer</t>
  </si>
  <si>
    <t>2x12x20 stringer, fire treated</t>
  </si>
  <si>
    <t>2x12x20 stringer, redwood</t>
  </si>
  <si>
    <t>2x12x20 stringer, S4S cedar</t>
  </si>
  <si>
    <t>2x12x20 stringer, RS cedar</t>
  </si>
  <si>
    <t>2x12x20 stringer, wolmanized</t>
  </si>
  <si>
    <t>2x12x20 stringer, legacy</t>
  </si>
  <si>
    <t>2x12x20 stringer, oak prefin</t>
  </si>
  <si>
    <t>2x12x20 stringer, oak unfin</t>
  </si>
  <si>
    <t>2x12x20 stringer</t>
  </si>
  <si>
    <t>2x12x18 stringer, fire treated</t>
  </si>
  <si>
    <t>2x12x18 stringer, redwood</t>
  </si>
  <si>
    <t>2x12x18 stringer, S4S cedar</t>
  </si>
  <si>
    <t>2x12x18 stringer, RS cedar</t>
  </si>
  <si>
    <t>2x12x18 stringer, wolmanized</t>
  </si>
  <si>
    <t>2x12x18 stringer, legacy</t>
  </si>
  <si>
    <t>2x12x18 stringer, oak prefin</t>
  </si>
  <si>
    <t>2x12x18 stringer, oak unfin</t>
  </si>
  <si>
    <t>2x12x18 stringer</t>
  </si>
  <si>
    <t>2x12x16 stringer, fire treated</t>
  </si>
  <si>
    <t>2x12x16 stringer, redwood</t>
  </si>
  <si>
    <t>2x12x16 stringer, S4S cedar</t>
  </si>
  <si>
    <t>2x12x16 stringer, RS cedar</t>
  </si>
  <si>
    <t>2x12x16 stringer, wolmanized</t>
  </si>
  <si>
    <t>2x12x16 stringer, legacy</t>
  </si>
  <si>
    <t>2x12x16 stringer, oak prefin</t>
  </si>
  <si>
    <t>2x12x16 stringer, oak unfin</t>
  </si>
  <si>
    <t>2x12x16 stringer</t>
  </si>
  <si>
    <t>2x12x14 stringer, fire treated</t>
  </si>
  <si>
    <t>2x12x14 stringer, redwood</t>
  </si>
  <si>
    <t>2x12x14 stringer, S4S</t>
  </si>
  <si>
    <t>2x12x14 stringer, RS cedar</t>
  </si>
  <si>
    <t>2x12x14 stringer, wolmanized</t>
  </si>
  <si>
    <t>2x12x14 stringer, legacy</t>
  </si>
  <si>
    <t>2x12x14 stringer, oak prefin</t>
  </si>
  <si>
    <t>2x12x14 stringer, oak unfin</t>
  </si>
  <si>
    <t>2x12x14 stringer</t>
  </si>
  <si>
    <t>2x12x12 stringer, fire treated</t>
  </si>
  <si>
    <t>2x12x12 stringer, redwood</t>
  </si>
  <si>
    <t>2x12x12 stringer, S4S cedar</t>
  </si>
  <si>
    <t>2x12x12 stringer, RS cedar</t>
  </si>
  <si>
    <t>2x12x12 stringer, wolmanized</t>
  </si>
  <si>
    <t>2x12x12 stringer, legacy</t>
  </si>
  <si>
    <t>2x12x12 stringer, oak prefin</t>
  </si>
  <si>
    <t>2x12x12 stringer, oak unfin</t>
  </si>
  <si>
    <t>2x12x12 stringer</t>
  </si>
  <si>
    <t>2x12x10 stringer, fire treated</t>
  </si>
  <si>
    <t>2x12x10 stringer, redwood</t>
  </si>
  <si>
    <t>2x12x10 stringer, S4S cedar</t>
  </si>
  <si>
    <t>2x12x10 stringer, RS cedar</t>
  </si>
  <si>
    <t>2x12x10 stringer, wolmanized</t>
  </si>
  <si>
    <t>2x12x10 stringer, legacy</t>
  </si>
  <si>
    <t>2x12x10 stringer, oak prefin</t>
  </si>
  <si>
    <t>2x12x10 stringer, oak unfin</t>
  </si>
  <si>
    <t>2x12x10 stringer</t>
  </si>
  <si>
    <t>2x12x8  stringer, fire treated</t>
  </si>
  <si>
    <t>2x12x8  stringer, redwood</t>
  </si>
  <si>
    <t>2x12x8  stringer, S4S cedar</t>
  </si>
  <si>
    <t>2x12x8  stringer, RS cedar</t>
  </si>
  <si>
    <t>2x12x8  stringer, wolmanized</t>
  </si>
  <si>
    <t>2x12x8  stringer, legacy</t>
  </si>
  <si>
    <t>2x12x8  stringer, oak prefin</t>
  </si>
  <si>
    <t>2x12x8  stringer, oak unfin</t>
  </si>
  <si>
    <t>2x12x8  stringer</t>
  </si>
  <si>
    <t>2x10x20 stringer, fire treated</t>
  </si>
  <si>
    <t>2x10x20 stringer, redwood</t>
  </si>
  <si>
    <t>2x10x20 stringer, S4S cedar</t>
  </si>
  <si>
    <t>2x10x20 stringer, RS cedar</t>
  </si>
  <si>
    <t>2x10x20 stringer, wolmanized</t>
  </si>
  <si>
    <t>2x10x20 stringer, legacy</t>
  </si>
  <si>
    <t>2x10x20 stringer, oak prefin</t>
  </si>
  <si>
    <t>2x10x20 stringer, oak unfin</t>
  </si>
  <si>
    <t>2x10x20 stringer</t>
  </si>
  <si>
    <t>2x10x18 stringer, fire treated</t>
  </si>
  <si>
    <t>2x10x18 stringer, redwood</t>
  </si>
  <si>
    <t>2x10x18 stringer, S4S cedar</t>
  </si>
  <si>
    <t>2x10x18 stringer, RS cedar</t>
  </si>
  <si>
    <t>2x10x18 stringer, wolmanized</t>
  </si>
  <si>
    <t>2x10x18 stringer, legacy</t>
  </si>
  <si>
    <t>2x10x18 stringer, oak prefin</t>
  </si>
  <si>
    <t>2x10x18 stringer, oak unfin</t>
  </si>
  <si>
    <t>2x10x18 stringer</t>
  </si>
  <si>
    <t>2x10x16 stringer, fire treated</t>
  </si>
  <si>
    <t>2x10x16 stringer, redwood</t>
  </si>
  <si>
    <t>2x10x16 stringer, S4S cedar</t>
  </si>
  <si>
    <t>2x10x16 stringer, RS cedar</t>
  </si>
  <si>
    <t>2x10x16 stringer, wolmanized</t>
  </si>
  <si>
    <t>2x10x16 stringer, legacy</t>
  </si>
  <si>
    <t>2x10x16 stringer, oak prefin</t>
  </si>
  <si>
    <t>2x10x16 stringer, oak unfin</t>
  </si>
  <si>
    <t>2x10x16 stringer</t>
  </si>
  <si>
    <t>2x10x14 stringer, fire treated</t>
  </si>
  <si>
    <t>2x10x14 stringer, redwood</t>
  </si>
  <si>
    <t>2x10x14 stringer, S4S</t>
  </si>
  <si>
    <t>2x10x14 stringer, RS cedar</t>
  </si>
  <si>
    <t>2x10x14 stringer, wolmanized</t>
  </si>
  <si>
    <t>2x10x14 stringer, legacy</t>
  </si>
  <si>
    <t>2x10x14 stringer, oak prefin</t>
  </si>
  <si>
    <t>2x10x14 stringer, oak unfin</t>
  </si>
  <si>
    <t>2x10x14 stringer</t>
  </si>
  <si>
    <t>2x10x12 stringer, fire treated</t>
  </si>
  <si>
    <t>2x10x12 stringer, redwood</t>
  </si>
  <si>
    <t>2x10x12 stringer, S4S cedar</t>
  </si>
  <si>
    <t>2x10x12 stringer, RS cedar</t>
  </si>
  <si>
    <t>2x10x12 stringer, wolmanized</t>
  </si>
  <si>
    <t>2x10x12 stringer, legacy</t>
  </si>
  <si>
    <t>2x10x12 stringer, oak prefin</t>
  </si>
  <si>
    <t>2x10x12 stringer, oak unfin</t>
  </si>
  <si>
    <t>2x10x12 stringer</t>
  </si>
  <si>
    <t>2x10x10 stringer, fire treated</t>
  </si>
  <si>
    <t>2x10x10 stringer, redwood</t>
  </si>
  <si>
    <t>2x10x10 stringer, S4S cedar</t>
  </si>
  <si>
    <t>2x10x10 stringer, RS cedar</t>
  </si>
  <si>
    <t>2x10x10 stringer, wolmanized</t>
  </si>
  <si>
    <t>2x10x10 stringer, legacy</t>
  </si>
  <si>
    <t>2x10x10 stringer, oak prefin</t>
  </si>
  <si>
    <t>2x10x10 stringer, oak unfin</t>
  </si>
  <si>
    <t>2x10x10 stringer</t>
  </si>
  <si>
    <t>2x10x8  stringer, fire treated</t>
  </si>
  <si>
    <t>2x10x8  stringer, redwood</t>
  </si>
  <si>
    <t>2x10x8  stringer, S4S cedar</t>
  </si>
  <si>
    <t>2x10x8  stringer, RS cedar</t>
  </si>
  <si>
    <t>2x10x8  stringer, wolmanized</t>
  </si>
  <si>
    <t>2x10x8  stringer, legacy</t>
  </si>
  <si>
    <t>2x10x8  stringer, oak prefin</t>
  </si>
  <si>
    <t>2x10x8  stringer, oak unfin</t>
  </si>
  <si>
    <t>2x10x8  stringer</t>
  </si>
  <si>
    <t>2x8x20 stringer, fire treated</t>
  </si>
  <si>
    <t>2x8x20 stringer, redwood</t>
  </si>
  <si>
    <t>2x8x20 stringer, S4S cedar</t>
  </si>
  <si>
    <t>2x8x20 stringer, RS cedar</t>
  </si>
  <si>
    <t>2x8x20 stringer, wolmanized</t>
  </si>
  <si>
    <t>2x8x20 stringer, legacy</t>
  </si>
  <si>
    <t>2x8x20 stringer, oak prefin</t>
  </si>
  <si>
    <t>2x8x20 stringer, oak unfin</t>
  </si>
  <si>
    <t>2x8x20 stringer</t>
  </si>
  <si>
    <t>2x8x18 stringer, fire treated</t>
  </si>
  <si>
    <t>2x8x18 stringer, redwood</t>
  </si>
  <si>
    <t>2x8x18 stringer, S4S cedar</t>
  </si>
  <si>
    <t>2x8x18 stringer, RS cedar</t>
  </si>
  <si>
    <t>2x8x18 stringer, wolmanized</t>
  </si>
  <si>
    <t>2x8x18 stringer, legacy</t>
  </si>
  <si>
    <t>2x8x18 stringer, oak prefin</t>
  </si>
  <si>
    <t>2x8x18 stringer, oak unfin</t>
  </si>
  <si>
    <t>2x8x18 stringer</t>
  </si>
  <si>
    <t>2x8x16 stringer, fire treated</t>
  </si>
  <si>
    <t>2x8x16 stringer, redwood</t>
  </si>
  <si>
    <t>2x8x16 stringer, S4S cedar</t>
  </si>
  <si>
    <t>2x8x16 stringer, RS cedar</t>
  </si>
  <si>
    <t>2x8x16 stringer, wolmanized</t>
  </si>
  <si>
    <t>2x8x16 stringer, legacy</t>
  </si>
  <si>
    <t>2x8x16 stringer, oak prefin</t>
  </si>
  <si>
    <t>2x8x16 stringer, oak unfin</t>
  </si>
  <si>
    <t>2x8x16 stringer</t>
  </si>
  <si>
    <t>2x8x14 stringer, fire treated</t>
  </si>
  <si>
    <t>2x8x14 stringer, redwood</t>
  </si>
  <si>
    <t>2x8x14 stringer, S4S</t>
  </si>
  <si>
    <t>2x8x14 stringer, RS cedar</t>
  </si>
  <si>
    <t>2x8x14 stringer, wolmanized</t>
  </si>
  <si>
    <t>2x8x14 stringer, legacy</t>
  </si>
  <si>
    <t>2x8x14 stringer, oak prefin</t>
  </si>
  <si>
    <t>2x8x14 stringer, oak unfin</t>
  </si>
  <si>
    <t>2x8x14 stringer</t>
  </si>
  <si>
    <t>2x8x12 stringer, fire treated</t>
  </si>
  <si>
    <t>2x8x12 stringer, redwood</t>
  </si>
  <si>
    <t>2x8x12 stringer, S4S cedar</t>
  </si>
  <si>
    <t>2x8x12 stringer, RS cedar</t>
  </si>
  <si>
    <t>2x8x12 stringer, wolmanized</t>
  </si>
  <si>
    <t>2x8x12 stringer, legacy</t>
  </si>
  <si>
    <t>2x8x12 stringer, oak prefin</t>
  </si>
  <si>
    <t>2x8x12 stringer, oak unfin</t>
  </si>
  <si>
    <t>2x8x12 stringer</t>
  </si>
  <si>
    <t>2x8x10 stringer, fire treated</t>
  </si>
  <si>
    <t>2x8x10 stringer, redwood</t>
  </si>
  <si>
    <t>2x8x10 stringer, S4S cedar</t>
  </si>
  <si>
    <t>2x8x10 stringer, RS cedar</t>
  </si>
  <si>
    <t>2x8x10 stringer, wolmanized</t>
  </si>
  <si>
    <t>2x8x10 stringer, legacy</t>
  </si>
  <si>
    <t>2x8x10 stringer, oak prefin</t>
  </si>
  <si>
    <t>2x8x10 stringer, oak unfin</t>
  </si>
  <si>
    <t>2x8x10 stringer</t>
  </si>
  <si>
    <t>2x8x8  stringer, fire treated</t>
  </si>
  <si>
    <t>2x8x8  stringer, redwood</t>
  </si>
  <si>
    <t>2x8x8  stringer, S4S cedar</t>
  </si>
  <si>
    <t>2x8x8  stringer, RS cedar</t>
  </si>
  <si>
    <t>2x8x8  stringer, wolmanized</t>
  </si>
  <si>
    <t>2x8x8  stringer, legacy</t>
  </si>
  <si>
    <t>2x8x8  stringer, oak prefin</t>
  </si>
  <si>
    <t>2x8x8  stringer, oak unfin</t>
  </si>
  <si>
    <t>2x8x8  stringer</t>
  </si>
  <si>
    <t>2x6x20 stringer, fire treated</t>
  </si>
  <si>
    <t>2x6x20 stringer, redwood</t>
  </si>
  <si>
    <t>2x6x20 stringer, S4S cedar</t>
  </si>
  <si>
    <t>2x6x20 stringer, RS cedar</t>
  </si>
  <si>
    <t>2x6x20 stringer, wolmanized</t>
  </si>
  <si>
    <t>2x6x20 stringer, legacy</t>
  </si>
  <si>
    <t>2x6x20 stringer, oak prefin</t>
  </si>
  <si>
    <t>2x6x20 stringer, oak unfin</t>
  </si>
  <si>
    <t>2x6x20 stringer</t>
  </si>
  <si>
    <t>2x6x18 stringer, fire treated</t>
  </si>
  <si>
    <t>2x6x18 stringer, redwood</t>
  </si>
  <si>
    <t>2x6x18 stringer, S4S cedar</t>
  </si>
  <si>
    <t>2x6x18 stringer, RS cedar</t>
  </si>
  <si>
    <t>2x6x18 stringer, wolmanized</t>
  </si>
  <si>
    <t>2x6x18 stringer, legacy</t>
  </si>
  <si>
    <t>2x6x18 stringer, oak prefin</t>
  </si>
  <si>
    <t>2x6x18 stringer, oak unfin</t>
  </si>
  <si>
    <t>2x6x18 stringer</t>
  </si>
  <si>
    <t>2x6x16 stringer, fire treated</t>
  </si>
  <si>
    <t>2x6x16 stringer, redwood</t>
  </si>
  <si>
    <t>2x6x16 stringer, S4S cedar</t>
  </si>
  <si>
    <t>2x6x16 stringer, RS cedar</t>
  </si>
  <si>
    <t>2x6x16 stringer, wolmanized</t>
  </si>
  <si>
    <t>2x6x16 stringer, legacy</t>
  </si>
  <si>
    <t>2x6x16 stringer, oak prefin</t>
  </si>
  <si>
    <t>2x6x16 stringer, oak unfin</t>
  </si>
  <si>
    <t>2x6x16 stringer</t>
  </si>
  <si>
    <t>2x6x14 stringer, fire treated</t>
  </si>
  <si>
    <t>2x6x14 stringer, redwood</t>
  </si>
  <si>
    <t>2x6x14 stringer, S4S</t>
  </si>
  <si>
    <t>2x6x14 stringer, RS cedar</t>
  </si>
  <si>
    <t>2x6x14 stringer, wolmanized</t>
  </si>
  <si>
    <t>2x6x14 stringer, legacy</t>
  </si>
  <si>
    <t>2x6x14 stringer, oak prefin</t>
  </si>
  <si>
    <t>2x6x14 stringer, oak unfin</t>
  </si>
  <si>
    <t>2x6x14 stringer</t>
  </si>
  <si>
    <t>2x6x12 stringer, fire treated</t>
  </si>
  <si>
    <t>2x6x12 stringer, redwood</t>
  </si>
  <si>
    <t>2x6x12 stringer, S4S cedar</t>
  </si>
  <si>
    <t>2x6x12 stringer, RS cedar</t>
  </si>
  <si>
    <t>2x6x12 stringer, wolmanized</t>
  </si>
  <si>
    <t>2x6x12 stringer, legacy</t>
  </si>
  <si>
    <t>2x6x12 stringer, oak prefin</t>
  </si>
  <si>
    <t>2x6x12 stringer, oak unfin</t>
  </si>
  <si>
    <t>2x6x12 stringer</t>
  </si>
  <si>
    <t>2x6x10 stringer, fire treated</t>
  </si>
  <si>
    <t>2x6x10 stringer, redwood</t>
  </si>
  <si>
    <t>2x6x10 stringer, S4S cedar</t>
  </si>
  <si>
    <t>2x6x10 stringer, RS cedar</t>
  </si>
  <si>
    <t>2x6x10 stringer, wolmanized</t>
  </si>
  <si>
    <t>2x6x10 stringer, legacy</t>
  </si>
  <si>
    <t>2x6x10 stringer, oak prefin</t>
  </si>
  <si>
    <t>2x6x10 stringer, oak unfin</t>
  </si>
  <si>
    <t>2x6x10 stringer</t>
  </si>
  <si>
    <t>2x6x8  stringer, fire treated</t>
  </si>
  <si>
    <t>2x6x8  stringer, redwood</t>
  </si>
  <si>
    <t>2x6x8  stringer, S4S cedar</t>
  </si>
  <si>
    <t>2x6x8  stringer, RS cedar</t>
  </si>
  <si>
    <t>2x6x8  stringer, wolmanized</t>
  </si>
  <si>
    <t>2x6x8  stringer, legacy</t>
  </si>
  <si>
    <t>2x6x8  stringer, oak prefin</t>
  </si>
  <si>
    <t>2x6x8  stringer, oak unfin</t>
  </si>
  <si>
    <t>2x6x8  stringer</t>
  </si>
  <si>
    <t>18x20' LVL stair framing</t>
  </si>
  <si>
    <t>18x18' LVL stair framing</t>
  </si>
  <si>
    <t>18x16' LVL stair framing</t>
  </si>
  <si>
    <t>18x14' LVL stair framing</t>
  </si>
  <si>
    <t>18x12' LVL stair framing</t>
  </si>
  <si>
    <t>18x10' LVL stair framing</t>
  </si>
  <si>
    <t>18x8' LVL stair framing</t>
  </si>
  <si>
    <t>14x20' LVL stair framing</t>
  </si>
  <si>
    <t>14x18' LVL stair framing</t>
  </si>
  <si>
    <t>14x16' LVL stair framing</t>
  </si>
  <si>
    <t>14x14' LVL stair framing</t>
  </si>
  <si>
    <t>14x12' LVL stair framing</t>
  </si>
  <si>
    <t>14x10' LVL stair framing</t>
  </si>
  <si>
    <t>14x8' LVL stair framing</t>
  </si>
  <si>
    <t>11-1/2x20' LVL stair frmg</t>
  </si>
  <si>
    <t>11-1/2x18' LVL stair frmg</t>
  </si>
  <si>
    <t>11-1/2x16' LVL stair frmg</t>
  </si>
  <si>
    <t>11-1/2x14' LVL stair frmg</t>
  </si>
  <si>
    <t>11-1/2x12' LVL stair frmg</t>
  </si>
  <si>
    <t>11-1/2x10' LVL stair frmg</t>
  </si>
  <si>
    <t>11-1/2x8' LVL stair frmng</t>
  </si>
  <si>
    <t xml:space="preserve"> 9-1/2x20' LVL stair frmg</t>
  </si>
  <si>
    <t xml:space="preserve"> 9-1/2x18' LVL stair frmg</t>
  </si>
  <si>
    <t xml:space="preserve"> 9-1/2x16' LVL stair frmg</t>
  </si>
  <si>
    <t xml:space="preserve"> 9-1/2x14' LVL stair frmg</t>
  </si>
  <si>
    <t xml:space="preserve"> 9-1/2x12' LVL stair frmg</t>
  </si>
  <si>
    <t xml:space="preserve"> 9-1/2x10' LVL stair frmg</t>
  </si>
  <si>
    <t xml:space="preserve"> 9-1/2x8' LVL stair frmng</t>
  </si>
  <si>
    <t>2x12x20 stair framing</t>
  </si>
  <si>
    <t>2x12x18 stair framing</t>
  </si>
  <si>
    <t>2x12x16 stair framing</t>
  </si>
  <si>
    <t>2x12x14 stair framing</t>
  </si>
  <si>
    <t>2x12x12 stair framing</t>
  </si>
  <si>
    <t>2x12x10 stair framing</t>
  </si>
  <si>
    <t>2x12x8 stair framing</t>
  </si>
  <si>
    <t>2x10x20 stair framing</t>
  </si>
  <si>
    <t>2x10x18 stair framing</t>
  </si>
  <si>
    <t>2x10x16 stair framing</t>
  </si>
  <si>
    <t>2x10x14 stair framing</t>
  </si>
  <si>
    <t>2x10x12 stair framing</t>
  </si>
  <si>
    <t>2x10x10 stair framing</t>
  </si>
  <si>
    <t>2x10x8 stair framing</t>
  </si>
  <si>
    <t>2x8x20 stair framing</t>
  </si>
  <si>
    <t>2x8x18 stair framing</t>
  </si>
  <si>
    <t>2x8x16 stair framing</t>
  </si>
  <si>
    <t>2x8x14 stair framing</t>
  </si>
  <si>
    <t>2x8x12 stair framing</t>
  </si>
  <si>
    <t>2x8x10 stair framing</t>
  </si>
  <si>
    <t>2x8x8 stair framing</t>
  </si>
  <si>
    <t>2x6x20 stair framing</t>
  </si>
  <si>
    <t>2x6x18 stair framing</t>
  </si>
  <si>
    <t>2x6x16 stair framing</t>
  </si>
  <si>
    <t>2x6x14 stair framing</t>
  </si>
  <si>
    <t>2x6x12 stair framing</t>
  </si>
  <si>
    <t>2x6x10 stair framing</t>
  </si>
  <si>
    <t>2x6x8 stair framing</t>
  </si>
  <si>
    <t>1x8x12 stair framing</t>
  </si>
  <si>
    <t>Countertop C</t>
  </si>
  <si>
    <t>Countertop B</t>
  </si>
  <si>
    <t>Countertop A</t>
  </si>
  <si>
    <t>Custom countertop</t>
  </si>
  <si>
    <t>Pass through counter</t>
  </si>
  <si>
    <t>Desk top</t>
  </si>
  <si>
    <t>Bar countertop</t>
  </si>
  <si>
    <t>Formica vanity countertop</t>
  </si>
  <si>
    <t>Ceramic kitchen countertop</t>
  </si>
  <si>
    <t>Formica kitchen countertop</t>
  </si>
  <si>
    <t>Mail room counter</t>
  </si>
  <si>
    <t>Counter</t>
  </si>
  <si>
    <t>Special counter</t>
  </si>
  <si>
    <t>Pass-thru counter</t>
  </si>
  <si>
    <t>Plastic laminated counter</t>
  </si>
  <si>
    <t>Vanity</t>
  </si>
  <si>
    <t>Special vanity top</t>
  </si>
  <si>
    <t>Vanity top</t>
  </si>
  <si>
    <t>Plastic laminated vanity top</t>
  </si>
  <si>
    <t>Formica shelf</t>
  </si>
  <si>
    <t>Reception counter</t>
  </si>
  <si>
    <t>* Fittings and millwork *</t>
  </si>
  <si>
    <t>* Length of millwork/built in fittings *</t>
  </si>
  <si>
    <t>Custom cabinet</t>
  </si>
  <si>
    <t>Cabinet C</t>
  </si>
  <si>
    <t>Cabinet B</t>
  </si>
  <si>
    <t>Cabinet A</t>
  </si>
  <si>
    <t>Custom bookcase</t>
  </si>
  <si>
    <t>Bookcase and base</t>
  </si>
  <si>
    <t>Full height bookcase</t>
  </si>
  <si>
    <t>Single oven cabinet</t>
  </si>
  <si>
    <t>Double oven cabinet</t>
  </si>
  <si>
    <t>Pantry cabinet</t>
  </si>
  <si>
    <t>Utility closet cabinet</t>
  </si>
  <si>
    <t>Upper cabinet C</t>
  </si>
  <si>
    <t>Upper cabinet B</t>
  </si>
  <si>
    <t>Upper cabinet A</t>
  </si>
  <si>
    <t>Custom upper cabinet</t>
  </si>
  <si>
    <t>Book case cabinet</t>
  </si>
  <si>
    <t>Wine rack</t>
  </si>
  <si>
    <t>Bar upper cabinet</t>
  </si>
  <si>
    <t>Peninsula upper cabinet</t>
  </si>
  <si>
    <t>Standard upper cabinet</t>
  </si>
  <si>
    <t>Base cabinet type C</t>
  </si>
  <si>
    <t>Base cabinet type B</t>
  </si>
  <si>
    <t>Base cabinet type A</t>
  </si>
  <si>
    <t>Custom base cabinet</t>
  </si>
  <si>
    <t>Desk base cabinet</t>
  </si>
  <si>
    <t>Vanity base cabinet</t>
  </si>
  <si>
    <t>Bar base cabinet</t>
  </si>
  <si>
    <t>Island base cabinet</t>
  </si>
  <si>
    <t>Standard base cabinet</t>
  </si>
  <si>
    <t>Kitchen cabinets</t>
  </si>
  <si>
    <t>Wardrobe unit</t>
  </si>
  <si>
    <t>Full height cabinets</t>
  </si>
  <si>
    <t>Cabinets and counters</t>
  </si>
  <si>
    <t>Vanity base</t>
  </si>
  <si>
    <t>Base cabinets</t>
  </si>
  <si>
    <t>Wall hung cabinets</t>
  </si>
  <si>
    <t>Base cabinets w/counter</t>
  </si>
  <si>
    <t>Base/wall cabinets w/counter</t>
  </si>
  <si>
    <t>Telephone shelf</t>
  </si>
  <si>
    <t>Book case</t>
  </si>
  <si>
    <t>Library shelving</t>
  </si>
  <si>
    <t>Adjustable shelf and bracket</t>
  </si>
  <si>
    <t>Fixed storage wood shelving</t>
  </si>
  <si>
    <t>Closet rod and shelf</t>
  </si>
  <si>
    <t>Adjustable shelving supports</t>
  </si>
  <si>
    <t>Wood closet rod</t>
  </si>
  <si>
    <t>1x12 shelving</t>
  </si>
  <si>
    <t>¾" formica covered shelving</t>
  </si>
  <si>
    <t>Birch plywd ab gr shelving</t>
  </si>
  <si>
    <t>Framing for shelving</t>
  </si>
  <si>
    <t>¾" plywood for shelving</t>
  </si>
  <si>
    <t>Wire linen shelving</t>
  </si>
  <si>
    <t>Wire shelving w/closet rod</t>
  </si>
  <si>
    <t>Shelf supports</t>
  </si>
  <si>
    <t>1x3 cleats</t>
  </si>
  <si>
    <t>Closet rod &amp; end brackets</t>
  </si>
  <si>
    <t>¾" particle board shelving</t>
  </si>
  <si>
    <t>¾" plywood shelving</t>
  </si>
  <si>
    <t>Adjustable closet rod 8-12'</t>
  </si>
  <si>
    <t>Adjustable closet rod 6-8'</t>
  </si>
  <si>
    <t>Adjustable closet rod 4-6'</t>
  </si>
  <si>
    <t>Adjustable closet rod 2-4'</t>
  </si>
  <si>
    <t>Shelf support bracket</t>
  </si>
  <si>
    <t>Shelving cleats</t>
  </si>
  <si>
    <t>Vinyl mesh shelving</t>
  </si>
  <si>
    <t>Birch plywood shelving</t>
  </si>
  <si>
    <t>1x8 T&amp;G paneling</t>
  </si>
  <si>
    <t>1x6 T&amp;G paneling</t>
  </si>
  <si>
    <t>Wood paneling</t>
  </si>
  <si>
    <t>Plywood soffit</t>
  </si>
  <si>
    <t>Solid oak paneling</t>
  </si>
  <si>
    <t>Plastic laminated panel</t>
  </si>
  <si>
    <t>Marlite paneling</t>
  </si>
  <si>
    <t>¼" unfinished paneling</t>
  </si>
  <si>
    <t>Prefinished plywood paneling</t>
  </si>
  <si>
    <t>4x8 prefinished birch plywood panel</t>
  </si>
  <si>
    <t>4x8 prefinished walnut plywood panel</t>
  </si>
  <si>
    <t>¼" prefinished paneling</t>
  </si>
  <si>
    <t>¼" 4x8 unfinish plywd panel</t>
  </si>
  <si>
    <t>¼" 4x8 prefinished plywood panel</t>
  </si>
  <si>
    <t>2x6 ext trim</t>
  </si>
  <si>
    <t>2x4 ext trim</t>
  </si>
  <si>
    <t>2x2 ext trim</t>
  </si>
  <si>
    <t>1x2 ext trim</t>
  </si>
  <si>
    <t>1x4 ext trim</t>
  </si>
  <si>
    <t>1x6 ext trim</t>
  </si>
  <si>
    <t>1x8 ext trim</t>
  </si>
  <si>
    <t>1x10 ext trim</t>
  </si>
  <si>
    <t>1x12 ext trim</t>
  </si>
  <si>
    <t xml:space="preserve">     Cased opng        jamb</t>
  </si>
  <si>
    <t>Millwork</t>
  </si>
  <si>
    <t>Miscellaneous millwork</t>
  </si>
  <si>
    <t>Clean/soil utility millwork</t>
  </si>
  <si>
    <t>1x2 redwood trim</t>
  </si>
  <si>
    <t>1x4 redwood trim</t>
  </si>
  <si>
    <t>1x6 redwood trim</t>
  </si>
  <si>
    <t>1x8 redwood trim</t>
  </si>
  <si>
    <t>1x10 redwood trim</t>
  </si>
  <si>
    <t>1x12 redwood trim</t>
  </si>
  <si>
    <t>1x2 cedar trim</t>
  </si>
  <si>
    <t>1x4 cedar trim</t>
  </si>
  <si>
    <t>1x6 cedar trim</t>
  </si>
  <si>
    <t>1x8 cedar trim</t>
  </si>
  <si>
    <t>1x10 cedar trim</t>
  </si>
  <si>
    <t>1x12 cedar trim</t>
  </si>
  <si>
    <t>1x2 pine trim</t>
  </si>
  <si>
    <t>1x4 pine trim</t>
  </si>
  <si>
    <t>1x6 pine trim</t>
  </si>
  <si>
    <t>1x8 pine trim</t>
  </si>
  <si>
    <t>1x10 pine trim</t>
  </si>
  <si>
    <t>1x12 pine trim</t>
  </si>
  <si>
    <t>1x2 walnut trim</t>
  </si>
  <si>
    <t>1x4 walnut trim</t>
  </si>
  <si>
    <t>1x6 walnut trim</t>
  </si>
  <si>
    <t>1x8 walnut trim</t>
  </si>
  <si>
    <t>1x10 walnut trim</t>
  </si>
  <si>
    <t>1x12 walnut trim</t>
  </si>
  <si>
    <t>1x2 oak trim</t>
  </si>
  <si>
    <t>1x4 oak trim</t>
  </si>
  <si>
    <t>1x6 oak trim</t>
  </si>
  <si>
    <t>1x8 oak trim</t>
  </si>
  <si>
    <t>1x10 oak trim</t>
  </si>
  <si>
    <t>1x12 oak trim</t>
  </si>
  <si>
    <t>1x2 cypress trim</t>
  </si>
  <si>
    <t>1x4 cypress trim</t>
  </si>
  <si>
    <t>1x6 cypress trim</t>
  </si>
  <si>
    <t>1x8 cypress trim</t>
  </si>
  <si>
    <t>1x10 cypress trim</t>
  </si>
  <si>
    <t>1x12 cypress trim</t>
  </si>
  <si>
    <t>1x2 ash trim</t>
  </si>
  <si>
    <t>1x4 ash trim</t>
  </si>
  <si>
    <t>1x6 ash trim</t>
  </si>
  <si>
    <t>1x8 ash trim</t>
  </si>
  <si>
    <t>1x10 ash trim</t>
  </si>
  <si>
    <t>1x12 ash trim</t>
  </si>
  <si>
    <t>* Finish carpentry area *</t>
  </si>
  <si>
    <t>Wood threshold</t>
  </si>
  <si>
    <t>Wood wall bumper</t>
  </si>
  <si>
    <t>Laminated deck</t>
  </si>
  <si>
    <t>Laminated wood construction</t>
  </si>
  <si>
    <t>20" x   ' truss joist I beam</t>
  </si>
  <si>
    <t>20" x 20' truss joist I beam</t>
  </si>
  <si>
    <t>20" x 18' truss joist I beam</t>
  </si>
  <si>
    <t>20" x 16' truss joist I beam</t>
  </si>
  <si>
    <t>20" x 14' truss joist I beam</t>
  </si>
  <si>
    <t>20" x 12' truss joist I beam</t>
  </si>
  <si>
    <t>20" x 10' truss joist I beam</t>
  </si>
  <si>
    <t>20" x 8' truss joist I beam</t>
  </si>
  <si>
    <t>18" x   ' truss joist I beam</t>
  </si>
  <si>
    <t>18" x 20' truss joist I beam</t>
  </si>
  <si>
    <t>18" x 18' truss joist I beam</t>
  </si>
  <si>
    <t>18" x 16' truss joist I beam</t>
  </si>
  <si>
    <t>18" x 14' truss joist I beam</t>
  </si>
  <si>
    <t>18" x 12' truss joist I beam</t>
  </si>
  <si>
    <t>18" x 10' truss joist I beam</t>
  </si>
  <si>
    <t>18" x 8' truss joist I beam</t>
  </si>
  <si>
    <t>16" x   ' truss joist I beam</t>
  </si>
  <si>
    <t>16" x 20' truss joist I beam</t>
  </si>
  <si>
    <t>16" x 18' truss joist I beam</t>
  </si>
  <si>
    <t>16" x 16' truss joist I beam</t>
  </si>
  <si>
    <t>16" x 14' truss joist I beam</t>
  </si>
  <si>
    <t>16" x 12' truss joist I beam</t>
  </si>
  <si>
    <t>16" x 10' truss joist I beam</t>
  </si>
  <si>
    <t>16" x 8' truss joist I beam</t>
  </si>
  <si>
    <t>14" x   ' truss joist I beam</t>
  </si>
  <si>
    <t>14" x 20' truss joist I beam</t>
  </si>
  <si>
    <t>14" x 18' truss joist I beam</t>
  </si>
  <si>
    <t>14" x 16' truss joist I beam</t>
  </si>
  <si>
    <t>14" x 14' truss joist I beam</t>
  </si>
  <si>
    <t>14" x 12' truss joist I beam</t>
  </si>
  <si>
    <t>14" x 10' truss joist I beam</t>
  </si>
  <si>
    <t>14" x 8' truss joist I beam</t>
  </si>
  <si>
    <t>11-7/8" x   ' truss joist I beam</t>
  </si>
  <si>
    <t>11-7/8" x 20' truss joist I beam</t>
  </si>
  <si>
    <t>11-7/8" x 18' truss joist I beam</t>
  </si>
  <si>
    <t>11-7/8" x 16' truss joist I beam</t>
  </si>
  <si>
    <t>11-7/8" x 14' truss joist I beam</t>
  </si>
  <si>
    <t>11-7/8" x 12' truss joist I beam</t>
  </si>
  <si>
    <t>11-7/8" x 10' truss joist I beam</t>
  </si>
  <si>
    <t>11-7/8" x 8' truss joist I beam</t>
  </si>
  <si>
    <t>9½" x    ' truss joist I beam</t>
  </si>
  <si>
    <t>9½" x 20' truss joist I beam</t>
  </si>
  <si>
    <t>9½" x 18' truss joist I beam</t>
  </si>
  <si>
    <t>9½" x 16' truss joist I beam</t>
  </si>
  <si>
    <t>9½" x 14' truss joist I beam</t>
  </si>
  <si>
    <t>9½" x 12' truss joist I beam</t>
  </si>
  <si>
    <t>9½" x 10' truss joist I beam</t>
  </si>
  <si>
    <t>9½" x 8' truss joist I beam</t>
  </si>
  <si>
    <t>20" x   ' LVL joist</t>
  </si>
  <si>
    <t>20" x 20' LVL joist</t>
  </si>
  <si>
    <t>20" x 18' LVL joist</t>
  </si>
  <si>
    <t>20" x 16' LVL joist</t>
  </si>
  <si>
    <t>20" x 14' LVL joist</t>
  </si>
  <si>
    <t>20" x 12' LVL joist</t>
  </si>
  <si>
    <t>20" x 10' LVL joist</t>
  </si>
  <si>
    <t>20" x 8' LVL joist</t>
  </si>
  <si>
    <t>18" x   ' LVL joist</t>
  </si>
  <si>
    <t>18" x 20' LVL joist</t>
  </si>
  <si>
    <t>18" x 18' LVL joist</t>
  </si>
  <si>
    <t>18" x 16' LVL joist</t>
  </si>
  <si>
    <t>18" x 14' LVL joist</t>
  </si>
  <si>
    <t>18" x 12' LVL joist</t>
  </si>
  <si>
    <t>18" x 10' LVL joist</t>
  </si>
  <si>
    <t>18" x 8' LVL joist</t>
  </si>
  <si>
    <t>16" x   ' LVL joist</t>
  </si>
  <si>
    <t>16" x 20' LVL joist</t>
  </si>
  <si>
    <t>16" x 18' LVL joist</t>
  </si>
  <si>
    <t>16" x 16' LVL joist</t>
  </si>
  <si>
    <t>16" x 14' LVL joist</t>
  </si>
  <si>
    <t>16" x 12' LVL joist</t>
  </si>
  <si>
    <t>16" x 10' LVL joist</t>
  </si>
  <si>
    <t>16" x 8' LVL joist</t>
  </si>
  <si>
    <t>14" x   ' LVL joist</t>
  </si>
  <si>
    <t>14" x 20' LVL joist</t>
  </si>
  <si>
    <t>14" x 18' LVL joist</t>
  </si>
  <si>
    <t>14" x 16' LVL joist</t>
  </si>
  <si>
    <t>14" x 14' LVL joist</t>
  </si>
  <si>
    <t>14" x 12' LVL joist</t>
  </si>
  <si>
    <t>14" x 10' LVL joist</t>
  </si>
  <si>
    <t>14" x 8 ' LVL joist</t>
  </si>
  <si>
    <t>11-7/8" x   ' LVL joist</t>
  </si>
  <si>
    <t>11-7/8" x 20' LVL joist</t>
  </si>
  <si>
    <t>11-7/8" x 18'  LVL joist</t>
  </si>
  <si>
    <t>11-7/8" x 16'  LVL joist</t>
  </si>
  <si>
    <t>11-7/8" x 14' LVL joist</t>
  </si>
  <si>
    <t>11-7/8" x 12' LVL joist</t>
  </si>
  <si>
    <t>11-7/8" x 10' LVL joist</t>
  </si>
  <si>
    <t>11-7/8" x 8' LVL joist</t>
  </si>
  <si>
    <t>9½" x    ' LVL joist</t>
  </si>
  <si>
    <t>9½" x 20' LVL joist</t>
  </si>
  <si>
    <t>9½" x 18' LVL joist</t>
  </si>
  <si>
    <t>9½" x 16' LVL joist</t>
  </si>
  <si>
    <t>9½" x 14' LVL joist</t>
  </si>
  <si>
    <t>9½" x 12' LVL joist</t>
  </si>
  <si>
    <t>9½" x 10' LVL joist</t>
  </si>
  <si>
    <t>9½" x 8' LVL joist</t>
  </si>
  <si>
    <t>36"x   floor truss</t>
  </si>
  <si>
    <t>36"x20 floor truss</t>
  </si>
  <si>
    <t>36"x18 floor truss</t>
  </si>
  <si>
    <t>36"x16 floor truss</t>
  </si>
  <si>
    <t>36"x14 floor truss</t>
  </si>
  <si>
    <t>36"x12 floor truss</t>
  </si>
  <si>
    <t>36"x10 floor truss</t>
  </si>
  <si>
    <t>36"x8  floor truss</t>
  </si>
  <si>
    <t>34"x   floor truss</t>
  </si>
  <si>
    <t>34"x20 floor truss</t>
  </si>
  <si>
    <t>34"x18 floor truss</t>
  </si>
  <si>
    <t>34"x16 floor truss</t>
  </si>
  <si>
    <t>34"x14 floor truss</t>
  </si>
  <si>
    <t>34"x12 floor truss</t>
  </si>
  <si>
    <t>34"x10 floor truss</t>
  </si>
  <si>
    <t>34"x8  floor truss</t>
  </si>
  <si>
    <t>32"x   floor truss</t>
  </si>
  <si>
    <t>32"x20 floor truss</t>
  </si>
  <si>
    <t>32"x18 floor truss</t>
  </si>
  <si>
    <t>32"x16 floor truss</t>
  </si>
  <si>
    <t>32"x14 floor truss</t>
  </si>
  <si>
    <t>32"x12 floor truss</t>
  </si>
  <si>
    <t>32"x10 floor truss</t>
  </si>
  <si>
    <t>32"x8  floor truss</t>
  </si>
  <si>
    <t>30"x   floor truss</t>
  </si>
  <si>
    <t>30"x20 floor truss</t>
  </si>
  <si>
    <t>30"x18 floor truss</t>
  </si>
  <si>
    <t>30"x16 floor truss</t>
  </si>
  <si>
    <t>30"x14 floor truss</t>
  </si>
  <si>
    <t>30"x12 floor truss</t>
  </si>
  <si>
    <t>30"x10 floor truss</t>
  </si>
  <si>
    <t>30"x8  floor truss</t>
  </si>
  <si>
    <t>28"x   floor truss</t>
  </si>
  <si>
    <t>28"x20 floor truss</t>
  </si>
  <si>
    <t>28"x18 floor truss</t>
  </si>
  <si>
    <t>28"x16 floor truss</t>
  </si>
  <si>
    <t>28"x14 floor truss</t>
  </si>
  <si>
    <t>28"x12 floor truss</t>
  </si>
  <si>
    <t>28"x10 floor truss</t>
  </si>
  <si>
    <t>28"x8  floor truss</t>
  </si>
  <si>
    <t>26"x   floor truss</t>
  </si>
  <si>
    <t>26"x20 floor truss</t>
  </si>
  <si>
    <t>26"x18 floor truss</t>
  </si>
  <si>
    <t>26"x16 floor truss</t>
  </si>
  <si>
    <t>26"x14 floor truss</t>
  </si>
  <si>
    <t>26"x12 floor truss</t>
  </si>
  <si>
    <t>26"x10 floor truss</t>
  </si>
  <si>
    <t>26"x8  floor truss</t>
  </si>
  <si>
    <t>24"x   floor truss</t>
  </si>
  <si>
    <t>24"x20 floor truss</t>
  </si>
  <si>
    <t>24"x18 floor truss</t>
  </si>
  <si>
    <t>24"x16 floor truss</t>
  </si>
  <si>
    <t>24"x14 floor truss</t>
  </si>
  <si>
    <t>24"x12 floor truss</t>
  </si>
  <si>
    <t>24"x10 floor truss</t>
  </si>
  <si>
    <t>24"x8  floor truss</t>
  </si>
  <si>
    <t>22"x   floor truss</t>
  </si>
  <si>
    <t>22"x20 floor truss</t>
  </si>
  <si>
    <t>22"x18 floor truss</t>
  </si>
  <si>
    <t>22"x16 floor truss</t>
  </si>
  <si>
    <t>22"x14 floor truss</t>
  </si>
  <si>
    <t>22"x12 floor truss</t>
  </si>
  <si>
    <t>22"x10 floor truss</t>
  </si>
  <si>
    <t>22"x8  floor truss</t>
  </si>
  <si>
    <t>20"x   floor truss</t>
  </si>
  <si>
    <t>20"x20 floor truss</t>
  </si>
  <si>
    <t>20"x18 floor truss</t>
  </si>
  <si>
    <t>20"x16 floor truss</t>
  </si>
  <si>
    <t>20"x14 floor truss</t>
  </si>
  <si>
    <t>20"x12 floor truss</t>
  </si>
  <si>
    <t>20"x10 floor truss</t>
  </si>
  <si>
    <t>20"x8  floor truss</t>
  </si>
  <si>
    <t>18"x   floor truss</t>
  </si>
  <si>
    <t>18"x20 floor truss</t>
  </si>
  <si>
    <t>18"x18 floor truss</t>
  </si>
  <si>
    <t>18"x16 floor truss</t>
  </si>
  <si>
    <t>18"x14 floor truss</t>
  </si>
  <si>
    <t>18"x12 floor truss</t>
  </si>
  <si>
    <t>18"x10 floor truss</t>
  </si>
  <si>
    <t>18"x8  floor truss</t>
  </si>
  <si>
    <t>16"x   floor truss</t>
  </si>
  <si>
    <t>16"x20 floor truss</t>
  </si>
  <si>
    <t>16"x18 floor truss</t>
  </si>
  <si>
    <t>16"x16 floor truss</t>
  </si>
  <si>
    <t>16"x14 floor truss</t>
  </si>
  <si>
    <t>16"x12 floor truss</t>
  </si>
  <si>
    <t>16"x10 floor truss</t>
  </si>
  <si>
    <t>16"x8  floor truss</t>
  </si>
  <si>
    <t>14"x   floor truss</t>
  </si>
  <si>
    <t>14"x20 floor truss</t>
  </si>
  <si>
    <t>14"x18 floor truss</t>
  </si>
  <si>
    <t>14"x16 floor truss</t>
  </si>
  <si>
    <t>14"x14 floor truss</t>
  </si>
  <si>
    <t>14"x12 floor truss</t>
  </si>
  <si>
    <t>14"x10 floor truss</t>
  </si>
  <si>
    <t>14"x8  floor truss</t>
  </si>
  <si>
    <t>12"x   floor truss</t>
  </si>
  <si>
    <t>12"x20 floor truss</t>
  </si>
  <si>
    <t>12"x18 floor truss</t>
  </si>
  <si>
    <t>12"x16 floor truss</t>
  </si>
  <si>
    <t>12"x14 floor truss</t>
  </si>
  <si>
    <t>12"x12 floor truss</t>
  </si>
  <si>
    <t>12"x10 floor truss</t>
  </si>
  <si>
    <t>12"x8  floor truss</t>
  </si>
  <si>
    <t>10"x   floor truss</t>
  </si>
  <si>
    <t>10"x20 floor truss</t>
  </si>
  <si>
    <t>10"x18 floor truss</t>
  </si>
  <si>
    <t>10"x16 floor truss</t>
  </si>
  <si>
    <t>10"x14 floor truss</t>
  </si>
  <si>
    <t>10"x12 floor truss</t>
  </si>
  <si>
    <t>10"x10 floor truss</t>
  </si>
  <si>
    <t>10"x8  floor truss</t>
  </si>
  <si>
    <t>12"x   truss joist I beam</t>
  </si>
  <si>
    <t>12"x20 truss joist I beam</t>
  </si>
  <si>
    <t>12"x18 truss joist I beam</t>
  </si>
  <si>
    <t>12"x16 truss joist I beam</t>
  </si>
  <si>
    <t>12"x14 truss joist I beam</t>
  </si>
  <si>
    <t>12"x12 truss joist I beam</t>
  </si>
  <si>
    <t>12"x10 truss joist I beam</t>
  </si>
  <si>
    <t>12"x8  truss joist I beam</t>
  </si>
  <si>
    <t>10"x   truss joist I beam</t>
  </si>
  <si>
    <t>10"x20 truss joist I beam</t>
  </si>
  <si>
    <t>10"x18 truss joist I beam</t>
  </si>
  <si>
    <t>10"x16 truss joist I beam</t>
  </si>
  <si>
    <t>10"x14 truss joist I beam</t>
  </si>
  <si>
    <t>10"x12 truss joist I beam</t>
  </si>
  <si>
    <t>10"x10 truss joist I beam</t>
  </si>
  <si>
    <t>10"x8  truss joist I beam</t>
  </si>
  <si>
    <t>8"x   truss joist I beam</t>
  </si>
  <si>
    <t>8"x20 truss joist I beam</t>
  </si>
  <si>
    <t>8"x18 truss joist I beam</t>
  </si>
  <si>
    <t>8"x16 truss joist I beam</t>
  </si>
  <si>
    <t>8"x14 truss joist I beam</t>
  </si>
  <si>
    <t>8"x12 truss joist I beam</t>
  </si>
  <si>
    <t>8"x10 truss joist I beam</t>
  </si>
  <si>
    <t>8"x8  truss joist I beam</t>
  </si>
  <si>
    <t>6"x   truss joist I beam</t>
  </si>
  <si>
    <t>6"x20 truss joist I beam</t>
  </si>
  <si>
    <t>6"x18 truss joist I beam</t>
  </si>
  <si>
    <t>6"x16 truss joist I beam</t>
  </si>
  <si>
    <t>6"x14 truss joist I beam</t>
  </si>
  <si>
    <t>6"x12 truss joist I beam</t>
  </si>
  <si>
    <t>6"x10 truss joist I beam</t>
  </si>
  <si>
    <t>6"x8  truss joist I beam</t>
  </si>
  <si>
    <t>4"x   truss joist I beam</t>
  </si>
  <si>
    <t>4"x20 truss joist I beam</t>
  </si>
  <si>
    <t>4"x18 truss joist I beam</t>
  </si>
  <si>
    <t>4"x16 truss joist I beam</t>
  </si>
  <si>
    <t>4"x14 truss joist I beam</t>
  </si>
  <si>
    <t>4"x12 truss joist I beam</t>
  </si>
  <si>
    <t>4"x10 truss joist I beam</t>
  </si>
  <si>
    <t>4"x8  truss joist I beam</t>
  </si>
  <si>
    <t>18"x   LVL beam, redwood</t>
  </si>
  <si>
    <t>18"x20 LVL beam, redwood</t>
  </si>
  <si>
    <t>18"x18 LVL beam, redwood</t>
  </si>
  <si>
    <t>18"x16 LVL beam, redwood</t>
  </si>
  <si>
    <t>18"x14 LVL beam, redwood</t>
  </si>
  <si>
    <t>18"x12 LVL beam, redwood</t>
  </si>
  <si>
    <t>18"x10 LVL beam, redwood</t>
  </si>
  <si>
    <t>18"x8  LVL beam, redwood</t>
  </si>
  <si>
    <t>14"x   LVL beam, redwood</t>
  </si>
  <si>
    <t>14"x20 LVL beam, redwood</t>
  </si>
  <si>
    <t>14"x18 LVL beam, redwood</t>
  </si>
  <si>
    <t>14"x16 LVL beam, redwood</t>
  </si>
  <si>
    <t>14"x14 LVL beam, redwood</t>
  </si>
  <si>
    <t>14"x12 LVL beam, redwood</t>
  </si>
  <si>
    <t>14"x10 LVL beam, redwood</t>
  </si>
  <si>
    <t>14"x8  LVL beam, redwood</t>
  </si>
  <si>
    <t>11-1/4"x   LVL beam, redwood</t>
  </si>
  <si>
    <t>11-1/2"x20 LVL beam, redwood</t>
  </si>
  <si>
    <t>11-1/2"x18 LVL beam, redwood</t>
  </si>
  <si>
    <t>11-1/2"x16 LVL beam, redwood</t>
  </si>
  <si>
    <t>11-1/2"x14 LVL beam, redwood</t>
  </si>
  <si>
    <t>11-1/2"x12 LVL beam, redwood</t>
  </si>
  <si>
    <t>11-1/2"x10 LVL beam, redwood</t>
  </si>
  <si>
    <t>11-1/2"x8  LVL beam, redwood</t>
  </si>
  <si>
    <t>9-1/4"x   LVL beam, redwood</t>
  </si>
  <si>
    <t>9-1/2"x20 LVL beam, redwood</t>
  </si>
  <si>
    <t>9-1/2"x18 LVL beam, redwood</t>
  </si>
  <si>
    <t>9-1/2"x16 LVL beam, redwood</t>
  </si>
  <si>
    <t>9-1/4"x14 LVL beam, redwood</t>
  </si>
  <si>
    <t>9-1/2"x12 LVL beam, redwood</t>
  </si>
  <si>
    <t>9-1/4"x10 LVL beam, redwood</t>
  </si>
  <si>
    <t>9-1/2"x8  LVL beam, redwood</t>
  </si>
  <si>
    <t>7-1/4"x   LVL beam, redwood</t>
  </si>
  <si>
    <t>7-1/4"x20 LVL beam, redwood</t>
  </si>
  <si>
    <t>7-1/4"x18 LVL beam, redwood</t>
  </si>
  <si>
    <t>7-1/4"x16 LVL beam, redwood</t>
  </si>
  <si>
    <t>7-1/4"x14 LVL beam, redwood</t>
  </si>
  <si>
    <t>7-1/4"x12 LVL beam, redwood</t>
  </si>
  <si>
    <t>7-1/4"x10 LVL beam, redwood</t>
  </si>
  <si>
    <t>7-1/4"x8  LVL beam, redwood</t>
  </si>
  <si>
    <t>18"x   LVL beam,cedar</t>
  </si>
  <si>
    <t>18"x20 LVL beam,cedar</t>
  </si>
  <si>
    <t>18"x18 LVL beam,cedar</t>
  </si>
  <si>
    <t>18"x16 LVL beam,cedar</t>
  </si>
  <si>
    <t>18"x14 LVL beam,cedar</t>
  </si>
  <si>
    <t>18"x12 LVL beam,cedar</t>
  </si>
  <si>
    <t>18"x10 LVL beam,cedar</t>
  </si>
  <si>
    <t>18"x8 LVL beam,cedar</t>
  </si>
  <si>
    <t>14"x   LVL beam,cedar</t>
  </si>
  <si>
    <t>14"x20 LVL beam,cedar</t>
  </si>
  <si>
    <t>14"x18 LVL beam,cedar</t>
  </si>
  <si>
    <t>14"x16 LVL beam,cedar</t>
  </si>
  <si>
    <t>14"x14 LVL beam,cedar</t>
  </si>
  <si>
    <t>14"x12 LVL beam,cedar</t>
  </si>
  <si>
    <t>14"x10 LVL beam,cedar</t>
  </si>
  <si>
    <t>14"x8  LVL beam,cedar</t>
  </si>
  <si>
    <t>11-1/4"x   LVL beam,cedar</t>
  </si>
  <si>
    <t>11-1/2"x20 LVL beam,cedar</t>
  </si>
  <si>
    <t>11-1/2"x18 LVL beam,cedar</t>
  </si>
  <si>
    <t>11-1/2"x16 LVL beam,cedar</t>
  </si>
  <si>
    <t>11-1/2"x14 LVL beam,cedar</t>
  </si>
  <si>
    <t>11-1/2"x12 LVL beam,cedar</t>
  </si>
  <si>
    <t>11-1/2"x10 LVL beam,cedar</t>
  </si>
  <si>
    <t>11-1/2"x8  LVL beam,cedar</t>
  </si>
  <si>
    <t>9-1/4"x   LVL beam,cedar</t>
  </si>
  <si>
    <t>9-1/2"x20 LVL beam,cedar</t>
  </si>
  <si>
    <t>9-1/2"x18 LVL beam,cedar</t>
  </si>
  <si>
    <t>9-1/2"x16 LVL beam,cedar</t>
  </si>
  <si>
    <t>9-1/4"x14 LVL beam,cedar</t>
  </si>
  <si>
    <t>9-1/2"x12 LVL beam,cedar</t>
  </si>
  <si>
    <t>9-1/4"x10 LVL beam,cedar</t>
  </si>
  <si>
    <t>9-1/2"x8  LVL beam,cedar</t>
  </si>
  <si>
    <t>7-1/4"x   LVL beam, cedar</t>
  </si>
  <si>
    <t>7-1/4"x20 LVL beam, cedar</t>
  </si>
  <si>
    <t>7-1/4"x18 LVL beam, cedar</t>
  </si>
  <si>
    <t>7-1/4"x16 LVL beam, cedar</t>
  </si>
  <si>
    <t>7-1/4"x14 LVL beam, cedar</t>
  </si>
  <si>
    <t>7-1/4"x12 LVL beam, cedar</t>
  </si>
  <si>
    <t>7-1/4"x10 LVL beam, cedar</t>
  </si>
  <si>
    <t>7-1/4"x8  LVL beam, cedar</t>
  </si>
  <si>
    <t>18"x   LVL beam,fire trtd</t>
  </si>
  <si>
    <t>18"x20 LVL beam,fire trtd</t>
  </si>
  <si>
    <t>18"x18 LVL beam,fire trtd</t>
  </si>
  <si>
    <t>18"x16 LVL beam,fire trtd</t>
  </si>
  <si>
    <t>18"x14 LVL beam,fire trtd</t>
  </si>
  <si>
    <t>18"x12 LVL beam,fire trtd</t>
  </si>
  <si>
    <t>18"x10 LVL beam,fire trtd</t>
  </si>
  <si>
    <t>18"x8  LVL beam,fire trtd</t>
  </si>
  <si>
    <t>14"x   LVL beam,fire trtd</t>
  </si>
  <si>
    <t>14"x20 LVL beam,fire trtd</t>
  </si>
  <si>
    <t>14"x18 LVL beam,fire trtd</t>
  </si>
  <si>
    <t>14"x16 LVL beam,fire trtd</t>
  </si>
  <si>
    <t>14"x14 LVL beam,fire trtd</t>
  </si>
  <si>
    <t>14"x12 LVL beam,fire trtd</t>
  </si>
  <si>
    <t>14"x10 LVL beam,fire trtd</t>
  </si>
  <si>
    <t>14"x8  LVL beam,fire trtd</t>
  </si>
  <si>
    <t>11-1/4"x   LVL beam,fire trt</t>
  </si>
  <si>
    <t>11-1/2"x20 LVL beam,fire trt</t>
  </si>
  <si>
    <t>11-1/2"x18 LVL beam,fire trt</t>
  </si>
  <si>
    <t>11-1/2"x16 LVL beam,fire trt</t>
  </si>
  <si>
    <t>11-1/2"x14 LVL beam,fire trt</t>
  </si>
  <si>
    <t>11-1/2"x12 LVL beam,fire trt</t>
  </si>
  <si>
    <t>11-1/2"x10 LVL beam,fire trt</t>
  </si>
  <si>
    <t>11-1/2"x8  LVL beam,fire trt</t>
  </si>
  <si>
    <t>9-1/4"x   LVL beam,fire trtd</t>
  </si>
  <si>
    <t>9-1/2"x20 LVL beam,fire trtd</t>
  </si>
  <si>
    <t>9-1/2"x18 LVL beam,fire trtd</t>
  </si>
  <si>
    <t>9-1/2"x16 LVL beam,fire trtd</t>
  </si>
  <si>
    <t>9-1/2"x14 LVL beam,fire trtd</t>
  </si>
  <si>
    <t>9-1/2"x12 LVL beam,fire trtd</t>
  </si>
  <si>
    <t>9-1/2"x10 LVL beam,fire trtd</t>
  </si>
  <si>
    <t>9-1/2"x8  LVL beam,fire trtd</t>
  </si>
  <si>
    <t>7-1/4"x   LVL beam,fire trtd</t>
  </si>
  <si>
    <t>7-1/4"x20 LVL beam,fire trtd</t>
  </si>
  <si>
    <t>7-1/4"x18 LVL beam,fire trtd</t>
  </si>
  <si>
    <t>7-1/4"x16 LVL beam,fire trtd</t>
  </si>
  <si>
    <t>7-1/4"x14 LVL beam,fire trtd</t>
  </si>
  <si>
    <t>7-1/4"x12 LVL beam,fire trtd</t>
  </si>
  <si>
    <t>7-1/4"x10 LVL beam,fire trtd</t>
  </si>
  <si>
    <t>7-1/4"x8  LVL beam,fire trtd</t>
  </si>
  <si>
    <t>18"x   LVL beam, wlmnzd</t>
  </si>
  <si>
    <t>18"x20 LVL beam, wlmnzd</t>
  </si>
  <si>
    <t>18"x18 LVL beam, wlmnzd</t>
  </si>
  <si>
    <t>18"x16 LVL beam, wlmnzd</t>
  </si>
  <si>
    <t>18"x14 LVL beam, wlmnzd</t>
  </si>
  <si>
    <t>18"x12 LVL beam, wlmnzd</t>
  </si>
  <si>
    <t>18"x10 LVL beam, wlmnzd</t>
  </si>
  <si>
    <t>18"x8  LVL beam, wlmnzd</t>
  </si>
  <si>
    <t>14"x   LVL beam, wlmnzd</t>
  </si>
  <si>
    <t>14"x20 LVL beam, wlmnzd</t>
  </si>
  <si>
    <t>14"x18 LVL beam, wlmnzd</t>
  </si>
  <si>
    <t>14"x16 LVL beam, wlmnzd</t>
  </si>
  <si>
    <t>14"x14 LVL beam, wlmnzd</t>
  </si>
  <si>
    <t>14"x12 LVL beam, wlmnzd</t>
  </si>
  <si>
    <t>14"x10 LVL beam, wlmnzd</t>
  </si>
  <si>
    <t>14"x8  LVL beam, wlmnzd</t>
  </si>
  <si>
    <t>11-1/4"x   LVL beam, wlmnzd</t>
  </si>
  <si>
    <t>11-1/2"x20 LVL beam, wlmnzd</t>
  </si>
  <si>
    <t>11-1/2"x18 LVL beam, wlmnzd</t>
  </si>
  <si>
    <t>11-1/2"x16 LVL beam, wlmnzd</t>
  </si>
  <si>
    <t>11-1/2"x14 LVL beam, wlmnzd</t>
  </si>
  <si>
    <t>11-1/2"x12 LVL beam, wlmnzd</t>
  </si>
  <si>
    <t>11-1/2"x10 LVL beam, wlmnzd</t>
  </si>
  <si>
    <t>11-1/2"x8  LVL beam, wlmnzd</t>
  </si>
  <si>
    <t>9-1/4"x   LVL beam, wlmnzd</t>
  </si>
  <si>
    <t>9-1/2"x20 LVL beam, wlmnzd</t>
  </si>
  <si>
    <t>9-1/2"x18 LVL beam, wlmnzd</t>
  </si>
  <si>
    <t>9-1/2"x16 LVL beam, wlmnzd</t>
  </si>
  <si>
    <t>9-1/4"x14 LVL beam, wlmnzd</t>
  </si>
  <si>
    <t>9-1/2"x12 LVL beam, wlmnzd</t>
  </si>
  <si>
    <t>9-1/4"x10 LVL beam, wlmnzd</t>
  </si>
  <si>
    <t>9-1/2"x8  LVL beam, wlmnzd</t>
  </si>
  <si>
    <t>7-1/4"x   LVL beam, wlmnzd</t>
  </si>
  <si>
    <t>7-1/4"x20 LVL beam, wlmnzd</t>
  </si>
  <si>
    <t>7-1/4"x18 LVL beam, wlmnzd</t>
  </si>
  <si>
    <t>7-1/4"x16 LVL beam, wlmnzd</t>
  </si>
  <si>
    <t>7-1/4"x14 LVL beam, wlmnzd</t>
  </si>
  <si>
    <t>7-1/4"x12 LVL beam, wlmnzd</t>
  </si>
  <si>
    <t>7-1/4"x10 LVL beam, wlmnzd</t>
  </si>
  <si>
    <t>7-1/4"x8  LVL beam, wlmnzd</t>
  </si>
  <si>
    <t>18"x   LVL beam</t>
  </si>
  <si>
    <t>18"x20 LVL beam</t>
  </si>
  <si>
    <t>18"x18 LVL beam</t>
  </si>
  <si>
    <t>18"x16 LVL beam</t>
  </si>
  <si>
    <t>18"x14 LVL beam</t>
  </si>
  <si>
    <t>18"x12 LVL beam</t>
  </si>
  <si>
    <t>18"x10 LVL beam</t>
  </si>
  <si>
    <t>18"x8  LVL beam</t>
  </si>
  <si>
    <t>14"x   LVL beam</t>
  </si>
  <si>
    <t>14"x20 LVL beam</t>
  </si>
  <si>
    <t>14"x18 LVL beam</t>
  </si>
  <si>
    <t>14"x16 LVL beam</t>
  </si>
  <si>
    <t>14"x14 LVL beam</t>
  </si>
  <si>
    <t>14"x12 LVL beam</t>
  </si>
  <si>
    <t>14"x10 LVL beam</t>
  </si>
  <si>
    <t>14"x8  LVL beam</t>
  </si>
  <si>
    <t>11-1/2"x   LVL beam</t>
  </si>
  <si>
    <t>11-1/2"x20 LVL beam</t>
  </si>
  <si>
    <t>11-1/2"x18 LVL beam</t>
  </si>
  <si>
    <t>11-1/2"x16 LVL beam</t>
  </si>
  <si>
    <t>11-1/2"x14 LVL beam</t>
  </si>
  <si>
    <t>11-1/2"x12 LVL beam</t>
  </si>
  <si>
    <t>11-1/2"x10 LVL beam</t>
  </si>
  <si>
    <t>11-1/2"x8  LVL beam</t>
  </si>
  <si>
    <t>9-1/2"x   LVL beam</t>
  </si>
  <si>
    <t>9-1/2"x20 LVL beam</t>
  </si>
  <si>
    <t>9-1/2"x18 LVL beam</t>
  </si>
  <si>
    <t>9-1/2"x16 LVL beam</t>
  </si>
  <si>
    <t>9-1/2"x14 LVL beam</t>
  </si>
  <si>
    <t>9-1/2"x12 LVL beam</t>
  </si>
  <si>
    <t>9-1/2"x10 LVL beam</t>
  </si>
  <si>
    <t>9-1/2"x8  LVL beam</t>
  </si>
  <si>
    <t>7-1/4"x   LVL beam</t>
  </si>
  <si>
    <t>7-1/4"x20 LVL beam</t>
  </si>
  <si>
    <t>7-1/4"x18 LVL beam</t>
  </si>
  <si>
    <t>7-1/4"x16 LVL beam</t>
  </si>
  <si>
    <t>7-1/4"x14 LVL beam</t>
  </si>
  <si>
    <t>7-1/4"x12 LVL beam</t>
  </si>
  <si>
    <t>7-1/4"x10 LVL beam</t>
  </si>
  <si>
    <t>7-1/4"x8  LVL beam</t>
  </si>
  <si>
    <t>18" LVL header</t>
  </si>
  <si>
    <t>14" LVL header</t>
  </si>
  <si>
    <t>11-1/2" LVL header</t>
  </si>
  <si>
    <t>9-1/2" LVL header</t>
  </si>
  <si>
    <t>7-1/4" LVL header</t>
  </si>
  <si>
    <t>14"x   LVL ridge member</t>
  </si>
  <si>
    <t>14"x16 LVL ridge member</t>
  </si>
  <si>
    <t>14"x14 LVL ridge member</t>
  </si>
  <si>
    <t>14"x12 LVL ridge member</t>
  </si>
  <si>
    <t>14"x10 LVL ridge member</t>
  </si>
  <si>
    <t>14"x8  LVL ridge member</t>
  </si>
  <si>
    <t>11-1/2"x   LVL ridge member</t>
  </si>
  <si>
    <t>11-1/2"x16 LVL ridge member</t>
  </si>
  <si>
    <t>11-1/2"x14 LVL ridge member</t>
  </si>
  <si>
    <t>11-1/2"x12 LVL ridge member</t>
  </si>
  <si>
    <t>11-1/2"x10 LVL ridge member</t>
  </si>
  <si>
    <t>11-1/2"x8  LVL ridge member</t>
  </si>
  <si>
    <t>9-1/2"x   LVL ridge member</t>
  </si>
  <si>
    <t>9-1/2"x16 LVL ridge member</t>
  </si>
  <si>
    <t>9-1/2"x14 LVL ridge member</t>
  </si>
  <si>
    <t>9-1/2"x12 LVL ridge member</t>
  </si>
  <si>
    <t>9-1/2"x10 LVL ridge member</t>
  </si>
  <si>
    <t>9-1/2"x8  LVL ridge member</t>
  </si>
  <si>
    <t>7-1/4"x   LVL ridge member</t>
  </si>
  <si>
    <t>7-1/4"x16 LVL ridge member</t>
  </si>
  <si>
    <t>7-1/4"x14 LVL ridge member</t>
  </si>
  <si>
    <t>7-1/4"x12 LVL ridge member</t>
  </si>
  <si>
    <t>7-1/4"x10 LVL ridge member</t>
  </si>
  <si>
    <t>7-1/4"x8  LVL ridge member</t>
  </si>
  <si>
    <t>Gypsum sheathing</t>
  </si>
  <si>
    <t>5/8" gypsum sheathing</t>
  </si>
  <si>
    <t>5/8" sheathing</t>
  </si>
  <si>
    <t>½" tongue and groove sheathing</t>
  </si>
  <si>
    <t>½" sheathing</t>
  </si>
  <si>
    <t>½" exterior ceiling board</t>
  </si>
  <si>
    <t>½" gypsum sheathing</t>
  </si>
  <si>
    <t>Plywood sheathing</t>
  </si>
  <si>
    <t>¾" asphalt insulated sheathing</t>
  </si>
  <si>
    <t>½" asphalt insulated sheathing</t>
  </si>
  <si>
    <t>0.010 vapor barrier</t>
  </si>
  <si>
    <t>Red rosin building paper</t>
  </si>
  <si>
    <t>1-11/32" T&amp;G homasote</t>
  </si>
  <si>
    <t>¾" CD plywood</t>
  </si>
  <si>
    <t>5/8" CD plywood</t>
  </si>
  <si>
    <t>½" CD plywood</t>
  </si>
  <si>
    <t>1" decking</t>
  </si>
  <si>
    <t>Miscellaneous furring</t>
  </si>
  <si>
    <t>1x6 T&amp;G subfloor/laid diagonally</t>
  </si>
  <si>
    <t>1x8 subfloor laid diag</t>
  </si>
  <si>
    <t>½" OSB sheathing</t>
  </si>
  <si>
    <t>½" CDX plywood sheathing</t>
  </si>
  <si>
    <t>½" asphalt impregnated sheathing</t>
  </si>
  <si>
    <t>½" rigid gypsum sheathing</t>
  </si>
  <si>
    <t>1" foil face insulated sheathing</t>
  </si>
  <si>
    <t>½" foil face insulated sheathing</t>
  </si>
  <si>
    <t>5/8" exterior gypsum sheathing</t>
  </si>
  <si>
    <t>½" exterior gypsum sheathing</t>
  </si>
  <si>
    <t>¾" T&amp;G plywood @ roof</t>
  </si>
  <si>
    <t>5/8" T&amp;G plywood @ roof</t>
  </si>
  <si>
    <t>¾" CDX plywood @ roof</t>
  </si>
  <si>
    <t>5/8" CDX plywood @ roof</t>
  </si>
  <si>
    <t>½" CDX plywood @ roof</t>
  </si>
  <si>
    <t>¾" OSB @ roof</t>
  </si>
  <si>
    <t>5/8" OSB @ roof</t>
  </si>
  <si>
    <t>½" OSB @ roof</t>
  </si>
  <si>
    <t>1x4 stripping @ roof</t>
  </si>
  <si>
    <t>Expanded polystyrene board</t>
  </si>
  <si>
    <t>Foil faced expanded polystyrene sheathing</t>
  </si>
  <si>
    <t>½" 4x8 exterior gypsum sheathing</t>
  </si>
  <si>
    <t>½" 4x8 brownboard sheathing</t>
  </si>
  <si>
    <t>1/8" underlayment</t>
  </si>
  <si>
    <t>¾" 4x8 particle board</t>
  </si>
  <si>
    <t>5/8" 4x8 particle board</t>
  </si>
  <si>
    <t>½" 4x8 particle board</t>
  </si>
  <si>
    <t>¼" underlayment</t>
  </si>
  <si>
    <t>¾" CDX plywood</t>
  </si>
  <si>
    <t>5/8" CDX plywood @ subfloor</t>
  </si>
  <si>
    <t>¾" CDX plywood @ subfloor</t>
  </si>
  <si>
    <t>1 by subfloor/decking</t>
  </si>
  <si>
    <t>5/8" T&amp;G plywood @ subfloor</t>
  </si>
  <si>
    <t>5/8" T&amp;G OSB @ subfloor</t>
  </si>
  <si>
    <t>¾" T&amp;G OSB @ subfloor</t>
  </si>
  <si>
    <t>1-1/8" T&amp;G plywood</t>
  </si>
  <si>
    <t>¾" T&amp;G plywood</t>
  </si>
  <si>
    <t>½" 4x8 wafer board</t>
  </si>
  <si>
    <t>¾" 4x8 CD plywood</t>
  </si>
  <si>
    <t>5/8" 4x8 CD plywood</t>
  </si>
  <si>
    <t>½" 4x8 CD plywood</t>
  </si>
  <si>
    <t>* Wood deck area *</t>
  </si>
  <si>
    <t>Wood deck</t>
  </si>
  <si>
    <t>Tongue and groove deck</t>
  </si>
  <si>
    <t>Plywood deck</t>
  </si>
  <si>
    <t>2x10x20' treated decking</t>
  </si>
  <si>
    <t>2x10x18' treated decking</t>
  </si>
  <si>
    <t>2x10x16' treated decking</t>
  </si>
  <si>
    <t>2x10x14' treated decking</t>
  </si>
  <si>
    <t>2x10x12' treated decking</t>
  </si>
  <si>
    <t>2x10x10' treated decking</t>
  </si>
  <si>
    <t>2x10x8'  treated decking</t>
  </si>
  <si>
    <t>2x8x20' treated decking</t>
  </si>
  <si>
    <t>2x8x18' treated decking</t>
  </si>
  <si>
    <t>2x8x16' treated decking</t>
  </si>
  <si>
    <t>2x8x14' treated decking</t>
  </si>
  <si>
    <t>2x8x12' treated decking</t>
  </si>
  <si>
    <t>2x8x10' treated decking</t>
  </si>
  <si>
    <t>2x8x8'  treated decking</t>
  </si>
  <si>
    <t>2x6x20' treated decking</t>
  </si>
  <si>
    <t>2x6x18' treated decking</t>
  </si>
  <si>
    <t>2x6x16' treated decking</t>
  </si>
  <si>
    <t>2x6x14' treated decking</t>
  </si>
  <si>
    <t>2x6x12' treated decking</t>
  </si>
  <si>
    <t>2x6x10' treated decking</t>
  </si>
  <si>
    <t>2x6x8' treated decking</t>
  </si>
  <si>
    <t>2x4x20' treated decking</t>
  </si>
  <si>
    <t>2x4x18' treated decking</t>
  </si>
  <si>
    <t>2x4x16' treated decking</t>
  </si>
  <si>
    <t>2x4x14' treated decking</t>
  </si>
  <si>
    <t>2x4x12' treated decking</t>
  </si>
  <si>
    <t>2x4x10' treated decking</t>
  </si>
  <si>
    <t>2x4x8'  treated decking</t>
  </si>
  <si>
    <t>1x6x20' treated decking</t>
  </si>
  <si>
    <t>1x6x18' treated decking</t>
  </si>
  <si>
    <t>1x6x16' treated decking</t>
  </si>
  <si>
    <t>1x6x14' treated decking</t>
  </si>
  <si>
    <t>1x6x12' treated decking</t>
  </si>
  <si>
    <t>1x6x10' treated decking</t>
  </si>
  <si>
    <t>1x6x8'  treated decking</t>
  </si>
  <si>
    <t>1x4x20' treated decking</t>
  </si>
  <si>
    <t>1x4x18' treated decking</t>
  </si>
  <si>
    <t>1x4x16' treated decking</t>
  </si>
  <si>
    <t>1x4x14' treated decking</t>
  </si>
  <si>
    <t>1x4x12' treated decking</t>
  </si>
  <si>
    <t>1x4x10' treated decking</t>
  </si>
  <si>
    <t>1x4x8'  treated decking</t>
  </si>
  <si>
    <t>Heavy timber construction</t>
  </si>
  <si>
    <t>** 2x12x+20' lumber **</t>
  </si>
  <si>
    <t>** 2x12x20' lumber **</t>
  </si>
  <si>
    <t>** 2x12x18' lumber **</t>
  </si>
  <si>
    <t>** 2x12x16' lumber **</t>
  </si>
  <si>
    <t>** 2x12x14' lumber **</t>
  </si>
  <si>
    <t>** 2x12x12' lumber **</t>
  </si>
  <si>
    <t>** 2x12x10' lumber **</t>
  </si>
  <si>
    <t>** 2x12x8' lumber **</t>
  </si>
  <si>
    <t>** 2x10x+20' lumber **</t>
  </si>
  <si>
    <t>** 2x10x20' lumber **</t>
  </si>
  <si>
    <t>** 2x10x18' lumber **</t>
  </si>
  <si>
    <t>** 2x10x16' lumber **</t>
  </si>
  <si>
    <t>** 2x10x14' lumber **</t>
  </si>
  <si>
    <t>** 2x10x12' lumber **</t>
  </si>
  <si>
    <t>** 2x10x10' lumber **</t>
  </si>
  <si>
    <t>** 2x10x8' lumber **</t>
  </si>
  <si>
    <t>** 2x8x+20' lumber **</t>
  </si>
  <si>
    <t>** 2x8x20' lumber **</t>
  </si>
  <si>
    <t>** 2x8x18' lumber **</t>
  </si>
  <si>
    <t>** 2x8x16' lumber **</t>
  </si>
  <si>
    <t>** 2x8x14' lumber **</t>
  </si>
  <si>
    <t>** 2x8x12' lumber **</t>
  </si>
  <si>
    <t>** 2x8x10' lumber **</t>
  </si>
  <si>
    <t>** 2x8x8' lumber **</t>
  </si>
  <si>
    <t>** 2x6x+20' lumber **</t>
  </si>
  <si>
    <t>** 2x6x20' lumber **</t>
  </si>
  <si>
    <t>** 2x6x18' lumber **</t>
  </si>
  <si>
    <t>** 2x6x16' lumber **</t>
  </si>
  <si>
    <t>** 2x6x14' lumber **</t>
  </si>
  <si>
    <t>** 2x6x12' lumber **</t>
  </si>
  <si>
    <t>** 2x6x10' lumber **</t>
  </si>
  <si>
    <t>** 2x6x8' lumber **</t>
  </si>
  <si>
    <t>** 2x4x+20' lumber **</t>
  </si>
  <si>
    <t>** 2x4x20' lumber **</t>
  </si>
  <si>
    <t>** 2x4x18' lumber **</t>
  </si>
  <si>
    <t>** 2x4x16' lumber **</t>
  </si>
  <si>
    <t>** 2x4x14' lumber **</t>
  </si>
  <si>
    <t>** 2x4x12' lumber **</t>
  </si>
  <si>
    <t>** 2x4x10' lumber **</t>
  </si>
  <si>
    <t>** 2x4x8' lumber **</t>
  </si>
  <si>
    <t>Raised wood platform</t>
  </si>
  <si>
    <t>* Wood stud partitions *</t>
  </si>
  <si>
    <t>* Wood framing area *</t>
  </si>
  <si>
    <t>* Wood roof area *</t>
  </si>
  <si>
    <t>* Wood stud partition length *</t>
  </si>
  <si>
    <t>* Wood joist area *</t>
  </si>
  <si>
    <t>Framing @ soffit</t>
  </si>
  <si>
    <t>Framing @ furr down</t>
  </si>
  <si>
    <t>Wood furring</t>
  </si>
  <si>
    <t>Chase wall framing</t>
  </si>
  <si>
    <t>Wood stud partition</t>
  </si>
  <si>
    <t>Wood stud bracing</t>
  </si>
  <si>
    <t>Wood stud framing</t>
  </si>
  <si>
    <t>6" wood stud framing</t>
  </si>
  <si>
    <t>4" wood stud framing</t>
  </si>
  <si>
    <t>Wood frame building</t>
  </si>
  <si>
    <t>Wood frame @ mansard</t>
  </si>
  <si>
    <t>Truss joist</t>
  </si>
  <si>
    <t>Wood trusses</t>
  </si>
  <si>
    <t>Wood rafters</t>
  </si>
  <si>
    <t>Wood joist</t>
  </si>
  <si>
    <t>Wood dock bumper</t>
  </si>
  <si>
    <t>Grounds on wood 1x3</t>
  </si>
  <si>
    <t>Miscellaneous roof blocking</t>
  </si>
  <si>
    <t>Misc wd block @ wd frm const</t>
  </si>
  <si>
    <t>Studs and plates wd frm const</t>
  </si>
  <si>
    <t>Misc wood blocking @ partition</t>
  </si>
  <si>
    <t>Studs and plates @ partitions</t>
  </si>
  <si>
    <t>Bridging</t>
  </si>
  <si>
    <t>Joist</t>
  </si>
  <si>
    <t>Nails and rough hardware</t>
  </si>
  <si>
    <t>Flat truss over 60 ft</t>
  </si>
  <si>
    <t>Flat truss 40-60 ft</t>
  </si>
  <si>
    <t>Flat truss 36-40 ft</t>
  </si>
  <si>
    <t>Flat truss 32-36 ft</t>
  </si>
  <si>
    <t>Flat truss 24-32 ft</t>
  </si>
  <si>
    <t>Flat truss to 24 ft</t>
  </si>
  <si>
    <t>Truss 6/12 pitch over 60ft</t>
  </si>
  <si>
    <t>Truss 6/12 pitch 40-60 ft</t>
  </si>
  <si>
    <t>Truss 6/12 pitch 36-40 ft</t>
  </si>
  <si>
    <t>Truss 6/12 pitch 32-36 ft</t>
  </si>
  <si>
    <t>Truss 6/12 pitch 24-32 ft</t>
  </si>
  <si>
    <t>Truss 6/12 pitch to 24 ft</t>
  </si>
  <si>
    <t>Truss 5/12 pitch over 60ft</t>
  </si>
  <si>
    <t>Truss 5/12 pitch 40-60 ft</t>
  </si>
  <si>
    <t>Truss 5/12 pitch 36-40 ft</t>
  </si>
  <si>
    <t>Truss 5/12 pitch 32-36 ft</t>
  </si>
  <si>
    <t>Truss 5/12 pitch 24-32 ft</t>
  </si>
  <si>
    <t>Truss 5/12 pitch to 24 ft</t>
  </si>
  <si>
    <t>Truss 4/12 pitch over 60ft</t>
  </si>
  <si>
    <t>Truss 4/12 pitch 40-60 ft</t>
  </si>
  <si>
    <t>Truss 4/12 pitch 36-40 ft</t>
  </si>
  <si>
    <t>Truss 4/12 pitch 32-36 ft</t>
  </si>
  <si>
    <t>Truss 4/12 pitch 24-32 ft</t>
  </si>
  <si>
    <t>Truss 4/12 pitch to 24 ft</t>
  </si>
  <si>
    <t>Truss 3/12 pitch over 60ft</t>
  </si>
  <si>
    <t>Truss 3/12 pitch 40-60 ft</t>
  </si>
  <si>
    <t>Truss 3/12 pitch 36-40 ft</t>
  </si>
  <si>
    <t>Truss 3/12 pitch 32-36 ft</t>
  </si>
  <si>
    <t>Truss 3/12 pitch 24-32 ft</t>
  </si>
  <si>
    <t>Truss 3/12 pitch to 24 ft</t>
  </si>
  <si>
    <t>2x12x   joist, redwood</t>
  </si>
  <si>
    <t>2x12x20 joist, redwood</t>
  </si>
  <si>
    <t>2x12x18 joist, redwood</t>
  </si>
  <si>
    <t>2x12x16 joist, redwood</t>
  </si>
  <si>
    <t>2x12x14 joist, redwood</t>
  </si>
  <si>
    <t>2x12x12 joist, redwood</t>
  </si>
  <si>
    <t>2x12x10 joist, redwood</t>
  </si>
  <si>
    <t>2x12x8  joist, redwood</t>
  </si>
  <si>
    <t>2x10x   joist, redwood</t>
  </si>
  <si>
    <t>2x10x20 joist, redwood</t>
  </si>
  <si>
    <t>2x10x18 joist, redwood</t>
  </si>
  <si>
    <t>2x10x16 joist, redwood</t>
  </si>
  <si>
    <t>2x10x14 joist, redwood</t>
  </si>
  <si>
    <t>2x10x12 joist, redwood</t>
  </si>
  <si>
    <t>2x10x10 joist, redwood</t>
  </si>
  <si>
    <t>2x10x8  joist, redwood</t>
  </si>
  <si>
    <t>2x8x   joist, redwood</t>
  </si>
  <si>
    <t>2x8x20 joist, redwood</t>
  </si>
  <si>
    <t>2x8x18 joist, redwood</t>
  </si>
  <si>
    <t>2x8x16 joist, redwood</t>
  </si>
  <si>
    <t>2x8x14 joist, redwood</t>
  </si>
  <si>
    <t>2x8x12 joist, redwood</t>
  </si>
  <si>
    <t>2x8x10 joist, redwood</t>
  </si>
  <si>
    <t>2x8x8  joist, redwood</t>
  </si>
  <si>
    <t>2x6x   joist, redwood</t>
  </si>
  <si>
    <t>2x6x20 joist, redwood</t>
  </si>
  <si>
    <t>2x6x18 joist, redwood</t>
  </si>
  <si>
    <t>2x6x16 joist, redwood</t>
  </si>
  <si>
    <t>2x6x14 joist, redwood</t>
  </si>
  <si>
    <t>2x6x12 joist, redwood</t>
  </si>
  <si>
    <t>2x6x10 joist, redwood</t>
  </si>
  <si>
    <t>2x6x8  joist, redwood</t>
  </si>
  <si>
    <t>2x4x   joist, redwood</t>
  </si>
  <si>
    <t>2x4x20 joist, redwood</t>
  </si>
  <si>
    <t>2x4x18 joist, redwood</t>
  </si>
  <si>
    <t>2x4x16 joist, redwood</t>
  </si>
  <si>
    <t>2x4x14 joist, redwood</t>
  </si>
  <si>
    <t>2x4x12 joist, redwood</t>
  </si>
  <si>
    <t>2x4x10 joist, redwood</t>
  </si>
  <si>
    <t>2x4x8  joist, redwood</t>
  </si>
  <si>
    <t>2x12x   beam, redwood</t>
  </si>
  <si>
    <t>2x12x20 beam, redwood</t>
  </si>
  <si>
    <t>2x12x18 beam, redwood</t>
  </si>
  <si>
    <t>2x12x16 beam, redwood</t>
  </si>
  <si>
    <t>2x12x14 beam, redwood</t>
  </si>
  <si>
    <t>2x12x12 beam, redwood</t>
  </si>
  <si>
    <t>2x12x10 beam, redwood</t>
  </si>
  <si>
    <t>2x12x8  beam, redwood</t>
  </si>
  <si>
    <t>2x10x   beam, redwood</t>
  </si>
  <si>
    <t>2x10x20 beam, redwood</t>
  </si>
  <si>
    <t>2x10x18 beam, redwood</t>
  </si>
  <si>
    <t>2x10x16 beam, redwood</t>
  </si>
  <si>
    <t>2x10x14 beam, redwood</t>
  </si>
  <si>
    <t>2x10x12 beam, redwood</t>
  </si>
  <si>
    <t>2x10x10 beam, redwood</t>
  </si>
  <si>
    <t>2x10x8  beam, redwood</t>
  </si>
  <si>
    <t>2x8x   beam, redwood</t>
  </si>
  <si>
    <t>2x8x20 beam, redwood</t>
  </si>
  <si>
    <t>2x8x18 beam, redwood</t>
  </si>
  <si>
    <t>2x8x16 beam, redwood</t>
  </si>
  <si>
    <t>2x8x14 beam, redwood</t>
  </si>
  <si>
    <t>2x8x12 beam, redwood</t>
  </si>
  <si>
    <t>2x8x10 beam, redwood</t>
  </si>
  <si>
    <t>2x8x8  beam, redwood</t>
  </si>
  <si>
    <t>2x6x   beam, redwood</t>
  </si>
  <si>
    <t>2x6x20 beam, redwood</t>
  </si>
  <si>
    <t>2x6x18 beam, redwood</t>
  </si>
  <si>
    <t>2x6x16 beam, redwood</t>
  </si>
  <si>
    <t>2x6x14 beam, redwood</t>
  </si>
  <si>
    <t>2x6x12 beam, redwood</t>
  </si>
  <si>
    <t>2x6x10 beam, redwood</t>
  </si>
  <si>
    <t>2x6x8  beam, redwood</t>
  </si>
  <si>
    <t>2x12x   joist,cedar</t>
  </si>
  <si>
    <t>2x12x20 joist,cedar</t>
  </si>
  <si>
    <t>2x12x18 joist,cedar</t>
  </si>
  <si>
    <t>2x12x16 joist,cedar</t>
  </si>
  <si>
    <t>2x12x14 joist,cedar</t>
  </si>
  <si>
    <t>2x12x12 joist,cedar</t>
  </si>
  <si>
    <t>2x12x10 joist,cedar</t>
  </si>
  <si>
    <t>2x12x8  joist,cedar</t>
  </si>
  <si>
    <t>2x10x   joist,cedar</t>
  </si>
  <si>
    <t>2x10x20 joist,cedar</t>
  </si>
  <si>
    <t>2x10x18 joist,cedar</t>
  </si>
  <si>
    <t>2x10x16 joist,cedar</t>
  </si>
  <si>
    <t>2x10x14 joist,cedar</t>
  </si>
  <si>
    <t>2x10x12 joist,cedar</t>
  </si>
  <si>
    <t>2x10x10 joist,cedar</t>
  </si>
  <si>
    <t>2x10x8  joist,cedar</t>
  </si>
  <si>
    <t>2x8x   joist,cedar</t>
  </si>
  <si>
    <t>2x8x20 joist,cedar</t>
  </si>
  <si>
    <t>2x8x18 joist,cedar</t>
  </si>
  <si>
    <t>2x8x16 joist,cedar</t>
  </si>
  <si>
    <t>2x8x14 joist,cedar</t>
  </si>
  <si>
    <t>2x8x12 joist,cedar</t>
  </si>
  <si>
    <t>2x8x10 joist,cedar</t>
  </si>
  <si>
    <t>2x8x8  joist,cedar</t>
  </si>
  <si>
    <t>2x6x   joist,cedar</t>
  </si>
  <si>
    <t>2x6x20 joist,cedar</t>
  </si>
  <si>
    <t>2x6x18 joist,cedar</t>
  </si>
  <si>
    <t>2x6x16 joist,cedar</t>
  </si>
  <si>
    <t>2x6x14 joist,cedar</t>
  </si>
  <si>
    <t>2x6x12 joist,cedar</t>
  </si>
  <si>
    <t>2x6x10 joist,cedar</t>
  </si>
  <si>
    <t>2x6x8  joist,cedar</t>
  </si>
  <si>
    <t>2x4x   joist,cedar</t>
  </si>
  <si>
    <t>2x4x20 joist,cedar</t>
  </si>
  <si>
    <t>2x4x18 joist,cedar</t>
  </si>
  <si>
    <t>2x4x16 joist,cedar</t>
  </si>
  <si>
    <t>2x4x14 joist,cedar</t>
  </si>
  <si>
    <t>2x4x12 joist,cedar</t>
  </si>
  <si>
    <t>2x4x10 joist,cedar</t>
  </si>
  <si>
    <t>2x4x8  joist,cedar</t>
  </si>
  <si>
    <t>2x12x   beam, cedar</t>
  </si>
  <si>
    <t>2x12x20 beam, cedar</t>
  </si>
  <si>
    <t>2x12x18 beam, cedar</t>
  </si>
  <si>
    <t>2x12x16 beam, cedar</t>
  </si>
  <si>
    <t>2x12x14 beam, cedar</t>
  </si>
  <si>
    <t>2x12x12 beam, cedar</t>
  </si>
  <si>
    <t>2x12x10 beam, cedar</t>
  </si>
  <si>
    <t>2x12x8  beam, cedar</t>
  </si>
  <si>
    <t>2x10x   beam, cedar</t>
  </si>
  <si>
    <t>2x10x20 beam, cedar</t>
  </si>
  <si>
    <t>2x10x18 beam, cedar</t>
  </si>
  <si>
    <t>2x10x16 beam, cedar</t>
  </si>
  <si>
    <t>2x10x14 beam, cedar</t>
  </si>
  <si>
    <t>2x10x12 beam, cedar</t>
  </si>
  <si>
    <t>2x10x10 beam, cedar</t>
  </si>
  <si>
    <t>2x10x8  beam, cedar</t>
  </si>
  <si>
    <t>2x8x   beam, cedar</t>
  </si>
  <si>
    <t>2x8x20 beam, cedar</t>
  </si>
  <si>
    <t>2x8x18 beam, cedar</t>
  </si>
  <si>
    <t>2x8x16 beam, cedar</t>
  </si>
  <si>
    <t>2x8x14 beam, cedar</t>
  </si>
  <si>
    <t>2x8x12 beam, cedar</t>
  </si>
  <si>
    <t>2x8x10 beam, cedar</t>
  </si>
  <si>
    <t>2x8x8  beam, cedar</t>
  </si>
  <si>
    <t>2x6x   beam, cedar</t>
  </si>
  <si>
    <t>2x6x20 beam, cedar</t>
  </si>
  <si>
    <t>2x6x18 beam, cedar</t>
  </si>
  <si>
    <t>2x6x16 beam, cedar</t>
  </si>
  <si>
    <t>2x6x14 beam, cedar</t>
  </si>
  <si>
    <t>2x6x12 beam, cedar</t>
  </si>
  <si>
    <t>2x6x10 beam, cedar</t>
  </si>
  <si>
    <t>2x6x8  beam, cedar</t>
  </si>
  <si>
    <t>2x12x   joist, fire treated</t>
  </si>
  <si>
    <t>2x12x20 joist, fire treated</t>
  </si>
  <si>
    <t>2x12x18 joist, fire treated</t>
  </si>
  <si>
    <t>2x12x16 joist, fire treated</t>
  </si>
  <si>
    <t>2x12x14 joist, fire treated</t>
  </si>
  <si>
    <t>2x12x12 joist, fire treated</t>
  </si>
  <si>
    <t>2x12x10 joist, fire treated</t>
  </si>
  <si>
    <t>2x12x8  joist, fire treated</t>
  </si>
  <si>
    <t>2x10x   joist, fire treated</t>
  </si>
  <si>
    <t>2x10x20 joist, fire treated</t>
  </si>
  <si>
    <t>2x10x18 joist, fire treated</t>
  </si>
  <si>
    <t>2x10x16 joist, fire treated</t>
  </si>
  <si>
    <t>2x10x14 joist, fire treated</t>
  </si>
  <si>
    <t>2x10x12 joist, fire treated</t>
  </si>
  <si>
    <t>2x10x10 joist, fire treated</t>
  </si>
  <si>
    <t>2x10x8  joist, fire treated</t>
  </si>
  <si>
    <t>2x8x   joist, fire treated</t>
  </si>
  <si>
    <t>2x8x20 joist, fire treated</t>
  </si>
  <si>
    <t>2x8x18 joist, fire treated</t>
  </si>
  <si>
    <t>2x8x16 joist, fire treated</t>
  </si>
  <si>
    <t>2x8x14 joist, fire treated</t>
  </si>
  <si>
    <t>2x8x12 joist, fire treated</t>
  </si>
  <si>
    <t>2x8x10 joist, fire treated</t>
  </si>
  <si>
    <t>2x8x8  joist, fire treated</t>
  </si>
  <si>
    <t>2x6x   joist, fire treated</t>
  </si>
  <si>
    <t>2x6x20 joist, fire treated</t>
  </si>
  <si>
    <t>2x6x18 joist, fire treated</t>
  </si>
  <si>
    <t>2x6x16 joist, fire treated</t>
  </si>
  <si>
    <t>2x6x14 joist, fire treated</t>
  </si>
  <si>
    <t>2x6x12 joist, fire treated</t>
  </si>
  <si>
    <t>2x6x10 joist, fire treated</t>
  </si>
  <si>
    <t>2x6x8  joist, fire treated</t>
  </si>
  <si>
    <t>2x4x   joist, fire treated</t>
  </si>
  <si>
    <t>2x4x20 joist, fire treated</t>
  </si>
  <si>
    <t>2x4x18 joist, fire treated</t>
  </si>
  <si>
    <t>2x4x16 joist, fire treated</t>
  </si>
  <si>
    <t>2x4x14 joist, fire treated</t>
  </si>
  <si>
    <t>2x4x12 joist, fire treated</t>
  </si>
  <si>
    <t>2x4x10 joist, fire treated</t>
  </si>
  <si>
    <t>2x4x8  joist, fire treated</t>
  </si>
  <si>
    <t>2x12x   beam, fire treated</t>
  </si>
  <si>
    <t>2x12x20 beam, fire treated</t>
  </si>
  <si>
    <t>2x12x18 beam, fire treated</t>
  </si>
  <si>
    <t>2x12x16 beam, fire treated</t>
  </si>
  <si>
    <t>2x12x14 beam, fire treated</t>
  </si>
  <si>
    <t>2x12x12 beam, fire treated</t>
  </si>
  <si>
    <t>2x12x10 beam, fire treated</t>
  </si>
  <si>
    <t>2x12x8  beam, fire treated</t>
  </si>
  <si>
    <t>2x10x   beam, fire treated</t>
  </si>
  <si>
    <t>2x10x20 beam, fire treated</t>
  </si>
  <si>
    <t>2x10x18 beam, fire treated</t>
  </si>
  <si>
    <t>2x10x16 beam, fire treated</t>
  </si>
  <si>
    <t>2x10x14 beam, fire treated</t>
  </si>
  <si>
    <t>2x10x12 beam, fire treated</t>
  </si>
  <si>
    <t>2x10x10 beam, fire treated</t>
  </si>
  <si>
    <t>2x10x8  beam, fire treated</t>
  </si>
  <si>
    <t>2x8x   beam, fire treated</t>
  </si>
  <si>
    <t>2x8x20 beam, fire treated</t>
  </si>
  <si>
    <t>2x8x18 beam, fire treated</t>
  </si>
  <si>
    <t>2x8x16 beam, fire treated</t>
  </si>
  <si>
    <t>2x8x14 beam, fire treated</t>
  </si>
  <si>
    <t>2x8x12 beam, fire treated</t>
  </si>
  <si>
    <t>2x8x10 beam, fire treated</t>
  </si>
  <si>
    <t>2x8x8  beam, fire treated</t>
  </si>
  <si>
    <t>2x6x   beam, fire treated</t>
  </si>
  <si>
    <t>2x6x20 beam, fire treated</t>
  </si>
  <si>
    <t>2x6x18 beam, fire treated</t>
  </si>
  <si>
    <t>2x6x16 beam, fire treated</t>
  </si>
  <si>
    <t>2x6x14 beam, fire treated</t>
  </si>
  <si>
    <t>2x6x12 beam, fire treated</t>
  </si>
  <si>
    <t>2x6x10  beam, fire treated</t>
  </si>
  <si>
    <t>2x6x8  beam, fire treated</t>
  </si>
  <si>
    <t>2x12x   joist, wolmanized</t>
  </si>
  <si>
    <t>2x12x20 joist, wolmanized</t>
  </si>
  <si>
    <t>2x12x18 joist, wolmanized</t>
  </si>
  <si>
    <t>2x12x16 joist, wolmanized</t>
  </si>
  <si>
    <t>2x12x14 joist, wolmanized</t>
  </si>
  <si>
    <t>2x12x12 joist, wolmanized</t>
  </si>
  <si>
    <t>2x12x10 joist, wolmanized</t>
  </si>
  <si>
    <t>2x12x8  joist, wolmanized</t>
  </si>
  <si>
    <t>2x10x   joist, wolmanized</t>
  </si>
  <si>
    <t>2x10x20 joist, wolmanized</t>
  </si>
  <si>
    <t>2x10x18 joist, wolmanized</t>
  </si>
  <si>
    <t>2x10x16 joist, wolmanized</t>
  </si>
  <si>
    <t>2x10x14 joist, wolmanized</t>
  </si>
  <si>
    <t>2x10x12 joist, wolmanized</t>
  </si>
  <si>
    <t>2x10x10 joist, wolmanized</t>
  </si>
  <si>
    <t>2x10x8  joist, wolmanized</t>
  </si>
  <si>
    <t>2x8x   joist, wolmanized</t>
  </si>
  <si>
    <t>2x8x20 joist, wolmanized</t>
  </si>
  <si>
    <t>2x8x18 joist, wolmanized</t>
  </si>
  <si>
    <t>2x8x16 joist, wolmanized</t>
  </si>
  <si>
    <t>2x8x14 joist, wolmanized</t>
  </si>
  <si>
    <t>2x8x12 joist, wolmanized</t>
  </si>
  <si>
    <t>2x8x10 joist, wolmanized</t>
  </si>
  <si>
    <t>2x8x8  joist, wolmanized</t>
  </si>
  <si>
    <t>2x6x   joist, wolmanized</t>
  </si>
  <si>
    <t>2x6x20 joist, wolmanized</t>
  </si>
  <si>
    <t>2x6x18 joist, wolmanized</t>
  </si>
  <si>
    <t>2x6x16 joist, wolmanized</t>
  </si>
  <si>
    <t>2x6x14 joist, wolmanized</t>
  </si>
  <si>
    <t>2x6x12 joist, wolmanized</t>
  </si>
  <si>
    <t>2x6x10 joist, wolmanized</t>
  </si>
  <si>
    <t>2x6x8  joist, wolmanized</t>
  </si>
  <si>
    <t>2x4x   joist, wolmanized</t>
  </si>
  <si>
    <t>2x4x20 joist, wolmanized</t>
  </si>
  <si>
    <t>2x4x18 joist, wolmanized</t>
  </si>
  <si>
    <t>2x4x16 joist, wolmanized</t>
  </si>
  <si>
    <t>2x4x14 joist, wolmanized</t>
  </si>
  <si>
    <t>2x4x12 joist, wolmanized</t>
  </si>
  <si>
    <t>2x4x10 joist, wolmanized</t>
  </si>
  <si>
    <t>2x4x8  joist, wolmanized</t>
  </si>
  <si>
    <t>2x12x   beam, wolmanized</t>
  </si>
  <si>
    <t>2x12x20 beam, wolmanized</t>
  </si>
  <si>
    <t>2x12x18 beam, wolmanized</t>
  </si>
  <si>
    <t>2x12x16 beam, wolmanized</t>
  </si>
  <si>
    <t>2x12x14 beam, wolmanized</t>
  </si>
  <si>
    <t>2x12x12 beam, wolmanized</t>
  </si>
  <si>
    <t>2x12x10 beam, wolmanized</t>
  </si>
  <si>
    <t>2x12x8  beam, wolmanized</t>
  </si>
  <si>
    <t>2x10x   beam, wolmanized</t>
  </si>
  <si>
    <t>2x10x20 beam, wolmanized</t>
  </si>
  <si>
    <t>2x10x18 beam, wolmanized</t>
  </si>
  <si>
    <t>2x10x16 beam, wolmanized</t>
  </si>
  <si>
    <t>2x10x14 beam, wolmanized</t>
  </si>
  <si>
    <t>2x10x12 beam, wolmanized</t>
  </si>
  <si>
    <t>2x10x10 beam, wolmanized</t>
  </si>
  <si>
    <t>2x10x8  beam, wolmanized</t>
  </si>
  <si>
    <t>2x8x   beam, wolmanized</t>
  </si>
  <si>
    <t>2x8x20 beam, wolmanized</t>
  </si>
  <si>
    <t>2x8x18 beam, wolmanized</t>
  </si>
  <si>
    <t>2x8x16 beam, wolmanized</t>
  </si>
  <si>
    <t>2x8x14 beam, wolmanized</t>
  </si>
  <si>
    <t>2x8x12 beam, wolmanized</t>
  </si>
  <si>
    <t>2x8x10 beam, wolmanized</t>
  </si>
  <si>
    <t>2x8x8  beam, wolmanized</t>
  </si>
  <si>
    <t>2x6x   beam, wolmanized</t>
  </si>
  <si>
    <t>2x6x20 beam, wolmanized</t>
  </si>
  <si>
    <t>2x6x18 beam, wolmanized</t>
  </si>
  <si>
    <t>2x6x16 beam, wolmanized</t>
  </si>
  <si>
    <t>2x6x14 beam, wolmanized</t>
  </si>
  <si>
    <t>2x6x12 beam, wolmanized</t>
  </si>
  <si>
    <t>2x6x10 beam, wolmanized</t>
  </si>
  <si>
    <t>2x6x8  beam, wolmanized</t>
  </si>
  <si>
    <t>2x12x   joist</t>
  </si>
  <si>
    <t>2x12x20 joist</t>
  </si>
  <si>
    <t>2x12x18 joist</t>
  </si>
  <si>
    <t>2x12x16 joist</t>
  </si>
  <si>
    <t>2x12x14 joist</t>
  </si>
  <si>
    <t>2x12x12 joist</t>
  </si>
  <si>
    <t>2x12x10 joist</t>
  </si>
  <si>
    <t>2x12x8  joist</t>
  </si>
  <si>
    <t>2x10x   joist</t>
  </si>
  <si>
    <t>2x10x20 joist</t>
  </si>
  <si>
    <t>2x10x18 joist</t>
  </si>
  <si>
    <t>2x10x16 joist</t>
  </si>
  <si>
    <t>2x10x14 joist</t>
  </si>
  <si>
    <t>2x10x12 joist</t>
  </si>
  <si>
    <t>2x10x10 joist</t>
  </si>
  <si>
    <t>2x10x8  joist</t>
  </si>
  <si>
    <t>2x8x   joist</t>
  </si>
  <si>
    <t>2x8x20 joist</t>
  </si>
  <si>
    <t>2x8x18 joist</t>
  </si>
  <si>
    <t>2x8x16 joist</t>
  </si>
  <si>
    <t>2x8x14 joist</t>
  </si>
  <si>
    <t>2x8x12 joist</t>
  </si>
  <si>
    <t>2x8x10 joist</t>
  </si>
  <si>
    <t>2x8x8  joist</t>
  </si>
  <si>
    <t>2x6x   joist</t>
  </si>
  <si>
    <t>2x6x20 joist</t>
  </si>
  <si>
    <t>2x6x18 joist</t>
  </si>
  <si>
    <t>2x6x16 joist</t>
  </si>
  <si>
    <t>2x6x14 joist</t>
  </si>
  <si>
    <t>2x6x12 joist</t>
  </si>
  <si>
    <t>2x6x10 joist</t>
  </si>
  <si>
    <t>2x6x8  joist</t>
  </si>
  <si>
    <t>2x4x   joist</t>
  </si>
  <si>
    <t>2x4x20 joist</t>
  </si>
  <si>
    <t>2x4x18 joist</t>
  </si>
  <si>
    <t>2x4x16 joist</t>
  </si>
  <si>
    <t>2x4x14 joist</t>
  </si>
  <si>
    <t>2x4x12 joist</t>
  </si>
  <si>
    <t>2x4x10 joist</t>
  </si>
  <si>
    <t>2x4x8  joist</t>
  </si>
  <si>
    <t>2x12x   beam</t>
  </si>
  <si>
    <t>2x12x20 beam</t>
  </si>
  <si>
    <t>2x12x18 beam</t>
  </si>
  <si>
    <t>2x12x16 beam</t>
  </si>
  <si>
    <t>2x12x14 beam</t>
  </si>
  <si>
    <t>2x12x12 beam</t>
  </si>
  <si>
    <t>2x12x10 beam</t>
  </si>
  <si>
    <t>2x12x8  beam</t>
  </si>
  <si>
    <t>2x10x   beam</t>
  </si>
  <si>
    <t>2x10x20 beam</t>
  </si>
  <si>
    <t>2x10x18 beam</t>
  </si>
  <si>
    <t>2x10x16 beam</t>
  </si>
  <si>
    <t>2x10x14 beam</t>
  </si>
  <si>
    <t>2x10x12 beam</t>
  </si>
  <si>
    <t>2x10x10 beam</t>
  </si>
  <si>
    <t>2x10x8  beam</t>
  </si>
  <si>
    <t>2x8x   beam</t>
  </si>
  <si>
    <t>2x8x20 beam</t>
  </si>
  <si>
    <t>2x8x18 beam</t>
  </si>
  <si>
    <t>2x8x16 beam</t>
  </si>
  <si>
    <t>2x8x14 beam</t>
  </si>
  <si>
    <t>2x8x12 beam</t>
  </si>
  <si>
    <t>2x8x10 beam</t>
  </si>
  <si>
    <t>2x8x8  beam</t>
  </si>
  <si>
    <t>2x6x   beam</t>
  </si>
  <si>
    <t>2x6x20 beam</t>
  </si>
  <si>
    <t>2x6x18 beam</t>
  </si>
  <si>
    <t>2x6x16 beam</t>
  </si>
  <si>
    <t>2x6x14 beam</t>
  </si>
  <si>
    <t>2x6x12 beam</t>
  </si>
  <si>
    <t>2x6x10 beam</t>
  </si>
  <si>
    <t>2x6x8  beam</t>
  </si>
  <si>
    <t>Miscellaneous furring strips</t>
  </si>
  <si>
    <t>2x8x   stud fire treated</t>
  </si>
  <si>
    <t>2x8x20 stud fire treated</t>
  </si>
  <si>
    <t>2x8x18 stud fire treated</t>
  </si>
  <si>
    <t>2x8x16 stud fire treated</t>
  </si>
  <si>
    <t>2x8x14 stud fire treated</t>
  </si>
  <si>
    <t>2x8x12 stud fire treated</t>
  </si>
  <si>
    <t>2x8x10 stud fire treated</t>
  </si>
  <si>
    <t>2x8x104-5/8" stud fire treated</t>
  </si>
  <si>
    <t>2x8x92-5/8" stud fire treated</t>
  </si>
  <si>
    <t>2x6x   stud fire treated</t>
  </si>
  <si>
    <t>2x6x20 stud fire treated</t>
  </si>
  <si>
    <t>2x6x18 stud fire treated</t>
  </si>
  <si>
    <t>2x6x16 stud fire treated</t>
  </si>
  <si>
    <t>2x6x14 stud fire treated</t>
  </si>
  <si>
    <t>2x6x12 stud fire treated</t>
  </si>
  <si>
    <t>2x6x10 stud fire treated</t>
  </si>
  <si>
    <t>2x6x104-5/8" stud fire treated</t>
  </si>
  <si>
    <t>2x6x92-5/8" stud fire treated</t>
  </si>
  <si>
    <t>2x4x   stud fire treated</t>
  </si>
  <si>
    <t>2x4x20 stud fire treated</t>
  </si>
  <si>
    <t>2x4x18 stud fire treated</t>
  </si>
  <si>
    <t>2x4x16 stud fire treated</t>
  </si>
  <si>
    <t>2x4x14 stud fire treated</t>
  </si>
  <si>
    <t>2x4x12 stud fire treated</t>
  </si>
  <si>
    <t>2x4x10 stud fire treated</t>
  </si>
  <si>
    <t>2x4x104-5/8" stud fire treated</t>
  </si>
  <si>
    <t>2x4x92-5/8" stud fire treated</t>
  </si>
  <si>
    <t>2x2x   stud fire treated</t>
  </si>
  <si>
    <t>2x2x20 stud fire treated</t>
  </si>
  <si>
    <t>2x2x18 stud fire treated</t>
  </si>
  <si>
    <t>2x2x16 stud fire treated</t>
  </si>
  <si>
    <t>2x2x14 stud fire treated</t>
  </si>
  <si>
    <t>2x2x12 stud fire treated</t>
  </si>
  <si>
    <t>2x2x10 stud fire treated</t>
  </si>
  <si>
    <t>2x2x104-5/8" stud fire treated</t>
  </si>
  <si>
    <t>2x2x92-5/8" stud fire treated</t>
  </si>
  <si>
    <t>2x8x   stud wolmanized</t>
  </si>
  <si>
    <t>2x8x20 stud wolmanized</t>
  </si>
  <si>
    <t>2x8x18 stud wolmanized</t>
  </si>
  <si>
    <t>2x8x16 stud wolmanized</t>
  </si>
  <si>
    <t>2x8x14 stud wolmanized</t>
  </si>
  <si>
    <t>2x8x12 stud wolmanized</t>
  </si>
  <si>
    <t>2x8x10 stud wolmanized</t>
  </si>
  <si>
    <t>2x8x104-5/8" stud wolmanized</t>
  </si>
  <si>
    <t>2x8x92-5/8" stud wolmanized</t>
  </si>
  <si>
    <t>2x6x   stud wolmanized</t>
  </si>
  <si>
    <t>2x6x20 stud wolmanized</t>
  </si>
  <si>
    <t>2x6x18 stud wolmanized</t>
  </si>
  <si>
    <t>2x6x16 stud wolmanized</t>
  </si>
  <si>
    <t>2x6x14 stud wolmanized</t>
  </si>
  <si>
    <t>2x6x12 stud wolmanized</t>
  </si>
  <si>
    <t>2x6x10 stud wolmanized</t>
  </si>
  <si>
    <t>2x6x104-5/8" stud wolmanized</t>
  </si>
  <si>
    <t>2x6x92-5/8" stud wolmanized</t>
  </si>
  <si>
    <t>2x4x   stud wolmanized</t>
  </si>
  <si>
    <t>2x4x20 stud wolmanized</t>
  </si>
  <si>
    <t>2x4x18 stud wolmanized</t>
  </si>
  <si>
    <t>2x4x16 stud wolmanized</t>
  </si>
  <si>
    <t>2x4x14 stud wolmanized</t>
  </si>
  <si>
    <t>2x4x12 stud wolmanized</t>
  </si>
  <si>
    <t>2x4x10 stud wolmanized</t>
  </si>
  <si>
    <t>2x4x104-5/8" stud wolmanized</t>
  </si>
  <si>
    <t>2x4x92-5/8" stud wolmanized</t>
  </si>
  <si>
    <t>2x2x   stud wolmanized</t>
  </si>
  <si>
    <t>2x2x20 stud wolmanized</t>
  </si>
  <si>
    <t>2x2x18 stud wolmanized</t>
  </si>
  <si>
    <t>2x2x16 stud wolmanized</t>
  </si>
  <si>
    <t>2x2x14 stud wolmanized</t>
  </si>
  <si>
    <t>2x2x12 stud wolmanized</t>
  </si>
  <si>
    <t>2x2x10 stud wolmanized</t>
  </si>
  <si>
    <t>2x2x104-5/8" stud wolmanized</t>
  </si>
  <si>
    <t>2x2x92-5/8" stud wolmanized</t>
  </si>
  <si>
    <t>1x4x   stud fire treated</t>
  </si>
  <si>
    <t>1x4x20 stud fire treated</t>
  </si>
  <si>
    <t>1x4x18 stud fire treated</t>
  </si>
  <si>
    <t>1x4x16 stud fire treated</t>
  </si>
  <si>
    <t>1x4x14 stud fire treated</t>
  </si>
  <si>
    <t>1x4x12 stud fire treated</t>
  </si>
  <si>
    <t>1x4x10 stud fire treated</t>
  </si>
  <si>
    <t>1x4x104-5/8" stud fire treated</t>
  </si>
  <si>
    <t>1x4x92-5/8" stud fire treated</t>
  </si>
  <si>
    <t>1x3x   stud fire treated</t>
  </si>
  <si>
    <t>1x3x20 stud fire treated</t>
  </si>
  <si>
    <t>1x3x18 stud fire treated</t>
  </si>
  <si>
    <t>1x3x16 stud fire treated</t>
  </si>
  <si>
    <t>1x3x14 stud fire treated</t>
  </si>
  <si>
    <t>1x3x12 stud fire treated</t>
  </si>
  <si>
    <t>1x3x10 stud fire treated</t>
  </si>
  <si>
    <t>1x3x104-5/8" stud fire treated</t>
  </si>
  <si>
    <t>1x3x92-5/8" stud fire treated</t>
  </si>
  <si>
    <t>1x2x   stud fire treated</t>
  </si>
  <si>
    <t>1x2x20 stud fire treated</t>
  </si>
  <si>
    <t>1x2x18 stud fire treated</t>
  </si>
  <si>
    <t>1x2x16 stud fire treated</t>
  </si>
  <si>
    <t>1x2x14 stud fire treated</t>
  </si>
  <si>
    <t>1x2x12 stud fire treated</t>
  </si>
  <si>
    <t>1x2x10 stud fire treated</t>
  </si>
  <si>
    <t>1x2x104-5/8" stud fire treated</t>
  </si>
  <si>
    <t>1x2x92-5/8" stud fire treated</t>
  </si>
  <si>
    <t>1x4x   stud wolmanized</t>
  </si>
  <si>
    <t>1x4x20 stud wolmanized</t>
  </si>
  <si>
    <t>1x4x18 stud wolmanized</t>
  </si>
  <si>
    <t>1x4x16 stud wolmanized</t>
  </si>
  <si>
    <t>1x4x14 stud wolmanized</t>
  </si>
  <si>
    <t>1x4x12 stud wolmanized</t>
  </si>
  <si>
    <t>1x4x10 stud wolmanized</t>
  </si>
  <si>
    <t>1x4x104-5/8" stud wolmanized</t>
  </si>
  <si>
    <t>1x4x92-5/8" stud wolmanized</t>
  </si>
  <si>
    <t>1x3x   stud wolmanized</t>
  </si>
  <si>
    <t>1x3x20 stud wolmanized</t>
  </si>
  <si>
    <t>1x3x18 stud wolmanized</t>
  </si>
  <si>
    <t>1x3x16 stud wolmanized</t>
  </si>
  <si>
    <t>1x3x14 stud wolmanized</t>
  </si>
  <si>
    <t>1x3x12 stud wolmanized</t>
  </si>
  <si>
    <t>1x3x10 stud wolmanized</t>
  </si>
  <si>
    <t>1x3x104-5/8" stud wolmanized</t>
  </si>
  <si>
    <t>1x3x92-5/8" stud wolmanized</t>
  </si>
  <si>
    <t>1x2x   stud wolmanized</t>
  </si>
  <si>
    <t>1x2x20 stud wolmanized</t>
  </si>
  <si>
    <t>1x2x18 stud wolmanized</t>
  </si>
  <si>
    <t>1x2x16 stud wolmanized</t>
  </si>
  <si>
    <t>1x2x14 stud wolmanized</t>
  </si>
  <si>
    <t>1x2x12 stud wolmanized</t>
  </si>
  <si>
    <t>1x2x10 stud wolmanized</t>
  </si>
  <si>
    <t>1x2x104-5/8" stud wolmanized</t>
  </si>
  <si>
    <t>1x2x92-5/8" stud wolmanized</t>
  </si>
  <si>
    <t>1x4x   stud</t>
  </si>
  <si>
    <t>1x4x20 stud</t>
  </si>
  <si>
    <t>1x4x18 stud</t>
  </si>
  <si>
    <t>1x4x16 stud</t>
  </si>
  <si>
    <t>1x4x14 stud</t>
  </si>
  <si>
    <t>1x4x12 stud</t>
  </si>
  <si>
    <t>1x4x10 stud</t>
  </si>
  <si>
    <t>1x4x104-5/8" stud</t>
  </si>
  <si>
    <t>1x4x92-5/8" stud</t>
  </si>
  <si>
    <t>1x3x   stud</t>
  </si>
  <si>
    <t>1x3x20 stud</t>
  </si>
  <si>
    <t>1x3x18 stud</t>
  </si>
  <si>
    <t>1x3x16 stud</t>
  </si>
  <si>
    <t>1x3x14 stud</t>
  </si>
  <si>
    <t>1x3x12 stud</t>
  </si>
  <si>
    <t>1x3x10 stud</t>
  </si>
  <si>
    <t>1x3x104-5/8" stud</t>
  </si>
  <si>
    <t>1x3x92-5/8" stud</t>
  </si>
  <si>
    <t>1x2x   stud</t>
  </si>
  <si>
    <t>1x2x20 stud</t>
  </si>
  <si>
    <t>1x2x18 stud</t>
  </si>
  <si>
    <t>1x2x16 stud</t>
  </si>
  <si>
    <t>1x2x14 stud</t>
  </si>
  <si>
    <t>1x2x12 stud</t>
  </si>
  <si>
    <t>1x2x10 stud</t>
  </si>
  <si>
    <t>1x2x104-5/8" stud</t>
  </si>
  <si>
    <t>1x2x92-5/8" stud</t>
  </si>
  <si>
    <t>2x12x   rafter</t>
  </si>
  <si>
    <t>2x12x24 rafter</t>
  </si>
  <si>
    <t>2x12x22 rafter</t>
  </si>
  <si>
    <t>2x12x20 rafter</t>
  </si>
  <si>
    <t>2x12x18 rafter</t>
  </si>
  <si>
    <t>2x12x16 rafter</t>
  </si>
  <si>
    <t>2x12x14 rafter</t>
  </si>
  <si>
    <t>2x12x12 rafter</t>
  </si>
  <si>
    <t>2x12x10 rafter</t>
  </si>
  <si>
    <t>2x12x8  rafter</t>
  </si>
  <si>
    <t>2x10x   rafter</t>
  </si>
  <si>
    <t>2x10x24 rafter</t>
  </si>
  <si>
    <t>2x10x22 rafter</t>
  </si>
  <si>
    <t>2x10x20 rafter</t>
  </si>
  <si>
    <t>2x10x18 rafter</t>
  </si>
  <si>
    <t>2x10x16 rafter</t>
  </si>
  <si>
    <t>2x10x14 rafter</t>
  </si>
  <si>
    <t>2x10x12 rafter</t>
  </si>
  <si>
    <t>2x10x10 rafter</t>
  </si>
  <si>
    <t>2x10x8  rafter</t>
  </si>
  <si>
    <t>2x8x   rafter</t>
  </si>
  <si>
    <t>2x8x24 rafter</t>
  </si>
  <si>
    <t>2x8x22 rafter</t>
  </si>
  <si>
    <t>2x8x20 rafter</t>
  </si>
  <si>
    <t>2x8x18 rafter</t>
  </si>
  <si>
    <t>2x8x16 rafter</t>
  </si>
  <si>
    <t>2x8x14 rafter</t>
  </si>
  <si>
    <t>2x8x12 rafter</t>
  </si>
  <si>
    <t>2x8x10 rafter</t>
  </si>
  <si>
    <t>2x8x8  rafter</t>
  </si>
  <si>
    <t>2x6x   rafter</t>
  </si>
  <si>
    <t>2x6x24 rafter</t>
  </si>
  <si>
    <t>2x6x22 rafter</t>
  </si>
  <si>
    <t>2x6x20 rafter</t>
  </si>
  <si>
    <t>2x6x18 rafter</t>
  </si>
  <si>
    <t>2x6x16 rafter</t>
  </si>
  <si>
    <t>2x6x14 rafter</t>
  </si>
  <si>
    <t>2x6x12 rafter</t>
  </si>
  <si>
    <t>2x6x10 rafter</t>
  </si>
  <si>
    <t>2x6x8  rafter</t>
  </si>
  <si>
    <t>2x4x   rafter</t>
  </si>
  <si>
    <t>2x4x24 rafter</t>
  </si>
  <si>
    <t>2x4x22 rafter</t>
  </si>
  <si>
    <t>2x4x20 rafter</t>
  </si>
  <si>
    <t>2x4x18 rafter</t>
  </si>
  <si>
    <t>2x4x16 rafter</t>
  </si>
  <si>
    <t>2x4x14 rafter</t>
  </si>
  <si>
    <t>2x4x12 rafter</t>
  </si>
  <si>
    <t>2x4x10 rafter</t>
  </si>
  <si>
    <t>2x4x8  rafter</t>
  </si>
  <si>
    <t>2x8x  rafter</t>
  </si>
  <si>
    <t>2x6x  rafter</t>
  </si>
  <si>
    <t>2x4x  rafter</t>
  </si>
  <si>
    <t>2x12xRL blocking fire treated</t>
  </si>
  <si>
    <t>2x10XRL blocking fire treated</t>
  </si>
  <si>
    <t>2x8xRL blocking fire treated</t>
  </si>
  <si>
    <t>2x6xRL blocking fire treated</t>
  </si>
  <si>
    <t>2x4xRL blocking fire treated</t>
  </si>
  <si>
    <t>2x2xRL blocking fire treated</t>
  </si>
  <si>
    <t>1x8XRL blocking fire treated</t>
  </si>
  <si>
    <t>1x6xRL blocking fire treated</t>
  </si>
  <si>
    <t>1x4xRL blocking fire treated</t>
  </si>
  <si>
    <t>2x12xRL blocking</t>
  </si>
  <si>
    <t>2x10xRL blocking</t>
  </si>
  <si>
    <t>2x8xRL blocking</t>
  </si>
  <si>
    <t>2x6xRL blocking</t>
  </si>
  <si>
    <t>2x4xRL blocking</t>
  </si>
  <si>
    <t>2x12xRL header</t>
  </si>
  <si>
    <t>2x10xRL header</t>
  </si>
  <si>
    <t>2x8xRL header</t>
  </si>
  <si>
    <t>2x6xRL header</t>
  </si>
  <si>
    <t>2x8xRL plate fire treated</t>
  </si>
  <si>
    <t>2x6xRL plate fire treated</t>
  </si>
  <si>
    <t>2x4xRL plate fire treated</t>
  </si>
  <si>
    <t>2x2xRL plate fire treated</t>
  </si>
  <si>
    <t>2x8xRL plate wolmanized</t>
  </si>
  <si>
    <t>2x6xRL plate wolmanized</t>
  </si>
  <si>
    <t>2x4xRL plate wolmanized</t>
  </si>
  <si>
    <t>2x2xRL plate wolmanized</t>
  </si>
  <si>
    <t>2x8xRL plate</t>
  </si>
  <si>
    <t>2x6xRL plate</t>
  </si>
  <si>
    <t>2x4xRL plate</t>
  </si>
  <si>
    <t>2x2xRL plate</t>
  </si>
  <si>
    <t>1x4xRL plate fire treated</t>
  </si>
  <si>
    <t>1x3xRL plate fire treated</t>
  </si>
  <si>
    <t>1x2xRL plate fire treated</t>
  </si>
  <si>
    <t>1x4xRL plate wolmanized</t>
  </si>
  <si>
    <t>1x3xRL plate wolmanized</t>
  </si>
  <si>
    <t>1x2xRL plate wolmanized</t>
  </si>
  <si>
    <t>1x4RLl plate</t>
  </si>
  <si>
    <t>1x3xRL plate</t>
  </si>
  <si>
    <t>1x2xRL plate</t>
  </si>
  <si>
    <t>2x8x   stud</t>
  </si>
  <si>
    <t>2x8x20 stud</t>
  </si>
  <si>
    <t>2x8x18 stud</t>
  </si>
  <si>
    <t>2x8x16 stud</t>
  </si>
  <si>
    <t>2x8x14 stud</t>
  </si>
  <si>
    <t>2x8x12 stud</t>
  </si>
  <si>
    <t>2x8x10 stud</t>
  </si>
  <si>
    <t>2x8x8 stud</t>
  </si>
  <si>
    <t>2x6x   stud</t>
  </si>
  <si>
    <t>2x6x20 stud</t>
  </si>
  <si>
    <t>2x6x18 stud</t>
  </si>
  <si>
    <t>2x6x16 stud</t>
  </si>
  <si>
    <t>2x6x14 stud</t>
  </si>
  <si>
    <t>2x6x12 stud</t>
  </si>
  <si>
    <t>2x6x10 stud</t>
  </si>
  <si>
    <t>2x4x   stud</t>
  </si>
  <si>
    <t>2x4x20 stud</t>
  </si>
  <si>
    <t>2x4x18 stud</t>
  </si>
  <si>
    <t>2x4x16 stud</t>
  </si>
  <si>
    <t>2x4x14 stud</t>
  </si>
  <si>
    <t>2x4x12 stud</t>
  </si>
  <si>
    <t>2x4x10 stud</t>
  </si>
  <si>
    <t>2x2 blocking @ furrdown</t>
  </si>
  <si>
    <t>1x8xRL blocking</t>
  </si>
  <si>
    <t>1x6xRL blocking</t>
  </si>
  <si>
    <t>1x4xRL blocking</t>
  </si>
  <si>
    <t>2x2xRL blocking</t>
  </si>
  <si>
    <t>2x12x16 blocking</t>
  </si>
  <si>
    <t>2x10x16 blocking</t>
  </si>
  <si>
    <t>2x8x16 blocking</t>
  </si>
  <si>
    <t>2x6x16 blocking</t>
  </si>
  <si>
    <t>2x4x16 blocking</t>
  </si>
  <si>
    <t>2x12xRL blocking wolmanized</t>
  </si>
  <si>
    <t>2x10xRL blocking wolmanized</t>
  </si>
  <si>
    <t>2x8xRL blocking wolmanized</t>
  </si>
  <si>
    <t>2x6xRL blocking wolmanized</t>
  </si>
  <si>
    <t>2x4xRL blocking wolmanized</t>
  </si>
  <si>
    <t>2x2xRL blocking wolmanized</t>
  </si>
  <si>
    <t>1x8xRL blocking wolmanized</t>
  </si>
  <si>
    <t>1x6XRL blocking wolmanized</t>
  </si>
  <si>
    <t>1x4xRL blocking wolmanized</t>
  </si>
  <si>
    <t>2x12x16 header</t>
  </si>
  <si>
    <t>2x10x16 header</t>
  </si>
  <si>
    <t>2x8x16 header</t>
  </si>
  <si>
    <t>2x6x16 header</t>
  </si>
  <si>
    <t>2x8x16 treated plate</t>
  </si>
  <si>
    <t>2x6x16 treated plate</t>
  </si>
  <si>
    <t>2x4x16 treated plate</t>
  </si>
  <si>
    <t>2x8x16 plate</t>
  </si>
  <si>
    <t>2x6x16 plate</t>
  </si>
  <si>
    <t>2x4x16 plate</t>
  </si>
  <si>
    <t>2x2x   stud</t>
  </si>
  <si>
    <t>2x2x20 stud</t>
  </si>
  <si>
    <t>2x2x18 stud</t>
  </si>
  <si>
    <t>2x2x16 stud</t>
  </si>
  <si>
    <t>2x2x14 stud</t>
  </si>
  <si>
    <t>2x2x12 stud</t>
  </si>
  <si>
    <t>2x2x10 stud</t>
  </si>
  <si>
    <t>2x6x104-5/8" stud</t>
  </si>
  <si>
    <t>2x6x92-5/8" stud</t>
  </si>
  <si>
    <t>2x4x104-5/8" stud</t>
  </si>
  <si>
    <t>2x4x92-5/8" stud</t>
  </si>
  <si>
    <t>2x2x104-5/8" stud</t>
  </si>
  <si>
    <t>2x2x92-5/8" stud</t>
  </si>
  <si>
    <t>Flat truss   '  "</t>
  </si>
  <si>
    <t>Half truss   /12 pitch   '  "</t>
  </si>
  <si>
    <t>Truss   /12 pitch   '  "</t>
  </si>
  <si>
    <t>2x4x16 misc rafter framing</t>
  </si>
  <si>
    <t>2x4x16 outrigger @ rafter</t>
  </si>
  <si>
    <t>2x4x16 band @ rafter</t>
  </si>
  <si>
    <t>2x12x   ridge member</t>
  </si>
  <si>
    <t>2x12x16 ridge member</t>
  </si>
  <si>
    <t>2x12x14 ridge member</t>
  </si>
  <si>
    <t>2x12x12 ridge member</t>
  </si>
  <si>
    <t>2x12x10 ridge member</t>
  </si>
  <si>
    <t>2x12x8  ridge member</t>
  </si>
  <si>
    <t>2x10x   ridge member</t>
  </si>
  <si>
    <t>2x10x16 ridge member</t>
  </si>
  <si>
    <t>2x10x14 ridge member</t>
  </si>
  <si>
    <t>2x10x12 ridge member</t>
  </si>
  <si>
    <t>2x10x10 ridge member</t>
  </si>
  <si>
    <t>2x10x8 ridge member</t>
  </si>
  <si>
    <t>2x8x   ridge member</t>
  </si>
  <si>
    <t>2x8x16 ridge member</t>
  </si>
  <si>
    <t>2x8x14 ridge member</t>
  </si>
  <si>
    <t>2x8x12 ridge member</t>
  </si>
  <si>
    <t>2x8x10 ridge member</t>
  </si>
  <si>
    <t>2x8x8  ridge member</t>
  </si>
  <si>
    <t>2x6x   ridge member</t>
  </si>
  <si>
    <t>2x6x16 ridge member</t>
  </si>
  <si>
    <t>2x6x14 ridge member</t>
  </si>
  <si>
    <t>2x6x12 ridge member</t>
  </si>
  <si>
    <t>2x6x10 ridge member</t>
  </si>
  <si>
    <t>2x6x8  ridge member</t>
  </si>
  <si>
    <t>2x4 bridging redwood,16"</t>
  </si>
  <si>
    <t>1x4 bridging redwood,16"</t>
  </si>
  <si>
    <t>1x3 bridging redwood,16"</t>
  </si>
  <si>
    <t>2x4 bridging cedar,16"</t>
  </si>
  <si>
    <t>1x4 bridging cedar,16"</t>
  </si>
  <si>
    <t>1x3 bridging cedar,16"</t>
  </si>
  <si>
    <t>2x4 bridging fire treated,16"</t>
  </si>
  <si>
    <t>1x4 bridging fire treated,16"</t>
  </si>
  <si>
    <t>1x3 bridging fire treated,16"</t>
  </si>
  <si>
    <t>2x4 bridging wolmanized,16"</t>
  </si>
  <si>
    <t>1x4 bridging wolmanized,16"</t>
  </si>
  <si>
    <t>1x3 bridging wolmanized,16"</t>
  </si>
  <si>
    <t>2x4 bridging untreated,16"</t>
  </si>
  <si>
    <t>1x4 bridging untreated,16"</t>
  </si>
  <si>
    <t>1x3 bridging untreated,16"</t>
  </si>
  <si>
    <t>2x4 bridging random length</t>
  </si>
  <si>
    <t>2x3 bridging random length</t>
  </si>
  <si>
    <t>2x2 bridging random length</t>
  </si>
  <si>
    <t>1x4 bridging random length</t>
  </si>
  <si>
    <t>1x3 bridging random length</t>
  </si>
  <si>
    <t>2x4 ledger strip redwood</t>
  </si>
  <si>
    <t>2x2 ledger strip redwood</t>
  </si>
  <si>
    <t>2x4 ledger strip cedar</t>
  </si>
  <si>
    <t>2x2 ledger strip cedar</t>
  </si>
  <si>
    <t>2x4 ledger strip wolmanized</t>
  </si>
  <si>
    <t>2x2 ledger strip wolmanized</t>
  </si>
  <si>
    <t>2x4 ledger strip untreated</t>
  </si>
  <si>
    <t>2x2 ledger strip untreated</t>
  </si>
  <si>
    <t>2x4 ledger strip random length</t>
  </si>
  <si>
    <t>2x2 ledger strip random length</t>
  </si>
  <si>
    <t>2x4 ledger strip fire treated</t>
  </si>
  <si>
    <t>2x2 ledger strip fire treated</t>
  </si>
  <si>
    <t xml:space="preserve"> X  x   joist</t>
  </si>
  <si>
    <t>2x12x8 joist</t>
  </si>
  <si>
    <t>2x10x8 joist</t>
  </si>
  <si>
    <t>2x6x8 joist</t>
  </si>
  <si>
    <t>2x4x8 joist</t>
  </si>
  <si>
    <t>Anchor bolt</t>
  </si>
  <si>
    <t>Ramset shot</t>
  </si>
  <si>
    <t>Metal bridging</t>
  </si>
  <si>
    <t xml:space="preserve"> x   joist hanger</t>
  </si>
  <si>
    <t>2x12 joist hanger</t>
  </si>
  <si>
    <t>2x10 joist hanger</t>
  </si>
  <si>
    <t>2x8 joist hanger</t>
  </si>
  <si>
    <t>2x6 joist hanger</t>
  </si>
  <si>
    <t>2x4 joist hanger</t>
  </si>
  <si>
    <t>2x4 bridging redwood,24"</t>
  </si>
  <si>
    <t>1x4 bridging redwood,24"</t>
  </si>
  <si>
    <t>1x3 bridging redwood,24"</t>
  </si>
  <si>
    <t>2x4 bridging cedar,24"</t>
  </si>
  <si>
    <t>1x4 bridging cedar,24"</t>
  </si>
  <si>
    <t>1x3 bridging cedar,24"</t>
  </si>
  <si>
    <t>2x4 bridging fire treated,24"</t>
  </si>
  <si>
    <t>3x4 bridging fire treated,24"</t>
  </si>
  <si>
    <t>1x3 bridging fire treated,24"</t>
  </si>
  <si>
    <t>2x4 bridging wolmanized,24"</t>
  </si>
  <si>
    <t>1x4 bridging wolmanized,24"</t>
  </si>
  <si>
    <t>1x3 bridging wolmanized,24"</t>
  </si>
  <si>
    <t>2x4 bridging untreated,24"</t>
  </si>
  <si>
    <t>1x4 bridging untreated,24"</t>
  </si>
  <si>
    <t>1x3 bridging untreated,24"</t>
  </si>
  <si>
    <t>Add for wd frm fireplace chase</t>
  </si>
  <si>
    <t>Add for bay windows</t>
  </si>
  <si>
    <t>Add for dormers</t>
  </si>
  <si>
    <t>Add for vinyl siding</t>
  </si>
  <si>
    <t>Add for vertical siding</t>
  </si>
  <si>
    <t>Add for horizontal siding</t>
  </si>
  <si>
    <t>Add for sheet siding</t>
  </si>
  <si>
    <t>Add for 1 by decking</t>
  </si>
  <si>
    <t>Add for +12 pitch</t>
  </si>
  <si>
    <t>Add for 11 or 12 pitch</t>
  </si>
  <si>
    <t>Add for 8 to 10 pitch</t>
  </si>
  <si>
    <t>Add for 10' ceiling height</t>
  </si>
  <si>
    <t>Add for 9' ceiling height</t>
  </si>
  <si>
    <t>Add for floor joist</t>
  </si>
  <si>
    <t>Base price 3 story</t>
  </si>
  <si>
    <t>Base price 2 story</t>
  </si>
  <si>
    <t>Base price 1½ story</t>
  </si>
  <si>
    <t>Base price 1 story</t>
  </si>
  <si>
    <t>**** Rough carpentry labor ****</t>
  </si>
  <si>
    <t>Decorative railing</t>
  </si>
  <si>
    <t>Wrought iron spiral stairs</t>
  </si>
  <si>
    <t>Wrought iron wallrail @ stairs</t>
  </si>
  <si>
    <t>Wrought iron handrail @ stairs</t>
  </si>
  <si>
    <t>Brass railing</t>
  </si>
  <si>
    <t>Brass wallrail @ stairs</t>
  </si>
  <si>
    <t>Brass handrail @ stairs</t>
  </si>
  <si>
    <t>Steel spiral stair</t>
  </si>
  <si>
    <t>Custom aluminum spiral stairs</t>
  </si>
  <si>
    <t>Aluminum stock spiral stairs</t>
  </si>
  <si>
    <t>Custom steel spiral stairs</t>
  </si>
  <si>
    <t>Steel stock spiral stairs</t>
  </si>
  <si>
    <t>Steel monumental stair</t>
  </si>
  <si>
    <t>Steel lintel</t>
  </si>
  <si>
    <t>Concrete filled pipe bollard</t>
  </si>
  <si>
    <t>Pipe bollard</t>
  </si>
  <si>
    <t>Guard post</t>
  </si>
  <si>
    <t>48" stainless steel corner guard</t>
  </si>
  <si>
    <t>48" steel corner guard</t>
  </si>
  <si>
    <t>8" concrete filled square tube post</t>
  </si>
  <si>
    <t>6" concrete filled square tube post</t>
  </si>
  <si>
    <t>4" concrete filled square tube post</t>
  </si>
  <si>
    <t>8" concrete filled guard post</t>
  </si>
  <si>
    <t>6" concrete filled guard post</t>
  </si>
  <si>
    <t>5" concrete filled guard post</t>
  </si>
  <si>
    <t>4" concrete filled guard post</t>
  </si>
  <si>
    <t>3" concrete filled guard post</t>
  </si>
  <si>
    <t>8" square tube guard post</t>
  </si>
  <si>
    <t>6" square tube guard post</t>
  </si>
  <si>
    <t>4" square tube guard post</t>
  </si>
  <si>
    <t>8" diameter pipe guard post</t>
  </si>
  <si>
    <t>6" diameter  pipe guard post</t>
  </si>
  <si>
    <t>5" diameter  pipe guard post</t>
  </si>
  <si>
    <t>4" diameter pipe guard post</t>
  </si>
  <si>
    <t>3" diameter pipe guard post</t>
  </si>
  <si>
    <t>Cast metal columns @ canopy</t>
  </si>
  <si>
    <t>3" safety nosing</t>
  </si>
  <si>
    <t>Checkered steel plate @ tread</t>
  </si>
  <si>
    <t>Metal grate @ tread</t>
  </si>
  <si>
    <t>Aluminum nosing</t>
  </si>
  <si>
    <t>Steel plate cover</t>
  </si>
  <si>
    <t>Checkered plate cover</t>
  </si>
  <si>
    <t>Floor plate ½"</t>
  </si>
  <si>
    <t>Floor plate 3/8"</t>
  </si>
  <si>
    <t>Floor plate 5/16"</t>
  </si>
  <si>
    <t>Floor plate ¼"</t>
  </si>
  <si>
    <t>Floor plate 3/16"</t>
  </si>
  <si>
    <t>Lbs</t>
  </si>
  <si>
    <t>Steel bar grating</t>
  </si>
  <si>
    <t>Grating</t>
  </si>
  <si>
    <t>Trench drain cover</t>
  </si>
  <si>
    <t>Heavy duty aluminum grating</t>
  </si>
  <si>
    <t>Standard aluminum grating</t>
  </si>
  <si>
    <t>Catwalk</t>
  </si>
  <si>
    <t>Heavy duty steel grating</t>
  </si>
  <si>
    <t>Standard steel grating</t>
  </si>
  <si>
    <t>* Length of outdoor railing *</t>
  </si>
  <si>
    <t>Glass railing</t>
  </si>
  <si>
    <t>Wood and glass handrail @ stair</t>
  </si>
  <si>
    <t>Brass and glass handrail @ stair</t>
  </si>
  <si>
    <t>Metal spindle</t>
  </si>
  <si>
    <t>Metal top rail</t>
  </si>
  <si>
    <t>Stainless steel wall rail</t>
  </si>
  <si>
    <t>Stainless steel railing</t>
  </si>
  <si>
    <t>Aluminum balcony rail</t>
  </si>
  <si>
    <t>Aluminum railing</t>
  </si>
  <si>
    <t>Aluminum horizontal wall rail</t>
  </si>
  <si>
    <t>Aluminum horizontal handrail</t>
  </si>
  <si>
    <t>Aluminum wall handrail</t>
  </si>
  <si>
    <t>Aluminum stair handrail</t>
  </si>
  <si>
    <t>Balcony rail</t>
  </si>
  <si>
    <t>Railing</t>
  </si>
  <si>
    <t>Metal railing</t>
  </si>
  <si>
    <t>Steel balcony rail</t>
  </si>
  <si>
    <t>Steel wall rail</t>
  </si>
  <si>
    <t>Steel railing</t>
  </si>
  <si>
    <t>1½" horizontal wallrail</t>
  </si>
  <si>
    <t>1½" horizontal handrail</t>
  </si>
  <si>
    <t>1½" wall handrail</t>
  </si>
  <si>
    <t>1½" steel stair handrail</t>
  </si>
  <si>
    <t>Steel landings</t>
  </si>
  <si>
    <t>Steel stair</t>
  </si>
  <si>
    <t>* No. of metal stairs and ladders *</t>
  </si>
  <si>
    <t>* No. of steel risers *</t>
  </si>
  <si>
    <t>Aluminum ladder</t>
  </si>
  <si>
    <t>4' diameter spiral steel stair</t>
  </si>
  <si>
    <t>6' diameter spiral steel stair</t>
  </si>
  <si>
    <t>4'6" diameter spiral steel stair</t>
  </si>
  <si>
    <t>Ship's ladder with rails</t>
  </si>
  <si>
    <t>Steel ladder with cage</t>
  </si>
  <si>
    <t>Steel ladder without cage</t>
  </si>
  <si>
    <t>Checkered plate @ landing</t>
  </si>
  <si>
    <t>Metal grate @ landing</t>
  </si>
  <si>
    <t>Structural steel stairs</t>
  </si>
  <si>
    <t>Structural metal studs</t>
  </si>
  <si>
    <t>7½x18ga long span metal deck galvanized</t>
  </si>
  <si>
    <t>7½x16ga long span metal deck galvanized</t>
  </si>
  <si>
    <t>7½x14ga long span metal deck galvanized</t>
  </si>
  <si>
    <t>6x16 ga long span metal deck galvanized</t>
  </si>
  <si>
    <t>6x18 ga long span metal deck galvanized</t>
  </si>
  <si>
    <t>6x20 ga long span metal deck galvanized</t>
  </si>
  <si>
    <t>4½x16 ga long span metal deck painted</t>
  </si>
  <si>
    <t>4½x18 ga long span metal deck painted</t>
  </si>
  <si>
    <t>4½x20 ga long span metal deck painted</t>
  </si>
  <si>
    <t>7½x18 ga long span metal deck painted</t>
  </si>
  <si>
    <t>7½x16 ga long span metal deck painted</t>
  </si>
  <si>
    <t>7½x14 ga long span metal deck painted</t>
  </si>
  <si>
    <t>6x16 ga long span metal deck painted</t>
  </si>
  <si>
    <t>6x18 ga long span metal deck painted</t>
  </si>
  <si>
    <t>6x20 ga long span metal deck painted</t>
  </si>
  <si>
    <t>* Metal deck area *</t>
  </si>
  <si>
    <t>** Metal deck area **</t>
  </si>
  <si>
    <t>20ga galvanized form deck</t>
  </si>
  <si>
    <t>22ga galvanized form deck</t>
  </si>
  <si>
    <t>24ga galvanized form deck</t>
  </si>
  <si>
    <t>26ga galvanized form deck</t>
  </si>
  <si>
    <t>28ga galvanized form deck</t>
  </si>
  <si>
    <t>22ga uncoated form deck</t>
  </si>
  <si>
    <t>24ga uncoated form deck</t>
  </si>
  <si>
    <t>26ga uncoated form deck</t>
  </si>
  <si>
    <t>28ga uncoated form deck</t>
  </si>
  <si>
    <t>Corruform deck</t>
  </si>
  <si>
    <t>Cellular metal deck</t>
  </si>
  <si>
    <t>Metal deck</t>
  </si>
  <si>
    <t>3" metal deck</t>
  </si>
  <si>
    <t>2" metal deck</t>
  </si>
  <si>
    <t>1½" metal deck</t>
  </si>
  <si>
    <t>Wreck form deck shoring</t>
  </si>
  <si>
    <t>Temporary shoring for form deck</t>
  </si>
  <si>
    <t>6x1212 ga cellular metal deck painted</t>
  </si>
  <si>
    <t>6x1414 ga cellular metal deck painted</t>
  </si>
  <si>
    <t>6x1614 ga cellular metal deck painted</t>
  </si>
  <si>
    <t>6x1212 ga cellular metal deck galvanized</t>
  </si>
  <si>
    <t>6x1414 ga cellular metal deck galvanized</t>
  </si>
  <si>
    <t>6x1614 ga cellular metal deck galvanized</t>
  </si>
  <si>
    <t>6x1616 ga cellular metal deck galvanized</t>
  </si>
  <si>
    <t>6x1618 ga cellular metal deck galvanized</t>
  </si>
  <si>
    <t>6x1818 ga cellular metal deck galvanized</t>
  </si>
  <si>
    <t>4-1/2x1212 ga cellular metal deck galvanized</t>
  </si>
  <si>
    <t>4-1/2x1414 ga cell metal deck galvanized</t>
  </si>
  <si>
    <t>4-1/2x1614 ga cellular metal deck galvanized</t>
  </si>
  <si>
    <t>4-1/2x1616 ga cellular metal deck galvanized</t>
  </si>
  <si>
    <t>4-1/2x1618 ga cellular metal deck galvanized</t>
  </si>
  <si>
    <t>4-1/2x1818 ga cellular metal deck galvanized</t>
  </si>
  <si>
    <t>3x1212 ga cellular metal deck galvanized</t>
  </si>
  <si>
    <t>3x1414 ga cellular metal deck galvanized</t>
  </si>
  <si>
    <t>3x1614 ga cellular metal deck galvanized</t>
  </si>
  <si>
    <t>3x1616 ga cellular metal deck galvanized</t>
  </si>
  <si>
    <t>3x1618 ga cellular metal deck galvanized</t>
  </si>
  <si>
    <t>3x1818 ga cellular metal deck galvanized</t>
  </si>
  <si>
    <t>7-1/2x16 ga metal deck galvanized</t>
  </si>
  <si>
    <t>7-1/2x18 ga metal deck galvanized</t>
  </si>
  <si>
    <t>6x16 ga metal deck galvanized</t>
  </si>
  <si>
    <t>6x18 ga metal deck galvanized</t>
  </si>
  <si>
    <t>4-1/2x16 ga metal deck galvanized</t>
  </si>
  <si>
    <t>4½x18 ga metal deck galvanized</t>
  </si>
  <si>
    <t>4-1/2x20 ga metal deck galvanized</t>
  </si>
  <si>
    <t>3x16 ga metal deck galvanized</t>
  </si>
  <si>
    <t>3x18 ga metal deck galvanized</t>
  </si>
  <si>
    <t xml:space="preserve"> 3x20 ga metal deck galvanized</t>
  </si>
  <si>
    <t>3x22 ga metal deck galvanized</t>
  </si>
  <si>
    <t>1½x16 ga metal deck galvanized</t>
  </si>
  <si>
    <t>1½x18 ga metal deck galvanized</t>
  </si>
  <si>
    <t>1½x20 ga metal deck galvanized</t>
  </si>
  <si>
    <t>1½x22 ga metal deck galvanized</t>
  </si>
  <si>
    <t>6x1616 ga cellular metal deck painted</t>
  </si>
  <si>
    <t>6x1618 ga cellular metal deck painted</t>
  </si>
  <si>
    <t>6x1818 ga cellular metal deck painted</t>
  </si>
  <si>
    <t>4½x1212 ga cellular metal deck painted</t>
  </si>
  <si>
    <t>4½x1414 ga cellular metal deck painted</t>
  </si>
  <si>
    <t>4½x1614 ga cellular metal deck painted</t>
  </si>
  <si>
    <t>4½x1616 ga cellular metal deck painted</t>
  </si>
  <si>
    <t>4½x1618 ga cellular metal deck painted</t>
  </si>
  <si>
    <t>4½x1818 ga cellular metal deck painted</t>
  </si>
  <si>
    <t>3x1212 ga cellular metal deck painted</t>
  </si>
  <si>
    <t>3x1414 ga cellular metal deck painted</t>
  </si>
  <si>
    <t>3x1614 ga cellular metal deck painted</t>
  </si>
  <si>
    <t>3x1616 ga cellular metal deck painted</t>
  </si>
  <si>
    <t>3x1618 ga cellular metal deck painted</t>
  </si>
  <si>
    <t>3x1818 ga cellular metal deck painted</t>
  </si>
  <si>
    <t>7½x16 ga metal deck painted</t>
  </si>
  <si>
    <t>7½x18 ga metal deck painted</t>
  </si>
  <si>
    <t>6x16 ga metal deck painted</t>
  </si>
  <si>
    <t>6x18 ga metal deck painted</t>
  </si>
  <si>
    <t>4½x16 ga metal deck painted</t>
  </si>
  <si>
    <t>4½x18 ga metal deck painted</t>
  </si>
  <si>
    <t>4½x20 ga metal deck painted</t>
  </si>
  <si>
    <t>3x16 ga metal deck painted</t>
  </si>
  <si>
    <t>3x18 ga metal deck painted</t>
  </si>
  <si>
    <t>3x20 ga metal deck painted</t>
  </si>
  <si>
    <t>3x22 ga metal deck painted</t>
  </si>
  <si>
    <t>1½x16 ga metal deck painted</t>
  </si>
  <si>
    <t>1½x18 ga metal deck painted</t>
  </si>
  <si>
    <t>1½x20 ga metal deck painted</t>
  </si>
  <si>
    <t>1½x22 ga metal deck painted</t>
  </si>
  <si>
    <t>Extra heavy duty galvanized Corruform</t>
  </si>
  <si>
    <t>Heavy duty galvanized Corruform</t>
  </si>
  <si>
    <t>Standard galvanized Corruform</t>
  </si>
  <si>
    <t>Extra heavy duty plain Corruform</t>
  </si>
  <si>
    <t>Heavy duty plain Corruform</t>
  </si>
  <si>
    <t>Standard plain Corruform</t>
  </si>
  <si>
    <t>CRANE DAY BASIS</t>
  </si>
  <si>
    <t>** Steel joists and joist girders **</t>
  </si>
  <si>
    <t>* Joist girder length *</t>
  </si>
  <si>
    <t>* Bar joist area *</t>
  </si>
  <si>
    <t>HAND RAIL POST</t>
  </si>
  <si>
    <t>PERIMETER CABLE</t>
  </si>
  <si>
    <t>STUDS</t>
  </si>
  <si>
    <t>ROOF DECK HOIST</t>
  </si>
  <si>
    <t>UNLOAD &amp; ERECT FLOOR DECK</t>
  </si>
  <si>
    <t>Joist girder welding</t>
  </si>
  <si>
    <t>Joist girder stabilizer plates</t>
  </si>
  <si>
    <t>Joist girders, series TC</t>
  </si>
  <si>
    <t>Joist girders, series BG</t>
  </si>
  <si>
    <t>Joist girders, series VG</t>
  </si>
  <si>
    <t>Joist girders, series G</t>
  </si>
  <si>
    <t>Channel bridging for joist</t>
  </si>
  <si>
    <t>Rod joist bridging</t>
  </si>
  <si>
    <t>Steel joist</t>
  </si>
  <si>
    <t>Steel joists, series SLH</t>
  </si>
  <si>
    <t>Steel joists, series DLH</t>
  </si>
  <si>
    <t>Steel joists, series LH</t>
  </si>
  <si>
    <t>Steel joists, series CS</t>
  </si>
  <si>
    <t>Steel joists, series K</t>
  </si>
  <si>
    <t>Flume steel 12ga straight</t>
  </si>
  <si>
    <t>Flume   ' cross supports</t>
  </si>
  <si>
    <t>SETS</t>
  </si>
  <si>
    <t>2x2x¼ support braces</t>
  </si>
  <si>
    <t>Imbedded flume angles</t>
  </si>
  <si>
    <t>Imbedded curb angle</t>
  </si>
  <si>
    <t>Shelf angle insert</t>
  </si>
  <si>
    <t>Reglets</t>
  </si>
  <si>
    <t>Imbedded wall plate</t>
  </si>
  <si>
    <t>Imbedded wall angle</t>
  </si>
  <si>
    <t>Ceiling inserts</t>
  </si>
  <si>
    <t>* No. of base plates *</t>
  </si>
  <si>
    <t>* Structural steel weight *</t>
  </si>
  <si>
    <t>Add for A572 65 ksi</t>
  </si>
  <si>
    <t>Add for A572 60 ksi</t>
  </si>
  <si>
    <t>Add for A572 55 ksi</t>
  </si>
  <si>
    <t>Add for A572 45 ksi</t>
  </si>
  <si>
    <t>Add for A572 42 ksi</t>
  </si>
  <si>
    <t>Add for A572 30 ksi</t>
  </si>
  <si>
    <t>Shop paint steel  2 coats</t>
  </si>
  <si>
    <t>Shop paint steel  1 coat</t>
  </si>
  <si>
    <t>Anchor bolts</t>
  </si>
  <si>
    <t>Structural pipe columns</t>
  </si>
  <si>
    <t>Structural tubing</t>
  </si>
  <si>
    <t>Structural solid squares</t>
  </si>
  <si>
    <t>Structural rods</t>
  </si>
  <si>
    <t>Structural plates</t>
  </si>
  <si>
    <t>Structural angles</t>
  </si>
  <si>
    <t>Structural channels</t>
  </si>
  <si>
    <t>Structural H columns</t>
  </si>
  <si>
    <t>Structural I beams</t>
  </si>
  <si>
    <t>Wood base plate template</t>
  </si>
  <si>
    <t>Cardboard base plate template</t>
  </si>
  <si>
    <t>¼" steel base plate template</t>
  </si>
  <si>
    <t>Base plate grout</t>
  </si>
  <si>
    <t>Base plate</t>
  </si>
  <si>
    <t>Anchor bolts,</t>
  </si>
  <si>
    <t xml:space="preserve"> Type C paint</t>
  </si>
  <si>
    <t>Shop paint</t>
  </si>
  <si>
    <t>Shear stud, ¾"</t>
  </si>
  <si>
    <t>Shear stud, 5/8"</t>
  </si>
  <si>
    <t>Shear stud, ½"</t>
  </si>
  <si>
    <t>Shear stud, 3/8"</t>
  </si>
  <si>
    <t>Shear stud, ¼"</t>
  </si>
  <si>
    <t>ASTM A913 grade 65 adder</t>
  </si>
  <si>
    <t>ASTM A992 steel adder</t>
  </si>
  <si>
    <t>Type B steel adder</t>
  </si>
  <si>
    <t>Type A steel adder</t>
  </si>
  <si>
    <t>ASTM A582 steel adder</t>
  </si>
  <si>
    <t>ASTM A514 steel adder</t>
  </si>
  <si>
    <t>ASTM A588 steel adder</t>
  </si>
  <si>
    <t>ASTM A242 steel adder</t>
  </si>
  <si>
    <t>ASTM A572 50 ksi steel adder</t>
  </si>
  <si>
    <t>ASTM A36 steel adder</t>
  </si>
  <si>
    <t>ASTM A441 steel adder</t>
  </si>
  <si>
    <t>ASTM A529 steel adder</t>
  </si>
  <si>
    <t xml:space="preserve"> Rods</t>
  </si>
  <si>
    <t xml:space="preserve"> Bent plates</t>
  </si>
  <si>
    <t xml:space="preserve"> Plates</t>
  </si>
  <si>
    <t xml:space="preserve"> Structural tubing</t>
  </si>
  <si>
    <t xml:space="preserve"> Steel pipe</t>
  </si>
  <si>
    <t xml:space="preserve"> Tees</t>
  </si>
  <si>
    <t xml:space="preserve"> Angles</t>
  </si>
  <si>
    <t xml:space="preserve"> Channels</t>
  </si>
  <si>
    <t xml:space="preserve"> I beams</t>
  </si>
  <si>
    <t>Skin items</t>
  </si>
  <si>
    <t>Roof items</t>
  </si>
  <si>
    <t>Floor items</t>
  </si>
  <si>
    <t>Built up base plates</t>
  </si>
  <si>
    <t>Bracing</t>
  </si>
  <si>
    <t>Trusses</t>
  </si>
  <si>
    <t>Girders</t>
  </si>
  <si>
    <t xml:space="preserve"> I shapes</t>
  </si>
  <si>
    <t>Steel columns</t>
  </si>
  <si>
    <t>Steel beams</t>
  </si>
  <si>
    <t>* Steel framing area *</t>
  </si>
  <si>
    <t>Miscellaneous support framing</t>
  </si>
  <si>
    <t>Steel frame @ mansard</t>
  </si>
  <si>
    <t>Steel frame @ canopy</t>
  </si>
  <si>
    <t>Structural steel frame</t>
  </si>
  <si>
    <t>GR,1/4R2,2-1/2x3/16</t>
  </si>
  <si>
    <t>GR,1/4R2,2-1/4x3/16</t>
  </si>
  <si>
    <t>GR,1/4R2,2x3/16</t>
  </si>
  <si>
    <t>GR,1/4R2,1-3/4x3/16</t>
  </si>
  <si>
    <t>GR,1/4R2,1-1/2x3/16</t>
  </si>
  <si>
    <t>GR,1/4R2,1-1/2x1/8</t>
  </si>
  <si>
    <t>GR,1/4R2,1-1/4x3/16</t>
  </si>
  <si>
    <t>GR,1/4R2,1-1/4x1/8</t>
  </si>
  <si>
    <t>GR,1/4R2,1x3/16</t>
  </si>
  <si>
    <t>GR,1/4R2,1x1/8</t>
  </si>
  <si>
    <t>GR,1/4R2,3/4x3/16</t>
  </si>
  <si>
    <t>GR,1/4R4,2-1/2x3/16</t>
  </si>
  <si>
    <t>GR,1/4R4,2-1/4x3/16</t>
  </si>
  <si>
    <t>GR,1/4R4,2x3/16</t>
  </si>
  <si>
    <t>GR,1/4R4,1-3/4x3/16</t>
  </si>
  <si>
    <t>GR,1/4R4,1-1/2x3/16</t>
  </si>
  <si>
    <t>GR,1/4R4,1-1/2x1/8</t>
  </si>
  <si>
    <t>GR,1/4R4,1-1/4x3/16</t>
  </si>
  <si>
    <t>GR,1/4R4,1-1/4x1/8</t>
  </si>
  <si>
    <t>GR,1/4R4,1x3/16</t>
  </si>
  <si>
    <t>GR,1/4R4,1x1/8</t>
  </si>
  <si>
    <t>GR,1/4R4,3/4x3/16</t>
  </si>
  <si>
    <t>GR,.68U2,2-1/2x3/16</t>
  </si>
  <si>
    <t>GR,.68U2,2-1/4x3/16</t>
  </si>
  <si>
    <t>GR,.68U2,2x3/16</t>
  </si>
  <si>
    <t>GR,.68U2,1-3/4x3/16</t>
  </si>
  <si>
    <t>GR,.68U2,1-1/2x3/16</t>
  </si>
  <si>
    <t>GR,.68U2,1-1/2x1/8</t>
  </si>
  <si>
    <t>GR,.68U2,1-1/4x3/16</t>
  </si>
  <si>
    <t>GR,.68U2,1-1/4x1/8</t>
  </si>
  <si>
    <t>GR,.68U2,1x3/16</t>
  </si>
  <si>
    <t>GR,.68U2,1x1/8</t>
  </si>
  <si>
    <t>GR,.68U2,3/4x3/16</t>
  </si>
  <si>
    <t>GR,1U2,2-1/2x3/16</t>
  </si>
  <si>
    <t>GR,1U2,2-1/4x3/16</t>
  </si>
  <si>
    <t>GR,1U2,2x3/16</t>
  </si>
  <si>
    <t>GR,1U2,1-3/4x3/16</t>
  </si>
  <si>
    <t>GR,1U2,1-1/2x3/16</t>
  </si>
  <si>
    <t>GR,1U2,1-1/2x1/8</t>
  </si>
  <si>
    <t>GR,1U2,1-1/4x3/16</t>
  </si>
  <si>
    <t>GR,1U2,1-1/4x1/8</t>
  </si>
  <si>
    <t>GR,1U2,1x3/16</t>
  </si>
  <si>
    <t>GR,1U2,1x1/8</t>
  </si>
  <si>
    <t>GR,1U2,3/4x3/16</t>
  </si>
  <si>
    <t>GR,1/2R2,2-1/2x3/16</t>
  </si>
  <si>
    <t>GR,1/2R2,2-1/4x3/16</t>
  </si>
  <si>
    <t>GR,1/2R2,2x3/16</t>
  </si>
  <si>
    <t>GR,1/2R2,1-3/4x3/16</t>
  </si>
  <si>
    <t>GR,1/2R2,1-1/2x3/16</t>
  </si>
  <si>
    <t>GR,1/2R2,1-1/2x1/8</t>
  </si>
  <si>
    <t>GR,1/2R2,1-1/4x3/16</t>
  </si>
  <si>
    <t>GR,1/2R2,1-1/4x1/8</t>
  </si>
  <si>
    <t>GR,1/2R2,1x3/16</t>
  </si>
  <si>
    <t>GR,1/2R2,1x1/8</t>
  </si>
  <si>
    <t>GR,1/2R2,3/4x3/16</t>
  </si>
  <si>
    <t>GR,1/2R4,2-1/2x3/16</t>
  </si>
  <si>
    <t>GR,1/2R4,2-1/4x3/16</t>
  </si>
  <si>
    <t>GR,1/2R4,2x3/16</t>
  </si>
  <si>
    <t>GR,1/2R4,1-3/4x3/16</t>
  </si>
  <si>
    <t>GR,1/2R4,1-1/2x3/16</t>
  </si>
  <si>
    <t>GR,1/2R4,1-1/2x1/8</t>
  </si>
  <si>
    <t>GR,1/2R4,1-1/4x3/16</t>
  </si>
  <si>
    <t>GR,1/2R4,1-1/4x1/8</t>
  </si>
  <si>
    <t>GR,1/2R4,1x3/16</t>
  </si>
  <si>
    <t>GR,1/2R4,1x1/8</t>
  </si>
  <si>
    <t>GR,1/2R4,3/4x3/16</t>
  </si>
  <si>
    <t>GR,3/4R2,2-1/2x3/16</t>
  </si>
  <si>
    <t>GR,3/4R2,2-1/4x3/16</t>
  </si>
  <si>
    <t>GR,3/4R2,2x3/16</t>
  </si>
  <si>
    <t>GR,3/4R2,1-3/4x3/16</t>
  </si>
  <si>
    <t>GR,3/4R2,1-1/2x3/16</t>
  </si>
  <si>
    <t>GR,3/4R2,1-1/2x1/8</t>
  </si>
  <si>
    <t>GR,3/4R2,1-1/4x3/16</t>
  </si>
  <si>
    <t>GR,3/4R2,1-1/4x1/8</t>
  </si>
  <si>
    <t>GR,3/4R2,1x3/16</t>
  </si>
  <si>
    <t>GR,3/4R2,1x1/8</t>
  </si>
  <si>
    <t>GR,3/4R2,3/4x3/16</t>
  </si>
  <si>
    <t>GR,3/4R4,2-1/2x3/16</t>
  </si>
  <si>
    <t>GR,3/4R4,2-1/4x3/16</t>
  </si>
  <si>
    <t>GR,3/4R4,2x3/16</t>
  </si>
  <si>
    <t>GR,3/4R4,1-3/4x3/16</t>
  </si>
  <si>
    <t>GR,3/4R4,1-1/2x3/16</t>
  </si>
  <si>
    <t>GR,3/4R4,1-1/2x1/8</t>
  </si>
  <si>
    <t>GR,3/4R4,1-1/4x3/16</t>
  </si>
  <si>
    <t>GR,3/4R4,1-1/4x1/8</t>
  </si>
  <si>
    <t>GR,3/4R4,1x3/16</t>
  </si>
  <si>
    <t>GR,3/4R4,1x1/8</t>
  </si>
  <si>
    <t>GR,3/4R4,3/4x3/16</t>
  </si>
  <si>
    <t>GR,1R2,2-1/2x3/16</t>
  </si>
  <si>
    <t>GR,1R2,2-1/4x3/16</t>
  </si>
  <si>
    <t>GR,1R2,2x3/16</t>
  </si>
  <si>
    <t>GR,1R2,1-3/4x3/16</t>
  </si>
  <si>
    <t>GR,1R2,1-1/2x3/16</t>
  </si>
  <si>
    <t>GR,1R2,1-1/2x1/8</t>
  </si>
  <si>
    <t>GR,1R2,1-1/4x3/16</t>
  </si>
  <si>
    <t>GR,1R2,1-1/4x1/8</t>
  </si>
  <si>
    <t>GR,1R2,1x3/16</t>
  </si>
  <si>
    <t>GR,1R2,1x1/8</t>
  </si>
  <si>
    <t>GR,1R2,3/4x3/16</t>
  </si>
  <si>
    <t>GR,1R4,2-1/2x3/16</t>
  </si>
  <si>
    <t>GR,1R4,2-1/4x3/16</t>
  </si>
  <si>
    <t>GR,1R4,2x3/16</t>
  </si>
  <si>
    <t>GR,1R4,1-3/4x3/16</t>
  </si>
  <si>
    <t>GR,1R4,1-1/2x3/16</t>
  </si>
  <si>
    <t>GR,1R4,1-1/2x1/8</t>
  </si>
  <si>
    <t>GR,1R4,1-1/4x3/16</t>
  </si>
  <si>
    <t>GR,1R4,1-1/4x1/8</t>
  </si>
  <si>
    <t>GR,1R4,1x3/16</t>
  </si>
  <si>
    <t>GR,1R4,1x1/8</t>
  </si>
  <si>
    <t>GR,1R4,3/4x3/16</t>
  </si>
  <si>
    <t>RR       12"x</t>
  </si>
  <si>
    <t>RR 11-15/16"x</t>
  </si>
  <si>
    <t>RR   11-7/8"x</t>
  </si>
  <si>
    <t>RR 11-13/16"x</t>
  </si>
  <si>
    <t>RR   11-3/4"x</t>
  </si>
  <si>
    <t>RR 11-11/16"x</t>
  </si>
  <si>
    <t>RR   11-5/8"x</t>
  </si>
  <si>
    <t>RR  11-9/16"x</t>
  </si>
  <si>
    <t>RR   11-1/2"x</t>
  </si>
  <si>
    <t>RR  11-7/16"x</t>
  </si>
  <si>
    <t>RR   11-3/8"x</t>
  </si>
  <si>
    <t>RR  11-5/16"x</t>
  </si>
  <si>
    <t>RR   11-1/4"x</t>
  </si>
  <si>
    <t>RR  11-3/16"x</t>
  </si>
  <si>
    <t>RR   11-1/8"x</t>
  </si>
  <si>
    <t>RR  11-1/16"x</t>
  </si>
  <si>
    <t>RR       11"x</t>
  </si>
  <si>
    <t>RR 10-15/16"x</t>
  </si>
  <si>
    <t>RR   10-7/8"x</t>
  </si>
  <si>
    <t>RR 10-13/16"x</t>
  </si>
  <si>
    <t>RR   10-3/4"x</t>
  </si>
  <si>
    <t>RR 10-11/16"x</t>
  </si>
  <si>
    <t>RR   10-5/8"x</t>
  </si>
  <si>
    <t>RR  10-9/16"x</t>
  </si>
  <si>
    <t>RR   10-1/2"x</t>
  </si>
  <si>
    <t>RR  10-7/16"x</t>
  </si>
  <si>
    <t>RR   10-3/8"x</t>
  </si>
  <si>
    <t>RR  10-5/16"x</t>
  </si>
  <si>
    <t>RR   10-1/4"x</t>
  </si>
  <si>
    <t>RR  10-3/16"x</t>
  </si>
  <si>
    <t>RR   10-1/8"x</t>
  </si>
  <si>
    <t>RR  10-1/16"x</t>
  </si>
  <si>
    <t>RR      10"x</t>
  </si>
  <si>
    <t>RR 9-15/16"x</t>
  </si>
  <si>
    <t>RR   9-7/8"x</t>
  </si>
  <si>
    <t>RR 9-13/16"x</t>
  </si>
  <si>
    <t>RR   9-3/4"x</t>
  </si>
  <si>
    <t>RR 9-11/16"x</t>
  </si>
  <si>
    <t>RR   9-5/8"x</t>
  </si>
  <si>
    <t>RR  9-9/16"x</t>
  </si>
  <si>
    <t>RR   9-1/2"x</t>
  </si>
  <si>
    <t>RR  9-7/16"x</t>
  </si>
  <si>
    <t>RR   9-3/8"x</t>
  </si>
  <si>
    <t>RR  9-5/16"x</t>
  </si>
  <si>
    <t>RR   9-1/4"x</t>
  </si>
  <si>
    <t>RR  9-3/16"x</t>
  </si>
  <si>
    <t>RR   9-1/8"x</t>
  </si>
  <si>
    <t>RR  9-1/16"x</t>
  </si>
  <si>
    <t>RR       9"x</t>
  </si>
  <si>
    <t>RR 8-15/16"x</t>
  </si>
  <si>
    <t>RR   8-7/8"x</t>
  </si>
  <si>
    <t>RR 8-13/16"x</t>
  </si>
  <si>
    <t>RR   8-3/4"x</t>
  </si>
  <si>
    <t>RR 8-11/16"x</t>
  </si>
  <si>
    <t>RR   8-5/8"x</t>
  </si>
  <si>
    <t>RR  8-9/16"x</t>
  </si>
  <si>
    <t>RR   8-1/2"x</t>
  </si>
  <si>
    <t>RR  8-7/16"x</t>
  </si>
  <si>
    <t>RR   8-3/8"x</t>
  </si>
  <si>
    <t>RR  8-5/16"x</t>
  </si>
  <si>
    <t>RR   8-1/4"x</t>
  </si>
  <si>
    <t>RR  8-3/16"x</t>
  </si>
  <si>
    <t>RR   8-1/8"x</t>
  </si>
  <si>
    <t>RR  8-1/16"x</t>
  </si>
  <si>
    <t>RR       8"x</t>
  </si>
  <si>
    <t>RR 7-15/16"x</t>
  </si>
  <si>
    <t>RR   7-7/8"x</t>
  </si>
  <si>
    <t>RR 7-13/16"x</t>
  </si>
  <si>
    <t>RR   7-3/4"x</t>
  </si>
  <si>
    <t>RR 7-11/16"x</t>
  </si>
  <si>
    <t>RR   7-5/8"x</t>
  </si>
  <si>
    <t>RR  7-9/16"x</t>
  </si>
  <si>
    <t>RR   7-1/2"x</t>
  </si>
  <si>
    <t>RR  7-7/16"x</t>
  </si>
  <si>
    <t>RR   7-3/8"x</t>
  </si>
  <si>
    <t>RR  7-5/16"x</t>
  </si>
  <si>
    <t>RR   7-1/4"x</t>
  </si>
  <si>
    <t>RR  7-3/16"x</t>
  </si>
  <si>
    <t>RR   7-1/8"x</t>
  </si>
  <si>
    <t>RR  7-1/16"x</t>
  </si>
  <si>
    <t>RR       7"x</t>
  </si>
  <si>
    <t>RR 6-15/16"x</t>
  </si>
  <si>
    <t>RR   6-7/8"x</t>
  </si>
  <si>
    <t>RR 6-13/16"x</t>
  </si>
  <si>
    <t>RR   6-3/4"x</t>
  </si>
  <si>
    <t>RR 6-11/16"x</t>
  </si>
  <si>
    <t>RR   6-5/8"x</t>
  </si>
  <si>
    <t>RR  6-9/16"x</t>
  </si>
  <si>
    <t>RR   6-1/2"x</t>
  </si>
  <si>
    <t>RR  6-7/16"x</t>
  </si>
  <si>
    <t>RR   6-3/8"x</t>
  </si>
  <si>
    <t>RR  6-5/16"x</t>
  </si>
  <si>
    <t>RR   6-1/4"x</t>
  </si>
  <si>
    <t>RR  6-3/16"x</t>
  </si>
  <si>
    <t>RR   6-1/8"x</t>
  </si>
  <si>
    <t>RR  6-1/16"x</t>
  </si>
  <si>
    <t>RR       6"x</t>
  </si>
  <si>
    <t>RR 5-15/16"x</t>
  </si>
  <si>
    <t>RR   5-7/8"x</t>
  </si>
  <si>
    <t>RR 5-13/16"x</t>
  </si>
  <si>
    <t>RR   5-3/4"x</t>
  </si>
  <si>
    <t>RR 5-11/16"x</t>
  </si>
  <si>
    <t>RR   5-5/8"x</t>
  </si>
  <si>
    <t>RR  5-9/16"x</t>
  </si>
  <si>
    <t>RR   5-1/2"x</t>
  </si>
  <si>
    <t>RR  5-7/16"x</t>
  </si>
  <si>
    <t>RR   5-3/8"x</t>
  </si>
  <si>
    <t>RR  5-5/16"x</t>
  </si>
  <si>
    <t>RR   5-1/4"x</t>
  </si>
  <si>
    <t>RR  5-3/16"x</t>
  </si>
  <si>
    <t>RR   5-1/8"x</t>
  </si>
  <si>
    <t>RR  5-1/16"x</t>
  </si>
  <si>
    <t>RR       5"x</t>
  </si>
  <si>
    <t>RR 4-15/16"x</t>
  </si>
  <si>
    <t>RR   4-7/8"x</t>
  </si>
  <si>
    <t>RR 4-13/16"x</t>
  </si>
  <si>
    <t>RR   4-3/4"x</t>
  </si>
  <si>
    <t>RR 4-11/16"x</t>
  </si>
  <si>
    <t>RR   4-5/8"x</t>
  </si>
  <si>
    <t>RR  4-9/16"x</t>
  </si>
  <si>
    <t>RR   4-1/2"x</t>
  </si>
  <si>
    <t>RR  4-7/16"x</t>
  </si>
  <si>
    <t>RR   4-3/8"x</t>
  </si>
  <si>
    <t>RR  4-5/16"x</t>
  </si>
  <si>
    <t>RR   4-1/4"x</t>
  </si>
  <si>
    <t>RR  4-3/16"x</t>
  </si>
  <si>
    <t>RR   4-1/8"x</t>
  </si>
  <si>
    <t>RR  4-1/16"x</t>
  </si>
  <si>
    <t>RR       4"x</t>
  </si>
  <si>
    <t>RR 3-15/16"x</t>
  </si>
  <si>
    <t>RR   3-7/8"x</t>
  </si>
  <si>
    <t>RR 3-13/16"x</t>
  </si>
  <si>
    <t>RR   3-3/4"x</t>
  </si>
  <si>
    <t>RR 3-11/16"x</t>
  </si>
  <si>
    <t>RR   3-5/8"x</t>
  </si>
  <si>
    <t>RR  3-9/16"x</t>
  </si>
  <si>
    <t>RR   3-1/2"x</t>
  </si>
  <si>
    <t>RR  3-7/16"x</t>
  </si>
  <si>
    <t>RR   3-3/8"x</t>
  </si>
  <si>
    <t>RR  3-5/16"x</t>
  </si>
  <si>
    <t>RR   3-1/4"x</t>
  </si>
  <si>
    <t>RR  3-3/16"x</t>
  </si>
  <si>
    <t>RR   3-1/8"x</t>
  </si>
  <si>
    <t>RR  3-1/16"x</t>
  </si>
  <si>
    <t>RR       3"x</t>
  </si>
  <si>
    <t>RR 2-15/16"x</t>
  </si>
  <si>
    <t>RR   2-7/8"x</t>
  </si>
  <si>
    <t>RR 2-13/16"x</t>
  </si>
  <si>
    <t>RR   2-3/4"x</t>
  </si>
  <si>
    <t>RR 2-11/16"x</t>
  </si>
  <si>
    <t>RR   2-5/8"x</t>
  </si>
  <si>
    <t>RR  2-9/16"x</t>
  </si>
  <si>
    <t>RR   2-1/2"x</t>
  </si>
  <si>
    <t>RR  2-7/16"x</t>
  </si>
  <si>
    <t>RR   2-3/8"x</t>
  </si>
  <si>
    <t>RR  2-5/16"x</t>
  </si>
  <si>
    <t>RR   2-1/4"x</t>
  </si>
  <si>
    <t>RR  2-3/16"x</t>
  </si>
  <si>
    <t>RR   2-1/8"x</t>
  </si>
  <si>
    <t>RR  2-1/16"x</t>
  </si>
  <si>
    <t>RR       2"x</t>
  </si>
  <si>
    <t>RR 1-15/16"x</t>
  </si>
  <si>
    <t>RR   1-7/8"x</t>
  </si>
  <si>
    <t>RR 1-13/16"x</t>
  </si>
  <si>
    <t>RR   1-3/4"x</t>
  </si>
  <si>
    <t>RR 1-11/16"x</t>
  </si>
  <si>
    <t>RR   1-5/8"x</t>
  </si>
  <si>
    <t>RR  1-9/16"x</t>
  </si>
  <si>
    <t>RR   1-1/2"x</t>
  </si>
  <si>
    <t>RR  1-7/16"x</t>
  </si>
  <si>
    <t>RR   1-3/8"x</t>
  </si>
  <si>
    <t>RR  1-5/16"x</t>
  </si>
  <si>
    <t>RR   1-1/4"x</t>
  </si>
  <si>
    <t>RR  1-3/16"x</t>
  </si>
  <si>
    <t>RR   1-1/8"x</t>
  </si>
  <si>
    <t>RR  1-1/16"x</t>
  </si>
  <si>
    <t>RR     1"x</t>
  </si>
  <si>
    <t>RR 15/16"x</t>
  </si>
  <si>
    <t>RR   7/8"x</t>
  </si>
  <si>
    <t>RR 13/16"x</t>
  </si>
  <si>
    <t>RR   3/4"x</t>
  </si>
  <si>
    <t>RR 11/16"x</t>
  </si>
  <si>
    <t>RR   5/8"x</t>
  </si>
  <si>
    <t>RR  9/16"x</t>
  </si>
  <si>
    <t>RR   1/2"x</t>
  </si>
  <si>
    <t>RR  7/16"x</t>
  </si>
  <si>
    <t>RR   3/8"x</t>
  </si>
  <si>
    <t>RR  5/16"x</t>
  </si>
  <si>
    <t>RR   1/4"x</t>
  </si>
  <si>
    <t>RR  3/16"x</t>
  </si>
  <si>
    <t>RR   1/8"x</t>
  </si>
  <si>
    <t>RR  1/16"x</t>
  </si>
  <si>
    <t>SR       12"x</t>
  </si>
  <si>
    <t>SR 11-15/16"x</t>
  </si>
  <si>
    <t>SR   11-7/8"x</t>
  </si>
  <si>
    <t>SR 11-13/16"x</t>
  </si>
  <si>
    <t>SR   11-3/4"x</t>
  </si>
  <si>
    <t>SR 11-11/16"x</t>
  </si>
  <si>
    <t>SR   11-5/8"x</t>
  </si>
  <si>
    <t>SR  11-9/16"x</t>
  </si>
  <si>
    <t>SR   11-1/2"x</t>
  </si>
  <si>
    <t>SR  11-7/16"x</t>
  </si>
  <si>
    <t>SR   11-3/8"x</t>
  </si>
  <si>
    <t>SR  11-5/16"x</t>
  </si>
  <si>
    <t>SR   11-1/4"x</t>
  </si>
  <si>
    <t>SR  11-3/16"x</t>
  </si>
  <si>
    <t>SR   11-1/8"x</t>
  </si>
  <si>
    <t>SR  11-1/16"x</t>
  </si>
  <si>
    <t>SR       11"x</t>
  </si>
  <si>
    <t>SR 10-15/16"x</t>
  </si>
  <si>
    <t>SR   10-7/8"x</t>
  </si>
  <si>
    <t>SR 10-13/16"x</t>
  </si>
  <si>
    <t>SR   10-3/4"x</t>
  </si>
  <si>
    <t>SR 10-11/16"x</t>
  </si>
  <si>
    <t>SR   10-5/8"x</t>
  </si>
  <si>
    <t>SR  10-9/16"x</t>
  </si>
  <si>
    <t>SR   10-1/2"x</t>
  </si>
  <si>
    <t>SR  10-7/16"x</t>
  </si>
  <si>
    <t>SR   10-3/8"x</t>
  </si>
  <si>
    <t>SR  10-5/16"x</t>
  </si>
  <si>
    <t>SR   10-1/4"x</t>
  </si>
  <si>
    <t>SR  10-3/16"x</t>
  </si>
  <si>
    <t>SR   10-1/8"x</t>
  </si>
  <si>
    <t>SR  10-1/16"x</t>
  </si>
  <si>
    <t>SR      10"x</t>
  </si>
  <si>
    <t>SR 9-15/16"x</t>
  </si>
  <si>
    <t>SR   9-7/8"x</t>
  </si>
  <si>
    <t>SR 9-13/16"x</t>
  </si>
  <si>
    <t>SR   9-3/4"x</t>
  </si>
  <si>
    <t>SR 9-11/16"x</t>
  </si>
  <si>
    <t>SR   9-5/8"x</t>
  </si>
  <si>
    <t>SR  9-9/16"x</t>
  </si>
  <si>
    <t>SR   9-1/2"x</t>
  </si>
  <si>
    <t>SR  9-7/16"x</t>
  </si>
  <si>
    <t>SR   9-3/8"x</t>
  </si>
  <si>
    <t>SR  9-5/16"x</t>
  </si>
  <si>
    <t>SR   9-1/4"x</t>
  </si>
  <si>
    <t>SR  9-3/16"x</t>
  </si>
  <si>
    <t>SR   9-1/8"x</t>
  </si>
  <si>
    <t>SR  9-1/16"x</t>
  </si>
  <si>
    <t>SR       9"x</t>
  </si>
  <si>
    <t>SR 8-15/16"x</t>
  </si>
  <si>
    <t>SR   8-7/8"x</t>
  </si>
  <si>
    <t>SR 8-13/16"x</t>
  </si>
  <si>
    <t>SR   8-3/4"x</t>
  </si>
  <si>
    <t>SR 8-11/16"x</t>
  </si>
  <si>
    <t>SR   8-5/8"x</t>
  </si>
  <si>
    <t>SR  8-9/16"x</t>
  </si>
  <si>
    <t>SR   8-1/2"x</t>
  </si>
  <si>
    <t>SR  8-7/16"x</t>
  </si>
  <si>
    <t>SR   8-3/8"x</t>
  </si>
  <si>
    <t>SR  8-5/16"x</t>
  </si>
  <si>
    <t>SR   8-1/4"x</t>
  </si>
  <si>
    <t>SR  8-3/16"x</t>
  </si>
  <si>
    <t>SR   8-1/8"x</t>
  </si>
  <si>
    <t>SR  8-1/16"x</t>
  </si>
  <si>
    <t>SR       8"x</t>
  </si>
  <si>
    <t>SR 7-15/16"x</t>
  </si>
  <si>
    <t>SR   7-7/8"x</t>
  </si>
  <si>
    <t>SR 7-13/16"x</t>
  </si>
  <si>
    <t>SR   7-3/4"x</t>
  </si>
  <si>
    <t>SR 7-11/16"x</t>
  </si>
  <si>
    <t>SR   7-5/8"x</t>
  </si>
  <si>
    <t>SR  7-9/16"x</t>
  </si>
  <si>
    <t>SR   7-1/2"x</t>
  </si>
  <si>
    <t>SR  7-7/16"x</t>
  </si>
  <si>
    <t>SR   7-3/8"x</t>
  </si>
  <si>
    <t>SR  7-5/16"x</t>
  </si>
  <si>
    <t>SR   7-1/4"x</t>
  </si>
  <si>
    <t>SR  7-3/16"x</t>
  </si>
  <si>
    <t>SR   7-1/8"x</t>
  </si>
  <si>
    <t>SR  7-1/16"x</t>
  </si>
  <si>
    <t>SR       7"x</t>
  </si>
  <si>
    <t>SR 6-15/16"x</t>
  </si>
  <si>
    <t>SR   6-7/8"x</t>
  </si>
  <si>
    <t>SR 6-13/16"x</t>
  </si>
  <si>
    <t>SR   6-3/4"x</t>
  </si>
  <si>
    <t>SR 6-11/16"x</t>
  </si>
  <si>
    <t>SR   6-5/8"x</t>
  </si>
  <si>
    <t>SR  6-9/16"x</t>
  </si>
  <si>
    <t>SR   6-1/2"x</t>
  </si>
  <si>
    <t>SR  6-7/16"x</t>
  </si>
  <si>
    <t>SR   6-3/8"x</t>
  </si>
  <si>
    <t>SR  6-5/16"x</t>
  </si>
  <si>
    <t>SR   6-1/4"x</t>
  </si>
  <si>
    <t>SR  6-3/16"x</t>
  </si>
  <si>
    <t>SR   6-1/8"x</t>
  </si>
  <si>
    <t>SR  6-1/16"x</t>
  </si>
  <si>
    <t>SR       6"x</t>
  </si>
  <si>
    <t>SR 5-15/16"x</t>
  </si>
  <si>
    <t>SR   5-7/8"x</t>
  </si>
  <si>
    <t>SR 5-13/16"x</t>
  </si>
  <si>
    <t>SR   5-3/4"x</t>
  </si>
  <si>
    <t>SR 5-11/16"x</t>
  </si>
  <si>
    <t>SR   5-5/8"x</t>
  </si>
  <si>
    <t>SR  5-9/16"x</t>
  </si>
  <si>
    <t>SR   5-1/2"x</t>
  </si>
  <si>
    <t>SR  5-7/16"x</t>
  </si>
  <si>
    <t>SR   5-3/8"x</t>
  </si>
  <si>
    <t>SR  5-5/16"x</t>
  </si>
  <si>
    <t>SR   5-1/4"x</t>
  </si>
  <si>
    <t>SR  5-3/16"x</t>
  </si>
  <si>
    <t>SR   5-1/8"x</t>
  </si>
  <si>
    <t>SR  5-1/16"x</t>
  </si>
  <si>
    <t>SR       5"x</t>
  </si>
  <si>
    <t>SR 4-15/16"x</t>
  </si>
  <si>
    <t>SR   4-7/8"x</t>
  </si>
  <si>
    <t>SR 4-13/16"x</t>
  </si>
  <si>
    <t>SR   4-3/4"x</t>
  </si>
  <si>
    <t>SR 4-11/16"x</t>
  </si>
  <si>
    <t>SR   4-5/8"x</t>
  </si>
  <si>
    <t>SR  4-9/16"x</t>
  </si>
  <si>
    <t>SR   4-1/2"x</t>
  </si>
  <si>
    <t>SR  4-7/16"x</t>
  </si>
  <si>
    <t>SR   4-3/8"x</t>
  </si>
  <si>
    <t>SR  4-5/16"x</t>
  </si>
  <si>
    <t>SR   4-1/4"x</t>
  </si>
  <si>
    <t>SR  4-3/16"x</t>
  </si>
  <si>
    <t>SR   4-1/8"x</t>
  </si>
  <si>
    <t>SR  4-1/16"x</t>
  </si>
  <si>
    <t>SR       4"x</t>
  </si>
  <si>
    <t>SR 3-15/16"x</t>
  </si>
  <si>
    <t>SR   3-7/8"x</t>
  </si>
  <si>
    <t>SR 3-13/16"x</t>
  </si>
  <si>
    <t>SR   3-3/4"x</t>
  </si>
  <si>
    <t>SR 3-11/16"x</t>
  </si>
  <si>
    <t>SR   3-5/8"x</t>
  </si>
  <si>
    <t>SR  3-9/16"x</t>
  </si>
  <si>
    <t>SR   3-1/2"x</t>
  </si>
  <si>
    <t>SR  3-7/16"x</t>
  </si>
  <si>
    <t>SR   3-3/8"x</t>
  </si>
  <si>
    <t>SR  3-5/16"x</t>
  </si>
  <si>
    <t>SR   3-1/4"x</t>
  </si>
  <si>
    <t>SR  3-3/16"x</t>
  </si>
  <si>
    <t>SR   3-1/8"x</t>
  </si>
  <si>
    <t>SR  3-1/16"x</t>
  </si>
  <si>
    <t>SR       3"x</t>
  </si>
  <si>
    <t>SR 2-15/16"x</t>
  </si>
  <si>
    <t>SR   2-7/8"x</t>
  </si>
  <si>
    <t>SR 2-13/16"x</t>
  </si>
  <si>
    <t>SR   2-3/4"x</t>
  </si>
  <si>
    <t>SR 2-11/16"x</t>
  </si>
  <si>
    <t>SR   2-5/8"x</t>
  </si>
  <si>
    <t>SR  2-9/16"x</t>
  </si>
  <si>
    <t>SR   2-1/2"x</t>
  </si>
  <si>
    <t>SR  2-7/16"x</t>
  </si>
  <si>
    <t>SR   2-3/8"x</t>
  </si>
  <si>
    <t>SR  2-5/16"x</t>
  </si>
  <si>
    <t>SR   2-1/4"x</t>
  </si>
  <si>
    <t>SR  2-3/16"x</t>
  </si>
  <si>
    <t>SR   2-1/8"x</t>
  </si>
  <si>
    <t>SR  2-1/16"x</t>
  </si>
  <si>
    <t>SR       2"x</t>
  </si>
  <si>
    <t>SR 1-15/16"x</t>
  </si>
  <si>
    <t>SR   1-7/8"x</t>
  </si>
  <si>
    <t>SR 1-13/16"x</t>
  </si>
  <si>
    <t>SR   1-3/4"x</t>
  </si>
  <si>
    <t>SR 1-11/16"x</t>
  </si>
  <si>
    <t>SR   1-5/8"x</t>
  </si>
  <si>
    <t>SR  1-9/16"x</t>
  </si>
  <si>
    <t>SR   1-1/2"x</t>
  </si>
  <si>
    <t>SR  1-7/16"x</t>
  </si>
  <si>
    <t>SR   1-3/8"x</t>
  </si>
  <si>
    <t>SR  1-5/16"x</t>
  </si>
  <si>
    <t>SR   1-1/4"x</t>
  </si>
  <si>
    <t>SR  1-3/16"x</t>
  </si>
  <si>
    <t>SR   1-1/8"x</t>
  </si>
  <si>
    <t>SR  1-1/16"x</t>
  </si>
  <si>
    <t>SR     1"x</t>
  </si>
  <si>
    <t>SR 15/16"x</t>
  </si>
  <si>
    <t>SR   7/8"x</t>
  </si>
  <si>
    <t>SR 13/16"x</t>
  </si>
  <si>
    <t>SR   3/4"x</t>
  </si>
  <si>
    <t>SR 11/16"x</t>
  </si>
  <si>
    <t>SR   5/8"x</t>
  </si>
  <si>
    <t>SR  9/16"x</t>
  </si>
  <si>
    <t>SR   1/2"x</t>
  </si>
  <si>
    <t>SR  7/16"x</t>
  </si>
  <si>
    <t>SR   3/8"x</t>
  </si>
  <si>
    <t>SR  5/16"x</t>
  </si>
  <si>
    <t>SR   1/4"x</t>
  </si>
  <si>
    <t>SR  3/16"x</t>
  </si>
  <si>
    <t>SR   1/8"x</t>
  </si>
  <si>
    <t>SR  1/16"x</t>
  </si>
  <si>
    <t>BP 22GA</t>
  </si>
  <si>
    <t>BP 21GA</t>
  </si>
  <si>
    <t>BP 20GA</t>
  </si>
  <si>
    <t>BP 18GA</t>
  </si>
  <si>
    <t>BP 16GA</t>
  </si>
  <si>
    <t>BP 15GA</t>
  </si>
  <si>
    <t>BP 14GA</t>
  </si>
  <si>
    <t>BP 13GA</t>
  </si>
  <si>
    <t>BP 12GA</t>
  </si>
  <si>
    <t>BP 5-1/4"</t>
  </si>
  <si>
    <t>BP 5"</t>
  </si>
  <si>
    <t>BP 4-3/4"</t>
  </si>
  <si>
    <t>BP 4-1/2"</t>
  </si>
  <si>
    <t>BP 4-1/4"</t>
  </si>
  <si>
    <t>BP 4"</t>
  </si>
  <si>
    <t>BP 3-3/4"</t>
  </si>
  <si>
    <t>BP 3-1/2"</t>
  </si>
  <si>
    <t>BP 3-1/4"</t>
  </si>
  <si>
    <t>BP 3"</t>
  </si>
  <si>
    <t>BP 2-7/8"</t>
  </si>
  <si>
    <t>BP 2-3/4"</t>
  </si>
  <si>
    <t>BP 2-5/8"</t>
  </si>
  <si>
    <t>BP 2-1/2"</t>
  </si>
  <si>
    <t>BP 2-3/8"</t>
  </si>
  <si>
    <t>BP 2-1/4"</t>
  </si>
  <si>
    <t>BP 2-1/8"</t>
  </si>
  <si>
    <t>BP 2"</t>
  </si>
  <si>
    <t>BP 1-7/8"</t>
  </si>
  <si>
    <t>BP 1-3/4"</t>
  </si>
  <si>
    <t>BP 1-5/8"</t>
  </si>
  <si>
    <t>BP 1-1/2"</t>
  </si>
  <si>
    <t>BP 1-3/8"</t>
  </si>
  <si>
    <t>BP 1-1/4"</t>
  </si>
  <si>
    <t>BP 1-1/8"</t>
  </si>
  <si>
    <t>BP 1"</t>
  </si>
  <si>
    <t>BP 15/16"</t>
  </si>
  <si>
    <t>BP 7/8"</t>
  </si>
  <si>
    <t>BP 13/16"</t>
  </si>
  <si>
    <t>BP 3/4"</t>
  </si>
  <si>
    <t>BP 11/16"</t>
  </si>
  <si>
    <t>BP 5/8"</t>
  </si>
  <si>
    <t>BP 9/16"</t>
  </si>
  <si>
    <t>BP 1/2"</t>
  </si>
  <si>
    <t>BP 15/32"</t>
  </si>
  <si>
    <t>BP 7/16"</t>
  </si>
  <si>
    <t>BP 13/32"</t>
  </si>
  <si>
    <t>BP 3/8"</t>
  </si>
  <si>
    <t>BP 11/32"</t>
  </si>
  <si>
    <t>BP 5/16"</t>
  </si>
  <si>
    <t>BP 9/32"</t>
  </si>
  <si>
    <t>BP 1/4"</t>
  </si>
  <si>
    <t>BP 7/32"</t>
  </si>
  <si>
    <t>BP 3/16"</t>
  </si>
  <si>
    <t>BP 5/32"</t>
  </si>
  <si>
    <t>BP 1/8"</t>
  </si>
  <si>
    <t>BP 3/32"</t>
  </si>
  <si>
    <t>BP 1/16"</t>
  </si>
  <si>
    <t>BP 1/32"</t>
  </si>
  <si>
    <t>PL 5-1/4"</t>
  </si>
  <si>
    <t>PL 5"</t>
  </si>
  <si>
    <t>PL 4-3/4"</t>
  </si>
  <si>
    <t>PL 4-1/2"</t>
  </si>
  <si>
    <t>PL 4-1/4"</t>
  </si>
  <si>
    <t>PL 4"</t>
  </si>
  <si>
    <t>PL 3-3/4"</t>
  </si>
  <si>
    <t>PL 3-1/2"</t>
  </si>
  <si>
    <t>PL 3-1/4"</t>
  </si>
  <si>
    <t>PL 3"</t>
  </si>
  <si>
    <t>PL 2-7/8"</t>
  </si>
  <si>
    <t>PL 2-3/4"</t>
  </si>
  <si>
    <t>PL 2-5/8"</t>
  </si>
  <si>
    <t>PL 2-1/2"</t>
  </si>
  <si>
    <t>PL 2-3/8"</t>
  </si>
  <si>
    <t>PL 2-1/4"</t>
  </si>
  <si>
    <t>PL 2-1/8"</t>
  </si>
  <si>
    <t>PL 2"</t>
  </si>
  <si>
    <t>PL 1-7/8"</t>
  </si>
  <si>
    <t>PL 1-3/4"</t>
  </si>
  <si>
    <t>PL 1-5/8"</t>
  </si>
  <si>
    <t>PL 1-1/2"</t>
  </si>
  <si>
    <t>PL 1-3/8"</t>
  </si>
  <si>
    <t>PL 1-1/4"</t>
  </si>
  <si>
    <t>PL 1-1/8"</t>
  </si>
  <si>
    <t>PL 1"</t>
  </si>
  <si>
    <t>PL 15/16"</t>
  </si>
  <si>
    <t>PL 7/8"</t>
  </si>
  <si>
    <t>PL 13/16"</t>
  </si>
  <si>
    <t>PL 3/4"</t>
  </si>
  <si>
    <t>PL 11/16"</t>
  </si>
  <si>
    <t>PL 5/8"</t>
  </si>
  <si>
    <t>PL 9/16"</t>
  </si>
  <si>
    <t>PL 1/2"</t>
  </si>
  <si>
    <t>PL 15/32"</t>
  </si>
  <si>
    <t>PL 7/16"</t>
  </si>
  <si>
    <t>PL 13/32"</t>
  </si>
  <si>
    <t>PL 3/8"</t>
  </si>
  <si>
    <t>PL 11/32"</t>
  </si>
  <si>
    <t>PL 5/16"</t>
  </si>
  <si>
    <t>PL 9/32"</t>
  </si>
  <si>
    <t>PL 1/4"</t>
  </si>
  <si>
    <t>PL 7/32"</t>
  </si>
  <si>
    <t>PL 3/16"</t>
  </si>
  <si>
    <t>PL 5/32"</t>
  </si>
  <si>
    <t>PL 1/8"</t>
  </si>
  <si>
    <t>PL 3/32"</t>
  </si>
  <si>
    <t>PL 1/16"</t>
  </si>
  <si>
    <t>PL 1/32"</t>
  </si>
  <si>
    <t>HP14x117</t>
  </si>
  <si>
    <t>HP14x102</t>
  </si>
  <si>
    <t>HP14x89</t>
  </si>
  <si>
    <t>HP14x73</t>
  </si>
  <si>
    <t>HP13x100</t>
  </si>
  <si>
    <t>HP13x87</t>
  </si>
  <si>
    <t>HP13x73</t>
  </si>
  <si>
    <t>HP13x60</t>
  </si>
  <si>
    <t>HP12x84</t>
  </si>
  <si>
    <t>HP12x74</t>
  </si>
  <si>
    <t>HP12x63</t>
  </si>
  <si>
    <t>HP12x53</t>
  </si>
  <si>
    <t>HP10x57</t>
  </si>
  <si>
    <t>HP10x42</t>
  </si>
  <si>
    <t>HP 8x36</t>
  </si>
  <si>
    <t>MC18x58</t>
  </si>
  <si>
    <t>MC18x51.9</t>
  </si>
  <si>
    <t>MC18x45.8</t>
  </si>
  <si>
    <t>MC18x42.7</t>
  </si>
  <si>
    <t>MC13x50</t>
  </si>
  <si>
    <t>MC13x40</t>
  </si>
  <si>
    <t>MC13x35</t>
  </si>
  <si>
    <t>MC13x31.8</t>
  </si>
  <si>
    <t>MC12x50</t>
  </si>
  <si>
    <t>MC12x45</t>
  </si>
  <si>
    <t>MC12x40</t>
  </si>
  <si>
    <t>MC12x35</t>
  </si>
  <si>
    <t>MC12x31</t>
  </si>
  <si>
    <t>MC12x10.6</t>
  </si>
  <si>
    <t>MC10x41.1</t>
  </si>
  <si>
    <t>MC10x33.6</t>
  </si>
  <si>
    <t>MC10x28.5</t>
  </si>
  <si>
    <t>MC10x25</t>
  </si>
  <si>
    <t>MC10x22</t>
  </si>
  <si>
    <t>MC10x8.4</t>
  </si>
  <si>
    <t>MC10x6.5</t>
  </si>
  <si>
    <t>MC 9x25.4</t>
  </si>
  <si>
    <t>MC 9x23.9</t>
  </si>
  <si>
    <t>MC 8x22.8</t>
  </si>
  <si>
    <t>MC 8x21.4</t>
  </si>
  <si>
    <t>MC 8x20</t>
  </si>
  <si>
    <t>MC 8x18.7</t>
  </si>
  <si>
    <t>MC 8x8.5</t>
  </si>
  <si>
    <t>MC 7x22.7</t>
  </si>
  <si>
    <t>MC 7x19.1</t>
  </si>
  <si>
    <t>MC 6x18</t>
  </si>
  <si>
    <t>MC 6x15.3</t>
  </si>
  <si>
    <t>MC 6x16.3</t>
  </si>
  <si>
    <t>MC 6x15.1</t>
  </si>
  <si>
    <t>MC 6x12</t>
  </si>
  <si>
    <t>C15x50</t>
  </si>
  <si>
    <t>C15x40</t>
  </si>
  <si>
    <t>C15x33.9</t>
  </si>
  <si>
    <t>C12x30</t>
  </si>
  <si>
    <t>C12x25</t>
  </si>
  <si>
    <t>C12x20.7</t>
  </si>
  <si>
    <t>C10x30</t>
  </si>
  <si>
    <t>C10x25</t>
  </si>
  <si>
    <t>C10x20</t>
  </si>
  <si>
    <t>C10x15.3</t>
  </si>
  <si>
    <t>C 9x20</t>
  </si>
  <si>
    <t>C 9x15</t>
  </si>
  <si>
    <t>C 9x13.4</t>
  </si>
  <si>
    <t>C 8x18.75</t>
  </si>
  <si>
    <t>C 8x13.75</t>
  </si>
  <si>
    <t>C 8x11.5</t>
  </si>
  <si>
    <t>C 7x14.75</t>
  </si>
  <si>
    <t>C 7x12.25</t>
  </si>
  <si>
    <t>C 7x9.8</t>
  </si>
  <si>
    <t>C 6x13</t>
  </si>
  <si>
    <t>C 6x10.5</t>
  </si>
  <si>
    <t>C 6x8.2</t>
  </si>
  <si>
    <t>C 5x9</t>
  </si>
  <si>
    <t>C 5x6.7</t>
  </si>
  <si>
    <t>C 4x7.25</t>
  </si>
  <si>
    <t>C 4x5.4</t>
  </si>
  <si>
    <t>C 3x6</t>
  </si>
  <si>
    <t>C 3x5</t>
  </si>
  <si>
    <t>C 3x4.1</t>
  </si>
  <si>
    <t>Sched 160 24"</t>
  </si>
  <si>
    <t>Sched 160 20"</t>
  </si>
  <si>
    <t>Sched 160 18"</t>
  </si>
  <si>
    <t>Sched 160 16"</t>
  </si>
  <si>
    <t>Sched 160 14"</t>
  </si>
  <si>
    <t>Sched 160 12"</t>
  </si>
  <si>
    <t>Sched 160 10"</t>
  </si>
  <si>
    <t>Sched 160 8"</t>
  </si>
  <si>
    <t>Sched 160 6"</t>
  </si>
  <si>
    <t>Sched 160 5"</t>
  </si>
  <si>
    <t>Sched 160 4"</t>
  </si>
  <si>
    <t>Sched 160 3"</t>
  </si>
  <si>
    <t>Sched 160 2-1/2"</t>
  </si>
  <si>
    <t>Sched 160 2"</t>
  </si>
  <si>
    <t>Sched 160 1-1/2"</t>
  </si>
  <si>
    <t>Sched 160 1-1/4"</t>
  </si>
  <si>
    <t>Sched 160 1"</t>
  </si>
  <si>
    <t>Sched 160 3/4"</t>
  </si>
  <si>
    <t>Sched 160 1/2"</t>
  </si>
  <si>
    <t>Sched 140 24"</t>
  </si>
  <si>
    <t>Sched 140 20"</t>
  </si>
  <si>
    <t>Sched 140 18"</t>
  </si>
  <si>
    <t>Sched 140 16"</t>
  </si>
  <si>
    <t>Sched 140 14"</t>
  </si>
  <si>
    <t>Sched 140 12"</t>
  </si>
  <si>
    <t>Sched 140 10"</t>
  </si>
  <si>
    <t>Sched 140 8"</t>
  </si>
  <si>
    <t>Sched 120 24"</t>
  </si>
  <si>
    <t>Sched 120 20"</t>
  </si>
  <si>
    <t>Sched 120 18"</t>
  </si>
  <si>
    <t>Sched 120 16"</t>
  </si>
  <si>
    <t>Sched 120 14"</t>
  </si>
  <si>
    <t>Sched 120 12"</t>
  </si>
  <si>
    <t>Sched 120 10"</t>
  </si>
  <si>
    <t>Sched 120 8"</t>
  </si>
  <si>
    <t>Sched 120 6"</t>
  </si>
  <si>
    <t>Sched 120 5"</t>
  </si>
  <si>
    <t>Sched 120 4"</t>
  </si>
  <si>
    <t>Sched 100 24"</t>
  </si>
  <si>
    <t>Sched 100 20"</t>
  </si>
  <si>
    <t>Sched 100 18"</t>
  </si>
  <si>
    <t>Sched 100 16"</t>
  </si>
  <si>
    <t>Sched 100 14"</t>
  </si>
  <si>
    <t>Sched 100 12"</t>
  </si>
  <si>
    <t>Sched 100 10"</t>
  </si>
  <si>
    <t>Sched 100 8"</t>
  </si>
  <si>
    <t>Sched 80 24"</t>
  </si>
  <si>
    <t>Sched 80 20"</t>
  </si>
  <si>
    <t>Sched 80 18"</t>
  </si>
  <si>
    <t>Sched 80 16"</t>
  </si>
  <si>
    <t>Sched 80 14"</t>
  </si>
  <si>
    <t>Sched 80 12"</t>
  </si>
  <si>
    <t>Sched 80 10"</t>
  </si>
  <si>
    <t>Sched 80 8"</t>
  </si>
  <si>
    <t>Sched 80 6"</t>
  </si>
  <si>
    <t>Sched 80 5"</t>
  </si>
  <si>
    <t>Sched 80 4"</t>
  </si>
  <si>
    <t>Sched 80 3-1/2"</t>
  </si>
  <si>
    <t>Sched 80 3"</t>
  </si>
  <si>
    <t>Sched 80 2-1/2"</t>
  </si>
  <si>
    <t>Sched 80 2"</t>
  </si>
  <si>
    <t>Sched 80 1-1/2"</t>
  </si>
  <si>
    <t>Sched 80 1-1/4"</t>
  </si>
  <si>
    <t>Sched 80 1"</t>
  </si>
  <si>
    <t>Sched 80 3/4"</t>
  </si>
  <si>
    <t>Sched 80 1/2"</t>
  </si>
  <si>
    <t>Sched 80 3/8"</t>
  </si>
  <si>
    <t>Sched 80 1/4"</t>
  </si>
  <si>
    <t>Sched 80 1/8"</t>
  </si>
  <si>
    <t>Sched 60 24"</t>
  </si>
  <si>
    <t>Sched 60 20"</t>
  </si>
  <si>
    <t>Sched 60 18"</t>
  </si>
  <si>
    <t>Sched 60 16"</t>
  </si>
  <si>
    <t>Sched 60 14"</t>
  </si>
  <si>
    <t>Sched 60 12"</t>
  </si>
  <si>
    <t>Sched 60 10"</t>
  </si>
  <si>
    <t>Sched 60 8"</t>
  </si>
  <si>
    <t>Sched 60 4"</t>
  </si>
  <si>
    <t>Sched 40 24"</t>
  </si>
  <si>
    <t>Sched 40 20"</t>
  </si>
  <si>
    <t>Sched 40 18"</t>
  </si>
  <si>
    <t>Sched 40 16"</t>
  </si>
  <si>
    <t>Sched 40 14"</t>
  </si>
  <si>
    <t>Sched 40 12"</t>
  </si>
  <si>
    <t>Sched 40 10"</t>
  </si>
  <si>
    <t>Sched 40 8"</t>
  </si>
  <si>
    <t>Sched 40 6"</t>
  </si>
  <si>
    <t>Sched 40 5"</t>
  </si>
  <si>
    <t>Sched 40 4"</t>
  </si>
  <si>
    <t>Sched 40 3-1/2"</t>
  </si>
  <si>
    <t>Sched 40 3"</t>
  </si>
  <si>
    <t>Sched 40 2-1/2"</t>
  </si>
  <si>
    <t>Sched 40 2"</t>
  </si>
  <si>
    <t>Sched 40 1-1/2"</t>
  </si>
  <si>
    <t>Sched 40 1-1/4"</t>
  </si>
  <si>
    <t>Sched 40 1"</t>
  </si>
  <si>
    <t>Sched 40 3/4"</t>
  </si>
  <si>
    <t>Sched 40 1/2"</t>
  </si>
  <si>
    <t>Sched 40 3/8"</t>
  </si>
  <si>
    <t>Sched 40 1/4"</t>
  </si>
  <si>
    <t>Sched 40 1/8"</t>
  </si>
  <si>
    <t>Sched 30 24"</t>
  </si>
  <si>
    <t>Sched 30 20"</t>
  </si>
  <si>
    <t>Sched 30 18"</t>
  </si>
  <si>
    <t>Sched 30 16"</t>
  </si>
  <si>
    <t>Sched 30 14"</t>
  </si>
  <si>
    <t>Sched 30 12"</t>
  </si>
  <si>
    <t>Sched 30 10"</t>
  </si>
  <si>
    <t>Sched 30 8"</t>
  </si>
  <si>
    <t>Sched 20 24"</t>
  </si>
  <si>
    <t>Sched 20 20"</t>
  </si>
  <si>
    <t>Sched 20 18"</t>
  </si>
  <si>
    <t>Sched 20 16"</t>
  </si>
  <si>
    <t>Sched 20 14"</t>
  </si>
  <si>
    <t>Sched 20 12"</t>
  </si>
  <si>
    <t>Sched 20 10"</t>
  </si>
  <si>
    <t>Sched 20 8"</t>
  </si>
  <si>
    <t>Sched 10 24"</t>
  </si>
  <si>
    <t>Sched 10 20"</t>
  </si>
  <si>
    <t>Sched 10 18"</t>
  </si>
  <si>
    <t>Sched 10 16"</t>
  </si>
  <si>
    <t>Sched 10 14"</t>
  </si>
  <si>
    <t>Sched 10 12"</t>
  </si>
  <si>
    <t>Sched 10 10"</t>
  </si>
  <si>
    <t>Sched 10 8"</t>
  </si>
  <si>
    <t>Sched 10 6"</t>
  </si>
  <si>
    <t>Sched 10 5"</t>
  </si>
  <si>
    <t>Sched 10 4"</t>
  </si>
  <si>
    <t>Sched 10 3-1/2"</t>
  </si>
  <si>
    <t>Sched 10 3"</t>
  </si>
  <si>
    <t>Sched 10 2-1/2"</t>
  </si>
  <si>
    <t>Sched 10 2"</t>
  </si>
  <si>
    <t>Sched 10 1-1/2"</t>
  </si>
  <si>
    <t>Sched 10 1-1/4"</t>
  </si>
  <si>
    <t>Sched 10 1"</t>
  </si>
  <si>
    <t>Sched 10 3/4"</t>
  </si>
  <si>
    <t>Sched 10 1/2"</t>
  </si>
  <si>
    <t>Sched 10 3/8"</t>
  </si>
  <si>
    <t>Sched 10 1/4"</t>
  </si>
  <si>
    <t>Sched 10 1/8"</t>
  </si>
  <si>
    <t>Sched 5 12"</t>
  </si>
  <si>
    <t>Sched 5 10"</t>
  </si>
  <si>
    <t>Sched 5 8"</t>
  </si>
  <si>
    <t>Sched 5 6"</t>
  </si>
  <si>
    <t>Sched 5 5"</t>
  </si>
  <si>
    <t>Sched 5 4"</t>
  </si>
  <si>
    <t>Sched 5 3-1/2"</t>
  </si>
  <si>
    <t>Sched 5 3"</t>
  </si>
  <si>
    <t>Sched 5 2-1/2"</t>
  </si>
  <si>
    <t>Sched 5 2"</t>
  </si>
  <si>
    <t>Sched 5 1-1/2"</t>
  </si>
  <si>
    <t>Sched 5 1-1/4"</t>
  </si>
  <si>
    <t>Sched 5 1"</t>
  </si>
  <si>
    <t>Sched 5 3/4"</t>
  </si>
  <si>
    <t>Sched 5 1/2"</t>
  </si>
  <si>
    <t>Sched 5 3/8"</t>
  </si>
  <si>
    <t>Sched 5 1/4"</t>
  </si>
  <si>
    <t>Sched 5 1/8"</t>
  </si>
  <si>
    <t>SP XX-S 7"</t>
  </si>
  <si>
    <t>SP XX-S 4-1/2"</t>
  </si>
  <si>
    <t>SP XX-S 3-1/2"</t>
  </si>
  <si>
    <t>SP XX-S 1-1/2"</t>
  </si>
  <si>
    <t>SP XX-S 1-1/4"</t>
  </si>
  <si>
    <t>SP XX-S 1"</t>
  </si>
  <si>
    <t>SP XX-S 3/4"</t>
  </si>
  <si>
    <t>SP XX-S 1/2"</t>
  </si>
  <si>
    <t>SP XX-S 8"</t>
  </si>
  <si>
    <t>SP XX-S 6"</t>
  </si>
  <si>
    <t>SP XX-S 5"</t>
  </si>
  <si>
    <t>SP XX-S 4"</t>
  </si>
  <si>
    <t>SP XX-S 3"</t>
  </si>
  <si>
    <t>SP XX-S 2-1/2"</t>
  </si>
  <si>
    <t>SP XX-S 2"</t>
  </si>
  <si>
    <t>SP X-S 24"</t>
  </si>
  <si>
    <t>SP X-S 20"</t>
  </si>
  <si>
    <t>SP X-S 18"</t>
  </si>
  <si>
    <t>SP X-S 16"</t>
  </si>
  <si>
    <t>SP X-S 14"</t>
  </si>
  <si>
    <t>SP X-S 11"</t>
  </si>
  <si>
    <t>SP X-S 9"</t>
  </si>
  <si>
    <t>SP X-S 7"</t>
  </si>
  <si>
    <t>SP X-S 4-1/2"</t>
  </si>
  <si>
    <t>SP X-S 3/8"</t>
  </si>
  <si>
    <t>SP X-S 1/4"</t>
  </si>
  <si>
    <t>SP X-S 1/8"</t>
  </si>
  <si>
    <t>SP X-S 12"</t>
  </si>
  <si>
    <t>SP X-S 10"</t>
  </si>
  <si>
    <t>SP X-S 8"</t>
  </si>
  <si>
    <t>SP X-S 6"</t>
  </si>
  <si>
    <t>SP X-S 5"</t>
  </si>
  <si>
    <t>SP X-S 4"</t>
  </si>
  <si>
    <t>SP X-S 3-1/2"</t>
  </si>
  <si>
    <t>SP X-S 3"</t>
  </si>
  <si>
    <t>SP X-S 2-1/2"</t>
  </si>
  <si>
    <t>SP X-S 2"</t>
  </si>
  <si>
    <t>SP X-S 1-1/2"</t>
  </si>
  <si>
    <t>SP X-S 1-1/4"</t>
  </si>
  <si>
    <t>SP X-S 1"</t>
  </si>
  <si>
    <t>SP X-S 3/4"</t>
  </si>
  <si>
    <t>SP X-S 1/2"</t>
  </si>
  <si>
    <t>SP STD 24"</t>
  </si>
  <si>
    <t>SP STD 20"</t>
  </si>
  <si>
    <t>SP STD 18"</t>
  </si>
  <si>
    <t>SP STD 16"</t>
  </si>
  <si>
    <t>SP STD 14"</t>
  </si>
  <si>
    <t>SP STD 11"</t>
  </si>
  <si>
    <t>SP STD 9"</t>
  </si>
  <si>
    <t>SP STD 7"</t>
  </si>
  <si>
    <t>SP STD 4-1/2"</t>
  </si>
  <si>
    <t>SP STD 3/8"</t>
  </si>
  <si>
    <t>SP STD 1/4"</t>
  </si>
  <si>
    <t>SP STD 1/8"</t>
  </si>
  <si>
    <t>SP STD 12"</t>
  </si>
  <si>
    <t>SP STD 10"</t>
  </si>
  <si>
    <t>SP STD 8"</t>
  </si>
  <si>
    <t>SP STD 6"</t>
  </si>
  <si>
    <t>SP STD 5"</t>
  </si>
  <si>
    <t>SP STD 4"</t>
  </si>
  <si>
    <t>SP STD 3-1/2"</t>
  </si>
  <si>
    <t>SP STD 3"</t>
  </si>
  <si>
    <t>SP STD 2-1/2"</t>
  </si>
  <si>
    <t>SP STD 2"</t>
  </si>
  <si>
    <t>SP STD 1-1/2"</t>
  </si>
  <si>
    <t>SP STD 1-1/4"</t>
  </si>
  <si>
    <t>SP STD 1"</t>
  </si>
  <si>
    <t>SP STD 3/4"</t>
  </si>
  <si>
    <t>SP STD 1/2"</t>
  </si>
  <si>
    <t>TS 20x12x1/2"</t>
  </si>
  <si>
    <t>TS 20x12x3/8"</t>
  </si>
  <si>
    <t>TS 20x12x5/16"</t>
  </si>
  <si>
    <t>TS 20x8x1/2"</t>
  </si>
  <si>
    <t>TS 20x8x3/8"</t>
  </si>
  <si>
    <t>TS 20x8x5/16"</t>
  </si>
  <si>
    <t>TS 20x4x1/2"</t>
  </si>
  <si>
    <t>TS 20x4x3/8"</t>
  </si>
  <si>
    <t>TS 20x4x5/16"</t>
  </si>
  <si>
    <t>TS 18x6x1/2"</t>
  </si>
  <si>
    <t>TS 18x6x3/8"</t>
  </si>
  <si>
    <t>TS 18x6x5/16"</t>
  </si>
  <si>
    <t>TS 16x12x5/8"</t>
  </si>
  <si>
    <t>TS 16x12x1/2"</t>
  </si>
  <si>
    <t>TS 16x12x3/8"</t>
  </si>
  <si>
    <t>TS 16x12x5/16"</t>
  </si>
  <si>
    <t>TS 16x8x1/2"</t>
  </si>
  <si>
    <t>TS 16x8x3/8"</t>
  </si>
  <si>
    <t>TS 16x8x5/16"</t>
  </si>
  <si>
    <t>TS 16x4x1/2"</t>
  </si>
  <si>
    <t>TS 16x4x3/8"</t>
  </si>
  <si>
    <t>TS 16x4x5/16"</t>
  </si>
  <si>
    <t>TS 14x10x5/8"</t>
  </si>
  <si>
    <t>TS 14x10x1/2"</t>
  </si>
  <si>
    <t>TS 14x10x3/8"</t>
  </si>
  <si>
    <t>TS 14x10x5/16"</t>
  </si>
  <si>
    <t>TS 14x6x1/2"</t>
  </si>
  <si>
    <t>TS 14x6x3/8"</t>
  </si>
  <si>
    <t>TS 14x6x5/16"</t>
  </si>
  <si>
    <t>TS 14x6x1/4"</t>
  </si>
  <si>
    <t>TS 14x4x1/2"</t>
  </si>
  <si>
    <t>TS 14x4x3/8"</t>
  </si>
  <si>
    <t>TS 14x4x5/16"</t>
  </si>
  <si>
    <t>TS 14x4x1/4"</t>
  </si>
  <si>
    <t>TS 12x8x5/8"</t>
  </si>
  <si>
    <t>TS 12x8x9/16"</t>
  </si>
  <si>
    <t>TS 12x8x1/2"</t>
  </si>
  <si>
    <t>TS 12x8x3/8"</t>
  </si>
  <si>
    <t>TS 12x8x5/16"</t>
  </si>
  <si>
    <t>TS 12x8x1/4"</t>
  </si>
  <si>
    <t>TS 12x8x3/16"</t>
  </si>
  <si>
    <t>TS 12x6x5/8"</t>
  </si>
  <si>
    <t>TS 12x6x9/16"</t>
  </si>
  <si>
    <t>TS 12x6x1/2"</t>
  </si>
  <si>
    <t>TS 12x6x3/8"</t>
  </si>
  <si>
    <t>TS 12x6x5/16"</t>
  </si>
  <si>
    <t>TS 12x6x1/4"</t>
  </si>
  <si>
    <t>TS 12x6x3/16"</t>
  </si>
  <si>
    <t>TS 12x4x5/8"</t>
  </si>
  <si>
    <t>TS 12x4x9/16"</t>
  </si>
  <si>
    <t>TS 12x4x1/2"</t>
  </si>
  <si>
    <t>TS 12x4x3/8"</t>
  </si>
  <si>
    <t>TS 12x4x5/16"</t>
  </si>
  <si>
    <t>TS 12x4x1/4"</t>
  </si>
  <si>
    <t>TS 12x4x3/16"</t>
  </si>
  <si>
    <t>TS 12x2x1/4"</t>
  </si>
  <si>
    <t>TS 12x2x3/16"</t>
  </si>
  <si>
    <t>TS 10x8x5/8"</t>
  </si>
  <si>
    <t>TS 10x8x9/16"</t>
  </si>
  <si>
    <t>TS 10x8x1/2"</t>
  </si>
  <si>
    <t>TS 10x8x3/8"</t>
  </si>
  <si>
    <t>TS 10x8x5/16"</t>
  </si>
  <si>
    <t>TS 10x8x1/4"</t>
  </si>
  <si>
    <t>TS 10x8x3/16"</t>
  </si>
  <si>
    <t>TS 10x6x5/8"</t>
  </si>
  <si>
    <t>TS 10x6x9/16"</t>
  </si>
  <si>
    <t>TS 10x6x1/2"</t>
  </si>
  <si>
    <t>TS 10x6x3/8"</t>
  </si>
  <si>
    <t>TS 10x6x5/16"</t>
  </si>
  <si>
    <t>TS 10x6x1/4"</t>
  </si>
  <si>
    <t>TS 10x6x3/16"</t>
  </si>
  <si>
    <t>TS 10x5x5/8"</t>
  </si>
  <si>
    <t>TS 10x5x9/16"</t>
  </si>
  <si>
    <t>TS 10x5x1/2"</t>
  </si>
  <si>
    <t>TS 10x5x3/8"</t>
  </si>
  <si>
    <t>TS 10x5x5/16"</t>
  </si>
  <si>
    <t>TS 10x5x1/4"</t>
  </si>
  <si>
    <t>TS 10x5x3/16"</t>
  </si>
  <si>
    <t>TS 10x4x1/2"</t>
  </si>
  <si>
    <t>TS 10x4x3/8"</t>
  </si>
  <si>
    <t>TS 10x4x5/16"</t>
  </si>
  <si>
    <t>TS 10x4x1/4"</t>
  </si>
  <si>
    <t>TS 10x4x3/16"</t>
  </si>
  <si>
    <t>TS 10x2x3/8"</t>
  </si>
  <si>
    <t>TS 10x2x5/16"</t>
  </si>
  <si>
    <t>TS 10x2x1/4"</t>
  </si>
  <si>
    <t>TS 10x2x3/16"</t>
  </si>
  <si>
    <t>TS 9x7x5/8"</t>
  </si>
  <si>
    <t>TS 9x7x9/16"</t>
  </si>
  <si>
    <t>TS 9x7x1/2"</t>
  </si>
  <si>
    <t>TS 9x7x3/8"</t>
  </si>
  <si>
    <t>TS 9x7x5/16"</t>
  </si>
  <si>
    <t>TS 9x7x1/4"</t>
  </si>
  <si>
    <t>TS 9x7x3/16"</t>
  </si>
  <si>
    <t>TS 9x6x5/8"</t>
  </si>
  <si>
    <t>TS 9x6x9/16"</t>
  </si>
  <si>
    <t>TS 9x6x1/2"</t>
  </si>
  <si>
    <t>TS 9x6x3/8"</t>
  </si>
  <si>
    <t>TS 9x6x5/16"</t>
  </si>
  <si>
    <t>TS 9x6x1/4"</t>
  </si>
  <si>
    <t>TS 9x6x3/16"</t>
  </si>
  <si>
    <t>TS 9x5x9/16"</t>
  </si>
  <si>
    <t>TS 9x5x1/2"</t>
  </si>
  <si>
    <t>TS 9x5x3/8"</t>
  </si>
  <si>
    <t>TS 9x5x5/16"</t>
  </si>
  <si>
    <t>TS 9x5x1/4"</t>
  </si>
  <si>
    <t>TS 9x5x3/16"</t>
  </si>
  <si>
    <t>TS 9x3x1/2"</t>
  </si>
  <si>
    <t>TS 9x3x3/8"</t>
  </si>
  <si>
    <t>TS 9x3x5/16"</t>
  </si>
  <si>
    <t>TS 9x3x1/4"</t>
  </si>
  <si>
    <t>TS 9x3x3/16"</t>
  </si>
  <si>
    <t>TS 8x6x9/16"</t>
  </si>
  <si>
    <t>TS 8x6x1/2"</t>
  </si>
  <si>
    <t>TS 8x6x3/8"</t>
  </si>
  <si>
    <t>TS 8x6x5/16"</t>
  </si>
  <si>
    <t>TS 8x6x1/4"</t>
  </si>
  <si>
    <t>TS 8x6x3/16"</t>
  </si>
  <si>
    <t>TS 8x4x9/16"</t>
  </si>
  <si>
    <t>TS 8x4x1/2"</t>
  </si>
  <si>
    <t>TS 8x4x3/8"</t>
  </si>
  <si>
    <t>TS 8x4x5/16"</t>
  </si>
  <si>
    <t>TS 8x4x1/4"</t>
  </si>
  <si>
    <t>TS 8x4x3/16"</t>
  </si>
  <si>
    <t>TS 8x3x1/2"</t>
  </si>
  <si>
    <t>TS 8x3x3/8"</t>
  </si>
  <si>
    <t>TS 8x3x5/16"</t>
  </si>
  <si>
    <t>TS 8x3x1/4"</t>
  </si>
  <si>
    <t>TS 8x3x3/16"</t>
  </si>
  <si>
    <t>TS 8x2x3/8"</t>
  </si>
  <si>
    <t>TS 8x2x5/16"</t>
  </si>
  <si>
    <t>TS 8x2x1/4"</t>
  </si>
  <si>
    <t>TS 8x2x3/16"</t>
  </si>
  <si>
    <t>TS 7x5x1/2"</t>
  </si>
  <si>
    <t>TS 7x5x3/8"</t>
  </si>
  <si>
    <t>TS 7x5x5/16"</t>
  </si>
  <si>
    <t>TS 7x5x1/4"</t>
  </si>
  <si>
    <t>TS 7x5x3/16"</t>
  </si>
  <si>
    <t>TS 7x4x1/2"</t>
  </si>
  <si>
    <t>TS 7x4x3/8"</t>
  </si>
  <si>
    <t>TS 7x4x5/16"</t>
  </si>
  <si>
    <t>TS 7x4x1/4"</t>
  </si>
  <si>
    <t>TS 7x4x3/16"</t>
  </si>
  <si>
    <t>TS 7x3x1/2"</t>
  </si>
  <si>
    <t>TS 7x3x3/8"</t>
  </si>
  <si>
    <t>TS 7x3x5/16"</t>
  </si>
  <si>
    <t>TS 7x3x1/4"</t>
  </si>
  <si>
    <t>TS 7x3x3/16"</t>
  </si>
  <si>
    <t>TS 7x2x1/4"</t>
  </si>
  <si>
    <t>TS 7x2x3/16"</t>
  </si>
  <si>
    <t>TS 6x5x1/2"</t>
  </si>
  <si>
    <t>TS 6x5x3/8"</t>
  </si>
  <si>
    <t>TS 6x5x5/16"</t>
  </si>
  <si>
    <t>TS 6x5x1/4"</t>
  </si>
  <si>
    <t>TS 6x5x3/16"</t>
  </si>
  <si>
    <t>TS 6x4x1/2"</t>
  </si>
  <si>
    <t>TS 6x4x3/8"</t>
  </si>
  <si>
    <t>TS 6x4x5/16"</t>
  </si>
  <si>
    <t>TS 6x4x1/4"</t>
  </si>
  <si>
    <t>TS 6x4x3/16"</t>
  </si>
  <si>
    <t>TS 6x3x3/8"</t>
  </si>
  <si>
    <t>TS 6x3x5/16"</t>
  </si>
  <si>
    <t>TS 6x3x1/4"</t>
  </si>
  <si>
    <t>TS 6x3x3/16"</t>
  </si>
  <si>
    <t>TS 6x2x3/8"</t>
  </si>
  <si>
    <t>TS 6x2x5/16"</t>
  </si>
  <si>
    <t>TS 6x2x1/4"</t>
  </si>
  <si>
    <t>TS 6x2x3/16"</t>
  </si>
  <si>
    <t>TS 5x4x3/8"</t>
  </si>
  <si>
    <t>TS 5x4x5/16"</t>
  </si>
  <si>
    <t>TS 5x4x1/4"</t>
  </si>
  <si>
    <t>TS 5x4x3/16"</t>
  </si>
  <si>
    <t>TS 5x3x1/2"</t>
  </si>
  <si>
    <t>TS 5x3x3/8"</t>
  </si>
  <si>
    <t>TS 5x3x5/16"</t>
  </si>
  <si>
    <t>TS 5x3x1/4"</t>
  </si>
  <si>
    <t>TS 5x3x3/16"</t>
  </si>
  <si>
    <t>TS 5x2x5/16"</t>
  </si>
  <si>
    <t>TS 5x2x1/4"</t>
  </si>
  <si>
    <t>TS 5x2x3/16"</t>
  </si>
  <si>
    <t>TS 4x3x5/16"</t>
  </si>
  <si>
    <t>TS 4x3x1/4"</t>
  </si>
  <si>
    <t>TS 4x3x3/16"</t>
  </si>
  <si>
    <t>TS 4x2x5/16"</t>
  </si>
  <si>
    <t>TS 4x2x1/4"</t>
  </si>
  <si>
    <t>TS 4x2x3/16"</t>
  </si>
  <si>
    <t>TS 3.5x2.5x1/4"</t>
  </si>
  <si>
    <t>TS 3.5x2.5x3/16"</t>
  </si>
  <si>
    <t>TS 3x2x1/4"</t>
  </si>
  <si>
    <t>TS 3x2x3/16"</t>
  </si>
  <si>
    <t>TS 16x16x5/8"</t>
  </si>
  <si>
    <t>TS 16x16x1/2"</t>
  </si>
  <si>
    <t>TS 16x16x3/8"</t>
  </si>
  <si>
    <t>TS 16x16x5/16"</t>
  </si>
  <si>
    <t>TS 14x14x5/8"</t>
  </si>
  <si>
    <t>TS 14x14x1/2"</t>
  </si>
  <si>
    <t>TS 14x14x3/8"</t>
  </si>
  <si>
    <t>TS 14x14x5/16"</t>
  </si>
  <si>
    <t>TS 12x12x5/8"</t>
  </si>
  <si>
    <t>TS 12x12x1/2"</t>
  </si>
  <si>
    <t>TS 12x12x3/8"</t>
  </si>
  <si>
    <t>TS 12x12x5/16"</t>
  </si>
  <si>
    <t>TS 12x12x1/4"</t>
  </si>
  <si>
    <t>TS 12x12x3/16"</t>
  </si>
  <si>
    <t>TS 10x10x5/8"</t>
  </si>
  <si>
    <t>TS 10x10x9/16"</t>
  </si>
  <si>
    <t>TS 10x10x1/2"</t>
  </si>
  <si>
    <t>TS 10x10x3/8"</t>
  </si>
  <si>
    <t>TS 10x10x5/16"</t>
  </si>
  <si>
    <t>TS 10x10x1/4"</t>
  </si>
  <si>
    <t>TS 10x10x3/16"</t>
  </si>
  <si>
    <t>TS 9x9x5/8"</t>
  </si>
  <si>
    <t>TS 9x9x9/16"</t>
  </si>
  <si>
    <t>TS 9x9x1/2"</t>
  </si>
  <si>
    <t>TS 9x9x3/8"</t>
  </si>
  <si>
    <t>TS 9x9x5/16"</t>
  </si>
  <si>
    <t>TS 9x9x1/4"</t>
  </si>
  <si>
    <t>TS 9x9x3/16"</t>
  </si>
  <si>
    <t>TS 8x8x5/8"</t>
  </si>
  <si>
    <t>TS 8x8x9/16"</t>
  </si>
  <si>
    <t>TS 8x8x1/2"</t>
  </si>
  <si>
    <t>TS 8x8x3/8"</t>
  </si>
  <si>
    <t>TS 8x8x5/16"</t>
  </si>
  <si>
    <t>TS 8x8x1/4"</t>
  </si>
  <si>
    <t>TS 8x8x3/16"</t>
  </si>
  <si>
    <t>TS 7x7x9/16"</t>
  </si>
  <si>
    <t>TS 7x7x1/2"</t>
  </si>
  <si>
    <t>TS 7x7x3/8"</t>
  </si>
  <si>
    <t>TS 7x7x5/16"</t>
  </si>
  <si>
    <t>TS 7x7x1/4"</t>
  </si>
  <si>
    <t>TS 7x7x3/16"</t>
  </si>
  <si>
    <t>TS 6x6x9/16"</t>
  </si>
  <si>
    <t>TS 6x6x1/2"</t>
  </si>
  <si>
    <t>TS 6x6x3/8"</t>
  </si>
  <si>
    <t>TS 6x6x5/16"</t>
  </si>
  <si>
    <t>TS 6x6x1/4"</t>
  </si>
  <si>
    <t>TS 6x6x3/16"</t>
  </si>
  <si>
    <t>TS 5x5x1/2"</t>
  </si>
  <si>
    <t>TS 5x5x3/8"</t>
  </si>
  <si>
    <t>TS 5x5x5/16"</t>
  </si>
  <si>
    <t>TS 5x5x1/4"</t>
  </si>
  <si>
    <t>TS 5x5x3/16"</t>
  </si>
  <si>
    <t>TS 4.5x4.5x1/4"</t>
  </si>
  <si>
    <t>TS 4.5x4.5x3/16"</t>
  </si>
  <si>
    <t>TS 4x4x1/2"</t>
  </si>
  <si>
    <t>TS 4x4x3/8"</t>
  </si>
  <si>
    <t>TS 4x4x5/16"</t>
  </si>
  <si>
    <t>TS 4x4x1/4"</t>
  </si>
  <si>
    <t>TS 4x4x3/16"</t>
  </si>
  <si>
    <t>TS 3.5x3.5x5/16"</t>
  </si>
  <si>
    <t>TS 3.5x3.5x1/4"</t>
  </si>
  <si>
    <t>TS 3.5x3.5x3/16"</t>
  </si>
  <si>
    <t>TS 3x3x5/16"</t>
  </si>
  <si>
    <t>TS 3x3x1/4"</t>
  </si>
  <si>
    <t>TS 3x3x3/16"</t>
  </si>
  <si>
    <t>TS 2.5x2.5x5/16"</t>
  </si>
  <si>
    <t>TS 2.5x2.5x1/4"</t>
  </si>
  <si>
    <t>TS 2.5x2.5x3/16"</t>
  </si>
  <si>
    <t>TS 2x2x5/16"</t>
  </si>
  <si>
    <t>TS 2x2x1/4"</t>
  </si>
  <si>
    <t>TS 2x2x3/16"</t>
  </si>
  <si>
    <t>MT7 x 9</t>
  </si>
  <si>
    <t>MT6 x 5.9</t>
  </si>
  <si>
    <t>MT5 x 4.5</t>
  </si>
  <si>
    <t>MT4 x 3.25</t>
  </si>
  <si>
    <t>MT3 x 2.2</t>
  </si>
  <si>
    <t>MT2.5x9.45</t>
  </si>
  <si>
    <t>M14 x18</t>
  </si>
  <si>
    <t>M12 x11.8</t>
  </si>
  <si>
    <t>M12 x10.8</t>
  </si>
  <si>
    <t>M12 x10</t>
  </si>
  <si>
    <t>M10 x 9</t>
  </si>
  <si>
    <t>M10 x 8</t>
  </si>
  <si>
    <t>M10 x 7.5</t>
  </si>
  <si>
    <t>M 8 x 6.5</t>
  </si>
  <si>
    <t>M 6 x 4.4</t>
  </si>
  <si>
    <t>M 5 x18.9</t>
  </si>
  <si>
    <t>ST12 x60.5</t>
  </si>
  <si>
    <t>ST12 x 53</t>
  </si>
  <si>
    <t>ST12 x 50</t>
  </si>
  <si>
    <t>ST12 x 45</t>
  </si>
  <si>
    <t>ST12 x 40</t>
  </si>
  <si>
    <t>ST10 x 48</t>
  </si>
  <si>
    <t>ST10 x 43</t>
  </si>
  <si>
    <t>ST10 x37.5</t>
  </si>
  <si>
    <t>ST10 x 33</t>
  </si>
  <si>
    <t>ST 9 x 35</t>
  </si>
  <si>
    <t>ST 9 x27.35</t>
  </si>
  <si>
    <t>ST7.5x 25</t>
  </si>
  <si>
    <t>ST7.5x21.45</t>
  </si>
  <si>
    <t>ST 6 x 25</t>
  </si>
  <si>
    <t>ST 6 x20.4</t>
  </si>
  <si>
    <t>ST 6 x17.5</t>
  </si>
  <si>
    <t>ST 6 x15.9</t>
  </si>
  <si>
    <t>ST 5 x17.5</t>
  </si>
  <si>
    <t>ST 5 x12.7</t>
  </si>
  <si>
    <t>ST 4 x11.5</t>
  </si>
  <si>
    <t>ST 4 x 9.2</t>
  </si>
  <si>
    <t>ST3.5x 10</t>
  </si>
  <si>
    <t>ST3.5x 7.65</t>
  </si>
  <si>
    <t>ST 3 x8.625</t>
  </si>
  <si>
    <t>ST 3 x 6.25</t>
  </si>
  <si>
    <t>ST2.5x7.375</t>
  </si>
  <si>
    <t>ST2.5x  5</t>
  </si>
  <si>
    <t>ST 2 x 4.75</t>
  </si>
  <si>
    <t>ST 2 x 3.85</t>
  </si>
  <si>
    <t>ST1.5x 3.75</t>
  </si>
  <si>
    <t>ST1.5x 2.85</t>
  </si>
  <si>
    <t>S 24 x121</t>
  </si>
  <si>
    <t>S 24 x106</t>
  </si>
  <si>
    <t>S 24 x100</t>
  </si>
  <si>
    <t>S 24 x 90</t>
  </si>
  <si>
    <t>S 24 x 80</t>
  </si>
  <si>
    <t>S 20 x 96</t>
  </si>
  <si>
    <t>S 20 x 86</t>
  </si>
  <si>
    <t>S 20 x 75</t>
  </si>
  <si>
    <t>S 20 x 66</t>
  </si>
  <si>
    <t>S 18 x 70</t>
  </si>
  <si>
    <t>S 18 x54.7</t>
  </si>
  <si>
    <t>S 15 x 50</t>
  </si>
  <si>
    <t>S 15 x42.9</t>
  </si>
  <si>
    <t>S 12 x 50</t>
  </si>
  <si>
    <t>S 12 x40.8</t>
  </si>
  <si>
    <t>S 12 x 35</t>
  </si>
  <si>
    <t>S 12 x31.8</t>
  </si>
  <si>
    <t>S 10 x 35</t>
  </si>
  <si>
    <t>S 10 x25.4</t>
  </si>
  <si>
    <t>S  8 x 23</t>
  </si>
  <si>
    <t>S  8 x18.4</t>
  </si>
  <si>
    <t>S  7 x 20</t>
  </si>
  <si>
    <t>S  7 x15.3</t>
  </si>
  <si>
    <t>S  6 x17.25</t>
  </si>
  <si>
    <t>S  6 x12.5</t>
  </si>
  <si>
    <t>S  5 x14.75</t>
  </si>
  <si>
    <t>S  5 x 10</t>
  </si>
  <si>
    <t>S  4 x 9.5</t>
  </si>
  <si>
    <t>S  4 x 7.7</t>
  </si>
  <si>
    <t>S  3 x 7.5</t>
  </si>
  <si>
    <t>S  3 x 5.7</t>
  </si>
  <si>
    <t>WT18 x179.5</t>
  </si>
  <si>
    <t>WT18 x164</t>
  </si>
  <si>
    <t>WT18 x150</t>
  </si>
  <si>
    <t>WT18 x140</t>
  </si>
  <si>
    <t>WT18 x130</t>
  </si>
  <si>
    <t>WT18 x122.5</t>
  </si>
  <si>
    <t>WT18 x115</t>
  </si>
  <si>
    <t>WT18 x128</t>
  </si>
  <si>
    <t>WT18 x116</t>
  </si>
  <si>
    <t>WT18 x105</t>
  </si>
  <si>
    <t>WT18 x 97</t>
  </si>
  <si>
    <t>WT18 x 91</t>
  </si>
  <si>
    <t>WT18 x 85</t>
  </si>
  <si>
    <t>WT18 x 80</t>
  </si>
  <si>
    <t>WT18 x 75</t>
  </si>
  <si>
    <t>WT18 x67.5</t>
  </si>
  <si>
    <t>WT16.5x 177</t>
  </si>
  <si>
    <t>WT16.5x159</t>
  </si>
  <si>
    <t>WT16.5x145.5</t>
  </si>
  <si>
    <t>WT16.5x131.5</t>
  </si>
  <si>
    <t>WT16.5x120.5</t>
  </si>
  <si>
    <t>WT16.5x110.5</t>
  </si>
  <si>
    <t>WT16.5x100.5</t>
  </si>
  <si>
    <t>WT16.5x84.5</t>
  </si>
  <si>
    <t>WT16.5x  76</t>
  </si>
  <si>
    <t>WT16.5x70.5</t>
  </si>
  <si>
    <t>WT16.5x  65</t>
  </si>
  <si>
    <t>WT16.5x  59</t>
  </si>
  <si>
    <t>WT15 x117.5</t>
  </si>
  <si>
    <t>WT15 x105.5</t>
  </si>
  <si>
    <t>WT15 x95.5</t>
  </si>
  <si>
    <t>WT15 x86.5</t>
  </si>
  <si>
    <t>WT15 x  74</t>
  </si>
  <si>
    <t>WT15 x  66</t>
  </si>
  <si>
    <t>WT15 x  62</t>
  </si>
  <si>
    <t>WT15 x  58</t>
  </si>
  <si>
    <t>WT15 x  54</t>
  </si>
  <si>
    <t>WT15 x49.5</t>
  </si>
  <si>
    <t>WT13.5x108.5</t>
  </si>
  <si>
    <t>WT13.5x  97</t>
  </si>
  <si>
    <t>WT13.5x  89</t>
  </si>
  <si>
    <t>WT13.5x80.5</t>
  </si>
  <si>
    <t>WT13.5x  73</t>
  </si>
  <si>
    <t>WT13.5x64.5</t>
  </si>
  <si>
    <t>WT13.5x  57</t>
  </si>
  <si>
    <t>WT13.5x  51</t>
  </si>
  <si>
    <t>WT13.5x  47</t>
  </si>
  <si>
    <t>WT13.5x  42</t>
  </si>
  <si>
    <t>WT12 x  88</t>
  </si>
  <si>
    <t>WT12 x  81</t>
  </si>
  <si>
    <t>WT12 x  73</t>
  </si>
  <si>
    <t>WT12 x65.5</t>
  </si>
  <si>
    <t>WT12 x58.5</t>
  </si>
  <si>
    <t>WT12 x  52</t>
  </si>
  <si>
    <t>WT12 x51.5</t>
  </si>
  <si>
    <t>WT12 x  47</t>
  </si>
  <si>
    <t>WT12 x  42</t>
  </si>
  <si>
    <t>WT12 x  38</t>
  </si>
  <si>
    <t>WT12 x  34</t>
  </si>
  <si>
    <t>WT12 x  31</t>
  </si>
  <si>
    <t>WT12 x27.5</t>
  </si>
  <si>
    <t>WT10.5x   83</t>
  </si>
  <si>
    <t>WT10.5x73.5</t>
  </si>
  <si>
    <t>WT10.5x  66</t>
  </si>
  <si>
    <t>WT10.5x  61</t>
  </si>
  <si>
    <t>WT10.5x55.5</t>
  </si>
  <si>
    <t>WT10.5x50.5</t>
  </si>
  <si>
    <t>WT10.5x46.5</t>
  </si>
  <si>
    <t>WT10.5x41.5</t>
  </si>
  <si>
    <t>WT10.5x36.5</t>
  </si>
  <si>
    <t>WT10.5x  34</t>
  </si>
  <si>
    <t>WT10.5x  31</t>
  </si>
  <si>
    <t>WT10.5x28.5</t>
  </si>
  <si>
    <t>WT10.5x  25</t>
  </si>
  <si>
    <t>WT10.5x  22</t>
  </si>
  <si>
    <t>WT 9 x71.5</t>
  </si>
  <si>
    <t>WT 9 x  65</t>
  </si>
  <si>
    <t>WT 9 x59.5</t>
  </si>
  <si>
    <t>WT 9 x  53</t>
  </si>
  <si>
    <t>WT 9 x48.5</t>
  </si>
  <si>
    <t>WT 9 x  43</t>
  </si>
  <si>
    <t>WT 9 x  38</t>
  </si>
  <si>
    <t>WT 9 x35.5</t>
  </si>
  <si>
    <t>WT 9 x32.5</t>
  </si>
  <si>
    <t>WT 9 x  30</t>
  </si>
  <si>
    <t>WT 9 x27.4</t>
  </si>
  <si>
    <t>WT 9 x  25</t>
  </si>
  <si>
    <t>WT 9 x  23</t>
  </si>
  <si>
    <t>WT 9 x  20</t>
  </si>
  <si>
    <t>WT 9 x17.5</t>
  </si>
  <si>
    <t>WT 8 x  50</t>
  </si>
  <si>
    <t>WT 8 x44.5</t>
  </si>
  <si>
    <t>WT 8 x38.5</t>
  </si>
  <si>
    <t>WT 8 x33.5</t>
  </si>
  <si>
    <t>WT 8 x28.5</t>
  </si>
  <si>
    <t>WT 8 x  25</t>
  </si>
  <si>
    <t>WT 8 x 22.5</t>
  </si>
  <si>
    <t>WT 8 x  20</t>
  </si>
  <si>
    <t>WT 8 x  18</t>
  </si>
  <si>
    <t>WT 8 x 15.5</t>
  </si>
  <si>
    <t>WT 8 x  13</t>
  </si>
  <si>
    <t>WT 7 x 365</t>
  </si>
  <si>
    <t>WT 7 x332.5</t>
  </si>
  <si>
    <t>WT 7 x302.5</t>
  </si>
  <si>
    <t>WT 7 x 275</t>
  </si>
  <si>
    <t>WT 7 x 250</t>
  </si>
  <si>
    <t>WT 7 x227.5</t>
  </si>
  <si>
    <t>WT 7 x 213</t>
  </si>
  <si>
    <t>WT 7 x 199</t>
  </si>
  <si>
    <t>WT 7 x 185</t>
  </si>
  <si>
    <t>WT 7 x 171</t>
  </si>
  <si>
    <t>WT 7 x155.5</t>
  </si>
  <si>
    <t>WT 7 x141.5</t>
  </si>
  <si>
    <t>WT 7 x128.5</t>
  </si>
  <si>
    <t>WT 7 x116.5</t>
  </si>
  <si>
    <t>WT 7 x105.5</t>
  </si>
  <si>
    <t>WT 7 x96.5</t>
  </si>
  <si>
    <t>WT 7 x  88</t>
  </si>
  <si>
    <t>WT 7 x79.5</t>
  </si>
  <si>
    <t>WT 7 x72.5</t>
  </si>
  <si>
    <t>WT 7 x  66</t>
  </si>
  <si>
    <t>WT 7 x  60</t>
  </si>
  <si>
    <t>WT 7 x54.5</t>
  </si>
  <si>
    <t>WT 7 x49.5</t>
  </si>
  <si>
    <t>WT 7 x  45</t>
  </si>
  <si>
    <t>WT 7 x  41</t>
  </si>
  <si>
    <t>WT 7 x  37</t>
  </si>
  <si>
    <t>WT 7 x  34</t>
  </si>
  <si>
    <t>WT 7 x30.5</t>
  </si>
  <si>
    <t>WT 7 x26.5</t>
  </si>
  <si>
    <t>WT 7 x  24</t>
  </si>
  <si>
    <t>WT 7 x21.5</t>
  </si>
  <si>
    <t>WT 7 x  19</t>
  </si>
  <si>
    <t>WT 7 x  17</t>
  </si>
  <si>
    <t>WT 7 x  15</t>
  </si>
  <si>
    <t>WT 7 x  13</t>
  </si>
  <si>
    <t>WT 7 x  11</t>
  </si>
  <si>
    <t>WT 6 x 168</t>
  </si>
  <si>
    <t>WT 6 x152.5</t>
  </si>
  <si>
    <t>WT 6 x139.5</t>
  </si>
  <si>
    <t>WT 6 x 126</t>
  </si>
  <si>
    <t>WT 6 x 115</t>
  </si>
  <si>
    <t>WT 6 x 105</t>
  </si>
  <si>
    <t>WT 6 x  95</t>
  </si>
  <si>
    <t>WT 6 x  85</t>
  </si>
  <si>
    <t>WT 6 x  76</t>
  </si>
  <si>
    <t>WT 6 x  68</t>
  </si>
  <si>
    <t>WT 6 x  60</t>
  </si>
  <si>
    <t>WT 6 x  53</t>
  </si>
  <si>
    <t>WT 6 x  48</t>
  </si>
  <si>
    <t>WT 6 x43.5</t>
  </si>
  <si>
    <t>WT 6 x39.5</t>
  </si>
  <si>
    <t>WT 6 x  36</t>
  </si>
  <si>
    <t>WT 6 x32.5</t>
  </si>
  <si>
    <t>WT 6 x  29</t>
  </si>
  <si>
    <t>WT 6 x26.5</t>
  </si>
  <si>
    <t>WT 6 x  25</t>
  </si>
  <si>
    <t>WT 6 x22.5</t>
  </si>
  <si>
    <t>WT 6 x  20</t>
  </si>
  <si>
    <t>WT 6 x17.5</t>
  </si>
  <si>
    <t>WT 6 x  15</t>
  </si>
  <si>
    <t>WT 6 x  13</t>
  </si>
  <si>
    <t>WT 6 x  11</t>
  </si>
  <si>
    <t>WT 6 x 9.5</t>
  </si>
  <si>
    <t>WT 6 x   8</t>
  </si>
  <si>
    <t>WT 6 x   7</t>
  </si>
  <si>
    <t>WT 5 x  56</t>
  </si>
  <si>
    <t>WT 5 x  50</t>
  </si>
  <si>
    <t>WT 5 x  44</t>
  </si>
  <si>
    <t>WT 5 x38.5</t>
  </si>
  <si>
    <t>WT 5 x  34</t>
  </si>
  <si>
    <t>WT 5 x  30</t>
  </si>
  <si>
    <t>WT 5 x  27</t>
  </si>
  <si>
    <t>WT 5 x24.5</t>
  </si>
  <si>
    <t>WT 5 x22.5</t>
  </si>
  <si>
    <t>WT 5 x19.5</t>
  </si>
  <si>
    <t>WT 5 x16.5</t>
  </si>
  <si>
    <t>WT 5 x  15</t>
  </si>
  <si>
    <t>WT 5 x  13</t>
  </si>
  <si>
    <t>WT 5 x  11</t>
  </si>
  <si>
    <t>WT 5 x 9.5</t>
  </si>
  <si>
    <t>WT 5 x 8.5</t>
  </si>
  <si>
    <t>WT 5 x 7.5</t>
  </si>
  <si>
    <t>WT 5 x   6</t>
  </si>
  <si>
    <t>WT 4 x33.5</t>
  </si>
  <si>
    <t>WT 4 x  29</t>
  </si>
  <si>
    <t>WT 4 x  24</t>
  </si>
  <si>
    <t>WT 4 x  20</t>
  </si>
  <si>
    <t>WT 4 x17.5</t>
  </si>
  <si>
    <t>WT 4 x15.5</t>
  </si>
  <si>
    <t>WT 4 x  14</t>
  </si>
  <si>
    <t>WT 4 x  12</t>
  </si>
  <si>
    <t>WT 4 x10.5</t>
  </si>
  <si>
    <t>WT 4 x   9</t>
  </si>
  <si>
    <t>WT 4 x 7.5</t>
  </si>
  <si>
    <t>WT 4 x 6.5</t>
  </si>
  <si>
    <t>WT 4 x   5</t>
  </si>
  <si>
    <t>WT 3 x12.5</t>
  </si>
  <si>
    <t>WT 3 x  10</t>
  </si>
  <si>
    <t>WT 3 x 7.5</t>
  </si>
  <si>
    <t>WT 3 x   8</t>
  </si>
  <si>
    <t>WT 3 x   6</t>
  </si>
  <si>
    <t>WT 3 x 4.5</t>
  </si>
  <si>
    <t>WT2.5x 9.5</t>
  </si>
  <si>
    <t>WT2.5x   8</t>
  </si>
  <si>
    <t>WT 2 x 6.5</t>
  </si>
  <si>
    <t>L 9    X4    X5/8</t>
  </si>
  <si>
    <t>L 9    X4    X9/16</t>
  </si>
  <si>
    <t>L 9    X4    X1/2</t>
  </si>
  <si>
    <t>L 8    X8    X1-1/8</t>
  </si>
  <si>
    <t>L 8    X8    X1"</t>
  </si>
  <si>
    <t>L 8    X8    X7/8</t>
  </si>
  <si>
    <t>L 8    X8    X3/4</t>
  </si>
  <si>
    <t>L 8    X8    X5/8</t>
  </si>
  <si>
    <t>L 8    X8    X9/16</t>
  </si>
  <si>
    <t>L 8    X8    X1/2</t>
  </si>
  <si>
    <t>L 8    X6    X1"</t>
  </si>
  <si>
    <t>L 8    X6    X7/8</t>
  </si>
  <si>
    <t>L 8    X6    X3/4</t>
  </si>
  <si>
    <t>L 8    X6    X5/8</t>
  </si>
  <si>
    <t>L 8    X6    X9/16</t>
  </si>
  <si>
    <t>L 8    X6    X1/2</t>
  </si>
  <si>
    <t>L 8    X6    X7/16</t>
  </si>
  <si>
    <t>L 8    X4    X1"</t>
  </si>
  <si>
    <t>L 8    X4    X3/4</t>
  </si>
  <si>
    <t>L 8    X4    X9/16</t>
  </si>
  <si>
    <t>L 8    X4    X1/2</t>
  </si>
  <si>
    <t>L 7    X4    X3/4</t>
  </si>
  <si>
    <t>L 7    X4    X5/8</t>
  </si>
  <si>
    <t>L 7    X4    X1/2</t>
  </si>
  <si>
    <t>L 7    X4    X3/8</t>
  </si>
  <si>
    <t>L 6    X6    X1"</t>
  </si>
  <si>
    <t>L 6    X6    X7/8</t>
  </si>
  <si>
    <t>L 6    X6    X3/4</t>
  </si>
  <si>
    <t>L 6    X6    X5/8</t>
  </si>
  <si>
    <t>L 6    X6    X9/16</t>
  </si>
  <si>
    <t>L 6    X6    X1/2</t>
  </si>
  <si>
    <t>L 6    X6    X7/16</t>
  </si>
  <si>
    <t>L 6    X6    X3/8</t>
  </si>
  <si>
    <t>L 6    X6    X5/16</t>
  </si>
  <si>
    <t>L 6    X4    X7/8</t>
  </si>
  <si>
    <t>L 6    X4    X3/4</t>
  </si>
  <si>
    <t>L 6    X4    X5/8</t>
  </si>
  <si>
    <t>L 6    X4    X9/16</t>
  </si>
  <si>
    <t>L 6    X4    X1/2</t>
  </si>
  <si>
    <t>L 6    X4    X7/16</t>
  </si>
  <si>
    <t>L 6    X4    X3/8</t>
  </si>
  <si>
    <t>L 6    X4    X5/16</t>
  </si>
  <si>
    <t>L 6    X3-1/2X1/2</t>
  </si>
  <si>
    <t>L 6    X3-1/2X3/8</t>
  </si>
  <si>
    <t>L 6    X3-1/2X5/16</t>
  </si>
  <si>
    <t>L 5    X5    X7/8</t>
  </si>
  <si>
    <t>L 5    X5    X3/4</t>
  </si>
  <si>
    <t>L 5    X5    X5/8</t>
  </si>
  <si>
    <t>L 5    X5    X1/2</t>
  </si>
  <si>
    <t>L 5    X5    X7/16</t>
  </si>
  <si>
    <t>L 5    X5    X3/8</t>
  </si>
  <si>
    <t>L 5    X5    X5/16</t>
  </si>
  <si>
    <t>L 5    X3-1/2X3/4</t>
  </si>
  <si>
    <t>L 5    X3-1/2X5/8</t>
  </si>
  <si>
    <t>L 5    X3-1/2X1/2</t>
  </si>
  <si>
    <t>L 5    X3-1/2X7/16</t>
  </si>
  <si>
    <t>L 5    X3-1/2X3/8</t>
  </si>
  <si>
    <t>L 5    X3-1/2X5/16</t>
  </si>
  <si>
    <t>L 5    X3-1/2X1/4</t>
  </si>
  <si>
    <t>L 5    X3    X5/8</t>
  </si>
  <si>
    <t>L 5    X3    X1/2</t>
  </si>
  <si>
    <t>L 5    X3    X7/16</t>
  </si>
  <si>
    <t>L 5    X3    X3/8</t>
  </si>
  <si>
    <t>L 5    X3    X5/16</t>
  </si>
  <si>
    <t>L 5    X3    X1/4</t>
  </si>
  <si>
    <t>L 4    X4    X3/4</t>
  </si>
  <si>
    <t>L 4    X4    X5/8</t>
  </si>
  <si>
    <t>L 4    X4    X1/2</t>
  </si>
  <si>
    <t>L 4    X4    X7/16</t>
  </si>
  <si>
    <t>L 4    X4    X3/8</t>
  </si>
  <si>
    <t>L 4    X4    X5/16</t>
  </si>
  <si>
    <t>L 4    X4    X1/4</t>
  </si>
  <si>
    <t>L 4    X3-1/2X1/2</t>
  </si>
  <si>
    <t>L 4    X3-1/2X7/16</t>
  </si>
  <si>
    <t>L 4    X3-1/2X3/8</t>
  </si>
  <si>
    <t>L 4    X3-1/2X5/16</t>
  </si>
  <si>
    <t>L 4    X3-1/2X1/4</t>
  </si>
  <si>
    <t>L 4    X3    X1/2</t>
  </si>
  <si>
    <t>L 4    X3    X7/16</t>
  </si>
  <si>
    <t>L 4    X3    X3/8</t>
  </si>
  <si>
    <t>L 4    X3    X5/16</t>
  </si>
  <si>
    <t>L 4    X3    X1/4</t>
  </si>
  <si>
    <t>L 3-1/2X3-1/2X1/2</t>
  </si>
  <si>
    <t>L 3-1/2X3-1/2X7/16</t>
  </si>
  <si>
    <t>L 3-1/2X3-1/2X3/8</t>
  </si>
  <si>
    <t>L 3-1/2X3-1/2X5/16</t>
  </si>
  <si>
    <t>L 3-1/2X3-1/2X1/4</t>
  </si>
  <si>
    <t>L 3-1/2X3    X1/2</t>
  </si>
  <si>
    <t>L 3-1/2X3    X7/16</t>
  </si>
  <si>
    <t>L 3-1/2X3    X3/8</t>
  </si>
  <si>
    <t>L 3-1/2X3    X5/16</t>
  </si>
  <si>
    <t>L 3-1/2X3    X1/4</t>
  </si>
  <si>
    <t>L 3-1/2X2-1/2X1/2</t>
  </si>
  <si>
    <t>L 3-1/2X2-1/2X7/16</t>
  </si>
  <si>
    <t>L 3-1/2X2-1/2X3/8</t>
  </si>
  <si>
    <t>L 3-1/2X2-1/2X5/16</t>
  </si>
  <si>
    <t>L 3-1/2X2-1/2X1/4</t>
  </si>
  <si>
    <t>L 3    X3    X1/2</t>
  </si>
  <si>
    <t>L 3    X3    X7/16</t>
  </si>
  <si>
    <t>L 3    X3    X3/8</t>
  </si>
  <si>
    <t>L 3    X3    X5/16</t>
  </si>
  <si>
    <t>L 3    X3    X1/4</t>
  </si>
  <si>
    <t>L 3    X3    X3/16</t>
  </si>
  <si>
    <t>L 3    X2-1/2X1/2</t>
  </si>
  <si>
    <t>L 3    X2-1/2X7/16</t>
  </si>
  <si>
    <t>L 3    X2-1/2X3/8</t>
  </si>
  <si>
    <t>L 3    X2-1/2X5/16</t>
  </si>
  <si>
    <t>L 3    X2-1/2X1/4</t>
  </si>
  <si>
    <t>L 3    X2-1/2X3/16</t>
  </si>
  <si>
    <t>L 3    X2    X1/2</t>
  </si>
  <si>
    <t>L 3    X2    X7/16</t>
  </si>
  <si>
    <t>L 3    X2    X3/8</t>
  </si>
  <si>
    <t>L 3    X2    X5/16</t>
  </si>
  <si>
    <t>L 3    X2    X1/4</t>
  </si>
  <si>
    <t>L 3    X2    X3/16</t>
  </si>
  <si>
    <t>L 2-1/2X2-1/2X1/2</t>
  </si>
  <si>
    <t>L 2-1/2X2-1/2X3/8</t>
  </si>
  <si>
    <t>L 2-1/2X2-1/2X5/16</t>
  </si>
  <si>
    <t>L 2-1/2X2-1/2X1/4</t>
  </si>
  <si>
    <t>L 2-1/2X2-1/2X3/16</t>
  </si>
  <si>
    <t>L 2-1/2X2    X3/8</t>
  </si>
  <si>
    <t>L 2-1/2X2    X5/16</t>
  </si>
  <si>
    <t>L 2-1/2X2    X1/4</t>
  </si>
  <si>
    <t>L 2-1/2X2    X3/16</t>
  </si>
  <si>
    <t>L 2    X2    X3/8</t>
  </si>
  <si>
    <t>L 2    X2    X5/16</t>
  </si>
  <si>
    <t>L 2    X2    X1/4</t>
  </si>
  <si>
    <t>L 2    X2    X3/16</t>
  </si>
  <si>
    <t>L 2    X2    X1/8</t>
  </si>
  <si>
    <t>L 1-3/4X1-3/4X1/4</t>
  </si>
  <si>
    <t>L 1-3/4X1-3/4X3/16</t>
  </si>
  <si>
    <t>L 1-1/2X1-1/2X1/4</t>
  </si>
  <si>
    <t>L 1-1/2X1-1/2X3/16</t>
  </si>
  <si>
    <t>L 1-1/4X1-1/4X1/4</t>
  </si>
  <si>
    <t>L 1-1/4X1-1/4X3/16</t>
  </si>
  <si>
    <t>L 1-1/8X1-1/8X1/8</t>
  </si>
  <si>
    <t>L 1    X1    X1/8</t>
  </si>
  <si>
    <t>W44 x 285</t>
  </si>
  <si>
    <t>W44 x 248</t>
  </si>
  <si>
    <t>W44 x 224</t>
  </si>
  <si>
    <t>W44 x 198</t>
  </si>
  <si>
    <t>W40 x 328</t>
  </si>
  <si>
    <t>W40 x 298</t>
  </si>
  <si>
    <t>W40 x 264</t>
  </si>
  <si>
    <t>W40 x 244</t>
  </si>
  <si>
    <t>W40 x 221</t>
  </si>
  <si>
    <t>W40 x 192</t>
  </si>
  <si>
    <t>W40 x 655</t>
  </si>
  <si>
    <t>W40 x 593</t>
  </si>
  <si>
    <t>W40 x 531</t>
  </si>
  <si>
    <t>W40 x 480</t>
  </si>
  <si>
    <t>W40 x 436</t>
  </si>
  <si>
    <t>W40 x 397</t>
  </si>
  <si>
    <t>W40 x 362</t>
  </si>
  <si>
    <t>W40 x 324</t>
  </si>
  <si>
    <t>W40 x 297</t>
  </si>
  <si>
    <t>W40 x 277</t>
  </si>
  <si>
    <t>W40 x 249</t>
  </si>
  <si>
    <t>W40 x 211</t>
  </si>
  <si>
    <t>W40 x 199</t>
  </si>
  <si>
    <t>W40 x 183</t>
  </si>
  <si>
    <t>W40 x 167</t>
  </si>
  <si>
    <t>W40 x 149</t>
  </si>
  <si>
    <t>W36 x 848</t>
  </si>
  <si>
    <t>W36 x 798</t>
  </si>
  <si>
    <t>W36 x 720</t>
  </si>
  <si>
    <t>W36 x 650</t>
  </si>
  <si>
    <t>W36 x 588</t>
  </si>
  <si>
    <t>W36 x 527</t>
  </si>
  <si>
    <t>W36 x 485</t>
  </si>
  <si>
    <t>W36 x 439</t>
  </si>
  <si>
    <t>W36 x 393</t>
  </si>
  <si>
    <t>W36 x 359</t>
  </si>
  <si>
    <t>W36 x 328</t>
  </si>
  <si>
    <t>W36 x 300</t>
  </si>
  <si>
    <t>W36 x 280</t>
  </si>
  <si>
    <t>W36 x 260</t>
  </si>
  <si>
    <t>W36 x 245</t>
  </si>
  <si>
    <t>W36 x 230</t>
  </si>
  <si>
    <t>W36 x 256</t>
  </si>
  <si>
    <t>W36 x 232</t>
  </si>
  <si>
    <t>W36 x 210</t>
  </si>
  <si>
    <t>W36 x 194</t>
  </si>
  <si>
    <t>W36 x 182</t>
  </si>
  <si>
    <t>W36 x 170</t>
  </si>
  <si>
    <t>W36 x 160</t>
  </si>
  <si>
    <t>W36 x 150</t>
  </si>
  <si>
    <t>W36 x 135</t>
  </si>
  <si>
    <t>W33 x 619</t>
  </si>
  <si>
    <t>W33 x 567</t>
  </si>
  <si>
    <t>W33 x 515</t>
  </si>
  <si>
    <t>W33 x 468</t>
  </si>
  <si>
    <t>W33 x 424</t>
  </si>
  <si>
    <t>W33 x 387</t>
  </si>
  <si>
    <t>W33 x 354</t>
  </si>
  <si>
    <t>W33 x 318</t>
  </si>
  <si>
    <t>W33 x 291</t>
  </si>
  <si>
    <t>W33 x 263</t>
  </si>
  <si>
    <t>W33 x 241</t>
  </si>
  <si>
    <t>W33 x 221</t>
  </si>
  <si>
    <t>W33 x 201</t>
  </si>
  <si>
    <t>W33 x 169</t>
  </si>
  <si>
    <t>W33 x 152</t>
  </si>
  <si>
    <t>W33 x 141</t>
  </si>
  <si>
    <t>W33 x 130</t>
  </si>
  <si>
    <t>W33 x 118</t>
  </si>
  <si>
    <t>W30 x 581</t>
  </si>
  <si>
    <t>W30 x 526</t>
  </si>
  <si>
    <t>W30 x 477</t>
  </si>
  <si>
    <t>W30 x 433</t>
  </si>
  <si>
    <t>W30 x 391</t>
  </si>
  <si>
    <t>W30 x 357</t>
  </si>
  <si>
    <t>W30 x 326</t>
  </si>
  <si>
    <t>W30 x 292</t>
  </si>
  <si>
    <t>W30 x 261</t>
  </si>
  <si>
    <t>W30 x 235</t>
  </si>
  <si>
    <t>W30 x 211</t>
  </si>
  <si>
    <t>W30 x 191</t>
  </si>
  <si>
    <t>W30 x 173</t>
  </si>
  <si>
    <t>W30 x 148</t>
  </si>
  <si>
    <t>W30 x 132</t>
  </si>
  <si>
    <t>W30 x 124</t>
  </si>
  <si>
    <t>W30 x 116</t>
  </si>
  <si>
    <t>W30 x 108</t>
  </si>
  <si>
    <t>W30 x  99</t>
  </si>
  <si>
    <t>W30 x  90</t>
  </si>
  <si>
    <t>W27 x 539</t>
  </si>
  <si>
    <t>W27 x 494</t>
  </si>
  <si>
    <t>W27 x 448</t>
  </si>
  <si>
    <t>W27 x 407</t>
  </si>
  <si>
    <t>W27 x 368</t>
  </si>
  <si>
    <t>W27 x 336</t>
  </si>
  <si>
    <t>W27 x 307</t>
  </si>
  <si>
    <t>W27 x 281</t>
  </si>
  <si>
    <t>W27 x 258</t>
  </si>
  <si>
    <t>W27 x 235</t>
  </si>
  <si>
    <t>W27 x 217</t>
  </si>
  <si>
    <t>W27 x 194</t>
  </si>
  <si>
    <t>W27 x 178</t>
  </si>
  <si>
    <t>W27 x 161</t>
  </si>
  <si>
    <t>W27 x 146</t>
  </si>
  <si>
    <t>W27 x 129</t>
  </si>
  <si>
    <t>W27 x 114</t>
  </si>
  <si>
    <t>W27 x 102</t>
  </si>
  <si>
    <t>W27 x  94</t>
  </si>
  <si>
    <t>W27 x  84</t>
  </si>
  <si>
    <t>W24 x 492</t>
  </si>
  <si>
    <t>W24 x 450</t>
  </si>
  <si>
    <t>W24 x 408</t>
  </si>
  <si>
    <t>W24 x 370</t>
  </si>
  <si>
    <t>W24 x 335</t>
  </si>
  <si>
    <t>W24 x 306</t>
  </si>
  <si>
    <t>W24 x 279</t>
  </si>
  <si>
    <t>W24 x 250</t>
  </si>
  <si>
    <t>W24 x 229</t>
  </si>
  <si>
    <t>W24 x 207</t>
  </si>
  <si>
    <t>W24 x 192</t>
  </si>
  <si>
    <t>W24 x 176</t>
  </si>
  <si>
    <t>W24 x 162</t>
  </si>
  <si>
    <t>W24 x 146</t>
  </si>
  <si>
    <t>W24 x 131</t>
  </si>
  <si>
    <t>W24 x 117</t>
  </si>
  <si>
    <t>W24 x 104</t>
  </si>
  <si>
    <t>W24 x 103</t>
  </si>
  <si>
    <t>W24 x  94</t>
  </si>
  <si>
    <t>W24 x  84</t>
  </si>
  <si>
    <t>W24 x  76</t>
  </si>
  <si>
    <t>W24 x  68</t>
  </si>
  <si>
    <t>W24 x  62</t>
  </si>
  <si>
    <t>W24 x  55</t>
  </si>
  <si>
    <t>W21 x 402</t>
  </si>
  <si>
    <t>W21 x 364</t>
  </si>
  <si>
    <t>W21 x 333</t>
  </si>
  <si>
    <t>W21 x 300</t>
  </si>
  <si>
    <t>W21 x 275</t>
  </si>
  <si>
    <t>W21 x 248</t>
  </si>
  <si>
    <t>W21 x 223</t>
  </si>
  <si>
    <t>W21 x 201</t>
  </si>
  <si>
    <t>W21 x 182</t>
  </si>
  <si>
    <t>W21 x 166</t>
  </si>
  <si>
    <t>W21 x 147</t>
  </si>
  <si>
    <t>W21 x 132</t>
  </si>
  <si>
    <t>W21 x 122</t>
  </si>
  <si>
    <t>W21 x 111</t>
  </si>
  <si>
    <t>W21 x 101</t>
  </si>
  <si>
    <t>W21 x  93</t>
  </si>
  <si>
    <t>W21 x  83</t>
  </si>
  <si>
    <t>W21 x  73</t>
  </si>
  <si>
    <t>W21 x  68</t>
  </si>
  <si>
    <t>W21 x  62</t>
  </si>
  <si>
    <t>W21 x  57</t>
  </si>
  <si>
    <t>W21 x  50</t>
  </si>
  <si>
    <t>W21 x  44</t>
  </si>
  <si>
    <t>W18 x 311</t>
  </si>
  <si>
    <t>W18 x 283</t>
  </si>
  <si>
    <t>W18 x 258</t>
  </si>
  <si>
    <t>W18 x 234</t>
  </si>
  <si>
    <t>W18 x 211</t>
  </si>
  <si>
    <t>W18 x 192</t>
  </si>
  <si>
    <t>W18 x 175</t>
  </si>
  <si>
    <t>W18 x 158</t>
  </si>
  <si>
    <t>W18 x 143</t>
  </si>
  <si>
    <t>W18 x 130</t>
  </si>
  <si>
    <t>W18 x 119</t>
  </si>
  <si>
    <t>W18 x 106</t>
  </si>
  <si>
    <t>W18 x  97</t>
  </si>
  <si>
    <t>W18 x  86</t>
  </si>
  <si>
    <t>W18 x  76</t>
  </si>
  <si>
    <t>W18 x  71</t>
  </si>
  <si>
    <t>W18 x  65</t>
  </si>
  <si>
    <t>W18 x  60</t>
  </si>
  <si>
    <t>W18 x  55</t>
  </si>
  <si>
    <t>W18 x  50</t>
  </si>
  <si>
    <t>W18 x  46</t>
  </si>
  <si>
    <t>W18 x  40</t>
  </si>
  <si>
    <t>W18 x  35</t>
  </si>
  <si>
    <t>W16 x 100</t>
  </si>
  <si>
    <t>W16 x  89</t>
  </si>
  <si>
    <t>W16 x  77</t>
  </si>
  <si>
    <t>W16 x  67</t>
  </si>
  <si>
    <t>W16 x  57</t>
  </si>
  <si>
    <t>W16 x  50</t>
  </si>
  <si>
    <t>W16 x  45</t>
  </si>
  <si>
    <t>W16 x  40</t>
  </si>
  <si>
    <t>W16 x  36</t>
  </si>
  <si>
    <t>W16 x  31</t>
  </si>
  <si>
    <t>W16 x  26</t>
  </si>
  <si>
    <t>W14 x 730</t>
  </si>
  <si>
    <t>W14 x 665</t>
  </si>
  <si>
    <t>W14 x 605</t>
  </si>
  <si>
    <t>W14 x 550</t>
  </si>
  <si>
    <t>W14 x 500</t>
  </si>
  <si>
    <t>W14 x 455</t>
  </si>
  <si>
    <t>W14 x 426</t>
  </si>
  <si>
    <t>W14 x 398</t>
  </si>
  <si>
    <t>W14 x 370</t>
  </si>
  <si>
    <t>W14 x 342</t>
  </si>
  <si>
    <t>W14 x 311</t>
  </si>
  <si>
    <t>W14 x 283</t>
  </si>
  <si>
    <t>W14 x 257</t>
  </si>
  <si>
    <t>W14 x 233</t>
  </si>
  <si>
    <t>W14 x 211</t>
  </si>
  <si>
    <t>W14 x 193</t>
  </si>
  <si>
    <t>W14 x 176</t>
  </si>
  <si>
    <t>W14 x 159</t>
  </si>
  <si>
    <t>W14 x 145</t>
  </si>
  <si>
    <t>W14 x 132</t>
  </si>
  <si>
    <t>W14 x 120</t>
  </si>
  <si>
    <t>W14 x 109</t>
  </si>
  <si>
    <t>W14 x  99</t>
  </si>
  <si>
    <t>W14 x  90</t>
  </si>
  <si>
    <t>W14 x  82</t>
  </si>
  <si>
    <t>W14 x  74</t>
  </si>
  <si>
    <t>W14 x  68</t>
  </si>
  <si>
    <t>W14 x  61</t>
  </si>
  <si>
    <t>W14 x  53</t>
  </si>
  <si>
    <t>W14 x  48</t>
  </si>
  <si>
    <t>W14 x  43</t>
  </si>
  <si>
    <t>W14 x  38</t>
  </si>
  <si>
    <t>W14 x  34</t>
  </si>
  <si>
    <t>W14 x  30</t>
  </si>
  <si>
    <t>W14 x  26</t>
  </si>
  <si>
    <t>W14 x  22</t>
  </si>
  <si>
    <t>W12 x 336</t>
  </si>
  <si>
    <t>W12 x 305</t>
  </si>
  <si>
    <t>W12 x 279</t>
  </si>
  <si>
    <t>W12 x 252</t>
  </si>
  <si>
    <t>W12 x 230</t>
  </si>
  <si>
    <t>W12 x 210</t>
  </si>
  <si>
    <t>W12 x 190</t>
  </si>
  <si>
    <t>W12 x 170</t>
  </si>
  <si>
    <t>W12 x 152</t>
  </si>
  <si>
    <t>W12 x 136</t>
  </si>
  <si>
    <t>W12 x 120</t>
  </si>
  <si>
    <t>W12 x 106</t>
  </si>
  <si>
    <t>W12 x  96</t>
  </si>
  <si>
    <t>W12 x  87</t>
  </si>
  <si>
    <t>W12 x  79</t>
  </si>
  <si>
    <t>W12 x  72</t>
  </si>
  <si>
    <t>W12 x  65</t>
  </si>
  <si>
    <t>W12 x  58</t>
  </si>
  <si>
    <t>W12 x  53</t>
  </si>
  <si>
    <t>W12 x  50</t>
  </si>
  <si>
    <t>W12 x  45</t>
  </si>
  <si>
    <t>W12 x  40</t>
  </si>
  <si>
    <t>W12 x  35</t>
  </si>
  <si>
    <t>W12 x  30</t>
  </si>
  <si>
    <t>W12 x  26</t>
  </si>
  <si>
    <t>W12 x  22</t>
  </si>
  <si>
    <t>W12 x  19</t>
  </si>
  <si>
    <t>W12 x  16</t>
  </si>
  <si>
    <t>W12 x  14</t>
  </si>
  <si>
    <t>W10 x 112</t>
  </si>
  <si>
    <t>W10 x 100</t>
  </si>
  <si>
    <t>W10 x  88</t>
  </si>
  <si>
    <t>W10 x  77</t>
  </si>
  <si>
    <t>W10 x  68</t>
  </si>
  <si>
    <t>W10 x  60</t>
  </si>
  <si>
    <t>W10 x  54</t>
  </si>
  <si>
    <t>W10 x  49</t>
  </si>
  <si>
    <t>W10 x  45</t>
  </si>
  <si>
    <t>W10 x  39</t>
  </si>
  <si>
    <t>W10 x  33</t>
  </si>
  <si>
    <t>W10 x  30</t>
  </si>
  <si>
    <t>W10 x  26</t>
  </si>
  <si>
    <t>W10 x  22</t>
  </si>
  <si>
    <t>W10 x  19</t>
  </si>
  <si>
    <t>W10 x  17</t>
  </si>
  <si>
    <t>W10 x  15</t>
  </si>
  <si>
    <t>W10 x  12</t>
  </si>
  <si>
    <t>W 8 x  67</t>
  </si>
  <si>
    <t>W 8 x  58</t>
  </si>
  <si>
    <t>W 8 x  48</t>
  </si>
  <si>
    <t>W 8 x  40</t>
  </si>
  <si>
    <t>W 8 x  35</t>
  </si>
  <si>
    <t>W 8 x  31</t>
  </si>
  <si>
    <t>W 8 x  28</t>
  </si>
  <si>
    <t>W 8 x  24</t>
  </si>
  <si>
    <t>W 8 x  21</t>
  </si>
  <si>
    <t>W 8 x  18</t>
  </si>
  <si>
    <t>W 8 x  15</t>
  </si>
  <si>
    <t>W 8 x  13</t>
  </si>
  <si>
    <t>W 8 x  10</t>
  </si>
  <si>
    <t>W 6 x  25</t>
  </si>
  <si>
    <t>W 6 x  20</t>
  </si>
  <si>
    <t>W 6 x  15</t>
  </si>
  <si>
    <t>W 6 x  16</t>
  </si>
  <si>
    <t>W 6 x  12</t>
  </si>
  <si>
    <t>W 6 x   9</t>
  </si>
  <si>
    <t>W 5 x  19</t>
  </si>
  <si>
    <t>W 5 x  16</t>
  </si>
  <si>
    <t>W 4 x  13</t>
  </si>
  <si>
    <t>CAT#9</t>
  </si>
  <si>
    <t>CAT#8</t>
  </si>
  <si>
    <t>CAT#7</t>
  </si>
  <si>
    <t>CAT#6</t>
  </si>
  <si>
    <t>CAT#5</t>
  </si>
  <si>
    <t>CAT#4</t>
  </si>
  <si>
    <t>CAT#3</t>
  </si>
  <si>
    <t>CAT#2</t>
  </si>
  <si>
    <t>CAT#1</t>
  </si>
  <si>
    <t>Total weight, all grades</t>
  </si>
  <si>
    <t>Type L steel</t>
  </si>
  <si>
    <t>309 stainless</t>
  </si>
  <si>
    <t>Grade ar 600 steel</t>
  </si>
  <si>
    <t>Grade ar 400 steel</t>
  </si>
  <si>
    <t>Grade ar 350 steel</t>
  </si>
  <si>
    <t>Galvanized</t>
  </si>
  <si>
    <t>Grade 409 stainless</t>
  </si>
  <si>
    <t>Grade 316L stainless</t>
  </si>
  <si>
    <t>Grade A582 steel</t>
  </si>
  <si>
    <t>Grade A514 steel</t>
  </si>
  <si>
    <t>Grade 316 stainless</t>
  </si>
  <si>
    <t>Grade 304L stainless</t>
  </si>
  <si>
    <t>Grade 304 stainless</t>
  </si>
  <si>
    <t>Grade A588 steel</t>
  </si>
  <si>
    <t>Grade A242 steel</t>
  </si>
  <si>
    <t>Grade A572 50 ksi steel</t>
  </si>
  <si>
    <t>Grade A572 42 ksi steel</t>
  </si>
  <si>
    <t>Grade A441 steel</t>
  </si>
  <si>
    <t>Grade A529 steel</t>
  </si>
  <si>
    <t>Grade A36 steel</t>
  </si>
  <si>
    <t>CAT#9 - floor plate</t>
  </si>
  <si>
    <t>CAT#9 - gratings</t>
  </si>
  <si>
    <t>CAT#9 - rods</t>
  </si>
  <si>
    <t>CAT#9 - bent plates</t>
  </si>
  <si>
    <t>CAT#9 - plates</t>
  </si>
  <si>
    <t>CAT#9 - structural tubing</t>
  </si>
  <si>
    <t>CAT#9 - steel pipe</t>
  </si>
  <si>
    <t>CAT#9 - tees</t>
  </si>
  <si>
    <t>CAT#9 - angles</t>
  </si>
  <si>
    <t>CAT#9 - channels</t>
  </si>
  <si>
    <t>CAT#9 - W/M/S shapes</t>
  </si>
  <si>
    <t>CAT#8 - floor plate</t>
  </si>
  <si>
    <t>CAT#8 - gratings</t>
  </si>
  <si>
    <t>CAT#8 - rods</t>
  </si>
  <si>
    <t>CAT#8 - bent plates</t>
  </si>
  <si>
    <t>CAT#8 - plates</t>
  </si>
  <si>
    <t>CAT#8 - structural tubing</t>
  </si>
  <si>
    <t>CAT#8 - steel pipe</t>
  </si>
  <si>
    <t>CAT#8 - tees</t>
  </si>
  <si>
    <t>CAT#8 - angles</t>
  </si>
  <si>
    <t>CAT#8 - channels</t>
  </si>
  <si>
    <t>CAT#8 - W/M/S shapes</t>
  </si>
  <si>
    <t>CAT#7 - floor plate</t>
  </si>
  <si>
    <t>CAT#7 - gratings</t>
  </si>
  <si>
    <t>CAT#7 - rods</t>
  </si>
  <si>
    <t>CAT#7 - bent plates</t>
  </si>
  <si>
    <t>CAT#7 - plates</t>
  </si>
  <si>
    <t>CAT#7 - structural tubing</t>
  </si>
  <si>
    <t>CAT#7 - steel pipe</t>
  </si>
  <si>
    <t>CAT#7 - tees</t>
  </si>
  <si>
    <t>CAT#7 - angles</t>
  </si>
  <si>
    <t>CAT#7 - channels</t>
  </si>
  <si>
    <t>CAT#7 - W/M/S shapes</t>
  </si>
  <si>
    <t>CAT#6 - floor plate</t>
  </si>
  <si>
    <t>CAT#6 - gratings</t>
  </si>
  <si>
    <t>CAT#6 - rods</t>
  </si>
  <si>
    <t>CAT#6 - bent plates</t>
  </si>
  <si>
    <t>CAT#6 - plates</t>
  </si>
  <si>
    <t>CAT#6 - structural tubing</t>
  </si>
  <si>
    <t>CAT#6 - steel pipe</t>
  </si>
  <si>
    <t>CAT#6 - tees</t>
  </si>
  <si>
    <t>CAT#6 - angles</t>
  </si>
  <si>
    <t>CAT#6 - channels</t>
  </si>
  <si>
    <t>CAT#6 - W/M/S shapes</t>
  </si>
  <si>
    <t>CAT#5 - floor plate</t>
  </si>
  <si>
    <t>CAT#5 - gratings</t>
  </si>
  <si>
    <t>CAT#5 - rods</t>
  </si>
  <si>
    <t>CAT#5 - bent plates</t>
  </si>
  <si>
    <t>CAT#5 - plates</t>
  </si>
  <si>
    <t>CAT#5 - structural tubing</t>
  </si>
  <si>
    <t>CAT#5 - steel pipe</t>
  </si>
  <si>
    <t>CAT#5 - tees</t>
  </si>
  <si>
    <t>CAT#5 - angles</t>
  </si>
  <si>
    <t>CAT#5 - channels</t>
  </si>
  <si>
    <t>CAT#5 - W/M/S shapes</t>
  </si>
  <si>
    <t>CAT#4 - floor plate</t>
  </si>
  <si>
    <t>CAT#4 - gratings</t>
  </si>
  <si>
    <t>CAT#4 - rods</t>
  </si>
  <si>
    <t>CAT#4 - bent plates</t>
  </si>
  <si>
    <t>CAT#4 - plates</t>
  </si>
  <si>
    <t>CAT#4 - structural tubing</t>
  </si>
  <si>
    <t>CAT#4 - steel pipe</t>
  </si>
  <si>
    <t>CAT#4 - tees</t>
  </si>
  <si>
    <t>CAT#4 - angles</t>
  </si>
  <si>
    <t>CAT#4 - channels</t>
  </si>
  <si>
    <t>CAT#4 - W/M/S shapes</t>
  </si>
  <si>
    <t>CAT#3 - floor plate</t>
  </si>
  <si>
    <t>CAT#3 - gratings</t>
  </si>
  <si>
    <t>CAT#3 - rods</t>
  </si>
  <si>
    <t>CAT#3 - bent plates</t>
  </si>
  <si>
    <t>CAT#3 - plates</t>
  </si>
  <si>
    <t>CAT#3 - structural tubing</t>
  </si>
  <si>
    <t>CAT#3 - steel pipe</t>
  </si>
  <si>
    <t>CAT#3 - tees</t>
  </si>
  <si>
    <t>CAT#3 - angles</t>
  </si>
  <si>
    <t>CAT#3 - channels</t>
  </si>
  <si>
    <t>CAT#3 - W/M/S shapes</t>
  </si>
  <si>
    <t>CAT#2 - floor plate</t>
  </si>
  <si>
    <t>CAT#2 - gratings</t>
  </si>
  <si>
    <t>CAT#2 - rods</t>
  </si>
  <si>
    <t>CAT#2 - bent plates</t>
  </si>
  <si>
    <t>CAT#2 - plates</t>
  </si>
  <si>
    <t>CAT#2 - structural tubing</t>
  </si>
  <si>
    <t>CAT#2 - steel pipe</t>
  </si>
  <si>
    <t>CAT#2 - tees</t>
  </si>
  <si>
    <t>CAT#2 - angles</t>
  </si>
  <si>
    <t>CAT#2 - channels</t>
  </si>
  <si>
    <t>CAT#2 - W/M/S shapes</t>
  </si>
  <si>
    <t>CAT#1 - floor plate</t>
  </si>
  <si>
    <t>CAT#1 - gratings</t>
  </si>
  <si>
    <t>CAT#1 - rods</t>
  </si>
  <si>
    <t>CAT#1 - bent plates</t>
  </si>
  <si>
    <t>CAT#1 - plates</t>
  </si>
  <si>
    <t>CAT#1 - structrual tubing</t>
  </si>
  <si>
    <t>CAT#1 - steel pipe</t>
  </si>
  <si>
    <t>CAT#1 - tees</t>
  </si>
  <si>
    <t>CAT#1 - angles</t>
  </si>
  <si>
    <t>CAT#1 - channels</t>
  </si>
  <si>
    <t>CAT#1 - W/M/S shapes</t>
  </si>
  <si>
    <t>CAT#0 - floor plate</t>
  </si>
  <si>
    <t>CAT#0 - gratings</t>
  </si>
  <si>
    <t>CAT#0 - rods</t>
  </si>
  <si>
    <t>CAT#0 - bent plates</t>
  </si>
  <si>
    <t>CAT#0 - plates</t>
  </si>
  <si>
    <t>CAT#0 - structural tubing</t>
  </si>
  <si>
    <t>CAT#0 - steel pipe</t>
  </si>
  <si>
    <t>CAT#0 - tees</t>
  </si>
  <si>
    <t>CAT#0 - angles</t>
  </si>
  <si>
    <t>CAT#0 - channels</t>
  </si>
  <si>
    <t>CAT#0 - W/M/S shapes</t>
  </si>
  <si>
    <t>** Structural steel members **</t>
  </si>
  <si>
    <t>TOTAL WEIGHT OF STRUCTURAL STEEL</t>
  </si>
  <si>
    <t>IN</t>
  </si>
  <si>
    <t>1/4" STRUCTURAL FILLET WELDS</t>
  </si>
  <si>
    <t>FIELD DRILL HOLES IN STR STEEL</t>
  </si>
  <si>
    <t>SHAKEOUT AND HAUL STEEL</t>
  </si>
  <si>
    <t>ERECT STEEL PLATFORMS</t>
  </si>
  <si>
    <t>ERECT STEEL PIPE SUPPORTS</t>
  </si>
  <si>
    <t>65.4# per LF</t>
  </si>
  <si>
    <t>INSTALL 12" EXTRA STRONG PIPE</t>
  </si>
  <si>
    <t>54.7# per LF</t>
  </si>
  <si>
    <t>INSTALL 10" EXTRA STRONG PIPE</t>
  </si>
  <si>
    <t>43.4# per LF</t>
  </si>
  <si>
    <t>INSTALL 8" EXTRA STRONG PIPE</t>
  </si>
  <si>
    <t>28.58# per LF</t>
  </si>
  <si>
    <t>INSTALL 6" EXTRA STRONG PIPE</t>
  </si>
  <si>
    <t>20.78# per LF</t>
  </si>
  <si>
    <t>INSTALL 5" EXTRA STRONG PIPE</t>
  </si>
  <si>
    <t>14.99# per LF</t>
  </si>
  <si>
    <t>INSTALL 4" EXTRA STRONG PIPE</t>
  </si>
  <si>
    <t>12.51# per LF</t>
  </si>
  <si>
    <t>INSTALL 3-1/2" EXTRA STRONG PIPE</t>
  </si>
  <si>
    <t>10.25# per LF</t>
  </si>
  <si>
    <t>INSTALL 3" EXTRA STRONG PIPE</t>
  </si>
  <si>
    <t>7.662# per LF</t>
  </si>
  <si>
    <t>INSTALL 2-1/2" EXTRA STRONG PIPE</t>
  </si>
  <si>
    <t>5.022# per LF</t>
  </si>
  <si>
    <t>INSTALL 2" EXTRA STRONG PIPE</t>
  </si>
  <si>
    <t>3.632# per LF</t>
  </si>
  <si>
    <t>INSTALL 1-1/2" EXTRA STRONG PIPE</t>
  </si>
  <si>
    <t>2.997# per LF</t>
  </si>
  <si>
    <t>INSTALL 1-1/4" EXTRA STRONG PIPE</t>
  </si>
  <si>
    <t>2.172# per LF</t>
  </si>
  <si>
    <t>INSTALL 1" EXTRA STRONG PIPE</t>
  </si>
  <si>
    <t>1.474# per LF</t>
  </si>
  <si>
    <t>INSTALL 3/4" EXTRA STRONG PIPE</t>
  </si>
  <si>
    <t>1.088# per LF</t>
  </si>
  <si>
    <t>INSTALL 1/2" EXTRA STRONG PIPE</t>
  </si>
  <si>
    <t>49.6# per LF</t>
  </si>
  <si>
    <t>INSTALL 12" STD WT PIPE</t>
  </si>
  <si>
    <t>40.5# per LF</t>
  </si>
  <si>
    <t>INSTALL 10" STD WT PIPE</t>
  </si>
  <si>
    <t>28.56# per LF</t>
  </si>
  <si>
    <t>INSTALL 8" STD WT PIPE</t>
  </si>
  <si>
    <t>18.98# per LF</t>
  </si>
  <si>
    <t>INSTALL 6" STD WT PIPE</t>
  </si>
  <si>
    <t>14.62# per LF</t>
  </si>
  <si>
    <t>INSTALL 5" STD WT PIPE</t>
  </si>
  <si>
    <t>10.79# per LF</t>
  </si>
  <si>
    <t>INSTALL 4" STD WT PIPE</t>
  </si>
  <si>
    <t>9.11# per LF</t>
  </si>
  <si>
    <t>INSTALL 3-1/2" STD WT PIPE</t>
  </si>
  <si>
    <t>7.58# per LF</t>
  </si>
  <si>
    <t>INSTALL 3" STD WT PIPE</t>
  </si>
  <si>
    <t>5.794# per LF</t>
  </si>
  <si>
    <t>INSTALL 2-1/2" STD WT PIPE</t>
  </si>
  <si>
    <t>3.653# per LF</t>
  </si>
  <si>
    <t>INSTALL 2" STD WT PIPE</t>
  </si>
  <si>
    <t>2.718# per LF</t>
  </si>
  <si>
    <t>INSTALL 1-1/2" STD WT PIPE</t>
  </si>
  <si>
    <t>2.273# per LF</t>
  </si>
  <si>
    <t>INSTALL 1-1/4" STD WT PIPE</t>
  </si>
  <si>
    <t>1.679# per LF</t>
  </si>
  <si>
    <t>INSTALL 1" STD WT PIPE</t>
  </si>
  <si>
    <t>1.131# per LF</t>
  </si>
  <si>
    <t>INSTALL 3/4" STD WT PIPE</t>
  </si>
  <si>
    <t>.851# per LF</t>
  </si>
  <si>
    <t>INSTALL 1/2" STD WT PIPE</t>
  </si>
  <si>
    <t>40.8# per SF</t>
  </si>
  <si>
    <t>INSTALL1" PLATE</t>
  </si>
  <si>
    <t>38.3# per SF</t>
  </si>
  <si>
    <t>INSTALL 15/16" PLATE</t>
  </si>
  <si>
    <t>35.7# per SF</t>
  </si>
  <si>
    <t>INSTALL 7/8" PLATE</t>
  </si>
  <si>
    <t>33.2# per SF</t>
  </si>
  <si>
    <t>INSTALL 13/16" PLATE</t>
  </si>
  <si>
    <t>30.6# per SF</t>
  </si>
  <si>
    <t>INSTALL 3/4" PLATE</t>
  </si>
  <si>
    <t>28.1# per SF</t>
  </si>
  <si>
    <t>INSTALL 11/16" PLATE</t>
  </si>
  <si>
    <t>25.5# per SF</t>
  </si>
  <si>
    <t>INSTALL 5/8" PLATE</t>
  </si>
  <si>
    <t>23.0# per SF</t>
  </si>
  <si>
    <t>INSTALL 9/16" PLATE</t>
  </si>
  <si>
    <t>20.4# per SF</t>
  </si>
  <si>
    <t>INSTALL1/2" PLATE</t>
  </si>
  <si>
    <t>17.9# per SF</t>
  </si>
  <si>
    <t>INSTALL 7/16" PLATE</t>
  </si>
  <si>
    <t>15.3# per SF</t>
  </si>
  <si>
    <t>INSTALL 3/8" PLATE</t>
  </si>
  <si>
    <t>12.8# per SF</t>
  </si>
  <si>
    <t>INSTALL 5/16" PLATE</t>
  </si>
  <si>
    <t>10.2# per SF</t>
  </si>
  <si>
    <t>INSTALL 1/4" PLATE</t>
  </si>
  <si>
    <t>7.66# per SF</t>
  </si>
  <si>
    <t>INSTALL 3/16" PLATE</t>
  </si>
  <si>
    <t>25.0# per EA</t>
  </si>
  <si>
    <t>INSTALL STAIR TREADS</t>
  </si>
  <si>
    <t>27.0# per LF</t>
  </si>
  <si>
    <t>ERECT LADDERS</t>
  </si>
  <si>
    <t>15.0# per LF</t>
  </si>
  <si>
    <t>ERECT HANDRAILS</t>
  </si>
  <si>
    <t>11.25# per SF</t>
  </si>
  <si>
    <t>INSTALL 1/4" CHECKERED FLOOR PLATE</t>
  </si>
  <si>
    <t>4.00# per SF</t>
  </si>
  <si>
    <t>INSTALL 2" FRP GRATING</t>
  </si>
  <si>
    <t>3.75# per SF</t>
  </si>
  <si>
    <t>INSTALL 1-1/2" FRP GRATING</t>
  </si>
  <si>
    <t>2.8# per SF</t>
  </si>
  <si>
    <t>INSTALL 1" FRP GRATING</t>
  </si>
  <si>
    <t>10.8# per SF</t>
  </si>
  <si>
    <t>INSTALL 1-1/2"X 3/16 GALV. GRATING</t>
  </si>
  <si>
    <t>9.1# per SF</t>
  </si>
  <si>
    <t>INSTALL 1-1/4"X 3/16 GALV. GRATING</t>
  </si>
  <si>
    <t>7.4# per SF</t>
  </si>
  <si>
    <t>INSTALL 1"X 3/16 GALV. GRATING</t>
  </si>
  <si>
    <t>ERECT XX-HEAVY STEEL (150.1 &amp; UP#)</t>
  </si>
  <si>
    <t>ERECT X-HEAVY STEEL (80.1 - 150.0#)</t>
  </si>
  <si>
    <t>ERECT HEAVY STEEL (40.1 - 80#)</t>
  </si>
  <si>
    <t>ERECT MEDIUM STEEL (20.1 - 40.0#)</t>
  </si>
  <si>
    <t>ERECT LIGHT STEEL (12.1 - 20.0#)</t>
  </si>
  <si>
    <t>ERECT EXTRA LIGHT STEEL (0 - 12#)</t>
  </si>
  <si>
    <t>** Structural steel and joists **</t>
  </si>
  <si>
    <t>CMU WALL CLIPS</t>
  </si>
  <si>
    <t>HOUR</t>
  </si>
  <si>
    <t>MISC. IRON ITEMS</t>
  </si>
  <si>
    <t>MISC. STRUCTURAL HOURS</t>
  </si>
  <si>
    <t>WELD &amp; BRACE ENDS</t>
  </si>
  <si>
    <t>CUIN</t>
  </si>
  <si>
    <t>WELD MOMENT CONNECTIONS</t>
  </si>
  <si>
    <t>HIGH STRENGTH BOLTS</t>
  </si>
  <si>
    <t>UNLOAD &amp; ERECT CRANE PIECES</t>
  </si>
  <si>
    <t>UNLOAD &amp; ERECT HAND PIECES</t>
  </si>
  <si>
    <t>** Masonry cleaning **</t>
  </si>
  <si>
    <t>Clean glass block</t>
  </si>
  <si>
    <t>Clean block</t>
  </si>
  <si>
    <t>Clean split face block</t>
  </si>
  <si>
    <t>Clean fluted block</t>
  </si>
  <si>
    <t>Clean face brick</t>
  </si>
  <si>
    <t>Firebox labor</t>
  </si>
  <si>
    <t>Fireplace ash dumps</t>
  </si>
  <si>
    <t>Fireplace cleanout</t>
  </si>
  <si>
    <t>48" damper</t>
  </si>
  <si>
    <t>42" damper</t>
  </si>
  <si>
    <t>36" damper</t>
  </si>
  <si>
    <t>Sealer</t>
  </si>
  <si>
    <t>Caulk</t>
  </si>
  <si>
    <t>16 ga closure</t>
  </si>
  <si>
    <t>Control joint</t>
  </si>
  <si>
    <t>Expansion joint</t>
  </si>
  <si>
    <t>Flashing, Type 2</t>
  </si>
  <si>
    <t>Flashing, Type 1</t>
  </si>
  <si>
    <t>Flat sill deduction</t>
  </si>
  <si>
    <t>Return corner on double chamfer unit</t>
  </si>
  <si>
    <t>Return corner on single chamfer unit</t>
  </si>
  <si>
    <t>Drip cut</t>
  </si>
  <si>
    <t>Cut, score or miter</t>
  </si>
  <si>
    <t>Additional face (corner)</t>
  </si>
  <si>
    <t xml:space="preserve"> 16x8x24 peaked coping</t>
  </si>
  <si>
    <t xml:space="preserve"> 16x6x24 peaked coping</t>
  </si>
  <si>
    <t xml:space="preserve"> 16x4x24 peaked coping</t>
  </si>
  <si>
    <t xml:space="preserve"> 12x8x24 peaked coping</t>
  </si>
  <si>
    <t xml:space="preserve"> 12x6x24 peaked coping</t>
  </si>
  <si>
    <t xml:space="preserve"> 12x4x24 peaked coping</t>
  </si>
  <si>
    <t xml:space="preserve">  8x8x24 peaked coping</t>
  </si>
  <si>
    <t xml:space="preserve">  8x6x24 peaked coping</t>
  </si>
  <si>
    <t xml:space="preserve">  8x4x24 peaked coping</t>
  </si>
  <si>
    <t xml:space="preserve"> 16x8x24 sloped coping</t>
  </si>
  <si>
    <t xml:space="preserve"> 16x6x24 sloped coping</t>
  </si>
  <si>
    <t xml:space="preserve"> 16x4x24 sloped coping</t>
  </si>
  <si>
    <t xml:space="preserve"> 12x8x24 sloped coping</t>
  </si>
  <si>
    <t xml:space="preserve"> 12x6x24 sloped coping</t>
  </si>
  <si>
    <t xml:space="preserve"> 12x4x24 sloped coping</t>
  </si>
  <si>
    <t xml:space="preserve">  8x8x24 sloped coping</t>
  </si>
  <si>
    <t xml:space="preserve">  8x6x24 sloped coping</t>
  </si>
  <si>
    <t xml:space="preserve">  8x4x24 sloped coping</t>
  </si>
  <si>
    <t xml:space="preserve"> 16x8x24 demi-bullnose</t>
  </si>
  <si>
    <t xml:space="preserve"> 16x4x24 demi-bullnose</t>
  </si>
  <si>
    <t xml:space="preserve"> 12x8x24 demi-bullnose</t>
  </si>
  <si>
    <t xml:space="preserve"> 12x4x24 demi-bullnose</t>
  </si>
  <si>
    <t xml:space="preserve">  8x8x24 demi-bullnose</t>
  </si>
  <si>
    <t xml:space="preserve">  8x4x24 demi-bullnose</t>
  </si>
  <si>
    <t xml:space="preserve">  6x8x24 demi-bullnose</t>
  </si>
  <si>
    <t xml:space="preserve">  6x4x24 demi-bullnose</t>
  </si>
  <si>
    <t xml:space="preserve">  4x8x24 demi-bullnose</t>
  </si>
  <si>
    <t xml:space="preserve">  4x4x24 demi-bullnose</t>
  </si>
  <si>
    <t xml:space="preserve"> 16x4x24 half bullnose</t>
  </si>
  <si>
    <t xml:space="preserve"> 12x4x24 half bullnose</t>
  </si>
  <si>
    <t xml:space="preserve">  8x4x24 half bullnose</t>
  </si>
  <si>
    <t xml:space="preserve"> 6½x4x24 half bullnose</t>
  </si>
  <si>
    <t xml:space="preserve"> 16x8x24 bullnose </t>
  </si>
  <si>
    <t xml:space="preserve"> 16x4x24 bullnose </t>
  </si>
  <si>
    <t xml:space="preserve"> 12x8x24 bullnose </t>
  </si>
  <si>
    <t xml:space="preserve"> 12x4x24 bullnose </t>
  </si>
  <si>
    <t xml:space="preserve">  8x8x24 bullnose </t>
  </si>
  <si>
    <t xml:space="preserve">  8x4x24 bullnose </t>
  </si>
  <si>
    <t xml:space="preserve">  6x8x24 bullnose </t>
  </si>
  <si>
    <t xml:space="preserve">  6x4x24 bullnose </t>
  </si>
  <si>
    <t xml:space="preserve">  4x4x24 bullnose </t>
  </si>
  <si>
    <t xml:space="preserve">  8x12 keystone</t>
  </si>
  <si>
    <t xml:space="preserve">  8x10 keystone</t>
  </si>
  <si>
    <t xml:space="preserve">    8x8 keystone</t>
  </si>
  <si>
    <t xml:space="preserve">    8x6 keystone</t>
  </si>
  <si>
    <t xml:space="preserve">  6x12 keystone</t>
  </si>
  <si>
    <t xml:space="preserve">  6x10 keystone</t>
  </si>
  <si>
    <t xml:space="preserve">    6x8 keystone</t>
  </si>
  <si>
    <t xml:space="preserve">    6x6 keystone</t>
  </si>
  <si>
    <t xml:space="preserve">  4x12 keystone</t>
  </si>
  <si>
    <t xml:space="preserve">  4x10 keystone</t>
  </si>
  <si>
    <t xml:space="preserve">    4x8 keystone</t>
  </si>
  <si>
    <t xml:space="preserve">    4x6 keystone   </t>
  </si>
  <si>
    <t>16x8x24 Wndw Sill</t>
  </si>
  <si>
    <t>16x6x24 Wndw Sill</t>
  </si>
  <si>
    <t>16x4x24 Wndw Sill</t>
  </si>
  <si>
    <t>12x8x24 Wndw Sill</t>
  </si>
  <si>
    <t>12x5x24 Wndw Sill</t>
  </si>
  <si>
    <t>12x4x24 Wndw Sill</t>
  </si>
  <si>
    <t xml:space="preserve"> 8x8x24 Wndw Sill</t>
  </si>
  <si>
    <t xml:space="preserve"> 8x6x24 Wndw Sill</t>
  </si>
  <si>
    <t xml:space="preserve"> 8x4x24 Wndw Sill</t>
  </si>
  <si>
    <t xml:space="preserve"> 8x3x24 Wndw Sill</t>
  </si>
  <si>
    <t xml:space="preserve"> 6x8x24 Wndw Sill</t>
  </si>
  <si>
    <t xml:space="preserve"> 6x6x24 Wndw Sill</t>
  </si>
  <si>
    <t xml:space="preserve"> 6x4x24 Wndw Sill</t>
  </si>
  <si>
    <t xml:space="preserve"> 4x8x24 Wndw Sill</t>
  </si>
  <si>
    <t xml:space="preserve"> 4x6x24 Wndw Sill</t>
  </si>
  <si>
    <t xml:space="preserve"> 4x4x24 Wndw Sill</t>
  </si>
  <si>
    <t xml:space="preserve"> 8x16x24 DChmf corner</t>
  </si>
  <si>
    <t xml:space="preserve"> 8x12x24 DChmf corner</t>
  </si>
  <si>
    <t xml:space="preserve">  8x8x24 DChmf corner</t>
  </si>
  <si>
    <t xml:space="preserve">  8x6x24 DChmf corner</t>
  </si>
  <si>
    <t xml:space="preserve">  8x4x24 DChmf corner</t>
  </si>
  <si>
    <t xml:space="preserve"> 6x16x24 DChmf corner</t>
  </si>
  <si>
    <t xml:space="preserve"> 6x12x24 DChmf corner</t>
  </si>
  <si>
    <t xml:space="preserve">  6x8x24 DChmf corner</t>
  </si>
  <si>
    <t xml:space="preserve">  6x6x24 DChmf corner</t>
  </si>
  <si>
    <t xml:space="preserve">  6x4x24 DChmf corner</t>
  </si>
  <si>
    <t xml:space="preserve"> 4x16x24 DChmf corner</t>
  </si>
  <si>
    <t xml:space="preserve"> 4x12x24 DChmf corner</t>
  </si>
  <si>
    <t xml:space="preserve">  4x8x24 DChmf corner</t>
  </si>
  <si>
    <t xml:space="preserve">  4x6x24 DChmf corner</t>
  </si>
  <si>
    <t xml:space="preserve">  4x4x24 DChmf corner</t>
  </si>
  <si>
    <t xml:space="preserve"> 8x16x24 SChmf corner</t>
  </si>
  <si>
    <t xml:space="preserve"> 8x12x24 SChmf corner</t>
  </si>
  <si>
    <t xml:space="preserve">  8x8x24 SChmf corner</t>
  </si>
  <si>
    <t xml:space="preserve">  8x6x24 SChmf corner</t>
  </si>
  <si>
    <t xml:space="preserve">  8x4x24 SChmf corner</t>
  </si>
  <si>
    <t xml:space="preserve"> 6x16x24 SChmf corner</t>
  </si>
  <si>
    <t xml:space="preserve"> 6x12x24 SChmf corner</t>
  </si>
  <si>
    <t xml:space="preserve">  6x8x24 SChmf corner</t>
  </si>
  <si>
    <t xml:space="preserve">  6x6x24 SChmf corner</t>
  </si>
  <si>
    <t xml:space="preserve">  6x4x24 SChmf corner</t>
  </si>
  <si>
    <t xml:space="preserve"> 4x16x24 SChmf corner</t>
  </si>
  <si>
    <t xml:space="preserve"> 4x12x24 SChmf corner</t>
  </si>
  <si>
    <t xml:space="preserve">  4x8x24 SChmf corner</t>
  </si>
  <si>
    <t xml:space="preserve">  4x6x24 SChmf corner</t>
  </si>
  <si>
    <t xml:space="preserve">  4x4x24 SChmf corner</t>
  </si>
  <si>
    <t xml:space="preserve"> 16x8x24 Std corner</t>
  </si>
  <si>
    <t xml:space="preserve"> 16x6x24 Std corner</t>
  </si>
  <si>
    <t xml:space="preserve"> 16x4x24 Std corner</t>
  </si>
  <si>
    <t xml:space="preserve"> 12x8x24 Std corner</t>
  </si>
  <si>
    <t xml:space="preserve"> 12x6x24 Std corner</t>
  </si>
  <si>
    <t xml:space="preserve"> 12x4x24 Std corner</t>
  </si>
  <si>
    <t xml:space="preserve"> 8x16x24 Std corner</t>
  </si>
  <si>
    <t xml:space="preserve"> 8x12x24 Std corner</t>
  </si>
  <si>
    <t xml:space="preserve">  8x8x24 Std corner</t>
  </si>
  <si>
    <t xml:space="preserve">  8x6x24 Std corner</t>
  </si>
  <si>
    <t xml:space="preserve">  8x4x24 Std corner</t>
  </si>
  <si>
    <t xml:space="preserve"> 6x16x24 Std corner</t>
  </si>
  <si>
    <t xml:space="preserve"> 6x12x24 Std corner</t>
  </si>
  <si>
    <t xml:space="preserve">  6x8x24 Std corner</t>
  </si>
  <si>
    <t xml:space="preserve">  6x6x24 Std corner</t>
  </si>
  <si>
    <t xml:space="preserve">  6x4x24 Std corner</t>
  </si>
  <si>
    <t xml:space="preserve"> 4x16x24 Std corner</t>
  </si>
  <si>
    <t xml:space="preserve"> 4x16x16 Std corner</t>
  </si>
  <si>
    <t xml:space="preserve"> 4x16x12 Std corner</t>
  </si>
  <si>
    <t xml:space="preserve"> 4x12x24 Std corner</t>
  </si>
  <si>
    <t xml:space="preserve"> 4x12x16 Std corner</t>
  </si>
  <si>
    <t xml:space="preserve"> 4x12x12 Std corner</t>
  </si>
  <si>
    <t xml:space="preserve">  4x8x24 Std corner</t>
  </si>
  <si>
    <t xml:space="preserve">  4x8x16 Std corner</t>
  </si>
  <si>
    <t xml:space="preserve">  4x8x12 Std corner</t>
  </si>
  <si>
    <t xml:space="preserve">  4x6x24 Std corner</t>
  </si>
  <si>
    <t xml:space="preserve">  4x4x24 Std corner</t>
  </si>
  <si>
    <t xml:space="preserve">  4x4x16 Std corner</t>
  </si>
  <si>
    <t xml:space="preserve">  4x4x12 Std corner</t>
  </si>
  <si>
    <t xml:space="preserve"> 8x16x24 DChmf half</t>
  </si>
  <si>
    <t xml:space="preserve"> 8x12x24 DChmf half</t>
  </si>
  <si>
    <t xml:space="preserve">  8x8x24 DChmf half</t>
  </si>
  <si>
    <t xml:space="preserve">  8x6x24 DChmf half</t>
  </si>
  <si>
    <t xml:space="preserve">  8x4x24 DChmf half</t>
  </si>
  <si>
    <t xml:space="preserve"> 6x16x24 DChmf half</t>
  </si>
  <si>
    <t xml:space="preserve"> 6x12x24 DChmf half</t>
  </si>
  <si>
    <t xml:space="preserve">  6x8x24 DChmf half</t>
  </si>
  <si>
    <t xml:space="preserve">  6x6x24 DChmf half</t>
  </si>
  <si>
    <t xml:space="preserve">  6x4x24 DChmf half</t>
  </si>
  <si>
    <t xml:space="preserve"> 4x16x24 DChmf half</t>
  </si>
  <si>
    <t xml:space="preserve"> 4x12x24 DChmf half</t>
  </si>
  <si>
    <t xml:space="preserve">  4x8x24 DChmf half</t>
  </si>
  <si>
    <t xml:space="preserve">  4x6x24 DChmf half</t>
  </si>
  <si>
    <t xml:space="preserve">  4x4x24 DChmf half</t>
  </si>
  <si>
    <t xml:space="preserve"> 8x16x24 SChmf half</t>
  </si>
  <si>
    <t xml:space="preserve"> 8x12x24 SChmf half</t>
  </si>
  <si>
    <t xml:space="preserve">  8x8x24 SChmf half</t>
  </si>
  <si>
    <t xml:space="preserve">  8x6x24 SChmf half</t>
  </si>
  <si>
    <t xml:space="preserve">  8x4x24 SChmf half</t>
  </si>
  <si>
    <t xml:space="preserve"> 6x16x24 SChmf half</t>
  </si>
  <si>
    <t xml:space="preserve"> 6x12x24 SChmf half</t>
  </si>
  <si>
    <t xml:space="preserve">  6x8x24 SChmf half</t>
  </si>
  <si>
    <t xml:space="preserve">  6x6x24 SChmf half</t>
  </si>
  <si>
    <t xml:space="preserve">  6x4x24 SChmf half</t>
  </si>
  <si>
    <t xml:space="preserve"> 4x16x24 SChmf half</t>
  </si>
  <si>
    <t xml:space="preserve"> 4x12x24 SChmf half</t>
  </si>
  <si>
    <t xml:space="preserve">  4x8x24 SChmf half</t>
  </si>
  <si>
    <t xml:space="preserve">  4x6x24 SChmf half</t>
  </si>
  <si>
    <t xml:space="preserve">  4x4x24 SChmf half</t>
  </si>
  <si>
    <t xml:space="preserve"> 16x8x24 Std half</t>
  </si>
  <si>
    <t xml:space="preserve"> 16x6x24 Std half</t>
  </si>
  <si>
    <t xml:space="preserve"> 16x4x24 Std half</t>
  </si>
  <si>
    <t xml:space="preserve"> 12x8x24 Std half</t>
  </si>
  <si>
    <t xml:space="preserve"> 12x6x24 Std half</t>
  </si>
  <si>
    <t xml:space="preserve"> 12x4x24 Std half</t>
  </si>
  <si>
    <t xml:space="preserve"> 8x16x24 Std half</t>
  </si>
  <si>
    <t xml:space="preserve"> 8x12x24 Std half</t>
  </si>
  <si>
    <t xml:space="preserve">  8x8x24 Std half</t>
  </si>
  <si>
    <t xml:space="preserve">  8x6x24 Std half</t>
  </si>
  <si>
    <t xml:space="preserve">  8x4x24 Std half</t>
  </si>
  <si>
    <t xml:space="preserve"> 6x16x24 Std half</t>
  </si>
  <si>
    <t xml:space="preserve"> 6x12x24 Std half</t>
  </si>
  <si>
    <t xml:space="preserve">  6x8x24 Std half</t>
  </si>
  <si>
    <t xml:space="preserve">  6x6x24 Std half</t>
  </si>
  <si>
    <t xml:space="preserve">  6x4x24 Std half</t>
  </si>
  <si>
    <t xml:space="preserve"> 4x16x24 Std half</t>
  </si>
  <si>
    <t xml:space="preserve"> 4x16x16 Std half</t>
  </si>
  <si>
    <t xml:space="preserve"> 4x16x12 Std half</t>
  </si>
  <si>
    <t xml:space="preserve"> 4x12x24 Std half</t>
  </si>
  <si>
    <t xml:space="preserve"> 4x12x16 Std half</t>
  </si>
  <si>
    <t xml:space="preserve"> 4x12x12 Std half</t>
  </si>
  <si>
    <t xml:space="preserve">  4x8x24 Std half</t>
  </si>
  <si>
    <t xml:space="preserve">  4x8x16 Std half</t>
  </si>
  <si>
    <t xml:space="preserve">  4x8x12 Std half</t>
  </si>
  <si>
    <t xml:space="preserve">  4x6x24 Std half</t>
  </si>
  <si>
    <t xml:space="preserve">  4x4x24 Std half</t>
  </si>
  <si>
    <t xml:space="preserve">  4x4x16 Std half</t>
  </si>
  <si>
    <t xml:space="preserve">  4x4x12 Std half</t>
  </si>
  <si>
    <t xml:space="preserve"> 8x16x24 DChmf </t>
  </si>
  <si>
    <t xml:space="preserve"> 8x12x24 DChmf </t>
  </si>
  <si>
    <t xml:space="preserve">  8x8x24 DChmf </t>
  </si>
  <si>
    <t xml:space="preserve">  8x6x24 DChmf </t>
  </si>
  <si>
    <t xml:space="preserve">  8x4x24 DChmf </t>
  </si>
  <si>
    <t xml:space="preserve"> 6x16x24 DChmf </t>
  </si>
  <si>
    <t xml:space="preserve"> 6x12x24 DChmf </t>
  </si>
  <si>
    <t xml:space="preserve">  6x8x24 DChmf </t>
  </si>
  <si>
    <t xml:space="preserve">  6x6x24 DChmf </t>
  </si>
  <si>
    <t xml:space="preserve">  6x4x24 DChmf </t>
  </si>
  <si>
    <t xml:space="preserve"> 4x16x24 DChmf </t>
  </si>
  <si>
    <t xml:space="preserve"> 4x12x24 DChmf </t>
  </si>
  <si>
    <t xml:space="preserve">  4x8x24 DChmf </t>
  </si>
  <si>
    <t xml:space="preserve">  4x6x24 DChmf </t>
  </si>
  <si>
    <t xml:space="preserve">  4x4x24 DChmf </t>
  </si>
  <si>
    <t xml:space="preserve"> 8x16x24 SChmf </t>
  </si>
  <si>
    <t xml:space="preserve"> 8x12x24 SChmf </t>
  </si>
  <si>
    <t xml:space="preserve">  8x8x24 SChmf </t>
  </si>
  <si>
    <t xml:space="preserve">  8x6x24 SChmf </t>
  </si>
  <si>
    <t xml:space="preserve">  8x4x24 SChmf </t>
  </si>
  <si>
    <t xml:space="preserve"> 6x16x24 SChmf </t>
  </si>
  <si>
    <t xml:space="preserve"> 6x12x24 SChmf </t>
  </si>
  <si>
    <t xml:space="preserve">  6x8x24 SChmf </t>
  </si>
  <si>
    <t xml:space="preserve">  6x6x24 SChmf </t>
  </si>
  <si>
    <t xml:space="preserve">  6x4x24 SChmf </t>
  </si>
  <si>
    <t xml:space="preserve"> 4x16x24 SChmf </t>
  </si>
  <si>
    <t xml:space="preserve"> 4x12x24 SChmf </t>
  </si>
  <si>
    <t xml:space="preserve">  4x8x24 SChmf </t>
  </si>
  <si>
    <t xml:space="preserve">  4x6x24 SChmf</t>
  </si>
  <si>
    <t xml:space="preserve">  4x4x24 SChmf </t>
  </si>
  <si>
    <t xml:space="preserve"> 16x8x24 Std</t>
  </si>
  <si>
    <t xml:space="preserve"> 16x6x24 Std</t>
  </si>
  <si>
    <t xml:space="preserve"> 16x4x24 Std</t>
  </si>
  <si>
    <t xml:space="preserve"> 12x8x24 Std</t>
  </si>
  <si>
    <t xml:space="preserve"> 12x6x24 Std</t>
  </si>
  <si>
    <t xml:space="preserve"> 12x4x24 Std</t>
  </si>
  <si>
    <t xml:space="preserve"> 8x16x24 Std</t>
  </si>
  <si>
    <t xml:space="preserve"> 8x12x24 Std</t>
  </si>
  <si>
    <t xml:space="preserve">  8x8x24 Std</t>
  </si>
  <si>
    <t xml:space="preserve">  8x6x24 Std</t>
  </si>
  <si>
    <t xml:space="preserve">  8x4x24 Std</t>
  </si>
  <si>
    <t xml:space="preserve"> 6x16x24 Std</t>
  </si>
  <si>
    <t xml:space="preserve"> 6x12x24 Std</t>
  </si>
  <si>
    <t xml:space="preserve">  6x8x24 Std</t>
  </si>
  <si>
    <t xml:space="preserve">  6x6x24 Std</t>
  </si>
  <si>
    <t xml:space="preserve">  6x4x24 Std</t>
  </si>
  <si>
    <t xml:space="preserve"> 4x16x24 Std</t>
  </si>
  <si>
    <t xml:space="preserve"> 4x16x16 Std</t>
  </si>
  <si>
    <t xml:space="preserve"> 4x16x12 Std</t>
  </si>
  <si>
    <t xml:space="preserve"> 4x12x24 Std</t>
  </si>
  <si>
    <t xml:space="preserve"> 4x12x16 Std</t>
  </si>
  <si>
    <t xml:space="preserve"> 4x12x12 Std</t>
  </si>
  <si>
    <t xml:space="preserve">  4x8x24 Std</t>
  </si>
  <si>
    <t xml:space="preserve">  4x8x16 Std</t>
  </si>
  <si>
    <t xml:space="preserve">  4x8x12 Std</t>
  </si>
  <si>
    <t xml:space="preserve">  4x6x24 Std</t>
  </si>
  <si>
    <t xml:space="preserve">  4x4x24 Std</t>
  </si>
  <si>
    <t xml:space="preserve">  4x4x16 Std</t>
  </si>
  <si>
    <t xml:space="preserve">  4x4x12 Std</t>
  </si>
  <si>
    <t>Cast stone / Prairie</t>
  </si>
  <si>
    <t xml:space="preserve">  5½x4x24 bullnose</t>
  </si>
  <si>
    <t>5x2¼x60 Sill, smooth</t>
  </si>
  <si>
    <t>4x12x24 corner</t>
  </si>
  <si>
    <t xml:space="preserve"> 4x8x24 corner</t>
  </si>
  <si>
    <t xml:space="preserve"> 4x4x24 corner</t>
  </si>
  <si>
    <t>4x12x24 half block</t>
  </si>
  <si>
    <t xml:space="preserve"> 4x8x24 half block</t>
  </si>
  <si>
    <t xml:space="preserve"> 4x4x24 half block</t>
  </si>
  <si>
    <t>Cast stone / Savanna</t>
  </si>
  <si>
    <t xml:space="preserve"> 3½x12¼ keystone</t>
  </si>
  <si>
    <t xml:space="preserve"> 3½x10¼ keystone </t>
  </si>
  <si>
    <t xml:space="preserve"> 3½x12¼x24 quoin</t>
  </si>
  <si>
    <t xml:space="preserve"> 3½x10¼x24 quoin</t>
  </si>
  <si>
    <t>6½x3x32 Wndw Sill</t>
  </si>
  <si>
    <t>5½x4x32 Wndw Sill</t>
  </si>
  <si>
    <t>5½x3x32 Wndw Sill</t>
  </si>
  <si>
    <t xml:space="preserve"> 4x12x24 corner</t>
  </si>
  <si>
    <t xml:space="preserve">  4x8x24 corner</t>
  </si>
  <si>
    <t xml:space="preserve">  4x4x24 corner</t>
  </si>
  <si>
    <t>Cast stone / Renaissance</t>
  </si>
  <si>
    <t>Simulated stone accessory labor</t>
  </si>
  <si>
    <t>Sand</t>
  </si>
  <si>
    <t>Bag</t>
  </si>
  <si>
    <t>Type S mortar</t>
  </si>
  <si>
    <t>Type N mortar</t>
  </si>
  <si>
    <t>Type M mortar</t>
  </si>
  <si>
    <t>Piece</t>
  </si>
  <si>
    <t>2.5 galvanized metal lath</t>
  </si>
  <si>
    <t>Limestone keystone</t>
  </si>
  <si>
    <t>Rockface keystone</t>
  </si>
  <si>
    <t>Beveled keystone</t>
  </si>
  <si>
    <t>Plain keystone</t>
  </si>
  <si>
    <t>Roll</t>
  </si>
  <si>
    <t>Felt paper</t>
  </si>
  <si>
    <t>Asphalt sheathing paper</t>
  </si>
  <si>
    <t>Hearthstone</t>
  </si>
  <si>
    <t>18 gauge key mesh</t>
  </si>
  <si>
    <t>Light surrounds</t>
  </si>
  <si>
    <t>Electric surrounds</t>
  </si>
  <si>
    <t>36" sill</t>
  </si>
  <si>
    <t>25½" sill</t>
  </si>
  <si>
    <t>2' watertable sill</t>
  </si>
  <si>
    <t>23½" chiseled wateredge</t>
  </si>
  <si>
    <t>Box</t>
  </si>
  <si>
    <t>Limestone corners</t>
  </si>
  <si>
    <t>Windsor Castle corners</t>
  </si>
  <si>
    <t>Cutface corners</t>
  </si>
  <si>
    <t>Hackett corners</t>
  </si>
  <si>
    <t>Palos Verde corners</t>
  </si>
  <si>
    <t>Biltmore corners</t>
  </si>
  <si>
    <t>Cobblestone corners</t>
  </si>
  <si>
    <t>Rubble corners</t>
  </si>
  <si>
    <t>Stack corners</t>
  </si>
  <si>
    <t>Weatheredge corners</t>
  </si>
  <si>
    <t>Castle corners</t>
  </si>
  <si>
    <t>Splitface corners</t>
  </si>
  <si>
    <t>Fieldstone corners</t>
  </si>
  <si>
    <t>Cathedral corners</t>
  </si>
  <si>
    <t>Ledgestone corners</t>
  </si>
  <si>
    <t>Hackett flats</t>
  </si>
  <si>
    <t>Cutface flats</t>
  </si>
  <si>
    <t>Limestone flats</t>
  </si>
  <si>
    <t>Palos Verde flats</t>
  </si>
  <si>
    <t>Biltmore flats</t>
  </si>
  <si>
    <t>Cobblestone flats</t>
  </si>
  <si>
    <t>Rubble flats</t>
  </si>
  <si>
    <t>Stack flats</t>
  </si>
  <si>
    <t>Weatheredge flats</t>
  </si>
  <si>
    <t>Castle flats</t>
  </si>
  <si>
    <t>Splitface flats</t>
  </si>
  <si>
    <t>Fieldstone flats</t>
  </si>
  <si>
    <t xml:space="preserve">Cathedral flats </t>
  </si>
  <si>
    <t>Ledgestone flats</t>
  </si>
  <si>
    <t>Windsor Castle flats</t>
  </si>
  <si>
    <t>sqft</t>
  </si>
  <si>
    <t>Simulated stone labor</t>
  </si>
  <si>
    <t>Firebrick</t>
  </si>
  <si>
    <t>13X17 terracotta flue liner</t>
  </si>
  <si>
    <t>Exterior granite sill</t>
  </si>
  <si>
    <t>Marble vanity top</t>
  </si>
  <si>
    <t>Marble counter</t>
  </si>
  <si>
    <t>Exterior precast sill</t>
  </si>
  <si>
    <t>Exterior limestone sill</t>
  </si>
  <si>
    <t>Limestone coping</t>
  </si>
  <si>
    <t>Precast coping</t>
  </si>
  <si>
    <t>Stone veneer</t>
  </si>
  <si>
    <t>Limestone panel</t>
  </si>
  <si>
    <t>* Stone wall *</t>
  </si>
  <si>
    <t>** Stone wall area **</t>
  </si>
  <si>
    <t>* Stone wall area *</t>
  </si>
  <si>
    <t>Stone facing</t>
  </si>
  <si>
    <t>No. of pedestals</t>
  </si>
  <si>
    <t>Length of field cutting</t>
  </si>
  <si>
    <t>Total weight of ashlar</t>
  </si>
  <si>
    <t>Total weight of rubble</t>
  </si>
  <si>
    <t>Total weight of brownstone</t>
  </si>
  <si>
    <t>Total weight of cast stone</t>
  </si>
  <si>
    <t>Total weight of bluestone</t>
  </si>
  <si>
    <t>Total weight of marble</t>
  </si>
  <si>
    <t>Total weight of limestone</t>
  </si>
  <si>
    <t>Total weight of granite</t>
  </si>
  <si>
    <t>Total weight of all stone</t>
  </si>
  <si>
    <t>Total cuft volume of ashlar</t>
  </si>
  <si>
    <t>Total cuft volume of rubble</t>
  </si>
  <si>
    <t>Total cuft volume of brwnstone</t>
  </si>
  <si>
    <t>Total cuft volume of caststone</t>
  </si>
  <si>
    <t>Total cuft volume of bluestone</t>
  </si>
  <si>
    <t>Total cuft volume of marble</t>
  </si>
  <si>
    <t>Total cuft volume of limestone</t>
  </si>
  <si>
    <t>Total cuft volume of granite</t>
  </si>
  <si>
    <t>Total cuft volume of all stone</t>
  </si>
  <si>
    <t>Total sqft area of ashlar</t>
  </si>
  <si>
    <t>Total sqft area of rubble</t>
  </si>
  <si>
    <t>Total sqft area of brownstone</t>
  </si>
  <si>
    <t>Total sqft area of cast stone</t>
  </si>
  <si>
    <t>Total sqft area of bluestone</t>
  </si>
  <si>
    <t>Total sqft area of marble</t>
  </si>
  <si>
    <t>Total sqft area of limestone</t>
  </si>
  <si>
    <t>Total sqft area of granite</t>
  </si>
  <si>
    <t>Total sqft area of all stone</t>
  </si>
  <si>
    <t>Total no. of ashlar pieces</t>
  </si>
  <si>
    <t>Total no. of rubble pieces</t>
  </si>
  <si>
    <t>Total no. of brownstone pieces</t>
  </si>
  <si>
    <t>Total no. of cast stone pieces</t>
  </si>
  <si>
    <t>Total no. of bluestone pieces</t>
  </si>
  <si>
    <t>Total no. of marble pieces</t>
  </si>
  <si>
    <t>Total no. of limestone pieces</t>
  </si>
  <si>
    <t>Total no. of granite pieces</t>
  </si>
  <si>
    <t>Total number of all stone pcs</t>
  </si>
  <si>
    <t>Stonework joint treatment</t>
  </si>
  <si>
    <t>Stonework jambs</t>
  </si>
  <si>
    <t>Latex bedding</t>
  </si>
  <si>
    <t>Sand bedding</t>
  </si>
  <si>
    <t>Dry pack bedding</t>
  </si>
  <si>
    <t>Stonework engineering</t>
  </si>
  <si>
    <t>Galvanized anchor system</t>
  </si>
  <si>
    <t>Stainless steel anchor system</t>
  </si>
  <si>
    <t>Special galvanized anchors</t>
  </si>
  <si>
    <t>Special SS anchors</t>
  </si>
  <si>
    <t>Galvanized truss anchors</t>
  </si>
  <si>
    <t>Conventional galvanized anchor</t>
  </si>
  <si>
    <t>SS truss anchors</t>
  </si>
  <si>
    <t>Conventional SS anchors</t>
  </si>
  <si>
    <t>Shop drawings, stonework</t>
  </si>
  <si>
    <t>Clean and patch ashlar paving</t>
  </si>
  <si>
    <t>Clean &amp; patch rubble paving</t>
  </si>
  <si>
    <t>Clean &amp; patch brownstn paving</t>
  </si>
  <si>
    <t>Clean and patch cast stone paving</t>
  </si>
  <si>
    <t>Clean &amp; patch bluestone paving</t>
  </si>
  <si>
    <t>Clean &amp; patch marble paving</t>
  </si>
  <si>
    <t>Clean &amp; patch limestone paving</t>
  </si>
  <si>
    <t>Clean &amp; patch granite paving</t>
  </si>
  <si>
    <t>Clean &amp; patch ashlar walls</t>
  </si>
  <si>
    <t>Clean &amp; patch rubble walls</t>
  </si>
  <si>
    <t>Clean and patch brownstone walls</t>
  </si>
  <si>
    <t>Clean &amp; patch cast stone walls</t>
  </si>
  <si>
    <t>Clean &amp; patch bluestone walls</t>
  </si>
  <si>
    <t>Clean &amp; patch marble walls</t>
  </si>
  <si>
    <t>Clean &amp; patch limestone walls</t>
  </si>
  <si>
    <t>Clean &amp; patch granite walls</t>
  </si>
  <si>
    <t>Unload &amp; expedite ashlar</t>
  </si>
  <si>
    <t>Unload &amp; expedite rubble</t>
  </si>
  <si>
    <t>Unload &amp; expedite brownstone</t>
  </si>
  <si>
    <t>Unload &amp; expedite cast stone</t>
  </si>
  <si>
    <t>Unload &amp; expedite bluestone</t>
  </si>
  <si>
    <t>Unload &amp; expedite marble</t>
  </si>
  <si>
    <t>Unload &amp; expedite limestone</t>
  </si>
  <si>
    <t>Unload &amp; expedite granite</t>
  </si>
  <si>
    <t>Ashlar pointing</t>
  </si>
  <si>
    <t>Rubble pointing</t>
  </si>
  <si>
    <t>Bluestone pointing</t>
  </si>
  <si>
    <t>Expedite ashlar</t>
  </si>
  <si>
    <t>Expedite rubble</t>
  </si>
  <si>
    <t>Expedite brownstone</t>
  </si>
  <si>
    <t>Expedite cast stone</t>
  </si>
  <si>
    <t>Expedite bluestone</t>
  </si>
  <si>
    <t>Expedite marble</t>
  </si>
  <si>
    <t>Expedite limestone</t>
  </si>
  <si>
    <t>Expedite granite</t>
  </si>
  <si>
    <t>Unload ashlar</t>
  </si>
  <si>
    <t>Unload rubble stone</t>
  </si>
  <si>
    <t>Unload brownstone</t>
  </si>
  <si>
    <t>Unload cast stone</t>
  </si>
  <si>
    <t>Unload bluestone</t>
  </si>
  <si>
    <t>Unload marble</t>
  </si>
  <si>
    <t>Unload limestone</t>
  </si>
  <si>
    <t>Unload granite</t>
  </si>
  <si>
    <t>Ashlar, rough</t>
  </si>
  <si>
    <t>Rubble, rough</t>
  </si>
  <si>
    <t>Ashlar, dry</t>
  </si>
  <si>
    <t>Ashlar, rockface</t>
  </si>
  <si>
    <t>Rubble, dry</t>
  </si>
  <si>
    <t>Rubble, rockface</t>
  </si>
  <si>
    <t>Brownstone, rockface</t>
  </si>
  <si>
    <t>Brownstone, smooth</t>
  </si>
  <si>
    <t>Brownstone, thermal</t>
  </si>
  <si>
    <t>Brownstone, honed</t>
  </si>
  <si>
    <t>Cast stone, rockface</t>
  </si>
  <si>
    <t>Cast stone, smooth</t>
  </si>
  <si>
    <t>Cast stone, honed</t>
  </si>
  <si>
    <t>Bluestone, rockface</t>
  </si>
  <si>
    <t>Bluestone, smooth</t>
  </si>
  <si>
    <t>Bluestone, thermal</t>
  </si>
  <si>
    <t>Bluestone, honed</t>
  </si>
  <si>
    <t>Marble, polished</t>
  </si>
  <si>
    <t>Marble, rockface</t>
  </si>
  <si>
    <t>Marble, smooth</t>
  </si>
  <si>
    <t>Marble, thermal</t>
  </si>
  <si>
    <t>Marble, honed</t>
  </si>
  <si>
    <t>Limestone, polished</t>
  </si>
  <si>
    <t>Limestone, rockface</t>
  </si>
  <si>
    <t>Limestone, smooth</t>
  </si>
  <si>
    <t>Limestone, thermal</t>
  </si>
  <si>
    <t>Limestone, honed</t>
  </si>
  <si>
    <t>Granite, polished</t>
  </si>
  <si>
    <t>Granite, rockface</t>
  </si>
  <si>
    <t>Granite, smooth</t>
  </si>
  <si>
    <t>Granite, thermal</t>
  </si>
  <si>
    <t>Granite, honed</t>
  </si>
  <si>
    <t>View block</t>
  </si>
  <si>
    <t>Glass block</t>
  </si>
  <si>
    <t>**Glazed block area**</t>
  </si>
  <si>
    <t>Glazed block-glazed 2 side</t>
  </si>
  <si>
    <t>8" glazed block-glazed 2 side</t>
  </si>
  <si>
    <t>6" glazed block-glazed 2 side</t>
  </si>
  <si>
    <t>4" glazed block-glazed 2 side</t>
  </si>
  <si>
    <t>Glazed block-glazed 1 side</t>
  </si>
  <si>
    <t>8" glazed block-glazed 1 side</t>
  </si>
  <si>
    <t>6" glazed block-glazed 1 side</t>
  </si>
  <si>
    <t>4" glazed block-glazed 1 side</t>
  </si>
  <si>
    <t>6' angle iron</t>
  </si>
  <si>
    <t>5' angle iron</t>
  </si>
  <si>
    <t>4' angle iron</t>
  </si>
  <si>
    <t>Shelf angle</t>
  </si>
  <si>
    <t>Wall ties</t>
  </si>
  <si>
    <t>12" Dur-O-wall</t>
  </si>
  <si>
    <t>10" Dur-O-wall</t>
  </si>
  <si>
    <t>8" Dur-O-Wall</t>
  </si>
  <si>
    <t>6" Dur-O-wall</t>
  </si>
  <si>
    <t>4" Dur-O-Wall</t>
  </si>
  <si>
    <t>12" form block</t>
  </si>
  <si>
    <t>10" form block</t>
  </si>
  <si>
    <t>8" form block</t>
  </si>
  <si>
    <t>6" form block</t>
  </si>
  <si>
    <t>4" form block</t>
  </si>
  <si>
    <t>12" cap block</t>
  </si>
  <si>
    <t>10" cap block</t>
  </si>
  <si>
    <t>8" cap block</t>
  </si>
  <si>
    <t>6" cap block</t>
  </si>
  <si>
    <t>4" cap block</t>
  </si>
  <si>
    <t>12x8x16 ltwt conc block</t>
  </si>
  <si>
    <t>10x8x16 ltwt conc block</t>
  </si>
  <si>
    <t>8x8x16 ltwt conc block</t>
  </si>
  <si>
    <t>6x8x16 ltwt conc block</t>
  </si>
  <si>
    <t>4x8x16 ltwt conc block</t>
  </si>
  <si>
    <t>12x8x16 conc block</t>
  </si>
  <si>
    <t>10x8x16 conc block</t>
  </si>
  <si>
    <t>8x8x16 conc block</t>
  </si>
  <si>
    <t>6x8x16 conc block</t>
  </si>
  <si>
    <t>4x8x16 conc block</t>
  </si>
  <si>
    <t>Loose fill insul @ block</t>
  </si>
  <si>
    <t>Concrete fill @ block</t>
  </si>
  <si>
    <t>Sand fill @ block</t>
  </si>
  <si>
    <t>Masonry sand</t>
  </si>
  <si>
    <t>BAGS</t>
  </si>
  <si>
    <t>Mortar mix</t>
  </si>
  <si>
    <t>16" adj truss rnf</t>
  </si>
  <si>
    <t>14" adj truss rnf</t>
  </si>
  <si>
    <t>12" adj truss rnf</t>
  </si>
  <si>
    <t>10" adj truss rnf</t>
  </si>
  <si>
    <t xml:space="preserve"> 8" adj truss rnf</t>
  </si>
  <si>
    <t xml:space="preserve"> 6" adj truss rnf</t>
  </si>
  <si>
    <t xml:space="preserve"> 4" adj truss rnf</t>
  </si>
  <si>
    <t>16" adj laddr rnf</t>
  </si>
  <si>
    <t>14" adj laddr rnf</t>
  </si>
  <si>
    <t>12" adj laddr rnf</t>
  </si>
  <si>
    <t>10" adj laddr rnf</t>
  </si>
  <si>
    <t xml:space="preserve"> 8" adj laddr rnf</t>
  </si>
  <si>
    <t xml:space="preserve"> 6" adj laddr rnf</t>
  </si>
  <si>
    <t xml:space="preserve"> 4" adj laddr rnf</t>
  </si>
  <si>
    <t>16" truss reinfg,</t>
  </si>
  <si>
    <t>14" truss reinfg,</t>
  </si>
  <si>
    <t>12" truss reinfg,</t>
  </si>
  <si>
    <t>10" truss reinfg,</t>
  </si>
  <si>
    <t xml:space="preserve"> 8" truss reinfg,</t>
  </si>
  <si>
    <t xml:space="preserve"> 6" truss reinfg,</t>
  </si>
  <si>
    <t xml:space="preserve"> 4" truss reinfg,</t>
  </si>
  <si>
    <t>16" ladder reinf,</t>
  </si>
  <si>
    <t>14" ladder reinf,</t>
  </si>
  <si>
    <t>12" ladder reinf,</t>
  </si>
  <si>
    <t>10" ladder reinf,</t>
  </si>
  <si>
    <t xml:space="preserve"> 8" ladder reinf,</t>
  </si>
  <si>
    <t xml:space="preserve"> 6" ladder reinf,</t>
  </si>
  <si>
    <t xml:space="preserve"> 4" ladder reinf,</t>
  </si>
  <si>
    <t>Adjustable ties (eye and pintle)</t>
  </si>
  <si>
    <t>Veneer anchors</t>
  </si>
  <si>
    <t>Unit wall ties</t>
  </si>
  <si>
    <t>Masonry rebar</t>
  </si>
  <si>
    <t>Dovetail anchors</t>
  </si>
  <si>
    <t>MPS</t>
  </si>
  <si>
    <t>Corrugated wall ties</t>
  </si>
  <si>
    <t>16" Dur-O-Wall</t>
  </si>
  <si>
    <t>14" Dur-O-wall</t>
  </si>
  <si>
    <t>12" Dur-O-Wall</t>
  </si>
  <si>
    <t>Add for bond beam</t>
  </si>
  <si>
    <t>Fill voids w/3000 psi conc</t>
  </si>
  <si>
    <t>Bullnose block</t>
  </si>
  <si>
    <t>Ground face block corner</t>
  </si>
  <si>
    <t>Glazed block corner</t>
  </si>
  <si>
    <t>Glazed block cove base</t>
  </si>
  <si>
    <t>16" bond beam sill block</t>
  </si>
  <si>
    <t>14" bond beam sill block</t>
  </si>
  <si>
    <t>12" bond beam sill block</t>
  </si>
  <si>
    <t>10" bond beam sill block</t>
  </si>
  <si>
    <t>8" bond beam sill block</t>
  </si>
  <si>
    <t>6" bond beam sill block</t>
  </si>
  <si>
    <t>4" bond beam sill block</t>
  </si>
  <si>
    <t>**Block wall area**</t>
  </si>
  <si>
    <t>16x8x16 sill block</t>
  </si>
  <si>
    <t>14x8x16 sill block</t>
  </si>
  <si>
    <t>12x8x16 sill block</t>
  </si>
  <si>
    <t>10x8x16 sill block</t>
  </si>
  <si>
    <t>8x8x16 sill block</t>
  </si>
  <si>
    <t>6x8x16 sill block</t>
  </si>
  <si>
    <t>4x8x16 sill block</t>
  </si>
  <si>
    <t>16" bond beam burnished block B</t>
  </si>
  <si>
    <t>14" bond beam burnished block B</t>
  </si>
  <si>
    <t>12" bond beam burnished block B</t>
  </si>
  <si>
    <t>10" bond beam burnished block B</t>
  </si>
  <si>
    <t xml:space="preserve"> 8" bond beam burnished block B</t>
  </si>
  <si>
    <t xml:space="preserve"> 6" bond beam burnished block B</t>
  </si>
  <si>
    <t xml:space="preserve"> 4" bond beam burnished block B</t>
  </si>
  <si>
    <t>16x8x16 burnished block B</t>
  </si>
  <si>
    <t>14x8x16 burnished block B</t>
  </si>
  <si>
    <t>12x8x16 burnished block B</t>
  </si>
  <si>
    <t>10x8x16 burnished block B</t>
  </si>
  <si>
    <t xml:space="preserve"> 8x8x16 burnished block B</t>
  </si>
  <si>
    <t xml:space="preserve"> 6x8x16 burnished block B</t>
  </si>
  <si>
    <t xml:space="preserve"> 4x8x16 burnished block B</t>
  </si>
  <si>
    <t>16" bond beam rockface "B" block</t>
  </si>
  <si>
    <t>14" bond beam rockface "B" block</t>
  </si>
  <si>
    <t>12" bond beam rockface "B" block</t>
  </si>
  <si>
    <t>10" bond beam rockface "B" block</t>
  </si>
  <si>
    <t>8" bond beam rockface "B" block</t>
  </si>
  <si>
    <t>6" bond beam rockface "B" block</t>
  </si>
  <si>
    <t>4" bond beam rockface "B" block</t>
  </si>
  <si>
    <t>16x8x16 rockface "B" block</t>
  </si>
  <si>
    <t>14x8x16 rockface "B" block</t>
  </si>
  <si>
    <t>12x8x16 rockface "B" block</t>
  </si>
  <si>
    <t>10x8x16 rockface "B" block</t>
  </si>
  <si>
    <t>8x8x16 rockface "B" block</t>
  </si>
  <si>
    <t>6x8x16 rockface "B" block</t>
  </si>
  <si>
    <t>4x8x16 rockface "B" block</t>
  </si>
  <si>
    <t>16" bond beam rockface "A" block</t>
  </si>
  <si>
    <t>14" bond beam rockface "A" block</t>
  </si>
  <si>
    <t>12" bond beam rockface "A" block</t>
  </si>
  <si>
    <t>10" bond beam rockface "A" block</t>
  </si>
  <si>
    <t>8" bond beam rockface "A" block</t>
  </si>
  <si>
    <t>6" bond beam rockface "A" block</t>
  </si>
  <si>
    <t>4" bond beam rockface "A" block</t>
  </si>
  <si>
    <t>16x8x16 rockface "A" block</t>
  </si>
  <si>
    <t>14x8x16 rockface "A" block</t>
  </si>
  <si>
    <t>12x8x16 rockface "A" block</t>
  </si>
  <si>
    <t>10x8x16 rockface "A" block</t>
  </si>
  <si>
    <t>8x8x16 rockface "A" block</t>
  </si>
  <si>
    <t>6x8x16 rockface "A" block</t>
  </si>
  <si>
    <t>4x8x16 rockface "A" block</t>
  </si>
  <si>
    <t>16" bond beam 2 sides glazed</t>
  </si>
  <si>
    <t>14" bond beam 2 sides glazed</t>
  </si>
  <si>
    <t>12" bond beam  2 sides glazed</t>
  </si>
  <si>
    <t>10" bond beam  2 sides glazed</t>
  </si>
  <si>
    <t xml:space="preserve"> 8" bond beam  2 sides glazed</t>
  </si>
  <si>
    <t xml:space="preserve"> 6" bond beam  2 sides glazed</t>
  </si>
  <si>
    <t xml:space="preserve"> 4" bond beam  2 sides glazed</t>
  </si>
  <si>
    <t>12x8x16 glazed block, 2 sides</t>
  </si>
  <si>
    <t>10x8x16 glazed block, 2 sides</t>
  </si>
  <si>
    <t xml:space="preserve"> 8x8x16 glazed block, 2 sides</t>
  </si>
  <si>
    <t xml:space="preserve"> 6x8x16 glazed block, 2 sides</t>
  </si>
  <si>
    <t xml:space="preserve"> 4x8x16 glazed block, 2 sides</t>
  </si>
  <si>
    <t>12x8x16 fire rated block, 4hrs</t>
  </si>
  <si>
    <t xml:space="preserve"> 8x8x16 fire rated block, 3hrs</t>
  </si>
  <si>
    <t xml:space="preserve"> 6x8x16 fire rated block, 2hrs</t>
  </si>
  <si>
    <t>12" bond beam scored block, 2s</t>
  </si>
  <si>
    <t>10" bond beam scored block, 2s</t>
  </si>
  <si>
    <t xml:space="preserve"> 8" bond beam scored block, 2s</t>
  </si>
  <si>
    <t xml:space="preserve"> 6" bond beam scored block, 2s</t>
  </si>
  <si>
    <t xml:space="preserve"> 4" bond beam scored block, 2s</t>
  </si>
  <si>
    <t>12x8x16 scored block, 2 sides</t>
  </si>
  <si>
    <t>10x8x16 scored block, 2 sides</t>
  </si>
  <si>
    <t xml:space="preserve"> 8x8x16 scored block, 2 sides</t>
  </si>
  <si>
    <t xml:space="preserve"> 6x8x16 scored block, 2 sides</t>
  </si>
  <si>
    <t xml:space="preserve"> 4x8x16 scored block, 2 sides</t>
  </si>
  <si>
    <t>12" bond beam foundation block</t>
  </si>
  <si>
    <t>10" bond beam foundation block</t>
  </si>
  <si>
    <t xml:space="preserve"> 8" bond beam foundation block</t>
  </si>
  <si>
    <t xml:space="preserve"> 6" bond beam foundation block</t>
  </si>
  <si>
    <t xml:space="preserve"> 4" bond beam foundation block</t>
  </si>
  <si>
    <t>12x8x16 foundation block</t>
  </si>
  <si>
    <t>10x8x16 foundation block</t>
  </si>
  <si>
    <t xml:space="preserve"> 8x8x16 foundation block</t>
  </si>
  <si>
    <t xml:space="preserve"> 6x8x16 foundation block</t>
  </si>
  <si>
    <t xml:space="preserve"> 4x8x16 foundation block</t>
  </si>
  <si>
    <t>12" bond beam acoustic block</t>
  </si>
  <si>
    <t>10" bond beam acoustic block</t>
  </si>
  <si>
    <t xml:space="preserve"> 8" bond beam acoustic block</t>
  </si>
  <si>
    <t xml:space="preserve"> 6" bond beam acoustic block</t>
  </si>
  <si>
    <t xml:space="preserve"> 4" bond beam acoustic block</t>
  </si>
  <si>
    <t>12x8x16 acoustic block</t>
  </si>
  <si>
    <t>10x8x16 acoustic block</t>
  </si>
  <si>
    <t xml:space="preserve"> 8x8x16 acoustic block</t>
  </si>
  <si>
    <t xml:space="preserve"> 6x8x16 acoustic block</t>
  </si>
  <si>
    <t xml:space="preserve"> 4x8x16 acoustic block</t>
  </si>
  <si>
    <t>12" bond beam glazed block</t>
  </si>
  <si>
    <t>10" bond beam glazed block</t>
  </si>
  <si>
    <t xml:space="preserve"> 8" bond beam glazed block</t>
  </si>
  <si>
    <t xml:space="preserve"> 6" bond beam glazed block</t>
  </si>
  <si>
    <t xml:space="preserve"> 4" bond beam glazed block</t>
  </si>
  <si>
    <t>12x8x16 glazed block</t>
  </si>
  <si>
    <t>10x8x16 glazed block</t>
  </si>
  <si>
    <t xml:space="preserve"> 8x8x16 glazed block</t>
  </si>
  <si>
    <t xml:space="preserve"> 6x8x16 glazed block</t>
  </si>
  <si>
    <t xml:space="preserve"> 4x8x16 glazed block</t>
  </si>
  <si>
    <t>12" bond beam scored block</t>
  </si>
  <si>
    <t>10" bond beam scored block</t>
  </si>
  <si>
    <t xml:space="preserve"> 8" bond beam scored block</t>
  </si>
  <si>
    <t xml:space="preserve"> 6" bond beam scored block</t>
  </si>
  <si>
    <t xml:space="preserve"> 4" bond beam scored block</t>
  </si>
  <si>
    <t>12x8x16 scored block</t>
  </si>
  <si>
    <t>10x8x16 scored block</t>
  </si>
  <si>
    <t xml:space="preserve"> 8x8x16 scored block</t>
  </si>
  <si>
    <t xml:space="preserve"> 6x8x16 scored block</t>
  </si>
  <si>
    <t xml:space="preserve"> 4x8x16 scored block</t>
  </si>
  <si>
    <t>12" bond beam burnished block A</t>
  </si>
  <si>
    <t>10" bond beam burnished block A</t>
  </si>
  <si>
    <t xml:space="preserve"> 8" bond beam burnished block A</t>
  </si>
  <si>
    <t xml:space="preserve"> 6" bond beam burnished block A</t>
  </si>
  <si>
    <t xml:space="preserve"> 4" bond beam burnished block A</t>
  </si>
  <si>
    <t>12x8x16 burnished block A</t>
  </si>
  <si>
    <t>10x8x16 burnished block A</t>
  </si>
  <si>
    <t xml:space="preserve"> 8x8x16 burnished block A</t>
  </si>
  <si>
    <t xml:space="preserve"> 6x8x16 burnished block A</t>
  </si>
  <si>
    <t xml:space="preserve"> 4x8x16 burnished block A</t>
  </si>
  <si>
    <t>12" bond beam exterior block</t>
  </si>
  <si>
    <t>10" bond beam exterior block</t>
  </si>
  <si>
    <t xml:space="preserve"> 8" bond beam exterior block</t>
  </si>
  <si>
    <t xml:space="preserve"> 6" bond beam exterior block</t>
  </si>
  <si>
    <t xml:space="preserve"> 4" bond beam exterior block</t>
  </si>
  <si>
    <t>12x8x16 exterior block</t>
  </si>
  <si>
    <t>10x8x16 exterior block</t>
  </si>
  <si>
    <t xml:space="preserve"> 8x8x16 exterior block</t>
  </si>
  <si>
    <t xml:space="preserve"> 6x8x16 exterior block</t>
  </si>
  <si>
    <t xml:space="preserve"> 4x8x16 exterior block</t>
  </si>
  <si>
    <t>16" bond beam split face block</t>
  </si>
  <si>
    <t>14" bond beam split face block</t>
  </si>
  <si>
    <t>12" bond beam split face block</t>
  </si>
  <si>
    <t>10" bond beam split face block</t>
  </si>
  <si>
    <t>8" bond beam split face block</t>
  </si>
  <si>
    <t>6" bond beam split face block</t>
  </si>
  <si>
    <t>4" bond beam split face block</t>
  </si>
  <si>
    <t>16x8x16 split face block</t>
  </si>
  <si>
    <t>14x8x16 split face block</t>
  </si>
  <si>
    <t>12x8x16 split face block</t>
  </si>
  <si>
    <t>10x8x16 split face block</t>
  </si>
  <si>
    <t>8x8x16 split face block</t>
  </si>
  <si>
    <t>6x8x16 split face block</t>
  </si>
  <si>
    <t>4x8x16 split face block</t>
  </si>
  <si>
    <t>16" bond beam fluted block</t>
  </si>
  <si>
    <t>14" bond beam fluted block</t>
  </si>
  <si>
    <t>12" bond beam fluted block</t>
  </si>
  <si>
    <t>10" bond beam fluted block</t>
  </si>
  <si>
    <t>8" bond beam fluted block</t>
  </si>
  <si>
    <t>6" bond beam fluted block</t>
  </si>
  <si>
    <t>4" bond beam fluted block</t>
  </si>
  <si>
    <t>16x8x16 fluted block</t>
  </si>
  <si>
    <t>14x8x16 fluted block</t>
  </si>
  <si>
    <t>12x8x16 fluted block</t>
  </si>
  <si>
    <t>10x8x16 fluted block</t>
  </si>
  <si>
    <t>8x8x16 fluted block</t>
  </si>
  <si>
    <t>6x8x16 fluted block</t>
  </si>
  <si>
    <t>4x8x16 fluted block</t>
  </si>
  <si>
    <t>16x8x16 glazed block, 2 sides</t>
  </si>
  <si>
    <t>14x8x16 glazed block, 2 sides</t>
  </si>
  <si>
    <t>16x8x16 fire rated block</t>
  </si>
  <si>
    <t>14x8x16 fire rated block</t>
  </si>
  <si>
    <t>16" bond beam scored block, 2 sides</t>
  </si>
  <si>
    <t>14" bond beam scored block, 2 sides</t>
  </si>
  <si>
    <t>16x8x16 scored block, 2 sides</t>
  </si>
  <si>
    <t>14x8x16 scored block, 2 sides</t>
  </si>
  <si>
    <t>16" bond beam foundation block</t>
  </si>
  <si>
    <t>14" bond beam foundation block</t>
  </si>
  <si>
    <t>16x8x16 foundation block</t>
  </si>
  <si>
    <t>14x8x16 foundation block</t>
  </si>
  <si>
    <t>16" bond beam acoustic block</t>
  </si>
  <si>
    <t>14" bond beam acoustic block</t>
  </si>
  <si>
    <t>16x8x16 acoustic block</t>
  </si>
  <si>
    <t>14x8x16 acoustic block</t>
  </si>
  <si>
    <t>16" bond beam lightweight block</t>
  </si>
  <si>
    <t>14" bond beam lightweight block</t>
  </si>
  <si>
    <t>12" bond beam lightweight block</t>
  </si>
  <si>
    <t>10" bond beam lightweight block</t>
  </si>
  <si>
    <t>8" bond beam lightweight block</t>
  </si>
  <si>
    <t>6" bond beam lightweight block</t>
  </si>
  <si>
    <t>4" bond beam lightweight block</t>
  </si>
  <si>
    <t>16x8x16 lightweight concrete block</t>
  </si>
  <si>
    <t>14x8x16 lightweight concrete block</t>
  </si>
  <si>
    <t>12x8x16 lightweight concrete block</t>
  </si>
  <si>
    <t>10x8x16 lightweight concrete block</t>
  </si>
  <si>
    <t>8x8x16 lightweight concrete block</t>
  </si>
  <si>
    <t>6x8x16 lightweight concrete block</t>
  </si>
  <si>
    <t>4x8x16 lightweight concrete block</t>
  </si>
  <si>
    <t>16" bond beam glazed block</t>
  </si>
  <si>
    <t>14" bond beam glazed block</t>
  </si>
  <si>
    <t>16x8x16 glazed block</t>
  </si>
  <si>
    <t>14x8x16 glazed block</t>
  </si>
  <si>
    <t>16" bond beam scored block</t>
  </si>
  <si>
    <t>14" bond beam scored block</t>
  </si>
  <si>
    <t>16x8x16 scored block</t>
  </si>
  <si>
    <t>14x8x16 scored block</t>
  </si>
  <si>
    <t>16" bond beam burnished block A</t>
  </si>
  <si>
    <t>14" bond beam burnished blockA</t>
  </si>
  <si>
    <t>16x8x16 burnished block A</t>
  </si>
  <si>
    <t>14x8x16 burnished block A</t>
  </si>
  <si>
    <t>16" bond beam exterior block</t>
  </si>
  <si>
    <t>14" bond beam exterior block</t>
  </si>
  <si>
    <t>16x8x16 exterior block</t>
  </si>
  <si>
    <t>14x8x16 exterior block</t>
  </si>
  <si>
    <t>16" bond beam concrete block</t>
  </si>
  <si>
    <t>14" bond beam concrete block</t>
  </si>
  <si>
    <t>12" bond beam concrete block</t>
  </si>
  <si>
    <t>10" bond beam concrete block</t>
  </si>
  <si>
    <t>8" bond beam concrete block</t>
  </si>
  <si>
    <t>6" bond beam concrete block</t>
  </si>
  <si>
    <t>4" bond beam concrete block</t>
  </si>
  <si>
    <t>16x8x16 concrete block</t>
  </si>
  <si>
    <t>14x8x16 concrete block</t>
  </si>
  <si>
    <t>12x8x16 concrete block</t>
  </si>
  <si>
    <t>10x8x16 concrete block</t>
  </si>
  <si>
    <t>8x8x16 concrete block</t>
  </si>
  <si>
    <t>6x8x16 concrete block</t>
  </si>
  <si>
    <t>4x8x16 concrete block</t>
  </si>
  <si>
    <t>Split face block</t>
  </si>
  <si>
    <t>12" split face block</t>
  </si>
  <si>
    <t>10" split face block</t>
  </si>
  <si>
    <t>8" split face block</t>
  </si>
  <si>
    <t>6" split face block</t>
  </si>
  <si>
    <t>4" split face block</t>
  </si>
  <si>
    <t>Fluted block</t>
  </si>
  <si>
    <t>12" fluted block</t>
  </si>
  <si>
    <t>10" fluted block</t>
  </si>
  <si>
    <t>8" fluted block</t>
  </si>
  <si>
    <t>6" fluted block</t>
  </si>
  <si>
    <t>4" fluted block</t>
  </si>
  <si>
    <t>Block insulation</t>
  </si>
  <si>
    <t>Lightweight concrete block</t>
  </si>
  <si>
    <t>12" lightweight concrete block</t>
  </si>
  <si>
    <t>10" lightweight concrete block</t>
  </si>
  <si>
    <t>8" lightweight concrete block</t>
  </si>
  <si>
    <t>6" lightweight concrete block</t>
  </si>
  <si>
    <t>4" lightweight concrete block</t>
  </si>
  <si>
    <t>Concrete block</t>
  </si>
  <si>
    <t>12" concrete block</t>
  </si>
  <si>
    <t>10" concrete block</t>
  </si>
  <si>
    <t>8" concrete block</t>
  </si>
  <si>
    <t>6" concrete block</t>
  </si>
  <si>
    <t>4" concrete block</t>
  </si>
  <si>
    <t>Masonry pilaster</t>
  </si>
  <si>
    <t>12" masonry foundation wall</t>
  </si>
  <si>
    <t>8" masonry foundation wall</t>
  </si>
  <si>
    <t>6" masonry foundation wall</t>
  </si>
  <si>
    <t>4" masonry foundation wall</t>
  </si>
  <si>
    <t>Masonry foundation wall</t>
  </si>
  <si>
    <t>Fill voids w/grout</t>
  </si>
  <si>
    <t>Fill voids w/foam insulation</t>
  </si>
  <si>
    <t>Fill voids w/loose fill insul</t>
  </si>
  <si>
    <t>Fill voids w/zonelite</t>
  </si>
  <si>
    <t>Fill voids w/ concrete</t>
  </si>
  <si>
    <t>Fill voids w/sand</t>
  </si>
  <si>
    <t>Fill voids w/mortar</t>
  </si>
  <si>
    <t>* Masonry foundation wall length *</t>
  </si>
  <si>
    <t xml:space="preserve">** Masonry and glazed tile wall area ** </t>
  </si>
  <si>
    <t>** Glazed tile wall area **</t>
  </si>
  <si>
    <t>** Masonry wall area **</t>
  </si>
  <si>
    <t>* Glazed tile wall area *</t>
  </si>
  <si>
    <t>* Masonry wall area *</t>
  </si>
  <si>
    <t>Interior scaffold and rigging</t>
  </si>
  <si>
    <t>Exterior scaffold and rigging</t>
  </si>
  <si>
    <t>Exterior swing scaffolding</t>
  </si>
  <si>
    <t>Exterior tubular scaffolding</t>
  </si>
  <si>
    <t>Interior tubular scaffolding</t>
  </si>
  <si>
    <t>Mason's scaffolding</t>
  </si>
  <si>
    <t>6x12x12 clay tile</t>
  </si>
  <si>
    <t>4x12x12 clay tile</t>
  </si>
  <si>
    <t>2x12x12 clay tile</t>
  </si>
  <si>
    <t>Clean and point glazed tile</t>
  </si>
  <si>
    <t>GP-3 glazed tile, 6T</t>
  </si>
  <si>
    <t>GP-2 glazed tile, 6T</t>
  </si>
  <si>
    <t>GP-1 glazed tile, 6T</t>
  </si>
  <si>
    <t>6" glazed tile, G2S</t>
  </si>
  <si>
    <t>4" glazed tile, G2S</t>
  </si>
  <si>
    <t>8" glazed tile, 6T</t>
  </si>
  <si>
    <t>6" glazed tile, 6T</t>
  </si>
  <si>
    <t>4" glazed tile, 6T</t>
  </si>
  <si>
    <t>2" glazed tile, 6T</t>
  </si>
  <si>
    <t>GP3 glazed tile, 8W</t>
  </si>
  <si>
    <t>GP2 glazed tile, 8W</t>
  </si>
  <si>
    <t>6" glazed tile, gs2</t>
  </si>
  <si>
    <t>8" glazed tile, 8W</t>
  </si>
  <si>
    <t>6" glazed tile,8W</t>
  </si>
  <si>
    <t>4" glazed tile, 8W</t>
  </si>
  <si>
    <t>2" glazed tile,8W</t>
  </si>
  <si>
    <t>Masonry wall bracing</t>
  </si>
  <si>
    <t>Special masonry finish</t>
  </si>
  <si>
    <t>Standard size common brick</t>
  </si>
  <si>
    <t>Standard size face brick</t>
  </si>
  <si>
    <t>Add for stripped joint</t>
  </si>
  <si>
    <t>Add for weathered joint</t>
  </si>
  <si>
    <t>Add for beaded joint</t>
  </si>
  <si>
    <t>Add for concave joint</t>
  </si>
  <si>
    <t>Add for raked out joint</t>
  </si>
  <si>
    <t>Add for vee cut</t>
  </si>
  <si>
    <t>Add for flush cut</t>
  </si>
  <si>
    <t>Add for extruded joint</t>
  </si>
  <si>
    <t>Add for grapevine joint</t>
  </si>
  <si>
    <t>Add for struck joint</t>
  </si>
  <si>
    <t>Add for convex joint</t>
  </si>
  <si>
    <t>Add for rodded joint</t>
  </si>
  <si>
    <t>Add for garden wall bond</t>
  </si>
  <si>
    <t>Add for Flemish dbl strchr bnd</t>
  </si>
  <si>
    <t>Add for English cross bond</t>
  </si>
  <si>
    <t>Add for English bond</t>
  </si>
  <si>
    <t>Add for Flemish hdr 6Th course</t>
  </si>
  <si>
    <t>Add for Flemish bond</t>
  </si>
  <si>
    <t>Add for common (American) bond</t>
  </si>
  <si>
    <t>Add for patterned bond</t>
  </si>
  <si>
    <t>Add for stacked bond</t>
  </si>
  <si>
    <t>**Face brick area**</t>
  </si>
  <si>
    <t>Sill cap</t>
  </si>
  <si>
    <t>Soldier course</t>
  </si>
  <si>
    <t>Rowlock course</t>
  </si>
  <si>
    <t>Economy/Closure size brick</t>
  </si>
  <si>
    <t>Norman brick 2¼"x11-5/8"</t>
  </si>
  <si>
    <t>Engineer size (Jumbo) brick</t>
  </si>
  <si>
    <t>Modular brick 2¼"x7-5/8"</t>
  </si>
  <si>
    <t>M</t>
  </si>
  <si>
    <t>Queen size face brick</t>
  </si>
  <si>
    <t>Kingsize face brick</t>
  </si>
  <si>
    <t>Utility size face brick</t>
  </si>
  <si>
    <t>Common brick</t>
  </si>
  <si>
    <t>Masonry fence</t>
  </si>
  <si>
    <t>Exterior rowlock sill</t>
  </si>
  <si>
    <t>Interior face brick</t>
  </si>
  <si>
    <t>Face brick</t>
  </si>
  <si>
    <t>Glass block mortar (1/1/4 mix)</t>
  </si>
  <si>
    <t>Straight lime mortar  (0/1/3 mix)</t>
  </si>
  <si>
    <t>Type K mortar  (1/3/10 mix)</t>
  </si>
  <si>
    <t>Type O mortar  (1/2/9 mix)</t>
  </si>
  <si>
    <t>Type S mortar  (2/1/9 mix)</t>
  </si>
  <si>
    <t>Type M mortar  (3/1/12 mix)</t>
  </si>
  <si>
    <t>Type N mortar (1/1/6 mix)</t>
  </si>
  <si>
    <t>Add for color mortar</t>
  </si>
  <si>
    <t>Mortar</t>
  </si>
  <si>
    <t>** Total masonry area **</t>
  </si>
  <si>
    <t>Weepholes</t>
  </si>
  <si>
    <t>Grout</t>
  </si>
  <si>
    <t>Topping and flooring preparation epoxy</t>
  </si>
  <si>
    <t>Concentrated topping and flooring primer</t>
  </si>
  <si>
    <t>Self-drying cement based finishing underlayment</t>
  </si>
  <si>
    <t>Self-leveling flooring underlayment</t>
  </si>
  <si>
    <t>Self-leveling self-drying concrete underlayment</t>
  </si>
  <si>
    <t>Self-leveling concrete underlayment</t>
  </si>
  <si>
    <t>Topping sealant</t>
  </si>
  <si>
    <t>Self-leveling self-drying designed flooring with color</t>
  </si>
  <si>
    <t>Self-leveling self-drying designed flooring</t>
  </si>
  <si>
    <t>Self-leveling self-drying concrete topping</t>
  </si>
  <si>
    <t>Self-leveling concrete topping</t>
  </si>
  <si>
    <t>Concrete topping @ slab</t>
  </si>
  <si>
    <t>3" vermiculite roof fill</t>
  </si>
  <si>
    <t>2" vermiculite roof fill</t>
  </si>
  <si>
    <t>Vermiculite 1:6 mix roof fill</t>
  </si>
  <si>
    <t>Poured insulated concrete deck</t>
  </si>
  <si>
    <t>Vermiculite roof fill</t>
  </si>
  <si>
    <t>Lightweight concrete roof fill</t>
  </si>
  <si>
    <t>** Cementitious deck area **</t>
  </si>
  <si>
    <t>2" gypsum floor plank</t>
  </si>
  <si>
    <t>2" gypsum roof plank</t>
  </si>
  <si>
    <t>3" poured gypsum deck</t>
  </si>
  <si>
    <t>2" poured gypsum deck</t>
  </si>
  <si>
    <t>3" tectum deck long span</t>
  </si>
  <si>
    <t>2" tectum deck long span</t>
  </si>
  <si>
    <t>3" tectum deck</t>
  </si>
  <si>
    <t>2½" tectum deck</t>
  </si>
  <si>
    <t>2" tectum deck</t>
  </si>
  <si>
    <t>1" tectum deck</t>
  </si>
  <si>
    <t>Gypsum roof deck 3½"</t>
  </si>
  <si>
    <t>Wood fiber lightweight T&amp;G plank</t>
  </si>
  <si>
    <t>Gypsum roof plank</t>
  </si>
  <si>
    <t>Poured gypsum deck</t>
  </si>
  <si>
    <t>Cementitious fiber deck</t>
  </si>
  <si>
    <t>Tiltup concrete panels</t>
  </si>
  <si>
    <t>No. of   'x   ' insltd panels</t>
  </si>
  <si>
    <t>No. of   'x   ' panels</t>
  </si>
  <si>
    <t>* No. of insulated tilt panels</t>
  </si>
  <si>
    <t>* No. of tiltup panels *</t>
  </si>
  <si>
    <t>Backfill, select material</t>
  </si>
  <si>
    <t>Backfill, gravel</t>
  </si>
  <si>
    <t>Backfill, sand</t>
  </si>
  <si>
    <t>Backfill, crushed stone</t>
  </si>
  <si>
    <t>Backfill, imported soil</t>
  </si>
  <si>
    <t>Backfill, job soil</t>
  </si>
  <si>
    <t>Tilt up panel excavation @ftng</t>
  </si>
  <si>
    <t>Erect   'x   ' panel</t>
  </si>
  <si>
    <t>LUMP</t>
  </si>
  <si>
    <t>Crane and rigging subcontract</t>
  </si>
  <si>
    <t>DAYS</t>
  </si>
  <si>
    <t>Pre erection cleaning</t>
  </si>
  <si>
    <t>End braces</t>
  </si>
  <si>
    <t>Lateral bracing</t>
  </si>
  <si>
    <t>Pipe knee braces</t>
  </si>
  <si>
    <t>2x4 knee braces</t>
  </si>
  <si>
    <t>Remove deadmen</t>
  </si>
  <si>
    <t>No. of deadmen</t>
  </si>
  <si>
    <t>Floor brace anchors</t>
  </si>
  <si>
    <t>Attach braces</t>
  </si>
  <si>
    <t xml:space="preserve">  28' to 33' long</t>
  </si>
  <si>
    <t xml:space="preserve">  24' to 28' long</t>
  </si>
  <si>
    <t xml:space="preserve">  20' to 24' long</t>
  </si>
  <si>
    <t xml:space="preserve">  14' to 20' long</t>
  </si>
  <si>
    <t xml:space="preserve">  10' to 14' long</t>
  </si>
  <si>
    <t xml:space="preserve">  7'6" to 10' long</t>
  </si>
  <si>
    <t>Rent braces</t>
  </si>
  <si>
    <t xml:space="preserve">  Plastic caps</t>
  </si>
  <si>
    <t xml:space="preserve">  Grout</t>
  </si>
  <si>
    <t>Patch inserts</t>
  </si>
  <si>
    <t xml:space="preserve">  Steel   '</t>
  </si>
  <si>
    <t xml:space="preserve">  Aluminum   '</t>
  </si>
  <si>
    <t xml:space="preserve">  Wood   '</t>
  </si>
  <si>
    <t>Strongbacks</t>
  </si>
  <si>
    <t>Channels in openings</t>
  </si>
  <si>
    <t>Structural steel embeds</t>
  </si>
  <si>
    <t>Brace inserts</t>
  </si>
  <si>
    <t>Edge inserts</t>
  </si>
  <si>
    <t>Lifting plates</t>
  </si>
  <si>
    <t>Lifting inserts</t>
  </si>
  <si>
    <t>6x6 W4/W4 mesh</t>
  </si>
  <si>
    <t>6x6 W2.9/W2.9 mesh</t>
  </si>
  <si>
    <t>6x6 W2.1/W2.1 mesh</t>
  </si>
  <si>
    <t>6x6 W1.4/W1.4 mesh</t>
  </si>
  <si>
    <t>Tilt up rebar</t>
  </si>
  <si>
    <t>Bond breaker</t>
  </si>
  <si>
    <t>Water and blanket cure</t>
  </si>
  <si>
    <t>Curing compound</t>
  </si>
  <si>
    <t>Apply curing compound</t>
  </si>
  <si>
    <t>Treat casting slab joints</t>
  </si>
  <si>
    <t>Clean casting slab surface</t>
  </si>
  <si>
    <t>Grout casting bed</t>
  </si>
  <si>
    <t>Sand casting bed</t>
  </si>
  <si>
    <t>Dirt casting bed</t>
  </si>
  <si>
    <t>Demolish and remove casting slab</t>
  </si>
  <si>
    <t>Form, pour and cure casting slab</t>
  </si>
  <si>
    <t>Chamfer strips</t>
  </si>
  <si>
    <t>Layout erection sequence</t>
  </si>
  <si>
    <t>Layout panel forms</t>
  </si>
  <si>
    <t xml:space="preserve">  Plastic, rail style</t>
  </si>
  <si>
    <t xml:space="preserve">  12" steel</t>
  </si>
  <si>
    <t xml:space="preserve">  10" steel</t>
  </si>
  <si>
    <t xml:space="preserve">  8" steel</t>
  </si>
  <si>
    <t xml:space="preserve">  6" steel</t>
  </si>
  <si>
    <t xml:space="preserve">  4" steel</t>
  </si>
  <si>
    <t xml:space="preserve">  2x12</t>
  </si>
  <si>
    <t xml:space="preserve">  2x10</t>
  </si>
  <si>
    <t xml:space="preserve">  2x8</t>
  </si>
  <si>
    <t xml:space="preserve">  2x6</t>
  </si>
  <si>
    <t xml:space="preserve">  2x4</t>
  </si>
  <si>
    <t>Edge forms</t>
  </si>
  <si>
    <t>Seal between panels</t>
  </si>
  <si>
    <t>Grout panels at footing</t>
  </si>
  <si>
    <t>Paint panels, paint type C</t>
  </si>
  <si>
    <t>Paint panels, paint type B</t>
  </si>
  <si>
    <t>Paint panels, paint type A</t>
  </si>
  <si>
    <t xml:space="preserve">  Colored grout</t>
  </si>
  <si>
    <t xml:space="preserve">  Special aggregate</t>
  </si>
  <si>
    <t xml:space="preserve">  Mixed color gravel aggregate</t>
  </si>
  <si>
    <t xml:space="preserve">  Peagravel aggregate</t>
  </si>
  <si>
    <t xml:space="preserve">  Limestone aggregate</t>
  </si>
  <si>
    <t xml:space="preserve">  Exposed aggregate finish</t>
  </si>
  <si>
    <t xml:space="preserve">  Plastic film over rocks</t>
  </si>
  <si>
    <t xml:space="preserve">  Sand sculpture</t>
  </si>
  <si>
    <t xml:space="preserve">  Wood reveals and rustication</t>
  </si>
  <si>
    <t xml:space="preserve">  Styrofoam carvings</t>
  </si>
  <si>
    <t xml:space="preserve">  Styrofoam reveals</t>
  </si>
  <si>
    <t xml:space="preserve">  Bricks</t>
  </si>
  <si>
    <t xml:space="preserve">  Flagstones</t>
  </si>
  <si>
    <t xml:space="preserve">  Fiberglass liner pattern C</t>
  </si>
  <si>
    <t xml:space="preserve">  Fiberglass liner pattern B</t>
  </si>
  <si>
    <t xml:space="preserve">  Fiberglass liner pattern A</t>
  </si>
  <si>
    <t xml:space="preserve">  Vinyl formliner pattern C</t>
  </si>
  <si>
    <t xml:space="preserve">  Vinyl formliner pattern B</t>
  </si>
  <si>
    <t xml:space="preserve">  Vinyl formliner pattern A</t>
  </si>
  <si>
    <t xml:space="preserve">  Rake</t>
  </si>
  <si>
    <t xml:space="preserve">  Broom</t>
  </si>
  <si>
    <t xml:space="preserve">  Trowel</t>
  </si>
  <si>
    <t>6" panel insulation</t>
  </si>
  <si>
    <t>4" panel insulation</t>
  </si>
  <si>
    <t>3" panel insulation</t>
  </si>
  <si>
    <t>2½" panel insulation</t>
  </si>
  <si>
    <t>2" panel insulation</t>
  </si>
  <si>
    <t>1½" panel insulation</t>
  </si>
  <si>
    <t>1" panel insulation</t>
  </si>
  <si>
    <t xml:space="preserve">  Mix B with pump</t>
  </si>
  <si>
    <t xml:space="preserve">  Mix B with carts</t>
  </si>
  <si>
    <t xml:space="preserve">  Mix B with crane</t>
  </si>
  <si>
    <t xml:space="preserve">  Mix B direct</t>
  </si>
  <si>
    <t xml:space="preserve">  Mix A with pump</t>
  </si>
  <si>
    <t xml:space="preserve">  Mix A with carts</t>
  </si>
  <si>
    <t xml:space="preserve">  Mix A with crane</t>
  </si>
  <si>
    <t xml:space="preserve">  Mix A direct</t>
  </si>
  <si>
    <t xml:space="preserve">  6000 psi with pump</t>
  </si>
  <si>
    <t xml:space="preserve">  6000 psi with carts</t>
  </si>
  <si>
    <t xml:space="preserve">  6000 psi with crane</t>
  </si>
  <si>
    <t xml:space="preserve">  6000 psi direct</t>
  </si>
  <si>
    <t xml:space="preserve">  5000 psi with pump</t>
  </si>
  <si>
    <t xml:space="preserve">  5000 psi with carts</t>
  </si>
  <si>
    <t xml:space="preserve">  5000 psi with crane</t>
  </si>
  <si>
    <t xml:space="preserve">  5000 psi direct</t>
  </si>
  <si>
    <t xml:space="preserve">  4000 psi with pump</t>
  </si>
  <si>
    <t xml:space="preserve">  4000 psi with carts</t>
  </si>
  <si>
    <t xml:space="preserve">  4000 psi with crane</t>
  </si>
  <si>
    <t xml:space="preserve">  4000 psi direct</t>
  </si>
  <si>
    <t xml:space="preserve">  3500 psi with pump</t>
  </si>
  <si>
    <t xml:space="preserve">  3500 psi with carts</t>
  </si>
  <si>
    <t xml:space="preserve">  3500 psi with crane</t>
  </si>
  <si>
    <t xml:space="preserve">  3500 psi direct</t>
  </si>
  <si>
    <t xml:space="preserve">  2500 psi with pump</t>
  </si>
  <si>
    <t xml:space="preserve">  2500 psi with carts</t>
  </si>
  <si>
    <t xml:space="preserve">  2500 psi with crane</t>
  </si>
  <si>
    <t xml:space="preserve">  2500 psi direct</t>
  </si>
  <si>
    <t xml:space="preserve">  3000 psi with pump</t>
  </si>
  <si>
    <t xml:space="preserve">  3000 psi with carts</t>
  </si>
  <si>
    <t xml:space="preserve">  3000 psi with crane</t>
  </si>
  <si>
    <t xml:space="preserve">  3000 psi direct</t>
  </si>
  <si>
    <t xml:space="preserve">  Outer wythe concrete</t>
  </si>
  <si>
    <t xml:space="preserve">  Structural concrete</t>
  </si>
  <si>
    <t>Tiltup panels</t>
  </si>
  <si>
    <t>Precast lintel</t>
  </si>
  <si>
    <t>* Precast slab area *</t>
  </si>
  <si>
    <t>* Precast column length *</t>
  </si>
  <si>
    <t>* Precast beam length *</t>
  </si>
  <si>
    <t>PC structural system</t>
  </si>
  <si>
    <t>Insulated precast panel arch finish</t>
  </si>
  <si>
    <t>Precast panel architectural finish</t>
  </si>
  <si>
    <t>Insulated precast panel</t>
  </si>
  <si>
    <t>Precast panel</t>
  </si>
  <si>
    <t>Precast landing</t>
  </si>
  <si>
    <t>Precast stairs</t>
  </si>
  <si>
    <t>Precast column</t>
  </si>
  <si>
    <t>Precast beam</t>
  </si>
  <si>
    <t>PC double TT slab</t>
  </si>
  <si>
    <t>PC single TT slab</t>
  </si>
  <si>
    <t>PC hollow core plank</t>
  </si>
  <si>
    <t>Precast plank</t>
  </si>
  <si>
    <t>** Concrete curing **</t>
  </si>
  <si>
    <t>Protect and cure horizontal surfaces</t>
  </si>
  <si>
    <t>Protect and cure vertical surfaces</t>
  </si>
  <si>
    <t>Protect and cure</t>
  </si>
  <si>
    <t>** Concrete finishes area **</t>
  </si>
  <si>
    <t>Exposed aggregate finish</t>
  </si>
  <si>
    <t>Floor hardener</t>
  </si>
  <si>
    <t>Special concrete finish @ wall</t>
  </si>
  <si>
    <t>Sandblast concrete finish @ wall</t>
  </si>
  <si>
    <t>Special wall finish</t>
  </si>
  <si>
    <t>Special concrete coating</t>
  </si>
  <si>
    <t>Special concrete finish</t>
  </si>
  <si>
    <t>Architectural concrete finish</t>
  </si>
  <si>
    <t>Sack and rub concrete finish</t>
  </si>
  <si>
    <t>Retarded aggregate finish</t>
  </si>
  <si>
    <t>Bushhammer concrete</t>
  </si>
  <si>
    <t>Sandblast concrete</t>
  </si>
  <si>
    <t>Non-slip slab finish</t>
  </si>
  <si>
    <t>** Concrete finishing area **</t>
  </si>
  <si>
    <t>Trowel finish stair and landing</t>
  </si>
  <si>
    <t>Trowel topping finish</t>
  </si>
  <si>
    <t>Screed finish</t>
  </si>
  <si>
    <t>Float finish</t>
  </si>
  <si>
    <t>Trowel finish</t>
  </si>
  <si>
    <t>Rub concrete finish @ concrete wall</t>
  </si>
  <si>
    <t>Point and patch concrete @ wall</t>
  </si>
  <si>
    <t>Add labor-finish column boxes</t>
  </si>
  <si>
    <t>Rubbed concrete finish</t>
  </si>
  <si>
    <t>Rub concrete column</t>
  </si>
  <si>
    <t>Trowel w/ applied hardener</t>
  </si>
  <si>
    <t>Trowel w/ liquid hardener</t>
  </si>
  <si>
    <t>Hand trowel finish</t>
  </si>
  <si>
    <t>Trowel finish mtl pan fill</t>
  </si>
  <si>
    <t>Alundum finish concrete stairs</t>
  </si>
  <si>
    <t>Trowel finish stairs</t>
  </si>
  <si>
    <t>Trowel finish topping</t>
  </si>
  <si>
    <t>Float finish topping</t>
  </si>
  <si>
    <t>Laser screed slab</t>
  </si>
  <si>
    <t>Screed finish circular footing</t>
  </si>
  <si>
    <t>Screeded finish</t>
  </si>
  <si>
    <t>Point and patch</t>
  </si>
  <si>
    <t>Machine trowel finish</t>
  </si>
  <si>
    <t>Improved trowel finish</t>
  </si>
  <si>
    <t>Float finish tank footing</t>
  </si>
  <si>
    <t>Trowel finish @ hub</t>
  </si>
  <si>
    <t>Float finish @ hub</t>
  </si>
  <si>
    <t>Trowel finish @ hopper</t>
  </si>
  <si>
    <t>Float finish @ hopper</t>
  </si>
  <si>
    <t>Trowel finish tank footing</t>
  </si>
  <si>
    <t>Sack and remove fins @ stair</t>
  </si>
  <si>
    <t>Rub concrete walls</t>
  </si>
  <si>
    <t>Rub concrete stairs</t>
  </si>
  <si>
    <t>Rub concrete underside of slab</t>
  </si>
  <si>
    <t>Rub concrete beams</t>
  </si>
  <si>
    <t>Finish concrete wall top surface</t>
  </si>
  <si>
    <t>Finish footing concrete top surface</t>
  </si>
  <si>
    <t>Sack ceiling finish</t>
  </si>
  <si>
    <t>Rub concrete curb</t>
  </si>
  <si>
    <t xml:space="preserve">**Slab area** </t>
  </si>
  <si>
    <t>Add for concrete lightweight agent admixture</t>
  </si>
  <si>
    <t>Add for concrete lightweight aggregate admixture</t>
  </si>
  <si>
    <t>Add for concrete accelerator admixture</t>
  </si>
  <si>
    <t>Add for concrete retarder admixture</t>
  </si>
  <si>
    <t>Add for concrete air entrainment admixture</t>
  </si>
  <si>
    <t>Add for concrete pozzolanic admixture</t>
  </si>
  <si>
    <t>Add for concrete superplasticizer admixture</t>
  </si>
  <si>
    <t>Add for concrete plasticizer admixture</t>
  </si>
  <si>
    <t>Add for concrete colorant admixture</t>
  </si>
  <si>
    <t>** Tank concrete **  §§</t>
  </si>
  <si>
    <t>** Building concrete **</t>
  </si>
  <si>
    <t>** Metal pan concrete fill **</t>
  </si>
  <si>
    <t>** Tiltup panel concrete **</t>
  </si>
  <si>
    <t>** Stair concrete **</t>
  </si>
  <si>
    <t>** Topping concrete **</t>
  </si>
  <si>
    <t>** Slab over metal deck concrete **</t>
  </si>
  <si>
    <t>** Pan and waffle slab concrete **</t>
  </si>
  <si>
    <t>** Supported slab concrete **</t>
  </si>
  <si>
    <t>** Beam concrete **</t>
  </si>
  <si>
    <t>** Column and pier concrete **</t>
  </si>
  <si>
    <t>** Wall concrete **</t>
  </si>
  <si>
    <t>** Pit/trench/pad/curb concrete **</t>
  </si>
  <si>
    <t>** Slab on grade concrete **</t>
  </si>
  <si>
    <t>** Grade beam concrete **</t>
  </si>
  <si>
    <t>** Footing and foundation concrete **</t>
  </si>
  <si>
    <t>** Flume concrete **</t>
  </si>
  <si>
    <t>* No. of concrete stairs *</t>
  </si>
  <si>
    <t>* Concrete column length *</t>
  </si>
  <si>
    <t>* Concrete beam length *</t>
  </si>
  <si>
    <t>* Self leveling topping and underlayment *</t>
  </si>
  <si>
    <t>* Slab over metal deck area *</t>
  </si>
  <si>
    <t>* Waffle slab area *</t>
  </si>
  <si>
    <t>* Pan slab area *</t>
  </si>
  <si>
    <t>* Flat slab area *</t>
  </si>
  <si>
    <t>* Miscellaneous substructure area *</t>
  </si>
  <si>
    <t>* Basement wall area *</t>
  </si>
  <si>
    <t>* Ramp on grade area *</t>
  </si>
  <si>
    <t>* Building curbs length *</t>
  </si>
  <si>
    <t>* No. of pads *</t>
  </si>
  <si>
    <t>* Trench length *</t>
  </si>
  <si>
    <t>* No. of pits *</t>
  </si>
  <si>
    <t>* Concrete foundation wall length *</t>
  </si>
  <si>
    <t>* Miscellaneous foundation area *</t>
  </si>
  <si>
    <t>* Sloped footing length *</t>
  </si>
  <si>
    <t>* Stepped footing length *</t>
  </si>
  <si>
    <t>* Flume length *</t>
  </si>
  <si>
    <t>* No. of concrete stair risers *</t>
  </si>
  <si>
    <t>* Pan and waffle slab area *</t>
  </si>
  <si>
    <t>* Haunch length *</t>
  </si>
  <si>
    <t>* No. of column haunches *</t>
  </si>
  <si>
    <t>* No. of drop panels *</t>
  </si>
  <si>
    <t>* Supported slab area *</t>
  </si>
  <si>
    <t>* Length of CIP beams *</t>
  </si>
  <si>
    <t>* No. of columns *</t>
  </si>
  <si>
    <t>* No. of piers *</t>
  </si>
  <si>
    <t>* Concrete wall area *</t>
  </si>
  <si>
    <t>* Pad area *</t>
  </si>
  <si>
    <t>* Pit area *</t>
  </si>
  <si>
    <t>* Trench area *</t>
  </si>
  <si>
    <t>* Building curb length *</t>
  </si>
  <si>
    <t>* Thickened slab length *</t>
  </si>
  <si>
    <t>* SOG area *</t>
  </si>
  <si>
    <t>* Grade beam length *</t>
  </si>
  <si>
    <t>* Mat foundation area *</t>
  </si>
  <si>
    <t>* No. of pile caps *</t>
  </si>
  <si>
    <t>* No. of column footings *</t>
  </si>
  <si>
    <t>* Continuous footing length *</t>
  </si>
  <si>
    <t>**4000 psi conc**</t>
  </si>
  <si>
    <t>**3000 psi conc**</t>
  </si>
  <si>
    <t>**2500 psi conc**</t>
  </si>
  <si>
    <t>Lightweight conc @ slab</t>
  </si>
  <si>
    <t>4000 psi conc @ slab</t>
  </si>
  <si>
    <t>3000 psi conc @ slab</t>
  </si>
  <si>
    <t>2500 psi conc @ slab</t>
  </si>
  <si>
    <t>4000 psi conc @ wall</t>
  </si>
  <si>
    <t>3000 psi conc @ wall</t>
  </si>
  <si>
    <t>2500 psi conc @ wall</t>
  </si>
  <si>
    <t>4000 psi conc @ footing</t>
  </si>
  <si>
    <t>3000 psi conc @ footing</t>
  </si>
  <si>
    <t>2500 psi conc @ footing</t>
  </si>
  <si>
    <t>** Total concrete **</t>
  </si>
  <si>
    <t xml:space="preserve">  Mix B w/conveyor</t>
  </si>
  <si>
    <t xml:space="preserve">  Mix B pump w/truck</t>
  </si>
  <si>
    <t xml:space="preserve">  Mix B pump w/pipeline</t>
  </si>
  <si>
    <t xml:space="preserve">  Mix B w/crane</t>
  </si>
  <si>
    <t xml:space="preserve">  Mix A w/conveyor</t>
  </si>
  <si>
    <t xml:space="preserve">  Mix A pump w/truck</t>
  </si>
  <si>
    <t xml:space="preserve">  Mix A pump w/pipeline</t>
  </si>
  <si>
    <t xml:space="preserve">  Mix A w/crane</t>
  </si>
  <si>
    <t xml:space="preserve">  5000 psi w/conveyor</t>
  </si>
  <si>
    <t xml:space="preserve">  5000 psi pump w/truck</t>
  </si>
  <si>
    <t xml:space="preserve">  5000 psi pump w/pipeline</t>
  </si>
  <si>
    <t xml:space="preserve">  5000 psi w/crane</t>
  </si>
  <si>
    <t xml:space="preserve">  4000 psi w/conveyor</t>
  </si>
  <si>
    <t xml:space="preserve">  4000 psi pump w/truck</t>
  </si>
  <si>
    <t xml:space="preserve">  4000 psi pump w/pipeline</t>
  </si>
  <si>
    <t xml:space="preserve">  4000 psi w/crane</t>
  </si>
  <si>
    <t xml:space="preserve">  3750 psi w/conveyor</t>
  </si>
  <si>
    <t xml:space="preserve">  3750 psi pump w/truck</t>
  </si>
  <si>
    <t xml:space="preserve">  3750 psi pump w/pipeline</t>
  </si>
  <si>
    <t xml:space="preserve">  3750 psi w/crane</t>
  </si>
  <si>
    <t xml:space="preserve">  3750 psi direct</t>
  </si>
  <si>
    <t xml:space="preserve">  3500 psi w/conveyor</t>
  </si>
  <si>
    <t xml:space="preserve">  3500 psi pump w/truck</t>
  </si>
  <si>
    <t xml:space="preserve">  3500 psi pump w/pipeline</t>
  </si>
  <si>
    <t xml:space="preserve">  3500 psi w/crane</t>
  </si>
  <si>
    <t xml:space="preserve">  2500 psi w/conveyor</t>
  </si>
  <si>
    <t xml:space="preserve">  2500 psi pump w/truck</t>
  </si>
  <si>
    <t xml:space="preserve">  2500 psi pump w/pipeline</t>
  </si>
  <si>
    <t xml:space="preserve">  2500 psi w/crane</t>
  </si>
  <si>
    <t xml:space="preserve">  3000 psi w/conveyor</t>
  </si>
  <si>
    <t xml:space="preserve">  3000 psi pump w/truck</t>
  </si>
  <si>
    <t xml:space="preserve">  3000 psi pump w/pipeline</t>
  </si>
  <si>
    <t xml:space="preserve">  3000 psi w/crane</t>
  </si>
  <si>
    <t>** Supported walkway concrete **</t>
  </si>
  <si>
    <t>** Concrete in center hub **</t>
  </si>
  <si>
    <t>** Center hopper concrete **</t>
  </si>
  <si>
    <t xml:space="preserve">  Mix B w/ conveyor</t>
  </si>
  <si>
    <t xml:space="preserve">  Mix B pump w/ truck</t>
  </si>
  <si>
    <t xml:space="preserve">  Mix B pump w/ pipeline</t>
  </si>
  <si>
    <t xml:space="preserve">  Mix B w/ crane</t>
  </si>
  <si>
    <t xml:space="preserve">  Mix A w/ conveyor</t>
  </si>
  <si>
    <t xml:space="preserve">  Mix A pump w/ truck</t>
  </si>
  <si>
    <t xml:space="preserve">  Mix A pump w/ pipeline</t>
  </si>
  <si>
    <t xml:space="preserve">  Mix A w/ crane</t>
  </si>
  <si>
    <t xml:space="preserve">  5000 psi w/ conveyor</t>
  </si>
  <si>
    <t xml:space="preserve">  5000 psi pump w/ truck</t>
  </si>
  <si>
    <t xml:space="preserve">  5000 psi pump w/ pipeline</t>
  </si>
  <si>
    <t xml:space="preserve">  5000 psi w/ crane</t>
  </si>
  <si>
    <t xml:space="preserve">  4000 psi w/ conveyor</t>
  </si>
  <si>
    <t xml:space="preserve">  4000 psi pump w/ truck</t>
  </si>
  <si>
    <t xml:space="preserve">  4000 psi pump w/ pipeline</t>
  </si>
  <si>
    <t xml:space="preserve">  4000 psi w/ crane</t>
  </si>
  <si>
    <t xml:space="preserve">  3750 psi w/ conveyor</t>
  </si>
  <si>
    <t xml:space="preserve">  3750 psi pump w/ truck</t>
  </si>
  <si>
    <t xml:space="preserve">  3750 psi pump w/ pipeline</t>
  </si>
  <si>
    <t xml:space="preserve">  3750 psi w/ crane</t>
  </si>
  <si>
    <t xml:space="preserve">  3500 psi w/ conveyor</t>
  </si>
  <si>
    <t xml:space="preserve">  3500 psi pump w/ truck</t>
  </si>
  <si>
    <t xml:space="preserve">  3500 psi pump w/ pipeline</t>
  </si>
  <si>
    <t xml:space="preserve">  3500 psi w/ crane</t>
  </si>
  <si>
    <t xml:space="preserve">  2500 psi w/ conveyor</t>
  </si>
  <si>
    <t xml:space="preserve">  2500 psi pump w/ truck</t>
  </si>
  <si>
    <t xml:space="preserve">  2500 psi pump w/ pipeline</t>
  </si>
  <si>
    <t xml:space="preserve">  2500 psi w/ crane</t>
  </si>
  <si>
    <t xml:space="preserve">  3000 psi w/ conveyor</t>
  </si>
  <si>
    <t xml:space="preserve">  3000 psi pump w/ truck</t>
  </si>
  <si>
    <t xml:space="preserve">  3000 psi pump w/ pipeline</t>
  </si>
  <si>
    <t xml:space="preserve">  3000 psi w/ crane</t>
  </si>
  <si>
    <t>** Concrete in circular wall **</t>
  </si>
  <si>
    <t>** Conc in overflow trough **</t>
  </si>
  <si>
    <t>** Conc in overflow box **</t>
  </si>
  <si>
    <t>Topping w/conveyor</t>
  </si>
  <si>
    <t>Topping pump w/truck</t>
  </si>
  <si>
    <t>Topping pump w/pipeline</t>
  </si>
  <si>
    <t>Topping w/crane</t>
  </si>
  <si>
    <t>Topping direct</t>
  </si>
  <si>
    <t xml:space="preserve">  5000 pump w/truck</t>
  </si>
  <si>
    <t xml:space="preserve">  4000 w/conveyor</t>
  </si>
  <si>
    <t>** Tank slab concrete **</t>
  </si>
  <si>
    <t xml:space="preserve">  Mix B with conveyor</t>
  </si>
  <si>
    <t xml:space="preserve">  Mix B pump with truck</t>
  </si>
  <si>
    <t xml:space="preserve">  Mix B pump with pipeline</t>
  </si>
  <si>
    <t xml:space="preserve">  Mix A with conveyor</t>
  </si>
  <si>
    <t xml:space="preserve">  Mix A pump with truck</t>
  </si>
  <si>
    <t xml:space="preserve">  Mix A pump with pipeline</t>
  </si>
  <si>
    <t xml:space="preserve">  5000 psi with conveyor</t>
  </si>
  <si>
    <t xml:space="preserve">  5000 psi pump with truck</t>
  </si>
  <si>
    <t xml:space="preserve">  5000 psi pump with pipeline</t>
  </si>
  <si>
    <t xml:space="preserve">  4000 psi with conveyor</t>
  </si>
  <si>
    <t xml:space="preserve">  4000 psi pump with truck</t>
  </si>
  <si>
    <t xml:space="preserve">  4000 psi pump with pipeline</t>
  </si>
  <si>
    <t xml:space="preserve">  3750 psi with conveyor</t>
  </si>
  <si>
    <t xml:space="preserve">  3750 psi pump with truck</t>
  </si>
  <si>
    <t xml:space="preserve">  3750 psi pump with pipeline</t>
  </si>
  <si>
    <t xml:space="preserve">  3750 psi with crane</t>
  </si>
  <si>
    <t xml:space="preserve">  3500 psi with conveyor</t>
  </si>
  <si>
    <t xml:space="preserve">  3500 psi pump with truck</t>
  </si>
  <si>
    <t xml:space="preserve">  3500 psi pump with pipeline</t>
  </si>
  <si>
    <t xml:space="preserve">  2500 psi with conveyor</t>
  </si>
  <si>
    <t xml:space="preserve">  2500 psi pump with truck</t>
  </si>
  <si>
    <t xml:space="preserve">  2500 psi pump with pipeline</t>
  </si>
  <si>
    <t xml:space="preserve">  3000 psi with conveyor</t>
  </si>
  <si>
    <t xml:space="preserve">  3000 psi pump with truck</t>
  </si>
  <si>
    <t xml:space="preserve">  3000 psi pump with pipeline</t>
  </si>
  <si>
    <t>** Radial grade beam concrete **</t>
  </si>
  <si>
    <t xml:space="preserve">  4000 psi with pipeline</t>
  </si>
  <si>
    <t xml:space="preserve">  3000 pump with pipeline</t>
  </si>
  <si>
    <t xml:space="preserve">  3000 with crane</t>
  </si>
  <si>
    <t>** Concrete in circular grade beam **</t>
  </si>
  <si>
    <t xml:space="preserve">  3000 psi pump with conveyor</t>
  </si>
  <si>
    <t>** Concrete in tank footings **</t>
  </si>
  <si>
    <t>Concrete bollard</t>
  </si>
  <si>
    <t>Concrete monumental stair</t>
  </si>
  <si>
    <t>Concrete topping</t>
  </si>
  <si>
    <t>Miscellaneous concrete</t>
  </si>
  <si>
    <t>Concrete in dock leveler pit</t>
  </si>
  <si>
    <t xml:space="preserve">Structural stair concrete </t>
  </si>
  <si>
    <t>Concrete wall</t>
  </si>
  <si>
    <t xml:space="preserve">Column concrete </t>
  </si>
  <si>
    <t xml:space="preserve">Inverted beam concrete </t>
  </si>
  <si>
    <t xml:space="preserve">Isolated beam concrete </t>
  </si>
  <si>
    <t xml:space="preserve">Spandrel beam concrete </t>
  </si>
  <si>
    <t>Beam concrete</t>
  </si>
  <si>
    <t>Concrete over metal deck</t>
  </si>
  <si>
    <t xml:space="preserve">Waffle slab concrete </t>
  </si>
  <si>
    <t>Pan slab concrete</t>
  </si>
  <si>
    <t>Flat slab concrete</t>
  </si>
  <si>
    <t xml:space="preserve">Exterior steps on grade concrete </t>
  </si>
  <si>
    <t xml:space="preserve">Basement wall concrete </t>
  </si>
  <si>
    <t>Building curb concrete</t>
  </si>
  <si>
    <t>Pad concrete</t>
  </si>
  <si>
    <t xml:space="preserve">Trench concrete </t>
  </si>
  <si>
    <t>Pit concrete</t>
  </si>
  <si>
    <t xml:space="preserve">Ramp on grade concrete </t>
  </si>
  <si>
    <t xml:space="preserve">Slab on grade concrete </t>
  </si>
  <si>
    <t>Pier concrete</t>
  </si>
  <si>
    <t xml:space="preserve">Grade beam concrete </t>
  </si>
  <si>
    <t xml:space="preserve">Foundation wall concrete </t>
  </si>
  <si>
    <t>Miscellaneous foundation concrete</t>
  </si>
  <si>
    <t xml:space="preserve">Mat foundation concrete </t>
  </si>
  <si>
    <t xml:space="preserve">Pile cap concrete </t>
  </si>
  <si>
    <t>Column footing concrete</t>
  </si>
  <si>
    <t xml:space="preserve">Continuous footing concrete </t>
  </si>
  <si>
    <t>Metal pan concrete fill</t>
  </si>
  <si>
    <t xml:space="preserve">  Mix B w/pump</t>
  </si>
  <si>
    <t xml:space="preserve">  Mix B w/cart</t>
  </si>
  <si>
    <t xml:space="preserve">  Mix A w/pump</t>
  </si>
  <si>
    <t xml:space="preserve">  Mix A w/cart</t>
  </si>
  <si>
    <t xml:space="preserve">  5000 psi w/pump</t>
  </si>
  <si>
    <t xml:space="preserve">  5000 psi w/cart</t>
  </si>
  <si>
    <t xml:space="preserve">  4000 psi w/pump</t>
  </si>
  <si>
    <t xml:space="preserve">  4000 psi w/cart</t>
  </si>
  <si>
    <t xml:space="preserve">  6000 psi w/pump</t>
  </si>
  <si>
    <t xml:space="preserve">  6000 psi w/cart</t>
  </si>
  <si>
    <t xml:space="preserve">  6000 psi w/crane</t>
  </si>
  <si>
    <t xml:space="preserve">  3500 psi w/pump</t>
  </si>
  <si>
    <t xml:space="preserve">  3500 psi w/cart</t>
  </si>
  <si>
    <t xml:space="preserve">  2500 psi w/pump</t>
  </si>
  <si>
    <t xml:space="preserve">  2500 psi w/cart</t>
  </si>
  <si>
    <t xml:space="preserve">  3000 psi w/pump</t>
  </si>
  <si>
    <t xml:space="preserve">  3000 psi w/cart</t>
  </si>
  <si>
    <t>** Light standards (pole bases) **</t>
  </si>
  <si>
    <t>Concrete fill @ stair/landing</t>
  </si>
  <si>
    <t xml:space="preserve">  Mix B w/carts</t>
  </si>
  <si>
    <t xml:space="preserve">  Mix A w/carts</t>
  </si>
  <si>
    <t xml:space="preserve">  5000 psi w/carts</t>
  </si>
  <si>
    <t xml:space="preserve">  4000 psi w/carts</t>
  </si>
  <si>
    <t xml:space="preserve">  3750 psi w/pump</t>
  </si>
  <si>
    <t xml:space="preserve">  3750 psi w/carts</t>
  </si>
  <si>
    <t xml:space="preserve">  3500 psi w/carts</t>
  </si>
  <si>
    <t xml:space="preserve">  2500 psi w/carts</t>
  </si>
  <si>
    <t xml:space="preserve">  3000 psi w/carts</t>
  </si>
  <si>
    <t>**Concrete in stairs and landings**</t>
  </si>
  <si>
    <t>**Concrete in curbs**</t>
  </si>
  <si>
    <t xml:space="preserve">  3750 psi w/cart</t>
  </si>
  <si>
    <t>** Concrete in pads **</t>
  </si>
  <si>
    <t>Pour topping w/pump</t>
  </si>
  <si>
    <t>Pour topping w/carts</t>
  </si>
  <si>
    <t>** Slab over metal deck**</t>
  </si>
  <si>
    <t>Add for pan/waffle slab sloped construction</t>
  </si>
  <si>
    <t>Add for pan/waffle slab camber</t>
  </si>
  <si>
    <t>Pump concrete topping</t>
  </si>
  <si>
    <t>**Pan and Waffle Slab Concrete**</t>
  </si>
  <si>
    <t xml:space="preserve">  Mix B, with pump</t>
  </si>
  <si>
    <t xml:space="preserve">  Mix B, with cart</t>
  </si>
  <si>
    <t xml:space="preserve">  Mix B, with crane</t>
  </si>
  <si>
    <t xml:space="preserve">  Mix B, pour direct</t>
  </si>
  <si>
    <t xml:space="preserve">  Mix A, with pump</t>
  </si>
  <si>
    <t xml:space="preserve">  Mix A, with cart</t>
  </si>
  <si>
    <t xml:space="preserve">  Mix A, with crane</t>
  </si>
  <si>
    <t xml:space="preserve">  Mix A, pour direct</t>
  </si>
  <si>
    <t xml:space="preserve">  6000 psi, with pump</t>
  </si>
  <si>
    <t xml:space="preserve">  6000 psi, with cart</t>
  </si>
  <si>
    <t xml:space="preserve">  6000 psi, with crane</t>
  </si>
  <si>
    <t xml:space="preserve">  6000 psi, pour direct</t>
  </si>
  <si>
    <t xml:space="preserve">  5000 psi, with pump</t>
  </si>
  <si>
    <t xml:space="preserve">  5000 psi, with cart</t>
  </si>
  <si>
    <t xml:space="preserve">  5000 psi, with crane</t>
  </si>
  <si>
    <t xml:space="preserve">  5000 psi, pour direct</t>
  </si>
  <si>
    <t xml:space="preserve">  4000 psi, with pump</t>
  </si>
  <si>
    <t xml:space="preserve">  4000 psi, with cart</t>
  </si>
  <si>
    <t xml:space="preserve">  4000 psi, with crane</t>
  </si>
  <si>
    <t xml:space="preserve">  4000 psi, pour direct</t>
  </si>
  <si>
    <t xml:space="preserve">  3500 psi, with pump</t>
  </si>
  <si>
    <t xml:space="preserve">  3500 psi, with cart</t>
  </si>
  <si>
    <t xml:space="preserve">  3500 psi, with crane</t>
  </si>
  <si>
    <t xml:space="preserve">  3500 psi, pour direct</t>
  </si>
  <si>
    <t xml:space="preserve">  3000 psi, with pump</t>
  </si>
  <si>
    <t xml:space="preserve">  3000 psi, with cart</t>
  </si>
  <si>
    <t xml:space="preserve">  3000 psi, with crane</t>
  </si>
  <si>
    <t xml:space="preserve">  3000 psi, pour direct</t>
  </si>
  <si>
    <t>** Slab haunch concrete **</t>
  </si>
  <si>
    <t>Add for supported slab sloped construction</t>
  </si>
  <si>
    <t>Add for supported slab camber</t>
  </si>
  <si>
    <t xml:space="preserve">  Pump topping</t>
  </si>
  <si>
    <t xml:space="preserve">  Pour topping w/carts</t>
  </si>
  <si>
    <t>**Concrete in supported slab**</t>
  </si>
  <si>
    <t>** Beam haunch concrete **</t>
  </si>
  <si>
    <t>**Conc in spandrel beam**</t>
  </si>
  <si>
    <t xml:space="preserve">  Mix B pearock pump</t>
  </si>
  <si>
    <t xml:space="preserve">  Mix A pearock pump</t>
  </si>
  <si>
    <t xml:space="preserve">  5000 psi pearock pump</t>
  </si>
  <si>
    <t xml:space="preserve">  4000 psi pearock pump</t>
  </si>
  <si>
    <t xml:space="preserve">  3750 psi pearock pump</t>
  </si>
  <si>
    <t xml:space="preserve">  3500 psi pearock pump</t>
  </si>
  <si>
    <t xml:space="preserve">  2500 psi pearock pump</t>
  </si>
  <si>
    <t xml:space="preserve">  3000 psi pearock pump</t>
  </si>
  <si>
    <t>**Conc in tie beams**</t>
  </si>
  <si>
    <t>**Conc in isolated beam**</t>
  </si>
  <si>
    <t>**Conc in beams w/slab**</t>
  </si>
  <si>
    <t>** Concrete in sloped footings **</t>
  </si>
  <si>
    <t>** Concrete in stepped footings **</t>
  </si>
  <si>
    <t xml:space="preserve">  6000 psi w/carts</t>
  </si>
  <si>
    <t>**Concrete in piers**</t>
  </si>
  <si>
    <t>** Column haunch concrete **</t>
  </si>
  <si>
    <t xml:space="preserve">  4000 psi direct </t>
  </si>
  <si>
    <t>**Concrete in columns**</t>
  </si>
  <si>
    <t xml:space="preserve">  Mix B psi pumped</t>
  </si>
  <si>
    <t xml:space="preserve">  Mix A psi pumped</t>
  </si>
  <si>
    <t xml:space="preserve">  8000 psi pumped</t>
  </si>
  <si>
    <t xml:space="preserve">  6000 psi pumped</t>
  </si>
  <si>
    <t xml:space="preserve">  5000 psi pumped</t>
  </si>
  <si>
    <t xml:space="preserve">  4000 psi pumped</t>
  </si>
  <si>
    <t xml:space="preserve">  3500 psi pumped</t>
  </si>
  <si>
    <t xml:space="preserve">  3000 psi pumped</t>
  </si>
  <si>
    <t>** Concrete in insulating forms **</t>
  </si>
  <si>
    <t>** Wall haunch concrete **</t>
  </si>
  <si>
    <t xml:space="preserve">  8000 psi w/pump</t>
  </si>
  <si>
    <t xml:space="preserve">  8000 psi w/cart</t>
  </si>
  <si>
    <t xml:space="preserve">  8000 psi w/crane</t>
  </si>
  <si>
    <t xml:space="preserve">  8000 psi direct</t>
  </si>
  <si>
    <t>**Concrete in walls**</t>
  </si>
  <si>
    <t>**Concrete in trenches**</t>
  </si>
  <si>
    <t>** Concrete in pits **</t>
  </si>
  <si>
    <t>12' roll 6 mil polyethylene</t>
  </si>
  <si>
    <t>Add labor-conc. @ column boxes</t>
  </si>
  <si>
    <t xml:space="preserve">  Mix B w/pump,laser screed</t>
  </si>
  <si>
    <t xml:space="preserve">  Mix A w/pump,laser screed</t>
  </si>
  <si>
    <t xml:space="preserve">  5000 psi w/pump,laser screed</t>
  </si>
  <si>
    <t xml:space="preserve">  4000 psi w/pump,laser screed</t>
  </si>
  <si>
    <t xml:space="preserve">  3750 psi w/pump,laser screed</t>
  </si>
  <si>
    <t xml:space="preserve">  3500 psi w/pump,laser screed</t>
  </si>
  <si>
    <t xml:space="preserve">  2500 psi w/pump,laser screed</t>
  </si>
  <si>
    <t xml:space="preserve">  3000 psi w/pump,laser screed</t>
  </si>
  <si>
    <t xml:space="preserve">  Mix B w/crane,laser screed</t>
  </si>
  <si>
    <t xml:space="preserve">  Mix A w/crane,laser screed</t>
  </si>
  <si>
    <t xml:space="preserve">  5000 psi w/crane,laser scred</t>
  </si>
  <si>
    <t xml:space="preserve">  4000 psi w/crane,laser scred</t>
  </si>
  <si>
    <t xml:space="preserve">  3750 psi w/crane,laser scred</t>
  </si>
  <si>
    <t xml:space="preserve">  3500 psi w/crane,laser scred</t>
  </si>
  <si>
    <t xml:space="preserve">  2500 psi w/crane,laser scred</t>
  </si>
  <si>
    <t xml:space="preserve">  3000 psi w/crane,laser scred</t>
  </si>
  <si>
    <t xml:space="preserve">  Mix B direct,laser screed</t>
  </si>
  <si>
    <t xml:space="preserve">  Mix A direct,laser screed</t>
  </si>
  <si>
    <t xml:space="preserve">  5000 psi direct,laser screed</t>
  </si>
  <si>
    <t xml:space="preserve">  4000 psi direct,laser screed</t>
  </si>
  <si>
    <t xml:space="preserve">  3750 psi direct,laser screed</t>
  </si>
  <si>
    <t xml:space="preserve">  3500 psi direct,laser screed</t>
  </si>
  <si>
    <t xml:space="preserve">  2500 psi direct,laser screed</t>
  </si>
  <si>
    <t xml:space="preserve">  3000 psi direct,laser screed</t>
  </si>
  <si>
    <t>Pump topping</t>
  </si>
  <si>
    <t>Pour topping w/cart</t>
  </si>
  <si>
    <t xml:space="preserve">  3750 psi w/ pump</t>
  </si>
  <si>
    <t>**Concrete in slab on grade**</t>
  </si>
  <si>
    <t>** Mat foundations **</t>
  </si>
  <si>
    <t>**Concrete in grade beams**</t>
  </si>
  <si>
    <t>**Concrete in column footing**</t>
  </si>
  <si>
    <t>**Concrete in continuous footing**</t>
  </si>
  <si>
    <t>** Concrete in pile caps and pier caps **</t>
  </si>
  <si>
    <t xml:space="preserve">  Post tensioning grout</t>
  </si>
  <si>
    <t xml:space="preserve">  PT temperature steel</t>
  </si>
  <si>
    <t xml:space="preserve">  PT anchorage bars</t>
  </si>
  <si>
    <t xml:space="preserve">  PT support bars</t>
  </si>
  <si>
    <t xml:space="preserve">    PT bars</t>
  </si>
  <si>
    <t xml:space="preserve">    Grouted strands</t>
  </si>
  <si>
    <t xml:space="preserve">    Greased strands</t>
  </si>
  <si>
    <t xml:space="preserve">  Other concrete structures</t>
  </si>
  <si>
    <t xml:space="preserve">  Equipment foundations</t>
  </si>
  <si>
    <t xml:space="preserve">  Waffle slabs</t>
  </si>
  <si>
    <t xml:space="preserve">  Supported slabs</t>
  </si>
  <si>
    <t xml:space="preserve">  Beams</t>
  </si>
  <si>
    <t xml:space="preserve">  Columns</t>
  </si>
  <si>
    <t xml:space="preserve">  Walls</t>
  </si>
  <si>
    <t xml:space="preserve">  Slab on grade</t>
  </si>
  <si>
    <t xml:space="preserve">  Grade beams</t>
  </si>
  <si>
    <t xml:space="preserve">  Pile caps</t>
  </si>
  <si>
    <t xml:space="preserve">  Mat foundations</t>
  </si>
  <si>
    <t xml:space="preserve">  Column footings</t>
  </si>
  <si>
    <t xml:space="preserve">  Continuous footings</t>
  </si>
  <si>
    <t>Post tensioning</t>
  </si>
  <si>
    <t>** Fibrous reinforcing **</t>
  </si>
  <si>
    <t>Polypropylene fiber reinforcing</t>
  </si>
  <si>
    <t>Polyethylene fiber reinforcing</t>
  </si>
  <si>
    <t>Aramid fiber reinforcing</t>
  </si>
  <si>
    <t>Polyester fiber reinforcing</t>
  </si>
  <si>
    <t>Nylon fiber reinforcing</t>
  </si>
  <si>
    <t>Acrylic fiber reinforcing</t>
  </si>
  <si>
    <t>Steel fiber reinforcing</t>
  </si>
  <si>
    <t>Fiber reinforcing  (fibermesh)</t>
  </si>
  <si>
    <t>** Total mesh **</t>
  </si>
  <si>
    <t>** 6X6-2.9/2.9 mesh **</t>
  </si>
  <si>
    <t>** 6X6-2.1/2.1 mesh **</t>
  </si>
  <si>
    <t>** 6X6-1.4/1.4 mesh **</t>
  </si>
  <si>
    <t>6X6-2.9/2.9 mesh @ slab</t>
  </si>
  <si>
    <t>6X6-2.1/2.1 mesh @ slab</t>
  </si>
  <si>
    <t>6X6-1.4/1.4 mesh @ slab</t>
  </si>
  <si>
    <t>** Tank rebar **</t>
  </si>
  <si>
    <t>** Total rebar **</t>
  </si>
  <si>
    <t>Vertical rebar dowels</t>
  </si>
  <si>
    <t>Dowel basket</t>
  </si>
  <si>
    <t>Dowels, total weight</t>
  </si>
  <si>
    <t>Dowels     2"x  "</t>
  </si>
  <si>
    <t>Dowels 1-7/8"x  "</t>
  </si>
  <si>
    <t>Dowels 1-3/4"x  "</t>
  </si>
  <si>
    <t>Dowels 1-5/8"x  "</t>
  </si>
  <si>
    <t>Dowels 1-1/2"x  "</t>
  </si>
  <si>
    <t>Dowels 1-3/8"x  "</t>
  </si>
  <si>
    <t>Dowels 1-1/4"x  "</t>
  </si>
  <si>
    <t>Dowels 1-1/8"x  "</t>
  </si>
  <si>
    <t>Dowels     1"x  "</t>
  </si>
  <si>
    <t>Dowels   7/8"x  "</t>
  </si>
  <si>
    <t>Dowels   3/4"x  "</t>
  </si>
  <si>
    <t>Dowels   5/8"x  "</t>
  </si>
  <si>
    <t>Dowels   1/2"x  "</t>
  </si>
  <si>
    <t>LB</t>
  </si>
  <si>
    <t>Dowel steel</t>
  </si>
  <si>
    <t>Footing rebar template</t>
  </si>
  <si>
    <t xml:space="preserve"> Plastic</t>
  </si>
  <si>
    <t xml:space="preserve"> Cementitious fiber</t>
  </si>
  <si>
    <t xml:space="preserve"> Precast block</t>
  </si>
  <si>
    <t xml:space="preserve"> Standee</t>
  </si>
  <si>
    <t>Supports</t>
  </si>
  <si>
    <t xml:space="preserve"> Continuous support to 12"</t>
  </si>
  <si>
    <t xml:space="preserve"> Continuous support to 8"</t>
  </si>
  <si>
    <t xml:space="preserve"> Continuous support to 4"</t>
  </si>
  <si>
    <t xml:space="preserve"> Continuous support to 2"</t>
  </si>
  <si>
    <t xml:space="preserve"> Continuous high chr to 15"</t>
  </si>
  <si>
    <t xml:space="preserve"> Continuous high chr to 12"</t>
  </si>
  <si>
    <t xml:space="preserve"> Continuous high chr to 8"</t>
  </si>
  <si>
    <t xml:space="preserve"> Continuous high chr to 4"</t>
  </si>
  <si>
    <t xml:space="preserve"> High chair to 15"</t>
  </si>
  <si>
    <t xml:space="preserve"> High chair to 12"</t>
  </si>
  <si>
    <t xml:space="preserve"> High chair to 8"</t>
  </si>
  <si>
    <t xml:space="preserve"> High chair to 4"</t>
  </si>
  <si>
    <t xml:space="preserve"> Joist chair, 6" wide</t>
  </si>
  <si>
    <t xml:space="preserve"> Joist chair, 4" wide</t>
  </si>
  <si>
    <t xml:space="preserve"> Bar chair to 1-3/4"</t>
  </si>
  <si>
    <t xml:space="preserve"> Bar chair to 1"</t>
  </si>
  <si>
    <t xml:space="preserve"> Beam bolster to 5",</t>
  </si>
  <si>
    <t xml:space="preserve"> Beam bolster to 2",</t>
  </si>
  <si>
    <t xml:space="preserve"> Slab bolster to 2",</t>
  </si>
  <si>
    <t xml:space="preserve"> Slab bolster to 1",</t>
  </si>
  <si>
    <t>Wire supports</t>
  </si>
  <si>
    <t>Rebar @ walkway</t>
  </si>
  <si>
    <t>Rebar @ trough</t>
  </si>
  <si>
    <t>Rebar @ overflow box</t>
  </si>
  <si>
    <t>Rebar @ hub</t>
  </si>
  <si>
    <t>Rebar @ hopper</t>
  </si>
  <si>
    <t>Rebar @ tank slab on grade</t>
  </si>
  <si>
    <t>Rebar @ circular tank walls</t>
  </si>
  <si>
    <t>Rebar for radial grade beam</t>
  </si>
  <si>
    <t>Rebar for circular grade bm</t>
  </si>
  <si>
    <t>Rebar for footings</t>
  </si>
  <si>
    <t xml:space="preserve">  5/8" smooth steel</t>
  </si>
  <si>
    <t xml:space="preserve">  ½" smooth steel</t>
  </si>
  <si>
    <t xml:space="preserve">  3/8" smooth steel</t>
  </si>
  <si>
    <t xml:space="preserve">  ¾" deformed steel</t>
  </si>
  <si>
    <t xml:space="preserve">  5/8" deformed steel</t>
  </si>
  <si>
    <t xml:space="preserve">  ½" deformed steel</t>
  </si>
  <si>
    <t xml:space="preserve">  3/8" deformed steel</t>
  </si>
  <si>
    <t xml:space="preserve">  ¼" deformed steel</t>
  </si>
  <si>
    <t>Total special bent bars</t>
  </si>
  <si>
    <t>Total heavy bent bars</t>
  </si>
  <si>
    <t>Total light bent bars</t>
  </si>
  <si>
    <t>Total straight bars</t>
  </si>
  <si>
    <t>Total no.18 bars</t>
  </si>
  <si>
    <t>Total no.14 bars</t>
  </si>
  <si>
    <t>Total no.11 bars</t>
  </si>
  <si>
    <t>Total no.10 bars</t>
  </si>
  <si>
    <t>Total no.9 bars</t>
  </si>
  <si>
    <t>Total no.8 bars</t>
  </si>
  <si>
    <t>Total no.7 bars</t>
  </si>
  <si>
    <t>Total no.6 bars</t>
  </si>
  <si>
    <t>Total no.5 bars</t>
  </si>
  <si>
    <t>Total no.4 bars</t>
  </si>
  <si>
    <t>Total no.3 bars</t>
  </si>
  <si>
    <t>Total other structures rebar</t>
  </si>
  <si>
    <t>No.18 grd</t>
  </si>
  <si>
    <t>No.14 grd</t>
  </si>
  <si>
    <t>No.11 grd</t>
  </si>
  <si>
    <t>No.10 grd</t>
  </si>
  <si>
    <t>No.9  grd</t>
  </si>
  <si>
    <t>No.8  grd</t>
  </si>
  <si>
    <t>No.7  grd</t>
  </si>
  <si>
    <t>No.6  grd</t>
  </si>
  <si>
    <t>No.5  grd</t>
  </si>
  <si>
    <t>No.4  grd</t>
  </si>
  <si>
    <t>No.3  grd</t>
  </si>
  <si>
    <t xml:space="preserve"> Special bending</t>
  </si>
  <si>
    <t xml:space="preserve"> Heavy bending</t>
  </si>
  <si>
    <t xml:space="preserve"> Light bending</t>
  </si>
  <si>
    <t xml:space="preserve"> Straight</t>
  </si>
  <si>
    <t>Rebar, other structures</t>
  </si>
  <si>
    <t>Total equipment foundation rebar</t>
  </si>
  <si>
    <t xml:space="preserve"> Straight </t>
  </si>
  <si>
    <t>Rebar, equipment foundations</t>
  </si>
  <si>
    <t>Total waffle slab rebar</t>
  </si>
  <si>
    <t>Rebar, waffle slabs</t>
  </si>
  <si>
    <t>Total supported slab rebar</t>
  </si>
  <si>
    <t>Rebar, supported slab</t>
  </si>
  <si>
    <t>Total beam rebar</t>
  </si>
  <si>
    <t>Rebar, beams</t>
  </si>
  <si>
    <t>Total column rebar</t>
  </si>
  <si>
    <t>Rebar, columns</t>
  </si>
  <si>
    <t>Total wall rebar</t>
  </si>
  <si>
    <t>Rebar, walls</t>
  </si>
  <si>
    <t>Total slab on grade rebar</t>
  </si>
  <si>
    <t>Rebar, slab on grade</t>
  </si>
  <si>
    <t>Total grade beam rebar</t>
  </si>
  <si>
    <t>Rebar, grade beams</t>
  </si>
  <si>
    <t>Total pile cap rebar</t>
  </si>
  <si>
    <t>Rebar, pile caps</t>
  </si>
  <si>
    <t>Total mat foundation rebar</t>
  </si>
  <si>
    <t>Rebar, mat foundations</t>
  </si>
  <si>
    <t>Total column footing rebar</t>
  </si>
  <si>
    <t>Rebar, column footings</t>
  </si>
  <si>
    <t>Total continuous footing rebar</t>
  </si>
  <si>
    <t>Rebar, continuous footings</t>
  </si>
  <si>
    <t xml:space="preserve">  Spiral spacers</t>
  </si>
  <si>
    <t xml:space="preserve">  1/2" smooth steel</t>
  </si>
  <si>
    <t xml:space="preserve">  3/4" deformed steel</t>
  </si>
  <si>
    <t xml:space="preserve">  1/2" deformed steel</t>
  </si>
  <si>
    <t xml:space="preserve">  1/4" deformed steel</t>
  </si>
  <si>
    <t>Spiral rebar</t>
  </si>
  <si>
    <t>Total equipment fndtn rebar</t>
  </si>
  <si>
    <t>Rebar, supported slabs</t>
  </si>
  <si>
    <t>#6 x 20' rebar @ wall</t>
  </si>
  <si>
    <t>#5 x 20' rebar @ wall</t>
  </si>
  <si>
    <t>#4 x 20' rebar @ wall</t>
  </si>
  <si>
    <t>#3 x 20' rebar @ wall</t>
  </si>
  <si>
    <t>#2 x 20' rebar @ wall</t>
  </si>
  <si>
    <t>Reinforcing steel @ wall</t>
  </si>
  <si>
    <t>** #6 x 20' rebar **</t>
  </si>
  <si>
    <t>** #5 x 20' rebar **</t>
  </si>
  <si>
    <t>** #4 x 20' rebar **</t>
  </si>
  <si>
    <t>** #3 x 20' rebar **</t>
  </si>
  <si>
    <t>** #2 x 20' rebar **</t>
  </si>
  <si>
    <t>** Reinforcing steel **</t>
  </si>
  <si>
    <t>#6 x 20' rebar @ slab</t>
  </si>
  <si>
    <t>#5 x 20' rebar @ slab</t>
  </si>
  <si>
    <t>#4 x 20' rebar @ slab</t>
  </si>
  <si>
    <t>#3 x 20' rebar @ slab</t>
  </si>
  <si>
    <t>#2 x 20' rebar @ slab</t>
  </si>
  <si>
    <t>#6 footing dowel</t>
  </si>
  <si>
    <t>#5 footing dowel</t>
  </si>
  <si>
    <t>#4 footing dowel</t>
  </si>
  <si>
    <t>#3 footing dowel</t>
  </si>
  <si>
    <t>#2 footing dowel</t>
  </si>
  <si>
    <t>#6 x 20' rebar @ footing</t>
  </si>
  <si>
    <t>#5 x 20' rebar @ footing</t>
  </si>
  <si>
    <t>#4 x 20' rebar @ footing</t>
  </si>
  <si>
    <t>#3 x 20' rebar @ footing</t>
  </si>
  <si>
    <t>#2 x 20' rebar @ footing</t>
  </si>
  <si>
    <t>Reinforcing steel @ slab</t>
  </si>
  <si>
    <t>Reinforcing steel @ footing</t>
  </si>
  <si>
    <t>Miscellaneous reinforcing steel</t>
  </si>
  <si>
    <t>Tie beam rebar</t>
  </si>
  <si>
    <t>Inverted beam rebar</t>
  </si>
  <si>
    <t>Spandrel beam rebar</t>
  </si>
  <si>
    <t>Isolated beam rebar</t>
  </si>
  <si>
    <t>Beam w/slab rebar</t>
  </si>
  <si>
    <t>Building curb rebar</t>
  </si>
  <si>
    <t>Pad rebar</t>
  </si>
  <si>
    <t xml:space="preserve">Trench rebar </t>
  </si>
  <si>
    <t>Pit rebar</t>
  </si>
  <si>
    <t>Pan and waffle slab rebar</t>
  </si>
  <si>
    <t>Flat slab rebar</t>
  </si>
  <si>
    <t>Exterior steps on grade rebar</t>
  </si>
  <si>
    <t>Stairs rebar</t>
  </si>
  <si>
    <t>Grade beam rebar</t>
  </si>
  <si>
    <t>Miscellaneous foundation rebar</t>
  </si>
  <si>
    <t>Mat foundation rebar</t>
  </si>
  <si>
    <t>Pile cap rebar</t>
  </si>
  <si>
    <t>Column footing rebar</t>
  </si>
  <si>
    <t>Sloped footing rebar</t>
  </si>
  <si>
    <t>Stepped footing rebar</t>
  </si>
  <si>
    <t>Continuous footing rebar</t>
  </si>
  <si>
    <t>Insulating concrete wall rebar</t>
  </si>
  <si>
    <t>Basement wall rebar</t>
  </si>
  <si>
    <t>Foundation wall rebar</t>
  </si>
  <si>
    <t>Wall rebar</t>
  </si>
  <si>
    <t>Pier rebar</t>
  </si>
  <si>
    <t>Column rebar</t>
  </si>
  <si>
    <t>Slab over metal deck rebar</t>
  </si>
  <si>
    <t>Supported slab rebar</t>
  </si>
  <si>
    <t>Ramp rebar</t>
  </si>
  <si>
    <t>SOG rebar</t>
  </si>
  <si>
    <t>Dock leveler pit rebar</t>
  </si>
  <si>
    <t>Dovetail slotted inserts</t>
  </si>
  <si>
    <t>Round plastic liners</t>
  </si>
  <si>
    <t>Steel form liner</t>
  </si>
  <si>
    <t>Masonite form liner</t>
  </si>
  <si>
    <t>Form releasing agent</t>
  </si>
  <si>
    <t>9" rubber waterstop</t>
  </si>
  <si>
    <t>6" rubber waterstop</t>
  </si>
  <si>
    <t>9" PVC waterstop</t>
  </si>
  <si>
    <t>6" PVC waterstop</t>
  </si>
  <si>
    <t>Waterstop</t>
  </si>
  <si>
    <t xml:space="preserve">   Sill plates and anchor bolts</t>
  </si>
  <si>
    <t>Insulating concrete wall ceiling connection</t>
  </si>
  <si>
    <t xml:space="preserve">   Steel ledger w/brackets and joist hangers</t>
  </si>
  <si>
    <t xml:space="preserve">   Wood ledger w/brackets and joist hangers</t>
  </si>
  <si>
    <t xml:space="preserve">   Angle iron w/anchor bolts</t>
  </si>
  <si>
    <t xml:space="preserve">   Wood ledger w/AB's and joist hangers</t>
  </si>
  <si>
    <t>Insulating concrete wall floor connection</t>
  </si>
  <si>
    <t>Galvanized beam pocket form</t>
  </si>
  <si>
    <t>Vinyl beam pocket form</t>
  </si>
  <si>
    <t xml:space="preserve">Construction joint type 4 @ tank slab </t>
  </si>
  <si>
    <t xml:space="preserve">Construction joint type 3 @ tank slab </t>
  </si>
  <si>
    <t xml:space="preserve">Construction joint type 2 @ tank slab </t>
  </si>
  <si>
    <t xml:space="preserve">Construction joint type 1 @ tank slab </t>
  </si>
  <si>
    <t>Construction joint type 4 @ circular wall</t>
  </si>
  <si>
    <t>Construction joint type 3 @ circular wall</t>
  </si>
  <si>
    <t>Construction joint type 2 @ circular wall</t>
  </si>
  <si>
    <t>Construction joint type 1 @ circular wall</t>
  </si>
  <si>
    <t>Tank footing joint, Type 4</t>
  </si>
  <si>
    <t>Tank footing joint, Type 3</t>
  </si>
  <si>
    <t>Tank footing joint, Type 2</t>
  </si>
  <si>
    <t>Tank footing joint, Type 1</t>
  </si>
  <si>
    <t>Seal paper joint @ column box</t>
  </si>
  <si>
    <t>15# felt @ column boxes</t>
  </si>
  <si>
    <t>Expansion joint @ column box</t>
  </si>
  <si>
    <t>Construction joints</t>
  </si>
  <si>
    <t>Screeds for slab</t>
  </si>
  <si>
    <t>Miscellaneous joint C</t>
  </si>
  <si>
    <t>Miscellaneous joint B</t>
  </si>
  <si>
    <t>Miscellaneous joint A</t>
  </si>
  <si>
    <t>Saw cut joint</t>
  </si>
  <si>
    <t>** Permanent forms (carton / void) **</t>
  </si>
  <si>
    <t>Plastic door bucks</t>
  </si>
  <si>
    <t>Plywood door bucks</t>
  </si>
  <si>
    <t>Wood door bucks</t>
  </si>
  <si>
    <t>Steel door bucks</t>
  </si>
  <si>
    <t>Plastic window bucks</t>
  </si>
  <si>
    <t>Plywood window bucks</t>
  </si>
  <si>
    <t>Wood window bucks</t>
  </si>
  <si>
    <t>Steel window bucks</t>
  </si>
  <si>
    <t>Insulating form erection bracing</t>
  </si>
  <si>
    <t xml:space="preserve">   12" end blocks</t>
  </si>
  <si>
    <t xml:space="preserve">   10" end blocks</t>
  </si>
  <si>
    <t xml:space="preserve">   8" end blocks</t>
  </si>
  <si>
    <t xml:space="preserve">   6¼" end blocks</t>
  </si>
  <si>
    <t xml:space="preserve">   4" end blocks</t>
  </si>
  <si>
    <t xml:space="preserve">   3" high 12" height adjuster blocks</t>
  </si>
  <si>
    <t xml:space="preserve">   3" high 10" height adjuster blocks</t>
  </si>
  <si>
    <t xml:space="preserve">   3" high 8" height adjuster blocks</t>
  </si>
  <si>
    <t xml:space="preserve">   3" high 6¼" height adjuster blocks</t>
  </si>
  <si>
    <t xml:space="preserve">   3" high 4" height adjuster blocks</t>
  </si>
  <si>
    <t xml:space="preserve">   8" high half height 12" adjuster blocks</t>
  </si>
  <si>
    <t xml:space="preserve">   8" high half height 10" adjuster blocks</t>
  </si>
  <si>
    <t xml:space="preserve">   8" high half height 8" adjuster blocks</t>
  </si>
  <si>
    <t xml:space="preserve">   8" high half height 6¼" adjuster blocks</t>
  </si>
  <si>
    <t xml:space="preserve">   8" high half height 4" adjuster blocks</t>
  </si>
  <si>
    <t xml:space="preserve">   4" high 12" height adjuster blocks</t>
  </si>
  <si>
    <t xml:space="preserve">   4" high 10" height adjuster blocks</t>
  </si>
  <si>
    <t xml:space="preserve">   4" high 8" height adjuster blocks</t>
  </si>
  <si>
    <t xml:space="preserve">   4" high 6¼" height adjuster blocks</t>
  </si>
  <si>
    <t xml:space="preserve">   4" high 4" height adjuster blocks</t>
  </si>
  <si>
    <t xml:space="preserve">   12" 45° corner blocks</t>
  </si>
  <si>
    <t xml:space="preserve">   10" 45° corner blocks</t>
  </si>
  <si>
    <t xml:space="preserve">   8" 45° corner blocks</t>
  </si>
  <si>
    <t xml:space="preserve">   6¼" 45° corner blocks</t>
  </si>
  <si>
    <t xml:space="preserve">   4" 45° corner blocks</t>
  </si>
  <si>
    <t xml:space="preserve">   12" 90° corner blocks</t>
  </si>
  <si>
    <t xml:space="preserve">   10" 90° corner blocks</t>
  </si>
  <si>
    <t xml:space="preserve">   8" 90° corner blocks</t>
  </si>
  <si>
    <t xml:space="preserve">   6¼" 90° corner blocks</t>
  </si>
  <si>
    <t xml:space="preserve">   4" 90° corner blocks</t>
  </si>
  <si>
    <t xml:space="preserve">   12" straight form blocks</t>
  </si>
  <si>
    <t xml:space="preserve">   10" straight form blocks</t>
  </si>
  <si>
    <t xml:space="preserve">   8" straight form blocks</t>
  </si>
  <si>
    <t xml:space="preserve">   6¼" straight form blocks</t>
  </si>
  <si>
    <t xml:space="preserve">   4" straight form blocks</t>
  </si>
  <si>
    <t>Insulating concrete forms</t>
  </si>
  <si>
    <t>30" precast continuous side retainer</t>
  </si>
  <si>
    <t>24" precast continuous side retainer</t>
  </si>
  <si>
    <t>18" precast continuous side retainer</t>
  </si>
  <si>
    <t>12" precast continuous side retainer</t>
  </si>
  <si>
    <t>26" HDPE continuous side retainer</t>
  </si>
  <si>
    <t>20" HDPE continuous side retainer</t>
  </si>
  <si>
    <t>14" HDPE continuous side retainer</t>
  </si>
  <si>
    <t>6" void form @ grade beam</t>
  </si>
  <si>
    <t>6" void form @ circular grade beam</t>
  </si>
  <si>
    <t>4" void form @ grade bean</t>
  </si>
  <si>
    <t>4" void form @ circular grade beam</t>
  </si>
  <si>
    <t>3" void form @ grade beam</t>
  </si>
  <si>
    <t>3" void form @ circular grade beam</t>
  </si>
  <si>
    <t>2" void form @ grade beam</t>
  </si>
  <si>
    <t>2" void form @ circular grade beam</t>
  </si>
  <si>
    <t xml:space="preserve"> 12x24</t>
  </si>
  <si>
    <t xml:space="preserve"> 12x22</t>
  </si>
  <si>
    <t xml:space="preserve"> 12x20</t>
  </si>
  <si>
    <t xml:space="preserve"> 12x18</t>
  </si>
  <si>
    <t xml:space="preserve"> 10x24</t>
  </si>
  <si>
    <t xml:space="preserve"> 10x22</t>
  </si>
  <si>
    <t xml:space="preserve"> 10x20</t>
  </si>
  <si>
    <t xml:space="preserve"> 10x18</t>
  </si>
  <si>
    <t xml:space="preserve"> 10x16</t>
  </si>
  <si>
    <t xml:space="preserve"> 8x24</t>
  </si>
  <si>
    <t xml:space="preserve"> 8x22</t>
  </si>
  <si>
    <t xml:space="preserve"> 8x20</t>
  </si>
  <si>
    <t xml:space="preserve"> 8x18</t>
  </si>
  <si>
    <t xml:space="preserve"> 8x16</t>
  </si>
  <si>
    <t xml:space="preserve"> 8x12</t>
  </si>
  <si>
    <t xml:space="preserve"> 6x24</t>
  </si>
  <si>
    <t xml:space="preserve"> 6x22</t>
  </si>
  <si>
    <t xml:space="preserve"> 6x20</t>
  </si>
  <si>
    <t xml:space="preserve"> 6x18</t>
  </si>
  <si>
    <t xml:space="preserve"> 6x16</t>
  </si>
  <si>
    <t xml:space="preserve"> 6x12</t>
  </si>
  <si>
    <t xml:space="preserve"> 6x10</t>
  </si>
  <si>
    <t xml:space="preserve"> 5x20</t>
  </si>
  <si>
    <t xml:space="preserve"> 5x18</t>
  </si>
  <si>
    <t xml:space="preserve"> 5x16</t>
  </si>
  <si>
    <t xml:space="preserve"> 5x12</t>
  </si>
  <si>
    <t xml:space="preserve"> 5x10</t>
  </si>
  <si>
    <t xml:space="preserve"> 4x18</t>
  </si>
  <si>
    <t xml:space="preserve"> 4x16</t>
  </si>
  <si>
    <t xml:space="preserve"> 4x12</t>
  </si>
  <si>
    <t xml:space="preserve"> 4x10</t>
  </si>
  <si>
    <t xml:space="preserve"> 4x8</t>
  </si>
  <si>
    <t xml:space="preserve"> 2x10</t>
  </si>
  <si>
    <t xml:space="preserve"> 2x8</t>
  </si>
  <si>
    <t>Rectangular carton forms</t>
  </si>
  <si>
    <t>Trapezoidal carton forms</t>
  </si>
  <si>
    <t>** Total formwork area **</t>
  </si>
  <si>
    <t>** Dock leveler forms **</t>
  </si>
  <si>
    <t>** Slab edge forms **</t>
  </si>
  <si>
    <t>** Slab soffit forms **</t>
  </si>
  <si>
    <t>** Beam side forms **</t>
  </si>
  <si>
    <t>** Beam soffit forms **</t>
  </si>
  <si>
    <t>** Column and pier forms **</t>
  </si>
  <si>
    <t>** Wall forms **</t>
  </si>
  <si>
    <t>** Pit, trench, pad and curb forms **</t>
  </si>
  <si>
    <t>** Stair forms **</t>
  </si>
  <si>
    <t>** Grade beam forms **</t>
  </si>
  <si>
    <t>** Footing and foundation forms **</t>
  </si>
  <si>
    <t>20 ga cofar</t>
  </si>
  <si>
    <t>22 ga cofar</t>
  </si>
  <si>
    <t>28 ga uncoated corruform</t>
  </si>
  <si>
    <t>20 ga uncoated corruform</t>
  </si>
  <si>
    <t>24 ga uncoated corruform</t>
  </si>
  <si>
    <t>Temporary shoring for deck</t>
  </si>
  <si>
    <t>24 ga cofar</t>
  </si>
  <si>
    <t>20 ga galvanized corruform</t>
  </si>
  <si>
    <t>24 ga galvanized corruform</t>
  </si>
  <si>
    <t>28 ga galvanized corruform</t>
  </si>
  <si>
    <t>Waffle domes   "x  "x    deep</t>
  </si>
  <si>
    <t>Metal pans    x   deep x   ' long</t>
  </si>
  <si>
    <t>18" 1x4 kicker</t>
  </si>
  <si>
    <t>2' stake</t>
  </si>
  <si>
    <t>3' stake</t>
  </si>
  <si>
    <t>+12" slab edge form</t>
  </si>
  <si>
    <t>2x12 slab edge form</t>
  </si>
  <si>
    <t>2x10 slab edge form</t>
  </si>
  <si>
    <t>2x8 slab edge form</t>
  </si>
  <si>
    <t>2x6 slab edge form</t>
  </si>
  <si>
    <t>2x4 slab edge form</t>
  </si>
  <si>
    <t>+10' wall form</t>
  </si>
  <si>
    <t>8' to 10' wall form</t>
  </si>
  <si>
    <t>6' to 8'wall form</t>
  </si>
  <si>
    <t>4' to 6' wall form</t>
  </si>
  <si>
    <t>0' to 4' wall form</t>
  </si>
  <si>
    <t>Stepped footing form</t>
  </si>
  <si>
    <t>Footing edge forms</t>
  </si>
  <si>
    <t>Chamfer strip@supported wlkway</t>
  </si>
  <si>
    <t>Chamfer strip@ overflow trough</t>
  </si>
  <si>
    <t>Chamfer strip @ overflow box</t>
  </si>
  <si>
    <t>3" chamfer strip circ wall</t>
  </si>
  <si>
    <t>2" chamfer strip circ wall</t>
  </si>
  <si>
    <t>1" chamfer strip circ wall</t>
  </si>
  <si>
    <t>¾" chamfer strip circ wall</t>
  </si>
  <si>
    <t>Keyway @ tank slab</t>
  </si>
  <si>
    <t>4x8 circ wall keyway</t>
  </si>
  <si>
    <t>4x6 circ wall keyway</t>
  </si>
  <si>
    <t>4x4 circ wall keyway</t>
  </si>
  <si>
    <t>3x8 circ wall keyway</t>
  </si>
  <si>
    <t>3x6 circ wall keyway</t>
  </si>
  <si>
    <t>3x4 circ wall keyway</t>
  </si>
  <si>
    <t>2x8 circ wall keyway</t>
  </si>
  <si>
    <t>2x6 circular wall keyway</t>
  </si>
  <si>
    <t>2x4 circ wall keyway</t>
  </si>
  <si>
    <t>2x10 circ ftg keyway</t>
  </si>
  <si>
    <t>2x8 circular footing keyway</t>
  </si>
  <si>
    <t>2x6 circ ftg keyway</t>
  </si>
  <si>
    <t>2x4 circ ftg keyway</t>
  </si>
  <si>
    <t>Supported wlkway metal edge form</t>
  </si>
  <si>
    <t>Supported walkway wood edge form</t>
  </si>
  <si>
    <t>Supprtd wlkway metal soffit form</t>
  </si>
  <si>
    <t>Supported wlkwy wood soffit form</t>
  </si>
  <si>
    <t>Overflow trough metal wl frm</t>
  </si>
  <si>
    <t>Overflow trough wd wl frm</t>
  </si>
  <si>
    <t>Ovrflow trough metal soffit form</t>
  </si>
  <si>
    <t>Overflow trough wd soffit form</t>
  </si>
  <si>
    <t>Overflow box metal soffit form</t>
  </si>
  <si>
    <t>Overflow box wd soffit form</t>
  </si>
  <si>
    <t>Overflow box metal wall form</t>
  </si>
  <si>
    <t>Overflow box wd wall form</t>
  </si>
  <si>
    <t>Steel circular wall form hardware</t>
  </si>
  <si>
    <t>Hung metal circular wall form</t>
  </si>
  <si>
    <t>Metal circ wall form over 20'</t>
  </si>
  <si>
    <t>Metal circ wall form 18 to 20'</t>
  </si>
  <si>
    <t>Metal circ wall form 16 to 18'</t>
  </si>
  <si>
    <t>Metal circ wall form 14 to 16'</t>
  </si>
  <si>
    <t>Metal circ wall form 12 to 14'</t>
  </si>
  <si>
    <t>Metal circ wall form 10 to 12'</t>
  </si>
  <si>
    <t>Metal circ wall form 8 to 10'</t>
  </si>
  <si>
    <t>Metal circ wall form 6 to 8'</t>
  </si>
  <si>
    <t>Metal circ wall form 4 to 6'</t>
  </si>
  <si>
    <t>Metal circ wall form 0 to 4'</t>
  </si>
  <si>
    <t>Wood circular form hardware</t>
  </si>
  <si>
    <t>Hung wood circular wall form</t>
  </si>
  <si>
    <t>Wood circ wall form over 20'</t>
  </si>
  <si>
    <t>Wood circ wall form 18 to 20'</t>
  </si>
  <si>
    <t>Wood circ wall form 16 to 18'</t>
  </si>
  <si>
    <t>Wood circ wall form 14 to 16'</t>
  </si>
  <si>
    <t>Wood circ wall form 12 to 14'</t>
  </si>
  <si>
    <t>Wood circ wall form 10 to 12'</t>
  </si>
  <si>
    <t>Wood circ wall form 8 to 10'</t>
  </si>
  <si>
    <t>Wood circ wall form 6 to 8'</t>
  </si>
  <si>
    <t>Wood circular wall form 4 to 6'</t>
  </si>
  <si>
    <t>Wood circular wall form 0 to 4'</t>
  </si>
  <si>
    <t>Metal blockout form @ hub</t>
  </si>
  <si>
    <t>Wood blockout form @ hub</t>
  </si>
  <si>
    <t>Metal edge form @ hub</t>
  </si>
  <si>
    <t>Wood edge form @ hub</t>
  </si>
  <si>
    <t>Keyway @ hub</t>
  </si>
  <si>
    <t>Keyway @ hopper</t>
  </si>
  <si>
    <t>Metal blockout form @ hopper</t>
  </si>
  <si>
    <t>Wood blockout form @ hopper</t>
  </si>
  <si>
    <t>Metal edge form @ hopper</t>
  </si>
  <si>
    <t>Wood edge form @ hopper</t>
  </si>
  <si>
    <t>Rectangular tank slab metal edge forms</t>
  </si>
  <si>
    <t>Circular slab  metal edge forms</t>
  </si>
  <si>
    <t>Rectangular tank slab wood edge forms</t>
  </si>
  <si>
    <t>Circular slab wood edge forms</t>
  </si>
  <si>
    <t>Metal grade beam form hardware</t>
  </si>
  <si>
    <t>Metal grade beam frm over 12'</t>
  </si>
  <si>
    <t>Metal grade beam form 10' to 12'</t>
  </si>
  <si>
    <t>Metal grade beam form 8' to 10'</t>
  </si>
  <si>
    <t>Metal grade beam form 6' to 8'</t>
  </si>
  <si>
    <t>Metal grade beam form 4' to 6'</t>
  </si>
  <si>
    <t>Metal grade beam form 2' to 4'</t>
  </si>
  <si>
    <t>Metal grd bm form 0' to 2'</t>
  </si>
  <si>
    <t>Metal circ gr bm form hardware</t>
  </si>
  <si>
    <t>Metal cir gr bm form over 12'</t>
  </si>
  <si>
    <t>Metal circular grade beam form 10' to 12'</t>
  </si>
  <si>
    <t>Metal circular grade beam form 8' to 10'</t>
  </si>
  <si>
    <t>Metal circular grade beam form 6' to 8'</t>
  </si>
  <si>
    <t>Metal cir gr bm form 4' to 6'</t>
  </si>
  <si>
    <t>Metal circular grade beam form 2' to 4'</t>
  </si>
  <si>
    <t>Metal circular grade beam form 0' to 2'</t>
  </si>
  <si>
    <t>Wood grade beam form hardware</t>
  </si>
  <si>
    <t>Wood radial grade beam form over 12'</t>
  </si>
  <si>
    <t>Wood radial grade beam form 10' to 12'</t>
  </si>
  <si>
    <t>Wood radial grade beam form 8' to 10'</t>
  </si>
  <si>
    <t>Wood radial grade beam form 6' to 8'</t>
  </si>
  <si>
    <t>Wood radial grade beam form 4' to 6'</t>
  </si>
  <si>
    <t>Wood radial grade beam form 2' to 4'</t>
  </si>
  <si>
    <t>Wood radial grade beam form 0' to 2'</t>
  </si>
  <si>
    <t>Wood circular grade beam form hardware</t>
  </si>
  <si>
    <t>Wood circular grade beam form over 12'</t>
  </si>
  <si>
    <t>Wood circular grade beam form 10' to 12'</t>
  </si>
  <si>
    <t>Wood circular grade beam form 8' to 10'</t>
  </si>
  <si>
    <t>Wood circular grade beam form 6' to 8'</t>
  </si>
  <si>
    <t>Wood circular grade beam form 4' to 6'</t>
  </si>
  <si>
    <t>Wood circular grade beam form 2' to 4'</t>
  </si>
  <si>
    <t>Wood circular grade beam form, 0' to 2'</t>
  </si>
  <si>
    <t>Metal edge forms @ tank footing</t>
  </si>
  <si>
    <t>Wood edge forms @ tank footing</t>
  </si>
  <si>
    <t>Dock leveler pit forms</t>
  </si>
  <si>
    <t>Stair forms</t>
  </si>
  <si>
    <t>Chamfer strip</t>
  </si>
  <si>
    <t>Special haunch forms</t>
  </si>
  <si>
    <t>Aluminum haunch forms</t>
  </si>
  <si>
    <t>Steel haunch forms</t>
  </si>
  <si>
    <t>Wood haunch forms</t>
  </si>
  <si>
    <t>Slab over deck blockout forms</t>
  </si>
  <si>
    <t>Slab edge forms at metal deck</t>
  </si>
  <si>
    <t>Deck for metal pan forms</t>
  </si>
  <si>
    <t>Pan slab blockout edge forms</t>
  </si>
  <si>
    <t>Pan slab edge forms</t>
  </si>
  <si>
    <t>Mudsills</t>
  </si>
  <si>
    <t>Pan/waffle slab shoring w/2.9bm/sqft</t>
  </si>
  <si>
    <t>Pan/waffle slab shoring w/2.8bm/sqft</t>
  </si>
  <si>
    <t>Pan/waffle slab shoring w/2.5bm/sqft</t>
  </si>
  <si>
    <t>Pan/waffle slab shoring w/2.4bm/sqft</t>
  </si>
  <si>
    <t>Pan/waffle slab shoring w/2.3bm/sqft</t>
  </si>
  <si>
    <t>Pan/waffle slab shoring w/2.2bm/sqft</t>
  </si>
  <si>
    <t>Pan/waffle slab shoring w/2.1bm/sqft</t>
  </si>
  <si>
    <t>Pan/waffle slab shoring w/2.0bm/sqft</t>
  </si>
  <si>
    <t>Pan/waffle slab shoring w/1.9bm/sqft</t>
  </si>
  <si>
    <t>Pan/waffle slab shoring w/1.8bm/sqft</t>
  </si>
  <si>
    <t>Pan/waffle slab shoring w/1.7bm/sqft</t>
  </si>
  <si>
    <t>Pan/waffle slab bulkheads</t>
  </si>
  <si>
    <t>Supported slab blockout edge form</t>
  </si>
  <si>
    <t>Drop panel edge forms</t>
  </si>
  <si>
    <t>Radius slab blockout edge form</t>
  </si>
  <si>
    <t>Radius slab edge form</t>
  </si>
  <si>
    <t>Supported slab edge form</t>
  </si>
  <si>
    <t>Slab form shoring and soffit w/3.1 BM/sqft</t>
  </si>
  <si>
    <t>Slab form shoring and soffit w/3.0 BM/sqft</t>
  </si>
  <si>
    <t>Slab form shoring and soffit w/2.9 BM/sqft</t>
  </si>
  <si>
    <t>Slab form shoring and soffit w/2.8 BM/sqft</t>
  </si>
  <si>
    <t>Slab form shoring and soffit w/2.7 BM/sqft</t>
  </si>
  <si>
    <t>Slab form shoring and soffit w/2.6 BM/sqft</t>
  </si>
  <si>
    <t>Slab form shoring and soffit w/2.5 BM/sqft</t>
  </si>
  <si>
    <t>Slab form shoring and soffit w/2.4 BM/sqft</t>
  </si>
  <si>
    <t>Slab form shoring and soffit w/2.3 BM/sqft</t>
  </si>
  <si>
    <t>Slab form shoring and soffit w/2.2 BM/sqft</t>
  </si>
  <si>
    <t>Slab form shoring and soffit w/2.1 BM/sqft</t>
  </si>
  <si>
    <t>Slab form shoring and soffit w/2.0 BM/sqft</t>
  </si>
  <si>
    <t>Spandrel beam shoring 18'+</t>
  </si>
  <si>
    <t>Spandrel beam shoring 16'-18'</t>
  </si>
  <si>
    <t>Spandrel beam shoring 14'-16'</t>
  </si>
  <si>
    <t>Spandrel beam shoring 12'-14'</t>
  </si>
  <si>
    <t>Spandrel beam shoring 10'-12'</t>
  </si>
  <si>
    <t>Spandrel beam shoring 8'-10'</t>
  </si>
  <si>
    <t>Spandrel beam shoring 4'-8'</t>
  </si>
  <si>
    <t>Spandrel beam shoring 0'-4'</t>
  </si>
  <si>
    <t>Isolated beam shoring 18'+</t>
  </si>
  <si>
    <t>Isolated beam shoring 16'-18'</t>
  </si>
  <si>
    <t>Isolated beam shoring 14'-16'</t>
  </si>
  <si>
    <t>Isolated beam shoring 12'-14'</t>
  </si>
  <si>
    <t>Isolated beam shoring 10'-12'</t>
  </si>
  <si>
    <t>Isolated beam shoring 8'-10'</t>
  </si>
  <si>
    <t>Isolated beam shoring 4'-8'</t>
  </si>
  <si>
    <t>Isolated beam shoring 0'-4'</t>
  </si>
  <si>
    <t>Beam w/slab shoring 18'+</t>
  </si>
  <si>
    <t>Beam w/slab shoring 16'-18'</t>
  </si>
  <si>
    <t>Beam w/slab shoring 14'-16'</t>
  </si>
  <si>
    <t>Beam w/slab shoring 12'-14'</t>
  </si>
  <si>
    <t>Beam w/slab shoring 10'-12'</t>
  </si>
  <si>
    <t>Beam w/slab shoring 8'-10'</t>
  </si>
  <si>
    <t>Beam w/slab shoring 4'-8'</t>
  </si>
  <si>
    <t>Beam w/slab shoring 0'-4'</t>
  </si>
  <si>
    <t>Spandrel beam side forms</t>
  </si>
  <si>
    <t>Spandrel blockout edge forms</t>
  </si>
  <si>
    <t>Spandrl beam soffit forms  18'+</t>
  </si>
  <si>
    <t>Spandrel beam soffit forms  16'-18'</t>
  </si>
  <si>
    <t>Spandrl beam soffit forms  14'-16'</t>
  </si>
  <si>
    <t>Spandrel beam soffit forms  12'-14'</t>
  </si>
  <si>
    <t>Spandrel beam soffit forms  10'-12'</t>
  </si>
  <si>
    <t>Spandrel beam soffit forms  8'-10'</t>
  </si>
  <si>
    <t>Spandrel  beam soffit forms  4'-8'</t>
  </si>
  <si>
    <t>Spandrel  beam soffit forms  0'-4'</t>
  </si>
  <si>
    <t>Isolated beam side forms</t>
  </si>
  <si>
    <t>Isolatd beam soffit forms  18'+</t>
  </si>
  <si>
    <t>Isolatd beam soffit forms  16'-18'</t>
  </si>
  <si>
    <t>Isolatd beam soffit forms  14'-16'</t>
  </si>
  <si>
    <t>Isolatd beam soffit forms  12'-14'</t>
  </si>
  <si>
    <t>Isolatd beam soffit forms  10'-12'</t>
  </si>
  <si>
    <t>Isolated beam soffit forms  8'-10'</t>
  </si>
  <si>
    <t>Isolated beam soffit forms  4'-8'</t>
  </si>
  <si>
    <t>Isolated beam soffit forms  0'-4'</t>
  </si>
  <si>
    <t>Tie beam side forms</t>
  </si>
  <si>
    <t>Tie beam 2x8 soffits 18'+ high</t>
  </si>
  <si>
    <t>Tie beam 2x8 soffits 16'-18' high</t>
  </si>
  <si>
    <t>Tie beam 2x8 soffits 14'-16' high</t>
  </si>
  <si>
    <t>Tie beam 2x8 soffits 12'-14' high</t>
  </si>
  <si>
    <t>Tie beam 2x8 soffits 10'-12' high</t>
  </si>
  <si>
    <t>Tie beam 2x8 soffits 8'-10' high</t>
  </si>
  <si>
    <t>Tie beam 2x8 soffits 4'-8' high</t>
  </si>
  <si>
    <t>Tie beam 2x8 soffits 0'-4' high</t>
  </si>
  <si>
    <t>Beam side forms</t>
  </si>
  <si>
    <t>Beam soffit forms 18'+ high</t>
  </si>
  <si>
    <t>Beam soffit forms 16'-18' high</t>
  </si>
  <si>
    <t>Beam soffit forms 14'-16' high</t>
  </si>
  <si>
    <t>Beam soffit forms 12'-14' high</t>
  </si>
  <si>
    <t>Beam soffit forms 10'-12' high</t>
  </si>
  <si>
    <t>Beam soffit forms  8'-10' high</t>
  </si>
  <si>
    <t>Beam soffit forms  4'-8' high</t>
  </si>
  <si>
    <t>Beam soffit forms  0'-4' high</t>
  </si>
  <si>
    <t>Radius wall form  20' and higher</t>
  </si>
  <si>
    <t>Radius wall form  18' to 20' high</t>
  </si>
  <si>
    <t>Radius wall form  16' to 18' high</t>
  </si>
  <si>
    <t>Radius wall form  14' to 16' high</t>
  </si>
  <si>
    <t>Radius wall form  12' to 14' high</t>
  </si>
  <si>
    <t>Radius wall form  10' to 12' high</t>
  </si>
  <si>
    <t>Radius wall form  8' to 10' high</t>
  </si>
  <si>
    <t>Radius wall form  4' to 8' high</t>
  </si>
  <si>
    <t>Radius wall form  2' to 4' high</t>
  </si>
  <si>
    <t>Radius wall form  0' to 2' high</t>
  </si>
  <si>
    <t>Metal framed wood pier forms</t>
  </si>
  <si>
    <t>Wood pier forms</t>
  </si>
  <si>
    <t>Cut polystyrene forms, 60"</t>
  </si>
  <si>
    <t>Cut polystyrene forms, 54"</t>
  </si>
  <si>
    <t>Cut polystyrene forms, 48"</t>
  </si>
  <si>
    <t>Cut polystyrene forms, 42"</t>
  </si>
  <si>
    <t>Cut polystyrene forms, 36"</t>
  </si>
  <si>
    <t>Cut polystyrene forms, 30"</t>
  </si>
  <si>
    <t>Cut polystyrene forms, 24"</t>
  </si>
  <si>
    <t>Cut polystyrene forms, 20"</t>
  </si>
  <si>
    <t>Cut polystyrene forms, 16"</t>
  </si>
  <si>
    <t>Cut polystyrene forms, 12"</t>
  </si>
  <si>
    <t>Cut polystyrene forms, 10"</t>
  </si>
  <si>
    <t>Cut polystyrene forms, 8"</t>
  </si>
  <si>
    <t>Cut polystyrene forms, 6"</t>
  </si>
  <si>
    <t>Round ABS plastic forms 60"</t>
  </si>
  <si>
    <t>Round ABS plastic forms 54"</t>
  </si>
  <si>
    <t>Round ABS plastic forms 48"</t>
  </si>
  <si>
    <t>Round ABS plastic forms 46"</t>
  </si>
  <si>
    <t>Round ABS plastic forms 44"</t>
  </si>
  <si>
    <t>Round ABS plastic forms 42"</t>
  </si>
  <si>
    <t>Round ABS plastic forms 40"</t>
  </si>
  <si>
    <t>Round ABS plastic forms 38"</t>
  </si>
  <si>
    <t>Round ABS plastic forms 36"</t>
  </si>
  <si>
    <t>Round ABS plastic forms 34"</t>
  </si>
  <si>
    <t>Round ABS plastic forms 32"</t>
  </si>
  <si>
    <t>Round ABS plastic forms 30"</t>
  </si>
  <si>
    <t>Round ABS plastic forms 28"</t>
  </si>
  <si>
    <t>Round ABS plastic forms 26"</t>
  </si>
  <si>
    <t>Round ABS plastic forms 24"</t>
  </si>
  <si>
    <t>Round ABS plastic forms 22"</t>
  </si>
  <si>
    <t>Round ABS plastic forms 20"</t>
  </si>
  <si>
    <t>Round ABS plastic forms 18"</t>
  </si>
  <si>
    <t>Round ABS plastic forms 16"</t>
  </si>
  <si>
    <t>Round ABS plastic forms 14"</t>
  </si>
  <si>
    <t>Round ABS plastic forms 12"</t>
  </si>
  <si>
    <t>Round ABS plastic forms 10"</t>
  </si>
  <si>
    <t>Round FR plastic forms, 60"</t>
  </si>
  <si>
    <t>Round FR plastic forms, 54"</t>
  </si>
  <si>
    <t>Round FR plastic forms, 48"</t>
  </si>
  <si>
    <t>Round FR plastic forms, 46"</t>
  </si>
  <si>
    <t>Round FR plastic forms, 44"</t>
  </si>
  <si>
    <t>Round FR plastic forms, 42"</t>
  </si>
  <si>
    <t>Round FR plastic forms, 40"</t>
  </si>
  <si>
    <t>Round FR plastic forms, 38"</t>
  </si>
  <si>
    <t>Round FR plastic forms, 36"</t>
  </si>
  <si>
    <t>Round FR plastic forms, 34"</t>
  </si>
  <si>
    <t>Round FR plastic forms, 32"</t>
  </si>
  <si>
    <t>Round FR plastic forms, 30"</t>
  </si>
  <si>
    <t>Round FR plastic forms, 28"</t>
  </si>
  <si>
    <t>Round FR plastic forms, 26"</t>
  </si>
  <si>
    <t>Round FR plastic forms, 24"</t>
  </si>
  <si>
    <t>Round FR plastic forms, 22"</t>
  </si>
  <si>
    <t>Round FR plastic forms, 20"</t>
  </si>
  <si>
    <t>Round FR plastic forms, 18"</t>
  </si>
  <si>
    <t>Round FR plastic forms, 16"</t>
  </si>
  <si>
    <t>Round FR plastic forms, 14"</t>
  </si>
  <si>
    <t>Round FR plastic forms, 12"</t>
  </si>
  <si>
    <t>Round FR plastic forms, 10"</t>
  </si>
  <si>
    <t>Metal capital form, 8' diameter</t>
  </si>
  <si>
    <t>Metal capital form, 7'6" diameter</t>
  </si>
  <si>
    <t>Metal capital form, 7' diameter</t>
  </si>
  <si>
    <t>Metal capital form, 6'6" diameter</t>
  </si>
  <si>
    <t>Metal capital form, 6' diameter</t>
  </si>
  <si>
    <t>Metal capital form, 5'6" diameter</t>
  </si>
  <si>
    <t>Metal capital form, 5' diameter</t>
  </si>
  <si>
    <t>Metal capital form, 4'6" diameter</t>
  </si>
  <si>
    <t>Metal capital form, 4' diameter</t>
  </si>
  <si>
    <t>Round metal forms, 96"</t>
  </si>
  <si>
    <t>Round metal forms, 90"</t>
  </si>
  <si>
    <t>Round metal forms, 84"</t>
  </si>
  <si>
    <t>Round metal forms, 78"</t>
  </si>
  <si>
    <t>Round metal forms, 72"</t>
  </si>
  <si>
    <t>Round metal forms, 66"</t>
  </si>
  <si>
    <t>Round metal forms, 60"</t>
  </si>
  <si>
    <t>Round metal forms, 54"</t>
  </si>
  <si>
    <t>Round metal forms, 48"</t>
  </si>
  <si>
    <t>Round metal forms, 42"</t>
  </si>
  <si>
    <t>Round metal forms, 36"</t>
  </si>
  <si>
    <t>Round metal forms, 30"</t>
  </si>
  <si>
    <t>Round metal forms, 24"</t>
  </si>
  <si>
    <t>Round metal forms, 20"</t>
  </si>
  <si>
    <t>Round metal forms, 16"</t>
  </si>
  <si>
    <t>Round metal forms, 12"</t>
  </si>
  <si>
    <t>Fiber tube forms, 60"</t>
  </si>
  <si>
    <t>Fiber tube forms, 54"</t>
  </si>
  <si>
    <t>Fiber tube forms, 48"</t>
  </si>
  <si>
    <t>Fiber tube forms, 42"</t>
  </si>
  <si>
    <t>Fiber tube forms, 36"</t>
  </si>
  <si>
    <t>Fiber tube forms, 34"</t>
  </si>
  <si>
    <t>Fiber tube forms, 32"</t>
  </si>
  <si>
    <t>Fiber tube forms, 30"</t>
  </si>
  <si>
    <t>Fiber tube forms, 28"</t>
  </si>
  <si>
    <t>Fiber tube forms, 26"</t>
  </si>
  <si>
    <t>Fiber tube forms, 24"</t>
  </si>
  <si>
    <t>Fiber tube forms, 22"</t>
  </si>
  <si>
    <t>Fiber tube forms, 20"</t>
  </si>
  <si>
    <t>Fiber tube forms, 18"</t>
  </si>
  <si>
    <t>Fiber tube forms, 16"</t>
  </si>
  <si>
    <t>Fiber tube forms, 14"</t>
  </si>
  <si>
    <t>Fiber tube forms, 12"</t>
  </si>
  <si>
    <t>Fiber tube forms, 10"</t>
  </si>
  <si>
    <t>Fiber tube forms, 8"</t>
  </si>
  <si>
    <t>Fiber tube forms, 6"</t>
  </si>
  <si>
    <t>Metal frame wood column forms +20'</t>
  </si>
  <si>
    <t>Metal frame wood column forms 18 to 20'</t>
  </si>
  <si>
    <t>Metal frame wood column forms 16 to 18'</t>
  </si>
  <si>
    <t>Metal frame wood column forms 12 to 16'</t>
  </si>
  <si>
    <t>Metal frame wood column forms 8 to 12'</t>
  </si>
  <si>
    <t>Metal frame wood column forms 0 to 8'</t>
  </si>
  <si>
    <t>Wood column forms, over 20'</t>
  </si>
  <si>
    <t>Wood column forms, 18' to 20'</t>
  </si>
  <si>
    <t>Wood column forms, 16' to 18'</t>
  </si>
  <si>
    <t>Wood column forms, 12' to 16'</t>
  </si>
  <si>
    <t>Wood column forms, 8' to 12'</t>
  </si>
  <si>
    <t>Wood column forms, 0' to 8'</t>
  </si>
  <si>
    <t>Wall form hardware (includes wall ties)</t>
  </si>
  <si>
    <t>Steel panel wall form  20' and higher</t>
  </si>
  <si>
    <t>Steel panel wall form  18' to 20' high</t>
  </si>
  <si>
    <t>Steel panel wall form  16' to 18' high</t>
  </si>
  <si>
    <t>Steel panel wall form  14' to 16' high</t>
  </si>
  <si>
    <t>Steel panel wall form  12' to 14' high</t>
  </si>
  <si>
    <t>Steel panel wall form  10' to 12' high</t>
  </si>
  <si>
    <t>Steel panel wall form  8' to 10' high</t>
  </si>
  <si>
    <t>Steel panel wall form  4' to 8' high</t>
  </si>
  <si>
    <t>Steel panel wall form  2' to 4' high</t>
  </si>
  <si>
    <t>Steel panel wall form  0' to 2' high</t>
  </si>
  <si>
    <t>Gang wall form  20' and higher</t>
  </si>
  <si>
    <t>Gang wall form  18' to 20' high</t>
  </si>
  <si>
    <t>Gang wall form  16' to 18' high</t>
  </si>
  <si>
    <t>Gang wall form  14' to 16' high</t>
  </si>
  <si>
    <t>Gang wall form  12' to 14' high</t>
  </si>
  <si>
    <t>Gang wall form  10' to 12' high</t>
  </si>
  <si>
    <t>Gang wall form  8' to 10' high</t>
  </si>
  <si>
    <t>Gang wall form  4' to 8' high</t>
  </si>
  <si>
    <t>Gang wall form  2' to 4' high</t>
  </si>
  <si>
    <t>Gang wall form  0' to 2' high</t>
  </si>
  <si>
    <t>Wall bulkheads</t>
  </si>
  <si>
    <t>Wall key forms</t>
  </si>
  <si>
    <t>Add for form liner</t>
  </si>
  <si>
    <t>Pilaster edge @ wall</t>
  </si>
  <si>
    <t>Brick ledge @ wall</t>
  </si>
  <si>
    <t>Wall form  20' and higher</t>
  </si>
  <si>
    <t>Wall form  18' to 20' high</t>
  </si>
  <si>
    <t>Wall form  16' to 18' high</t>
  </si>
  <si>
    <t>Wall form  14' to 16' high</t>
  </si>
  <si>
    <t>Wall form  12' to 14' high</t>
  </si>
  <si>
    <t>Wall form  10' to 12' high</t>
  </si>
  <si>
    <t>Wall form  8' to 10' high</t>
  </si>
  <si>
    <t>Wall form  4' to 8' high</t>
  </si>
  <si>
    <t>Wall form  2' to 4' high</t>
  </si>
  <si>
    <t>Wall form  0' to 2' high</t>
  </si>
  <si>
    <t>One sided wall form  20' and higher</t>
  </si>
  <si>
    <t>One sided wall form  18' to 20' high</t>
  </si>
  <si>
    <t>One sided wall form 16' to 18'</t>
  </si>
  <si>
    <t>One sided wall form  14' to 16' high</t>
  </si>
  <si>
    <t>One sided wall form  12' to 14' high</t>
  </si>
  <si>
    <t>One sided wall form  10' to 12' high</t>
  </si>
  <si>
    <t>One sided wall form  8' to 10' high</t>
  </si>
  <si>
    <t>One sided wall form  4' to 8' high</t>
  </si>
  <si>
    <t>One sided wall form  2' to 4' high</t>
  </si>
  <si>
    <t>One sided wall form  0' to 2' high</t>
  </si>
  <si>
    <t>Forms @ flume</t>
  </si>
  <si>
    <t>Forms @ curb</t>
  </si>
  <si>
    <t>Forms @ pad</t>
  </si>
  <si>
    <t>Forms @ trench</t>
  </si>
  <si>
    <t>Forms @ pit</t>
  </si>
  <si>
    <t>Combined screed rails and form</t>
  </si>
  <si>
    <t>Depressed slab form</t>
  </si>
  <si>
    <t>Slab blockout edge forms</t>
  </si>
  <si>
    <t>Floor edge forms</t>
  </si>
  <si>
    <t>Floor edge forms (1.5 BM/sqft)</t>
  </si>
  <si>
    <t>Pilaster forms @ grade beam</t>
  </si>
  <si>
    <t>Brick ledge form @ grade beam</t>
  </si>
  <si>
    <t>Grade beam form hardware</t>
  </si>
  <si>
    <t>Grade beam form 20'+ deep</t>
  </si>
  <si>
    <t>Grade beam form 18 to 20' deep</t>
  </si>
  <si>
    <t>Grade beam form 16 to 18' deep</t>
  </si>
  <si>
    <t>Grade beam form 14 to 16' deep</t>
  </si>
  <si>
    <t>Grade beam form 12 to 14' deep</t>
  </si>
  <si>
    <t>Grade beam form 10 to 12' deep</t>
  </si>
  <si>
    <t>Grade beam form 8 to 10' deep</t>
  </si>
  <si>
    <t>Grade beam form 4 to 8' deep</t>
  </si>
  <si>
    <t>Grade beam form 2 to 4' deep</t>
  </si>
  <si>
    <t>Grade beam form  0' to 2' deep</t>
  </si>
  <si>
    <t>Footing keyways</t>
  </si>
  <si>
    <t>Column footing edge forms</t>
  </si>
  <si>
    <t>Continuous footing edge forms</t>
  </si>
  <si>
    <t>Octagonal foundation edge forms</t>
  </si>
  <si>
    <t>Mat foundation edge forms</t>
  </si>
  <si>
    <t>Pile cap edge forms</t>
  </si>
  <si>
    <t>8' diameter capital form</t>
  </si>
  <si>
    <t>7'6" diameter capital form</t>
  </si>
  <si>
    <t>7' diameter capital form</t>
  </si>
  <si>
    <t>6'6" diameter capital form</t>
  </si>
  <si>
    <t>6' diameter capital form</t>
  </si>
  <si>
    <t>5'6" diameter capital form</t>
  </si>
  <si>
    <t>5' diameter capital form</t>
  </si>
  <si>
    <t>4'6" diameter capital form</t>
  </si>
  <si>
    <t>4' diameter capital form</t>
  </si>
  <si>
    <t>Structural stair forms</t>
  </si>
  <si>
    <t>Structural landing forms</t>
  </si>
  <si>
    <t>Circular column forms 48" diameter</t>
  </si>
  <si>
    <t>Circular column forms 44" dia</t>
  </si>
  <si>
    <t>Circular column forms 42" diameter</t>
  </si>
  <si>
    <t>Circular column forms 40" diameter</t>
  </si>
  <si>
    <t>Circular column forms 36" diameter</t>
  </si>
  <si>
    <t>Circular column forms 34" dia</t>
  </si>
  <si>
    <t>Circular column forms 32" dia</t>
  </si>
  <si>
    <t>Circular column forms 30" diameter</t>
  </si>
  <si>
    <t>Circular column forms 28" dia</t>
  </si>
  <si>
    <t>Circular column forms 26" dia</t>
  </si>
  <si>
    <t>Circular column forms 24" diameter</t>
  </si>
  <si>
    <t>Circular column forms 22" dia</t>
  </si>
  <si>
    <t>Circular column forms 20" dia</t>
  </si>
  <si>
    <t>Circular column forms 18" diameter</t>
  </si>
  <si>
    <t>Circular column forms 16" diameter</t>
  </si>
  <si>
    <t>Circular column forms 14" diameter</t>
  </si>
  <si>
    <t>Circular column forms 12" diameter</t>
  </si>
  <si>
    <t>Circular column forms 10" dia</t>
  </si>
  <si>
    <t>Circular column forms 8" dia</t>
  </si>
  <si>
    <t>Column forms</t>
  </si>
  <si>
    <t>Inverted beam side form</t>
  </si>
  <si>
    <t>Inverted beam soffit form</t>
  </si>
  <si>
    <t>Isolated beam side form</t>
  </si>
  <si>
    <t>Isolated beam soffit</t>
  </si>
  <si>
    <t>Spandrel beam side form</t>
  </si>
  <si>
    <t>Spandrel beam soffit form</t>
  </si>
  <si>
    <t>Beam soffit forms</t>
  </si>
  <si>
    <t>Concrete wall form</t>
  </si>
  <si>
    <t>Slab keyway</t>
  </si>
  <si>
    <t>Slab edge forms</t>
  </si>
  <si>
    <t>Waffle/dome slab soffit forms</t>
  </si>
  <si>
    <t>Pan slab soffit forms</t>
  </si>
  <si>
    <t>Flat slab soffit forms</t>
  </si>
  <si>
    <t>Miscellaneous forms</t>
  </si>
  <si>
    <t>Pad forms</t>
  </si>
  <si>
    <t>Curb forms</t>
  </si>
  <si>
    <t>Trench forms</t>
  </si>
  <si>
    <t>Pit forms</t>
  </si>
  <si>
    <t>Stair on grade forms</t>
  </si>
  <si>
    <t>Basement wall forms</t>
  </si>
  <si>
    <t>Ramp on grade edge forms</t>
  </si>
  <si>
    <t>Slab on grade edge forms</t>
  </si>
  <si>
    <t>Circular pier form 48" dia</t>
  </si>
  <si>
    <t>Circular pier form 44" dia</t>
  </si>
  <si>
    <t>Circular pier form 42" dia</t>
  </si>
  <si>
    <t>Circular pier form 40" dia</t>
  </si>
  <si>
    <t>Circular pier form 36" dia</t>
  </si>
  <si>
    <t>Circular pier form 34" dia</t>
  </si>
  <si>
    <t>Circular pier form 32" dia</t>
  </si>
  <si>
    <t>Circular pier form 30" dia</t>
  </si>
  <si>
    <t>Circular pier form 28" dia</t>
  </si>
  <si>
    <t>Circular pier form 26" dia</t>
  </si>
  <si>
    <t>Circular pier form 24" dia</t>
  </si>
  <si>
    <t>Circular pier form 22" dia</t>
  </si>
  <si>
    <t>Circular pier form 20" dia</t>
  </si>
  <si>
    <t>Circular pier form 18" dia</t>
  </si>
  <si>
    <t>Circular pier form 16" dia</t>
  </si>
  <si>
    <t>Circular pier form 14" dia</t>
  </si>
  <si>
    <t>Circular pier form 12" dia</t>
  </si>
  <si>
    <t>Circular pier form 10" dia</t>
  </si>
  <si>
    <t>Circular pier form 8" dia</t>
  </si>
  <si>
    <t>Pier forms</t>
  </si>
  <si>
    <t>Grade beam soffit forms</t>
  </si>
  <si>
    <t>Grade beam side forms</t>
  </si>
  <si>
    <t>Pilaster forms</t>
  </si>
  <si>
    <t>Foundation wall forms</t>
  </si>
  <si>
    <t>Miscellaneous foundation forms</t>
  </si>
  <si>
    <t>Mat foundation forms</t>
  </si>
  <si>
    <t>Pile cap forms</t>
  </si>
  <si>
    <t>Continuous sloped footing forms/Plastic (2 sides)</t>
  </si>
  <si>
    <t>Continuous sloped footing forms/Metal (2 sides)</t>
  </si>
  <si>
    <t>Continuous sloped footing forms/Wood (2 sides)</t>
  </si>
  <si>
    <t>Column footing forms</t>
  </si>
  <si>
    <t>Stepped footing end forms</t>
  </si>
  <si>
    <t>Continuous stepped footing forms</t>
  </si>
  <si>
    <t>Continuous footing forms</t>
  </si>
  <si>
    <t xml:space="preserve"> Sidewalk</t>
  </si>
  <si>
    <t xml:space="preserve"> Concrete w/acc underlay</t>
  </si>
  <si>
    <t xml:space="preserve"> Concrete roadway</t>
  </si>
  <si>
    <t xml:space="preserve"> Asphalt roadway</t>
  </si>
  <si>
    <t xml:space="preserve"> Oil mat</t>
  </si>
  <si>
    <t xml:space="preserve"> Gravel</t>
  </si>
  <si>
    <t xml:space="preserve"> Grass</t>
  </si>
  <si>
    <t>Surface restoration</t>
  </si>
  <si>
    <t>* No. of tree grates *</t>
  </si>
  <si>
    <t>* Length of landcape edging and ties *</t>
  </si>
  <si>
    <t>Tree grates</t>
  </si>
  <si>
    <t>Railroad landscape ties</t>
  </si>
  <si>
    <t>Redwood landscape edging</t>
  </si>
  <si>
    <t>* No. of landscaping allowances *</t>
  </si>
  <si>
    <t>Landscaping</t>
  </si>
  <si>
    <t>Landscaping allowance</t>
  </si>
  <si>
    <t>* No. of outside benches *</t>
  </si>
  <si>
    <t>* No. of bollards *</t>
  </si>
  <si>
    <t xml:space="preserve">   Woven polypropylene geotextile</t>
  </si>
  <si>
    <t xml:space="preserve">   Expanded polyethylene</t>
  </si>
  <si>
    <t xml:space="preserve">   Polyester fiber</t>
  </si>
  <si>
    <t>Geosynthetic reinforcing</t>
  </si>
  <si>
    <t xml:space="preserve">  Impervious top fill</t>
  </si>
  <si>
    <t xml:space="preserve">  Compacted soil</t>
  </si>
  <si>
    <t xml:space="preserve">  Drainage aggregate</t>
  </si>
  <si>
    <t>Modular retaining wall backfill</t>
  </si>
  <si>
    <t>Modular wall bed fine grade/preparation</t>
  </si>
  <si>
    <t>Modular wall excavation</t>
  </si>
  <si>
    <t>Sand/gravel leveling pad</t>
  </si>
  <si>
    <t>Cap adhesive</t>
  </si>
  <si>
    <t>Installation pins</t>
  </si>
  <si>
    <t>Pcs</t>
  </si>
  <si>
    <t xml:space="preserve">  4"x17¼"x10"</t>
  </si>
  <si>
    <t xml:space="preserve">  3-5/8"x14"x12"</t>
  </si>
  <si>
    <t xml:space="preserve">  3"x17¼"x10"</t>
  </si>
  <si>
    <t xml:space="preserve">  2-3/8"x12"x7½</t>
  </si>
  <si>
    <t>Caps</t>
  </si>
  <si>
    <t xml:space="preserve">  8"x18"x22½"</t>
  </si>
  <si>
    <t xml:space="preserve">  8"x18"x21½"</t>
  </si>
  <si>
    <t xml:space="preserve">  8"x18"x12"</t>
  </si>
  <si>
    <t xml:space="preserve">  8"x18"x11"</t>
  </si>
  <si>
    <t xml:space="preserve">  8"x18"x10¼"</t>
  </si>
  <si>
    <t xml:space="preserve">  7½"x18"x22½"</t>
  </si>
  <si>
    <t xml:space="preserve">  7½"x18"x11"</t>
  </si>
  <si>
    <t xml:space="preserve">  6"x16"x12"  </t>
  </si>
  <si>
    <t>Structural blocks</t>
  </si>
  <si>
    <t xml:space="preserve">  6"x16"x10-3/8"</t>
  </si>
  <si>
    <t xml:space="preserve">  6"x15-7/8"x12"</t>
  </si>
  <si>
    <t xml:space="preserve">  4"x18"x10½"</t>
  </si>
  <si>
    <t xml:space="preserve">  4"x12"x9" planter</t>
  </si>
  <si>
    <t xml:space="preserve">  4"x12"x9"</t>
  </si>
  <si>
    <t xml:space="preserve">  4"x12"x8"</t>
  </si>
  <si>
    <t xml:space="preserve">  4"x11-5/8"x8"</t>
  </si>
  <si>
    <t xml:space="preserve">  3"x8"x5¼"</t>
  </si>
  <si>
    <t>Landscape blocks</t>
  </si>
  <si>
    <t>Modular retaining walls</t>
  </si>
  <si>
    <t>* Miscellaneous outdoor concrete walls *</t>
  </si>
  <si>
    <t>* Retaining wall length *</t>
  </si>
  <si>
    <t>Gravel @ french drain</t>
  </si>
  <si>
    <t>French drain tile</t>
  </si>
  <si>
    <t>Membrane waterproofing, 2 ply/felt/pitch</t>
  </si>
  <si>
    <t>Bituminous coating 2-coats</t>
  </si>
  <si>
    <t>** Site Concrete **</t>
  </si>
  <si>
    <t>Wall form hardware</t>
  </si>
  <si>
    <t>Form release agent</t>
  </si>
  <si>
    <t>Retaining wall forms 20'+ high</t>
  </si>
  <si>
    <t>Retaining wall forms 18-20'</t>
  </si>
  <si>
    <t>Retaining wall forms 16-18'</t>
  </si>
  <si>
    <t>Retaining wall forms 14-16'</t>
  </si>
  <si>
    <t>Retaining wall forms 12-14'</t>
  </si>
  <si>
    <t>Retaining wall forms 10-12'</t>
  </si>
  <si>
    <t>Retaining wall forms 8-10'high</t>
  </si>
  <si>
    <t>Retaining wall forms 4-8' high</t>
  </si>
  <si>
    <t>Retaining wall forms 2-4' high</t>
  </si>
  <si>
    <t>Retaining wall forms 0-2' high</t>
  </si>
  <si>
    <t>Retaining wall footing forms</t>
  </si>
  <si>
    <t>Bushhammer conc retain wall</t>
  </si>
  <si>
    <t>Sandblast conc retain wall</t>
  </si>
  <si>
    <t>Carbo rub conc retain wall</t>
  </si>
  <si>
    <t>Rebar in  retaining wall</t>
  </si>
  <si>
    <t>Protect and cure retaining wall horizontal surfaces</t>
  </si>
  <si>
    <t>Protect and cure retaining wall vertical surfaces</t>
  </si>
  <si>
    <t xml:space="preserve">  Mix B conc pour w/pump</t>
  </si>
  <si>
    <t xml:space="preserve">  Mix A conc pour w/pump</t>
  </si>
  <si>
    <t xml:space="preserve">  5000 psi conc pour w/pump</t>
  </si>
  <si>
    <t xml:space="preserve">  4000 psi conc pour w/pump</t>
  </si>
  <si>
    <t xml:space="preserve">  3750 psi conc pour w/pump</t>
  </si>
  <si>
    <t xml:space="preserve">  3500 psi conc pour w/pump</t>
  </si>
  <si>
    <t xml:space="preserve">  2500 psi conc pour w/pump</t>
  </si>
  <si>
    <t xml:space="preserve">  3000 psi conc pour w/pump</t>
  </si>
  <si>
    <t xml:space="preserve">  Mix B conc pour w/carts</t>
  </si>
  <si>
    <t xml:space="preserve">  Mix A conc pour w/carts</t>
  </si>
  <si>
    <t xml:space="preserve">  5000 psi conc pour w/carts</t>
  </si>
  <si>
    <t xml:space="preserve">  4000 psi conc pour w/carts</t>
  </si>
  <si>
    <t xml:space="preserve">  3750 psi conc pour w/carts</t>
  </si>
  <si>
    <t xml:space="preserve">  3500 psi conc pour w/carts</t>
  </si>
  <si>
    <t xml:space="preserve">  2500 psi conc pour w/carts</t>
  </si>
  <si>
    <t xml:space="preserve">  3000 psi conc pour w/carts</t>
  </si>
  <si>
    <t xml:space="preserve">  Mix B conc pour w/crane</t>
  </si>
  <si>
    <t xml:space="preserve">  Mix A conc pour w/crane</t>
  </si>
  <si>
    <t xml:space="preserve">  5000 psi conc pour w/crane</t>
  </si>
  <si>
    <t xml:space="preserve">  4000 psi conc pour w/crane</t>
  </si>
  <si>
    <t xml:space="preserve">  3750 psi conc pour w/crane</t>
  </si>
  <si>
    <t xml:space="preserve">  3500 psi conc pour w/crane</t>
  </si>
  <si>
    <t xml:space="preserve">  2500 psi conc pour w/crane</t>
  </si>
  <si>
    <t xml:space="preserve">  3000 psi conc pour w/crane</t>
  </si>
  <si>
    <t xml:space="preserve">  Mix B conc pour direct</t>
  </si>
  <si>
    <t xml:space="preserve">  Mix A conc pour direct</t>
  </si>
  <si>
    <t xml:space="preserve">  5000 psi conc pour direct</t>
  </si>
  <si>
    <t xml:space="preserve">  4000 psi conc pour direct</t>
  </si>
  <si>
    <t xml:space="preserve">  3750 psi conc pour direct</t>
  </si>
  <si>
    <t xml:space="preserve">  3500 psi conc pour direct</t>
  </si>
  <si>
    <t xml:space="preserve">  2500 psi conc pour direct</t>
  </si>
  <si>
    <t xml:space="preserve">  3000 psi conc pour direct</t>
  </si>
  <si>
    <t>**Retaining wall concrete**</t>
  </si>
  <si>
    <t xml:space="preserve">  Mix B conc w/pump</t>
  </si>
  <si>
    <t xml:space="preserve">  Mix A conc w/pump</t>
  </si>
  <si>
    <t xml:space="preserve">  5000 psi conc w/pump</t>
  </si>
  <si>
    <t xml:space="preserve">  4000 psi conc w/pump</t>
  </si>
  <si>
    <t xml:space="preserve">  3750 psi conc w/pump</t>
  </si>
  <si>
    <t xml:space="preserve">  3500 psi conc w/pump</t>
  </si>
  <si>
    <t xml:space="preserve">  2500 psi conc w/pump</t>
  </si>
  <si>
    <t xml:space="preserve">  3000 psi conc w/pump</t>
  </si>
  <si>
    <t xml:space="preserve">  Mix B  pour direct</t>
  </si>
  <si>
    <t xml:space="preserve">  Mix A  pour direct</t>
  </si>
  <si>
    <t xml:space="preserve">  5000 psi  pour direct</t>
  </si>
  <si>
    <t xml:space="preserve">  4000 psi  pour direct</t>
  </si>
  <si>
    <t xml:space="preserve">  3750 psi  pour direct</t>
  </si>
  <si>
    <t xml:space="preserve">  3500 psi pour direct</t>
  </si>
  <si>
    <t xml:space="preserve">  2500 psi pour direct</t>
  </si>
  <si>
    <t xml:space="preserve">  3000 psi pour direct</t>
  </si>
  <si>
    <t>**Retaining wall footing concrete**</t>
  </si>
  <si>
    <t>* Length of fencing *</t>
  </si>
  <si>
    <t>Fence</t>
  </si>
  <si>
    <t>Security fence</t>
  </si>
  <si>
    <t>Decorative fence</t>
  </si>
  <si>
    <t>Wrought iron fence</t>
  </si>
  <si>
    <t>Wood gate</t>
  </si>
  <si>
    <t>Wood fence</t>
  </si>
  <si>
    <t>Chainlink fence</t>
  </si>
  <si>
    <t>Lawn sprinkler system</t>
  </si>
  <si>
    <t>* No. of irrigation allowances *</t>
  </si>
  <si>
    <t>Irrigation system allowance</t>
  </si>
  <si>
    <t xml:space="preserve"> 27" SDR 51 push joint pipe</t>
  </si>
  <si>
    <t xml:space="preserve"> 24" SDR 51 push joint pipe</t>
  </si>
  <si>
    <t xml:space="preserve"> 21" SDR 51 push joint pipe</t>
  </si>
  <si>
    <t xml:space="preserve"> 18" SDR 51 push joint pipe</t>
  </si>
  <si>
    <t xml:space="preserve"> 15" SDR 51 push joint pipe</t>
  </si>
  <si>
    <t xml:space="preserve"> 12" SDR 51 push joint pipe</t>
  </si>
  <si>
    <t xml:space="preserve"> 10" SDR 51 push joint pipe</t>
  </si>
  <si>
    <t xml:space="preserve">  8" SDR 51 push joint pipe</t>
  </si>
  <si>
    <t xml:space="preserve">  6" SDR 51 push joint pipe</t>
  </si>
  <si>
    <t>Irrigation PVC pipe</t>
  </si>
  <si>
    <t>* Paver area *</t>
  </si>
  <si>
    <t>Brick pavers</t>
  </si>
  <si>
    <t>Pavers</t>
  </si>
  <si>
    <t>Precast pavers</t>
  </si>
  <si>
    <t>Granite pavers</t>
  </si>
  <si>
    <t>* Sidewalk area *</t>
  </si>
  <si>
    <t>* Exterior steps area *</t>
  </si>
  <si>
    <t>* No. of concrete risers *</t>
  </si>
  <si>
    <t>**Sidewalk area**</t>
  </si>
  <si>
    <t>4000 psi concrete @ steps</t>
  </si>
  <si>
    <t>3000 psi concrete @ steps</t>
  </si>
  <si>
    <t>2500 psi concrete @ steps</t>
  </si>
  <si>
    <t>#6 x 20' rebar @ steps</t>
  </si>
  <si>
    <t>#5 x 20' rebar @ steps</t>
  </si>
  <si>
    <t>#4 x 20' rebar @ steps</t>
  </si>
  <si>
    <t>#3 x 20' rebar @ steps</t>
  </si>
  <si>
    <t>#2 x 20' rebar @ steps</t>
  </si>
  <si>
    <t>Reinforcing steel @ steps</t>
  </si>
  <si>
    <t>6x6-2.9/2.9 mesh @ steps</t>
  </si>
  <si>
    <t>6x6-2.1/2.1 mesh @ steps</t>
  </si>
  <si>
    <t>6x6-1.4/1.4 mesh @ steps</t>
  </si>
  <si>
    <t>Expansion joint @ steps</t>
  </si>
  <si>
    <t>Riser forms</t>
  </si>
  <si>
    <t>Step edge forms</t>
  </si>
  <si>
    <t>Rub conc @ step riser</t>
  </si>
  <si>
    <t>Float finish steps</t>
  </si>
  <si>
    <t>Screed finish steps</t>
  </si>
  <si>
    <t>Washed finish steps</t>
  </si>
  <si>
    <t>Broom finish steps</t>
  </si>
  <si>
    <t>Trowel finish steps</t>
  </si>
  <si>
    <t>Road gravel fill @ steps</t>
  </si>
  <si>
    <t>Sand fill @ steps</t>
  </si>
  <si>
    <t>Washed gravel fill @ steps</t>
  </si>
  <si>
    <t>Mach excav thick slab @ steps</t>
  </si>
  <si>
    <t>Hand excav thick slab @ steps</t>
  </si>
  <si>
    <t>Machine fine grade steps</t>
  </si>
  <si>
    <t>Hand fine grade steps</t>
  </si>
  <si>
    <t>4000 psi conc @ sidewalk</t>
  </si>
  <si>
    <t>3000 psi conc @ sidewalk</t>
  </si>
  <si>
    <t>2500 psi conc @ sidewalk</t>
  </si>
  <si>
    <t>#6 x 20' rebar @ sidewalk</t>
  </si>
  <si>
    <t>#5 x 20' rebar @ sidewalk</t>
  </si>
  <si>
    <t>#4 x 20' rebar @ sidewalk</t>
  </si>
  <si>
    <t>#3 x 20' rebar @ sidewalk</t>
  </si>
  <si>
    <t>#2 x 20' rebar @ sidewalk</t>
  </si>
  <si>
    <t>Reinforcing steel @ sidewalk</t>
  </si>
  <si>
    <t>6x6-2.9/2.9 mesh @ sidewalk</t>
  </si>
  <si>
    <t>6x6-2.1/2.1 mesh @ sidewalk</t>
  </si>
  <si>
    <t>6x6-1.4/1.4 mesh @ sidewalk</t>
  </si>
  <si>
    <t>Expansion joint @ sidewalk</t>
  </si>
  <si>
    <t>Sidewalk edge forms</t>
  </si>
  <si>
    <t>Float finish sidewalk</t>
  </si>
  <si>
    <t>Screed finish sidewalk</t>
  </si>
  <si>
    <t>Washed finish sidewalk</t>
  </si>
  <si>
    <t>Broom finish sidewalk</t>
  </si>
  <si>
    <t>Trowel finish sidewalk</t>
  </si>
  <si>
    <t>Road gravel fill @ sidewalk</t>
  </si>
  <si>
    <t>Sand fill @ sidewalk</t>
  </si>
  <si>
    <t>Washed gravel fill @ sidewalk</t>
  </si>
  <si>
    <t>Mach excav thk slab @ sidewalk</t>
  </si>
  <si>
    <t>Hand excav thk slab @ sidewalk</t>
  </si>
  <si>
    <t>Machine fine grade sidewalk</t>
  </si>
  <si>
    <t>Hand fine grade sidewalk</t>
  </si>
  <si>
    <t>Ext step reinforcing</t>
  </si>
  <si>
    <t>Sidewalk reinforcing</t>
  </si>
  <si>
    <t>Mesh @ steps</t>
  </si>
  <si>
    <t>Mesh @ sidewalk</t>
  </si>
  <si>
    <t>6x6-4/4 mesh</t>
  </si>
  <si>
    <t>6x6-2.1/2.1 mesh</t>
  </si>
  <si>
    <t>6x6-2.9/2.9 mesh</t>
  </si>
  <si>
    <t>6x6-1.4/1.4 mesh</t>
  </si>
  <si>
    <t>½" expansion joint</t>
  </si>
  <si>
    <t>Protect and cure ext step vertical surfaces</t>
  </si>
  <si>
    <t>Protect and cure vertical sidewalk surfaces</t>
  </si>
  <si>
    <t>Protect and cure ext step horizontal surfaces</t>
  </si>
  <si>
    <t>Protect and cure sidewalk horizontal surfaces</t>
  </si>
  <si>
    <t>Point and patch ext steps</t>
  </si>
  <si>
    <t>Screed finish exterior steps</t>
  </si>
  <si>
    <t>Wash agrt finish ext steps</t>
  </si>
  <si>
    <t>Wash agrt finish sidewalk</t>
  </si>
  <si>
    <t>Concrete finish @ steps</t>
  </si>
  <si>
    <t>Concrete finish @ sidewalk</t>
  </si>
  <si>
    <t>Trowel and broom ext steps</t>
  </si>
  <si>
    <t>Trowel and broom sidewalk</t>
  </si>
  <si>
    <t>Backfill @ thickened slab edge</t>
  </si>
  <si>
    <t>Excav @ thickened slab edge</t>
  </si>
  <si>
    <t>Bank gravel fill</t>
  </si>
  <si>
    <t>Sand fill</t>
  </si>
  <si>
    <t>Washed gravel fill</t>
  </si>
  <si>
    <t>Sub base fill</t>
  </si>
  <si>
    <t>Fine grade ext steps</t>
  </si>
  <si>
    <t>Fine grade for sidewalk</t>
  </si>
  <si>
    <t>Exterior step forms</t>
  </si>
  <si>
    <t>Thickened slab edge form</t>
  </si>
  <si>
    <t>Edge forms @ sidewalk</t>
  </si>
  <si>
    <t>Concrete steps</t>
  </si>
  <si>
    <t>Concrete @ sidewalk</t>
  </si>
  <si>
    <t>**Conc in exterior steps**</t>
  </si>
  <si>
    <t>**Concrete in sidewalks**</t>
  </si>
  <si>
    <t>* Curb length *</t>
  </si>
  <si>
    <t>**Length of curb/gutter**</t>
  </si>
  <si>
    <t>4000 psi conc @ curb &amp; gutter</t>
  </si>
  <si>
    <t>3000 psi conc @ curb &amp; gutter</t>
  </si>
  <si>
    <t>2500 psi conc @ curb &amp; gutter</t>
  </si>
  <si>
    <t>#6 x 20' rebar @ curb &amp; gutter</t>
  </si>
  <si>
    <t>#5 x 20' rebar @ curb &amp; gutter</t>
  </si>
  <si>
    <t>#4 x 20' rebar @ curb &amp; gutter</t>
  </si>
  <si>
    <t>#3 x 20' rebar @ curb &amp; gutter</t>
  </si>
  <si>
    <t>#2 x 20' rebar @ curb &amp; gutter</t>
  </si>
  <si>
    <t>Reinforcing stl @ curb&amp;gutter</t>
  </si>
  <si>
    <t>6x6-2.9/2.9 mesh @ curb &amp; gutter</t>
  </si>
  <si>
    <t>6x6-2.1/2.1 mesh @ curb &amp; gutter</t>
  </si>
  <si>
    <t>6x6-1.4/1.4 mesh @ curb &amp; gutter</t>
  </si>
  <si>
    <t>Expansion jt @ curb and gutter</t>
  </si>
  <si>
    <t>Concrete curb and gutter forms</t>
  </si>
  <si>
    <t>Float finish curb and gutter</t>
  </si>
  <si>
    <t>Screed finish curb and gutter</t>
  </si>
  <si>
    <t>Washed finish curb and gutter</t>
  </si>
  <si>
    <t>Broom finish curb and gutter</t>
  </si>
  <si>
    <t>Trowel finish curb and gutter</t>
  </si>
  <si>
    <t>Road gravel fill @ c&amp;g</t>
  </si>
  <si>
    <t>Sand fill @ curb and gutter</t>
  </si>
  <si>
    <t>Washed gravel fill @ c&amp;g</t>
  </si>
  <si>
    <t>Machine excavate curb and gutter</t>
  </si>
  <si>
    <t>Hand excavate curb and gutter</t>
  </si>
  <si>
    <t>4000 psi conc @ curb</t>
  </si>
  <si>
    <t>3000 psi conc @ curb</t>
  </si>
  <si>
    <t>2500 psi conc @ curb</t>
  </si>
  <si>
    <t>#6 x 20' rebar @ curb</t>
  </si>
  <si>
    <t>#5 x 20' rebar @ curb</t>
  </si>
  <si>
    <t>#4 x 20' rebar @ curb</t>
  </si>
  <si>
    <t>#3 x 20' rebar @ curb</t>
  </si>
  <si>
    <t>#2 x 20' rebar @ curb</t>
  </si>
  <si>
    <t>Reinforcing steel @ curb</t>
  </si>
  <si>
    <t>Expansion joint @ curb</t>
  </si>
  <si>
    <t>Concrete curb forms</t>
  </si>
  <si>
    <t>Float finish curb</t>
  </si>
  <si>
    <t>Screed finish curb</t>
  </si>
  <si>
    <t>Washed finish curb</t>
  </si>
  <si>
    <t>Broom finish curb</t>
  </si>
  <si>
    <t>Trowel finish curb</t>
  </si>
  <si>
    <t>Road gravel fill @ curb</t>
  </si>
  <si>
    <t>Sand fill @ curb</t>
  </si>
  <si>
    <t>Washed gravel fill @ curb</t>
  </si>
  <si>
    <t>Machine excavate curb</t>
  </si>
  <si>
    <t>Hand excavate curb</t>
  </si>
  <si>
    <t>Granite curb</t>
  </si>
  <si>
    <t>Precast curb</t>
  </si>
  <si>
    <t>Granite curb 6x18 radius</t>
  </si>
  <si>
    <t>Granite curb 6x18 straight</t>
  </si>
  <si>
    <t>Precast curb 6x18 radius</t>
  </si>
  <si>
    <t>Precast curb 6x18 straight</t>
  </si>
  <si>
    <t>Extruded curb</t>
  </si>
  <si>
    <t>Extruded curb and gutter</t>
  </si>
  <si>
    <t>Concrete curb and gutter</t>
  </si>
  <si>
    <t>Protect and cure horizontal C&amp;G surfaces</t>
  </si>
  <si>
    <t>Protect and cure vertical C&amp;G surfaces</t>
  </si>
  <si>
    <t>Curb and gutter backfill</t>
  </si>
  <si>
    <t>Curb and gutter excavation</t>
  </si>
  <si>
    <t>Curb and gutter finish</t>
  </si>
  <si>
    <t>Plastic curb and gutter forms</t>
  </si>
  <si>
    <t>Wood curb and gutter forms</t>
  </si>
  <si>
    <t>Metal curb and gutter forms</t>
  </si>
  <si>
    <t xml:space="preserve">  Mix B concrete</t>
  </si>
  <si>
    <t xml:space="preserve">  Mix A concrete</t>
  </si>
  <si>
    <t xml:space="preserve">  5000 psi concrete</t>
  </si>
  <si>
    <t xml:space="preserve">  4000 psi concrete</t>
  </si>
  <si>
    <t xml:space="preserve">  3750 psi concrete</t>
  </si>
  <si>
    <t xml:space="preserve">  3500 psi concrete</t>
  </si>
  <si>
    <t xml:space="preserve">  2500 psi concrete</t>
  </si>
  <si>
    <t xml:space="preserve">  3000 psi concrete</t>
  </si>
  <si>
    <t>**Curb and gutter**</t>
  </si>
  <si>
    <t>Concrete curb</t>
  </si>
  <si>
    <t>Curb reinforcing</t>
  </si>
  <si>
    <t>Protect and cure horizontal curb surfaces</t>
  </si>
  <si>
    <t>Protect and cure vertical curb surfaces</t>
  </si>
  <si>
    <t>Backfill curb</t>
  </si>
  <si>
    <t>Excavate curb</t>
  </si>
  <si>
    <t>Curb finish</t>
  </si>
  <si>
    <t>Plastic curb forms</t>
  </si>
  <si>
    <t>Wood curb form</t>
  </si>
  <si>
    <t>Metal curb forms</t>
  </si>
  <si>
    <t>**Curbs**</t>
  </si>
  <si>
    <t>Asphalt curb</t>
  </si>
  <si>
    <t>Asphalt curbing</t>
  </si>
  <si>
    <t>Precast parking bumpers</t>
  </si>
  <si>
    <t>Corrugated galvanized guardrail</t>
  </si>
  <si>
    <t>Parking line striping</t>
  </si>
  <si>
    <t>* Miscellaneous site slab area *</t>
  </si>
  <si>
    <t>* Patio area *</t>
  </si>
  <si>
    <t>Sqyd</t>
  </si>
  <si>
    <t>* Concrete paving *</t>
  </si>
  <si>
    <t>* Concrete pavement area *</t>
  </si>
  <si>
    <t>**Concrete paving area**</t>
  </si>
  <si>
    <t>Rebar @ slab</t>
  </si>
  <si>
    <t>Edge forms @ slab</t>
  </si>
  <si>
    <t>Protect and cure @ slab</t>
  </si>
  <si>
    <t>Concrete finish @ slab</t>
  </si>
  <si>
    <t>Concrete @ slab</t>
  </si>
  <si>
    <t>4000 psi conc @ paving</t>
  </si>
  <si>
    <t>3000 psi conc @ paving</t>
  </si>
  <si>
    <t>2500 psi conc @ paving</t>
  </si>
  <si>
    <t>#6 x 20' rebar @ paving</t>
  </si>
  <si>
    <t>#5 x 20' rebar @ paving</t>
  </si>
  <si>
    <t>#4 x 20' rebar @ paving</t>
  </si>
  <si>
    <t>#3 x 20' rebar @ paving</t>
  </si>
  <si>
    <t>Patterned concrete</t>
  </si>
  <si>
    <t>4000 psi concrete @ patio</t>
  </si>
  <si>
    <t>3000 psi concrete @ patio</t>
  </si>
  <si>
    <t>2500 psi concrete @ patio</t>
  </si>
  <si>
    <t>#6 x 20' rebar @ patio</t>
  </si>
  <si>
    <t>#5 x 20' rebar @ patio</t>
  </si>
  <si>
    <t>#4 x 20' rebar @ patio</t>
  </si>
  <si>
    <t>#3 x 20' rebar @ patio</t>
  </si>
  <si>
    <t>#2 x 20' rebar @ patio</t>
  </si>
  <si>
    <t>Reinforcing steel @ patio</t>
  </si>
  <si>
    <t>6x6-2.9/2.9 mesh @ patio</t>
  </si>
  <si>
    <t>6x6-2.1/2.1 mesh @ patio</t>
  </si>
  <si>
    <t>6x6-1.4/1.4 mesh @ patio</t>
  </si>
  <si>
    <t>Expansion joint @ patio</t>
  </si>
  <si>
    <t>Patio edge forms</t>
  </si>
  <si>
    <t>Float finish patio</t>
  </si>
  <si>
    <t>Screed finish patio</t>
  </si>
  <si>
    <t>Washed finish patio</t>
  </si>
  <si>
    <t>Broom finish patio</t>
  </si>
  <si>
    <t>Trowel finish patio</t>
  </si>
  <si>
    <t>Road gravel fill @ patio</t>
  </si>
  <si>
    <t>Sand fill @ patio</t>
  </si>
  <si>
    <t>Washed gravel fill @ patio</t>
  </si>
  <si>
    <t>Mach excav thick slab @ patio</t>
  </si>
  <si>
    <t>Hand excav thick slab @ patio</t>
  </si>
  <si>
    <t>Machine fine grade patio</t>
  </si>
  <si>
    <t>Hand fine grade patio</t>
  </si>
  <si>
    <t>Sub base @ patio</t>
  </si>
  <si>
    <t>Protect and cure @ patio</t>
  </si>
  <si>
    <t>Concrete finish @ patio</t>
  </si>
  <si>
    <t>Mesh @ patio</t>
  </si>
  <si>
    <t>Edge forms @ patio</t>
  </si>
  <si>
    <t>Fine grade @ patio</t>
  </si>
  <si>
    <t>Concrete @ patio</t>
  </si>
  <si>
    <t>#2 x 20' rebar @ paving</t>
  </si>
  <si>
    <t>Reinforcing steel @ paving</t>
  </si>
  <si>
    <t>6x6-2.9/2.9 mesh @ paving</t>
  </si>
  <si>
    <t>6x6-2.1/2.1 mesh @ paving</t>
  </si>
  <si>
    <t>6x6-1.4/1.4 mesh @ paving</t>
  </si>
  <si>
    <t>Expansion joint @ paving</t>
  </si>
  <si>
    <t>Concrete paving edge forms</t>
  </si>
  <si>
    <t>Float finish paving</t>
  </si>
  <si>
    <t>Screed finish paving</t>
  </si>
  <si>
    <t>Washed finish paving</t>
  </si>
  <si>
    <t>Broom finish paving</t>
  </si>
  <si>
    <t>Trowel finish paving</t>
  </si>
  <si>
    <t>Mesh @ concrete paving</t>
  </si>
  <si>
    <t>Rebar for concrete paving</t>
  </si>
  <si>
    <t>4x4-2.9/2.9 mesh</t>
  </si>
  <si>
    <t>4x4-4/4 mesh</t>
  </si>
  <si>
    <t>Edge forms @ concrete paving</t>
  </si>
  <si>
    <t>Add for screeds-concrete paving</t>
  </si>
  <si>
    <t>Fine grade for concrete paving</t>
  </si>
  <si>
    <t>Protect and cure vertical concrete paving surface</t>
  </si>
  <si>
    <t>Protect and cure horizontal concrete paving surface</t>
  </si>
  <si>
    <t>Concrete paving finish</t>
  </si>
  <si>
    <t>Concrete @ paving</t>
  </si>
  <si>
    <t>**Concrete paving**</t>
  </si>
  <si>
    <t>* Asphalt pavement area *</t>
  </si>
  <si>
    <t>**Asphalt paving area**</t>
  </si>
  <si>
    <t>Gravel paving</t>
  </si>
  <si>
    <t>Asphalt topping</t>
  </si>
  <si>
    <t>Asphalt paving</t>
  </si>
  <si>
    <t>Asphalt wearing course</t>
  </si>
  <si>
    <t>4" asphalt wearing course</t>
  </si>
  <si>
    <t>3½" asphalt wearing course</t>
  </si>
  <si>
    <t>3" asphalt wearing course</t>
  </si>
  <si>
    <t>2½" asphalt wearing course</t>
  </si>
  <si>
    <t>2" asphalt wearing course</t>
  </si>
  <si>
    <t>1½" asphalt wearing course</t>
  </si>
  <si>
    <t>1" asphalt wearing course</t>
  </si>
  <si>
    <t>½" asphalt wearing course</t>
  </si>
  <si>
    <t>Sub base @ slab</t>
  </si>
  <si>
    <t>Road gravel fill @ paving</t>
  </si>
  <si>
    <t>Sand fill @ paving</t>
  </si>
  <si>
    <t>Washed gravel fill @ paving</t>
  </si>
  <si>
    <t>Sub base fill @ concrete paving</t>
  </si>
  <si>
    <t>Bank gravel sub base</t>
  </si>
  <si>
    <t>Sand sub base</t>
  </si>
  <si>
    <t>Limestone sub base</t>
  </si>
  <si>
    <t>Washed gravel sub base</t>
  </si>
  <si>
    <t>Macadam base</t>
  </si>
  <si>
    <t>8" macadam base</t>
  </si>
  <si>
    <t>6" macadam base</t>
  </si>
  <si>
    <t>4" macadam base</t>
  </si>
  <si>
    <t>Compacted limestone base course</t>
  </si>
  <si>
    <t>12" compacted limestone</t>
  </si>
  <si>
    <t>10" compacted limestone</t>
  </si>
  <si>
    <t>9" compacted limestone</t>
  </si>
  <si>
    <t>8" compacted limestone</t>
  </si>
  <si>
    <t>6" compacted limestone</t>
  </si>
  <si>
    <t>4" compacted limestone</t>
  </si>
  <si>
    <t>3" compacted limestone</t>
  </si>
  <si>
    <t>Compacted local gravel</t>
  </si>
  <si>
    <t>12" compacted local gravel</t>
  </si>
  <si>
    <t>10" compacted local gravel</t>
  </si>
  <si>
    <t>9" compacted local gravel</t>
  </si>
  <si>
    <t>8" compacted local gravel</t>
  </si>
  <si>
    <t>6" compacted local gravel</t>
  </si>
  <si>
    <t>4" compacted local gravel</t>
  </si>
  <si>
    <t>Soil cement treatment</t>
  </si>
  <si>
    <t>Soil cement base</t>
  </si>
  <si>
    <t>12" soil cement base</t>
  </si>
  <si>
    <t>10" soil cement base</t>
  </si>
  <si>
    <t>8" soil cement base</t>
  </si>
  <si>
    <t>6" soil cement base</t>
  </si>
  <si>
    <t>4" soil cement base</t>
  </si>
  <si>
    <t>Hot mix base</t>
  </si>
  <si>
    <t>8" hot mix base</t>
  </si>
  <si>
    <t>7" hot mix base</t>
  </si>
  <si>
    <t>6" hot mix base</t>
  </si>
  <si>
    <t>5" hot mix base</t>
  </si>
  <si>
    <t>4" hot mix base</t>
  </si>
  <si>
    <t>3" hot mix base</t>
  </si>
  <si>
    <t>2" hot mix base</t>
  </si>
  <si>
    <t>1" hot mix base</t>
  </si>
  <si>
    <t>* Paving area *</t>
  </si>
  <si>
    <t>** Total paving area **</t>
  </si>
  <si>
    <t>* Site grating area *</t>
  </si>
  <si>
    <t>* Drainage pipe length *</t>
  </si>
  <si>
    <t>**Length of site drainage**</t>
  </si>
  <si>
    <t xml:space="preserve">  Mix B, pump</t>
  </si>
  <si>
    <t xml:space="preserve">  Mix A, pump</t>
  </si>
  <si>
    <t xml:space="preserve">  5000 psi, pump</t>
  </si>
  <si>
    <t xml:space="preserve">  4000 psi, pump</t>
  </si>
  <si>
    <t xml:space="preserve">  3750 psi, pump</t>
  </si>
  <si>
    <t xml:space="preserve">  3500 psi, pump</t>
  </si>
  <si>
    <t xml:space="preserve">  2500 psi, pump</t>
  </si>
  <si>
    <t xml:space="preserve">  3000 psi, pump</t>
  </si>
  <si>
    <t xml:space="preserve">  Mix B, carts</t>
  </si>
  <si>
    <t xml:space="preserve">  Mix A, carts</t>
  </si>
  <si>
    <t xml:space="preserve">  5000 psi, carts</t>
  </si>
  <si>
    <t xml:space="preserve">  4000 psi, carts</t>
  </si>
  <si>
    <t xml:space="preserve">  3750 psi, carts</t>
  </si>
  <si>
    <t xml:space="preserve">  3500 psi, carts</t>
  </si>
  <si>
    <t xml:space="preserve">  2500 psi, carts</t>
  </si>
  <si>
    <t xml:space="preserve">  3000 psi, carts</t>
  </si>
  <si>
    <t xml:space="preserve">  Mix B, crane</t>
  </si>
  <si>
    <t xml:space="preserve">  Mix A, crane</t>
  </si>
  <si>
    <t xml:space="preserve">  5000 psi, crane</t>
  </si>
  <si>
    <t xml:space="preserve">  4000 psi, crane</t>
  </si>
  <si>
    <t xml:space="preserve">  3750 psi, crane</t>
  </si>
  <si>
    <t xml:space="preserve">  3500 psi, crane</t>
  </si>
  <si>
    <t xml:space="preserve">  2500 psi, crane</t>
  </si>
  <si>
    <t xml:space="preserve">  3000 psi, crane</t>
  </si>
  <si>
    <t xml:space="preserve">  3750 psi, pour direct</t>
  </si>
  <si>
    <t xml:space="preserve">  2500 psi, pour direct</t>
  </si>
  <si>
    <t>** Headwall concrete **</t>
  </si>
  <si>
    <t>** Headwall footing **</t>
  </si>
  <si>
    <t xml:space="preserve"> 27" SDR 35 push joint pipe</t>
  </si>
  <si>
    <t xml:space="preserve"> 24" SDR 35 push joint pipe</t>
  </si>
  <si>
    <t xml:space="preserve"> 21" SDR 35 push joint pipe</t>
  </si>
  <si>
    <t xml:space="preserve"> 18" SDR 35 push joint pipe</t>
  </si>
  <si>
    <t xml:space="preserve"> 15" SDR 35 push joint pipe</t>
  </si>
  <si>
    <t xml:space="preserve"> 12" SDR 35 push joint pipe</t>
  </si>
  <si>
    <t xml:space="preserve"> 10" SDR 35 push joint pipe</t>
  </si>
  <si>
    <t xml:space="preserve">  8" SDR 35 push joint pipe</t>
  </si>
  <si>
    <t xml:space="preserve">  6" SDR 35 push joint pipe</t>
  </si>
  <si>
    <t xml:space="preserve">  4" SDR 35 push joint pipe</t>
  </si>
  <si>
    <t>Gravity PVC pipe</t>
  </si>
  <si>
    <t xml:space="preserve"> 20" class 235 push joint pipe</t>
  </si>
  <si>
    <t xml:space="preserve"> 18" class 235 push joint pipe</t>
  </si>
  <si>
    <t xml:space="preserve"> 16" class 235 push joint pipe</t>
  </si>
  <si>
    <t xml:space="preserve"> 14" class 235 push joint pipe</t>
  </si>
  <si>
    <t xml:space="preserve"> 24" class 165 push joint pipe</t>
  </si>
  <si>
    <t xml:space="preserve"> 20" class 165 push joint pipe</t>
  </si>
  <si>
    <t xml:space="preserve"> 18" class 165 push joint pipe</t>
  </si>
  <si>
    <t xml:space="preserve"> 16" class 165 push joint pipe</t>
  </si>
  <si>
    <t xml:space="preserve"> 14" class 165 push joint pipe</t>
  </si>
  <si>
    <t xml:space="preserve"> 12" class 200 push joint pipe</t>
  </si>
  <si>
    <t xml:space="preserve"> 10" class 200 push joint pipe</t>
  </si>
  <si>
    <t xml:space="preserve">  8" class 200 push joint pipe</t>
  </si>
  <si>
    <t xml:space="preserve">  6" class 200 push joint pipe</t>
  </si>
  <si>
    <t xml:space="preserve">  4" class 200 push joint pipe</t>
  </si>
  <si>
    <t xml:space="preserve"> 12" class 150 push joint pipe</t>
  </si>
  <si>
    <t xml:space="preserve"> 10" class 150 push joint pipe</t>
  </si>
  <si>
    <t xml:space="preserve">  8" class 150 push joint pipe</t>
  </si>
  <si>
    <t xml:space="preserve">  6" class 150 push joint pipe</t>
  </si>
  <si>
    <t xml:space="preserve">  4" class 150 push joint pipe</t>
  </si>
  <si>
    <t xml:space="preserve"> 12" class 100 push joint pipe</t>
  </si>
  <si>
    <t xml:space="preserve"> 10" class 100 push joint pipe</t>
  </si>
  <si>
    <t xml:space="preserve">  8" class 100 push joint pipe</t>
  </si>
  <si>
    <t xml:space="preserve">  6" class 100 push joint pipe</t>
  </si>
  <si>
    <t xml:space="preserve">  4" class 100 push joint pipe</t>
  </si>
  <si>
    <t>PVC spec C900 pipe</t>
  </si>
  <si>
    <t xml:space="preserve"> 24" N-12 smooth pe pipe</t>
  </si>
  <si>
    <t xml:space="preserve"> 18" N-12 smooth pe pipe</t>
  </si>
  <si>
    <t xml:space="preserve"> 15" N-12 smooth pe pipe</t>
  </si>
  <si>
    <t xml:space="preserve"> 12" N-12 smooth pe pipe</t>
  </si>
  <si>
    <t xml:space="preserve"> 24" corrugated pe pipe</t>
  </si>
  <si>
    <t xml:space="preserve"> 18" corrugated pe pipe</t>
  </si>
  <si>
    <t xml:space="preserve"> 15" corrugated pe pipe</t>
  </si>
  <si>
    <t xml:space="preserve"> 12" corrugated pe pipe</t>
  </si>
  <si>
    <t xml:space="preserve"> 10" corrugated pe pipe</t>
  </si>
  <si>
    <t xml:space="preserve">  8" corrugated pe pipe</t>
  </si>
  <si>
    <t xml:space="preserve">  6" corrugated pe pipe</t>
  </si>
  <si>
    <t xml:space="preserve">  4" corrugated pe pipe</t>
  </si>
  <si>
    <t xml:space="preserve">  3" corrugated pe pipe</t>
  </si>
  <si>
    <t>Corrugated polyethylene pipe</t>
  </si>
  <si>
    <t xml:space="preserve"> 54" 12 ga aluminum pipe</t>
  </si>
  <si>
    <t xml:space="preserve"> 48" 12 ga aluminum pipe</t>
  </si>
  <si>
    <t xml:space="preserve"> 42" 12 ga aluminum pipe</t>
  </si>
  <si>
    <t xml:space="preserve"> 36" 12 ga aluminum pipe</t>
  </si>
  <si>
    <t xml:space="preserve"> 30" 12 ga aluminum pipe</t>
  </si>
  <si>
    <t xml:space="preserve"> 24" 12 ga aluminum pipe</t>
  </si>
  <si>
    <t xml:space="preserve"> 36" 14 ga aluminum pipe</t>
  </si>
  <si>
    <t xml:space="preserve"> 30" 14 ga aluminum pipe</t>
  </si>
  <si>
    <t xml:space="preserve"> 24" 14 ga aluminum pipe</t>
  </si>
  <si>
    <t xml:space="preserve"> 21" 14 ga aluminum pipe</t>
  </si>
  <si>
    <t xml:space="preserve"> 18" 14 ga aluminum pipe</t>
  </si>
  <si>
    <t xml:space="preserve"> 15" 14 ga aluminum pipe</t>
  </si>
  <si>
    <t xml:space="preserve"> 12" 14 ga aluminum pipe</t>
  </si>
  <si>
    <t xml:space="preserve"> 24" 16 ga aluminum pipe</t>
  </si>
  <si>
    <t xml:space="preserve"> 21" 16 ga aluminum pipe</t>
  </si>
  <si>
    <t xml:space="preserve"> 18" 16 ga aluminum pipe</t>
  </si>
  <si>
    <t xml:space="preserve"> 15" 16 ga aluminum pipe</t>
  </si>
  <si>
    <t xml:space="preserve"> 12" 16 ga aluminum pipe</t>
  </si>
  <si>
    <t xml:space="preserve"> 10" 16 ga aluminum pipe</t>
  </si>
  <si>
    <t xml:space="preserve">  8" 16 ga aluminum pipe</t>
  </si>
  <si>
    <t xml:space="preserve">  6" 16 ga aluminum pipe</t>
  </si>
  <si>
    <t xml:space="preserve"> 18" 18 ga aluminum pipe</t>
  </si>
  <si>
    <t xml:space="preserve"> 15" 18 ga aluminum pipe</t>
  </si>
  <si>
    <t xml:space="preserve"> 12" 18 ga aluminum pipe</t>
  </si>
  <si>
    <t xml:space="preserve"> 10" 18 ga aluminum pipe</t>
  </si>
  <si>
    <t xml:space="preserve">  8" 18 ga aluminum pipe</t>
  </si>
  <si>
    <t xml:space="preserve">  6" 18 ga aluminum pipe</t>
  </si>
  <si>
    <t xml:space="preserve"> 72" 12 ga aluminized pipe</t>
  </si>
  <si>
    <t xml:space="preserve"> 66" 12 ga aluminized pipe</t>
  </si>
  <si>
    <t xml:space="preserve"> 60" 12 ga aluminized pipe</t>
  </si>
  <si>
    <t xml:space="preserve"> 54" 12 ga aluminized pipe</t>
  </si>
  <si>
    <t xml:space="preserve"> 48" 12 ga aluminized pipe</t>
  </si>
  <si>
    <t xml:space="preserve"> 42" 12 ga aluminized pipe</t>
  </si>
  <si>
    <t xml:space="preserve"> 36" 12 ga aluminized pipe</t>
  </si>
  <si>
    <t xml:space="preserve"> 30" 12 ga aluminized pipe</t>
  </si>
  <si>
    <t xml:space="preserve"> 24" 12 ga aluminized pipe</t>
  </si>
  <si>
    <t xml:space="preserve"> 60" 14 ga aluminized pipe</t>
  </si>
  <si>
    <t xml:space="preserve"> 54" 14 ga aluminized pipe</t>
  </si>
  <si>
    <t xml:space="preserve"> 48" 14 ga aluminized pipe</t>
  </si>
  <si>
    <t xml:space="preserve"> 42" 14 ga aluminized pipe</t>
  </si>
  <si>
    <t xml:space="preserve"> 36" 14 ga aluminized pipe</t>
  </si>
  <si>
    <t xml:space="preserve"> 30" 14 ga aluminized pipe</t>
  </si>
  <si>
    <t xml:space="preserve"> 24" 14 ga aluminized pipe</t>
  </si>
  <si>
    <t xml:space="preserve"> 21" 14 ga aluminized pipe</t>
  </si>
  <si>
    <t xml:space="preserve"> 18" 14 ga aluminized pipe</t>
  </si>
  <si>
    <t xml:space="preserve"> 15" 14 ga aluminized pipe</t>
  </si>
  <si>
    <t xml:space="preserve"> 12" 14 ga aluminized pipe</t>
  </si>
  <si>
    <t xml:space="preserve"> 48" 16 ga aluminized pipe</t>
  </si>
  <si>
    <t xml:space="preserve"> 42" 16 ga aluminized pipe</t>
  </si>
  <si>
    <t xml:space="preserve"> 36" 16 ga aluminized pipe</t>
  </si>
  <si>
    <t xml:space="preserve"> 30" 16 ga aluminized pipe</t>
  </si>
  <si>
    <t xml:space="preserve"> 24" 16 ga aluminized pipe</t>
  </si>
  <si>
    <t xml:space="preserve"> 21" 16 ga aluminized pipe</t>
  </si>
  <si>
    <t xml:space="preserve"> 18" 16 ga aluminized pipe</t>
  </si>
  <si>
    <t xml:space="preserve"> 15" 16 ga aluminized pipe</t>
  </si>
  <si>
    <t xml:space="preserve"> 12" 16 ga aluminized pipe</t>
  </si>
  <si>
    <t xml:space="preserve"> 10" 16 ga aluminized pipe</t>
  </si>
  <si>
    <t xml:space="preserve">  8" 16 ga aluminized pipe</t>
  </si>
  <si>
    <t xml:space="preserve">  6" 16 ga aluminized pipe</t>
  </si>
  <si>
    <t xml:space="preserve"> 18" 18 ga aluminized pipe</t>
  </si>
  <si>
    <t xml:space="preserve"> 15" 18 ga aluminized pipe</t>
  </si>
  <si>
    <t xml:space="preserve"> 12" 18 ga aluminized pipe</t>
  </si>
  <si>
    <t xml:space="preserve"> 10" 18 ga aluminized pipe</t>
  </si>
  <si>
    <t xml:space="preserve">  8" 18 ga aluminized pipe</t>
  </si>
  <si>
    <t xml:space="preserve">  6" 18 ga aluminized pipe</t>
  </si>
  <si>
    <t xml:space="preserve"> 72" 12 ga coated steel pipe</t>
  </si>
  <si>
    <t xml:space="preserve"> 66" 12 ga coated steel pipe</t>
  </si>
  <si>
    <t xml:space="preserve"> 60" 12 ga coated steel pipe</t>
  </si>
  <si>
    <t xml:space="preserve"> 54" 12 ga coated steel pipe</t>
  </si>
  <si>
    <t xml:space="preserve"> 48" 12 ga coated steel pipe</t>
  </si>
  <si>
    <t xml:space="preserve"> 42" 12 ga coated steel pipe</t>
  </si>
  <si>
    <t xml:space="preserve"> 36" 12 ga coated steel pipe</t>
  </si>
  <si>
    <t xml:space="preserve"> 30" 12 ga coated steel pipe</t>
  </si>
  <si>
    <t xml:space="preserve"> 24" 12 ga coated steel pipe</t>
  </si>
  <si>
    <t xml:space="preserve"> 60" 14 ga coated steel pipe</t>
  </si>
  <si>
    <t xml:space="preserve"> 54" 14 ga coated steel pipe</t>
  </si>
  <si>
    <t xml:space="preserve"> 48" 14 ga coated steel pipe</t>
  </si>
  <si>
    <t xml:space="preserve"> 42" 14 ga coated steel pipe</t>
  </si>
  <si>
    <t xml:space="preserve"> 36" 14 ga coated steel pipe</t>
  </si>
  <si>
    <t xml:space="preserve"> 30" 14 ga coated steel pipe</t>
  </si>
  <si>
    <t xml:space="preserve"> 24" 14 ga coated steel pipe</t>
  </si>
  <si>
    <t xml:space="preserve"> 21" 14 ga coated steel pipe</t>
  </si>
  <si>
    <t xml:space="preserve"> 18" 14 ga coated steel pipe</t>
  </si>
  <si>
    <t xml:space="preserve"> 15" 14 ga coated steel pipe</t>
  </si>
  <si>
    <t xml:space="preserve"> 12" 14 ga coated steel pipe</t>
  </si>
  <si>
    <t xml:space="preserve"> 48" 16 ga coated steel pipe</t>
  </si>
  <si>
    <t xml:space="preserve"> 42" 16 ga coated steel pipe</t>
  </si>
  <si>
    <t xml:space="preserve"> 36" 16 ga coated steel pipe</t>
  </si>
  <si>
    <t xml:space="preserve"> 30" 16 ga coated steel pipe</t>
  </si>
  <si>
    <t xml:space="preserve"> 24" 16 ga coated steel pipe</t>
  </si>
  <si>
    <t xml:space="preserve"> 21" 16 ga coated steel pipe</t>
  </si>
  <si>
    <t xml:space="preserve"> 18" 16 ga coated steel pipe</t>
  </si>
  <si>
    <t xml:space="preserve"> 15" 16 ga coated steel pipe</t>
  </si>
  <si>
    <t xml:space="preserve"> 12" 16 ga coated steel pipe</t>
  </si>
  <si>
    <t xml:space="preserve"> 10" 16 ga coated steel pipe</t>
  </si>
  <si>
    <t xml:space="preserve">  8" 16 ga coated steel pipe</t>
  </si>
  <si>
    <t xml:space="preserve">  6" 16 ga coated steel pipe</t>
  </si>
  <si>
    <t xml:space="preserve"> 18" 18 ga coated steel pipe</t>
  </si>
  <si>
    <t xml:space="preserve"> 15" 18 ga coated steel pipe</t>
  </si>
  <si>
    <t xml:space="preserve"> 12" 18 ga coated steel pipe</t>
  </si>
  <si>
    <t xml:space="preserve"> 10" 18 ga coated steel pipe</t>
  </si>
  <si>
    <t xml:space="preserve">  8" 18 ga coated steel pipe</t>
  </si>
  <si>
    <t xml:space="preserve">  6" 18 ga coated steel pipe</t>
  </si>
  <si>
    <t xml:space="preserve"> 72" 12 ga galv. steel pipe</t>
  </si>
  <si>
    <t xml:space="preserve"> 66" 12 ga galv. steel pipe</t>
  </si>
  <si>
    <t xml:space="preserve"> 60" 12 ga galv. steel pipe</t>
  </si>
  <si>
    <t xml:space="preserve"> 54" 12 ga galv. steel pipe</t>
  </si>
  <si>
    <t xml:space="preserve"> 48" 12 ga galv. steel pipe</t>
  </si>
  <si>
    <t xml:space="preserve"> 42" 12 ga galv. steel pipe</t>
  </si>
  <si>
    <t xml:space="preserve"> 36" 12 ga galv. steel pipe</t>
  </si>
  <si>
    <t xml:space="preserve"> 30" 12 ga galv. steel pipe</t>
  </si>
  <si>
    <t xml:space="preserve"> 24" 12 ga galv. steel pipe</t>
  </si>
  <si>
    <t xml:space="preserve"> 60" 14 ga galv. steel pipe</t>
  </si>
  <si>
    <t xml:space="preserve"> 54" 14 ga galv. steel pipe</t>
  </si>
  <si>
    <t xml:space="preserve"> 48" 14 ga galv. steel pipe</t>
  </si>
  <si>
    <t xml:space="preserve"> 42" 14 ga galv. steel pipe</t>
  </si>
  <si>
    <t xml:space="preserve"> 36" 14 ga galv. steel pipe</t>
  </si>
  <si>
    <t xml:space="preserve"> 30" 14 ga galv. steel pipe</t>
  </si>
  <si>
    <t xml:space="preserve"> 24" 14 ga galv. steel pipe</t>
  </si>
  <si>
    <t xml:space="preserve"> 21" 14 ga galv. steel pipe</t>
  </si>
  <si>
    <t xml:space="preserve"> 18" 14 ga galv. steel pipe</t>
  </si>
  <si>
    <t xml:space="preserve"> 15" 14 ga galv. steel pipe</t>
  </si>
  <si>
    <t xml:space="preserve"> 12" 14 ga galv. steel pipe</t>
  </si>
  <si>
    <t xml:space="preserve"> 48" 16 ga galv. steel pipe</t>
  </si>
  <si>
    <t xml:space="preserve"> 42" 16 ga galv. steel pipe</t>
  </si>
  <si>
    <t xml:space="preserve"> 36" 16 ga galv. steel pipe</t>
  </si>
  <si>
    <t xml:space="preserve"> 30" 16 ga galv. steel pipe</t>
  </si>
  <si>
    <t xml:space="preserve"> 24" 16 ga galv. steel pipe</t>
  </si>
  <si>
    <t xml:space="preserve"> 21" 16 ga galv. steel pipe</t>
  </si>
  <si>
    <t xml:space="preserve"> 18" 16 ga galv. steel pipe</t>
  </si>
  <si>
    <t xml:space="preserve"> 15" 16 ga galv. steel pipe</t>
  </si>
  <si>
    <t xml:space="preserve"> 12" 16 ga galv. steel pipe</t>
  </si>
  <si>
    <t xml:space="preserve"> 10" 16 ga galv. steel pipe</t>
  </si>
  <si>
    <t xml:space="preserve">  8" 16 ga galv. steel pipe</t>
  </si>
  <si>
    <t xml:space="preserve">  6" 16 ga galv. steel pipe</t>
  </si>
  <si>
    <t xml:space="preserve"> 18" 18 ga galv. steel pipe</t>
  </si>
  <si>
    <t xml:space="preserve"> 15" 18 ga galv. steel pipe</t>
  </si>
  <si>
    <t xml:space="preserve"> 12" 18 ga galv. steel pipe</t>
  </si>
  <si>
    <t xml:space="preserve"> 10" 18 ga galv. steel pipe</t>
  </si>
  <si>
    <t xml:space="preserve">  8" 18 ga galv. steel pipe</t>
  </si>
  <si>
    <t xml:space="preserve">  6" 18 ga galv. steel pipe</t>
  </si>
  <si>
    <t>Corrugated metal pipe</t>
  </si>
  <si>
    <t xml:space="preserve">  Mix B with cart</t>
  </si>
  <si>
    <t xml:space="preserve">  Mix A with cart</t>
  </si>
  <si>
    <t xml:space="preserve">  5000 psi with cart</t>
  </si>
  <si>
    <t xml:space="preserve">  4000 psi with cart</t>
  </si>
  <si>
    <t xml:space="preserve">  3500 psi with cart</t>
  </si>
  <si>
    <t xml:space="preserve">  2500 psi with cart</t>
  </si>
  <si>
    <t xml:space="preserve">  3000 psi with cart</t>
  </si>
  <si>
    <t>** Catchbasin concrete **</t>
  </si>
  <si>
    <t>Catchbasin rebar</t>
  </si>
  <si>
    <t>Catchbasin forms</t>
  </si>
  <si>
    <t>Backfill basin w/CLSM (flowable fill)</t>
  </si>
  <si>
    <t>Backfill basin w/crushed stone</t>
  </si>
  <si>
    <t>Backfill catchbasin w/gravel</t>
  </si>
  <si>
    <t>Backfill catchbasin with sand</t>
  </si>
  <si>
    <t>Machine backfill catchbasin</t>
  </si>
  <si>
    <t>Hand backfill catchbasin</t>
  </si>
  <si>
    <t>Machine excavate catchbasin</t>
  </si>
  <si>
    <t>Hand excavate catchbasin</t>
  </si>
  <si>
    <t>Auto grating</t>
  </si>
  <si>
    <t>Pedestrian grating</t>
  </si>
  <si>
    <t>Concrete headwall</t>
  </si>
  <si>
    <t>VLF</t>
  </si>
  <si>
    <t>Cast in place concrete inlet</t>
  </si>
  <si>
    <t>72" corrugated mtl pipe</t>
  </si>
  <si>
    <t>60" corrugated mtl pipe</t>
  </si>
  <si>
    <t>48" corrugated mtl pipe</t>
  </si>
  <si>
    <t>36" corrugated mtl pipe</t>
  </si>
  <si>
    <t>30" corrugated mtl pipe</t>
  </si>
  <si>
    <t>24" corrugated mtl pipe</t>
  </si>
  <si>
    <t>18" corrugated mtl pipe</t>
  </si>
  <si>
    <t>15" corrugated mtl pipe</t>
  </si>
  <si>
    <t>12" corrugated mtl pipe</t>
  </si>
  <si>
    <t>10" corrugated mtl pipe</t>
  </si>
  <si>
    <t>8" corrugated mtl pipe</t>
  </si>
  <si>
    <t>72" corrugated mtl coated pipe</t>
  </si>
  <si>
    <t>60" corrugated mtl coated pipe</t>
  </si>
  <si>
    <t>48" corrugated mtl coated pipe</t>
  </si>
  <si>
    <t>36" corrugated mtl coated pipe</t>
  </si>
  <si>
    <t>30" corrugated mtl coated pipe</t>
  </si>
  <si>
    <t>24" corrugated mtl coated pipe</t>
  </si>
  <si>
    <t>18" corrugated mtl coated pipe</t>
  </si>
  <si>
    <t>15" corrugated mtl coated pipe</t>
  </si>
  <si>
    <t>12" corrugated mtl coated pipe</t>
  </si>
  <si>
    <t>10" corrugated mtl coated pipe</t>
  </si>
  <si>
    <t>8" corrugated mtl coated pipe</t>
  </si>
  <si>
    <t>Underslab drainage system</t>
  </si>
  <si>
    <t>Perimeter drainage system</t>
  </si>
  <si>
    <t>Excess ductbank soil</t>
  </si>
  <si>
    <t>Backfill ductbank w/CLSM (flowable fill)</t>
  </si>
  <si>
    <t xml:space="preserve">Backfill ductbank w/crushed stone </t>
  </si>
  <si>
    <t>Backfill ductbank w/gravel</t>
  </si>
  <si>
    <t>Backfill ductbank w/sand</t>
  </si>
  <si>
    <t>Hand backfill ductbank with machine feed assist</t>
  </si>
  <si>
    <t>Hand backfill ductbank</t>
  </si>
  <si>
    <t>Mach backfill ductbank</t>
  </si>
  <si>
    <t>Red dye on ductbank concrete</t>
  </si>
  <si>
    <t>Cuyd</t>
  </si>
  <si>
    <t>Red dye in ductbank concrete</t>
  </si>
  <si>
    <t>Finish ductbank top surface</t>
  </si>
  <si>
    <t>Fine grade ductbank bottom</t>
  </si>
  <si>
    <t>Hand excavate ductbank</t>
  </si>
  <si>
    <t>Machine excavate ductbank</t>
  </si>
  <si>
    <t>Ductbank rebar</t>
  </si>
  <si>
    <t>Ductbank edge forms</t>
  </si>
  <si>
    <t>Ductbank concrete Mix B psi w/pump</t>
  </si>
  <si>
    <t>Ductbank concrete Mix B psi w/cart</t>
  </si>
  <si>
    <t>Ductbank concrete Mix B psi w/crane</t>
  </si>
  <si>
    <t>Ductbank concrete Mix B psi direct</t>
  </si>
  <si>
    <t>Ductbank concrete Mix A psi w/pump</t>
  </si>
  <si>
    <t>Ductbank concrete Mix A psi w/carts</t>
  </si>
  <si>
    <t>Ductbank concrete Mix A psi w/crane</t>
  </si>
  <si>
    <t>Ductbank concrete Mix A psi direct</t>
  </si>
  <si>
    <t>Ductbank concrete 6000 psi w/pump</t>
  </si>
  <si>
    <t>Ductbank concrete 6000 psi w/cart</t>
  </si>
  <si>
    <t>Ductbank concrete 6000 psi w/crane</t>
  </si>
  <si>
    <t>Ductbank concrete 6000 psi direct</t>
  </si>
  <si>
    <t>Ductbank concrete 5000 psi w/pump</t>
  </si>
  <si>
    <t>Ductbank concrete 5000 psi w/carts</t>
  </si>
  <si>
    <t>Ductbank concrete 5000 psi w/crane</t>
  </si>
  <si>
    <t>Ductbank concrete 5000 psi direct</t>
  </si>
  <si>
    <t>Ductbank concrete 4000 psi w/pump</t>
  </si>
  <si>
    <t>Ductbank concrete 4000 psi w/cart</t>
  </si>
  <si>
    <t>Ductbank concrete 4000 psi w/crane</t>
  </si>
  <si>
    <t>Ductbank concrete 4000 psi direct</t>
  </si>
  <si>
    <t>Ductbank concrete 3500 psi w/pump</t>
  </si>
  <si>
    <t>Ductbank concrete 3500 psi w/carts</t>
  </si>
  <si>
    <t>Ductbank concrete 3500 psi w/crane</t>
  </si>
  <si>
    <t>Ductbank concrete 3500 psi direct</t>
  </si>
  <si>
    <t>Ductbank concrete 3000 psi w/pump</t>
  </si>
  <si>
    <t>Ductbank concrete 3000 psi w/cart</t>
  </si>
  <si>
    <t>Ductbank concrete 3000 psi w/crane</t>
  </si>
  <si>
    <t>Ductbank concrete 3000 psi direct</t>
  </si>
  <si>
    <t>6' mastarm</t>
  </si>
  <si>
    <t>4' mastarm</t>
  </si>
  <si>
    <t>2' mastarm</t>
  </si>
  <si>
    <t>Mastarms for fixture</t>
  </si>
  <si>
    <t>50' class 3 wood pole</t>
  </si>
  <si>
    <t>45' class 3 wood pole</t>
  </si>
  <si>
    <t>40' class 3 wood pole</t>
  </si>
  <si>
    <t>35' class 3 wood pole</t>
  </si>
  <si>
    <t>30' class 3 wood pole</t>
  </si>
  <si>
    <t>25' class 3 wood pole</t>
  </si>
  <si>
    <t>20' class 3 wood pole</t>
  </si>
  <si>
    <t>15' class 3 wood pole</t>
  </si>
  <si>
    <t>25' hollow wood pole</t>
  </si>
  <si>
    <t>20' hollow wood pole</t>
  </si>
  <si>
    <t>15' hollow wood pole</t>
  </si>
  <si>
    <t>40' concrete pole</t>
  </si>
  <si>
    <t>35' concrete pole</t>
  </si>
  <si>
    <t>30' concrete pole</t>
  </si>
  <si>
    <t>25' concrete pole</t>
  </si>
  <si>
    <t>20' concrete pole</t>
  </si>
  <si>
    <t>15' concrete pole</t>
  </si>
  <si>
    <t>50' aluminum pole</t>
  </si>
  <si>
    <t>45' aluminum pole</t>
  </si>
  <si>
    <t>40' aluminum pole</t>
  </si>
  <si>
    <t>35' aluminum pole</t>
  </si>
  <si>
    <t>30' aluminum pole</t>
  </si>
  <si>
    <t>25' aluminum pole</t>
  </si>
  <si>
    <t>20' aluminum pole</t>
  </si>
  <si>
    <t>15' aluminum pole</t>
  </si>
  <si>
    <t>50' steel pole</t>
  </si>
  <si>
    <t>45' steel pole</t>
  </si>
  <si>
    <t>40' steel pole</t>
  </si>
  <si>
    <t>35' steel pole</t>
  </si>
  <si>
    <t>30' steel pole</t>
  </si>
  <si>
    <t>25' steel pole</t>
  </si>
  <si>
    <t>20' steel pole</t>
  </si>
  <si>
    <t>15' steel pole</t>
  </si>
  <si>
    <t>Pole for fixture</t>
  </si>
  <si>
    <t>Site light pole 50'</t>
  </si>
  <si>
    <t>Site light pole 45'</t>
  </si>
  <si>
    <t>Site light pole 40'</t>
  </si>
  <si>
    <t>Site light pole 35'</t>
  </si>
  <si>
    <t>Site light pole 30'</t>
  </si>
  <si>
    <t>Site light pole 25'</t>
  </si>
  <si>
    <t>Site light pole 20'</t>
  </si>
  <si>
    <t>Site light pole 15'</t>
  </si>
  <si>
    <t>Site light pole 12'</t>
  </si>
  <si>
    <t>Site light pole 10'</t>
  </si>
  <si>
    <t>Mastarm 4-fixture</t>
  </si>
  <si>
    <t>Mastarm 3-fixture</t>
  </si>
  <si>
    <t>Mastarm 2-fixture</t>
  </si>
  <si>
    <t>Mastarm 1-fixture</t>
  </si>
  <si>
    <t>Site light pole base</t>
  </si>
  <si>
    <t>Site lighting pole base</t>
  </si>
  <si>
    <t xml:space="preserve">  Compacted trench backfill </t>
  </si>
  <si>
    <t xml:space="preserve">  Trench backfill </t>
  </si>
  <si>
    <t xml:space="preserve">  Trencher to 3'</t>
  </si>
  <si>
    <t xml:space="preserve">  Trencher to 5'</t>
  </si>
  <si>
    <t xml:space="preserve">  Trencher to 18"</t>
  </si>
  <si>
    <t xml:space="preserve">  Compacted ductbank backfill</t>
  </si>
  <si>
    <t xml:space="preserve">  3000 psi concrete in ductbank</t>
  </si>
  <si>
    <t xml:space="preserve">  Ductbank backfill</t>
  </si>
  <si>
    <t xml:space="preserve">  Ductbank excavation</t>
  </si>
  <si>
    <t>Duct bank</t>
  </si>
  <si>
    <t>Manhole more than 5' deep</t>
  </si>
  <si>
    <t>Manhole up to 5' deep</t>
  </si>
  <si>
    <t>* Length of sanitary sewer pipe *</t>
  </si>
  <si>
    <t>** Length of site sanitary **</t>
  </si>
  <si>
    <t>27" gravity sewer(SDR 35) pipe</t>
  </si>
  <si>
    <t>24" gravity sewer (SDR 35) pipe</t>
  </si>
  <si>
    <t>21" gravity sewer(SDR 35) pipe</t>
  </si>
  <si>
    <t>18" gravity sewer (SDR 35) pipe</t>
  </si>
  <si>
    <t>15" gravity sewer (SDR 35) pipe</t>
  </si>
  <si>
    <t>12" gravity sewer(SDR 35) pipe</t>
  </si>
  <si>
    <t>10" gravity sewer(SDR 35) pipe</t>
  </si>
  <si>
    <t>8" gravity sewer (SDR 35) pipe</t>
  </si>
  <si>
    <t>6" gravity sewer (SDR 35) pipe</t>
  </si>
  <si>
    <t>4" gravity sewer (SDR 35) pipe</t>
  </si>
  <si>
    <t>36" X heavy vitrified clay pipe</t>
  </si>
  <si>
    <t>30" X heavy vitrified clay pipe</t>
  </si>
  <si>
    <t>24" X heavy vitrified clay pipe</t>
  </si>
  <si>
    <t>21" X heavy vitrified clay pipe</t>
  </si>
  <si>
    <t>18" X heavy vitrified clay pipe</t>
  </si>
  <si>
    <t>15" X heavy vitrified clay pipe</t>
  </si>
  <si>
    <t>12" X heavy vitrified clay pipe</t>
  </si>
  <si>
    <t>10" X heavy vitrified clay pipe</t>
  </si>
  <si>
    <t>8" X heavy vitrified clay pipe</t>
  </si>
  <si>
    <t>6" X heavy vitrified clay pipe</t>
  </si>
  <si>
    <t>4" X heavy vitrified clay pipe</t>
  </si>
  <si>
    <t>108" reinforced concrete pipe</t>
  </si>
  <si>
    <t>96" reinforced concrete pipe</t>
  </si>
  <si>
    <t>84" reinforced concrete pipe</t>
  </si>
  <si>
    <t>72" reinforced concrete pipe</t>
  </si>
  <si>
    <t>60" reinforced concrete pipe</t>
  </si>
  <si>
    <t>54" reinforced concrete pipe</t>
  </si>
  <si>
    <t>48" reinforced concrete pipe</t>
  </si>
  <si>
    <t>42" reinforced concrete pipe</t>
  </si>
  <si>
    <t>36" reinforced concrete pipe</t>
  </si>
  <si>
    <t>33" reinforced concrete pipe</t>
  </si>
  <si>
    <t>30" reinforced concrete pipe</t>
  </si>
  <si>
    <t>27" reinforced concrete pipe</t>
  </si>
  <si>
    <t>24" reinforced concrete pipe</t>
  </si>
  <si>
    <t>21" reinforced concrete pipe</t>
  </si>
  <si>
    <t>18" reinforced concrete pipe</t>
  </si>
  <si>
    <t>15" reinforced concrete pipe</t>
  </si>
  <si>
    <t>12" reinforced concrete pipe</t>
  </si>
  <si>
    <t>24" non-reinforced conc pipe</t>
  </si>
  <si>
    <t>21" non-reinforced conc pipe</t>
  </si>
  <si>
    <t>18" non-reinforced conc pipe</t>
  </si>
  <si>
    <t>15" non-reinforced conc pipe</t>
  </si>
  <si>
    <t>12" non-reinforced conc pipe</t>
  </si>
  <si>
    <t>10" non-reinforced conc pipe</t>
  </si>
  <si>
    <t>8" non-reinforced conc pipe</t>
  </si>
  <si>
    <t>6" non-reinforced conc pipe</t>
  </si>
  <si>
    <t>4" non-reinforced conc pipe</t>
  </si>
  <si>
    <t>15" cast iron X heavy B&amp;S pipe</t>
  </si>
  <si>
    <t>12" cast iron X heavy B&amp;S pipe</t>
  </si>
  <si>
    <t>10" cast iron X heavy B&amp;S pipe</t>
  </si>
  <si>
    <t>8" cast iron X heavy B&amp;S pipe</t>
  </si>
  <si>
    <t>6" cast iron X heavy B&amp;S pipe</t>
  </si>
  <si>
    <t>5" cast iron X heavy B&amp;S pipe</t>
  </si>
  <si>
    <t>4" cast iron X heavy B&amp;S pipe</t>
  </si>
  <si>
    <t>3" cast iron X heavy B&amp;S pipe</t>
  </si>
  <si>
    <t>2" cast iron X heavy B&amp;S pipe</t>
  </si>
  <si>
    <t>15" cast iron serv wt B&amp;S pipe</t>
  </si>
  <si>
    <t>12" cast iron serv wt B&amp;S pipe</t>
  </si>
  <si>
    <t>10" cast iron serv wt B&amp;S pipe</t>
  </si>
  <si>
    <t>8" cast iron serv wt B&amp;S pipe</t>
  </si>
  <si>
    <t>6" cast iron serv wt B&amp;S pipe</t>
  </si>
  <si>
    <t>5" cast iron serv wt B&amp;S pipe</t>
  </si>
  <si>
    <t>4" cast iron serv wt B&amp;S pipe</t>
  </si>
  <si>
    <t>3" cast iron serv wt B&amp;S pipe</t>
  </si>
  <si>
    <t>2" cast iron serv wt B&amp;S pipe</t>
  </si>
  <si>
    <t>27" gravity sewer (SDR 35) pipe</t>
  </si>
  <si>
    <t>21" gravity sewer (SDR 35) pipe</t>
  </si>
  <si>
    <t>12" gravity sewer (SDR 35) pipe</t>
  </si>
  <si>
    <t>10" gravity sewer (SDR 35) pipe</t>
  </si>
  <si>
    <t>* Length of fire mains *</t>
  </si>
  <si>
    <t>* Length of domestic water pipe *</t>
  </si>
  <si>
    <t>*Length of site fire main**</t>
  </si>
  <si>
    <t>*Length of site dom water**</t>
  </si>
  <si>
    <t xml:space="preserve"> Wall type</t>
  </si>
  <si>
    <t xml:space="preserve"> Vertical type</t>
  </si>
  <si>
    <t>Post indicator</t>
  </si>
  <si>
    <t xml:space="preserve">  Depth of bury 7'0"</t>
  </si>
  <si>
    <t xml:space="preserve">  Depth of bury 6'6"</t>
  </si>
  <si>
    <t xml:space="preserve">  Depth of bury 6'0"</t>
  </si>
  <si>
    <t xml:space="preserve">  Depth of bury 5'6"</t>
  </si>
  <si>
    <t xml:space="preserve">  Depth of bury 5'0"</t>
  </si>
  <si>
    <t xml:space="preserve">  Depth of bury 4'6"</t>
  </si>
  <si>
    <t xml:space="preserve">  Depth of bury 4'0"</t>
  </si>
  <si>
    <t xml:space="preserve">  Depth of bury 3'0"</t>
  </si>
  <si>
    <t xml:space="preserve">  Depth of bury 2'6"</t>
  </si>
  <si>
    <t>Pumper connection</t>
  </si>
  <si>
    <t>Fire hydrant</t>
  </si>
  <si>
    <t>12" PVC class 150 pipe</t>
  </si>
  <si>
    <t>10" PVC class 150 pipe</t>
  </si>
  <si>
    <t>8" PVC class 150 pipe</t>
  </si>
  <si>
    <t>6" PVC class 150 pipe</t>
  </si>
  <si>
    <t>4" PVC class 150 pipe</t>
  </si>
  <si>
    <t>24" ductile iron MJ pipe</t>
  </si>
  <si>
    <t>20" ductile iron MJ pipe</t>
  </si>
  <si>
    <t>18" ductile iron MJ pipe</t>
  </si>
  <si>
    <t>16" ductile iron MJ pipe</t>
  </si>
  <si>
    <t>14" ductile iron MJ pipe</t>
  </si>
  <si>
    <t>12" ductile iron MJ pipe</t>
  </si>
  <si>
    <t>10" ductile iron MJ pipe</t>
  </si>
  <si>
    <t>8" ductile iron MJ pipe</t>
  </si>
  <si>
    <t>6" ductile iron MJ pipe</t>
  </si>
  <si>
    <t>4" ductile iron MJ pipe</t>
  </si>
  <si>
    <t>12" PVC class 200 pipe</t>
  </si>
  <si>
    <t>10" PVC class 200 pipe</t>
  </si>
  <si>
    <t>8" PVC class 200 pipe</t>
  </si>
  <si>
    <t>6" PVC class 200 pipe</t>
  </si>
  <si>
    <t>4" PVC class 200 pipe</t>
  </si>
  <si>
    <t>4" PVC pipe</t>
  </si>
  <si>
    <t>3" PVC pipe</t>
  </si>
  <si>
    <t>2-1/2" PVC pipe</t>
  </si>
  <si>
    <t>2" PVC pipe</t>
  </si>
  <si>
    <t>1-1/2" PVC pipe</t>
  </si>
  <si>
    <t>4" PVC class 160 pipe</t>
  </si>
  <si>
    <t>3" PVC class 160 pipe</t>
  </si>
  <si>
    <t>2-1/2" PVC class 160 pipe</t>
  </si>
  <si>
    <t>2" PVC class 160 pipe</t>
  </si>
  <si>
    <t>1-1/2" PVC class 160 pipe</t>
  </si>
  <si>
    <t>12" PVC class 100 pipe</t>
  </si>
  <si>
    <t>10" PVC class 100 pipe</t>
  </si>
  <si>
    <t>8" PVC class 100 pipe</t>
  </si>
  <si>
    <t>6" PVC class 100 pipe</t>
  </si>
  <si>
    <t>4" PVC class 100 pipe</t>
  </si>
  <si>
    <t>* No. of site utility allowances *</t>
  </si>
  <si>
    <t>Site utilities allowance</t>
  </si>
  <si>
    <t xml:space="preserve"> 144" standard pipe</t>
  </si>
  <si>
    <t xml:space="preserve"> 132" standard pipe</t>
  </si>
  <si>
    <t xml:space="preserve"> 120" standard pipe</t>
  </si>
  <si>
    <t xml:space="preserve"> 108" standard pipe</t>
  </si>
  <si>
    <t xml:space="preserve"> 96" standard pipe</t>
  </si>
  <si>
    <t xml:space="preserve"> 84" standard pipe</t>
  </si>
  <si>
    <t xml:space="preserve"> 72" standard pipe</t>
  </si>
  <si>
    <t xml:space="preserve"> 60" standard pipe</t>
  </si>
  <si>
    <t xml:space="preserve"> 54" standard pipe</t>
  </si>
  <si>
    <t xml:space="preserve"> 48" standard pipe</t>
  </si>
  <si>
    <t xml:space="preserve"> 42" standard pipe</t>
  </si>
  <si>
    <t xml:space="preserve"> 36" standard pipe</t>
  </si>
  <si>
    <t xml:space="preserve"> 30" standard pipe</t>
  </si>
  <si>
    <t xml:space="preserve"> 27" standard pipe</t>
  </si>
  <si>
    <t xml:space="preserve"> 24" standard pipe</t>
  </si>
  <si>
    <t xml:space="preserve"> 21" standard pipe</t>
  </si>
  <si>
    <t xml:space="preserve"> 18" standard pipe</t>
  </si>
  <si>
    <t xml:space="preserve"> 15" standard pipe</t>
  </si>
  <si>
    <t xml:space="preserve"> 12" standard pipe</t>
  </si>
  <si>
    <t>Reinforced concrete pipe C76</t>
  </si>
  <si>
    <t xml:space="preserve"> 10" standard pipe</t>
  </si>
  <si>
    <t xml:space="preserve">  8" standard pipe</t>
  </si>
  <si>
    <t xml:space="preserve">  6" standard pipe</t>
  </si>
  <si>
    <t>Non-reinforced concrete C14</t>
  </si>
  <si>
    <t xml:space="preserve"> 54" 325 psi push joint pipe</t>
  </si>
  <si>
    <t xml:space="preserve"> 51" 325 psi push joint pipe</t>
  </si>
  <si>
    <t xml:space="preserve"> 48" 325 psi push joint pipe</t>
  </si>
  <si>
    <t xml:space="preserve"> 45" 325 psi push joint pipe</t>
  </si>
  <si>
    <t xml:space="preserve"> 42" 325 psi push joint pipe</t>
  </si>
  <si>
    <t xml:space="preserve"> 39" 325 psi push joint pipe</t>
  </si>
  <si>
    <t xml:space="preserve"> 36" 325 psi push joint pipe</t>
  </si>
  <si>
    <t xml:space="preserve"> 33" 325 psi push joint pipe</t>
  </si>
  <si>
    <t xml:space="preserve"> 30" 325 psi push joint pipe</t>
  </si>
  <si>
    <t xml:space="preserve"> 27" 325 psi push joint pipe</t>
  </si>
  <si>
    <t xml:space="preserve"> 24" 325 psi push joint pipe</t>
  </si>
  <si>
    <t xml:space="preserve"> 21" 325 psi push joint pipe</t>
  </si>
  <si>
    <t xml:space="preserve"> 20" 325 psi push joint pipe</t>
  </si>
  <si>
    <t xml:space="preserve"> 18" 325 psi push joint pipe</t>
  </si>
  <si>
    <t xml:space="preserve"> 16" 325 psi push joint pipe</t>
  </si>
  <si>
    <t xml:space="preserve"> 14" 325 psi push joint pipe</t>
  </si>
  <si>
    <t xml:space="preserve"> 12" 325 psi push joint pipe</t>
  </si>
  <si>
    <t xml:space="preserve"> 54" 300 psi push joint pipe</t>
  </si>
  <si>
    <t xml:space="preserve"> 51" 300 psi push joint pipe</t>
  </si>
  <si>
    <t xml:space="preserve"> 48" 300 psi push joint pipe</t>
  </si>
  <si>
    <t xml:space="preserve"> 45" 300 psi push joint pipe</t>
  </si>
  <si>
    <t xml:space="preserve"> 42" 300 psi push joint pipe</t>
  </si>
  <si>
    <t xml:space="preserve"> 39" 300 psi push joint pipe</t>
  </si>
  <si>
    <t xml:space="preserve"> 36" 300 psi push joint pipe</t>
  </si>
  <si>
    <t xml:space="preserve"> 33" 300 psi push joint pipe</t>
  </si>
  <si>
    <t xml:space="preserve"> 30" 300 psi push joint pipe</t>
  </si>
  <si>
    <t xml:space="preserve"> 27" 300 psi push joint pipe</t>
  </si>
  <si>
    <t xml:space="preserve"> 24" 300 psi push joint pipe</t>
  </si>
  <si>
    <t xml:space="preserve"> 21" 300 psi push joint pipe</t>
  </si>
  <si>
    <t xml:space="preserve"> 20" 300 psi push joint pipe</t>
  </si>
  <si>
    <t xml:space="preserve"> 18" 300 psi push joint pipe</t>
  </si>
  <si>
    <t xml:space="preserve"> 16" 300 psi push joint pipe</t>
  </si>
  <si>
    <t xml:space="preserve"> 14" 300 psi push joint pipe</t>
  </si>
  <si>
    <t xml:space="preserve"> 12" 300 psi push joint pipe</t>
  </si>
  <si>
    <t xml:space="preserve"> 54" 275 psi push joint pipe</t>
  </si>
  <si>
    <t xml:space="preserve"> 51" 275 psi push joint pipe</t>
  </si>
  <si>
    <t xml:space="preserve"> 48" 275 psi push joint pipe</t>
  </si>
  <si>
    <t xml:space="preserve"> 45" 275 psi push joint pipe</t>
  </si>
  <si>
    <t xml:space="preserve"> 42" 275 psi push joint pipe</t>
  </si>
  <si>
    <t xml:space="preserve"> 39" 275 psi push joint pipe</t>
  </si>
  <si>
    <t xml:space="preserve"> 36" 275 psi push joint pipe</t>
  </si>
  <si>
    <t xml:space="preserve"> 33" 275 psi push joint pipe</t>
  </si>
  <si>
    <t xml:space="preserve"> 30" 275 psi push joint pipe</t>
  </si>
  <si>
    <t xml:space="preserve"> 27" 275 psi push joint pipe</t>
  </si>
  <si>
    <t xml:space="preserve"> 24" 275 psi push joint pipe</t>
  </si>
  <si>
    <t xml:space="preserve"> 21" 275 psi push joint pipe</t>
  </si>
  <si>
    <t xml:space="preserve"> 20" 275 psi push joint pipe</t>
  </si>
  <si>
    <t xml:space="preserve"> 18" 275 psi push joint pipe</t>
  </si>
  <si>
    <t xml:space="preserve"> 16" 275 psi push joint pipe</t>
  </si>
  <si>
    <t xml:space="preserve"> 14" 275 psi push joint pipe</t>
  </si>
  <si>
    <t xml:space="preserve"> 12" 275 psi push joint pipe</t>
  </si>
  <si>
    <t xml:space="preserve"> 54" 250 psi push joint pipe</t>
  </si>
  <si>
    <t xml:space="preserve"> 51" 250 psi push joint pipe</t>
  </si>
  <si>
    <t xml:space="preserve"> 48" 250 psi push joint pipe</t>
  </si>
  <si>
    <t xml:space="preserve"> 45" 250 psi push joint pipe</t>
  </si>
  <si>
    <t xml:space="preserve"> 42" 250 psi push joint pipe</t>
  </si>
  <si>
    <t xml:space="preserve"> 39" 250 psi push joint pipe</t>
  </si>
  <si>
    <t xml:space="preserve"> 36" 250 psi push joint pipe</t>
  </si>
  <si>
    <t xml:space="preserve"> 33" 250 psi push joint pipe</t>
  </si>
  <si>
    <t xml:space="preserve"> 30" 250 psi push joint pipe</t>
  </si>
  <si>
    <t xml:space="preserve"> 27" 250 psi push joint pipe</t>
  </si>
  <si>
    <t xml:space="preserve"> 24" 250 psi push joint pipe</t>
  </si>
  <si>
    <t xml:space="preserve"> 21" 250 psi push joint pipe</t>
  </si>
  <si>
    <t xml:space="preserve"> 20" 250 psi push joint pipe</t>
  </si>
  <si>
    <t xml:space="preserve"> 18" 250 psi push joint pipe</t>
  </si>
  <si>
    <t xml:space="preserve"> 16" 250 psi push joint pipe</t>
  </si>
  <si>
    <t xml:space="preserve"> 14" 250 psi push joint pipe</t>
  </si>
  <si>
    <t xml:space="preserve"> 12" 250 psi push joint pipe</t>
  </si>
  <si>
    <t xml:space="preserve"> 54" 225 psi push joint pipe</t>
  </si>
  <si>
    <t xml:space="preserve"> 51" 225 psi push joint pipe</t>
  </si>
  <si>
    <t xml:space="preserve"> 48" 225 psi push joint pipe</t>
  </si>
  <si>
    <t xml:space="preserve"> 45" 225 psi push joint pipe</t>
  </si>
  <si>
    <t xml:space="preserve"> 42" 225 psi push joint pipe</t>
  </si>
  <si>
    <t xml:space="preserve"> 39" 225 psi push joint pipe</t>
  </si>
  <si>
    <t xml:space="preserve"> 36" 225 psi push joint pipe</t>
  </si>
  <si>
    <t xml:space="preserve"> 33" 225 psi push joint pipe</t>
  </si>
  <si>
    <t xml:space="preserve"> 30" 225 psi push joint pipe</t>
  </si>
  <si>
    <t xml:space="preserve"> 27" 225 psi push joint pipe</t>
  </si>
  <si>
    <t xml:space="preserve"> 24" 225 psi push joint pipe</t>
  </si>
  <si>
    <t xml:space="preserve"> 21" 225 psi push joint pipe</t>
  </si>
  <si>
    <t xml:space="preserve"> 20" 225 psi push joint pipe</t>
  </si>
  <si>
    <t xml:space="preserve"> 18" 225 psi push joint pipe</t>
  </si>
  <si>
    <t xml:space="preserve"> 16" 225 psi push joint pipe</t>
  </si>
  <si>
    <t xml:space="preserve"> 14" 225 psi push joint pipe</t>
  </si>
  <si>
    <t xml:space="preserve"> 12" 225 psi push joint pipe</t>
  </si>
  <si>
    <t xml:space="preserve"> 54" 200 psi push joint pipe</t>
  </si>
  <si>
    <t xml:space="preserve"> 51" 200 psi push joint pipe</t>
  </si>
  <si>
    <t xml:space="preserve"> 48" 200 psi push joint pipe</t>
  </si>
  <si>
    <t xml:space="preserve"> 45" 200 psi push joint pipe</t>
  </si>
  <si>
    <t xml:space="preserve"> 42" 200 psi push joint pipe</t>
  </si>
  <si>
    <t xml:space="preserve"> 39" 200 psi push joint pipe</t>
  </si>
  <si>
    <t xml:space="preserve"> 36" 200 psi push joint pipe</t>
  </si>
  <si>
    <t xml:space="preserve"> 33" 200 psi push joint pipe</t>
  </si>
  <si>
    <t xml:space="preserve"> 30" 200 psi push joint pipe</t>
  </si>
  <si>
    <t xml:space="preserve"> 27" 200 psi push joint pipe</t>
  </si>
  <si>
    <t xml:space="preserve"> 24" 200 psi push joint pipe</t>
  </si>
  <si>
    <t xml:space="preserve"> 21" 200 psi push joint pipe</t>
  </si>
  <si>
    <t xml:space="preserve"> 20" 200 psi push joint pipe</t>
  </si>
  <si>
    <t xml:space="preserve"> 18" 200 psi push joint pipe</t>
  </si>
  <si>
    <t xml:space="preserve"> 16" 200 psi push joint pipe</t>
  </si>
  <si>
    <t xml:space="preserve"> 14" 200 psi push joint pipe</t>
  </si>
  <si>
    <t xml:space="preserve"> 12" 200 psi push joint pipe</t>
  </si>
  <si>
    <t xml:space="preserve"> 54" 175 psi push joint pipe</t>
  </si>
  <si>
    <t xml:space="preserve"> 51" 175 psi push joint pipe</t>
  </si>
  <si>
    <t xml:space="preserve"> 48" 175 psi push joint pipe</t>
  </si>
  <si>
    <t xml:space="preserve"> 45" 175 psi push joint pipe</t>
  </si>
  <si>
    <t xml:space="preserve"> 42" 175 psi push joint pipe</t>
  </si>
  <si>
    <t xml:space="preserve"> 39" 175 psi push joint pipe</t>
  </si>
  <si>
    <t xml:space="preserve"> 36" 175 psi push joint pipe</t>
  </si>
  <si>
    <t xml:space="preserve"> 33" 175 psi push joint pipe</t>
  </si>
  <si>
    <t xml:space="preserve"> 30" 175 psi push joint pipe</t>
  </si>
  <si>
    <t xml:space="preserve"> 27" 175 psi push joint pipe</t>
  </si>
  <si>
    <t xml:space="preserve"> 24" 175 psi push joint pipe</t>
  </si>
  <si>
    <t xml:space="preserve"> 21" 175 psi push joint pipe</t>
  </si>
  <si>
    <t xml:space="preserve"> 20" 175 psi push joint pipe</t>
  </si>
  <si>
    <t xml:space="preserve"> 18" 175 psi push joint pipe</t>
  </si>
  <si>
    <t xml:space="preserve"> 16" 175 psi push joint pipe</t>
  </si>
  <si>
    <t xml:space="preserve"> 14" 175 psi push joint pipe</t>
  </si>
  <si>
    <t xml:space="preserve"> 12" 175 psi push joint pipe</t>
  </si>
  <si>
    <t xml:space="preserve"> 54" 150 psi push joint pipe</t>
  </si>
  <si>
    <t xml:space="preserve"> 51" 150 psi push joint pipe</t>
  </si>
  <si>
    <t xml:space="preserve"> 48" 150 psi push joint pipe</t>
  </si>
  <si>
    <t xml:space="preserve"> 45" 150 psi push joint pipe</t>
  </si>
  <si>
    <t xml:space="preserve"> 42" 150 psi push joint pipe</t>
  </si>
  <si>
    <t xml:space="preserve"> 39" 150 psi push joint pipe</t>
  </si>
  <si>
    <t xml:space="preserve"> 36" 150 psi push joint pipe</t>
  </si>
  <si>
    <t xml:space="preserve"> 33" 150 psi push joint pipe</t>
  </si>
  <si>
    <t xml:space="preserve"> 30" 150 psi push joint pipe</t>
  </si>
  <si>
    <t xml:space="preserve"> 27" 150 psi push joint pipe</t>
  </si>
  <si>
    <t xml:space="preserve"> 24" 150 psi push joint pipe</t>
  </si>
  <si>
    <t xml:space="preserve"> 21" 150 psi push joint pipe</t>
  </si>
  <si>
    <t xml:space="preserve"> 20" 150 psi push joint pipe</t>
  </si>
  <si>
    <t xml:space="preserve"> 18" 150 psi push joint pipe</t>
  </si>
  <si>
    <t xml:space="preserve"> 16" 150 psi push joint pipe</t>
  </si>
  <si>
    <t xml:space="preserve"> 14" 150 psi push joint pipe</t>
  </si>
  <si>
    <t xml:space="preserve"> 12" 150 psi push joint pipe</t>
  </si>
  <si>
    <t xml:space="preserve"> 54" 125 psi push joint pipe</t>
  </si>
  <si>
    <t xml:space="preserve"> 51" 125 psi push joint pipe</t>
  </si>
  <si>
    <t xml:space="preserve"> 48" 125 psi push joint pipe</t>
  </si>
  <si>
    <t xml:space="preserve"> 45" 125 psi push joint pipe</t>
  </si>
  <si>
    <t xml:space="preserve"> 42" 125 psi push joint pipe</t>
  </si>
  <si>
    <t xml:space="preserve"> 39" 125 psi push joint pipe</t>
  </si>
  <si>
    <t xml:space="preserve"> 36" 125 psi push joint pipe</t>
  </si>
  <si>
    <t xml:space="preserve"> 33" 125 psi push joint pipe</t>
  </si>
  <si>
    <t xml:space="preserve"> 30" 125 psi push joint pipe</t>
  </si>
  <si>
    <t xml:space="preserve"> 27" 125 psi push joint pipe</t>
  </si>
  <si>
    <t xml:space="preserve"> 24" 125 psi push joint pipe</t>
  </si>
  <si>
    <t xml:space="preserve"> 21" 125 psi push joint pipe</t>
  </si>
  <si>
    <t xml:space="preserve"> 20" 125 psi push joint pipe</t>
  </si>
  <si>
    <t xml:space="preserve"> 18" 125 psi push joint pipe</t>
  </si>
  <si>
    <t xml:space="preserve"> 16" 125 psi push joint pipe</t>
  </si>
  <si>
    <t xml:space="preserve"> 14" 125 psi push joint pipe</t>
  </si>
  <si>
    <t xml:space="preserve"> 12" 125 psi push joint pipe</t>
  </si>
  <si>
    <t xml:space="preserve"> 54" 100 psi push joint pipe</t>
  </si>
  <si>
    <t xml:space="preserve"> 51" 100 psi push joint pipe</t>
  </si>
  <si>
    <t xml:space="preserve"> 48" 100 psi push joint pipe</t>
  </si>
  <si>
    <t xml:space="preserve"> 45" 100 psi push joint pipe</t>
  </si>
  <si>
    <t xml:space="preserve"> 42" 100 psi push joint pipe</t>
  </si>
  <si>
    <t xml:space="preserve"> 39" 100 psi push joint pipe</t>
  </si>
  <si>
    <t xml:space="preserve"> 36" 100 psi push joint pipe</t>
  </si>
  <si>
    <t xml:space="preserve"> 33" 100 psi push joint pipe</t>
  </si>
  <si>
    <t xml:space="preserve"> 30" 100 psi push joint pipe</t>
  </si>
  <si>
    <t xml:space="preserve"> 27" 100 psi push joint pipe</t>
  </si>
  <si>
    <t xml:space="preserve"> 24" 100 psi push joint pipe</t>
  </si>
  <si>
    <t xml:space="preserve"> 21" 100 psi push joint pipe</t>
  </si>
  <si>
    <t xml:space="preserve"> 20" 100 psi push joint pipe</t>
  </si>
  <si>
    <t xml:space="preserve"> 18" 100 psi push joint pipe</t>
  </si>
  <si>
    <t xml:space="preserve"> 16" 100 psi push joint pipe</t>
  </si>
  <si>
    <t xml:space="preserve"> 14" 100 psi push joint pipe</t>
  </si>
  <si>
    <t xml:space="preserve"> 12" 100 psi push joint pipe</t>
  </si>
  <si>
    <t>Concrete cylinder pipe</t>
  </si>
  <si>
    <t xml:space="preserve"> 180" PCCP - push joint pipe</t>
  </si>
  <si>
    <t xml:space="preserve"> 168" PCCP - push joint pipe</t>
  </si>
  <si>
    <t xml:space="preserve"> 156" PCCP - push joint pipe</t>
  </si>
  <si>
    <t xml:space="preserve"> 144" PCCP - push joint pipe</t>
  </si>
  <si>
    <t xml:space="preserve"> 132" PCCP - push joint pipe</t>
  </si>
  <si>
    <t xml:space="preserve"> 120" PCCP - push joint pipe</t>
  </si>
  <si>
    <t xml:space="preserve"> 114" PCCP - push joint pipe</t>
  </si>
  <si>
    <t xml:space="preserve"> 108" PCCP - push joint pipe</t>
  </si>
  <si>
    <t xml:space="preserve"> 102" PCCP - push joint pipe</t>
  </si>
  <si>
    <t xml:space="preserve">  96" PCCP - push joint pipe</t>
  </si>
  <si>
    <t xml:space="preserve">  90" PCCP - push joint pipe</t>
  </si>
  <si>
    <t xml:space="preserve">  84" PCCP - push joint pipe</t>
  </si>
  <si>
    <t xml:space="preserve">  78" PCCP - push joint pipe</t>
  </si>
  <si>
    <t xml:space="preserve">  72" PCCP - push joint pipe</t>
  </si>
  <si>
    <t xml:space="preserve">  66" PCCP - push joint pipe</t>
  </si>
  <si>
    <t xml:space="preserve">  60" PCCP - push joint pipe</t>
  </si>
  <si>
    <t xml:space="preserve">  57" PCCP - push joint pipe</t>
  </si>
  <si>
    <t xml:space="preserve">  54" PCCP - push joint pipe</t>
  </si>
  <si>
    <t xml:space="preserve">  51" PCCP - push joint pipe</t>
  </si>
  <si>
    <t xml:space="preserve">  48" PCCP - push joint pipe</t>
  </si>
  <si>
    <t xml:space="preserve">  45" PCCP - push joint pipe</t>
  </si>
  <si>
    <t xml:space="preserve">  42" PCCP - push joint pipe</t>
  </si>
  <si>
    <t>Prestressed concrete cylinder pipe</t>
  </si>
  <si>
    <t xml:space="preserve">     30" SDR 11  / 160psi pipe</t>
  </si>
  <si>
    <t xml:space="preserve">     28" SDR 11  / 160psi pipe</t>
  </si>
  <si>
    <t xml:space="preserve">     26" SDR 11  / 160psi pipe</t>
  </si>
  <si>
    <t xml:space="preserve">     24" SDR 11  / 160psi pipe</t>
  </si>
  <si>
    <t xml:space="preserve">     22" SDR 11  / 160psi pipe</t>
  </si>
  <si>
    <t xml:space="preserve"> 21-1/2" SDR 11  / 160psi pipe</t>
  </si>
  <si>
    <t xml:space="preserve">     20" SDR 11  / 160psi pipe</t>
  </si>
  <si>
    <t xml:space="preserve">     18" SDR 11  / 160psi pipe</t>
  </si>
  <si>
    <t xml:space="preserve">     16" SDR 11  / 160psi pipe</t>
  </si>
  <si>
    <t xml:space="preserve">     14" SDR 11  / 160psi pipe</t>
  </si>
  <si>
    <t xml:space="preserve">     13" SDR 11  / 160psi pipe</t>
  </si>
  <si>
    <t xml:space="preserve">     12" SDR 11  / 160psi pipe</t>
  </si>
  <si>
    <t xml:space="preserve">     10" SDR 11  / 160psi pipe</t>
  </si>
  <si>
    <t xml:space="preserve">      8" SDR 11  / 160psi pipe</t>
  </si>
  <si>
    <t xml:space="preserve">      7" SDR 11  / 160psi pipe</t>
  </si>
  <si>
    <t xml:space="preserve">      6" SDR 11  / 160psi pipe</t>
  </si>
  <si>
    <t xml:space="preserve">      5" SDR 11  / 160psi pipe</t>
  </si>
  <si>
    <t xml:space="preserve">      4" SDR 11  / 160psi pipe</t>
  </si>
  <si>
    <t xml:space="preserve">      3" SDR 11  / 160psi pipe</t>
  </si>
  <si>
    <t xml:space="preserve">     36" SDR 13.5/ 130psi pipe</t>
  </si>
  <si>
    <t xml:space="preserve">     34" SDR 13.5/ 130psi pipe</t>
  </si>
  <si>
    <t xml:space="preserve">     32" SDR 13.5/ 130psi pipe</t>
  </si>
  <si>
    <t xml:space="preserve">   800mm SDR 13.5/ 130psi pipe</t>
  </si>
  <si>
    <t xml:space="preserve">     30" SDR 13.5/ 130psi pipe</t>
  </si>
  <si>
    <t xml:space="preserve">     28" SDR 13.5/ 130psi pipe</t>
  </si>
  <si>
    <t xml:space="preserve">     26" SDR 13.5/ 130psi pipe</t>
  </si>
  <si>
    <t xml:space="preserve">     24" SDR 13.5/ 130psi pipe</t>
  </si>
  <si>
    <t xml:space="preserve">     22" SDR 13.5/ 130psi pipe</t>
  </si>
  <si>
    <t xml:space="preserve"> 21-1/2" SDR 13.5/ 130psi pipe</t>
  </si>
  <si>
    <t xml:space="preserve">     20" SDR 13.5/ 130psi pipe</t>
  </si>
  <si>
    <t xml:space="preserve">     18" SDR 13.5/ 130psi pipe</t>
  </si>
  <si>
    <t xml:space="preserve">     16" SDR 13.5/ 130psi pipe</t>
  </si>
  <si>
    <t xml:space="preserve">     14" SDR 13.5/ 130psi pipe</t>
  </si>
  <si>
    <t xml:space="preserve">     13" SDR 13.5/ 130psi pipe</t>
  </si>
  <si>
    <t xml:space="preserve">     12" SDR 13.5/ 130psi pipe</t>
  </si>
  <si>
    <t xml:space="preserve">     10" SDR 13.5/ 130psi pipe</t>
  </si>
  <si>
    <t xml:space="preserve">      8" SDR 13.5/ 130psi pipe</t>
  </si>
  <si>
    <t xml:space="preserve">      7" SDR 13.5/ 130psi pipe</t>
  </si>
  <si>
    <t xml:space="preserve">      6" SDR 13.5/ 130psi pipe</t>
  </si>
  <si>
    <t xml:space="preserve">      5" SDR 13.5/ 130psi pipe</t>
  </si>
  <si>
    <t xml:space="preserve">      4" SDR 13.5/ 130psi pipe</t>
  </si>
  <si>
    <t xml:space="preserve">      3" SDR 13.5/ 130psi pipe</t>
  </si>
  <si>
    <t xml:space="preserve">     36" SDR 15.5/ 110psi pipe</t>
  </si>
  <si>
    <t xml:space="preserve">     34" SDR 15.5/ 110psi pipe</t>
  </si>
  <si>
    <t xml:space="preserve">     32" SDR 15.5/ 110psi pipe</t>
  </si>
  <si>
    <t xml:space="preserve">   800mm SDR 15.5/ 110psi pipe</t>
  </si>
  <si>
    <t xml:space="preserve">     30" SDR 15.5/ 110psi pipe</t>
  </si>
  <si>
    <t xml:space="preserve">     28" SDR 15.5/ 110psi pipe</t>
  </si>
  <si>
    <t xml:space="preserve">     26" SDR 15.5/ 110psi pipe</t>
  </si>
  <si>
    <t xml:space="preserve">     24" SDR 15.5/ 110psi pipe</t>
  </si>
  <si>
    <t xml:space="preserve">     22" SDR 15.5/ 110psi pipe</t>
  </si>
  <si>
    <t xml:space="preserve"> 21-1/2" SDR 15.5/ 110psi pipe</t>
  </si>
  <si>
    <t xml:space="preserve">     20" SDR 15.5/ 110psi pipe</t>
  </si>
  <si>
    <t xml:space="preserve">     18" SDR 15.5/ 110psi pipe</t>
  </si>
  <si>
    <t xml:space="preserve">     16" SDR 15.5/ 110psi pipe</t>
  </si>
  <si>
    <t xml:space="preserve">     14" SDR 15.5/ 110psi pipe</t>
  </si>
  <si>
    <t xml:space="preserve">     13" SDR 15.5/ 110psi pipe</t>
  </si>
  <si>
    <t xml:space="preserve">     12" SDR 15.5/ 110psi pipe</t>
  </si>
  <si>
    <t xml:space="preserve">     10" SDR 15.5/ 110psi pipe</t>
  </si>
  <si>
    <t xml:space="preserve">      8" SDR 15.5/ 110psi pipe</t>
  </si>
  <si>
    <t xml:space="preserve">      7" SDR 15.5/ 110psi pipe</t>
  </si>
  <si>
    <t xml:space="preserve">      6" SDR 15.5/ 110psi pipe</t>
  </si>
  <si>
    <t xml:space="preserve">      5" SDR 15.5/ 110psi pipe</t>
  </si>
  <si>
    <t xml:space="preserve">      4" SDR 15.5/ 110psi pipe</t>
  </si>
  <si>
    <t xml:space="preserve">      3" SDR 15.5/ 110psi pipe</t>
  </si>
  <si>
    <t xml:space="preserve">  1200mm SDR  17 / 100psi pipe</t>
  </si>
  <si>
    <t xml:space="preserve">     42" SDR  17 / 100psi pipe</t>
  </si>
  <si>
    <t xml:space="preserve">  1000mm SDR  17 / 100psi pipe</t>
  </si>
  <si>
    <t xml:space="preserve">     36" SDR  17 / 100psi pipe</t>
  </si>
  <si>
    <t xml:space="preserve">     34" SDR  17 / 100psi pipe</t>
  </si>
  <si>
    <t xml:space="preserve">     32" SDR  17 / 100psi pipe</t>
  </si>
  <si>
    <t xml:space="preserve">   800mm SDR  17 / 100psi pipe</t>
  </si>
  <si>
    <t xml:space="preserve">     30" SDR  17 / 100psi pipe</t>
  </si>
  <si>
    <t xml:space="preserve">     28" SDR  17 / 100psi pipe</t>
  </si>
  <si>
    <t xml:space="preserve">     26" SDR  17 / 100psi pipe</t>
  </si>
  <si>
    <t xml:space="preserve">     24" SDR  17 / 100psi pipe</t>
  </si>
  <si>
    <t xml:space="preserve">     22" SDR  17 / 100psi pipe</t>
  </si>
  <si>
    <t xml:space="preserve">    21½" SDR  17 / 100psi pipe</t>
  </si>
  <si>
    <t xml:space="preserve">     20" SDR  17 / 100psi pipe</t>
  </si>
  <si>
    <t xml:space="preserve">     18" SDR  17 / 100psi pipe</t>
  </si>
  <si>
    <t xml:space="preserve">     16" SDR  17 / 100psi pipe</t>
  </si>
  <si>
    <t xml:space="preserve">     14" SDR  17 / 100psi pipe</t>
  </si>
  <si>
    <t xml:space="preserve">     13" SDR  17 / 100psi pipe</t>
  </si>
  <si>
    <t xml:space="preserve">     12" SDR  17 / 100psi pipe</t>
  </si>
  <si>
    <t xml:space="preserve">     10" SDR  17 / 100psi pipe</t>
  </si>
  <si>
    <t xml:space="preserve">      8" SDR  17 / 100psi pipe</t>
  </si>
  <si>
    <t xml:space="preserve">      7" SDR  17 / 100psi pipe</t>
  </si>
  <si>
    <t xml:space="preserve">      6" SDR  17 / 100psi pipe</t>
  </si>
  <si>
    <t xml:space="preserve">      5" SDR  17 / 100psi pipe</t>
  </si>
  <si>
    <t xml:space="preserve">      4" SDR  17 / 100psi pipe</t>
  </si>
  <si>
    <t xml:space="preserve">      3" SDR  17 / 100psi pipe</t>
  </si>
  <si>
    <t xml:space="preserve">  1200mm SDR  19 / 90 psi pipe</t>
  </si>
  <si>
    <t xml:space="preserve">     42" SDR  19 / 90 psi pipe</t>
  </si>
  <si>
    <t xml:space="preserve">  1000mm SDR  19 / 90 psi pipe</t>
  </si>
  <si>
    <t xml:space="preserve">     36" SDR  19 / 90 psi pipe</t>
  </si>
  <si>
    <t xml:space="preserve">     34" SDR  19 / 90 psi pipe</t>
  </si>
  <si>
    <t xml:space="preserve">     32" SDR  19 / 90 psi pipe</t>
  </si>
  <si>
    <t xml:space="preserve">   800mm SDR  19 / 90 psi pipe</t>
  </si>
  <si>
    <t xml:space="preserve">     30" SDR  19 / 90 psi pipe</t>
  </si>
  <si>
    <t xml:space="preserve">     28" SDR  19 / 90 psi pipe</t>
  </si>
  <si>
    <t xml:space="preserve">     26" SDR  19 / 90 psi pipe</t>
  </si>
  <si>
    <t xml:space="preserve">     24" SDR  19 / 90 psi pipe</t>
  </si>
  <si>
    <t xml:space="preserve">     22" SDR  19 / 90 psi pipe</t>
  </si>
  <si>
    <t xml:space="preserve"> 21-1/2" SDR  19 / 90 psi pipe</t>
  </si>
  <si>
    <t xml:space="preserve">     20" SDR  19 / 90 psi pipe</t>
  </si>
  <si>
    <t xml:space="preserve">     18" SDR  19 / 90 psi pipe</t>
  </si>
  <si>
    <t xml:space="preserve">     16" SDR  19 / 90 psi pipe</t>
  </si>
  <si>
    <t xml:space="preserve">     14" SDR  19 / 90 psi pipe</t>
  </si>
  <si>
    <t xml:space="preserve">     13" SDR  19 / 90 psi pipe</t>
  </si>
  <si>
    <t xml:space="preserve">     12" SDR  19 / 90 psi pipe</t>
  </si>
  <si>
    <t xml:space="preserve">     10" SDR  19 / 90 psi pipe</t>
  </si>
  <si>
    <t xml:space="preserve">      8" SDR  19 / 90 psi pipe</t>
  </si>
  <si>
    <t xml:space="preserve">      7" SDR  19 / 90 psi pipe</t>
  </si>
  <si>
    <t xml:space="preserve">      6" SDR  19 / 90 psi pipe</t>
  </si>
  <si>
    <t xml:space="preserve">      5" SDR  19 / 90 psi pipe</t>
  </si>
  <si>
    <t xml:space="preserve">      4" SDR  19 / 90 psi pipe</t>
  </si>
  <si>
    <t xml:space="preserve">      3" SDR  19 / 90 psi pipe</t>
  </si>
  <si>
    <t xml:space="preserve">  1200mm SDR  21 / 80 psi pipe</t>
  </si>
  <si>
    <t xml:space="preserve">     42" SDR  21 / 80 psi pipe</t>
  </si>
  <si>
    <t xml:space="preserve">  1000mm SDR  21 / 80 psi pipe</t>
  </si>
  <si>
    <t xml:space="preserve">     36" SDR  21 / 80 psi pipe</t>
  </si>
  <si>
    <t xml:space="preserve">     34" SDR  21 / 80 psi pipe</t>
  </si>
  <si>
    <t xml:space="preserve">     32" SDR  21 / 80 psi pipe</t>
  </si>
  <si>
    <t xml:space="preserve">   800mm SDR  21 / 80 psi pipe</t>
  </si>
  <si>
    <t xml:space="preserve">     30" SDR  21 / 80 psi pipe</t>
  </si>
  <si>
    <t xml:space="preserve">     28" SDR  21 / 80 psi pipe</t>
  </si>
  <si>
    <t xml:space="preserve">     26" SDR  21 / 80 psi pipe</t>
  </si>
  <si>
    <t xml:space="preserve">     24" SDR  21 / 80 psi pipe</t>
  </si>
  <si>
    <t xml:space="preserve">     22" SDR  21 / 80 psi pipe</t>
  </si>
  <si>
    <t xml:space="preserve"> 21-1/2" SDR  21 / 80 psi pipe</t>
  </si>
  <si>
    <t xml:space="preserve">     20" SDR  21 / 80 psi pipe</t>
  </si>
  <si>
    <t xml:space="preserve">     18" SDR  21 / 80 psi pipe</t>
  </si>
  <si>
    <t xml:space="preserve">     16" SDR  21 / 80 psi pipe</t>
  </si>
  <si>
    <t xml:space="preserve">     14" SDR  21 / 80 psi pipe</t>
  </si>
  <si>
    <t xml:space="preserve">     13" SDR  21 / 80 psi pipe</t>
  </si>
  <si>
    <t xml:space="preserve">     12" SDR  21 / 80 psi pipe</t>
  </si>
  <si>
    <t xml:space="preserve">     10" SDR  21 / 80 psi pipe</t>
  </si>
  <si>
    <t xml:space="preserve">      8" SDR  21 / 80 psi pipe</t>
  </si>
  <si>
    <t xml:space="preserve">      7" SDR  21 / 80 psi pipe</t>
  </si>
  <si>
    <t xml:space="preserve">      6" SDR  21 / 80 psi pipe</t>
  </si>
  <si>
    <t xml:space="preserve">      5" SDR  21 / 80 psi pipe</t>
  </si>
  <si>
    <t xml:space="preserve">      4" SDR  21 / 80 psi pipe</t>
  </si>
  <si>
    <t xml:space="preserve">      3" SDR  21 / 80 psi pipe</t>
  </si>
  <si>
    <t xml:space="preserve">  1200mm SDR  26 /  65psi pipe</t>
  </si>
  <si>
    <t xml:space="preserve">     42" SDR  26 /  65psi pipe</t>
  </si>
  <si>
    <t xml:space="preserve">  1000mm SDR  26 /  65psi pipe</t>
  </si>
  <si>
    <t xml:space="preserve">     36" SDR  26 /  65psi pipe</t>
  </si>
  <si>
    <t xml:space="preserve">     34" SDR  26 /  65psi pipe</t>
  </si>
  <si>
    <t xml:space="preserve">     32" SDR  26 /  65psi pipe</t>
  </si>
  <si>
    <t xml:space="preserve">   800mm SDR  26 /  65psi pipe</t>
  </si>
  <si>
    <t xml:space="preserve">     30" SDR  26 /  65psi pipe</t>
  </si>
  <si>
    <t xml:space="preserve">     28" SDR  26 /  65psi pipe</t>
  </si>
  <si>
    <t xml:space="preserve">     26" SDR  26 /  65psi pipe</t>
  </si>
  <si>
    <t xml:space="preserve">     24" SDR  26 /  65psi pipe</t>
  </si>
  <si>
    <t xml:space="preserve">     22" SDR  26 /  65psi pipe</t>
  </si>
  <si>
    <t xml:space="preserve"> 21-1/2" SDR  26 /  65psi pipe</t>
  </si>
  <si>
    <t xml:space="preserve">     20" SDR  26 /  65psi pipe</t>
  </si>
  <si>
    <t xml:space="preserve">     18" SDR  26 /  65psi pipe</t>
  </si>
  <si>
    <t xml:space="preserve">     16" SDR  26 /  65psi pipe</t>
  </si>
  <si>
    <t xml:space="preserve">     14" SDR  26 /  65psi pipe</t>
  </si>
  <si>
    <t xml:space="preserve">     13" SDR  26 /  65psi pipe</t>
  </si>
  <si>
    <t xml:space="preserve">     12" SDR  26 /  65psi pipe</t>
  </si>
  <si>
    <t xml:space="preserve">     10" SDR  26 /  65psi pipe</t>
  </si>
  <si>
    <t xml:space="preserve">      8" SDR  26 /  65psi pipe</t>
  </si>
  <si>
    <t xml:space="preserve">      7" SDR  26 /  65psi pipe</t>
  </si>
  <si>
    <t xml:space="preserve">      6" SDR  26 /  65psi pipe</t>
  </si>
  <si>
    <t xml:space="preserve">      5" SDR  26 /  65psi pipe</t>
  </si>
  <si>
    <t xml:space="preserve">      4" SDR  26 /  65psi pipe</t>
  </si>
  <si>
    <t xml:space="preserve">      3" SDR  26 /  65psi pipe</t>
  </si>
  <si>
    <t xml:space="preserve">  1200mm SDR 32.5 / 50psi pipe</t>
  </si>
  <si>
    <t xml:space="preserve">     42" SDR 32.5 / 50psi pipe</t>
  </si>
  <si>
    <t xml:space="preserve">  1000mm SDR 32.5 / 50psi pipe</t>
  </si>
  <si>
    <t xml:space="preserve">     36" SDR 32.5 / 50psi pipe</t>
  </si>
  <si>
    <t xml:space="preserve">     34" SDR 32.5 / 50psi pipe</t>
  </si>
  <si>
    <t xml:space="preserve">     32" SDR 32.5 / 50psi pipe</t>
  </si>
  <si>
    <t xml:space="preserve">   800mm SDR 32.5 / 50psi pipe</t>
  </si>
  <si>
    <t xml:space="preserve">     30" SDR 32.5 / 50psi pipe</t>
  </si>
  <si>
    <t xml:space="preserve">     28" SDR 32.5 / 50psi pipe</t>
  </si>
  <si>
    <t xml:space="preserve">     26" SDR 32.5 / 50psi pipe</t>
  </si>
  <si>
    <t xml:space="preserve">     24" SDR 32.5 / 50psi pipe</t>
  </si>
  <si>
    <t xml:space="preserve">     22" SDR 32.5 / 50psi pipe</t>
  </si>
  <si>
    <t xml:space="preserve"> 21-1/2" SDR 32.5 / 50psi pipe</t>
  </si>
  <si>
    <t xml:space="preserve">     20" SDR 32.5 / 50psi pipe</t>
  </si>
  <si>
    <t xml:space="preserve">     18" SDR 32.5 / 50psi pipe</t>
  </si>
  <si>
    <t xml:space="preserve">     16" SDR 32.5 / 50psi pipe</t>
  </si>
  <si>
    <t xml:space="preserve">     14" SDR 32.5 / 50psi pipe</t>
  </si>
  <si>
    <t xml:space="preserve">     13" SDR 32.5 / 50psi pipe</t>
  </si>
  <si>
    <t xml:space="preserve">     12" SDR 32.5 / 50psi pipe</t>
  </si>
  <si>
    <t xml:space="preserve">     10" SDR 32.5 / 50psi pipe</t>
  </si>
  <si>
    <t xml:space="preserve">      8" SDR 32.5 / 50psi pipe</t>
  </si>
  <si>
    <t xml:space="preserve">      7" SDR 32.5 / 50psi pipe</t>
  </si>
  <si>
    <t xml:space="preserve">      6" SDR 32.5 / 50psi pipe</t>
  </si>
  <si>
    <t xml:space="preserve">      5" SDR 32.5 / 50psi pipe</t>
  </si>
  <si>
    <t xml:space="preserve">      4" SDR 32.5 / 50psi pipe</t>
  </si>
  <si>
    <t xml:space="preserve">      3" SDR 32.5 / 50psi pipe</t>
  </si>
  <si>
    <t>HDPE class 1000 butt joints</t>
  </si>
  <si>
    <t xml:space="preserve">    6" 190 psi pipe</t>
  </si>
  <si>
    <t xml:space="preserve">    4" 190 psi pipe</t>
  </si>
  <si>
    <t xml:space="preserve">    3" 190 psi pipe</t>
  </si>
  <si>
    <t xml:space="preserve">    2" 190 psi pipe</t>
  </si>
  <si>
    <t>1-1/4" 190 psi pipe</t>
  </si>
  <si>
    <t xml:space="preserve">    1" 190 psi pipe</t>
  </si>
  <si>
    <t xml:space="preserve">  3/4" 190 psi pipe</t>
  </si>
  <si>
    <t xml:space="preserve">   24" 160 psi pipe</t>
  </si>
  <si>
    <t xml:space="preserve">   22" 160 psi pipe</t>
  </si>
  <si>
    <t xml:space="preserve">   18" 160 psi pipe</t>
  </si>
  <si>
    <t xml:space="preserve">   16" 160 psi pipe</t>
  </si>
  <si>
    <t xml:space="preserve">   14" 160 psi pipe</t>
  </si>
  <si>
    <t xml:space="preserve">   12" 160 psi pipe</t>
  </si>
  <si>
    <t xml:space="preserve">   10" 160 psi pipe</t>
  </si>
  <si>
    <t xml:space="preserve">    8" 160 psi pipe</t>
  </si>
  <si>
    <t xml:space="preserve">    6" 160 psi pipe</t>
  </si>
  <si>
    <t xml:space="preserve">    5" 160 psi pipe</t>
  </si>
  <si>
    <t xml:space="preserve">    4" 160 psi pipe</t>
  </si>
  <si>
    <t xml:space="preserve">    3" 160 psi pipe</t>
  </si>
  <si>
    <t xml:space="preserve">    2" 160 psi pipe</t>
  </si>
  <si>
    <t>1-1/2" 160 psi pipe</t>
  </si>
  <si>
    <t>1-1/4" 160 psi pipe</t>
  </si>
  <si>
    <t xml:space="preserve">    1" 160 psi pipe</t>
  </si>
  <si>
    <t xml:space="preserve">  3/4" 160 psi pipe</t>
  </si>
  <si>
    <t xml:space="preserve">    8" 130 psi pipe</t>
  </si>
  <si>
    <t xml:space="preserve">    6" 130 psi pipe</t>
  </si>
  <si>
    <t xml:space="preserve">    4" 130 psi pipe</t>
  </si>
  <si>
    <t xml:space="preserve">    3" 130 psi pipe</t>
  </si>
  <si>
    <t xml:space="preserve">   24" 110 psi pipe</t>
  </si>
  <si>
    <t xml:space="preserve">   22" 110 psi pipe</t>
  </si>
  <si>
    <t xml:space="preserve">   18" 110 psi pipe</t>
  </si>
  <si>
    <t xml:space="preserve">   16" 110 psi pipe</t>
  </si>
  <si>
    <t xml:space="preserve">   14" 110 psi pipe</t>
  </si>
  <si>
    <t xml:space="preserve">   12" 110 psi pipe</t>
  </si>
  <si>
    <t xml:space="preserve">   10" 110 psi pipe</t>
  </si>
  <si>
    <t xml:space="preserve">    8" 110 psi pipe</t>
  </si>
  <si>
    <t xml:space="preserve">    6" 110 psi pipe</t>
  </si>
  <si>
    <t xml:space="preserve">    4" 110 psi pipe</t>
  </si>
  <si>
    <t xml:space="preserve">    3" 110 psi pipe</t>
  </si>
  <si>
    <t xml:space="preserve">    2" 110 psi pipe</t>
  </si>
  <si>
    <t>1-1/2" 110 psi pipe</t>
  </si>
  <si>
    <t xml:space="preserve"> 48" 65 psi pipe</t>
  </si>
  <si>
    <t xml:space="preserve"> 36" 65 psi pipe</t>
  </si>
  <si>
    <t xml:space="preserve"> 28" 65 psi pipe</t>
  </si>
  <si>
    <t xml:space="preserve"> 24" 65 psi pipe</t>
  </si>
  <si>
    <t xml:space="preserve"> 20" 65 psi pipe</t>
  </si>
  <si>
    <t xml:space="preserve"> 10" 65 psi pipe</t>
  </si>
  <si>
    <t xml:space="preserve">  8" 65 psi pipe</t>
  </si>
  <si>
    <t xml:space="preserve">  6" 65 psi pipe</t>
  </si>
  <si>
    <t xml:space="preserve"> 44" low press pipe</t>
  </si>
  <si>
    <t xml:space="preserve"> 42" low press pipe</t>
  </si>
  <si>
    <t xml:space="preserve"> 36" low press pipe</t>
  </si>
  <si>
    <t xml:space="preserve"> 32" low press pipe</t>
  </si>
  <si>
    <t xml:space="preserve"> 28" low press pipe</t>
  </si>
  <si>
    <t xml:space="preserve"> 24" low press pipe</t>
  </si>
  <si>
    <t xml:space="preserve"> 22" low press pipe</t>
  </si>
  <si>
    <t xml:space="preserve"> 20" low press pipe</t>
  </si>
  <si>
    <t xml:space="preserve"> 18" low press pipe</t>
  </si>
  <si>
    <t xml:space="preserve"> 16" low press pipe</t>
  </si>
  <si>
    <t xml:space="preserve"> 14" low press pipe</t>
  </si>
  <si>
    <t xml:space="preserve"> 12" low press pipe</t>
  </si>
  <si>
    <t xml:space="preserve"> 10" low press pipe</t>
  </si>
  <si>
    <t xml:space="preserve">  8" low press pipe</t>
  </si>
  <si>
    <t xml:space="preserve">  7" low press pipe</t>
  </si>
  <si>
    <t xml:space="preserve">  6" low press pipe</t>
  </si>
  <si>
    <t xml:space="preserve">  5" low press pipe</t>
  </si>
  <si>
    <t xml:space="preserve">  4" low press pipe</t>
  </si>
  <si>
    <t xml:space="preserve">  3" low press pipe</t>
  </si>
  <si>
    <t>HDPE class 8600 pipe butt jnts</t>
  </si>
  <si>
    <t xml:space="preserve">     4" SDR 13.5 315 psi SW</t>
  </si>
  <si>
    <t xml:space="preserve">     3" SDR 13.5 315 psi SW</t>
  </si>
  <si>
    <t xml:space="preserve"> 2-1/2" SDR 13.5 315 psi SW</t>
  </si>
  <si>
    <t xml:space="preserve">     2" SDR 13.5 315 psi SW</t>
  </si>
  <si>
    <t xml:space="preserve"> 1-1/2" SDR 13.5 315 psi SW</t>
  </si>
  <si>
    <t xml:space="preserve"> 1-1/4" SDR 13.5 315 psi SW</t>
  </si>
  <si>
    <t xml:space="preserve">     1" SDR 13.5 315 psi SW</t>
  </si>
  <si>
    <t xml:space="preserve">   3/4" SDR 13.5 315 psi SW</t>
  </si>
  <si>
    <t xml:space="preserve">   1/2" SDR 13.5 315 psi SW</t>
  </si>
  <si>
    <t xml:space="preserve">     8" SDR 21 200 psi SW</t>
  </si>
  <si>
    <t xml:space="preserve">     6" SDR 21 200 psi SW</t>
  </si>
  <si>
    <t xml:space="preserve">     4" SDR 21 200 psi SW</t>
  </si>
  <si>
    <t xml:space="preserve">     3" SDR 21 200 psi SW</t>
  </si>
  <si>
    <t xml:space="preserve"> 2-1/2" SDR 21 200 psi SW</t>
  </si>
  <si>
    <t xml:space="preserve">     2" SDR 21 200 psi SW</t>
  </si>
  <si>
    <t xml:space="preserve"> 1-1/2" SDR 21 200 psi SW</t>
  </si>
  <si>
    <t xml:space="preserve"> 1-1/4" SDR 21 200 psi SW</t>
  </si>
  <si>
    <t xml:space="preserve">     1" SDR 21 200 psi SW</t>
  </si>
  <si>
    <t xml:space="preserve">   3/4" SDR 21 200 psi SW</t>
  </si>
  <si>
    <t xml:space="preserve">   1/2" SDR 21 200 psi SW</t>
  </si>
  <si>
    <t xml:space="preserve">     8" SDR 26 160 psi SW</t>
  </si>
  <si>
    <t xml:space="preserve">     6" SDR 26 160 psi SW</t>
  </si>
  <si>
    <t xml:space="preserve">     4" SDR 26 160 psi SW</t>
  </si>
  <si>
    <t xml:space="preserve">     3" SDR 26 160 psi SW</t>
  </si>
  <si>
    <t xml:space="preserve"> 2-1/2" SDR 26 160 psi SW</t>
  </si>
  <si>
    <t xml:space="preserve">     2" SDR 26 160 psi SW</t>
  </si>
  <si>
    <t xml:space="preserve"> 1-1/2" SDR 26 160 psi SW</t>
  </si>
  <si>
    <t xml:space="preserve"> 1-1/4" SDR 26 160 psi SW</t>
  </si>
  <si>
    <t xml:space="preserve">     1" SDR 26 160 psi SW</t>
  </si>
  <si>
    <t xml:space="preserve">     8" SDR 32.5 125 psi SW</t>
  </si>
  <si>
    <t xml:space="preserve">     6" SDR 32.5 125 psi SW</t>
  </si>
  <si>
    <t xml:space="preserve">     4" SDR 32.5 125 psi SW</t>
  </si>
  <si>
    <t xml:space="preserve">     3" SDR 32.5 125 psi SW</t>
  </si>
  <si>
    <t xml:space="preserve"> 2-1/2" SDR 32.5 125 psi SW</t>
  </si>
  <si>
    <t xml:space="preserve">     2" SDR 32.5 125 psi SW</t>
  </si>
  <si>
    <t xml:space="preserve"> 1-1/2" SDR 32.5 125 psi SW</t>
  </si>
  <si>
    <t xml:space="preserve"> 1-1/4" SDR 32.5 125 psi SW</t>
  </si>
  <si>
    <t xml:space="preserve">     1" SDR 32.5 125 psi SW</t>
  </si>
  <si>
    <t xml:space="preserve">     8" Sch40 solvent welded</t>
  </si>
  <si>
    <t xml:space="preserve">     6" Sch40 solvent welded</t>
  </si>
  <si>
    <t xml:space="preserve">     4" Sch40 solvent welded</t>
  </si>
  <si>
    <t xml:space="preserve">     3" Sch40 solvent welded</t>
  </si>
  <si>
    <t xml:space="preserve"> 2-1/2" Sch40 solvent welded</t>
  </si>
  <si>
    <t xml:space="preserve">     2" Sch40 solvent welded</t>
  </si>
  <si>
    <t xml:space="preserve"> 1-1/2" Sch40 solvent welded</t>
  </si>
  <si>
    <t xml:space="preserve"> 1-1/4" Sch40 solvent welded</t>
  </si>
  <si>
    <t xml:space="preserve">     1" Sch40 solvent welded</t>
  </si>
  <si>
    <t xml:space="preserve">   3/4" Sch40 solvent welded</t>
  </si>
  <si>
    <t xml:space="preserve">   1/2" Sch40 solvent welded</t>
  </si>
  <si>
    <t>IPS pressure PVC pipe</t>
  </si>
  <si>
    <t>Add for glass lining -  36"</t>
  </si>
  <si>
    <t>Add for glass lining -  30"</t>
  </si>
  <si>
    <t>Add for glass lining -  24"</t>
  </si>
  <si>
    <t>Add for glass lining -  20"</t>
  </si>
  <si>
    <t>Add for glass lining -  18"</t>
  </si>
  <si>
    <t>Add for glass lining -  16"</t>
  </si>
  <si>
    <t>Add for glass lining -  14"</t>
  </si>
  <si>
    <t>Add for glass lining -  12"</t>
  </si>
  <si>
    <t>Add for glass lining -  10"</t>
  </si>
  <si>
    <t>Add for glass lining -   8"</t>
  </si>
  <si>
    <t>Add for glass lining -   6"</t>
  </si>
  <si>
    <t>Add for glass lining -   4"</t>
  </si>
  <si>
    <t>Add for epoxy paint - 144"</t>
  </si>
  <si>
    <t>Add for epoxy paint - 120"</t>
  </si>
  <si>
    <t>Add for epoxy paint - 108"</t>
  </si>
  <si>
    <t>Add for epoxy paint - 102"</t>
  </si>
  <si>
    <t>Add for epoxy paint -  96"</t>
  </si>
  <si>
    <t>Add for epoxy paint -  90"</t>
  </si>
  <si>
    <t>Add for epoxy paint -  84"</t>
  </si>
  <si>
    <t>Add for epoxy paint -  78"</t>
  </si>
  <si>
    <t>Add for epoxy paint -  72"</t>
  </si>
  <si>
    <t>Add for epoxy paint -  66"</t>
  </si>
  <si>
    <t>Add for epoxy paint -  60"</t>
  </si>
  <si>
    <t>Add for epoxy paint -  54"</t>
  </si>
  <si>
    <t>Add for epoxy paint -  48"</t>
  </si>
  <si>
    <t>Add for epoxy paint -  42"</t>
  </si>
  <si>
    <t>Add for epoxy paint -  36"</t>
  </si>
  <si>
    <t>Add for epoxy paint -  30"</t>
  </si>
  <si>
    <t>Add for epoxy paint -  24"</t>
  </si>
  <si>
    <t>Add for epoxy paint -  20"</t>
  </si>
  <si>
    <t>Add for epoxy paint -  18"</t>
  </si>
  <si>
    <t>Add for epoxy paint -  16"</t>
  </si>
  <si>
    <t>Add for epoxy paint -  14"</t>
  </si>
  <si>
    <t>Add for epoxy paint -  12"</t>
  </si>
  <si>
    <t>Add for epoxy paint -  10"</t>
  </si>
  <si>
    <t>Add for epoxy paint -   8"</t>
  </si>
  <si>
    <t>Add for epoxy paint -   6"</t>
  </si>
  <si>
    <t>Add for epoxy paint -   4"</t>
  </si>
  <si>
    <t>Add for epoxy paint -   2"</t>
  </si>
  <si>
    <t>Add for epoxy paint -   1"</t>
  </si>
  <si>
    <t>Add for cement lining - 144"</t>
  </si>
  <si>
    <t>Add for cement lining - 120"</t>
  </si>
  <si>
    <t>Add for cement lining - 108"</t>
  </si>
  <si>
    <t>Add for cement lining - 102"</t>
  </si>
  <si>
    <t>Add for cement lining -  96"</t>
  </si>
  <si>
    <t>Add for cement lining -  90"</t>
  </si>
  <si>
    <t>Add for cement lining -  84"</t>
  </si>
  <si>
    <t>Add for cement lining -  78"</t>
  </si>
  <si>
    <t>Add for cement lining -  72"</t>
  </si>
  <si>
    <t>Add for cement lining -  66"</t>
  </si>
  <si>
    <t>Add for cement lining -  60"</t>
  </si>
  <si>
    <t>Add for cement lining -  54"</t>
  </si>
  <si>
    <t>Add for cement lining -  48"</t>
  </si>
  <si>
    <t>Add for cement lining -  42"</t>
  </si>
  <si>
    <t>Add for cement lining -  36"</t>
  </si>
  <si>
    <t>Add for cement lining -  30"</t>
  </si>
  <si>
    <t>Add for cement lining -  24"</t>
  </si>
  <si>
    <t>Add for cement lining -  20"</t>
  </si>
  <si>
    <t>Add for cement lining -  18"</t>
  </si>
  <si>
    <t>Add for cement lining -  16"</t>
  </si>
  <si>
    <t>Add for cement lining -  14"</t>
  </si>
  <si>
    <t>Add for cement lining -  12"</t>
  </si>
  <si>
    <t>Add for cement lining -  10"</t>
  </si>
  <si>
    <t>Add for cement lining -   8"</t>
  </si>
  <si>
    <t>Add for cement lining -   6"</t>
  </si>
  <si>
    <t>Add for cement lining -   4"</t>
  </si>
  <si>
    <t>Add for cement lining -   2"</t>
  </si>
  <si>
    <t>Add for cement lining -   1"</t>
  </si>
  <si>
    <t>Add for cement coating - 144"</t>
  </si>
  <si>
    <t>Add for cement coating - 120"</t>
  </si>
  <si>
    <t>Add for cement coating - 108"</t>
  </si>
  <si>
    <t>Add for cement coating - 102"</t>
  </si>
  <si>
    <t>Add for cement coating -  96"</t>
  </si>
  <si>
    <t>Add for cement coating -  90"</t>
  </si>
  <si>
    <t>Add for cement coating -  84"</t>
  </si>
  <si>
    <t>Add for cement coating -  78"</t>
  </si>
  <si>
    <t>Add for cement coating -  72"</t>
  </si>
  <si>
    <t>Add for cement coating -  66"</t>
  </si>
  <si>
    <t>Add for cement coating -  60"</t>
  </si>
  <si>
    <t>Add for cement coating -  54"</t>
  </si>
  <si>
    <t>Add for cement coating -  48"</t>
  </si>
  <si>
    <t>Add for cement coating -  42"</t>
  </si>
  <si>
    <t>Add for cement coating -  36"</t>
  </si>
  <si>
    <t>Add for cement coating -  30"</t>
  </si>
  <si>
    <t>Add for cement coating -  24"</t>
  </si>
  <si>
    <t>Add for cement coating -  20"</t>
  </si>
  <si>
    <t>Add for cement coating -  18"</t>
  </si>
  <si>
    <t>Add for cement coating -  16"</t>
  </si>
  <si>
    <t>Add for cement coating -  14"</t>
  </si>
  <si>
    <t>Add for cement coating -  12"</t>
  </si>
  <si>
    <t>Add for cement coating -  10"</t>
  </si>
  <si>
    <t>Add for cement coating -   8"</t>
  </si>
  <si>
    <t>Add for cement coating -   6"</t>
  </si>
  <si>
    <t>Add for cement coating -   4"</t>
  </si>
  <si>
    <t>Add for cement coating -   2"</t>
  </si>
  <si>
    <t>Add for cement coating -   1"</t>
  </si>
  <si>
    <t>Add for CTE lining - 144"</t>
  </si>
  <si>
    <t>Add for CTE lining - 120"</t>
  </si>
  <si>
    <t>Add for CTE lining - 108"</t>
  </si>
  <si>
    <t>Add for CTE lining - 102"</t>
  </si>
  <si>
    <t>Add for CTE lining -  96"</t>
  </si>
  <si>
    <t>Add for CTE lining -  90"</t>
  </si>
  <si>
    <t>Add for CTE lining -  84"</t>
  </si>
  <si>
    <t>Add for CTE lining -  78"</t>
  </si>
  <si>
    <t>Add for CTE lining -  72"</t>
  </si>
  <si>
    <t>Add for CTE lining -  66"</t>
  </si>
  <si>
    <t>Add for CTE lining -  60"</t>
  </si>
  <si>
    <t>Add for CTE lining -  54"</t>
  </si>
  <si>
    <t>Add for CTE lining -  48"</t>
  </si>
  <si>
    <t>Add for CTE lining -  42"</t>
  </si>
  <si>
    <t>Add for CTE lining -  36"</t>
  </si>
  <si>
    <t>Add for CTE lining -  30"</t>
  </si>
  <si>
    <t>Add for CTE lining -  24"</t>
  </si>
  <si>
    <t>Add for CTE lining -  20"</t>
  </si>
  <si>
    <t>Add for CTE lining -  18"</t>
  </si>
  <si>
    <t>Add for CTE lining -  16"</t>
  </si>
  <si>
    <t>Add for CTE lining -  14"</t>
  </si>
  <si>
    <t>Add for CTE lining -  12"</t>
  </si>
  <si>
    <t>Add for CTE lining -  10"</t>
  </si>
  <si>
    <t>Add for CTE lining -   8"</t>
  </si>
  <si>
    <t>Add for CTE lining -   6"</t>
  </si>
  <si>
    <t>Add for CTE lining -   4"</t>
  </si>
  <si>
    <t>Add for CTE lining -   2"</t>
  </si>
  <si>
    <t>Add for CTE lining -   1"</t>
  </si>
  <si>
    <t>Add for CTE coating - 144"</t>
  </si>
  <si>
    <t>Add for CTE coating - 120"</t>
  </si>
  <si>
    <t>Add for CTE coating - 108"</t>
  </si>
  <si>
    <t>Add for CTE coating - 102"</t>
  </si>
  <si>
    <t>Add for CTE coating -  96"</t>
  </si>
  <si>
    <t>Add for CTE coating -  90"</t>
  </si>
  <si>
    <t>Add for CTE coating -  84"</t>
  </si>
  <si>
    <t>Add for CTE coating -  78"</t>
  </si>
  <si>
    <t>Add for CTE coating -  72"</t>
  </si>
  <si>
    <t>Add for CTE coating -  66"</t>
  </si>
  <si>
    <t>Add for CTE coating -  60"</t>
  </si>
  <si>
    <t>Add for CTE coating -  54"</t>
  </si>
  <si>
    <t>Add for CTE coating -  48"</t>
  </si>
  <si>
    <t>Add for CTE coating -  42"</t>
  </si>
  <si>
    <t>Add for CTE coating -  36"</t>
  </si>
  <si>
    <t>Add for CTE coating -  30"</t>
  </si>
  <si>
    <t>Add for CTE coating -  24"</t>
  </si>
  <si>
    <t>Add for CTE coating -  20"</t>
  </si>
  <si>
    <t>Add for CTE coating -  18"</t>
  </si>
  <si>
    <t>Add for CTE coating -  16"</t>
  </si>
  <si>
    <t>Add for CTE coating -  14"</t>
  </si>
  <si>
    <t>Add for CTE coating -  12"</t>
  </si>
  <si>
    <t>Add for CTE coating -  10"</t>
  </si>
  <si>
    <t>Add for CTE coating -   8"</t>
  </si>
  <si>
    <t>Add for CTE coating -   6"</t>
  </si>
  <si>
    <t>Add for CTE coating -   4"</t>
  </si>
  <si>
    <t>Add for CTE coating -   2"</t>
  </si>
  <si>
    <t>Add for CTE coating -   1"</t>
  </si>
  <si>
    <t>Add for tape coat 80 mil- 144"</t>
  </si>
  <si>
    <t>Add for tape coat 80 mil- 120"</t>
  </si>
  <si>
    <t>Add for tape coat 80 mil- 108"</t>
  </si>
  <si>
    <t>Add for tape coat 80 mil- 102"</t>
  </si>
  <si>
    <t>Add for tape coat 80 mil-  96"</t>
  </si>
  <si>
    <t>Add for tape coat 80 mil-  90"</t>
  </si>
  <si>
    <t>Add for tape coat 80 mil-  84"</t>
  </si>
  <si>
    <t>Add for tape coat 80 mil-  78"</t>
  </si>
  <si>
    <t>Add for tape coat 80 mil-  72"</t>
  </si>
  <si>
    <t>Add for tape coat 80 mil-  66"</t>
  </si>
  <si>
    <t>Add for tape coat 80 mil-  60"</t>
  </si>
  <si>
    <t>Add for tape coat 80 mil-  54"</t>
  </si>
  <si>
    <t>Add for tape coat 80 mil-  48"</t>
  </si>
  <si>
    <t>Add for tape coat 80 mil-  42"</t>
  </si>
  <si>
    <t>Add for tape coat 80 mil-  36"</t>
  </si>
  <si>
    <t>Add for tape coat 80 mil-  30"</t>
  </si>
  <si>
    <t>Add for tape coat 80 mil-  24"</t>
  </si>
  <si>
    <t>Add for tape coat 80 mil-  20"</t>
  </si>
  <si>
    <t>Add for tape coat 80 mil-  18"</t>
  </si>
  <si>
    <t>Add for tape coat 80 mil-  16"</t>
  </si>
  <si>
    <t>Add for tape coat 80 mil-  14"</t>
  </si>
  <si>
    <t>Add for tape coat 80 mil-  12"</t>
  </si>
  <si>
    <t>Add for tape coat 80 mil-  10"</t>
  </si>
  <si>
    <t>Add for tape coat 80 mil-   8"</t>
  </si>
  <si>
    <t>Add for tape coat 80 mil-   6"</t>
  </si>
  <si>
    <t>Add for tape coat 80 mil-   4"</t>
  </si>
  <si>
    <t>Add for tape coat 80 mil-   2"</t>
  </si>
  <si>
    <t>Add for tape coat 80 mil-   1"</t>
  </si>
  <si>
    <t>Add for tape coat 50 mil- 144"</t>
  </si>
  <si>
    <t>Add for tape coat 50 mil- 120"</t>
  </si>
  <si>
    <t>Add for tape coat 50 mil- 108"</t>
  </si>
  <si>
    <t>Add for tape coat 50 mil- 102"</t>
  </si>
  <si>
    <t>Add for tape coat 50 mil-  96"</t>
  </si>
  <si>
    <t>Add for tape coat 50 mil-  90"</t>
  </si>
  <si>
    <t>Add for tape coat 50 mil-  84"</t>
  </si>
  <si>
    <t>Add for tape coat 50 mil-  78"</t>
  </si>
  <si>
    <t>Add for tape coat 50 mil-  72"</t>
  </si>
  <si>
    <t>Add for tape coat 50 mil-  66"</t>
  </si>
  <si>
    <t>Add for tape coat 50 mil-  60"</t>
  </si>
  <si>
    <t>Add for tape coat 50 mil-  54"</t>
  </si>
  <si>
    <t>Add for tape coat 50 mil-  48"</t>
  </si>
  <si>
    <t>Add for tape coat 50 mil-  42"</t>
  </si>
  <si>
    <t>Add for tape coat 50 mil-  36"</t>
  </si>
  <si>
    <t>Add for tape coat 50 mil-  30"</t>
  </si>
  <si>
    <t>Add for tape coat 50 mil-  24"</t>
  </si>
  <si>
    <t>Add for tape coat 50 mil-  20"</t>
  </si>
  <si>
    <t>Add for tape coat 50 mil-  18"</t>
  </si>
  <si>
    <t>Add for tape coat 50 mil-  16"</t>
  </si>
  <si>
    <t>Add for tape coat 50 mil-  14"</t>
  </si>
  <si>
    <t>Add for tape coat 50 mil-  12"</t>
  </si>
  <si>
    <t>Add for tape coat 50 mil-  10"</t>
  </si>
  <si>
    <t>Add for tape coat 50 mil-   8"</t>
  </si>
  <si>
    <t>Add for tape coat 50 mil-   6"</t>
  </si>
  <si>
    <t>Add for tape coat 50 mil-   4"</t>
  </si>
  <si>
    <t>Add for tape coat 50 mil-   2"</t>
  </si>
  <si>
    <t>Add for tape coat 50 mil-   1"</t>
  </si>
  <si>
    <t>144" X heavyweight   BW</t>
  </si>
  <si>
    <t>120" X heavyweight   BW</t>
  </si>
  <si>
    <t>108" X heavyweight   BW</t>
  </si>
  <si>
    <t>102" X heavyweight   BW</t>
  </si>
  <si>
    <t xml:space="preserve"> 96" X heavyweight   BW</t>
  </si>
  <si>
    <t xml:space="preserve"> 90" X heavyweight   BW</t>
  </si>
  <si>
    <t xml:space="preserve"> 84" X heavyweight   BW</t>
  </si>
  <si>
    <t xml:space="preserve"> 78" X heavyweight   BW</t>
  </si>
  <si>
    <t xml:space="preserve"> 72" X heavyweight   BW</t>
  </si>
  <si>
    <t xml:space="preserve"> 66" X heavyweight   BW</t>
  </si>
  <si>
    <t xml:space="preserve"> 60" X heavyweight   BW</t>
  </si>
  <si>
    <t xml:space="preserve"> 54" X heavyweight   BW</t>
  </si>
  <si>
    <t xml:space="preserve"> 48" X heavyweight   BW</t>
  </si>
  <si>
    <t xml:space="preserve"> 42" X heavyweight   BW</t>
  </si>
  <si>
    <t xml:space="preserve"> 36" X heavyweight   BW</t>
  </si>
  <si>
    <t xml:space="preserve"> 30" X heavyweight   BW</t>
  </si>
  <si>
    <t xml:space="preserve"> 24" X heavyweight   BW</t>
  </si>
  <si>
    <t xml:space="preserve"> 20" X heavyweight   BW</t>
  </si>
  <si>
    <t xml:space="preserve"> 18" X heavyweight   BW</t>
  </si>
  <si>
    <t xml:space="preserve"> 16" X heavyweight   BW</t>
  </si>
  <si>
    <t xml:space="preserve"> 14" X heavyweight   BW</t>
  </si>
  <si>
    <t xml:space="preserve"> 12" X heavyweight   BW</t>
  </si>
  <si>
    <t xml:space="preserve"> 10" X heavyweight   BW</t>
  </si>
  <si>
    <t xml:space="preserve">  8" X heavyweight   BW</t>
  </si>
  <si>
    <t xml:space="preserve">  4" X heavyweight   BW</t>
  </si>
  <si>
    <t xml:space="preserve">  2" X heavyweight   BW</t>
  </si>
  <si>
    <t xml:space="preserve">  1" X heavyweight   BW</t>
  </si>
  <si>
    <t xml:space="preserve"> 24" Sch160 BW</t>
  </si>
  <si>
    <t xml:space="preserve"> 20" Sch160 BW</t>
  </si>
  <si>
    <t xml:space="preserve"> 18" Sch160 BW</t>
  </si>
  <si>
    <t xml:space="preserve"> 16"Sch160 BW</t>
  </si>
  <si>
    <t xml:space="preserve"> 14" Sh160 BW</t>
  </si>
  <si>
    <t xml:space="preserve"> 12" Sch160 BW</t>
  </si>
  <si>
    <t xml:space="preserve"> 10" Sh160 BW</t>
  </si>
  <si>
    <t xml:space="preserve">  8" Sh160 BW</t>
  </si>
  <si>
    <t xml:space="preserve">  6" Sh160 BW</t>
  </si>
  <si>
    <t xml:space="preserve">  4" Sh160 BW</t>
  </si>
  <si>
    <t xml:space="preserve">  2" Sh160 BW</t>
  </si>
  <si>
    <t xml:space="preserve">  1" Sh160 BW</t>
  </si>
  <si>
    <t xml:space="preserve"> 24" Sch40 BW</t>
  </si>
  <si>
    <t xml:space="preserve"> 20" Sch40 BW</t>
  </si>
  <si>
    <t xml:space="preserve"> 18" Sch40 BW</t>
  </si>
  <si>
    <t xml:space="preserve"> 16" Sch40 BW</t>
  </si>
  <si>
    <t xml:space="preserve"> 14" Sch40 BW</t>
  </si>
  <si>
    <t xml:space="preserve"> 12" Sch40 BW</t>
  </si>
  <si>
    <t xml:space="preserve"> 10" Sch40 BW</t>
  </si>
  <si>
    <t xml:space="preserve">  8" Sch40 BW</t>
  </si>
  <si>
    <t xml:space="preserve">  4" Sch40 BW</t>
  </si>
  <si>
    <t xml:space="preserve">  2" Sch80 BW</t>
  </si>
  <si>
    <t xml:space="preserve">  1" Sch80 BW</t>
  </si>
  <si>
    <t xml:space="preserve"> 36" Sch40 BW</t>
  </si>
  <si>
    <t xml:space="preserve">  6" Sch40 BW</t>
  </si>
  <si>
    <t xml:space="preserve">  2" Sch40 BW</t>
  </si>
  <si>
    <t xml:space="preserve">  1" Sch40 BW</t>
  </si>
  <si>
    <t>144" stdwt BW</t>
  </si>
  <si>
    <t>120" stdwt BW</t>
  </si>
  <si>
    <t>108" stdwt BW</t>
  </si>
  <si>
    <t>102" stdwt BW</t>
  </si>
  <si>
    <t xml:space="preserve"> 96" stdwt BW</t>
  </si>
  <si>
    <t xml:space="preserve"> 90" stdwt BW</t>
  </si>
  <si>
    <t xml:space="preserve"> 84" stdwt BW</t>
  </si>
  <si>
    <t xml:space="preserve"> 78" stdwt BW</t>
  </si>
  <si>
    <t xml:space="preserve"> 72" stdwt BW</t>
  </si>
  <si>
    <t xml:space="preserve"> 66" stdwt BW</t>
  </si>
  <si>
    <t xml:space="preserve"> 60" stdwt BW</t>
  </si>
  <si>
    <t xml:space="preserve"> 54" stdwt BW</t>
  </si>
  <si>
    <t xml:space="preserve"> 48" stdwt BW</t>
  </si>
  <si>
    <t xml:space="preserve"> 42" stdwt BW</t>
  </si>
  <si>
    <t xml:space="preserve"> 36" stdwt BW</t>
  </si>
  <si>
    <t xml:space="preserve"> 30" stdwt BW</t>
  </si>
  <si>
    <t xml:space="preserve"> 24" stdwt BW</t>
  </si>
  <si>
    <t xml:space="preserve"> 20" stdwt BW</t>
  </si>
  <si>
    <t xml:space="preserve"> 18" stdwt BW</t>
  </si>
  <si>
    <t xml:space="preserve"> 16" stdwt BW</t>
  </si>
  <si>
    <t xml:space="preserve"> 14" stdwt BW</t>
  </si>
  <si>
    <t xml:space="preserve"> 12" stdwt BW</t>
  </si>
  <si>
    <t xml:space="preserve"> 10" stdwt BW</t>
  </si>
  <si>
    <t xml:space="preserve">  8" stdwt BW</t>
  </si>
  <si>
    <t xml:space="preserve">  6" stdwt BW</t>
  </si>
  <si>
    <t xml:space="preserve">  4" stdwt BW</t>
  </si>
  <si>
    <t xml:space="preserve">  2" stdwt BW</t>
  </si>
  <si>
    <t xml:space="preserve">  1" stdwt BW</t>
  </si>
  <si>
    <t xml:space="preserve"> 36" Sch20 BW</t>
  </si>
  <si>
    <t xml:space="preserve"> 30" Sch20 BW</t>
  </si>
  <si>
    <t xml:space="preserve"> 24" Sch20 BW</t>
  </si>
  <si>
    <t xml:space="preserve"> 20" Sch20 BW</t>
  </si>
  <si>
    <t xml:space="preserve"> 18" Sch20 BW</t>
  </si>
  <si>
    <t xml:space="preserve"> 16" Sch20 BW</t>
  </si>
  <si>
    <t xml:space="preserve"> 14" Sch20 BW</t>
  </si>
  <si>
    <t xml:space="preserve"> 12" Sch20 BW</t>
  </si>
  <si>
    <t xml:space="preserve"> 10" Sch20 BW</t>
  </si>
  <si>
    <t xml:space="preserve">  8" Sch20 BW</t>
  </si>
  <si>
    <t xml:space="preserve"> 36" Sch10 BW</t>
  </si>
  <si>
    <t xml:space="preserve"> 30" Sch10 BW</t>
  </si>
  <si>
    <t xml:space="preserve"> 16" Sch10 BW</t>
  </si>
  <si>
    <t xml:space="preserve"> 14" Sch10 BW</t>
  </si>
  <si>
    <t xml:space="preserve"> 10" Sch10 BW</t>
  </si>
  <si>
    <t xml:space="preserve">  8" Sch10 BW</t>
  </si>
  <si>
    <t xml:space="preserve">  6" Sch10 BW</t>
  </si>
  <si>
    <t xml:space="preserve">  4" Sch10 BW</t>
  </si>
  <si>
    <t xml:space="preserve">  2" Sch10 BW</t>
  </si>
  <si>
    <t xml:space="preserve">  1" Sch10 BW</t>
  </si>
  <si>
    <t>Steel pipe A36</t>
  </si>
  <si>
    <t>32" 575# wtr tight MH cvr/frm</t>
  </si>
  <si>
    <t>26" 500# wtr tight MH cvr/frm</t>
  </si>
  <si>
    <t>24" 350# wtr tight MH cvr/frm</t>
  </si>
  <si>
    <t>20" 200# wtr tight MH cvr/frm</t>
  </si>
  <si>
    <t>30" 620# std MH cvr/frm</t>
  </si>
  <si>
    <t>26" 475# std MH cvr/frm</t>
  </si>
  <si>
    <t>24" 350# std MH cvr/frm</t>
  </si>
  <si>
    <t>20" 200# std MH cvr/frm</t>
  </si>
  <si>
    <t>18" 100# std MH cvr/frm</t>
  </si>
  <si>
    <t>36" 1150# hvy duty MH cvr/frm</t>
  </si>
  <si>
    <t>24" 400# hvy duty MH cvr/frm</t>
  </si>
  <si>
    <t>36" 900# lt duty MH cvr/frm</t>
  </si>
  <si>
    <t>24" 300# lt duty MH cvr/frm</t>
  </si>
  <si>
    <t>18" 100# lt duty MH cvr/frm</t>
  </si>
  <si>
    <t>* No. of manholes and catchbasins *</t>
  </si>
  <si>
    <t>6' DIameter precast manhole</t>
  </si>
  <si>
    <t>5' DIameter precast manhole</t>
  </si>
  <si>
    <t>4' DIameter precast manhole</t>
  </si>
  <si>
    <t>CIP concrete manhole</t>
  </si>
  <si>
    <t>4' DIameter block manhole</t>
  </si>
  <si>
    <t>4' DIameter brick manhole</t>
  </si>
  <si>
    <t>12" perforated PVC pipe</t>
  </si>
  <si>
    <t>10" perforated PVC pipe</t>
  </si>
  <si>
    <t>8" perforated PVC pipe</t>
  </si>
  <si>
    <t>6" perforated PVC pipe</t>
  </si>
  <si>
    <t>4" perforated PVC pipe</t>
  </si>
  <si>
    <t>27" PVC pipe</t>
  </si>
  <si>
    <t>24" PVC pipe</t>
  </si>
  <si>
    <t>21" PVC pipe</t>
  </si>
  <si>
    <t>18" PVC pipe</t>
  </si>
  <si>
    <t>15" PVC pipe</t>
  </si>
  <si>
    <t>12" PVC pipe</t>
  </si>
  <si>
    <t>10" PVC pipe</t>
  </si>
  <si>
    <t>8" PVC pipe</t>
  </si>
  <si>
    <t>6" PVC pipe</t>
  </si>
  <si>
    <t>12" perf vitrified clay pipe</t>
  </si>
  <si>
    <t>10" perf vitrified clay pipe</t>
  </si>
  <si>
    <t>8" perf vitrified clay pipe</t>
  </si>
  <si>
    <t>6" perf vitrified clay pipe</t>
  </si>
  <si>
    <t>4" perf vitrified clay pipe</t>
  </si>
  <si>
    <t>36" vitrified clay pipe</t>
  </si>
  <si>
    <t>30" vitrified clay pipe</t>
  </si>
  <si>
    <t>27" vitrified clay pipe</t>
  </si>
  <si>
    <t>24" vitrified clay pipe</t>
  </si>
  <si>
    <t>21" vitrified clay pipe</t>
  </si>
  <si>
    <t>18" vitrified clay pipe</t>
  </si>
  <si>
    <t>15" vitrified clay pipe</t>
  </si>
  <si>
    <t>12" vitrified clay pipe</t>
  </si>
  <si>
    <t>10" vitrified clay pipe</t>
  </si>
  <si>
    <t>8" vitrified clay pipe</t>
  </si>
  <si>
    <t>6" vitrified clay pipe</t>
  </si>
  <si>
    <t>4" vitrified clay pipe</t>
  </si>
  <si>
    <t>DI adder for glass lining 54"</t>
  </si>
  <si>
    <t>DI adder for glass lining 48"</t>
  </si>
  <si>
    <t>DI adder for glass lining 42"</t>
  </si>
  <si>
    <t>DI adder for glass lining 36"</t>
  </si>
  <si>
    <t>DI adder for glass lining 30"</t>
  </si>
  <si>
    <t>DI adder for glass lining 24"</t>
  </si>
  <si>
    <t>DI adder for glass lining 20"</t>
  </si>
  <si>
    <t>DI adder for glass lining 18"</t>
  </si>
  <si>
    <t>DI adder for glass lining 16"</t>
  </si>
  <si>
    <t>DI adder for glass lining 14"</t>
  </si>
  <si>
    <t>DI adder for glass lining 12"</t>
  </si>
  <si>
    <t>DI adder for glass lining 10"</t>
  </si>
  <si>
    <t>DI adder for glass lining  8"</t>
  </si>
  <si>
    <t>DI adder for glass lining  6"</t>
  </si>
  <si>
    <t>DI adder for glass lining  4"</t>
  </si>
  <si>
    <t>DI adder for flanged joint 24"</t>
  </si>
  <si>
    <t>DI adder for flanged joint 20"</t>
  </si>
  <si>
    <t>DI adder for flanged joint 18"</t>
  </si>
  <si>
    <t>DI adder for flanged joint 16"</t>
  </si>
  <si>
    <t>DI adder for flanged joint 14"</t>
  </si>
  <si>
    <t>DI adder for flanged joint 12"</t>
  </si>
  <si>
    <t>DI adder for flanged joint 10"</t>
  </si>
  <si>
    <t>DI adder for flanged joint  8"</t>
  </si>
  <si>
    <t>DI adder for flanged joint  6"</t>
  </si>
  <si>
    <t>DI adder for flanged joint  4"</t>
  </si>
  <si>
    <t>DI adder for grooved joint 24"</t>
  </si>
  <si>
    <t>DI adder for grooved joint 20"</t>
  </si>
  <si>
    <t>DI adder for grooved joint 18"</t>
  </si>
  <si>
    <t>DI adder for grooved joint 16"</t>
  </si>
  <si>
    <t>DI adder for grooved joint 14"</t>
  </si>
  <si>
    <t>DI adder for grooved joint 12"</t>
  </si>
  <si>
    <t>DI adder for grooved joint 10"</t>
  </si>
  <si>
    <t>DI adder for grooved joint  8"</t>
  </si>
  <si>
    <t>DI adder for grooved joint  6"</t>
  </si>
  <si>
    <t>DI adder for grooved joint  4"</t>
  </si>
  <si>
    <t>DI adder for restrained jt 54"</t>
  </si>
  <si>
    <t>DI adder for restrained jt 48"</t>
  </si>
  <si>
    <t>DI adder for restrained jt 42"</t>
  </si>
  <si>
    <t>DI adder for restrained jt 36"</t>
  </si>
  <si>
    <t>DI adder for restrained jt 30"</t>
  </si>
  <si>
    <t>DI adder for restrained joint 24"</t>
  </si>
  <si>
    <t>DI adder for restrained jt 20"</t>
  </si>
  <si>
    <t>DI adder for restrained jt 18"</t>
  </si>
  <si>
    <t>DI adder for restrained jt 16"</t>
  </si>
  <si>
    <t>DI adder for restrained jt 14"</t>
  </si>
  <si>
    <t>DI adder for restrained joint 12"</t>
  </si>
  <si>
    <t>DI adder for restrained jt 10"</t>
  </si>
  <si>
    <t>DI adder for restrained jt  8"</t>
  </si>
  <si>
    <t>DI adder for restrained jt  6"</t>
  </si>
  <si>
    <t>DI adder for restrained jt  4"</t>
  </si>
  <si>
    <t>DI adder for MJ joint 54"</t>
  </si>
  <si>
    <t>DI adder for MJ joint 48"</t>
  </si>
  <si>
    <t>DI adder for MJ joint 42"</t>
  </si>
  <si>
    <t>DI adder for MJ joint 36"</t>
  </si>
  <si>
    <t>DI adder for MJ joint 30"</t>
  </si>
  <si>
    <t>DI adder for MJ joint 24"</t>
  </si>
  <si>
    <t>DI adder for MJ joint 20"</t>
  </si>
  <si>
    <t>DI adder for MJ joint 18"</t>
  </si>
  <si>
    <t>DI adder for MJ joint 16"</t>
  </si>
  <si>
    <t>DI adder for MJ joint 14"</t>
  </si>
  <si>
    <t>DI adder for MJ joint 12"</t>
  </si>
  <si>
    <t>DI adder for MJ joint 10"</t>
  </si>
  <si>
    <t>DI adder for MJ joint  8"</t>
  </si>
  <si>
    <t>DI adder for MJ joint  6"</t>
  </si>
  <si>
    <t>DI adder for MJ joint  4"</t>
  </si>
  <si>
    <t>36" CL56 PJ         /</t>
  </si>
  <si>
    <t>30" CL56 PJ         /</t>
  </si>
  <si>
    <t>24" CL56 PJ         /</t>
  </si>
  <si>
    <t>20" CL56 PJ         /</t>
  </si>
  <si>
    <t>18" CL56 PJ         /</t>
  </si>
  <si>
    <t>16" CL56 PJ         /</t>
  </si>
  <si>
    <t>14" CL56 PJ         /</t>
  </si>
  <si>
    <t>12" CL56 PJ         /</t>
  </si>
  <si>
    <t>10" CL56 PJ         /</t>
  </si>
  <si>
    <t xml:space="preserve"> 8" CL56 PJ         /</t>
  </si>
  <si>
    <t xml:space="preserve"> 6" CL56 PJ         /</t>
  </si>
  <si>
    <t xml:space="preserve"> 4" CL56 PJ         /</t>
  </si>
  <si>
    <t>54" CL55 PJ         /</t>
  </si>
  <si>
    <t>48" CL55 PJ         /</t>
  </si>
  <si>
    <t>42" CL55 PJ         /</t>
  </si>
  <si>
    <t>36" CL55 PJ         /</t>
  </si>
  <si>
    <t>30" CL55 PJ         /</t>
  </si>
  <si>
    <t>24" CL55 PJ         /</t>
  </si>
  <si>
    <t>20" CL55 PJ         /</t>
  </si>
  <si>
    <t>18" CL55 PJ         /</t>
  </si>
  <si>
    <t>16" CL55 PJ         /</t>
  </si>
  <si>
    <t>14" CL55 PJ         /</t>
  </si>
  <si>
    <t>12" CL55 PJ         /</t>
  </si>
  <si>
    <t>10" CL55 PJ         /</t>
  </si>
  <si>
    <t xml:space="preserve"> 8" CL55 PJ         /</t>
  </si>
  <si>
    <t xml:space="preserve"> 6" CL55 PJ         /</t>
  </si>
  <si>
    <t xml:space="preserve"> 4" CL55 PJ         /</t>
  </si>
  <si>
    <t>54" CL54 PJ         /</t>
  </si>
  <si>
    <t>48" CL54 PJ         /</t>
  </si>
  <si>
    <t>42" CL54 PJ         /</t>
  </si>
  <si>
    <t>36" CL54 PJ         /</t>
  </si>
  <si>
    <t>30" CL54 PJ         /</t>
  </si>
  <si>
    <t>24" CL54 PJ         /</t>
  </si>
  <si>
    <t>20" CL54 PJ         /</t>
  </si>
  <si>
    <t>18" CL54 PJ         /</t>
  </si>
  <si>
    <t>16" CL54 PJ         /</t>
  </si>
  <si>
    <t>14" CL54 PJ         /</t>
  </si>
  <si>
    <t>12" CL54 PJ         /</t>
  </si>
  <si>
    <t>10" CL54 PJ         /</t>
  </si>
  <si>
    <t xml:space="preserve"> 8" CL54 PJ         /</t>
  </si>
  <si>
    <t xml:space="preserve"> 6" CL54 PJ         /</t>
  </si>
  <si>
    <t xml:space="preserve"> 4" CL54 PJ         /</t>
  </si>
  <si>
    <t>54" CL53 PJ         /</t>
  </si>
  <si>
    <t>48" CL53 PJ         /</t>
  </si>
  <si>
    <t>42" CL53 PJ         /</t>
  </si>
  <si>
    <t>36" CL53 PJ         /</t>
  </si>
  <si>
    <t>30" CL53 PJ         /</t>
  </si>
  <si>
    <t>24" CL53 PJ         /</t>
  </si>
  <si>
    <t>20" CL53 PJ         /</t>
  </si>
  <si>
    <t>18" CL53 PJ         /</t>
  </si>
  <si>
    <t>16" CL53 PJ         /</t>
  </si>
  <si>
    <t>14" CL53 PJ         /</t>
  </si>
  <si>
    <t>12" CL53 PJ         /</t>
  </si>
  <si>
    <t>10" CL53 PJ         /</t>
  </si>
  <si>
    <t xml:space="preserve"> 8" CL53 PJ         /</t>
  </si>
  <si>
    <t xml:space="preserve"> 6" CL53 PJ         /</t>
  </si>
  <si>
    <t xml:space="preserve"> 4" CL53 PJ         /</t>
  </si>
  <si>
    <t>54" CL52 PJ         /</t>
  </si>
  <si>
    <t>48" CL52 PJ         /</t>
  </si>
  <si>
    <t>42" CL52 PJ         /</t>
  </si>
  <si>
    <t>36" CL52 PJ         /</t>
  </si>
  <si>
    <t>30" CL52 PJ         /</t>
  </si>
  <si>
    <t>24" CL52 PJ         /</t>
  </si>
  <si>
    <t>20" CL52 PJ         /</t>
  </si>
  <si>
    <t>18" CL52 PJ         /</t>
  </si>
  <si>
    <t>16" CL52 PJ         /</t>
  </si>
  <si>
    <t>14" CL52 PJ         /</t>
  </si>
  <si>
    <t>12" CL52 PJ         /</t>
  </si>
  <si>
    <t>10" CL52 PJ         /</t>
  </si>
  <si>
    <t xml:space="preserve"> 8" CL52 PJ         /</t>
  </si>
  <si>
    <t xml:space="preserve"> 6" CL52 PJ         /</t>
  </si>
  <si>
    <t xml:space="preserve"> 4" CL52 PJ         /</t>
  </si>
  <si>
    <t>54" CL51 PJ         /</t>
  </si>
  <si>
    <t>48" CL51 PJ         /</t>
  </si>
  <si>
    <t>42" CL51 PJ         /</t>
  </si>
  <si>
    <t>36" CL51 PJ         /</t>
  </si>
  <si>
    <t>30" CL51 PJ         /</t>
  </si>
  <si>
    <t>24" CL51 PJ         /</t>
  </si>
  <si>
    <t>20" CL51 PJ         /</t>
  </si>
  <si>
    <t>18" CL51 PJ         /</t>
  </si>
  <si>
    <t>16" CL51 PJ         /</t>
  </si>
  <si>
    <t>14" CL51 PJ         /</t>
  </si>
  <si>
    <t>12" CL51 PJ         /</t>
  </si>
  <si>
    <t>10" CL51 PJ         /</t>
  </si>
  <si>
    <t xml:space="preserve"> 8" CL51 PJ         /</t>
  </si>
  <si>
    <t xml:space="preserve"> 6" CL51 PJ         /</t>
  </si>
  <si>
    <t xml:space="preserve"> 4" CL51 PJ         /</t>
  </si>
  <si>
    <t>54" CL50 PJ         /</t>
  </si>
  <si>
    <t>48" CL50 PJ         /</t>
  </si>
  <si>
    <t>42" CL50 PJ         /</t>
  </si>
  <si>
    <t>36" CL50 PJ         /</t>
  </si>
  <si>
    <t>30" CL50 PJ         /</t>
  </si>
  <si>
    <t>24" CL50 PJ         /</t>
  </si>
  <si>
    <t>20" CL50 PJ         /</t>
  </si>
  <si>
    <t>18" CL50 PJ         /</t>
  </si>
  <si>
    <t>16" CL50 PJ         /</t>
  </si>
  <si>
    <t>14" CL50 PJ         /</t>
  </si>
  <si>
    <t>12" CL50 PJ         /</t>
  </si>
  <si>
    <t>10" CL50 PJ         /</t>
  </si>
  <si>
    <t xml:space="preserve"> 8" CL50 PJ         /</t>
  </si>
  <si>
    <t xml:space="preserve"> 6" CL50 PJ         /</t>
  </si>
  <si>
    <t xml:space="preserve"> 4" CL50 PJ         /</t>
  </si>
  <si>
    <t>Ductile iron pipe</t>
  </si>
  <si>
    <t xml:space="preserve"> Thrust block  156"</t>
  </si>
  <si>
    <t xml:space="preserve"> Thrust block  150"</t>
  </si>
  <si>
    <t xml:space="preserve"> Thrust block  144"</t>
  </si>
  <si>
    <t xml:space="preserve"> Thrust block  138"</t>
  </si>
  <si>
    <t xml:space="preserve"> Thrust block  132"</t>
  </si>
  <si>
    <t xml:space="preserve"> Thrust block  126"</t>
  </si>
  <si>
    <t xml:space="preserve"> Thrust block  120"</t>
  </si>
  <si>
    <t xml:space="preserve"> Thrust block  114"</t>
  </si>
  <si>
    <t xml:space="preserve"> Thrust block  108"</t>
  </si>
  <si>
    <t xml:space="preserve"> Thrust block  102"</t>
  </si>
  <si>
    <t xml:space="preserve"> Thrust block  96"</t>
  </si>
  <si>
    <t xml:space="preserve"> Thrust block  90"</t>
  </si>
  <si>
    <t xml:space="preserve"> Thrust block  84"</t>
  </si>
  <si>
    <t xml:space="preserve"> Thrust block  78"</t>
  </si>
  <si>
    <t xml:space="preserve"> Thrust block  72"</t>
  </si>
  <si>
    <t xml:space="preserve"> Thrust block  66"</t>
  </si>
  <si>
    <t xml:space="preserve"> Thrust block  60"</t>
  </si>
  <si>
    <t xml:space="preserve"> Thrust block  54"</t>
  </si>
  <si>
    <t xml:space="preserve"> Thrust block  48"</t>
  </si>
  <si>
    <t xml:space="preserve"> Thrust block  42"</t>
  </si>
  <si>
    <t xml:space="preserve"> Thrust block  36"</t>
  </si>
  <si>
    <t xml:space="preserve"> Thrust block  34"</t>
  </si>
  <si>
    <t xml:space="preserve"> Thrust block  32"</t>
  </si>
  <si>
    <t xml:space="preserve"> Thrust block  30"</t>
  </si>
  <si>
    <t xml:space="preserve"> Thrust block  28"</t>
  </si>
  <si>
    <t xml:space="preserve"> Thrust block  26"</t>
  </si>
  <si>
    <t xml:space="preserve"> Thrust block  24"</t>
  </si>
  <si>
    <t xml:space="preserve"> Thrust block  22"</t>
  </si>
  <si>
    <t xml:space="preserve"> Thrust block  20"</t>
  </si>
  <si>
    <t xml:space="preserve"> Thrust block  18"</t>
  </si>
  <si>
    <t xml:space="preserve"> Thrust block  16"</t>
  </si>
  <si>
    <t xml:space="preserve"> Thrust block  14"</t>
  </si>
  <si>
    <t xml:space="preserve"> Thrust block  12"</t>
  </si>
  <si>
    <t xml:space="preserve"> Thrust block  10"</t>
  </si>
  <si>
    <t xml:space="preserve"> Thrust block  8"</t>
  </si>
  <si>
    <t xml:space="preserve"> Thrust block  6"</t>
  </si>
  <si>
    <t xml:space="preserve"> Thrust block  5"</t>
  </si>
  <si>
    <t xml:space="preserve"> Thrust block  4"</t>
  </si>
  <si>
    <t xml:space="preserve"> Thrust block  3-1/2"</t>
  </si>
  <si>
    <t xml:space="preserve"> Thrust block  3"</t>
  </si>
  <si>
    <t xml:space="preserve"> Thrust block  2-1/2"</t>
  </si>
  <si>
    <t xml:space="preserve"> Thrust block  2"</t>
  </si>
  <si>
    <t xml:space="preserve"> Thrust block  1-1/2"</t>
  </si>
  <si>
    <t xml:space="preserve"> Thrust block  1-1/4"</t>
  </si>
  <si>
    <t xml:space="preserve"> Thrust block  1"</t>
  </si>
  <si>
    <t xml:space="preserve"> Thrust block  3/4"</t>
  </si>
  <si>
    <t xml:space="preserve"> Thrust block  1/2"</t>
  </si>
  <si>
    <t>Piping accessories</t>
  </si>
  <si>
    <t>* Miscellaneous site foundation area *</t>
  </si>
  <si>
    <t>Rebar @ wall</t>
  </si>
  <si>
    <t>Formwork @ wall</t>
  </si>
  <si>
    <t>Concrete finish @ wall</t>
  </si>
  <si>
    <t>Concrete @ wall</t>
  </si>
  <si>
    <t>Rebar @ footing</t>
  </si>
  <si>
    <t>Concrete @ footing</t>
  </si>
  <si>
    <t>Formwork @ footing</t>
  </si>
  <si>
    <t>** Casisson concrete **</t>
  </si>
  <si>
    <t>* No. of caissons *</t>
  </si>
  <si>
    <t>**Length of caisson**</t>
  </si>
  <si>
    <t>Protect and cure horizontal caisson top surfaces</t>
  </si>
  <si>
    <t>Clean caisson top</t>
  </si>
  <si>
    <t>84" shaft caisson and casing</t>
  </si>
  <si>
    <t>72" shaft caisson and casing</t>
  </si>
  <si>
    <t>60" shaft caisson and casing</t>
  </si>
  <si>
    <t>48" shaft caisson and casing</t>
  </si>
  <si>
    <t>36" shaft caisson and casing</t>
  </si>
  <si>
    <t>30" shaft caisson and casing</t>
  </si>
  <si>
    <t>24" shaft caisson and casing</t>
  </si>
  <si>
    <t>84" bell caisson and casing</t>
  </si>
  <si>
    <t>72" bell caisson and casing</t>
  </si>
  <si>
    <t>60" bell caisson and casing</t>
  </si>
  <si>
    <t>48" bell caisson and casing</t>
  </si>
  <si>
    <t>36" bell caisson and casing</t>
  </si>
  <si>
    <t>30" bell caisson and casing</t>
  </si>
  <si>
    <t>24" bell caisson and casing</t>
  </si>
  <si>
    <t>84" straight shaft caisson</t>
  </si>
  <si>
    <t>72" straight shaft caisson</t>
  </si>
  <si>
    <t>60" straight shaft caisson</t>
  </si>
  <si>
    <t>48" straight shaft caisson</t>
  </si>
  <si>
    <t>36" straight shaft caisson</t>
  </si>
  <si>
    <t>30" straight shaft caisson</t>
  </si>
  <si>
    <t>24" straight shaft caisson</t>
  </si>
  <si>
    <t>84" bell caisson</t>
  </si>
  <si>
    <t>72" bell caisson</t>
  </si>
  <si>
    <t>60" bell caisson</t>
  </si>
  <si>
    <t>48" bell caisson</t>
  </si>
  <si>
    <t>36" bell caisson</t>
  </si>
  <si>
    <t>30" bell caisson</t>
  </si>
  <si>
    <t>24" bell caisson</t>
  </si>
  <si>
    <t>Rebar in caissons</t>
  </si>
  <si>
    <t xml:space="preserve">  Mix B w/cart &amp; run</t>
  </si>
  <si>
    <t xml:space="preserve">  Mix A w/cart &amp; run</t>
  </si>
  <si>
    <t xml:space="preserve">  5000 psi w/ cart &amp; run</t>
  </si>
  <si>
    <t xml:space="preserve">  4000 psi w/cart &amp; run</t>
  </si>
  <si>
    <t xml:space="preserve">  3750 psi w/cart &amp; run</t>
  </si>
  <si>
    <t xml:space="preserve">  3500 psi w/cart &amp; run</t>
  </si>
  <si>
    <t xml:space="preserve">  2500 psi w/cart &amp; run</t>
  </si>
  <si>
    <t xml:space="preserve">  3000 psi w/cart &amp; run</t>
  </si>
  <si>
    <t>**Concrete in caissons**</t>
  </si>
  <si>
    <t>Overexcavation for casing</t>
  </si>
  <si>
    <t>Excav caisson - rock</t>
  </si>
  <si>
    <t>Excav caisson soft rock</t>
  </si>
  <si>
    <t>Excav caisson wet earth</t>
  </si>
  <si>
    <t>Remove surplus excavation</t>
  </si>
  <si>
    <t>Excav caisson stable earth</t>
  </si>
  <si>
    <t>Caisson fiber tube top forms, 84"</t>
  </si>
  <si>
    <t>Caisson fiber tube top forms, 72"</t>
  </si>
  <si>
    <t>Caisson fiber tube top forms, 66"</t>
  </si>
  <si>
    <t>Caisson fiber tube top forms, 60"</t>
  </si>
  <si>
    <t>Caisson fiber tube top forms, 54"</t>
  </si>
  <si>
    <t>Caisson fiber tube top forms, 48"</t>
  </si>
  <si>
    <t>Caisson fiber tube top forms, 42"</t>
  </si>
  <si>
    <t>Caisson fiber tube top forms, 36"</t>
  </si>
  <si>
    <t>Caisson fiber tube top forms, 30"</t>
  </si>
  <si>
    <t>Caisson fiber tube top forms, 24"</t>
  </si>
  <si>
    <t>Caisson fiber tube top forms, 20"</t>
  </si>
  <si>
    <t>Caisson fiber tube top forms, 18"</t>
  </si>
  <si>
    <t>Caisson fiber tube top forms, 16"</t>
  </si>
  <si>
    <t>Caisson fiber tube top forms, 12"</t>
  </si>
  <si>
    <t>84" steel casing, reused</t>
  </si>
  <si>
    <t>72" steel casing, reused</t>
  </si>
  <si>
    <t>66" steel casing, reused</t>
  </si>
  <si>
    <t>60" steel casing, reused</t>
  </si>
  <si>
    <t>54" steel casing, reused</t>
  </si>
  <si>
    <t>48" steel casing, reused</t>
  </si>
  <si>
    <t>42" steel casing, reused</t>
  </si>
  <si>
    <t>36" steel casing, reused</t>
  </si>
  <si>
    <t>30" steel casing, reused</t>
  </si>
  <si>
    <t>24" steel casing, reused</t>
  </si>
  <si>
    <t>20" steel casing, reused</t>
  </si>
  <si>
    <t>18" steel casing, reused</t>
  </si>
  <si>
    <t>16" steel casing, reused</t>
  </si>
  <si>
    <t>12" steel casing, reused</t>
  </si>
  <si>
    <t>84" steel casing</t>
  </si>
  <si>
    <t>72" steel casing</t>
  </si>
  <si>
    <t>66" steel casing</t>
  </si>
  <si>
    <t>60" steel casing</t>
  </si>
  <si>
    <t>54" steel casing</t>
  </si>
  <si>
    <t>48" steel casing</t>
  </si>
  <si>
    <t>42" steel casing</t>
  </si>
  <si>
    <t>36" steel casing</t>
  </si>
  <si>
    <t>30" steel casing</t>
  </si>
  <si>
    <t>24" steel casing</t>
  </si>
  <si>
    <t>20" steel casing</t>
  </si>
  <si>
    <t>18" steel casing</t>
  </si>
  <si>
    <t>16" steel casing</t>
  </si>
  <si>
    <t>12" steel casing</t>
  </si>
  <si>
    <t>* No. of augered piles and caissons *</t>
  </si>
  <si>
    <t>18" CIP augered pile</t>
  </si>
  <si>
    <t>16" CIP augered pile</t>
  </si>
  <si>
    <t>14" CIP augered pile</t>
  </si>
  <si>
    <t>12" CIP augered pile</t>
  </si>
  <si>
    <t>10" CIP augered pile</t>
  </si>
  <si>
    <t>8" CIP augered pile</t>
  </si>
  <si>
    <t>60" pre augered pile</t>
  </si>
  <si>
    <t>48" pre augered pile</t>
  </si>
  <si>
    <t>36" pre augered pile</t>
  </si>
  <si>
    <t>24" pre augered pile</t>
  </si>
  <si>
    <t>* No. of driven piles *</t>
  </si>
  <si>
    <t>** Length of piles **</t>
  </si>
  <si>
    <t>Pressure injected pile</t>
  </si>
  <si>
    <t>Tapered pile</t>
  </si>
  <si>
    <t>Concrete filled pipe pile</t>
  </si>
  <si>
    <t>Pipe pile</t>
  </si>
  <si>
    <t>Steel H pile</t>
  </si>
  <si>
    <t>Wood pile</t>
  </si>
  <si>
    <t>Precast pile</t>
  </si>
  <si>
    <t>14x117lb H-section steel pile</t>
  </si>
  <si>
    <t>14x102lb H-section steel pile</t>
  </si>
  <si>
    <t>14x89lb H-section steel pile</t>
  </si>
  <si>
    <t>14x73lb H-section steel pile</t>
  </si>
  <si>
    <t>13x100lb H-section steel pile</t>
  </si>
  <si>
    <t>13x87lb H-section steel pile</t>
  </si>
  <si>
    <t>12x74lb H-section steel pile</t>
  </si>
  <si>
    <t>12x63lb H-section steel pile</t>
  </si>
  <si>
    <t>12x53lb H-section steel pile</t>
  </si>
  <si>
    <t>10x57lb H-section stl pile</t>
  </si>
  <si>
    <t>10x42lb H-section steel pile</t>
  </si>
  <si>
    <t>8x36lb H-section steel pile</t>
  </si>
  <si>
    <t>19" press injected pile w/case</t>
  </si>
  <si>
    <t>17-5/8" press inj pile w/case</t>
  </si>
  <si>
    <t>16" press injected pile w/case</t>
  </si>
  <si>
    <t>12" press injected pile w/case</t>
  </si>
  <si>
    <t>10-5/8" press inj pile w/case</t>
  </si>
  <si>
    <t>22" pressure injected pile</t>
  </si>
  <si>
    <t>17" pressure injected pile</t>
  </si>
  <si>
    <t>18" conc filled pipe pile</t>
  </si>
  <si>
    <t>16" conc filled pipe pile</t>
  </si>
  <si>
    <t>14" conc filled pipe pile</t>
  </si>
  <si>
    <t>12" concrete filled pipe pile</t>
  </si>
  <si>
    <t>10" conc filled pipe pile</t>
  </si>
  <si>
    <t>8" conc filled pipe pile</t>
  </si>
  <si>
    <t>18" diameter 59lb pipe pile</t>
  </si>
  <si>
    <t>16" diameter 52lb pipe pile</t>
  </si>
  <si>
    <t>14" diameter 46lb pipe pile</t>
  </si>
  <si>
    <t>12" diameter 44lb pipe pile</t>
  </si>
  <si>
    <t>10" diameter 34lb pipe pile</t>
  </si>
  <si>
    <t>8" diameter 29lb pipe pile</t>
  </si>
  <si>
    <t>24" prestressed concrete pile</t>
  </si>
  <si>
    <t>20" prestressed concrete pile</t>
  </si>
  <si>
    <t>18" prestressed concrete pile</t>
  </si>
  <si>
    <t>16" prestressed concrete pile</t>
  </si>
  <si>
    <t>14" prestressed concrete pile</t>
  </si>
  <si>
    <t>12" prestressed concrete pile</t>
  </si>
  <si>
    <t>18" CIP friction pile</t>
  </si>
  <si>
    <t>16" CIP friction pile</t>
  </si>
  <si>
    <t>14" CIP friction pile</t>
  </si>
  <si>
    <t>12" CIP friction pile</t>
  </si>
  <si>
    <t>16" CIP thin wall pile</t>
  </si>
  <si>
    <t>14" CIP thin wall pile</t>
  </si>
  <si>
    <t>12" CIP thin wall pile</t>
  </si>
  <si>
    <t>10" CIP thin wall pile</t>
  </si>
  <si>
    <t>8" CIP thin wall pile</t>
  </si>
  <si>
    <t>80' plus untreated wood piling</t>
  </si>
  <si>
    <t>71-80' untreated wood piling</t>
  </si>
  <si>
    <t>61-70' untreated wood piling</t>
  </si>
  <si>
    <t>51-60' untreated wood piling</t>
  </si>
  <si>
    <t>41-50' untreated wood piling</t>
  </si>
  <si>
    <t>0-40' untreated wood piling</t>
  </si>
  <si>
    <t>81' plus treated wood piling</t>
  </si>
  <si>
    <t>71-80' treated wood piling</t>
  </si>
  <si>
    <t>61-70' treated wood piling</t>
  </si>
  <si>
    <t>51-60' treated wood piling</t>
  </si>
  <si>
    <t>41-50' treated wood piling</t>
  </si>
  <si>
    <t>0-40' treated wood piling</t>
  </si>
  <si>
    <t xml:space="preserve">Soil poisoning for termites </t>
  </si>
  <si>
    <t>Subsoil termite treatment</t>
  </si>
  <si>
    <t>Road gravel fill @  slab</t>
  </si>
  <si>
    <t>Sand fill @ slab</t>
  </si>
  <si>
    <t>Washed gravel fill @ slab</t>
  </si>
  <si>
    <t>Excavate post holes</t>
  </si>
  <si>
    <t>Machine excavate thick slab</t>
  </si>
  <si>
    <t>Hand excavate thickened slab</t>
  </si>
  <si>
    <t>Machine fine grade for slab</t>
  </si>
  <si>
    <t>Hand fine grade for slab</t>
  </si>
  <si>
    <t>Hand backfill footing</t>
  </si>
  <si>
    <t>Machine backfill footing</t>
  </si>
  <si>
    <t>Hand excavate footing</t>
  </si>
  <si>
    <t>Machine excavate footing</t>
  </si>
  <si>
    <t>Imported pipe zone @ trench</t>
  </si>
  <si>
    <t>Imported pipe bedding @ trench</t>
  </si>
  <si>
    <t>Backfill @ dock leveler pit</t>
  </si>
  <si>
    <t>Excav for dock leveler pit</t>
  </si>
  <si>
    <t>Backfill footing</t>
  </si>
  <si>
    <t>Excavate footing</t>
  </si>
  <si>
    <t>Hand backfill</t>
  </si>
  <si>
    <t xml:space="preserve"> Backfill w/borrow gravel</t>
  </si>
  <si>
    <t xml:space="preserve"> Backfill w/borrow sand</t>
  </si>
  <si>
    <t xml:space="preserve"> Backfill w/borrow earth</t>
  </si>
  <si>
    <t xml:space="preserve">  Machine backfill</t>
  </si>
  <si>
    <t xml:space="preserve">  Machine excavate footings</t>
  </si>
  <si>
    <t xml:space="preserve">  Hand excavate footings</t>
  </si>
  <si>
    <t>Retaining walls</t>
  </si>
  <si>
    <t xml:space="preserve"> Load/haul off w/fee</t>
  </si>
  <si>
    <t xml:space="preserve"> Haul off-site w/fee</t>
  </si>
  <si>
    <t xml:space="preserve"> Load/haul off-site</t>
  </si>
  <si>
    <t xml:space="preserve"> Haul off-site</t>
  </si>
  <si>
    <t xml:space="preserve"> Load and haul on-site</t>
  </si>
  <si>
    <t xml:space="preserve"> Haul on-site</t>
  </si>
  <si>
    <t xml:space="preserve"> Spread on-site</t>
  </si>
  <si>
    <t xml:space="preserve"> Mound @ trench</t>
  </si>
  <si>
    <t>Surplus earth disposal</t>
  </si>
  <si>
    <t>Rock excavate circular slab edge</t>
  </si>
  <si>
    <t>Hand excavate circular slab edge</t>
  </si>
  <si>
    <t>Machine excavate circular slab edge</t>
  </si>
  <si>
    <t>Blasting of rock for hub, no machine</t>
  </si>
  <si>
    <t>Machine excavate rock @ hub</t>
  </si>
  <si>
    <t>Hand excavate hub</t>
  </si>
  <si>
    <t>Machine excavate hub</t>
  </si>
  <si>
    <t>Blasting of rock for hopper</t>
  </si>
  <si>
    <t>Machine excavate rock @ hopper</t>
  </si>
  <si>
    <t>Hand excavate hopper</t>
  </si>
  <si>
    <t>Machine excavate hopper</t>
  </si>
  <si>
    <t>Rock blasting for radial grade beam</t>
  </si>
  <si>
    <t>Machine excavate rock radial grade beam</t>
  </si>
  <si>
    <t>Hand excav radial grade beam</t>
  </si>
  <si>
    <t>Machine excav radial grade beam</t>
  </si>
  <si>
    <t>Rock blasting for circular grade beam</t>
  </si>
  <si>
    <t>Machine excavate rock circular grade beam</t>
  </si>
  <si>
    <t>Hand excavate circular grade beam</t>
  </si>
  <si>
    <t>Machine excavate circular grade beam</t>
  </si>
  <si>
    <t>Rock blasting for tank footings</t>
  </si>
  <si>
    <t>Machine excavate rock @ tank footing</t>
  </si>
  <si>
    <t>Hand excavate tank footing</t>
  </si>
  <si>
    <t>Machine excavate tank footing</t>
  </si>
  <si>
    <t>* Trench interference *</t>
  </si>
  <si>
    <t>*Obstacle within layback*</t>
  </si>
  <si>
    <t xml:space="preserve"> Load and haul, off-site</t>
  </si>
  <si>
    <t xml:space="preserve"> Haul, off-site</t>
  </si>
  <si>
    <t xml:space="preserve"> Load and haul, on-site</t>
  </si>
  <si>
    <t xml:space="preserve"> Haul, on-site</t>
  </si>
  <si>
    <t xml:space="preserve"> Spread, on-site</t>
  </si>
  <si>
    <t xml:space="preserve"> Mound at trench</t>
  </si>
  <si>
    <t>Surplus earth</t>
  </si>
  <si>
    <t>Concrete encasement</t>
  </si>
  <si>
    <t>Gravel bedding</t>
  </si>
  <si>
    <t xml:space="preserve"> Gravel, rolled</t>
  </si>
  <si>
    <t xml:space="preserve"> Gravel, tamped</t>
  </si>
  <si>
    <t xml:space="preserve"> Machn backfill, injected</t>
  </si>
  <si>
    <t xml:space="preserve"> Machine backfill, rolled</t>
  </si>
  <si>
    <t xml:space="preserve"> Machine backfill, tamped</t>
  </si>
  <si>
    <t xml:space="preserve"> Machine backfill, loose</t>
  </si>
  <si>
    <t xml:space="preserve"> Hand backfill, tamped</t>
  </si>
  <si>
    <t xml:space="preserve"> Hand backfill, loose</t>
  </si>
  <si>
    <t xml:space="preserve">  Rock</t>
  </si>
  <si>
    <t xml:space="preserve"> Blast and machine excavate</t>
  </si>
  <si>
    <t xml:space="preserve"> Dozer w/ripper and backhoe</t>
  </si>
  <si>
    <t xml:space="preserve"> Hoe ram and backhoe</t>
  </si>
  <si>
    <t xml:space="preserve">  Miscellaneous soil</t>
  </si>
  <si>
    <t xml:space="preserve">  Sand-gravel</t>
  </si>
  <si>
    <t xml:space="preserve">  Silt-sand-gravel</t>
  </si>
  <si>
    <t xml:space="preserve">  Silt-sand, loam</t>
  </si>
  <si>
    <t xml:space="preserve">  Clay-silt-sand</t>
  </si>
  <si>
    <t xml:space="preserve">  Clay-silt</t>
  </si>
  <si>
    <t xml:space="preserve"> Loader</t>
  </si>
  <si>
    <t xml:space="preserve"> Backhoe, 3 cy bucket</t>
  </si>
  <si>
    <t xml:space="preserve"> Backhoe, 2 cy bucket</t>
  </si>
  <si>
    <t xml:space="preserve"> Backhoe, 1-1/4 cy bucket</t>
  </si>
  <si>
    <t xml:space="preserve"> Backhoe, 3/4 cy bucket</t>
  </si>
  <si>
    <t xml:space="preserve"> Backhoe, 1/2 cy bucket</t>
  </si>
  <si>
    <t xml:space="preserve"> Heavy trencher</t>
  </si>
  <si>
    <t xml:space="preserve"> Small trencher</t>
  </si>
  <si>
    <t xml:space="preserve">  Clay-slit-sand</t>
  </si>
  <si>
    <t xml:space="preserve"> Hand excavation</t>
  </si>
  <si>
    <t>Machine backfill pit/trench</t>
  </si>
  <si>
    <t>Machine excavate pit/trench</t>
  </si>
  <si>
    <t>Hand backfill pit/trench</t>
  </si>
  <si>
    <t>Hand excavate pit/trench</t>
  </si>
  <si>
    <t xml:space="preserve"> Concrete fill</t>
  </si>
  <si>
    <t xml:space="preserve"> Drainage rock fill</t>
  </si>
  <si>
    <t xml:space="preserve"> Import light weight fill</t>
  </si>
  <si>
    <t xml:space="preserve"> Import granular fill</t>
  </si>
  <si>
    <t xml:space="preserve"> Native fill w/compaction</t>
  </si>
  <si>
    <t xml:space="preserve"> Native fill w/no compaction</t>
  </si>
  <si>
    <t>Backfill @ pipe trench</t>
  </si>
  <si>
    <t>Fine grade ramp</t>
  </si>
  <si>
    <t>Fine grade miscellaneous foundation</t>
  </si>
  <si>
    <t>Fine grade stair/landing on grade</t>
  </si>
  <si>
    <t>Fine grade slab on grade</t>
  </si>
  <si>
    <t>Fine grade mat foundation</t>
  </si>
  <si>
    <t>Fine grade pile cap</t>
  </si>
  <si>
    <t>Fine grade column footing</t>
  </si>
  <si>
    <t>Fine grade continous footing</t>
  </si>
  <si>
    <t>Backfill grade beam</t>
  </si>
  <si>
    <t>Backfill miscellaneous foundation</t>
  </si>
  <si>
    <t>Backfill trench</t>
  </si>
  <si>
    <t>Backfill pit</t>
  </si>
  <si>
    <t>Backfill mat foundation</t>
  </si>
  <si>
    <t>Backfill pile cap</t>
  </si>
  <si>
    <t>Backfill column footing</t>
  </si>
  <si>
    <t>Backfill continuous footing</t>
  </si>
  <si>
    <t>Excavate grade beam</t>
  </si>
  <si>
    <t>Excavate miscellaneous foundation</t>
  </si>
  <si>
    <t>Excavate trench</t>
  </si>
  <si>
    <t>Excavate pit</t>
  </si>
  <si>
    <t>Excavate thickened slab</t>
  </si>
  <si>
    <t>Excavate mat foundation</t>
  </si>
  <si>
    <t>Excavate pile cap</t>
  </si>
  <si>
    <t>Excavate column footing</t>
  </si>
  <si>
    <t>Excavate continuous footing</t>
  </si>
  <si>
    <t>Excess grade beam soil</t>
  </si>
  <si>
    <t>Backfill grade beam w/CLSM (flowable fill)</t>
  </si>
  <si>
    <t>Hand backfill grade beam with machine feed assist</t>
  </si>
  <si>
    <t>Backfill grade beam with select material</t>
  </si>
  <si>
    <t>Backfill grade beam w/crushed stone</t>
  </si>
  <si>
    <t>Backfill grade beam w/road gravel</t>
  </si>
  <si>
    <t>Backfill grade beam w/ washed gravel</t>
  </si>
  <si>
    <t>Backfill grade beam w/sand</t>
  </si>
  <si>
    <t>Hand backfill grade beam</t>
  </si>
  <si>
    <t>Machine backfill grade beam</t>
  </si>
  <si>
    <t>Hand excavate grade beam</t>
  </si>
  <si>
    <t>Machine excavate grade beam</t>
  </si>
  <si>
    <t>Backfill mat foundation w/CLSM (flowable fill)</t>
  </si>
  <si>
    <t>Backfill pile cap w/CLSM (flowable fill)</t>
  </si>
  <si>
    <t>Backfill column footing w/CLSM (flowable fill)</t>
  </si>
  <si>
    <t>Backfill continuous footing w/CLSM (flowable fill)</t>
  </si>
  <si>
    <t xml:space="preserve">Backfill pile cap with crushed stone </t>
  </si>
  <si>
    <t xml:space="preserve">Backfill column footing w/crushed stone </t>
  </si>
  <si>
    <t xml:space="preserve">Backfill continuous footing w/crushed stone </t>
  </si>
  <si>
    <t xml:space="preserve">Backfill mat foundation with crushed stone </t>
  </si>
  <si>
    <t>Backfill mat foundation with selct material</t>
  </si>
  <si>
    <t>Excess sloped footing soil</t>
  </si>
  <si>
    <t>Backfill sloped footing w/crushed stone</t>
  </si>
  <si>
    <t>Backfill sloped footing w/gravel</t>
  </si>
  <si>
    <t>Backfill sloped footing w/sand</t>
  </si>
  <si>
    <t>Hand backfill sloped footing</t>
  </si>
  <si>
    <t>Machine backfill sloped footing</t>
  </si>
  <si>
    <t>Excess stepped footing soil</t>
  </si>
  <si>
    <t>Excess pile cap soil</t>
  </si>
  <si>
    <t>Backfill pile cap w/gravel</t>
  </si>
  <si>
    <t>Backfill pile cap w/sand</t>
  </si>
  <si>
    <t>Hand backfill pile cap</t>
  </si>
  <si>
    <t>Machine backfill pile cap</t>
  </si>
  <si>
    <t>Excess mat foundation soil</t>
  </si>
  <si>
    <t>Backfill mat with gravel</t>
  </si>
  <si>
    <t>Backfill mat foundation w/sand</t>
  </si>
  <si>
    <t>Hand backfill mat foundation</t>
  </si>
  <si>
    <t>Machine backfill mat foundation</t>
  </si>
  <si>
    <t>Excess column footing soil</t>
  </si>
  <si>
    <t>Backfill column footing w/gravel</t>
  </si>
  <si>
    <t>Backfill column footing w/sand</t>
  </si>
  <si>
    <t>Hand backfill @ column footing</t>
  </si>
  <si>
    <t>Mach backfill @ column footing</t>
  </si>
  <si>
    <t>Backfill stepped footing w/crushed stone</t>
  </si>
  <si>
    <t>Backfill stepped footing w/gravel</t>
  </si>
  <si>
    <t>Backfill stepped footing w/sand</t>
  </si>
  <si>
    <t>Hand backfill stepped footing</t>
  </si>
  <si>
    <t>Machine backfill stepped footing</t>
  </si>
  <si>
    <t>Excess continuous footing soil</t>
  </si>
  <si>
    <t>Backfill continuous footing w/gravel</t>
  </si>
  <si>
    <t>Backfill continuous footing w/sand</t>
  </si>
  <si>
    <t>Hand backfill continuous footing</t>
  </si>
  <si>
    <t>Mach backfill continuous footing</t>
  </si>
  <si>
    <t>Hand backfill footing with machine feed assist</t>
  </si>
  <si>
    <t>Excavate rock @ mat foundation</t>
  </si>
  <si>
    <t>Hand excavate mat foundation</t>
  </si>
  <si>
    <t>Machine excavate mat foundation</t>
  </si>
  <si>
    <t>Excavate rock @ pile cap</t>
  </si>
  <si>
    <t>Fine grade @ pile cap</t>
  </si>
  <si>
    <t>Hand excav pile cap</t>
  </si>
  <si>
    <t>Mach excav pile cap</t>
  </si>
  <si>
    <t>Excav rock @ column footing</t>
  </si>
  <si>
    <t>Fine grade @ column footing</t>
  </si>
  <si>
    <t>Hand excav column footing</t>
  </si>
  <si>
    <t>Mach excav column footing</t>
  </si>
  <si>
    <t>Fine grade sloped footing</t>
  </si>
  <si>
    <t>Hand excavate sloped footing</t>
  </si>
  <si>
    <t>Machine excavate sloped footing</t>
  </si>
  <si>
    <t>Fine grade stepped footing</t>
  </si>
  <si>
    <t>Hand excavate stepped footing</t>
  </si>
  <si>
    <t>Machine excavate stepped footing</t>
  </si>
  <si>
    <t>Excavate rock @ continuous footing</t>
  </si>
  <si>
    <t>Fine grade continuous footing</t>
  </si>
  <si>
    <t>Hand excav continuous footing</t>
  </si>
  <si>
    <t>Mach excav continuous footing</t>
  </si>
  <si>
    <t>CLSM (flowable fill) slab fill</t>
  </si>
  <si>
    <t>Select material slab fill</t>
  </si>
  <si>
    <t>Crushed stone slab fill</t>
  </si>
  <si>
    <t>Washed gravel slab fill</t>
  </si>
  <si>
    <t>Road gravel slab fill</t>
  </si>
  <si>
    <t>Sand slab fill</t>
  </si>
  <si>
    <t>Machine excavate slab edge</t>
  </si>
  <si>
    <t>Excess thickened slab soil</t>
  </si>
  <si>
    <t>Hand excavate for slab edge</t>
  </si>
  <si>
    <t>Machine fine grade floor</t>
  </si>
  <si>
    <t>Fine grade floor by hand</t>
  </si>
  <si>
    <t xml:space="preserve"> Digging tough:    W/CAT-245b</t>
  </si>
  <si>
    <t xml:space="preserve"> Digging hard:     W/CAT-245b</t>
  </si>
  <si>
    <t xml:space="preserve"> Digging med.hard: W/CAT-245b</t>
  </si>
  <si>
    <t xml:space="preserve"> Digging medium:   W/CAT-245b</t>
  </si>
  <si>
    <t xml:space="preserve"> Digging easy:     W/CAT-245b</t>
  </si>
  <si>
    <t xml:space="preserve"> Digging tough:    W/CAT-235c</t>
  </si>
  <si>
    <t xml:space="preserve"> Digging hard:     W/CAT-235c</t>
  </si>
  <si>
    <t xml:space="preserve"> Digging med.hard: W/CAT-235c</t>
  </si>
  <si>
    <t xml:space="preserve"> Digging medium:   W/CAT-235c</t>
  </si>
  <si>
    <t xml:space="preserve"> Digging easy:     W/CAT-235c</t>
  </si>
  <si>
    <t xml:space="preserve"> Digging tough:    W/CAT-231d</t>
  </si>
  <si>
    <t xml:space="preserve"> Digging hard:     W/CAT-231d</t>
  </si>
  <si>
    <t xml:space="preserve"> Digging med.hard: W/CAT-231d</t>
  </si>
  <si>
    <t xml:space="preserve"> Digging medium:   W/CAT-231d</t>
  </si>
  <si>
    <t xml:space="preserve"> Digging easy:     W/CAT-231d</t>
  </si>
  <si>
    <t xml:space="preserve"> Digging tough:    W/CAT-225d</t>
  </si>
  <si>
    <t xml:space="preserve"> Digging hard:     W/CAT-225d</t>
  </si>
  <si>
    <t xml:space="preserve"> Digging med.hard: W/CAT-225d</t>
  </si>
  <si>
    <t xml:space="preserve"> Digging medium:   W/CAT-225d</t>
  </si>
  <si>
    <t xml:space="preserve"> Digging easy:     W/CAT-225d</t>
  </si>
  <si>
    <t xml:space="preserve"> Digging tough:    W/CAT-215d</t>
  </si>
  <si>
    <t xml:space="preserve"> Digging hard:     W/CAT-215d</t>
  </si>
  <si>
    <t xml:space="preserve"> Digging med.hard: W/CAT-215d</t>
  </si>
  <si>
    <t xml:space="preserve"> Digging medium:   W/CAT-215d</t>
  </si>
  <si>
    <t xml:space="preserve"> Digging easy:  W/CAT-215d</t>
  </si>
  <si>
    <t xml:space="preserve"> Digging tough:    W/CAT-446</t>
  </si>
  <si>
    <t xml:space="preserve"> Digging hard:     W/CAT-446</t>
  </si>
  <si>
    <t xml:space="preserve"> Digging med.hard: W/CAT-446</t>
  </si>
  <si>
    <t xml:space="preserve"> Digging medium:   W/CAT-446</t>
  </si>
  <si>
    <t xml:space="preserve"> Digging easy:     W/CAT-446</t>
  </si>
  <si>
    <t xml:space="preserve"> Digging tough:    W/CAT-426</t>
  </si>
  <si>
    <t xml:space="preserve"> Digging hard:     W/CAT-426</t>
  </si>
  <si>
    <t xml:space="preserve"> Digging med.hard: W/CAT-426</t>
  </si>
  <si>
    <t xml:space="preserve"> Digging medium:   W/CAT-426</t>
  </si>
  <si>
    <t xml:space="preserve"> Digging easy:     W/CAT-426</t>
  </si>
  <si>
    <t>Excavation @ pipe trench</t>
  </si>
  <si>
    <t>Backfill trench with CLSM (flowable fill)</t>
  </si>
  <si>
    <t>Backfll trench w/crushed stone</t>
  </si>
  <si>
    <t>Backfill pipe trench w/gravel</t>
  </si>
  <si>
    <t>Backfill pipe trench w/sand</t>
  </si>
  <si>
    <t>Machine backfill pipe trench</t>
  </si>
  <si>
    <t>Hand backfill pipe trench</t>
  </si>
  <si>
    <t>Excavate pipe trench w/backhoe</t>
  </si>
  <si>
    <t>Excavate w/large trencher</t>
  </si>
  <si>
    <t>Excavate w/small trencher</t>
  </si>
  <si>
    <t>Hand excavate pipe trench</t>
  </si>
  <si>
    <t>Crushed rock backfill hub</t>
  </si>
  <si>
    <t>Select material backfill hub</t>
  </si>
  <si>
    <t>Gravel backfill hub</t>
  </si>
  <si>
    <t>Sand backfill hub</t>
  </si>
  <si>
    <t>Hand backfill hub w/earth</t>
  </si>
  <si>
    <t>Machine backfill hub w/earth</t>
  </si>
  <si>
    <t>Crushed rock backfill hopper</t>
  </si>
  <si>
    <t>Select material backfill hopper</t>
  </si>
  <si>
    <t>Gravel backfill hopper</t>
  </si>
  <si>
    <t>Sand backfill hopper</t>
  </si>
  <si>
    <t>Hand earth backfill hopper</t>
  </si>
  <si>
    <t>Mach earth backfill hopper</t>
  </si>
  <si>
    <t>Crushed rock fill @ slab</t>
  </si>
  <si>
    <t>Select material fill @ slab</t>
  </si>
  <si>
    <t>Gravel fill @ slab</t>
  </si>
  <si>
    <t>Crushed rock backfill grade beam</t>
  </si>
  <si>
    <t>Select material backfill grade beam</t>
  </si>
  <si>
    <t>Gravel backfill grade beam</t>
  </si>
  <si>
    <t>Sand backfill grade beam</t>
  </si>
  <si>
    <t>Hand earth backfill grade beam</t>
  </si>
  <si>
    <t>Machine earth backfill grade beam</t>
  </si>
  <si>
    <t>Crushed rock backfill circular grade beam</t>
  </si>
  <si>
    <t>Select material backfill circular grade beam</t>
  </si>
  <si>
    <t>Gravel backfill circular grade beam</t>
  </si>
  <si>
    <t>Sand backfill circular grade beam</t>
  </si>
  <si>
    <t>Hand earth backfill circular grade beam</t>
  </si>
  <si>
    <t>Mach earth backfill circular grade beam</t>
  </si>
  <si>
    <t>Crushed rock backfill @ tank footing</t>
  </si>
  <si>
    <t>Select material backfill @ tank foooting</t>
  </si>
  <si>
    <t>Gravel backfill @ tank footing</t>
  </si>
  <si>
    <t>Sand backfill @ tank footing</t>
  </si>
  <si>
    <t>Hand/ earth backfill @ tank footing</t>
  </si>
  <si>
    <t>Machine/ earth backfill @ tank footing</t>
  </si>
  <si>
    <t>Mach excavate thickened slab @ paving</t>
  </si>
  <si>
    <t>Hand excavate thickened slab @ paving</t>
  </si>
  <si>
    <t>Underslab fill</t>
  </si>
  <si>
    <t>Fill with road gravel</t>
  </si>
  <si>
    <t>Fill w/ bank gravel</t>
  </si>
  <si>
    <t>Fill w/ crushed rock</t>
  </si>
  <si>
    <t>Fill w/ select material</t>
  </si>
  <si>
    <t>Fill w/washed gravel</t>
  </si>
  <si>
    <t>Fill w/ sand</t>
  </si>
  <si>
    <t>Fill w/ purchased earth</t>
  </si>
  <si>
    <t>Fill w/ off-site earth</t>
  </si>
  <si>
    <t>Fill w/ site earth</t>
  </si>
  <si>
    <t>Scarify and compact 12-18"</t>
  </si>
  <si>
    <t>Scarify and compact 6-12"</t>
  </si>
  <si>
    <t>Scarify and compact 6"</t>
  </si>
  <si>
    <t>Scarify and compact 4"</t>
  </si>
  <si>
    <t>Compact subgrade</t>
  </si>
  <si>
    <t>Haul excavated material 8-10 miles</t>
  </si>
  <si>
    <t>Haul excavated material 6-8 miles</t>
  </si>
  <si>
    <t>Haul excavated material 4-6 miles</t>
  </si>
  <si>
    <t>Haul excavated material 2-4 miles</t>
  </si>
  <si>
    <t>Haul excavated material 0-2 miles</t>
  </si>
  <si>
    <t>Stockpile excavated material</t>
  </si>
  <si>
    <t>Tank soil displacement volume</t>
  </si>
  <si>
    <t>Blasting rock for mass excav</t>
  </si>
  <si>
    <t>Ripping and mach excav rock</t>
  </si>
  <si>
    <t>Machine excavate rock</t>
  </si>
  <si>
    <t>Mass excavation</t>
  </si>
  <si>
    <t>Backfill @ basement</t>
  </si>
  <si>
    <t>Basement excavation</t>
  </si>
  <si>
    <t>Haul from site 9-10 miles</t>
  </si>
  <si>
    <t>Haul from site 8-9 miles</t>
  </si>
  <si>
    <t>Haul from site 7-8 miles</t>
  </si>
  <si>
    <t>Haul from site 6-7 miles</t>
  </si>
  <si>
    <t>Haul from site 5-6 miles</t>
  </si>
  <si>
    <t>Haul from site 4-5 miles</t>
  </si>
  <si>
    <t>Haul from site 3-4 miles</t>
  </si>
  <si>
    <t>Haul from site 2-3 miles</t>
  </si>
  <si>
    <t>Haul from site 0-2 miles</t>
  </si>
  <si>
    <t>Backfill basement w/gravel</t>
  </si>
  <si>
    <t>Backfill basement w/sand</t>
  </si>
  <si>
    <t>Backfill basement w/purchase earth</t>
  </si>
  <si>
    <t>Backfill basement w/import earth</t>
  </si>
  <si>
    <t>Backfill basement w/job earth</t>
  </si>
  <si>
    <t>Excav-stockpile basement excavation</t>
  </si>
  <si>
    <t>* No. of site grading allowances *</t>
  </si>
  <si>
    <t>** Foundation area **</t>
  </si>
  <si>
    <t>Fine grade footing</t>
  </si>
  <si>
    <t>Fine grade @ slab</t>
  </si>
  <si>
    <t>Fine grade grade beams</t>
  </si>
  <si>
    <t>Fine grade footings</t>
  </si>
  <si>
    <t>Machine fine grade paving</t>
  </si>
  <si>
    <t>Hand fine grade paving</t>
  </si>
  <si>
    <t>* Cut and fill area *</t>
  </si>
  <si>
    <t>Fine grade hub bottom</t>
  </si>
  <si>
    <t>Fine grade hopper bottom</t>
  </si>
  <si>
    <t>Fine grade tank footing bottom</t>
  </si>
  <si>
    <t>Fine grade stairs</t>
  </si>
  <si>
    <t>Cut-load-haul vegetation 9-10 miles</t>
  </si>
  <si>
    <t>Cut-load-haul vegetation 8-9 miles</t>
  </si>
  <si>
    <t>Cut-load-haul vegetation 7-8 miles</t>
  </si>
  <si>
    <t>Cut-load-haul vegetation 6-7 miles</t>
  </si>
  <si>
    <t>Cut-load-haul vegetation 5-6 miles</t>
  </si>
  <si>
    <t>Cut-load-haul vegetation 4-5 miles</t>
  </si>
  <si>
    <t>Cut-load-haul vegetation 3-4 miles</t>
  </si>
  <si>
    <t>Cut-load-haul vegetation 2-3 miles</t>
  </si>
  <si>
    <t>Cut-load-haul vegetation 0-2 miles</t>
  </si>
  <si>
    <t>Excav-load basement excavation</t>
  </si>
  <si>
    <t>Load-haul borrow 9-10 miles</t>
  </si>
  <si>
    <t>Load-haul borrow 8-9 miles</t>
  </si>
  <si>
    <t>Load-haul borrow 7-8 miles</t>
  </si>
  <si>
    <t>Load-haul borrow 6-7 miles</t>
  </si>
  <si>
    <t>Load-haul borrow 5-6 miles</t>
  </si>
  <si>
    <t>Load-haul borrow 4-5 miles</t>
  </si>
  <si>
    <t>Load-haul borrow 3-4 miles</t>
  </si>
  <si>
    <t>Load-haul borrow 2-3 miles</t>
  </si>
  <si>
    <t>Load-haul borrow 0-2 miles</t>
  </si>
  <si>
    <t>Excav-load-haul surplus 9-10miles</t>
  </si>
  <si>
    <t>Excav-load-haul surplus 8-9miles</t>
  </si>
  <si>
    <t>Excav-load-haul surplus 7-8miles</t>
  </si>
  <si>
    <t>Excav-load-haul surplus 6-7miles</t>
  </si>
  <si>
    <t>Excav-load-haul surplus 5-6miles</t>
  </si>
  <si>
    <t>Excav-load-haul surplus 4-5miles</t>
  </si>
  <si>
    <t>Excav-load-haul surplus 3-4miles</t>
  </si>
  <si>
    <t>Excav-load-haul surplus 2-3miles</t>
  </si>
  <si>
    <t>Excav-load-haul surplus 0-2miles</t>
  </si>
  <si>
    <t>Hydraulic fill</t>
  </si>
  <si>
    <t>Engineered fill</t>
  </si>
  <si>
    <t>Compacted fill</t>
  </si>
  <si>
    <t>General fill</t>
  </si>
  <si>
    <t>Cut-stockpile-fill</t>
  </si>
  <si>
    <t>Cut and fill direct on site</t>
  </si>
  <si>
    <t>Cut-dispose veg adjacent site</t>
  </si>
  <si>
    <t>Cut-store-spread topsoil</t>
  </si>
  <si>
    <t>* Pipe Trench Length *</t>
  </si>
  <si>
    <t>* Basement Excavation Area *</t>
  </si>
  <si>
    <t>**Foundation Area**</t>
  </si>
  <si>
    <t>**Floor on Grade Area**</t>
  </si>
  <si>
    <t>MOVE</t>
  </si>
  <si>
    <t xml:space="preserve"> Trench box 156"</t>
  </si>
  <si>
    <t xml:space="preserve"> Trench box 150"</t>
  </si>
  <si>
    <t xml:space="preserve"> Trench box 144"</t>
  </si>
  <si>
    <t xml:space="preserve"> Trench box 138"</t>
  </si>
  <si>
    <t xml:space="preserve"> Trench box 132"</t>
  </si>
  <si>
    <t xml:space="preserve"> Trench box 126"</t>
  </si>
  <si>
    <t xml:space="preserve"> Trench box 120"</t>
  </si>
  <si>
    <t xml:space="preserve"> Trench box 114"</t>
  </si>
  <si>
    <t xml:space="preserve"> Trench box 108"</t>
  </si>
  <si>
    <t xml:space="preserve"> Trench box 102"</t>
  </si>
  <si>
    <t xml:space="preserve"> Trench box 96"</t>
  </si>
  <si>
    <t xml:space="preserve"> Trench box 90"</t>
  </si>
  <si>
    <t xml:space="preserve"> Trench box 84"</t>
  </si>
  <si>
    <t xml:space="preserve"> Trench box 78"</t>
  </si>
  <si>
    <t xml:space="preserve"> Trench box 72"</t>
  </si>
  <si>
    <t xml:space="preserve"> Trench box 66"</t>
  </si>
  <si>
    <t xml:space="preserve"> Trench box 60"</t>
  </si>
  <si>
    <t xml:space="preserve"> Trench box 54"</t>
  </si>
  <si>
    <t xml:space="preserve"> Trench box 48"</t>
  </si>
  <si>
    <t xml:space="preserve"> Trench box 42"</t>
  </si>
  <si>
    <t xml:space="preserve"> Trench box 36"</t>
  </si>
  <si>
    <t xml:space="preserve"> Trench box 34"</t>
  </si>
  <si>
    <t xml:space="preserve"> Trench box 32"</t>
  </si>
  <si>
    <t xml:space="preserve"> Trench box 30"</t>
  </si>
  <si>
    <t xml:space="preserve"> Trench box 28"</t>
  </si>
  <si>
    <t xml:space="preserve"> Trench box 26"</t>
  </si>
  <si>
    <t xml:space="preserve"> Trench box 24"</t>
  </si>
  <si>
    <t xml:space="preserve"> Trench box 22"</t>
  </si>
  <si>
    <t xml:space="preserve"> Trench box 20"</t>
  </si>
  <si>
    <t xml:space="preserve"> Trench box 18"</t>
  </si>
  <si>
    <t xml:space="preserve"> Trench box 16"</t>
  </si>
  <si>
    <t xml:space="preserve"> Trench box 14"</t>
  </si>
  <si>
    <t xml:space="preserve"> Trench box 12"</t>
  </si>
  <si>
    <t>H-columns and plank brace earth</t>
  </si>
  <si>
    <t>Solid steel bracing @ trench</t>
  </si>
  <si>
    <t>Solid wood bracing @ trench</t>
  </si>
  <si>
    <t>Open plank brace @ trench</t>
  </si>
  <si>
    <t>Brace pipe trench w/jacks</t>
  </si>
  <si>
    <t>H columns and plank bracing</t>
  </si>
  <si>
    <t>Sheetpiling - left in place</t>
  </si>
  <si>
    <t>Sheeting - pulled</t>
  </si>
  <si>
    <t>Brace ftg trench w/jacks</t>
  </si>
  <si>
    <t>Solid steel bracing @ earth</t>
  </si>
  <si>
    <t>Solid wood bracing earth</t>
  </si>
  <si>
    <t>Open plank bracing earth</t>
  </si>
  <si>
    <t xml:space="preserve"> Pull box w/existing structure</t>
  </si>
  <si>
    <t xml:space="preserve"> Hydraulic wood lag w/existing structure</t>
  </si>
  <si>
    <t xml:space="preserve"> Sheet piling w/existing structure</t>
  </si>
  <si>
    <t xml:space="preserve"> Pull box</t>
  </si>
  <si>
    <t xml:space="preserve"> Hydraulic wood lag</t>
  </si>
  <si>
    <t xml:space="preserve"> Soldier piling</t>
  </si>
  <si>
    <t xml:space="preserve"> Sheet piling</t>
  </si>
  <si>
    <t xml:space="preserve"> Wood sheeting</t>
  </si>
  <si>
    <t>Shoring and bracing</t>
  </si>
  <si>
    <t>Final grading</t>
  </si>
  <si>
    <t>Tree removal</t>
  </si>
  <si>
    <t>Earth fill</t>
  </si>
  <si>
    <t>Rough grading</t>
  </si>
  <si>
    <t>Site grading allowance</t>
  </si>
  <si>
    <t>* No. of site preparation allowances *</t>
  </si>
  <si>
    <t>Site preparation allowance</t>
  </si>
  <si>
    <t>* Demolition area *</t>
  </si>
  <si>
    <t>Saw cut asphalt</t>
  </si>
  <si>
    <t>Saw cut concrete</t>
  </si>
  <si>
    <t>Remove fence</t>
  </si>
  <si>
    <t>Remove footings and foundation</t>
  </si>
  <si>
    <t>Remove concrete walls</t>
  </si>
  <si>
    <t>Remove masonry walls</t>
  </si>
  <si>
    <t>Remove curb and gutter</t>
  </si>
  <si>
    <t>Remove curbs</t>
  </si>
  <si>
    <t>Remove sidewalks</t>
  </si>
  <si>
    <t>Remove concrete paving</t>
  </si>
  <si>
    <t>Remove asphalt paving</t>
  </si>
  <si>
    <t>Remove pipe</t>
  </si>
  <si>
    <t>Abandon catchbasin/manhole</t>
  </si>
  <si>
    <t>Remove catchbasin/manhole</t>
  </si>
  <si>
    <t>Remove tree</t>
  </si>
  <si>
    <t>ACRE</t>
  </si>
  <si>
    <t>Clear brush/dozer medium clearing</t>
  </si>
  <si>
    <t>Clear brush/dozer light clearing</t>
  </si>
  <si>
    <t>Clear brush by hand</t>
  </si>
  <si>
    <t>Demolish out building</t>
  </si>
  <si>
    <t>Demo three story house</t>
  </si>
  <si>
    <t>Demo two story house</t>
  </si>
  <si>
    <t>Demo one story house</t>
  </si>
  <si>
    <t>Demo wood frame bldg</t>
  </si>
  <si>
    <t>Demo small masonry bldg</t>
  </si>
  <si>
    <t>Demo small conc frame bldg</t>
  </si>
  <si>
    <t>Demo small stl frame bldg</t>
  </si>
  <si>
    <t>Demo large masonry bldg</t>
  </si>
  <si>
    <t>Demo large conc frame bldg</t>
  </si>
  <si>
    <t>Demolish large steel frame building</t>
  </si>
  <si>
    <t>Gut building maximum demo</t>
  </si>
  <si>
    <t>Gut building average demo</t>
  </si>
  <si>
    <t>Gut building minimum demo</t>
  </si>
  <si>
    <t>Saw cutting concrete</t>
  </si>
  <si>
    <t>Core drilling</t>
  </si>
  <si>
    <t>Cut-out drywall partitions</t>
  </si>
  <si>
    <t>Cut-out concrete walls</t>
  </si>
  <si>
    <t>Cut-out masonry walls</t>
  </si>
  <si>
    <t>Cut-out elevated slab</t>
  </si>
  <si>
    <t>Cut-out slab on grade</t>
  </si>
  <si>
    <t>Remove steel ladder</t>
  </si>
  <si>
    <t>Remove wood stairs</t>
  </si>
  <si>
    <t>Remove steel stairs</t>
  </si>
  <si>
    <t>Remove concrete stairs</t>
  </si>
  <si>
    <t>Relocate interior storefront</t>
  </si>
  <si>
    <t>Relocate windows</t>
  </si>
  <si>
    <t>Relocate roll-up grille</t>
  </si>
  <si>
    <t>Relocate overhead door</t>
  </si>
  <si>
    <t>Relocate frame</t>
  </si>
  <si>
    <t>Relocate door</t>
  </si>
  <si>
    <t>Relocate double door and frame</t>
  </si>
  <si>
    <t>Relocate single door and frame</t>
  </si>
  <si>
    <t>Remove interior storefront</t>
  </si>
  <si>
    <t>Remove windows</t>
  </si>
  <si>
    <t>Remove roll up grille</t>
  </si>
  <si>
    <t>Remove overhead door</t>
  </si>
  <si>
    <t>Remove frame</t>
  </si>
  <si>
    <t>Remove door</t>
  </si>
  <si>
    <t>Remove double door and frame</t>
  </si>
  <si>
    <t>Remove single door and frame</t>
  </si>
  <si>
    <t>Remove terrazzo flooring</t>
  </si>
  <si>
    <t>Remove wood flooring</t>
  </si>
  <si>
    <t>Remove ceramic tile wall</t>
  </si>
  <si>
    <t>Remove ceramic and quarry tile</t>
  </si>
  <si>
    <t>Remove carpet</t>
  </si>
  <si>
    <t>Remove resilient flooring</t>
  </si>
  <si>
    <t>Remove plaster ceiling</t>
  </si>
  <si>
    <t>Remove drywall ceiling</t>
  </si>
  <si>
    <t>Remove acoustical tile</t>
  </si>
  <si>
    <t>Remove acoustical ceiling system</t>
  </si>
  <si>
    <t>Remove plaster</t>
  </si>
  <si>
    <t>Remove lath and plaster metal stud partition</t>
  </si>
  <si>
    <t>Remove drywall only</t>
  </si>
  <si>
    <t>Remove drywall wood part.</t>
  </si>
  <si>
    <t>Remove drywall mtl stud part.</t>
  </si>
  <si>
    <t>Remove masonry partition</t>
  </si>
  <si>
    <t>Remove msnry ld bearing wall</t>
  </si>
  <si>
    <t>Remove footings</t>
  </si>
  <si>
    <t>Remove elevated slab</t>
  </si>
  <si>
    <t>Remove reinforced SOG</t>
  </si>
  <si>
    <t>Remove  nonreinforced SOG</t>
  </si>
  <si>
    <t>Cut-out@ wd dr fiber roof deck</t>
  </si>
  <si>
    <t>Cut-out @ metal roof deck</t>
  </si>
  <si>
    <t>Cut-out @ concrete roof deck</t>
  </si>
  <si>
    <t>Cut-out @ metal siding</t>
  </si>
  <si>
    <t>Cut-out @ stucco-wd stud wall</t>
  </si>
  <si>
    <t>Cut-out @ stucco-mtl stud wall</t>
  </si>
  <si>
    <t>Cut-out @ concrete wall</t>
  </si>
  <si>
    <t>Cut-out @ masonry wall</t>
  </si>
  <si>
    <t>Remove overhead doors and grilles</t>
  </si>
  <si>
    <t>Remove louvers</t>
  </si>
  <si>
    <t>Remove exterior double door and frame</t>
  </si>
  <si>
    <t>Remove exterior single door and frame</t>
  </si>
  <si>
    <t>Remove wood studs</t>
  </si>
  <si>
    <t>Remove metal studs</t>
  </si>
  <si>
    <t>Remove masonry</t>
  </si>
  <si>
    <t>Remove window sills</t>
  </si>
  <si>
    <t>Remove storefront and glass doors</t>
  </si>
  <si>
    <t>Remove window wall</t>
  </si>
  <si>
    <t>Remove precast panels</t>
  </si>
  <si>
    <t>Remove metal siding</t>
  </si>
  <si>
    <t>Remove stucco</t>
  </si>
  <si>
    <t>Remove granite/marble</t>
  </si>
  <si>
    <t>Remove stone</t>
  </si>
  <si>
    <t>Remove face brick</t>
  </si>
  <si>
    <t>Remove soffit</t>
  </si>
  <si>
    <t>Remove fascia</t>
  </si>
  <si>
    <t>Remove railings</t>
  </si>
  <si>
    <t>Remove steps</t>
  </si>
  <si>
    <t>Remove covered walkway</t>
  </si>
  <si>
    <t>Remove mansard</t>
  </si>
  <si>
    <t>Remove wood canopy</t>
  </si>
  <si>
    <t>Remove steel canopy</t>
  </si>
  <si>
    <t>Remove concrete canopy</t>
  </si>
  <si>
    <t>Remove wood deck</t>
  </si>
  <si>
    <t>Remove lightweight roof fill</t>
  </si>
  <si>
    <t>Remove metal deck</t>
  </si>
  <si>
    <t>Remove precast roof deck</t>
  </si>
  <si>
    <t>Remove coping</t>
  </si>
  <si>
    <t>Remove flashing and sheetmetal</t>
  </si>
  <si>
    <t>Remove roof hatch</t>
  </si>
  <si>
    <t>Remove skylights</t>
  </si>
  <si>
    <t>Remove tile roofing</t>
  </si>
  <si>
    <t>Remove metal roofing</t>
  </si>
  <si>
    <t>Remove composition shingles</t>
  </si>
  <si>
    <t>Remove single ply roof and insulation</t>
  </si>
  <si>
    <t>Remove single ply roofing</t>
  </si>
  <si>
    <t>Remove gravel, b-u roof and insul</t>
  </si>
  <si>
    <t>Remove gravel and built-up roof</t>
  </si>
  <si>
    <t>Remove built-up roof</t>
  </si>
  <si>
    <t>Remove gravel @ roof</t>
  </si>
  <si>
    <t>Month</t>
  </si>
  <si>
    <t>Dumpsters</t>
  </si>
  <si>
    <t>Trash chutes</t>
  </si>
  <si>
    <t>Week</t>
  </si>
  <si>
    <t>Weekly cleanup</t>
  </si>
  <si>
    <t>Project sign</t>
  </si>
  <si>
    <t>Temporary slab guardrails</t>
  </si>
  <si>
    <t>Traffic bales</t>
  </si>
  <si>
    <t>Site construction fence</t>
  </si>
  <si>
    <t>Night watchmen and command dogs</t>
  </si>
  <si>
    <t>Security guards</t>
  </si>
  <si>
    <t>Powered swing staging</t>
  </si>
  <si>
    <t>Hydraulic lifts</t>
  </si>
  <si>
    <t>Mason's scaffolding, 96' long</t>
  </si>
  <si>
    <t>Tubular scaffolds</t>
  </si>
  <si>
    <t>Nylon safety nets</t>
  </si>
  <si>
    <t>Baker scaffolds (Perry / mobile)</t>
  </si>
  <si>
    <t>Hoists</t>
  </si>
  <si>
    <t>Forklifts</t>
  </si>
  <si>
    <t>Hod carrier carts</t>
  </si>
  <si>
    <t>Concrete mixers</t>
  </si>
  <si>
    <t>Temporary masonry heaters</t>
  </si>
  <si>
    <t>Temporary concrete heaters</t>
  </si>
  <si>
    <t>Temporary building heaters</t>
  </si>
  <si>
    <t>Masonry saws and blades</t>
  </si>
  <si>
    <t>Small tools and supplies</t>
  </si>
  <si>
    <t>Tower cranes</t>
  </si>
  <si>
    <t>Mobile cranes</t>
  </si>
  <si>
    <t>Construction cellular phones</t>
  </si>
  <si>
    <t>Construction office telephones</t>
  </si>
  <si>
    <t>Ice machine</t>
  </si>
  <si>
    <t>Office</t>
  </si>
  <si>
    <t>Drawing printing and purchase allowance</t>
  </si>
  <si>
    <t>Field office supplies</t>
  </si>
  <si>
    <t>Field office equipment</t>
  </si>
  <si>
    <t>Field office furniture</t>
  </si>
  <si>
    <t>Portable toilets</t>
  </si>
  <si>
    <t>Warehouse storage</t>
  </si>
  <si>
    <t>Tool house</t>
  </si>
  <si>
    <t>Trades trailer</t>
  </si>
  <si>
    <t>Job office trailer</t>
  </si>
  <si>
    <t>Construction gas utilities</t>
  </si>
  <si>
    <t>Construction water utilities</t>
  </si>
  <si>
    <t>Construction electrical utilities</t>
  </si>
  <si>
    <t>Structural steel tests</t>
  </si>
  <si>
    <t>Masonry tests</t>
  </si>
  <si>
    <t>Concrete tests</t>
  </si>
  <si>
    <t>Soil tests</t>
  </si>
  <si>
    <t>Schedule writer</t>
  </si>
  <si>
    <t>Aerial photographs</t>
  </si>
  <si>
    <t>Electrical estimator</t>
  </si>
  <si>
    <t>HVAC estimator</t>
  </si>
  <si>
    <t>Plumbing estimator</t>
  </si>
  <si>
    <t>Estimator</t>
  </si>
  <si>
    <t>Senior estimator</t>
  </si>
  <si>
    <t>Chief estimator</t>
  </si>
  <si>
    <t>Draughtsman</t>
  </si>
  <si>
    <t>Hours</t>
  </si>
  <si>
    <t>Survey crew</t>
  </si>
  <si>
    <t>Messenger</t>
  </si>
  <si>
    <t>Receptionist</t>
  </si>
  <si>
    <t>Secretary</t>
  </si>
  <si>
    <t>Safety engineer</t>
  </si>
  <si>
    <t>Quality engineer</t>
  </si>
  <si>
    <t>Timekeeper</t>
  </si>
  <si>
    <t>Clerk</t>
  </si>
  <si>
    <t>Office manager</t>
  </si>
  <si>
    <t>3rd field engineer</t>
  </si>
  <si>
    <t>2nd field engineer</t>
  </si>
  <si>
    <t>Field engineer</t>
  </si>
  <si>
    <t>Project engineer</t>
  </si>
  <si>
    <t>Design coordinator</t>
  </si>
  <si>
    <t>Electrical coordinator</t>
  </si>
  <si>
    <t>Mechanical coordinator</t>
  </si>
  <si>
    <t>M / E superintendent</t>
  </si>
  <si>
    <t>3rd assistant superintendent</t>
  </si>
  <si>
    <t>2nd assistant superintendent</t>
  </si>
  <si>
    <t>Assistant superintendent</t>
  </si>
  <si>
    <t>Superintendent</t>
  </si>
  <si>
    <t>Chief superintendent</t>
  </si>
  <si>
    <t>Assistant project manager</t>
  </si>
  <si>
    <t>Project manager</t>
  </si>
  <si>
    <t>Construction manager</t>
  </si>
  <si>
    <t>Senior project manager</t>
  </si>
  <si>
    <t>Project director</t>
  </si>
  <si>
    <t>Building permit</t>
  </si>
  <si>
    <t>Home owner's warranty fee</t>
  </si>
  <si>
    <t>PMI fee</t>
  </si>
  <si>
    <t>Real estate commission</t>
  </si>
  <si>
    <t>Closing cost</t>
  </si>
  <si>
    <t>1% buydown fee</t>
  </si>
  <si>
    <t>2-1 buydown fee</t>
  </si>
  <si>
    <t>3-2-1 buydown fee</t>
  </si>
  <si>
    <t>Discount points</t>
  </si>
  <si>
    <t>Origination fee, permnt load</t>
  </si>
  <si>
    <t>Origination fee, interim load</t>
  </si>
  <si>
    <t>Interim interest</t>
  </si>
  <si>
    <t>DESC</t>
  </si>
  <si>
    <t>ITEM CODE</t>
  </si>
  <si>
    <t>Sep. 2023</t>
  </si>
  <si>
    <t>Division</t>
  </si>
  <si>
    <t>Spec Number</t>
  </si>
  <si>
    <t>Spec Description</t>
  </si>
  <si>
    <t>00</t>
  </si>
  <si>
    <t>00 00 00</t>
  </si>
  <si>
    <t>PROCUREMENT REQUIREMENTS</t>
  </si>
  <si>
    <t>00 10 00</t>
  </si>
  <si>
    <t>SOLICITATION</t>
  </si>
  <si>
    <t>00 11 00</t>
  </si>
  <si>
    <t>Advertisements and Invitations</t>
  </si>
  <si>
    <t>00 20 00</t>
  </si>
  <si>
    <t>INSTRUCTIONS FOR PROCUREMENT</t>
  </si>
  <si>
    <t>00 21 00</t>
  </si>
  <si>
    <t>Instructions</t>
  </si>
  <si>
    <t>00 22 00</t>
  </si>
  <si>
    <t>Supplementary Instructions</t>
  </si>
  <si>
    <t>00 23 00</t>
  </si>
  <si>
    <t>Procurement Definitions</t>
  </si>
  <si>
    <t>00 24 00</t>
  </si>
  <si>
    <t>Procurement Scopes</t>
  </si>
  <si>
    <t>00 25 00</t>
  </si>
  <si>
    <t>Procurement Meetings</t>
  </si>
  <si>
    <t>00 26 00</t>
  </si>
  <si>
    <t>Procurement Substitution Procedures</t>
  </si>
  <si>
    <t>00 30 00</t>
  </si>
  <si>
    <t>AVAILABLE INFORMATION</t>
  </si>
  <si>
    <t>00 31 00</t>
  </si>
  <si>
    <t>Available Project Information</t>
  </si>
  <si>
    <t>00 40 00</t>
  </si>
  <si>
    <t>PROCUREMENT FORMS AND SUPPLEMENTS</t>
  </si>
  <si>
    <t>00 41 00</t>
  </si>
  <si>
    <t>Bid Forms</t>
  </si>
  <si>
    <t>00 42 00</t>
  </si>
  <si>
    <t>Proposal Forms</t>
  </si>
  <si>
    <t>00 43 00</t>
  </si>
  <si>
    <t>Procurement Form Supplements</t>
  </si>
  <si>
    <t>00 45 00</t>
  </si>
  <si>
    <t>Representations and Certifications</t>
  </si>
  <si>
    <t>00 50 00</t>
  </si>
  <si>
    <t>CONTRACTING FORMS AND SUPPLEMENTS</t>
  </si>
  <si>
    <t>00 51 00</t>
  </si>
  <si>
    <t>Notice of Award</t>
  </si>
  <si>
    <t>00 52 00</t>
  </si>
  <si>
    <t>Agreement Forms</t>
  </si>
  <si>
    <t>00 54 00</t>
  </si>
  <si>
    <t>Agreement Form Supplements</t>
  </si>
  <si>
    <t>00 55 00</t>
  </si>
  <si>
    <t>Notice to Proceed</t>
  </si>
  <si>
    <t>00 60 00</t>
  </si>
  <si>
    <t>PROJECT FORMS</t>
  </si>
  <si>
    <t>00 61 00</t>
  </si>
  <si>
    <t>Bond Forms</t>
  </si>
  <si>
    <t>00 62 00</t>
  </si>
  <si>
    <t>Certificates and Other Forms</t>
  </si>
  <si>
    <t>00 63 00</t>
  </si>
  <si>
    <t>Clarification and Modification Forms</t>
  </si>
  <si>
    <t>00 65 00</t>
  </si>
  <si>
    <t>Closeout Forms</t>
  </si>
  <si>
    <t>00 70 00</t>
  </si>
  <si>
    <t>CONDITIONS OF THE CONTRACT</t>
  </si>
  <si>
    <t>00 71 00</t>
  </si>
  <si>
    <t>Contracting Definitions</t>
  </si>
  <si>
    <t>00 72 00</t>
  </si>
  <si>
    <t>00 73 00</t>
  </si>
  <si>
    <t>Supplementary Conditions</t>
  </si>
  <si>
    <t>00 90 00</t>
  </si>
  <si>
    <t>REVISIONS, CLARIFICATIONS, AND</t>
  </si>
  <si>
    <t>00 91 00</t>
  </si>
  <si>
    <t>Precontract Revisions</t>
  </si>
  <si>
    <t>00 93 00</t>
  </si>
  <si>
    <t>Record Clarifications and Proposals</t>
  </si>
  <si>
    <t>00 94 00</t>
  </si>
  <si>
    <t>Record Modifications</t>
  </si>
  <si>
    <t>01</t>
  </si>
  <si>
    <t>01 00 00</t>
  </si>
  <si>
    <t>GENERAL REQUIREMENTS</t>
  </si>
  <si>
    <t>01 10 00</t>
  </si>
  <si>
    <t>SUMMARY</t>
  </si>
  <si>
    <t>01 11 00</t>
  </si>
  <si>
    <t>Summary of Work</t>
  </si>
  <si>
    <t>01 12 00</t>
  </si>
  <si>
    <t>Multiple Contract Summary</t>
  </si>
  <si>
    <t>01 14 00</t>
  </si>
  <si>
    <t>Work Restrictions</t>
  </si>
  <si>
    <t>01 18 00</t>
  </si>
  <si>
    <t>Project Utility Sources</t>
  </si>
  <si>
    <t>01 20 00</t>
  </si>
  <si>
    <t>PRICE AND PAYMENT PROCEDURES</t>
  </si>
  <si>
    <t>01 21 00</t>
  </si>
  <si>
    <t>Allowances</t>
  </si>
  <si>
    <t>01 22 00</t>
  </si>
  <si>
    <t>Unit Prices</t>
  </si>
  <si>
    <t>01 23 00</t>
  </si>
  <si>
    <t>Alternates</t>
  </si>
  <si>
    <t>01 24 00</t>
  </si>
  <si>
    <t>Value Analysis</t>
  </si>
  <si>
    <t>01 25 00</t>
  </si>
  <si>
    <t>Substitution Procedures</t>
  </si>
  <si>
    <t>01 26 00</t>
  </si>
  <si>
    <t>Contract Modification Procedures</t>
  </si>
  <si>
    <t>01 29 00</t>
  </si>
  <si>
    <t>Payment Procedures</t>
  </si>
  <si>
    <t>01 30 00</t>
  </si>
  <si>
    <t>ADMINISTRATIVE REQUIREMENTS</t>
  </si>
  <si>
    <t>01 31 00</t>
  </si>
  <si>
    <t>Project Management and Coordination</t>
  </si>
  <si>
    <t>01 32 00</t>
  </si>
  <si>
    <t>Construction Progress Documentation</t>
  </si>
  <si>
    <t>01 33 00</t>
  </si>
  <si>
    <t>Submittal Procedures</t>
  </si>
  <si>
    <t>01 35 00</t>
  </si>
  <si>
    <t>Special Procedures</t>
  </si>
  <si>
    <t>01 40 00</t>
  </si>
  <si>
    <t>QUALITY REQUIREMENTS</t>
  </si>
  <si>
    <t>01 41 00</t>
  </si>
  <si>
    <t>Regulatory Requirements</t>
  </si>
  <si>
    <t>01 42 00</t>
  </si>
  <si>
    <t>References</t>
  </si>
  <si>
    <t>01 43 00</t>
  </si>
  <si>
    <t>Quality Assurance</t>
  </si>
  <si>
    <t>01 45 00</t>
  </si>
  <si>
    <t>Quality Control</t>
  </si>
  <si>
    <t>01 50 00</t>
  </si>
  <si>
    <t>TEMPORARY FACILITIES AND CONTROLS</t>
  </si>
  <si>
    <t>01 51 00</t>
  </si>
  <si>
    <t>Temporary Utilities</t>
  </si>
  <si>
    <t>01 52 00</t>
  </si>
  <si>
    <t>Construction Facilities</t>
  </si>
  <si>
    <t>01 53 00</t>
  </si>
  <si>
    <t>Temporary Construction</t>
  </si>
  <si>
    <t>01 54 00</t>
  </si>
  <si>
    <t>Construction Aids</t>
  </si>
  <si>
    <t>01 55 00</t>
  </si>
  <si>
    <t>Vehicular Access and Parking</t>
  </si>
  <si>
    <t>01 56 00</t>
  </si>
  <si>
    <t>Temporary Barriers and Enclosures</t>
  </si>
  <si>
    <t>01 57 00</t>
  </si>
  <si>
    <t>Temporary Controls</t>
  </si>
  <si>
    <t>01 58 00</t>
  </si>
  <si>
    <t>Project Identification</t>
  </si>
  <si>
    <t>01 60 00</t>
  </si>
  <si>
    <t>PRODUCT REQUIREMENTS</t>
  </si>
  <si>
    <t>01 61 00</t>
  </si>
  <si>
    <t>Common Product Requirements</t>
  </si>
  <si>
    <t>01 62 00</t>
  </si>
  <si>
    <t>Product Options</t>
  </si>
  <si>
    <t>01 64 00</t>
  </si>
  <si>
    <t>Owner-Furnished Products</t>
  </si>
  <si>
    <t>01 65 00</t>
  </si>
  <si>
    <t>Product Delivery Requirements</t>
  </si>
  <si>
    <t>01 66 00</t>
  </si>
  <si>
    <t>Product Storage and Handling Requirements</t>
  </si>
  <si>
    <t>01 70 00</t>
  </si>
  <si>
    <t>EXECUTION AND CLOSEOUT REQUIREMENTS</t>
  </si>
  <si>
    <t>01 71 00</t>
  </si>
  <si>
    <t>Examination and Preparation</t>
  </si>
  <si>
    <t>01 73 00</t>
  </si>
  <si>
    <t>Execution</t>
  </si>
  <si>
    <t>01 74 00</t>
  </si>
  <si>
    <t>Cleaning and Waste Management</t>
  </si>
  <si>
    <t>01 75 00</t>
  </si>
  <si>
    <t>Starting and Adjusting</t>
  </si>
  <si>
    <t>01 76 00</t>
  </si>
  <si>
    <t>Protecting Installed Construction</t>
  </si>
  <si>
    <t>01 77 00</t>
  </si>
  <si>
    <t>Closeout Procedures</t>
  </si>
  <si>
    <t>01 78 00</t>
  </si>
  <si>
    <t>Closeout Submittals</t>
  </si>
  <si>
    <t>01 79 00</t>
  </si>
  <si>
    <t>Demonstration and Training</t>
  </si>
  <si>
    <t>01 80 00</t>
  </si>
  <si>
    <t>PERFORMANCE REQUIREMENTS</t>
  </si>
  <si>
    <t>01 81 00</t>
  </si>
  <si>
    <t>Facility Performance Requirements</t>
  </si>
  <si>
    <t>01 82 00</t>
  </si>
  <si>
    <t>Facility Substructure Performance Requirements</t>
  </si>
  <si>
    <t>01 83 00</t>
  </si>
  <si>
    <t>Facility Shell Performance Requirements</t>
  </si>
  <si>
    <t>01 84 00</t>
  </si>
  <si>
    <t>Interiors Performance Requirements</t>
  </si>
  <si>
    <t>01 85 00</t>
  </si>
  <si>
    <t>Conveying Equipment Performance Requirements</t>
  </si>
  <si>
    <t>01 86 00</t>
  </si>
  <si>
    <t>Facility Services Performance Requirements</t>
  </si>
  <si>
    <t>01 87 00</t>
  </si>
  <si>
    <t>Equipment and Furnishings Performance Requirements</t>
  </si>
  <si>
    <t>01 88 00</t>
  </si>
  <si>
    <t>Other Facility Construction Performance Requirements</t>
  </si>
  <si>
    <t>01 89 00</t>
  </si>
  <si>
    <t>Site Construction Performance Requirements</t>
  </si>
  <si>
    <t>01 90 00</t>
  </si>
  <si>
    <t>LIFE CYCLE ACTIVITIES</t>
  </si>
  <si>
    <t>01 91 00</t>
  </si>
  <si>
    <t>Commissioning</t>
  </si>
  <si>
    <t>01 92 00</t>
  </si>
  <si>
    <t>Facility Operation</t>
  </si>
  <si>
    <t>01 93 00</t>
  </si>
  <si>
    <t>Facility Maintenance</t>
  </si>
  <si>
    <t>01 94 00</t>
  </si>
  <si>
    <t>Facility Decommissioning</t>
  </si>
  <si>
    <t>02</t>
  </si>
  <si>
    <t>02 00 00</t>
  </si>
  <si>
    <t>EXISTING CONDITIONS</t>
  </si>
  <si>
    <t>02 20 00</t>
  </si>
  <si>
    <t>ASSESSMENT</t>
  </si>
  <si>
    <t>02 21 00</t>
  </si>
  <si>
    <t>Surveys</t>
  </si>
  <si>
    <t>02 22 00</t>
  </si>
  <si>
    <t>Existing Conditions Assessment</t>
  </si>
  <si>
    <t>02 24 00</t>
  </si>
  <si>
    <t>Environmental Assessment</t>
  </si>
  <si>
    <t>02 25 00</t>
  </si>
  <si>
    <t>Existing Material Assessment</t>
  </si>
  <si>
    <t>02 26 00</t>
  </si>
  <si>
    <t>Hazardous Material Assessment</t>
  </si>
  <si>
    <t>02 30 00</t>
  </si>
  <si>
    <t>SUBSURFACE INVESTIGATION</t>
  </si>
  <si>
    <t>02 31 00</t>
  </si>
  <si>
    <t>Geophysical Investigations</t>
  </si>
  <si>
    <t>02 32 00</t>
  </si>
  <si>
    <t>Geotechnical Investigations</t>
  </si>
  <si>
    <t>02 40 00</t>
  </si>
  <si>
    <t>DEMOLITION AND STRUCTURE MOVING</t>
  </si>
  <si>
    <t>02 41 00</t>
  </si>
  <si>
    <t>Demolition</t>
  </si>
  <si>
    <t>02 42 00</t>
  </si>
  <si>
    <t>Removal and Diversion of Construction Materials</t>
  </si>
  <si>
    <t>02 43 00</t>
  </si>
  <si>
    <t>Structure Moving</t>
  </si>
  <si>
    <t>02 50 00</t>
  </si>
  <si>
    <t>SITE REMEDIATION</t>
  </si>
  <si>
    <t>02 51 00</t>
  </si>
  <si>
    <t>Physical Decontamination</t>
  </si>
  <si>
    <t>02 52 00</t>
  </si>
  <si>
    <t>Chemical Decontamination</t>
  </si>
  <si>
    <t>02 53 00</t>
  </si>
  <si>
    <t>Thermal Decontamination</t>
  </si>
  <si>
    <t>02 54 00</t>
  </si>
  <si>
    <t>Biological Decontamination</t>
  </si>
  <si>
    <t>02 55 00</t>
  </si>
  <si>
    <t>Remediation Soil Stabilization</t>
  </si>
  <si>
    <t>02 56 00</t>
  </si>
  <si>
    <t>Site Containment</t>
  </si>
  <si>
    <t>02 57 00</t>
  </si>
  <si>
    <t>Sinkhole Remediation</t>
  </si>
  <si>
    <t>02 58 00</t>
  </si>
  <si>
    <t>Snow Control</t>
  </si>
  <si>
    <t>02 60 00</t>
  </si>
  <si>
    <t>CONTAMINATED SITE MATERIAL REMOVAL</t>
  </si>
  <si>
    <t>02 61 00</t>
  </si>
  <si>
    <t>Removal and Disposal of Contaminated Soils</t>
  </si>
  <si>
    <t>02 62 00</t>
  </si>
  <si>
    <t>Hazardous Waste Recovery Processes</t>
  </si>
  <si>
    <t>02 65 00</t>
  </si>
  <si>
    <t>Underground Storage Tank Removal</t>
  </si>
  <si>
    <t>02 70 00</t>
  </si>
  <si>
    <t>WATER REMEDIATION</t>
  </si>
  <si>
    <t>02 71 00</t>
  </si>
  <si>
    <t>Groundwater Treatment</t>
  </si>
  <si>
    <t>02 72 00</t>
  </si>
  <si>
    <t>Water Decontamination</t>
  </si>
  <si>
    <t>02 80 00</t>
  </si>
  <si>
    <t>FACILITY REMEDIATION</t>
  </si>
  <si>
    <t>02 81 00</t>
  </si>
  <si>
    <t>Transportation and Disposal of Hazardous Materials</t>
  </si>
  <si>
    <t>02 82 00</t>
  </si>
  <si>
    <t>Asbestos Remediation</t>
  </si>
  <si>
    <t>02 83 00</t>
  </si>
  <si>
    <t>Lead Remediation</t>
  </si>
  <si>
    <t>02 84 00</t>
  </si>
  <si>
    <t>Polychlorinate Biphenyl Remediation</t>
  </si>
  <si>
    <t>02 86 00</t>
  </si>
  <si>
    <t>Hazardous Waste Drum Handling</t>
  </si>
  <si>
    <t>02 87 00</t>
  </si>
  <si>
    <t>Biohazard Remediation</t>
  </si>
  <si>
    <t>03</t>
  </si>
  <si>
    <t>03 00 00</t>
  </si>
  <si>
    <t>CONCRETE</t>
  </si>
  <si>
    <t>03 10 00</t>
  </si>
  <si>
    <t>CONCRETE FORMING AND ACCESSORIES</t>
  </si>
  <si>
    <t>03 11 00</t>
  </si>
  <si>
    <t>Concrete Forming</t>
  </si>
  <si>
    <t>03 15 00</t>
  </si>
  <si>
    <t>Concrete Accessories</t>
  </si>
  <si>
    <t>03 20 00</t>
  </si>
  <si>
    <t>CONCRETE REINFORCING</t>
  </si>
  <si>
    <t>03 21 00</t>
  </si>
  <si>
    <t>Reinforcement Bars</t>
  </si>
  <si>
    <t>03 22 00</t>
  </si>
  <si>
    <t>Fabric and Grid Reinforcing</t>
  </si>
  <si>
    <t>03 23 00</t>
  </si>
  <si>
    <t>Stressed Tendon Reinforcing</t>
  </si>
  <si>
    <t>03 24 00</t>
  </si>
  <si>
    <t>Fibrous Reinforcing</t>
  </si>
  <si>
    <t>03 25 00</t>
  </si>
  <si>
    <t>Composite Reinforcing</t>
  </si>
  <si>
    <t>03 30 00</t>
  </si>
  <si>
    <t>CAST-IN-PLACE CONCRETE</t>
  </si>
  <si>
    <t>03 31 00</t>
  </si>
  <si>
    <t>Structural Concrete</t>
  </si>
  <si>
    <t>03 33 00</t>
  </si>
  <si>
    <t>Architectural Concrete</t>
  </si>
  <si>
    <t>03 34 00</t>
  </si>
  <si>
    <t>Low-Density Concrete</t>
  </si>
  <si>
    <t>03 35 00</t>
  </si>
  <si>
    <t>Concrete Finishing</t>
  </si>
  <si>
    <t>03 37 00</t>
  </si>
  <si>
    <t>Specialty Placed Concrete</t>
  </si>
  <si>
    <t>03 38 00</t>
  </si>
  <si>
    <t>Post-Tensioned Concrete</t>
  </si>
  <si>
    <t>03 39 00</t>
  </si>
  <si>
    <t>Concrete Curing</t>
  </si>
  <si>
    <t>03 40 00</t>
  </si>
  <si>
    <t>PRECAST CONCRETE</t>
  </si>
  <si>
    <t>03 41 00</t>
  </si>
  <si>
    <t>Precast Structural Concrete</t>
  </si>
  <si>
    <t>03 45 00</t>
  </si>
  <si>
    <t>Precast Architectural Concrete</t>
  </si>
  <si>
    <t>03 47 00</t>
  </si>
  <si>
    <t>Site-Cast Concrete</t>
  </si>
  <si>
    <t>03 48 00</t>
  </si>
  <si>
    <t>Precast Concrete Specialties</t>
  </si>
  <si>
    <t>03 49 00</t>
  </si>
  <si>
    <t>Glass-Fiber-Reinforced Concrete</t>
  </si>
  <si>
    <t>03 50 00</t>
  </si>
  <si>
    <t>CAST DECKS AND UNDERLAYMENT</t>
  </si>
  <si>
    <t>03 51 00</t>
  </si>
  <si>
    <t>Cast Roof Decks</t>
  </si>
  <si>
    <t>03 52 00</t>
  </si>
  <si>
    <t>Lightweight Concrete Roof Insulation</t>
  </si>
  <si>
    <t>03 53 00</t>
  </si>
  <si>
    <t>Concrete Topping</t>
  </si>
  <si>
    <t>03 54 00</t>
  </si>
  <si>
    <t>Cast Underlayment</t>
  </si>
  <si>
    <t>03 60 00</t>
  </si>
  <si>
    <t>GROUTING</t>
  </si>
  <si>
    <t>03 61 00</t>
  </si>
  <si>
    <t>Cementitious Grouting</t>
  </si>
  <si>
    <t>03 62 00</t>
  </si>
  <si>
    <t>Non-Shrink Grouting</t>
  </si>
  <si>
    <t>03 63 00</t>
  </si>
  <si>
    <t>Epoxy Grouting</t>
  </si>
  <si>
    <t>03 64 00</t>
  </si>
  <si>
    <t>Injection Grouting</t>
  </si>
  <si>
    <t>03 70 00</t>
  </si>
  <si>
    <t>MASS CONCRETE</t>
  </si>
  <si>
    <t>03 71 00</t>
  </si>
  <si>
    <t>Mass Concrete for Raft Foundations</t>
  </si>
  <si>
    <t>03 72 00</t>
  </si>
  <si>
    <t>Mass Concrete for Dams</t>
  </si>
  <si>
    <t>03 80 00</t>
  </si>
  <si>
    <t>CONCRETE CUTTING AND BORING</t>
  </si>
  <si>
    <t>03 81 00</t>
  </si>
  <si>
    <t>Concrete Cutting</t>
  </si>
  <si>
    <t>03 82 00</t>
  </si>
  <si>
    <t>Concrete Boring</t>
  </si>
  <si>
    <t>04</t>
  </si>
  <si>
    <t>04 00 00</t>
  </si>
  <si>
    <t>MASONRY</t>
  </si>
  <si>
    <t>04 20 00</t>
  </si>
  <si>
    <t>UNIT MASONRY</t>
  </si>
  <si>
    <t>04 21 00</t>
  </si>
  <si>
    <t>Clay Unit Masonry</t>
  </si>
  <si>
    <t>04 22 00</t>
  </si>
  <si>
    <t>Concrete Unit Masonry</t>
  </si>
  <si>
    <t>04 23 00</t>
  </si>
  <si>
    <t>Glass Unit Masonry</t>
  </si>
  <si>
    <t>04 24 00</t>
  </si>
  <si>
    <t>Adobe Unit Masonry</t>
  </si>
  <si>
    <t>04 25 00</t>
  </si>
  <si>
    <t>Unit Masonry Panels</t>
  </si>
  <si>
    <t>04 26 00</t>
  </si>
  <si>
    <t>Single-Wythe Unit Masonry</t>
  </si>
  <si>
    <t>04 27 00</t>
  </si>
  <si>
    <t>Multiple-Wythe Unit Masonry</t>
  </si>
  <si>
    <t>04 28 00</t>
  </si>
  <si>
    <t>Concrete Form Masonry Units</t>
  </si>
  <si>
    <t>04 29 00</t>
  </si>
  <si>
    <t>Engineered Unit Masonry</t>
  </si>
  <si>
    <t>04 40 00</t>
  </si>
  <si>
    <t>STONE ASSEMBLIES</t>
  </si>
  <si>
    <t>04 41 00</t>
  </si>
  <si>
    <t>Dry-Placed Stone</t>
  </si>
  <si>
    <t>04 42 00</t>
  </si>
  <si>
    <t>Exterior Stone Cladding</t>
  </si>
  <si>
    <t>04 43 00</t>
  </si>
  <si>
    <t>Stone Masonry</t>
  </si>
  <si>
    <t>04 50 00</t>
  </si>
  <si>
    <t>REFRACTORY MASONRY</t>
  </si>
  <si>
    <t>04 51 00</t>
  </si>
  <si>
    <t>Flue Liner Masonry</t>
  </si>
  <si>
    <t>04 52 00</t>
  </si>
  <si>
    <t>Combustion Chamber Masonry</t>
  </si>
  <si>
    <t>04 53 00</t>
  </si>
  <si>
    <t>Castable Refractory Masonry</t>
  </si>
  <si>
    <t>04 54 00</t>
  </si>
  <si>
    <t>Refractory Brick Masonry</t>
  </si>
  <si>
    <t>04 57 00</t>
  </si>
  <si>
    <t>Masonry Fireplaces</t>
  </si>
  <si>
    <t>04 60 00</t>
  </si>
  <si>
    <t>CORROSION-RESISTANT MASONRY</t>
  </si>
  <si>
    <t>04 61 00</t>
  </si>
  <si>
    <t>Chemical-Resistant Brick Masonry</t>
  </si>
  <si>
    <t>04 62 00</t>
  </si>
  <si>
    <t>Vitrified Clay Liner Plate</t>
  </si>
  <si>
    <t>04 70 00</t>
  </si>
  <si>
    <t>MANUFACTURED MASONRY</t>
  </si>
  <si>
    <t>04 71 00</t>
  </si>
  <si>
    <t>Manufactured Brick Masonry</t>
  </si>
  <si>
    <t>04 72 00</t>
  </si>
  <si>
    <t>Cast Stone Masonry</t>
  </si>
  <si>
    <t>04 73 00</t>
  </si>
  <si>
    <t>Manufactured Stone Masonry</t>
  </si>
  <si>
    <t>05</t>
  </si>
  <si>
    <t>05 00 00</t>
  </si>
  <si>
    <t>METALS</t>
  </si>
  <si>
    <t>05 10 00</t>
  </si>
  <si>
    <t>STRUCTURAL METAL FRAMING</t>
  </si>
  <si>
    <t>05 12 00</t>
  </si>
  <si>
    <t>Structural Steel Framing</t>
  </si>
  <si>
    <t>05 13 00</t>
  </si>
  <si>
    <t>Structural Stainless Steel Framing</t>
  </si>
  <si>
    <t>05 14 00</t>
  </si>
  <si>
    <t>Structural Aluminum Framing</t>
  </si>
  <si>
    <t>05 15 00</t>
  </si>
  <si>
    <t>Wire Rope Assemblies</t>
  </si>
  <si>
    <t>05 16 00</t>
  </si>
  <si>
    <t>Structural Cabling</t>
  </si>
  <si>
    <t>05 17 00</t>
  </si>
  <si>
    <t>Structural Rod Assemblies</t>
  </si>
  <si>
    <t>05 19 00</t>
  </si>
  <si>
    <t>Tension Rod and Cable Truss Assemblies</t>
  </si>
  <si>
    <t>05 20 00</t>
  </si>
  <si>
    <t>METAL JOISTS</t>
  </si>
  <si>
    <t>05 21 00</t>
  </si>
  <si>
    <t>Steel Joist Framing</t>
  </si>
  <si>
    <t>05 25 00</t>
  </si>
  <si>
    <t>Aluminum Joist Framing</t>
  </si>
  <si>
    <t>05 30 00</t>
  </si>
  <si>
    <t>METAL DECKING</t>
  </si>
  <si>
    <t>05 31 00</t>
  </si>
  <si>
    <t>Steel Decking</t>
  </si>
  <si>
    <t>05 33 00</t>
  </si>
  <si>
    <t>Aluminum Decking</t>
  </si>
  <si>
    <t>05 34 00</t>
  </si>
  <si>
    <t>Acoustical Metal Decking</t>
  </si>
  <si>
    <t>05 35 00</t>
  </si>
  <si>
    <t>Raceway Decking Assemblies</t>
  </si>
  <si>
    <t>05 36 00</t>
  </si>
  <si>
    <t>Composite Metal Decking</t>
  </si>
  <si>
    <t>05 40 00</t>
  </si>
  <si>
    <t>COLD-FORMED METAL FRAMING</t>
  </si>
  <si>
    <t>05 41 00</t>
  </si>
  <si>
    <t>Structural Metal Stud Framing</t>
  </si>
  <si>
    <t>05 42 00</t>
  </si>
  <si>
    <t>Cold-Formed Metal Joist Framing</t>
  </si>
  <si>
    <t>05 43 00</t>
  </si>
  <si>
    <t>Slotted Channel Framing</t>
  </si>
  <si>
    <t>05 44 00</t>
  </si>
  <si>
    <t>Cold-Formed Metal Trusses</t>
  </si>
  <si>
    <t>05 45 00</t>
  </si>
  <si>
    <t>Metal Support Assemblies</t>
  </si>
  <si>
    <t>05 50 00</t>
  </si>
  <si>
    <t>METAL FABRICATIONS</t>
  </si>
  <si>
    <t>05 51 00</t>
  </si>
  <si>
    <t>Metal Stairs</t>
  </si>
  <si>
    <t>05 52 00</t>
  </si>
  <si>
    <t>Metal Railings</t>
  </si>
  <si>
    <t>05 53 00</t>
  </si>
  <si>
    <t>Metal Gratings</t>
  </si>
  <si>
    <t>05 54 00</t>
  </si>
  <si>
    <t>Metal Floor Plates</t>
  </si>
  <si>
    <t>05 55 00</t>
  </si>
  <si>
    <t>Metal Stair Treads and Nosings</t>
  </si>
  <si>
    <t>05 56 00</t>
  </si>
  <si>
    <t>Metal Castings</t>
  </si>
  <si>
    <t>05 58 00</t>
  </si>
  <si>
    <t>Formed Metal Fabrications</t>
  </si>
  <si>
    <t>05 59 00</t>
  </si>
  <si>
    <t>Metal Specialties</t>
  </si>
  <si>
    <t>05 70 00</t>
  </si>
  <si>
    <t>DECORATIVE METAL</t>
  </si>
  <si>
    <t>05 71 00</t>
  </si>
  <si>
    <t>Decorative Metal Stairs</t>
  </si>
  <si>
    <t>05 73 00</t>
  </si>
  <si>
    <t>Decorative Metal Railings</t>
  </si>
  <si>
    <t>05 74 00</t>
  </si>
  <si>
    <t>Decorative Metal Castings</t>
  </si>
  <si>
    <t>05 75 00</t>
  </si>
  <si>
    <t>Decorative Formed Metal</t>
  </si>
  <si>
    <t>05 76 00</t>
  </si>
  <si>
    <t>Decorative Forged Metal</t>
  </si>
  <si>
    <t>05 77 00</t>
  </si>
  <si>
    <t>Decorative Extruded Metal</t>
  </si>
  <si>
    <t>06</t>
  </si>
  <si>
    <t>06 00 00</t>
  </si>
  <si>
    <t>WOOD, PLASTICS, AND COMPOSITES</t>
  </si>
  <si>
    <t>06 10 00</t>
  </si>
  <si>
    <t>ROUGH CARPENTRY</t>
  </si>
  <si>
    <t>06 11 00</t>
  </si>
  <si>
    <t>Wood Framing</t>
  </si>
  <si>
    <t>06 12 00</t>
  </si>
  <si>
    <t>Structural Panels</t>
  </si>
  <si>
    <t>06 13 00</t>
  </si>
  <si>
    <t>Heavy Timber Construction</t>
  </si>
  <si>
    <t>06 14 00</t>
  </si>
  <si>
    <t>Treated Wood Foundations</t>
  </si>
  <si>
    <t>06 15 00</t>
  </si>
  <si>
    <t>Wood Decking</t>
  </si>
  <si>
    <t>06 16 00</t>
  </si>
  <si>
    <t>Sheathing</t>
  </si>
  <si>
    <t>06 17 00</t>
  </si>
  <si>
    <t>Shop-Fabricated Structural Wood</t>
  </si>
  <si>
    <t>06 18 00</t>
  </si>
  <si>
    <t>Glued-Laminated Construction</t>
  </si>
  <si>
    <t>06 20 00</t>
  </si>
  <si>
    <t>FINISH CARPENTRY</t>
  </si>
  <si>
    <t>06 22 00</t>
  </si>
  <si>
    <t>06 25 00</t>
  </si>
  <si>
    <t>Prefinished Paneling</t>
  </si>
  <si>
    <t>06 26 00</t>
  </si>
  <si>
    <t>Board Paneling</t>
  </si>
  <si>
    <t>06 40 00</t>
  </si>
  <si>
    <t>ARCHITECTURAL WOODWORK</t>
  </si>
  <si>
    <t>06 41 00</t>
  </si>
  <si>
    <t>Architectural Wood Casework</t>
  </si>
  <si>
    <t>06 42 00</t>
  </si>
  <si>
    <t>Wood Paneling</t>
  </si>
  <si>
    <t>06 43 00</t>
  </si>
  <si>
    <t>Wood Stairs and Railings</t>
  </si>
  <si>
    <t>06 44 00</t>
  </si>
  <si>
    <t>Ornamental Woodwork</t>
  </si>
  <si>
    <t>06 46 00</t>
  </si>
  <si>
    <t>Wood Trim</t>
  </si>
  <si>
    <t>06 48 00</t>
  </si>
  <si>
    <t>Wood Frames</t>
  </si>
  <si>
    <t>06 49 00</t>
  </si>
  <si>
    <t>Wood Screens and Shutters</t>
  </si>
  <si>
    <t>06 50 00</t>
  </si>
  <si>
    <t>STRUCTURAL PLASTICS</t>
  </si>
  <si>
    <t>06 51 00</t>
  </si>
  <si>
    <t>Structural Plastic Shapes and Plates</t>
  </si>
  <si>
    <t>06 52 00</t>
  </si>
  <si>
    <t>Plastic Structural Assemblies</t>
  </si>
  <si>
    <t>06 53 00</t>
  </si>
  <si>
    <t>Plastic Decking</t>
  </si>
  <si>
    <t>06 60 00</t>
  </si>
  <si>
    <t>PLASTIC FABRICATIONS</t>
  </si>
  <si>
    <t>06 61 00</t>
  </si>
  <si>
    <t>Cast Polymer Fabrications</t>
  </si>
  <si>
    <t>06 62 00</t>
  </si>
  <si>
    <t>Plastic Foam Fabrications</t>
  </si>
  <si>
    <t>06 63 00</t>
  </si>
  <si>
    <t>Plastic Railings</t>
  </si>
  <si>
    <t>06 64 00</t>
  </si>
  <si>
    <t>Plastic Paneling</t>
  </si>
  <si>
    <t>06 65 00</t>
  </si>
  <si>
    <t>Plastic Trim</t>
  </si>
  <si>
    <t>06 66 00</t>
  </si>
  <si>
    <t>Custom Ornamental Simulated Woodwork</t>
  </si>
  <si>
    <t>06 70 00</t>
  </si>
  <si>
    <t>STRUCTURAL COMPOSITES</t>
  </si>
  <si>
    <t>06 71 00</t>
  </si>
  <si>
    <t>Structural Composite Shapes and Plates</t>
  </si>
  <si>
    <t>06 72 00</t>
  </si>
  <si>
    <t>Composite Structural Assemblies</t>
  </si>
  <si>
    <t>06 73 00</t>
  </si>
  <si>
    <t>Composite Decking</t>
  </si>
  <si>
    <t>06 74 00</t>
  </si>
  <si>
    <t>Composite Gratings</t>
  </si>
  <si>
    <t>06 80 00</t>
  </si>
  <si>
    <t>COMPOSITE FABRICATIONS</t>
  </si>
  <si>
    <t>06 81 00</t>
  </si>
  <si>
    <t>Composite Railings</t>
  </si>
  <si>
    <t>06 82 00</t>
  </si>
  <si>
    <t>Composite Trim</t>
  </si>
  <si>
    <t>06 83 00</t>
  </si>
  <si>
    <t>Composite Paneling</t>
  </si>
  <si>
    <t>07</t>
  </si>
  <si>
    <t>07 00 00</t>
  </si>
  <si>
    <t>THERMAL AND MOISTURE PROTECTION</t>
  </si>
  <si>
    <t>07 10 00</t>
  </si>
  <si>
    <t>DAMPPROOFING AND WATERPROOFING</t>
  </si>
  <si>
    <t>07 11 00</t>
  </si>
  <si>
    <t>07 12 00</t>
  </si>
  <si>
    <t>Built-Up Bituminous Waterproofing</t>
  </si>
  <si>
    <t>07 13 00</t>
  </si>
  <si>
    <t>Sheet Waterproofing</t>
  </si>
  <si>
    <t>07 14 00</t>
  </si>
  <si>
    <t>Fluid-Applied Waterproofing</t>
  </si>
  <si>
    <t>07 15 00</t>
  </si>
  <si>
    <t>Sheet Metal Waterproofing</t>
  </si>
  <si>
    <t>07 16 00</t>
  </si>
  <si>
    <t>Cementitious and Reactive Waterproofing</t>
  </si>
  <si>
    <t>07 17 00</t>
  </si>
  <si>
    <t>Bentonite Waterproofing</t>
  </si>
  <si>
    <t>07 18 00</t>
  </si>
  <si>
    <t>Traffic Coatings</t>
  </si>
  <si>
    <t>07 19 00</t>
  </si>
  <si>
    <t>Water Repellents</t>
  </si>
  <si>
    <t>07 20 00</t>
  </si>
  <si>
    <t>THERMAL PROTECTION</t>
  </si>
  <si>
    <t>07 21 00</t>
  </si>
  <si>
    <t>Thermal Insulation</t>
  </si>
  <si>
    <t>07 22 00</t>
  </si>
  <si>
    <t>Roof and Deck Insulation</t>
  </si>
  <si>
    <t>07 24 00</t>
  </si>
  <si>
    <t>Exterior Insulation and Finish Systems</t>
  </si>
  <si>
    <t>07 25 00</t>
  </si>
  <si>
    <t>Weather Barriers</t>
  </si>
  <si>
    <t>07 26 00</t>
  </si>
  <si>
    <t>Vapor Retarders</t>
  </si>
  <si>
    <t>07 27 00</t>
  </si>
  <si>
    <t>Air Barriers</t>
  </si>
  <si>
    <t>07 30 00</t>
  </si>
  <si>
    <t>STEEP SLOPE ROOFING</t>
  </si>
  <si>
    <t>07 31 00</t>
  </si>
  <si>
    <t>Shingles and Shakes</t>
  </si>
  <si>
    <t>07 32 00</t>
  </si>
  <si>
    <t>Roof Tiles</t>
  </si>
  <si>
    <t>07 33 00</t>
  </si>
  <si>
    <t>Natural Roof Coverings</t>
  </si>
  <si>
    <t>07 40 00</t>
  </si>
  <si>
    <t>ROOFING AND SIDING PANELS</t>
  </si>
  <si>
    <t>07 41 00</t>
  </si>
  <si>
    <t>Roof Panels</t>
  </si>
  <si>
    <t>07 42 00</t>
  </si>
  <si>
    <t>Wall Panels</t>
  </si>
  <si>
    <t>07 44 00</t>
  </si>
  <si>
    <t>Faced Panels</t>
  </si>
  <si>
    <t>07 46 00</t>
  </si>
  <si>
    <t>Siding</t>
  </si>
  <si>
    <t>07 50 00</t>
  </si>
  <si>
    <t>MEMBRANE ROOFING</t>
  </si>
  <si>
    <t>07 51 00</t>
  </si>
  <si>
    <t>Built-Up Bituminous Roofing</t>
  </si>
  <si>
    <t>07 52 00</t>
  </si>
  <si>
    <t>Modified Bituminous Membrane Roofing</t>
  </si>
  <si>
    <t>07 53 00</t>
  </si>
  <si>
    <t>Elastomeric Membrane Roofing</t>
  </si>
  <si>
    <t>07 54 00</t>
  </si>
  <si>
    <t>Thermoplastic Membrane Roofing</t>
  </si>
  <si>
    <t>07 55 00</t>
  </si>
  <si>
    <t>Protected Membrane Roofing</t>
  </si>
  <si>
    <t>07 56 00</t>
  </si>
  <si>
    <t>Fluid-Applied Roofing</t>
  </si>
  <si>
    <t>07 57 00</t>
  </si>
  <si>
    <t>Coated Foamed Roofing</t>
  </si>
  <si>
    <t>07 58 00</t>
  </si>
  <si>
    <t>Roll Roofing</t>
  </si>
  <si>
    <t>07 60 00</t>
  </si>
  <si>
    <t>FLASHING AND SHEET METAL</t>
  </si>
  <si>
    <t>07 61 00</t>
  </si>
  <si>
    <t>Sheet Metal Roofing</t>
  </si>
  <si>
    <t>07 62 00</t>
  </si>
  <si>
    <t>Sheet Metal Flashing and Trim</t>
  </si>
  <si>
    <t>07 63 00</t>
  </si>
  <si>
    <t>Sheet Metal Roofing Specialties</t>
  </si>
  <si>
    <t>07 64 00</t>
  </si>
  <si>
    <t>Sheet Metal Wall Cladding</t>
  </si>
  <si>
    <t>07 65 00</t>
  </si>
  <si>
    <t>Flexible Flashing</t>
  </si>
  <si>
    <t>07 70 00</t>
  </si>
  <si>
    <t>ROOF AND WALL SPECIALTIES AND ACCESSORIES</t>
  </si>
  <si>
    <t>07 71 00</t>
  </si>
  <si>
    <t>Roof Specialties</t>
  </si>
  <si>
    <t>07 72 00</t>
  </si>
  <si>
    <t>Roof Accessories</t>
  </si>
  <si>
    <t>07 76 00</t>
  </si>
  <si>
    <t>Roof Pavers</t>
  </si>
  <si>
    <t>07 77 00</t>
  </si>
  <si>
    <t>Wall Specialties</t>
  </si>
  <si>
    <t>07 80 00</t>
  </si>
  <si>
    <t>FIRE AND SMOKE PROTECTION</t>
  </si>
  <si>
    <t>07 81 00</t>
  </si>
  <si>
    <t>Applied Fire Protection</t>
  </si>
  <si>
    <t>07 82 00</t>
  </si>
  <si>
    <t>Board Fire Protection</t>
  </si>
  <si>
    <t>07 84 00</t>
  </si>
  <si>
    <t>Firestopping</t>
  </si>
  <si>
    <t>07 86 00</t>
  </si>
  <si>
    <t>Smoke Seals</t>
  </si>
  <si>
    <t>07 87 00</t>
  </si>
  <si>
    <t>Smoke Containment Barriers</t>
  </si>
  <si>
    <t>07 90 00</t>
  </si>
  <si>
    <t>JOINT PROTECTION</t>
  </si>
  <si>
    <t>07 91 00</t>
  </si>
  <si>
    <t>Preformed Joint Seals</t>
  </si>
  <si>
    <t>07 92 00</t>
  </si>
  <si>
    <t>Joint Sealants</t>
  </si>
  <si>
    <t>07 95 00</t>
  </si>
  <si>
    <t>Expansion Control</t>
  </si>
  <si>
    <t>08</t>
  </si>
  <si>
    <t>08 00 00</t>
  </si>
  <si>
    <t>OPENINGS</t>
  </si>
  <si>
    <t>08 10 00</t>
  </si>
  <si>
    <t>DOORS AND FRAMES</t>
  </si>
  <si>
    <t>08 11 00</t>
  </si>
  <si>
    <t>Metal Doors and Frames</t>
  </si>
  <si>
    <t>08 12 00</t>
  </si>
  <si>
    <t>Metal Frames</t>
  </si>
  <si>
    <t>08 13 00</t>
  </si>
  <si>
    <t>Metal Doors</t>
  </si>
  <si>
    <t>08 14 00</t>
  </si>
  <si>
    <t>Wood Doors</t>
  </si>
  <si>
    <t>08 15 00</t>
  </si>
  <si>
    <t>Plastic Doors</t>
  </si>
  <si>
    <t>08 16 00</t>
  </si>
  <si>
    <t>Composite Doors</t>
  </si>
  <si>
    <t>08 17 00</t>
  </si>
  <si>
    <t>Integrated Door Opening Assemblies</t>
  </si>
  <si>
    <t>08 30 00</t>
  </si>
  <si>
    <t>SPECIALTY DOORS AND FRAMES</t>
  </si>
  <si>
    <t>08 31 00</t>
  </si>
  <si>
    <t>Access Doors and Panels</t>
  </si>
  <si>
    <t>08 32 00</t>
  </si>
  <si>
    <t>Sliding Glass Doors</t>
  </si>
  <si>
    <t>08 33 00</t>
  </si>
  <si>
    <t>Coiling Doors and Grilles</t>
  </si>
  <si>
    <t>08 34 00</t>
  </si>
  <si>
    <t>Special Function Doors</t>
  </si>
  <si>
    <t>08 35 00</t>
  </si>
  <si>
    <t>Folding Doors and Grilles</t>
  </si>
  <si>
    <t>08 36 00</t>
  </si>
  <si>
    <t>Panel Doors</t>
  </si>
  <si>
    <t>08 38 00</t>
  </si>
  <si>
    <t>Traffic Doors</t>
  </si>
  <si>
    <t>08 39 00</t>
  </si>
  <si>
    <t>Pressure-Resistant Doors</t>
  </si>
  <si>
    <t>08 40 00</t>
  </si>
  <si>
    <t>ENTRANCES, STOREFRONTS, AND CURTAIN WALLS</t>
  </si>
  <si>
    <t>08 41 00</t>
  </si>
  <si>
    <t>Entrances and Storefronts</t>
  </si>
  <si>
    <t>08 42 00</t>
  </si>
  <si>
    <t>08 43 00</t>
  </si>
  <si>
    <t>Storefronts</t>
  </si>
  <si>
    <t>08 44 00</t>
  </si>
  <si>
    <t>Curtain Wall and Glazed Assemblies</t>
  </si>
  <si>
    <t>08 45 00</t>
  </si>
  <si>
    <t>Translucent Wall and Roof Assemblies</t>
  </si>
  <si>
    <t>08 46 00</t>
  </si>
  <si>
    <t>Window Wall Assemblies</t>
  </si>
  <si>
    <t>08 50 00</t>
  </si>
  <si>
    <t>WINDOWS</t>
  </si>
  <si>
    <t>08 51 00</t>
  </si>
  <si>
    <t>Metal Windows</t>
  </si>
  <si>
    <t>08 52 00</t>
  </si>
  <si>
    <t>Wood Windows</t>
  </si>
  <si>
    <t>08 53 00</t>
  </si>
  <si>
    <t>Plastic Windows</t>
  </si>
  <si>
    <t>08 54 00</t>
  </si>
  <si>
    <t>Composite Windows</t>
  </si>
  <si>
    <t>08 55 00</t>
  </si>
  <si>
    <t>Pressure-Resistant Windows</t>
  </si>
  <si>
    <t>08 56 00</t>
  </si>
  <si>
    <t>Special Function Windows</t>
  </si>
  <si>
    <t>08 60 00</t>
  </si>
  <si>
    <t>ROOF WINDOWS AND SKYLIGHTS</t>
  </si>
  <si>
    <t>08 61 00</t>
  </si>
  <si>
    <t>Roof Windows</t>
  </si>
  <si>
    <t>08 62 00</t>
  </si>
  <si>
    <t>Unit Skylights</t>
  </si>
  <si>
    <t>08 63 00</t>
  </si>
  <si>
    <t>Metal-Framed Skylights</t>
  </si>
  <si>
    <t>08 64 00</t>
  </si>
  <si>
    <t>Plastic-Framed Skylights</t>
  </si>
  <si>
    <t>08 65 00</t>
  </si>
  <si>
    <t>Glazed Canopies</t>
  </si>
  <si>
    <t>08 67 00</t>
  </si>
  <si>
    <t>Skylight Protection and Screens</t>
  </si>
  <si>
    <t>08 70 00</t>
  </si>
  <si>
    <t>HARDWARE</t>
  </si>
  <si>
    <t>08 71 00</t>
  </si>
  <si>
    <t>Door Hardware</t>
  </si>
  <si>
    <t>08 74 00</t>
  </si>
  <si>
    <t>Non-Integrated Access Control Hardware</t>
  </si>
  <si>
    <t>08 75 00</t>
  </si>
  <si>
    <t>Window Hardware</t>
  </si>
  <si>
    <t>08 78 00</t>
  </si>
  <si>
    <t>Special Function Hardware</t>
  </si>
  <si>
    <t>08 79 00</t>
  </si>
  <si>
    <t>Hardware Accessories</t>
  </si>
  <si>
    <t>08 80 00</t>
  </si>
  <si>
    <t>GLAZING</t>
  </si>
  <si>
    <t>08 81 00</t>
  </si>
  <si>
    <t>Glass Glazing</t>
  </si>
  <si>
    <t>08 83 00</t>
  </si>
  <si>
    <t>Mirrors</t>
  </si>
  <si>
    <t>08 84 00</t>
  </si>
  <si>
    <t>Plastic Glazing</t>
  </si>
  <si>
    <t>08 85 00</t>
  </si>
  <si>
    <t>Glazing Accessories</t>
  </si>
  <si>
    <t>08 87 00</t>
  </si>
  <si>
    <t>Glazing Surface Films</t>
  </si>
  <si>
    <t>08 88 00</t>
  </si>
  <si>
    <t>Special Function Glazing</t>
  </si>
  <si>
    <t>08 90 00</t>
  </si>
  <si>
    <t>LOUVERS AND VENTS</t>
  </si>
  <si>
    <t>08 91 00</t>
  </si>
  <si>
    <t>08 92 00</t>
  </si>
  <si>
    <t>Louvered Equipment Enclosures</t>
  </si>
  <si>
    <t>08 95 00</t>
  </si>
  <si>
    <t>Vents</t>
  </si>
  <si>
    <t>09</t>
  </si>
  <si>
    <t>09 00 00</t>
  </si>
  <si>
    <t>FINISHES</t>
  </si>
  <si>
    <t>09 20 00</t>
  </si>
  <si>
    <t>PLASTER AND GYPSUM BOARD</t>
  </si>
  <si>
    <t>09 21 00</t>
  </si>
  <si>
    <t>Plaster and Gypsum Board Assemblies</t>
  </si>
  <si>
    <t>09 22 00</t>
  </si>
  <si>
    <t>Supports for Plaster and Gypsum Board</t>
  </si>
  <si>
    <t>09 23 00</t>
  </si>
  <si>
    <t>Gypsum Plastering</t>
  </si>
  <si>
    <t>09 24 00</t>
  </si>
  <si>
    <t>Cement Plastering</t>
  </si>
  <si>
    <t>09 25 00</t>
  </si>
  <si>
    <t>Other Plastering</t>
  </si>
  <si>
    <t>09 26 00</t>
  </si>
  <si>
    <t>Veneer Plastering</t>
  </si>
  <si>
    <t>09 27 00</t>
  </si>
  <si>
    <t>Plaster Fabrications</t>
  </si>
  <si>
    <t>09 28 00</t>
  </si>
  <si>
    <t>Backing Boards and Underlayments</t>
  </si>
  <si>
    <t>09 29 00</t>
  </si>
  <si>
    <t>Gypsum Board</t>
  </si>
  <si>
    <t>09 30 00</t>
  </si>
  <si>
    <t>TILING</t>
  </si>
  <si>
    <t>09 31 00</t>
  </si>
  <si>
    <t>Thin-Set Tiling</t>
  </si>
  <si>
    <t>09 32 00</t>
  </si>
  <si>
    <t>Mortar-Bed Tiling</t>
  </si>
  <si>
    <t>09 33 00</t>
  </si>
  <si>
    <t>Conductive Tiling</t>
  </si>
  <si>
    <t>09 34 00</t>
  </si>
  <si>
    <t>Waterproofing-Membrane Tiling</t>
  </si>
  <si>
    <t>09 35 00</t>
  </si>
  <si>
    <t>Chemical-Resistant Tiling</t>
  </si>
  <si>
    <t>09 50 00</t>
  </si>
  <si>
    <t>CEILINGS</t>
  </si>
  <si>
    <t>09 51 00</t>
  </si>
  <si>
    <t>Acoustical Ceilings</t>
  </si>
  <si>
    <t>09 53 00</t>
  </si>
  <si>
    <t>Acoustical Ceiling Suspension Assemblies</t>
  </si>
  <si>
    <t>09 54 00</t>
  </si>
  <si>
    <t>Specialty Ceilings</t>
  </si>
  <si>
    <t>09 56 00</t>
  </si>
  <si>
    <t>Textured Ceilings</t>
  </si>
  <si>
    <t>09 57 00</t>
  </si>
  <si>
    <t>Special Function Ceilings</t>
  </si>
  <si>
    <t>09 58 00</t>
  </si>
  <si>
    <t>Integrated Ceiling Assemblies</t>
  </si>
  <si>
    <t>09 60 00</t>
  </si>
  <si>
    <t>FLOORING</t>
  </si>
  <si>
    <t>09 61 00</t>
  </si>
  <si>
    <t>Flooring Treatment</t>
  </si>
  <si>
    <t>09 62 00</t>
  </si>
  <si>
    <t>Specialty Flooring</t>
  </si>
  <si>
    <t>09 63 00</t>
  </si>
  <si>
    <t>Masonry Flooring</t>
  </si>
  <si>
    <t>09 64 00</t>
  </si>
  <si>
    <t>Wood Flooring</t>
  </si>
  <si>
    <t>09 65 00</t>
  </si>
  <si>
    <t>Resilient Flooring</t>
  </si>
  <si>
    <t>09 66 00</t>
  </si>
  <si>
    <t>Terrazzo Flooring</t>
  </si>
  <si>
    <t>09 67 00</t>
  </si>
  <si>
    <t>Fluid-Applied Flooring</t>
  </si>
  <si>
    <t>09 68 00</t>
  </si>
  <si>
    <t>09 69 00</t>
  </si>
  <si>
    <t>09 70 00</t>
  </si>
  <si>
    <t>WALL FINISHES</t>
  </si>
  <si>
    <t>09 72 00</t>
  </si>
  <si>
    <t>Wall Coverings</t>
  </si>
  <si>
    <t>09 73 00</t>
  </si>
  <si>
    <t>Wall Carpeting</t>
  </si>
  <si>
    <t>09 74 00</t>
  </si>
  <si>
    <t>Flexible Wood Sheets</t>
  </si>
  <si>
    <t>09 75 00</t>
  </si>
  <si>
    <t>Stone Facing</t>
  </si>
  <si>
    <t>09 76 00</t>
  </si>
  <si>
    <t>Plastic Blocks</t>
  </si>
  <si>
    <t>09 77 00</t>
  </si>
  <si>
    <t>Special Wall Surfacing</t>
  </si>
  <si>
    <t>09 78 00</t>
  </si>
  <si>
    <t>Interior Wall Paneling</t>
  </si>
  <si>
    <t>09 80 00</t>
  </si>
  <si>
    <t>ACOUSTIC TREATMENT</t>
  </si>
  <si>
    <t>09 81 00</t>
  </si>
  <si>
    <t>Acoustic Insulation</t>
  </si>
  <si>
    <t>09 83 00</t>
  </si>
  <si>
    <t>Acoustic Finishes</t>
  </si>
  <si>
    <t>09 84 00</t>
  </si>
  <si>
    <t>Acoustic Room Components</t>
  </si>
  <si>
    <t>09 90 00</t>
  </si>
  <si>
    <t>PAINTING AND COATING</t>
  </si>
  <si>
    <t>09 91 00</t>
  </si>
  <si>
    <t>09 93 00</t>
  </si>
  <si>
    <t>Staining and Transparent Finishing</t>
  </si>
  <si>
    <t>09 94 00</t>
  </si>
  <si>
    <t>Decorative Finishing</t>
  </si>
  <si>
    <t>09 96 00</t>
  </si>
  <si>
    <t>High-Performance Coatings</t>
  </si>
  <si>
    <t>09 97 00</t>
  </si>
  <si>
    <t>Special Coatings</t>
  </si>
  <si>
    <t>10</t>
  </si>
  <si>
    <t>10 00 00</t>
  </si>
  <si>
    <t>SPECIALTIES</t>
  </si>
  <si>
    <t>10 10 00</t>
  </si>
  <si>
    <t>INFORMATION SPECIALTIES</t>
  </si>
  <si>
    <t>10 11 00</t>
  </si>
  <si>
    <t>Visual Display Units</t>
  </si>
  <si>
    <t>10 12 00</t>
  </si>
  <si>
    <t>Display Cases</t>
  </si>
  <si>
    <t>10 13 00</t>
  </si>
  <si>
    <t>10 14 00</t>
  </si>
  <si>
    <t>Signage</t>
  </si>
  <si>
    <t>10 17 00</t>
  </si>
  <si>
    <t>Telephone Specialties</t>
  </si>
  <si>
    <t>10 18 00</t>
  </si>
  <si>
    <t>Informational Kiosks</t>
  </si>
  <si>
    <t>10 20 00</t>
  </si>
  <si>
    <t>INTERIOR SPECIALTIES</t>
  </si>
  <si>
    <t>10 21 00</t>
  </si>
  <si>
    <t>Compartments and Cubicles</t>
  </si>
  <si>
    <t>10 22 00</t>
  </si>
  <si>
    <t>Partitions</t>
  </si>
  <si>
    <t>10 25 00</t>
  </si>
  <si>
    <t>Service Walls</t>
  </si>
  <si>
    <t>10 26 00</t>
  </si>
  <si>
    <t>Wall and Door Protection</t>
  </si>
  <si>
    <t>10 28 00</t>
  </si>
  <si>
    <t>Toilet, Bath, and Laundry Accessories</t>
  </si>
  <si>
    <t>10 30 00</t>
  </si>
  <si>
    <t>FIREPLACES AND STOVES</t>
  </si>
  <si>
    <t>10 31 00</t>
  </si>
  <si>
    <t>Manufactured Fireplaces</t>
  </si>
  <si>
    <t>10 32 00</t>
  </si>
  <si>
    <t>Fireplace Specialties</t>
  </si>
  <si>
    <t>10 35 00</t>
  </si>
  <si>
    <t>Stoves</t>
  </si>
  <si>
    <t>10 40 00</t>
  </si>
  <si>
    <t>SAFETY SPECIALTIES</t>
  </si>
  <si>
    <t>10 41 00</t>
  </si>
  <si>
    <t>Emergency Access and Information Cabinets</t>
  </si>
  <si>
    <t>10 43 00</t>
  </si>
  <si>
    <t>Emergency Aid Specialties</t>
  </si>
  <si>
    <t>10 44 00</t>
  </si>
  <si>
    <t>Fire-Protection Specialties</t>
  </si>
  <si>
    <t>10 45 00</t>
  </si>
  <si>
    <t>Photoluminescent Exit Specialties</t>
  </si>
  <si>
    <t>10 50 00</t>
  </si>
  <si>
    <t>STORAGE SPECIALTIES</t>
  </si>
  <si>
    <t>10 51 00</t>
  </si>
  <si>
    <t>10 55 00</t>
  </si>
  <si>
    <t>Postal Specialties</t>
  </si>
  <si>
    <t>10 56 00</t>
  </si>
  <si>
    <t>Storage Assemblies</t>
  </si>
  <si>
    <t>10 57 00</t>
  </si>
  <si>
    <t>Wardrobe and Closet Specialties</t>
  </si>
  <si>
    <t>10 70 00</t>
  </si>
  <si>
    <t>EXTERIOR SPECIALTIES</t>
  </si>
  <si>
    <t>10 71 00</t>
  </si>
  <si>
    <t>Exterior Protection</t>
  </si>
  <si>
    <t>10 73 00</t>
  </si>
  <si>
    <t>Protective Covers</t>
  </si>
  <si>
    <t>10 74 00</t>
  </si>
  <si>
    <t>Manufactured Exterior Specialties</t>
  </si>
  <si>
    <t>10 75 00</t>
  </si>
  <si>
    <t>10 80 00</t>
  </si>
  <si>
    <t>OTHER SPECIALTIES</t>
  </si>
  <si>
    <t>10 81 00</t>
  </si>
  <si>
    <t>Pest Control Devices</t>
  </si>
  <si>
    <t>10 82 00</t>
  </si>
  <si>
    <t>Grilles and Screens</t>
  </si>
  <si>
    <t>10 83 00</t>
  </si>
  <si>
    <t>Flags and Banners</t>
  </si>
  <si>
    <t>10 84 00</t>
  </si>
  <si>
    <t>Gas Lighting</t>
  </si>
  <si>
    <t>10 86 00</t>
  </si>
  <si>
    <t>Security Mirrors and Domes</t>
  </si>
  <si>
    <t>10 88 00</t>
  </si>
  <si>
    <t>Scales</t>
  </si>
  <si>
    <t>11</t>
  </si>
  <si>
    <t>11 00 00</t>
  </si>
  <si>
    <t>11 10 00</t>
  </si>
  <si>
    <t>VEHICLE AND PEDESTRIAN EQUIPMENT</t>
  </si>
  <si>
    <t>11 11 00</t>
  </si>
  <si>
    <t>Vehicle Service Equipment</t>
  </si>
  <si>
    <t>11 12 00</t>
  </si>
  <si>
    <t>Parking Control Equipment</t>
  </si>
  <si>
    <t>11 13 00</t>
  </si>
  <si>
    <t>Loading Dock Equipment</t>
  </si>
  <si>
    <t>11 14 00</t>
  </si>
  <si>
    <t>Pedestrian Control Equipment</t>
  </si>
  <si>
    <t>11 15 00</t>
  </si>
  <si>
    <t>Security Control Equipment</t>
  </si>
  <si>
    <t>11 20 00</t>
  </si>
  <si>
    <t>COMMERCIAL EQUIPMENT</t>
  </si>
  <si>
    <t>11 21 00</t>
  </si>
  <si>
    <t>Retail and Service Equipment</t>
  </si>
  <si>
    <t>11 22 00</t>
  </si>
  <si>
    <t>Banking Equipment</t>
  </si>
  <si>
    <t>11 25 00</t>
  </si>
  <si>
    <t>Hospitality Equipment</t>
  </si>
  <si>
    <t>11 28 00</t>
  </si>
  <si>
    <t>Office Equipment</t>
  </si>
  <si>
    <t>11 29 00</t>
  </si>
  <si>
    <t>Postal, Packaging, and Shipping Equipment</t>
  </si>
  <si>
    <t>11 30 00</t>
  </si>
  <si>
    <t>RESIDENTIAL EQUIPMENT</t>
  </si>
  <si>
    <t>11 32 00</t>
  </si>
  <si>
    <t>Unit Kitchens</t>
  </si>
  <si>
    <t>11 40 00</t>
  </si>
  <si>
    <t>FOODSERVICE EQUIPMENT</t>
  </si>
  <si>
    <t>11 41 00</t>
  </si>
  <si>
    <t>Foodservice Storage Equipment</t>
  </si>
  <si>
    <t>11 42 00</t>
  </si>
  <si>
    <t>Food Preparation Equipment</t>
  </si>
  <si>
    <t>11 43 00</t>
  </si>
  <si>
    <t>Food Delivery Carts and Conveyors</t>
  </si>
  <si>
    <t>11 44 00</t>
  </si>
  <si>
    <t>Food Cooking Equipment</t>
  </si>
  <si>
    <t>11 46 00</t>
  </si>
  <si>
    <t>Food Dispensing Equipment</t>
  </si>
  <si>
    <t>11 48 00</t>
  </si>
  <si>
    <t>Foodservice Cleaning and Disposal Equipment</t>
  </si>
  <si>
    <t>11 50 00</t>
  </si>
  <si>
    <t>EDUCATIONAL AND SCIENTIFIC EQUIPMENT</t>
  </si>
  <si>
    <t>11 51 00</t>
  </si>
  <si>
    <t>Library Equipment</t>
  </si>
  <si>
    <t>11 52 00</t>
  </si>
  <si>
    <t>Audio-Visual Equipment</t>
  </si>
  <si>
    <t>11 53 00</t>
  </si>
  <si>
    <t>Laboratory Equipment</t>
  </si>
  <si>
    <t>11 55 00</t>
  </si>
  <si>
    <t>Planetarium Equipment</t>
  </si>
  <si>
    <t>11 56 00</t>
  </si>
  <si>
    <t>Observatory Equipment</t>
  </si>
  <si>
    <t>11 57 00</t>
  </si>
  <si>
    <t>Vocational Shop Equipment</t>
  </si>
  <si>
    <t>11 59 00</t>
  </si>
  <si>
    <t>Exhibit Equipment</t>
  </si>
  <si>
    <t>11 60 00</t>
  </si>
  <si>
    <t>ENTERTAINMENT AND RECREATION EQUIPMENT</t>
  </si>
  <si>
    <t>11 61 00</t>
  </si>
  <si>
    <t>Broadcast, Theater, and Stage Equipment</t>
  </si>
  <si>
    <t>11 62 00</t>
  </si>
  <si>
    <t>Musical Equipment</t>
  </si>
  <si>
    <t>11 66 00</t>
  </si>
  <si>
    <t>Athletic Equipment</t>
  </si>
  <si>
    <t>11 67 00</t>
  </si>
  <si>
    <t>Recreational Equipment</t>
  </si>
  <si>
    <t>11 68 00</t>
  </si>
  <si>
    <t>Play Field Equipment and Structures</t>
  </si>
  <si>
    <t>11 70 00</t>
  </si>
  <si>
    <t>HEALTHCARE EQUIPMENT</t>
  </si>
  <si>
    <t>11 71 00</t>
  </si>
  <si>
    <t>Medical Sterilizing Equipment</t>
  </si>
  <si>
    <t>11 72 00</t>
  </si>
  <si>
    <t>Examination and Treatment Equipment</t>
  </si>
  <si>
    <t>11 73 00</t>
  </si>
  <si>
    <t>Patient Care Equipment</t>
  </si>
  <si>
    <t>11 74 00</t>
  </si>
  <si>
    <t>Dental Equipment</t>
  </si>
  <si>
    <t>11 75 00</t>
  </si>
  <si>
    <t>Optical Equipment</t>
  </si>
  <si>
    <t>11 76 00</t>
  </si>
  <si>
    <t>Operating Room Equipment</t>
  </si>
  <si>
    <t>11 77 00</t>
  </si>
  <si>
    <t>Radiology Equipment</t>
  </si>
  <si>
    <t>11 78 00</t>
  </si>
  <si>
    <t>Mortuary Equipment</t>
  </si>
  <si>
    <t>11 79 00</t>
  </si>
  <si>
    <t>Therapy Equipment</t>
  </si>
  <si>
    <t>11 80 00</t>
  </si>
  <si>
    <t>FACILITY MAINTENANCE AND OPERATION EQUIPMENT</t>
  </si>
  <si>
    <t>11 81 00</t>
  </si>
  <si>
    <t>Facility Maintenance Equipment</t>
  </si>
  <si>
    <t>11 82 00</t>
  </si>
  <si>
    <t>Facility Solid Waste Handling Equipment</t>
  </si>
  <si>
    <t>11 90 00</t>
  </si>
  <si>
    <t>OTHER EQUIPMENT</t>
  </si>
  <si>
    <t>11 91 00</t>
  </si>
  <si>
    <t>Religious Equipment</t>
  </si>
  <si>
    <t>11 92 00</t>
  </si>
  <si>
    <t>Agricultural Equipment</t>
  </si>
  <si>
    <t>11 93 00</t>
  </si>
  <si>
    <t>Horticultural Equipment</t>
  </si>
  <si>
    <t>11 94 00</t>
  </si>
  <si>
    <t>Veterinary Equipment</t>
  </si>
  <si>
    <t>11 95 00</t>
  </si>
  <si>
    <t>Arts and Crafts Equipment</t>
  </si>
  <si>
    <t>11 97 00</t>
  </si>
  <si>
    <t>Security Equipment</t>
  </si>
  <si>
    <t>11 98 00</t>
  </si>
  <si>
    <t>Detention Equipment</t>
  </si>
  <si>
    <t>12</t>
  </si>
  <si>
    <t>12 00 00</t>
  </si>
  <si>
    <t>FURNISHINGS</t>
  </si>
  <si>
    <t>12 10 00</t>
  </si>
  <si>
    <t>ART</t>
  </si>
  <si>
    <t>12 11 00</t>
  </si>
  <si>
    <t>Murals</t>
  </si>
  <si>
    <t>12 12 00</t>
  </si>
  <si>
    <t>Wall Decorations</t>
  </si>
  <si>
    <t>12 14 00</t>
  </si>
  <si>
    <t>Sculptures</t>
  </si>
  <si>
    <t>12 17 00</t>
  </si>
  <si>
    <t>Art Glass</t>
  </si>
  <si>
    <t>12 19 00</t>
  </si>
  <si>
    <t>Religious Art</t>
  </si>
  <si>
    <t>12 20 00</t>
  </si>
  <si>
    <t>WINDOW TREATMENTS</t>
  </si>
  <si>
    <t>12 21 00</t>
  </si>
  <si>
    <t>Window Blinds</t>
  </si>
  <si>
    <t>12 22 00</t>
  </si>
  <si>
    <t>Curtains and Drapes</t>
  </si>
  <si>
    <t>12 23 00</t>
  </si>
  <si>
    <t>Interior Shutters</t>
  </si>
  <si>
    <t>12 24 00</t>
  </si>
  <si>
    <t>Window Shades</t>
  </si>
  <si>
    <t>12 25 00</t>
  </si>
  <si>
    <t>Window Treatment Operating Hardware</t>
  </si>
  <si>
    <t>12 26 00</t>
  </si>
  <si>
    <t>Interior Daylighting Devices</t>
  </si>
  <si>
    <t>12 30 00</t>
  </si>
  <si>
    <t>12 31 00</t>
  </si>
  <si>
    <t>Manufactured Metal Casework</t>
  </si>
  <si>
    <t>12 32 00</t>
  </si>
  <si>
    <t>Manufactured Wood Casework</t>
  </si>
  <si>
    <t>12 34 00</t>
  </si>
  <si>
    <t>Manufactured Plastic Casework</t>
  </si>
  <si>
    <t>12 35 00</t>
  </si>
  <si>
    <t>Specialty Casework</t>
  </si>
  <si>
    <t>12 36 00</t>
  </si>
  <si>
    <t>Countertops</t>
  </si>
  <si>
    <t>12 40 00</t>
  </si>
  <si>
    <t>FURNISHINGS AND ACCESSORIES</t>
  </si>
  <si>
    <t>12 41 00</t>
  </si>
  <si>
    <t>Office Accessories</t>
  </si>
  <si>
    <t>12 42 00</t>
  </si>
  <si>
    <t>Table Accessories</t>
  </si>
  <si>
    <t>12 43 00</t>
  </si>
  <si>
    <t>Portable Lamps</t>
  </si>
  <si>
    <t>12 44 00</t>
  </si>
  <si>
    <t>Bath Furnishings</t>
  </si>
  <si>
    <t>12 45 00</t>
  </si>
  <si>
    <t>Bedroom Furnishings</t>
  </si>
  <si>
    <t>12 46 00</t>
  </si>
  <si>
    <t>Furnishing Accessories</t>
  </si>
  <si>
    <t>12 48 00</t>
  </si>
  <si>
    <t>Rugs and Mats</t>
  </si>
  <si>
    <t>12 50 00</t>
  </si>
  <si>
    <t>FURNITURE</t>
  </si>
  <si>
    <t>12 51 00</t>
  </si>
  <si>
    <t>Office Furniture</t>
  </si>
  <si>
    <t>12 52 00</t>
  </si>
  <si>
    <t>Seating</t>
  </si>
  <si>
    <t>12 53 00</t>
  </si>
  <si>
    <t>Retail Furniture</t>
  </si>
  <si>
    <t>12 54 00</t>
  </si>
  <si>
    <t>Hospitality Furniture</t>
  </si>
  <si>
    <t>12 55 00</t>
  </si>
  <si>
    <t>Detention Furniture</t>
  </si>
  <si>
    <t>12 56 00</t>
  </si>
  <si>
    <t>Institutional Furniture</t>
  </si>
  <si>
    <t>12 57 00</t>
  </si>
  <si>
    <t>Industrial Furniture</t>
  </si>
  <si>
    <t>12 58 00</t>
  </si>
  <si>
    <t>Residential Furniture</t>
  </si>
  <si>
    <t>12 59 00</t>
  </si>
  <si>
    <t>Systems Furniture</t>
  </si>
  <si>
    <t>12 60 00</t>
  </si>
  <si>
    <t>MULTIPLE SEATING</t>
  </si>
  <si>
    <t>12 61 00</t>
  </si>
  <si>
    <t>Fixed Audience Seating</t>
  </si>
  <si>
    <t>12 62 00</t>
  </si>
  <si>
    <t>Portable Audience Seating</t>
  </si>
  <si>
    <t>12 63 00</t>
  </si>
  <si>
    <t>Stadium and Arena Seating</t>
  </si>
  <si>
    <t>12 64 00</t>
  </si>
  <si>
    <t>Booths and Tables</t>
  </si>
  <si>
    <t>12 65 00</t>
  </si>
  <si>
    <t>Multiple-Use Fixed Seating</t>
  </si>
  <si>
    <t>12 66 00</t>
  </si>
  <si>
    <t>Telescoping Stands</t>
  </si>
  <si>
    <t>12 67 00</t>
  </si>
  <si>
    <t>Pews and Benches</t>
  </si>
  <si>
    <t>12 68 00</t>
  </si>
  <si>
    <t>Seat and Table Assemblies</t>
  </si>
  <si>
    <t>12 90 00</t>
  </si>
  <si>
    <t>OTHER FURNISHINGS</t>
  </si>
  <si>
    <t>12 92 00</t>
  </si>
  <si>
    <t>Interior Planters and Artificial Plants</t>
  </si>
  <si>
    <t>12 93 00</t>
  </si>
  <si>
    <t>Interior Public Space Furnishings</t>
  </si>
  <si>
    <t>13</t>
  </si>
  <si>
    <t>13 00 00</t>
  </si>
  <si>
    <t>SPECIAL CONSTRUCTION</t>
  </si>
  <si>
    <t>13 10 00</t>
  </si>
  <si>
    <t>SPECIAL FACILITY COMPONENTS</t>
  </si>
  <si>
    <t>13 11 00</t>
  </si>
  <si>
    <t>Swimming Pools</t>
  </si>
  <si>
    <t>13 12 00</t>
  </si>
  <si>
    <t>Fountains</t>
  </si>
  <si>
    <t>13 13 00</t>
  </si>
  <si>
    <t>Aquariums</t>
  </si>
  <si>
    <t>13 14 00</t>
  </si>
  <si>
    <t>Amusement Park Structures and Equipment</t>
  </si>
  <si>
    <t>13 15 00</t>
  </si>
  <si>
    <t>Specialty Element Construction</t>
  </si>
  <si>
    <t>13 17 00</t>
  </si>
  <si>
    <t>Tubs and Pools</t>
  </si>
  <si>
    <t>13 18 00</t>
  </si>
  <si>
    <t>Ice Rinks</t>
  </si>
  <si>
    <t>13 19 00</t>
  </si>
  <si>
    <t>Kennels and Animal Shelters</t>
  </si>
  <si>
    <t>13 20 00</t>
  </si>
  <si>
    <t>SPECIAL PURPOSE ROOMS</t>
  </si>
  <si>
    <t>13 21 00</t>
  </si>
  <si>
    <t>Controlled Environment Rooms</t>
  </si>
  <si>
    <t>13 22 00</t>
  </si>
  <si>
    <t>Office Shelters and Booths</t>
  </si>
  <si>
    <t>13 23 00</t>
  </si>
  <si>
    <t>Planetariums</t>
  </si>
  <si>
    <t>13 24 00</t>
  </si>
  <si>
    <t>Special Activity Rooms</t>
  </si>
  <si>
    <t>13 26 00</t>
  </si>
  <si>
    <t>Fabricated Rooms</t>
  </si>
  <si>
    <t>13 27 00</t>
  </si>
  <si>
    <t>Vaults</t>
  </si>
  <si>
    <t>13 28 00</t>
  </si>
  <si>
    <t>Athletic and Recreational Special Construction</t>
  </si>
  <si>
    <t>13 30 00</t>
  </si>
  <si>
    <t>SPECIAL STRUCTURES</t>
  </si>
  <si>
    <t>13 31 00</t>
  </si>
  <si>
    <t>Fabric Structures</t>
  </si>
  <si>
    <t>13 32 00</t>
  </si>
  <si>
    <t>Space Frames</t>
  </si>
  <si>
    <t>13 33 00</t>
  </si>
  <si>
    <t>Geodesic Structures</t>
  </si>
  <si>
    <t>13 34 00</t>
  </si>
  <si>
    <t>Fabricated Engineered Structures</t>
  </si>
  <si>
    <t>13 35 00</t>
  </si>
  <si>
    <t>Rammed Earth Construction</t>
  </si>
  <si>
    <t>13 36 00</t>
  </si>
  <si>
    <t>Towers</t>
  </si>
  <si>
    <t>13 40 00</t>
  </si>
  <si>
    <t>INTEGRATED CONSTRUCTION</t>
  </si>
  <si>
    <t>13 42 00</t>
  </si>
  <si>
    <t>Building Modules and Components</t>
  </si>
  <si>
    <t>13 44 00</t>
  </si>
  <si>
    <t>Modular Mezzanines</t>
  </si>
  <si>
    <t>13 47 00</t>
  </si>
  <si>
    <t>Facility Protection</t>
  </si>
  <si>
    <t>13 48 00</t>
  </si>
  <si>
    <t>Sound, Vibration, and Seismic Control</t>
  </si>
  <si>
    <t>13 49 00</t>
  </si>
  <si>
    <t>Radiation Protection</t>
  </si>
  <si>
    <t>13 50 00</t>
  </si>
  <si>
    <t>SPECIAL INSTRUMENTATION</t>
  </si>
  <si>
    <t>13 51 00</t>
  </si>
  <si>
    <t>Stress Instrumentation</t>
  </si>
  <si>
    <t>13 52 00</t>
  </si>
  <si>
    <t>Seismic Instrumentation</t>
  </si>
  <si>
    <t>13 53 00</t>
  </si>
  <si>
    <t>Meteorological Instrumentation</t>
  </si>
  <si>
    <t>14</t>
  </si>
  <si>
    <t>14 00 00</t>
  </si>
  <si>
    <t>CONVEYING EQUIPMENT</t>
  </si>
  <si>
    <t>14 10 00</t>
  </si>
  <si>
    <t>DUMBWAITERS</t>
  </si>
  <si>
    <t>14 11 00</t>
  </si>
  <si>
    <t>Manual Dumbwaiters</t>
  </si>
  <si>
    <t>14 12 00</t>
  </si>
  <si>
    <t>Electric Dumbwaiters</t>
  </si>
  <si>
    <t>14 14 00</t>
  </si>
  <si>
    <t>Hydraulic Dumbwaiters</t>
  </si>
  <si>
    <t>14 20 00</t>
  </si>
  <si>
    <t>ELEVATORS</t>
  </si>
  <si>
    <t>14 21 00</t>
  </si>
  <si>
    <t>Electric Traction Elevators</t>
  </si>
  <si>
    <t>14 24 00</t>
  </si>
  <si>
    <t>Hydraulic Elevators</t>
  </si>
  <si>
    <t>14 25 00</t>
  </si>
  <si>
    <t>Rack and Pinion Elevators</t>
  </si>
  <si>
    <t>14 26 00</t>
  </si>
  <si>
    <t>Limited-Use/Limited-Application Elevators</t>
  </si>
  <si>
    <t>14 27 00</t>
  </si>
  <si>
    <t>Custom Elevator Cabs and Doors</t>
  </si>
  <si>
    <t>14 28 00</t>
  </si>
  <si>
    <t>Elevator Equipment and Controls</t>
  </si>
  <si>
    <t>14 30 00</t>
  </si>
  <si>
    <t>ESCALATORS AND MOVING WALKS</t>
  </si>
  <si>
    <t>14 31 00</t>
  </si>
  <si>
    <t>14 32 00</t>
  </si>
  <si>
    <t>Moving Walks</t>
  </si>
  <si>
    <t>14 33 00</t>
  </si>
  <si>
    <t>Moving Ramps</t>
  </si>
  <si>
    <t>14 40 00</t>
  </si>
  <si>
    <t>LIFTS</t>
  </si>
  <si>
    <t>14 41 00</t>
  </si>
  <si>
    <t>People Lifts</t>
  </si>
  <si>
    <t>14 42 00</t>
  </si>
  <si>
    <t>Wheelchair Lifts</t>
  </si>
  <si>
    <t>14 43 00</t>
  </si>
  <si>
    <t>Platform Lifts</t>
  </si>
  <si>
    <t>14 44 00</t>
  </si>
  <si>
    <t>Sidewalk Lifts</t>
  </si>
  <si>
    <t>14 45 00</t>
  </si>
  <si>
    <t>Vehicle Lifts</t>
  </si>
  <si>
    <t>14 46 00</t>
  </si>
  <si>
    <t>Material Lifts</t>
  </si>
  <si>
    <t>14 70 00</t>
  </si>
  <si>
    <t>TURNTABLES</t>
  </si>
  <si>
    <t>14 71 00</t>
  </si>
  <si>
    <t>Industrial Turntables</t>
  </si>
  <si>
    <t>14 72 00</t>
  </si>
  <si>
    <t>Hospitality Turntables</t>
  </si>
  <si>
    <t>14 73 00</t>
  </si>
  <si>
    <t>Exhibit Turntables</t>
  </si>
  <si>
    <t>14 74 00</t>
  </si>
  <si>
    <t>Entertainment Turntables</t>
  </si>
  <si>
    <t>14 80 00</t>
  </si>
  <si>
    <t>SCAFFOLDING</t>
  </si>
  <si>
    <t>14 81 00</t>
  </si>
  <si>
    <t>Suspended Scaffolding</t>
  </si>
  <si>
    <t>14 82 00</t>
  </si>
  <si>
    <t>Rope Climbers</t>
  </si>
  <si>
    <t>14 83 00</t>
  </si>
  <si>
    <t>Elevating Platforms</t>
  </si>
  <si>
    <t>14 84 00</t>
  </si>
  <si>
    <t>Powered Scaffolding</t>
  </si>
  <si>
    <t>14 90 00</t>
  </si>
  <si>
    <t>OTHER CONVEYING EQUIPMENT</t>
  </si>
  <si>
    <t>14 91 00</t>
  </si>
  <si>
    <t>Facility Chutes</t>
  </si>
  <si>
    <t>14 92 00</t>
  </si>
  <si>
    <t>Pneumatic Tube Systems</t>
  </si>
  <si>
    <t>14 93 00</t>
  </si>
  <si>
    <t>Slide Pole Systems</t>
  </si>
  <si>
    <t>21</t>
  </si>
  <si>
    <t>21 00 00</t>
  </si>
  <si>
    <t>FIRE SUPPRESSION</t>
  </si>
  <si>
    <t>21 10 00</t>
  </si>
  <si>
    <t>WATER-BASED FIRE-SUPPRESSION SYSTEMS</t>
  </si>
  <si>
    <t>21 11 00</t>
  </si>
  <si>
    <t>Facility Fire-Suppression Water-Service Piping</t>
  </si>
  <si>
    <t>21 12 00</t>
  </si>
  <si>
    <t>Fire-Suppression Standpipes</t>
  </si>
  <si>
    <t>21 13 00</t>
  </si>
  <si>
    <t>Fire-Suppression Sprinkler Systems</t>
  </si>
  <si>
    <t>21 16 00</t>
  </si>
  <si>
    <t>Fire-Suppression Pressure Maintenance Pumps</t>
  </si>
  <si>
    <t>21 20 00</t>
  </si>
  <si>
    <t>FIRE-EXTINGUISHING SYSTEMS</t>
  </si>
  <si>
    <t>21 21 00</t>
  </si>
  <si>
    <t>Carbon-Dioxide Fire-Extinguishing Systems</t>
  </si>
  <si>
    <t>21 22 00</t>
  </si>
  <si>
    <t>Clean-Agent Fire-Extinguishing Systems</t>
  </si>
  <si>
    <t>21 23 00</t>
  </si>
  <si>
    <t>Wet-Chemical Fire-Extinguishing Systems</t>
  </si>
  <si>
    <t>21 24 00</t>
  </si>
  <si>
    <t>Dry-Chemical Fire-Extinguishing Systems</t>
  </si>
  <si>
    <t>21 30 00</t>
  </si>
  <si>
    <t>FIRE PUMPS</t>
  </si>
  <si>
    <t>21 31 00</t>
  </si>
  <si>
    <t>Centrifugal Fire Pumps</t>
  </si>
  <si>
    <t>21 32 00</t>
  </si>
  <si>
    <t>Vertical-Turbine Fire Pumps</t>
  </si>
  <si>
    <t>21 33 00</t>
  </si>
  <si>
    <t>Positive-Displacement Fire Pumps</t>
  </si>
  <si>
    <t>21 34 00</t>
  </si>
  <si>
    <t>Fire Pump Accessories</t>
  </si>
  <si>
    <t>21 40 00</t>
  </si>
  <si>
    <t>FIRE-SUPPRESSION WATER STORAGE</t>
  </si>
  <si>
    <t>21 41 00</t>
  </si>
  <si>
    <t>Storage Tanks for Fire-Suppression Water</t>
  </si>
  <si>
    <t>22</t>
  </si>
  <si>
    <t>22 00 00</t>
  </si>
  <si>
    <t>22 10 00</t>
  </si>
  <si>
    <t>PLUMBING PIPING</t>
  </si>
  <si>
    <t>22 11 00</t>
  </si>
  <si>
    <t>Facility Water Distribution</t>
  </si>
  <si>
    <t>22 12 00</t>
  </si>
  <si>
    <t>Facility Potable-Water Storage Tanks</t>
  </si>
  <si>
    <t>22 13 00</t>
  </si>
  <si>
    <t>Facility Sanitary Sewerage</t>
  </si>
  <si>
    <t>22 14 00</t>
  </si>
  <si>
    <t>Facility Storm Drainage</t>
  </si>
  <si>
    <t>22 15 00</t>
  </si>
  <si>
    <t>General Service Compressed Air Systems</t>
  </si>
  <si>
    <t>22 30 00</t>
  </si>
  <si>
    <t>PLUMBING EQUIPMENT</t>
  </si>
  <si>
    <t>22 31 00</t>
  </si>
  <si>
    <t>Domestic Water Softeners</t>
  </si>
  <si>
    <t>22 32 00</t>
  </si>
  <si>
    <t>Domestic Water Filtration Equipment</t>
  </si>
  <si>
    <t>22 33 00</t>
  </si>
  <si>
    <t>Electric Domestic Water Heaters</t>
  </si>
  <si>
    <t>22 34 00</t>
  </si>
  <si>
    <t>Fuel-Fired Domestic Water Heaters</t>
  </si>
  <si>
    <t>22 35 00</t>
  </si>
  <si>
    <t>Domestic Water Heat Exchangers</t>
  </si>
  <si>
    <t>22 36 00</t>
  </si>
  <si>
    <t>Domestic Water Preheaters</t>
  </si>
  <si>
    <t>22 40 00</t>
  </si>
  <si>
    <t>PLUMBING FIXTURES</t>
  </si>
  <si>
    <t>22 41 00</t>
  </si>
  <si>
    <t>Residential Plumbing Fixtures</t>
  </si>
  <si>
    <t>22 42 00</t>
  </si>
  <si>
    <t>Commercial Plumbing Fixtures</t>
  </si>
  <si>
    <t>22 43 00</t>
  </si>
  <si>
    <t>Healthcare Plumbing Fixtures</t>
  </si>
  <si>
    <t>22 45 00</t>
  </si>
  <si>
    <t>Emergency Plumbing Fixtures</t>
  </si>
  <si>
    <t>22 46 00</t>
  </si>
  <si>
    <t>Security Plumbing Fixtures</t>
  </si>
  <si>
    <t>22 47 00</t>
  </si>
  <si>
    <t>Drinking Fountains and Water Coolers</t>
  </si>
  <si>
    <t>22 50 00</t>
  </si>
  <si>
    <t>POOL AND FOUNTAIN PLUMBING SYSTEMS</t>
  </si>
  <si>
    <t>22 51 00</t>
  </si>
  <si>
    <t>Swimming Pool Plumbing Systems</t>
  </si>
  <si>
    <t>22 52 00</t>
  </si>
  <si>
    <t>Fountain Plumbing Systems</t>
  </si>
  <si>
    <t>22 60 00</t>
  </si>
  <si>
    <t>GAS AND VACUUM SYSTEMS FOR LABORATORY AND HEALTHCARE FACILITIES</t>
  </si>
  <si>
    <t>22 61 00</t>
  </si>
  <si>
    <t>Compressed Air Systems for Laboratory and Healthcare Facilities</t>
  </si>
  <si>
    <t>22 62 00</t>
  </si>
  <si>
    <t>Vacuum Systems for Laboratory and Healthcare Facilities</t>
  </si>
  <si>
    <t>22 63 00</t>
  </si>
  <si>
    <t>Gas Systems for Laboratory and Healthcare Facilities</t>
  </si>
  <si>
    <t>22 66 00</t>
  </si>
  <si>
    <t>Chemical-Waste Systems for Laboratory and Healthcare Facilities</t>
  </si>
  <si>
    <t>22 67 00</t>
  </si>
  <si>
    <t xml:space="preserve">Processed Water Systems for Laboratory and Healthcare Facilities </t>
  </si>
  <si>
    <t>23</t>
  </si>
  <si>
    <t>23 00 00</t>
  </si>
  <si>
    <t>23 10 00</t>
  </si>
  <si>
    <t>FACILITY FUEL SYSTEMS</t>
  </si>
  <si>
    <t>23 11 00</t>
  </si>
  <si>
    <t>Facility Fuel Piping</t>
  </si>
  <si>
    <t>23 12 00</t>
  </si>
  <si>
    <t>Facility Fuel Pumps</t>
  </si>
  <si>
    <t>23 13 00</t>
  </si>
  <si>
    <t>Facility Fuel-Storage Tanks</t>
  </si>
  <si>
    <t>23 20 00</t>
  </si>
  <si>
    <t>HVAC PIPING AND PUMPS</t>
  </si>
  <si>
    <t>23 21 00</t>
  </si>
  <si>
    <t>Hydronic Piping and Pumps</t>
  </si>
  <si>
    <t>23 22 00</t>
  </si>
  <si>
    <t>Steam and Condensate Piping and Pumps</t>
  </si>
  <si>
    <t>23 23 00</t>
  </si>
  <si>
    <t>Refrigerant Piping</t>
  </si>
  <si>
    <t>23 24 00</t>
  </si>
  <si>
    <t>Internal-Combustion Engine Piping</t>
  </si>
  <si>
    <t>23 25 00</t>
  </si>
  <si>
    <t>HVAC Water Treatment</t>
  </si>
  <si>
    <t>23 30 00</t>
  </si>
  <si>
    <t>HVAC AIR DISTRIBUTION</t>
  </si>
  <si>
    <t>23 31 00</t>
  </si>
  <si>
    <t>HVAC Ducts and Casings</t>
  </si>
  <si>
    <t>23 32 00</t>
  </si>
  <si>
    <t>Air Plenums and Chases</t>
  </si>
  <si>
    <t>23 33 00</t>
  </si>
  <si>
    <t>Air Duct Accessories</t>
  </si>
  <si>
    <t>23 34 00</t>
  </si>
  <si>
    <t>HVAC Fans</t>
  </si>
  <si>
    <t>23 35 00</t>
  </si>
  <si>
    <t>Special Exhaust Systems</t>
  </si>
  <si>
    <t>23 36 00</t>
  </si>
  <si>
    <t>Air Terminal Units</t>
  </si>
  <si>
    <t>23 37 00</t>
  </si>
  <si>
    <t>Air Outlets and Inlets</t>
  </si>
  <si>
    <t>23 38 00</t>
  </si>
  <si>
    <t>Ventilation Hoods</t>
  </si>
  <si>
    <t>23 40 00</t>
  </si>
  <si>
    <t>HVAC AIR CLEANING DEVICES</t>
  </si>
  <si>
    <t>23 41 00</t>
  </si>
  <si>
    <t>Particulate Air Filtration</t>
  </si>
  <si>
    <t>23 42 00</t>
  </si>
  <si>
    <t>Gas-Phase Air Filtration</t>
  </si>
  <si>
    <t>23 43 00</t>
  </si>
  <si>
    <t>Electronic Air Cleaners</t>
  </si>
  <si>
    <t>23 50 00</t>
  </si>
  <si>
    <t>CENTRAL HEATING EQUIPMENT</t>
  </si>
  <si>
    <t>23 51 00</t>
  </si>
  <si>
    <t>Breechings, Chimneys, and Stacks</t>
  </si>
  <si>
    <t>23 52 00</t>
  </si>
  <si>
    <t>Heating Boilers</t>
  </si>
  <si>
    <t>23 53 00</t>
  </si>
  <si>
    <t>Heating Boiler Feedwater Equipment</t>
  </si>
  <si>
    <t>23 54 00</t>
  </si>
  <si>
    <t>Furnaces</t>
  </si>
  <si>
    <t>23 55 00</t>
  </si>
  <si>
    <t>Fuel-Fired Heaters</t>
  </si>
  <si>
    <t>23 56 00</t>
  </si>
  <si>
    <t>Solar Energy Heating Equipment</t>
  </si>
  <si>
    <t>23 57 00</t>
  </si>
  <si>
    <t>Heat Exchangers for HVAC</t>
  </si>
  <si>
    <t>23 60 00</t>
  </si>
  <si>
    <t>CENTRAL COOLING EQUIPMENT</t>
  </si>
  <si>
    <t>23 61 00</t>
  </si>
  <si>
    <t>Refrigerant Compressors</t>
  </si>
  <si>
    <t>23 62 00</t>
  </si>
  <si>
    <t>Packaged Compressor and Condenser Units</t>
  </si>
  <si>
    <t>23 63 00</t>
  </si>
  <si>
    <t>Refrigerant Condensers</t>
  </si>
  <si>
    <t>23 64 00</t>
  </si>
  <si>
    <t>Packaged Water Chillers</t>
  </si>
  <si>
    <t>23 65 00</t>
  </si>
  <si>
    <t>Cooling Towers</t>
  </si>
  <si>
    <t>23 70 00</t>
  </si>
  <si>
    <t>CENTRAL HVAC EQUIPMENT</t>
  </si>
  <si>
    <t>23 71 00</t>
  </si>
  <si>
    <t>Thermal Storage</t>
  </si>
  <si>
    <t>23 72 00</t>
  </si>
  <si>
    <t>Air-to-Air Energy Recovery Equipment</t>
  </si>
  <si>
    <t>23 73 00</t>
  </si>
  <si>
    <t>Indoor Central-Station Air-Handling Units</t>
  </si>
  <si>
    <t>23 74 00</t>
  </si>
  <si>
    <t>Packaged Outdoor HVAC Equipment</t>
  </si>
  <si>
    <t>23 75 00</t>
  </si>
  <si>
    <t>Custom-Packaged Outdoor HVAC Equipment</t>
  </si>
  <si>
    <t>23 76 00</t>
  </si>
  <si>
    <t>Evaporative Air-Cooling Equipment</t>
  </si>
  <si>
    <t>23 80 00</t>
  </si>
  <si>
    <t>DECENTRALIZED HVAC EQUIPMENT</t>
  </si>
  <si>
    <t>23 81 00</t>
  </si>
  <si>
    <t>Decentralized Unitary HVAC Equipment</t>
  </si>
  <si>
    <t>23 82 00</t>
  </si>
  <si>
    <t>Convection Heating and Cooling Units</t>
  </si>
  <si>
    <t>23 83 00</t>
  </si>
  <si>
    <t>Radiant Heating and Cooling Units</t>
  </si>
  <si>
    <t>23 84 00</t>
  </si>
  <si>
    <t>Humidity Control Equipment</t>
  </si>
  <si>
    <t>26</t>
  </si>
  <si>
    <t>26 00 00</t>
  </si>
  <si>
    <t>26 10 00</t>
  </si>
  <si>
    <t>MEDIUM-VOLTAGE ELECTRICAL DISTRIBUTION</t>
  </si>
  <si>
    <t>26 11 00</t>
  </si>
  <si>
    <t>Substations</t>
  </si>
  <si>
    <t>26 12 00</t>
  </si>
  <si>
    <t>Medium-Voltage Transformers</t>
  </si>
  <si>
    <t>26 13 00</t>
  </si>
  <si>
    <t>Medium-Voltage Switchgear</t>
  </si>
  <si>
    <t>26 15 00</t>
  </si>
  <si>
    <t>Medium-Voltage Enclosed Bus Assemblies</t>
  </si>
  <si>
    <t>26 16 00</t>
  </si>
  <si>
    <t>Medium-Voltage Metering</t>
  </si>
  <si>
    <t>26 18 00</t>
  </si>
  <si>
    <t>Medium-Voltage Circuit Protection Devices</t>
  </si>
  <si>
    <t>26 20 00</t>
  </si>
  <si>
    <t>LOW-VOLTAGE ELECTRICAL DISTRIBUTION</t>
  </si>
  <si>
    <t>26 21 00</t>
  </si>
  <si>
    <t>Low-Voltage Electrical Service Entrance</t>
  </si>
  <si>
    <t>26 22 00</t>
  </si>
  <si>
    <t>Low-Voltage Transformers</t>
  </si>
  <si>
    <t>26 23 00</t>
  </si>
  <si>
    <t>Low-Voltage Switchgear</t>
  </si>
  <si>
    <t>26 24 00</t>
  </si>
  <si>
    <t>Switchboards and Panelboards</t>
  </si>
  <si>
    <t>26 25 00</t>
  </si>
  <si>
    <t>Low-Voltage Enclosed Bus Assemblies</t>
  </si>
  <si>
    <t>26 27 00</t>
  </si>
  <si>
    <t>Low-Voltage Distribution Equipment</t>
  </si>
  <si>
    <t>26 28 00</t>
  </si>
  <si>
    <t>Low-Voltage Circuit Protective Devices</t>
  </si>
  <si>
    <t>26 29 00</t>
  </si>
  <si>
    <t>Low-Voltage Controllers</t>
  </si>
  <si>
    <t>26 30 00</t>
  </si>
  <si>
    <t>FACILITY ELECTRICAL POWER GENERATING AND STORING EQUIPMENT</t>
  </si>
  <si>
    <t>26 31 00</t>
  </si>
  <si>
    <t>Photovoltaic Collectors</t>
  </si>
  <si>
    <t>26 32 00</t>
  </si>
  <si>
    <t>Packaged Generator Assemblies</t>
  </si>
  <si>
    <t>26 33 00</t>
  </si>
  <si>
    <t>Battery Equipment</t>
  </si>
  <si>
    <t>26 35 00</t>
  </si>
  <si>
    <t>Power Filters and Conditioners</t>
  </si>
  <si>
    <t>26 36 00</t>
  </si>
  <si>
    <t>Transfer Switches</t>
  </si>
  <si>
    <t>26 40 00</t>
  </si>
  <si>
    <t>ELECTRICAL PROTECTION</t>
  </si>
  <si>
    <t>26 41 00</t>
  </si>
  <si>
    <t>Facility Lightning Protection</t>
  </si>
  <si>
    <t>26 43 00</t>
  </si>
  <si>
    <t>Surge Protective Devices</t>
  </si>
  <si>
    <t>26 50 00</t>
  </si>
  <si>
    <t>LIGHTING</t>
  </si>
  <si>
    <t>26 51 00</t>
  </si>
  <si>
    <t>Interior Lighting</t>
  </si>
  <si>
    <t>26 52 00</t>
  </si>
  <si>
    <t>Safety Lighting</t>
  </si>
  <si>
    <t>26 54 00</t>
  </si>
  <si>
    <t>Classified Location Lighting</t>
  </si>
  <si>
    <t>26 55 00</t>
  </si>
  <si>
    <t>Special Purpose Lighting</t>
  </si>
  <si>
    <t>26 56 00</t>
  </si>
  <si>
    <t>Exterior Lighting</t>
  </si>
  <si>
    <t>27</t>
  </si>
  <si>
    <t>27 00 00</t>
  </si>
  <si>
    <t>COMMUNICATIONS</t>
  </si>
  <si>
    <t>27 10 00</t>
  </si>
  <si>
    <t>STRUCTURED CABLING</t>
  </si>
  <si>
    <t>27 11 00</t>
  </si>
  <si>
    <t>Communications Equipment Room Fittings</t>
  </si>
  <si>
    <t>27 13 00</t>
  </si>
  <si>
    <t>Communications Backbone Cabling</t>
  </si>
  <si>
    <t>27 15 00</t>
  </si>
  <si>
    <t>Communications Horizontal Cabling</t>
  </si>
  <si>
    <t>27 16 00</t>
  </si>
  <si>
    <t>Communications Connecting Cords, Devices, and Adapters</t>
  </si>
  <si>
    <t>27 20 00</t>
  </si>
  <si>
    <t>DATA COMMUNICATIONS</t>
  </si>
  <si>
    <t>27 21 00</t>
  </si>
  <si>
    <t>Data Communications Network Equipment</t>
  </si>
  <si>
    <t>27 22 00</t>
  </si>
  <si>
    <t>Data Communications Hardware</t>
  </si>
  <si>
    <t>27 24 00</t>
  </si>
  <si>
    <t>Data Communications Peripheral Data Equipment</t>
  </si>
  <si>
    <t>27 25 00</t>
  </si>
  <si>
    <t>Data Communications Software</t>
  </si>
  <si>
    <t>27 26 00</t>
  </si>
  <si>
    <t>Data Communications Programming and Integration Services</t>
  </si>
  <si>
    <t>27 30 00</t>
  </si>
  <si>
    <t>VOICE COMMUNICATIONS</t>
  </si>
  <si>
    <t>27 31 00</t>
  </si>
  <si>
    <t>Voice Communications Switching and Routing Equipment</t>
  </si>
  <si>
    <t>27 32 00</t>
  </si>
  <si>
    <t>Voice Communications Terminal Equipment</t>
  </si>
  <si>
    <t>27 33 00</t>
  </si>
  <si>
    <t>Voice Communications Messaging</t>
  </si>
  <si>
    <t>27 34 00</t>
  </si>
  <si>
    <t>Call Accounting</t>
  </si>
  <si>
    <t>27 35 00</t>
  </si>
  <si>
    <t>Call Management</t>
  </si>
  <si>
    <t>27 40 00</t>
  </si>
  <si>
    <t>AUDIO-VIDEO COMMUNICATIONS</t>
  </si>
  <si>
    <t>27 41 00</t>
  </si>
  <si>
    <t>Audio-Video Systems</t>
  </si>
  <si>
    <t>27 42 00</t>
  </si>
  <si>
    <t>Electronic Digital Systems</t>
  </si>
  <si>
    <t>27 50 00</t>
  </si>
  <si>
    <t>DISTRIBUTED COMMUNICATIONS AND MONITORING SYSTEMS</t>
  </si>
  <si>
    <t>27 51 00</t>
  </si>
  <si>
    <t>Distributed Audio-Video Communications Systems</t>
  </si>
  <si>
    <t>27 52 00</t>
  </si>
  <si>
    <t>Healthcare Communications and Monitoring Systems</t>
  </si>
  <si>
    <t>27 53 00</t>
  </si>
  <si>
    <t>Distributed Systems</t>
  </si>
  <si>
    <t>28</t>
  </si>
  <si>
    <t>28 00 00</t>
  </si>
  <si>
    <t>ELECTRONIC SAFETY AND SECURITY</t>
  </si>
  <si>
    <t>28 10 00</t>
  </si>
  <si>
    <t>ACCESS CONTROL</t>
  </si>
  <si>
    <t>28 11 00</t>
  </si>
  <si>
    <t>Access Control Global Applications</t>
  </si>
  <si>
    <t>28 12 00</t>
  </si>
  <si>
    <t>General Requirements for Access Control Systems</t>
  </si>
  <si>
    <t>28 13 00</t>
  </si>
  <si>
    <t>Access Control Software and Database Management</t>
  </si>
  <si>
    <t>28 14 00</t>
  </si>
  <si>
    <t>Access Control System Hardware</t>
  </si>
  <si>
    <t>28 15 00</t>
  </si>
  <si>
    <t>Integrated Access Control Hardware Devices</t>
  </si>
  <si>
    <t>28 16 00</t>
  </si>
  <si>
    <t>Access Control Interfaces</t>
  </si>
  <si>
    <t>28 17 00</t>
  </si>
  <si>
    <t>Access Control Identification Management Systems</t>
  </si>
  <si>
    <t>28 18 00</t>
  </si>
  <si>
    <t>Security Access Detection Equipment</t>
  </si>
  <si>
    <t>28 19 00</t>
  </si>
  <si>
    <t>Access Control Vehicle Identification Systems</t>
  </si>
  <si>
    <t>28 20 00</t>
  </si>
  <si>
    <t>VIDEO SURVEILLANCE</t>
  </si>
  <si>
    <t>28 21 00</t>
  </si>
  <si>
    <t>Surveillance Cameras</t>
  </si>
  <si>
    <t>28 23 00</t>
  </si>
  <si>
    <t>Video Management System</t>
  </si>
  <si>
    <t>28 25 00</t>
  </si>
  <si>
    <t>Video Surveillance Positioning Equipment</t>
  </si>
  <si>
    <t>28 30 00</t>
  </si>
  <si>
    <t>SECURITY DETECTION, ALARM, AND MONITORING</t>
  </si>
  <si>
    <t>28 31 00</t>
  </si>
  <si>
    <t>Intrusion Detection</t>
  </si>
  <si>
    <t>28 33 00</t>
  </si>
  <si>
    <t>Security Monitoring and Control</t>
  </si>
  <si>
    <t>28 35 00</t>
  </si>
  <si>
    <t>Tracking Systems</t>
  </si>
  <si>
    <t>28 37 00</t>
  </si>
  <si>
    <t>Audio Monitoring</t>
  </si>
  <si>
    <t>28 40 00</t>
  </si>
  <si>
    <t>LIFE SAFETY</t>
  </si>
  <si>
    <t>28 41 00</t>
  </si>
  <si>
    <t>Radiation Detection and Alarm</t>
  </si>
  <si>
    <t>28 42 00</t>
  </si>
  <si>
    <t>Gas Detection and Alarm</t>
  </si>
  <si>
    <t>28 43 00</t>
  </si>
  <si>
    <t>Fuel-Oil Detection and Alarm</t>
  </si>
  <si>
    <t>28 44 00</t>
  </si>
  <si>
    <t>Refrigerant Detection and Alarm</t>
  </si>
  <si>
    <t>28 45 00</t>
  </si>
  <si>
    <t>Water Detection and Alarm</t>
  </si>
  <si>
    <t>28 46 00</t>
  </si>
  <si>
    <t>Fire Detection and Alarm</t>
  </si>
  <si>
    <t>28 47 00</t>
  </si>
  <si>
    <t>Mass Notification</t>
  </si>
  <si>
    <t>28 48 00</t>
  </si>
  <si>
    <t>Emergency Response Systems</t>
  </si>
  <si>
    <t>28 49 00</t>
  </si>
  <si>
    <t>Electronic Personal Protection Systems</t>
  </si>
  <si>
    <t>28 50 00</t>
  </si>
  <si>
    <t>SPECIALIZED SYSTEMS</t>
  </si>
  <si>
    <t>28 51 00</t>
  </si>
  <si>
    <t>Information Management and Presentation</t>
  </si>
  <si>
    <t>28 52 00</t>
  </si>
  <si>
    <t>Detention Security Systems</t>
  </si>
  <si>
    <t>31</t>
  </si>
  <si>
    <t>31 00 00</t>
  </si>
  <si>
    <t>EARTHWORK</t>
  </si>
  <si>
    <t>31 10 00</t>
  </si>
  <si>
    <t>SITE CLEARING</t>
  </si>
  <si>
    <t>31 11 00</t>
  </si>
  <si>
    <t>Clearing and Grubbing</t>
  </si>
  <si>
    <t>31 12 00</t>
  </si>
  <si>
    <t>Selective Clearing</t>
  </si>
  <si>
    <t>31 13 00</t>
  </si>
  <si>
    <t>Selective Tree and Shrub Removal and Trimming</t>
  </si>
  <si>
    <t>31 14 00</t>
  </si>
  <si>
    <t>Earth Stripping and Stockpiling</t>
  </si>
  <si>
    <t>31 20 00</t>
  </si>
  <si>
    <t>EARTH MOVING</t>
  </si>
  <si>
    <t>31 21 00</t>
  </si>
  <si>
    <t>Off-Gassing Mitigation</t>
  </si>
  <si>
    <t>31 22 00</t>
  </si>
  <si>
    <t>Grading</t>
  </si>
  <si>
    <t>31 23 00</t>
  </si>
  <si>
    <t>Excavation and Fill</t>
  </si>
  <si>
    <t>31 24 00</t>
  </si>
  <si>
    <t>Embankments</t>
  </si>
  <si>
    <t>31 25 00</t>
  </si>
  <si>
    <t>Erosion and Sedimentation Controls</t>
  </si>
  <si>
    <t>31 30 00</t>
  </si>
  <si>
    <t>EARTHWORK METHODS</t>
  </si>
  <si>
    <t>31 31 00</t>
  </si>
  <si>
    <t>Soil Treatment</t>
  </si>
  <si>
    <t>31 32 00</t>
  </si>
  <si>
    <t>Soil Stabilization</t>
  </si>
  <si>
    <t>31 33 00</t>
  </si>
  <si>
    <t>Rock Stabilization</t>
  </si>
  <si>
    <t>31 34 00</t>
  </si>
  <si>
    <t>Soil Reinforcement</t>
  </si>
  <si>
    <t>31 35 00</t>
  </si>
  <si>
    <t>Slope Protection</t>
  </si>
  <si>
    <t>31 36 00</t>
  </si>
  <si>
    <t>Gabions</t>
  </si>
  <si>
    <t>31 37 00</t>
  </si>
  <si>
    <t>Riprap</t>
  </si>
  <si>
    <t>31 40 00</t>
  </si>
  <si>
    <t>SHORING AND UNDERPINNING</t>
  </si>
  <si>
    <t>31 41 00</t>
  </si>
  <si>
    <t>Shoring</t>
  </si>
  <si>
    <t>31 43 00</t>
  </si>
  <si>
    <t>Concrete Raising</t>
  </si>
  <si>
    <t>31 45 00</t>
  </si>
  <si>
    <t>Vibroflotation and Densification</t>
  </si>
  <si>
    <t>31 46 00</t>
  </si>
  <si>
    <t>Needle Beams</t>
  </si>
  <si>
    <t>31 48 00</t>
  </si>
  <si>
    <t>Underpinning</t>
  </si>
  <si>
    <t>31 50 00</t>
  </si>
  <si>
    <t>EXCAVATION SUPPORT AND PROTECTION</t>
  </si>
  <si>
    <t>31 51 00</t>
  </si>
  <si>
    <t>Anchor Tiebacks</t>
  </si>
  <si>
    <t>31 52 00</t>
  </si>
  <si>
    <t>Cofferdams</t>
  </si>
  <si>
    <t>31 53 00</t>
  </si>
  <si>
    <t>Cribbing and Walers</t>
  </si>
  <si>
    <t>31 54 00</t>
  </si>
  <si>
    <t>Ground Freezing</t>
  </si>
  <si>
    <t>31 56 00</t>
  </si>
  <si>
    <t>Slurry Walls</t>
  </si>
  <si>
    <t>31 60 00</t>
  </si>
  <si>
    <t>SPECIAL FOUNDATIONS AND LOAD-BEARING ELEMENTS</t>
  </si>
  <si>
    <t>31 62 00</t>
  </si>
  <si>
    <t>Driven Piles</t>
  </si>
  <si>
    <t>31 63 00</t>
  </si>
  <si>
    <t>Bored Piles</t>
  </si>
  <si>
    <t>31 64 00</t>
  </si>
  <si>
    <t>31 66 00</t>
  </si>
  <si>
    <t>Special Foundations</t>
  </si>
  <si>
    <t>31 68 00</t>
  </si>
  <si>
    <t>Foundation Anchors</t>
  </si>
  <si>
    <t>31 70 00</t>
  </si>
  <si>
    <t>TUNNELING AND MINING</t>
  </si>
  <si>
    <t>31 71 00</t>
  </si>
  <si>
    <t>Tunnel Excavation</t>
  </si>
  <si>
    <t>31 72 00</t>
  </si>
  <si>
    <t>Tunnel Support Systems</t>
  </si>
  <si>
    <t>31 73 00</t>
  </si>
  <si>
    <t>Tunnel Grouting</t>
  </si>
  <si>
    <t>31 74 00</t>
  </si>
  <si>
    <t>Tunnel Construction</t>
  </si>
  <si>
    <t>31 75 00</t>
  </si>
  <si>
    <t>Shaft Construction</t>
  </si>
  <si>
    <t>31 77 00</t>
  </si>
  <si>
    <t>Submersible Tube Tunnels</t>
  </si>
  <si>
    <t>32</t>
  </si>
  <si>
    <t>32 00 00</t>
  </si>
  <si>
    <t>EXTERIOR IMPROVEMENTS</t>
  </si>
  <si>
    <t>32 10 00</t>
  </si>
  <si>
    <t>BASES, BALLASTS, AND PAVING</t>
  </si>
  <si>
    <t>32 11 00</t>
  </si>
  <si>
    <t>Base Courses</t>
  </si>
  <si>
    <t>32 12 00</t>
  </si>
  <si>
    <t>Flexible Paving</t>
  </si>
  <si>
    <t>32 13 00</t>
  </si>
  <si>
    <t>Rigid Paving</t>
  </si>
  <si>
    <t>32 14 00</t>
  </si>
  <si>
    <t>Unit Paving</t>
  </si>
  <si>
    <t>32 15 00</t>
  </si>
  <si>
    <t>Aggregate Surfacing</t>
  </si>
  <si>
    <t>32 16 00</t>
  </si>
  <si>
    <t>Curbs, Gutters, Sidewalks, and Driveways</t>
  </si>
  <si>
    <t>32 17 00</t>
  </si>
  <si>
    <t>Paving Specialties</t>
  </si>
  <si>
    <t>32 18 00</t>
  </si>
  <si>
    <t>Athletic and Recreational Surfacing</t>
  </si>
  <si>
    <t>32 30 00</t>
  </si>
  <si>
    <t>SITE IMPROVEMENTS</t>
  </si>
  <si>
    <t>32 31 00</t>
  </si>
  <si>
    <t>Fences and Gates</t>
  </si>
  <si>
    <t>32 32 00</t>
  </si>
  <si>
    <t>Retaining Walls</t>
  </si>
  <si>
    <t>32 33 00</t>
  </si>
  <si>
    <t>Site Furnishings</t>
  </si>
  <si>
    <t>32 34 00</t>
  </si>
  <si>
    <t>Fabricated Bridges</t>
  </si>
  <si>
    <t>32 35 00</t>
  </si>
  <si>
    <t>Screening Devices</t>
  </si>
  <si>
    <t>32 39 00</t>
  </si>
  <si>
    <t>Manufactured Site Specialties</t>
  </si>
  <si>
    <t>32 70 00</t>
  </si>
  <si>
    <t>WETLANDS</t>
  </si>
  <si>
    <t>32 71 00</t>
  </si>
  <si>
    <t>Constructed Wetlands</t>
  </si>
  <si>
    <t>32 72 00</t>
  </si>
  <si>
    <t>Wetlands Restoration</t>
  </si>
  <si>
    <t>32 80 00</t>
  </si>
  <si>
    <t>IRRIGATION</t>
  </si>
  <si>
    <t>32 81 00</t>
  </si>
  <si>
    <t>Irrigation Components</t>
  </si>
  <si>
    <t>32 82 00</t>
  </si>
  <si>
    <t>Irrigation Pumps</t>
  </si>
  <si>
    <t>32 84 00</t>
  </si>
  <si>
    <t>Planting Irrigation</t>
  </si>
  <si>
    <t>32 86 00</t>
  </si>
  <si>
    <t>Agricultural Irrigation</t>
  </si>
  <si>
    <t>32 90 00</t>
  </si>
  <si>
    <t>PLANTING</t>
  </si>
  <si>
    <t>32 91 00</t>
  </si>
  <si>
    <t>Planting Preparation</t>
  </si>
  <si>
    <t>32 92 00</t>
  </si>
  <si>
    <t>Turf and Grasses</t>
  </si>
  <si>
    <t>32 93 00</t>
  </si>
  <si>
    <t>Plants</t>
  </si>
  <si>
    <t>32 94 00</t>
  </si>
  <si>
    <t>Planting Accessories</t>
  </si>
  <si>
    <t>32 95 00</t>
  </si>
  <si>
    <t>Exterior Planting Support Structures</t>
  </si>
  <si>
    <t>32 96 00</t>
  </si>
  <si>
    <t>Transplanting</t>
  </si>
  <si>
    <t>33</t>
  </si>
  <si>
    <t>33 00 00</t>
  </si>
  <si>
    <t>UTILITIES</t>
  </si>
  <si>
    <t>ITEM CODE DESC</t>
  </si>
  <si>
    <t>1 Interim interest</t>
  </si>
  <si>
    <t>1.1 Origination fee, interim load</t>
  </si>
  <si>
    <t>1.11 Origination fee, permnt load</t>
  </si>
  <si>
    <t>1.2 Discount points</t>
  </si>
  <si>
    <t>1.21 3-2-1 buydown fee</t>
  </si>
  <si>
    <t>1.211 2-1 buydown fee</t>
  </si>
  <si>
    <t>1.212 1% buydown fee</t>
  </si>
  <si>
    <t>1.3 Closing cost</t>
  </si>
  <si>
    <t>1.31 Real estate commission</t>
  </si>
  <si>
    <t>1.32 PMI fee</t>
  </si>
  <si>
    <t>1.33 Home owner's warranty fee</t>
  </si>
  <si>
    <t>1300.201 Building permit</t>
  </si>
  <si>
    <t>1310.082 Project director</t>
  </si>
  <si>
    <t>1310.085 Senior project manager</t>
  </si>
  <si>
    <t>1310.09 Construction manager</t>
  </si>
  <si>
    <t>1310.095 Project manager</t>
  </si>
  <si>
    <t>1310.096 Assistant project manager</t>
  </si>
  <si>
    <t>1310.108 Chief superintendent</t>
  </si>
  <si>
    <t>1310.111 Superintendent</t>
  </si>
  <si>
    <t>1310.115 Assistant superintendent</t>
  </si>
  <si>
    <t>1310.116 2nd assistant superintendent</t>
  </si>
  <si>
    <t>1310.117 3rd assistant superintendent</t>
  </si>
  <si>
    <t>1310.122 M / E superintendent</t>
  </si>
  <si>
    <t>1310.124 Mechanical coordinator</t>
  </si>
  <si>
    <t>1310.125 Electrical coordinator</t>
  </si>
  <si>
    <t>1310.126 Design coordinator</t>
  </si>
  <si>
    <t>1310.131 Project engineer</t>
  </si>
  <si>
    <t>1310.135 Field engineer</t>
  </si>
  <si>
    <t>1310.136 2nd field engineer</t>
  </si>
  <si>
    <t>1310.137 3rd field engineer</t>
  </si>
  <si>
    <t>1310.139 Office manager</t>
  </si>
  <si>
    <t>1310.141 Clerk</t>
  </si>
  <si>
    <t>1310.142 Timekeeper</t>
  </si>
  <si>
    <t>1310.151 Quality engineer</t>
  </si>
  <si>
    <t>1310.152 Safety engineer</t>
  </si>
  <si>
    <t>1310.161 Secretary</t>
  </si>
  <si>
    <t>1310.165 Receptionist</t>
  </si>
  <si>
    <t>1310.167 Messenger</t>
  </si>
  <si>
    <t>1310.18 Survey crew</t>
  </si>
  <si>
    <t>1310.212 Draughtsman</t>
  </si>
  <si>
    <t>1315.011 Chief estimator</t>
  </si>
  <si>
    <t>1315.012 Senior estimator</t>
  </si>
  <si>
    <t>1315.015 Estimator</t>
  </si>
  <si>
    <t>1315.021 Plumbing estimator</t>
  </si>
  <si>
    <t>1315.022 HVAC estimator</t>
  </si>
  <si>
    <t>1315.023 Electrical estimator</t>
  </si>
  <si>
    <t>1320.101 Aerial photographs</t>
  </si>
  <si>
    <t>1320.112 Schedule writer</t>
  </si>
  <si>
    <t>1450.105 Soil tests</t>
  </si>
  <si>
    <t>1450.106 Concrete tests</t>
  </si>
  <si>
    <t>1450.107 Masonry tests</t>
  </si>
  <si>
    <t>1450.108 Structural steel tests</t>
  </si>
  <si>
    <t>1510.121 Construction electrical utilities</t>
  </si>
  <si>
    <t>1510.131 Construction water utilities</t>
  </si>
  <si>
    <t>1510.141 Construction gas utilities</t>
  </si>
  <si>
    <t>1520.101 Job office trailer</t>
  </si>
  <si>
    <t>1520.102 Trades trailer</t>
  </si>
  <si>
    <t>1520.111 Tool house</t>
  </si>
  <si>
    <t>1520.114 Warehouse storage</t>
  </si>
  <si>
    <t>1520.121 Portable toilets</t>
  </si>
  <si>
    <t>1520.201 Field office furniture</t>
  </si>
  <si>
    <t>1520.205 Field office equipment</t>
  </si>
  <si>
    <t>1520.207 Field office supplies</t>
  </si>
  <si>
    <t>1520.22 Drawing printing and purchase allowance</t>
  </si>
  <si>
    <t>1520.241 Ice machine</t>
  </si>
  <si>
    <t>1520.25 Construction office telephones</t>
  </si>
  <si>
    <t>1520.251 Construction cellular phones</t>
  </si>
  <si>
    <t>1540.115 Mobile cranes</t>
  </si>
  <si>
    <t>1540.131 Tower cranes</t>
  </si>
  <si>
    <t>1540.179 Small tools and supplies</t>
  </si>
  <si>
    <t>1540.185 Masonry saws and blades</t>
  </si>
  <si>
    <t>1540.192 Temporary building heaters</t>
  </si>
  <si>
    <t>1540.193 Temporary concrete heaters</t>
  </si>
  <si>
    <t>1540.194 Temporary masonry heaters</t>
  </si>
  <si>
    <t>1540.268 Concrete mixers</t>
  </si>
  <si>
    <t>1540.282 Hod carrier carts</t>
  </si>
  <si>
    <t>1540.289 Forklifts</t>
  </si>
  <si>
    <t>1540.301 Hoists</t>
  </si>
  <si>
    <t>1540.311 Baker scaffolds (Perry / mobile)</t>
  </si>
  <si>
    <t>1540.33 Nylon safety nets</t>
  </si>
  <si>
    <t>1540.511 Tubular scaffolds</t>
  </si>
  <si>
    <t>1540.52 Mason's scaffolding, 96' long</t>
  </si>
  <si>
    <t>1540.535 Hydraulic lifts</t>
  </si>
  <si>
    <t>1540.538 Powered swing staging</t>
  </si>
  <si>
    <t>1560.102 Security guards</t>
  </si>
  <si>
    <t>1560.109 Night watchmen and command dogs</t>
  </si>
  <si>
    <t>1560.121 Site construction fence</t>
  </si>
  <si>
    <t>1560.21 Traffic bales</t>
  </si>
  <si>
    <t>1560.215 Temporary slab guardrails</t>
  </si>
  <si>
    <t>1580.101 Project sign</t>
  </si>
  <si>
    <t>1740.099 Weekly cleanup</t>
  </si>
  <si>
    <t>1740.121 Trash chutes</t>
  </si>
  <si>
    <t>1740.125 Dumpsters</t>
  </si>
  <si>
    <t>2069.9 ** Site Concrete **</t>
  </si>
  <si>
    <t>2220.1 Remove gravel @ roof</t>
  </si>
  <si>
    <t>2220.101 Remove built-up roof</t>
  </si>
  <si>
    <t>2220.102 Remove gravel and built-up roof</t>
  </si>
  <si>
    <t>2220.103 Remove gravel, b-u roof and insul</t>
  </si>
  <si>
    <t>2220.11 Remove single ply roofing</t>
  </si>
  <si>
    <t>2220.111 Remove single ply roof and insulation</t>
  </si>
  <si>
    <t>2220.12 Remove composition shingles</t>
  </si>
  <si>
    <t>2220.13 Remove metal roofing</t>
  </si>
  <si>
    <t>2220.14 Remove tile roofing</t>
  </si>
  <si>
    <t>2220.2 Remove skylights</t>
  </si>
  <si>
    <t>2220.21 Remove roof hatch</t>
  </si>
  <si>
    <t>2220.22 Remove flashing and sheetmetal</t>
  </si>
  <si>
    <t>2220.23 Remove coping</t>
  </si>
  <si>
    <t>2220.3 Remove precast roof deck</t>
  </si>
  <si>
    <t>2220.31 Remove metal deck</t>
  </si>
  <si>
    <t>2220.32 Remove lightweight roof fill</t>
  </si>
  <si>
    <t>2220.33 Remove wood deck</t>
  </si>
  <si>
    <t>2220.4 Remove concrete canopy</t>
  </si>
  <si>
    <t>2220.401 Remove steel canopy</t>
  </si>
  <si>
    <t>2220.402 Remove wood canopy</t>
  </si>
  <si>
    <t>2220.41 Remove mansard</t>
  </si>
  <si>
    <t>2220.42 Remove covered walkway</t>
  </si>
  <si>
    <t>2220.43 Remove steps</t>
  </si>
  <si>
    <t>2220.44 Remove railings</t>
  </si>
  <si>
    <t>2220.45 Remove fascia</t>
  </si>
  <si>
    <t>2220.46 Remove soffit</t>
  </si>
  <si>
    <t>2220.5 Remove face brick</t>
  </si>
  <si>
    <t>2220.505 Remove stone</t>
  </si>
  <si>
    <t>2220.51 Remove granite/marble</t>
  </si>
  <si>
    <t>2220.515 Remove stucco</t>
  </si>
  <si>
    <t>2220.52 Remove metal siding</t>
  </si>
  <si>
    <t>2220.525 Remove precast panels</t>
  </si>
  <si>
    <t>2220.53 Remove window wall</t>
  </si>
  <si>
    <t>2220.535 Remove storefront and glass doors</t>
  </si>
  <si>
    <t>2220.54 Remove window sills</t>
  </si>
  <si>
    <t>2220.6 Remove masonry</t>
  </si>
  <si>
    <t>2220.61 Remove metal studs</t>
  </si>
  <si>
    <t>2220.62 Remove wood studs</t>
  </si>
  <si>
    <t>2220.7 Remove exterior single door and frame</t>
  </si>
  <si>
    <t>2220.701 Remove exterior double door and frame</t>
  </si>
  <si>
    <t>2220.71 Remove windows</t>
  </si>
  <si>
    <t>2220.711 Remove windows</t>
  </si>
  <si>
    <t>2220.72 Remove louvers</t>
  </si>
  <si>
    <t>2220.721 Remove louvers</t>
  </si>
  <si>
    <t>2220.73 Remove overhead doors and grilles</t>
  </si>
  <si>
    <t>2220.8 Cut-out @ masonry wall</t>
  </si>
  <si>
    <t>2220.805 Cut-out @ concrete wall</t>
  </si>
  <si>
    <t>2220.806 Cut-out @ stucco-mtl stud wall</t>
  </si>
  <si>
    <t>2220.81 Cut-out @ stucco-wd stud wall</t>
  </si>
  <si>
    <t>2220.815 Cut-out @ metal siding</t>
  </si>
  <si>
    <t>2220.82 Cut-out @ concrete roof deck</t>
  </si>
  <si>
    <t>2220.825 Cut-out @ metal roof deck</t>
  </si>
  <si>
    <t>2220.83 Cut-out@ wd dr fiber roof deck</t>
  </si>
  <si>
    <t>2221.1 Remove  nonreinforced SOG</t>
  </si>
  <si>
    <t>2221.105 Remove reinforced SOG</t>
  </si>
  <si>
    <t>2221.11 Remove elevated slab</t>
  </si>
  <si>
    <t>2221.115 Remove footings</t>
  </si>
  <si>
    <t>2221.12 Remove concrete walls</t>
  </si>
  <si>
    <t>2221.125 Remove msnry ld bearing wall</t>
  </si>
  <si>
    <t>2221.2 Remove masonry partition</t>
  </si>
  <si>
    <t>2221.205 Remove drywall mtl stud part.</t>
  </si>
  <si>
    <t>2221.21 Remove drywall wood part.</t>
  </si>
  <si>
    <t>2221.215 Remove drywall only</t>
  </si>
  <si>
    <t>2221.22 Remove lath and plaster metal stud partition</t>
  </si>
  <si>
    <t>2221.225 Remove plaster</t>
  </si>
  <si>
    <t>2221.25 Remove interior storefront</t>
  </si>
  <si>
    <t>2221.3 Remove acoustical ceiling system</t>
  </si>
  <si>
    <t>2221.305 Remove acoustical tile</t>
  </si>
  <si>
    <t>2221.31 Remove drywall ceiling</t>
  </si>
  <si>
    <t>2221.32 Remove plaster ceiling</t>
  </si>
  <si>
    <t>2221.4 Remove resilient flooring</t>
  </si>
  <si>
    <t>2221.405 Remove carpet</t>
  </si>
  <si>
    <t>2221.41 Remove ceramic and quarry tile</t>
  </si>
  <si>
    <t>2221.415 Remove ceramic tile wall</t>
  </si>
  <si>
    <t>2221.42 Remove wood flooring</t>
  </si>
  <si>
    <t>2221.425 Remove terrazzo flooring</t>
  </si>
  <si>
    <t>2221.5 Remove single door and frame</t>
  </si>
  <si>
    <t>2221.505 Remove double door and frame</t>
  </si>
  <si>
    <t>2221.51 Remove door</t>
  </si>
  <si>
    <t>2221.515 Remove frame</t>
  </si>
  <si>
    <t>2221.52 Remove overhead door</t>
  </si>
  <si>
    <t>2221.525 Remove roll up grille</t>
  </si>
  <si>
    <t>2221.53 Remove windows</t>
  </si>
  <si>
    <t>2221.535 Remove interior storefront</t>
  </si>
  <si>
    <t>2221.6 Relocate single door and frame</t>
  </si>
  <si>
    <t>2221.605 Relocate double door and frame</t>
  </si>
  <si>
    <t>2221.615 Relocate door</t>
  </si>
  <si>
    <t>2221.62 Relocate frame</t>
  </si>
  <si>
    <t>2221.625 Relocate overhead door</t>
  </si>
  <si>
    <t>2221.63 Relocate roll-up grille</t>
  </si>
  <si>
    <t>2221.635 Relocate windows</t>
  </si>
  <si>
    <t>2221.64 Relocate interior storefront</t>
  </si>
  <si>
    <t>2221.7 Remove concrete stairs</t>
  </si>
  <si>
    <t>2221.705 Remove steel stairs</t>
  </si>
  <si>
    <t>2221.71 Remove wood stairs</t>
  </si>
  <si>
    <t>2221.715 Remove steel ladder</t>
  </si>
  <si>
    <t>2221.8 Cut-out slab on grade</t>
  </si>
  <si>
    <t>2221.805 Cut-out elevated slab</t>
  </si>
  <si>
    <t>2221.81 Cut-out masonry walls</t>
  </si>
  <si>
    <t>2221.815 Cut-out concrete walls</t>
  </si>
  <si>
    <t>2221.82 Cut-out drywall partitions</t>
  </si>
  <si>
    <t>2221.825 Core drilling</t>
  </si>
  <si>
    <t>2221.83 Saw cutting concrete</t>
  </si>
  <si>
    <t>2221.9 Gut building minimum demo</t>
  </si>
  <si>
    <t>2221.91 Gut building average demo</t>
  </si>
  <si>
    <t>2221.92 Gut building maximum demo</t>
  </si>
  <si>
    <t>2224.1 Demolish large steel frame building</t>
  </si>
  <si>
    <t>2224.105 Demo large conc frame bldg</t>
  </si>
  <si>
    <t>2224.11 Demo large masonry bldg</t>
  </si>
  <si>
    <t>2224.115 Demo small stl frame bldg</t>
  </si>
  <si>
    <t>2224.12 Demo small conc frame bldg</t>
  </si>
  <si>
    <t>2224.125 Demo small masonry bldg</t>
  </si>
  <si>
    <t>2224.13 Demo wood frame bldg</t>
  </si>
  <si>
    <t>2224.2 Demo one story house</t>
  </si>
  <si>
    <t>2224.205 Demo two story house</t>
  </si>
  <si>
    <t>2224.21 Demo three story house</t>
  </si>
  <si>
    <t>2224.215 Demolish out building</t>
  </si>
  <si>
    <t>2224.3 Clear brush by hand</t>
  </si>
  <si>
    <t>2224.31 Clear brush/dozer light clearing</t>
  </si>
  <si>
    <t>2224.32 Clear brush/dozer medium clearing</t>
  </si>
  <si>
    <t>2224.33 Remove tree</t>
  </si>
  <si>
    <t>2224.4 Remove catchbasin/manhole</t>
  </si>
  <si>
    <t>2224.401 Abandon catchbasin/manhole</t>
  </si>
  <si>
    <t>2224.41 Remove pipe</t>
  </si>
  <si>
    <t>2224.5 Remove asphalt paving</t>
  </si>
  <si>
    <t>2224.501 Remove concrete paving</t>
  </si>
  <si>
    <t>2224.51 Remove sidewalks</t>
  </si>
  <si>
    <t>2224.52 Remove curbs</t>
  </si>
  <si>
    <t>2224.521 Remove curb and gutter</t>
  </si>
  <si>
    <t>2224.55 Remove masonry walls</t>
  </si>
  <si>
    <t>2224.551 Remove concrete walls</t>
  </si>
  <si>
    <t>2224.56 Remove footings and foundation</t>
  </si>
  <si>
    <t>2224.6 Remove fence</t>
  </si>
  <si>
    <t>2224.9 Saw cut concrete</t>
  </si>
  <si>
    <t>2224.901 Saw cut asphalt</t>
  </si>
  <si>
    <t>2229.9 * Demolition area *</t>
  </si>
  <si>
    <t>2229.901 * Demolition area *</t>
  </si>
  <si>
    <t>2230.1 Site preparation allowance</t>
  </si>
  <si>
    <t>2230.101 * No. of site preparation allowances *</t>
  </si>
  <si>
    <t>2230.2 Site grading allowance</t>
  </si>
  <si>
    <t>2230.3 Rough grading</t>
  </si>
  <si>
    <t>2230.31 Earth fill</t>
  </si>
  <si>
    <t>2230.32 Tree removal</t>
  </si>
  <si>
    <t>2230.33 Final grading</t>
  </si>
  <si>
    <t>2260.01 Shoring and bracing</t>
  </si>
  <si>
    <t>2260.011  Wood sheeting</t>
  </si>
  <si>
    <t>2260.012  Sheet piling</t>
  </si>
  <si>
    <t>2260.013  Soldier piling</t>
  </si>
  <si>
    <t>2260.014  Hydraulic wood lag</t>
  </si>
  <si>
    <t>2260.015  Pull box</t>
  </si>
  <si>
    <t>2260.016  Sheet piling w/existing structure</t>
  </si>
  <si>
    <t>2260.017  Hydraulic wood lag w/existing structure</t>
  </si>
  <si>
    <t>2260.018  Pull box w/existing structure</t>
  </si>
  <si>
    <t>2260.03 Open plank bracing earth</t>
  </si>
  <si>
    <t>2260.031 Solid wood bracing earth</t>
  </si>
  <si>
    <t>2260.032 H columns and plank bracing</t>
  </si>
  <si>
    <t>2260.033 Solid steel bracing @ earth</t>
  </si>
  <si>
    <t>2260.034 Brace ftg trench w/jacks</t>
  </si>
  <si>
    <t>2260.035 Sheeting - pulled</t>
  </si>
  <si>
    <t>2260.036 Sheetpiling - left in place</t>
  </si>
  <si>
    <t>2260.051 Brace pipe trench w/jacks</t>
  </si>
  <si>
    <t>2260.052 Open plank brace @ trench</t>
  </si>
  <si>
    <t>2260.053 Solid wood bracing @ trench</t>
  </si>
  <si>
    <t>2260.054 Solid steel bracing @ trench</t>
  </si>
  <si>
    <t>2260.055 H columns and plank bracing</t>
  </si>
  <si>
    <t>2260.061 Brace pipe trench w/jacks</t>
  </si>
  <si>
    <t>2260.062 Open plank brace @ trench</t>
  </si>
  <si>
    <t>2260.063 Solid wood bracing @ trench</t>
  </si>
  <si>
    <t>2260.064 Solid steel bracing @ trench</t>
  </si>
  <si>
    <t>2260.065 H-columns and plank brace earth</t>
  </si>
  <si>
    <t>2260.071 Brace pipe trench w/jacks</t>
  </si>
  <si>
    <t>2260.072 Open plank brace @ trench</t>
  </si>
  <si>
    <t>2260.073 Solid wood bracing @ trench</t>
  </si>
  <si>
    <t>2260.074 Solid steel bracing @ trench</t>
  </si>
  <si>
    <t>2260.075 H-columns and plank brace earth</t>
  </si>
  <si>
    <t>2260.081 Brace pipe trench w/jacks</t>
  </si>
  <si>
    <t>2260.082 Open plank brace @ trench</t>
  </si>
  <si>
    <t>2260.083 Solid wood bracing @ trench</t>
  </si>
  <si>
    <t>2260.084 Solid steel bracing @ trench</t>
  </si>
  <si>
    <t>2260.085 H-columns and plank brace earth</t>
  </si>
  <si>
    <t>2278.011  Trench box 12"</t>
  </si>
  <si>
    <t>2278.012  Trench box 14"</t>
  </si>
  <si>
    <t>2278.013  Trench box 16"</t>
  </si>
  <si>
    <t>2278.014  Trench box 18"</t>
  </si>
  <si>
    <t>2278.015  Trench box 20"</t>
  </si>
  <si>
    <t>2278.016  Trench box 22"</t>
  </si>
  <si>
    <t>2278.017  Trench box 24"</t>
  </si>
  <si>
    <t>2278.018  Trench box 26"</t>
  </si>
  <si>
    <t>2278.019  Trench box 28"</t>
  </si>
  <si>
    <t>2278.02  Trench box 30"</t>
  </si>
  <si>
    <t>2278.021  Trench box 32"</t>
  </si>
  <si>
    <t>2278.022  Trench box 34"</t>
  </si>
  <si>
    <t>2278.023  Trench box 36"</t>
  </si>
  <si>
    <t>2278.024  Trench box 42"</t>
  </si>
  <si>
    <t>2278.025  Trench box 48"</t>
  </si>
  <si>
    <t>2278.026  Trench box 54"</t>
  </si>
  <si>
    <t>2278.027  Trench box 60"</t>
  </si>
  <si>
    <t>2278.028  Trench box 66"</t>
  </si>
  <si>
    <t>2278.029  Trench box 72"</t>
  </si>
  <si>
    <t>2278.03  Trench box 78"</t>
  </si>
  <si>
    <t>2278.031  Trench box 84"</t>
  </si>
  <si>
    <t>2278.032  Trench box 90"</t>
  </si>
  <si>
    <t>2278.033  Trench box 96"</t>
  </si>
  <si>
    <t>2278.034  Trench box 102"</t>
  </si>
  <si>
    <t>2278.035  Trench box 108"</t>
  </si>
  <si>
    <t>2278.036  Trench box 114"</t>
  </si>
  <si>
    <t>2278.037  Trench box 120"</t>
  </si>
  <si>
    <t>2278.038  Trench box 126"</t>
  </si>
  <si>
    <t>2278.039  Trench box 132"</t>
  </si>
  <si>
    <t>2278.04  Trench box 138"</t>
  </si>
  <si>
    <t>2278.041  Trench box 144"</t>
  </si>
  <si>
    <t>2278.042  Trench box 150"</t>
  </si>
  <si>
    <t>2278.043  Trench box 156"</t>
  </si>
  <si>
    <t>2300.9 **Floor on Grade Area**</t>
  </si>
  <si>
    <t>2300.901 **Foundation Area**</t>
  </si>
  <si>
    <t>2300.902 * Basement Excavation Area *</t>
  </si>
  <si>
    <t>2300.903 * Pipe Trench Length *</t>
  </si>
  <si>
    <t>2310.1 Cut-store-spread topsoil</t>
  </si>
  <si>
    <t>2310.102 Cut-dispose veg adjacent site</t>
  </si>
  <si>
    <t>2310.103 Cut and fill direct on site</t>
  </si>
  <si>
    <t>2310.104 Cut-stockpile-fill</t>
  </si>
  <si>
    <t>2310.105 General fill</t>
  </si>
  <si>
    <t>2310.106 Compacted fill</t>
  </si>
  <si>
    <t>2310.107 Engineered fill</t>
  </si>
  <si>
    <t>2310.108 Hydraulic fill</t>
  </si>
  <si>
    <t>2310.109 Excav-load-haul surplus 0-2miles</t>
  </si>
  <si>
    <t>2310.11 Excav-load-haul surplus 2-3miles</t>
  </si>
  <si>
    <t>2310.111 Excav-load-haul surplus 3-4miles</t>
  </si>
  <si>
    <t>2310.112 Excav-load-haul surplus 4-5miles</t>
  </si>
  <si>
    <t>2310.113 Excav-load-haul surplus 5-6miles</t>
  </si>
  <si>
    <t>2310.114 Excav-load-haul surplus 6-7miles</t>
  </si>
  <si>
    <t>2310.115 Excav-load-haul surplus 7-8miles</t>
  </si>
  <si>
    <t>2310.116 Excav-load-haul surplus 8-9miles</t>
  </si>
  <si>
    <t>2310.117 Excav-load-haul surplus 9-10miles</t>
  </si>
  <si>
    <t>2310.118 Load-haul borrow 0-2 miles</t>
  </si>
  <si>
    <t>2310.119 Load-haul borrow 2-3 miles</t>
  </si>
  <si>
    <t>2310.12 Load-haul borrow 3-4 miles</t>
  </si>
  <si>
    <t>2310.121 Load-haul borrow 4-5 miles</t>
  </si>
  <si>
    <t>2310.122 Load-haul borrow 5-6 miles</t>
  </si>
  <si>
    <t>2310.123 Load-haul borrow 6-7 miles</t>
  </si>
  <si>
    <t>2310.124 Load-haul borrow 7-8 miles</t>
  </si>
  <si>
    <t>2310.125 Load-haul borrow 8-9 miles</t>
  </si>
  <si>
    <t>2310.126 Load-haul borrow 9-10 miles</t>
  </si>
  <si>
    <t>2310.127 Excav-load basement excavation</t>
  </si>
  <si>
    <t>2310.14 Cut-load-haul vegetation 0-2 miles</t>
  </si>
  <si>
    <t>2310.141 Cut-load-haul vegetation 2-3 miles</t>
  </si>
  <si>
    <t>2310.142 Cut-load-haul vegetation 3-4 miles</t>
  </si>
  <si>
    <t>2310.143 Cut-load-haul vegetation 4-5 miles</t>
  </si>
  <si>
    <t>2310.144 Cut-load-haul vegetation 5-6 miles</t>
  </si>
  <si>
    <t>2310.145 Cut-load-haul vegetation 6-7 miles</t>
  </si>
  <si>
    <t>2310.146 Cut-load-haul vegetation 7-8 miles</t>
  </si>
  <si>
    <t>2310.147 Cut-load-haul vegetation 8-9 miles</t>
  </si>
  <si>
    <t>2310.148 Cut-load-haul vegetation 9-10 miles</t>
  </si>
  <si>
    <t>2310.16 Fine grade stairs</t>
  </si>
  <si>
    <t>2310.18 Fine grade tank footing bottom</t>
  </si>
  <si>
    <t>2310.181 Fine grade hopper bottom</t>
  </si>
  <si>
    <t>2310.182 Fine grade hub bottom</t>
  </si>
  <si>
    <t>2310.199 * Cut and fill area *</t>
  </si>
  <si>
    <t>2310.2 Hand fine grade paving</t>
  </si>
  <si>
    <t>2310.201 Machine fine grade paving</t>
  </si>
  <si>
    <t>2310.205 Fine grade footings</t>
  </si>
  <si>
    <t>2310.206 Fine grade grade beams</t>
  </si>
  <si>
    <t>2310.21 Fine grade @ slab</t>
  </si>
  <si>
    <t>2310.211 Fine grade footing</t>
  </si>
  <si>
    <t>2314.8 ** Foundation area **</t>
  </si>
  <si>
    <t>2314.9 * No. of site grading allowances *</t>
  </si>
  <si>
    <t>2315.04 Excav-stockpile basement excavation</t>
  </si>
  <si>
    <t>2315.05 Backfill basement w/job earth</t>
  </si>
  <si>
    <t>2315.051 Backfill basement w/import earth</t>
  </si>
  <si>
    <t>2315.052 Backfill basement w/purchase earth</t>
  </si>
  <si>
    <t>2315.053 Backfill basement w/sand</t>
  </si>
  <si>
    <t>2315.054 Backfill basement w/gravel</t>
  </si>
  <si>
    <t>2315.055 Haul from site 0-2 miles</t>
  </si>
  <si>
    <t>2315.056 Haul from site 2-3 miles</t>
  </si>
  <si>
    <t>2315.057 Haul from site 3-4 miles</t>
  </si>
  <si>
    <t>2315.058 Haul from site 4-5 miles</t>
  </si>
  <si>
    <t>2315.059 Haul from site 5-6 miles</t>
  </si>
  <si>
    <t>2315.06 Haul from site 6-7 miles</t>
  </si>
  <si>
    <t>2315.061 Haul from site 7-8 miles</t>
  </si>
  <si>
    <t>2315.062 Haul from site 8-9 miles</t>
  </si>
  <si>
    <t>2315.063 Haul from site 9-10 miles</t>
  </si>
  <si>
    <t>2315.1 Basement excavation</t>
  </si>
  <si>
    <t>2315.11 Backfill @ basement</t>
  </si>
  <si>
    <t>2315.2 Mass excavation</t>
  </si>
  <si>
    <t>2315.21 Machine excavate rock</t>
  </si>
  <si>
    <t>2315.211 Ripping and mach excav rock</t>
  </si>
  <si>
    <t>2315.212 Blasting rock for mass excav</t>
  </si>
  <si>
    <t>2315.216 Tank soil displacement volume</t>
  </si>
  <si>
    <t>2315.22 Stockpile excavated material</t>
  </si>
  <si>
    <t>2315.23 Haul excavated material 0-2 miles</t>
  </si>
  <si>
    <t>2315.231 Haul excavated material 2-4 miles</t>
  </si>
  <si>
    <t>2315.232 Haul excavated material 4-6 miles</t>
  </si>
  <si>
    <t>2315.233 Haul excavated material 6-8 miles</t>
  </si>
  <si>
    <t>2315.234 Haul excavated material 8-10 miles</t>
  </si>
  <si>
    <t>2315.25 Compact subgrade</t>
  </si>
  <si>
    <t>2315.251 Scarify and compact 4"</t>
  </si>
  <si>
    <t>2315.252 Scarify and compact 6"</t>
  </si>
  <si>
    <t>2315.253 Scarify and compact 6-12"</t>
  </si>
  <si>
    <t>2315.254 Scarify and compact 12-18"</t>
  </si>
  <si>
    <t>2315.3 Fill w/ site earth</t>
  </si>
  <si>
    <t>2315.301 Fill w/ off-site earth</t>
  </si>
  <si>
    <t>2315.302 Fill w/ purchased earth</t>
  </si>
  <si>
    <t>2315.303 Fill w/ sand</t>
  </si>
  <si>
    <t>2315.304 Fill w/washed gravel</t>
  </si>
  <si>
    <t>2315.305 Fill w/ select material</t>
  </si>
  <si>
    <t>2315.306 Fill w/ crushed rock</t>
  </si>
  <si>
    <t>2315.307 Fill w/ bank gravel</t>
  </si>
  <si>
    <t>2315.308 Fill with road gravel</t>
  </si>
  <si>
    <t>2315.35 Underslab fill</t>
  </si>
  <si>
    <t>2315.38 Hand excavate thickened slab @ paving</t>
  </si>
  <si>
    <t>2315.381 Mach excavate thickened slab @ paving</t>
  </si>
  <si>
    <t>2315.397 Machine/ earth backfill @ tank footing</t>
  </si>
  <si>
    <t>2315.398 Hand/ earth backfill @ tank footing</t>
  </si>
  <si>
    <t>2315.399 Sand backfill @ tank footing</t>
  </si>
  <si>
    <t>2315.4 Gravel backfill @ tank footing</t>
  </si>
  <si>
    <t>2315.401 Select material backfill @ tank foooting</t>
  </si>
  <si>
    <t>2315.402 Crushed rock backfill @ tank footing</t>
  </si>
  <si>
    <t>2315.403 Mach earth backfill circular grade beam</t>
  </si>
  <si>
    <t>2315.404 Hand earth backfill circular grade beam</t>
  </si>
  <si>
    <t>2315.405 Sand backfill circular grade beam</t>
  </si>
  <si>
    <t>2315.406 Gravel backfill circular grade beam</t>
  </si>
  <si>
    <t>2315.407 Select material backfill circular grade beam</t>
  </si>
  <si>
    <t>2315.408 Crushed rock backfill circular grade beam</t>
  </si>
  <si>
    <t>2315.409 Machine earth backfill grade beam</t>
  </si>
  <si>
    <t>2315.41 Hand earth backfill grade beam</t>
  </si>
  <si>
    <t>2315.411 Sand backfill grade beam</t>
  </si>
  <si>
    <t>2315.412 Gravel backfill grade beam</t>
  </si>
  <si>
    <t>2315.413 Select material backfill grade beam</t>
  </si>
  <si>
    <t>2315.414 Crushed rock backfill grade beam</t>
  </si>
  <si>
    <t>2315.417 Sand fill @ slab</t>
  </si>
  <si>
    <t>2315.418 Gravel fill @ slab</t>
  </si>
  <si>
    <t>2315.419 Select material fill @ slab</t>
  </si>
  <si>
    <t>2315.42 Crushed rock fill @ slab</t>
  </si>
  <si>
    <t>2315.427 Mach earth backfill hopper</t>
  </si>
  <si>
    <t>2315.428 Hand earth backfill hopper</t>
  </si>
  <si>
    <t>2315.429 Sand backfill hopper</t>
  </si>
  <si>
    <t>2315.43 Gravel backfill hopper</t>
  </si>
  <si>
    <t>2315.431 Select material backfill hopper</t>
  </si>
  <si>
    <t>2315.432 Crushed rock backfill hopper</t>
  </si>
  <si>
    <t>2315.433 Machine backfill hub w/earth</t>
  </si>
  <si>
    <t>2315.434 Hand backfill hub w/earth</t>
  </si>
  <si>
    <t>2315.435 Sand backfill hub</t>
  </si>
  <si>
    <t>2315.436 Gravel backfill hub</t>
  </si>
  <si>
    <t>2315.437 Select material backfill hub</t>
  </si>
  <si>
    <t>2315.438 Crushed rock backfill hub</t>
  </si>
  <si>
    <t>2315.451 Hand excavate pipe trench</t>
  </si>
  <si>
    <t>2315.452 Excavate w/small trencher</t>
  </si>
  <si>
    <t>2315.453 Excavate w/large trencher</t>
  </si>
  <si>
    <t>2315.454 Excavate pipe trench w/backhoe</t>
  </si>
  <si>
    <t>2315.461 Hand backfill pipe trench</t>
  </si>
  <si>
    <t>2315.462 Machine backfill pipe trench</t>
  </si>
  <si>
    <t>2315.463 Backfill pipe trench w/sand</t>
  </si>
  <si>
    <t>2315.464 Backfill pipe trench w/gravel</t>
  </si>
  <si>
    <t>2315.465 Backfll trench w/crushed stone</t>
  </si>
  <si>
    <t>2315.466 Backfill trench with CLSM (flowable fill)</t>
  </si>
  <si>
    <t>2315.6 Excavation @ pipe trench</t>
  </si>
  <si>
    <t>2315.601  Digging easy:     W/CAT-426</t>
  </si>
  <si>
    <t>2315.602  Digging medium:   W/CAT-426</t>
  </si>
  <si>
    <t>2315.603  Digging med.hard: W/CAT-426</t>
  </si>
  <si>
    <t>2315.604  Digging hard:     W/CAT-426</t>
  </si>
  <si>
    <t>2315.605  Digging tough:    W/CAT-426</t>
  </si>
  <si>
    <t>2315.606  Digging easy:     W/CAT-446</t>
  </si>
  <si>
    <t>2315.607  Digging medium:   W/CAT-446</t>
  </si>
  <si>
    <t>2315.608  Digging med.hard: W/CAT-446</t>
  </si>
  <si>
    <t>2315.609  Digging hard:     W/CAT-446</t>
  </si>
  <si>
    <t>2315.61  Digging tough:    W/CAT-446</t>
  </si>
  <si>
    <t>2315.611  Digging easy:  W/CAT-215d</t>
  </si>
  <si>
    <t>2315.612  Digging medium:   W/CAT-215d</t>
  </si>
  <si>
    <t>2315.613  Digging med.hard: W/CAT-215d</t>
  </si>
  <si>
    <t>2315.614  Digging hard:     W/CAT-215d</t>
  </si>
  <si>
    <t>2315.615  Digging tough:    W/CAT-215d</t>
  </si>
  <si>
    <t>2315.616  Digging easy:     W/CAT-225d</t>
  </si>
  <si>
    <t>2315.617  Digging medium:   W/CAT-225d</t>
  </si>
  <si>
    <t>2315.618  Digging med.hard: W/CAT-225d</t>
  </si>
  <si>
    <t>2315.619  Digging hard:     W/CAT-225d</t>
  </si>
  <si>
    <t>2315.62  Digging tough:    W/CAT-225d</t>
  </si>
  <si>
    <t>2315.621  Digging easy:     W/CAT-231d</t>
  </si>
  <si>
    <t>2315.622  Digging medium:   W/CAT-231d</t>
  </si>
  <si>
    <t>2315.623  Digging med.hard: W/CAT-231d</t>
  </si>
  <si>
    <t>2315.624  Digging hard:     W/CAT-231d</t>
  </si>
  <si>
    <t>2315.625  Digging tough:    W/CAT-231d</t>
  </si>
  <si>
    <t>2315.626  Digging easy:     W/CAT-235c</t>
  </si>
  <si>
    <t>2315.627  Digging medium:   W/CAT-235c</t>
  </si>
  <si>
    <t>2315.628  Digging med.hard: W/CAT-235c</t>
  </si>
  <si>
    <t>2315.629  Digging hard:     W/CAT-235c</t>
  </si>
  <si>
    <t>2315.63  Digging tough:    W/CAT-235c</t>
  </si>
  <si>
    <t>2315.631  Digging easy:     W/CAT-245b</t>
  </si>
  <si>
    <t>2315.632  Digging medium:   W/CAT-245b</t>
  </si>
  <si>
    <t>2315.633  Digging med.hard: W/CAT-245b</t>
  </si>
  <si>
    <t>2315.634  Digging hard:     W/CAT-245b</t>
  </si>
  <si>
    <t>2315.635  Digging tough:    W/CAT-245b</t>
  </si>
  <si>
    <t>2316.001 Fine grade floor by hand</t>
  </si>
  <si>
    <t>2316.002 Machine fine grade floor</t>
  </si>
  <si>
    <t>2316.009 Hand excavate for slab edge</t>
  </si>
  <si>
    <t>2316.01 Backfill @ thickened slab edge</t>
  </si>
  <si>
    <t>2316.011 Excess thickened slab soil</t>
  </si>
  <si>
    <t>2316.012 Machine excavate slab edge</t>
  </si>
  <si>
    <t>2316.02 Sand slab fill</t>
  </si>
  <si>
    <t>2316.021 Road gravel slab fill</t>
  </si>
  <si>
    <t>2316.022 Washed gravel slab fill</t>
  </si>
  <si>
    <t>2316.023 Crushed stone slab fill</t>
  </si>
  <si>
    <t>2316.024 Select material slab fill</t>
  </si>
  <si>
    <t>2316.025 CLSM (flowable fill) slab fill</t>
  </si>
  <si>
    <t>2316.1 Mach excav continuous footing</t>
  </si>
  <si>
    <t>2316.101 Hand excav continuous footing</t>
  </si>
  <si>
    <t>2316.102 Fine grade continuous footing</t>
  </si>
  <si>
    <t>2316.103 Excavate rock @ continuous footing</t>
  </si>
  <si>
    <t>2316.104 Machine excavate stepped footing</t>
  </si>
  <si>
    <t>2316.105 Hand excavate stepped footing</t>
  </si>
  <si>
    <t>2316.106 Fine grade stepped footing</t>
  </si>
  <si>
    <t>2316.107 Machine excavate sloped footing</t>
  </si>
  <si>
    <t>2316.108 Hand excavate sloped footing</t>
  </si>
  <si>
    <t>2316.109 Fine grade sloped footing</t>
  </si>
  <si>
    <t>2316.11 Mach excav column footing</t>
  </si>
  <si>
    <t>2316.111 Hand excav column footing</t>
  </si>
  <si>
    <t>2316.112 Fine grade @ column footing</t>
  </si>
  <si>
    <t>2316.113 Excav rock @ column footing</t>
  </si>
  <si>
    <t>2316.12 Mach excav pile cap</t>
  </si>
  <si>
    <t>2316.121 Hand excav pile cap</t>
  </si>
  <si>
    <t>2316.122 Fine grade @ pile cap</t>
  </si>
  <si>
    <t>2316.123 Excavate rock @ pile cap</t>
  </si>
  <si>
    <t>2316.124 Machine excavate mat foundation</t>
  </si>
  <si>
    <t>2316.125 Hand excavate mat foundation</t>
  </si>
  <si>
    <t>2316.126 Fine grade mat foundation</t>
  </si>
  <si>
    <t>2316.127 Excavate rock @ mat foundation</t>
  </si>
  <si>
    <t>2316.129 Hand backfill footing with machine feed assist</t>
  </si>
  <si>
    <t>2316.13 Mach backfill continuous footing</t>
  </si>
  <si>
    <t>2316.131 Hand backfill continuous footing</t>
  </si>
  <si>
    <t>2316.132 Backfill continuous footing w/sand</t>
  </si>
  <si>
    <t>2316.133 Backfill continuous footing w/gravel</t>
  </si>
  <si>
    <t>2316.134 Excess continuous footing soil</t>
  </si>
  <si>
    <t>2316.135 Machine backfill stepped footing</t>
  </si>
  <si>
    <t>2316.136 Hand backfill stepped footing</t>
  </si>
  <si>
    <t>2316.137 Backfill stepped footing w/sand</t>
  </si>
  <si>
    <t>2316.138 Backfill stepped footing w/gravel</t>
  </si>
  <si>
    <t>2316.139 Backfill stepped footing w/crushed stone</t>
  </si>
  <si>
    <t>2316.14 Mach backfill @ column footing</t>
  </si>
  <si>
    <t>2316.141 Hand backfill @ column footing</t>
  </si>
  <si>
    <t>2316.142 Backfill column footing w/sand</t>
  </si>
  <si>
    <t>2316.143 Backfill column footing w/gravel</t>
  </si>
  <si>
    <t>2316.144 Excess column footing soil</t>
  </si>
  <si>
    <t>2316.145 Machine backfill mat foundation</t>
  </si>
  <si>
    <t>2316.146 Hand backfill mat foundation</t>
  </si>
  <si>
    <t>2316.147 Backfill mat foundation w/sand</t>
  </si>
  <si>
    <t>2316.148 Backfill mat with gravel</t>
  </si>
  <si>
    <t>2316.149 Excess mat foundation soil</t>
  </si>
  <si>
    <t>2316.15 Machine backfill pile cap</t>
  </si>
  <si>
    <t>2316.151 Hand backfill pile cap</t>
  </si>
  <si>
    <t>2316.152 Backfill pile cap w/sand</t>
  </si>
  <si>
    <t>2316.153 Backfill pile cap w/gravel</t>
  </si>
  <si>
    <t>2316.154 Excess pile cap soil</t>
  </si>
  <si>
    <t>2316.155 Excess stepped footing soil</t>
  </si>
  <si>
    <t>2316.156 Machine backfill sloped footing</t>
  </si>
  <si>
    <t>2316.157 Hand backfill sloped footing</t>
  </si>
  <si>
    <t>2316.158 Backfill sloped footing w/sand</t>
  </si>
  <si>
    <t>2316.159 Backfill sloped footing w/gravel</t>
  </si>
  <si>
    <t>2316.16 Backfill sloped footing w/crushed stone</t>
  </si>
  <si>
    <t>2316.161 Excess sloped footing soil</t>
  </si>
  <si>
    <t>2316.162 Backfill mat foundation with selct material</t>
  </si>
  <si>
    <t xml:space="preserve">2316.163 Backfill mat foundation with crushed stone </t>
  </si>
  <si>
    <t xml:space="preserve">2316.164 Backfill continuous footing w/crushed stone </t>
  </si>
  <si>
    <t xml:space="preserve">2316.165 Backfill column footing w/crushed stone </t>
  </si>
  <si>
    <t xml:space="preserve">2316.166 Backfill pile cap with crushed stone </t>
  </si>
  <si>
    <t>2316.167 Backfill continuous footing w/CLSM (flowable fill)</t>
  </si>
  <si>
    <t>2316.168 Backfill column footing w/CLSM (flowable fill)</t>
  </si>
  <si>
    <t>2316.169 Backfill pile cap w/CLSM (flowable fill)</t>
  </si>
  <si>
    <t>2316.17 Backfill mat foundation w/CLSM (flowable fill)</t>
  </si>
  <si>
    <t>2316.2 Machine excavate grade beam</t>
  </si>
  <si>
    <t>2316.201 Hand excavate grade beam</t>
  </si>
  <si>
    <t>2316.202 Machine backfill grade beam</t>
  </si>
  <si>
    <t>2316.203 Hand backfill grade beam</t>
  </si>
  <si>
    <t>2316.204 Backfill grade beam w/sand</t>
  </si>
  <si>
    <t>2316.205 Backfill grade beam w/ washed gravel</t>
  </si>
  <si>
    <t>2316.206 Backfill grade beam w/road gravel</t>
  </si>
  <si>
    <t>2316.207 Backfill grade beam w/crushed stone</t>
  </si>
  <si>
    <t>2316.208 Backfill grade beam with select material</t>
  </si>
  <si>
    <t>2316.209 Hand backfill grade beam with machine feed assist</t>
  </si>
  <si>
    <t>2316.21 Backfill grade beam w/CLSM (flowable fill)</t>
  </si>
  <si>
    <t>2316.212 Excess grade beam soil</t>
  </si>
  <si>
    <t>2316.3 Excavate continuous footing</t>
  </si>
  <si>
    <t>2316.301 Excavate column footing</t>
  </si>
  <si>
    <t>2316.302 Excavate pile cap</t>
  </si>
  <si>
    <t>2316.303 Excavate mat foundation</t>
  </si>
  <si>
    <t>2316.304 Excavate thickened slab</t>
  </si>
  <si>
    <t>2316.305 Excavate pit</t>
  </si>
  <si>
    <t>2316.306 Excavate trench</t>
  </si>
  <si>
    <t>2316.307 Excavate miscellaneous foundation</t>
  </si>
  <si>
    <t>2316.308 Excavate grade beam</t>
  </si>
  <si>
    <t>2316.32 Backfill continuous footing</t>
  </si>
  <si>
    <t>2316.321 Backfill column footing</t>
  </si>
  <si>
    <t>2316.322 Backfill pile cap</t>
  </si>
  <si>
    <t>2316.323 Backfill mat foundation</t>
  </si>
  <si>
    <t>2316.325 Backfill pit</t>
  </si>
  <si>
    <t>2316.326 Backfill trench</t>
  </si>
  <si>
    <t>2316.327 Backfill miscellaneous foundation</t>
  </si>
  <si>
    <t>2316.328 Backfill grade beam</t>
  </si>
  <si>
    <t>2316.33 Fine grade continous footing</t>
  </si>
  <si>
    <t>2316.331 Fine grade column footing</t>
  </si>
  <si>
    <t>2316.332 Fine grade pile cap</t>
  </si>
  <si>
    <t>2316.333 Fine grade mat foundation</t>
  </si>
  <si>
    <t>2316.334 Fine grade slab on grade</t>
  </si>
  <si>
    <t>2316.335 Fine grade stair/landing on grade</t>
  </si>
  <si>
    <t>2316.336 Fine grade miscellaneous foundation</t>
  </si>
  <si>
    <t>2316.337 Fine grade ramp</t>
  </si>
  <si>
    <t>2316.36 Backfill @ pipe trench</t>
  </si>
  <si>
    <t>2316.361  Native fill w/no compaction</t>
  </si>
  <si>
    <t>2316.362  Native fill w/compaction</t>
  </si>
  <si>
    <t>2316.363  Import granular fill</t>
  </si>
  <si>
    <t>2316.364  Import light weight fill</t>
  </si>
  <si>
    <t>2316.365  Drainage rock fill</t>
  </si>
  <si>
    <t>2316.366  Concrete fill</t>
  </si>
  <si>
    <t>2316.4 Hand excavate pit/trench</t>
  </si>
  <si>
    <t>2316.401 Hand backfill pit/trench</t>
  </si>
  <si>
    <t>2316.402 Machine excavate pit/trench</t>
  </si>
  <si>
    <t>2316.403 Machine backfill pit/trench</t>
  </si>
  <si>
    <t>2317.11 Excavation</t>
  </si>
  <si>
    <t>2317.111  Hand excavation</t>
  </si>
  <si>
    <t>2317.112   Clay-silt</t>
  </si>
  <si>
    <t>2317.113   Clay-slit-sand</t>
  </si>
  <si>
    <t>2317.114   Silt-sand, loam</t>
  </si>
  <si>
    <t>2317.115   Silt-sand-gravel</t>
  </si>
  <si>
    <t>2317.116   Sand-gravel</t>
  </si>
  <si>
    <t>2317.117   Rock</t>
  </si>
  <si>
    <t>2317.118   Miscellaneous soil</t>
  </si>
  <si>
    <t>2317.121  Small trencher</t>
  </si>
  <si>
    <t>2317.122   Clay-silt</t>
  </si>
  <si>
    <t>2317.123   Clay-silt-sand</t>
  </si>
  <si>
    <t>2317.124   Silt-sand, loam</t>
  </si>
  <si>
    <t>2317.125   Silt-sand-gravel</t>
  </si>
  <si>
    <t>2317.126   Sand-gravel</t>
  </si>
  <si>
    <t>2317.128   Miscellaneous soil</t>
  </si>
  <si>
    <t>2317.131  Heavy trencher</t>
  </si>
  <si>
    <t>2317.132   Clay-silt</t>
  </si>
  <si>
    <t>2317.133   Clay-silt-sand</t>
  </si>
  <si>
    <t>2317.134   Silt-sand, loam</t>
  </si>
  <si>
    <t>2317.135   Silt-sand-gravel</t>
  </si>
  <si>
    <t>2317.136   Sand-gravel</t>
  </si>
  <si>
    <t>2317.138   Miscellaneous soil</t>
  </si>
  <si>
    <t>2317.141  Backhoe, 1/2 cy bucket</t>
  </si>
  <si>
    <t>2317.142   Clay-silt</t>
  </si>
  <si>
    <t>2317.143   Clay-silt-sand</t>
  </si>
  <si>
    <t>2317.144   Silt-sand, loam</t>
  </si>
  <si>
    <t>2317.145   Silt-sand-gravel</t>
  </si>
  <si>
    <t>2317.146   Sand-gravel</t>
  </si>
  <si>
    <t>2317.148   Miscellaneous soil</t>
  </si>
  <si>
    <t>2317.151  Backhoe, 3/4 cy bucket</t>
  </si>
  <si>
    <t>2317.152   Clay-silt</t>
  </si>
  <si>
    <t>2317.153   Clay-silt-sand</t>
  </si>
  <si>
    <t>2317.154   Silt-sand, loam</t>
  </si>
  <si>
    <t>2317.155   Silt-sand-gravel</t>
  </si>
  <si>
    <t>2317.156   Sand-gravel</t>
  </si>
  <si>
    <t>2317.158   Miscellaneous soil</t>
  </si>
  <si>
    <t>2317.161  Backhoe, 1-1/4 cy bucket</t>
  </si>
  <si>
    <t>2317.162   Clay-silt</t>
  </si>
  <si>
    <t>2317.163   Clay-silt-sand</t>
  </si>
  <si>
    <t>2317.164   Silt-sand, loam</t>
  </si>
  <si>
    <t>2317.165   Silt-sand-gravel</t>
  </si>
  <si>
    <t>2317.166   Sand-gravel</t>
  </si>
  <si>
    <t>2317.168   Miscellaneous soil</t>
  </si>
  <si>
    <t>2317.171  Backhoe, 2 cy bucket</t>
  </si>
  <si>
    <t>2317.172   Clay-silt</t>
  </si>
  <si>
    <t>2317.173   Clay-silt-sand</t>
  </si>
  <si>
    <t>2317.174   Silt-sand, loam</t>
  </si>
  <si>
    <t>2317.175   Silt-sand-gravel</t>
  </si>
  <si>
    <t>2317.176   Sand-gravel</t>
  </si>
  <si>
    <t>2317.178   Miscellaneous soil</t>
  </si>
  <si>
    <t>2317.181  Backhoe, 3 cy bucket</t>
  </si>
  <si>
    <t>2317.182   Clay-silt</t>
  </si>
  <si>
    <t>2317.183   Clay-silt-sand</t>
  </si>
  <si>
    <t>2317.184   Silt-sand, loam</t>
  </si>
  <si>
    <t>2317.185   Silt-sand-gravel</t>
  </si>
  <si>
    <t>2317.186   Sand-gravel</t>
  </si>
  <si>
    <t>2317.188   Miscellaneous soil</t>
  </si>
  <si>
    <t>2317.191  Loader</t>
  </si>
  <si>
    <t>2317.192   Clay-silt</t>
  </si>
  <si>
    <t>2317.193   Clay-silt-sand</t>
  </si>
  <si>
    <t>2317.194   Silt-sand, loam</t>
  </si>
  <si>
    <t>2317.195   Silt-sand-gravel</t>
  </si>
  <si>
    <t>2317.196   Sand-gravel</t>
  </si>
  <si>
    <t>2317.198   Miscellaneous soil</t>
  </si>
  <si>
    <t>2317.211  Hoe ram and backhoe</t>
  </si>
  <si>
    <t>2317.212   Rock</t>
  </si>
  <si>
    <t>2317.215  Dozer w/ripper and backhoe</t>
  </si>
  <si>
    <t>2317.216   Rock</t>
  </si>
  <si>
    <t>2317.221  Blast and machine excavate</t>
  </si>
  <si>
    <t>2317.222   Rock</t>
  </si>
  <si>
    <t>2317.23 Backfill</t>
  </si>
  <si>
    <t>2317.231  Hand backfill, loose</t>
  </si>
  <si>
    <t>2317.232  Hand backfill, tamped</t>
  </si>
  <si>
    <t>2317.233  Machine backfill, loose</t>
  </si>
  <si>
    <t>2317.234  Machine backfill, tamped</t>
  </si>
  <si>
    <t>2317.235  Machine backfill, rolled</t>
  </si>
  <si>
    <t>2317.236  Machn backfill, injected</t>
  </si>
  <si>
    <t>2317.237  Gravel, tamped</t>
  </si>
  <si>
    <t>2317.238  Gravel, rolled</t>
  </si>
  <si>
    <t>2317.239  Concrete</t>
  </si>
  <si>
    <t>2317.24 Gravel bedding</t>
  </si>
  <si>
    <t>2317.241 Concrete encasement</t>
  </si>
  <si>
    <t>2317.25 Surplus earth</t>
  </si>
  <si>
    <t>2317.251  Mound at trench</t>
  </si>
  <si>
    <t>2317.252  Spread, on-site</t>
  </si>
  <si>
    <t>2317.253  Haul, on-site</t>
  </si>
  <si>
    <t>2317.254  Load and haul, on-site</t>
  </si>
  <si>
    <t>2317.255  Haul, off-site</t>
  </si>
  <si>
    <t>2317.256  Load and haul, off-site</t>
  </si>
  <si>
    <t>2317.26 *Obstacle within layback*</t>
  </si>
  <si>
    <t>2317.261 * Trench interference *</t>
  </si>
  <si>
    <t>2317.3 Machine excavate tank footing</t>
  </si>
  <si>
    <t>2317.301 Hand excavate tank footing</t>
  </si>
  <si>
    <t>2317.302 Machine excavate rock @ tank footing</t>
  </si>
  <si>
    <t>2317.303 Rock blasting for tank footings</t>
  </si>
  <si>
    <t>2317.304 Machine excavate circular grade beam</t>
  </si>
  <si>
    <t>2317.305 Hand excavate circular grade beam</t>
  </si>
  <si>
    <t>2317.306 Machine excavate rock circular grade beam</t>
  </si>
  <si>
    <t>2317.307 Rock blasting for circular grade beam</t>
  </si>
  <si>
    <t>2317.308 Machine excav radial grade beam</t>
  </si>
  <si>
    <t>2317.309 Hand excav radial grade beam</t>
  </si>
  <si>
    <t>2317.31 Machine excavate rock radial grade beam</t>
  </si>
  <si>
    <t>2317.311 Rock blasting for radial grade beam</t>
  </si>
  <si>
    <t>2317.314 Machine excavate hopper</t>
  </si>
  <si>
    <t>2317.315 Hand excavate hopper</t>
  </si>
  <si>
    <t>2317.316 Machine excavate rock @ hopper</t>
  </si>
  <si>
    <t>2317.317 Blasting of rock for hopper</t>
  </si>
  <si>
    <t>2317.318 Machine excavate hub</t>
  </si>
  <si>
    <t>2317.319 Hand excavate hub</t>
  </si>
  <si>
    <t>2317.32 Machine excavate rock @ hub</t>
  </si>
  <si>
    <t>2317.321 Blasting of rock for hub, no machine</t>
  </si>
  <si>
    <t>2317.322 Machine excavate circular slab edge</t>
  </si>
  <si>
    <t>2317.323 Hand excavate circular slab edge</t>
  </si>
  <si>
    <t>2317.324 Rock excavate circular slab edge</t>
  </si>
  <si>
    <t>2317.35 Surplus earth disposal</t>
  </si>
  <si>
    <t>2317.351  Mound @ trench</t>
  </si>
  <si>
    <t>2317.352  Spread on-site</t>
  </si>
  <si>
    <t>2317.353  Haul on-site</t>
  </si>
  <si>
    <t>2317.354  Load and haul on-site</t>
  </si>
  <si>
    <t>2317.355  Haul off-site</t>
  </si>
  <si>
    <t>2317.356  Load/haul off-site</t>
  </si>
  <si>
    <t>2317.357  Haul off-site w/fee</t>
  </si>
  <si>
    <t>2317.359  Load/haul off w/fee</t>
  </si>
  <si>
    <t>2318.01 Retaining walls</t>
  </si>
  <si>
    <t>2318.011   Hand excavate footings</t>
  </si>
  <si>
    <t>2318.012   Machine excavate footings</t>
  </si>
  <si>
    <t>2318.013   Machine backfill</t>
  </si>
  <si>
    <t>2318.014  Backfill w/borrow earth</t>
  </si>
  <si>
    <t>2318.015  Backfill w/borrow sand</t>
  </si>
  <si>
    <t>2318.016  Backfill w/borrow gravel</t>
  </si>
  <si>
    <t>2318.017 Hand backfill</t>
  </si>
  <si>
    <t>2318.018 Excavate footing</t>
  </si>
  <si>
    <t>2318.019 Backfill footing</t>
  </si>
  <si>
    <t>2318.09 Excav for dock leveler pit</t>
  </si>
  <si>
    <t>2318.091 Backfill @ dock leveler pit</t>
  </si>
  <si>
    <t>2323.01 Imported pipe bedding @ trench</t>
  </si>
  <si>
    <t>2323.011 Imported pipe zone @ trench</t>
  </si>
  <si>
    <t>2324.01 Machine excavate footing</t>
  </si>
  <si>
    <t>2324.011 Hand excavate footing</t>
  </si>
  <si>
    <t>2324.02 Machine backfill footing</t>
  </si>
  <si>
    <t>2324.021 Hand backfill footing</t>
  </si>
  <si>
    <t>2324.03 Hand fine grade for slab</t>
  </si>
  <si>
    <t>2324.031 Machine fine grade for slab</t>
  </si>
  <si>
    <t>2324.04 Hand excavate thickened slab</t>
  </si>
  <si>
    <t>2324.041 Machine excavate thick slab</t>
  </si>
  <si>
    <t>2324.05 Excavate post holes</t>
  </si>
  <si>
    <t>2324.06 Washed gravel fill @ slab</t>
  </si>
  <si>
    <t>2324.061 Sand fill @ slab</t>
  </si>
  <si>
    <t>2324.062 Road gravel fill @  slab</t>
  </si>
  <si>
    <t>2360.01 Subsoil termite treatment</t>
  </si>
  <si>
    <t xml:space="preserve">2360.301 Soil poisoning for termites </t>
  </si>
  <si>
    <t>2455.01 0-40' treated wood piling</t>
  </si>
  <si>
    <t>2455.011 41-50' treated wood piling</t>
  </si>
  <si>
    <t>2455.012 51-60' treated wood piling</t>
  </si>
  <si>
    <t>2455.013 61-70' treated wood piling</t>
  </si>
  <si>
    <t>2455.014 71-80' treated wood piling</t>
  </si>
  <si>
    <t>2455.015 81' plus treated wood piling</t>
  </si>
  <si>
    <t>2455.016 0-40' untreated wood piling</t>
  </si>
  <si>
    <t>2455.017 41-50' untreated wood piling</t>
  </si>
  <si>
    <t>2455.018 51-60' untreated wood piling</t>
  </si>
  <si>
    <t>2455.019 61-70' untreated wood piling</t>
  </si>
  <si>
    <t>2455.02 71-80' untreated wood piling</t>
  </si>
  <si>
    <t>2455.021 80' plus untreated wood piling</t>
  </si>
  <si>
    <t>2455.04 8" CIP thin wall pile</t>
  </si>
  <si>
    <t>2455.041 10" CIP thin wall pile</t>
  </si>
  <si>
    <t>2455.042 12" CIP thin wall pile</t>
  </si>
  <si>
    <t>2455.043 14" CIP thin wall pile</t>
  </si>
  <si>
    <t>2455.044 16" CIP thin wall pile</t>
  </si>
  <si>
    <t>2455.046 12" CIP friction pile</t>
  </si>
  <si>
    <t>2455.047 14" CIP friction pile</t>
  </si>
  <si>
    <t>2455.048 16" CIP friction pile</t>
  </si>
  <si>
    <t>2455.049 18" CIP friction pile</t>
  </si>
  <si>
    <t>2455.052 12" prestressed concrete pile</t>
  </si>
  <si>
    <t>2455.056 14" prestressed concrete pile</t>
  </si>
  <si>
    <t>2455.06 16" prestressed concrete pile</t>
  </si>
  <si>
    <t>2455.064 18" prestressed concrete pile</t>
  </si>
  <si>
    <t>2455.068 20" prestressed concrete pile</t>
  </si>
  <si>
    <t>2455.072 24" prestressed concrete pile</t>
  </si>
  <si>
    <t>2455.09 8" diameter 29lb pipe pile</t>
  </si>
  <si>
    <t>2455.091 10" diameter 34lb pipe pile</t>
  </si>
  <si>
    <t>2455.092 12" diameter 44lb pipe pile</t>
  </si>
  <si>
    <t>2455.093 14" diameter 46lb pipe pile</t>
  </si>
  <si>
    <t>2455.094 16" diameter 52lb pipe pile</t>
  </si>
  <si>
    <t>2455.095 18" diameter 59lb pipe pile</t>
  </si>
  <si>
    <t>2455.096 8" conc filled pipe pile</t>
  </si>
  <si>
    <t>2455.097 10" conc filled pipe pile</t>
  </si>
  <si>
    <t>2455.098 12" concrete filled pipe pile</t>
  </si>
  <si>
    <t>2455.099 14" conc filled pipe pile</t>
  </si>
  <si>
    <t>2455.1 16" conc filled pipe pile</t>
  </si>
  <si>
    <t>2455.101 18" conc filled pipe pile</t>
  </si>
  <si>
    <t>2455.11 17" pressure injected pile</t>
  </si>
  <si>
    <t>2455.111 22" pressure injected pile</t>
  </si>
  <si>
    <t>2455.112 10-5/8" press inj pile w/case</t>
  </si>
  <si>
    <t>2455.113 12" press injected pile w/case</t>
  </si>
  <si>
    <t>2455.114 16" press injected pile w/case</t>
  </si>
  <si>
    <t>2455.115 17-5/8" press inj pile w/case</t>
  </si>
  <si>
    <t>2455.116 19" press injected pile w/case</t>
  </si>
  <si>
    <t>2455.12 8x36lb H-section steel pile</t>
  </si>
  <si>
    <t>2455.121 10x42lb H-section steel pile</t>
  </si>
  <si>
    <t>2455.122 10x57lb H-section stl pile</t>
  </si>
  <si>
    <t>2455.123 12x53lb H-section steel pile</t>
  </si>
  <si>
    <t>2455.124 12x63lb H-section steel pile</t>
  </si>
  <si>
    <t>2455.125 12x74lb H-section steel pile</t>
  </si>
  <si>
    <t>2455.126 13x87lb H-section steel pile</t>
  </si>
  <si>
    <t>2455.127 13x100lb H-section steel pile</t>
  </si>
  <si>
    <t>2455.128 14x73lb H-section steel pile</t>
  </si>
  <si>
    <t>2455.129 14x89lb H-section steel pile</t>
  </si>
  <si>
    <t>2455.13 14x102lb H-section steel pile</t>
  </si>
  <si>
    <t>2455.131 14x117lb H-section steel pile</t>
  </si>
  <si>
    <t>2455.2 Precast pile</t>
  </si>
  <si>
    <t>2455.21 Wood pile</t>
  </si>
  <si>
    <t>2455.22 Steel H pile</t>
  </si>
  <si>
    <t>2455.23 Pipe pile</t>
  </si>
  <si>
    <t>2455.24 Concrete filled pipe pile</t>
  </si>
  <si>
    <t>2455.25 Tapered pile</t>
  </si>
  <si>
    <t>2455.26 Pressure injected pile</t>
  </si>
  <si>
    <t>2464.9 ** Length of piles **</t>
  </si>
  <si>
    <t>2464.901 * No. of driven piles *</t>
  </si>
  <si>
    <t>2465.011 24" pre augered pile</t>
  </si>
  <si>
    <t>2465.012 36" pre augered pile</t>
  </si>
  <si>
    <t>2465.013 48" pre augered pile</t>
  </si>
  <si>
    <t>2465.014 60" pre augered pile</t>
  </si>
  <si>
    <t>2465.03 8" CIP augered pile</t>
  </si>
  <si>
    <t>2465.031 10" CIP augered pile</t>
  </si>
  <si>
    <t>2465.032 12" CIP augered pile</t>
  </si>
  <si>
    <t>2465.033 14" CIP augered pile</t>
  </si>
  <si>
    <t>2465.034 16" CIP augered pile</t>
  </si>
  <si>
    <t>2465.035 18" CIP augered pile</t>
  </si>
  <si>
    <t>2474.901 * No. of augered piles and caissons *</t>
  </si>
  <si>
    <t>2475.11 12" steel casing</t>
  </si>
  <si>
    <t>2475.111 16" steel casing</t>
  </si>
  <si>
    <t>2475.112 18" steel casing</t>
  </si>
  <si>
    <t>2475.113 20" steel casing</t>
  </si>
  <si>
    <t>2475.114 24" steel casing</t>
  </si>
  <si>
    <t>2475.115 30" steel casing</t>
  </si>
  <si>
    <t>2475.116 36" steel casing</t>
  </si>
  <si>
    <t>2475.117 42" steel casing</t>
  </si>
  <si>
    <t>2475.118 48" steel casing</t>
  </si>
  <si>
    <t>2475.119 54" steel casing</t>
  </si>
  <si>
    <t>2475.12 60" steel casing</t>
  </si>
  <si>
    <t>2475.121 66" steel casing</t>
  </si>
  <si>
    <t>2475.122 72" steel casing</t>
  </si>
  <si>
    <t>2475.123 84" steel casing</t>
  </si>
  <si>
    <t>2475.13 12" steel casing, reused</t>
  </si>
  <si>
    <t>2475.133 16" steel casing, reused</t>
  </si>
  <si>
    <t>2475.134 18" steel casing, reused</t>
  </si>
  <si>
    <t>2475.135 20" steel casing, reused</t>
  </si>
  <si>
    <t>2475.138 24" steel casing, reused</t>
  </si>
  <si>
    <t>2475.141 30" steel casing, reused</t>
  </si>
  <si>
    <t>2475.144 36" steel casing, reused</t>
  </si>
  <si>
    <t>2475.146 42" steel casing, reused</t>
  </si>
  <si>
    <t>2475.148 48" steel casing, reused</t>
  </si>
  <si>
    <t>2475.149 54" steel casing, reused</t>
  </si>
  <si>
    <t>2475.15 60" steel casing, reused</t>
  </si>
  <si>
    <t>2475.151 66" steel casing, reused</t>
  </si>
  <si>
    <t>2475.152 72" steel casing, reused</t>
  </si>
  <si>
    <t>2475.153 84" steel casing, reused</t>
  </si>
  <si>
    <t>2475.16 Caisson fiber tube top forms, 12"</t>
  </si>
  <si>
    <t>2475.161 Caisson fiber tube top forms, 16"</t>
  </si>
  <si>
    <t>2475.162 Caisson fiber tube top forms, 18"</t>
  </si>
  <si>
    <t>2475.163 Caisson fiber tube top forms, 20"</t>
  </si>
  <si>
    <t>2475.164 Caisson fiber tube top forms, 24"</t>
  </si>
  <si>
    <t>2475.165 Caisson fiber tube top forms, 30"</t>
  </si>
  <si>
    <t>2475.166 Caisson fiber tube top forms, 36"</t>
  </si>
  <si>
    <t>2475.167 Caisson fiber tube top forms, 42"</t>
  </si>
  <si>
    <t>2475.168 Caisson fiber tube top forms, 48"</t>
  </si>
  <si>
    <t>2475.169 Caisson fiber tube top forms, 54"</t>
  </si>
  <si>
    <t>2475.17 Caisson fiber tube top forms, 60"</t>
  </si>
  <si>
    <t>2475.171 Caisson fiber tube top forms, 66"</t>
  </si>
  <si>
    <t>2475.172 Caisson fiber tube top forms, 72"</t>
  </si>
  <si>
    <t>2475.173 Caisson fiber tube top forms, 84"</t>
  </si>
  <si>
    <t>2475.18 Excav caisson stable earth</t>
  </si>
  <si>
    <t>2475.181 Remove surplus excavation</t>
  </si>
  <si>
    <t>2475.182 Excav caisson wet earth</t>
  </si>
  <si>
    <t>2475.183 Excav caisson soft rock</t>
  </si>
  <si>
    <t>2475.184 Excav caisson - rock</t>
  </si>
  <si>
    <t>2475.185 Overexcavation for casing</t>
  </si>
  <si>
    <t>2475.19 **Concrete in caissons**</t>
  </si>
  <si>
    <t>2475.191   3000 psi direct</t>
  </si>
  <si>
    <t>2475.192   2500 psi direct</t>
  </si>
  <si>
    <t>2475.193   3500 psi direct</t>
  </si>
  <si>
    <t>2475.194   3750 psi direct</t>
  </si>
  <si>
    <t>2475.195   4000 psi direct</t>
  </si>
  <si>
    <t>2475.196   5000 psi direct</t>
  </si>
  <si>
    <t>2475.197   Mix A direct</t>
  </si>
  <si>
    <t>2475.198   Mix B direct</t>
  </si>
  <si>
    <t>2475.199   3000 psi w/carts</t>
  </si>
  <si>
    <t>2475.2   2500 psi w/carts</t>
  </si>
  <si>
    <t>2475.201   3500 psi w/carts</t>
  </si>
  <si>
    <t>2475.202   3750 psi w/carts</t>
  </si>
  <si>
    <t>2475.203   4000 psi w/carts</t>
  </si>
  <si>
    <t>2475.204   5000 psi w/carts</t>
  </si>
  <si>
    <t>2475.205   Mix A w/carts</t>
  </si>
  <si>
    <t>2475.206   Mix B w/carts</t>
  </si>
  <si>
    <t>2475.207   3000 psi w/cart &amp; run</t>
  </si>
  <si>
    <t>2475.208   2500 psi w/cart &amp; run</t>
  </si>
  <si>
    <t>2475.209   3500 psi w/cart &amp; run</t>
  </si>
  <si>
    <t>2475.21   3750 psi w/cart &amp; run</t>
  </si>
  <si>
    <t>2475.211   4000 psi w/cart &amp; run</t>
  </si>
  <si>
    <t>2475.212   5000 psi w/ cart &amp; run</t>
  </si>
  <si>
    <t>2475.213   Mix A w/cart &amp; run</t>
  </si>
  <si>
    <t>2475.214   Mix B w/cart &amp; run</t>
  </si>
  <si>
    <t>2475.215   3000 psi w/crane</t>
  </si>
  <si>
    <t>2475.216   2500 psi w/crane</t>
  </si>
  <si>
    <t>2475.217   3500 psi w/crane</t>
  </si>
  <si>
    <t>2475.218   3750 psi w/crane</t>
  </si>
  <si>
    <t>2475.219   4000 psi w/crane</t>
  </si>
  <si>
    <t>2475.22   5000 psi w/crane</t>
  </si>
  <si>
    <t>2475.221   Mix A w/crane</t>
  </si>
  <si>
    <t>2475.222   Mix B w/crane</t>
  </si>
  <si>
    <t>2475.223   3000 psi w/pump</t>
  </si>
  <si>
    <t>2475.224   2500 psi w/pump</t>
  </si>
  <si>
    <t>2475.225   3500 psi w/pump</t>
  </si>
  <si>
    <t>2475.226   3750 psi w/pump</t>
  </si>
  <si>
    <t>2475.227   4000 psi w/pump</t>
  </si>
  <si>
    <t>2475.228   5000 psi w/pump</t>
  </si>
  <si>
    <t>2475.229   Mix A w/pump</t>
  </si>
  <si>
    <t>2475.23   Mix B w/pump</t>
  </si>
  <si>
    <t>2475.232 Rebar in caissons</t>
  </si>
  <si>
    <t>2475.301 24" bell caisson</t>
  </si>
  <si>
    <t>2475.302 30" bell caisson</t>
  </si>
  <si>
    <t>2475.303 36" bell caisson</t>
  </si>
  <si>
    <t>2475.304 48" bell caisson</t>
  </si>
  <si>
    <t>2475.305 60" bell caisson</t>
  </si>
  <si>
    <t>2475.306 72" bell caisson</t>
  </si>
  <si>
    <t>2475.307 84" bell caisson</t>
  </si>
  <si>
    <t>2475.311 24" straight shaft caisson</t>
  </si>
  <si>
    <t>2475.312 30" straight shaft caisson</t>
  </si>
  <si>
    <t>2475.313 36" straight shaft caisson</t>
  </si>
  <si>
    <t>2475.314 48" straight shaft caisson</t>
  </si>
  <si>
    <t>2475.315 60" straight shaft caisson</t>
  </si>
  <si>
    <t>2475.316 72" straight shaft caisson</t>
  </si>
  <si>
    <t>2475.317 84" straight shaft caisson</t>
  </si>
  <si>
    <t>2475.321 24" bell caisson and casing</t>
  </si>
  <si>
    <t>2475.322 30" bell caisson and casing</t>
  </si>
  <si>
    <t>2475.323 36" bell caisson and casing</t>
  </si>
  <si>
    <t>2475.324 48" bell caisson and casing</t>
  </si>
  <si>
    <t>2475.325 60" bell caisson and casing</t>
  </si>
  <si>
    <t>2475.326 72" bell caisson and casing</t>
  </si>
  <si>
    <t>2475.327 84" bell caisson and casing</t>
  </si>
  <si>
    <t>2475.331 24" shaft caisson and casing</t>
  </si>
  <si>
    <t>2475.332 30" shaft caisson and casing</t>
  </si>
  <si>
    <t>2475.333 36" shaft caisson and casing</t>
  </si>
  <si>
    <t>2475.334 48" shaft caisson and casing</t>
  </si>
  <si>
    <t>2475.335 60" shaft caisson and casing</t>
  </si>
  <si>
    <t>2475.336 72" shaft caisson and casing</t>
  </si>
  <si>
    <t>2475.337 84" shaft caisson and casing</t>
  </si>
  <si>
    <t>2478.012 Clean caisson top</t>
  </si>
  <si>
    <t>2478.015 Protect and cure horizontal caisson top surfaces</t>
  </si>
  <si>
    <t>2479.9 **Length of caisson**</t>
  </si>
  <si>
    <t>2479.901 * No. of caissons *</t>
  </si>
  <si>
    <t>2479.91 ** Casisson concrete **</t>
  </si>
  <si>
    <t>2480.01 Formwork @ footing</t>
  </si>
  <si>
    <t>2480.011 Concrete @ footing</t>
  </si>
  <si>
    <t>2480.02 Rebar @ footing</t>
  </si>
  <si>
    <t>2480.09 Concrete @ wall</t>
  </si>
  <si>
    <t>2480.1 Concrete finish @ wall</t>
  </si>
  <si>
    <t>2480.11 Formwork @ wall</t>
  </si>
  <si>
    <t>2480.12 Rebar @ wall</t>
  </si>
  <si>
    <t>2489.991 * Miscellaneous site foundation area *</t>
  </si>
  <si>
    <t>2500.01 Piping accessories</t>
  </si>
  <si>
    <t>2500.014  Thrust block  1/2"</t>
  </si>
  <si>
    <t>2500.015  Thrust block  3/4"</t>
  </si>
  <si>
    <t>2500.016  Thrust block  1"</t>
  </si>
  <si>
    <t>2500.017  Thrust block  1-1/4"</t>
  </si>
  <si>
    <t>2500.018  Thrust block  1-1/2"</t>
  </si>
  <si>
    <t>2500.019  Thrust block  2"</t>
  </si>
  <si>
    <t>2500.02  Thrust block  2-1/2"</t>
  </si>
  <si>
    <t>2500.021  Thrust block  3"</t>
  </si>
  <si>
    <t>2500.022  Thrust block  3-1/2"</t>
  </si>
  <si>
    <t>2500.023  Thrust block  4"</t>
  </si>
  <si>
    <t>2500.024  Thrust block  5"</t>
  </si>
  <si>
    <t>2500.025  Thrust block  6"</t>
  </si>
  <si>
    <t>2500.026  Thrust block  8"</t>
  </si>
  <si>
    <t>2500.027  Thrust block  10"</t>
  </si>
  <si>
    <t>2500.028  Thrust block  12"</t>
  </si>
  <si>
    <t>2500.029  Thrust block  14"</t>
  </si>
  <si>
    <t>2500.03  Thrust block  16"</t>
  </si>
  <si>
    <t>2500.031  Thrust block  18"</t>
  </si>
  <si>
    <t>2500.032  Thrust block  20"</t>
  </si>
  <si>
    <t>2500.033  Thrust block  22"</t>
  </si>
  <si>
    <t>2500.034  Thrust block  24"</t>
  </si>
  <si>
    <t>2500.035  Thrust block  26"</t>
  </si>
  <si>
    <t>2500.036  Thrust block  28"</t>
  </si>
  <si>
    <t>2500.037  Thrust block  30"</t>
  </si>
  <si>
    <t>2500.038  Thrust block  32"</t>
  </si>
  <si>
    <t>2500.039  Thrust block  34"</t>
  </si>
  <si>
    <t>2500.04  Thrust block  36"</t>
  </si>
  <si>
    <t>2500.041  Thrust block  42"</t>
  </si>
  <si>
    <t>2500.042  Thrust block  48"</t>
  </si>
  <si>
    <t>2500.043  Thrust block  54"</t>
  </si>
  <si>
    <t>2500.044  Thrust block  60"</t>
  </si>
  <si>
    <t>2500.045  Thrust block  66"</t>
  </si>
  <si>
    <t>2500.046  Thrust block  72"</t>
  </si>
  <si>
    <t>2500.047  Thrust block  78"</t>
  </si>
  <si>
    <t>2500.048  Thrust block  84"</t>
  </si>
  <si>
    <t>2500.049  Thrust block  90"</t>
  </si>
  <si>
    <t>2500.05  Thrust block  96"</t>
  </si>
  <si>
    <t>2500.051  Thrust block  102"</t>
  </si>
  <si>
    <t>2500.052  Thrust block  108"</t>
  </si>
  <si>
    <t>2500.053  Thrust block  114"</t>
  </si>
  <si>
    <t>2500.054  Thrust block  120"</t>
  </si>
  <si>
    <t>2500.055  Thrust block  126"</t>
  </si>
  <si>
    <t>2500.056  Thrust block  132"</t>
  </si>
  <si>
    <t>2500.057  Thrust block  138"</t>
  </si>
  <si>
    <t>2500.058  Thrust block  144"</t>
  </si>
  <si>
    <t>2500.059  Thrust block  150"</t>
  </si>
  <si>
    <t>2500.06  Thrust block  156"</t>
  </si>
  <si>
    <t>2501.01 Ductile iron pipe</t>
  </si>
  <si>
    <t>2501.011  4" CL50 PJ         /</t>
  </si>
  <si>
    <t>2501.012  6" CL50 PJ         /</t>
  </si>
  <si>
    <t>2501.013  8" CL50 PJ         /</t>
  </si>
  <si>
    <t>2501.014 10" CL50 PJ         /</t>
  </si>
  <si>
    <t>2501.015 12" CL50 PJ         /</t>
  </si>
  <si>
    <t>2501.016 14" CL50 PJ         /</t>
  </si>
  <si>
    <t>2501.017 16" CL50 PJ         /</t>
  </si>
  <si>
    <t>2501.018 18" CL50 PJ         /</t>
  </si>
  <si>
    <t>2501.019 20" CL50 PJ         /</t>
  </si>
  <si>
    <t>2501.02 24" CL50 PJ         /</t>
  </si>
  <si>
    <t>2501.021 30" CL50 PJ         /</t>
  </si>
  <si>
    <t>2501.022 36" CL50 PJ         /</t>
  </si>
  <si>
    <t>2501.023 42" CL50 PJ         /</t>
  </si>
  <si>
    <t>2501.024 48" CL50 PJ         /</t>
  </si>
  <si>
    <t>2501.025 54" CL50 PJ         /</t>
  </si>
  <si>
    <t>2501.031  4" CL51 PJ         /</t>
  </si>
  <si>
    <t>2501.032  6" CL51 PJ         /</t>
  </si>
  <si>
    <t>2501.033  8" CL51 PJ         /</t>
  </si>
  <si>
    <t>2501.034 10" CL51 PJ         /</t>
  </si>
  <si>
    <t>2501.035 12" CL51 PJ         /</t>
  </si>
  <si>
    <t>2501.036 14" CL51 PJ         /</t>
  </si>
  <si>
    <t>2501.037 16" CL51 PJ         /</t>
  </si>
  <si>
    <t>2501.038 18" CL51 PJ         /</t>
  </si>
  <si>
    <t>2501.039 20" CL51 PJ         /</t>
  </si>
  <si>
    <t>2501.04 24" CL51 PJ         /</t>
  </si>
  <si>
    <t>2501.041 30" CL51 PJ         /</t>
  </si>
  <si>
    <t>2501.042 36" CL51 PJ         /</t>
  </si>
  <si>
    <t>2501.043 42" CL51 PJ         /</t>
  </si>
  <si>
    <t>2501.044 48" CL51 PJ         /</t>
  </si>
  <si>
    <t>2501.045 54" CL51 PJ         /</t>
  </si>
  <si>
    <t>2501.051  4" CL52 PJ         /</t>
  </si>
  <si>
    <t>2501.052  6" CL52 PJ         /</t>
  </si>
  <si>
    <t>2501.053  8" CL52 PJ         /</t>
  </si>
  <si>
    <t>2501.054 10" CL52 PJ         /</t>
  </si>
  <si>
    <t>2501.055 12" CL52 PJ         /</t>
  </si>
  <si>
    <t>2501.056 14" CL52 PJ         /</t>
  </si>
  <si>
    <t>2501.057 16" CL52 PJ         /</t>
  </si>
  <si>
    <t>2501.058 18" CL52 PJ         /</t>
  </si>
  <si>
    <t>2501.059 20" CL52 PJ         /</t>
  </si>
  <si>
    <t>2501.06 24" CL52 PJ         /</t>
  </si>
  <si>
    <t>2501.061 30" CL52 PJ         /</t>
  </si>
  <si>
    <t>2501.062 36" CL52 PJ         /</t>
  </si>
  <si>
    <t>2501.063 42" CL52 PJ         /</t>
  </si>
  <si>
    <t>2501.064 48" CL52 PJ         /</t>
  </si>
  <si>
    <t>2501.065 54" CL52 PJ         /</t>
  </si>
  <si>
    <t>2501.071  4" CL53 PJ         /</t>
  </si>
  <si>
    <t>2501.072  6" CL53 PJ         /</t>
  </si>
  <si>
    <t>2501.073  8" CL53 PJ         /</t>
  </si>
  <si>
    <t>2501.074 10" CL53 PJ         /</t>
  </si>
  <si>
    <t>2501.075 12" CL53 PJ         /</t>
  </si>
  <si>
    <t>2501.076 14" CL53 PJ         /</t>
  </si>
  <si>
    <t>2501.077 16" CL53 PJ         /</t>
  </si>
  <si>
    <t>2501.078 18" CL53 PJ         /</t>
  </si>
  <si>
    <t>2501.079 20" CL53 PJ         /</t>
  </si>
  <si>
    <t>2501.08 24" CL53 PJ         /</t>
  </si>
  <si>
    <t>2501.081 30" CL53 PJ         /</t>
  </si>
  <si>
    <t>2501.082 36" CL53 PJ         /</t>
  </si>
  <si>
    <t>2501.083 42" CL53 PJ         /</t>
  </si>
  <si>
    <t>2501.084 48" CL53 PJ         /</t>
  </si>
  <si>
    <t>2501.085 54" CL53 PJ         /</t>
  </si>
  <si>
    <t>2501.091  4" CL54 PJ         /</t>
  </si>
  <si>
    <t>2501.092  6" CL54 PJ         /</t>
  </si>
  <si>
    <t>2501.093  8" CL54 PJ         /</t>
  </si>
  <si>
    <t>2501.094 10" CL54 PJ         /</t>
  </si>
  <si>
    <t>2501.095 12" CL54 PJ         /</t>
  </si>
  <si>
    <t>2501.096 14" CL54 PJ         /</t>
  </si>
  <si>
    <t>2501.097 16" CL54 PJ         /</t>
  </si>
  <si>
    <t>2501.098 18" CL54 PJ         /</t>
  </si>
  <si>
    <t>2501.099 20" CL54 PJ         /</t>
  </si>
  <si>
    <t>2501.1 24" CL54 PJ         /</t>
  </si>
  <si>
    <t>2501.101 30" CL54 PJ         /</t>
  </si>
  <si>
    <t>2501.102 36" CL54 PJ         /</t>
  </si>
  <si>
    <t>2501.103 42" CL54 PJ         /</t>
  </si>
  <si>
    <t>2501.104 48" CL54 PJ         /</t>
  </si>
  <si>
    <t>2501.105 54" CL54 PJ         /</t>
  </si>
  <si>
    <t>2501.111  4" CL55 PJ         /</t>
  </si>
  <si>
    <t>2501.112  6" CL55 PJ         /</t>
  </si>
  <si>
    <t>2501.113  8" CL55 PJ         /</t>
  </si>
  <si>
    <t>2501.114 10" CL55 PJ         /</t>
  </si>
  <si>
    <t>2501.115 12" CL55 PJ         /</t>
  </si>
  <si>
    <t>2501.116 14" CL55 PJ         /</t>
  </si>
  <si>
    <t>2501.117 16" CL55 PJ         /</t>
  </si>
  <si>
    <t>2501.118 18" CL55 PJ         /</t>
  </si>
  <si>
    <t>2501.119 20" CL55 PJ         /</t>
  </si>
  <si>
    <t>2501.12 24" CL55 PJ         /</t>
  </si>
  <si>
    <t>2501.121 30" CL55 PJ         /</t>
  </si>
  <si>
    <t>2501.122 36" CL55 PJ         /</t>
  </si>
  <si>
    <t>2501.123 42" CL55 PJ         /</t>
  </si>
  <si>
    <t>2501.124 48" CL55 PJ         /</t>
  </si>
  <si>
    <t>2501.125 54" CL55 PJ         /</t>
  </si>
  <si>
    <t>2501.131  4" CL56 PJ         /</t>
  </si>
  <si>
    <t>2501.132  6" CL56 PJ         /</t>
  </si>
  <si>
    <t>2501.133  8" CL56 PJ         /</t>
  </si>
  <si>
    <t>2501.134 10" CL56 PJ         /</t>
  </si>
  <si>
    <t>2501.135 12" CL56 PJ         /</t>
  </si>
  <si>
    <t>2501.136 14" CL56 PJ         /</t>
  </si>
  <si>
    <t>2501.137 16" CL56 PJ         /</t>
  </si>
  <si>
    <t>2501.138 18" CL56 PJ         /</t>
  </si>
  <si>
    <t>2501.139 20" CL56 PJ         /</t>
  </si>
  <si>
    <t>2501.14 24" CL56 PJ         /</t>
  </si>
  <si>
    <t>2501.141 30" CL56 PJ         /</t>
  </si>
  <si>
    <t>2501.142 36" CL56 PJ         /</t>
  </si>
  <si>
    <t>2501.15 DI adder for MJ joint  4"</t>
  </si>
  <si>
    <t>2501.151 DI adder for MJ joint  6"</t>
  </si>
  <si>
    <t>2501.152 DI adder for MJ joint  8"</t>
  </si>
  <si>
    <t>2501.153 DI adder for MJ joint 10"</t>
  </si>
  <si>
    <t>2501.154 DI adder for MJ joint 12"</t>
  </si>
  <si>
    <t>2501.155 DI adder for MJ joint 14"</t>
  </si>
  <si>
    <t>2501.156 DI adder for MJ joint 16"</t>
  </si>
  <si>
    <t>2501.157 DI adder for MJ joint 18"</t>
  </si>
  <si>
    <t>2501.158 DI adder for MJ joint 20"</t>
  </si>
  <si>
    <t>2501.159 DI adder for MJ joint 24"</t>
  </si>
  <si>
    <t>2501.16 DI adder for MJ joint 30"</t>
  </si>
  <si>
    <t>2501.161 DI adder for MJ joint 36"</t>
  </si>
  <si>
    <t>2501.162 DI adder for MJ joint 42"</t>
  </si>
  <si>
    <t>2501.163 DI adder for MJ joint 48"</t>
  </si>
  <si>
    <t>2501.164 DI adder for MJ joint 54"</t>
  </si>
  <si>
    <t>2501.17 DI adder for restrained jt  4"</t>
  </si>
  <si>
    <t>2501.171 DI adder for restrained jt  6"</t>
  </si>
  <si>
    <t>2501.172 DI adder for restrained jt  8"</t>
  </si>
  <si>
    <t>2501.173 DI adder for restrained jt 10"</t>
  </si>
  <si>
    <t>2501.174 DI adder for restrained joint 12"</t>
  </si>
  <si>
    <t>2501.175 DI adder for restrained jt 14"</t>
  </si>
  <si>
    <t>2501.176 DI adder for restrained jt 16"</t>
  </si>
  <si>
    <t>2501.177 DI adder for restrained jt 18"</t>
  </si>
  <si>
    <t>2501.178 DI adder for restrained jt 20"</t>
  </si>
  <si>
    <t>2501.179 DI adder for restrained joint 24"</t>
  </si>
  <si>
    <t>2501.18 DI adder for restrained jt 30"</t>
  </si>
  <si>
    <t>2501.181 DI adder for restrained jt 36"</t>
  </si>
  <si>
    <t>2501.182 DI adder for restrained jt 42"</t>
  </si>
  <si>
    <t>2501.183 DI adder for restrained jt 48"</t>
  </si>
  <si>
    <t>2501.184 DI adder for restrained jt 54"</t>
  </si>
  <si>
    <t>2501.19 DI adder for grooved joint  4"</t>
  </si>
  <si>
    <t>2501.191 DI adder for grooved joint  6"</t>
  </si>
  <si>
    <t>2501.192 DI adder for grooved joint  8"</t>
  </si>
  <si>
    <t>2501.193 DI adder for grooved joint 10"</t>
  </si>
  <si>
    <t>2501.194 DI adder for grooved joint 12"</t>
  </si>
  <si>
    <t>2501.195 DI adder for grooved joint 14"</t>
  </si>
  <si>
    <t>2501.196 DI adder for grooved joint 16"</t>
  </si>
  <si>
    <t>2501.197 DI adder for grooved joint 18"</t>
  </si>
  <si>
    <t>2501.198 DI adder for grooved joint 20"</t>
  </si>
  <si>
    <t>2501.199 DI adder for grooved joint 24"</t>
  </si>
  <si>
    <t>2501.21 DI adder for flanged joint  4"</t>
  </si>
  <si>
    <t>2501.211 DI adder for flanged joint  6"</t>
  </si>
  <si>
    <t>2501.212 DI adder for flanged joint  8"</t>
  </si>
  <si>
    <t>2501.213 DI adder for flanged joint 10"</t>
  </si>
  <si>
    <t>2501.214 DI adder for flanged joint 12"</t>
  </si>
  <si>
    <t>2501.215 DI adder for flanged joint 14"</t>
  </si>
  <si>
    <t>2501.216 DI adder for flanged joint 16"</t>
  </si>
  <si>
    <t>2501.217 DI adder for flanged joint 18"</t>
  </si>
  <si>
    <t>2501.218 DI adder for flanged joint 20"</t>
  </si>
  <si>
    <t>2501.219 DI adder for flanged joint 24"</t>
  </si>
  <si>
    <t>2501.225 DI adder for glass lining  4"</t>
  </si>
  <si>
    <t>2501.226 DI adder for glass lining  6"</t>
  </si>
  <si>
    <t>2501.227 DI adder for glass lining  8"</t>
  </si>
  <si>
    <t>2501.228 DI adder for glass lining 10"</t>
  </si>
  <si>
    <t>2501.229 DI adder for glass lining 12"</t>
  </si>
  <si>
    <t>2501.23 DI adder for glass lining 14"</t>
  </si>
  <si>
    <t>2501.231 DI adder for glass lining 16"</t>
  </si>
  <si>
    <t>2501.232 DI adder for glass lining 18"</t>
  </si>
  <si>
    <t>2501.233 DI adder for glass lining 20"</t>
  </si>
  <si>
    <t>2501.234 DI adder for glass lining 24"</t>
  </si>
  <si>
    <t>2501.235 DI adder for glass lining 30"</t>
  </si>
  <si>
    <t>2501.236 DI adder for glass lining 36"</t>
  </si>
  <si>
    <t>2501.237 DI adder for glass lining 42"</t>
  </si>
  <si>
    <t>2501.238 DI adder for glass lining 48"</t>
  </si>
  <si>
    <t>2501.239 DI adder for glass lining 54"</t>
  </si>
  <si>
    <t>2501.711 4" non-reinforced conc pipe</t>
  </si>
  <si>
    <t>2501.712 6" non-reinforced conc pipe</t>
  </si>
  <si>
    <t>2501.713 8" non-reinforced conc pipe</t>
  </si>
  <si>
    <t>2501.714 10" non-reinforced conc pipe</t>
  </si>
  <si>
    <t>2501.715 12" non-reinforced conc pipe</t>
  </si>
  <si>
    <t>2501.716 15" non-reinforced conc pipe</t>
  </si>
  <si>
    <t>2501.717 18" non-reinforced conc pipe</t>
  </si>
  <si>
    <t>2501.718 21" non-reinforced conc pipe</t>
  </si>
  <si>
    <t>2501.719 24" non-reinforced conc pipe</t>
  </si>
  <si>
    <t>2501.76 12" reinforced concrete pipe</t>
  </si>
  <si>
    <t>2501.761 15" reinforced concrete pipe</t>
  </si>
  <si>
    <t>2501.762 18" reinforced concrete pipe</t>
  </si>
  <si>
    <t>2501.763 21" reinforced concrete pipe</t>
  </si>
  <si>
    <t>2501.764 24" reinforced concrete pipe</t>
  </si>
  <si>
    <t>2501.765 27" reinforced concrete pipe</t>
  </si>
  <si>
    <t>2501.766 30" reinforced concrete pipe</t>
  </si>
  <si>
    <t>2501.767 33" reinforced concrete pipe</t>
  </si>
  <si>
    <t>2501.768 36" reinforced concrete pipe</t>
  </si>
  <si>
    <t>2501.769 42" reinforced concrete pipe</t>
  </si>
  <si>
    <t>2501.77 48" reinforced concrete pipe</t>
  </si>
  <si>
    <t>2501.771 54" reinforced concrete pipe</t>
  </si>
  <si>
    <t>2501.772 60" reinforced concrete pipe</t>
  </si>
  <si>
    <t>2501.773 72" reinforced concrete pipe</t>
  </si>
  <si>
    <t>2501.774 84" reinforced concrete pipe</t>
  </si>
  <si>
    <t>2501.775 96" reinforced concrete pipe</t>
  </si>
  <si>
    <t>2501.776 108" reinforced concrete pipe</t>
  </si>
  <si>
    <t>2501.811 4" vitrified clay pipe</t>
  </si>
  <si>
    <t>2501.812 6" vitrified clay pipe</t>
  </si>
  <si>
    <t>2501.813 8" vitrified clay pipe</t>
  </si>
  <si>
    <t>2501.814 10" vitrified clay pipe</t>
  </si>
  <si>
    <t>2501.815 12" vitrified clay pipe</t>
  </si>
  <si>
    <t>2501.816 15" vitrified clay pipe</t>
  </si>
  <si>
    <t>2501.817 18" vitrified clay pipe</t>
  </si>
  <si>
    <t>2501.818 21" vitrified clay pipe</t>
  </si>
  <si>
    <t>2501.819 24" vitrified clay pipe</t>
  </si>
  <si>
    <t>2501.82 27" vitrified clay pipe</t>
  </si>
  <si>
    <t>2501.821 30" vitrified clay pipe</t>
  </si>
  <si>
    <t>2501.822 36" vitrified clay pipe</t>
  </si>
  <si>
    <t>2501.861 4" perf vitrified clay pipe</t>
  </si>
  <si>
    <t>2501.862 6" perf vitrified clay pipe</t>
  </si>
  <si>
    <t>2501.863 8" perf vitrified clay pipe</t>
  </si>
  <si>
    <t>2501.864 10" perf vitrified clay pipe</t>
  </si>
  <si>
    <t>2501.865 12" perf vitrified clay pipe</t>
  </si>
  <si>
    <t>2501.871 4" X heavy vitrified clay pipe</t>
  </si>
  <si>
    <t>2501.872 6" X heavy vitrified clay pipe</t>
  </si>
  <si>
    <t>2501.873 8" X heavy vitrified clay pipe</t>
  </si>
  <si>
    <t>2501.874 10" X heavy vitrified clay pipe</t>
  </si>
  <si>
    <t>2501.875 12" X heavy vitrified clay pipe</t>
  </si>
  <si>
    <t>2501.876 15" X heavy vitrified clay pipe</t>
  </si>
  <si>
    <t>2501.877 18" X heavy vitrified clay pipe</t>
  </si>
  <si>
    <t>2501.878 21" X heavy vitrified clay pipe</t>
  </si>
  <si>
    <t>2501.879 24" X heavy vitrified clay pipe</t>
  </si>
  <si>
    <t>2501.88 30" X heavy vitrified clay pipe</t>
  </si>
  <si>
    <t>2501.881 36" X heavy vitrified clay pipe</t>
  </si>
  <si>
    <t>2501.911 4" PVC pipe</t>
  </si>
  <si>
    <t>2501.912 6" PVC pipe</t>
  </si>
  <si>
    <t>2501.913 8" PVC pipe</t>
  </si>
  <si>
    <t>2501.914 10" PVC pipe</t>
  </si>
  <si>
    <t>2501.915 12" PVC pipe</t>
  </si>
  <si>
    <t>2501.916 15" PVC pipe</t>
  </si>
  <si>
    <t>2501.917 18" PVC pipe</t>
  </si>
  <si>
    <t>2501.918 21" PVC pipe</t>
  </si>
  <si>
    <t>2501.919 24" PVC pipe</t>
  </si>
  <si>
    <t>2501.92 27" PVC pipe</t>
  </si>
  <si>
    <t>2502.101 4" perforated PVC pipe</t>
  </si>
  <si>
    <t>2502.102 6" perforated PVC pipe</t>
  </si>
  <si>
    <t>2502.103 8" perforated PVC pipe</t>
  </si>
  <si>
    <t>2502.104 10" perforated PVC pipe</t>
  </si>
  <si>
    <t>2502.105 12" perforated PVC pipe</t>
  </si>
  <si>
    <t>2502.201 4' DIameter brick manhole</t>
  </si>
  <si>
    <t>2502.202 4' DIameter block manhole</t>
  </si>
  <si>
    <t>2502.203 CIP concrete manhole</t>
  </si>
  <si>
    <t>2502.204 4' DIameter precast manhole</t>
  </si>
  <si>
    <t>2502.205 5' DIameter precast manhole</t>
  </si>
  <si>
    <t>2502.206 6' DIameter precast manhole</t>
  </si>
  <si>
    <t>2502.21 * No. of manholes and catchbasins *</t>
  </si>
  <si>
    <t>2502.251 18" 100# lt duty MH cvr/frm</t>
  </si>
  <si>
    <t>2502.252 24" 300# lt duty MH cvr/frm</t>
  </si>
  <si>
    <t>2502.253 36" 900# lt duty MH cvr/frm</t>
  </si>
  <si>
    <t>2502.261 24" 400# hvy duty MH cvr/frm</t>
  </si>
  <si>
    <t>2502.262 36" 1150# hvy duty MH cvr/frm</t>
  </si>
  <si>
    <t>2502.271 18" 100# std MH cvr/frm</t>
  </si>
  <si>
    <t>2502.272 20" 200# std MH cvr/frm</t>
  </si>
  <si>
    <t>2502.273 24" 350# std MH cvr/frm</t>
  </si>
  <si>
    <t>2502.274 26" 475# std MH cvr/frm</t>
  </si>
  <si>
    <t>2502.275 30" 620# std MH cvr/frm</t>
  </si>
  <si>
    <t>2502.281 20" 200# wtr tight MH cvr/frm</t>
  </si>
  <si>
    <t>2502.282 24" 350# wtr tight MH cvr/frm</t>
  </si>
  <si>
    <t>2502.283 26" 500# wtr tight MH cvr/frm</t>
  </si>
  <si>
    <t>2502.284 32" 575# wtr tight MH cvr/frm</t>
  </si>
  <si>
    <t>2502.5 Steel pipe A36</t>
  </si>
  <si>
    <t>2502.51   1" Sch10 BW</t>
  </si>
  <si>
    <t>2502.511   2" Sch10 BW</t>
  </si>
  <si>
    <t>2502.512   4" Sch10 BW</t>
  </si>
  <si>
    <t>2502.513   6" Sch10 BW</t>
  </si>
  <si>
    <t>2502.514   8" Sch10 BW</t>
  </si>
  <si>
    <t>2502.515  10" Sch10 BW</t>
  </si>
  <si>
    <t>2502.516  14" Sch10 BW</t>
  </si>
  <si>
    <t>2502.517  16" Sch10 BW</t>
  </si>
  <si>
    <t>2502.518  30" Sch10 BW</t>
  </si>
  <si>
    <t>2502.519  36" Sch10 BW</t>
  </si>
  <si>
    <t>2502.52   8" Sch20 BW</t>
  </si>
  <si>
    <t>2502.521  10" Sch20 BW</t>
  </si>
  <si>
    <t>2502.522  12" Sch20 BW</t>
  </si>
  <si>
    <t>2502.523  14" Sch20 BW</t>
  </si>
  <si>
    <t>2502.524  16" Sch20 BW</t>
  </si>
  <si>
    <t>2502.525  18" Sch20 BW</t>
  </si>
  <si>
    <t>2502.526  20" Sch20 BW</t>
  </si>
  <si>
    <t>2502.527  24" Sch20 BW</t>
  </si>
  <si>
    <t>2502.528  30" Sch20 BW</t>
  </si>
  <si>
    <t>2502.529  36" Sch20 BW</t>
  </si>
  <si>
    <t>2502.53   1" stdwt BW</t>
  </si>
  <si>
    <t>2502.531   2" stdwt BW</t>
  </si>
  <si>
    <t>2502.532   4" stdwt BW</t>
  </si>
  <si>
    <t>2502.533   6" stdwt BW</t>
  </si>
  <si>
    <t>2502.534   8" stdwt BW</t>
  </si>
  <si>
    <t>2502.535  10" stdwt BW</t>
  </si>
  <si>
    <t>2502.536  12" stdwt BW</t>
  </si>
  <si>
    <t>2502.537  14" stdwt BW</t>
  </si>
  <si>
    <t>2502.538  16" stdwt BW</t>
  </si>
  <si>
    <t>2502.539  18" stdwt BW</t>
  </si>
  <si>
    <t>2502.54  20" stdwt BW</t>
  </si>
  <si>
    <t>2502.541  24" stdwt BW</t>
  </si>
  <si>
    <t>2502.542  30" stdwt BW</t>
  </si>
  <si>
    <t>2502.543  36" stdwt BW</t>
  </si>
  <si>
    <t>2502.544  42" stdwt BW</t>
  </si>
  <si>
    <t>2502.545  48" stdwt BW</t>
  </si>
  <si>
    <t>2502.546  54" stdwt BW</t>
  </si>
  <si>
    <t>2502.547  60" stdwt BW</t>
  </si>
  <si>
    <t>2502.548  66" stdwt BW</t>
  </si>
  <si>
    <t>2502.549  72" stdwt BW</t>
  </si>
  <si>
    <t>2502.55  78" stdwt BW</t>
  </si>
  <si>
    <t>2502.551  84" stdwt BW</t>
  </si>
  <si>
    <t>2502.552  90" stdwt BW</t>
  </si>
  <si>
    <t>2502.553  96" stdwt BW</t>
  </si>
  <si>
    <t>2502.554 102" stdwt BW</t>
  </si>
  <si>
    <t>2502.555 108" stdwt BW</t>
  </si>
  <si>
    <t>2502.556 120" stdwt BW</t>
  </si>
  <si>
    <t>2502.557 144" stdwt BW</t>
  </si>
  <si>
    <t>2502.56   1" Sch40 BW</t>
  </si>
  <si>
    <t>2502.561   2" Sch40 BW</t>
  </si>
  <si>
    <t>2502.562   4" Sch40 BW</t>
  </si>
  <si>
    <t>2502.563   6" Sch40 BW</t>
  </si>
  <si>
    <t>2502.564   8" Sch40 BW</t>
  </si>
  <si>
    <t>2502.565  10" Sch40 BW</t>
  </si>
  <si>
    <t>2502.566  12" Sch40 BW</t>
  </si>
  <si>
    <t>2502.567  14" Sch40 BW</t>
  </si>
  <si>
    <t>2502.568  16" Sch40 BW</t>
  </si>
  <si>
    <t>2502.569  18" Sch40 BW</t>
  </si>
  <si>
    <t>2502.57  20" Sch40 BW</t>
  </si>
  <si>
    <t>2502.571  24" Sch40 BW</t>
  </si>
  <si>
    <t>2502.572  36" Sch40 BW</t>
  </si>
  <si>
    <t>2502.58   1" Sch80 BW</t>
  </si>
  <si>
    <t>2502.581   2" Sch80 BW</t>
  </si>
  <si>
    <t>2502.582   4" Sch40 BW</t>
  </si>
  <si>
    <t>2502.583   8" Sch40 BW</t>
  </si>
  <si>
    <t>2502.584  10" Sch40 BW</t>
  </si>
  <si>
    <t>2502.585  12" Sch40 BW</t>
  </si>
  <si>
    <t>2502.586  14" Sch40 BW</t>
  </si>
  <si>
    <t>2502.587  16" Sch40 BW</t>
  </si>
  <si>
    <t>2502.588  18" Sch40 BW</t>
  </si>
  <si>
    <t>2502.589  20" Sch40 BW</t>
  </si>
  <si>
    <t>2502.59  24" Sch40 BW</t>
  </si>
  <si>
    <t>2502.6   1" Sh160 BW</t>
  </si>
  <si>
    <t>2502.601   2" Sh160 BW</t>
  </si>
  <si>
    <t>2502.602   4" Sh160 BW</t>
  </si>
  <si>
    <t>2502.603   6" Sh160 BW</t>
  </si>
  <si>
    <t>2502.604   8" Sh160 BW</t>
  </si>
  <si>
    <t>2502.605  10" Sh160 BW</t>
  </si>
  <si>
    <t>2502.606  12" Sch160 BW</t>
  </si>
  <si>
    <t>2502.607  14" Sh160 BW</t>
  </si>
  <si>
    <t>2502.608  16"Sch160 BW</t>
  </si>
  <si>
    <t>2502.609  18" Sch160 BW</t>
  </si>
  <si>
    <t>2502.61  20" Sch160 BW</t>
  </si>
  <si>
    <t>2502.611  24" Sch160 BW</t>
  </si>
  <si>
    <t>2502.62   1" X heavyweight   BW</t>
  </si>
  <si>
    <t>2502.621   2" X heavyweight   BW</t>
  </si>
  <si>
    <t>2502.622   4" X heavyweight   BW</t>
  </si>
  <si>
    <t>2502.623   8" X heavyweight   BW</t>
  </si>
  <si>
    <t>2502.624  10" X heavyweight   BW</t>
  </si>
  <si>
    <t>2502.625  12" X heavyweight   BW</t>
  </si>
  <si>
    <t>2502.626  14" X heavyweight   BW</t>
  </si>
  <si>
    <t>2502.627  16" X heavyweight   BW</t>
  </si>
  <si>
    <t>2502.628  18" X heavyweight   BW</t>
  </si>
  <si>
    <t>2502.629  20" X heavyweight   BW</t>
  </si>
  <si>
    <t>2502.63  24" X heavyweight   BW</t>
  </si>
  <si>
    <t>2502.631  30" X heavyweight   BW</t>
  </si>
  <si>
    <t>2502.632  36" X heavyweight   BW</t>
  </si>
  <si>
    <t>2502.633  42" X heavyweight   BW</t>
  </si>
  <si>
    <t>2502.634  48" X heavyweight   BW</t>
  </si>
  <si>
    <t>2502.635  54" X heavyweight   BW</t>
  </si>
  <si>
    <t>2502.636  60" X heavyweight   BW</t>
  </si>
  <si>
    <t>2502.637  66" X heavyweight   BW</t>
  </si>
  <si>
    <t>2502.638  72" X heavyweight   BW</t>
  </si>
  <si>
    <t>2502.639  78" X heavyweight   BW</t>
  </si>
  <si>
    <t>2502.64  84" X heavyweight   BW</t>
  </si>
  <si>
    <t>2502.641  90" X heavyweight   BW</t>
  </si>
  <si>
    <t>2502.642  96" X heavyweight   BW</t>
  </si>
  <si>
    <t>2502.643 102" X heavyweight   BW</t>
  </si>
  <si>
    <t>2502.644 108" X heavyweight   BW</t>
  </si>
  <si>
    <t>2502.645 120" X heavyweight   BW</t>
  </si>
  <si>
    <t>2502.646 144" X heavyweight   BW</t>
  </si>
  <si>
    <t>2502.65 Add for tape coat 50 mil-   1"</t>
  </si>
  <si>
    <t>2502.651 Add for tape coat 50 mil-   2"</t>
  </si>
  <si>
    <t>2502.652 Add for tape coat 50 mil-   4"</t>
  </si>
  <si>
    <t>2502.653 Add for tape coat 50 mil-   6"</t>
  </si>
  <si>
    <t>2502.654 Add for tape coat 50 mil-   8"</t>
  </si>
  <si>
    <t>2502.655 Add for tape coat 50 mil-  10"</t>
  </si>
  <si>
    <t>2502.656 Add for tape coat 50 mil-  12"</t>
  </si>
  <si>
    <t>2502.657 Add for tape coat 50 mil-  14"</t>
  </si>
  <si>
    <t>2502.658 Add for tape coat 50 mil-  16"</t>
  </si>
  <si>
    <t>2502.659 Add for tape coat 50 mil-  18"</t>
  </si>
  <si>
    <t>2502.66 Add for tape coat 50 mil-  20"</t>
  </si>
  <si>
    <t>2502.661 Add for tape coat 50 mil-  24"</t>
  </si>
  <si>
    <t>2502.662 Add for tape coat 50 mil-  30"</t>
  </si>
  <si>
    <t>2502.663 Add for tape coat 50 mil-  36"</t>
  </si>
  <si>
    <t>2502.664 Add for tape coat 50 mil-  42"</t>
  </si>
  <si>
    <t>2502.665 Add for tape coat 50 mil-  48"</t>
  </si>
  <si>
    <t>2502.666 Add for tape coat 50 mil-  54"</t>
  </si>
  <si>
    <t>2502.667 Add for tape coat 50 mil-  60"</t>
  </si>
  <si>
    <t>2502.668 Add for tape coat 50 mil-  66"</t>
  </si>
  <si>
    <t>2502.669 Add for tape coat 50 mil-  72"</t>
  </si>
  <si>
    <t>2502.67 Add for tape coat 50 mil-  78"</t>
  </si>
  <si>
    <t>2502.671 Add for tape coat 50 mil-  84"</t>
  </si>
  <si>
    <t>2502.672 Add for tape coat 50 mil-  90"</t>
  </si>
  <si>
    <t>2502.673 Add for tape coat 50 mil-  96"</t>
  </si>
  <si>
    <t>2502.674 Add for tape coat 50 mil- 102"</t>
  </si>
  <si>
    <t>2502.675 Add for tape coat 50 mil- 108"</t>
  </si>
  <si>
    <t>2502.676 Add for tape coat 50 mil- 120"</t>
  </si>
  <si>
    <t>2502.677 Add for tape coat 50 mil- 144"</t>
  </si>
  <si>
    <t>2502.68 Add for tape coat 80 mil-   1"</t>
  </si>
  <si>
    <t>2502.681 Add for tape coat 80 mil-   2"</t>
  </si>
  <si>
    <t>2502.682 Add for tape coat 80 mil-   4"</t>
  </si>
  <si>
    <t>2502.683 Add for tape coat 80 mil-   6"</t>
  </si>
  <si>
    <t>2502.684 Add for tape coat 80 mil-   8"</t>
  </si>
  <si>
    <t>2502.685 Add for tape coat 80 mil-  10"</t>
  </si>
  <si>
    <t>2502.686 Add for tape coat 80 mil-  12"</t>
  </si>
  <si>
    <t>2502.687 Add for tape coat 80 mil-  14"</t>
  </si>
  <si>
    <t>2502.688 Add for tape coat 80 mil-  16"</t>
  </si>
  <si>
    <t>2502.689 Add for tape coat 80 mil-  18"</t>
  </si>
  <si>
    <t>2502.69 Add for tape coat 80 mil-  20"</t>
  </si>
  <si>
    <t>2502.691 Add for tape coat 80 mil-  24"</t>
  </si>
  <si>
    <t>2502.692 Add for tape coat 80 mil-  30"</t>
  </si>
  <si>
    <t>2502.693 Add for tape coat 80 mil-  36"</t>
  </si>
  <si>
    <t>2502.694 Add for tape coat 80 mil-  42"</t>
  </si>
  <si>
    <t>2502.695 Add for tape coat 80 mil-  48"</t>
  </si>
  <si>
    <t>2502.696 Add for tape coat 80 mil-  54"</t>
  </si>
  <si>
    <t>2502.697 Add for tape coat 80 mil-  60"</t>
  </si>
  <si>
    <t>2502.698 Add for tape coat 80 mil-  66"</t>
  </si>
  <si>
    <t>2502.699 Add for tape coat 80 mil-  72"</t>
  </si>
  <si>
    <t>2502.7 Add for tape coat 80 mil-  78"</t>
  </si>
  <si>
    <t>2502.701 Add for tape coat 80 mil-  84"</t>
  </si>
  <si>
    <t>2502.702 Add for tape coat 80 mil-  90"</t>
  </si>
  <si>
    <t>2502.703 Add for tape coat 80 mil-  96"</t>
  </si>
  <si>
    <t>2502.704 Add for tape coat 80 mil- 102"</t>
  </si>
  <si>
    <t>2502.705 Add for tape coat 80 mil- 108"</t>
  </si>
  <si>
    <t>2502.706 Add for tape coat 80 mil- 120"</t>
  </si>
  <si>
    <t>2502.707 Add for tape coat 80 mil- 144"</t>
  </si>
  <si>
    <t>2502.71 Add for CTE coating -   1"</t>
  </si>
  <si>
    <t>2502.711 Add for CTE coating -   2"</t>
  </si>
  <si>
    <t>2502.712 Add for CTE coating -   4"</t>
  </si>
  <si>
    <t>2502.713 Add for CTE coating -   6"</t>
  </si>
  <si>
    <t>2502.714 Add for CTE coating -   8"</t>
  </si>
  <si>
    <t>2502.715 Add for CTE coating -  10"</t>
  </si>
  <si>
    <t>2502.716 Add for CTE coating -  12"</t>
  </si>
  <si>
    <t>2502.717 Add for CTE coating -  14"</t>
  </si>
  <si>
    <t>2502.718 Add for CTE coating -  16"</t>
  </si>
  <si>
    <t>2502.719 Add for CTE coating -  18"</t>
  </si>
  <si>
    <t>2502.72 Add for CTE coating -  20"</t>
  </si>
  <si>
    <t>2502.721 Add for CTE coating -  24"</t>
  </si>
  <si>
    <t>2502.722 Add for CTE coating -  30"</t>
  </si>
  <si>
    <t>2502.723 Add for CTE coating -  36"</t>
  </si>
  <si>
    <t>2502.724 Add for CTE coating -  42"</t>
  </si>
  <si>
    <t>2502.725 Add for CTE coating -  48"</t>
  </si>
  <si>
    <t>2502.726 Add for CTE coating -  54"</t>
  </si>
  <si>
    <t>2502.727 Add for CTE coating -  60"</t>
  </si>
  <si>
    <t>2502.728 Add for CTE coating -  66"</t>
  </si>
  <si>
    <t>2502.729 Add for CTE coating -  72"</t>
  </si>
  <si>
    <t>2502.73 Add for CTE coating -  78"</t>
  </si>
  <si>
    <t>2502.731 Add for CTE coating -  84"</t>
  </si>
  <si>
    <t>2502.732 Add for CTE coating -  90"</t>
  </si>
  <si>
    <t>2502.733 Add for CTE coating -  96"</t>
  </si>
  <si>
    <t>2502.734 Add for CTE coating - 102"</t>
  </si>
  <si>
    <t>2502.735 Add for CTE coating - 108"</t>
  </si>
  <si>
    <t>2502.736 Add for CTE coating - 120"</t>
  </si>
  <si>
    <t>2502.737 Add for CTE coating - 144"</t>
  </si>
  <si>
    <t>2502.74 Add for CTE lining -   1"</t>
  </si>
  <si>
    <t>2502.741 Add for CTE lining -   2"</t>
  </si>
  <si>
    <t>2502.742 Add for CTE lining -   4"</t>
  </si>
  <si>
    <t>2502.743 Add for CTE lining -   6"</t>
  </si>
  <si>
    <t>2502.744 Add for CTE lining -   8"</t>
  </si>
  <si>
    <t>2502.745 Add for CTE lining -  10"</t>
  </si>
  <si>
    <t>2502.746 Add for CTE lining -  12"</t>
  </si>
  <si>
    <t>2502.747 Add for CTE lining -  14"</t>
  </si>
  <si>
    <t>2502.748 Add for CTE lining -  16"</t>
  </si>
  <si>
    <t>2502.749 Add for CTE lining -  18"</t>
  </si>
  <si>
    <t>2502.75 Add for CTE lining -  20"</t>
  </si>
  <si>
    <t>2502.751 Add for CTE lining -  24"</t>
  </si>
  <si>
    <t>2502.752 Add for CTE lining -  30"</t>
  </si>
  <si>
    <t>2502.753 Add for CTE lining -  36"</t>
  </si>
  <si>
    <t>2502.754 Add for CTE lining -  42"</t>
  </si>
  <si>
    <t>2502.755 Add for CTE lining -  48"</t>
  </si>
  <si>
    <t>2502.756 Add for CTE lining -  54"</t>
  </si>
  <si>
    <t>2502.757 Add for CTE lining -  60"</t>
  </si>
  <si>
    <t>2502.758 Add for CTE lining -  66"</t>
  </si>
  <si>
    <t>2502.759 Add for CTE lining -  72"</t>
  </si>
  <si>
    <t>2502.76 Add for CTE lining -  78"</t>
  </si>
  <si>
    <t>2502.761 Add for CTE lining -  84"</t>
  </si>
  <si>
    <t>2502.762 Add for CTE lining -  90"</t>
  </si>
  <si>
    <t>2502.763 Add for CTE lining -  96"</t>
  </si>
  <si>
    <t>2502.764 Add for CTE lining - 102"</t>
  </si>
  <si>
    <t>2502.765 Add for CTE lining - 108"</t>
  </si>
  <si>
    <t>2502.766 Add for CTE lining - 120"</t>
  </si>
  <si>
    <t>2502.767 Add for CTE lining - 144"</t>
  </si>
  <si>
    <t>2502.77 Add for cement coating -   1"</t>
  </si>
  <si>
    <t>2502.771 Add for cement coating -   2"</t>
  </si>
  <si>
    <t>2502.772 Add for cement coating -   4"</t>
  </si>
  <si>
    <t>2502.773 Add for cement coating -   6"</t>
  </si>
  <si>
    <t>2502.774 Add for cement coating -   8"</t>
  </si>
  <si>
    <t>2502.775 Add for cement coating -  10"</t>
  </si>
  <si>
    <t>2502.776 Add for cement coating -  12"</t>
  </si>
  <si>
    <t>2502.777 Add for cement coating -  14"</t>
  </si>
  <si>
    <t>2502.778 Add for cement coating -  16"</t>
  </si>
  <si>
    <t>2502.779 Add for cement coating -  18"</t>
  </si>
  <si>
    <t>2502.78 Add for cement coating -  20"</t>
  </si>
  <si>
    <t>2502.781 Add for cement coating -  24"</t>
  </si>
  <si>
    <t>2502.782 Add for cement coating -  30"</t>
  </si>
  <si>
    <t>2502.783 Add for cement coating -  36"</t>
  </si>
  <si>
    <t>2502.784 Add for cement coating -  42"</t>
  </si>
  <si>
    <t>2502.785 Add for cement coating -  48"</t>
  </si>
  <si>
    <t>2502.786 Add for cement coating -  54"</t>
  </si>
  <si>
    <t>2502.787 Add for cement coating -  60"</t>
  </si>
  <si>
    <t>2502.788 Add for cement coating -  66"</t>
  </si>
  <si>
    <t>2502.789 Add for cement coating -  72"</t>
  </si>
  <si>
    <t>2502.79 Add for cement coating -  78"</t>
  </si>
  <si>
    <t>2502.791 Add for cement coating -  84"</t>
  </si>
  <si>
    <t>2502.792 Add for cement coating -  90"</t>
  </si>
  <si>
    <t>2502.793 Add for cement coating -  96"</t>
  </si>
  <si>
    <t>2502.794 Add for cement coating - 102"</t>
  </si>
  <si>
    <t>2502.795 Add for cement coating - 108"</t>
  </si>
  <si>
    <t>2502.796 Add for cement coating - 120"</t>
  </si>
  <si>
    <t>2502.797 Add for cement coating - 144"</t>
  </si>
  <si>
    <t>2502.8 Add for cement lining -   1"</t>
  </si>
  <si>
    <t>2502.801 Add for cement lining -   2"</t>
  </si>
  <si>
    <t>2502.802 Add for cement lining -   4"</t>
  </si>
  <si>
    <t>2502.803 Add for cement lining -   6"</t>
  </si>
  <si>
    <t>2502.804 Add for cement lining -   8"</t>
  </si>
  <si>
    <t>2502.805 Add for cement lining -  10"</t>
  </si>
  <si>
    <t>2502.806 Add for cement lining -  12"</t>
  </si>
  <si>
    <t>2502.807 Add for cement lining -  14"</t>
  </si>
  <si>
    <t>2502.808 Add for cement lining -  16"</t>
  </si>
  <si>
    <t>2502.809 Add for cement lining -  18"</t>
  </si>
  <si>
    <t>2502.81 Add for cement lining -  20"</t>
  </si>
  <si>
    <t>2502.811 Add for cement lining -  24"</t>
  </si>
  <si>
    <t>2502.812 Add for cement lining -  30"</t>
  </si>
  <si>
    <t>2502.813 Add for cement lining -  36"</t>
  </si>
  <si>
    <t>2502.814 Add for cement lining -  42"</t>
  </si>
  <si>
    <t>2502.815 Add for cement lining -  48"</t>
  </si>
  <si>
    <t>2502.816 Add for cement lining -  54"</t>
  </si>
  <si>
    <t>2502.817 Add for cement lining -  60"</t>
  </si>
  <si>
    <t>2502.818 Add for cement lining -  66"</t>
  </si>
  <si>
    <t>2502.819 Add for cement lining -  72"</t>
  </si>
  <si>
    <t>2502.82 Add for cement lining -  78"</t>
  </si>
  <si>
    <t>2502.821 Add for cement lining -  84"</t>
  </si>
  <si>
    <t>2502.822 Add for cement lining -  90"</t>
  </si>
  <si>
    <t>2502.823 Add for cement lining -  96"</t>
  </si>
  <si>
    <t>2502.824 Add for cement lining - 102"</t>
  </si>
  <si>
    <t>2502.825 Add for cement lining - 108"</t>
  </si>
  <si>
    <t>2502.826 Add for cement lining - 120"</t>
  </si>
  <si>
    <t>2502.827 Add for cement lining - 144"</t>
  </si>
  <si>
    <t>2502.83 Add for epoxy paint -   1"</t>
  </si>
  <si>
    <t>2502.831 Add for epoxy paint -   2"</t>
  </si>
  <si>
    <t>2502.832 Add for epoxy paint -   4"</t>
  </si>
  <si>
    <t>2502.833 Add for epoxy paint -   6"</t>
  </si>
  <si>
    <t>2502.834 Add for epoxy paint -   8"</t>
  </si>
  <si>
    <t>2502.835 Add for epoxy paint -  10"</t>
  </si>
  <si>
    <t>2502.836 Add for epoxy paint -  12"</t>
  </si>
  <si>
    <t>2502.837 Add for epoxy paint -  14"</t>
  </si>
  <si>
    <t>2502.838 Add for epoxy paint -  16"</t>
  </si>
  <si>
    <t>2502.839 Add for epoxy paint -  18"</t>
  </si>
  <si>
    <t>2502.84 Add for epoxy paint -  20"</t>
  </si>
  <si>
    <t>2502.841 Add for epoxy paint -  24"</t>
  </si>
  <si>
    <t>2502.842 Add for epoxy paint -  30"</t>
  </si>
  <si>
    <t>2502.843 Add for epoxy paint -  36"</t>
  </si>
  <si>
    <t>2502.844 Add for epoxy paint -  42"</t>
  </si>
  <si>
    <t>2502.845 Add for epoxy paint -  48"</t>
  </si>
  <si>
    <t>2502.846 Add for epoxy paint -  54"</t>
  </si>
  <si>
    <t>2502.847 Add for epoxy paint -  60"</t>
  </si>
  <si>
    <t>2502.848 Add for epoxy paint -  66"</t>
  </si>
  <si>
    <t>2502.849 Add for epoxy paint -  72"</t>
  </si>
  <si>
    <t>2502.85 Add for epoxy paint -  78"</t>
  </si>
  <si>
    <t>2502.851 Add for epoxy paint -  84"</t>
  </si>
  <si>
    <t>2502.852 Add for epoxy paint -  90"</t>
  </si>
  <si>
    <t>2502.853 Add for epoxy paint -  96"</t>
  </si>
  <si>
    <t>2502.854 Add for epoxy paint - 102"</t>
  </si>
  <si>
    <t>2502.855 Add for epoxy paint - 108"</t>
  </si>
  <si>
    <t>2502.856 Add for epoxy paint - 120"</t>
  </si>
  <si>
    <t>2502.857 Add for epoxy paint - 144"</t>
  </si>
  <si>
    <t>2502.86 Add for glass lining -   4"</t>
  </si>
  <si>
    <t>2502.861 Add for glass lining -   6"</t>
  </si>
  <si>
    <t>2502.862 Add for glass lining -   8"</t>
  </si>
  <si>
    <t>2502.863 Add for glass lining -  10"</t>
  </si>
  <si>
    <t>2502.864 Add for glass lining -  12"</t>
  </si>
  <si>
    <t>2502.865 Add for glass lining -  14"</t>
  </si>
  <si>
    <t>2502.866 Add for glass lining -  16"</t>
  </si>
  <si>
    <t>2502.867 Add for glass lining -  18"</t>
  </si>
  <si>
    <t>2502.868 Add for glass lining -  20"</t>
  </si>
  <si>
    <t>2502.869 Add for glass lining -  24"</t>
  </si>
  <si>
    <t>2502.87 Add for glass lining -  30"</t>
  </si>
  <si>
    <t>2502.871 Add for glass lining -  36"</t>
  </si>
  <si>
    <t>2503.75 IPS pressure PVC pipe</t>
  </si>
  <si>
    <t>2503.751    1/2" Sch40 solvent welded</t>
  </si>
  <si>
    <t>2503.752    3/4" Sch40 solvent welded</t>
  </si>
  <si>
    <t>2503.753      1" Sch40 solvent welded</t>
  </si>
  <si>
    <t>2503.754  1-1/4" Sch40 solvent welded</t>
  </si>
  <si>
    <t>2503.755  1-1/2" Sch40 solvent welded</t>
  </si>
  <si>
    <t>2503.756      2" Sch40 solvent welded</t>
  </si>
  <si>
    <t>2503.757  2-1/2" Sch40 solvent welded</t>
  </si>
  <si>
    <t>2503.758      3" Sch40 solvent welded</t>
  </si>
  <si>
    <t>2503.759      4" Sch40 solvent welded</t>
  </si>
  <si>
    <t>2503.76      6" Sch40 solvent welded</t>
  </si>
  <si>
    <t>2503.761      8" Sch40 solvent welded</t>
  </si>
  <si>
    <t>2503.77      1" SDR 32.5 125 psi SW</t>
  </si>
  <si>
    <t>2503.771  1-1/4" SDR 32.5 125 psi SW</t>
  </si>
  <si>
    <t>2503.772  1-1/2" SDR 32.5 125 psi SW</t>
  </si>
  <si>
    <t>2503.773      2" SDR 32.5 125 psi SW</t>
  </si>
  <si>
    <t>2503.774  2-1/2" SDR 32.5 125 psi SW</t>
  </si>
  <si>
    <t>2503.775      3" SDR 32.5 125 psi SW</t>
  </si>
  <si>
    <t>2503.776      4" SDR 32.5 125 psi SW</t>
  </si>
  <si>
    <t>2503.777      6" SDR 32.5 125 psi SW</t>
  </si>
  <si>
    <t>2503.778      8" SDR 32.5 125 psi SW</t>
  </si>
  <si>
    <t>2503.78      1" SDR 26 160 psi SW</t>
  </si>
  <si>
    <t>2503.781  1-1/4" SDR 26 160 psi SW</t>
  </si>
  <si>
    <t>2503.782  1-1/2" SDR 26 160 psi SW</t>
  </si>
  <si>
    <t>2503.783      2" SDR 26 160 psi SW</t>
  </si>
  <si>
    <t>2503.784  2-1/2" SDR 26 160 psi SW</t>
  </si>
  <si>
    <t>2503.785      3" SDR 26 160 psi SW</t>
  </si>
  <si>
    <t>2503.786      4" SDR 26 160 psi SW</t>
  </si>
  <si>
    <t>2503.787      6" SDR 26 160 psi SW</t>
  </si>
  <si>
    <t>2503.788      8" SDR 26 160 psi SW</t>
  </si>
  <si>
    <t>2503.79    1/2" SDR 21 200 psi SW</t>
  </si>
  <si>
    <t>2503.791    3/4" SDR 21 200 psi SW</t>
  </si>
  <si>
    <t>2503.792      1" SDR 21 200 psi SW</t>
  </si>
  <si>
    <t>2503.793  1-1/4" SDR 21 200 psi SW</t>
  </si>
  <si>
    <t>2503.794  1-1/2" SDR 21 200 psi SW</t>
  </si>
  <si>
    <t>2503.795      2" SDR 21 200 psi SW</t>
  </si>
  <si>
    <t>2503.796  2-1/2" SDR 21 200 psi SW</t>
  </si>
  <si>
    <t>2503.797      3" SDR 21 200 psi SW</t>
  </si>
  <si>
    <t>2503.798      4" SDR 21 200 psi SW</t>
  </si>
  <si>
    <t>2503.799      6" SDR 21 200 psi SW</t>
  </si>
  <si>
    <t>2503.8      8" SDR 21 200 psi SW</t>
  </si>
  <si>
    <t>2503.81    1/2" SDR 13.5 315 psi SW</t>
  </si>
  <si>
    <t>2503.811    3/4" SDR 13.5 315 psi SW</t>
  </si>
  <si>
    <t>2503.812      1" SDR 13.5 315 psi SW</t>
  </si>
  <si>
    <t>2503.813  1-1/4" SDR 13.5 315 psi SW</t>
  </si>
  <si>
    <t>2503.814  1-1/2" SDR 13.5 315 psi SW</t>
  </si>
  <si>
    <t>2503.815      2" SDR 13.5 315 psi SW</t>
  </si>
  <si>
    <t>2503.816  2-1/2" SDR 13.5 315 psi SW</t>
  </si>
  <si>
    <t>2503.817      3" SDR 13.5 315 psi SW</t>
  </si>
  <si>
    <t>2503.818      4" SDR 13.5 315 psi SW</t>
  </si>
  <si>
    <t>2503.9 HDPE class 8600 pipe butt jnts</t>
  </si>
  <si>
    <t>2503.901   3" low press pipe</t>
  </si>
  <si>
    <t>2503.902   4" low press pipe</t>
  </si>
  <si>
    <t>2503.903   5" low press pipe</t>
  </si>
  <si>
    <t>2503.904   6" low press pipe</t>
  </si>
  <si>
    <t>2503.905   7" low press pipe</t>
  </si>
  <si>
    <t>2503.906   8" low press pipe</t>
  </si>
  <si>
    <t>2503.907  10" low press pipe</t>
  </si>
  <si>
    <t>2503.908  12" low press pipe</t>
  </si>
  <si>
    <t>2503.909  14" low press pipe</t>
  </si>
  <si>
    <t>2503.91  16" low press pipe</t>
  </si>
  <si>
    <t>2503.911  18" low press pipe</t>
  </si>
  <si>
    <t>2503.912  20" low press pipe</t>
  </si>
  <si>
    <t>2503.913  22" low press pipe</t>
  </si>
  <si>
    <t>2503.914  24" low press pipe</t>
  </si>
  <si>
    <t>2503.915  28" low press pipe</t>
  </si>
  <si>
    <t>2503.916  32" low press pipe</t>
  </si>
  <si>
    <t>2503.917  36" low press pipe</t>
  </si>
  <si>
    <t>2503.918  42" low press pipe</t>
  </si>
  <si>
    <t>2503.919  44" low press pipe</t>
  </si>
  <si>
    <t>2503.921   6" 65 psi pipe</t>
  </si>
  <si>
    <t>2503.922   8" 65 psi pipe</t>
  </si>
  <si>
    <t>2503.923  10" 65 psi pipe</t>
  </si>
  <si>
    <t>2503.924  20" 65 psi pipe</t>
  </si>
  <si>
    <t>2503.925  24" 65 psi pipe</t>
  </si>
  <si>
    <t>2503.926  28" 65 psi pipe</t>
  </si>
  <si>
    <t>2503.927  36" 65 psi pipe</t>
  </si>
  <si>
    <t>2503.928  48" 65 psi pipe</t>
  </si>
  <si>
    <t>2503.931 1-1/2" 110 psi pipe</t>
  </si>
  <si>
    <t>2503.932     2" 110 psi pipe</t>
  </si>
  <si>
    <t>2503.933     3" 110 psi pipe</t>
  </si>
  <si>
    <t>2503.934     4" 110 psi pipe</t>
  </si>
  <si>
    <t>2503.935     6" 110 psi pipe</t>
  </si>
  <si>
    <t>2503.936     8" 110 psi pipe</t>
  </si>
  <si>
    <t>2503.937    10" 110 psi pipe</t>
  </si>
  <si>
    <t>2503.938    12" 110 psi pipe</t>
  </si>
  <si>
    <t>2503.939    14" 110 psi pipe</t>
  </si>
  <si>
    <t>2503.94    16" 110 psi pipe</t>
  </si>
  <si>
    <t>2503.941    18" 110 psi pipe</t>
  </si>
  <si>
    <t>2503.942    22" 110 psi pipe</t>
  </si>
  <si>
    <t>2503.943    24" 110 psi pipe</t>
  </si>
  <si>
    <t>2503.951     3" 130 psi pipe</t>
  </si>
  <si>
    <t>2503.952     4" 130 psi pipe</t>
  </si>
  <si>
    <t>2503.953     6" 130 psi pipe</t>
  </si>
  <si>
    <t>2503.954     8" 130 psi pipe</t>
  </si>
  <si>
    <t>2503.961   3/4" 160 psi pipe</t>
  </si>
  <si>
    <t>2503.962     1" 160 psi pipe</t>
  </si>
  <si>
    <t>2503.963 1-1/4" 160 psi pipe</t>
  </si>
  <si>
    <t>2503.964 1-1/2" 160 psi pipe</t>
  </si>
  <si>
    <t>2503.965     2" 160 psi pipe</t>
  </si>
  <si>
    <t>2503.966     3" 160 psi pipe</t>
  </si>
  <si>
    <t>2503.967     4" 160 psi pipe</t>
  </si>
  <si>
    <t>2503.968     5" 160 psi pipe</t>
  </si>
  <si>
    <t>2503.969     6" 160 psi pipe</t>
  </si>
  <si>
    <t>2503.97     8" 160 psi pipe</t>
  </si>
  <si>
    <t>2503.971    10" 160 psi pipe</t>
  </si>
  <si>
    <t>2503.972    12" 160 psi pipe</t>
  </si>
  <si>
    <t>2503.973    14" 160 psi pipe</t>
  </si>
  <si>
    <t>2503.974    16" 160 psi pipe</t>
  </si>
  <si>
    <t>2503.975    18" 160 psi pipe</t>
  </si>
  <si>
    <t>2503.976    22" 160 psi pipe</t>
  </si>
  <si>
    <t>2503.977    24" 160 psi pipe</t>
  </si>
  <si>
    <t>2503.981   3/4" 190 psi pipe</t>
  </si>
  <si>
    <t>2503.982     1" 190 psi pipe</t>
  </si>
  <si>
    <t>2503.983 1-1/4" 190 psi pipe</t>
  </si>
  <si>
    <t>2503.984     2" 190 psi pipe</t>
  </si>
  <si>
    <t>2503.985     3" 190 psi pipe</t>
  </si>
  <si>
    <t>2503.986     4" 190 psi pipe</t>
  </si>
  <si>
    <t>2503.987     6" 190 psi pipe</t>
  </si>
  <si>
    <t>2504 HDPE class 1000 butt joints</t>
  </si>
  <si>
    <t>2504.001       3" SDR 32.5 / 50psi pipe</t>
  </si>
  <si>
    <t>2504.002       4" SDR 32.5 / 50psi pipe</t>
  </si>
  <si>
    <t>2504.003       5" SDR 32.5 / 50psi pipe</t>
  </si>
  <si>
    <t>2504.004       6" SDR 32.5 / 50psi pipe</t>
  </si>
  <si>
    <t>2504.005       7" SDR 32.5 / 50psi pipe</t>
  </si>
  <si>
    <t>2504.006       8" SDR 32.5 / 50psi pipe</t>
  </si>
  <si>
    <t>2504.007      10" SDR 32.5 / 50psi pipe</t>
  </si>
  <si>
    <t>2504.008      12" SDR 32.5 / 50psi pipe</t>
  </si>
  <si>
    <t>2504.009      13" SDR 32.5 / 50psi pipe</t>
  </si>
  <si>
    <t>2504.01      14" SDR 32.5 / 50psi pipe</t>
  </si>
  <si>
    <t>2504.011      16" SDR 32.5 / 50psi pipe</t>
  </si>
  <si>
    <t>2504.012      18" SDR 32.5 / 50psi pipe</t>
  </si>
  <si>
    <t>2504.013      20" SDR 32.5 / 50psi pipe</t>
  </si>
  <si>
    <t>2504.014  21-1/2" SDR 32.5 / 50psi pipe</t>
  </si>
  <si>
    <t>2504.015      22" SDR 32.5 / 50psi pipe</t>
  </si>
  <si>
    <t>2504.016      24" SDR 32.5 / 50psi pipe</t>
  </si>
  <si>
    <t>2504.017      26" SDR 32.5 / 50psi pipe</t>
  </si>
  <si>
    <t>2504.018      28" SDR 32.5 / 50psi pipe</t>
  </si>
  <si>
    <t>2504.019      30" SDR 32.5 / 50psi pipe</t>
  </si>
  <si>
    <t>2504.02    800mm SDR 32.5 / 50psi pipe</t>
  </si>
  <si>
    <t>2504.021      32" SDR 32.5 / 50psi pipe</t>
  </si>
  <si>
    <t>2504.022      34" SDR 32.5 / 50psi pipe</t>
  </si>
  <si>
    <t>2504.023      36" SDR 32.5 / 50psi pipe</t>
  </si>
  <si>
    <t>2504.024   1000mm SDR 32.5 / 50psi pipe</t>
  </si>
  <si>
    <t>2504.025      42" SDR 32.5 / 50psi pipe</t>
  </si>
  <si>
    <t>2504.026   1200mm SDR 32.5 / 50psi pipe</t>
  </si>
  <si>
    <t>2504.031       3" SDR  26 /  65psi pipe</t>
  </si>
  <si>
    <t>2504.032       4" SDR  26 /  65psi pipe</t>
  </si>
  <si>
    <t>2504.033       5" SDR  26 /  65psi pipe</t>
  </si>
  <si>
    <t>2504.034       6" SDR  26 /  65psi pipe</t>
  </si>
  <si>
    <t>2504.035       7" SDR  26 /  65psi pipe</t>
  </si>
  <si>
    <t>2504.036       8" SDR  26 /  65psi pipe</t>
  </si>
  <si>
    <t>2504.037      10" SDR  26 /  65psi pipe</t>
  </si>
  <si>
    <t>2504.038      12" SDR  26 /  65psi pipe</t>
  </si>
  <si>
    <t>2504.039      13" SDR  26 /  65psi pipe</t>
  </si>
  <si>
    <t>2504.04      14" SDR  26 /  65psi pipe</t>
  </si>
  <si>
    <t>2504.041      16" SDR  26 /  65psi pipe</t>
  </si>
  <si>
    <t>2504.042      18" SDR  26 /  65psi pipe</t>
  </si>
  <si>
    <t>2504.043      20" SDR  26 /  65psi pipe</t>
  </si>
  <si>
    <t>2504.044  21-1/2" SDR  26 /  65psi pipe</t>
  </si>
  <si>
    <t>2504.045      22" SDR  26 /  65psi pipe</t>
  </si>
  <si>
    <t>2504.046      24" SDR  26 /  65psi pipe</t>
  </si>
  <si>
    <t>2504.047      26" SDR  26 /  65psi pipe</t>
  </si>
  <si>
    <t>2504.048      28" SDR  26 /  65psi pipe</t>
  </si>
  <si>
    <t>2504.049      30" SDR  26 /  65psi pipe</t>
  </si>
  <si>
    <t>2504.05    800mm SDR  26 /  65psi pipe</t>
  </si>
  <si>
    <t>2504.051      32" SDR  26 /  65psi pipe</t>
  </si>
  <si>
    <t>2504.052      34" SDR  26 /  65psi pipe</t>
  </si>
  <si>
    <t>2504.053      36" SDR  26 /  65psi pipe</t>
  </si>
  <si>
    <t>2504.054   1000mm SDR  26 /  65psi pipe</t>
  </si>
  <si>
    <t>2504.055      42" SDR  26 /  65psi pipe</t>
  </si>
  <si>
    <t>2504.056   1200mm SDR  26 /  65psi pipe</t>
  </si>
  <si>
    <t>2504.061       3" SDR  21 / 80 psi pipe</t>
  </si>
  <si>
    <t>2504.062       4" SDR  21 / 80 psi pipe</t>
  </si>
  <si>
    <t>2504.063       5" SDR  21 / 80 psi pipe</t>
  </si>
  <si>
    <t>2504.064       6" SDR  21 / 80 psi pipe</t>
  </si>
  <si>
    <t>2504.065       7" SDR  21 / 80 psi pipe</t>
  </si>
  <si>
    <t>2504.066       8" SDR  21 / 80 psi pipe</t>
  </si>
  <si>
    <t>2504.067      10" SDR  21 / 80 psi pipe</t>
  </si>
  <si>
    <t>2504.068      12" SDR  21 / 80 psi pipe</t>
  </si>
  <si>
    <t>2504.069      13" SDR  21 / 80 psi pipe</t>
  </si>
  <si>
    <t>2504.07      14" SDR  21 / 80 psi pipe</t>
  </si>
  <si>
    <t>2504.071      16" SDR  21 / 80 psi pipe</t>
  </si>
  <si>
    <t>2504.072      18" SDR  21 / 80 psi pipe</t>
  </si>
  <si>
    <t>2504.073      20" SDR  21 / 80 psi pipe</t>
  </si>
  <si>
    <t>2504.074  21-1/2" SDR  21 / 80 psi pipe</t>
  </si>
  <si>
    <t>2504.075      22" SDR  21 / 80 psi pipe</t>
  </si>
  <si>
    <t>2504.076      24" SDR  21 / 80 psi pipe</t>
  </si>
  <si>
    <t>2504.077      26" SDR  21 / 80 psi pipe</t>
  </si>
  <si>
    <t>2504.078      28" SDR  21 / 80 psi pipe</t>
  </si>
  <si>
    <t>2504.079      30" SDR  21 / 80 psi pipe</t>
  </si>
  <si>
    <t>2504.08    800mm SDR  21 / 80 psi pipe</t>
  </si>
  <si>
    <t>2504.081      32" SDR  21 / 80 psi pipe</t>
  </si>
  <si>
    <t>2504.082      34" SDR  21 / 80 psi pipe</t>
  </si>
  <si>
    <t>2504.083      36" SDR  21 / 80 psi pipe</t>
  </si>
  <si>
    <t>2504.084   1000mm SDR  21 / 80 psi pipe</t>
  </si>
  <si>
    <t>2504.085      42" SDR  21 / 80 psi pipe</t>
  </si>
  <si>
    <t>2504.086   1200mm SDR  21 / 80 psi pipe</t>
  </si>
  <si>
    <t>2504.091       3" SDR  19 / 90 psi pipe</t>
  </si>
  <si>
    <t>2504.092       4" SDR  19 / 90 psi pipe</t>
  </si>
  <si>
    <t>2504.093       5" SDR  19 / 90 psi pipe</t>
  </si>
  <si>
    <t>2504.094       6" SDR  19 / 90 psi pipe</t>
  </si>
  <si>
    <t>2504.095       7" SDR  19 / 90 psi pipe</t>
  </si>
  <si>
    <t>2504.096       8" SDR  19 / 90 psi pipe</t>
  </si>
  <si>
    <t>2504.097      10" SDR  19 / 90 psi pipe</t>
  </si>
  <si>
    <t>2504.098      12" SDR  19 / 90 psi pipe</t>
  </si>
  <si>
    <t>2504.099      13" SDR  19 / 90 psi pipe</t>
  </si>
  <si>
    <t>2504.1      14" SDR  19 / 90 psi pipe</t>
  </si>
  <si>
    <t>2504.101      16" SDR  19 / 90 psi pipe</t>
  </si>
  <si>
    <t>2504.102      18" SDR  19 / 90 psi pipe</t>
  </si>
  <si>
    <t>2504.103      20" SDR  19 / 90 psi pipe</t>
  </si>
  <si>
    <t>2504.104  21-1/2" SDR  19 / 90 psi pipe</t>
  </si>
  <si>
    <t>2504.105      22" SDR  19 / 90 psi pipe</t>
  </si>
  <si>
    <t>2504.106      24" SDR  19 / 90 psi pipe</t>
  </si>
  <si>
    <t>2504.107      26" SDR  19 / 90 psi pipe</t>
  </si>
  <si>
    <t>2504.108      28" SDR  19 / 90 psi pipe</t>
  </si>
  <si>
    <t>2504.109      30" SDR  19 / 90 psi pipe</t>
  </si>
  <si>
    <t>2504.11    800mm SDR  19 / 90 psi pipe</t>
  </si>
  <si>
    <t>2504.111      32" SDR  19 / 90 psi pipe</t>
  </si>
  <si>
    <t>2504.112      34" SDR  19 / 90 psi pipe</t>
  </si>
  <si>
    <t>2504.113      36" SDR  19 / 90 psi pipe</t>
  </si>
  <si>
    <t>2504.114   1000mm SDR  19 / 90 psi pipe</t>
  </si>
  <si>
    <t>2504.115      42" SDR  19 / 90 psi pipe</t>
  </si>
  <si>
    <t>2504.116   1200mm SDR  19 / 90 psi pipe</t>
  </si>
  <si>
    <t>2504.121       3" SDR  17 / 100psi pipe</t>
  </si>
  <si>
    <t>2504.122       4" SDR  17 / 100psi pipe</t>
  </si>
  <si>
    <t>2504.123       5" SDR  17 / 100psi pipe</t>
  </si>
  <si>
    <t>2504.124       6" SDR  17 / 100psi pipe</t>
  </si>
  <si>
    <t>2504.125       7" SDR  17 / 100psi pipe</t>
  </si>
  <si>
    <t>2504.126       8" SDR  17 / 100psi pipe</t>
  </si>
  <si>
    <t>2504.127      10" SDR  17 / 100psi pipe</t>
  </si>
  <si>
    <t>2504.128      12" SDR  17 / 100psi pipe</t>
  </si>
  <si>
    <t>2504.129      13" SDR  17 / 100psi pipe</t>
  </si>
  <si>
    <t>2504.13      14" SDR  17 / 100psi pipe</t>
  </si>
  <si>
    <t>2504.131      16" SDR  17 / 100psi pipe</t>
  </si>
  <si>
    <t>2504.132      18" SDR  17 / 100psi pipe</t>
  </si>
  <si>
    <t>2504.133      20" SDR  17 / 100psi pipe</t>
  </si>
  <si>
    <t>2504.134     21½" SDR  17 / 100psi pipe</t>
  </si>
  <si>
    <t>2504.135      22" SDR  17 / 100psi pipe</t>
  </si>
  <si>
    <t>2504.136      24" SDR  17 / 100psi pipe</t>
  </si>
  <si>
    <t>2504.137      26" SDR  17 / 100psi pipe</t>
  </si>
  <si>
    <t>2504.138      28" SDR  17 / 100psi pipe</t>
  </si>
  <si>
    <t>2504.139      30" SDR  17 / 100psi pipe</t>
  </si>
  <si>
    <t>2504.14    800mm SDR  17 / 100psi pipe</t>
  </si>
  <si>
    <t>2504.141      32" SDR  17 / 100psi pipe</t>
  </si>
  <si>
    <t>2504.142      34" SDR  17 / 100psi pipe</t>
  </si>
  <si>
    <t>2504.143      36" SDR  17 / 100psi pipe</t>
  </si>
  <si>
    <t>2504.144   1000mm SDR  17 / 100psi pipe</t>
  </si>
  <si>
    <t>2504.145      42" SDR  17 / 100psi pipe</t>
  </si>
  <si>
    <t>2504.146   1200mm SDR  17 / 100psi pipe</t>
  </si>
  <si>
    <t>2504.151       3" SDR 15.5/ 110psi pipe</t>
  </si>
  <si>
    <t>2504.152       4" SDR 15.5/ 110psi pipe</t>
  </si>
  <si>
    <t>2504.153       5" SDR 15.5/ 110psi pipe</t>
  </si>
  <si>
    <t>2504.154       6" SDR 15.5/ 110psi pipe</t>
  </si>
  <si>
    <t>2504.155       7" SDR 15.5/ 110psi pipe</t>
  </si>
  <si>
    <t>2504.156       8" SDR 15.5/ 110psi pipe</t>
  </si>
  <si>
    <t>2504.157      10" SDR 15.5/ 110psi pipe</t>
  </si>
  <si>
    <t>2504.158      12" SDR 15.5/ 110psi pipe</t>
  </si>
  <si>
    <t>2504.159      13" SDR 15.5/ 110psi pipe</t>
  </si>
  <si>
    <t>2504.16      14" SDR 15.5/ 110psi pipe</t>
  </si>
  <si>
    <t>2504.161      16" SDR 15.5/ 110psi pipe</t>
  </si>
  <si>
    <t>2504.162      18" SDR 15.5/ 110psi pipe</t>
  </si>
  <si>
    <t>2504.163      20" SDR 15.5/ 110psi pipe</t>
  </si>
  <si>
    <t>2504.164  21-1/2" SDR 15.5/ 110psi pipe</t>
  </si>
  <si>
    <t>2504.165      22" SDR 15.5/ 110psi pipe</t>
  </si>
  <si>
    <t>2504.166      24" SDR 15.5/ 110psi pipe</t>
  </si>
  <si>
    <t>2504.167      26" SDR 15.5/ 110psi pipe</t>
  </si>
  <si>
    <t>2504.168      28" SDR 15.5/ 110psi pipe</t>
  </si>
  <si>
    <t>2504.169      30" SDR 15.5/ 110psi pipe</t>
  </si>
  <si>
    <t>2504.17    800mm SDR 15.5/ 110psi pipe</t>
  </si>
  <si>
    <t>2504.171      32" SDR 15.5/ 110psi pipe</t>
  </si>
  <si>
    <t>2504.172      34" SDR 15.5/ 110psi pipe</t>
  </si>
  <si>
    <t>2504.173      36" SDR 15.5/ 110psi pipe</t>
  </si>
  <si>
    <t>2504.181       3" SDR 13.5/ 130psi pipe</t>
  </si>
  <si>
    <t>2504.182       4" SDR 13.5/ 130psi pipe</t>
  </si>
  <si>
    <t>2504.183       5" SDR 13.5/ 130psi pipe</t>
  </si>
  <si>
    <t>2504.184       6" SDR 13.5/ 130psi pipe</t>
  </si>
  <si>
    <t>2504.185       7" SDR 13.5/ 130psi pipe</t>
  </si>
  <si>
    <t>2504.186       8" SDR 13.5/ 130psi pipe</t>
  </si>
  <si>
    <t>2504.187      10" SDR 13.5/ 130psi pipe</t>
  </si>
  <si>
    <t>2504.188      12" SDR 13.5/ 130psi pipe</t>
  </si>
  <si>
    <t>2504.189      13" SDR 13.5/ 130psi pipe</t>
  </si>
  <si>
    <t>2504.19      14" SDR 13.5/ 130psi pipe</t>
  </si>
  <si>
    <t>2504.191      16" SDR 13.5/ 130psi pipe</t>
  </si>
  <si>
    <t>2504.192      18" SDR 13.5/ 130psi pipe</t>
  </si>
  <si>
    <t>2504.193      20" SDR 13.5/ 130psi pipe</t>
  </si>
  <si>
    <t>2504.194  21-1/2" SDR 13.5/ 130psi pipe</t>
  </si>
  <si>
    <t>2504.195      22" SDR 13.5/ 130psi pipe</t>
  </si>
  <si>
    <t>2504.196      24" SDR 13.5/ 130psi pipe</t>
  </si>
  <si>
    <t>2504.197      26" SDR 13.5/ 130psi pipe</t>
  </si>
  <si>
    <t>2504.198      28" SDR 13.5/ 130psi pipe</t>
  </si>
  <si>
    <t>2504.199      30" SDR 13.5/ 130psi pipe</t>
  </si>
  <si>
    <t>2504.2    800mm SDR 13.5/ 130psi pipe</t>
  </si>
  <si>
    <t>2504.201      32" SDR 13.5/ 130psi pipe</t>
  </si>
  <si>
    <t>2504.202      34" SDR 13.5/ 130psi pipe</t>
  </si>
  <si>
    <t>2504.203      36" SDR 13.5/ 130psi pipe</t>
  </si>
  <si>
    <t>2504.211       3" SDR 11  / 160psi pipe</t>
  </si>
  <si>
    <t>2504.212       4" SDR 11  / 160psi pipe</t>
  </si>
  <si>
    <t>2504.213       5" SDR 11  / 160psi pipe</t>
  </si>
  <si>
    <t>2504.214       6" SDR 11  / 160psi pipe</t>
  </si>
  <si>
    <t>2504.215       7" SDR 11  / 160psi pipe</t>
  </si>
  <si>
    <t>2504.216       8" SDR 11  / 160psi pipe</t>
  </si>
  <si>
    <t>2504.217      10" SDR 11  / 160psi pipe</t>
  </si>
  <si>
    <t>2504.218      12" SDR 11  / 160psi pipe</t>
  </si>
  <si>
    <t>2504.219      13" SDR 11  / 160psi pipe</t>
  </si>
  <si>
    <t>2504.22      14" SDR 11  / 160psi pipe</t>
  </si>
  <si>
    <t>2504.221      16" SDR 11  / 160psi pipe</t>
  </si>
  <si>
    <t>2504.222      18" SDR 11  / 160psi pipe</t>
  </si>
  <si>
    <t>2504.223      20" SDR 11  / 160psi pipe</t>
  </si>
  <si>
    <t>2504.224  21-1/2" SDR 11  / 160psi pipe</t>
  </si>
  <si>
    <t>2504.225      22" SDR 11  / 160psi pipe</t>
  </si>
  <si>
    <t>2504.226      24" SDR 11  / 160psi pipe</t>
  </si>
  <si>
    <t>2504.227      26" SDR 11  / 160psi pipe</t>
  </si>
  <si>
    <t>2504.228      28" SDR 11  / 160psi pipe</t>
  </si>
  <si>
    <t>2504.229      30" SDR 11  / 160psi pipe</t>
  </si>
  <si>
    <t>2504.3 Prestressed concrete cylinder pipe</t>
  </si>
  <si>
    <t>2504.301   42" PCCP - push joint pipe</t>
  </si>
  <si>
    <t>2504.302   45" PCCP - push joint pipe</t>
  </si>
  <si>
    <t>2504.303   48" PCCP - push joint pipe</t>
  </si>
  <si>
    <t>2504.304   51" PCCP - push joint pipe</t>
  </si>
  <si>
    <t>2504.305   54" PCCP - push joint pipe</t>
  </si>
  <si>
    <t>2504.306   57" PCCP - push joint pipe</t>
  </si>
  <si>
    <t>2504.307   60" PCCP - push joint pipe</t>
  </si>
  <si>
    <t>2504.308   66" PCCP - push joint pipe</t>
  </si>
  <si>
    <t>2504.309   72" PCCP - push joint pipe</t>
  </si>
  <si>
    <t>2504.31   78" PCCP - push joint pipe</t>
  </si>
  <si>
    <t>2504.311   84" PCCP - push joint pipe</t>
  </si>
  <si>
    <t>2504.312   90" PCCP - push joint pipe</t>
  </si>
  <si>
    <t>2504.313   96" PCCP - push joint pipe</t>
  </si>
  <si>
    <t>2504.314  102" PCCP - push joint pipe</t>
  </si>
  <si>
    <t>2504.315  108" PCCP - push joint pipe</t>
  </si>
  <si>
    <t>2504.316  114" PCCP - push joint pipe</t>
  </si>
  <si>
    <t>2504.317  120" PCCP - push joint pipe</t>
  </si>
  <si>
    <t>2504.318  132" PCCP - push joint pipe</t>
  </si>
  <si>
    <t>2504.319  144" PCCP - push joint pipe</t>
  </si>
  <si>
    <t>2504.32  156" PCCP - push joint pipe</t>
  </si>
  <si>
    <t>2504.321  168" PCCP - push joint pipe</t>
  </si>
  <si>
    <t>2504.322  180" PCCP - push joint pipe</t>
  </si>
  <si>
    <t>2504.4 Concrete cylinder pipe</t>
  </si>
  <si>
    <t>2504.401  12" 100 psi push joint pipe</t>
  </si>
  <si>
    <t>2504.402  14" 100 psi push joint pipe</t>
  </si>
  <si>
    <t>2504.403  16" 100 psi push joint pipe</t>
  </si>
  <si>
    <t>2504.404  18" 100 psi push joint pipe</t>
  </si>
  <si>
    <t>2504.405  20" 100 psi push joint pipe</t>
  </si>
  <si>
    <t>2504.406  21" 100 psi push joint pipe</t>
  </si>
  <si>
    <t>2504.407  24" 100 psi push joint pipe</t>
  </si>
  <si>
    <t>2504.408  27" 100 psi push joint pipe</t>
  </si>
  <si>
    <t>2504.409  30" 100 psi push joint pipe</t>
  </si>
  <si>
    <t>2504.41  33" 100 psi push joint pipe</t>
  </si>
  <si>
    <t>2504.411  36" 100 psi push joint pipe</t>
  </si>
  <si>
    <t>2504.412  39" 100 psi push joint pipe</t>
  </si>
  <si>
    <t>2504.413  42" 100 psi push joint pipe</t>
  </si>
  <si>
    <t>2504.414  45" 100 psi push joint pipe</t>
  </si>
  <si>
    <t>2504.415  48" 100 psi push joint pipe</t>
  </si>
  <si>
    <t>2504.416  51" 100 psi push joint pipe</t>
  </si>
  <si>
    <t>2504.417  54" 100 psi push joint pipe</t>
  </si>
  <si>
    <t>2504.421  12" 125 psi push joint pipe</t>
  </si>
  <si>
    <t>2504.422  14" 125 psi push joint pipe</t>
  </si>
  <si>
    <t>2504.423  16" 125 psi push joint pipe</t>
  </si>
  <si>
    <t>2504.424  18" 125 psi push joint pipe</t>
  </si>
  <si>
    <t>2504.425  20" 125 psi push joint pipe</t>
  </si>
  <si>
    <t>2504.426  21" 125 psi push joint pipe</t>
  </si>
  <si>
    <t>2504.427  24" 125 psi push joint pipe</t>
  </si>
  <si>
    <t>2504.428  27" 125 psi push joint pipe</t>
  </si>
  <si>
    <t>2504.429  30" 125 psi push joint pipe</t>
  </si>
  <si>
    <t>2504.43  33" 125 psi push joint pipe</t>
  </si>
  <si>
    <t>2504.431  36" 125 psi push joint pipe</t>
  </si>
  <si>
    <t>2504.432  39" 125 psi push joint pipe</t>
  </si>
  <si>
    <t>2504.433  42" 125 psi push joint pipe</t>
  </si>
  <si>
    <t>2504.434  45" 125 psi push joint pipe</t>
  </si>
  <si>
    <t>2504.435  48" 125 psi push joint pipe</t>
  </si>
  <si>
    <t>2504.436  51" 125 psi push joint pipe</t>
  </si>
  <si>
    <t>2504.437  54" 125 psi push joint pipe</t>
  </si>
  <si>
    <t>2504.441  12" 150 psi push joint pipe</t>
  </si>
  <si>
    <t>2504.442  14" 150 psi push joint pipe</t>
  </si>
  <si>
    <t>2504.443  16" 150 psi push joint pipe</t>
  </si>
  <si>
    <t>2504.444  18" 150 psi push joint pipe</t>
  </si>
  <si>
    <t>2504.445  20" 150 psi push joint pipe</t>
  </si>
  <si>
    <t>2504.446  21" 150 psi push joint pipe</t>
  </si>
  <si>
    <t>2504.447  24" 150 psi push joint pipe</t>
  </si>
  <si>
    <t>2504.448  27" 150 psi push joint pipe</t>
  </si>
  <si>
    <t>2504.449  30" 150 psi push joint pipe</t>
  </si>
  <si>
    <t>2504.45  33" 150 psi push joint pipe</t>
  </si>
  <si>
    <t>2504.451  36" 150 psi push joint pipe</t>
  </si>
  <si>
    <t>2504.452  39" 150 psi push joint pipe</t>
  </si>
  <si>
    <t>2504.453  42" 150 psi push joint pipe</t>
  </si>
  <si>
    <t>2504.454  45" 150 psi push joint pipe</t>
  </si>
  <si>
    <t>2504.455  48" 150 psi push joint pipe</t>
  </si>
  <si>
    <t>2504.456  51" 150 psi push joint pipe</t>
  </si>
  <si>
    <t>2504.457  54" 150 psi push joint pipe</t>
  </si>
  <si>
    <t>2504.461  12" 175 psi push joint pipe</t>
  </si>
  <si>
    <t>2504.462  14" 175 psi push joint pipe</t>
  </si>
  <si>
    <t>2504.463  16" 175 psi push joint pipe</t>
  </si>
  <si>
    <t>2504.464  18" 175 psi push joint pipe</t>
  </si>
  <si>
    <t>2504.465  20" 175 psi push joint pipe</t>
  </si>
  <si>
    <t>2504.466  21" 175 psi push joint pipe</t>
  </si>
  <si>
    <t>2504.467  24" 175 psi push joint pipe</t>
  </si>
  <si>
    <t>2504.468  27" 175 psi push joint pipe</t>
  </si>
  <si>
    <t>2504.469  30" 175 psi push joint pipe</t>
  </si>
  <si>
    <t>2504.47  33" 175 psi push joint pipe</t>
  </si>
  <si>
    <t>2504.471  36" 175 psi push joint pipe</t>
  </si>
  <si>
    <t>2504.472  39" 175 psi push joint pipe</t>
  </si>
  <si>
    <t>2504.473  42" 175 psi push joint pipe</t>
  </si>
  <si>
    <t>2504.474  45" 175 psi push joint pipe</t>
  </si>
  <si>
    <t>2504.475  48" 175 psi push joint pipe</t>
  </si>
  <si>
    <t>2504.476  51" 175 psi push joint pipe</t>
  </si>
  <si>
    <t>2504.477  54" 175 psi push joint pipe</t>
  </si>
  <si>
    <t>2504.481  12" 200 psi push joint pipe</t>
  </si>
  <si>
    <t>2504.482  14" 200 psi push joint pipe</t>
  </si>
  <si>
    <t>2504.483  16" 200 psi push joint pipe</t>
  </si>
  <si>
    <t>2504.484  18" 200 psi push joint pipe</t>
  </si>
  <si>
    <t>2504.485  20" 200 psi push joint pipe</t>
  </si>
  <si>
    <t>2504.486  21" 200 psi push joint pipe</t>
  </si>
  <si>
    <t>2504.487  24" 200 psi push joint pipe</t>
  </si>
  <si>
    <t>2504.488  27" 200 psi push joint pipe</t>
  </si>
  <si>
    <t>2504.489  30" 200 psi push joint pipe</t>
  </si>
  <si>
    <t>2504.49  33" 200 psi push joint pipe</t>
  </si>
  <si>
    <t>2504.491  36" 200 psi push joint pipe</t>
  </si>
  <si>
    <t>2504.492  39" 200 psi push joint pipe</t>
  </si>
  <si>
    <t>2504.493  42" 200 psi push joint pipe</t>
  </si>
  <si>
    <t>2504.494  45" 200 psi push joint pipe</t>
  </si>
  <si>
    <t>2504.495  48" 200 psi push joint pipe</t>
  </si>
  <si>
    <t>2504.496  51" 200 psi push joint pipe</t>
  </si>
  <si>
    <t>2504.497  54" 200 psi push joint pipe</t>
  </si>
  <si>
    <t>2504.501  12" 225 psi push joint pipe</t>
  </si>
  <si>
    <t>2504.502  14" 225 psi push joint pipe</t>
  </si>
  <si>
    <t>2504.503  16" 225 psi push joint pipe</t>
  </si>
  <si>
    <t>2504.504  18" 225 psi push joint pipe</t>
  </si>
  <si>
    <t>2504.505  20" 225 psi push joint pipe</t>
  </si>
  <si>
    <t>2504.506  21" 225 psi push joint pipe</t>
  </si>
  <si>
    <t>2504.507  24" 225 psi push joint pipe</t>
  </si>
  <si>
    <t>2504.508  27" 225 psi push joint pipe</t>
  </si>
  <si>
    <t>2504.509  30" 225 psi push joint pipe</t>
  </si>
  <si>
    <t>2504.51  33" 225 psi push joint pipe</t>
  </si>
  <si>
    <t>2504.511  36" 225 psi push joint pipe</t>
  </si>
  <si>
    <t>2504.512  39" 225 psi push joint pipe</t>
  </si>
  <si>
    <t>2504.513  42" 225 psi push joint pipe</t>
  </si>
  <si>
    <t>2504.514  45" 225 psi push joint pipe</t>
  </si>
  <si>
    <t>2504.515  48" 225 psi push joint pipe</t>
  </si>
  <si>
    <t>2504.516  51" 225 psi push joint pipe</t>
  </si>
  <si>
    <t>2504.517  54" 225 psi push joint pipe</t>
  </si>
  <si>
    <t>2504.521  12" 250 psi push joint pipe</t>
  </si>
  <si>
    <t>2504.522  14" 250 psi push joint pipe</t>
  </si>
  <si>
    <t>2504.523  16" 250 psi push joint pipe</t>
  </si>
  <si>
    <t>2504.524  18" 250 psi push joint pipe</t>
  </si>
  <si>
    <t>2504.525  20" 250 psi push joint pipe</t>
  </si>
  <si>
    <t>2504.526  21" 250 psi push joint pipe</t>
  </si>
  <si>
    <t>2504.527  24" 250 psi push joint pipe</t>
  </si>
  <si>
    <t>2504.528  27" 250 psi push joint pipe</t>
  </si>
  <si>
    <t>2504.529  30" 250 psi push joint pipe</t>
  </si>
  <si>
    <t>2504.53  33" 250 psi push joint pipe</t>
  </si>
  <si>
    <t>2504.531  36" 250 psi push joint pipe</t>
  </si>
  <si>
    <t>2504.532  39" 250 psi push joint pipe</t>
  </si>
  <si>
    <t>2504.533  42" 250 psi push joint pipe</t>
  </si>
  <si>
    <t>2504.534  45" 250 psi push joint pipe</t>
  </si>
  <si>
    <t>2504.535  48" 250 psi push joint pipe</t>
  </si>
  <si>
    <t>2504.536  51" 250 psi push joint pipe</t>
  </si>
  <si>
    <t>2504.537  54" 250 psi push joint pipe</t>
  </si>
  <si>
    <t>2504.541  12" 275 psi push joint pipe</t>
  </si>
  <si>
    <t>2504.542  14" 275 psi push joint pipe</t>
  </si>
  <si>
    <t>2504.543  16" 275 psi push joint pipe</t>
  </si>
  <si>
    <t>2504.544  18" 275 psi push joint pipe</t>
  </si>
  <si>
    <t>2504.545  20" 275 psi push joint pipe</t>
  </si>
  <si>
    <t>2504.546  21" 275 psi push joint pipe</t>
  </si>
  <si>
    <t>2504.547  24" 275 psi push joint pipe</t>
  </si>
  <si>
    <t>2504.548  27" 275 psi push joint pipe</t>
  </si>
  <si>
    <t>2504.549  30" 275 psi push joint pipe</t>
  </si>
  <si>
    <t>2504.55  33" 275 psi push joint pipe</t>
  </si>
  <si>
    <t>2504.551  36" 275 psi push joint pipe</t>
  </si>
  <si>
    <t>2504.552  39" 275 psi push joint pipe</t>
  </si>
  <si>
    <t>2504.553  42" 275 psi push joint pipe</t>
  </si>
  <si>
    <t>2504.554  45" 275 psi push joint pipe</t>
  </si>
  <si>
    <t>2504.555  48" 275 psi push joint pipe</t>
  </si>
  <si>
    <t>2504.556  51" 275 psi push joint pipe</t>
  </si>
  <si>
    <t>2504.557  54" 275 psi push joint pipe</t>
  </si>
  <si>
    <t>2504.561  12" 300 psi push joint pipe</t>
  </si>
  <si>
    <t>2504.562  14" 300 psi push joint pipe</t>
  </si>
  <si>
    <t>2504.563  16" 300 psi push joint pipe</t>
  </si>
  <si>
    <t>2504.564  18" 300 psi push joint pipe</t>
  </si>
  <si>
    <t>2504.565  20" 300 psi push joint pipe</t>
  </si>
  <si>
    <t>2504.566  21" 300 psi push joint pipe</t>
  </si>
  <si>
    <t>2504.567  24" 300 psi push joint pipe</t>
  </si>
  <si>
    <t>2504.568  27" 300 psi push joint pipe</t>
  </si>
  <si>
    <t>2504.569  30" 300 psi push joint pipe</t>
  </si>
  <si>
    <t>2504.57  33" 300 psi push joint pipe</t>
  </si>
  <si>
    <t>2504.571  36" 300 psi push joint pipe</t>
  </si>
  <si>
    <t>2504.572  39" 300 psi push joint pipe</t>
  </si>
  <si>
    <t>2504.573  42" 300 psi push joint pipe</t>
  </si>
  <si>
    <t>2504.574  45" 300 psi push joint pipe</t>
  </si>
  <si>
    <t>2504.575  48" 300 psi push joint pipe</t>
  </si>
  <si>
    <t>2504.576  51" 300 psi push joint pipe</t>
  </si>
  <si>
    <t>2504.577  54" 300 psi push joint pipe</t>
  </si>
  <si>
    <t>2504.581  12" 325 psi push joint pipe</t>
  </si>
  <si>
    <t>2504.582  14" 325 psi push joint pipe</t>
  </si>
  <si>
    <t>2504.583  16" 325 psi push joint pipe</t>
  </si>
  <si>
    <t>2504.584  18" 325 psi push joint pipe</t>
  </si>
  <si>
    <t>2504.585  20" 325 psi push joint pipe</t>
  </si>
  <si>
    <t>2504.586  21" 325 psi push joint pipe</t>
  </si>
  <si>
    <t>2504.587  24" 325 psi push joint pipe</t>
  </si>
  <si>
    <t>2504.588  27" 325 psi push joint pipe</t>
  </si>
  <si>
    <t>2504.589  30" 325 psi push joint pipe</t>
  </si>
  <si>
    <t>2504.59  33" 325 psi push joint pipe</t>
  </si>
  <si>
    <t>2504.591  36" 325 psi push joint pipe</t>
  </si>
  <si>
    <t>2504.592  39" 325 psi push joint pipe</t>
  </si>
  <si>
    <t>2504.593  42" 325 psi push joint pipe</t>
  </si>
  <si>
    <t>2504.594  45" 325 psi push joint pipe</t>
  </si>
  <si>
    <t>2504.595  48" 325 psi push joint pipe</t>
  </si>
  <si>
    <t>2504.596  51" 325 psi push joint pipe</t>
  </si>
  <si>
    <t>2504.597  54" 325 psi push joint pipe</t>
  </si>
  <si>
    <t>2504.66 Non-reinforced concrete C14</t>
  </si>
  <si>
    <t>2504.661   6" standard pipe</t>
  </si>
  <si>
    <t>2504.662   8" standard pipe</t>
  </si>
  <si>
    <t>2504.663  10" standard pipe</t>
  </si>
  <si>
    <t>2504.664  12" standard pipe</t>
  </si>
  <si>
    <t>2504.665  15" standard pipe</t>
  </si>
  <si>
    <t>2504.666  18" standard pipe</t>
  </si>
  <si>
    <t>2504.667  21" standard pipe</t>
  </si>
  <si>
    <t>2504.668  24" standard pipe</t>
  </si>
  <si>
    <t>2504.671 Reinforced concrete pipe C76</t>
  </si>
  <si>
    <t>2504.672  12" standard pipe</t>
  </si>
  <si>
    <t>2504.673  15" standard pipe</t>
  </si>
  <si>
    <t>2504.674  18" standard pipe</t>
  </si>
  <si>
    <t>2504.675  21" standard pipe</t>
  </si>
  <si>
    <t>2504.676  24" standard pipe</t>
  </si>
  <si>
    <t>2504.677  27" standard pipe</t>
  </si>
  <si>
    <t>2504.678  30" standard pipe</t>
  </si>
  <si>
    <t>2504.679  36" standard pipe</t>
  </si>
  <si>
    <t>2504.68  42" standard pipe</t>
  </si>
  <si>
    <t>2504.681  48" standard pipe</t>
  </si>
  <si>
    <t>2504.682  54" standard pipe</t>
  </si>
  <si>
    <t>2504.683  60" standard pipe</t>
  </si>
  <si>
    <t>2504.684  72" standard pipe</t>
  </si>
  <si>
    <t>2504.685  84" standard pipe</t>
  </si>
  <si>
    <t>2504.686  96" standard pipe</t>
  </si>
  <si>
    <t>2504.687  108" standard pipe</t>
  </si>
  <si>
    <t>2504.688  120" standard pipe</t>
  </si>
  <si>
    <t>2504.689  132" standard pipe</t>
  </si>
  <si>
    <t>2504.69  144" standard pipe</t>
  </si>
  <si>
    <t>2509.01 Site utilities allowance</t>
  </si>
  <si>
    <t>2509.011 * No. of site utility allowances *</t>
  </si>
  <si>
    <t>2510.101 4" ductile iron MJ pipe</t>
  </si>
  <si>
    <t>2510.102 6" ductile iron MJ pipe</t>
  </si>
  <si>
    <t>2510.103 8" ductile iron MJ pipe</t>
  </si>
  <si>
    <t>2510.104 10" ductile iron MJ pipe</t>
  </si>
  <si>
    <t>2510.105 12" ductile iron MJ pipe</t>
  </si>
  <si>
    <t>2510.106 14" ductile iron MJ pipe</t>
  </si>
  <si>
    <t>2510.107 16" ductile iron MJ pipe</t>
  </si>
  <si>
    <t>2510.108 18" ductile iron MJ pipe</t>
  </si>
  <si>
    <t>2510.109 20" ductile iron MJ pipe</t>
  </si>
  <si>
    <t>2510.11 24" ductile iron MJ pipe</t>
  </si>
  <si>
    <t>2510.21 4" PVC class 100 pipe</t>
  </si>
  <si>
    <t>2510.211 6" PVC class 100 pipe</t>
  </si>
  <si>
    <t>2510.212 8" PVC class 100 pipe</t>
  </si>
  <si>
    <t>2510.213 10" PVC class 100 pipe</t>
  </si>
  <si>
    <t>2510.214 12" PVC class 100 pipe</t>
  </si>
  <si>
    <t>2510.31 4" PVC class 150 pipe</t>
  </si>
  <si>
    <t>2510.311 6" PVC class 150 pipe</t>
  </si>
  <si>
    <t>2510.312 8" PVC class 150 pipe</t>
  </si>
  <si>
    <t>2510.313 10" PVC class 150 pipe</t>
  </si>
  <si>
    <t>2510.314 12" PVC class 150 pipe</t>
  </si>
  <si>
    <t>2510.41 1-1/2" PVC class 160 pipe</t>
  </si>
  <si>
    <t>2510.411 2" PVC class 160 pipe</t>
  </si>
  <si>
    <t>2510.412 2-1/2" PVC class 160 pipe</t>
  </si>
  <si>
    <t>2510.413 3" PVC class 160 pipe</t>
  </si>
  <si>
    <t>2510.414 4" PVC class 160 pipe</t>
  </si>
  <si>
    <t>2510.51 1-1/2" PVC pipe</t>
  </si>
  <si>
    <t>2510.511 2" PVC pipe</t>
  </si>
  <si>
    <t>2510.512 2-1/2" PVC pipe</t>
  </si>
  <si>
    <t>2510.513 3" PVC pipe</t>
  </si>
  <si>
    <t>2510.514 4" PVC pipe</t>
  </si>
  <si>
    <t>2510.61 4" PVC class 200 pipe</t>
  </si>
  <si>
    <t>2510.611 6" PVC class 200 pipe</t>
  </si>
  <si>
    <t>2510.612 8" PVC class 200 pipe</t>
  </si>
  <si>
    <t>2510.613 10" PVC class 200 pipe</t>
  </si>
  <si>
    <t>2510.614 12" PVC class 200 pipe</t>
  </si>
  <si>
    <t>2511.101 4" ductile iron MJ pipe</t>
  </si>
  <si>
    <t>2511.102 6" ductile iron MJ pipe</t>
  </si>
  <si>
    <t>2511.103 8" ductile iron MJ pipe</t>
  </si>
  <si>
    <t>2511.104 10" ductile iron MJ pipe</t>
  </si>
  <si>
    <t>2511.105 12" ductile iron MJ pipe</t>
  </si>
  <si>
    <t>2511.106 14" ductile iron MJ pipe</t>
  </si>
  <si>
    <t>2511.107 16" ductile iron MJ pipe</t>
  </si>
  <si>
    <t>2511.108 18" ductile iron MJ pipe</t>
  </si>
  <si>
    <t>2511.109 20" ductile iron MJ pipe</t>
  </si>
  <si>
    <t>2511.11 24" ductile iron MJ pipe</t>
  </si>
  <si>
    <t>2511.21 4" PVC class 150 pipe</t>
  </si>
  <si>
    <t>2511.211 6" PVC class 150 pipe</t>
  </si>
  <si>
    <t>2511.212 8" PVC class 150 pipe</t>
  </si>
  <si>
    <t>2511.213 10" PVC class 150 pipe</t>
  </si>
  <si>
    <t>2511.214 12" PVC class 150 pipe</t>
  </si>
  <si>
    <t>2518.005 Fire hydrant</t>
  </si>
  <si>
    <t>2518.006   Depth of bury 2'6"</t>
  </si>
  <si>
    <t>2518.007   Depth of bury 3'0"</t>
  </si>
  <si>
    <t>2518.008   Depth of bury 4'0"</t>
  </si>
  <si>
    <t>2518.009   Depth of bury 4'6"</t>
  </si>
  <si>
    <t>2518.01   Depth of bury 5'0"</t>
  </si>
  <si>
    <t>2518.011   Depth of bury 5'6"</t>
  </si>
  <si>
    <t>2518.012   Depth of bury 6'0"</t>
  </si>
  <si>
    <t>2518.013   Depth of bury 6'6"</t>
  </si>
  <si>
    <t>2518.014   Depth of bury 7'0"</t>
  </si>
  <si>
    <t>2518.024 Pumper connection</t>
  </si>
  <si>
    <t>2518.025   Depth of bury 2'6"</t>
  </si>
  <si>
    <t>2518.026   Depth of bury 3'0"</t>
  </si>
  <si>
    <t>2518.027   Depth of bury 4'0"</t>
  </si>
  <si>
    <t>2518.028   Depth of bury 4'6"</t>
  </si>
  <si>
    <t>2518.029   Depth of bury 5'0"</t>
  </si>
  <si>
    <t>2518.03   Depth of bury 5'6"</t>
  </si>
  <si>
    <t>2518.031   Depth of bury 6'0"</t>
  </si>
  <si>
    <t>2518.032   Depth of bury 6'6"</t>
  </si>
  <si>
    <t>2518.033   Depth of bury 7'0"</t>
  </si>
  <si>
    <t>2518.042 Post indicator</t>
  </si>
  <si>
    <t>2518.043  Vertical type</t>
  </si>
  <si>
    <t>2518.044  Wall type</t>
  </si>
  <si>
    <t>2519.801 *Length of site dom water**</t>
  </si>
  <si>
    <t>2519.802 *Length of site fire main**</t>
  </si>
  <si>
    <t>2519.803 * Length of domestic water pipe *</t>
  </si>
  <si>
    <t>2519.804 * Length of fire mains *</t>
  </si>
  <si>
    <t>2530.011 4" gravity sewer (SDR 35) pipe</t>
  </si>
  <si>
    <t>2530.012 6" gravity sewer (SDR 35) pipe</t>
  </si>
  <si>
    <t>2530.013 8" gravity sewer (SDR 35) pipe</t>
  </si>
  <si>
    <t>2530.014 10" gravity sewer (SDR 35) pipe</t>
  </si>
  <si>
    <t>2530.015 12" gravity sewer (SDR 35) pipe</t>
  </si>
  <si>
    <t>2530.016 15" gravity sewer (SDR 35) pipe</t>
  </si>
  <si>
    <t>2530.017 18" gravity sewer (SDR 35) pipe</t>
  </si>
  <si>
    <t>2530.018 21" gravity sewer (SDR 35) pipe</t>
  </si>
  <si>
    <t>2530.019 24" gravity sewer (SDR 35) pipe</t>
  </si>
  <si>
    <t>2530.02 27" gravity sewer (SDR 35) pipe</t>
  </si>
  <si>
    <t>2530.051 2" cast iron serv wt B&amp;S pipe</t>
  </si>
  <si>
    <t>2530.052 3" cast iron serv wt B&amp;S pipe</t>
  </si>
  <si>
    <t>2530.053 4" cast iron serv wt B&amp;S pipe</t>
  </si>
  <si>
    <t>2530.054 5" cast iron serv wt B&amp;S pipe</t>
  </si>
  <si>
    <t>2530.055 6" cast iron serv wt B&amp;S pipe</t>
  </si>
  <si>
    <t>2530.056 8" cast iron serv wt B&amp;S pipe</t>
  </si>
  <si>
    <t>2530.057 10" cast iron serv wt B&amp;S pipe</t>
  </si>
  <si>
    <t>2530.058 12" cast iron serv wt B&amp;S pipe</t>
  </si>
  <si>
    <t>2530.059 15" cast iron serv wt B&amp;S pipe</t>
  </si>
  <si>
    <t>2530.151 2" cast iron X heavy B&amp;S pipe</t>
  </si>
  <si>
    <t>2530.152 3" cast iron X heavy B&amp;S pipe</t>
  </si>
  <si>
    <t>2530.153 4" cast iron X heavy B&amp;S pipe</t>
  </si>
  <si>
    <t>2530.154 5" cast iron X heavy B&amp;S pipe</t>
  </si>
  <si>
    <t>2530.155 6" cast iron X heavy B&amp;S pipe</t>
  </si>
  <si>
    <t>2530.156 8" cast iron X heavy B&amp;S pipe</t>
  </si>
  <si>
    <t>2530.157 10" cast iron X heavy B&amp;S pipe</t>
  </si>
  <si>
    <t>2530.158 12" cast iron X heavy B&amp;S pipe</t>
  </si>
  <si>
    <t>2530.159 15" cast iron X heavy B&amp;S pipe</t>
  </si>
  <si>
    <t>2530.251 4" non-reinforced conc pipe</t>
  </si>
  <si>
    <t>2530.252 6" non-reinforced conc pipe</t>
  </si>
  <si>
    <t>2530.253 8" non-reinforced conc pipe</t>
  </si>
  <si>
    <t>2530.254 10" non-reinforced conc pipe</t>
  </si>
  <si>
    <t>2530.255 12" non-reinforced conc pipe</t>
  </si>
  <si>
    <t>2530.256 15" non-reinforced conc pipe</t>
  </si>
  <si>
    <t>2530.257 18" non-reinforced conc pipe</t>
  </si>
  <si>
    <t>2530.258 21" non-reinforced conc pipe</t>
  </si>
  <si>
    <t>2530.259 24" non-reinforced conc pipe</t>
  </si>
  <si>
    <t>2530.351 12" reinforced concrete pipe</t>
  </si>
  <si>
    <t>2530.352 15" reinforced concrete pipe</t>
  </si>
  <si>
    <t>2530.353 18" reinforced concrete pipe</t>
  </si>
  <si>
    <t>2530.354 21" reinforced concrete pipe</t>
  </si>
  <si>
    <t>2530.355 24" reinforced concrete pipe</t>
  </si>
  <si>
    <t>2530.356 27" reinforced concrete pipe</t>
  </si>
  <si>
    <t>2530.357 30" reinforced concrete pipe</t>
  </si>
  <si>
    <t>2530.358 33" reinforced concrete pipe</t>
  </si>
  <si>
    <t>2530.359 36" reinforced concrete pipe</t>
  </si>
  <si>
    <t>2530.36 42" reinforced concrete pipe</t>
  </si>
  <si>
    <t>2530.361 48" reinforced concrete pipe</t>
  </si>
  <si>
    <t>2530.362 54" reinforced concrete pipe</t>
  </si>
  <si>
    <t>2530.363 60" reinforced concrete pipe</t>
  </si>
  <si>
    <t>2530.364 72" reinforced concrete pipe</t>
  </si>
  <si>
    <t>2530.365 84" reinforced concrete pipe</t>
  </si>
  <si>
    <t>2530.366 96" reinforced concrete pipe</t>
  </si>
  <si>
    <t>2530.367 108" reinforced concrete pipe</t>
  </si>
  <si>
    <t>2530.451 4" X heavy vitrified clay pipe</t>
  </si>
  <si>
    <t>2530.452 6" X heavy vitrified clay pipe</t>
  </si>
  <si>
    <t>2530.453 8" X heavy vitrified clay pipe</t>
  </si>
  <si>
    <t>2530.454 10" X heavy vitrified clay pipe</t>
  </si>
  <si>
    <t>2530.455 12" X heavy vitrified clay pipe</t>
  </si>
  <si>
    <t>2530.456 15" X heavy vitrified clay pipe</t>
  </si>
  <si>
    <t>2530.457 18" X heavy vitrified clay pipe</t>
  </si>
  <si>
    <t>2530.458 21" X heavy vitrified clay pipe</t>
  </si>
  <si>
    <t>2530.459 24" X heavy vitrified clay pipe</t>
  </si>
  <si>
    <t>2530.46 30" X heavy vitrified clay pipe</t>
  </si>
  <si>
    <t>2530.461 36" X heavy vitrified clay pipe</t>
  </si>
  <si>
    <t>2530.501 4" gravity sewer (SDR 35) pipe</t>
  </si>
  <si>
    <t>2530.502 6" gravity sewer (SDR 35) pipe</t>
  </si>
  <si>
    <t>2530.503 8" gravity sewer (SDR 35) pipe</t>
  </si>
  <si>
    <t>2530.504 10" gravity sewer(SDR 35) pipe</t>
  </si>
  <si>
    <t>2530.505 12" gravity sewer(SDR 35) pipe</t>
  </si>
  <si>
    <t>2530.506 15" gravity sewer (SDR 35) pipe</t>
  </si>
  <si>
    <t>2530.507 18" gravity sewer (SDR 35) pipe</t>
  </si>
  <si>
    <t>2530.508 21" gravity sewer(SDR 35) pipe</t>
  </si>
  <si>
    <t>2530.509 24" gravity sewer (SDR 35) pipe</t>
  </si>
  <si>
    <t>2530.51 27" gravity sewer(SDR 35) pipe</t>
  </si>
  <si>
    <t>2539.99 ** Length of site sanitary **</t>
  </si>
  <si>
    <t>2539.991 * Length of sanitary sewer pipe *</t>
  </si>
  <si>
    <t>2580.011 Manhole up to 5' deep</t>
  </si>
  <si>
    <t>2580.012 Manhole more than 5' deep</t>
  </si>
  <si>
    <t>2580.021 Duct bank</t>
  </si>
  <si>
    <t>2580.022   Ductbank excavation</t>
  </si>
  <si>
    <t>2580.023   Ductbank backfill</t>
  </si>
  <si>
    <t>2580.024   3000 psi concrete in ductbank</t>
  </si>
  <si>
    <t>2580.025   Compacted ductbank backfill</t>
  </si>
  <si>
    <t>2580.03   Trencher to 18"</t>
  </si>
  <si>
    <t>2580.031   Trencher to 5'</t>
  </si>
  <si>
    <t>2580.032   Trencher to 3'</t>
  </si>
  <si>
    <t xml:space="preserve">2580.036   Trench backfill </t>
  </si>
  <si>
    <t xml:space="preserve">2580.037   Compacted trench backfill </t>
  </si>
  <si>
    <t>2580.04 Site lighting pole base</t>
  </si>
  <si>
    <t>2580.041 Site light pole base</t>
  </si>
  <si>
    <t>2580.05 Mastarm 1-fixture</t>
  </si>
  <si>
    <t>2580.051 Mastarm 2-fixture</t>
  </si>
  <si>
    <t>2580.052 Mastarm 3-fixture</t>
  </si>
  <si>
    <t>2580.053 Mastarm 4-fixture</t>
  </si>
  <si>
    <t>2580.06 Site light pole 10'</t>
  </si>
  <si>
    <t>2580.061 Site light pole 12'</t>
  </si>
  <si>
    <t>2580.062 Site light pole 15'</t>
  </si>
  <si>
    <t>2580.063 Site light pole 20'</t>
  </si>
  <si>
    <t>2580.064 Site light pole 25'</t>
  </si>
  <si>
    <t>2580.065 Site light pole 30'</t>
  </si>
  <si>
    <t>2580.066 Site light pole 35'</t>
  </si>
  <si>
    <t>2580.067 Site light pole 40'</t>
  </si>
  <si>
    <t>2580.068 Site light pole 45'</t>
  </si>
  <si>
    <t>2580.069 Site light pole 50'</t>
  </si>
  <si>
    <t>2580.1 Pole for fixture</t>
  </si>
  <si>
    <t>2580.111 15' steel pole</t>
  </si>
  <si>
    <t>2580.112 20' steel pole</t>
  </si>
  <si>
    <t>2580.113 25' steel pole</t>
  </si>
  <si>
    <t>2580.114 30' steel pole</t>
  </si>
  <si>
    <t>2580.115 35' steel pole</t>
  </si>
  <si>
    <t>2580.116 40' steel pole</t>
  </si>
  <si>
    <t>2580.117 45' steel pole</t>
  </si>
  <si>
    <t>2580.118 50' steel pole</t>
  </si>
  <si>
    <t>2580.121 15' aluminum pole</t>
  </si>
  <si>
    <t>2580.122 20' aluminum pole</t>
  </si>
  <si>
    <t>2580.123 25' aluminum pole</t>
  </si>
  <si>
    <t>2580.124 30' aluminum pole</t>
  </si>
  <si>
    <t>2580.125 35' aluminum pole</t>
  </si>
  <si>
    <t>2580.126 40' aluminum pole</t>
  </si>
  <si>
    <t>2580.127 45' aluminum pole</t>
  </si>
  <si>
    <t>2580.128 50' aluminum pole</t>
  </si>
  <si>
    <t>2580.131 15' concrete pole</t>
  </si>
  <si>
    <t>2580.132 20' concrete pole</t>
  </si>
  <si>
    <t>2580.133 25' concrete pole</t>
  </si>
  <si>
    <t>2580.134 30' concrete pole</t>
  </si>
  <si>
    <t>2580.135 35' concrete pole</t>
  </si>
  <si>
    <t>2580.136 40' concrete pole</t>
  </si>
  <si>
    <t>2580.137 15' hollow wood pole</t>
  </si>
  <si>
    <t>2580.138 20' hollow wood pole</t>
  </si>
  <si>
    <t>2580.139 25' hollow wood pole</t>
  </si>
  <si>
    <t>2580.14 15' class 3 wood pole</t>
  </si>
  <si>
    <t>2580.141 20' class 3 wood pole</t>
  </si>
  <si>
    <t>2580.142 25' class 3 wood pole</t>
  </si>
  <si>
    <t>2580.143 30' class 3 wood pole</t>
  </si>
  <si>
    <t>2580.144 35' class 3 wood pole</t>
  </si>
  <si>
    <t>2580.145 40' class 3 wood pole</t>
  </si>
  <si>
    <t>2580.146 45' class 3 wood pole</t>
  </si>
  <si>
    <t>2580.147 50' class 3 wood pole</t>
  </si>
  <si>
    <t>2580.15 Mastarms for fixture</t>
  </si>
  <si>
    <t>2580.161 2' mastarm</t>
  </si>
  <si>
    <t>2580.162 4' mastarm</t>
  </si>
  <si>
    <t>2580.163 6' mastarm</t>
  </si>
  <si>
    <t>2580.201 Ductbank concrete 3000 psi direct</t>
  </si>
  <si>
    <t>2580.202 Ductbank concrete 3000 psi w/crane</t>
  </si>
  <si>
    <t>2580.203 Ductbank concrete 3000 psi w/cart</t>
  </si>
  <si>
    <t>2580.204 Ductbank concrete 3000 psi w/pump</t>
  </si>
  <si>
    <t>2580.205 Ductbank concrete 3500 psi direct</t>
  </si>
  <si>
    <t>2580.206 Ductbank concrete 3500 psi w/crane</t>
  </si>
  <si>
    <t>2580.207 Ductbank concrete 3500 psi w/carts</t>
  </si>
  <si>
    <t>2580.208 Ductbank concrete 3500 psi w/pump</t>
  </si>
  <si>
    <t>2580.209 Ductbank concrete 4000 psi direct</t>
  </si>
  <si>
    <t>2580.21 Ductbank concrete 4000 psi w/crane</t>
  </si>
  <si>
    <t>2580.211 Ductbank concrete 4000 psi w/cart</t>
  </si>
  <si>
    <t>2580.212 Ductbank concrete 4000 psi w/pump</t>
  </si>
  <si>
    <t>2580.213 Ductbank concrete 5000 psi direct</t>
  </si>
  <si>
    <t>2580.214 Ductbank concrete 5000 psi w/crane</t>
  </si>
  <si>
    <t>2580.215 Ductbank concrete 5000 psi w/carts</t>
  </si>
  <si>
    <t>2580.216 Ductbank concrete 5000 psi w/pump</t>
  </si>
  <si>
    <t>2580.217 Ductbank concrete 6000 psi direct</t>
  </si>
  <si>
    <t>2580.218 Ductbank concrete 6000 psi w/crane</t>
  </si>
  <si>
    <t>2580.219 Ductbank concrete 6000 psi w/cart</t>
  </si>
  <si>
    <t>2580.22 Ductbank concrete 6000 psi w/pump</t>
  </si>
  <si>
    <t>2580.221 Ductbank concrete Mix A psi direct</t>
  </si>
  <si>
    <t>2580.222 Ductbank concrete Mix A psi w/crane</t>
  </si>
  <si>
    <t>2580.223 Ductbank concrete Mix A psi w/carts</t>
  </si>
  <si>
    <t>2580.224 Ductbank concrete Mix A psi w/pump</t>
  </si>
  <si>
    <t>2580.225 Ductbank concrete Mix B psi direct</t>
  </si>
  <si>
    <t>2580.226 Ductbank concrete Mix B psi w/crane</t>
  </si>
  <si>
    <t>2580.227 Ductbank concrete Mix B psi w/cart</t>
  </si>
  <si>
    <t>2580.228 Ductbank concrete Mix B psi w/pump</t>
  </si>
  <si>
    <t>2580.24 Ductbank edge forms</t>
  </si>
  <si>
    <t>2580.241 Form releasing agent</t>
  </si>
  <si>
    <t>2580.25 Ductbank rebar</t>
  </si>
  <si>
    <t>2580.251 Machine excavate ductbank</t>
  </si>
  <si>
    <t>2580.252 Hand excavate ductbank</t>
  </si>
  <si>
    <t>2580.253 Fine grade ductbank bottom</t>
  </si>
  <si>
    <t>2580.261 Finish ductbank top surface</t>
  </si>
  <si>
    <t>2580.262 Red dye in ductbank concrete</t>
  </si>
  <si>
    <t>2580.263 Red dye on ductbank concrete</t>
  </si>
  <si>
    <t>2580.271 Mach backfill ductbank</t>
  </si>
  <si>
    <t>2580.272 Hand backfill ductbank</t>
  </si>
  <si>
    <t>2580.273 Hand backfill ductbank with machine feed assist</t>
  </si>
  <si>
    <t>2580.274 Backfill ductbank w/sand</t>
  </si>
  <si>
    <t>2580.275 Backfill ductbank w/gravel</t>
  </si>
  <si>
    <t xml:space="preserve">2580.276 Backfill ductbank w/crushed stone </t>
  </si>
  <si>
    <t>2580.277 Backfill ductbank w/CLSM (flowable fill)</t>
  </si>
  <si>
    <t>2580.278 Excess ductbank soil</t>
  </si>
  <si>
    <t>2620.011 Perimeter drainage system</t>
  </si>
  <si>
    <t>2620.012 Underslab drainage system</t>
  </si>
  <si>
    <t>2630.011 8" corrugated mtl coated pipe</t>
  </si>
  <si>
    <t>2630.012 10" corrugated mtl coated pipe</t>
  </si>
  <si>
    <t>2630.013 12" corrugated mtl coated pipe</t>
  </si>
  <si>
    <t>2630.014 15" corrugated mtl coated pipe</t>
  </si>
  <si>
    <t>2630.015 18" corrugated mtl coated pipe</t>
  </si>
  <si>
    <t>2630.016 24" corrugated mtl coated pipe</t>
  </si>
  <si>
    <t>2630.017 30" corrugated mtl coated pipe</t>
  </si>
  <si>
    <t>2630.018 36" corrugated mtl coated pipe</t>
  </si>
  <si>
    <t>2630.019 48" corrugated mtl coated pipe</t>
  </si>
  <si>
    <t>2630.02 60" corrugated mtl coated pipe</t>
  </si>
  <si>
    <t>2630.021 72" corrugated mtl coated pipe</t>
  </si>
  <si>
    <t>2630.061 8" corrugated mtl pipe</t>
  </si>
  <si>
    <t>2630.062 10" corrugated mtl pipe</t>
  </si>
  <si>
    <t>2630.063 12" corrugated mtl pipe</t>
  </si>
  <si>
    <t>2630.064 15" corrugated mtl pipe</t>
  </si>
  <si>
    <t>2630.065 18" corrugated mtl pipe</t>
  </si>
  <si>
    <t>2630.066 24" corrugated mtl pipe</t>
  </si>
  <si>
    <t>2630.067 30" corrugated mtl pipe</t>
  </si>
  <si>
    <t>2630.068 36" corrugated mtl pipe</t>
  </si>
  <si>
    <t>2630.069 48" corrugated mtl pipe</t>
  </si>
  <si>
    <t>2630.07 60" corrugated mtl pipe</t>
  </si>
  <si>
    <t>2630.071 72" corrugated mtl pipe</t>
  </si>
  <si>
    <t>2630.11 Cast in place concrete inlet</t>
  </si>
  <si>
    <t>2630.111 Concrete headwall</t>
  </si>
  <si>
    <t>2630.121 Pedestrian grating</t>
  </si>
  <si>
    <t>2630.122 Auto grating</t>
  </si>
  <si>
    <t>2630.27 Hand excavate catchbasin</t>
  </si>
  <si>
    <t>2630.271 Machine excavate catchbasin</t>
  </si>
  <si>
    <t>2630.272 Hand backfill catchbasin</t>
  </si>
  <si>
    <t>2630.273 Machine backfill catchbasin</t>
  </si>
  <si>
    <t>2630.274 Backfill catchbasin with sand</t>
  </si>
  <si>
    <t>2630.275 Backfill catchbasin w/gravel</t>
  </si>
  <si>
    <t>2630.276 Backfill basin w/crushed stone</t>
  </si>
  <si>
    <t>2630.277 Backfill basin w/CLSM (flowable fill)</t>
  </si>
  <si>
    <t>2630.28 Point and patch</t>
  </si>
  <si>
    <t>2630.281 Trowel finish</t>
  </si>
  <si>
    <t>2630.282 Protect and cure</t>
  </si>
  <si>
    <t>2630.289 Catchbasin forms</t>
  </si>
  <si>
    <t>2630.293 Form releasing agent</t>
  </si>
  <si>
    <t>2630.296 6x6 W1.4/W1.4 mesh</t>
  </si>
  <si>
    <t>2630.297 6x6 W2.9/W2.9 mesh</t>
  </si>
  <si>
    <t>2630.298 Catchbasin rebar</t>
  </si>
  <si>
    <t>2630.301 ** Catchbasin concrete **</t>
  </si>
  <si>
    <t>2630.302   3000 psi direct</t>
  </si>
  <si>
    <t>2630.303   3000 psi with crane</t>
  </si>
  <si>
    <t>2630.304   3000 psi with cart</t>
  </si>
  <si>
    <t>2630.305   3000 psi with pump</t>
  </si>
  <si>
    <t>2630.306   2500 psi direct</t>
  </si>
  <si>
    <t>2630.307   2500 psi with crane</t>
  </si>
  <si>
    <t>2630.308   2500 psi with cart</t>
  </si>
  <si>
    <t>2630.309   2500 psi with pump</t>
  </si>
  <si>
    <t>2630.312   3500 psi direct</t>
  </si>
  <si>
    <t>2630.313   3500 psi with crane</t>
  </si>
  <si>
    <t>2630.314   3500 psi with cart</t>
  </si>
  <si>
    <t>2630.315   3500 psi with pump</t>
  </si>
  <si>
    <t>2630.316   4000 psi direct</t>
  </si>
  <si>
    <t>2630.317   4000 psi with crane</t>
  </si>
  <si>
    <t>2630.318   4000 psi with cart</t>
  </si>
  <si>
    <t>2630.319   4000 psi with pump</t>
  </si>
  <si>
    <t>2630.322   5000 psi direct</t>
  </si>
  <si>
    <t>2630.323   5000 psi with crane</t>
  </si>
  <si>
    <t>2630.324   5000 psi with cart</t>
  </si>
  <si>
    <t>2630.325   5000 psi with pump</t>
  </si>
  <si>
    <t>2630.326   Mix A direct</t>
  </si>
  <si>
    <t>2630.327   Mix A with crane</t>
  </si>
  <si>
    <t>2630.328   Mix A with cart</t>
  </si>
  <si>
    <t>2630.329   Mix A with pump</t>
  </si>
  <si>
    <t>2630.332   Mix B direct</t>
  </si>
  <si>
    <t>2630.333   Mix B with crane</t>
  </si>
  <si>
    <t>2630.334   Mix B with cart</t>
  </si>
  <si>
    <t>2630.335   Mix B with pump</t>
  </si>
  <si>
    <t>2630.4 Corrugated metal pipe</t>
  </si>
  <si>
    <t>2630.401   6" 18 ga galv. steel pipe</t>
  </si>
  <si>
    <t>2630.402   8" 18 ga galv. steel pipe</t>
  </si>
  <si>
    <t>2630.403  10" 18 ga galv. steel pipe</t>
  </si>
  <si>
    <t>2630.404  12" 18 ga galv. steel pipe</t>
  </si>
  <si>
    <t>2630.405  15" 18 ga galv. steel pipe</t>
  </si>
  <si>
    <t>2630.406  18" 18 ga galv. steel pipe</t>
  </si>
  <si>
    <t>2630.407   6" 16 ga galv. steel pipe</t>
  </si>
  <si>
    <t>2630.408   8" 16 ga galv. steel pipe</t>
  </si>
  <si>
    <t>2630.409  10" 16 ga galv. steel pipe</t>
  </si>
  <si>
    <t>2630.41  12" 16 ga galv. steel pipe</t>
  </si>
  <si>
    <t>2630.411  15" 16 ga galv. steel pipe</t>
  </si>
  <si>
    <t>2630.412  18" 16 ga galv. steel pipe</t>
  </si>
  <si>
    <t>2630.413  21" 16 ga galv. steel pipe</t>
  </si>
  <si>
    <t>2630.414  24" 16 ga galv. steel pipe</t>
  </si>
  <si>
    <t>2630.415  30" 16 ga galv. steel pipe</t>
  </si>
  <si>
    <t>2630.416  36" 16 ga galv. steel pipe</t>
  </si>
  <si>
    <t>2630.417  42" 16 ga galv. steel pipe</t>
  </si>
  <si>
    <t>2630.418  48" 16 ga galv. steel pipe</t>
  </si>
  <si>
    <t>2630.419  12" 14 ga galv. steel pipe</t>
  </si>
  <si>
    <t>2630.42  15" 14 ga galv. steel pipe</t>
  </si>
  <si>
    <t>2630.421  18" 14 ga galv. steel pipe</t>
  </si>
  <si>
    <t>2630.422  21" 14 ga galv. steel pipe</t>
  </si>
  <si>
    <t>2630.423  24" 14 ga galv. steel pipe</t>
  </si>
  <si>
    <t>2630.424  30" 14 ga galv. steel pipe</t>
  </si>
  <si>
    <t>2630.425  36" 14 ga galv. steel pipe</t>
  </si>
  <si>
    <t>2630.426  42" 14 ga galv. steel pipe</t>
  </si>
  <si>
    <t>2630.427  48" 14 ga galv. steel pipe</t>
  </si>
  <si>
    <t>2630.428  54" 14 ga galv. steel pipe</t>
  </si>
  <si>
    <t>2630.429  60" 14 ga galv. steel pipe</t>
  </si>
  <si>
    <t>2630.43  24" 12 ga galv. steel pipe</t>
  </si>
  <si>
    <t>2630.431  30" 12 ga galv. steel pipe</t>
  </si>
  <si>
    <t>2630.432  36" 12 ga galv. steel pipe</t>
  </si>
  <si>
    <t>2630.433  42" 12 ga galv. steel pipe</t>
  </si>
  <si>
    <t>2630.434  48" 12 ga galv. steel pipe</t>
  </si>
  <si>
    <t>2630.435  54" 12 ga galv. steel pipe</t>
  </si>
  <si>
    <t>2630.436  60" 12 ga galv. steel pipe</t>
  </si>
  <si>
    <t>2630.437  66" 12 ga galv. steel pipe</t>
  </si>
  <si>
    <t>2630.438  72" 12 ga galv. steel pipe</t>
  </si>
  <si>
    <t>2630.451   6" 18 ga coated steel pipe</t>
  </si>
  <si>
    <t>2630.452   8" 18 ga coated steel pipe</t>
  </si>
  <si>
    <t>2630.453  10" 18 ga coated steel pipe</t>
  </si>
  <si>
    <t>2630.454  12" 18 ga coated steel pipe</t>
  </si>
  <si>
    <t>2630.455  15" 18 ga coated steel pipe</t>
  </si>
  <si>
    <t>2630.456  18" 18 ga coated steel pipe</t>
  </si>
  <si>
    <t>2630.457   6" 16 ga coated steel pipe</t>
  </si>
  <si>
    <t>2630.458   8" 16 ga coated steel pipe</t>
  </si>
  <si>
    <t>2630.459  10" 16 ga coated steel pipe</t>
  </si>
  <si>
    <t>2630.46  12" 16 ga coated steel pipe</t>
  </si>
  <si>
    <t>2630.461  15" 16 ga coated steel pipe</t>
  </si>
  <si>
    <t>2630.462  18" 16 ga coated steel pipe</t>
  </si>
  <si>
    <t>2630.463  21" 16 ga coated steel pipe</t>
  </si>
  <si>
    <t>2630.464  24" 16 ga coated steel pipe</t>
  </si>
  <si>
    <t>2630.465  30" 16 ga coated steel pipe</t>
  </si>
  <si>
    <t>2630.466  36" 16 ga coated steel pipe</t>
  </si>
  <si>
    <t>2630.467  42" 16 ga coated steel pipe</t>
  </si>
  <si>
    <t>2630.468  48" 16 ga coated steel pipe</t>
  </si>
  <si>
    <t>2630.469  12" 14 ga coated steel pipe</t>
  </si>
  <si>
    <t>2630.47  15" 14 ga coated steel pipe</t>
  </si>
  <si>
    <t>2630.471  18" 14 ga coated steel pipe</t>
  </si>
  <si>
    <t>2630.472  21" 14 ga coated steel pipe</t>
  </si>
  <si>
    <t>2630.473  24" 14 ga coated steel pipe</t>
  </si>
  <si>
    <t>2630.474  30" 14 ga coated steel pipe</t>
  </si>
  <si>
    <t>2630.475  36" 14 ga coated steel pipe</t>
  </si>
  <si>
    <t>2630.476  42" 14 ga coated steel pipe</t>
  </si>
  <si>
    <t>2630.477  48" 14 ga coated steel pipe</t>
  </si>
  <si>
    <t>2630.478  54" 14 ga coated steel pipe</t>
  </si>
  <si>
    <t>2630.479  60" 14 ga coated steel pipe</t>
  </si>
  <si>
    <t>2630.48  24" 12 ga coated steel pipe</t>
  </si>
  <si>
    <t>2630.481  30" 12 ga coated steel pipe</t>
  </si>
  <si>
    <t>2630.482  36" 12 ga coated steel pipe</t>
  </si>
  <si>
    <t>2630.483  42" 12 ga coated steel pipe</t>
  </si>
  <si>
    <t>2630.484  48" 12 ga coated steel pipe</t>
  </si>
  <si>
    <t>2630.485  54" 12 ga coated steel pipe</t>
  </si>
  <si>
    <t>2630.486  60" 12 ga coated steel pipe</t>
  </si>
  <si>
    <t>2630.487  66" 12 ga coated steel pipe</t>
  </si>
  <si>
    <t>2630.488  72" 12 ga coated steel pipe</t>
  </si>
  <si>
    <t>2630.501   6" 18 ga aluminized pipe</t>
  </si>
  <si>
    <t>2630.502   8" 18 ga aluminized pipe</t>
  </si>
  <si>
    <t>2630.503  10" 18 ga aluminized pipe</t>
  </si>
  <si>
    <t>2630.504  12" 18 ga aluminized pipe</t>
  </si>
  <si>
    <t>2630.505  15" 18 ga aluminized pipe</t>
  </si>
  <si>
    <t>2630.506  18" 18 ga aluminized pipe</t>
  </si>
  <si>
    <t>2630.507   6" 16 ga aluminized pipe</t>
  </si>
  <si>
    <t>2630.508   8" 16 ga aluminized pipe</t>
  </si>
  <si>
    <t>2630.509  10" 16 ga aluminized pipe</t>
  </si>
  <si>
    <t>2630.51  12" 16 ga aluminized pipe</t>
  </si>
  <si>
    <t>2630.511  15" 16 ga aluminized pipe</t>
  </si>
  <si>
    <t>2630.512  18" 16 ga aluminized pipe</t>
  </si>
  <si>
    <t>2630.513  21" 16 ga aluminized pipe</t>
  </si>
  <si>
    <t>2630.514  24" 16 ga aluminized pipe</t>
  </si>
  <si>
    <t>2630.515  30" 16 ga aluminized pipe</t>
  </si>
  <si>
    <t>2630.516  36" 16 ga aluminized pipe</t>
  </si>
  <si>
    <t>2630.517  42" 16 ga aluminized pipe</t>
  </si>
  <si>
    <t>2630.518  48" 16 ga aluminized pipe</t>
  </si>
  <si>
    <t>2630.519  12" 14 ga aluminized pipe</t>
  </si>
  <si>
    <t>2630.52  15" 14 ga aluminized pipe</t>
  </si>
  <si>
    <t>2630.521  18" 14 ga aluminized pipe</t>
  </si>
  <si>
    <t>2630.522  21" 14 ga aluminized pipe</t>
  </si>
  <si>
    <t>2630.523  24" 14 ga aluminized pipe</t>
  </si>
  <si>
    <t>2630.524  30" 14 ga aluminized pipe</t>
  </si>
  <si>
    <t>2630.525  36" 14 ga aluminized pipe</t>
  </si>
  <si>
    <t>2630.526  42" 14 ga aluminized pipe</t>
  </si>
  <si>
    <t>2630.527  48" 14 ga aluminized pipe</t>
  </si>
  <si>
    <t>2630.528  54" 14 ga aluminized pipe</t>
  </si>
  <si>
    <t>2630.529  60" 14 ga aluminized pipe</t>
  </si>
  <si>
    <t>2630.53  24" 12 ga aluminized pipe</t>
  </si>
  <si>
    <t>2630.531  30" 12 ga aluminized pipe</t>
  </si>
  <si>
    <t>2630.532  36" 12 ga aluminized pipe</t>
  </si>
  <si>
    <t>2630.533  42" 12 ga aluminized pipe</t>
  </si>
  <si>
    <t>2630.534  48" 12 ga aluminized pipe</t>
  </si>
  <si>
    <t>2630.535  54" 12 ga aluminized pipe</t>
  </si>
  <si>
    <t>2630.536  60" 12 ga aluminized pipe</t>
  </si>
  <si>
    <t>2630.537  66" 12 ga aluminized pipe</t>
  </si>
  <si>
    <t>2630.538  72" 12 ga aluminized pipe</t>
  </si>
  <si>
    <t>2630.551   6" 18 ga aluminum pipe</t>
  </si>
  <si>
    <t>2630.552   8" 18 ga aluminum pipe</t>
  </si>
  <si>
    <t>2630.553  10" 18 ga aluminum pipe</t>
  </si>
  <si>
    <t>2630.554  12" 18 ga aluminum pipe</t>
  </si>
  <si>
    <t>2630.555  15" 18 ga aluminum pipe</t>
  </si>
  <si>
    <t>2630.556  18" 18 ga aluminum pipe</t>
  </si>
  <si>
    <t>2630.557   6" 16 ga aluminum pipe</t>
  </si>
  <si>
    <t>2630.558   8" 16 ga aluminum pipe</t>
  </si>
  <si>
    <t>2630.559  10" 16 ga aluminum pipe</t>
  </si>
  <si>
    <t>2630.56  12" 16 ga aluminum pipe</t>
  </si>
  <si>
    <t>2630.561  15" 16 ga aluminum pipe</t>
  </si>
  <si>
    <t>2630.562  18" 16 ga aluminum pipe</t>
  </si>
  <si>
    <t>2630.563  21" 16 ga aluminum pipe</t>
  </si>
  <si>
    <t>2630.564  24" 16 ga aluminum pipe</t>
  </si>
  <si>
    <t>2630.565  12" 14 ga aluminum pipe</t>
  </si>
  <si>
    <t>2630.566  15" 14 ga aluminum pipe</t>
  </si>
  <si>
    <t>2630.567  18" 14 ga aluminum pipe</t>
  </si>
  <si>
    <t>2630.568  21" 14 ga aluminum pipe</t>
  </si>
  <si>
    <t>2630.569  24" 14 ga aluminum pipe</t>
  </si>
  <si>
    <t>2630.57  30" 14 ga aluminum pipe</t>
  </si>
  <si>
    <t>2630.571  36" 14 ga aluminum pipe</t>
  </si>
  <si>
    <t>2630.572  24" 12 ga aluminum pipe</t>
  </si>
  <si>
    <t>2630.573  30" 12 ga aluminum pipe</t>
  </si>
  <si>
    <t>2630.574  36" 12 ga aluminum pipe</t>
  </si>
  <si>
    <t>2630.575  42" 12 ga aluminum pipe</t>
  </si>
  <si>
    <t>2630.576  48" 12 ga aluminum pipe</t>
  </si>
  <si>
    <t>2630.577  54" 12 ga aluminum pipe</t>
  </si>
  <si>
    <t>2630.6 Corrugated polyethylene pipe</t>
  </si>
  <si>
    <t>2630.61   3" corrugated pe pipe</t>
  </si>
  <si>
    <t>2630.611   4" corrugated pe pipe</t>
  </si>
  <si>
    <t>2630.612   6" corrugated pe pipe</t>
  </si>
  <si>
    <t>2630.613   8" corrugated pe pipe</t>
  </si>
  <si>
    <t>2630.614  10" corrugated pe pipe</t>
  </si>
  <si>
    <t>2630.615  12" corrugated pe pipe</t>
  </si>
  <si>
    <t>2630.616  15" corrugated pe pipe</t>
  </si>
  <si>
    <t>2630.617  18" corrugated pe pipe</t>
  </si>
  <si>
    <t>2630.618  24" corrugated pe pipe</t>
  </si>
  <si>
    <t>2630.62  12" N-12 smooth pe pipe</t>
  </si>
  <si>
    <t>2630.621  15" N-12 smooth pe pipe</t>
  </si>
  <si>
    <t>2630.622  18" N-12 smooth pe pipe</t>
  </si>
  <si>
    <t>2630.623  24" N-12 smooth pe pipe</t>
  </si>
  <si>
    <t>2630.65 PVC spec C900 pipe</t>
  </si>
  <si>
    <t>2630.651   4" class 100 push joint pipe</t>
  </si>
  <si>
    <t>2630.652   6" class 100 push joint pipe</t>
  </si>
  <si>
    <t>2630.653   8" class 100 push joint pipe</t>
  </si>
  <si>
    <t>2630.654  10" class 100 push joint pipe</t>
  </si>
  <si>
    <t>2630.655  12" class 100 push joint pipe</t>
  </si>
  <si>
    <t>2630.661   4" class 150 push joint pipe</t>
  </si>
  <si>
    <t>2630.662   6" class 150 push joint pipe</t>
  </si>
  <si>
    <t>2630.663   8" class 150 push joint pipe</t>
  </si>
  <si>
    <t>2630.664  10" class 150 push joint pipe</t>
  </si>
  <si>
    <t>2630.665  12" class 150 push joint pipe</t>
  </si>
  <si>
    <t>2630.671   4" class 200 push joint pipe</t>
  </si>
  <si>
    <t>2630.672   6" class 200 push joint pipe</t>
  </si>
  <si>
    <t>2630.673   8" class 200 push joint pipe</t>
  </si>
  <si>
    <t>2630.674  10" class 200 push joint pipe</t>
  </si>
  <si>
    <t>2630.675  12" class 200 push joint pipe</t>
  </si>
  <si>
    <t>2630.681  14" class 165 push joint pipe</t>
  </si>
  <si>
    <t>2630.682  16" class 165 push joint pipe</t>
  </si>
  <si>
    <t>2630.683  18" class 165 push joint pipe</t>
  </si>
  <si>
    <t>2630.684  20" class 165 push joint pipe</t>
  </si>
  <si>
    <t>2630.685  24" class 165 push joint pipe</t>
  </si>
  <si>
    <t>2630.691  14" class 235 push joint pipe</t>
  </si>
  <si>
    <t>2630.692  16" class 235 push joint pipe</t>
  </si>
  <si>
    <t>2630.693  18" class 235 push joint pipe</t>
  </si>
  <si>
    <t>2630.694  20" class 235 push joint pipe</t>
  </si>
  <si>
    <t>2630.7 Gravity PVC pipe</t>
  </si>
  <si>
    <t>2630.71   4" SDR 35 push joint pipe</t>
  </si>
  <si>
    <t>2630.711   6" SDR 35 push joint pipe</t>
  </si>
  <si>
    <t>2630.712   8" SDR 35 push joint pipe</t>
  </si>
  <si>
    <t>2630.713  10" SDR 35 push joint pipe</t>
  </si>
  <si>
    <t>2630.714  12" SDR 35 push joint pipe</t>
  </si>
  <si>
    <t>2630.715  15" SDR 35 push joint pipe</t>
  </si>
  <si>
    <t>2630.716  18" SDR 35 push joint pipe</t>
  </si>
  <si>
    <t>2630.717  21" SDR 35 push joint pipe</t>
  </si>
  <si>
    <t>2630.718  24" SDR 35 push joint pipe</t>
  </si>
  <si>
    <t>2630.719  27" SDR 35 push joint pipe</t>
  </si>
  <si>
    <t>2630.81 ** Headwall footing **</t>
  </si>
  <si>
    <t>2630.811   3000 psi, pour direct</t>
  </si>
  <si>
    <t>2630.812   2500 psi, pour direct</t>
  </si>
  <si>
    <t>2630.813   3500 psi, pour direct</t>
  </si>
  <si>
    <t>2630.814   3750 psi, pour direct</t>
  </si>
  <si>
    <t>2630.815   4000 psi, pour direct</t>
  </si>
  <si>
    <t>2630.816   5000 psi, pour direct</t>
  </si>
  <si>
    <t>2630.817   Mix A, pour direct</t>
  </si>
  <si>
    <t>2630.818   Mix B, pour direct</t>
  </si>
  <si>
    <t>2630.819   3000 psi, crane</t>
  </si>
  <si>
    <t>2630.82   2500 psi, crane</t>
  </si>
  <si>
    <t>2630.821   3500 psi, crane</t>
  </si>
  <si>
    <t>2630.822   3750 psi, crane</t>
  </si>
  <si>
    <t>2630.823   4000 psi, crane</t>
  </si>
  <si>
    <t>2630.824   5000 psi, crane</t>
  </si>
  <si>
    <t>2630.825   Mix A, crane</t>
  </si>
  <si>
    <t>2630.826   Mix B, crane</t>
  </si>
  <si>
    <t>2630.827   3000 psi, carts</t>
  </si>
  <si>
    <t>2630.828   2500 psi, carts</t>
  </si>
  <si>
    <t>2630.829   3500 psi, carts</t>
  </si>
  <si>
    <t>2630.83   3750 psi, carts</t>
  </si>
  <si>
    <t>2630.831   4000 psi, carts</t>
  </si>
  <si>
    <t>2630.832   5000 psi, carts</t>
  </si>
  <si>
    <t>2630.833   Mix A, carts</t>
  </si>
  <si>
    <t>2630.834   Mix B, carts</t>
  </si>
  <si>
    <t>2630.835   3000 psi, pump</t>
  </si>
  <si>
    <t>2630.836   2500 psi, pump</t>
  </si>
  <si>
    <t>2630.837   3500 psi, pump</t>
  </si>
  <si>
    <t>2630.838   3750 psi, pump</t>
  </si>
  <si>
    <t>2630.839   4000 psi, pump</t>
  </si>
  <si>
    <t>2630.84   5000 psi, pump</t>
  </si>
  <si>
    <t>2630.841   Mix A, pump</t>
  </si>
  <si>
    <t>2630.842   Mix B, pump</t>
  </si>
  <si>
    <t>2630.85 ** Headwall concrete **</t>
  </si>
  <si>
    <t>2630.851   3000 psi, pour direct</t>
  </si>
  <si>
    <t>2630.852   2500 psi, pour direct</t>
  </si>
  <si>
    <t>2630.853   3500 psi, pour direct</t>
  </si>
  <si>
    <t>2630.854   3750 psi, pour direct</t>
  </si>
  <si>
    <t>2630.855   4000 psi, pour direct</t>
  </si>
  <si>
    <t>2630.856   5000 psi, pour direct</t>
  </si>
  <si>
    <t>2630.857   Mix A, pour direct</t>
  </si>
  <si>
    <t>2630.858   Mix B, pour direct</t>
  </si>
  <si>
    <t>2630.859   3000 psi, crane</t>
  </si>
  <si>
    <t>2630.86   2500 psi, crane</t>
  </si>
  <si>
    <t>2630.861   3500 psi, crane</t>
  </si>
  <si>
    <t>2630.862   3750 psi, crane</t>
  </si>
  <si>
    <t>2630.863   4000 psi, crane</t>
  </si>
  <si>
    <t>2630.864   5000 psi, crane</t>
  </si>
  <si>
    <t>2630.865   Mix A, crane</t>
  </si>
  <si>
    <t>2630.866   Mix B, crane</t>
  </si>
  <si>
    <t>2630.867   3000 psi, carts</t>
  </si>
  <si>
    <t>2630.868   2500 psi, carts</t>
  </si>
  <si>
    <t>2630.869   3500 psi, carts</t>
  </si>
  <si>
    <t>2630.87   3750 psi, carts</t>
  </si>
  <si>
    <t>2630.871   4000 psi, carts</t>
  </si>
  <si>
    <t>2630.872   5000 psi, carts</t>
  </si>
  <si>
    <t>2630.873   Mix A, carts</t>
  </si>
  <si>
    <t>2630.874   Mix B, carts</t>
  </si>
  <si>
    <t>2630.875   3000 psi, pump</t>
  </si>
  <si>
    <t>2630.876   2500 psi, pump</t>
  </si>
  <si>
    <t>2630.877   3500 psi, pump</t>
  </si>
  <si>
    <t>2630.878   3750 psi, pump</t>
  </si>
  <si>
    <t>2630.879   4000 psi, pump</t>
  </si>
  <si>
    <t>2630.88   5000 psi, pump</t>
  </si>
  <si>
    <t>2630.881   Mix A, pump</t>
  </si>
  <si>
    <t>2630.882   Mix B, pump</t>
  </si>
  <si>
    <t>2639.9 **Length of site drainage**</t>
  </si>
  <si>
    <t>2639.901 * Drainage pipe length *</t>
  </si>
  <si>
    <t>2639.902 * Site grating area *</t>
  </si>
  <si>
    <t>2709.91 ** Total paving area **</t>
  </si>
  <si>
    <t>2709.911 * Paving area *</t>
  </si>
  <si>
    <t>2710.01 1" hot mix base</t>
  </si>
  <si>
    <t>2710.011 2" hot mix base</t>
  </si>
  <si>
    <t>2710.012 3" hot mix base</t>
  </si>
  <si>
    <t>2710.013 4" hot mix base</t>
  </si>
  <si>
    <t>2710.014 5" hot mix base</t>
  </si>
  <si>
    <t>2710.015 6" hot mix base</t>
  </si>
  <si>
    <t>2710.016 7" hot mix base</t>
  </si>
  <si>
    <t>2710.017 8" hot mix base</t>
  </si>
  <si>
    <t>2710.018 Hot mix base</t>
  </si>
  <si>
    <t>2710.02 4" soil cement base</t>
  </si>
  <si>
    <t>2710.021 6" soil cement base</t>
  </si>
  <si>
    <t>2710.022 8" soil cement base</t>
  </si>
  <si>
    <t>2710.023 10" soil cement base</t>
  </si>
  <si>
    <t>2710.024 12" soil cement base</t>
  </si>
  <si>
    <t>2710.025 Soil cement base</t>
  </si>
  <si>
    <t>2710.03 Soil cement treatment</t>
  </si>
  <si>
    <t>2720.01 4" compacted local gravel</t>
  </si>
  <si>
    <t>2720.012 6" compacted local gravel</t>
  </si>
  <si>
    <t>2720.013 8" compacted local gravel</t>
  </si>
  <si>
    <t>2720.014 9" compacted local gravel</t>
  </si>
  <si>
    <t>2720.015 10" compacted local gravel</t>
  </si>
  <si>
    <t>2720.016 12" compacted local gravel</t>
  </si>
  <si>
    <t>2720.017 Compacted local gravel</t>
  </si>
  <si>
    <t>2720.02 3" compacted limestone</t>
  </si>
  <si>
    <t>2720.021 4" compacted limestone</t>
  </si>
  <si>
    <t>2720.022 6" compacted limestone</t>
  </si>
  <si>
    <t>2720.023 8" compacted limestone</t>
  </si>
  <si>
    <t>2720.024 9" compacted limestone</t>
  </si>
  <si>
    <t>2720.025 10" compacted limestone</t>
  </si>
  <si>
    <t>2720.026 12" compacted limestone</t>
  </si>
  <si>
    <t>2720.027 Compacted limestone base course</t>
  </si>
  <si>
    <t>2720.031 4" macadam base</t>
  </si>
  <si>
    <t>2720.032 6" macadam base</t>
  </si>
  <si>
    <t>2720.033 8" macadam base</t>
  </si>
  <si>
    <t>2720.034 Macadam base</t>
  </si>
  <si>
    <t>2720.04 Washed gravel sub base</t>
  </si>
  <si>
    <t>2720.041 Limestone sub base</t>
  </si>
  <si>
    <t>2720.042 Sand sub base</t>
  </si>
  <si>
    <t>2720.043 Bank gravel sub base</t>
  </si>
  <si>
    <t>2720.045 Sub base fill @ concrete paving</t>
  </si>
  <si>
    <t>2720.05 Washed gravel fill @ paving</t>
  </si>
  <si>
    <t>2720.051 Sand fill @ paving</t>
  </si>
  <si>
    <t>2720.052 Road gravel fill @ paving</t>
  </si>
  <si>
    <t>2720.061 Sub base @ slab</t>
  </si>
  <si>
    <t>2740.01 ½" asphalt wearing course</t>
  </si>
  <si>
    <t>2740.011 1" asphalt wearing course</t>
  </si>
  <si>
    <t>2740.012 1½" asphalt wearing course</t>
  </si>
  <si>
    <t>2740.013 2" asphalt wearing course</t>
  </si>
  <si>
    <t>2740.014 2½" asphalt wearing course</t>
  </si>
  <si>
    <t>2740.015 3" asphalt wearing course</t>
  </si>
  <si>
    <t>2740.016 3½" asphalt wearing course</t>
  </si>
  <si>
    <t>2740.017 4" asphalt wearing course</t>
  </si>
  <si>
    <t>2740.018 Asphalt wearing course</t>
  </si>
  <si>
    <t>2740.02 Asphalt paving</t>
  </si>
  <si>
    <t>2740.03 Asphalt topping</t>
  </si>
  <si>
    <t>2740.11 Gravel paving</t>
  </si>
  <si>
    <t>2749.9 **Asphalt paving area**</t>
  </si>
  <si>
    <t>2749.901 * Asphalt pavement area *</t>
  </si>
  <si>
    <t>2750.01 **Concrete paving**</t>
  </si>
  <si>
    <t>2750.011   3000 psi concrete</t>
  </si>
  <si>
    <t>2750.012   2500 psi concrete</t>
  </si>
  <si>
    <t>2750.013   3500 psi concrete</t>
  </si>
  <si>
    <t>2750.014   3750 psi concrete</t>
  </si>
  <si>
    <t>2750.015   4000 psi concrete</t>
  </si>
  <si>
    <t>2750.016   5000 psi concrete</t>
  </si>
  <si>
    <t>2750.017   Mix A concrete</t>
  </si>
  <si>
    <t>2750.018   Mix B concrete</t>
  </si>
  <si>
    <t>2750.019 Concrete @ paving</t>
  </si>
  <si>
    <t>2750.02 Concrete paving finish</t>
  </si>
  <si>
    <t>2750.021 Protect and cure horizontal concrete paving surface</t>
  </si>
  <si>
    <t>2750.022 Protect and cure vertical concrete paving surface</t>
  </si>
  <si>
    <t>2750.025 Fine grade for concrete paving</t>
  </si>
  <si>
    <t>2750.03 Add for screeds-concrete paving</t>
  </si>
  <si>
    <t>2750.031 Concrete paving edge forms</t>
  </si>
  <si>
    <t>2750.035 Edge forms @ concrete paving</t>
  </si>
  <si>
    <t>2750.04 6x6-1.4/1.4 mesh</t>
  </si>
  <si>
    <t>2750.041 6x6-2.9/2.9 mesh</t>
  </si>
  <si>
    <t>2750.042 6x6-4/4 mesh</t>
  </si>
  <si>
    <t>2750.043 4x4-4/4 mesh</t>
  </si>
  <si>
    <t>2750.044 6x6-2.1/2.1 mesh</t>
  </si>
  <si>
    <t>2750.045 4x4-2.9/2.9 mesh</t>
  </si>
  <si>
    <t>2750.046 Rebar for concrete paving</t>
  </si>
  <si>
    <t>2750.047 Expansion joint</t>
  </si>
  <si>
    <t>2750.049 Mesh @ concrete paving</t>
  </si>
  <si>
    <t>2750.06 Trowel finish paving</t>
  </si>
  <si>
    <t>2750.061 Broom finish paving</t>
  </si>
  <si>
    <t>2750.062 Washed finish paving</t>
  </si>
  <si>
    <t>2750.063 Screed finish paving</t>
  </si>
  <si>
    <t>2750.064 Float finish paving</t>
  </si>
  <si>
    <t>2750.07 Concrete paving edge forms</t>
  </si>
  <si>
    <t>2750.078 Expansion joint @ paving</t>
  </si>
  <si>
    <t>2750.08 6x6-1.4/1.4 mesh @ paving</t>
  </si>
  <si>
    <t>2750.081 6x6-2.1/2.1 mesh @ paving</t>
  </si>
  <si>
    <t>2750.082 6x6-2.9/2.9 mesh @ paving</t>
  </si>
  <si>
    <t>2750.09 Reinforcing steel @ paving</t>
  </si>
  <si>
    <t>2750.1 #2 x 20' rebar @ paving</t>
  </si>
  <si>
    <t>2750.101 Concrete @ patio</t>
  </si>
  <si>
    <t>2750.102 Fine grade @ patio</t>
  </si>
  <si>
    <t>2750.103 Edge forms @ patio</t>
  </si>
  <si>
    <t>2750.104 Mesh @ patio</t>
  </si>
  <si>
    <t>2750.105 Concrete finish @ patio</t>
  </si>
  <si>
    <t>2750.106 Protect and cure @ patio</t>
  </si>
  <si>
    <t>2750.107 Sub base @ patio</t>
  </si>
  <si>
    <t>2750.11 Hand fine grade patio</t>
  </si>
  <si>
    <t>2750.111 Machine fine grade patio</t>
  </si>
  <si>
    <t>2750.115 Hand excav thick slab @ patio</t>
  </si>
  <si>
    <t>2750.116 Mach excav thick slab @ patio</t>
  </si>
  <si>
    <t>2750.12 Washed gravel fill @ patio</t>
  </si>
  <si>
    <t>2750.121 Sand fill @ patio</t>
  </si>
  <si>
    <t>2750.122 Road gravel fill @ patio</t>
  </si>
  <si>
    <t>2750.13 Trowel finish patio</t>
  </si>
  <si>
    <t>2750.131 Broom finish patio</t>
  </si>
  <si>
    <t>2750.132 Washed finish patio</t>
  </si>
  <si>
    <t>2750.133 Screed finish patio</t>
  </si>
  <si>
    <t>2750.134 Float finish patio</t>
  </si>
  <si>
    <t>2750.14 Patio edge forms</t>
  </si>
  <si>
    <t>2750.148 Expansion joint @ patio</t>
  </si>
  <si>
    <t>2750.15 6x6-1.4/1.4 mesh @ patio</t>
  </si>
  <si>
    <t>2750.151 6x6-2.1/2.1 mesh @ patio</t>
  </si>
  <si>
    <t>2750.152 6x6-2.9/2.9 mesh @ patio</t>
  </si>
  <si>
    <t>2750.16 Reinforcing steel @ patio</t>
  </si>
  <si>
    <t>2750.17 #2 x 20' rebar @ patio</t>
  </si>
  <si>
    <t>2750.171 #3 x 20' rebar @ patio</t>
  </si>
  <si>
    <t>2750.172 #4 x 20' rebar @ patio</t>
  </si>
  <si>
    <t>2750.173 #5 x 20' rebar @ patio</t>
  </si>
  <si>
    <t>2750.174 #6 x 20' rebar @ patio</t>
  </si>
  <si>
    <t>2750.18 2500 psi concrete @ patio</t>
  </si>
  <si>
    <t>2750.181 3000 psi concrete @ patio</t>
  </si>
  <si>
    <t>2750.182 4000 psi concrete @ patio</t>
  </si>
  <si>
    <t>2750.21 Patterned concrete</t>
  </si>
  <si>
    <t>2750.22 #3 x 20' rebar @ paving</t>
  </si>
  <si>
    <t>2750.221 #4 x 20' rebar @ paving</t>
  </si>
  <si>
    <t>2750.222 #5 x 20' rebar @ paving</t>
  </si>
  <si>
    <t>2750.223 #6 x 20' rebar @ paving</t>
  </si>
  <si>
    <t>2750.23 2500 psi conc @ paving</t>
  </si>
  <si>
    <t>2750.231 3000 psi conc @ paving</t>
  </si>
  <si>
    <t>2750.232 4000 psi conc @ paving</t>
  </si>
  <si>
    <t>2751.04 Concrete @ slab</t>
  </si>
  <si>
    <t>2751.042 Concrete finish @ slab</t>
  </si>
  <si>
    <t>2751.043 Protect and cure @ slab</t>
  </si>
  <si>
    <t>2751.052 Edge forms @ slab</t>
  </si>
  <si>
    <t>2751.062 Rebar @ slab</t>
  </si>
  <si>
    <t>2754.89 **Concrete paving area**</t>
  </si>
  <si>
    <t>2754.891 * Concrete pavement area *</t>
  </si>
  <si>
    <t>2754.892 * Concrete paving *</t>
  </si>
  <si>
    <t>2754.9 * Patio area *</t>
  </si>
  <si>
    <t>2754.901 * Miscellaneous site slab area *</t>
  </si>
  <si>
    <t>2760.01 Parking line striping</t>
  </si>
  <si>
    <t>2760.012 Parking line striping</t>
  </si>
  <si>
    <t>2760.015 Corrugated galvanized guardrail</t>
  </si>
  <si>
    <t>2760.02 Precast parking bumpers</t>
  </si>
  <si>
    <t>2770.01 Asphalt curbing</t>
  </si>
  <si>
    <t>2770.011 Asphalt curb</t>
  </si>
  <si>
    <t>2770.1 **Curbs**</t>
  </si>
  <si>
    <t>2770.101   3000 psi concrete</t>
  </si>
  <si>
    <t>2770.102   2500 psi concrete</t>
  </si>
  <si>
    <t>2770.103   3500 psi concrete</t>
  </si>
  <si>
    <t>2770.104   3750 psi concrete</t>
  </si>
  <si>
    <t>2770.105   4000 psi concrete</t>
  </si>
  <si>
    <t>2770.106   5000 psi concrete</t>
  </si>
  <si>
    <t>2770.107   Mix A concrete</t>
  </si>
  <si>
    <t>2770.108   Mix B concrete</t>
  </si>
  <si>
    <t>2770.11 Metal curb forms</t>
  </si>
  <si>
    <t>2770.112 Wood curb form</t>
  </si>
  <si>
    <t>2770.113 Plastic curb forms</t>
  </si>
  <si>
    <t>2770.115 Curb finish</t>
  </si>
  <si>
    <t>2770.117 Excavate curb</t>
  </si>
  <si>
    <t>2770.118 Backfill curb</t>
  </si>
  <si>
    <t>2770.119 Protect and cure vertical curb surfaces</t>
  </si>
  <si>
    <t>2770.12 Protect and cure horizontal curb surfaces</t>
  </si>
  <si>
    <t>2770.125 Curb reinforcing</t>
  </si>
  <si>
    <t>2770.13 Concrete curb</t>
  </si>
  <si>
    <t>2770.15 **Curb and gutter**</t>
  </si>
  <si>
    <t>2770.151   3000 psi concrete</t>
  </si>
  <si>
    <t>2770.152   2500 psi concrete</t>
  </si>
  <si>
    <t>2770.153   3500 psi concrete</t>
  </si>
  <si>
    <t>2770.154   3750 psi concrete</t>
  </si>
  <si>
    <t>2770.155   4000 psi concrete</t>
  </si>
  <si>
    <t>2770.156   5000 psi concrete</t>
  </si>
  <si>
    <t>2770.157   Mix A concrete</t>
  </si>
  <si>
    <t>2770.158   Mix B concrete</t>
  </si>
  <si>
    <t>2770.16 Metal curb and gutter forms</t>
  </si>
  <si>
    <t>2770.161 Wood curb and gutter forms</t>
  </si>
  <si>
    <t>2770.162 Plastic curb and gutter forms</t>
  </si>
  <si>
    <t>2770.165 Curb and gutter finish</t>
  </si>
  <si>
    <t>2770.167 Curb and gutter excavation</t>
  </si>
  <si>
    <t>2770.168 Curb and gutter backfill</t>
  </si>
  <si>
    <t>2770.17 ½" expansion joint</t>
  </si>
  <si>
    <t>2770.171 Protect and cure vertical C&amp;G surfaces</t>
  </si>
  <si>
    <t>2770.172 Protect and cure horizontal C&amp;G surfaces</t>
  </si>
  <si>
    <t>2770.175 Concrete curb and gutter</t>
  </si>
  <si>
    <t>2770.2 Extruded curb and gutter</t>
  </si>
  <si>
    <t>2770.201 Extruded curb</t>
  </si>
  <si>
    <t>2770.202 Precast curb 6x18 straight</t>
  </si>
  <si>
    <t>2770.203 Precast curb 6x18 radius</t>
  </si>
  <si>
    <t>2770.204 Granite curb 6x18 straight</t>
  </si>
  <si>
    <t>2770.205 Granite curb 6x18 radius</t>
  </si>
  <si>
    <t>2770.21 Precast curb</t>
  </si>
  <si>
    <t>2770.215 Granite curb</t>
  </si>
  <si>
    <t>2770.3 Hand excavate curb</t>
  </si>
  <si>
    <t>2770.305 Machine excavate curb</t>
  </si>
  <si>
    <t>2770.31 Washed gravel fill @ curb</t>
  </si>
  <si>
    <t>2770.311 Sand fill @ curb</t>
  </si>
  <si>
    <t>2770.312 Road gravel fill @ curb</t>
  </si>
  <si>
    <t>2770.32 Trowel finish curb</t>
  </si>
  <si>
    <t>2770.321 Broom finish curb</t>
  </si>
  <si>
    <t>2770.322 Washed finish curb</t>
  </si>
  <si>
    <t>2770.323 Screed finish curb</t>
  </si>
  <si>
    <t>2770.324 Float finish curb</t>
  </si>
  <si>
    <t>2770.33 Concrete curb forms</t>
  </si>
  <si>
    <t>2770.338 Expansion joint @ curb</t>
  </si>
  <si>
    <t>2770.35 Reinforcing steel @ curb</t>
  </si>
  <si>
    <t>2770.36 #2 x 20' rebar @ curb</t>
  </si>
  <si>
    <t>2770.361 #3 x 20' rebar @ curb</t>
  </si>
  <si>
    <t>2770.362 #4 x 20' rebar @ curb</t>
  </si>
  <si>
    <t>2770.363 #5 x 20' rebar @ curb</t>
  </si>
  <si>
    <t>2770.364 #6 x 20' rebar @ curb</t>
  </si>
  <si>
    <t>2770.37 2500 psi conc @ curb</t>
  </si>
  <si>
    <t>2770.371 3000 psi conc @ curb</t>
  </si>
  <si>
    <t>2770.372 4000 psi conc @ curb</t>
  </si>
  <si>
    <t>2770.4 Hand excavate curb and gutter</t>
  </si>
  <si>
    <t>2770.405 Machine excavate curb and gutter</t>
  </si>
  <si>
    <t>2770.41 Washed gravel fill @ c&amp;g</t>
  </si>
  <si>
    <t>2770.411 Sand fill @ curb and gutter</t>
  </si>
  <si>
    <t>2770.412 Road gravel fill @ c&amp;g</t>
  </si>
  <si>
    <t>2770.42 Trowel finish curb and gutter</t>
  </si>
  <si>
    <t>2770.421 Broom finish curb and gutter</t>
  </si>
  <si>
    <t>2770.422 Washed finish curb and gutter</t>
  </si>
  <si>
    <t>2770.423 Screed finish curb and gutter</t>
  </si>
  <si>
    <t>2770.424 Float finish curb and gutter</t>
  </si>
  <si>
    <t>2770.43 Concrete curb and gutter forms</t>
  </si>
  <si>
    <t>2770.438 Expansion jt @ curb and gutter</t>
  </si>
  <si>
    <t>2770.44 6x6-1.4/1.4 mesh @ curb &amp; gutter</t>
  </si>
  <si>
    <t>2770.441 6x6-2.1/2.1 mesh @ curb &amp; gutter</t>
  </si>
  <si>
    <t>2770.442 6x6-2.9/2.9 mesh @ curb &amp; gutter</t>
  </si>
  <si>
    <t>2770.45 Reinforcing stl @ curb&amp;gutter</t>
  </si>
  <si>
    <t>2770.46 #2 x 20' rebar @ curb &amp; gutter</t>
  </si>
  <si>
    <t>2770.461 #3 x 20' rebar @ curb &amp; gutter</t>
  </si>
  <si>
    <t>2770.462 #4 x 20' rebar @ curb &amp; gutter</t>
  </si>
  <si>
    <t>2770.463 #5 x 20' rebar @ curb &amp; gutter</t>
  </si>
  <si>
    <t>2770.464 #6 x 20' rebar @ curb &amp; gutter</t>
  </si>
  <si>
    <t>2770.47 2500 psi conc @ curb &amp; gutter</t>
  </si>
  <si>
    <t>2770.471 3000 psi conc @ curb &amp; gutter</t>
  </si>
  <si>
    <t>2770.472 4000 psi conc @ curb &amp; gutter</t>
  </si>
  <si>
    <t>2771.09 **Length of curb/gutter**</t>
  </si>
  <si>
    <t>2771.091 * Curb length *</t>
  </si>
  <si>
    <t>2775.01 **Concrete in sidewalks**</t>
  </si>
  <si>
    <t>2775.011   3000 psi direct</t>
  </si>
  <si>
    <t>2775.012   2500 psi direct</t>
  </si>
  <si>
    <t>2775.013   3500 psi direct</t>
  </si>
  <si>
    <t>2775.014   3750 psi direct</t>
  </si>
  <si>
    <t>2775.015   4000 psi direct</t>
  </si>
  <si>
    <t>2775.016   5000 psi direct</t>
  </si>
  <si>
    <t>2775.017   Mix A direct</t>
  </si>
  <si>
    <t>2775.018   Mix B direct</t>
  </si>
  <si>
    <t>2775.019   3000 psi w/carts</t>
  </si>
  <si>
    <t>2775.02   2500 psi w/carts</t>
  </si>
  <si>
    <t>2775.021   3500 psi w/carts</t>
  </si>
  <si>
    <t>2775.022   3750 psi w/carts</t>
  </si>
  <si>
    <t>2775.023   4000 psi w/carts</t>
  </si>
  <si>
    <t>2775.024   5000 psi w/carts</t>
  </si>
  <si>
    <t>2775.025   Mix A w/carts</t>
  </si>
  <si>
    <t>2775.026   Mix B w/carts</t>
  </si>
  <si>
    <t>2775.027   3000 psi w/pump</t>
  </si>
  <si>
    <t>2775.028   2500 psi w/pump</t>
  </si>
  <si>
    <t>2775.029   3500 psi w/pump</t>
  </si>
  <si>
    <t>2775.03   3750 psi w/pump</t>
  </si>
  <si>
    <t>2775.031   4000 psi w/pump</t>
  </si>
  <si>
    <t>2775.032   5000 psi w/pump</t>
  </si>
  <si>
    <t>2775.033   Mix A w/pump</t>
  </si>
  <si>
    <t>2775.034   Mix B w/pump</t>
  </si>
  <si>
    <t>2775.05 **Conc in exterior steps**</t>
  </si>
  <si>
    <t>2775.051   3000 psi direct</t>
  </si>
  <si>
    <t>2775.052   2500 psi direct</t>
  </si>
  <si>
    <t>2775.053   3500 psi direct</t>
  </si>
  <si>
    <t>2775.054   3750 psi direct</t>
  </si>
  <si>
    <t>2775.055   4000 psi direct</t>
  </si>
  <si>
    <t>2775.056   5000 psi direct</t>
  </si>
  <si>
    <t>2775.057   Mix A direct</t>
  </si>
  <si>
    <t>2775.058   Mix B direct</t>
  </si>
  <si>
    <t>2775.059   3000 psi w/carts</t>
  </si>
  <si>
    <t>2775.06   2500 psi w/carts</t>
  </si>
  <si>
    <t>2775.061   3500 psi w/carts</t>
  </si>
  <si>
    <t>2775.062   3750 psi w/carts</t>
  </si>
  <si>
    <t>2775.063   4000 psi w/carts</t>
  </si>
  <si>
    <t>2775.064   5000 psi w/carts</t>
  </si>
  <si>
    <t>2775.065   Mix A w/carts</t>
  </si>
  <si>
    <t>2775.066   Mix B w/carts</t>
  </si>
  <si>
    <t>2775.08 Concrete @ sidewalk</t>
  </si>
  <si>
    <t>2775.081 Concrete steps</t>
  </si>
  <si>
    <t>2775.15 Sidewalk edge forms</t>
  </si>
  <si>
    <t>2775.165 Edge forms @ sidewalk</t>
  </si>
  <si>
    <t>2775.168 Exterior step forms</t>
  </si>
  <si>
    <t>2775.17 Thickened slab edge form</t>
  </si>
  <si>
    <t>2775.19 Exterior step forms</t>
  </si>
  <si>
    <t>2775.23 Fine grade for sidewalk</t>
  </si>
  <si>
    <t>2775.231 Fine grade ext steps</t>
  </si>
  <si>
    <t>2775.25 Sub base fill</t>
  </si>
  <si>
    <t>2775.26 Washed gravel fill</t>
  </si>
  <si>
    <t>2775.27 Sand fill</t>
  </si>
  <si>
    <t>2775.28 Bank gravel fill</t>
  </si>
  <si>
    <t>2775.29 Excav @ thickened slab edge</t>
  </si>
  <si>
    <t>2775.3 Backfill @ thickened slab edge</t>
  </si>
  <si>
    <t>2775.33 Trowel and broom sidewalk</t>
  </si>
  <si>
    <t>2775.331 Trowel and broom ext steps</t>
  </si>
  <si>
    <t>2775.335 Concrete finish @ sidewalk</t>
  </si>
  <si>
    <t>2775.336 Concrete finish @ steps</t>
  </si>
  <si>
    <t>2775.34 Wash agrt finish sidewalk</t>
  </si>
  <si>
    <t>2775.341 Wash agrt finish ext steps</t>
  </si>
  <si>
    <t>2775.35 Screed finish sidewalk</t>
  </si>
  <si>
    <t>2775.351 Screed finish exterior steps</t>
  </si>
  <si>
    <t>2775.36 Point and patch ext steps</t>
  </si>
  <si>
    <t>2775.38 Protect and cure sidewalk horizontal surfaces</t>
  </si>
  <si>
    <t>2775.381 Protect and cure ext step horizontal surfaces</t>
  </si>
  <si>
    <t>2775.382 Protect and cure vertical sidewalk surfaces</t>
  </si>
  <si>
    <t>2775.383 Protect and cure ext step vertical surfaces</t>
  </si>
  <si>
    <t>2775.39 ½" expansion joint</t>
  </si>
  <si>
    <t>2775.43 6x6-1.4/1.4 mesh</t>
  </si>
  <si>
    <t>2775.44 6x6-2.9/2.9 mesh</t>
  </si>
  <si>
    <t>2775.45 6x6-2.1/2.1 mesh</t>
  </si>
  <si>
    <t>2775.46 6x6-4/4 mesh</t>
  </si>
  <si>
    <t>2775.465 Mesh @ sidewalk</t>
  </si>
  <si>
    <t>2775.466 Mesh @ steps</t>
  </si>
  <si>
    <t>2775.47 Sidewalk reinforcing</t>
  </si>
  <si>
    <t>2775.471 Ext step reinforcing</t>
  </si>
  <si>
    <t>2775.5 Hand fine grade sidewalk</t>
  </si>
  <si>
    <t>2775.501 Machine fine grade sidewalk</t>
  </si>
  <si>
    <t>2775.505 Hand excav thk slab @ sidewalk</t>
  </si>
  <si>
    <t>2775.506 Mach excav thk slab @ sidewalk</t>
  </si>
  <si>
    <t>2775.51 Washed gravel fill @ sidewalk</t>
  </si>
  <si>
    <t>2775.511 Sand fill @ sidewalk</t>
  </si>
  <si>
    <t>2775.512 Road gravel fill @ sidewalk</t>
  </si>
  <si>
    <t>2775.52 Trowel finish sidewalk</t>
  </si>
  <si>
    <t>2775.521 Broom finish sidewalk</t>
  </si>
  <si>
    <t>2775.522 Washed finish sidewalk</t>
  </si>
  <si>
    <t>2775.523 Screed finish sidewalk</t>
  </si>
  <si>
    <t>2775.524 Float finish sidewalk</t>
  </si>
  <si>
    <t>2775.53 Sidewalk edge forms</t>
  </si>
  <si>
    <t>2775.538 Expansion joint @ sidewalk</t>
  </si>
  <si>
    <t>2775.54 6x6-1.4/1.4 mesh @ sidewalk</t>
  </si>
  <si>
    <t>2775.541 6x6-2.1/2.1 mesh @ sidewalk</t>
  </si>
  <si>
    <t>2775.542 6x6-2.9/2.9 mesh @ sidewalk</t>
  </si>
  <si>
    <t>2775.55 Reinforcing steel @ sidewalk</t>
  </si>
  <si>
    <t>2775.56 #2 x 20' rebar @ sidewalk</t>
  </si>
  <si>
    <t>2775.561 #3 x 20' rebar @ sidewalk</t>
  </si>
  <si>
    <t>2775.562 #4 x 20' rebar @ sidewalk</t>
  </si>
  <si>
    <t>2775.563 #5 x 20' rebar @ sidewalk</t>
  </si>
  <si>
    <t>2775.564 #6 x 20' rebar @ sidewalk</t>
  </si>
  <si>
    <t>2775.57 2500 psi conc @ sidewalk</t>
  </si>
  <si>
    <t>2775.571 3000 psi conc @ sidewalk</t>
  </si>
  <si>
    <t>2775.572 4000 psi conc @ sidewalk</t>
  </si>
  <si>
    <t>2775.6 Hand fine grade steps</t>
  </si>
  <si>
    <t>2775.601 Machine fine grade steps</t>
  </si>
  <si>
    <t>2775.605 Hand excav thick slab @ steps</t>
  </si>
  <si>
    <t>2775.606 Mach excav thick slab @ steps</t>
  </si>
  <si>
    <t>2775.61 Washed gravel fill @ steps</t>
  </si>
  <si>
    <t>2775.611 Sand fill @ steps</t>
  </si>
  <si>
    <t>2775.612 Road gravel fill @ steps</t>
  </si>
  <si>
    <t>2775.62 Trowel finish steps</t>
  </si>
  <si>
    <t>2775.621 Broom finish steps</t>
  </si>
  <si>
    <t>2775.622 Washed finish steps</t>
  </si>
  <si>
    <t>2775.623 Screed finish steps</t>
  </si>
  <si>
    <t>2775.624 Float finish steps</t>
  </si>
  <si>
    <t>2775.625 Rub conc @ step riser</t>
  </si>
  <si>
    <t>2775.63 Step edge forms</t>
  </si>
  <si>
    <t>2775.635 Riser forms</t>
  </si>
  <si>
    <t>2775.638 Expansion joint @ steps</t>
  </si>
  <si>
    <t>2775.64 6x6-1.4/1.4 mesh @ steps</t>
  </si>
  <si>
    <t>2775.641 6x6-2.1/2.1 mesh @ steps</t>
  </si>
  <si>
    <t>2775.642 6x6-2.9/2.9 mesh @ steps</t>
  </si>
  <si>
    <t>2775.65 Reinforcing steel @ steps</t>
  </si>
  <si>
    <t>2775.66 #2 x 20' rebar @ steps</t>
  </si>
  <si>
    <t>2775.661 #3 x 20' rebar @ steps</t>
  </si>
  <si>
    <t>2775.662 #4 x 20' rebar @ steps</t>
  </si>
  <si>
    <t>2775.663 #5 x 20' rebar @ steps</t>
  </si>
  <si>
    <t>2775.664 #6 x 20' rebar @ steps</t>
  </si>
  <si>
    <t>2775.67 2500 psi concrete @ steps</t>
  </si>
  <si>
    <t>2775.671 3000 psi concrete @ steps</t>
  </si>
  <si>
    <t>2775.672 4000 psi concrete @ steps</t>
  </si>
  <si>
    <t>2779.89 **Sidewalk area**</t>
  </si>
  <si>
    <t>2779.891 * Sidewalk area *</t>
  </si>
  <si>
    <t>2779.892 * No. of concrete risers *</t>
  </si>
  <si>
    <t>2779.893 * Exterior steps area *</t>
  </si>
  <si>
    <t>2779.894 * Sidewalk area *</t>
  </si>
  <si>
    <t>2780.011 Granite pavers</t>
  </si>
  <si>
    <t>2780.012 Precast pavers</t>
  </si>
  <si>
    <t>2780.02 Brick pavers</t>
  </si>
  <si>
    <t>2780.021 Pavers</t>
  </si>
  <si>
    <t>2783.011 Brick pavers</t>
  </si>
  <si>
    <t>2784.99 * Paver area *</t>
  </si>
  <si>
    <t>2810.01 Irrigation PVC pipe</t>
  </si>
  <si>
    <t>2810.02   6" SDR 51 push joint pipe</t>
  </si>
  <si>
    <t>2810.021   8" SDR 51 push joint pipe</t>
  </si>
  <si>
    <t>2810.022  10" SDR 51 push joint pipe</t>
  </si>
  <si>
    <t>2810.023  12" SDR 51 push joint pipe</t>
  </si>
  <si>
    <t>2810.024  15" SDR 51 push joint pipe</t>
  </si>
  <si>
    <t>2810.025  18" SDR 51 push joint pipe</t>
  </si>
  <si>
    <t>2810.026  21" SDR 51 push joint pipe</t>
  </si>
  <si>
    <t>2810.027  24" SDR 51 push joint pipe</t>
  </si>
  <si>
    <t>2810.028  27" SDR 51 push joint pipe</t>
  </si>
  <si>
    <t>2810.03   6" SDR 51 push joint pipe</t>
  </si>
  <si>
    <t>2810.031   8" SDR 51 push joint pipe</t>
  </si>
  <si>
    <t>2810.032  10" SDR 51 push joint pipe</t>
  </si>
  <si>
    <t>2810.033  12" SDR 51 push joint pipe</t>
  </si>
  <si>
    <t>2810.034  15" SDR 51 push joint pipe</t>
  </si>
  <si>
    <t>2810.035  18" SDR 51 push joint pipe</t>
  </si>
  <si>
    <t>2810.036  21" SDR 51 push joint pipe</t>
  </si>
  <si>
    <t>2810.037  24" SDR 51 push joint pipe</t>
  </si>
  <si>
    <t>2810.038  27" SDR 51 push joint pipe</t>
  </si>
  <si>
    <t>2810.05 Irrigation system allowance</t>
  </si>
  <si>
    <t>2810.051 * No. of irrigation allowances *</t>
  </si>
  <si>
    <t>2810.055 Lawn sprinkler system</t>
  </si>
  <si>
    <t>2820.01 Chainlink fence</t>
  </si>
  <si>
    <t>2820.02 Wood fence</t>
  </si>
  <si>
    <t>2820.022 Wood gate</t>
  </si>
  <si>
    <t>2820.03 Wrought iron fence</t>
  </si>
  <si>
    <t>2820.04 Decorative fence</t>
  </si>
  <si>
    <t>2820.05 Security fence</t>
  </si>
  <si>
    <t>2820.06 Fence</t>
  </si>
  <si>
    <t>2829.99 * Length of fencing *</t>
  </si>
  <si>
    <t>2830.1 **Retaining wall footing concrete**</t>
  </si>
  <si>
    <t>2830.101   3000 psi pour direct</t>
  </si>
  <si>
    <t>2830.102   2500 psi pour direct</t>
  </si>
  <si>
    <t>2830.103   3500 psi pour direct</t>
  </si>
  <si>
    <t>2830.104   3750 psi  pour direct</t>
  </si>
  <si>
    <t>2830.105   4000 psi  pour direct</t>
  </si>
  <si>
    <t>2830.106   5000 psi  pour direct</t>
  </si>
  <si>
    <t>2830.107   Mix A  pour direct</t>
  </si>
  <si>
    <t>2830.108   Mix B  pour direct</t>
  </si>
  <si>
    <t>2830.109   3000 psi conc pour w/crane</t>
  </si>
  <si>
    <t>2830.11   2500 psi conc pour w/crane</t>
  </si>
  <si>
    <t>2830.111   3500 psi conc pour w/crane</t>
  </si>
  <si>
    <t>2830.112   3750 psi conc pour w/crane</t>
  </si>
  <si>
    <t>2830.113   4000 psi conc pour w/crane</t>
  </si>
  <si>
    <t>2830.114   5000 psi conc pour w/crane</t>
  </si>
  <si>
    <t>2830.115   Mix A conc pour w/crane</t>
  </si>
  <si>
    <t>2830.116   Mix B conc pour w/crane</t>
  </si>
  <si>
    <t>2830.117   3000 psi conc pour w/carts</t>
  </si>
  <si>
    <t>2830.118   2500 psi conc pour w/carts</t>
  </si>
  <si>
    <t>2830.119   3500 psi conc pour w/carts</t>
  </si>
  <si>
    <t>2830.12   3750 psi conc pour w/carts</t>
  </si>
  <si>
    <t>2830.121   4000 psi conc pour w/carts</t>
  </si>
  <si>
    <t>2830.122   5000 psi conc pour w/carts</t>
  </si>
  <si>
    <t>2830.123   Mix A conc pour w/carts</t>
  </si>
  <si>
    <t>2830.124   Mix B conc pour w/carts</t>
  </si>
  <si>
    <t>2830.133   3000 psi conc w/pump</t>
  </si>
  <si>
    <t>2830.134   2500 psi conc w/pump</t>
  </si>
  <si>
    <t>2830.135   3500 psi conc w/pump</t>
  </si>
  <si>
    <t>2830.136   3750 psi conc w/pump</t>
  </si>
  <si>
    <t>2830.137   4000 psi conc w/pump</t>
  </si>
  <si>
    <t>2830.138   5000 psi conc w/pump</t>
  </si>
  <si>
    <t>2830.139   Mix A conc w/pump</t>
  </si>
  <si>
    <t>2830.14   Mix B conc w/pump</t>
  </si>
  <si>
    <t>2830.15 **Retaining wall concrete**</t>
  </si>
  <si>
    <t>2830.151   3000 psi conc pour direct</t>
  </si>
  <si>
    <t>2830.152   2500 psi conc pour direct</t>
  </si>
  <si>
    <t>2830.153   3500 psi conc pour direct</t>
  </si>
  <si>
    <t>2830.154   3750 psi conc pour direct</t>
  </si>
  <si>
    <t>2830.155   4000 psi conc pour direct</t>
  </si>
  <si>
    <t>2830.156   5000 psi conc pour direct</t>
  </si>
  <si>
    <t>2830.157   Mix A conc pour direct</t>
  </si>
  <si>
    <t>2830.158   Mix B conc pour direct</t>
  </si>
  <si>
    <t>2830.159   3000 psi conc pour w/crane</t>
  </si>
  <si>
    <t>2830.16   2500 psi conc pour w/crane</t>
  </si>
  <si>
    <t>2830.161   3500 psi conc pour w/crane</t>
  </si>
  <si>
    <t>2830.162   3750 psi conc pour w/crane</t>
  </si>
  <si>
    <t>2830.163   4000 psi conc pour w/crane</t>
  </si>
  <si>
    <t>2830.164   5000 psi conc pour w/crane</t>
  </si>
  <si>
    <t>2830.165   Mix A conc pour w/crane</t>
  </si>
  <si>
    <t>2830.166   Mix B conc pour w/crane</t>
  </si>
  <si>
    <t>2830.167   3000 psi conc pour w/carts</t>
  </si>
  <si>
    <t>2830.168   2500 psi conc pour w/carts</t>
  </si>
  <si>
    <t>2830.169   3500 psi conc pour w/carts</t>
  </si>
  <si>
    <t>2830.17   3750 psi conc pour w/carts</t>
  </si>
  <si>
    <t>2830.171   4000 psi conc pour w/carts</t>
  </si>
  <si>
    <t>2830.172   5000 psi conc pour w/carts</t>
  </si>
  <si>
    <t>2830.173   Mix A conc pour w/carts</t>
  </si>
  <si>
    <t>2830.174   Mix B conc pour w/carts</t>
  </si>
  <si>
    <t>2830.208   3000 psi conc pour w/pump</t>
  </si>
  <si>
    <t>2830.209   2500 psi conc pour w/pump</t>
  </si>
  <si>
    <t>2830.21   3500 psi conc pour w/pump</t>
  </si>
  <si>
    <t>2830.211   3750 psi conc pour w/pump</t>
  </si>
  <si>
    <t>2830.212   4000 psi conc pour w/pump</t>
  </si>
  <si>
    <t>2830.213   5000 psi conc pour w/pump</t>
  </si>
  <si>
    <t>2830.214   Mix A conc pour w/pump</t>
  </si>
  <si>
    <t>2830.215   Mix B conc pour w/pump</t>
  </si>
  <si>
    <t>2830.29 Protect and cure retaining wall vertical surfaces</t>
  </si>
  <si>
    <t>2830.291 Protect and cure retaining wall horizontal surfaces</t>
  </si>
  <si>
    <t>2830.3 Rebar in  retaining wall</t>
  </si>
  <si>
    <t>2830.4 Point and patch</t>
  </si>
  <si>
    <t>2830.401 Carbo rub conc retain wall</t>
  </si>
  <si>
    <t>2830.402 Sandblast conc retain wall</t>
  </si>
  <si>
    <t>2830.403 Bushhammer conc retain wall</t>
  </si>
  <si>
    <t>2830.501 Footing keyways</t>
  </si>
  <si>
    <t>2830.502 Retaining wall footing forms</t>
  </si>
  <si>
    <t>2830.512 Retaining wall forms 0-2' high</t>
  </si>
  <si>
    <t>2830.514 Retaining wall forms 2-4' high</t>
  </si>
  <si>
    <t>2830.516 Retaining wall forms 4-8' high</t>
  </si>
  <si>
    <t>2830.518 Retaining wall forms 8-10'high</t>
  </si>
  <si>
    <t>2830.52 Retaining wall forms 10-12'</t>
  </si>
  <si>
    <t>2830.522 Retaining wall forms 12-14'</t>
  </si>
  <si>
    <t>2830.524 Retaining wall forms 14-16'</t>
  </si>
  <si>
    <t>2830.526 Retaining wall forms 16-18'</t>
  </si>
  <si>
    <t>2830.528 Retaining wall forms 18-20'</t>
  </si>
  <si>
    <t>2830.53 Retaining wall forms 20'+ high</t>
  </si>
  <si>
    <t>2830.54 Form release agent</t>
  </si>
  <si>
    <t>2830.541 Wall form hardware</t>
  </si>
  <si>
    <t>2830.701 ** Site Concrete **</t>
  </si>
  <si>
    <t>2830.702 Bituminous coating 2-coats</t>
  </si>
  <si>
    <t>2830.703 Membrane waterproofing, 2 ply/felt/pitch</t>
  </si>
  <si>
    <t>2830.704 Iron powder waterproofing</t>
  </si>
  <si>
    <t>2830.705 Liquid elastomeric waterproofing</t>
  </si>
  <si>
    <t>2830.706 Dampproof paint</t>
  </si>
  <si>
    <t>2830.707 Parge coat</t>
  </si>
  <si>
    <t>2830.71 French drain tile</t>
  </si>
  <si>
    <t>2830.711 Gravel @ french drain</t>
  </si>
  <si>
    <t>2830.721 Crystalline waterproofing</t>
  </si>
  <si>
    <t>2830.725 Acrylic cement waterproofing</t>
  </si>
  <si>
    <t>2830.73 Bentonite wall panels</t>
  </si>
  <si>
    <t>2830.731 Bentonite-polymer alloy waterproofing</t>
  </si>
  <si>
    <t>2830.89 * Retaining wall length *</t>
  </si>
  <si>
    <t>2830.891 * Miscellaneous outdoor concrete walls *</t>
  </si>
  <si>
    <t>2831.011 Modular retaining walls</t>
  </si>
  <si>
    <t>2831.012 Landscape blocks</t>
  </si>
  <si>
    <t>2831.02   3"x8"x5¼"</t>
  </si>
  <si>
    <t>2831.021   4"x11-5/8"x8"</t>
  </si>
  <si>
    <t>2831.022   4"x12"x8"</t>
  </si>
  <si>
    <t>2831.023   4"x12"x9"</t>
  </si>
  <si>
    <t>2831.024   4"x12"x9" planter</t>
  </si>
  <si>
    <t>2831.025   4"x18"x10½"</t>
  </si>
  <si>
    <t>2831.026   6"x15-7/8"x12"</t>
  </si>
  <si>
    <t>2831.027   6"x16"x10-3/8"</t>
  </si>
  <si>
    <t>2831.032 Structural blocks</t>
  </si>
  <si>
    <t xml:space="preserve">2831.04   6"x16"x12"  </t>
  </si>
  <si>
    <t>2831.041   7½"x18"x11"</t>
  </si>
  <si>
    <t>2831.042   7½"x18"x22½"</t>
  </si>
  <si>
    <t>2831.043   8"x18"x10¼"</t>
  </si>
  <si>
    <t>2831.044   8"x18"x11"</t>
  </si>
  <si>
    <t>2831.045   8"x18"x12"</t>
  </si>
  <si>
    <t>2831.046   8"x18"x21½"</t>
  </si>
  <si>
    <t>2831.047   8"x18"x22½"</t>
  </si>
  <si>
    <t>2831.111 Caps</t>
  </si>
  <si>
    <t>2831.12   2-3/8"x12"x7½</t>
  </si>
  <si>
    <t>2831.121   3"x17¼"x10"</t>
  </si>
  <si>
    <t>2831.122   3-5/8"x14"x12"</t>
  </si>
  <si>
    <t>2831.123   4"x17¼"x10"</t>
  </si>
  <si>
    <t>2831.501 Installation pins</t>
  </si>
  <si>
    <t>2831.51 Cap adhesive</t>
  </si>
  <si>
    <t>2831.52 Sand/gravel leveling pad</t>
  </si>
  <si>
    <t>2831.521 Modular wall excavation</t>
  </si>
  <si>
    <t>2831.53 Modular wall bed fine grade/preparation</t>
  </si>
  <si>
    <t>2831.54 Modular retaining wall backfill</t>
  </si>
  <si>
    <t>2831.541   Drainage aggregate</t>
  </si>
  <si>
    <t>2831.542   Compacted soil</t>
  </si>
  <si>
    <t>2831.543   Impervious top fill</t>
  </si>
  <si>
    <t>2831.56 Geosynthetic reinforcing</t>
  </si>
  <si>
    <t>2831.561    Polyester fiber</t>
  </si>
  <si>
    <t>2831.562    Expanded polyethylene</t>
  </si>
  <si>
    <t>2831.563    Woven polypropylene geotextile</t>
  </si>
  <si>
    <t>2849.9 * No. of bollards *</t>
  </si>
  <si>
    <t>2870.01 Benches</t>
  </si>
  <si>
    <t>2874.99 * No. of outside benches *</t>
  </si>
  <si>
    <t>2900.11 Landscaping allowance</t>
  </si>
  <si>
    <t>2900.111 Landscaping</t>
  </si>
  <si>
    <t>2900.112 * No. of landscaping allowances *</t>
  </si>
  <si>
    <t>2945.01 Redwood landscape edging</t>
  </si>
  <si>
    <t>2945.015 Railroad landscape ties</t>
  </si>
  <si>
    <t>2946.12 Tree grates</t>
  </si>
  <si>
    <t>2949.89 * Length of landcape edging and ties *</t>
  </si>
  <si>
    <t>2949.891 * No. of tree grates *</t>
  </si>
  <si>
    <t>2950.01 Surface restoration</t>
  </si>
  <si>
    <t>2950.011  Grass</t>
  </si>
  <si>
    <t>2950.012  Gravel</t>
  </si>
  <si>
    <t>2950.013  Oil mat</t>
  </si>
  <si>
    <t>2950.014  Asphalt roadway</t>
  </si>
  <si>
    <t>2950.015  Concrete roadway</t>
  </si>
  <si>
    <t>2950.016  Concrete w/acc underlay</t>
  </si>
  <si>
    <t>2950.017  Sidewalk</t>
  </si>
  <si>
    <t>9409.901 ** Terrazzo flooring **</t>
  </si>
  <si>
    <t>9409.902 ** Terrazzo flooring **</t>
  </si>
  <si>
    <t>9410.01 Terrazzo floor 1¾" thick</t>
  </si>
  <si>
    <t>9410.011 Terrazzo floor 3" thick</t>
  </si>
  <si>
    <t>9410.012 Terrazzo base</t>
  </si>
  <si>
    <t>9410.013 Terrazzo treads and risers</t>
  </si>
  <si>
    <t>9410.014 Terrazzo @ landing</t>
  </si>
  <si>
    <t>9410.02 Terrazzo floor</t>
  </si>
  <si>
    <t>10605.01 Wire mesh partition</t>
  </si>
  <si>
    <t>10605.02 Wire mesh partitions</t>
  </si>
  <si>
    <t>10650.01 Folding partition</t>
  </si>
  <si>
    <t>10650.02 Moveable partition</t>
  </si>
  <si>
    <t>10650.03 Operable partitions</t>
  </si>
  <si>
    <t>10670.01 Fixed metal storage shelving</t>
  </si>
  <si>
    <t>10670.015 Storage shelving</t>
  </si>
  <si>
    <t>10670.02 Janitor's shelf</t>
  </si>
  <si>
    <t>10670.03 Janitor's shelf and mop holder</t>
  </si>
  <si>
    <t>10670.05 Closet shelf unit</t>
  </si>
  <si>
    <t>10800.01 Toilet and bath accessories</t>
  </si>
  <si>
    <t>10809.901 * No. of toilet accessories *</t>
  </si>
  <si>
    <t>10809.902 * No. of toilet accessories *</t>
  </si>
  <si>
    <t>10810.01 Frameless ¼" plate mirror</t>
  </si>
  <si>
    <t>10810.011 Decorative mirror</t>
  </si>
  <si>
    <t>10810.02 Plate glass mirror</t>
  </si>
  <si>
    <t>10810.021 Decorative mirror</t>
  </si>
  <si>
    <t>10810.03 Splash block</t>
  </si>
  <si>
    <t>10810.1 12" grab bar</t>
  </si>
  <si>
    <t>10810.101 18" grab bar</t>
  </si>
  <si>
    <t>10810.102 24" grab bar</t>
  </si>
  <si>
    <t>10810.103 30" grab bar</t>
  </si>
  <si>
    <t>10810.104 36" grab bar</t>
  </si>
  <si>
    <t>10810.105 42" grab bar</t>
  </si>
  <si>
    <t>10810.106 48" grab bar</t>
  </si>
  <si>
    <t>10810.107 54" grab bar</t>
  </si>
  <si>
    <t>10810.108 60" grab bar</t>
  </si>
  <si>
    <t>10810.11 Grab bar</t>
  </si>
  <si>
    <t>10810.111 Straddle grab bar</t>
  </si>
  <si>
    <t>10810.112 Wall/floor grab bar</t>
  </si>
  <si>
    <t>10810.12 Corner grab bar @ shower</t>
  </si>
  <si>
    <t>10810.121 Corner grab bar @ tub</t>
  </si>
  <si>
    <t>10810.122 90 degree angle grab bar</t>
  </si>
  <si>
    <t>10810.123 Wall to floor grab bar</t>
  </si>
  <si>
    <t>10810.15 Surface mtd single roll toilet paper holder</t>
  </si>
  <si>
    <t>10810.151 Surface mtd double roll toilet paper holder</t>
  </si>
  <si>
    <t>10810.152 Recess single roll toilet paper holder</t>
  </si>
  <si>
    <t>10810.153 Recess double roll toilet paper holder</t>
  </si>
  <si>
    <t>10810.154 Part mtd dual service toilet paper holder</t>
  </si>
  <si>
    <t>10810.155 Flat sheet toilet paper dispenser</t>
  </si>
  <si>
    <t>10810.17 Surface mounted sanitary napkin vendor</t>
  </si>
  <si>
    <t>10810.171 Recessed sanitary napkin vendor</t>
  </si>
  <si>
    <t>10810.172 Sanitary napkin vendor/disposal combo unit</t>
  </si>
  <si>
    <t>10810.173 Recessed SND</t>
  </si>
  <si>
    <t>10810.174 Surface mounted SND</t>
  </si>
  <si>
    <t>10810.175 Part mounted dual SND</t>
  </si>
  <si>
    <t>10810.176 Napkin vendor</t>
  </si>
  <si>
    <t>10810.177 Napkin disposal</t>
  </si>
  <si>
    <t>10810.2 Surface mounted paper towel dispenser</t>
  </si>
  <si>
    <t>10810.201 Recessed paper towel dispenser</t>
  </si>
  <si>
    <t>10810.202 Surface mouted waste receptacle</t>
  </si>
  <si>
    <t>10810.203 Recess waste receptacle</t>
  </si>
  <si>
    <t>10810.204 54" paper towel dispenser/waste combo</t>
  </si>
  <si>
    <t>10810.205 72" paper towel dispenser/waste combo</t>
  </si>
  <si>
    <t>10810.206 Multi-purpose unit</t>
  </si>
  <si>
    <t>10810.21 Paper towel dispenser</t>
  </si>
  <si>
    <t>10810.211 Waste receptacle</t>
  </si>
  <si>
    <t>10810.212 Free standing waste receptacle</t>
  </si>
  <si>
    <t>10810.213 Combo dispenser/waste unit</t>
  </si>
  <si>
    <t>10810.214 Multi-purpose unit</t>
  </si>
  <si>
    <t>10810.4 Liquid soap dispenser</t>
  </si>
  <si>
    <t>10810.401 Powdered soap dispenser</t>
  </si>
  <si>
    <t>10810.402 Foot control soap dispenser</t>
  </si>
  <si>
    <t>10810.403 Recessed soap dish</t>
  </si>
  <si>
    <t>10810.404 Surface mounted soap dish</t>
  </si>
  <si>
    <t>10810.405 Recessed soap/grab combo</t>
  </si>
  <si>
    <t>10810.406 Lav mounted soap dispenser</t>
  </si>
  <si>
    <t>10810.407 Soap/shelf combo unit</t>
  </si>
  <si>
    <t>10810.5 Medicine cabinet</t>
  </si>
  <si>
    <t>10810.501 Medicine cabinet w/mirror</t>
  </si>
  <si>
    <t>10810.55 Mirror/paper towel dispenser/soap combo</t>
  </si>
  <si>
    <t>10810.6 Shower curtain rod</t>
  </si>
  <si>
    <t>10810.601 Tub curtain rod</t>
  </si>
  <si>
    <t>10810.602 Folding shower seat</t>
  </si>
  <si>
    <t>10810.603 Corner shower seat</t>
  </si>
  <si>
    <t>10810.604 Dressing room bench</t>
  </si>
  <si>
    <t>10810.605 Toilet seat cover dispenser</t>
  </si>
  <si>
    <t>10810.606 Folding purse shelf</t>
  </si>
  <si>
    <t>10810.607 Towel pin</t>
  </si>
  <si>
    <t>10810.608 Towel ring</t>
  </si>
  <si>
    <t>10810.609 Mop rack</t>
  </si>
  <si>
    <t>10810.61 Electric hand dryer</t>
  </si>
  <si>
    <t>10810.611 Ash urn</t>
  </si>
  <si>
    <t>10810.612 Facial tissue dispenser</t>
  </si>
  <si>
    <t>10810.613 Toothbrush/tumbler holder</t>
  </si>
  <si>
    <t>10810.614 Elect hair dryer</t>
  </si>
  <si>
    <t>10810.615 Robe hook</t>
  </si>
  <si>
    <t>10810.64 18" towel bar</t>
  </si>
  <si>
    <t>10810.641 24" towel bar</t>
  </si>
  <si>
    <t>10810.642 30" towel bar</t>
  </si>
  <si>
    <t>10810.643 36" towel bar</t>
  </si>
  <si>
    <t>10810.645 Towel bar</t>
  </si>
  <si>
    <t>10810.8 Scrub brush dispenser</t>
  </si>
  <si>
    <t>10810.801 Shower seat</t>
  </si>
  <si>
    <t>10810.802 Bed pan rack</t>
  </si>
  <si>
    <t>10810.803 Bed pan storage cabinet</t>
  </si>
  <si>
    <t>10810.804 Specimen pass thru</t>
  </si>
  <si>
    <t>10811.1      Framed mirror</t>
  </si>
  <si>
    <t>10811.2     In SS shelf</t>
  </si>
  <si>
    <t>10811.201 SS shelf</t>
  </si>
  <si>
    <t>10811.202 Purse shelf</t>
  </si>
  <si>
    <t>10811.3      Framed mirror w/shelf</t>
  </si>
  <si>
    <t>10811.31 H/C tilt mirror</t>
  </si>
  <si>
    <t>10820.01 *** Hotel/Residential accessories ***</t>
  </si>
  <si>
    <t>10820.011 ******************************</t>
  </si>
  <si>
    <t>10820.02 Shower door</t>
  </si>
  <si>
    <t>10820.021 Tub/shower door</t>
  </si>
  <si>
    <t>10820.022 Shower enclosure</t>
  </si>
  <si>
    <t>10820.023 Tub surround</t>
  </si>
  <si>
    <t>10820.024 Tub liner</t>
  </si>
  <si>
    <t>10820.03 Surface mounted single roll toilet paper holder</t>
  </si>
  <si>
    <t>10820.031 Surface mounted double roll toilet paper holder</t>
  </si>
  <si>
    <t>10820.032 Recessed single roll toilet paper holder</t>
  </si>
  <si>
    <t>10820.033 Recessed double roll toilet paper holder</t>
  </si>
  <si>
    <t>10820.04 Grab bar</t>
  </si>
  <si>
    <t>10820.041 Towel bar</t>
  </si>
  <si>
    <t>10820.042 Towel shelf</t>
  </si>
  <si>
    <t>10820.043 Towel rack</t>
  </si>
  <si>
    <t>10820.044 Towel ring</t>
  </si>
  <si>
    <t>10820.045 Tub curtain rod</t>
  </si>
  <si>
    <t>10820.046 Shower curtain rod</t>
  </si>
  <si>
    <t>10820.05 Soap dish</t>
  </si>
  <si>
    <t>10820.06 Medicine cabinet</t>
  </si>
  <si>
    <t>10820.061 Medicine cabinet w/mirror</t>
  </si>
  <si>
    <t>10820.07 Facial tissue dispenser</t>
  </si>
  <si>
    <t>10820.071 Clothes line</t>
  </si>
  <si>
    <t>10820.072 Robe hook</t>
  </si>
  <si>
    <t>10820.099 ******************************</t>
  </si>
  <si>
    <t>10820.2 12" chrome towel bar</t>
  </si>
  <si>
    <t>10820.201 18" chrome towel bar</t>
  </si>
  <si>
    <t>10820.202 24" chrome towel bar</t>
  </si>
  <si>
    <t>10820.203 30" chrome towel bar</t>
  </si>
  <si>
    <t>10820.204 36" chrome towel bar</t>
  </si>
  <si>
    <t>10820.22 Chrome towel ring</t>
  </si>
  <si>
    <t>10820.23 Chrome toilet paper holder</t>
  </si>
  <si>
    <t>10820.24 Chrome recessed tph</t>
  </si>
  <si>
    <t>10820.25 Chrome toothbrush holder</t>
  </si>
  <si>
    <t>10820.26 Chrome soap dish</t>
  </si>
  <si>
    <t>10820.27 Chrome recessed soap dish</t>
  </si>
  <si>
    <t>10820.28 Chrome soap and grab</t>
  </si>
  <si>
    <t>10820.29 Chrome robe hook</t>
  </si>
  <si>
    <t>10820.31 12" antique brass towel bar</t>
  </si>
  <si>
    <t>10820.311 18" antique brass towel bar</t>
  </si>
  <si>
    <t>10820.312 24" antique brass towel bar</t>
  </si>
  <si>
    <t>10820.313 30" antique brass towel bar</t>
  </si>
  <si>
    <t>10820.314 36" antique brass towel bar</t>
  </si>
  <si>
    <t>10820.325 Antique brass towel ring</t>
  </si>
  <si>
    <t>10820.335 Antique brass toilet paper holder</t>
  </si>
  <si>
    <t>10820.345 Antique brass recessed toilet paper holder</t>
  </si>
  <si>
    <t>10820.355 Antique brass toothbrush holder</t>
  </si>
  <si>
    <t>10820.365 Antique brass soap dish</t>
  </si>
  <si>
    <t>10820.375 Antique brass recessed soap dish</t>
  </si>
  <si>
    <t>10820.385 Antique brass soap and grab</t>
  </si>
  <si>
    <t>10820.395 Antique brass robe hook</t>
  </si>
  <si>
    <t>10820.5 Tub curtain rod</t>
  </si>
  <si>
    <t>10820.51 Shower curtain rod</t>
  </si>
  <si>
    <t>10820.52 Sliding tub door</t>
  </si>
  <si>
    <t>10820.53 Shower door</t>
  </si>
  <si>
    <t>10820.6 Chrome medicine cabinet</t>
  </si>
  <si>
    <t>10820.601 Antique brass medicine cabinet</t>
  </si>
  <si>
    <t>10820.602 Medicine cabinet Type A</t>
  </si>
  <si>
    <t>10820.603 Medicine cabinet Type B</t>
  </si>
  <si>
    <t>10820.7    "x  " ¼" plate gl mirror</t>
  </si>
  <si>
    <t>10820.71    "x  " ¼" framed mirror</t>
  </si>
  <si>
    <t>10820.72    "x  " decorative mirror</t>
  </si>
  <si>
    <t>10900.005 Wire closet unit</t>
  </si>
  <si>
    <t>10900.011 Coat racks</t>
  </si>
  <si>
    <t>10900.015 Coat rack</t>
  </si>
  <si>
    <t>10900.025 Adjustable closet rod 2' to 4'</t>
  </si>
  <si>
    <t>10900.026 Adjustable closet rod 4' to 6'</t>
  </si>
  <si>
    <t>10900.027 Adjustable closet rod 4'6" to 8'</t>
  </si>
  <si>
    <t>10900.028 Adjustable closet rod 8' to 12'</t>
  </si>
  <si>
    <t>13009.901 Boron loaded shielding door</t>
  </si>
  <si>
    <t>13030.01 Sauna</t>
  </si>
  <si>
    <t>13090.01 Lead lined gypsum board</t>
  </si>
  <si>
    <t>13090.02 Lead lined view windows</t>
  </si>
  <si>
    <t>13090.03 Lead lined doors</t>
  </si>
  <si>
    <t>13090.04 Lead lining</t>
  </si>
  <si>
    <t>13090.101 Boron loaded shielding door</t>
  </si>
  <si>
    <t>13100.005  Conductor, copper (Lightning protection)</t>
  </si>
  <si>
    <t>13100.006   #6   AWG</t>
  </si>
  <si>
    <t>13100.007   #4   AWG</t>
  </si>
  <si>
    <t>13100.008   #1/0 AWG</t>
  </si>
  <si>
    <t>13100.009   #2/0 AWG</t>
  </si>
  <si>
    <t>13100.01   #4/0 AWG</t>
  </si>
  <si>
    <t>13100.011   #250 MCM</t>
  </si>
  <si>
    <t>13100.012   #500 MCM</t>
  </si>
  <si>
    <t>13100.021  Conductor, aluminum (Lightning protection)</t>
  </si>
  <si>
    <t>13100.022   #1/0 AWG</t>
  </si>
  <si>
    <t>13100.023   #4/0 AWG</t>
  </si>
  <si>
    <t>13100.031  Conductor, flat copper</t>
  </si>
  <si>
    <t>13100.032     ¾" wdth x 14ga thick</t>
  </si>
  <si>
    <t>13100.033       1" wdth x 14ga thick</t>
  </si>
  <si>
    <t>13100.034   1¼" wdth x 14ga thick</t>
  </si>
  <si>
    <t>13100.041  Conductor, flat aluminum</t>
  </si>
  <si>
    <t>13100.042     5/8" wdth x 14ga thick</t>
  </si>
  <si>
    <t>13100.043       1" wdth x 12ga thick</t>
  </si>
  <si>
    <t>13100.044   1¼" wdth x 12ga thick</t>
  </si>
  <si>
    <t>13100.051  Flexible braid, copper</t>
  </si>
  <si>
    <t>13100.052   #6   AWG</t>
  </si>
  <si>
    <t>13100.053   #4   AWG</t>
  </si>
  <si>
    <t>13100.054   #2   AWG</t>
  </si>
  <si>
    <t>13100.056   #1/0 AWG</t>
  </si>
  <si>
    <t>13100.058  Flexible braid, aluminum</t>
  </si>
  <si>
    <t>13100.059   #2/0 AWG</t>
  </si>
  <si>
    <t>13100.065  Conductor, rod copper</t>
  </si>
  <si>
    <t>13100.066   1/2" diameter</t>
  </si>
  <si>
    <t>13100.068  Conductor, rod aluminum</t>
  </si>
  <si>
    <t>13100.069   1/2" diameter</t>
  </si>
  <si>
    <t>13100.071  Bus bar, copper (lightning protection)</t>
  </si>
  <si>
    <t>13100.072   1/16"w x 1"      thick</t>
  </si>
  <si>
    <t>13100.073   1/8" w x 3/4"    thick</t>
  </si>
  <si>
    <t>13100.074   1/8" w x 1"      thick</t>
  </si>
  <si>
    <t>13100.075   1/8" w x 1-1/2"  thick</t>
  </si>
  <si>
    <t>13100.076   1/8" w x 2"      thick</t>
  </si>
  <si>
    <t>13100.077   1/4" w x 3/4"    thick</t>
  </si>
  <si>
    <t>13100.078   1/4" w x 1"      thick</t>
  </si>
  <si>
    <t>13100.079   1/4" w x 1-1/2"  thick</t>
  </si>
  <si>
    <t>13100.08   1/4" w x 2"      thick</t>
  </si>
  <si>
    <t>13100.081  Bus bar, aluminum</t>
  </si>
  <si>
    <t>13100.082   1/8" w x 3/4"    thick</t>
  </si>
  <si>
    <t>13100.083   1/8" w x 1"      thick</t>
  </si>
  <si>
    <t>13100.084   1/8" w x 1-1/2"  thick</t>
  </si>
  <si>
    <t>13100.085   1/8" w x 2"      thick</t>
  </si>
  <si>
    <t>13100.086   1/4" w x 3/4"    thick</t>
  </si>
  <si>
    <t>13100.087   1/4" w x 1"      thick</t>
  </si>
  <si>
    <t>13100.088   1/4" w x 1-1/4"  thick</t>
  </si>
  <si>
    <t>13100.089   1/4" w x 2"      thick</t>
  </si>
  <si>
    <t>13100.1  Air terminals, copper</t>
  </si>
  <si>
    <t>13100.101   3/8" x 10"</t>
  </si>
  <si>
    <t>13100.102   3/8" x 12"</t>
  </si>
  <si>
    <t>13100.103   3/8" x 15"</t>
  </si>
  <si>
    <t>13100.104   3/8" x 18"</t>
  </si>
  <si>
    <t>13100.105   3/8" x 24"</t>
  </si>
  <si>
    <t>13100.106   3/8" x 30"</t>
  </si>
  <si>
    <t>13100.107   3/8" x 36"</t>
  </si>
  <si>
    <t>13100.108   3/8" x 48"</t>
  </si>
  <si>
    <t>13100.109   3/8" x 60"</t>
  </si>
  <si>
    <t>13100.11   1/2" x 10"</t>
  </si>
  <si>
    <t>13100.111   1/2" x 12"</t>
  </si>
  <si>
    <t>13100.112   1/2" x 15"</t>
  </si>
  <si>
    <t>13100.113   1/2" x 18"</t>
  </si>
  <si>
    <t>13100.114   1/2" x 24"</t>
  </si>
  <si>
    <t>13100.115   1/2" x 30"</t>
  </si>
  <si>
    <t>13100.116   1/2" x 36"</t>
  </si>
  <si>
    <t>13100.117   1/2" x 48"</t>
  </si>
  <si>
    <t>13100.118   1/2" x 60"</t>
  </si>
  <si>
    <t>13100.119   5/8" x 10"</t>
  </si>
  <si>
    <t>13100.12   5/8" x 12"</t>
  </si>
  <si>
    <t>13100.121   5/8" x 15"</t>
  </si>
  <si>
    <t>13100.122   5/8" x 18"</t>
  </si>
  <si>
    <t>13100.123   5/8" x 24"</t>
  </si>
  <si>
    <t>13100.124   5/8" x 30"</t>
  </si>
  <si>
    <t>13100.125   5/8" x 36"</t>
  </si>
  <si>
    <t>13100.126   5/8" x 48"</t>
  </si>
  <si>
    <t>13100.127   5/8" x 60"</t>
  </si>
  <si>
    <t>13100.13  Air terminals, aluminum</t>
  </si>
  <si>
    <t>13100.131   1/2" x 10"</t>
  </si>
  <si>
    <t>13100.132   1/2" x 12"</t>
  </si>
  <si>
    <t>13100.133   1/2" x 15"</t>
  </si>
  <si>
    <t>13100.134   1/2" x 18"</t>
  </si>
  <si>
    <t>13100.135   1/2" x 24"</t>
  </si>
  <si>
    <t>13100.136   1/2" x 30"</t>
  </si>
  <si>
    <t>13100.137   1/2" x 36"</t>
  </si>
  <si>
    <t>13100.138   1/2" x 48"</t>
  </si>
  <si>
    <t>13100.139   1/2" x 60"</t>
  </si>
  <si>
    <t>13100.14   5/8" x 10"</t>
  </si>
  <si>
    <t>13100.141   5/8" x 12"</t>
  </si>
  <si>
    <t>13100.142   5/8" x 15"</t>
  </si>
  <si>
    <t>13100.143   5/8" x 18"</t>
  </si>
  <si>
    <t>13100.144   5/8" x 24"</t>
  </si>
  <si>
    <t>13100.145   5/8" x 30"</t>
  </si>
  <si>
    <t>13100.146   5/8" x 36"</t>
  </si>
  <si>
    <t>13100.147   5/8" x 48"</t>
  </si>
  <si>
    <t>13100.148   5/8" x 60"</t>
  </si>
  <si>
    <t>13100.15  Couplings and adapters</t>
  </si>
  <si>
    <t>13100.151   3/8" fmale to fmale Cu</t>
  </si>
  <si>
    <t>13100.152   3/8" fmale to male  Cu</t>
  </si>
  <si>
    <t>13100.153   3/8" male to male   Cu</t>
  </si>
  <si>
    <t>13100.154   1/2" fmale to fmale Cu</t>
  </si>
  <si>
    <t>13100.155   1/2" fmale to male  Cu</t>
  </si>
  <si>
    <t>13100.156   1/2" male to male   Cu</t>
  </si>
  <si>
    <t>13100.157   5/8" fmale to fmale Cu</t>
  </si>
  <si>
    <t>13100.158   5/8" fmale to male  Cu</t>
  </si>
  <si>
    <t>13100.159   5/8" male to male   Cu</t>
  </si>
  <si>
    <t>13100.16   1/2" fmale to fmale aluminum</t>
  </si>
  <si>
    <t>13100.161   1/2" fmale to male  alum</t>
  </si>
  <si>
    <t>13100.162   1/2" male to male   alum</t>
  </si>
  <si>
    <t>13100.163   5/8" fmale to fmale aluminum</t>
  </si>
  <si>
    <t>13100.164   5/8" fmale to male  alum</t>
  </si>
  <si>
    <t>13100.165   5/8" male to male   aluminum</t>
  </si>
  <si>
    <t>13100.167   1/2" swivel adapter Cu</t>
  </si>
  <si>
    <t>13100.168   5/8" swivel adapter Cu</t>
  </si>
  <si>
    <t>13100.169   1/2" swivel adapter aluminum</t>
  </si>
  <si>
    <t>13100.17   5/8" swivel adapter aluminum</t>
  </si>
  <si>
    <t>13100.175  Air terminal base</t>
  </si>
  <si>
    <t>13100.176   Straight 3/8"   copper</t>
  </si>
  <si>
    <t>13100.177   Straight 1/2"   copper</t>
  </si>
  <si>
    <t>13100.178   Straight 5/8"   copper</t>
  </si>
  <si>
    <t>13100.18   Straight 1/2"   aluminum</t>
  </si>
  <si>
    <t>13100.181   Straight 5/8"   aluminum</t>
  </si>
  <si>
    <t>13100.182   Tee      3/8"   copper</t>
  </si>
  <si>
    <t>13100.183   Tee      1/2"   copper</t>
  </si>
  <si>
    <t>13100.184   Tee      3/8"   aluminum</t>
  </si>
  <si>
    <t>13100.185   Tee      1/2"   aluminum</t>
  </si>
  <si>
    <t>13100.186   Combination 3/8" Cu</t>
  </si>
  <si>
    <t>13100.187   Combination 1/2" Cu</t>
  </si>
  <si>
    <t>13100.188   Combination 3/8" alum</t>
  </si>
  <si>
    <t>13100.189   Combination 1/2" alum</t>
  </si>
  <si>
    <t>13100.19   Ridge    3/8"   copper</t>
  </si>
  <si>
    <t>13100.191   Ridge    1/2"   copper</t>
  </si>
  <si>
    <t>13100.192   Ridge    5/8"   copper</t>
  </si>
  <si>
    <t>13100.193   Ridge 3/8"      aluminum</t>
  </si>
  <si>
    <t>13100.194   Ridge 1/2"      aluminum</t>
  </si>
  <si>
    <t>13100.195   Ridge 5/8"      aluminum</t>
  </si>
  <si>
    <t>13100.196   Side ridge 3/8" copper</t>
  </si>
  <si>
    <t>13100.197   Side ridge 1/2" copper</t>
  </si>
  <si>
    <t>13100.198   Side ridge 3/8" aluminum</t>
  </si>
  <si>
    <t>13100.199   Side ridge 1/2" aluminum</t>
  </si>
  <si>
    <t>13100.2   Pipe/handrail 3/8" Cu</t>
  </si>
  <si>
    <t>13100.201   Pipe/hand rail 1/2" Cu</t>
  </si>
  <si>
    <t>13100.202   Pipe/hand rail 5/8" Cu</t>
  </si>
  <si>
    <t>13100.203   Pipe/hand rail 3/8" alum</t>
  </si>
  <si>
    <t>13100.204   Pipe/hand rail 1/2" alum</t>
  </si>
  <si>
    <t>13100.205   Pipe/hand rail 5/8" alum</t>
  </si>
  <si>
    <t>13100.206   Adhesive       3/8" Cu</t>
  </si>
  <si>
    <t>13100.207   Adhesive       3/8" Cu</t>
  </si>
  <si>
    <t>13100.208   Adhesive       5/8" Cu</t>
  </si>
  <si>
    <t>13100.209   Adhesive       3/8" alum</t>
  </si>
  <si>
    <t>13100.21   Adhesive       1/2" alum</t>
  </si>
  <si>
    <t>13100.211   Adhesive       5/8" alum</t>
  </si>
  <si>
    <t>13100.212   Metal mounted  3/8" Cu</t>
  </si>
  <si>
    <t>13100.213   Metal mounted  1/2" Cu</t>
  </si>
  <si>
    <t>13100.214   Metal mounted  5/8" Cu</t>
  </si>
  <si>
    <t>13100.215   Metal mounted  3/8" alum</t>
  </si>
  <si>
    <t>13100.216   Metal mounted  1/2" alum</t>
  </si>
  <si>
    <t>13100.217   Metal mounted  5/8" alum</t>
  </si>
  <si>
    <t>13100.218   Spring type    3/8" Cu</t>
  </si>
  <si>
    <t>13100.219   Spring type    1/2" Cu</t>
  </si>
  <si>
    <t>13100.221   Spring type    3/8" alum</t>
  </si>
  <si>
    <t>13100.222   Spring type    1/2" alum</t>
  </si>
  <si>
    <t>13100.223   Spring type    5/8" alum</t>
  </si>
  <si>
    <t>13100.224   Stand-off      3/8" Cu</t>
  </si>
  <si>
    <t>13100.225   Stand-off      1/2" Cu</t>
  </si>
  <si>
    <t>13100.226   Stand-off      5/8" Cu</t>
  </si>
  <si>
    <t>13100.227   Stand-off      3/8" alum</t>
  </si>
  <si>
    <t>13100.228   Stand-off      1/2" alum</t>
  </si>
  <si>
    <t>13100.229   Stand-off      5/8" alum</t>
  </si>
  <si>
    <t>13100.235  Cable splicers</t>
  </si>
  <si>
    <t>13100.236   Straight     copper</t>
  </si>
  <si>
    <t>13100.237   Straight     aluminum</t>
  </si>
  <si>
    <t>13100.238   Tee          copper</t>
  </si>
  <si>
    <t>13100.239   Tee          aluminum</t>
  </si>
  <si>
    <t>13100.24   Combination  copper</t>
  </si>
  <si>
    <t>13100.241   Combination  aluminum</t>
  </si>
  <si>
    <t>13100.242   Parallel     copper</t>
  </si>
  <si>
    <t>13100.243   Parallel     aluminum</t>
  </si>
  <si>
    <t>13100.244   Cross        copper</t>
  </si>
  <si>
    <t>13100.245   Cross        aluminum</t>
  </si>
  <si>
    <t>13100.246   Straight bi-metallic</t>
  </si>
  <si>
    <t>13100.247   Parallel bi-metallic</t>
  </si>
  <si>
    <t>13100.25  Bonding plates and clamps</t>
  </si>
  <si>
    <t>13100.251   Bonding plate  copper</t>
  </si>
  <si>
    <t>13100.252   Bonding plate  aluminum</t>
  </si>
  <si>
    <t>13100.253   Pipe bonding clamp  Cu</t>
  </si>
  <si>
    <t>13100.254   Pipe bonding clamp  alum</t>
  </si>
  <si>
    <t>13100.255   Water service clamp Cu</t>
  </si>
  <si>
    <t>13100.256   Water service clamp alum</t>
  </si>
  <si>
    <t>13100.257   Gutter or rod clamp Cu</t>
  </si>
  <si>
    <t>13100.258   Gutter or rod clamp alum</t>
  </si>
  <si>
    <t>13100.259   Angle or chnl clamp Cu</t>
  </si>
  <si>
    <t>13100.26   Angle or chnl clamp alum</t>
  </si>
  <si>
    <t>13100.261   Metal bonding clamp Cu</t>
  </si>
  <si>
    <t>13100.262   Metal bonding clamp alum</t>
  </si>
  <si>
    <t>13100.27  Cble fastners &amp; gnd clamp</t>
  </si>
  <si>
    <t>13100.271   Adhesive      copper</t>
  </si>
  <si>
    <t>13100.272   Adhesive      aluminum</t>
  </si>
  <si>
    <t>13100.273   Strap         copper</t>
  </si>
  <si>
    <t>13100.274   Strap         aluminum</t>
  </si>
  <si>
    <t>13100.275   Loop          copper</t>
  </si>
  <si>
    <t>13100.276   Loop          aluminum</t>
  </si>
  <si>
    <t>13100.277   Stand-off     copper</t>
  </si>
  <si>
    <t>13100.278   Stand-off     aluminum</t>
  </si>
  <si>
    <t>13100.279   Clip          copper</t>
  </si>
  <si>
    <t>13100.28   Clip          aluminum</t>
  </si>
  <si>
    <t>13100.281   Anchor clip   copper</t>
  </si>
  <si>
    <t>13100.282   Anchor clip   aluminum</t>
  </si>
  <si>
    <t>13100.283   Lay-in masonry anchor Cu</t>
  </si>
  <si>
    <t>13100.284   Tap ground clamp ½2"</t>
  </si>
  <si>
    <t>13100.285   Tap ground clamp 5/8"</t>
  </si>
  <si>
    <t>13100.286   Tap ground clamp ¾"</t>
  </si>
  <si>
    <t>13100.287   Bus ground clamp ½"</t>
  </si>
  <si>
    <t>13100.288   Bus ground clamp 5/8"</t>
  </si>
  <si>
    <t>13100.289   Bus ground clamp ¾"</t>
  </si>
  <si>
    <t>13120.01 Greenhouse/solarium</t>
  </si>
  <si>
    <t>13120.1 Prefabricated metal building</t>
  </si>
  <si>
    <t>13120.101     Frame only</t>
  </si>
  <si>
    <t>13120.102     Frame and roof</t>
  </si>
  <si>
    <t>13120.103     Frame, roof and siding</t>
  </si>
  <si>
    <t>13120.109 * No. of prefabricated metal buildings *</t>
  </si>
  <si>
    <t>13120.11 Portable booths and offices</t>
  </si>
  <si>
    <t>13120.201 Erect 16x16 end bay, 20'-80' wide</t>
  </si>
  <si>
    <t>13120.202 Erect 20x20 end bay, 20'-80' wide</t>
  </si>
  <si>
    <t>13120.203 Erect 24x24 end bay, 20'-80' wide</t>
  </si>
  <si>
    <t>13120.204 Erect 28x28 end bay, 20'-80' wide</t>
  </si>
  <si>
    <t>13120.205 Erect 16x16 end bay, 81'-120' wide</t>
  </si>
  <si>
    <t>13120.206 Erect 20x20 end bay, 81'-120' wide</t>
  </si>
  <si>
    <t>13120.207 Erect 24x24 end bay, 81'-120' wide</t>
  </si>
  <si>
    <t>13120.208 Erect 28x28 end bay, 81'-120' wide</t>
  </si>
  <si>
    <t>13120.211 Erect 16x16 braced end bay, 20'-80' wide</t>
  </si>
  <si>
    <t>13120.212 Erect 20x20 braced end bay, 20'-80' wide</t>
  </si>
  <si>
    <t>13120.213 Erect 24x24 braced end bay, 20'-80' wide</t>
  </si>
  <si>
    <t>13120.214 Erect 28x28 braced end bay, 20'-80' wide</t>
  </si>
  <si>
    <t>13120.215 Erect 16x16 braced end bay, 81'-120' wide</t>
  </si>
  <si>
    <t>13120.216 Erect 20x20 braced end bay, 81'-120' wide</t>
  </si>
  <si>
    <t>13120.217 Erect 24x24 braced end bay, 81'-120' wide</t>
  </si>
  <si>
    <t>13120.218 Erect 28x28 braced end bay, 81'-120' wide</t>
  </si>
  <si>
    <t>13120.221 Erect 16x16 interior bay, 20'-80' wide</t>
  </si>
  <si>
    <t>13120.222 Erect 20x20 interior bay, 20'-80' wide</t>
  </si>
  <si>
    <t>13120.223 Erect 24x24 interior bay, 20'-80' wide</t>
  </si>
  <si>
    <t>13120.224 Erect 28x28 interior bay, 20'-80' wide</t>
  </si>
  <si>
    <t>13120.225 Erect 16x16 interior bay, 81'-120' wide</t>
  </si>
  <si>
    <t>13120.226 Erect 20x20 interior bay, 81'-120' wide</t>
  </si>
  <si>
    <t>13120.227 Erect 24x24 interior bay, 81'-120' wide</t>
  </si>
  <si>
    <t>13120.228 Erect 28x28 interior bay, 81'-120' wide</t>
  </si>
  <si>
    <t>13120.231 Erect 16x16 braced interior bay, 20'-80' wide</t>
  </si>
  <si>
    <t>13120.232 Erect 20x20 braced interior bay, 20'-80' wide</t>
  </si>
  <si>
    <t>13120.233 Erect 24x24 braced interior bay, 20'-80' wide</t>
  </si>
  <si>
    <t>13120.234 Erect 28x28 braced interior bay, 20'-80' wide</t>
  </si>
  <si>
    <t>13120.235 Erect 16x16 braced interior bay, 81'-120' wide</t>
  </si>
  <si>
    <t>13120.236 Erect 20x20 braced interior bay, 81'-120' wide</t>
  </si>
  <si>
    <t>13120.237 Erect 24x24 braced interior bay, 81'-120' wide</t>
  </si>
  <si>
    <t>13120.238 Erect 28x28 braced interior bay, 81'-120' wide</t>
  </si>
  <si>
    <t>13120.241 Erect beams and columns, 16x16 bays</t>
  </si>
  <si>
    <t>13120.242 Erect beams and columns, 20x20 bays</t>
  </si>
  <si>
    <t>13120.243 Erect beams and columns, 24x24 bays</t>
  </si>
  <si>
    <t>13120.244 Erect beams and columns, 28x28 bays</t>
  </si>
  <si>
    <t>13120.25 Erect girts</t>
  </si>
  <si>
    <t>13120.254 Erect portal column add ons</t>
  </si>
  <si>
    <t>13120.261 Erect endwall, 12' high</t>
  </si>
  <si>
    <t>13120.262 Erect endwall, 14' high</t>
  </si>
  <si>
    <t>13120.263 Erect endwall, 16' high</t>
  </si>
  <si>
    <t>13120.264 Erect endwall, 20' high</t>
  </si>
  <si>
    <t>13120.265 Erect endwall, 24' high</t>
  </si>
  <si>
    <t>13120.266 Erect endwall, 25+' high</t>
  </si>
  <si>
    <t>13120.271 Erect sidewall, 12' high</t>
  </si>
  <si>
    <t>13120.272 Erect sidewall, 14' high</t>
  </si>
  <si>
    <t>13120.273 Erect sidewall, 16' high</t>
  </si>
  <si>
    <t>13120.274 Erect sidewall, 20' high</t>
  </si>
  <si>
    <t>13120.275 Erect sidewall, 24 high</t>
  </si>
  <si>
    <t>13120.276 Erect sidewall, 25+' high</t>
  </si>
  <si>
    <t>13120.301 Wall insulation</t>
  </si>
  <si>
    <t>13120.302    3' wide blankets</t>
  </si>
  <si>
    <t>13120.303    4' wide blankets</t>
  </si>
  <si>
    <t>13120.304    6' wide blankets</t>
  </si>
  <si>
    <t>13120.31    Liner panel</t>
  </si>
  <si>
    <t>13120.311    Nestable liner</t>
  </si>
  <si>
    <t>13120.312    Gable liner panels</t>
  </si>
  <si>
    <t>13120.313    Furring for insulation, 24" o.c.</t>
  </si>
  <si>
    <t>13120.32    Snap in insulation</t>
  </si>
  <si>
    <t>13120.321    Friction fit insulation</t>
  </si>
  <si>
    <t>13120.331 Roof erection</t>
  </si>
  <si>
    <t>13120.332    Start up bay</t>
  </si>
  <si>
    <t>13120.333    Eaves</t>
  </si>
  <si>
    <t>13120.334    Ridges</t>
  </si>
  <si>
    <t>13120.335    Swages</t>
  </si>
  <si>
    <t>13120.35    Uninsulated roof (all pieces)</t>
  </si>
  <si>
    <t>13120.351    Insulated roof 0-60' wide, 3' blankets</t>
  </si>
  <si>
    <t>13120.352    Insulated roof 0-60' wide, 4' blankets</t>
  </si>
  <si>
    <t>13120.353    Insulated roof 0-60' wide, 6' blankets</t>
  </si>
  <si>
    <t>13120.354    Insulated roof 61-80' wide, 3' blankets</t>
  </si>
  <si>
    <t>13120.355    Insulated roof 61-80' wide, 4' blankets</t>
  </si>
  <si>
    <t>13120.356    Insulated roof 61-80' wide, 6' blankets</t>
  </si>
  <si>
    <t>13120.357    Insulated roof 81-120' wide, 3' blankets</t>
  </si>
  <si>
    <t>13120.358    Insulated roof 81-120' wide, 4' blankets</t>
  </si>
  <si>
    <t>13120.359    Insulated roof 81-120' wide, 6' blankets</t>
  </si>
  <si>
    <t>13120.36    Insulated roof 121-200' wide, 3' blankets</t>
  </si>
  <si>
    <t>13120.361    Insulated roof 121-200' wide, 4' blankets</t>
  </si>
  <si>
    <t>13120.362    Insulated roof 121-200' wide, 6' blankets</t>
  </si>
  <si>
    <t>13120.363    Insulated roof 200'+, 3' blankets</t>
  </si>
  <si>
    <t>13120.364    Insulated roof 200'+, 4' blankets</t>
  </si>
  <si>
    <t>13120.365    Insulated roof 200'+, 6' blankets</t>
  </si>
  <si>
    <t>13120.371    Insulated roof and mesh 0-60' wide, 3' blankets</t>
  </si>
  <si>
    <t>13120.372    Insulated roof and mesh 0-60' wide, 4' blankets</t>
  </si>
  <si>
    <t>13120.373    Insulated roof and mesh 0-60' wide, 6' blankets</t>
  </si>
  <si>
    <t>13120.374    Insulated roof and mesh 61-80' wide, 3' blankets</t>
  </si>
  <si>
    <t>13120.375    Insulated roof and mesh 61-80' wide, 4' blankets</t>
  </si>
  <si>
    <t>13120.376    Insulated roof and mesh 61-80' wide, 6' blankets</t>
  </si>
  <si>
    <t>13120.377    Insulated roof and mesh 81-120' wide, 3' blankets</t>
  </si>
  <si>
    <t>13120.378    Insulated roof and mesh 81-120' wide, 4' blankets</t>
  </si>
  <si>
    <t>13120.379    Insulated roof and mesh 81-120' wide, 6' blankets</t>
  </si>
  <si>
    <t>13120.38    Insulated roof and mesh 121-200' wide, 3' blankets</t>
  </si>
  <si>
    <t>13120.381    Insulated roof and mesh 121-200' wide, 4' blankets</t>
  </si>
  <si>
    <t>13120.382    Insulated roof and mesh 121-200' wide, 6' blankets</t>
  </si>
  <si>
    <t>13120.383    Insulated roof and mesh 200'+ wide, 3' blankets</t>
  </si>
  <si>
    <t>13120.384    Insulated roof and mesh 200'+ wide, 4' blankets</t>
  </si>
  <si>
    <t>13120.385    Insulated roof and mesh 200'+ wide, 6' blankets</t>
  </si>
  <si>
    <t>13120.4 Doors</t>
  </si>
  <si>
    <t>13120.401    Framed openings</t>
  </si>
  <si>
    <t>13120.402    3' wid doors</t>
  </si>
  <si>
    <t>13120.403    5' wide doors</t>
  </si>
  <si>
    <t>13120.404    Closers</t>
  </si>
  <si>
    <t>13120.405    Panic hardware</t>
  </si>
  <si>
    <t>13120.406    Door glass</t>
  </si>
  <si>
    <t>13120.407    Sliding door frame</t>
  </si>
  <si>
    <t>13120.42 Windows</t>
  </si>
  <si>
    <t>13120.421    2' wide windows</t>
  </si>
  <si>
    <t>13120.422    3' wide windows</t>
  </si>
  <si>
    <t>13120.423    5' wide windows</t>
  </si>
  <si>
    <t>13120.424    Window wall units</t>
  </si>
  <si>
    <t>13120.425    Window wall doors</t>
  </si>
  <si>
    <t>13120.426    Small framed window openings</t>
  </si>
  <si>
    <t>13120.427    Large framed window openings</t>
  </si>
  <si>
    <t>13120.428    Window glass</t>
  </si>
  <si>
    <t>13120.451 Ridge vents 410</t>
  </si>
  <si>
    <t>13120.452 Ridge vents 1210</t>
  </si>
  <si>
    <t>13120.46 Roof curb</t>
  </si>
  <si>
    <t>13120.47 Miscellaneous structural items</t>
  </si>
  <si>
    <t>13120.471    Interior purlins</t>
  </si>
  <si>
    <t>13120.472    Eave purlins</t>
  </si>
  <si>
    <t>13120.473    Stub columns</t>
  </si>
  <si>
    <t>13120.474    Portal columns</t>
  </si>
  <si>
    <t>13120.475    Miscellaneous columns</t>
  </si>
  <si>
    <t>13120.476    Miscellaneous rafters</t>
  </si>
  <si>
    <t>13120.477    Brace tubes</t>
  </si>
  <si>
    <t>13120.478    Brace rods</t>
  </si>
  <si>
    <t>13120.479    Miscellaneous wall girts</t>
  </si>
  <si>
    <t>13120.49 Miscelleneous roof items</t>
  </si>
  <si>
    <t xml:space="preserve">13120.491    Eaves </t>
  </si>
  <si>
    <t xml:space="preserve">13120.492    Ridges </t>
  </si>
  <si>
    <t>13120.493    Swage lines</t>
  </si>
  <si>
    <t>13120.5 Miscellaneous wall items</t>
  </si>
  <si>
    <t>13120.501    Base channels</t>
  </si>
  <si>
    <t>13120.502    Base zees</t>
  </si>
  <si>
    <t>13120.503    Red head anchors</t>
  </si>
  <si>
    <t>13120.504    20' high sidewall panels</t>
  </si>
  <si>
    <t>13120.505    20' high endwall panels</t>
  </si>
  <si>
    <t>13120.506    Wall splices</t>
  </si>
  <si>
    <t>13120.507    Plugs</t>
  </si>
  <si>
    <t>13120.508    Wall caps</t>
  </si>
  <si>
    <t>13120.509    Eave flashing</t>
  </si>
  <si>
    <t>13120.51    Gable fascia</t>
  </si>
  <si>
    <t>13120.511    Furring</t>
  </si>
  <si>
    <t>13120.52 Miscellaneous accessories</t>
  </si>
  <si>
    <t>13120.521    Leaves and hinges</t>
  </si>
  <si>
    <t>13120.522    Thresholds</t>
  </si>
  <si>
    <t>13120.523    Weatherstripping (per door)</t>
  </si>
  <si>
    <t>13120.524    Single locks</t>
  </si>
  <si>
    <t>13120.525    Double locks</t>
  </si>
  <si>
    <t>13120.526    Astragals</t>
  </si>
  <si>
    <t>13120.527    5' wide door reinforcement</t>
  </si>
  <si>
    <t>13120.528    2' wide framed opening sashes</t>
  </si>
  <si>
    <t>13120.529    3' wide framed opening sashes</t>
  </si>
  <si>
    <t>13120.6 Unload and shakeout w/crane</t>
  </si>
  <si>
    <t>13120.601 Unload and shakeout w/forklift</t>
  </si>
  <si>
    <t>13150.01 Swimming pool   'x   '</t>
  </si>
  <si>
    <t>13170.01 Whirlpool</t>
  </si>
  <si>
    <t>13200 Excavation and backfill</t>
  </si>
  <si>
    <t>13200.001  Backhoe</t>
  </si>
  <si>
    <t>13200.002   28.741 cubic yards</t>
  </si>
  <si>
    <t>13200.003   42.075 cubic yards</t>
  </si>
  <si>
    <t>13200.004   67.704 cubic yards</t>
  </si>
  <si>
    <t>13200.005   129.185 cubic yards</t>
  </si>
  <si>
    <t>13200.006   148.444 cubic yards</t>
  </si>
  <si>
    <t>13200.007   171.555 cubic yards</t>
  </si>
  <si>
    <t>13200.008   213.926 cubic yards</t>
  </si>
  <si>
    <t>13200.009   256.296 cubic yards</t>
  </si>
  <si>
    <t>13200.01   298.666 cubic yards</t>
  </si>
  <si>
    <t>13200.011   345.713 cubic yards</t>
  </si>
  <si>
    <t>13200.012   446.611 cubic yards</t>
  </si>
  <si>
    <t>13200.013   526.815 cubic yards</t>
  </si>
  <si>
    <t>13200.014   660.148 cubic yards</t>
  </si>
  <si>
    <t>13200.015   808.296 cubic yards</t>
  </si>
  <si>
    <t>13200.016   971.259 cubic yards</t>
  </si>
  <si>
    <t>13200.017   971.259 cubic yards</t>
  </si>
  <si>
    <t>13200.02  Sand underlay</t>
  </si>
  <si>
    <t>13200.021   3.111 cubic yards</t>
  </si>
  <si>
    <t>13200.022   4.444 cubic yards</t>
  </si>
  <si>
    <t>13200.023   5.370 cubic yards</t>
  </si>
  <si>
    <t>13200.024   8.000 cubic yards</t>
  </si>
  <si>
    <t>13200.025   8.889 cubic yards</t>
  </si>
  <si>
    <t>13200.026   10.444 cubic yards</t>
  </si>
  <si>
    <t>13200.027   12.889 cubic yards</t>
  </si>
  <si>
    <t>13200.028   15.333 cubic yards</t>
  </si>
  <si>
    <t>13200.029   17.778 cubic yards</t>
  </si>
  <si>
    <t>13200.03   16.380 cubic yards</t>
  </si>
  <si>
    <t>13200.031   20.944 cubic yards</t>
  </si>
  <si>
    <t>13200.032   21.926 cubic yards</t>
  </si>
  <si>
    <t>13200.033   27.259 cubic yards</t>
  </si>
  <si>
    <t>13200.034   33.185 cubic yards</t>
  </si>
  <si>
    <t>13200.035   39.704 cubic yards</t>
  </si>
  <si>
    <t>13200.036   39.704 cubic yards</t>
  </si>
  <si>
    <t>13200.04  Pea gravel underlay</t>
  </si>
  <si>
    <t>13200.041   3.111 cubic yards</t>
  </si>
  <si>
    <t>13200.042   4.444 cubic yards</t>
  </si>
  <si>
    <t>13200.043   5.370 cubic yards</t>
  </si>
  <si>
    <t>13200.044   8.000 cubic yards</t>
  </si>
  <si>
    <t>13200.045   8.889 cubic yards</t>
  </si>
  <si>
    <t>13200.046   10.444 cubic yards</t>
  </si>
  <si>
    <t>13200.047   12.889 cubic yards</t>
  </si>
  <si>
    <t>13200.048   15.333 cubic yards</t>
  </si>
  <si>
    <t>13200.049   17.778 cubic yards</t>
  </si>
  <si>
    <t>13200.05   16.380 cubic yards</t>
  </si>
  <si>
    <t>13200.051   20.944 cubic yards</t>
  </si>
  <si>
    <t>13200.052   21.926 cubic yards</t>
  </si>
  <si>
    <t>13200.053   27.259 cubic yards</t>
  </si>
  <si>
    <t>13200.054   33.185 cubic yards</t>
  </si>
  <si>
    <t>13200.055   39.704 cubic yards</t>
  </si>
  <si>
    <t>13200.056   39.704 cubic yards</t>
  </si>
  <si>
    <t>13200.06  Gravel underlay</t>
  </si>
  <si>
    <t>13200.061   3.111 cubic yards</t>
  </si>
  <si>
    <t>13200.062   4.444 cubic yards</t>
  </si>
  <si>
    <t>13200.063   5.370 cubic yards</t>
  </si>
  <si>
    <t>13200.064   8.000 cubic yards</t>
  </si>
  <si>
    <t>13200.065   8.889 cubic yards</t>
  </si>
  <si>
    <t>13200.066   10.444 cubic yards</t>
  </si>
  <si>
    <t>13200.067   12.889 cubic yards</t>
  </si>
  <si>
    <t>13200.068   15.333 cubic yards</t>
  </si>
  <si>
    <t>13200.069   17.778 cubic yards</t>
  </si>
  <si>
    <t>13200.07   16.380 cubic yards</t>
  </si>
  <si>
    <t>13200.071   20.944 cubic yards</t>
  </si>
  <si>
    <t>13200.072   21.926 cubic yards</t>
  </si>
  <si>
    <t>13200.073   27.259 cubic yards</t>
  </si>
  <si>
    <t>13200.074   33.185 cubic yards</t>
  </si>
  <si>
    <t>13200.075   39.704 cubic yards</t>
  </si>
  <si>
    <t>13200.076   39.704 cubic yards</t>
  </si>
  <si>
    <t>13200.08  Dragline and backhoe backfill</t>
  </si>
  <si>
    <t>13200.081   28.741 cubic yards</t>
  </si>
  <si>
    <t>13200.082   42.075 cubic yards</t>
  </si>
  <si>
    <t>13200.083   67.704 cubic yards</t>
  </si>
  <si>
    <t>13200.084   129.185 cubic yards</t>
  </si>
  <si>
    <t>13200.085   148.444 cubic yards</t>
  </si>
  <si>
    <t>13200.086   171.555 cubic yards</t>
  </si>
  <si>
    <t>13200.087   213.926 cubic yards</t>
  </si>
  <si>
    <t>13200.088   256.296 cubic yards</t>
  </si>
  <si>
    <t>13200.089   298.666 cubic yards</t>
  </si>
  <si>
    <t>13200.09   345.713 cubic yards</t>
  </si>
  <si>
    <t>13200.091   446.611 cubic yards</t>
  </si>
  <si>
    <t>13200.092   526.815 cubic yards</t>
  </si>
  <si>
    <t>13200.093   660.148 cubic yards</t>
  </si>
  <si>
    <t>13200.094   808.296 cubic yards</t>
  </si>
  <si>
    <t>13200.095   971.259 cubic yards</t>
  </si>
  <si>
    <t>13200.096   971.259 cubic yards</t>
  </si>
  <si>
    <t>13200.1  Sand underlay</t>
  </si>
  <si>
    <t>13200.101   3.111 cubic yards</t>
  </si>
  <si>
    <t>13200.102   4.444 cubic yards</t>
  </si>
  <si>
    <t>13200.103   5.370 cubic yards</t>
  </si>
  <si>
    <t>13200.104   8.000 cubic yards</t>
  </si>
  <si>
    <t>13200.105   8.889 cubic yards</t>
  </si>
  <si>
    <t>13200.106   10.444 cubic yards</t>
  </si>
  <si>
    <t>13200.107   12.889 cubic yards</t>
  </si>
  <si>
    <t>13200.108   15.333 cubic yards</t>
  </si>
  <si>
    <t>13200.109   17.778 cubic yards</t>
  </si>
  <si>
    <t>13200.11   16.380 cubic yards</t>
  </si>
  <si>
    <t>13200.111   20.944 cubic yards</t>
  </si>
  <si>
    <t>13200.112   21.926 cubic yards</t>
  </si>
  <si>
    <t>13200.113   27.259 cubic yards</t>
  </si>
  <si>
    <t>13200.114   33.185 cubic yards</t>
  </si>
  <si>
    <t>13200.115   39.704 cubic yards</t>
  </si>
  <si>
    <t>13200.116   39.704 cubic yards</t>
  </si>
  <si>
    <t>13200.12  Pea gravel underlay</t>
  </si>
  <si>
    <t>13200.121   3.111 cubic yards</t>
  </si>
  <si>
    <t>13200.122   4.444 cubic yards</t>
  </si>
  <si>
    <t>13200.123   5.370 cubic yards</t>
  </si>
  <si>
    <t>13200.124   8.000 cubic yards</t>
  </si>
  <si>
    <t>13200.125   8.889 cubic yards</t>
  </si>
  <si>
    <t>13200.126   10.444 cubic yards</t>
  </si>
  <si>
    <t>13200.127   12.889 cubic yards</t>
  </si>
  <si>
    <t>13200.128   15.333 cubic yards</t>
  </si>
  <si>
    <t>13200.129   17.778 cubic yards</t>
  </si>
  <si>
    <t>13200.13   16.380 cubic yards</t>
  </si>
  <si>
    <t>13200.131   20.944 cubic yards</t>
  </si>
  <si>
    <t>13200.132   21.926 cubic yards</t>
  </si>
  <si>
    <t>13200.133   27.259 cubic yards</t>
  </si>
  <si>
    <t>13200.134   33.185 cubic yards</t>
  </si>
  <si>
    <t>13200.135   39.704 cubic yards</t>
  </si>
  <si>
    <t>13200.136   39.704 cubic yards</t>
  </si>
  <si>
    <t>13200.14  Crushed stone underlay</t>
  </si>
  <si>
    <t>13200.141   3.111 cubic yards</t>
  </si>
  <si>
    <t>13200.142   4.444 cubic yards</t>
  </si>
  <si>
    <t>13200.143   5.370 cubic yards</t>
  </si>
  <si>
    <t>13200.144   8.000 cubic yards</t>
  </si>
  <si>
    <t>13200.145   8.889 cubic yards</t>
  </si>
  <si>
    <t>13200.146   10.444 cubic yards</t>
  </si>
  <si>
    <t>13200.147   12.889 cubic yards</t>
  </si>
  <si>
    <t>13200.148   15.333 cubic yards</t>
  </si>
  <si>
    <t>13200.149   17.778 cubic yards</t>
  </si>
  <si>
    <t>13200.15   16.380 cubic yards</t>
  </si>
  <si>
    <t>13200.151   20.944 cubic yards</t>
  </si>
  <si>
    <t>13200.152   21.926 cubic yards</t>
  </si>
  <si>
    <t>13200.153   27.259 cubic yards</t>
  </si>
  <si>
    <t>13200.154   33.185 cubic yards</t>
  </si>
  <si>
    <t>13200.155   39.704 cubic yards</t>
  </si>
  <si>
    <t>13200.156   39.704 cubic yards</t>
  </si>
  <si>
    <t>13200.16 Fuel oil storage tanks</t>
  </si>
  <si>
    <t>13200.161  Steel, above ground ,painted</t>
  </si>
  <si>
    <t>13200.162   550 gals</t>
  </si>
  <si>
    <t>13200.163   1000 gals</t>
  </si>
  <si>
    <t>13200.164   2000 gals</t>
  </si>
  <si>
    <t>13200.165   4000 gals</t>
  </si>
  <si>
    <t>13200.166   5000 gals</t>
  </si>
  <si>
    <t>13200.167   6000 gals</t>
  </si>
  <si>
    <t>13200.168   8000 gals</t>
  </si>
  <si>
    <t>13200.169   10000 gals</t>
  </si>
  <si>
    <t>13200.17   12000 gals</t>
  </si>
  <si>
    <t>13200.171   15000 gals</t>
  </si>
  <si>
    <t>13200.172   20000 gals</t>
  </si>
  <si>
    <t>13200.173   30000 gals</t>
  </si>
  <si>
    <t>13200.174   40000 gals</t>
  </si>
  <si>
    <t>13200.175   50000 gals</t>
  </si>
  <si>
    <t>13200.195  Steel, below ground</t>
  </si>
  <si>
    <t>13200.196   550 gals</t>
  </si>
  <si>
    <t>13200.197   1000 gals</t>
  </si>
  <si>
    <t>13200.198   2000 gals</t>
  </si>
  <si>
    <t>13200.199   4000 gals</t>
  </si>
  <si>
    <t>13200.2   5000 gals</t>
  </si>
  <si>
    <t>13200.201   6000 gals</t>
  </si>
  <si>
    <t>13200.202   8000 gals</t>
  </si>
  <si>
    <t>13200.203   10000 gals</t>
  </si>
  <si>
    <t>13200.204   12000 gals</t>
  </si>
  <si>
    <t>13200.205   15000 gals</t>
  </si>
  <si>
    <t>13200.206   20000 gals</t>
  </si>
  <si>
    <t>13200.207   30000 gals</t>
  </si>
  <si>
    <t>13200.208   40000 gals</t>
  </si>
  <si>
    <t>13200.209   50000 gals</t>
  </si>
  <si>
    <t>13200.229  Fiberglass, above ground, vertical</t>
  </si>
  <si>
    <t>13200.23   1000 gals</t>
  </si>
  <si>
    <t>13200.231   2000 gals</t>
  </si>
  <si>
    <t>13200.232   4000 gals</t>
  </si>
  <si>
    <t>13200.233   6000 gals</t>
  </si>
  <si>
    <t>13200.234   8000 gals</t>
  </si>
  <si>
    <t>13200.235   10000 gals</t>
  </si>
  <si>
    <t>13200.236   12000 gals</t>
  </si>
  <si>
    <t>13200.237   15000 gals</t>
  </si>
  <si>
    <t>13200.238   20000 gals</t>
  </si>
  <si>
    <t>13200.239   25000 gals</t>
  </si>
  <si>
    <t>13200.24   30000 gals</t>
  </si>
  <si>
    <t>13200.26  Fiberglass, above ground , horizontal</t>
  </si>
  <si>
    <t>13200.261   550 gals</t>
  </si>
  <si>
    <t>13200.262   1000 gals</t>
  </si>
  <si>
    <t>13200.263   2000 gals</t>
  </si>
  <si>
    <t>13200.264   4000 gals</t>
  </si>
  <si>
    <t>13200.265   6000 gals</t>
  </si>
  <si>
    <t>13200.266   8000 gals</t>
  </si>
  <si>
    <t>13200.267   10000 gals</t>
  </si>
  <si>
    <t>13200.268   12000 gals</t>
  </si>
  <si>
    <t>13200.269   15000 gals</t>
  </si>
  <si>
    <t>13200.27   20000 gals</t>
  </si>
  <si>
    <t>13200.271   25000 gals</t>
  </si>
  <si>
    <t>13200.272   30000 gals</t>
  </si>
  <si>
    <t>13200.273   40000 gals</t>
  </si>
  <si>
    <t>13200.274   48000 gals</t>
  </si>
  <si>
    <t>13200.294  Fiberglass, below ground, horizontal</t>
  </si>
  <si>
    <t>13200.295   550 gals</t>
  </si>
  <si>
    <t>13200.296   1000 gals</t>
  </si>
  <si>
    <t>13200.297   2000 gals</t>
  </si>
  <si>
    <t>13200.298   4000 gals</t>
  </si>
  <si>
    <t>13200.299   6000 gals</t>
  </si>
  <si>
    <t>13200.3   8000 gals</t>
  </si>
  <si>
    <t>13200.301   10000 gals</t>
  </si>
  <si>
    <t>13200.302   12000 gals</t>
  </si>
  <si>
    <t>13200.303   15000 gals</t>
  </si>
  <si>
    <t>13200.304   20000 gals</t>
  </si>
  <si>
    <t>13200.305   25000 gals</t>
  </si>
  <si>
    <t>13200.306   30000 gals</t>
  </si>
  <si>
    <t>13200.307   40000 gals</t>
  </si>
  <si>
    <t>13200.308   48000 gals</t>
  </si>
  <si>
    <t>13200.328  Steel day tank</t>
  </si>
  <si>
    <t>13200.329   8 gals</t>
  </si>
  <si>
    <t>13200.33   25 gals</t>
  </si>
  <si>
    <t>13200.331   60 gals</t>
  </si>
  <si>
    <t>13200.332   275 gals</t>
  </si>
  <si>
    <t>13200.34  Fuel oil</t>
  </si>
  <si>
    <t>13200.352 Fuel oil accessories</t>
  </si>
  <si>
    <t>13200.353 Hold-down straps w/anchors</t>
  </si>
  <si>
    <t>13200.354  Turnbuckles and clamp</t>
  </si>
  <si>
    <t>13200.355   Set of 2</t>
  </si>
  <si>
    <t>13200.356   Set of 4</t>
  </si>
  <si>
    <t>13200.357   Set of 6</t>
  </si>
  <si>
    <t>13200.358   Set of 8</t>
  </si>
  <si>
    <t>13200.359   Set of 10</t>
  </si>
  <si>
    <t>13200.36   Set of 12</t>
  </si>
  <si>
    <t>13200.361   Set of 16</t>
  </si>
  <si>
    <t>13200.363   Set of 2</t>
  </si>
  <si>
    <t>13200.364   Set of 4</t>
  </si>
  <si>
    <t>13200.365   Set of 6</t>
  </si>
  <si>
    <t>13200.366   Set of 8</t>
  </si>
  <si>
    <t>13200.367   Set of 10</t>
  </si>
  <si>
    <t>13200.368   Set of 12</t>
  </si>
  <si>
    <t>13200.369   Set of 16</t>
  </si>
  <si>
    <t>13200.371  Manway</t>
  </si>
  <si>
    <t>13200.372   22" dia</t>
  </si>
  <si>
    <t>13200.373   30" dia</t>
  </si>
  <si>
    <t>13200.374   36" dia</t>
  </si>
  <si>
    <t>13200.394  Manway extension</t>
  </si>
  <si>
    <t>13200.395   22"dia x24</t>
  </si>
  <si>
    <t>13200.396   30"dia x24</t>
  </si>
  <si>
    <t>13200.397   36"dia x24</t>
  </si>
  <si>
    <t>13200.418   Helical heating coil</t>
  </si>
  <si>
    <t>13200.419   Fiberglass sump</t>
  </si>
  <si>
    <t>13200.439  Steel NPT fitting</t>
  </si>
  <si>
    <t>13200.44   2"</t>
  </si>
  <si>
    <t>13200.441   4"</t>
  </si>
  <si>
    <t>13200.442   6"</t>
  </si>
  <si>
    <t>13200.443   8"</t>
  </si>
  <si>
    <t>13200.463   Fill cap and box</t>
  </si>
  <si>
    <t>13200.464   Vent cap and box</t>
  </si>
  <si>
    <t>13200.465   FO gauge w/trans line</t>
  </si>
  <si>
    <t>13200.466   Tank ladder</t>
  </si>
  <si>
    <t>13200.474 Fuel oil pumps</t>
  </si>
  <si>
    <t>13200.475  Direct drive</t>
  </si>
  <si>
    <t>13200.476   Simplex, ½ hp</t>
  </si>
  <si>
    <t>13200.477   Simplex, ¾ hp</t>
  </si>
  <si>
    <t>13200.478   Simplex, 1 hp</t>
  </si>
  <si>
    <t>13200.479   Simplex, 1½ hp</t>
  </si>
  <si>
    <t>13200.48   Simplex, 2 hp</t>
  </si>
  <si>
    <t>13200.481   Simplex, 3 hp</t>
  </si>
  <si>
    <t>13200.482   Simplex, 5 hp</t>
  </si>
  <si>
    <t>13200.483   Simplex, 7½ hp</t>
  </si>
  <si>
    <t>13200.503   Duplex,1/2 hp</t>
  </si>
  <si>
    <t>13200.504   Duplex, ¾ hp</t>
  </si>
  <si>
    <t>13200.505   Duplex, 1 hp</t>
  </si>
  <si>
    <t>13200.506   Duplex, 1½ hp</t>
  </si>
  <si>
    <t>13200.507   Duplex,2 hp</t>
  </si>
  <si>
    <t>13200.508   Duplex, 3 hp</t>
  </si>
  <si>
    <t>13200.509   Duplex, 5 hp</t>
  </si>
  <si>
    <t>13200.51   Duplex,7½ hp</t>
  </si>
  <si>
    <t>13200.53   Submerged, 1/3 hp</t>
  </si>
  <si>
    <t>13200.531   Submerged, ¾ hp</t>
  </si>
  <si>
    <t>13200.532   Submerged, 5 hp</t>
  </si>
  <si>
    <t>13200.55 Installation procedure</t>
  </si>
  <si>
    <t>13200.551  Concrete pad</t>
  </si>
  <si>
    <t>13200.552   1.888 cubic yards</t>
  </si>
  <si>
    <t>13200.553   2.888 cubic yards</t>
  </si>
  <si>
    <t>13200.554   3.704 cubic yards</t>
  </si>
  <si>
    <t>13200.555   5.926 cubic yards</t>
  </si>
  <si>
    <t>13200.556   6.944 cubic yards</t>
  </si>
  <si>
    <t>13200.557   7.962 cubic yards</t>
  </si>
  <si>
    <t>13200.558   10.000 cubic yards</t>
  </si>
  <si>
    <t>13200.559   12.037 cubic yards</t>
  </si>
  <si>
    <t>13200.56   14.074 cubic yards</t>
  </si>
  <si>
    <t>13200.561   13.194 cubic yards</t>
  </si>
  <si>
    <t>13200.562   17.130 cubic yards</t>
  </si>
  <si>
    <t>13200.563   18.148 cubic yards</t>
  </si>
  <si>
    <t>13200.564   22.815 cubic yards</t>
  </si>
  <si>
    <t>13200.565   28.000 cubic yards</t>
  </si>
  <si>
    <t>13200.566   33.704 cubic yards</t>
  </si>
  <si>
    <t>13200.567   33.704 cubic yards</t>
  </si>
  <si>
    <t>13200.57  Concrete deadman</t>
  </si>
  <si>
    <t>13200.571   0 .481 cuyd (set of 2)</t>
  </si>
  <si>
    <t>13200.572   0.815 cuyd (set of 2)</t>
  </si>
  <si>
    <t>13200.573   0.778 cuyd (set of 2)</t>
  </si>
  <si>
    <t>13200.574   1.037 cuyds (set of 2)</t>
  </si>
  <si>
    <t>13200.575   1.207 cuyds (set of 2)</t>
  </si>
  <si>
    <t>13200.576   1.444 cuyds (set of 2)</t>
  </si>
  <si>
    <t>13200.577   1.852 cuyds (set of 2)</t>
  </si>
  <si>
    <t>13200.578   2.259 cuyds (set of 2)</t>
  </si>
  <si>
    <t>13200.579   2.667 cuyds (set of 2)</t>
  </si>
  <si>
    <t>13200.58   1.963 cuyds (set of 2)</t>
  </si>
  <si>
    <t>13200.581   2.593 cuyds (set of 2)</t>
  </si>
  <si>
    <t>13200.582   2.481 cuyds (set of 2)</t>
  </si>
  <si>
    <t>13200.583   2.963 cuyds (set of 2)</t>
  </si>
  <si>
    <t>13200.584   3.889 cuyds (set of 2)</t>
  </si>
  <si>
    <t>13200.585   4.704 cuyds (set of 2)</t>
  </si>
  <si>
    <t>13200.586   4.704 cuyds (set of 2)</t>
  </si>
  <si>
    <t>13200.8 Storage tank, factory insulated</t>
  </si>
  <si>
    <t>13200.801  Vertical</t>
  </si>
  <si>
    <t>13200.802         85 gal</t>
  </si>
  <si>
    <t>13200.803         125 gal</t>
  </si>
  <si>
    <t>13200.804         250 gal</t>
  </si>
  <si>
    <t>13200.805         500 gal</t>
  </si>
  <si>
    <t>13200.806         750 gal</t>
  </si>
  <si>
    <t>13200.807         1000 gal</t>
  </si>
  <si>
    <t>13200.821  Horizontal</t>
  </si>
  <si>
    <t>13200.822         135 gal</t>
  </si>
  <si>
    <t>13200.823         190 gal</t>
  </si>
  <si>
    <t>13200.824         245 gal</t>
  </si>
  <si>
    <t>13200.825         270 gal</t>
  </si>
  <si>
    <t>13200.826         380 gal</t>
  </si>
  <si>
    <t>13200.827         485 gal</t>
  </si>
  <si>
    <t>13200.828         500 gal</t>
  </si>
  <si>
    <t>13200.829         695 gal</t>
  </si>
  <si>
    <t>13200.83         890 gal</t>
  </si>
  <si>
    <t>13200.831         1080 gal</t>
  </si>
  <si>
    <t>13200.832         1180 gal</t>
  </si>
  <si>
    <t>13200.833         1430 gal</t>
  </si>
  <si>
    <t>13200.834         1675 gal</t>
  </si>
  <si>
    <t>13200.835         1725 gal</t>
  </si>
  <si>
    <t>13200.836         2030 gal</t>
  </si>
  <si>
    <t>13800.01 Time switch-no enclosure</t>
  </si>
  <si>
    <t>13800.011   SPST standard</t>
  </si>
  <si>
    <t>13800.012   DPST standard</t>
  </si>
  <si>
    <t>13800.013   3PST standard</t>
  </si>
  <si>
    <t>13800.014   4PST standard</t>
  </si>
  <si>
    <t>13800.015   SPDT standard</t>
  </si>
  <si>
    <t>13800.016   DPDT standard</t>
  </si>
  <si>
    <t>13800.017   3PDT standard</t>
  </si>
  <si>
    <t>13800.018   4PDT standard</t>
  </si>
  <si>
    <t>13800.02   SPST standard/skip-a-day</t>
  </si>
  <si>
    <t>13800.021   DPST standard/skip-a-day</t>
  </si>
  <si>
    <t>13800.022   3PST standard/skip-a-day</t>
  </si>
  <si>
    <t>13800.023   4PST standard/skip-a-day</t>
  </si>
  <si>
    <t>13800.024   SPDT standard/skip-a-day</t>
  </si>
  <si>
    <t>13800.025   DPDT standard/skip-a-day</t>
  </si>
  <si>
    <t>13800.026   3PDT standard/skip-a-day</t>
  </si>
  <si>
    <t>13800.027   4PDT standard/skip-a-day</t>
  </si>
  <si>
    <t>13800.03   SPST astro dial</t>
  </si>
  <si>
    <t>13800.031   DPST astro dial</t>
  </si>
  <si>
    <t>13800.032   3PST astro dial</t>
  </si>
  <si>
    <t>13800.033   4PST astro dial</t>
  </si>
  <si>
    <t>13800.034   SPDT astro dial</t>
  </si>
  <si>
    <t>13800.035   DPDT astro dial</t>
  </si>
  <si>
    <t>13800.036   3PDT astro dial</t>
  </si>
  <si>
    <t>13800.037   4PDT astro dial</t>
  </si>
  <si>
    <t>13800.04   SPST astro w/skip-a-day</t>
  </si>
  <si>
    <t>13800.041   DPST astro w/skip-a-day</t>
  </si>
  <si>
    <t>13800.042   3PST astro w/skip-a-day</t>
  </si>
  <si>
    <t>13800.043   4PST astro w/skip-a-day</t>
  </si>
  <si>
    <t>13800.044   SPST astro w/skip-a-day</t>
  </si>
  <si>
    <t>13800.045   DPDT astro w/skip-a-day</t>
  </si>
  <si>
    <t>13800.046   3PDT astro w/skip-a-day</t>
  </si>
  <si>
    <t>13800.047   4PDT astro w/skip-a-day</t>
  </si>
  <si>
    <t>13800.05   SPST 7-day</t>
  </si>
  <si>
    <t>13800.051   DPST 7-day</t>
  </si>
  <si>
    <t>13800.052   3PST 7-day</t>
  </si>
  <si>
    <t>13800.053   4PST 7-day</t>
  </si>
  <si>
    <t>13800.054   SPDT 7-day</t>
  </si>
  <si>
    <t>13800.055   DPDT 7-day</t>
  </si>
  <si>
    <t>13800.056   3PDT 7-day</t>
  </si>
  <si>
    <t>13800.057   4PDT 7-day</t>
  </si>
  <si>
    <t>13800.06   SPST multi-dial</t>
  </si>
  <si>
    <t>13800.061   DPST multi-dial</t>
  </si>
  <si>
    <t>13800.062   3PST multi-dial</t>
  </si>
  <si>
    <t>13800.063   4PST multi-dial</t>
  </si>
  <si>
    <t>13800.064   SPDT multi-dial</t>
  </si>
  <si>
    <t>13800.065   DPDT multi-dial</t>
  </si>
  <si>
    <t>13800.066   3PDT multi-dial</t>
  </si>
  <si>
    <t>13800.067   4PDT multi-dial</t>
  </si>
  <si>
    <t>13800.07 Time switch-indoor enclosure</t>
  </si>
  <si>
    <t>13800.071   SPST standard</t>
  </si>
  <si>
    <t>13800.072   DPST standard</t>
  </si>
  <si>
    <t>13800.073   3PST standard</t>
  </si>
  <si>
    <t>13800.074   4PST standard</t>
  </si>
  <si>
    <t>13800.075   SPDT standard</t>
  </si>
  <si>
    <t>13800.076   DPDT standard</t>
  </si>
  <si>
    <t>13800.077   3PDT standard</t>
  </si>
  <si>
    <t>13800.078   4PDT standard</t>
  </si>
  <si>
    <t>13800.08   SPST standard/skip-a-day</t>
  </si>
  <si>
    <t>13800.081   DPST standard/skip-a-day</t>
  </si>
  <si>
    <t>13800.082   3PST standard/skip-a-day</t>
  </si>
  <si>
    <t>13800.083   4PST standard/skip-a-day</t>
  </si>
  <si>
    <t>13800.084   SPDT standard/skip-a-day</t>
  </si>
  <si>
    <t>13800.085   DPDT standard/skip-a-day</t>
  </si>
  <si>
    <t>13800.086   3PDT standard/skip-a-day</t>
  </si>
  <si>
    <t>13800.087   4PDT standard/skip-a-day</t>
  </si>
  <si>
    <t>13800.09   SPST astro dial</t>
  </si>
  <si>
    <t>13800.091   DPST astro dial</t>
  </si>
  <si>
    <t>13800.092   3PST astro dial</t>
  </si>
  <si>
    <t>13800.093   4PST astro dial</t>
  </si>
  <si>
    <t>13800.094   SPDT astro dial</t>
  </si>
  <si>
    <t>13800.095   DPDT astro dial</t>
  </si>
  <si>
    <t>13800.096   3PDT astro dial</t>
  </si>
  <si>
    <t>13800.097   4PDT astro dial</t>
  </si>
  <si>
    <t>13800.1   SPST astro w/skip-a-day</t>
  </si>
  <si>
    <t>13800.101   DPST astro w/skip-a-day</t>
  </si>
  <si>
    <t>13800.102   3PST astro w/skip-a-day</t>
  </si>
  <si>
    <t>13800.103   4PST astro w/skip-a-day</t>
  </si>
  <si>
    <t>13800.104   SPDT astro w/skip-a-day</t>
  </si>
  <si>
    <t>13800.105   DPDT astro w/skip-a-day</t>
  </si>
  <si>
    <t>13800.106   3PDT astro w/skip-a-day</t>
  </si>
  <si>
    <t>13800.107   4PDT astro w/skip-a-day</t>
  </si>
  <si>
    <t>13800.11   SPST 7-day</t>
  </si>
  <si>
    <t>13800.111   DPST 7-day</t>
  </si>
  <si>
    <t>13800.112   3PST 7-day</t>
  </si>
  <si>
    <t>13800.113   4PST 7-day</t>
  </si>
  <si>
    <t>13800.114   SPDT 7-day</t>
  </si>
  <si>
    <t>13800.115   DPDT 7-day</t>
  </si>
  <si>
    <t>13800.116   3PDT 7-day</t>
  </si>
  <si>
    <t>13800.117   4PDT 7-day</t>
  </si>
  <si>
    <t>13800.12   SPST multi-dial</t>
  </si>
  <si>
    <t>13800.121   DPST multi-dial</t>
  </si>
  <si>
    <t>13800.122   3PST multi-dial</t>
  </si>
  <si>
    <t>13800.123   4PST multi-dial</t>
  </si>
  <si>
    <t>13800.124   SPDT multi-dial</t>
  </si>
  <si>
    <t>13800.125   DPDT multi-dial</t>
  </si>
  <si>
    <t>13800.126   3PDT multi-dial</t>
  </si>
  <si>
    <t>13800.127   4PDT multi-dial</t>
  </si>
  <si>
    <t>13800.13 Time switch-outdoor enclosure</t>
  </si>
  <si>
    <t>13800.131   SPST standard</t>
  </si>
  <si>
    <t>13800.132   DPST standard</t>
  </si>
  <si>
    <t>13800.133   3PST standard</t>
  </si>
  <si>
    <t>13800.134   4PST standard</t>
  </si>
  <si>
    <t>13800.135   SPDT standard</t>
  </si>
  <si>
    <t>13800.136   DPDT standard</t>
  </si>
  <si>
    <t>13800.137   3PDT standard</t>
  </si>
  <si>
    <t>13800.138   4PDT standard</t>
  </si>
  <si>
    <t>13800.14   SPST standard/skip-a-day</t>
  </si>
  <si>
    <t>13800.141   DPST standard/skip-a-day</t>
  </si>
  <si>
    <t>13800.142   3PST standard/skip-a-day</t>
  </si>
  <si>
    <t>13800.143   4PST standard/skip-a-day</t>
  </si>
  <si>
    <t>13800.144   SPDT standard/skip-a-day</t>
  </si>
  <si>
    <t>13800.145   DPDT standard/skip-a-day</t>
  </si>
  <si>
    <t>13800.146   3PDT standard/skip-a-day</t>
  </si>
  <si>
    <t>13800.147   4PDT standard/skip-a-day</t>
  </si>
  <si>
    <t>13800.15   SPST astro dial</t>
  </si>
  <si>
    <t>13800.151   DPST astro dial</t>
  </si>
  <si>
    <t>13800.152   3PST astro dial</t>
  </si>
  <si>
    <t>13800.153   4PST astro dial</t>
  </si>
  <si>
    <t>13800.154   SPDT astro dial</t>
  </si>
  <si>
    <t>13800.155   DPDT astro dial</t>
  </si>
  <si>
    <t>13800.156   3PDT astro dial</t>
  </si>
  <si>
    <t>13800.157   4PDT astro dial</t>
  </si>
  <si>
    <t>13800.16   SPST astrow/skipa-a-day</t>
  </si>
  <si>
    <t>13800.161   DPST astro w/skip-a-day</t>
  </si>
  <si>
    <t>13800.162   3PST astro w/skip-a-day</t>
  </si>
  <si>
    <t>13800.163   4PST astro w/skip-a-day</t>
  </si>
  <si>
    <t>13800.164   SPDT astro w/skip-a-day</t>
  </si>
  <si>
    <t>13800.165   DPDT astro w/skip-a-day</t>
  </si>
  <si>
    <t>13800.166   3PDT astro w/skip-a-day</t>
  </si>
  <si>
    <t>13800.167   4PDT astro w/skip-a-day</t>
  </si>
  <si>
    <t>13800.17   SPST 7-day</t>
  </si>
  <si>
    <t>13800.171   DPST 7-day</t>
  </si>
  <si>
    <t>13800.172   3PST 7-day</t>
  </si>
  <si>
    <t>13800.173   4PST 7-day</t>
  </si>
  <si>
    <t>13800.174   SPDT 7-day</t>
  </si>
  <si>
    <t>13800.175   DPDT 7-day</t>
  </si>
  <si>
    <t>13800.176   3PDT 7-day</t>
  </si>
  <si>
    <t>13800.177   4PDT 7-day</t>
  </si>
  <si>
    <t>13800.18   SPST multi-dial</t>
  </si>
  <si>
    <t>13800.181   DPST multi-dial</t>
  </si>
  <si>
    <t>13800.182   3PST multi-dial</t>
  </si>
  <si>
    <t>13800.183   4PST multi-dial</t>
  </si>
  <si>
    <t>13800.184   SPDT multi-dial</t>
  </si>
  <si>
    <t>13800.185   DPDT multi-dial</t>
  </si>
  <si>
    <t>13800.186   3PDT multi-dial</t>
  </si>
  <si>
    <t>13800.187   4PDT multi-dial</t>
  </si>
  <si>
    <t>13800.19 Time switch reserve power</t>
  </si>
  <si>
    <t>13800.191 Time sw. mom-contact adder</t>
  </si>
  <si>
    <t>13800.192 Photo-electric cell</t>
  </si>
  <si>
    <t>13800.21 Round indicating clock</t>
  </si>
  <si>
    <t>13800.211  Surface mtd single dial</t>
  </si>
  <si>
    <t>13800.213    Electronic   9"</t>
  </si>
  <si>
    <t>13800.214    Electronic  12"</t>
  </si>
  <si>
    <t>13800.215    Electronic  15"</t>
  </si>
  <si>
    <t>13800.217    Motorized   9"</t>
  </si>
  <si>
    <t>13800.218    Motorized  12"</t>
  </si>
  <si>
    <t>13800.219    Motorized  15"</t>
  </si>
  <si>
    <t>13800.221    Synch-wired   9"</t>
  </si>
  <si>
    <t>13800.222    Synch-wired  12"</t>
  </si>
  <si>
    <t>13800.223    Synch-wired  15"</t>
  </si>
  <si>
    <t>13800.225    Minute impulse   9"</t>
  </si>
  <si>
    <t>13800.226    Minute impulse  12"</t>
  </si>
  <si>
    <t>13800.227    Minute impulse  15"</t>
  </si>
  <si>
    <t>13800.23  Surface mtd double dial</t>
  </si>
  <si>
    <t>13800.231    Electronic   9"</t>
  </si>
  <si>
    <t>13800.232    Electronic  12"</t>
  </si>
  <si>
    <t>13800.233    Electronic  15"</t>
  </si>
  <si>
    <t>13800.235    Motorized   9"</t>
  </si>
  <si>
    <t>13800.236    Motorized  12"</t>
  </si>
  <si>
    <t>13800.237    Motorized  15"</t>
  </si>
  <si>
    <t>13800.239    Synch-wired   9"</t>
  </si>
  <si>
    <t>13800.24    Synch-wired  12"</t>
  </si>
  <si>
    <t>13800.241    Synch-wired  15"</t>
  </si>
  <si>
    <t>13800.243    Minute impulse   9"</t>
  </si>
  <si>
    <t>13800.244    Minute impulse  12"</t>
  </si>
  <si>
    <t>13800.245    Minute impulse  15"</t>
  </si>
  <si>
    <t>13800.25  Semi-flush single dial</t>
  </si>
  <si>
    <t>13800.251    Electronic   9"</t>
  </si>
  <si>
    <t>13800.252    Electronic  12"</t>
  </si>
  <si>
    <t>13800.253    Electronic  15"</t>
  </si>
  <si>
    <t>13800.255    Motorized   9"</t>
  </si>
  <si>
    <t>13800.256    Motorized  12"</t>
  </si>
  <si>
    <t>13800.257    Motorized  15"</t>
  </si>
  <si>
    <t>13800.259    Synch-wired   9"</t>
  </si>
  <si>
    <t>13800.26    Synch-wired  12"</t>
  </si>
  <si>
    <t>13800.261    Synch-wired  15"</t>
  </si>
  <si>
    <t>13800.263    Minute impulse   9"</t>
  </si>
  <si>
    <t>13800.264    Minute impulse  12"</t>
  </si>
  <si>
    <t>13800.265    Minute impulse  15"</t>
  </si>
  <si>
    <t>13800.268  Semi-flush double dial</t>
  </si>
  <si>
    <t>13800.269    Electronic   9"</t>
  </si>
  <si>
    <t>13800.27    Electronic  12"</t>
  </si>
  <si>
    <t>13800.271    Electronic  15"</t>
  </si>
  <si>
    <t>13800.273    Motorized   9"</t>
  </si>
  <si>
    <t>13800.274    Motorized  12"</t>
  </si>
  <si>
    <t>13800.275    Motorized  15"</t>
  </si>
  <si>
    <t>13800.277    Synch-wired   9"</t>
  </si>
  <si>
    <t>13800.278    Synch-wired  12"</t>
  </si>
  <si>
    <t>13800.279    Synch-wired  15"</t>
  </si>
  <si>
    <t>13800.281    Minute impulse   9"</t>
  </si>
  <si>
    <t>13800.282    Minute impulse  12"</t>
  </si>
  <si>
    <t>13800.283    Minute impulse  15"</t>
  </si>
  <si>
    <t>13800.285  Ceiling mounted single dial</t>
  </si>
  <si>
    <t>13800.287    Electronic   9"</t>
  </si>
  <si>
    <t>13800.288    Electronic  12"</t>
  </si>
  <si>
    <t>13800.289    Electronic  15"</t>
  </si>
  <si>
    <t>13800.291    Motorized   9"</t>
  </si>
  <si>
    <t>13800.292    Motorized  12"</t>
  </si>
  <si>
    <t>13800.293    Motorized  15"</t>
  </si>
  <si>
    <t>13800.295    Synch-wired   9"</t>
  </si>
  <si>
    <t>13800.296    Synch-wired  12"</t>
  </si>
  <si>
    <t>13800.297    Synch-wired  15"</t>
  </si>
  <si>
    <t>13800.299    Minute impulse   9"</t>
  </si>
  <si>
    <t>13800.3    Minute impulse  12"</t>
  </si>
  <si>
    <t>13800.301    Minute impulse  15"</t>
  </si>
  <si>
    <t>13800.304  Ceiling mounted double dial</t>
  </si>
  <si>
    <t>13800.305    Electronic  9"</t>
  </si>
  <si>
    <t>13800.306    Electronic 12"</t>
  </si>
  <si>
    <t>13800.307    Electronic 15"</t>
  </si>
  <si>
    <t>13800.309    Motorized  9"</t>
  </si>
  <si>
    <t>13800.31    Motorized 12"</t>
  </si>
  <si>
    <t>13800.311    Motorized 15"</t>
  </si>
  <si>
    <t>13800.313    Synch-wired  9"</t>
  </si>
  <si>
    <t>13800.314    Synch-wired 12"</t>
  </si>
  <si>
    <t>13800.315    Synch-wired 15"</t>
  </si>
  <si>
    <t>13800.317    Minute impulse  9"</t>
  </si>
  <si>
    <t>13800.318    Minute impulse 12"</t>
  </si>
  <si>
    <t>13800.319    Minute impulse 15"</t>
  </si>
  <si>
    <t>13800.321  Wall mounted single dial</t>
  </si>
  <si>
    <t>13800.323    Electronic  9"</t>
  </si>
  <si>
    <t>13800.324    Electronic 12"</t>
  </si>
  <si>
    <t>13800.325    Electronic 15"</t>
  </si>
  <si>
    <t>13800.327    Motorized  9"</t>
  </si>
  <si>
    <t>13800.328    Motorized 12"</t>
  </si>
  <si>
    <t>13800.329    Motorized 15"</t>
  </si>
  <si>
    <t>13800.331    Synch-wired  9"</t>
  </si>
  <si>
    <t>13800.332    Synch-wired 12"</t>
  </si>
  <si>
    <t>13800.333    Synch-wired 15"</t>
  </si>
  <si>
    <t>13800.335    Minute impulse  9"</t>
  </si>
  <si>
    <t>13800.336    Minute impulse 12"</t>
  </si>
  <si>
    <t>13800.337    Minute impulse 15"</t>
  </si>
  <si>
    <t>13800.34  Wall mounted double dial</t>
  </si>
  <si>
    <t>13800.341    Electronic  9"</t>
  </si>
  <si>
    <t>13800.342    Electronic 12"</t>
  </si>
  <si>
    <t>13800.343    Electronic 15"</t>
  </si>
  <si>
    <t>13800.345    Motorized  9"</t>
  </si>
  <si>
    <t>13800.346    Motorized 12"</t>
  </si>
  <si>
    <t>13800.347    Motorized 15"</t>
  </si>
  <si>
    <t>13800.349    Synch-wired  9"</t>
  </si>
  <si>
    <t>13800.35    Synch-wired 12"</t>
  </si>
  <si>
    <t>13800.351    Synch-wired 15"</t>
  </si>
  <si>
    <t>13800.353    Minute impulse  9"</t>
  </si>
  <si>
    <t>13800.354    Minute impulse 12"</t>
  </si>
  <si>
    <t>13800.355    Minute impulse 15"</t>
  </si>
  <si>
    <t>13800.359 Decorative semi-flsh clock</t>
  </si>
  <si>
    <t>13800.36 Square indicating clock</t>
  </si>
  <si>
    <t>13800.361  Surface mounted 12"</t>
  </si>
  <si>
    <t>13800.362    Electronic single dial</t>
  </si>
  <si>
    <t>13800.363    Motorized single dial</t>
  </si>
  <si>
    <t>13800.364    Synch-wired single dial</t>
  </si>
  <si>
    <t>13800.365    Minute implse sngl dial</t>
  </si>
  <si>
    <t>13800.366    Electronic double dial</t>
  </si>
  <si>
    <t>13800.367    Motorized double dial</t>
  </si>
  <si>
    <t>13800.368    Synch-wired double dial</t>
  </si>
  <si>
    <t>13800.369    Minute impulse dbl dial</t>
  </si>
  <si>
    <t>13800.375  Semi-flush 12"</t>
  </si>
  <si>
    <t>13800.376    Electronic single dial</t>
  </si>
  <si>
    <t>13800.377    Motorized single dial</t>
  </si>
  <si>
    <t>13800.378    Synch-wired single dial</t>
  </si>
  <si>
    <t>13800.379    Minute implse sngl dial</t>
  </si>
  <si>
    <t>13800.38    Electronic double dial</t>
  </si>
  <si>
    <t>13800.381    Motorized double dial</t>
  </si>
  <si>
    <t>13800.382    Synch-wired double dial</t>
  </si>
  <si>
    <t>13800.383    Minute impulse dbl dial</t>
  </si>
  <si>
    <t>13800.39  Ceiling mounted 12"</t>
  </si>
  <si>
    <t>13800.391    Electronic single dial</t>
  </si>
  <si>
    <t>13800.392    Motorized single dial</t>
  </si>
  <si>
    <t>13800.393    Synch-wired single dial</t>
  </si>
  <si>
    <t>13800.394    Minute implse sngl dial</t>
  </si>
  <si>
    <t>13800.395    Electronic double dial</t>
  </si>
  <si>
    <t>13800.396    Motorized double dial</t>
  </si>
  <si>
    <t>13800.397    Synch-wired double dial</t>
  </si>
  <si>
    <t>13800.398    Minute impulse dbl dial</t>
  </si>
  <si>
    <t>13800.405  Wall mounted 12"</t>
  </si>
  <si>
    <t>13800.406    Electronic single dial</t>
  </si>
  <si>
    <t>13800.407    Motorized single dial</t>
  </si>
  <si>
    <t>13800.408    Synch-wired single dial</t>
  </si>
  <si>
    <t>13800.409    Minute implse sngl dial</t>
  </si>
  <si>
    <t>13800.41    Electronic double dial</t>
  </si>
  <si>
    <t>13800.411    Motorized double dial</t>
  </si>
  <si>
    <t>13800.412    Synch-wired double dial</t>
  </si>
  <si>
    <t>13800.413    Minute impulse dbl dial</t>
  </si>
  <si>
    <t>13800.509 Easy-read digital clock</t>
  </si>
  <si>
    <t>13800.51 Elapsed time clock</t>
  </si>
  <si>
    <t>13800.511 Elapsed time clock control</t>
  </si>
  <si>
    <t>13800.52 Round single dial clock</t>
  </si>
  <si>
    <t>13800.521    Electronic 15" w/p</t>
  </si>
  <si>
    <t>13800.522    Motorized 15" w/p</t>
  </si>
  <si>
    <t>13800.523    Synch-wired 15" w/p</t>
  </si>
  <si>
    <t>13800.524    Minute impulse 15" w/p</t>
  </si>
  <si>
    <t>13800.54 Time-audio unit surface</t>
  </si>
  <si>
    <t>13800.541    9" rnd clk w/rnd spkr</t>
  </si>
  <si>
    <t>13800.542    12" rnd clk w/rnd spkr</t>
  </si>
  <si>
    <t>13800.543    12" sqr clk w/sqr spkr</t>
  </si>
  <si>
    <t>13800.544    9" rnd clk w/rect spkr</t>
  </si>
  <si>
    <t>13800.545    12" sqr clk w/rect spkr</t>
  </si>
  <si>
    <t>13800.55 Time-audio unit semi-flush</t>
  </si>
  <si>
    <t>13800.551    9" rnd clk w/rnd spkp</t>
  </si>
  <si>
    <t>13800.552    12" rnd clk w/rnd spkr</t>
  </si>
  <si>
    <t>13800.553    12" sqr clk w/sqr spkr</t>
  </si>
  <si>
    <t>13800.554    9" rnd clk w/rect spkr</t>
  </si>
  <si>
    <t>13800.555    12" sqr clk w/rect spkr</t>
  </si>
  <si>
    <t>13800.58 9"-12" round wire guard</t>
  </si>
  <si>
    <t>13800.581 15" round wire guard</t>
  </si>
  <si>
    <t>13800.582 20" sqare wire mesh guard</t>
  </si>
  <si>
    <t>13800.585 2 wire clock receptacle</t>
  </si>
  <si>
    <t>13800.586 3 wire clock receptacle</t>
  </si>
  <si>
    <t>13800.587 4 prong clock receptacle</t>
  </si>
  <si>
    <t>13800.59 Master relay panel</t>
  </si>
  <si>
    <t>13800.591 Distribution relay panel</t>
  </si>
  <si>
    <t>13800.592 Electronic dual code relay</t>
  </si>
  <si>
    <t>13800.593 Electronic tri coded relay</t>
  </si>
  <si>
    <t>13800.595 Wired dual coded relay</t>
  </si>
  <si>
    <t>13800.596 Wired triple coded relay</t>
  </si>
  <si>
    <t>13800.597 24 VAC power supply</t>
  </si>
  <si>
    <t>13800.598 Clock code converter</t>
  </si>
  <si>
    <t>13800.61 Solid state signal gener.</t>
  </si>
  <si>
    <t>13800.611 1000VA signal gen. package</t>
  </si>
  <si>
    <t>13800.612 2000VA signal gen. package</t>
  </si>
  <si>
    <t>13800.615 Master time clock</t>
  </si>
  <si>
    <t>13800.616 Master time and prog control</t>
  </si>
  <si>
    <t>13850.01 Fire alarm devices</t>
  </si>
  <si>
    <t>13850.011  Fire alarm pull stations</t>
  </si>
  <si>
    <t>13850.012  Fire alarm smoke detectors</t>
  </si>
  <si>
    <t>13850.013  F/A duct smoke detector</t>
  </si>
  <si>
    <t>13850.014  Fire alarm heat detector</t>
  </si>
  <si>
    <t>13850.015  Fire alarm horn</t>
  </si>
  <si>
    <t>13850.016  Fire alarm bell</t>
  </si>
  <si>
    <t>13850.017  Fire alarm speaker</t>
  </si>
  <si>
    <t>13850.018  F/A audio - visual unit</t>
  </si>
  <si>
    <t>13850.019  Fire alrm phone jack stat.</t>
  </si>
  <si>
    <t>13850.03 Fire alarm control equip</t>
  </si>
  <si>
    <t>13850.031 F/A cntl. panel (1-10) zone</t>
  </si>
  <si>
    <t>13850.032 F/A cntl. panel (10-24) zone</t>
  </si>
  <si>
    <t>13850.035 F/A cntl. panel (24-36) zone</t>
  </si>
  <si>
    <t>13850.04 F/A annunciator (1-10) zone</t>
  </si>
  <si>
    <t>13850.041 F/A annunciator (10-24) zone</t>
  </si>
  <si>
    <t>13850.042 F/A annunciator (24-36) zone</t>
  </si>
  <si>
    <t>13850.61 F/A station,surface</t>
  </si>
  <si>
    <t>13850.611 F/A station,semi-flush</t>
  </si>
  <si>
    <t>13850.615 F/A brk-glass sta.surface</t>
  </si>
  <si>
    <t>13850.616 F/A brk-glass sta.semi-fl</t>
  </si>
  <si>
    <t>13850.62 Smoke detector/ionization type</t>
  </si>
  <si>
    <t>13850.621 Smoke detector</t>
  </si>
  <si>
    <t>13850.625 Smoke detector/photoelectric</t>
  </si>
  <si>
    <t>13850.63 Smoke detector and heat sensor</t>
  </si>
  <si>
    <t>13850.635 Self contained smoke detector</t>
  </si>
  <si>
    <t>13850.636  Audible alarm device</t>
  </si>
  <si>
    <t>13850.637  Heat detector-1p.-135 deg</t>
  </si>
  <si>
    <t>13850.638  Heat detector-1p.-190 deg</t>
  </si>
  <si>
    <t>13850.639  Heat detector-2p.-135 deg</t>
  </si>
  <si>
    <t>13850.64 Heat detector,fixed-temp.</t>
  </si>
  <si>
    <t>13850.641 Heat detect,fixed-temp.x/p</t>
  </si>
  <si>
    <t>13850.642 Heat detector,f-temp,renew</t>
  </si>
  <si>
    <t>13850.645 Heat det. f-temp/rate-rise</t>
  </si>
  <si>
    <t>13850.646  Heat detector-2p-190 deg.</t>
  </si>
  <si>
    <t>13850.65 Air duct smoke detect-ion.</t>
  </si>
  <si>
    <t>13850.655 Air duct smoke detect-p.e.</t>
  </si>
  <si>
    <t>13850.66 Air duct heat detector</t>
  </si>
  <si>
    <t>13850.665 Air duct heat and smoke detector</t>
  </si>
  <si>
    <t>13850.67  4" alarm bell,surface</t>
  </si>
  <si>
    <t>13850.671  4" alarm bell,semi-flush</t>
  </si>
  <si>
    <t>13850.672  4" alarm bell,flush</t>
  </si>
  <si>
    <t>13850.673  4" alarm bell,w/p</t>
  </si>
  <si>
    <t>13850.68  6" alarm bell,surface</t>
  </si>
  <si>
    <t>13850.681  6" alarm bell,semi-flush</t>
  </si>
  <si>
    <t>13850.682  6" alarm bell,flush</t>
  </si>
  <si>
    <t>13850.683  6" alarm bell,w/p</t>
  </si>
  <si>
    <t>13850.684  6" alarm bell,x/p</t>
  </si>
  <si>
    <t>13850.69 10" alarm bell,surface</t>
  </si>
  <si>
    <t>13850.691 10" alarm bell,semi-flush</t>
  </si>
  <si>
    <t>13850.692 10" alarm bell,flush</t>
  </si>
  <si>
    <t>13850.693 10" alarm bell,w/p</t>
  </si>
  <si>
    <t>13850.694 10" alarm bell,x/p</t>
  </si>
  <si>
    <t>13850.7 F/A buzzer,surface</t>
  </si>
  <si>
    <t>13850.701 F/A buzzer,semi-flush</t>
  </si>
  <si>
    <t>13850.702 F/A buzzer,w/p</t>
  </si>
  <si>
    <t>13850.703 F/A buzzer,x/p</t>
  </si>
  <si>
    <t>13850.71 F/A horn,surface</t>
  </si>
  <si>
    <t>13850.711 F/A horn,semi-flush</t>
  </si>
  <si>
    <t>13850.712 F/A horn,w/p</t>
  </si>
  <si>
    <t>13850.713 F/A horn,x/p</t>
  </si>
  <si>
    <t>13850.714 F/A horn,flush</t>
  </si>
  <si>
    <t>13850.72 F/A horn bi-dir. surface</t>
  </si>
  <si>
    <t>13850.721 F/A horn bi-dir. semi-fl</t>
  </si>
  <si>
    <t>13850.722 F/A horn bi-dir. w/p</t>
  </si>
  <si>
    <t>13850.73 F/A siren</t>
  </si>
  <si>
    <t>13850.74 F/A speaker,surface</t>
  </si>
  <si>
    <t>13850.741 F/A speaker,semi-flush</t>
  </si>
  <si>
    <t>13850.742 F/A speaker,recessed</t>
  </si>
  <si>
    <t>13850.743 F/A speaker,w/p</t>
  </si>
  <si>
    <t>13850.745 F/A speaker bi-dir.</t>
  </si>
  <si>
    <t>13850.75 F/A rotating beacon light</t>
  </si>
  <si>
    <t>13850.76 F/A light</t>
  </si>
  <si>
    <t>13850.761 F/A light,w/p</t>
  </si>
  <si>
    <t>13850.762 F/A light,x/p</t>
  </si>
  <si>
    <t>13850.77 F/A light &amp; horn combo</t>
  </si>
  <si>
    <t>13850.771 F/A lt and bi-di horn-combo</t>
  </si>
  <si>
    <t>13850.775 F/A light and speaker-combo</t>
  </si>
  <si>
    <t>13850.78 F/A light and 4" bell-combo</t>
  </si>
  <si>
    <t>13850.781 F/A light and 6" bell-combo</t>
  </si>
  <si>
    <t>13850.783 F/A light and 10" bell-combo</t>
  </si>
  <si>
    <t>13850.81 F/A phone-jack station</t>
  </si>
  <si>
    <t>13850.82 F/A phone in locked cabnt</t>
  </si>
  <si>
    <t>13850.821 F/A phone in brk-rod cab.</t>
  </si>
  <si>
    <t>13850.83 F/A phone w/manual sta.</t>
  </si>
  <si>
    <t>13850.85 Remote alarm/test station</t>
  </si>
  <si>
    <t>13850.86 F/A device wire guard</t>
  </si>
  <si>
    <t>13851.01 Security system</t>
  </si>
  <si>
    <t>13851.05 Flow switch conn.</t>
  </si>
  <si>
    <t>13851.051 Supervisory switch conn.</t>
  </si>
  <si>
    <t>13851.052 Tamper switch connector</t>
  </si>
  <si>
    <t>13851.06 Halon (alternateive) system connection</t>
  </si>
  <si>
    <t>13851.072 Auto door operator conn.</t>
  </si>
  <si>
    <t>13851.08 Mag. door holder,surface</t>
  </si>
  <si>
    <t>13851.081 Magnetic door holder, semi-flush</t>
  </si>
  <si>
    <t>13851.082 Mag. door holder,flush</t>
  </si>
  <si>
    <t>13851.083 Mag door holder-sgl,flr mt</t>
  </si>
  <si>
    <t>13851.084 Mag door holder-dbl,flr mt</t>
  </si>
  <si>
    <t>13851.09 FA door release switch</t>
  </si>
  <si>
    <t>13851.1 EOL resistor</t>
  </si>
  <si>
    <t>13859.9 * No. of fire alarm systems *</t>
  </si>
  <si>
    <t>13909.9 * Fire protection area *</t>
  </si>
  <si>
    <t>13910.01 Excavate by hand</t>
  </si>
  <si>
    <t>13910.015 Backfill by hand</t>
  </si>
  <si>
    <t>13910.02 Excav w/trencher</t>
  </si>
  <si>
    <t>13910.025 Backfill trencher</t>
  </si>
  <si>
    <t>13910.03 Excavate w/bckhoe</t>
  </si>
  <si>
    <t>13910.035 Backfill backhoe</t>
  </si>
  <si>
    <t>13910.04 Excess dirt removal</t>
  </si>
  <si>
    <t>13910.045 Compacted backfill</t>
  </si>
  <si>
    <t>13910.05 Sand underlay</t>
  </si>
  <si>
    <t>13910.055 Thrust blocks</t>
  </si>
  <si>
    <t>13910.55 Inches of weld single pass</t>
  </si>
  <si>
    <t>13910.552  Pipe volume</t>
  </si>
  <si>
    <t>13920.01 Fire pump</t>
  </si>
  <si>
    <t>13920.011  Electric with control and jockey</t>
  </si>
  <si>
    <t>13920.012   50hp</t>
  </si>
  <si>
    <t>13920.013   75hp</t>
  </si>
  <si>
    <t>13920.014   100hp</t>
  </si>
  <si>
    <t>13920.015   125hp</t>
  </si>
  <si>
    <t>13920.016   150hp</t>
  </si>
  <si>
    <t>13920.017   200hp</t>
  </si>
  <si>
    <t>13920.018   250hp</t>
  </si>
  <si>
    <t>13920.019   300hp</t>
  </si>
  <si>
    <t>13920.029  Diesel with control and jockey</t>
  </si>
  <si>
    <t>13920.03   85hp</t>
  </si>
  <si>
    <t>13920.031   100hp</t>
  </si>
  <si>
    <t>13920.032   125hp</t>
  </si>
  <si>
    <t>13920.033   150hp</t>
  </si>
  <si>
    <t>13920.034   175hp</t>
  </si>
  <si>
    <t>13920.035   200hp</t>
  </si>
  <si>
    <t>13920.036   250hp</t>
  </si>
  <si>
    <t>13920.037   300hp</t>
  </si>
  <si>
    <t>13920.041 50 hp electric fire and jockey pump</t>
  </si>
  <si>
    <t>13920.042 75 hp electric fire and jockey pump</t>
  </si>
  <si>
    <t>13920.043 100 hp electric fire and jockey pump</t>
  </si>
  <si>
    <t>13920.044 125 hp electric fire and jockey pump</t>
  </si>
  <si>
    <t>13920.045 150 hp electric fire and jockey pump</t>
  </si>
  <si>
    <t>13920.046 200 hp electric fire and jockey pump</t>
  </si>
  <si>
    <t>13920.047 250 hp electric fire and jockey pump</t>
  </si>
  <si>
    <t>13920.048 300 hp electric fire and jockey pump</t>
  </si>
  <si>
    <t>13920.055 85 hp diesel fire and jockey pump</t>
  </si>
  <si>
    <t>13920.056 100 hp diesel fire and jockey pump</t>
  </si>
  <si>
    <t>13920.057 125 hp diesel fire and jockey pump</t>
  </si>
  <si>
    <t>13920.058 150 hp diesel fire and jockey pump</t>
  </si>
  <si>
    <t>13920.059 175 hp diesel fire and jockey pump</t>
  </si>
  <si>
    <t>13920.06 200 hp diesel fire and jockey pump</t>
  </si>
  <si>
    <t>13920.061 250 hp diesel fire and jockey pump</t>
  </si>
  <si>
    <t>13920.062 300 hp diesel fire and jockey pump</t>
  </si>
  <si>
    <t>13930.01 Sch 10S steel pipe</t>
  </si>
  <si>
    <t>13930.011  Black grooved</t>
  </si>
  <si>
    <t>13930.014   Pipe 1"</t>
  </si>
  <si>
    <t>13930.015   Pipe 1-1/4"</t>
  </si>
  <si>
    <t>13930.016   Pipe 1-1/2"</t>
  </si>
  <si>
    <t>13930.017   Pipe 2"</t>
  </si>
  <si>
    <t>13930.018   Pipe 2-1/2"</t>
  </si>
  <si>
    <t>13930.019   Pipe 3"</t>
  </si>
  <si>
    <t>13930.02   Pipe 4"</t>
  </si>
  <si>
    <t>13930.021   Pipe 5"</t>
  </si>
  <si>
    <t>13930.022   Pipe 6"</t>
  </si>
  <si>
    <t>13930.023   Pipe 8"</t>
  </si>
  <si>
    <t>13930.024   Pipe 10"</t>
  </si>
  <si>
    <t>13930.025   Pipe 12"</t>
  </si>
  <si>
    <t>13930.032 Sch 20 steel pipe</t>
  </si>
  <si>
    <t>13930.033  Black grooved</t>
  </si>
  <si>
    <t>13930.034   Pipe 8"</t>
  </si>
  <si>
    <t>13930.035   Pipe 10"</t>
  </si>
  <si>
    <t>13930.036   Pipe 12"</t>
  </si>
  <si>
    <t>13930.042 Sch 30 steel pipe</t>
  </si>
  <si>
    <t>13930.043  Black grooved</t>
  </si>
  <si>
    <t>13930.044   Pipe 8"</t>
  </si>
  <si>
    <t>13930.045   Pipe 10"</t>
  </si>
  <si>
    <t>13930.046   Pipe 12"</t>
  </si>
  <si>
    <t>13930.052 Sch 40 steel pipe</t>
  </si>
  <si>
    <t>13930.053  Black grooved</t>
  </si>
  <si>
    <t>13930.054   Pipe 1"</t>
  </si>
  <si>
    <t>13930.055   Pipe 1-1/4"</t>
  </si>
  <si>
    <t>13930.056   Pipe 1-1/2"</t>
  </si>
  <si>
    <t>13930.057   Pipe 2"</t>
  </si>
  <si>
    <t>13930.058   Pipe 2-1/2"</t>
  </si>
  <si>
    <t>13930.059   Pipe 3"</t>
  </si>
  <si>
    <t>13930.06   Pipe 4"</t>
  </si>
  <si>
    <t>13930.061   Pipe 5"</t>
  </si>
  <si>
    <t>13930.062   Pipe 6"</t>
  </si>
  <si>
    <t>13930.063   Pipe 8"</t>
  </si>
  <si>
    <t>13930.064   Pipe 10"</t>
  </si>
  <si>
    <t>13930.065   Pipe 12"</t>
  </si>
  <si>
    <t>13930.072  Grooved fittings</t>
  </si>
  <si>
    <t>13930.073   45 ell 1"</t>
  </si>
  <si>
    <t>13930.074   45 ell 1-1/4"</t>
  </si>
  <si>
    <t>13930.075   45 ell 1-1/2"</t>
  </si>
  <si>
    <t>13930.076   45 ell 2"</t>
  </si>
  <si>
    <t>13930.077   45 ell 2-1/2"</t>
  </si>
  <si>
    <t>13930.078   45 ell 3"</t>
  </si>
  <si>
    <t>13930.079   45 ell 4"</t>
  </si>
  <si>
    <t>13930.08   45 ell 5"</t>
  </si>
  <si>
    <t>13930.081   45 ell 6"</t>
  </si>
  <si>
    <t>13930.082   45 ell 8"</t>
  </si>
  <si>
    <t>13930.083   45 ell 10"</t>
  </si>
  <si>
    <t>13930.084   45 ell 12"</t>
  </si>
  <si>
    <t>13930.092   90 ell 1"</t>
  </si>
  <si>
    <t>13930.093   90 ell 1-1/4"</t>
  </si>
  <si>
    <t>13930.094   90 ell 1-1/2"</t>
  </si>
  <si>
    <t>13930.095   90 ell 2"</t>
  </si>
  <si>
    <t>13930.096   90 ell 2-1/2"</t>
  </si>
  <si>
    <t>13930.097   90 ell 3"</t>
  </si>
  <si>
    <t>13930.098   90 ell 4"</t>
  </si>
  <si>
    <t>13930.099   90 ell 5"</t>
  </si>
  <si>
    <t>13930.1   90 ell 6"</t>
  </si>
  <si>
    <t>13930.101   90 ell 8"</t>
  </si>
  <si>
    <t>13930.102   90 ell 10"</t>
  </si>
  <si>
    <t>13930.103   90 ell 12"</t>
  </si>
  <si>
    <t>13930.11   Tee 1"</t>
  </si>
  <si>
    <t>13930.111   Tee 1-1/4"</t>
  </si>
  <si>
    <t>13930.112   Tee 1-1/2"</t>
  </si>
  <si>
    <t>13930.113   Tee 2"</t>
  </si>
  <si>
    <t>13930.114   Tee 2-1/2"</t>
  </si>
  <si>
    <t>13930.115   Tee 3"</t>
  </si>
  <si>
    <t>13930.116   Tee 4"</t>
  </si>
  <si>
    <t>13930.117   Tee 5"</t>
  </si>
  <si>
    <t>13930.118   Tee 6"</t>
  </si>
  <si>
    <t>13930.119   Tee 8"</t>
  </si>
  <si>
    <t>13930.12   Tee 10"</t>
  </si>
  <si>
    <t>13930.121   Tee 12"</t>
  </si>
  <si>
    <t>13930.128   Reducing tee 1"</t>
  </si>
  <si>
    <t>13930.129   Reducing tee 1-1/4"</t>
  </si>
  <si>
    <t>13930.13   Reducing tee 1-1/2"</t>
  </si>
  <si>
    <t>13930.131   Reducing tee 2"</t>
  </si>
  <si>
    <t>13930.132   Reducing tee 2-1/2"</t>
  </si>
  <si>
    <t>13930.133   Reducing tee 3"</t>
  </si>
  <si>
    <t>13930.134   Reducing tee 4"</t>
  </si>
  <si>
    <t>13930.135   Reducing tee 5"</t>
  </si>
  <si>
    <t>13930.136   Reducing tee 6"</t>
  </si>
  <si>
    <t>13930.137   Reducing tee 8"</t>
  </si>
  <si>
    <t>13930.138   Reducing tee 10"</t>
  </si>
  <si>
    <t>13930.139   Reducing tee 12"</t>
  </si>
  <si>
    <t>13930.142   Mechanical tee 2"</t>
  </si>
  <si>
    <t>13930.143   Mechanical tee 2-1/2"</t>
  </si>
  <si>
    <t>13930.144   Mechanical tee 3"</t>
  </si>
  <si>
    <t>13930.145   Mechanical tee 4"</t>
  </si>
  <si>
    <t>13930.146   Mechanical tee 5"</t>
  </si>
  <si>
    <t>13930.147   Mechanical tee 6"</t>
  </si>
  <si>
    <t>13930.148   Mechanical tee 8"</t>
  </si>
  <si>
    <t>13930.153   Reducing coupling 2"</t>
  </si>
  <si>
    <t>13930.154   Reducing coupling 2-1/2"</t>
  </si>
  <si>
    <t>13930.155   Reducing coupling 3"</t>
  </si>
  <si>
    <t>13930.156   Reducing coupling 4"</t>
  </si>
  <si>
    <t>13930.157   Reducing coupling 5"</t>
  </si>
  <si>
    <t>13930.158   Reducing coupling 6"</t>
  </si>
  <si>
    <t>13930.159   Reducing coupling 8"</t>
  </si>
  <si>
    <t>13930.165   Coupling 1"</t>
  </si>
  <si>
    <t>13930.166   Coupling 1-1/4"</t>
  </si>
  <si>
    <t>13930.167   Coupling 1-1/2"</t>
  </si>
  <si>
    <t>13930.168   Coupling 2"</t>
  </si>
  <si>
    <t>13930.169   Coupling 2-1/2"</t>
  </si>
  <si>
    <t>13930.17   Coupling 3"</t>
  </si>
  <si>
    <t>13930.171   Coupling 4"</t>
  </si>
  <si>
    <t>13930.172   Coupling 5"</t>
  </si>
  <si>
    <t>13930.173   Coupling 6"</t>
  </si>
  <si>
    <t>13930.174   Coupling 8"</t>
  </si>
  <si>
    <t>13930.175   Coupling 10"</t>
  </si>
  <si>
    <t>13930.176   Coupling 12"</t>
  </si>
  <si>
    <t>13930.183   Cap 1"</t>
  </si>
  <si>
    <t>13930.184   Cap 1-1/4"</t>
  </si>
  <si>
    <t>13930.185   Cap 1-1/2"</t>
  </si>
  <si>
    <t>13930.186   Cap 2"</t>
  </si>
  <si>
    <t>13930.187   Cap 2-1/2"</t>
  </si>
  <si>
    <t>13930.188   Cap 3"</t>
  </si>
  <si>
    <t>13930.189   Cap 4"</t>
  </si>
  <si>
    <t>13930.19   Cap 5"</t>
  </si>
  <si>
    <t>13930.191   Cap 6"</t>
  </si>
  <si>
    <t>13930.192   Cap 8"</t>
  </si>
  <si>
    <t>13930.193   Cap 10"</t>
  </si>
  <si>
    <t>13930.194   Cap 12"</t>
  </si>
  <si>
    <t>13930.209 Sch 10 s steel pipe</t>
  </si>
  <si>
    <t>13930.21  Black slip joint</t>
  </si>
  <si>
    <t>13930.212   Pipe 1"</t>
  </si>
  <si>
    <t>13930.213   Pipe 1-1/4"</t>
  </si>
  <si>
    <t>13930.214   Pipe 1-1/2"</t>
  </si>
  <si>
    <t>13930.215   Pipe 2"</t>
  </si>
  <si>
    <t>13930.219  Slip joint fittings</t>
  </si>
  <si>
    <t>13930.22   90 ell 1"</t>
  </si>
  <si>
    <t>13930.221   90 ell 1-1/4"</t>
  </si>
  <si>
    <t>13930.222   90 ell 1-1/2"</t>
  </si>
  <si>
    <t>13930.223   90 ell 2"</t>
  </si>
  <si>
    <t>13930.228   Tee 1"</t>
  </si>
  <si>
    <t>13930.229   Tee 1-1/4"</t>
  </si>
  <si>
    <t>13930.23   Tee 1-1/2"</t>
  </si>
  <si>
    <t>13930.231   Tee 2"</t>
  </si>
  <si>
    <t>13930.237   Reducing tee 1"</t>
  </si>
  <si>
    <t>13930.238   Reducing tee 1-1/4"</t>
  </si>
  <si>
    <t>13930.239   Reducing tee 1-1/2"</t>
  </si>
  <si>
    <t>13930.24   Reducing tee 2"</t>
  </si>
  <si>
    <t>13930.258 Sch 40 steel pipe</t>
  </si>
  <si>
    <t>13930.259  Black T&amp;C</t>
  </si>
  <si>
    <t>13930.26   Pipe 1/2"</t>
  </si>
  <si>
    <t>13930.261   Pipe 3/4"</t>
  </si>
  <si>
    <t>13930.262   Pipe 1"</t>
  </si>
  <si>
    <t>13930.263   Pipe 1-1/4"</t>
  </si>
  <si>
    <t>13930.264   Pipe 1-1/2"</t>
  </si>
  <si>
    <t>13930.265   Pipe 2"</t>
  </si>
  <si>
    <t>13930.266   Pipe 2-1/2"</t>
  </si>
  <si>
    <t>13930.267   Pipe 3"</t>
  </si>
  <si>
    <t>13930.268   Pipe 4"</t>
  </si>
  <si>
    <t>13930.269   Pipe 5"</t>
  </si>
  <si>
    <t>13930.27   Pipe 6"</t>
  </si>
  <si>
    <t>13930.275  Cast iron scrw ftg 125lb</t>
  </si>
  <si>
    <t>13930.276   45 ell 1/2"</t>
  </si>
  <si>
    <t>13930.277   45 ell 3/4"</t>
  </si>
  <si>
    <t>13930.278   45 ell 1"</t>
  </si>
  <si>
    <t>13930.279   45 ell 1-1/4"</t>
  </si>
  <si>
    <t>13930.28   45 ell 1-1/2"</t>
  </si>
  <si>
    <t>13930.281   45 ell 2"</t>
  </si>
  <si>
    <t>13930.282   45 ell 2-1/2"</t>
  </si>
  <si>
    <t>13930.283   45 ell 3"</t>
  </si>
  <si>
    <t>13930.284   45 ell 4"</t>
  </si>
  <si>
    <t>13930.285   45 ell 5"</t>
  </si>
  <si>
    <t>13930.286   45 ell 6"</t>
  </si>
  <si>
    <t>13930.293   90 ell 1/2"</t>
  </si>
  <si>
    <t>13930.294   90 ell 3/4"</t>
  </si>
  <si>
    <t>13930.295   90 ell 1"</t>
  </si>
  <si>
    <t>13930.296   90 ell 1-1/4"</t>
  </si>
  <si>
    <t>13930.297   90 ell 1-1/2"</t>
  </si>
  <si>
    <t>13930.298   90 ell 2"</t>
  </si>
  <si>
    <t>13930.299   90 ell 2-1/2"</t>
  </si>
  <si>
    <t>13930.3   90 ell 3"</t>
  </si>
  <si>
    <t>13930.301   90 ell 4"</t>
  </si>
  <si>
    <t>13930.302   90 ell 5"</t>
  </si>
  <si>
    <t>13930.303   90 ell 6"</t>
  </si>
  <si>
    <t>13930.312   Tee 1/2"</t>
  </si>
  <si>
    <t>13930.313   Tee 3/4"</t>
  </si>
  <si>
    <t>13930.314   Tee 1"</t>
  </si>
  <si>
    <t>13930.315   Tee 1-1/4"</t>
  </si>
  <si>
    <t>13930.316   Tee 1-1/2"</t>
  </si>
  <si>
    <t>13930.317   Tee 2"</t>
  </si>
  <si>
    <t>13930.318   Tee 2-1/2"</t>
  </si>
  <si>
    <t>13930.319   Tee 3"</t>
  </si>
  <si>
    <t>13930.32   Tee 4"</t>
  </si>
  <si>
    <t>13930.321   Tee 5"</t>
  </si>
  <si>
    <t>13930.322   Tee 6"</t>
  </si>
  <si>
    <t>13930.33   Reducing tee 1/2"</t>
  </si>
  <si>
    <t>13930.331   Reducing tee 3/4"</t>
  </si>
  <si>
    <t>13930.332   Reducing tee 1"</t>
  </si>
  <si>
    <t>13930.333   Reducing tee 1-1/4"</t>
  </si>
  <si>
    <t>13930.334   Reducing tee 1-1/2"</t>
  </si>
  <si>
    <t>13930.335   Reducing tee 2"</t>
  </si>
  <si>
    <t>13930.336   Reducing tee 2-1/2"</t>
  </si>
  <si>
    <t>13930.337   Reducing tee 3"</t>
  </si>
  <si>
    <t>13930.338   Reducing tee 4"</t>
  </si>
  <si>
    <t>13930.339   Reducing tee 5"</t>
  </si>
  <si>
    <t>13930.34   Reducing tee 6"</t>
  </si>
  <si>
    <t>13930.348   Mechanical tee 2"</t>
  </si>
  <si>
    <t>13930.349   Mechanical tee 2-1/2"</t>
  </si>
  <si>
    <t>13930.35   Mechanical tee 3"</t>
  </si>
  <si>
    <t>13930.351   Mechanical tee 4"</t>
  </si>
  <si>
    <t>13930.352   Mechanical tee 5"</t>
  </si>
  <si>
    <t>13930.353   Mechanical tee 6"</t>
  </si>
  <si>
    <t>13930.354   Mechanical tee 8"</t>
  </si>
  <si>
    <t>13930.36   Cap 1/2"</t>
  </si>
  <si>
    <t>13930.361   Cap 3/4"</t>
  </si>
  <si>
    <t>13930.362   Cap 1"</t>
  </si>
  <si>
    <t>13930.363   Cap 1-1/4"</t>
  </si>
  <si>
    <t>13930.364   Cap 1-1/2"</t>
  </si>
  <si>
    <t>13930.365   Cap 2"</t>
  </si>
  <si>
    <t>13930.366   Cap 2-1/2"</t>
  </si>
  <si>
    <t>13930.367   Cap 3"</t>
  </si>
  <si>
    <t>13930.368   Cap 4"</t>
  </si>
  <si>
    <t>13930.369   Cap 5"</t>
  </si>
  <si>
    <t>13930.37   Cap 6"</t>
  </si>
  <si>
    <t>13930.378   Bell Reducingucer 1/2"</t>
  </si>
  <si>
    <t>13930.379   Bell Reducingucer 3/4"</t>
  </si>
  <si>
    <t>13930.38   Bell Reducingucer 1"</t>
  </si>
  <si>
    <t>13930.381   Bell Reducingucer 1-1/4"</t>
  </si>
  <si>
    <t>13930.382   Bell Reducingucer 1-1/2"</t>
  </si>
  <si>
    <t>13930.383   Bell Reducingucer 2"</t>
  </si>
  <si>
    <t>13930.384   Bell Reducingucer 2-1/2"</t>
  </si>
  <si>
    <t>13930.385   Bell Reducingucer 3"</t>
  </si>
  <si>
    <t>13930.386   Bell Reducingucer 4"</t>
  </si>
  <si>
    <t>13930.387   Bell Reducingucer 5"</t>
  </si>
  <si>
    <t>13930.388   Bell Reducingucer 6"</t>
  </si>
  <si>
    <t>13930.395 Sch 40 steel pipe</t>
  </si>
  <si>
    <t>13930.396  Black pe</t>
  </si>
  <si>
    <t>13930.397   Pipe 1/2"</t>
  </si>
  <si>
    <t>13930.398   Pipe 3/4"</t>
  </si>
  <si>
    <t>13930.399   Pipe 1"</t>
  </si>
  <si>
    <t>13930.4   Pipe 1-1/4"</t>
  </si>
  <si>
    <t>13930.401   Pipe 1-1/2"</t>
  </si>
  <si>
    <t>13930.402   Pipe 2"</t>
  </si>
  <si>
    <t>13930.403   Pipe 2-1/2"</t>
  </si>
  <si>
    <t>13930.404   Pipe 3"</t>
  </si>
  <si>
    <t>13930.405   Pipe,4"</t>
  </si>
  <si>
    <t>13930.406   Pipe 5"</t>
  </si>
  <si>
    <t>13930.407   Pipe 6"</t>
  </si>
  <si>
    <t>13930.408   Pipe 8"</t>
  </si>
  <si>
    <t>13930.409   Pipe 10"</t>
  </si>
  <si>
    <t>13930.41   Pipe 12"</t>
  </si>
  <si>
    <t>13930.415  Weld fittings sch 40</t>
  </si>
  <si>
    <t>13930.416   45 ell ½"</t>
  </si>
  <si>
    <t>13930.417   45 ell 3/4"</t>
  </si>
  <si>
    <t>13930.418   45 ell 1"</t>
  </si>
  <si>
    <t>13930.419   45 ell 1-1/4"</t>
  </si>
  <si>
    <t>13930.42   45 ell 1-1/2"</t>
  </si>
  <si>
    <t>13930.422   45 ell 2-1/2"</t>
  </si>
  <si>
    <t>13930.423   45 ell 3"</t>
  </si>
  <si>
    <t>13930.424   45 ell 4"</t>
  </si>
  <si>
    <t>13930.425   45 ell 5"</t>
  </si>
  <si>
    <t>13930.426   45 ell 6"</t>
  </si>
  <si>
    <t>13930.427   45 ell 8"</t>
  </si>
  <si>
    <t>13930.428   45 ell 10"</t>
  </si>
  <si>
    <t>13930.429   45 ell 12"</t>
  </si>
  <si>
    <t>13930.435   90 ell 1/2"</t>
  </si>
  <si>
    <t>13930.436   90 ell 3/4"</t>
  </si>
  <si>
    <t>13930.437   90 ell 1"</t>
  </si>
  <si>
    <t>13930.438   90 ell 1¼"</t>
  </si>
  <si>
    <t>13930.439   90 ell 1-1/2"</t>
  </si>
  <si>
    <t>13930.44   90 ell 2"</t>
  </si>
  <si>
    <t>13930.441   90 ell 2½"</t>
  </si>
  <si>
    <t>13930.442   90 ell 3"</t>
  </si>
  <si>
    <t>13930.443   90 ell 4"</t>
  </si>
  <si>
    <t>13930.444   90 ell 5"</t>
  </si>
  <si>
    <t>13930.445   90 ell 6"</t>
  </si>
  <si>
    <t>13930.446   90 ell 8"</t>
  </si>
  <si>
    <t>13930.447   90 ell 10"</t>
  </si>
  <si>
    <t>13930.448   90 ell 12"</t>
  </si>
  <si>
    <t>13930.455   Tee 1/2"</t>
  </si>
  <si>
    <t>13930.456   Tee 3/4"</t>
  </si>
  <si>
    <t>13930.457   Tee 1"</t>
  </si>
  <si>
    <t>13930.458   Tee 1-1/4"</t>
  </si>
  <si>
    <t>13930.459   Tee 1-1/2"</t>
  </si>
  <si>
    <t>13930.46   Tee 2"</t>
  </si>
  <si>
    <t>13930.461   Tee 2½"</t>
  </si>
  <si>
    <t>13930.462   Tee 3"</t>
  </si>
  <si>
    <t>13930.463   Tee 4"</t>
  </si>
  <si>
    <t>13930.464   Tee 5"</t>
  </si>
  <si>
    <t>13930.465   Tee 6"</t>
  </si>
  <si>
    <t>13930.466   Tee 8"</t>
  </si>
  <si>
    <t>13930.467   Tee 10"</t>
  </si>
  <si>
    <t>13930.468   Tee 12"</t>
  </si>
  <si>
    <t>13930.475   Reducing tee 1/2"</t>
  </si>
  <si>
    <t>13930.476   Reducing tee 3/4"</t>
  </si>
  <si>
    <t>13930.477   Reducing tee 1"</t>
  </si>
  <si>
    <t>13930.478   Reducing tee 1-1/4"</t>
  </si>
  <si>
    <t>13930.479   Reducing tee 1-1/2"</t>
  </si>
  <si>
    <t>13930.48   Reducing tee 2"</t>
  </si>
  <si>
    <t>13930.481   Reducing tee 2-1/2"</t>
  </si>
  <si>
    <t>13930.482   Reducing tee 3"</t>
  </si>
  <si>
    <t>13930.483   Reducing tee 4"</t>
  </si>
  <si>
    <t>13930.484   Reducing tee 5"</t>
  </si>
  <si>
    <t>13930.485   Reducing tee 6"</t>
  </si>
  <si>
    <t>13930.486   Reducing tee 8"</t>
  </si>
  <si>
    <t>13930.487   Reducing tee 10"</t>
  </si>
  <si>
    <t>13930.488   Reducing tee 12"</t>
  </si>
  <si>
    <t>13930.495   Cap 1/2"</t>
  </si>
  <si>
    <t>13930.496   Cap 3/4"</t>
  </si>
  <si>
    <t>13930.497   Cap 1"</t>
  </si>
  <si>
    <t>13930.498   Cap 1-1/4"</t>
  </si>
  <si>
    <t>13930.499   Cap 1-1/2"</t>
  </si>
  <si>
    <t>13930.5   Cap 2"</t>
  </si>
  <si>
    <t>13930.501   Cap 2-1/2"</t>
  </si>
  <si>
    <t>13930.502   Cap 3"</t>
  </si>
  <si>
    <t>13930.503   Cap 4"</t>
  </si>
  <si>
    <t>13930.504   Cap 5"</t>
  </si>
  <si>
    <t>13930.505   Cap 6"</t>
  </si>
  <si>
    <t>13930.506   Cap 8"</t>
  </si>
  <si>
    <t>13930.507   Cap 10"</t>
  </si>
  <si>
    <t>13930.508   Cap 12"</t>
  </si>
  <si>
    <t>13930.516   Bell Reducingucer 1/2"</t>
  </si>
  <si>
    <t>13930.517   Bell Reducingucer 3/4"</t>
  </si>
  <si>
    <t>13930.518   Bell Reducingucer 1"</t>
  </si>
  <si>
    <t>13930.519   Bell Reducingucer 1-1/4"</t>
  </si>
  <si>
    <t>13930.52   Bell Reducingucer 1-1/2"</t>
  </si>
  <si>
    <t>13930.521   Bell Reducingucer 2"</t>
  </si>
  <si>
    <t>13930.522   Bell Reducingucer 2-1/2"</t>
  </si>
  <si>
    <t>13930.523   Bell Reducingucer 3"</t>
  </si>
  <si>
    <t>13930.524   Bell Reducingucer 4"</t>
  </si>
  <si>
    <t>13930.525   Bell Reducingucer 5"</t>
  </si>
  <si>
    <t>13930.526   Bell Reducingucer 6"</t>
  </si>
  <si>
    <t>13930.527   Bell Reducingucer 8"</t>
  </si>
  <si>
    <t>13930.528   Bell Reducingucer 10"</t>
  </si>
  <si>
    <t>13930.529   Bell Reducingucer 12"</t>
  </si>
  <si>
    <t>13930.535   Thread-o-let 1/2"</t>
  </si>
  <si>
    <t>13930.536   Thread-o-let 3/4"</t>
  </si>
  <si>
    <t>13930.537   Thread-o-let 1"</t>
  </si>
  <si>
    <t>13930.538   Thread-o-let 1-1/4"</t>
  </si>
  <si>
    <t>13930.539   Thread-o-let 1-1/2"</t>
  </si>
  <si>
    <t>13930.54   Thread-o-let 2"</t>
  </si>
  <si>
    <t>13930.541   Thread-o-let 2-1/2"</t>
  </si>
  <si>
    <t>13930.542   Thread-o-let 3"</t>
  </si>
  <si>
    <t>13930.543   Thread-o-let 4"</t>
  </si>
  <si>
    <t>13930.557 Cast iron fittings</t>
  </si>
  <si>
    <t>13930.558  Flanged class 150</t>
  </si>
  <si>
    <t>13930.562   90 ell 2"</t>
  </si>
  <si>
    <t>13930.563   90 ell 2-1/2"</t>
  </si>
  <si>
    <t>13930.564   90 ell 3"</t>
  </si>
  <si>
    <t>13930.565   90 ell 4"</t>
  </si>
  <si>
    <t>13930.566   90 ell 5"</t>
  </si>
  <si>
    <t>13930.567   90 ell 6"</t>
  </si>
  <si>
    <t>13930.568   90 ell 8"</t>
  </si>
  <si>
    <t>13930.569   90 ell 10"</t>
  </si>
  <si>
    <t>13930.57   90 ell 12"</t>
  </si>
  <si>
    <t>13930.578   Tee 2"</t>
  </si>
  <si>
    <t>13930.58   Tee 3"</t>
  </si>
  <si>
    <t>13930.581   Tee 4"</t>
  </si>
  <si>
    <t>13930.582   Tee 5"</t>
  </si>
  <si>
    <t>13930.583   Tee 6"</t>
  </si>
  <si>
    <t>13930.584   Tee 8"</t>
  </si>
  <si>
    <t>13930.585   Tee 10"</t>
  </si>
  <si>
    <t>13930.586   Tee 12"</t>
  </si>
  <si>
    <t>13930.596   Reducing tee 2"</t>
  </si>
  <si>
    <t>13930.597   Reducing tee 2-1/2"</t>
  </si>
  <si>
    <t>13930.598   Reducing tee 3"</t>
  </si>
  <si>
    <t>13930.599   Reducing tee 4"</t>
  </si>
  <si>
    <t>13930.6   Reducing tee 5"</t>
  </si>
  <si>
    <t>13930.601   Reducing tee 6"</t>
  </si>
  <si>
    <t>13930.602   Reducing tee 8"</t>
  </si>
  <si>
    <t>13930.603   Reducing tee 10"</t>
  </si>
  <si>
    <t>13930.604   Reducing tee 12"</t>
  </si>
  <si>
    <t>13930.614  Flange x mj adapt, 4"</t>
  </si>
  <si>
    <t>13930.616  Flange x mj adapt, 6"</t>
  </si>
  <si>
    <t>13930.617  Flange x mj adapt, 8"</t>
  </si>
  <si>
    <t>13930.618  Flange x mj adapt, 10"</t>
  </si>
  <si>
    <t>13930.619  Flange x mj adapt, 12"</t>
  </si>
  <si>
    <t>13930.65 Sch 40 steel pipe</t>
  </si>
  <si>
    <t>13930.651  Galv t&amp;c</t>
  </si>
  <si>
    <t>13930.652   Pipe 1/2"</t>
  </si>
  <si>
    <t>13930.653   Pipe 3/4"</t>
  </si>
  <si>
    <t>13930.654   Pipe 1"</t>
  </si>
  <si>
    <t>13930.655   Pipe 1-1/4"</t>
  </si>
  <si>
    <t>13930.656   Pipe 1-1/2"</t>
  </si>
  <si>
    <t>13930.657   Pipe 2"</t>
  </si>
  <si>
    <t>13930.658   Pipe 2-1/2"</t>
  </si>
  <si>
    <t>13930.659   Pipe 3"</t>
  </si>
  <si>
    <t>13930.66   Pipe 4"</t>
  </si>
  <si>
    <t>13930.661   Pipe 5"</t>
  </si>
  <si>
    <t>13930.662   Pipe 6"</t>
  </si>
  <si>
    <t>13930.668  Galv scrw ftgs 125lb</t>
  </si>
  <si>
    <t>13930.669   45 ell 1/2"</t>
  </si>
  <si>
    <t>13930.67   45 ell 3/4"</t>
  </si>
  <si>
    <t>13930.671   45 ell 1"</t>
  </si>
  <si>
    <t>13930.672   45 ell 1-1/4"</t>
  </si>
  <si>
    <t>13930.673   45 ell 1-1/2"</t>
  </si>
  <si>
    <t>13930.674   45 ell 2"</t>
  </si>
  <si>
    <t>13930.675   45 ell 2-1/2"</t>
  </si>
  <si>
    <t>13930.676   45 ell 3"</t>
  </si>
  <si>
    <t>13930.677   45 ell 4"</t>
  </si>
  <si>
    <t>13930.678   45 ell 5"</t>
  </si>
  <si>
    <t>13930.679   45 ell 6"</t>
  </si>
  <si>
    <t>13930.686   90 ell 1/2"</t>
  </si>
  <si>
    <t>13930.687   90 ell 3/4"</t>
  </si>
  <si>
    <t>13930.688   90 ell 1"</t>
  </si>
  <si>
    <t>13930.689   90 ell 1-1/4"</t>
  </si>
  <si>
    <t>13930.69   90 ell 1-1/2"</t>
  </si>
  <si>
    <t>13930.691   90 ell 2"</t>
  </si>
  <si>
    <t>13930.692   90 ell 2-1/2"</t>
  </si>
  <si>
    <t>13930.693   90 ell 3"</t>
  </si>
  <si>
    <t>13930.694   90 ell 4"</t>
  </si>
  <si>
    <t>13930.695   90 ell 5"</t>
  </si>
  <si>
    <t>13930.696   90 ell 6"</t>
  </si>
  <si>
    <t>13930.705   Tee 1/2"</t>
  </si>
  <si>
    <t>13930.706   Tee 3/4"</t>
  </si>
  <si>
    <t>13930.707   Tee 1"</t>
  </si>
  <si>
    <t>13930.708   Tee 1-1/4"</t>
  </si>
  <si>
    <t>13930.709   Tee 1-1/2"</t>
  </si>
  <si>
    <t>13930.71   Tee 2"</t>
  </si>
  <si>
    <t>13930.711   Tee 2-1/2"</t>
  </si>
  <si>
    <t>13930.712   Tee 3"</t>
  </si>
  <si>
    <t>13930.713   Tee 4"</t>
  </si>
  <si>
    <t>13930.714   Tee 5"</t>
  </si>
  <si>
    <t>13930.715   Tee 6"</t>
  </si>
  <si>
    <t>13930.721   Reducing tee 1/2"</t>
  </si>
  <si>
    <t>13930.722   Reducing tee 3/4"</t>
  </si>
  <si>
    <t>13930.723   Reducing tee 1"</t>
  </si>
  <si>
    <t>13930.724   Reducing tee 1-1/4"</t>
  </si>
  <si>
    <t>13930.725   Reducing tee 1-1/2"</t>
  </si>
  <si>
    <t>13930.726   Reducing tee 2"</t>
  </si>
  <si>
    <t>13930.727   Reducing tee 2-1/2"</t>
  </si>
  <si>
    <t>13930.728   Reducing tee 3"</t>
  </si>
  <si>
    <t>13930.729   Reducing tee 4"</t>
  </si>
  <si>
    <t>13930.73   Reducing tee 5"</t>
  </si>
  <si>
    <t>13930.731   Reducing tee 6"</t>
  </si>
  <si>
    <t>13930.738   Cap 1/2"</t>
  </si>
  <si>
    <t>13930.739   Cap 3/4"</t>
  </si>
  <si>
    <t>13930.74   Cap 1"</t>
  </si>
  <si>
    <t>13930.741   Cap 1-1/4"</t>
  </si>
  <si>
    <t>13930.742   Cap 1-1/2"</t>
  </si>
  <si>
    <t>13930.743   Cap 2"</t>
  </si>
  <si>
    <t>13930.744   Cap 2-1/2"</t>
  </si>
  <si>
    <t>13930.745   Cap 3"</t>
  </si>
  <si>
    <t>13930.746   Cap 4"</t>
  </si>
  <si>
    <t>13930.747   Cap 5"</t>
  </si>
  <si>
    <t>13930.748   Cap 6"</t>
  </si>
  <si>
    <t>13930.756   Bell Reducer 1/2"</t>
  </si>
  <si>
    <t>13930.757   Bell Reducer 3/4"</t>
  </si>
  <si>
    <t>13930.758   Bell Reducer 1"</t>
  </si>
  <si>
    <t>13930.759   Bell Reducer 1-1/4"</t>
  </si>
  <si>
    <t>13930.76   Bell Reducer 1-1/2"</t>
  </si>
  <si>
    <t>13930.761   Bell Reducer 2"</t>
  </si>
  <si>
    <t>13930.762   Bell Reducer 2-1/2"</t>
  </si>
  <si>
    <t>13930.763   Bell Reducer 3"</t>
  </si>
  <si>
    <t>13930.764   Bell Reducer 4"</t>
  </si>
  <si>
    <t>13930.765   Bell Reducer 5"</t>
  </si>
  <si>
    <t>13930.766   Bell Reducer 6"</t>
  </si>
  <si>
    <t>13930.78 Sch 80 steel pipe</t>
  </si>
  <si>
    <t>13930.781  Black t &amp; c</t>
  </si>
  <si>
    <t>13930.782   Pipe 1/2"</t>
  </si>
  <si>
    <t>13930.783   Pipe 3/4"</t>
  </si>
  <si>
    <t>13930.784   Pipe 1"</t>
  </si>
  <si>
    <t>13930.785   Pipe 1-1/4"</t>
  </si>
  <si>
    <t>13930.786   Pipe 1-1/2"</t>
  </si>
  <si>
    <t>13930.787   Pipe 2"</t>
  </si>
  <si>
    <t>13930.788   Pipe 2-1/2"</t>
  </si>
  <si>
    <t>13930.789   Pipe 3"</t>
  </si>
  <si>
    <t>13930.79   Pipe 4"</t>
  </si>
  <si>
    <t>13930.791   Pipe 5"</t>
  </si>
  <si>
    <t>13930.792   Pipe 6"</t>
  </si>
  <si>
    <t>13930.796  Cast iron scrw ftgs 250lb</t>
  </si>
  <si>
    <t>13930.797   45 ell 1/2"</t>
  </si>
  <si>
    <t>13930.798   45 ell 3/4"</t>
  </si>
  <si>
    <t>13930.799   45 ell 1"</t>
  </si>
  <si>
    <t>13930.8   45 ell 1-1/4"</t>
  </si>
  <si>
    <t>13930.801   45 ell 1-1/2"</t>
  </si>
  <si>
    <t>13930.802   45 ell 2"</t>
  </si>
  <si>
    <t>13930.803   45 ell 2-1/2"</t>
  </si>
  <si>
    <t>13930.804   45 ell 3"</t>
  </si>
  <si>
    <t>13930.805   45 ell 4"</t>
  </si>
  <si>
    <t>13930.806   45 ell 5"</t>
  </si>
  <si>
    <t>13930.807   45 ell 6"</t>
  </si>
  <si>
    <t>13930.814   90 ell 1/2"</t>
  </si>
  <si>
    <t>13930.815   90 ell 3/4"</t>
  </si>
  <si>
    <t>13930.816   90 ell 1"</t>
  </si>
  <si>
    <t>13930.817   90 ell 1-1/4"</t>
  </si>
  <si>
    <t>13930.818   90 ell 1-1/2"</t>
  </si>
  <si>
    <t>13930.819   90 ell 2"</t>
  </si>
  <si>
    <t>13930.82   90 ell 2-1/2"</t>
  </si>
  <si>
    <t>13930.821   90 ell 3"</t>
  </si>
  <si>
    <t>13930.822   90 ell 4"</t>
  </si>
  <si>
    <t>13930.823   90 ell 5"</t>
  </si>
  <si>
    <t>13930.824   90 ell 6"</t>
  </si>
  <si>
    <t>13930.829   Tee 1/2"</t>
  </si>
  <si>
    <t>13930.83   Tee 3/4"</t>
  </si>
  <si>
    <t>13930.831   Tee 1"</t>
  </si>
  <si>
    <t>13930.832   Tee 1-1/4"</t>
  </si>
  <si>
    <t>13930.833   Tee 1-1/2"</t>
  </si>
  <si>
    <t>13930.834   Tee 2"</t>
  </si>
  <si>
    <t>13930.835   Tee 2-1/2"</t>
  </si>
  <si>
    <t>13930.836   Tee 3"</t>
  </si>
  <si>
    <t>13930.837   Tee 4"</t>
  </si>
  <si>
    <t>13930.838   Tee 5"</t>
  </si>
  <si>
    <t>13930.839   Tee 6"</t>
  </si>
  <si>
    <t>13930.845   Reducing tee 1/2"</t>
  </si>
  <si>
    <t>13930.846   Reducing tee 3/4"</t>
  </si>
  <si>
    <t>13930.847   Reducing tee 1"</t>
  </si>
  <si>
    <t>13930.848   Reducing tee 1-1/4"</t>
  </si>
  <si>
    <t>13930.849   Reducing tee 1-1/2"</t>
  </si>
  <si>
    <t>13930.85   Reducing tee 2"</t>
  </si>
  <si>
    <t>13930.851   Reducing tee 2-1/2"</t>
  </si>
  <si>
    <t>13930.852   Reducing tee 3"</t>
  </si>
  <si>
    <t>13930.853   Reducing tee 4"</t>
  </si>
  <si>
    <t>13930.854   Reducing tee 5"</t>
  </si>
  <si>
    <t>13930.855   Reducing tee 6"</t>
  </si>
  <si>
    <t>13930.898 Sch 80 steel pipe</t>
  </si>
  <si>
    <t>13930.899  Black pe</t>
  </si>
  <si>
    <t>13930.9   Pipe 1/2"</t>
  </si>
  <si>
    <t>13930.901   Pipe 3/4"</t>
  </si>
  <si>
    <t>13930.902   Pipe 1"</t>
  </si>
  <si>
    <t>13930.903   Pipe 1-1/4"</t>
  </si>
  <si>
    <t>13930.904   Pipe 1-1/2"</t>
  </si>
  <si>
    <t>13930.905   Pipe 2"</t>
  </si>
  <si>
    <t>13930.906   Pipe 2-1/2"</t>
  </si>
  <si>
    <t>13930.907   Pipe 3"</t>
  </si>
  <si>
    <t>13930.908   Pipe 4"</t>
  </si>
  <si>
    <t>13930.909   Pipe 5"</t>
  </si>
  <si>
    <t>13930.91   Pipe 6"</t>
  </si>
  <si>
    <t>13930.911   Pipe 8"</t>
  </si>
  <si>
    <t>13930.912   Pipe 10"</t>
  </si>
  <si>
    <t>13930.913   Pipe 12"</t>
  </si>
  <si>
    <t>13930.918  Weld fittings sch 80</t>
  </si>
  <si>
    <t>13930.919   45 ell 1/2"</t>
  </si>
  <si>
    <t>13930.92   45 ell 3/4"</t>
  </si>
  <si>
    <t>13930.921   45 ell 1"</t>
  </si>
  <si>
    <t>13930.922   45 ell 1-1/4"</t>
  </si>
  <si>
    <t>13930.923   45 ell 1-1/2"</t>
  </si>
  <si>
    <t>13930.924   45 ell 2"</t>
  </si>
  <si>
    <t>13930.925   45 ell 2-1/2"</t>
  </si>
  <si>
    <t>13930.926   45 ell 3"</t>
  </si>
  <si>
    <t>13930.927   45 ell 4"</t>
  </si>
  <si>
    <t>13930.928   45 ell 5"</t>
  </si>
  <si>
    <t>13930.929   45 ell 6"</t>
  </si>
  <si>
    <t>13930.93   45 ell 8"</t>
  </si>
  <si>
    <t>13930.931   45 ell 10"</t>
  </si>
  <si>
    <t>13930.932   45 ell 12"</t>
  </si>
  <si>
    <t>13930.938   90 ell 1/2"</t>
  </si>
  <si>
    <t>13930.939   90 ell 3/4"</t>
  </si>
  <si>
    <t>13930.94   90 ell 1"</t>
  </si>
  <si>
    <t>13930.941   90 ell 1-1/4"</t>
  </si>
  <si>
    <t>13930.942   90 ell 1-1/2"</t>
  </si>
  <si>
    <t>13930.943   90 ell 2"</t>
  </si>
  <si>
    <t>13930.944   90 ell 2-1/2"</t>
  </si>
  <si>
    <t>13930.945   90 ell 3"</t>
  </si>
  <si>
    <t>13930.946   90 ell 4"</t>
  </si>
  <si>
    <t>13930.947   90 ell 5"</t>
  </si>
  <si>
    <t>13930.948   90 ell 6"</t>
  </si>
  <si>
    <t>13930.949   90 ell 8"</t>
  </si>
  <si>
    <t>13930.95   90 ell 10"</t>
  </si>
  <si>
    <t>13930.951   90 ell 12"</t>
  </si>
  <si>
    <t>13930.956   Tee 1/2"</t>
  </si>
  <si>
    <t>13930.957   Tee 3/4"</t>
  </si>
  <si>
    <t>13930.958   Tee 1"</t>
  </si>
  <si>
    <t>13930.959   Tee 1-1/4"</t>
  </si>
  <si>
    <t>13930.96   Tee 1-1/2"</t>
  </si>
  <si>
    <t>13930.961   Tee 2"</t>
  </si>
  <si>
    <t>13930.962   Tee 2-1/2"</t>
  </si>
  <si>
    <t>13930.963   Tee 3"</t>
  </si>
  <si>
    <t>13930.964   Tee 4"</t>
  </si>
  <si>
    <t>13930.965   Tee 5"</t>
  </si>
  <si>
    <t>13930.966   Tee 6"</t>
  </si>
  <si>
    <t>13930.967   Tee 8"</t>
  </si>
  <si>
    <t>13930.968   Tee 10"</t>
  </si>
  <si>
    <t>13930.969   Tee 12"</t>
  </si>
  <si>
    <t>13930.975   Reducing tee 1/2"</t>
  </si>
  <si>
    <t>13930.976   Reducing tee 3/4"</t>
  </si>
  <si>
    <t>13930.977   Reducing tee 1"</t>
  </si>
  <si>
    <t>13930.978   Reducing tee 1-1/4"</t>
  </si>
  <si>
    <t>13930.979   Reducing tee 1-1/2"</t>
  </si>
  <si>
    <t>13930.98   Reducing tee 2"</t>
  </si>
  <si>
    <t>13930.981   Reducing tee 2-1/2"</t>
  </si>
  <si>
    <t>13930.982   Reducing tee 3"</t>
  </si>
  <si>
    <t>13930.983   Reducing tee 4"</t>
  </si>
  <si>
    <t>13930.984   Reducing tee 5"</t>
  </si>
  <si>
    <t>13930.985   Reducing tee 6"</t>
  </si>
  <si>
    <t>13930.986   Reducing tee 8"</t>
  </si>
  <si>
    <t>13930.987   Reducing tee 10"</t>
  </si>
  <si>
    <t>13930.988   Reducing tee 12"</t>
  </si>
  <si>
    <t>13930.993   Cap 1/2"</t>
  </si>
  <si>
    <t>13930.994   Cap 3/4"</t>
  </si>
  <si>
    <t>13930.995   Cap 1"</t>
  </si>
  <si>
    <t>13930.996   Cap 1-1/4"</t>
  </si>
  <si>
    <t>13930.997   Cap 1-1/2"</t>
  </si>
  <si>
    <t>13930.998   Cap 2"</t>
  </si>
  <si>
    <t>13930.999   Cap 2-1/2"</t>
  </si>
  <si>
    <t>13931.001   Cap 3"</t>
  </si>
  <si>
    <t>13931.002   Cap 4"</t>
  </si>
  <si>
    <t>13931.003   Cap 5"</t>
  </si>
  <si>
    <t>13931.004   Cap 6"</t>
  </si>
  <si>
    <t>13931.005   Cap 8"</t>
  </si>
  <si>
    <t>13931.006   Cap 10"</t>
  </si>
  <si>
    <t>13931.007   Cap 12"</t>
  </si>
  <si>
    <t>13931.012   Bell Reducingucer 1/2"</t>
  </si>
  <si>
    <t>13931.013   Bell Reducingucer 3/4"</t>
  </si>
  <si>
    <t>13931.014   Bell Reducingucer 1"</t>
  </si>
  <si>
    <t>13931.015   Bell Reducingucer 1-1/4"</t>
  </si>
  <si>
    <t>13931.016   Bell Reducingucer 1-1/2"</t>
  </si>
  <si>
    <t>13931.017   Bell Reducingucer 2"</t>
  </si>
  <si>
    <t>13931.018   Bell Reducingucer 2-1/2"</t>
  </si>
  <si>
    <t>13931.04 Ductile iron cement lined</t>
  </si>
  <si>
    <t>13931.041  Mechanical. joint</t>
  </si>
  <si>
    <t>13931.042   Pipe 3"</t>
  </si>
  <si>
    <t>13931.043   Pipe 4"</t>
  </si>
  <si>
    <t>13931.044   Pipe 6"</t>
  </si>
  <si>
    <t>13931.045   Pipe 8"</t>
  </si>
  <si>
    <t>13931.046   Pipe 10"</t>
  </si>
  <si>
    <t>13931.047   Pipe 12"</t>
  </si>
  <si>
    <t>13931.057 Ductile iron cement lined</t>
  </si>
  <si>
    <t>13931.058  Slip-joint</t>
  </si>
  <si>
    <t>13931.059   Pipe 3"</t>
  </si>
  <si>
    <t>13931.06   Pipe 4"</t>
  </si>
  <si>
    <t>13931.061   Pipe 6"</t>
  </si>
  <si>
    <t>13931.062   Pipe 8"</t>
  </si>
  <si>
    <t>13931.063   Pipe 10"</t>
  </si>
  <si>
    <t>13931.064   Pipe 12"</t>
  </si>
  <si>
    <t>13931.074 Pvc awwa-c900</t>
  </si>
  <si>
    <t>13931.075  Class 150 slip-joint</t>
  </si>
  <si>
    <t>13931.076   Pipe 4"</t>
  </si>
  <si>
    <t>13931.077   Pipe 6"</t>
  </si>
  <si>
    <t>13931.078   Pipe 8"</t>
  </si>
  <si>
    <t>13931.079   Pipe 10"</t>
  </si>
  <si>
    <t>13931.08   Pipe 12"</t>
  </si>
  <si>
    <t>13931.1  Cast iron mj fittings</t>
  </si>
  <si>
    <t>13931.101   90 ell 3"</t>
  </si>
  <si>
    <t>13931.102   90 ell 4"</t>
  </si>
  <si>
    <t>13931.103   90 ell 6"</t>
  </si>
  <si>
    <t>13931.104   90 ell 8"</t>
  </si>
  <si>
    <t>13931.105   90 ell 10"</t>
  </si>
  <si>
    <t>13931.106   90 ell 12"</t>
  </si>
  <si>
    <t>13931.115   Tee 3"</t>
  </si>
  <si>
    <t>13931.116   Tee 4"</t>
  </si>
  <si>
    <t>13931.117   Tee 6"</t>
  </si>
  <si>
    <t>13931.118   Tee 8"</t>
  </si>
  <si>
    <t>13931.119   Tee 10"</t>
  </si>
  <si>
    <t>13931.12   Tee 12"</t>
  </si>
  <si>
    <t>13931.131   Gland w/T bolts 3"</t>
  </si>
  <si>
    <t>13931.132   Gland w/T bolts 4"</t>
  </si>
  <si>
    <t>13931.133   Gland w/T bolts 6"</t>
  </si>
  <si>
    <t>13931.134   Gland w/T bolts 8"</t>
  </si>
  <si>
    <t>13931.135   Gland w/T bolts 10"</t>
  </si>
  <si>
    <t>13931.136   Gland w/T bolts 12"</t>
  </si>
  <si>
    <t>13931.147 Flanges</t>
  </si>
  <si>
    <t>13931.148  Cast iron 150 lb.</t>
  </si>
  <si>
    <t>13931.149   Threaded 1/2"</t>
  </si>
  <si>
    <t>13931.15   Threaded 3/4"</t>
  </si>
  <si>
    <t>13931.151   Threaded 1"</t>
  </si>
  <si>
    <t>13931.152   Threaded 1-1/4"</t>
  </si>
  <si>
    <t>13931.153   Threaded 1-1/2"</t>
  </si>
  <si>
    <t>13931.154   Threaded 2"</t>
  </si>
  <si>
    <t>13931.155   Threaded 2-1/2"</t>
  </si>
  <si>
    <t>13931.156   Threaded 3"</t>
  </si>
  <si>
    <t>13931.157   Threaded 4"</t>
  </si>
  <si>
    <t>13931.158   Threaded 5"</t>
  </si>
  <si>
    <t>13931.159   Threaded 6"</t>
  </si>
  <si>
    <t>13931.16   Threaded 8"</t>
  </si>
  <si>
    <t>13931.161   Threaded 10"</t>
  </si>
  <si>
    <t>13931.162   Threaded 12"</t>
  </si>
  <si>
    <t>13931.167  Steel 150 lb.</t>
  </si>
  <si>
    <t>13931.168   Slip-on 1/2"</t>
  </si>
  <si>
    <t>13931.169   Slip-on 3/4"</t>
  </si>
  <si>
    <t>13931.17   Slip-on 1"</t>
  </si>
  <si>
    <t>13931.171   Slip-on 1-1/4"</t>
  </si>
  <si>
    <t>13931.172   Slip-on 1-1/2"</t>
  </si>
  <si>
    <t>13931.173   Slip-on 2"</t>
  </si>
  <si>
    <t>13931.174   Slip-on 2-1/2"</t>
  </si>
  <si>
    <t>13931.175   Slip-on 3"</t>
  </si>
  <si>
    <t>13931.176   Slip-on 4"</t>
  </si>
  <si>
    <t>13931.177   Slip-on 5"</t>
  </si>
  <si>
    <t>13931.178   Slip-on 6"</t>
  </si>
  <si>
    <t>13931.179   Slip-on 8"</t>
  </si>
  <si>
    <t>13931.18   Slip-on 10"</t>
  </si>
  <si>
    <t>13931.181   Slip-on 12"</t>
  </si>
  <si>
    <t>13931.19   Uni-flange 2"</t>
  </si>
  <si>
    <t>13931.191   Uni-flange 2-1/2"</t>
  </si>
  <si>
    <t>13931.192   Uni-flange 3"</t>
  </si>
  <si>
    <t>13931.193   Uni-flange 4"</t>
  </si>
  <si>
    <t>13931.194   Uni-flange 5"</t>
  </si>
  <si>
    <t>13931.195   Uni-flange 6"</t>
  </si>
  <si>
    <t>13931.196   Uni-flange 8"</t>
  </si>
  <si>
    <t>13931.197   Uni-flange 10"</t>
  </si>
  <si>
    <t>13931.198   Uni-flange 12"</t>
  </si>
  <si>
    <t>13931.21   Grooved 2"</t>
  </si>
  <si>
    <t>13931.211   Grooved 2-1/2"</t>
  </si>
  <si>
    <t>13931.212   Grooved 3"</t>
  </si>
  <si>
    <t>13931.213   Grooved 4"</t>
  </si>
  <si>
    <t>13931.214   Grooved 5"</t>
  </si>
  <si>
    <t>13931.215   Grooved 6"</t>
  </si>
  <si>
    <t>13931.216   Grooved 8"</t>
  </si>
  <si>
    <t>13931.217   Grooved 10"</t>
  </si>
  <si>
    <t>13931.218   Grooved 12"</t>
  </si>
  <si>
    <t>13931.229  Galvanized 150 lb.</t>
  </si>
  <si>
    <t>13931.23   Threaded 1/2"</t>
  </si>
  <si>
    <t>13931.231   Threaded 3/4"</t>
  </si>
  <si>
    <t>13931.232   Threaded 1"</t>
  </si>
  <si>
    <t>13931.233   Threaded 1-1/4"</t>
  </si>
  <si>
    <t>13931.234   Threaded 1-1/2"</t>
  </si>
  <si>
    <t>13931.235   Threaded 2"</t>
  </si>
  <si>
    <t>13931.236   Threaded 2-1/2"</t>
  </si>
  <si>
    <t>13931.237   Threaded 3"</t>
  </si>
  <si>
    <t>13931.238   Threaded 4"</t>
  </si>
  <si>
    <t>13931.239   Threaded 5"</t>
  </si>
  <si>
    <t>13931.24   Threaded 6"</t>
  </si>
  <si>
    <t>13931.241   Threaded 8"</t>
  </si>
  <si>
    <t>13931.242   Threaded 10"</t>
  </si>
  <si>
    <t>13931.243   Threaded 12"</t>
  </si>
  <si>
    <t>13931.249  Cast iron 250 lb.</t>
  </si>
  <si>
    <t>13931.25   Threaded 1/2"</t>
  </si>
  <si>
    <t>13931.251   Threaded 3/4"</t>
  </si>
  <si>
    <t>13931.252   Threaded 1"</t>
  </si>
  <si>
    <t>13931.253   Threaded 1-1/4"</t>
  </si>
  <si>
    <t>13931.254   Threaded 1-1/2"</t>
  </si>
  <si>
    <t>13931.255   Threaded 2"</t>
  </si>
  <si>
    <t>13931.256   Threaded 2-1/2"</t>
  </si>
  <si>
    <t>13931.257   Threaded 3"</t>
  </si>
  <si>
    <t>13931.258   Threaded 4"</t>
  </si>
  <si>
    <t>13931.259   Threaded 5"</t>
  </si>
  <si>
    <t>13931.26   Threaded 6"</t>
  </si>
  <si>
    <t>13931.261   Threaded 8"</t>
  </si>
  <si>
    <t>13931.262   Threaded 10"</t>
  </si>
  <si>
    <t>13931.263   Threaded 12"</t>
  </si>
  <si>
    <t>13931.269  Steel 300 lb.</t>
  </si>
  <si>
    <t>13931.27   Slip-on 1/2"</t>
  </si>
  <si>
    <t>13931.271   Slip-on 3/4"</t>
  </si>
  <si>
    <t>13931.272   Slip-on 1"</t>
  </si>
  <si>
    <t>13931.273   Slip-on 1-1/4"</t>
  </si>
  <si>
    <t>13931.274   Slip-on 1-1/2"</t>
  </si>
  <si>
    <t>13931.275   Slip-on 2"</t>
  </si>
  <si>
    <t>13931.276   Slip-on 2-1/2"</t>
  </si>
  <si>
    <t>13931.277   Slip-on 3"</t>
  </si>
  <si>
    <t>13931.278   Slip-on 4"</t>
  </si>
  <si>
    <t>13931.279   Slip-on 5"</t>
  </si>
  <si>
    <t>13931.28   Slip-on 6"</t>
  </si>
  <si>
    <t>13931.281   Slip-on 8"</t>
  </si>
  <si>
    <t>13931.282   Slip-on 10"</t>
  </si>
  <si>
    <t>13931.283   Slip-on 12"</t>
  </si>
  <si>
    <t>13931.385 Bolt and gasket set</t>
  </si>
  <si>
    <t>13931.386  Flange pack 1/2"</t>
  </si>
  <si>
    <t>13931.387  Flange pack 3/4"</t>
  </si>
  <si>
    <t>13931.388  Flange pack 1"</t>
  </si>
  <si>
    <t>13931.389  Flange pack 1-1/4"</t>
  </si>
  <si>
    <t>13931.39  Flange pack 1-1/2"</t>
  </si>
  <si>
    <t>13931.391  Flange pack 2"</t>
  </si>
  <si>
    <t>13931.392  Flange pack 2-1/2"</t>
  </si>
  <si>
    <t>13931.393  Flange pack 3"</t>
  </si>
  <si>
    <t>13931.394  Flange pack 4"</t>
  </si>
  <si>
    <t>13931.395  Flange pack 5"</t>
  </si>
  <si>
    <t>13931.396  Flange pack 6"</t>
  </si>
  <si>
    <t>13931.397  Flange pack 8"</t>
  </si>
  <si>
    <t>13931.398  Flange pack 10"</t>
  </si>
  <si>
    <t>13931.399  Flange pack 12"</t>
  </si>
  <si>
    <t>13931.5 Bronze body valve</t>
  </si>
  <si>
    <t>13931.501 Gate threaded,rs, 1/2"</t>
  </si>
  <si>
    <t>13931.502 Gate threaded,rs, 3/4"</t>
  </si>
  <si>
    <t>13931.503 Gate threaded,rs, 1"</t>
  </si>
  <si>
    <t>13931.504 Gate threaded,rs, 1-1/4"</t>
  </si>
  <si>
    <t>13931.505 Gate threaded,rs, 1-1/2"</t>
  </si>
  <si>
    <t>13931.506 Gate threaded,rs, 2"</t>
  </si>
  <si>
    <t>13931.516 Gate threaded,NRS, 1/2"</t>
  </si>
  <si>
    <t>13931.517 Gate threaded,NRS, 3/4"</t>
  </si>
  <si>
    <t>13931.518 Gate threaded,NRS, 1"</t>
  </si>
  <si>
    <t>13931.519 Gate threaded,NRS, 1-1/4"</t>
  </si>
  <si>
    <t>13931.52 Gate threaded,NRS, 1-1/2"</t>
  </si>
  <si>
    <t>13931.521 Gate threaded,NRS, 2"</t>
  </si>
  <si>
    <t>13931.531 Angle threaded,NRS, 1/2"</t>
  </si>
  <si>
    <t>13931.532 Angle threaded,NRS, 3/4"</t>
  </si>
  <si>
    <t>13931.533 Angle threaded,NRS, 1"</t>
  </si>
  <si>
    <t>13931.534 Angle threaded,NRS, 1-1/4"</t>
  </si>
  <si>
    <t>13931.535 Angle threaded,NRS, 1-1/2"</t>
  </si>
  <si>
    <t>13931.536 Angle threaded,NRS, 2"</t>
  </si>
  <si>
    <t>13931.546 Globe threaded,NRS, 1/2"</t>
  </si>
  <si>
    <t>13931.547 Globe threaded,NRS, 3/4"</t>
  </si>
  <si>
    <t>13931.548 Globe threaded,NRS, 1"</t>
  </si>
  <si>
    <t>13931.549 Globe threaded,NRS, 1-1/4"</t>
  </si>
  <si>
    <t>13931.55 Globe threaded,NRS, 1-1/2"</t>
  </si>
  <si>
    <t>13931.551 Globe threaded,NRS, 2"</t>
  </si>
  <si>
    <t>13931.561 Swing check,thrd, 1/2"</t>
  </si>
  <si>
    <t>13931.562 Swing check,thrd, 3/4"</t>
  </si>
  <si>
    <t>13931.563 Swing check,thrd, 1"</t>
  </si>
  <si>
    <t>13931.564 Swing check,thrd, 1-1/4"</t>
  </si>
  <si>
    <t>13931.565 Swing check,thrd, 1-1/2"</t>
  </si>
  <si>
    <t>13931.566 Swing check,thrd, 2"</t>
  </si>
  <si>
    <t>13931.576 Class 175 os&amp;y,thrd 3/4"</t>
  </si>
  <si>
    <t>13931.577 Class 175 os&amp;y,thrd 1"</t>
  </si>
  <si>
    <t>13931.578 Class 175 os&amp;y,thrd 1-1/4"</t>
  </si>
  <si>
    <t>13931.579 Class 175 os&amp;y,thrd 1-1/2"</t>
  </si>
  <si>
    <t>13931.58 Class 175 os&amp;y,thrd 2"</t>
  </si>
  <si>
    <t>13931.59 Iron body valves</t>
  </si>
  <si>
    <t>13931.591 Gate flange,NRS, 2"</t>
  </si>
  <si>
    <t>13931.592 Gate flange,NRS, 2-1/2"</t>
  </si>
  <si>
    <t>13931.593 Gate flange,NRS, 3"</t>
  </si>
  <si>
    <t>13931.594 Gate flange,NRS, 4"</t>
  </si>
  <si>
    <t>13931.595 Gate flange,NRS, 5"</t>
  </si>
  <si>
    <t>13931.596 Gate flange,NRS, 6"</t>
  </si>
  <si>
    <t>13931.597 Gate flange,NRS, 8"</t>
  </si>
  <si>
    <t>13931.598 Gate flange,NRS, 10"</t>
  </si>
  <si>
    <t>13931.599 Gate flange,NRS, 12"</t>
  </si>
  <si>
    <t>13931.609 Gate flange,piv,4"</t>
  </si>
  <si>
    <t>13931.61 Gate flange,piv,5"</t>
  </si>
  <si>
    <t>13931.611 Gate flange,piv,6"</t>
  </si>
  <si>
    <t>13931.612 Gate flange,piv,8"</t>
  </si>
  <si>
    <t>13931.613 Gate flange,piv,10"</t>
  </si>
  <si>
    <t>13931.614 Gate flange,piv,12"</t>
  </si>
  <si>
    <t>13931.624 Gate os&amp;y, flng, 2"</t>
  </si>
  <si>
    <t>13931.625 Gate os&amp;y, flng, 2-1/2"</t>
  </si>
  <si>
    <t>13931.626 Gate os&amp;y, flng, 3"</t>
  </si>
  <si>
    <t>13931.627 Gate os&amp;y, flng, 4"</t>
  </si>
  <si>
    <t>13931.628 Gate os&amp;y, flng, 5"</t>
  </si>
  <si>
    <t>13931.629 Gate os&amp;y, flng, 6"</t>
  </si>
  <si>
    <t>13931.63 Gate os&amp;y, flng, 8"</t>
  </si>
  <si>
    <t>13931.631 Gate os&amp;y, flng, 10"</t>
  </si>
  <si>
    <t>13931.632 Gate os&amp;y, flng, 12"</t>
  </si>
  <si>
    <t>13931.642 Gate,mj,NRS,w/r,box 2"</t>
  </si>
  <si>
    <t>13931.643 Gate,mj,NRS,w/r,box 2-1/2"</t>
  </si>
  <si>
    <t>13931.644 Gate,mj,NRS,w/r.box 3"</t>
  </si>
  <si>
    <t>13931.645 Gate,mj,NRS,w/r.box 4"</t>
  </si>
  <si>
    <t>13931.646 Gate,mj,NRS,w/r.box 5"</t>
  </si>
  <si>
    <t>13931.647 Gate,mj,NRS,w/r.box 6"</t>
  </si>
  <si>
    <t>13931.648 Gate,mj,NRS,w/r.box 8"</t>
  </si>
  <si>
    <t>13931.649 Gate,mj,NRS,w/r.box 10"</t>
  </si>
  <si>
    <t>13931.65 Gate,mj,NRS,w/r.box 12"</t>
  </si>
  <si>
    <t>13931.66 Gate,mj,for vert piv 4"</t>
  </si>
  <si>
    <t>13931.661 Gate,mj,for vert piv 5"</t>
  </si>
  <si>
    <t>13931.662 Gate,mj,for vert piv 6"</t>
  </si>
  <si>
    <t>13931.663 Gate,mj,for vert piv 8"</t>
  </si>
  <si>
    <t>13931.664 Gate,mj,for vert piv 10"</t>
  </si>
  <si>
    <t>13931.665 Gate,mj,for vert piv 12"</t>
  </si>
  <si>
    <t>13931.675 Swing check, flng, 2"</t>
  </si>
  <si>
    <t>13931.676 Swing check, flng, 2-1/2"</t>
  </si>
  <si>
    <t>13931.677 Swing check, flng, 3"</t>
  </si>
  <si>
    <t>13931.678 Swing check, flng, 4"</t>
  </si>
  <si>
    <t>13931.679 Swing check, flng, 5"</t>
  </si>
  <si>
    <t>13931.68 Swing check, flng, 6"</t>
  </si>
  <si>
    <t>13931.681 Swing check, flng, 8"</t>
  </si>
  <si>
    <t>13931.682 Swing check, flng, 10"</t>
  </si>
  <si>
    <t>13931.683 Swing check, flng, 12"</t>
  </si>
  <si>
    <t>13931.693 Detector check,flng, 4"</t>
  </si>
  <si>
    <t>13931.694 Detector check,flng, 5"</t>
  </si>
  <si>
    <t>13931.695 Detector check,flng, 6"</t>
  </si>
  <si>
    <t>13931.696 Detector check,flng, 8"</t>
  </si>
  <si>
    <t>13931.697 Detector check,flng, 10"</t>
  </si>
  <si>
    <t>13931.698 Detector check,flng, 12"</t>
  </si>
  <si>
    <t>13931.708  Wafer check, 4"</t>
  </si>
  <si>
    <t>13931.709  Wafer check, 5"</t>
  </si>
  <si>
    <t>13931.71  Wafer check, 6"</t>
  </si>
  <si>
    <t>13931.711  Wafer check, 8"</t>
  </si>
  <si>
    <t>13931.85 Pipe hangers steel</t>
  </si>
  <si>
    <t>13931.851  W/3' rod &amp; beam clamp</t>
  </si>
  <si>
    <t>13931.852   Adj splt ring 1/2"</t>
  </si>
  <si>
    <t>13931.853   Adj splt ring 3/4"</t>
  </si>
  <si>
    <t>13931.854   Adj splt ring 1"</t>
  </si>
  <si>
    <t>13931.855   Adj splt ring 1-1/4"</t>
  </si>
  <si>
    <t>13931.856   Adj splt ring 1-1/2"</t>
  </si>
  <si>
    <t>13931.857   Adj splt ring 2"</t>
  </si>
  <si>
    <t>13931.858   Adj splt ring 2-1/2"</t>
  </si>
  <si>
    <t>13931.859   Adj splt ring 3"</t>
  </si>
  <si>
    <t>13931.86   Adj splt ring 4"</t>
  </si>
  <si>
    <t>13931.861   Adj splt ring 5"</t>
  </si>
  <si>
    <t>13931.862   Adj splt ring 6"</t>
  </si>
  <si>
    <t>13931.863   Adj splt ring 8"</t>
  </si>
  <si>
    <t>13931.874   Adj swivel ring 1/2"</t>
  </si>
  <si>
    <t>13931.875   Adj swivel ring 3/4"</t>
  </si>
  <si>
    <t>13931.876   Adj swivel ring 1"</t>
  </si>
  <si>
    <t>13931.877   Adj swivel ring 1-1/4"</t>
  </si>
  <si>
    <t>13931.878   Adj swivel ring 1-1/2"</t>
  </si>
  <si>
    <t>13931.879   Adj swivel ring 2"</t>
  </si>
  <si>
    <t>13931.88   Adj swivel ring 2-1/2"</t>
  </si>
  <si>
    <t>13931.881   Adj swivel ring 3"</t>
  </si>
  <si>
    <t>13931.882   Adj swivel ring 4"</t>
  </si>
  <si>
    <t>13931.883   Adj swivel ring 5"</t>
  </si>
  <si>
    <t>13931.884   Adj swivel ring 6"</t>
  </si>
  <si>
    <t>13931.885   Adj swivel ring 8"</t>
  </si>
  <si>
    <t>13931.896   Adj clevis 1/2"</t>
  </si>
  <si>
    <t>13931.897   Adj clevis 3/4"</t>
  </si>
  <si>
    <t>13931.898   Adj clevis 1"</t>
  </si>
  <si>
    <t>13931.899   Adj clevis 1-1/4"</t>
  </si>
  <si>
    <t>13931.9   Adj clevis 1-1/2"</t>
  </si>
  <si>
    <t>13931.901   Adj clevis 2"</t>
  </si>
  <si>
    <t>13931.902   Adj clevis 2-1/2"</t>
  </si>
  <si>
    <t>13931.903   Adj clevis 3"</t>
  </si>
  <si>
    <t>13931.904   Adj clevis 4"</t>
  </si>
  <si>
    <t>13931.905   Adj clevis 5"</t>
  </si>
  <si>
    <t>13931.906   Adj clevis 6"</t>
  </si>
  <si>
    <t>13931.907   Adj clevis 8"</t>
  </si>
  <si>
    <t>13931.908   Adj clevis 10"</t>
  </si>
  <si>
    <t>13931.909   Adj clevis 12"</t>
  </si>
  <si>
    <t>13931.917 Pipe hangers galv</t>
  </si>
  <si>
    <t>13931.918  W/ 3' rod &amp; beam clamp</t>
  </si>
  <si>
    <t>13931.92   Adj clevis 1/2"</t>
  </si>
  <si>
    <t>13931.921   Adj clevis 3/4"</t>
  </si>
  <si>
    <t>13931.922   Adj clevis 1"</t>
  </si>
  <si>
    <t>13931.923   Adj clevis 1-1/4"</t>
  </si>
  <si>
    <t>13931.924   Adj clevis 1-1/2"</t>
  </si>
  <si>
    <t>13931.925   Adj clevis 2"</t>
  </si>
  <si>
    <t>13931.926   Adj clevis 2-1/2"</t>
  </si>
  <si>
    <t>13931.927   Adj clevis 3"</t>
  </si>
  <si>
    <t>13931.928   Adj clevis 4"</t>
  </si>
  <si>
    <t>13931.929   Adj clevis 5"</t>
  </si>
  <si>
    <t>13931.93   Adj clevis 6"</t>
  </si>
  <si>
    <t>13931.931   Adj clevis 8"</t>
  </si>
  <si>
    <t>13931.932   Adj clevis 10"</t>
  </si>
  <si>
    <t>13931.933   Adj clevis 12"</t>
  </si>
  <si>
    <t>13931.943   Riser clamp,1/2"</t>
  </si>
  <si>
    <t>13931.944   Riser clamp,3/4"</t>
  </si>
  <si>
    <t>13931.945   Riser clamp 1"</t>
  </si>
  <si>
    <t>13931.946   Riser clamp 1-1/4"</t>
  </si>
  <si>
    <t>13931.947   Riser clamp 1-1/2"</t>
  </si>
  <si>
    <t>13931.948   Riser clamp 2"</t>
  </si>
  <si>
    <t>13931.949   Riser clamp 2-1/2"</t>
  </si>
  <si>
    <t>13931.95   Riser clamp 3"</t>
  </si>
  <si>
    <t>13931.951   Riser clamp 4"</t>
  </si>
  <si>
    <t>13931.952   Riser clamp 5"</t>
  </si>
  <si>
    <t>13931.953   Riser clamp 6"</t>
  </si>
  <si>
    <t>13931.954   Riser clamp 8"</t>
  </si>
  <si>
    <t>13931.955   Riser clamp 10"</t>
  </si>
  <si>
    <t>13931.956   Riser clamp 12"</t>
  </si>
  <si>
    <t>13934.01 Sprinkler head</t>
  </si>
  <si>
    <t>13934.012  Brass</t>
  </si>
  <si>
    <t>13934.013   Pendant</t>
  </si>
  <si>
    <t>13934.014   Upright</t>
  </si>
  <si>
    <t>13934.015   Sidewall</t>
  </si>
  <si>
    <t>13934.025  Chrome</t>
  </si>
  <si>
    <t>13934.027   Pendant w/canopy</t>
  </si>
  <si>
    <t>13934.028   Sidewall</t>
  </si>
  <si>
    <t>13934.029   Flush</t>
  </si>
  <si>
    <t>13934.035 Full wet sprinkler system</t>
  </si>
  <si>
    <t>13935.01 Dry pipe system</t>
  </si>
  <si>
    <t>13940.01 Pre-action deluge system</t>
  </si>
  <si>
    <t>13965.005 Halon alternative system</t>
  </si>
  <si>
    <t>13975.01 Fire hose cabinet</t>
  </si>
  <si>
    <t>13975.013  Recessed w/100 hose 1-1/2</t>
  </si>
  <si>
    <t>13975.014   1-1/2" fdv</t>
  </si>
  <si>
    <t>13975.015   2-1/2" fdv</t>
  </si>
  <si>
    <t>13975.016   1-1/2" and 2-1/2" FDV</t>
  </si>
  <si>
    <t>13975.017   1-1/2" fdv w/fe</t>
  </si>
  <si>
    <t>13975.018   2-1/2" fdv w/fe</t>
  </si>
  <si>
    <t>13975.019   1-1/2" and 2-1/2" FDV</t>
  </si>
  <si>
    <t>13975.04  Semi rec w/100 1-1/2 hose</t>
  </si>
  <si>
    <t>13975.041   1-1/2" fdv</t>
  </si>
  <si>
    <t>13975.042   2-1/2" fdv</t>
  </si>
  <si>
    <t>13975.043   1-1/2" and 2-1/2" FDV</t>
  </si>
  <si>
    <t>13975.044   1-1/2" fdv w/fe</t>
  </si>
  <si>
    <t>13975.045   2-1/2" FDV w/fe</t>
  </si>
  <si>
    <t>13975.046   1-1/2" &amp; 2-1/2" FDV</t>
  </si>
  <si>
    <t>13975.067  Surface w/100 1-1/2" hose</t>
  </si>
  <si>
    <t>13975.068   1-1/2" fdv</t>
  </si>
  <si>
    <t>13975.069   2-1/2" fdv</t>
  </si>
  <si>
    <t>13975.07   1-1/2" and 2-1/2" FDV</t>
  </si>
  <si>
    <t>13975.071   1-1/2" FDV w/fe</t>
  </si>
  <si>
    <t>13975.072   2-1/2" fdv w/FE</t>
  </si>
  <si>
    <t>13975.073   1-1/2" &amp; 2-1/2" FDV</t>
  </si>
  <si>
    <t>13975.1 Hose reel w/accessories</t>
  </si>
  <si>
    <t>13975.102  1-1/2" fdv,50' 1-1/2 hose</t>
  </si>
  <si>
    <t>13975.103  1-1/2" fdv,75' 1-1/2 hose</t>
  </si>
  <si>
    <t>13975.104  1-1/2" fdv,100'1-1/2 hose</t>
  </si>
  <si>
    <t>13975.11 Hose rack w/accessories</t>
  </si>
  <si>
    <t>13975.112  1-1/2" fdv,100'1-1/2 hose</t>
  </si>
  <si>
    <t>13975.113  2-1/2" fdv,100'1-1/2 hose</t>
  </si>
  <si>
    <t>13975.2 Fire dept valve</t>
  </si>
  <si>
    <t>13975.202  Angle</t>
  </si>
  <si>
    <t>13975.203   1-1/2" w/cap &amp; chain</t>
  </si>
  <si>
    <t>13975.204   2-1/2" w/cap &amp; chain</t>
  </si>
  <si>
    <t>13975.21  Globe</t>
  </si>
  <si>
    <t>13975.212   1-1/2" w/cap &amp; chains</t>
  </si>
  <si>
    <t>13975.213   2-1/2" w/cap &amp; chains</t>
  </si>
  <si>
    <t>13975.218  Auto ball drip</t>
  </si>
  <si>
    <t>13975.22   1/2"</t>
  </si>
  <si>
    <t>13975.221   3/4"</t>
  </si>
  <si>
    <t>13975.225  Flow switch</t>
  </si>
  <si>
    <t>13975.227   W/elec alarm bell</t>
  </si>
  <si>
    <t>13975.23  Tamper switch</t>
  </si>
  <si>
    <t>13975.24 Fire dept conn's-brass</t>
  </si>
  <si>
    <t>13975.242  Flush two-way</t>
  </si>
  <si>
    <t>13975.243   4"</t>
  </si>
  <si>
    <t>13975.244   6"</t>
  </si>
  <si>
    <t>13975.25  Flush three-way</t>
  </si>
  <si>
    <t>13975.252   6"</t>
  </si>
  <si>
    <t>13975.256  Flush four-way</t>
  </si>
  <si>
    <t>13975.258   6"</t>
  </si>
  <si>
    <t>13975.26  Flush six-way</t>
  </si>
  <si>
    <t>13975.262   8"</t>
  </si>
  <si>
    <t>13975.265 Wall siamese</t>
  </si>
  <si>
    <t>13975.267  Two-way</t>
  </si>
  <si>
    <t>13975.268   4" x 2-1/2" x 2-1/2"</t>
  </si>
  <si>
    <t>13975.269   6" x 2-1/2" x 2-1/2"</t>
  </si>
  <si>
    <t>13975.272 Sidewalk siamese</t>
  </si>
  <si>
    <t>13975.274  Two-way</t>
  </si>
  <si>
    <t>13975.275   4" x 2-1/2" x 2-1/2"</t>
  </si>
  <si>
    <t>13975.276   6" x 2-1/2" x 2-1/2"</t>
  </si>
  <si>
    <t>13975.285 Fire dept test conn-brass</t>
  </si>
  <si>
    <t>13975.287  W/valve cap and chains</t>
  </si>
  <si>
    <t>13975.288   Two-way 4" x 2-1/2"</t>
  </si>
  <si>
    <t>13975.289   Three-way 5" x 2-1/2"</t>
  </si>
  <si>
    <t>13975.29   Four-way 6" x 2-1/2"</t>
  </si>
  <si>
    <t>13975.291   Six-way 8" x 2-1/2"</t>
  </si>
  <si>
    <t>13975.295 Fire dept test conn-ci</t>
  </si>
  <si>
    <t>13975.297  W/valve cap and chains</t>
  </si>
  <si>
    <t>13975.298   Three-way 5" x 2-1/2"</t>
  </si>
  <si>
    <t>13975.299   Four-way 6" x 2-1/2"</t>
  </si>
  <si>
    <t>13975.3   Six-way 8" x 2-1/2"</t>
  </si>
  <si>
    <t>13975.305 Fire dept roof conn-brass</t>
  </si>
  <si>
    <t>13975.306  W/valve cap &amp; chains</t>
  </si>
  <si>
    <t>13975.307   Two-way 4" x 2-1/2"</t>
  </si>
  <si>
    <t>13975.308   Three-way 6" x 2-1/2"</t>
  </si>
  <si>
    <t>13975.315 Fire dept hydrant house</t>
  </si>
  <si>
    <t>13975.317  W/fm req'd equip</t>
  </si>
  <si>
    <t>13975.318   Exterior standard</t>
  </si>
  <si>
    <t>13975.319   Exterior low profile</t>
  </si>
  <si>
    <t>14009.891 * No. of conveying systems *</t>
  </si>
  <si>
    <t>14009.9 * No. of conveying systems *</t>
  </si>
  <si>
    <t>14120.01 Dumbwaiters</t>
  </si>
  <si>
    <t>14209.9 * No. of elevators *</t>
  </si>
  <si>
    <t>14209.901 ** No. of elevators **</t>
  </si>
  <si>
    <t>14210.01 Traction psgr elev    stop</t>
  </si>
  <si>
    <t>14210.02 Traction freight elev    stop</t>
  </si>
  <si>
    <t>14240.01 Hydraulic psgr elev    stop</t>
  </si>
  <si>
    <t>14240.02 Hydraulic freight elev    stop</t>
  </si>
  <si>
    <t>14270.01 Add for glass enclosed cab</t>
  </si>
  <si>
    <t>14270.02 Add for hospital cab</t>
  </si>
  <si>
    <t>14270.03 Add for oversized cab</t>
  </si>
  <si>
    <t>14270.04 Add for premium cab</t>
  </si>
  <si>
    <t>14300.01 Escalators</t>
  </si>
  <si>
    <t>14300.012 Moving walks</t>
  </si>
  <si>
    <t>14550.011 Conveyor system</t>
  </si>
  <si>
    <t>14560.01 Linen chute</t>
  </si>
  <si>
    <t>14560.02 Trash chute</t>
  </si>
  <si>
    <t>14580.005 Pneumatic tube system</t>
  </si>
  <si>
    <t>14605.011 Crane rails 30lbs/yard</t>
  </si>
  <si>
    <t>14605.012 Crane rails 40lbs/yard</t>
  </si>
  <si>
    <t>14605.013 Crane rails 50lbs/yard</t>
  </si>
  <si>
    <t>14605.014 Crane rails 60lbs/yard</t>
  </si>
  <si>
    <t>14605.015 Crane rails 70lbs/yard</t>
  </si>
  <si>
    <t>14605.016 Crane rails 80lbs/yard</t>
  </si>
  <si>
    <t>14605.017 Crane rails 85lbs/yard</t>
  </si>
  <si>
    <t>14605.018 Crane rails 100lbs/yard</t>
  </si>
  <si>
    <t>14605.019 Crane rails 104lbs/yard</t>
  </si>
  <si>
    <t>14605.02 Crane rails 135lbs/yard</t>
  </si>
  <si>
    <t>14605.021 Crane rails 171lbs/yard</t>
  </si>
  <si>
    <t>14605.022 Crane rails 175lbs/yard</t>
  </si>
  <si>
    <t>14610.01 Hoist</t>
  </si>
  <si>
    <t>Log 9</t>
  </si>
  <si>
    <t>Log 10</t>
  </si>
  <si>
    <t>Log 11</t>
  </si>
  <si>
    <t>Log 12</t>
  </si>
  <si>
    <t>Update 1</t>
  </si>
  <si>
    <t>Update 2</t>
  </si>
  <si>
    <t>Update 3</t>
  </si>
  <si>
    <t>Date</t>
  </si>
  <si>
    <t>Page</t>
  </si>
  <si>
    <t>MATL UNIT</t>
  </si>
  <si>
    <t>DESCRIPTION</t>
  </si>
  <si>
    <t>Material Prices Current Q4 2024 from (Suppier Name)</t>
  </si>
  <si>
    <t>CSI Description</t>
  </si>
  <si>
    <t xml:space="preserve"> Description</t>
  </si>
  <si>
    <t>These are example descriptions, codes and units. Add, edit, delete or replace with your own.</t>
  </si>
  <si>
    <t>Scroll down to add, edit, delete or replace codes and units with your own.</t>
  </si>
  <si>
    <t>END save area or page to continue.</t>
  </si>
  <si>
    <t>Craft 3 Rate</t>
  </si>
  <si>
    <t>Craft 1 Rate</t>
  </si>
  <si>
    <t>Craft 2 Rate</t>
  </si>
  <si>
    <t>Craft 4 Rate</t>
  </si>
  <si>
    <t>AREA/FLOOR/ZONE</t>
  </si>
  <si>
    <t>Entire Project</t>
  </si>
  <si>
    <t>Send feedback to: datamateapp@gmail.com</t>
  </si>
  <si>
    <t>Log 1</t>
  </si>
  <si>
    <t>Log 2</t>
  </si>
  <si>
    <t>Log 3</t>
  </si>
  <si>
    <t>Log 4</t>
  </si>
  <si>
    <t>Log 5</t>
  </si>
  <si>
    <t>Log 6</t>
  </si>
  <si>
    <t>Log 7</t>
  </si>
  <si>
    <t>Log 8</t>
  </si>
  <si>
    <t>AREA/FLOOR/ZONE- Page- SUB COST- MAT COST- LAB COST- EQUIP COST- Total Cost- Date- Description- Log 10- Log 11- Log 12</t>
  </si>
  <si>
    <t xml:space="preserve">Notes: </t>
  </si>
  <si>
    <t>Equipment</t>
  </si>
  <si>
    <t>Labor</t>
  </si>
  <si>
    <t>Material /Task</t>
  </si>
  <si>
    <t>EQUIP RATE</t>
  </si>
  <si>
    <t>Craft</t>
  </si>
  <si>
    <t>Eqiup 4</t>
  </si>
  <si>
    <t>Eqiup 3</t>
  </si>
  <si>
    <t>Eqiup 2</t>
  </si>
  <si>
    <t>Eqiup 1</t>
  </si>
  <si>
    <t>Location       ( ie.  Col Line 1, A thru B, Room #, Door #)</t>
  </si>
  <si>
    <t>CSI Section</t>
  </si>
  <si>
    <t>Do not delete or add rows. Use the Clear Row button if you need rows for text or notes.</t>
  </si>
  <si>
    <t>PURCHASE ORDER NUMBER:</t>
  </si>
  <si>
    <t>JOB/PHASE NUMBER:</t>
  </si>
  <si>
    <t>To:</t>
  </si>
  <si>
    <t>Example Supplier/Vendor</t>
  </si>
  <si>
    <t>Ship To:</t>
  </si>
  <si>
    <t>Example Project</t>
  </si>
  <si>
    <t>Attn:</t>
  </si>
  <si>
    <t>Job-Site:</t>
  </si>
  <si>
    <t xml:space="preserve">Job-Site Phone:  </t>
  </si>
  <si>
    <t xml:space="preserve">Superintendent:  </t>
  </si>
  <si>
    <t>Phone:</t>
  </si>
  <si>
    <t>Send Invoices To:</t>
  </si>
  <si>
    <t>Fax:</t>
  </si>
  <si>
    <t>Your Company Name</t>
  </si>
  <si>
    <t>Email</t>
  </si>
  <si>
    <t>Ship VIA:</t>
  </si>
  <si>
    <t>Best Route</t>
  </si>
  <si>
    <t>Delivery Required By:</t>
  </si>
  <si>
    <t>F.O.B.:</t>
  </si>
  <si>
    <t>Jobsite</t>
  </si>
  <si>
    <t>SALES TAX EXEMPT:</t>
  </si>
  <si>
    <t>YES</t>
  </si>
  <si>
    <t>DESCRIPTION OF MATERIALS</t>
  </si>
  <si>
    <t>Unit Price</t>
  </si>
  <si>
    <t>Amount</t>
  </si>
  <si>
    <t>PROJECT:</t>
  </si>
  <si>
    <t xml:space="preserve">Fabricate and furnish the following materials per the plans and specifications prepared by </t>
  </si>
  <si>
    <t xml:space="preserve"> </t>
  </si>
  <si>
    <r>
      <t xml:space="preserve">dated </t>
    </r>
    <r>
      <rPr>
        <i/>
        <sz val="10"/>
        <color rgb="FFFF0000"/>
        <rFont val="Arial"/>
        <family val="2"/>
      </rPr>
      <t>--/--/----</t>
    </r>
    <r>
      <rPr>
        <i/>
        <sz val="10"/>
        <rFont val="Arial"/>
        <family val="2"/>
      </rPr>
      <t xml:space="preserve"> and all applicable addenda and correspondence</t>
    </r>
  </si>
  <si>
    <t xml:space="preserve">EXCLUSIONS:  </t>
  </si>
  <si>
    <t>GRAND TOTAL:</t>
  </si>
  <si>
    <t>Purchase Order Number must appear on all invoices, shipments, and correspondence</t>
  </si>
  <si>
    <t>See attached sheet for additional terms and conditions of this offer</t>
  </si>
  <si>
    <t>Attachments:</t>
  </si>
  <si>
    <t>Cost Code:</t>
  </si>
  <si>
    <t>Payment Terms:  Reference contract between the owner and</t>
  </si>
  <si>
    <t>Vendor is to supply a minimum of 24 hours advance notice of shipment of material</t>
  </si>
  <si>
    <t>Acknowledged By:</t>
  </si>
  <si>
    <t>Originated By:</t>
  </si>
  <si>
    <t>Vendor:</t>
  </si>
  <si>
    <t>AP Vendor Number:</t>
  </si>
  <si>
    <t>Date Signed:</t>
  </si>
  <si>
    <t>DATE SIGNED</t>
  </si>
  <si>
    <t>Date of Order:</t>
  </si>
  <si>
    <t>IMPORTANT:  THIS OFFER DOES NOT BECOME AN ORDER UNTIL ALL COPIES ARE SIGNED AND RETURNED TO THIS OFFICE.</t>
  </si>
  <si>
    <t>Purchase Order Log</t>
  </si>
  <si>
    <t>JOB</t>
  </si>
  <si>
    <t>DATE</t>
  </si>
  <si>
    <t>First Name</t>
  </si>
  <si>
    <t>Job Title</t>
  </si>
  <si>
    <t>Company</t>
  </si>
  <si>
    <t>File As</t>
  </si>
  <si>
    <t>Country/Region</t>
  </si>
  <si>
    <t>Department</t>
  </si>
  <si>
    <t>Business Phone</t>
  </si>
  <si>
    <t>Business Fax</t>
  </si>
  <si>
    <t>Business Address Street</t>
  </si>
  <si>
    <t>Business Address City</t>
  </si>
  <si>
    <t>Business Address State</t>
  </si>
  <si>
    <t>Business Address Postal Code</t>
  </si>
  <si>
    <t>Home Phone</t>
  </si>
  <si>
    <t>Mobile Phone</t>
  </si>
  <si>
    <t>Categories</t>
  </si>
  <si>
    <t>John Smith</t>
  </si>
  <si>
    <t>555-555-5555</t>
  </si>
  <si>
    <t>555-555-5556</t>
  </si>
  <si>
    <t>1234 Construction Lane</t>
  </si>
  <si>
    <t>Springfield</t>
  </si>
  <si>
    <t>IL</t>
  </si>
  <si>
    <t>jsmith@yourcompanyname.com</t>
  </si>
  <si>
    <t>101 Enterprise Dr</t>
  </si>
  <si>
    <t>Illinois</t>
  </si>
  <si>
    <t>Norman Jacobs</t>
  </si>
  <si>
    <t> </t>
  </si>
  <si>
    <t>Example A/E / Developer</t>
  </si>
  <si>
    <t>(555) 555-5105</t>
  </si>
  <si>
    <t>(555) 555-5167</t>
  </si>
  <si>
    <t>100 Design Street</t>
  </si>
  <si>
    <t>njacobs@exampleaed.com</t>
  </si>
  <si>
    <t>Elmer Fudd</t>
  </si>
  <si>
    <t>Example Owner</t>
  </si>
  <si>
    <t>(555) 555-3514</t>
  </si>
  <si>
    <t>(555) 555-8468</t>
  </si>
  <si>
    <t>403 W. Customer Lane.</t>
  </si>
  <si>
    <t>efudd@exampleowner.com</t>
  </si>
  <si>
    <t>Robert Redford</t>
  </si>
  <si>
    <t>Example Subcontractor</t>
  </si>
  <si>
    <t>(555) 555-4280</t>
  </si>
  <si>
    <t>(555)555-4283</t>
  </si>
  <si>
    <t>PO Box 976</t>
  </si>
  <si>
    <t>rredford@examplesubcontractor.com</t>
  </si>
  <si>
    <t>Michael Jordan</t>
  </si>
  <si>
    <t>(555) 555-1733</t>
  </si>
  <si>
    <t>(555) 555-9790</t>
  </si>
  <si>
    <t>440 North Industrial Drive</t>
  </si>
  <si>
    <t>mjordan@examplesupplier.com</t>
  </si>
  <si>
    <t xml:space="preserve"> All formulas and sheets are unprotected for customization. Be careful!</t>
  </si>
  <si>
    <t>Send feedback or files to: datamateapp@gmail.com</t>
  </si>
  <si>
    <t>Do not delete or add rows. Use the Clear Row button if you need rows for text descriptions or notes.</t>
  </si>
  <si>
    <t>Estimate</t>
  </si>
  <si>
    <t>Design and Development</t>
  </si>
  <si>
    <t>Project Management</t>
  </si>
  <si>
    <t>Empty (need forms…)</t>
  </si>
  <si>
    <t xml:space="preserve">0- Example Supplier/Vendor- 0- 0- 0- 0- 0- - - - - </t>
  </si>
  <si>
    <t>Building a FREE Collaborative Construction Template for Excel – Looking for Insights and Contributions</t>
  </si>
  <si>
    <t>DIV 04</t>
  </si>
  <si>
    <t>DIV 05</t>
  </si>
  <si>
    <t>DIV 06</t>
  </si>
  <si>
    <t>DIV 07</t>
  </si>
  <si>
    <t>DIV 02</t>
  </si>
  <si>
    <t>DIV 03</t>
  </si>
  <si>
    <t>DIV 08</t>
  </si>
  <si>
    <t>To navigate, press Enter DIV_?? Shees, then select the Enter  SEC_?????? of your choice in that DIV.</t>
  </si>
  <si>
    <t>To enter another SEC, you must Exit, the previous SEC. To enter another DIV, you must Exit the previous DIV.</t>
  </si>
  <si>
    <t>DIV 09</t>
  </si>
  <si>
    <t>DIV 10</t>
  </si>
  <si>
    <t>need sec</t>
  </si>
  <si>
    <t>General Requirements</t>
  </si>
  <si>
    <t>Existing Conditions</t>
  </si>
  <si>
    <t>Masonry</t>
  </si>
  <si>
    <t>Concrete</t>
  </si>
  <si>
    <t>Steel</t>
  </si>
  <si>
    <t>Wood, Plastics, &amp; Composites</t>
  </si>
  <si>
    <t>Thermal &amp; Moisture Protection</t>
  </si>
  <si>
    <t>Openings</t>
  </si>
  <si>
    <t>Specialties</t>
  </si>
  <si>
    <t>DIV 11</t>
  </si>
  <si>
    <t>DIV 12</t>
  </si>
  <si>
    <t>Furnishings</t>
  </si>
  <si>
    <t>DIV 13</t>
  </si>
  <si>
    <t>Special Construction</t>
  </si>
  <si>
    <t>DIV 14</t>
  </si>
  <si>
    <t>Conveying Equipment</t>
  </si>
  <si>
    <t>DIV 21</t>
  </si>
  <si>
    <t>Fire Supression</t>
  </si>
  <si>
    <t>DIV 22</t>
  </si>
  <si>
    <t>Plumbing</t>
  </si>
  <si>
    <t>DIV 23</t>
  </si>
  <si>
    <t>DIV 26</t>
  </si>
  <si>
    <t>Electrical</t>
  </si>
  <si>
    <t>DIV 27</t>
  </si>
  <si>
    <t>Communications</t>
  </si>
  <si>
    <t>DIV 28</t>
  </si>
  <si>
    <t>Electronic Safety &amp; Security</t>
  </si>
  <si>
    <t>DIV 31</t>
  </si>
  <si>
    <t>Earthwork &amp; Utilities</t>
  </si>
  <si>
    <t>DIV 32</t>
  </si>
  <si>
    <t>Exterior Improvements</t>
  </si>
  <si>
    <t>SDI</t>
  </si>
  <si>
    <t>Fee</t>
  </si>
  <si>
    <t>Building Permit</t>
  </si>
  <si>
    <t>Builder's Risk</t>
  </si>
  <si>
    <t>General Liability</t>
  </si>
  <si>
    <t>Performance and Payment Bond</t>
  </si>
  <si>
    <t>Contingency</t>
  </si>
  <si>
    <t>Business Privilege Tax</t>
  </si>
  <si>
    <t>Procore</t>
  </si>
  <si>
    <t>TOTAL</t>
  </si>
  <si>
    <t>These are example descriptions, codes and units. Add, edit, delete or replace with your own. Do Not delete CSI descriptions or numbers!</t>
  </si>
  <si>
    <t>Unit Price Template</t>
  </si>
  <si>
    <t>Labor/Equipment Template</t>
  </si>
  <si>
    <t>Design Your Own Template</t>
  </si>
  <si>
    <t xml:space="preserve">Entire building- 1- 274653- 46538- 6000- 29647- 82185- 45602- ADMINISTRATIVE REQUIREMENTS- - - </t>
  </si>
  <si>
    <t>MAT'L UNIT</t>
  </si>
  <si>
    <t>Traction Passenger Elevator (Stop)</t>
  </si>
  <si>
    <t>-</t>
  </si>
  <si>
    <t>0.15-0.25 EACH/hr</t>
  </si>
  <si>
    <t>Traction Freight Elevator (Stop)</t>
  </si>
  <si>
    <t>0.1-0.2 EACH/hr</t>
  </si>
  <si>
    <t>Hydraulic Passenger Elevator (Stop)</t>
  </si>
  <si>
    <t>0.2-0.3 EACH/hr</t>
  </si>
  <si>
    <t>Hydraulic Freight Elevator (Stop)</t>
  </si>
  <si>
    <t>Add for Glass Enclosed Cab</t>
  </si>
  <si>
    <t>0.3-0.4 EACH/hr</t>
  </si>
  <si>
    <t>Add for Hospital Cab</t>
  </si>
  <si>
    <t>Add for Oversized Cab</t>
  </si>
  <si>
    <t>0.25-0.35 EACH/hr</t>
  </si>
  <si>
    <t>Add for Premium Cab</t>
  </si>
  <si>
    <t>0.05-0.1 EACH/hr</t>
  </si>
  <si>
    <t>10-15 LNFT/hr</t>
  </si>
  <si>
    <t>Conveyor System</t>
  </si>
  <si>
    <t>12-18 LNFT/hr</t>
  </si>
  <si>
    <t>Linen Chute</t>
  </si>
  <si>
    <t>0.4-0.6 EACH/hr</t>
  </si>
  <si>
    <t>Trash Chute</t>
  </si>
  <si>
    <t>Pneumatic Tube System</t>
  </si>
  <si>
    <t>0.1-0.15 STAT/hr</t>
  </si>
  <si>
    <t>Crane Rails 30 lbs/yard</t>
  </si>
  <si>
    <t>5-7 CWT/hr</t>
  </si>
  <si>
    <t>Crane Rails 40 lbs/yard</t>
  </si>
  <si>
    <t>4-6 CWT/hr</t>
  </si>
  <si>
    <t>Crane Rails 50 lbs/yard</t>
  </si>
  <si>
    <t>Crane Rails 60 lbs/yard</t>
  </si>
  <si>
    <t>3-5 CWT/hr</t>
  </si>
  <si>
    <t>Crane Rails 70 lbs/yard</t>
  </si>
  <si>
    <t>Crane Rails 80 lbs/yard</t>
  </si>
  <si>
    <t>2-4 CWT/hr</t>
  </si>
  <si>
    <t>Crane Rails 85 lbs/yard</t>
  </si>
  <si>
    <t>Crane Rails 100 lbs/yard</t>
  </si>
  <si>
    <t>2-3 CWT/hr</t>
  </si>
  <si>
    <t>Crane Rails 104 lbs/yard</t>
  </si>
  <si>
    <t>Crane Rails 135 lbs/yard</t>
  </si>
  <si>
    <t>1.5-2.5 CWT/hr</t>
  </si>
  <si>
    <t>Crane Rails 171 lbs/yard</t>
  </si>
  <si>
    <t>1-2 CWT/hr</t>
  </si>
  <si>
    <t>Crane Rails 175 lbs/yard</t>
  </si>
  <si>
    <t>Aluminum Louvers</t>
  </si>
  <si>
    <t>Louvers (General)</t>
  </si>
  <si>
    <t>Wood Louvers</t>
  </si>
  <si>
    <t>20-30 SQFT/hr</t>
  </si>
  <si>
    <t>4-6 EACH/hr</t>
  </si>
  <si>
    <t>15-25 SQFT/hr</t>
  </si>
  <si>
    <t>Single Tier Locker</t>
  </si>
  <si>
    <t>3-5 OPNG/hr</t>
  </si>
  <si>
    <t>Double Tier Locker</t>
  </si>
  <si>
    <t>Box Lockers</t>
  </si>
  <si>
    <t>5-7 OPNG/hr</t>
  </si>
  <si>
    <t>Basket Lockers</t>
  </si>
  <si>
    <t>6-8 OPNG/hr</t>
  </si>
  <si>
    <t>Athletic Lockers</t>
  </si>
  <si>
    <t>3-4 OPNG/hr</t>
  </si>
  <si>
    <t>Locker Bench</t>
  </si>
  <si>
    <t>8-12 LNFT/hr</t>
  </si>
  <si>
    <t>Fire Extinguisher</t>
  </si>
  <si>
    <t>12-15 EACH/hr</t>
  </si>
  <si>
    <t>Fire Extinguisher Cabinet (Recessed)</t>
  </si>
  <si>
    <t>5-8 EACH/hr</t>
  </si>
  <si>
    <t>Fire Extinguisher Cabinet (Surface)</t>
  </si>
  <si>
    <t>8-10 EACH/hr</t>
  </si>
  <si>
    <t>6-8 EACH/hr</t>
  </si>
  <si>
    <t>Dry Chemical Fire Extinguisher</t>
  </si>
  <si>
    <t>10-12 EACH/hr</t>
  </si>
  <si>
    <t>Class ABC 5 lb. Fire Extinguisher</t>
  </si>
  <si>
    <t>Halon Alternative Extinguisher</t>
  </si>
  <si>
    <t>Wall-Mounted Fire Extinguisher</t>
  </si>
  <si>
    <t>Fire Extinguisher w/Cabinet</t>
  </si>
  <si>
    <t>1-2 EACH/hr</t>
  </si>
  <si>
    <t>0.5-1 EACH/hr</t>
  </si>
  <si>
    <t>Mail Chute</t>
  </si>
  <si>
    <t>1 EACH/2-3 hrs</t>
  </si>
  <si>
    <t>Mailbox (Standard)</t>
  </si>
  <si>
    <t>Gang Mailbox</t>
  </si>
  <si>
    <t>3-5 EACH/hr</t>
  </si>
  <si>
    <t>Floor or wall mount; alignment affects speed.</t>
  </si>
  <si>
    <t>Similar rate to single tier; more tiers may reduce speed.</t>
  </si>
  <si>
    <t>Smaller units, faster setup compared to larger lockers.</t>
  </si>
  <si>
    <t>Easier to install; often wall-mounted.</t>
  </si>
  <si>
    <t>Larger units; alignment critical for accessibility.</t>
  </si>
  <si>
    <t>Basic attachment to floor or wall.</t>
  </si>
  <si>
    <t>1 EACH per install</t>
  </si>
  <si>
    <t>Simple mounting; height compliance necessary.</t>
  </si>
  <si>
    <t>Requires wall cut-out; finish work included.</t>
  </si>
  <si>
    <t>Mounted on wall; faster than recessed units.</t>
  </si>
  <si>
    <t>Fire Dept Valve Cabinet</t>
  </si>
  <si>
    <t>Rough-in for piping, mount and frame.</t>
  </si>
  <si>
    <t>Simple mount; suitable for indoor wall installation.</t>
  </si>
  <si>
    <t>Standard mount; quick install on accessible wall.</t>
  </si>
  <si>
    <t>Slower due to placement restrictions and storage needs.</t>
  </si>
  <si>
    <t>Standard wall mount; ensure height compliance.</t>
  </si>
  <si>
    <t>Combines cabinet and extinguisher installation.</t>
  </si>
  <si>
    <t>Labor-intensive, often requires multiple workers.</t>
  </si>
  <si>
    <t>Large installations, often requiring structural support.</t>
  </si>
  <si>
    <t>Vertical installation; multi-story coordination required.</t>
  </si>
  <si>
    <t>Wall-mount; coordination with finish work recommended.</t>
  </si>
  <si>
    <t>Larger, heavier units; leveling is critical.</t>
  </si>
  <si>
    <t>2-4 EACH/hr</t>
  </si>
  <si>
    <t>Wall or freestanding; alignment critical for readability.</t>
  </si>
  <si>
    <t>Typically wall-mounted; minimal prep unless custom framing.</t>
  </si>
  <si>
    <t>Sign and Graphic Allowance</t>
  </si>
  <si>
    <t>Allowance</t>
  </si>
  <si>
    <t>N/A</t>
  </si>
  <si>
    <t>Budget line item; covers custom signs per project needs.</t>
  </si>
  <si>
    <t>Exterior Signage</t>
  </si>
  <si>
    <t>Larger signs; often require additional mounting supports.</t>
  </si>
  <si>
    <t>House and Apartment No. Set</t>
  </si>
  <si>
    <t>8-12 EACH/hr</t>
  </si>
  <si>
    <t>Small numbers; typically adhesive or light screw-mounting.</t>
  </si>
  <si>
    <t>Interior Signage</t>
  </si>
  <si>
    <t>6-10 EACH/hr</t>
  </si>
  <si>
    <t>Usually adhesive-mounted; minimal prep time required.</t>
  </si>
  <si>
    <t>Door Number (Classroom)</t>
  </si>
  <si>
    <t>10-15 EACH/hr</t>
  </si>
  <si>
    <t>Small numbers; adhesive or screw-mounted.</t>
  </si>
  <si>
    <t>Bathroom Door Signs (Male/Female)</t>
  </si>
  <si>
    <t>Typically adhesive-mounted; height compliance applies.</t>
  </si>
  <si>
    <t>Door Nameplates (Etched Plastic)</t>
  </si>
  <si>
    <t>Screw or adhesive-mounted; alignment essential for finish.</t>
  </si>
  <si>
    <t>36" Metal Fireplace</t>
  </si>
  <si>
    <t>Requires venting, framing, and finishing.</t>
  </si>
  <si>
    <t>42" Metal Fireplace</t>
  </si>
  <si>
    <t>Similar installation to 36"; larger space requirements.</t>
  </si>
  <si>
    <t>48" Metal Fireplace</t>
  </si>
  <si>
    <t>0.5 EACH/hr</t>
  </si>
  <si>
    <t>Larger unit, often requires two installers.</t>
  </si>
  <si>
    <t>36" Energy Efficient Metal Fireplace</t>
  </si>
  <si>
    <t>Additional venting efficiency elements; check code reqs.</t>
  </si>
  <si>
    <t>42" Energy Efficient Metal Fireplace</t>
  </si>
  <si>
    <t>Larger efficiency model; may have advanced controls.</t>
  </si>
  <si>
    <t>48" Energy Efficient Metal Fireplace</t>
  </si>
  <si>
    <t>Largest model; installation requires more time and prep.</t>
  </si>
  <si>
    <t>Fireplace (Generic)</t>
  </si>
  <si>
    <t>Standardized or custom unit; specifics vary per model.</t>
  </si>
  <si>
    <t>Roof-mounted; height and weight affect installation rate.</t>
  </si>
  <si>
    <t>Weather Vanes</t>
  </si>
  <si>
    <t>Lightweight and typically quick to install.</t>
  </si>
  <si>
    <t>0.25-0.5 EACH/hr</t>
  </si>
  <si>
    <t>Tall units often require crane or lifting equipment.</t>
  </si>
  <si>
    <t>Flagpoles (No. of Flagpoles as Quantity Marker)</t>
  </si>
  <si>
    <t>Placeholder for specifying quantity in bid forms.</t>
  </si>
  <si>
    <t>Metal Louver</t>
  </si>
  <si>
    <t>1 SQFT per install</t>
  </si>
  <si>
    <t>10-20 SQFT/hr</t>
  </si>
  <si>
    <t>Metal louvers vary in weight; installation rate varies by height/access.</t>
  </si>
  <si>
    <t>Wood Louver</t>
  </si>
  <si>
    <t>Typically lighter than metal, easier to install in large panels.</t>
  </si>
  <si>
    <t>Continuous Soffit Vent</t>
  </si>
  <si>
    <t>1 LNFT per install</t>
  </si>
  <si>
    <t>15-30 LNFT/hr</t>
  </si>
  <si>
    <t>Run along soffits; fast install but requires consistent alignment.</t>
  </si>
  <si>
    <t>Under Eave Vent 16x4</t>
  </si>
  <si>
    <t>1 EACH per vent</t>
  </si>
  <si>
    <t>Small under-eave vents; installation rate may vary with spacing requirements.</t>
  </si>
  <si>
    <t>Under Eave Vent 16x8</t>
  </si>
  <si>
    <t>Larger model; similar install time to 16x4 but may need more precision.</t>
  </si>
  <si>
    <t>1 EACH per grille</t>
  </si>
  <si>
    <t>Light-weight and typically fast to install.</t>
  </si>
  <si>
    <t>Service Wall Systems</t>
  </si>
  <si>
    <t>1 EACH per system</t>
  </si>
  <si>
    <t>Complex installation; may require framing or specialized attachment.</t>
  </si>
  <si>
    <t>Corner Guards</t>
  </si>
  <si>
    <t>1 EACH per guard</t>
  </si>
  <si>
    <t>15-20 EACH/hr</t>
  </si>
  <si>
    <t>Quick installation, typically adhesive or screws.</t>
  </si>
  <si>
    <t>Stainless Steel Corner Guards</t>
  </si>
  <si>
    <t>Heavier than standard corner guards; may need more precise alignment.</t>
  </si>
  <si>
    <t>Wall Bumpers</t>
  </si>
  <si>
    <t>1 LNFT per bumper</t>
  </si>
  <si>
    <t>20-30 LNFT/hr</t>
  </si>
  <si>
    <t>Installed along walls in high-traffic areas; simple attachment.</t>
  </si>
  <si>
    <t>Wall Rails</t>
  </si>
  <si>
    <t>1 LNFT per rail</t>
  </si>
  <si>
    <t>15-25 LNFT/hr</t>
  </si>
  <si>
    <t>Requires secure wall attachment; installation rate depends on height and length.</t>
  </si>
  <si>
    <t>Corner Guards (Additional/Alternate)</t>
  </si>
  <si>
    <t>Alternate or additional model; installation time similar to standard guards.</t>
  </si>
  <si>
    <t>1 SQFT per flooring</t>
  </si>
  <si>
    <t>Modular flooring; rapid installation, especially in open areas.</t>
  </si>
  <si>
    <t>Access Flooring (with Pedestals)</t>
  </si>
  <si>
    <t>1 EACH per panel</t>
  </si>
  <si>
    <t>Slower than standard flooring due to leveling and pedestal setup.</t>
  </si>
  <si>
    <t>Pest Control Device</t>
  </si>
  <si>
    <t>1 EACH per device</t>
  </si>
  <si>
    <t>Small devices; installed in building entry points or kitchens.</t>
  </si>
  <si>
    <t>No. of specialties</t>
  </si>
  <si>
    <t>1 EACH</t>
  </si>
  <si>
    <t>Varies</t>
  </si>
  <si>
    <t>Placeholder for various specialty items; install time varies widely.</t>
  </si>
  <si>
    <t>Miscellaneous Specialties Allowance</t>
  </si>
  <si>
    <t>General allowance for unforeseen specialty items.</t>
  </si>
  <si>
    <t>1 SQFT per board</t>
  </si>
  <si>
    <t>10-15 SQFT/hr</t>
  </si>
  <si>
    <t>Typically wall-mounted; requires precise alignment.</t>
  </si>
  <si>
    <t>Chalk and Tackboard</t>
  </si>
  <si>
    <t>8-12 SQFT/hr</t>
  </si>
  <si>
    <t>Combo boards may take slightly longer due to dual materials.</t>
  </si>
  <si>
    <t>1 EACH per board</t>
  </si>
  <si>
    <t>Time varies by board size and mounting complexity.</t>
  </si>
  <si>
    <t>Wooden Chalk Tray</t>
  </si>
  <si>
    <t>1 LNFT per tray</t>
  </si>
  <si>
    <t>Mounted below chalkboards; straightforward install.</t>
  </si>
  <si>
    <t>Similar to chalkboards; often easier to install.</t>
  </si>
  <si>
    <t>Installation rate depends on size and wall conditions.</t>
  </si>
  <si>
    <t>Soft backing requires careful alignment.</t>
  </si>
  <si>
    <t>Time varies by board size and framing.</t>
  </si>
  <si>
    <t>Bulletin Boards</t>
  </si>
  <si>
    <t>Simple wall mounting; quick installation.</t>
  </si>
  <si>
    <t>Visual Display Board</t>
  </si>
  <si>
    <t>Similar to bulletin boards; display feature may vary.</t>
  </si>
  <si>
    <t>Toilet Compartment</t>
  </si>
  <si>
    <t>1 EACH per unit</t>
  </si>
  <si>
    <t>Standard compartments, wall or floor-mounted.</t>
  </si>
  <si>
    <t>Toilet Compartment Front</t>
  </si>
  <si>
    <t>1 EACH per front</t>
  </si>
  <si>
    <t>Front and door components; requires alignment with stalls.</t>
  </si>
  <si>
    <t>Floor Mounted Toilet Compartment</t>
  </si>
  <si>
    <t>2-3 EACH/hr</t>
  </si>
  <si>
    <t>Mounted directly to floor, stable but requires precise measurement.</t>
  </si>
  <si>
    <t>Ceiling Hung Toilet Compartment</t>
  </si>
  <si>
    <t>More time-intensive due to ceiling attachment requirements.</t>
  </si>
  <si>
    <t>Urinal Screen</t>
  </si>
  <si>
    <t>1 EACH per screen</t>
  </si>
  <si>
    <t>Wall-mounted; quick installation if framing is prepared.</t>
  </si>
  <si>
    <t>Shower Compartment</t>
  </si>
  <si>
    <t>Requires waterproofing and alignment with drain.</t>
  </si>
  <si>
    <t>Shower Receptor</t>
  </si>
  <si>
    <t>Floor-level installation with waterproofing requirements.</t>
  </si>
  <si>
    <t>Dressing Compartment</t>
  </si>
  <si>
    <t>1 EACH per compartment</t>
  </si>
  <si>
    <t>Similar to toilet compartments, often lighter construction.</t>
  </si>
  <si>
    <t>Shower and Receptor</t>
  </si>
  <si>
    <t>Combo installation; requires alignment with plumbing.</t>
  </si>
  <si>
    <t>Shower without Receptor</t>
  </si>
  <si>
    <t>Installation of walls only; assumes pre-installed drain.</t>
  </si>
  <si>
    <t>Shower and Dressing Compartment</t>
  </si>
  <si>
    <t>Combined setup; includes both shower and dressing area.</t>
  </si>
  <si>
    <t>Sliding Tub Door</t>
  </si>
  <si>
    <t>1 EACH per door</t>
  </si>
  <si>
    <t>Requires alignment with tub walls, secure mounting.</t>
  </si>
  <si>
    <t>Shower Door</t>
  </si>
  <si>
    <t>Wall-mounted; typically glass, requiring careful handling.</t>
  </si>
  <si>
    <t>Cubicle Curtain Track</t>
  </si>
  <si>
    <t>1 LNFT per track</t>
  </si>
  <si>
    <t>Fast installation along ceiling or wall; requires alignment.</t>
  </si>
  <si>
    <t>IV Track</t>
  </si>
  <si>
    <t>Similar to curtain track but may need additional support.</t>
  </si>
  <si>
    <t>Hospital Partition Curtains</t>
  </si>
  <si>
    <t>1 LNFT per curtain</t>
  </si>
  <si>
    <t>High durability required, often in patient areas.</t>
  </si>
  <si>
    <t>Paint &amp; Coating Area</t>
  </si>
  <si>
    <t>1 SQFT per coat</t>
  </si>
  <si>
    <t>150-200 SQFT/hr</t>
  </si>
  <si>
    <t>General area for painting and coatings.</t>
  </si>
  <si>
    <t>Paint Exterior Door</t>
  </si>
  <si>
    <t>1 SIDE per door</t>
  </si>
  <si>
    <t>3-4 SIDES/hr</t>
  </si>
  <si>
    <t>Includes prep and primer for durable exterior finish.</t>
  </si>
  <si>
    <t>Exterior Painting</t>
  </si>
  <si>
    <t>1 SQS (100 SQFT)</t>
  </si>
  <si>
    <t>1-2 SQS/hr</t>
  </si>
  <si>
    <t>Includes wall surfaces; assumes primer coat included.</t>
  </si>
  <si>
    <t>Paint Paneling</t>
  </si>
  <si>
    <t>1 SQS per panel</t>
  </si>
  <si>
    <t>Interior panel painting with clean finish.</t>
  </si>
  <si>
    <t>Paint Trim</t>
  </si>
  <si>
    <t>1 LNFT per trim</t>
  </si>
  <si>
    <t>30-40 LNFT/hr</t>
  </si>
  <si>
    <t>High detail work; includes masking around edges.</t>
  </si>
  <si>
    <t>Paint Shelving</t>
  </si>
  <si>
    <t>1 SQFT per shelf</t>
  </si>
  <si>
    <t>100-150 SQFT/hr</t>
  </si>
  <si>
    <t>Often requires primer and multiple coats.</t>
  </si>
  <si>
    <t>Paint Interior Door</t>
  </si>
  <si>
    <t>Similar to exterior doors, but with simpler interior prep.</t>
  </si>
  <si>
    <t>Paint Door Frame</t>
  </si>
  <si>
    <t>1 EACH per frame</t>
  </si>
  <si>
    <t>Includes trim and frame around the door.</t>
  </si>
  <si>
    <t>Paint Plaster/Drywall 2 Coats</t>
  </si>
  <si>
    <t>1 SQS per wall section</t>
  </si>
  <si>
    <t>Standard 2-coat wall finish.</t>
  </si>
  <si>
    <t>Paint Plaster/Drywall 3 Coats</t>
  </si>
  <si>
    <t>0.8-1.5 SQS/hr</t>
  </si>
  <si>
    <t>Extra coat for durability or color intensity.</t>
  </si>
  <si>
    <t>Paint Plaster/Drywall Ceiling 2 Coats</t>
  </si>
  <si>
    <t>1 SQS per ceiling area</t>
  </si>
  <si>
    <t>1-1.5 SQS/hr</t>
  </si>
  <si>
    <t>Extra effort for overhead work.</t>
  </si>
  <si>
    <t>Enamel on Plaster/Drywall 3 Coats</t>
  </si>
  <si>
    <t>Enamel finish provides durability.</t>
  </si>
  <si>
    <t>1 SQS per surface</t>
  </si>
  <si>
    <t>Exterior wall surfaces.</t>
  </si>
  <si>
    <t>Paint Wall</t>
  </si>
  <si>
    <t>General interior wall painting.</t>
  </si>
  <si>
    <t>Paint Gypsum Board Wall</t>
  </si>
  <si>
    <t>1 SQFT per wall section</t>
  </si>
  <si>
    <t>100-200 SQFT/hr</t>
  </si>
  <si>
    <t>Gypsum board, 2-coat finish.</t>
  </si>
  <si>
    <t>Enamel Paint Gypsum Board Wall</t>
  </si>
  <si>
    <t>80-150 SQFT/hr</t>
  </si>
  <si>
    <t>Enamel for durability on interior walls.</t>
  </si>
  <si>
    <t>Paint Gypsum Board Ceiling</t>
  </si>
  <si>
    <t>1 SQFT per ceiling area</t>
  </si>
  <si>
    <t>80-120 SQFT/hr</t>
  </si>
  <si>
    <t>Overhead work slows productivity.</t>
  </si>
  <si>
    <t>Paint Exterior Siding</t>
  </si>
  <si>
    <t>1 SQFT per siding</t>
  </si>
  <si>
    <t>Exterior finish may require extra prep and primer.</t>
  </si>
  <si>
    <t>Paint Exterior Soffit</t>
  </si>
  <si>
    <t>1 SQFT per soffit</t>
  </si>
  <si>
    <t>60-120 SQFT/hr</t>
  </si>
  <si>
    <t>Overhead painting slows progress.</t>
  </si>
  <si>
    <t>Paint Interior Trim</t>
  </si>
  <si>
    <t>25-40 LNFT/hr</t>
  </si>
  <si>
    <t>Detailed masking and precision work.</t>
  </si>
  <si>
    <t>Paint Metal 3 Coats</t>
  </si>
  <si>
    <t>1 SQS per section</t>
  </si>
  <si>
    <t>1 SQS/hr</t>
  </si>
  <si>
    <t>Protective coats for metal surfaces.</t>
  </si>
  <si>
    <t>Paint Metal Siding</t>
  </si>
  <si>
    <t>1 SQS per siding</t>
  </si>
  <si>
    <t>Includes preparation for outdoor durability.</t>
  </si>
  <si>
    <t>Paint Masonry/Concrete 2 Coats</t>
  </si>
  <si>
    <t>Preparation for porous surfaces may be needed.</t>
  </si>
  <si>
    <t>Paint Concrete Ceiling 3 Coats</t>
  </si>
  <si>
    <t>1 SQS per ceiling</t>
  </si>
  <si>
    <t>0.5-1 SQS/hr</t>
  </si>
  <si>
    <t>Overhead work with extra coats for durability.</t>
  </si>
  <si>
    <t>2½" Unfaced Fiberglass</t>
  </si>
  <si>
    <t>1 SQFT per insulation</t>
  </si>
  <si>
    <t>300-500 SQFT/hr</t>
  </si>
  <si>
    <t>General use in walls and ceilings; unfaced.</t>
  </si>
  <si>
    <t>3½" Unfaced Fiberglass</t>
  </si>
  <si>
    <t>250-400 SQFT/hr</t>
  </si>
  <si>
    <t>Thicker layer, slows installation slightly.</t>
  </si>
  <si>
    <t>6¼" Unfaced Fiberglass</t>
  </si>
  <si>
    <t>200-350 SQFT/hr</t>
  </si>
  <si>
    <t>Requires more care due to thickness.</t>
  </si>
  <si>
    <t>3½" Kraft Faced Fiberglass</t>
  </si>
  <si>
    <t>Kraft facing adds vapor barrier; common in exterior walls.</t>
  </si>
  <si>
    <t>3-5/8" Kraft Faced Fiberglass</t>
  </si>
  <si>
    <t>Slightly thicker for better R-value.</t>
  </si>
  <si>
    <t>6¼" Kraft Faced Fiberglass</t>
  </si>
  <si>
    <t>Kraft facing; generally requires stapling or adhesive.</t>
  </si>
  <si>
    <t>3½" Foil Faced Fiberglass</t>
  </si>
  <si>
    <t>Foil facing adds reflective insulation value.</t>
  </si>
  <si>
    <t>6¼" Foil Faced Fiberglass</t>
  </si>
  <si>
    <t>Commonly used in ceilings; reflective surface.</t>
  </si>
  <si>
    <t>9½" Foil Faced Fiberglass</t>
  </si>
  <si>
    <t>150-300 SQFT/hr</t>
  </si>
  <si>
    <t>Thick layer for high R-value applications.</t>
  </si>
  <si>
    <t>3½" FS-25 Fiberglass</t>
  </si>
  <si>
    <t>Fire-resistant rated for specific code requirements.</t>
  </si>
  <si>
    <t>6¼" FS-25 Fiberglass</t>
  </si>
  <si>
    <t>Higher fire resistance with thicker insulation.</t>
  </si>
  <si>
    <t>1" Unfaced Therma Fiber</t>
  </si>
  <si>
    <t>Mineral wool product; commonly used for thermal barriers.</t>
  </si>
  <si>
    <t>1½" Unfaced Therma Fiber</t>
  </si>
  <si>
    <t>Mineral wool for better thermal and acoustical performance.</t>
  </si>
  <si>
    <t>2" Unfaced Therma Fiber</t>
  </si>
  <si>
    <t>Thicker material requires precise fitting.</t>
  </si>
  <si>
    <t>2½" Unfaced Therma Fiber</t>
  </si>
  <si>
    <t>200-300 SQFT/hr</t>
  </si>
  <si>
    <t>Used for fire resistance and sound attenuation.</t>
  </si>
  <si>
    <t>3" Unfaced Therma Fiber</t>
  </si>
  <si>
    <t>For higher thermal and acoustic control applications.</t>
  </si>
  <si>
    <t>1" Unfaced Therma-Fiber SAB</t>
  </si>
  <si>
    <t>Sound attenuation batt (SAB); ideal for partitions.</t>
  </si>
  <si>
    <t>1½" Unfaced Therma-Fiber SAB</t>
  </si>
  <si>
    <t>Thicker version for improved sound control.</t>
  </si>
  <si>
    <t>2" Unfaced Therma-Fiber SAB</t>
  </si>
  <si>
    <t>Enhanced sound absorption for interior walls.</t>
  </si>
  <si>
    <t>2½" Unfaced Therma-Fiber SAB</t>
  </si>
  <si>
    <t>Commonly used in high-noise areas.</t>
  </si>
  <si>
    <t>3" Unfaced Therma-Fiber SAB</t>
  </si>
  <si>
    <t>Higher noise reduction; ideal for machinery rooms, etc.</t>
  </si>
  <si>
    <t>Acoustical Insulation</t>
  </si>
  <si>
    <t>1 SQFT per application</t>
  </si>
  <si>
    <t>Varies by type</t>
  </si>
  <si>
    <t>General line for acoustical treatments.</t>
  </si>
  <si>
    <t>½" Sound Attenuating Board</t>
  </si>
  <si>
    <t>Installed in walls for sound dampening.</t>
  </si>
  <si>
    <t>5/8" Sound Attenuating Board</t>
  </si>
  <si>
    <t>Heavier board for enhanced noise reduction.</t>
  </si>
  <si>
    <t>Sound Board Labor</t>
  </si>
  <si>
    <t>Labor only</t>
  </si>
  <si>
    <t>200-400 SQFT/hr</t>
  </si>
  <si>
    <t>Labor line item for sound board installation.</t>
  </si>
  <si>
    <t>Acoustical Panels</t>
  </si>
  <si>
    <t>1 SQFT per panel</t>
  </si>
  <si>
    <t>100-300 SQFT/hr</t>
  </si>
  <si>
    <t>Wall and ceiling panels for sound absorption.</t>
  </si>
  <si>
    <t>Wall Finish Area</t>
  </si>
  <si>
    <t>1 SQFT per wall finish</t>
  </si>
  <si>
    <t>Variable</t>
  </si>
  <si>
    <t>General line item for overall wall finish areas.</t>
  </si>
  <si>
    <t>Vinyl Wall Covering Allowance</t>
  </si>
  <si>
    <t>1 SQFT per covering</t>
  </si>
  <si>
    <t>Allowance item, vinyl coverings with standard application.</t>
  </si>
  <si>
    <t>Fabric Wall Covering</t>
  </si>
  <si>
    <t>Typically slower installation due to material handling.</t>
  </si>
  <si>
    <t>Premium Grade Vinyl Wall Covering</t>
  </si>
  <si>
    <t>Higher quality material, requires more precise installation.</t>
  </si>
  <si>
    <t>Wall Cover</t>
  </si>
  <si>
    <t>Standard wall covering, labor rate can vary by material type.</t>
  </si>
  <si>
    <t>Fabric Cover</t>
  </si>
  <si>
    <t>Fabric covers require skill and care for proper alignment.</t>
  </si>
  <si>
    <t>Vinyl Wall Covering</t>
  </si>
  <si>
    <t>Vinyl is quicker to install, but requires prep and smoothing.</t>
  </si>
  <si>
    <t>Wallpaper</t>
  </si>
  <si>
    <t>Traditional wallpaper; rate varies by pattern and adhesive.</t>
  </si>
  <si>
    <t>Slate Facing Panel</t>
  </si>
  <si>
    <t>50-100 SQFT/hr</t>
  </si>
  <si>
    <t>Heavy material; requires adhesive, leveling, and cutting.</t>
  </si>
  <si>
    <t>Marble Wall Panel</t>
  </si>
  <si>
    <t>40-80 SQFT/hr</t>
  </si>
  <si>
    <t>Marble panels require more precise handling and mounting.</t>
  </si>
  <si>
    <t>Interior Marble Sill</t>
  </si>
  <si>
    <t>1 LNFT per sill</t>
  </si>
  <si>
    <t>50-100 LNFT/hr</t>
  </si>
  <si>
    <t>Typically faster linear installation, requires precise cuts.</t>
  </si>
  <si>
    <t>Exterior Granite Panel</t>
  </si>
  <si>
    <t>30-60 SQFT/hr</t>
  </si>
  <si>
    <t>Exterior-grade granite, typically slower due to weight/finish.</t>
  </si>
  <si>
    <t>Interior Granite Panel</t>
  </si>
  <si>
    <t>Granite panels, requires careful alignment and adhesive.</t>
  </si>
  <si>
    <t>Interior Granite Sill</t>
  </si>
  <si>
    <t>40-80 LNFT/hr</t>
  </si>
  <si>
    <t>Granite sills require accurate placement and cutting.</t>
  </si>
  <si>
    <t>Finish Floor Area</t>
  </si>
  <si>
    <t>1 SQFT per area</t>
  </si>
  <si>
    <t>General line item for total floor finish area.</t>
  </si>
  <si>
    <t>Floor Finish Area</t>
  </si>
  <si>
    <t>Secondary line item for overall floor area finishes.</t>
  </si>
  <si>
    <t>Floor Surface Installation Preparation</t>
  </si>
  <si>
    <t>Includes cleaning, leveling, and prepping for new flooring.</t>
  </si>
  <si>
    <t>Marble Tread</t>
  </si>
  <si>
    <t>1 LNFT per tread</t>
  </si>
  <si>
    <t>20-40 LNFT/hr</t>
  </si>
  <si>
    <t>Marble requires precision; slower productivity rate.</t>
  </si>
  <si>
    <t>Marble Riser</t>
  </si>
  <si>
    <t>1 LNFT per riser</t>
  </si>
  <si>
    <t>Often installed with treads, adds to installation time.</t>
  </si>
  <si>
    <t>Marble @ Landing</t>
  </si>
  <si>
    <t>1 SQFT per landing</t>
  </si>
  <si>
    <t>Flat surface, faster than stair tread/riser installs.</t>
  </si>
  <si>
    <t>Marble Threshold</t>
  </si>
  <si>
    <t>1 EACH per threshold</t>
  </si>
  <si>
    <t>5-10 EACH/hr</t>
  </si>
  <si>
    <t>Smaller pieces but precise cuts required for doorways.</t>
  </si>
  <si>
    <t>Marble Floor</t>
  </si>
  <si>
    <t>1 SQFT per floor</t>
  </si>
  <si>
    <t>30-50 SQFT/hr</t>
  </si>
  <si>
    <t>Flat surface installation, but material is heavy and fragile.</t>
  </si>
  <si>
    <t>Marble Base</t>
  </si>
  <si>
    <t>1 LNFT per base</t>
  </si>
  <si>
    <t>40-60 LNFT/hr</t>
  </si>
  <si>
    <t>Typically runs along walls, requires adhesive and precision.</t>
  </si>
  <si>
    <t>Granite Tread</t>
  </si>
  <si>
    <t>Similar to marble, slower due to material weight.</t>
  </si>
  <si>
    <t>Granite Floor</t>
  </si>
  <si>
    <t>Heavy material, durable finish, requires leveling.</t>
  </si>
  <si>
    <t>Vermont Slate Floor</t>
  </si>
  <si>
    <t>40-60 SQFT/hr</t>
  </si>
  <si>
    <t>Slate offers quicker installs compared to granite/marble.</t>
  </si>
  <si>
    <t>Brick Floor</t>
  </si>
  <si>
    <t>Mortared install; slower productivity due to precision work.</t>
  </si>
  <si>
    <t>Wood Parquet Floor</t>
  </si>
  <si>
    <t>1 SQFT per parquet</t>
  </si>
  <si>
    <t>Requires layout planning, adhesive, and cutting for patterns.</t>
  </si>
  <si>
    <t>Vinyl Tile Floor</t>
  </si>
  <si>
    <t>1 SQFT per tile</t>
  </si>
  <si>
    <t>Standard vinyl tile, faster install compared to stone/wood.</t>
  </si>
  <si>
    <t>Vinyl Composition Tile (VCT)</t>
  </si>
  <si>
    <t>120-160 SQFT/hr</t>
  </si>
  <si>
    <t>Economical and quick to install with minimal prep.</t>
  </si>
  <si>
    <t>Rubber Tile Floor</t>
  </si>
  <si>
    <t>Requires adhesive, slower due to thicker material.</t>
  </si>
  <si>
    <t>4" Rubber Base</t>
  </si>
  <si>
    <t>60-100 LNFT/hr</t>
  </si>
  <si>
    <t>Standard installation along wall perimeters.</t>
  </si>
  <si>
    <t>Wood Strip Floor</t>
  </si>
  <si>
    <t>1 SQFT per strip</t>
  </si>
  <si>
    <t>Hardwood strip flooring; install rate depends on plank size.</t>
  </si>
  <si>
    <t>Carpet and Pad Allowance</t>
  </si>
  <si>
    <t>1 SQYD per carpet</t>
  </si>
  <si>
    <t>50-80 SQYD/hr</t>
  </si>
  <si>
    <t>General carpet install with pad included in estimate.</t>
  </si>
  <si>
    <t>Carpet Tile</t>
  </si>
  <si>
    <t>1 SQYD per tile</t>
  </si>
  <si>
    <t>70-100 SQYD/hr</t>
  </si>
  <si>
    <t>Quicker install than rolled carpet, requires minimal adhesive.</t>
  </si>
  <si>
    <t>Finish Ceiling Area</t>
  </si>
  <si>
    <t>General ceiling area for total material takeoff.</t>
  </si>
  <si>
    <t>Ceiling Finish Area</t>
  </si>
  <si>
    <t>Secondary line item for overall ceiling finishes.</t>
  </si>
  <si>
    <t>Adhesive for Acoustic</t>
  </si>
  <si>
    <t>For installing acoustic tiles; varies based on tile size/material.</t>
  </si>
  <si>
    <t>12x24x¾ Firecode Acoustic Tile</t>
  </si>
  <si>
    <t>Fire-rated tiles; slower install due to weight and alignment.</t>
  </si>
  <si>
    <t>24x48x¾ Mineral Fiber Acoustic Tile</t>
  </si>
  <si>
    <t>70-110 SQFT/hr</t>
  </si>
  <si>
    <t>Larger, heavier mineral fiber tiles, need additional support.</t>
  </si>
  <si>
    <t>24x24x¾ Wood Fiber Acoustic Tile</t>
  </si>
  <si>
    <t>Wood fiber tiles for enhanced acoustics; installed with grid.</t>
  </si>
  <si>
    <t>12x12x½ Wood Fiber Acoustic Tile</t>
  </si>
  <si>
    <t>90-130 SQFT/hr</t>
  </si>
  <si>
    <t>Smaller tiles; more labor due to quantity but easier handling.</t>
  </si>
  <si>
    <t>24x48x½ Wood Fiber Acoustic Tile</t>
  </si>
  <si>
    <t>Large tiles; increased productivity for open spaces.</t>
  </si>
  <si>
    <t>24x24x5/8 Firecode Acoustic Tile</t>
  </si>
  <si>
    <t>85-125 SQFT/hr</t>
  </si>
  <si>
    <t>Standard firecode; suitable for offices, schools, or public spaces.</t>
  </si>
  <si>
    <t>Aluminum Pan Acoustic Tile</t>
  </si>
  <si>
    <t>60-90 SQFT/hr</t>
  </si>
  <si>
    <t>High-end option; slower due to weight and specialty handling.</t>
  </si>
  <si>
    <t>1¼" Sound Insulation</t>
  </si>
  <si>
    <t>Typically installed above tiles for additional sound dampening.</t>
  </si>
  <si>
    <t>24x24x3/16 Acoustic Board Tile</t>
  </si>
  <si>
    <t>100-140 SQFT/hr</t>
  </si>
  <si>
    <t>Lightweight tiles, easier to install with adhesive or grid.</t>
  </si>
  <si>
    <t>Exposed Grid Acoustic Ceiling System</t>
  </si>
  <si>
    <t>1 SQFT per grid</t>
  </si>
  <si>
    <t>60-100 SQFT/hr</t>
  </si>
  <si>
    <t>Standard exposed grid system; productivity varies by room size.</t>
  </si>
  <si>
    <t>Concealed Grid Acoustic Ceiling</t>
  </si>
  <si>
    <t>50-90 SQFT/hr</t>
  </si>
  <si>
    <t>Concealed grid; slower install due to hidden support structure.</t>
  </si>
  <si>
    <t>Linear Metal Ceiling System</t>
  </si>
  <si>
    <t>1 SQFT per system</t>
  </si>
  <si>
    <t>High-end, labor-intensive metal ceiling; slower due to precision.</t>
  </si>
  <si>
    <t>Metal Pan Ceiling</t>
  </si>
  <si>
    <t>1 SQFT per pan</t>
  </si>
  <si>
    <t>Durable, typically for commercial and industrial use.</t>
  </si>
  <si>
    <t>Armstrong 769A Tile</t>
  </si>
  <si>
    <t>Standard acoustic tile; easy to install with standard grid system.</t>
  </si>
  <si>
    <t>Armstrong Second Look II Fireguard</t>
  </si>
  <si>
    <t>Fire-rated version; slower productivity due to additional handling.</t>
  </si>
  <si>
    <t>Grid Labor</t>
  </si>
  <si>
    <t>Labor for installing grid only; applicable to various tile types.</t>
  </si>
  <si>
    <t>Tile Labor</t>
  </si>
  <si>
    <t>Labor for installing tiles onto pre-installed grid.</t>
  </si>
  <si>
    <t>Insulation Labor</t>
  </si>
  <si>
    <t>1 SQFT per insulation layer</t>
  </si>
  <si>
    <t>For additional soundproofing or thermal layers above ceiling.</t>
  </si>
  <si>
    <t>Light Fixture Protection Labor</t>
  </si>
  <si>
    <t>1 EACH per fixture</t>
  </si>
  <si>
    <t>Covers for lights; can impact ceiling tile layout and labor.</t>
  </si>
  <si>
    <t>Acoustical Ceiling Labor</t>
  </si>
  <si>
    <t>1 M-D per crew day</t>
  </si>
  <si>
    <t>Labor subtotal for acoustic ceiling installation.</t>
  </si>
  <si>
    <t>Total Labor</t>
  </si>
  <si>
    <t>1 M-H per labor hour</t>
  </si>
  <si>
    <t>Comprehensive labor line item for tracking total hours.</t>
  </si>
  <si>
    <t>Integrated Ceiling System</t>
  </si>
  <si>
    <t>Complex systems requiring coordination with lighting and HVAC.</t>
  </si>
  <si>
    <t>Applied Textured Ceiling</t>
  </si>
  <si>
    <t>50-80 SQS/hr</t>
  </si>
  <si>
    <t>Sprayed or rolled texture; productivity based on area prep.</t>
  </si>
  <si>
    <t>Textured Acoustical Sprayed Ceiling</t>
  </si>
  <si>
    <t>1 SQFT per sprayed area</t>
  </si>
  <si>
    <t>Acoustic treatment for sound dampening, requires drying time.</t>
  </si>
  <si>
    <t>Anything Log</t>
  </si>
  <si>
    <t>Check out our Template Sharing Page</t>
  </si>
  <si>
    <t>Reception Desk</t>
  </si>
  <si>
    <t>1 LNFT per desk</t>
  </si>
  <si>
    <t>4-6 LNFT/hr</t>
  </si>
  <si>
    <t>Custom designs may reduce productivity; consider complexity.</t>
  </si>
  <si>
    <t>Work Station</t>
  </si>
  <si>
    <t>1 EACH per station</t>
  </si>
  <si>
    <t>2-3 EACH/day</t>
  </si>
  <si>
    <t>Modular stations install faster than custom millwork.</t>
  </si>
  <si>
    <t>1 LNFT per unit</t>
  </si>
  <si>
    <t>Productivity varies by design complexity and finish quality.</t>
  </si>
  <si>
    <t>Registration Desk</t>
  </si>
  <si>
    <t>3-5 LNFT/hr</t>
  </si>
  <si>
    <t>Often larger or more detailed; may involve integrated tech.</t>
  </si>
  <si>
    <t>Bell Captain Stand</t>
  </si>
  <si>
    <t>1 EACH per stand</t>
  </si>
  <si>
    <t>Typically compact; productivity varies based on finish.</t>
  </si>
  <si>
    <t>Administration Millwork</t>
  </si>
  <si>
    <t>Includes counters and cabinetry; complexity affects rate.</t>
  </si>
  <si>
    <t>Cashier Station</t>
  </si>
  <si>
    <t>Often includes security features, which may affect timing.</t>
  </si>
  <si>
    <t>Waitress Station</t>
  </si>
  <si>
    <t>2-4 EACH/day</t>
  </si>
  <si>
    <t>Includes shelving and service features; dependent on layout.</t>
  </si>
  <si>
    <t>Front Bar</t>
  </si>
  <si>
    <t>1 LNFT per bar</t>
  </si>
  <si>
    <t>Includes detailed finishes; additional time for foot rails, etc.</t>
  </si>
  <si>
    <t>Back Bar</t>
  </si>
  <si>
    <t>Cabinetry and shelving affect productivity; may include sinks.</t>
  </si>
  <si>
    <t>Service Bar</t>
  </si>
  <si>
    <t>Smaller than front/back bars; often in staff areas.</t>
  </si>
  <si>
    <t>Medication Cabinet</t>
  </si>
  <si>
    <t>1 LNFT per cabinet</t>
  </si>
  <si>
    <t>5-7 LNFT/hr</t>
  </si>
  <si>
    <t>Secure storage with adjustable shelving; used in healthcare.</t>
  </si>
  <si>
    <t>Nurse Station</t>
  </si>
  <si>
    <t>1 LNFT per station</t>
  </si>
  <si>
    <t>Usually custom millwork; accommodates workstations and storage.</t>
  </si>
  <si>
    <t>Pharmacy Casework</t>
  </si>
  <si>
    <t>Requires durable surfaces and secure compartments.</t>
  </si>
  <si>
    <t>Laboratory Casework</t>
  </si>
  <si>
    <t>High-spec requirements; chemical-resistant surfaces, sinks.</t>
  </si>
  <si>
    <t>General cabinetry; standard installs with no specialty reqs.</t>
  </si>
  <si>
    <t>Miscellaneous Casework</t>
  </si>
  <si>
    <t>Covers non-standard cabinetry or custom builds.</t>
  </si>
  <si>
    <t>Ash Receptacle</t>
  </si>
  <si>
    <t>1 EACH per item</t>
  </si>
  <si>
    <t>Often installed near entrances; consider outdoor durability if exterior.</t>
  </si>
  <si>
    <t>Trash Receptacle</t>
  </si>
  <si>
    <t>Placement in high-traffic areas; select materials suitable for environment.</t>
  </si>
  <si>
    <t>Ash and Trash Receptacle</t>
  </si>
  <si>
    <t>Combination units may have slower install rate; confirm finish requirements.</t>
  </si>
  <si>
    <t>Entrance Mats</t>
  </si>
  <si>
    <t>1 SQFT per mat</t>
  </si>
  <si>
    <t>Custom-fit mats may require trimming; consider maintenance ease.</t>
  </si>
  <si>
    <t>Drapery Pocket</t>
  </si>
  <si>
    <t>1 LNFT per pocket</t>
  </si>
  <si>
    <t>8-10 LNFT/hr</t>
  </si>
  <si>
    <t>Usually recessed or framed; coordinate with ceiling installations.</t>
  </si>
  <si>
    <t>Drapery Track</t>
  </si>
  <si>
    <t>Track installation requires precise alignment; secure anchoring essential.</t>
  </si>
  <si>
    <t>1 SQFT per blind</t>
  </si>
  <si>
    <t>25-40 SQFT/hr</t>
  </si>
  <si>
    <t>Installation rate depends on window size, type, and mounting system.</t>
  </si>
  <si>
    <t>Study Carrel</t>
  </si>
  <si>
    <t>Modular setup, easy to install; verify wiring if equipped with outlets.</t>
  </si>
  <si>
    <t>Teacher's Chair</t>
  </si>
  <si>
    <t>Standard setup, ensure proper ergonomics and adjustability.</t>
  </si>
  <si>
    <t>Classroom Chair</t>
  </si>
  <si>
    <t>Assembly may vary by manufacturer; ensure compliance with school safety standards.</t>
  </si>
  <si>
    <t>Teacher's Desk</t>
  </si>
  <si>
    <t>5-6 EACH/hr</t>
  </si>
  <si>
    <t>Assembly and anchoring required; factor for durability in daily use.</t>
  </si>
  <si>
    <t>Student Desk and Seat Set</t>
  </si>
  <si>
    <t>1 EACH per set</t>
  </si>
  <si>
    <t>Typically requires secure assembly; confirm size and layout in classrooms.</t>
  </si>
  <si>
    <t>Classroom Table</t>
  </si>
  <si>
    <t>1 EACH per table</t>
  </si>
  <si>
    <t>Verify sizes; allow flexibility in setup and movement for group activities.</t>
  </si>
  <si>
    <t>Folding Metal Lunchroom Chairs</t>
  </si>
  <si>
    <t>1 EACH per chair</t>
  </si>
  <si>
    <t>20-30 EACH/hr</t>
  </si>
  <si>
    <t>Rapid setup; lightweight but durable, suited for high traffic areas.</t>
  </si>
  <si>
    <t>Lunchroom Tables</t>
  </si>
  <si>
    <t>Heavier tables may require two-person handling; ensure stability.</t>
  </si>
  <si>
    <t>Chair (Typical)</t>
  </si>
  <si>
    <t>Common seating; rate dependent on assembly complexity and weight.</t>
  </si>
  <si>
    <t>Table (Typical)</t>
  </si>
  <si>
    <t>5-7 EACH/hr</t>
  </si>
  <si>
    <t>General tables; setup may involve leveling and minor adjustments.</t>
  </si>
  <si>
    <t>Metal Stool / Padded Seat</t>
  </si>
  <si>
    <t>1 EACH per stool</t>
  </si>
  <si>
    <t>Light assembly; often used in science labs or art rooms.</t>
  </si>
  <si>
    <t>Nurse's Area Cots</t>
  </si>
  <si>
    <t>1 EACH per cot</t>
  </si>
  <si>
    <t>Assembly typically straightforward; confirm compliance with health standards.</t>
  </si>
  <si>
    <t>Librarian's Desk and Counter</t>
  </si>
  <si>
    <t>3-4 EACH/hr</t>
  </si>
  <si>
    <t>May require custom fitting for space; verify integration with power/data.</t>
  </si>
  <si>
    <t>Book Stacks (Metal)</t>
  </si>
  <si>
    <t>Anchoring necessary; consider weight and load capacity for safety.</t>
  </si>
  <si>
    <t>Auditorium Seating</t>
  </si>
  <si>
    <t>1 EACH per seat</t>
  </si>
  <si>
    <t>Standard fixed seating; alignment and anchoring critical for comfort and durability.</t>
  </si>
  <si>
    <t>Premium Auditorium Seating</t>
  </si>
  <si>
    <t>Additional features (e.g., padding, armrests) may increase setup time.</t>
  </si>
  <si>
    <t>Fixed Bleacher Seats</t>
  </si>
  <si>
    <t>Assembly may involve modular sections; confirm layout and anchoring requirements.</t>
  </si>
  <si>
    <t>Folding Bleacher Seats</t>
  </si>
  <si>
    <t>20-25 EACH/hr</t>
  </si>
  <si>
    <t>Typically lighter, but installation may include mechanical folding mechanisms.</t>
  </si>
  <si>
    <t>Precast Planter (individual)</t>
  </si>
  <si>
    <t>1 EACH per planter</t>
  </si>
  <si>
    <t>Heavy units; requires equipment for lifting. Confirm drainage setup.</t>
  </si>
  <si>
    <t>Precast Planter (area-based)</t>
  </si>
  <si>
    <t>1 SQFT per planter</t>
  </si>
  <si>
    <t>For large planter beds; productivity based on volume/area of planter beds.</t>
  </si>
  <si>
    <t>Fiberglass Planter (individual)</t>
  </si>
  <si>
    <t>Lightweight; often installed as decorative elements.</t>
  </si>
  <si>
    <t>Fiberglass Planter (area-based)</t>
  </si>
  <si>
    <t>For larger installations; specify area and shape of planter grouping.</t>
  </si>
  <si>
    <t>1 SQFT per pool surface</t>
  </si>
  <si>
    <t>2-4 SQFT/hr</t>
  </si>
  <si>
    <t>Includes excavation, concrete, waterproofing, tiling, plumbing, and mechanical systems.</t>
  </si>
  <si>
    <t>1 EACH per fountain</t>
  </si>
  <si>
    <t>May involve concrete, piping, water pumps, lighting, and electrical work for circulation systems.</t>
  </si>
  <si>
    <t>1 SQFT per tank wall</t>
  </si>
  <si>
    <t>1-2 SQFT/hr</t>
  </si>
  <si>
    <t>Glass or acrylic installation, sealing, filtration, and climate control; requires precision work.</t>
  </si>
  <si>
    <t>Amusement Park Structures &amp; Equipment</t>
  </si>
  <si>
    <t>1 EACH per equipment piece</t>
  </si>
  <si>
    <t>Varies significantly</t>
  </si>
  <si>
    <t>Custom design, often involving metal, concrete, mechanical systems; requires specialty contractors.</t>
  </si>
  <si>
    <t>Tubs and Pools (hot tubs, therapy pools)</t>
  </si>
  <si>
    <t>Includes plumbing, heating, waterproofing; may involve prefabricated units or custom concrete.</t>
  </si>
  <si>
    <t>1 SQFT per rink surface</t>
  </si>
  <si>
    <t>3-5 SQFT/hr</t>
  </si>
  <si>
    <t>Requires concrete, cooling systems, refrigeration piping, and durable finish for skatable surface.</t>
  </si>
  <si>
    <t>1 SQFT per structure</t>
  </si>
  <si>
    <t>Modular design, includes durable finishes, drainage, fencing, and special HVAC considerations.</t>
  </si>
  <si>
    <t>1 SQFT per enclosure</t>
  </si>
  <si>
    <t>2-3 SQFT/hr</t>
  </si>
  <si>
    <t>Rooms with HVAC, climate, and humidity control for labs, cleanrooms, and data centers.</t>
  </si>
  <si>
    <t>1 EACH per booth</t>
  </si>
  <si>
    <t>Prefabricated or modular units for security or toll booths; may include HVAC and electrical.</t>
  </si>
  <si>
    <t>1 SQFT per dome area</t>
  </si>
  <si>
    <t>Dome structures with projection, sound, and lighting systems; requires custom structural work.</t>
  </si>
  <si>
    <t>1 SQFT per room</t>
  </si>
  <si>
    <t>3-4 SQFT/hr</t>
  </si>
  <si>
    <t>Includes sensory rooms, music rooms, or labs with specialized acoustic, lighting, or safety needs.</t>
  </si>
  <si>
    <t>1 SQFT per room panel</t>
  </si>
  <si>
    <t>4-5 SQFT/hr</t>
  </si>
  <si>
    <t>Prefabricated or modular walls for rapid assembly; used in industrial or temporary settings.</t>
  </si>
  <si>
    <t>1 SQFT per wall or floor</t>
  </si>
  <si>
    <t>High-security rooms with reinforced concrete or steel, specialized locks, and fireproofing.</t>
  </si>
  <si>
    <t>1 SQFT per facility</t>
  </si>
  <si>
    <t>Courts, climbing walls, and other sports facilities with reinforced structures and durable finishes.</t>
  </si>
  <si>
    <t>1 SQFT per canopy area</t>
  </si>
  <si>
    <t>5-10 SQFT/hr</t>
  </si>
  <si>
    <t>Tensioned fabric structures used for shelters, pavilions; requires skilled labor for fabric handling.</t>
  </si>
  <si>
    <t>1 SQFT of frame surface</t>
  </si>
  <si>
    <t>Lightweight, modular framing systems (often steel or aluminum) for roofs, atriums, etc.</t>
  </si>
  <si>
    <t>1 SQFT per dome surface</t>
  </si>
  <si>
    <t>1-3 SQFT/hr</t>
  </si>
  <si>
    <t>Curved structures requiring precision in assembly; complex connections; used for domes, greenhouses.</t>
  </si>
  <si>
    <t>1 SQFT per structure panel</t>
  </si>
  <si>
    <t>Custom prefabricated structures; includes custom framing, industrial applications; extensive shop work.</t>
  </si>
  <si>
    <t>1 CUFT per wall volume</t>
  </si>
  <si>
    <t>0.5-1 CUFT/hr</t>
  </si>
  <si>
    <t>Sustainable construction method using compressed earth for wall construction; labor-intensive.</t>
  </si>
  <si>
    <t>1 LNFT per tower height</t>
  </si>
  <si>
    <t>0.5-1 LNFT/hr</t>
  </si>
  <si>
    <t>Steel, concrete, or modular towers for communication, observation; may require specialized safety gear.</t>
  </si>
  <si>
    <t>SQFT or EA</t>
  </si>
  <si>
    <t>1 SQFT per modular component</t>
  </si>
  <si>
    <t>Includes pre-fabricated rooms, walls, or entire modules; labor-intensive assembly; needs precise alignment.</t>
  </si>
  <si>
    <t>1 SQFT of mezzanine area</t>
  </si>
  <si>
    <t>Elevated platforms often made from steel; used in warehouses, industrial plants; requires structural support.</t>
  </si>
  <si>
    <t>Facility Protection Systems</t>
  </si>
  <si>
    <t>LNFT or EA</t>
  </si>
  <si>
    <t>1 LNFT per barrier or guardrail</t>
  </si>
  <si>
    <t>Includes bollards, barriers, corner guards; designed to prevent damage to equipment or structures.</t>
  </si>
  <si>
    <t>Sound Control Systems</t>
  </si>
  <si>
    <t>1 SQFT per soundproofing panel</t>
  </si>
  <si>
    <t>4-6 SQFT/hr</t>
  </si>
  <si>
    <t>Acoustic panels, sound barriers, dampening materials; typically used in walls, ceilings, and floors.</t>
  </si>
  <si>
    <t>Vibration Control Systems</t>
  </si>
  <si>
    <t>1 SQFT or EA per isolator</t>
  </si>
  <si>
    <t>2-4 EA/hr</t>
  </si>
  <si>
    <t>Vibration isolators, floating floors, resilient mounts; often requires engineering support for design.</t>
  </si>
  <si>
    <t>Seismic Control Systems</t>
  </si>
  <si>
    <t>1 EA per anchor or isolator</t>
  </si>
  <si>
    <t>1-2 EA/hr</t>
  </si>
  <si>
    <t>Seismic bracing and restraints for critical equipment; requires careful placement and structural checks.</t>
  </si>
  <si>
    <t>Radiation Protection Systems</t>
  </si>
  <si>
    <t>1 SQFT per lead-lined panel</t>
  </si>
  <si>
    <t>Lead shielding, specialty glass, concrete; used in hospitals, labs; requires specialized material handling.</t>
  </si>
  <si>
    <t>EA or LNFT</t>
  </si>
  <si>
    <t>Per unit (sensor or gauge)</t>
  </si>
  <si>
    <t>1-2 EA/hr (placement)</t>
  </si>
  <si>
    <t>Includes strain gauges, load cells, pressure transducers; installation often requires precision mounting.</t>
  </si>
  <si>
    <t>Per unit (accelerometer, seismometer)</t>
  </si>
  <si>
    <t>0.5-1 EA/hr</t>
  </si>
  <si>
    <t>Involves sensitive equipment; seismic mounting brackets or bases are often needed for stability.</t>
  </si>
  <si>
    <t>Per unit (anemometer, barometer)</t>
  </si>
  <si>
    <t>Weather monitoring sensors; typically require elevated or open-air placements, sometimes needing towers.</t>
  </si>
  <si>
    <r>
      <t xml:space="preserve">
Hey everyone,
I’m a retired owner’s rep and project manager from central Illinois. Over the years, I’ve developed a passion for creating practical tools to streamline data management for construction projects—whether that’s through Excel, Google Sheets, or now with Google Sheets and Excel add-ons.
Recently, I released a Google Sheets add-on, DataMateApp, designed to capture and manage data as filterable and sortable records. Now, I’m applying similar ideas to a new Excel VBA template specifically for managing complex construction data, and I’m looking for input from those of you in the field.
Here’s what the new Excel template will include:
Extensive CSI Division and Section support to allow for comprehensive project estimates
Compatibility with Excel 5.0 or later to ensure a broad range of users can access it, even on older versions
User-friendly design with no XLOOKUP formulas, making it accessible for users of all skill levels
Automated dataset creation, custom pages, and buttons for efficient, streamlined use
Right now, this template is still in development (Estimate about </t>
    </r>
    <r>
      <rPr>
        <sz val="14"/>
        <color rgb="FFFF0000"/>
        <rFont val="Aptos Narrow"/>
        <family val="2"/>
        <scheme val="minor"/>
      </rPr>
      <t>60%</t>
    </r>
    <r>
      <rPr>
        <sz val="14"/>
        <rFont val="Aptos Narrow"/>
        <family val="2"/>
        <scheme val="minor"/>
      </rPr>
      <t xml:space="preserve"> done), but I’m aiming to make it adaptable to various construction needs. I’d love your thoughts, suggestions, and any tools or forms you’ve found useful in your work. If you’re an architect, GC, subcontractor, or vendor with Excel templates for ASIs, change orders, or other essential forms, I’d appreciate any files you’re willing to share to help shape this tool.
Feel free to send your feedback, ideas, or files to datamateapp@gmail.com, or check out the early download below.
Thanks in advance to anyone willing to contribute—together, we can create something that really benefits the community!</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</si>
</sst>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_(&quot;$&quot;* \(#,##0.00\);_(&quot;$&quot;* &quot;-&quot;??_);_(@_)"/>
    <numFmt numFmtId="164" formatCode="#,##0;\-#,##0;;@"/>
    <numFmt numFmtId="165" formatCode="_(&quot;$&quot;* #,##0_);_(&quot;$&quot;* \(#,##0\);_(&quot;$&quot;* &quot;-&quot;??_);_(@_)"/>
  </numFmts>
  <fonts count="76" x14ac:knownFonts="1">
    <font>
      <sz val="11"/>
      <color theme="1"/>
      <name val="Aptos Narrow"/>
      <family val="2"/>
      <scheme val="minor"/>
    </font>
    <font>
      <sz val="11"/>
      <color theme="1"/>
      <name val="Aptos Narrow"/>
      <family val="2"/>
      <scheme val="minor"/>
    </font>
    <font>
      <sz val="11"/>
      <color rgb="FFFF0000"/>
      <name val="Aptos Narrow"/>
      <family val="2"/>
      <scheme val="minor"/>
    </font>
    <font>
      <sz val="10"/>
      <color theme="1"/>
      <name val="Arial"/>
      <family val="2"/>
    </font>
    <font>
      <b/>
      <i/>
      <sz val="10"/>
      <color theme="1"/>
      <name val="Arial"/>
      <family val="2"/>
    </font>
    <font>
      <b/>
      <sz val="10"/>
      <color theme="1"/>
      <name val="Arial"/>
      <family val="2"/>
    </font>
    <font>
      <sz val="10"/>
      <name val="Arial"/>
      <family val="2"/>
    </font>
    <font>
      <b/>
      <sz val="10"/>
      <color rgb="FFFF0000"/>
      <name val="Arial"/>
      <family val="2"/>
    </font>
    <font>
      <b/>
      <i/>
      <sz val="10"/>
      <name val="Arial"/>
      <family val="2"/>
    </font>
    <font>
      <b/>
      <sz val="10"/>
      <name val="Arial"/>
      <family val="2"/>
    </font>
    <font>
      <i/>
      <sz val="10"/>
      <name val="Arial"/>
      <family val="2"/>
    </font>
    <font>
      <sz val="11"/>
      <color theme="1"/>
      <name val="Calibri"/>
      <family val="2"/>
    </font>
    <font>
      <b/>
      <sz val="14"/>
      <color theme="1"/>
      <name val="Calibri"/>
      <family val="2"/>
    </font>
    <font>
      <b/>
      <sz val="14"/>
      <color theme="1"/>
      <name val="Aptos Narrow"/>
      <family val="2"/>
      <scheme val="minor"/>
    </font>
    <font>
      <u/>
      <sz val="11"/>
      <color theme="10"/>
      <name val="Aptos Narrow"/>
      <family val="2"/>
      <scheme val="minor"/>
    </font>
    <font>
      <sz val="8"/>
      <name val="Aptos Narrow"/>
      <family val="2"/>
      <scheme val="minor"/>
    </font>
    <font>
      <b/>
      <i/>
      <sz val="11"/>
      <color theme="1"/>
      <name val="Aptos Narrow"/>
      <family val="2"/>
      <scheme val="minor"/>
    </font>
    <font>
      <b/>
      <sz val="11"/>
      <color theme="1"/>
      <name val="Aptos Narrow"/>
      <family val="2"/>
      <scheme val="minor"/>
    </font>
    <font>
      <sz val="11"/>
      <color theme="10"/>
      <name val="Aptos Narrow"/>
      <family val="2"/>
      <scheme val="minor"/>
    </font>
    <font>
      <b/>
      <i/>
      <sz val="10"/>
      <color rgb="FFFF0000"/>
      <name val="Arial"/>
      <family val="2"/>
    </font>
    <font>
      <b/>
      <sz val="11"/>
      <color rgb="FFFF0000"/>
      <name val="Aptos Narrow"/>
      <family val="2"/>
      <scheme val="minor"/>
    </font>
    <font>
      <b/>
      <i/>
      <sz val="11"/>
      <color rgb="FFFF0000"/>
      <name val="Aptos Narrow"/>
      <family val="2"/>
      <scheme val="minor"/>
    </font>
    <font>
      <sz val="9"/>
      <color theme="1"/>
      <name val="Aptos Narrow"/>
      <family val="2"/>
      <scheme val="minor"/>
    </font>
    <font>
      <b/>
      <sz val="11"/>
      <name val="Aptos Narrow"/>
      <family val="2"/>
      <scheme val="minor"/>
    </font>
    <font>
      <sz val="11"/>
      <name val="Aptos Narrow"/>
      <family val="2"/>
      <scheme val="minor"/>
    </font>
    <font>
      <b/>
      <i/>
      <sz val="12"/>
      <name val="Arial"/>
      <family val="2"/>
    </font>
    <font>
      <sz val="11"/>
      <color rgb="FF000000"/>
      <name val="Aptos Narrow"/>
      <family val="2"/>
    </font>
    <font>
      <sz val="11"/>
      <color rgb="FF000000"/>
      <name val="Aptos Narrow"/>
      <family val="2"/>
      <scheme val="minor"/>
    </font>
    <font>
      <b/>
      <sz val="11"/>
      <color theme="0"/>
      <name val="Aptos Narrow"/>
      <family val="2"/>
      <scheme val="minor"/>
    </font>
    <font>
      <sz val="11"/>
      <color theme="0"/>
      <name val="Aptos Narrow"/>
      <family val="2"/>
      <scheme val="minor"/>
    </font>
    <font>
      <b/>
      <sz val="10"/>
      <color indexed="8"/>
      <name val="Arial"/>
      <family val="2"/>
    </font>
    <font>
      <b/>
      <i/>
      <sz val="20"/>
      <name val="Arial"/>
      <family val="2"/>
    </font>
    <font>
      <b/>
      <sz val="12"/>
      <name val="Arial"/>
      <family val="2"/>
    </font>
    <font>
      <sz val="10"/>
      <color theme="8" tint="0.79998168889431442"/>
      <name val="Arial"/>
      <family val="2"/>
    </font>
    <font>
      <sz val="12"/>
      <color theme="8" tint="0.79998168889431442"/>
      <name val="Arial"/>
      <family val="2"/>
    </font>
    <font>
      <sz val="12"/>
      <name val="Arial"/>
      <family val="2"/>
    </font>
    <font>
      <sz val="10"/>
      <color indexed="18"/>
      <name val="Arial"/>
      <family val="2"/>
    </font>
    <font>
      <i/>
      <sz val="10"/>
      <color indexed="18"/>
      <name val="Arial"/>
      <family val="2"/>
    </font>
    <font>
      <b/>
      <sz val="8"/>
      <color indexed="18"/>
      <name val="Arial"/>
      <family val="2"/>
    </font>
    <font>
      <sz val="10"/>
      <color indexed="17"/>
      <name val="Arial"/>
      <family val="2"/>
    </font>
    <font>
      <sz val="10"/>
      <color indexed="8"/>
      <name val="Arial"/>
      <family val="2"/>
    </font>
    <font>
      <i/>
      <sz val="10"/>
      <color rgb="FFFF0000"/>
      <name val="Arial"/>
      <family val="2"/>
    </font>
    <font>
      <b/>
      <sz val="8"/>
      <name val="Arial"/>
      <family val="2"/>
    </font>
    <font>
      <sz val="9"/>
      <name val="Arial"/>
      <family val="2"/>
    </font>
    <font>
      <b/>
      <i/>
      <sz val="16"/>
      <name val="Monotype Corsiva"/>
      <family val="4"/>
    </font>
    <font>
      <sz val="8"/>
      <name val="Arial"/>
      <family val="2"/>
    </font>
    <font>
      <b/>
      <u/>
      <sz val="10"/>
      <name val="Arial"/>
      <family val="2"/>
    </font>
    <font>
      <sz val="10"/>
      <color indexed="12"/>
      <name val="Arial"/>
      <family val="2"/>
    </font>
    <font>
      <sz val="14"/>
      <color rgb="FF000000"/>
      <name val="Aptos Narrow"/>
      <family val="2"/>
    </font>
    <font>
      <b/>
      <sz val="18"/>
      <name val="Arial"/>
      <family val="2"/>
    </font>
    <font>
      <b/>
      <u/>
      <sz val="12"/>
      <color theme="10"/>
      <name val="Aptos Narrow"/>
      <family val="2"/>
      <scheme val="minor"/>
    </font>
    <font>
      <b/>
      <sz val="14"/>
      <name val="Arial"/>
      <family val="2"/>
    </font>
    <font>
      <sz val="8"/>
      <color theme="0"/>
      <name val="Arial"/>
      <family val="2"/>
    </font>
    <font>
      <sz val="8"/>
      <color theme="0"/>
      <name val="Aptos Narrow"/>
      <family val="2"/>
      <scheme val="minor"/>
    </font>
    <font>
      <b/>
      <sz val="28"/>
      <name val="Aptos Narrow"/>
      <family val="2"/>
      <scheme val="minor"/>
    </font>
    <font>
      <b/>
      <sz val="36"/>
      <color rgb="FF000000"/>
      <name val="Arial"/>
      <family val="2"/>
    </font>
    <font>
      <sz val="11"/>
      <color theme="0"/>
      <name val="Calibri"/>
      <family val="2"/>
    </font>
    <font>
      <sz val="10"/>
      <color theme="0"/>
      <name val="Arial"/>
      <family val="2"/>
    </font>
    <font>
      <sz val="11"/>
      <color rgb="FF000000"/>
      <name val="Calibri"/>
      <family val="2"/>
    </font>
    <font>
      <sz val="10"/>
      <color rgb="FF000000"/>
      <name val="Arial"/>
      <family val="2"/>
    </font>
    <font>
      <sz val="10"/>
      <color rgb="FFFF0000"/>
      <name val="Arial"/>
      <family val="2"/>
    </font>
    <font>
      <b/>
      <sz val="16"/>
      <color theme="10"/>
      <name val="Aptos Narrow"/>
      <family val="2"/>
      <scheme val="minor"/>
    </font>
    <font>
      <b/>
      <sz val="16"/>
      <name val="Aptos Narrow"/>
      <family val="2"/>
      <scheme val="minor"/>
    </font>
    <font>
      <b/>
      <sz val="16"/>
      <color theme="1"/>
      <name val="Aptos Narrow"/>
      <family val="2"/>
      <scheme val="minor"/>
    </font>
    <font>
      <sz val="14"/>
      <name val="Aptos Narrow"/>
      <family val="2"/>
      <scheme val="minor"/>
    </font>
    <font>
      <sz val="14"/>
      <color theme="1"/>
      <name val="Aptos Narrow"/>
      <family val="2"/>
      <scheme val="minor"/>
    </font>
    <font>
      <sz val="14"/>
      <color rgb="FFFF0000"/>
      <name val="Aptos Narrow"/>
      <family val="2"/>
      <scheme val="minor"/>
    </font>
    <font>
      <b/>
      <sz val="12"/>
      <name val="Aptos Narrow"/>
      <family val="2"/>
      <scheme val="minor"/>
    </font>
    <font>
      <b/>
      <sz val="12"/>
      <color theme="1"/>
      <name val="Aptos Narrow"/>
      <family val="2"/>
      <scheme val="minor"/>
    </font>
    <font>
      <b/>
      <i/>
      <sz val="11"/>
      <name val="Arial"/>
      <family val="2"/>
    </font>
    <font>
      <sz val="11"/>
      <name val="Arial"/>
      <family val="2"/>
    </font>
    <font>
      <b/>
      <i/>
      <sz val="16"/>
      <name val="Arial"/>
      <family val="2"/>
    </font>
    <font>
      <sz val="16"/>
      <name val="Arial"/>
      <family val="2"/>
    </font>
    <font>
      <b/>
      <sz val="16"/>
      <name val="Arial"/>
      <family val="2"/>
    </font>
    <font>
      <b/>
      <sz val="11"/>
      <color rgb="FFFF0000"/>
      <name val="Arial"/>
      <family val="2"/>
    </font>
    <font>
      <i/>
      <sz val="11"/>
      <color theme="1"/>
      <name val="Aptos Narrow"/>
      <family val="2"/>
      <scheme val="minor"/>
    </font>
  </fonts>
  <fills count="11">
    <fill>
      <patternFill patternType="none"/>
    </fill>
    <fill>
      <patternFill patternType="gray125"/>
    </fill>
    <fill>
      <patternFill patternType="solid">
        <fgColor theme="4" tint="0.79998168889431442"/>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FFFF00"/>
        <bgColor indexed="64"/>
      </patternFill>
    </fill>
    <fill>
      <patternFill patternType="solid">
        <fgColor rgb="FFA4C2F4"/>
        <bgColor indexed="64"/>
      </patternFill>
    </fill>
    <fill>
      <patternFill patternType="solid">
        <fgColor rgb="FFD9EAD3"/>
        <bgColor indexed="64"/>
      </patternFill>
    </fill>
    <fill>
      <patternFill patternType="solid">
        <fgColor rgb="FFF3F3F3"/>
        <bgColor indexed="64"/>
      </patternFill>
    </fill>
    <fill>
      <patternFill patternType="solid">
        <fgColor rgb="FFFF0000"/>
        <bgColor indexed="64"/>
      </patternFill>
    </fill>
    <fill>
      <patternFill patternType="solid">
        <fgColor theme="5" tint="0.39997558519241921"/>
        <bgColor indexed="64"/>
      </patternFill>
    </fill>
  </fills>
  <borders count="45">
    <border>
      <left/>
      <right/>
      <top/>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style="medium">
        <color indexed="64"/>
      </left>
      <right/>
      <top/>
      <bottom style="thin">
        <color indexed="64"/>
      </bottom>
      <diagonal/>
    </border>
    <border>
      <left style="thin">
        <color indexed="64"/>
      </left>
      <right/>
      <top/>
      <bottom/>
      <diagonal/>
    </border>
    <border>
      <left/>
      <right style="thin">
        <color indexed="64"/>
      </right>
      <top/>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ck">
        <color indexed="64"/>
      </top>
      <bottom style="thick">
        <color indexed="64"/>
      </bottom>
      <diagonal/>
    </border>
    <border>
      <left/>
      <right/>
      <top style="thick">
        <color indexed="64"/>
      </top>
      <bottom style="thick">
        <color indexed="64"/>
      </bottom>
      <diagonal/>
    </border>
    <border>
      <left/>
      <right/>
      <top style="thick">
        <color indexed="64"/>
      </top>
      <bottom/>
      <diagonal/>
    </border>
    <border>
      <left/>
      <right style="thin">
        <color indexed="64"/>
      </right>
      <top style="thick">
        <color indexed="64"/>
      </top>
      <bottom/>
      <diagonal/>
    </border>
    <border>
      <left style="thin">
        <color indexed="64"/>
      </left>
      <right/>
      <top style="thick">
        <color indexed="64"/>
      </top>
      <bottom/>
      <diagonal/>
    </border>
    <border>
      <left style="thin">
        <color indexed="64"/>
      </left>
      <right/>
      <top/>
      <bottom style="thick">
        <color indexed="64"/>
      </bottom>
      <diagonal/>
    </border>
    <border>
      <left/>
      <right/>
      <top/>
      <bottom style="thick">
        <color indexed="64"/>
      </bottom>
      <diagonal/>
    </border>
    <border>
      <left/>
      <right style="thin">
        <color indexed="64"/>
      </right>
      <top/>
      <bottom style="thick">
        <color indexed="64"/>
      </bottom>
      <diagonal/>
    </border>
    <border>
      <left/>
      <right style="thin">
        <color indexed="64"/>
      </right>
      <top style="thick">
        <color indexed="64"/>
      </top>
      <bottom style="thick">
        <color indexed="64"/>
      </bottom>
      <diagonal/>
    </border>
    <border>
      <left/>
      <right/>
      <top/>
      <bottom style="medium">
        <color indexed="64"/>
      </bottom>
      <diagonal/>
    </border>
    <border>
      <left/>
      <right/>
      <top style="thin">
        <color theme="3" tint="0.749961851863155"/>
      </top>
      <bottom style="thin">
        <color theme="3" tint="0.749961851863155"/>
      </bottom>
      <diagonal/>
    </border>
    <border>
      <left/>
      <right style="thin">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6">
    <xf numFmtId="0" fontId="0"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6" fillId="0" borderId="0"/>
    <xf numFmtId="0" fontId="14" fillId="0" borderId="0" applyNumberFormat="0" applyFill="0" applyBorder="0" applyAlignment="0" applyProtection="0"/>
  </cellStyleXfs>
  <cellXfs count="481">
    <xf numFmtId="0" fontId="0" fillId="0" borderId="0" xfId="0"/>
    <xf numFmtId="164" fontId="0" fillId="0" borderId="0" xfId="0" applyNumberFormat="1"/>
    <xf numFmtId="164" fontId="0" fillId="5" borderId="0" xfId="0" applyNumberFormat="1" applyFill="1"/>
    <xf numFmtId="164" fontId="3" fillId="0" borderId="0" xfId="3" applyNumberFormat="1" applyFont="1"/>
    <xf numFmtId="164" fontId="4" fillId="0" borderId="0" xfId="3" applyNumberFormat="1" applyFont="1" applyAlignment="1">
      <alignment horizontal="center"/>
    </xf>
    <xf numFmtId="164" fontId="4" fillId="0" borderId="0" xfId="3" applyNumberFormat="1" applyFont="1" applyAlignment="1">
      <alignment horizontal="left"/>
    </xf>
    <xf numFmtId="164" fontId="3" fillId="0" borderId="0" xfId="3" applyNumberFormat="1" applyFont="1" applyAlignment="1">
      <alignment horizontal="right"/>
    </xf>
    <xf numFmtId="164" fontId="3" fillId="0" borderId="0" xfId="3" applyNumberFormat="1" applyFont="1" applyAlignment="1">
      <alignment horizontal="left"/>
    </xf>
    <xf numFmtId="164" fontId="5" fillId="0" borderId="0" xfId="3" applyNumberFormat="1" applyFont="1" applyAlignment="1">
      <alignment horizontal="right"/>
    </xf>
    <xf numFmtId="164" fontId="3" fillId="0" borderId="0" xfId="1" applyNumberFormat="1" applyFont="1" applyFill="1" applyBorder="1" applyAlignment="1">
      <alignment horizontal="right"/>
    </xf>
    <xf numFmtId="164" fontId="5" fillId="0" borderId="0" xfId="3" quotePrefix="1" applyNumberFormat="1" applyFont="1" applyAlignment="1">
      <alignment horizontal="right"/>
    </xf>
    <xf numFmtId="164" fontId="3" fillId="2" borderId="1" xfId="1" applyNumberFormat="1" applyFont="1" applyFill="1" applyBorder="1"/>
    <xf numFmtId="164" fontId="6" fillId="0" borderId="2" xfId="3" applyNumberFormat="1" applyFont="1" applyBorder="1" applyAlignment="1">
      <alignment horizontal="right"/>
    </xf>
    <xf numFmtId="164" fontId="3" fillId="0" borderId="3" xfId="2" applyNumberFormat="1" applyFont="1" applyFill="1" applyBorder="1" applyAlignment="1">
      <alignment horizontal="right"/>
    </xf>
    <xf numFmtId="164" fontId="7" fillId="0" borderId="0" xfId="3" applyNumberFormat="1" applyFont="1" applyAlignment="1">
      <alignment horizontal="right"/>
    </xf>
    <xf numFmtId="164" fontId="5" fillId="0" borderId="0" xfId="3" applyNumberFormat="1" applyFont="1"/>
    <xf numFmtId="164" fontId="5" fillId="3" borderId="2" xfId="3" applyNumberFormat="1" applyFont="1" applyFill="1" applyBorder="1" applyAlignment="1">
      <alignment horizontal="center"/>
    </xf>
    <xf numFmtId="164" fontId="5" fillId="3" borderId="2" xfId="3" applyNumberFormat="1" applyFont="1" applyFill="1" applyBorder="1" applyAlignment="1">
      <alignment horizontal="left"/>
    </xf>
    <xf numFmtId="164" fontId="5" fillId="3" borderId="5" xfId="3" applyNumberFormat="1" applyFont="1" applyFill="1" applyBorder="1" applyAlignment="1">
      <alignment horizontal="center"/>
    </xf>
    <xf numFmtId="164" fontId="5" fillId="3" borderId="5" xfId="3" applyNumberFormat="1" applyFont="1" applyFill="1" applyBorder="1" applyAlignment="1">
      <alignment horizontal="left"/>
    </xf>
    <xf numFmtId="164" fontId="5" fillId="3" borderId="3" xfId="3" applyNumberFormat="1" applyFont="1" applyFill="1" applyBorder="1" applyAlignment="1">
      <alignment horizontal="center"/>
    </xf>
    <xf numFmtId="164" fontId="5" fillId="3" borderId="2" xfId="3" applyNumberFormat="1" applyFont="1" applyFill="1" applyBorder="1" applyAlignment="1">
      <alignment horizontal="center" wrapText="1"/>
    </xf>
    <xf numFmtId="164" fontId="6" fillId="0" borderId="0" xfId="3" applyNumberFormat="1" applyFont="1"/>
    <xf numFmtId="164" fontId="8" fillId="3" borderId="2" xfId="3" quotePrefix="1" applyNumberFormat="1" applyFont="1" applyFill="1" applyBorder="1" applyAlignment="1">
      <alignment horizontal="center"/>
    </xf>
    <xf numFmtId="164" fontId="8" fillId="3" borderId="2" xfId="3" applyNumberFormat="1" applyFont="1" applyFill="1" applyBorder="1" applyAlignment="1">
      <alignment horizontal="left"/>
    </xf>
    <xf numFmtId="164" fontId="6" fillId="3" borderId="5" xfId="3" applyNumberFormat="1" applyFont="1" applyFill="1" applyBorder="1" applyAlignment="1">
      <alignment horizontal="right"/>
    </xf>
    <xf numFmtId="164" fontId="8" fillId="3" borderId="5" xfId="3" applyNumberFormat="1" applyFont="1" applyFill="1" applyBorder="1" applyAlignment="1">
      <alignment horizontal="right"/>
    </xf>
    <xf numFmtId="164" fontId="6" fillId="3" borderId="2" xfId="3" applyNumberFormat="1" applyFont="1" applyFill="1" applyBorder="1" applyAlignment="1">
      <alignment horizontal="right"/>
    </xf>
    <xf numFmtId="164" fontId="6" fillId="3" borderId="3" xfId="1" applyNumberFormat="1" applyFont="1" applyFill="1" applyBorder="1" applyAlignment="1">
      <alignment horizontal="right"/>
    </xf>
    <xf numFmtId="164" fontId="9" fillId="0" borderId="6" xfId="3" applyNumberFormat="1" applyFont="1" applyBorder="1" applyAlignment="1">
      <alignment horizontal="center"/>
    </xf>
    <xf numFmtId="164" fontId="9" fillId="0" borderId="6" xfId="3" applyNumberFormat="1" applyFont="1" applyBorder="1" applyAlignment="1">
      <alignment horizontal="left"/>
    </xf>
    <xf numFmtId="164" fontId="6" fillId="0" borderId="0" xfId="3" applyNumberFormat="1" applyFont="1" applyAlignment="1">
      <alignment horizontal="right"/>
    </xf>
    <xf numFmtId="164" fontId="6" fillId="0" borderId="0" xfId="3" applyNumberFormat="1" applyFont="1" applyAlignment="1">
      <alignment horizontal="left"/>
    </xf>
    <xf numFmtId="164" fontId="6" fillId="0" borderId="7" xfId="1" applyNumberFormat="1" applyFont="1" applyFill="1" applyBorder="1" applyAlignment="1">
      <alignment horizontal="right"/>
    </xf>
    <xf numFmtId="164" fontId="6" fillId="0" borderId="6" xfId="3" applyNumberFormat="1" applyFont="1" applyBorder="1" applyAlignment="1">
      <alignment horizontal="right"/>
    </xf>
    <xf numFmtId="164" fontId="6" fillId="0" borderId="7" xfId="1" applyNumberFormat="1" applyFont="1" applyBorder="1" applyAlignment="1">
      <alignment horizontal="right"/>
    </xf>
    <xf numFmtId="164" fontId="6" fillId="0" borderId="0" xfId="1" applyNumberFormat="1" applyFont="1" applyAlignment="1">
      <alignment horizontal="right"/>
    </xf>
    <xf numFmtId="164" fontId="6" fillId="0" borderId="6" xfId="3" applyNumberFormat="1" applyFont="1" applyBorder="1" applyAlignment="1">
      <alignment horizontal="center"/>
    </xf>
    <xf numFmtId="164" fontId="6" fillId="0" borderId="6" xfId="3" applyNumberFormat="1" applyFont="1" applyBorder="1" applyAlignment="1">
      <alignment horizontal="left"/>
    </xf>
    <xf numFmtId="164" fontId="6" fillId="4" borderId="0" xfId="3" applyNumberFormat="1" applyFont="1" applyFill="1" applyAlignment="1">
      <alignment horizontal="right"/>
    </xf>
    <xf numFmtId="164" fontId="6" fillId="4" borderId="6" xfId="1" applyNumberFormat="1" applyFont="1" applyFill="1" applyBorder="1" applyAlignment="1">
      <alignment horizontal="right"/>
    </xf>
    <xf numFmtId="164" fontId="6" fillId="4" borderId="6" xfId="3" applyNumberFormat="1" applyFont="1" applyFill="1" applyBorder="1" applyAlignment="1">
      <alignment horizontal="right"/>
    </xf>
    <xf numFmtId="164" fontId="6" fillId="0" borderId="6" xfId="1" applyNumberFormat="1" applyFont="1" applyBorder="1" applyAlignment="1">
      <alignment horizontal="right"/>
    </xf>
    <xf numFmtId="164" fontId="10" fillId="0" borderId="6" xfId="3" applyNumberFormat="1" applyFont="1" applyBorder="1" applyAlignment="1">
      <alignment horizontal="right"/>
    </xf>
    <xf numFmtId="164" fontId="10" fillId="0" borderId="6" xfId="1" applyNumberFormat="1" applyFont="1" applyFill="1" applyBorder="1" applyAlignment="1">
      <alignment horizontal="right"/>
    </xf>
    <xf numFmtId="164" fontId="10" fillId="0" borderId="7" xfId="1" applyNumberFormat="1" applyFont="1" applyFill="1" applyBorder="1" applyAlignment="1">
      <alignment horizontal="right"/>
    </xf>
    <xf numFmtId="164" fontId="6" fillId="0" borderId="0" xfId="1" applyNumberFormat="1" applyFont="1" applyFill="1" applyAlignment="1">
      <alignment horizontal="right"/>
    </xf>
    <xf numFmtId="164" fontId="6" fillId="5" borderId="6" xfId="3" applyNumberFormat="1" applyFont="1" applyFill="1" applyBorder="1" applyAlignment="1">
      <alignment horizontal="left"/>
    </xf>
    <xf numFmtId="164" fontId="6" fillId="5" borderId="6" xfId="3" applyNumberFormat="1" applyFont="1" applyFill="1" applyBorder="1" applyAlignment="1">
      <alignment horizontal="right"/>
    </xf>
    <xf numFmtId="164" fontId="11" fillId="0" borderId="0" xfId="4" applyNumberFormat="1" applyFont="1"/>
    <xf numFmtId="164" fontId="11" fillId="0" borderId="0" xfId="4" applyNumberFormat="1" applyFont="1" applyAlignment="1">
      <alignment horizontal="right"/>
    </xf>
    <xf numFmtId="164" fontId="12" fillId="0" borderId="0" xfId="4" applyNumberFormat="1" applyFont="1"/>
    <xf numFmtId="164" fontId="12" fillId="0" borderId="0" xfId="4" applyNumberFormat="1" applyFont="1" applyAlignment="1">
      <alignment wrapText="1"/>
    </xf>
    <xf numFmtId="164" fontId="1" fillId="0" borderId="0" xfId="4" applyNumberFormat="1" applyFont="1"/>
    <xf numFmtId="164" fontId="0" fillId="6" borderId="8" xfId="0" applyNumberFormat="1" applyFill="1" applyBorder="1"/>
    <xf numFmtId="164" fontId="0" fillId="6" borderId="9" xfId="0" applyNumberFormat="1" applyFill="1" applyBorder="1"/>
    <xf numFmtId="164" fontId="0" fillId="6" borderId="10" xfId="0" applyNumberFormat="1" applyFill="1" applyBorder="1"/>
    <xf numFmtId="164" fontId="0" fillId="6" borderId="0" xfId="0" applyNumberFormat="1" applyFill="1"/>
    <xf numFmtId="164" fontId="0" fillId="0" borderId="11" xfId="0" applyNumberFormat="1" applyBorder="1"/>
    <xf numFmtId="164" fontId="0" fillId="0" borderId="12" xfId="0" applyNumberFormat="1" applyBorder="1"/>
    <xf numFmtId="164" fontId="0" fillId="0" borderId="13" xfId="0" applyNumberFormat="1" applyBorder="1"/>
    <xf numFmtId="164" fontId="3" fillId="0" borderId="17" xfId="3" applyNumberFormat="1" applyFont="1" applyBorder="1" applyAlignment="1">
      <alignment horizontal="right"/>
    </xf>
    <xf numFmtId="164" fontId="6" fillId="0" borderId="12" xfId="3" applyNumberFormat="1" applyFont="1" applyBorder="1"/>
    <xf numFmtId="164" fontId="6" fillId="0" borderId="19" xfId="3" applyNumberFormat="1" applyFont="1" applyBorder="1" applyAlignment="1">
      <alignment horizontal="center"/>
    </xf>
    <xf numFmtId="164" fontId="6" fillId="0" borderId="19" xfId="3" applyNumberFormat="1" applyFont="1" applyBorder="1" applyAlignment="1">
      <alignment horizontal="left"/>
    </xf>
    <xf numFmtId="164" fontId="6" fillId="0" borderId="12" xfId="3" applyNumberFormat="1" applyFont="1" applyBorder="1" applyAlignment="1">
      <alignment horizontal="right"/>
    </xf>
    <xf numFmtId="164" fontId="6" fillId="0" borderId="12" xfId="3" applyNumberFormat="1" applyFont="1" applyBorder="1" applyAlignment="1">
      <alignment horizontal="left"/>
    </xf>
    <xf numFmtId="164" fontId="9" fillId="0" borderId="19" xfId="1" applyNumberFormat="1" applyFont="1" applyFill="1" applyBorder="1" applyAlignment="1">
      <alignment horizontal="right"/>
    </xf>
    <xf numFmtId="164" fontId="8" fillId="0" borderId="18" xfId="1" applyNumberFormat="1" applyFont="1" applyBorder="1" applyAlignment="1">
      <alignment horizontal="right"/>
    </xf>
    <xf numFmtId="164" fontId="8" fillId="0" borderId="19" xfId="3" applyNumberFormat="1" applyFont="1" applyBorder="1" applyAlignment="1">
      <alignment horizontal="right"/>
    </xf>
    <xf numFmtId="164" fontId="10" fillId="0" borderId="12" xfId="1" applyNumberFormat="1" applyFont="1" applyBorder="1" applyAlignment="1">
      <alignment horizontal="right"/>
    </xf>
    <xf numFmtId="164" fontId="13" fillId="0" borderId="0" xfId="0" applyNumberFormat="1" applyFont="1"/>
    <xf numFmtId="164" fontId="14" fillId="0" borderId="0" xfId="5" applyNumberFormat="1"/>
    <xf numFmtId="164" fontId="0" fillId="0" borderId="15" xfId="0" applyNumberFormat="1" applyBorder="1"/>
    <xf numFmtId="164" fontId="0" fillId="8" borderId="15" xfId="0" applyNumberFormat="1" applyFill="1" applyBorder="1"/>
    <xf numFmtId="164" fontId="0" fillId="8" borderId="16" xfId="0" applyNumberFormat="1" applyFill="1" applyBorder="1"/>
    <xf numFmtId="164" fontId="0" fillId="8" borderId="0" xfId="0" applyNumberFormat="1" applyFill="1"/>
    <xf numFmtId="164" fontId="6" fillId="5" borderId="0" xfId="3" applyNumberFormat="1" applyFont="1" applyFill="1" applyAlignment="1">
      <alignment horizontal="left"/>
    </xf>
    <xf numFmtId="164" fontId="2" fillId="0" borderId="0" xfId="0" applyNumberFormat="1" applyFont="1"/>
    <xf numFmtId="164" fontId="3" fillId="0" borderId="17" xfId="3" applyNumberFormat="1" applyFont="1" applyBorder="1" applyAlignment="1">
      <alignment horizontal="left"/>
    </xf>
    <xf numFmtId="164" fontId="11" fillId="5" borderId="0" xfId="4" applyNumberFormat="1" applyFont="1" applyFill="1"/>
    <xf numFmtId="164" fontId="1" fillId="5" borderId="0" xfId="4" applyNumberFormat="1" applyFont="1" applyFill="1"/>
    <xf numFmtId="164" fontId="2" fillId="0" borderId="0" xfId="4" applyNumberFormat="1" applyFont="1"/>
    <xf numFmtId="164" fontId="3" fillId="0" borderId="4" xfId="3" applyNumberFormat="1" applyFont="1" applyBorder="1" applyAlignment="1">
      <alignment horizontal="center"/>
    </xf>
    <xf numFmtId="164" fontId="19" fillId="0" borderId="0" xfId="3" applyNumberFormat="1" applyFont="1" applyAlignment="1">
      <alignment horizontal="left"/>
    </xf>
    <xf numFmtId="164" fontId="20" fillId="0" borderId="0" xfId="0" applyNumberFormat="1" applyFont="1"/>
    <xf numFmtId="164" fontId="21" fillId="0" borderId="0" xfId="0" applyNumberFormat="1" applyFont="1"/>
    <xf numFmtId="164" fontId="17" fillId="0" borderId="0" xfId="0" applyNumberFormat="1" applyFont="1"/>
    <xf numFmtId="164" fontId="22" fillId="0" borderId="0" xfId="0" applyNumberFormat="1" applyFont="1"/>
    <xf numFmtId="164" fontId="18" fillId="0" borderId="0" xfId="5" applyNumberFormat="1" applyFont="1" applyBorder="1" applyAlignment="1">
      <alignment horizontal="left"/>
    </xf>
    <xf numFmtId="164" fontId="21" fillId="0" borderId="0" xfId="0" applyNumberFormat="1" applyFont="1" applyAlignment="1">
      <alignment horizontal="left"/>
    </xf>
    <xf numFmtId="164" fontId="19" fillId="0" borderId="6" xfId="1" applyNumberFormat="1" applyFont="1" applyFill="1" applyBorder="1" applyAlignment="1">
      <alignment horizontal="right"/>
    </xf>
    <xf numFmtId="164" fontId="23" fillId="0" borderId="0" xfId="0" applyNumberFormat="1" applyFont="1"/>
    <xf numFmtId="164" fontId="6" fillId="0" borderId="6" xfId="1" applyNumberFormat="1" applyFont="1" applyFill="1" applyBorder="1" applyAlignment="1">
      <alignment horizontal="right"/>
    </xf>
    <xf numFmtId="164" fontId="5" fillId="3" borderId="22" xfId="3" applyNumberFormat="1" applyFont="1" applyFill="1" applyBorder="1" applyAlignment="1">
      <alignment horizontal="center"/>
    </xf>
    <xf numFmtId="164" fontId="3" fillId="0" borderId="23" xfId="3" applyNumberFormat="1" applyFont="1" applyBorder="1" applyAlignment="1">
      <alignment horizontal="right"/>
    </xf>
    <xf numFmtId="164" fontId="24" fillId="2" borderId="23" xfId="0" applyNumberFormat="1" applyFont="1" applyFill="1" applyBorder="1" applyAlignment="1">
      <alignment horizontal="right"/>
    </xf>
    <xf numFmtId="164" fontId="6" fillId="2" borderId="23" xfId="1" quotePrefix="1" applyNumberFormat="1" applyFont="1" applyFill="1" applyBorder="1" applyAlignment="1">
      <alignment horizontal="right"/>
    </xf>
    <xf numFmtId="164" fontId="6" fillId="2" borderId="23" xfId="1" applyNumberFormat="1" applyFont="1" applyFill="1" applyBorder="1" applyAlignment="1">
      <alignment horizontal="right"/>
    </xf>
    <xf numFmtId="164" fontId="5" fillId="0" borderId="15" xfId="3" applyNumberFormat="1" applyFont="1" applyBorder="1" applyAlignment="1">
      <alignment horizontal="right"/>
    </xf>
    <xf numFmtId="164" fontId="3" fillId="0" borderId="15" xfId="1" applyNumberFormat="1" applyFont="1" applyFill="1" applyBorder="1"/>
    <xf numFmtId="164" fontId="0" fillId="0" borderId="21" xfId="0" applyNumberFormat="1" applyBorder="1"/>
    <xf numFmtId="164" fontId="3" fillId="2" borderId="24" xfId="1" applyNumberFormat="1" applyFont="1" applyFill="1" applyBorder="1"/>
    <xf numFmtId="164" fontId="14" fillId="0" borderId="0" xfId="5" applyNumberFormat="1" applyAlignment="1">
      <alignment horizontal="left"/>
    </xf>
    <xf numFmtId="164" fontId="5" fillId="0" borderId="9" xfId="3" applyNumberFormat="1" applyFont="1" applyBorder="1" applyAlignment="1">
      <alignment horizontal="right"/>
    </xf>
    <xf numFmtId="164" fontId="25" fillId="0" borderId="6" xfId="3" applyNumberFormat="1" applyFont="1" applyBorder="1" applyAlignment="1">
      <alignment horizontal="left"/>
    </xf>
    <xf numFmtId="164" fontId="0" fillId="0" borderId="0" xfId="4" applyNumberFormat="1" applyFont="1"/>
    <xf numFmtId="164" fontId="0" fillId="0" borderId="23" xfId="0" applyNumberFormat="1" applyBorder="1"/>
    <xf numFmtId="164" fontId="0" fillId="5" borderId="23" xfId="0" applyNumberFormat="1" applyFill="1" applyBorder="1"/>
    <xf numFmtId="164" fontId="3" fillId="0" borderId="6" xfId="3" applyNumberFormat="1" applyFont="1" applyBorder="1" applyAlignment="1">
      <alignment horizontal="right"/>
    </xf>
    <xf numFmtId="164" fontId="0" fillId="0" borderId="9" xfId="0" applyNumberFormat="1" applyBorder="1"/>
    <xf numFmtId="164" fontId="3" fillId="0" borderId="9" xfId="3" applyNumberFormat="1" applyFont="1" applyBorder="1" applyAlignment="1">
      <alignment horizontal="right"/>
    </xf>
    <xf numFmtId="164" fontId="0" fillId="0" borderId="10" xfId="0" applyNumberFormat="1" applyBorder="1"/>
    <xf numFmtId="164" fontId="0" fillId="0" borderId="20" xfId="0" applyNumberFormat="1" applyBorder="1"/>
    <xf numFmtId="164" fontId="6" fillId="0" borderId="0" xfId="1" applyNumberFormat="1" applyFont="1" applyBorder="1" applyAlignment="1">
      <alignment horizontal="right"/>
    </xf>
    <xf numFmtId="164" fontId="6" fillId="0" borderId="0" xfId="3" applyNumberFormat="1" applyFont="1" applyAlignment="1">
      <alignment horizontal="center"/>
    </xf>
    <xf numFmtId="164" fontId="6" fillId="0" borderId="0" xfId="1" applyNumberFormat="1" applyFont="1" applyFill="1" applyBorder="1" applyAlignment="1">
      <alignment horizontal="right"/>
    </xf>
    <xf numFmtId="164" fontId="0" fillId="0" borderId="16" xfId="0" applyNumberFormat="1" applyBorder="1"/>
    <xf numFmtId="164" fontId="32" fillId="0" borderId="11" xfId="0" applyNumberFormat="1" applyFont="1" applyBorder="1" applyAlignment="1">
      <alignment horizontal="center"/>
    </xf>
    <xf numFmtId="164" fontId="32" fillId="0" borderId="12" xfId="0" applyNumberFormat="1" applyFont="1" applyBorder="1" applyAlignment="1">
      <alignment horizontal="center"/>
    </xf>
    <xf numFmtId="164" fontId="32" fillId="0" borderId="12" xfId="0" applyNumberFormat="1" applyFont="1" applyBorder="1" applyAlignment="1">
      <alignment horizontal="left"/>
    </xf>
    <xf numFmtId="164" fontId="32" fillId="0" borderId="13" xfId="0" applyNumberFormat="1" applyFont="1" applyBorder="1" applyAlignment="1">
      <alignment horizontal="center"/>
    </xf>
    <xf numFmtId="164" fontId="33" fillId="0" borderId="14" xfId="0" applyNumberFormat="1" applyFont="1" applyBorder="1"/>
    <xf numFmtId="164" fontId="33" fillId="0" borderId="15" xfId="0" applyNumberFormat="1" applyFont="1" applyBorder="1"/>
    <xf numFmtId="164" fontId="33" fillId="0" borderId="9" xfId="0" applyNumberFormat="1" applyFont="1" applyBorder="1"/>
    <xf numFmtId="164" fontId="33" fillId="0" borderId="16" xfId="0" applyNumberFormat="1" applyFont="1" applyBorder="1"/>
    <xf numFmtId="164" fontId="6" fillId="0" borderId="23" xfId="0" applyNumberFormat="1" applyFont="1" applyBorder="1" applyAlignment="1" applyProtection="1">
      <alignment horizontal="center"/>
      <protection locked="0"/>
    </xf>
    <xf numFmtId="164" fontId="9" fillId="0" borderId="23" xfId="0" applyNumberFormat="1" applyFont="1" applyBorder="1" applyAlignment="1" applyProtection="1">
      <alignment horizontal="left"/>
      <protection locked="0"/>
    </xf>
    <xf numFmtId="164" fontId="9" fillId="0" borderId="0" xfId="0" applyNumberFormat="1" applyFont="1" applyAlignment="1">
      <alignment horizontal="center"/>
    </xf>
    <xf numFmtId="164" fontId="9" fillId="0" borderId="23" xfId="0" applyNumberFormat="1" applyFont="1" applyBorder="1" applyProtection="1">
      <protection locked="0"/>
    </xf>
    <xf numFmtId="164" fontId="9" fillId="0" borderId="0" xfId="0" applyNumberFormat="1" applyFont="1" applyAlignment="1">
      <alignment horizontal="left"/>
    </xf>
    <xf numFmtId="164" fontId="9" fillId="0" borderId="0" xfId="0" applyNumberFormat="1" applyFont="1"/>
    <xf numFmtId="164" fontId="6" fillId="0" borderId="0" xfId="0" applyNumberFormat="1" applyFont="1"/>
    <xf numFmtId="164" fontId="9" fillId="0" borderId="8" xfId="0" applyNumberFormat="1" applyFont="1" applyBorder="1"/>
    <xf numFmtId="164" fontId="9" fillId="0" borderId="16" xfId="0" applyNumberFormat="1" applyFont="1" applyBorder="1"/>
    <xf numFmtId="164" fontId="9" fillId="0" borderId="9" xfId="0" applyNumberFormat="1" applyFont="1" applyBorder="1"/>
    <xf numFmtId="164" fontId="34" fillId="0" borderId="14" xfId="0" applyNumberFormat="1" applyFont="1" applyBorder="1"/>
    <xf numFmtId="164" fontId="34" fillId="0" borderId="15" xfId="0" applyNumberFormat="1" applyFont="1" applyBorder="1"/>
    <xf numFmtId="164" fontId="34" fillId="0" borderId="12" xfId="0" applyNumberFormat="1" applyFont="1" applyBorder="1"/>
    <xf numFmtId="164" fontId="34" fillId="0" borderId="13" xfId="0" applyNumberFormat="1" applyFont="1" applyBorder="1"/>
    <xf numFmtId="164" fontId="9" fillId="0" borderId="14" xfId="0" applyNumberFormat="1" applyFont="1" applyBorder="1"/>
    <xf numFmtId="164" fontId="9" fillId="0" borderId="15" xfId="0" applyNumberFormat="1" applyFont="1" applyBorder="1" applyAlignment="1">
      <alignment horizontal="center"/>
    </xf>
    <xf numFmtId="164" fontId="9" fillId="0" borderId="23" xfId="0" applyNumberFormat="1" applyFont="1" applyBorder="1" applyAlignment="1">
      <alignment horizontal="center"/>
    </xf>
    <xf numFmtId="164" fontId="35" fillId="0" borderId="20" xfId="0" applyNumberFormat="1" applyFont="1" applyBorder="1"/>
    <xf numFmtId="164" fontId="0" fillId="0" borderId="25" xfId="0" applyNumberFormat="1" applyBorder="1" applyAlignment="1">
      <alignment horizontal="center"/>
    </xf>
    <xf numFmtId="164" fontId="0" fillId="0" borderId="25" xfId="0" applyNumberFormat="1" applyBorder="1" applyAlignment="1" applyProtection="1">
      <alignment horizontal="center"/>
      <protection locked="0"/>
    </xf>
    <xf numFmtId="164" fontId="0" fillId="0" borderId="25" xfId="0" applyNumberFormat="1" applyBorder="1" applyAlignment="1">
      <alignment horizontal="right"/>
    </xf>
    <xf numFmtId="164" fontId="10" fillId="0" borderId="20" xfId="0" applyNumberFormat="1" applyFont="1" applyBorder="1" applyProtection="1">
      <protection locked="0"/>
    </xf>
    <xf numFmtId="164" fontId="6" fillId="0" borderId="0" xfId="0" applyNumberFormat="1" applyFont="1" applyProtection="1">
      <protection locked="0"/>
    </xf>
    <xf numFmtId="164" fontId="36" fillId="0" borderId="0" xfId="0" applyNumberFormat="1" applyFont="1" applyProtection="1">
      <protection locked="0"/>
    </xf>
    <xf numFmtId="164" fontId="0" fillId="0" borderId="26" xfId="0" applyNumberFormat="1" applyBorder="1" applyAlignment="1">
      <alignment horizontal="center"/>
    </xf>
    <xf numFmtId="164" fontId="0" fillId="0" borderId="26" xfId="0" applyNumberFormat="1" applyBorder="1" applyAlignment="1" applyProtection="1">
      <alignment horizontal="center"/>
      <protection locked="0"/>
    </xf>
    <xf numFmtId="164" fontId="0" fillId="0" borderId="26" xfId="0" applyNumberFormat="1" applyBorder="1" applyAlignment="1">
      <alignment horizontal="right"/>
    </xf>
    <xf numFmtId="164" fontId="37" fillId="0" borderId="0" xfId="0" applyNumberFormat="1" applyFont="1"/>
    <xf numFmtId="164" fontId="36" fillId="0" borderId="0" xfId="0" applyNumberFormat="1" applyFont="1"/>
    <xf numFmtId="164" fontId="38" fillId="0" borderId="0" xfId="0" applyNumberFormat="1" applyFont="1"/>
    <xf numFmtId="164" fontId="36" fillId="0" borderId="0" xfId="0" applyNumberFormat="1" applyFont="1" applyAlignment="1">
      <alignment horizontal="center"/>
    </xf>
    <xf numFmtId="164" fontId="39" fillId="0" borderId="26" xfId="0" applyNumberFormat="1" applyFont="1" applyBorder="1" applyAlignment="1">
      <alignment horizontal="center"/>
    </xf>
    <xf numFmtId="164" fontId="39" fillId="0" borderId="26" xfId="0" applyNumberFormat="1" applyFont="1" applyBorder="1" applyAlignment="1" applyProtection="1">
      <alignment horizontal="center"/>
      <protection locked="0"/>
    </xf>
    <xf numFmtId="164" fontId="40" fillId="0" borderId="26" xfId="0" applyNumberFormat="1" applyFont="1" applyBorder="1" applyAlignment="1">
      <alignment horizontal="right"/>
    </xf>
    <xf numFmtId="164" fontId="10" fillId="0" borderId="0" xfId="0" applyNumberFormat="1" applyFont="1" applyProtection="1">
      <protection locked="0"/>
    </xf>
    <xf numFmtId="164" fontId="6" fillId="0" borderId="0" xfId="0" applyNumberFormat="1" applyFont="1" applyAlignment="1" applyProtection="1">
      <alignment horizontal="right"/>
      <protection locked="0"/>
    </xf>
    <xf numFmtId="164" fontId="24" fillId="0" borderId="0" xfId="0" applyNumberFormat="1" applyFont="1" applyProtection="1">
      <protection locked="0"/>
    </xf>
    <xf numFmtId="164" fontId="0" fillId="0" borderId="0" xfId="0" applyNumberFormat="1" applyProtection="1">
      <protection locked="0"/>
    </xf>
    <xf numFmtId="164" fontId="42" fillId="0" borderId="0" xfId="0" applyNumberFormat="1" applyFont="1" applyProtection="1">
      <protection locked="0"/>
    </xf>
    <xf numFmtId="164" fontId="0" fillId="0" borderId="0" xfId="0" applyNumberFormat="1" applyAlignment="1" applyProtection="1">
      <alignment horizontal="center"/>
      <protection locked="0"/>
    </xf>
    <xf numFmtId="164" fontId="0" fillId="0" borderId="23" xfId="0" applyNumberFormat="1" applyBorder="1" applyAlignment="1" applyProtection="1">
      <alignment horizontal="center"/>
      <protection locked="0"/>
    </xf>
    <xf numFmtId="164" fontId="0" fillId="0" borderId="21" xfId="0" applyNumberFormat="1" applyBorder="1" applyAlignment="1">
      <alignment horizontal="right"/>
    </xf>
    <xf numFmtId="164" fontId="0" fillId="0" borderId="0" xfId="0" applyNumberFormat="1" applyAlignment="1">
      <alignment horizontal="left"/>
    </xf>
    <xf numFmtId="164" fontId="0" fillId="0" borderId="26" xfId="0" applyNumberFormat="1" applyBorder="1" applyAlignment="1" applyProtection="1">
      <alignment horizontal="right"/>
      <protection locked="0"/>
    </xf>
    <xf numFmtId="164" fontId="9" fillId="0" borderId="20" xfId="0" applyNumberFormat="1" applyFont="1" applyBorder="1"/>
    <xf numFmtId="164" fontId="43" fillId="0" borderId="20" xfId="0" applyNumberFormat="1" applyFont="1" applyBorder="1"/>
    <xf numFmtId="164" fontId="0" fillId="0" borderId="27" xfId="0" applyNumberFormat="1" applyBorder="1" applyAlignment="1">
      <alignment horizontal="center"/>
    </xf>
    <xf numFmtId="164" fontId="0" fillId="0" borderId="27" xfId="0" applyNumberFormat="1" applyBorder="1" applyAlignment="1" applyProtection="1">
      <alignment horizontal="center"/>
      <protection locked="0"/>
    </xf>
    <xf numFmtId="164" fontId="0" fillId="0" borderId="27" xfId="0" applyNumberFormat="1" applyBorder="1" applyAlignment="1">
      <alignment horizontal="right"/>
    </xf>
    <xf numFmtId="164" fontId="9" fillId="0" borderId="28" xfId="0" applyNumberFormat="1" applyFont="1" applyBorder="1"/>
    <xf numFmtId="164" fontId="0" fillId="0" borderId="29" xfId="0" applyNumberFormat="1" applyBorder="1"/>
    <xf numFmtId="164" fontId="9" fillId="0" borderId="30" xfId="0" applyNumberFormat="1" applyFont="1" applyBorder="1" applyAlignment="1">
      <alignment horizontal="right"/>
    </xf>
    <xf numFmtId="164" fontId="0" fillId="0" borderId="31" xfId="0" applyNumberFormat="1" applyBorder="1" applyProtection="1">
      <protection locked="0"/>
    </xf>
    <xf numFmtId="164" fontId="0" fillId="0" borderId="32" xfId="0" applyNumberFormat="1" applyBorder="1"/>
    <xf numFmtId="164" fontId="0" fillId="0" borderId="23" xfId="0" applyNumberFormat="1" applyBorder="1" applyProtection="1">
      <protection locked="0"/>
    </xf>
    <xf numFmtId="164" fontId="44" fillId="0" borderId="12" xfId="0" applyNumberFormat="1" applyFont="1" applyBorder="1" applyAlignment="1" applyProtection="1">
      <alignment horizontal="centerContinuous"/>
      <protection locked="0"/>
    </xf>
    <xf numFmtId="164" fontId="45" fillId="0" borderId="21" xfId="0" applyNumberFormat="1" applyFont="1" applyBorder="1" applyProtection="1">
      <protection locked="0"/>
    </xf>
    <xf numFmtId="164" fontId="47" fillId="0" borderId="12" xfId="0" applyNumberFormat="1" applyFont="1" applyBorder="1" applyAlignment="1">
      <alignment horizontal="center"/>
    </xf>
    <xf numFmtId="164" fontId="39" fillId="0" borderId="12" xfId="0" applyNumberFormat="1" applyFont="1" applyBorder="1"/>
    <xf numFmtId="164" fontId="0" fillId="0" borderId="0" xfId="0" applyNumberFormat="1" applyAlignment="1">
      <alignment horizontal="centerContinuous"/>
    </xf>
    <xf numFmtId="164" fontId="9" fillId="0" borderId="11" xfId="0" applyNumberFormat="1" applyFont="1" applyBorder="1"/>
    <xf numFmtId="164" fontId="6" fillId="0" borderId="12" xfId="0" applyNumberFormat="1" applyFont="1" applyBorder="1" applyAlignment="1">
      <alignment horizontal="center"/>
    </xf>
    <xf numFmtId="164" fontId="50" fillId="0" borderId="0" xfId="5" applyNumberFormat="1" applyFont="1" applyProtection="1"/>
    <xf numFmtId="164" fontId="6" fillId="0" borderId="0" xfId="0" applyNumberFormat="1" applyFont="1" applyAlignment="1">
      <alignment horizontal="left"/>
    </xf>
    <xf numFmtId="164" fontId="9" fillId="0" borderId="0" xfId="0" applyNumberFormat="1" applyFont="1" applyAlignment="1">
      <alignment horizontal="right"/>
    </xf>
    <xf numFmtId="164" fontId="30" fillId="0" borderId="0" xfId="0" applyNumberFormat="1" applyFont="1"/>
    <xf numFmtId="164" fontId="30" fillId="0" borderId="0" xfId="0" applyNumberFormat="1" applyFont="1" applyAlignment="1">
      <alignment horizontal="center"/>
    </xf>
    <xf numFmtId="164" fontId="51" fillId="0" borderId="40" xfId="0" applyNumberFormat="1" applyFont="1" applyBorder="1" applyAlignment="1">
      <alignment horizontal="left"/>
    </xf>
    <xf numFmtId="164" fontId="9" fillId="0" borderId="40" xfId="0" applyNumberFormat="1" applyFont="1" applyBorder="1"/>
    <xf numFmtId="164" fontId="51" fillId="0" borderId="0" xfId="0" applyNumberFormat="1" applyFont="1" applyAlignment="1">
      <alignment horizontal="left"/>
    </xf>
    <xf numFmtId="164" fontId="6" fillId="0" borderId="40" xfId="0" quotePrefix="1" applyNumberFormat="1" applyFont="1" applyBorder="1" applyAlignment="1">
      <alignment horizontal="left"/>
    </xf>
    <xf numFmtId="164" fontId="52" fillId="0" borderId="29" xfId="0" applyNumberFormat="1" applyFont="1" applyBorder="1" applyAlignment="1">
      <alignment horizontal="center" vertical="center" wrapText="1"/>
    </xf>
    <xf numFmtId="164" fontId="28" fillId="0" borderId="29" xfId="0" applyNumberFormat="1" applyFont="1" applyBorder="1" applyAlignment="1" applyProtection="1">
      <alignment horizontal="center" vertical="center"/>
      <protection locked="0"/>
    </xf>
    <xf numFmtId="164" fontId="53" fillId="0" borderId="29" xfId="0" applyNumberFormat="1" applyFont="1" applyBorder="1" applyAlignment="1">
      <alignment horizontal="center" vertical="center" wrapText="1"/>
    </xf>
    <xf numFmtId="164" fontId="55" fillId="0" borderId="25" xfId="0" applyNumberFormat="1" applyFont="1" applyBorder="1" applyAlignment="1">
      <alignment horizontal="left" vertical="center"/>
    </xf>
    <xf numFmtId="164" fontId="55" fillId="0" borderId="0" xfId="0" applyNumberFormat="1" applyFont="1" applyAlignment="1">
      <alignment horizontal="left" vertical="center"/>
    </xf>
    <xf numFmtId="164" fontId="27" fillId="0" borderId="0" xfId="0" applyNumberFormat="1" applyFont="1"/>
    <xf numFmtId="164" fontId="56" fillId="0" borderId="0" xfId="0" applyNumberFormat="1" applyFont="1"/>
    <xf numFmtId="164" fontId="28" fillId="0" borderId="0" xfId="0" applyNumberFormat="1" applyFont="1" applyAlignment="1" applyProtection="1">
      <alignment horizontal="center" vertical="center"/>
      <protection locked="0"/>
    </xf>
    <xf numFmtId="164" fontId="57" fillId="0" borderId="0" xfId="0" applyNumberFormat="1" applyFont="1"/>
    <xf numFmtId="164" fontId="58" fillId="0" borderId="13" xfId="0" applyNumberFormat="1" applyFont="1" applyBorder="1" applyProtection="1">
      <protection locked="0"/>
    </xf>
    <xf numFmtId="164" fontId="59" fillId="0" borderId="27" xfId="0" applyNumberFormat="1" applyFont="1" applyBorder="1" applyProtection="1">
      <protection locked="0"/>
    </xf>
    <xf numFmtId="164" fontId="58" fillId="0" borderId="27" xfId="0" applyNumberFormat="1" applyFont="1" applyBorder="1" applyProtection="1">
      <protection locked="0"/>
    </xf>
    <xf numFmtId="164" fontId="27" fillId="0" borderId="27" xfId="0" applyNumberFormat="1" applyFont="1" applyBorder="1" applyProtection="1">
      <protection locked="0"/>
    </xf>
    <xf numFmtId="164" fontId="27" fillId="0" borderId="11" xfId="0" applyNumberFormat="1" applyFont="1" applyBorder="1" applyProtection="1">
      <protection locked="0"/>
    </xf>
    <xf numFmtId="164" fontId="27" fillId="0" borderId="41" xfId="0" applyNumberFormat="1" applyFont="1" applyBorder="1" applyProtection="1">
      <protection locked="0"/>
    </xf>
    <xf numFmtId="164" fontId="27" fillId="0" borderId="0" xfId="0" applyNumberFormat="1" applyFont="1" applyProtection="1">
      <protection locked="0"/>
    </xf>
    <xf numFmtId="164" fontId="29" fillId="0" borderId="0" xfId="0" applyNumberFormat="1" applyFont="1"/>
    <xf numFmtId="164" fontId="58" fillId="0" borderId="23" xfId="0" applyNumberFormat="1" applyFont="1" applyBorder="1" applyProtection="1">
      <protection locked="0"/>
    </xf>
    <xf numFmtId="164" fontId="59" fillId="0" borderId="23" xfId="0" applyNumberFormat="1" applyFont="1" applyBorder="1" applyProtection="1">
      <protection locked="0"/>
    </xf>
    <xf numFmtId="164" fontId="60" fillId="0" borderId="23" xfId="0" applyNumberFormat="1" applyFont="1" applyBorder="1" applyProtection="1">
      <protection locked="0"/>
    </xf>
    <xf numFmtId="164" fontId="57" fillId="0" borderId="21" xfId="0" applyNumberFormat="1" applyFont="1" applyBorder="1"/>
    <xf numFmtId="164" fontId="27" fillId="0" borderId="23" xfId="0" applyNumberFormat="1" applyFont="1" applyBorder="1" applyProtection="1">
      <protection locked="0"/>
    </xf>
    <xf numFmtId="164" fontId="59" fillId="0" borderId="16" xfId="0" applyNumberFormat="1" applyFont="1" applyBorder="1" applyProtection="1">
      <protection locked="0"/>
    </xf>
    <xf numFmtId="164" fontId="58" fillId="0" borderId="16" xfId="0" applyNumberFormat="1" applyFont="1" applyBorder="1" applyProtection="1">
      <protection locked="0"/>
    </xf>
    <xf numFmtId="164" fontId="59" fillId="0" borderId="13" xfId="0" applyNumberFormat="1" applyFont="1" applyBorder="1" applyProtection="1">
      <protection locked="0"/>
    </xf>
    <xf numFmtId="164" fontId="27" fillId="0" borderId="14" xfId="0" applyNumberFormat="1" applyFont="1" applyBorder="1" applyProtection="1">
      <protection locked="0"/>
    </xf>
    <xf numFmtId="164" fontId="0" fillId="0" borderId="16" xfId="0" applyNumberFormat="1" applyBorder="1" applyProtection="1">
      <protection locked="0"/>
    </xf>
    <xf numFmtId="164" fontId="0" fillId="0" borderId="10" xfId="0" applyNumberFormat="1" applyBorder="1" applyProtection="1">
      <protection locked="0"/>
    </xf>
    <xf numFmtId="164" fontId="27" fillId="0" borderId="25" xfId="0" applyNumberFormat="1" applyFont="1" applyBorder="1" applyProtection="1">
      <protection locked="0"/>
    </xf>
    <xf numFmtId="164" fontId="0" fillId="0" borderId="25" xfId="0" applyNumberFormat="1" applyBorder="1" applyProtection="1">
      <protection locked="0"/>
    </xf>
    <xf numFmtId="164" fontId="27" fillId="0" borderId="8" xfId="0" applyNumberFormat="1" applyFont="1" applyBorder="1" applyProtection="1">
      <protection locked="0"/>
    </xf>
    <xf numFmtId="164" fontId="61" fillId="0" borderId="0" xfId="5" applyNumberFormat="1" applyFont="1" applyBorder="1" applyAlignment="1">
      <alignment horizontal="left"/>
    </xf>
    <xf numFmtId="164" fontId="62" fillId="0" borderId="0" xfId="5" applyNumberFormat="1" applyFont="1" applyBorder="1" applyAlignment="1">
      <alignment horizontal="left"/>
    </xf>
    <xf numFmtId="164" fontId="24" fillId="0" borderId="0" xfId="5" applyNumberFormat="1" applyFont="1" applyBorder="1" applyAlignment="1">
      <alignment horizontal="left"/>
    </xf>
    <xf numFmtId="164" fontId="63" fillId="0" borderId="0" xfId="0" applyNumberFormat="1" applyFont="1"/>
    <xf numFmtId="0" fontId="63" fillId="0" borderId="0" xfId="0" applyFont="1"/>
    <xf numFmtId="164" fontId="23" fillId="0" borderId="0" xfId="5" applyNumberFormat="1" applyFont="1" applyBorder="1" applyAlignment="1">
      <alignment horizontal="left"/>
    </xf>
    <xf numFmtId="164" fontId="24" fillId="0" borderId="0" xfId="0" applyNumberFormat="1" applyFont="1"/>
    <xf numFmtId="14" fontId="4" fillId="0" borderId="0" xfId="3" applyNumberFormat="1" applyFont="1" applyAlignment="1">
      <alignment horizontal="left"/>
    </xf>
    <xf numFmtId="164" fontId="0" fillId="5" borderId="0" xfId="4" applyNumberFormat="1" applyFont="1" applyFill="1"/>
    <xf numFmtId="0" fontId="0" fillId="6" borderId="0" xfId="0" applyFill="1"/>
    <xf numFmtId="0" fontId="0" fillId="0" borderId="11" xfId="0" applyBorder="1"/>
    <xf numFmtId="0" fontId="0" fillId="0" borderId="12" xfId="0" applyBorder="1"/>
    <xf numFmtId="0" fontId="0" fillId="0" borderId="13" xfId="0" applyBorder="1"/>
    <xf numFmtId="0" fontId="0" fillId="0" borderId="8" xfId="0" applyBorder="1"/>
    <xf numFmtId="0" fontId="0" fillId="0" borderId="9" xfId="0" applyBorder="1"/>
    <xf numFmtId="0" fontId="0" fillId="0" borderId="10" xfId="0" applyBorder="1"/>
    <xf numFmtId="0" fontId="0" fillId="0" borderId="20" xfId="0" applyBorder="1"/>
    <xf numFmtId="0" fontId="0" fillId="0" borderId="21" xfId="0" applyBorder="1"/>
    <xf numFmtId="14" fontId="0" fillId="0" borderId="0" xfId="0" applyNumberFormat="1"/>
    <xf numFmtId="0" fontId="14" fillId="0" borderId="0" xfId="5"/>
    <xf numFmtId="0" fontId="0" fillId="8" borderId="0" xfId="0" applyFill="1"/>
    <xf numFmtId="14" fontId="0" fillId="0" borderId="12" xfId="0" applyNumberFormat="1" applyBorder="1"/>
    <xf numFmtId="2" fontId="0" fillId="0" borderId="0" xfId="0" applyNumberFormat="1"/>
    <xf numFmtId="164" fontId="24" fillId="0" borderId="0" xfId="4" applyNumberFormat="1" applyFont="1"/>
    <xf numFmtId="164" fontId="23" fillId="0" borderId="0" xfId="4" applyNumberFormat="1" applyFont="1"/>
    <xf numFmtId="2" fontId="0" fillId="5" borderId="0" xfId="0" applyNumberFormat="1" applyFill="1"/>
    <xf numFmtId="164" fontId="0" fillId="7" borderId="12" xfId="0" applyNumberFormat="1" applyFill="1" applyBorder="1"/>
    <xf numFmtId="164" fontId="14" fillId="0" borderId="9" xfId="5" applyNumberFormat="1" applyBorder="1" applyAlignment="1">
      <alignment horizontal="left"/>
    </xf>
    <xf numFmtId="164" fontId="3" fillId="0" borderId="9" xfId="3" applyNumberFormat="1" applyFont="1" applyBorder="1" applyAlignment="1">
      <alignment horizontal="left"/>
    </xf>
    <xf numFmtId="164" fontId="5" fillId="0" borderId="10" xfId="3" applyNumberFormat="1" applyFont="1" applyBorder="1" applyAlignment="1">
      <alignment horizontal="right"/>
    </xf>
    <xf numFmtId="164" fontId="5" fillId="0" borderId="21" xfId="3" quotePrefix="1" applyNumberFormat="1" applyFont="1" applyBorder="1" applyAlignment="1">
      <alignment horizontal="right"/>
    </xf>
    <xf numFmtId="164" fontId="3" fillId="0" borderId="20" xfId="3" applyNumberFormat="1" applyFont="1" applyBorder="1"/>
    <xf numFmtId="164" fontId="5" fillId="0" borderId="21" xfId="3" applyNumberFormat="1" applyFont="1" applyBorder="1" applyAlignment="1">
      <alignment horizontal="right"/>
    </xf>
    <xf numFmtId="164" fontId="21" fillId="0" borderId="21" xfId="0" applyNumberFormat="1" applyFont="1" applyBorder="1" applyAlignment="1">
      <alignment horizontal="left"/>
    </xf>
    <xf numFmtId="164" fontId="3" fillId="0" borderId="21" xfId="3" applyNumberFormat="1" applyFont="1" applyBorder="1" applyAlignment="1">
      <alignment horizontal="right"/>
    </xf>
    <xf numFmtId="164" fontId="5" fillId="0" borderId="20" xfId="3" applyNumberFormat="1" applyFont="1" applyBorder="1"/>
    <xf numFmtId="164" fontId="5" fillId="3" borderId="42" xfId="3" applyNumberFormat="1" applyFont="1" applyFill="1" applyBorder="1" applyAlignment="1">
      <alignment horizontal="center"/>
    </xf>
    <xf numFmtId="164" fontId="6" fillId="0" borderId="20" xfId="3" applyNumberFormat="1" applyFont="1" applyBorder="1"/>
    <xf numFmtId="164" fontId="6" fillId="3" borderId="42" xfId="1" applyNumberFormat="1" applyFont="1" applyFill="1" applyBorder="1" applyAlignment="1">
      <alignment horizontal="right"/>
    </xf>
    <xf numFmtId="164" fontId="6" fillId="0" borderId="21" xfId="1" applyNumberFormat="1" applyFont="1" applyBorder="1" applyAlignment="1">
      <alignment horizontal="right"/>
    </xf>
    <xf numFmtId="164" fontId="6" fillId="0" borderId="21" xfId="1" applyNumberFormat="1" applyFont="1" applyFill="1" applyBorder="1" applyAlignment="1">
      <alignment horizontal="right"/>
    </xf>
    <xf numFmtId="164" fontId="10" fillId="0" borderId="21" xfId="1" applyNumberFormat="1" applyFont="1" applyFill="1" applyBorder="1" applyAlignment="1">
      <alignment horizontal="right"/>
    </xf>
    <xf numFmtId="164" fontId="6" fillId="0" borderId="11" xfId="3" applyNumberFormat="1" applyFont="1" applyBorder="1"/>
    <xf numFmtId="164" fontId="8" fillId="0" borderId="13" xfId="1" applyNumberFormat="1" applyFont="1" applyBorder="1" applyAlignment="1">
      <alignment horizontal="right"/>
    </xf>
    <xf numFmtId="164" fontId="2" fillId="0" borderId="13" xfId="0" applyNumberFormat="1" applyFont="1" applyBorder="1"/>
    <xf numFmtId="164" fontId="2" fillId="5" borderId="0" xfId="4" applyNumberFormat="1" applyFont="1" applyFill="1"/>
    <xf numFmtId="164" fontId="67" fillId="0" borderId="0" xfId="0" applyNumberFormat="1" applyFont="1"/>
    <xf numFmtId="164" fontId="68" fillId="0" borderId="0" xfId="0" applyNumberFormat="1" applyFont="1"/>
    <xf numFmtId="164" fontId="14" fillId="7" borderId="9" xfId="5" applyNumberFormat="1" applyFill="1" applyBorder="1" applyAlignment="1">
      <alignment horizontal="left"/>
    </xf>
    <xf numFmtId="164" fontId="3" fillId="7" borderId="9" xfId="3" applyNumberFormat="1" applyFont="1" applyFill="1" applyBorder="1" applyAlignment="1">
      <alignment horizontal="right"/>
    </xf>
    <xf numFmtId="164" fontId="5" fillId="7" borderId="9" xfId="3" applyNumberFormat="1" applyFont="1" applyFill="1" applyBorder="1" applyAlignment="1">
      <alignment horizontal="right"/>
    </xf>
    <xf numFmtId="164" fontId="3" fillId="7" borderId="15" xfId="1" applyNumberFormat="1" applyFont="1" applyFill="1" applyBorder="1"/>
    <xf numFmtId="164" fontId="3" fillId="7" borderId="9" xfId="3" applyNumberFormat="1" applyFont="1" applyFill="1" applyBorder="1" applyAlignment="1">
      <alignment horizontal="left"/>
    </xf>
    <xf numFmtId="164" fontId="5" fillId="7" borderId="10" xfId="3" applyNumberFormat="1" applyFont="1" applyFill="1" applyBorder="1" applyAlignment="1">
      <alignment horizontal="right"/>
    </xf>
    <xf numFmtId="164" fontId="3" fillId="7" borderId="17" xfId="3" applyNumberFormat="1" applyFont="1" applyFill="1" applyBorder="1" applyAlignment="1">
      <alignment horizontal="left"/>
    </xf>
    <xf numFmtId="164" fontId="3" fillId="7" borderId="0" xfId="3" applyNumberFormat="1" applyFont="1" applyFill="1" applyAlignment="1">
      <alignment horizontal="right"/>
    </xf>
    <xf numFmtId="164" fontId="4" fillId="7" borderId="0" xfId="3" applyNumberFormat="1" applyFont="1" applyFill="1" applyAlignment="1">
      <alignment horizontal="left"/>
    </xf>
    <xf numFmtId="164" fontId="3" fillId="7" borderId="17" xfId="3" applyNumberFormat="1" applyFont="1" applyFill="1" applyBorder="1" applyAlignment="1">
      <alignment horizontal="right"/>
    </xf>
    <xf numFmtId="164" fontId="5" fillId="7" borderId="0" xfId="3" applyNumberFormat="1" applyFont="1" applyFill="1" applyAlignment="1">
      <alignment horizontal="right"/>
    </xf>
    <xf numFmtId="164" fontId="3" fillId="7" borderId="24" xfId="1" applyNumberFormat="1" applyFont="1" applyFill="1" applyBorder="1"/>
    <xf numFmtId="164" fontId="3" fillId="7" borderId="0" xfId="1" applyNumberFormat="1" applyFont="1" applyFill="1" applyBorder="1" applyAlignment="1">
      <alignment horizontal="right"/>
    </xf>
    <xf numFmtId="164" fontId="6" fillId="7" borderId="0" xfId="3" applyNumberFormat="1" applyFont="1" applyFill="1" applyAlignment="1">
      <alignment horizontal="right"/>
    </xf>
    <xf numFmtId="164" fontId="6" fillId="7" borderId="23" xfId="1" applyNumberFormat="1" applyFont="1" applyFill="1" applyBorder="1" applyAlignment="1">
      <alignment horizontal="right"/>
    </xf>
    <xf numFmtId="164" fontId="3" fillId="7" borderId="0" xfId="3" applyNumberFormat="1" applyFont="1" applyFill="1" applyAlignment="1">
      <alignment horizontal="left"/>
    </xf>
    <xf numFmtId="164" fontId="5" fillId="7" borderId="21" xfId="3" quotePrefix="1" applyNumberFormat="1" applyFont="1" applyFill="1" applyBorder="1" applyAlignment="1">
      <alignment horizontal="right"/>
    </xf>
    <xf numFmtId="164" fontId="3" fillId="7" borderId="20" xfId="3" applyNumberFormat="1" applyFont="1" applyFill="1" applyBorder="1"/>
    <xf numFmtId="164" fontId="4" fillId="7" borderId="0" xfId="3" applyNumberFormat="1" applyFont="1" applyFill="1" applyAlignment="1">
      <alignment horizontal="center"/>
    </xf>
    <xf numFmtId="164" fontId="3" fillId="7" borderId="1" xfId="1" applyNumberFormat="1" applyFont="1" applyFill="1" applyBorder="1"/>
    <xf numFmtId="164" fontId="19" fillId="7" borderId="6" xfId="1" applyNumberFormat="1" applyFont="1" applyFill="1" applyBorder="1" applyAlignment="1">
      <alignment horizontal="right"/>
    </xf>
    <xf numFmtId="164" fontId="24" fillId="7" borderId="23" xfId="0" applyNumberFormat="1" applyFont="1" applyFill="1" applyBorder="1" applyAlignment="1">
      <alignment horizontal="right"/>
    </xf>
    <xf numFmtId="164" fontId="21" fillId="7" borderId="0" xfId="0" applyNumberFormat="1" applyFont="1" applyFill="1"/>
    <xf numFmtId="164" fontId="5" fillId="7" borderId="21" xfId="3" applyNumberFormat="1" applyFont="1" applyFill="1" applyBorder="1" applyAlignment="1">
      <alignment horizontal="right"/>
    </xf>
    <xf numFmtId="14" fontId="4" fillId="7" borderId="0" xfId="3" applyNumberFormat="1" applyFont="1" applyFill="1" applyAlignment="1">
      <alignment horizontal="left"/>
    </xf>
    <xf numFmtId="164" fontId="5" fillId="7" borderId="0" xfId="3" quotePrefix="1" applyNumberFormat="1" applyFont="1" applyFill="1" applyAlignment="1">
      <alignment horizontal="right"/>
    </xf>
    <xf numFmtId="164" fontId="6" fillId="7" borderId="2" xfId="3" applyNumberFormat="1" applyFont="1" applyFill="1" applyBorder="1" applyAlignment="1">
      <alignment horizontal="right"/>
    </xf>
    <xf numFmtId="164" fontId="3" fillId="7" borderId="3" xfId="2" applyNumberFormat="1" applyFont="1" applyFill="1" applyBorder="1" applyAlignment="1">
      <alignment horizontal="right"/>
    </xf>
    <xf numFmtId="164" fontId="6" fillId="7" borderId="23" xfId="1" quotePrefix="1" applyNumberFormat="1" applyFont="1" applyFill="1" applyBorder="1" applyAlignment="1">
      <alignment horizontal="right"/>
    </xf>
    <xf numFmtId="164" fontId="19" fillId="7" borderId="0" xfId="3" applyNumberFormat="1" applyFont="1" applyFill="1" applyAlignment="1">
      <alignment horizontal="left"/>
    </xf>
    <xf numFmtId="164" fontId="7" fillId="7" borderId="0" xfId="3" applyNumberFormat="1" applyFont="1" applyFill="1" applyAlignment="1">
      <alignment horizontal="right"/>
    </xf>
    <xf numFmtId="164" fontId="21" fillId="7" borderId="0" xfId="0" applyNumberFormat="1" applyFont="1" applyFill="1" applyAlignment="1">
      <alignment horizontal="left"/>
    </xf>
    <xf numFmtId="164" fontId="21" fillId="7" borderId="21" xfId="0" applyNumberFormat="1" applyFont="1" applyFill="1" applyBorder="1" applyAlignment="1">
      <alignment horizontal="left"/>
    </xf>
    <xf numFmtId="164" fontId="3" fillId="7" borderId="4" xfId="3" applyNumberFormat="1" applyFont="1" applyFill="1" applyBorder="1" applyAlignment="1">
      <alignment horizontal="center"/>
    </xf>
    <xf numFmtId="164" fontId="3" fillId="7" borderId="23" xfId="3" applyNumberFormat="1" applyFont="1" applyFill="1" applyBorder="1" applyAlignment="1">
      <alignment horizontal="right"/>
    </xf>
    <xf numFmtId="164" fontId="3" fillId="7" borderId="21" xfId="3" applyNumberFormat="1" applyFont="1" applyFill="1" applyBorder="1" applyAlignment="1">
      <alignment horizontal="right"/>
    </xf>
    <xf numFmtId="164" fontId="5" fillId="7" borderId="20" xfId="3" applyNumberFormat="1" applyFont="1" applyFill="1" applyBorder="1"/>
    <xf numFmtId="164" fontId="5" fillId="7" borderId="2" xfId="3" applyNumberFormat="1" applyFont="1" applyFill="1" applyBorder="1" applyAlignment="1">
      <alignment horizontal="center"/>
    </xf>
    <xf numFmtId="164" fontId="5" fillId="7" borderId="2" xfId="3" applyNumberFormat="1" applyFont="1" applyFill="1" applyBorder="1" applyAlignment="1">
      <alignment horizontal="left"/>
    </xf>
    <xf numFmtId="164" fontId="5" fillId="7" borderId="5" xfId="3" applyNumberFormat="1" applyFont="1" applyFill="1" applyBorder="1" applyAlignment="1">
      <alignment horizontal="center"/>
    </xf>
    <xf numFmtId="164" fontId="5" fillId="7" borderId="5" xfId="3" applyNumberFormat="1" applyFont="1" applyFill="1" applyBorder="1" applyAlignment="1">
      <alignment horizontal="left"/>
    </xf>
    <xf numFmtId="164" fontId="5" fillId="7" borderId="3" xfId="3" applyNumberFormat="1" applyFont="1" applyFill="1" applyBorder="1" applyAlignment="1">
      <alignment horizontal="center"/>
    </xf>
    <xf numFmtId="164" fontId="5" fillId="7" borderId="2" xfId="3" applyNumberFormat="1" applyFont="1" applyFill="1" applyBorder="1" applyAlignment="1">
      <alignment horizontal="center" wrapText="1"/>
    </xf>
    <xf numFmtId="164" fontId="5" fillId="7" borderId="42" xfId="3" applyNumberFormat="1" applyFont="1" applyFill="1" applyBorder="1" applyAlignment="1">
      <alignment horizontal="center"/>
    </xf>
    <xf numFmtId="164" fontId="6" fillId="7" borderId="20" xfId="3" applyNumberFormat="1" applyFont="1" applyFill="1" applyBorder="1"/>
    <xf numFmtId="164" fontId="8" fillId="7" borderId="2" xfId="3" quotePrefix="1" applyNumberFormat="1" applyFont="1" applyFill="1" applyBorder="1" applyAlignment="1">
      <alignment horizontal="center"/>
    </xf>
    <xf numFmtId="164" fontId="8" fillId="7" borderId="2" xfId="3" applyNumberFormat="1" applyFont="1" applyFill="1" applyBorder="1" applyAlignment="1">
      <alignment horizontal="left"/>
    </xf>
    <xf numFmtId="164" fontId="6" fillId="7" borderId="5" xfId="3" applyNumberFormat="1" applyFont="1" applyFill="1" applyBorder="1" applyAlignment="1">
      <alignment horizontal="right"/>
    </xf>
    <xf numFmtId="164" fontId="8" fillId="7" borderId="5" xfId="3" applyNumberFormat="1" applyFont="1" applyFill="1" applyBorder="1" applyAlignment="1">
      <alignment horizontal="right"/>
    </xf>
    <xf numFmtId="164" fontId="6" fillId="7" borderId="3" xfId="1" applyNumberFormat="1" applyFont="1" applyFill="1" applyBorder="1" applyAlignment="1">
      <alignment horizontal="right"/>
    </xf>
    <xf numFmtId="164" fontId="6" fillId="7" borderId="42" xfId="1" applyNumberFormat="1" applyFont="1" applyFill="1" applyBorder="1" applyAlignment="1">
      <alignment horizontal="right"/>
    </xf>
    <xf numFmtId="164" fontId="9" fillId="7" borderId="6" xfId="3" applyNumberFormat="1" applyFont="1" applyFill="1" applyBorder="1" applyAlignment="1">
      <alignment horizontal="center"/>
    </xf>
    <xf numFmtId="164" fontId="9" fillId="7" borderId="6" xfId="3" applyNumberFormat="1" applyFont="1" applyFill="1" applyBorder="1" applyAlignment="1">
      <alignment horizontal="left"/>
    </xf>
    <xf numFmtId="164" fontId="6" fillId="7" borderId="0" xfId="3" applyNumberFormat="1" applyFont="1" applyFill="1" applyAlignment="1">
      <alignment horizontal="left"/>
    </xf>
    <xf numFmtId="164" fontId="6" fillId="7" borderId="6" xfId="3" applyNumberFormat="1" applyFont="1" applyFill="1" applyBorder="1" applyAlignment="1">
      <alignment horizontal="right"/>
    </xf>
    <xf numFmtId="164" fontId="6" fillId="7" borderId="7" xfId="1" applyNumberFormat="1" applyFont="1" applyFill="1" applyBorder="1" applyAlignment="1">
      <alignment horizontal="right"/>
    </xf>
    <xf numFmtId="164" fontId="6" fillId="7" borderId="21" xfId="1" applyNumberFormat="1" applyFont="1" applyFill="1" applyBorder="1" applyAlignment="1">
      <alignment horizontal="right"/>
    </xf>
    <xf numFmtId="164" fontId="6" fillId="7" borderId="6" xfId="3" applyNumberFormat="1" applyFont="1" applyFill="1" applyBorder="1" applyAlignment="1">
      <alignment horizontal="center"/>
    </xf>
    <xf numFmtId="164" fontId="6" fillId="7" borderId="6" xfId="3" applyNumberFormat="1" applyFont="1" applyFill="1" applyBorder="1" applyAlignment="1">
      <alignment horizontal="left"/>
    </xf>
    <xf numFmtId="164" fontId="6" fillId="7" borderId="0" xfId="1" applyNumberFormat="1" applyFont="1" applyFill="1" applyBorder="1" applyAlignment="1">
      <alignment horizontal="right"/>
    </xf>
    <xf numFmtId="164" fontId="10" fillId="7" borderId="6" xfId="3" applyNumberFormat="1" applyFont="1" applyFill="1" applyBorder="1" applyAlignment="1">
      <alignment horizontal="right"/>
    </xf>
    <xf numFmtId="164" fontId="10" fillId="7" borderId="6" xfId="1" applyNumberFormat="1" applyFont="1" applyFill="1" applyBorder="1" applyAlignment="1">
      <alignment horizontal="right"/>
    </xf>
    <xf numFmtId="164" fontId="10" fillId="7" borderId="7" xfId="1" applyNumberFormat="1" applyFont="1" applyFill="1" applyBorder="1" applyAlignment="1">
      <alignment horizontal="right"/>
    </xf>
    <xf numFmtId="164" fontId="10" fillId="7" borderId="21" xfId="1" applyNumberFormat="1" applyFont="1" applyFill="1" applyBorder="1" applyAlignment="1">
      <alignment horizontal="right"/>
    </xf>
    <xf numFmtId="164" fontId="6" fillId="7" borderId="19" xfId="3" applyNumberFormat="1" applyFont="1" applyFill="1" applyBorder="1" applyAlignment="1">
      <alignment horizontal="center"/>
    </xf>
    <xf numFmtId="164" fontId="6" fillId="7" borderId="19" xfId="3" applyNumberFormat="1" applyFont="1" applyFill="1" applyBorder="1" applyAlignment="1">
      <alignment horizontal="left"/>
    </xf>
    <xf numFmtId="164" fontId="6" fillId="7" borderId="12" xfId="3" applyNumberFormat="1" applyFont="1" applyFill="1" applyBorder="1" applyAlignment="1">
      <alignment horizontal="right"/>
    </xf>
    <xf numFmtId="164" fontId="6" fillId="7" borderId="12" xfId="3" applyNumberFormat="1" applyFont="1" applyFill="1" applyBorder="1" applyAlignment="1">
      <alignment horizontal="left"/>
    </xf>
    <xf numFmtId="164" fontId="9" fillId="7" borderId="19" xfId="1" applyNumberFormat="1" applyFont="1" applyFill="1" applyBorder="1" applyAlignment="1">
      <alignment horizontal="right"/>
    </xf>
    <xf numFmtId="164" fontId="8" fillId="7" borderId="18" xfId="1" applyNumberFormat="1" applyFont="1" applyFill="1" applyBorder="1" applyAlignment="1">
      <alignment horizontal="right"/>
    </xf>
    <xf numFmtId="164" fontId="8" fillId="7" borderId="19" xfId="3" applyNumberFormat="1" applyFont="1" applyFill="1" applyBorder="1" applyAlignment="1">
      <alignment horizontal="right"/>
    </xf>
    <xf numFmtId="164" fontId="10" fillId="7" borderId="12" xfId="1" applyNumberFormat="1" applyFont="1" applyFill="1" applyBorder="1" applyAlignment="1">
      <alignment horizontal="right"/>
    </xf>
    <xf numFmtId="164" fontId="8" fillId="7" borderId="13" xfId="1" applyNumberFormat="1" applyFont="1" applyFill="1" applyBorder="1" applyAlignment="1">
      <alignment horizontal="right"/>
    </xf>
    <xf numFmtId="164" fontId="2" fillId="7" borderId="13" xfId="0" applyNumberFormat="1" applyFont="1" applyFill="1" applyBorder="1"/>
    <xf numFmtId="164" fontId="11" fillId="9" borderId="0" xfId="4" applyNumberFormat="1" applyFont="1" applyFill="1"/>
    <xf numFmtId="164" fontId="20" fillId="0" borderId="0" xfId="4" applyNumberFormat="1" applyFont="1"/>
    <xf numFmtId="164" fontId="17" fillId="0" borderId="0" xfId="4" applyNumberFormat="1" applyFont="1"/>
    <xf numFmtId="0" fontId="4" fillId="0" borderId="0" xfId="3" applyFont="1" applyAlignment="1">
      <alignment horizontal="center"/>
    </xf>
    <xf numFmtId="0" fontId="4" fillId="0" borderId="0" xfId="3" applyFont="1" applyAlignment="1">
      <alignment horizontal="left"/>
    </xf>
    <xf numFmtId="3" fontId="3" fillId="0" borderId="0" xfId="3" applyNumberFormat="1" applyFont="1" applyAlignment="1">
      <alignment horizontal="right"/>
    </xf>
    <xf numFmtId="4" fontId="3" fillId="0" borderId="0" xfId="3" applyNumberFormat="1" applyFont="1" applyAlignment="1">
      <alignment horizontal="right"/>
    </xf>
    <xf numFmtId="3" fontId="6" fillId="0" borderId="2" xfId="3" applyNumberFormat="1" applyFont="1" applyBorder="1" applyAlignment="1">
      <alignment horizontal="right"/>
    </xf>
    <xf numFmtId="3" fontId="7" fillId="0" borderId="0" xfId="3" applyNumberFormat="1" applyFont="1" applyAlignment="1">
      <alignment horizontal="right"/>
    </xf>
    <xf numFmtId="0" fontId="5" fillId="3" borderId="2" xfId="3" applyFont="1" applyFill="1" applyBorder="1" applyAlignment="1">
      <alignment horizontal="center"/>
    </xf>
    <xf numFmtId="0" fontId="5" fillId="3" borderId="2" xfId="3" applyFont="1" applyFill="1" applyBorder="1" applyAlignment="1">
      <alignment horizontal="left"/>
    </xf>
    <xf numFmtId="3" fontId="5" fillId="3" borderId="3" xfId="3" applyNumberFormat="1" applyFont="1" applyFill="1" applyBorder="1" applyAlignment="1">
      <alignment horizontal="center"/>
    </xf>
    <xf numFmtId="0" fontId="69" fillId="3" borderId="2" xfId="3" quotePrefix="1" applyFont="1" applyFill="1" applyBorder="1" applyAlignment="1">
      <alignment horizontal="center"/>
    </xf>
    <xf numFmtId="0" fontId="69" fillId="3" borderId="2" xfId="3" applyFont="1" applyFill="1" applyBorder="1" applyAlignment="1">
      <alignment horizontal="left"/>
    </xf>
    <xf numFmtId="165" fontId="70" fillId="3" borderId="3" xfId="1" applyNumberFormat="1" applyFont="1" applyFill="1" applyBorder="1" applyAlignment="1">
      <alignment horizontal="right"/>
    </xf>
    <xf numFmtId="165" fontId="6" fillId="3" borderId="3" xfId="1" applyNumberFormat="1" applyFont="1" applyFill="1" applyBorder="1" applyAlignment="1">
      <alignment horizontal="right"/>
    </xf>
    <xf numFmtId="4" fontId="6" fillId="0" borderId="0" xfId="3" applyNumberFormat="1" applyFont="1" applyAlignment="1">
      <alignment horizontal="right"/>
    </xf>
    <xf numFmtId="0" fontId="25" fillId="10" borderId="2" xfId="3" quotePrefix="1" applyFont="1" applyFill="1" applyBorder="1" applyAlignment="1">
      <alignment horizontal="center"/>
    </xf>
    <xf numFmtId="165" fontId="35" fillId="10" borderId="3" xfId="1" applyNumberFormat="1" applyFont="1" applyFill="1" applyBorder="1" applyAlignment="1">
      <alignment horizontal="right"/>
    </xf>
    <xf numFmtId="4" fontId="35" fillId="10" borderId="5" xfId="3" applyNumberFormat="1" applyFont="1" applyFill="1" applyBorder="1" applyAlignment="1">
      <alignment horizontal="right"/>
    </xf>
    <xf numFmtId="165" fontId="6" fillId="0" borderId="0" xfId="1" applyNumberFormat="1" applyFont="1" applyBorder="1" applyAlignment="1">
      <alignment horizontal="right"/>
    </xf>
    <xf numFmtId="10" fontId="6" fillId="0" borderId="0" xfId="2" applyNumberFormat="1" applyFont="1" applyAlignment="1">
      <alignment horizontal="right"/>
    </xf>
    <xf numFmtId="10" fontId="6" fillId="0" borderId="0" xfId="2" applyNumberFormat="1" applyFont="1" applyBorder="1" applyAlignment="1">
      <alignment horizontal="right"/>
    </xf>
    <xf numFmtId="165" fontId="35" fillId="10" borderId="5" xfId="1" applyNumberFormat="1" applyFont="1" applyFill="1" applyBorder="1" applyAlignment="1">
      <alignment horizontal="right"/>
    </xf>
    <xf numFmtId="165" fontId="73" fillId="10" borderId="5" xfId="1" applyNumberFormat="1" applyFont="1" applyFill="1" applyBorder="1" applyAlignment="1">
      <alignment horizontal="right"/>
    </xf>
    <xf numFmtId="4" fontId="72" fillId="10" borderId="5" xfId="3" applyNumberFormat="1" applyFont="1" applyFill="1" applyBorder="1" applyAlignment="1">
      <alignment horizontal="right"/>
    </xf>
    <xf numFmtId="165" fontId="72" fillId="10" borderId="3" xfId="1" applyNumberFormat="1" applyFont="1" applyFill="1" applyBorder="1" applyAlignment="1">
      <alignment horizontal="right"/>
    </xf>
    <xf numFmtId="0" fontId="3" fillId="0" borderId="0" xfId="3" applyFont="1" applyAlignment="1">
      <alignment horizontal="right"/>
    </xf>
    <xf numFmtId="44" fontId="3" fillId="0" borderId="0" xfId="1" applyFont="1" applyFill="1" applyBorder="1"/>
    <xf numFmtId="0" fontId="3" fillId="0" borderId="0" xfId="3" applyFont="1" applyAlignment="1">
      <alignment horizontal="left"/>
    </xf>
    <xf numFmtId="0" fontId="25" fillId="10" borderId="5" xfId="3" applyFont="1" applyFill="1" applyBorder="1" applyAlignment="1">
      <alignment horizontal="left"/>
    </xf>
    <xf numFmtId="0" fontId="69" fillId="3" borderId="43" xfId="3" quotePrefix="1" applyFont="1" applyFill="1" applyBorder="1" applyAlignment="1">
      <alignment horizontal="center"/>
    </xf>
    <xf numFmtId="0" fontId="6" fillId="0" borderId="0" xfId="3" applyFont="1" applyAlignment="1">
      <alignment horizontal="center"/>
    </xf>
    <xf numFmtId="0" fontId="69" fillId="3" borderId="43" xfId="3" applyFont="1" applyFill="1" applyBorder="1" applyAlignment="1">
      <alignment horizontal="left"/>
    </xf>
    <xf numFmtId="165" fontId="70" fillId="3" borderId="44" xfId="1" applyNumberFormat="1" applyFont="1" applyFill="1" applyBorder="1" applyAlignment="1">
      <alignment horizontal="right"/>
    </xf>
    <xf numFmtId="0" fontId="71" fillId="10" borderId="2" xfId="3" quotePrefix="1" applyFont="1" applyFill="1" applyBorder="1" applyAlignment="1">
      <alignment horizontal="center"/>
    </xf>
    <xf numFmtId="10" fontId="3" fillId="0" borderId="5" xfId="2" applyNumberFormat="1" applyFont="1" applyFill="1" applyBorder="1" applyAlignment="1">
      <alignment horizontal="right"/>
    </xf>
    <xf numFmtId="0" fontId="17" fillId="0" borderId="0" xfId="0" applyFont="1" applyAlignment="1">
      <alignment horizontal="center" vertical="center" wrapText="1"/>
    </xf>
    <xf numFmtId="0" fontId="0" fillId="0" borderId="0" xfId="0" applyAlignment="1">
      <alignment vertical="center" wrapText="1"/>
    </xf>
    <xf numFmtId="0" fontId="75" fillId="0" borderId="0" xfId="0" applyFont="1" applyAlignment="1">
      <alignment vertical="center" wrapText="1"/>
    </xf>
    <xf numFmtId="0" fontId="17" fillId="0" borderId="0" xfId="0" applyFont="1" applyAlignment="1">
      <alignment vertical="center" wrapText="1"/>
    </xf>
    <xf numFmtId="164" fontId="9" fillId="0" borderId="8" xfId="0" applyNumberFormat="1" applyFont="1" applyBorder="1" applyAlignment="1" applyProtection="1">
      <alignment vertical="top" wrapText="1"/>
      <protection locked="0"/>
    </xf>
    <xf numFmtId="164" fontId="0" fillId="0" borderId="9" xfId="0" applyNumberFormat="1" applyBorder="1" applyAlignment="1" applyProtection="1">
      <alignment vertical="top" wrapText="1"/>
      <protection locked="0"/>
    </xf>
    <xf numFmtId="164" fontId="0" fillId="0" borderId="10" xfId="0" applyNumberFormat="1" applyBorder="1" applyAlignment="1" applyProtection="1">
      <alignment vertical="top" wrapText="1"/>
      <protection locked="0"/>
    </xf>
    <xf numFmtId="164" fontId="0" fillId="0" borderId="11" xfId="0" applyNumberFormat="1" applyBorder="1" applyAlignment="1" applyProtection="1">
      <alignment vertical="top" wrapText="1"/>
      <protection locked="0"/>
    </xf>
    <xf numFmtId="164" fontId="0" fillId="0" borderId="12" xfId="0" applyNumberFormat="1" applyBorder="1" applyAlignment="1" applyProtection="1">
      <alignment vertical="top" wrapText="1"/>
      <protection locked="0"/>
    </xf>
    <xf numFmtId="164" fontId="0" fillId="0" borderId="13" xfId="0" applyNumberFormat="1" applyBorder="1" applyAlignment="1" applyProtection="1">
      <alignment vertical="top" wrapText="1"/>
      <protection locked="0"/>
    </xf>
    <xf numFmtId="164" fontId="9" fillId="0" borderId="23" xfId="0" applyNumberFormat="1" applyFont="1" applyBorder="1" applyAlignment="1" applyProtection="1">
      <alignment horizontal="left"/>
      <protection locked="0"/>
    </xf>
    <xf numFmtId="164" fontId="0" fillId="0" borderId="23" xfId="0" applyNumberFormat="1" applyBorder="1" applyAlignment="1" applyProtection="1">
      <alignment horizontal="left"/>
      <protection locked="0"/>
    </xf>
    <xf numFmtId="164" fontId="9" fillId="0" borderId="20" xfId="0" applyNumberFormat="1" applyFont="1" applyBorder="1" applyAlignment="1">
      <alignment horizontal="left"/>
    </xf>
    <xf numFmtId="164" fontId="0" fillId="0" borderId="0" xfId="0" applyNumberFormat="1" applyAlignment="1">
      <alignment horizontal="left"/>
    </xf>
    <xf numFmtId="164" fontId="0" fillId="0" borderId="21" xfId="0" applyNumberFormat="1" applyBorder="1" applyAlignment="1">
      <alignment horizontal="left"/>
    </xf>
    <xf numFmtId="164" fontId="0" fillId="0" borderId="31" xfId="0" applyNumberFormat="1" applyBorder="1" applyProtection="1">
      <protection locked="0"/>
    </xf>
    <xf numFmtId="164" fontId="0" fillId="0" borderId="32" xfId="0" applyNumberFormat="1" applyBorder="1"/>
    <xf numFmtId="164" fontId="0" fillId="0" borderId="33" xfId="0" applyNumberFormat="1" applyBorder="1"/>
    <xf numFmtId="164" fontId="0" fillId="0" borderId="34" xfId="0" applyNumberFormat="1" applyBorder="1"/>
    <xf numFmtId="164" fontId="0" fillId="0" borderId="23" xfId="0" applyNumberFormat="1" applyBorder="1" applyProtection="1">
      <protection locked="0"/>
    </xf>
    <xf numFmtId="164" fontId="0" fillId="0" borderId="35" xfId="0" applyNumberFormat="1" applyBorder="1" applyProtection="1">
      <protection locked="0"/>
    </xf>
    <xf numFmtId="164" fontId="0" fillId="0" borderId="33" xfId="0" applyNumberFormat="1" applyBorder="1" applyAlignment="1">
      <alignment horizontal="left"/>
    </xf>
    <xf numFmtId="164" fontId="0" fillId="0" borderId="0" xfId="0" applyNumberFormat="1"/>
    <xf numFmtId="164" fontId="0" fillId="0" borderId="21" xfId="0" applyNumberFormat="1" applyBorder="1"/>
    <xf numFmtId="164" fontId="0" fillId="0" borderId="36" xfId="0" applyNumberFormat="1" applyBorder="1" applyProtection="1">
      <protection locked="0"/>
    </xf>
    <xf numFmtId="164" fontId="0" fillId="0" borderId="37" xfId="0" applyNumberFormat="1" applyBorder="1"/>
    <xf numFmtId="164" fontId="0" fillId="0" borderId="38" xfId="0" applyNumberFormat="1" applyBorder="1"/>
    <xf numFmtId="164" fontId="0" fillId="0" borderId="39" xfId="0" applyNumberFormat="1" applyBorder="1"/>
    <xf numFmtId="164" fontId="44" fillId="0" borderId="12" xfId="0" applyNumberFormat="1" applyFont="1" applyBorder="1" applyAlignment="1">
      <alignment horizontal="center"/>
    </xf>
    <xf numFmtId="164" fontId="0" fillId="0" borderId="12" xfId="0" applyNumberFormat="1" applyBorder="1" applyAlignment="1">
      <alignment horizontal="center"/>
    </xf>
    <xf numFmtId="164" fontId="46" fillId="0" borderId="0" xfId="0" applyNumberFormat="1" applyFont="1" applyAlignment="1">
      <alignment horizontal="center"/>
    </xf>
    <xf numFmtId="164" fontId="6" fillId="0" borderId="0" xfId="0" applyNumberFormat="1" applyFont="1"/>
    <xf numFmtId="164" fontId="0" fillId="0" borderId="14" xfId="0" applyNumberFormat="1" applyBorder="1" applyProtection="1">
      <protection locked="0"/>
    </xf>
    <xf numFmtId="164" fontId="0" fillId="0" borderId="16" xfId="0" applyNumberFormat="1" applyBorder="1"/>
    <xf numFmtId="164" fontId="9" fillId="0" borderId="0" xfId="0" applyNumberFormat="1" applyFont="1" applyAlignment="1">
      <alignment horizontal="left" shrinkToFit="1"/>
    </xf>
    <xf numFmtId="164" fontId="9" fillId="0" borderId="0" xfId="0" applyNumberFormat="1" applyFont="1" applyAlignment="1">
      <alignment horizontal="left"/>
    </xf>
    <xf numFmtId="164" fontId="9" fillId="0" borderId="23" xfId="0" applyNumberFormat="1" applyFont="1" applyBorder="1" applyProtection="1">
      <protection locked="0"/>
    </xf>
    <xf numFmtId="164" fontId="35" fillId="0" borderId="9" xfId="0" applyNumberFormat="1" applyFont="1" applyBorder="1"/>
    <xf numFmtId="164" fontId="0" fillId="0" borderId="9" xfId="0" applyNumberFormat="1" applyBorder="1"/>
    <xf numFmtId="164" fontId="0" fillId="0" borderId="10" xfId="0" applyNumberFormat="1" applyBorder="1"/>
    <xf numFmtId="164" fontId="10" fillId="0" borderId="0" xfId="0" applyNumberFormat="1" applyFont="1"/>
    <xf numFmtId="164" fontId="24" fillId="0" borderId="0" xfId="0" applyNumberFormat="1" applyFont="1"/>
    <xf numFmtId="164" fontId="31" fillId="0" borderId="8" xfId="0" applyNumberFormat="1" applyFont="1" applyBorder="1" applyAlignment="1">
      <alignment horizontal="center"/>
    </xf>
    <xf numFmtId="164" fontId="31" fillId="0" borderId="9" xfId="0" applyNumberFormat="1" applyFont="1" applyBorder="1" applyAlignment="1">
      <alignment horizontal="center"/>
    </xf>
    <xf numFmtId="164" fontId="31" fillId="0" borderId="10" xfId="0" applyNumberFormat="1" applyFont="1" applyBorder="1" applyAlignment="1">
      <alignment horizontal="center"/>
    </xf>
    <xf numFmtId="164" fontId="32" fillId="0" borderId="8" xfId="0" applyNumberFormat="1" applyFont="1" applyBorder="1" applyProtection="1">
      <protection locked="0"/>
    </xf>
    <xf numFmtId="164" fontId="0" fillId="0" borderId="9" xfId="0" applyNumberFormat="1" applyBorder="1" applyProtection="1">
      <protection locked="0"/>
    </xf>
    <xf numFmtId="164" fontId="9" fillId="0" borderId="8" xfId="0" applyNumberFormat="1" applyFont="1" applyBorder="1" applyProtection="1">
      <protection locked="0"/>
    </xf>
    <xf numFmtId="164" fontId="9" fillId="0" borderId="9" xfId="0" applyNumberFormat="1" applyFont="1" applyBorder="1" applyProtection="1">
      <protection locked="0"/>
    </xf>
    <xf numFmtId="164" fontId="0" fillId="7" borderId="12" xfId="0" applyNumberFormat="1" applyFill="1" applyBorder="1"/>
    <xf numFmtId="164" fontId="49" fillId="0" borderId="0" xfId="0" quotePrefix="1" applyNumberFormat="1" applyFont="1" applyAlignment="1">
      <alignment horizontal="center"/>
    </xf>
    <xf numFmtId="164" fontId="49" fillId="0" borderId="0" xfId="0" applyNumberFormat="1" applyFont="1" applyAlignment="1">
      <alignment horizontal="left"/>
    </xf>
    <xf numFmtId="164" fontId="49" fillId="0" borderId="0" xfId="0" applyNumberFormat="1" applyFont="1" applyAlignment="1">
      <alignment horizontal="center"/>
    </xf>
    <xf numFmtId="164" fontId="54" fillId="0" borderId="25" xfId="0" applyNumberFormat="1" applyFont="1" applyBorder="1" applyAlignment="1">
      <alignment horizontal="left" vertical="center"/>
    </xf>
    <xf numFmtId="164" fontId="74" fillId="0" borderId="0" xfId="3" applyNumberFormat="1" applyFont="1" applyAlignment="1">
      <alignment horizontal="center"/>
    </xf>
    <xf numFmtId="0" fontId="20" fillId="0" borderId="0" xfId="0" applyFont="1" applyAlignment="1">
      <alignment horizontal="center"/>
    </xf>
    <xf numFmtId="164" fontId="3" fillId="0" borderId="0" xfId="3" applyNumberFormat="1" applyFont="1" applyAlignment="1">
      <alignment horizontal="right"/>
    </xf>
    <xf numFmtId="164" fontId="0" fillId="0" borderId="7" xfId="0" applyNumberFormat="1" applyBorder="1" applyAlignment="1">
      <alignment horizontal="right"/>
    </xf>
    <xf numFmtId="164" fontId="3" fillId="0" borderId="6" xfId="3" applyNumberFormat="1" applyFont="1" applyBorder="1" applyAlignment="1">
      <alignment horizontal="right"/>
    </xf>
    <xf numFmtId="164" fontId="3" fillId="0" borderId="9" xfId="3" applyNumberFormat="1" applyFont="1" applyBorder="1"/>
    <xf numFmtId="164" fontId="18" fillId="0" borderId="9" xfId="5" applyNumberFormat="1" applyFont="1" applyBorder="1" applyAlignment="1">
      <alignment horizontal="right"/>
    </xf>
    <xf numFmtId="164" fontId="1" fillId="0" borderId="9" xfId="0" applyNumberFormat="1" applyFont="1" applyBorder="1"/>
    <xf numFmtId="164" fontId="5" fillId="0" borderId="9" xfId="3" applyNumberFormat="1" applyFont="1" applyBorder="1" applyAlignment="1">
      <alignment horizontal="right"/>
    </xf>
    <xf numFmtId="164" fontId="0" fillId="0" borderId="9" xfId="0" applyNumberFormat="1" applyBorder="1" applyAlignment="1">
      <alignment horizontal="right"/>
    </xf>
    <xf numFmtId="164" fontId="4" fillId="0" borderId="0" xfId="3" applyNumberFormat="1" applyFont="1"/>
    <xf numFmtId="164" fontId="16" fillId="0" borderId="7" xfId="0" applyNumberFormat="1" applyFont="1" applyBorder="1"/>
    <xf numFmtId="164" fontId="3" fillId="0" borderId="8" xfId="3" applyNumberFormat="1" applyFont="1" applyBorder="1"/>
    <xf numFmtId="164" fontId="4" fillId="0" borderId="20" xfId="3" applyNumberFormat="1" applyFont="1" applyBorder="1"/>
    <xf numFmtId="164" fontId="3" fillId="7" borderId="6" xfId="3" applyNumberFormat="1" applyFont="1" applyFill="1" applyBorder="1" applyAlignment="1">
      <alignment horizontal="right"/>
    </xf>
    <xf numFmtId="164" fontId="0" fillId="7" borderId="7" xfId="0" applyNumberFormat="1" applyFill="1" applyBorder="1" applyAlignment="1">
      <alignment horizontal="right"/>
    </xf>
    <xf numFmtId="164" fontId="3" fillId="7" borderId="0" xfId="3" applyNumberFormat="1" applyFont="1" applyFill="1" applyAlignment="1">
      <alignment horizontal="right"/>
    </xf>
    <xf numFmtId="164" fontId="3" fillId="7" borderId="8" xfId="3" applyNumberFormat="1" applyFont="1" applyFill="1" applyBorder="1"/>
    <xf numFmtId="164" fontId="0" fillId="7" borderId="9" xfId="0" applyNumberFormat="1" applyFill="1" applyBorder="1"/>
    <xf numFmtId="164" fontId="18" fillId="7" borderId="9" xfId="5" applyNumberFormat="1" applyFont="1" applyFill="1" applyBorder="1" applyAlignment="1">
      <alignment horizontal="right"/>
    </xf>
    <xf numFmtId="164" fontId="1" fillId="7" borderId="9" xfId="0" applyNumberFormat="1" applyFont="1" applyFill="1" applyBorder="1"/>
    <xf numFmtId="164" fontId="5" fillId="7" borderId="9" xfId="3" applyNumberFormat="1" applyFont="1" applyFill="1" applyBorder="1" applyAlignment="1">
      <alignment horizontal="right"/>
    </xf>
    <xf numFmtId="164" fontId="0" fillId="7" borderId="9" xfId="0" applyNumberFormat="1" applyFill="1" applyBorder="1" applyAlignment="1">
      <alignment horizontal="right"/>
    </xf>
    <xf numFmtId="164" fontId="4" fillId="7" borderId="20" xfId="3" applyNumberFormat="1" applyFont="1" applyFill="1" applyBorder="1"/>
    <xf numFmtId="164" fontId="16" fillId="7" borderId="7" xfId="0" applyNumberFormat="1" applyFont="1" applyFill="1" applyBorder="1"/>
    <xf numFmtId="0" fontId="0" fillId="7" borderId="12" xfId="0" applyFill="1" applyBorder="1"/>
    <xf numFmtId="164" fontId="18" fillId="0" borderId="0" xfId="5" applyNumberFormat="1" applyFont="1" applyBorder="1" applyAlignment="1">
      <alignment horizontal="left"/>
    </xf>
    <xf numFmtId="0" fontId="0" fillId="0" borderId="0" xfId="0"/>
    <xf numFmtId="164" fontId="64" fillId="0" borderId="0" xfId="0" applyNumberFormat="1" applyFont="1" applyAlignment="1">
      <alignment vertical="top" wrapText="1"/>
    </xf>
    <xf numFmtId="0" fontId="65" fillId="0" borderId="0" xfId="0" applyFont="1" applyAlignment="1">
      <alignment vertical="top" wrapText="1"/>
    </xf>
    <xf numFmtId="164" fontId="6" fillId="0" borderId="20" xfId="3" applyNumberFormat="1" applyFont="1" applyBorder="1" applyAlignment="1">
      <alignment horizontal="center"/>
    </xf>
    <xf numFmtId="0" fontId="0" fillId="0" borderId="0" xfId="0" applyBorder="1"/>
    <xf numFmtId="0" fontId="13" fillId="0" borderId="0" xfId="0" applyFont="1"/>
    <xf numFmtId="0" fontId="0" fillId="8" borderId="14" xfId="0" applyFill="1" applyBorder="1"/>
    <xf numFmtId="0" fontId="0" fillId="0" borderId="15" xfId="0" applyBorder="1"/>
    <xf numFmtId="0" fontId="0" fillId="8" borderId="15" xfId="0" applyFill="1" applyBorder="1"/>
    <xf numFmtId="0" fontId="0" fillId="8" borderId="16" xfId="0" applyFill="1" applyBorder="1"/>
    <xf numFmtId="164" fontId="0" fillId="0" borderId="0" xfId="0" applyNumberFormat="1" applyFill="1"/>
    <xf numFmtId="2" fontId="0" fillId="0" borderId="0" xfId="0" applyNumberFormat="1" applyFill="1"/>
    <xf numFmtId="164" fontId="20" fillId="5" borderId="0" xfId="4" applyNumberFormat="1" applyFont="1" applyFill="1"/>
  </cellXfs>
  <cellStyles count="6">
    <cellStyle name="Currency" xfId="1" builtinId="4"/>
    <cellStyle name="Hyperlink" xfId="5" builtinId="8"/>
    <cellStyle name="Normal" xfId="0" builtinId="0"/>
    <cellStyle name="Normal 2" xfId="4" xr:uid="{83DE40FF-29C4-4B71-BFA4-0C6AA23433FA}"/>
    <cellStyle name="Normal 2 3" xfId="3" xr:uid="{182094D3-B39C-4CC8-A4A7-0D8F459E7E23}"/>
    <cellStyle name="Percent" xfId="2" builtinId="5"/>
  </cellStyles>
  <dxfs count="75">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font>
        <b val="0"/>
        <i val="0"/>
        <strike val="0"/>
        <condense val="0"/>
        <extend val="0"/>
        <outline val="0"/>
        <shadow val="0"/>
        <u val="none"/>
        <vertAlign val="baseline"/>
        <sz val="11"/>
        <color rgb="FF000000"/>
        <name val="Aptos Narrow"/>
        <family val="2"/>
        <scheme val="minor"/>
      </font>
      <numFmt numFmtId="164" formatCode="#,##0;\-#,##0;;@"/>
      <fill>
        <patternFill patternType="none">
          <fgColor indexed="64"/>
          <bgColor auto="1"/>
        </patternFill>
      </fill>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11"/>
        <color rgb="FF000000"/>
        <name val="Aptos Narrow"/>
        <family val="2"/>
        <scheme val="minor"/>
      </font>
      <numFmt numFmtId="164" formatCode="#,##0;\-#,##0;;@"/>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rgb="FF000000"/>
        <name val="Aptos Narrow"/>
        <family val="2"/>
        <scheme val="minor"/>
      </font>
      <numFmt numFmtId="164" formatCode="#,##0;\-#,##0;;@"/>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rgb="FF000000"/>
        <name val="Aptos Narrow"/>
        <family val="2"/>
        <scheme val="minor"/>
      </font>
      <numFmt numFmtId="164" formatCode="#,##0;\-#,##0;;@"/>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rgb="FF000000"/>
        <name val="Aptos Narrow"/>
        <family val="2"/>
        <scheme val="minor"/>
      </font>
      <numFmt numFmtId="164" formatCode="#,##0;\-#,##0;;@"/>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rgb="FF000000"/>
        <name val="Aptos Narrow"/>
        <family val="2"/>
        <scheme val="minor"/>
      </font>
      <numFmt numFmtId="164" formatCode="#,##0;\-#,##0;;@"/>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rgb="FF000000"/>
        <name val="Aptos Narrow"/>
        <family val="2"/>
        <scheme val="minor"/>
      </font>
      <numFmt numFmtId="164" formatCode="#,##0;\-#,##0;;@"/>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rgb="FF000000"/>
        <name val="Aptos Narrow"/>
        <family val="2"/>
        <scheme val="minor"/>
      </font>
      <numFmt numFmtId="164" formatCode="#,##0;\-#,##0;;@"/>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rgb="FF000000"/>
        <name val="Aptos Narrow"/>
        <family val="2"/>
        <scheme val="minor"/>
      </font>
      <numFmt numFmtId="164" formatCode="#,##0;\-#,##0;;@"/>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rgb="FF000000"/>
        <name val="Aptos Narrow"/>
        <family val="2"/>
        <scheme val="minor"/>
      </font>
      <numFmt numFmtId="164" formatCode="#,##0;\-#,##0;;@"/>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rgb="FF000000"/>
        <name val="Aptos Narrow"/>
        <family val="2"/>
        <scheme val="minor"/>
      </font>
      <numFmt numFmtId="164" formatCode="#,##0;\-#,##0;;@"/>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rgb="FF000000"/>
        <name val="Aptos Narrow"/>
        <family val="2"/>
        <scheme val="minor"/>
      </font>
      <numFmt numFmtId="164" formatCode="#,##0;\-#,##0;;@"/>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numFmt numFmtId="164" formatCode="#,##0;\-#,##0;;@"/>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rgb="FF000000"/>
        <name val="Aptos Narrow"/>
        <family val="2"/>
        <scheme val="minor"/>
      </font>
      <numFmt numFmtId="164" formatCode="#,##0;\-#,##0;;@"/>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numFmt numFmtId="164" formatCode="#,##0;\-#,##0;;@"/>
      <fill>
        <patternFill patternType="none">
          <fgColor indexed="64"/>
          <bgColor auto="1"/>
        </patternFill>
      </fill>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Aptos Narrow"/>
        <family val="2"/>
        <scheme val="minor"/>
      </font>
      <numFmt numFmtId="164" formatCode="#,##0;\-#,##0;;@"/>
      <fill>
        <patternFill patternType="none">
          <fgColor indexed="64"/>
          <bgColor auto="1"/>
        </patternFill>
      </fill>
      <protection locked="0" hidden="0"/>
    </dxf>
    <dxf>
      <border>
        <bottom style="thin">
          <color indexed="64"/>
        </bottom>
      </border>
    </dxf>
    <dxf>
      <font>
        <b val="0"/>
        <i val="0"/>
        <strike val="0"/>
        <condense val="0"/>
        <extend val="0"/>
        <outline val="0"/>
        <shadow val="0"/>
        <u val="none"/>
        <vertAlign val="baseline"/>
        <sz val="11"/>
        <color rgb="FF000000"/>
        <name val="Aptos Narrow"/>
        <family val="2"/>
        <scheme val="minor"/>
      </font>
      <numFmt numFmtId="164" formatCode="#,##0;\-#,##0;;@"/>
      <fill>
        <patternFill patternType="none">
          <fgColor indexed="64"/>
          <bgColor auto="1"/>
        </patternFill>
      </fill>
      <border diagonalUp="0" diagonalDown="0" outline="0">
        <left style="thin">
          <color indexed="64"/>
        </left>
        <right style="thin">
          <color indexed="64"/>
        </right>
        <top/>
        <bottom/>
      </border>
      <protection locked="0" hidden="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font>
        <b/>
        <i val="0"/>
      </font>
      <fill>
        <patternFill patternType="lightUp">
          <fgColor theme="3" tint="0.89996032593768116"/>
        </patternFill>
      </fill>
      <border>
        <bottom style="thin">
          <color theme="3" tint="0.749961851863155"/>
        </bottom>
      </border>
    </dxf>
    <dxf>
      <fill>
        <patternFill patternType="none">
          <bgColor auto="1"/>
        </patternFill>
      </fill>
    </dxf>
    <dxf>
      <font>
        <b/>
        <i val="0"/>
      </font>
      <fill>
        <patternFill patternType="lightUp">
          <fgColor theme="3" tint="0.89996032593768116"/>
        </patternFill>
      </fill>
    </dxf>
    <dxf>
      <font>
        <b/>
        <i val="0"/>
      </font>
    </dxf>
    <dxf>
      <font>
        <b val="0"/>
        <i val="0"/>
      </font>
      <fill>
        <patternFill patternType="solid">
          <fgColor theme="0"/>
        </patternFill>
      </fill>
      <border>
        <left/>
        <right/>
        <bottom/>
        <vertical/>
        <horizontal/>
      </border>
    </dxf>
    <dxf>
      <font>
        <b val="0"/>
        <i val="0"/>
        <color theme="4" tint="-0.24994659260841701"/>
      </font>
      <border>
        <left style="thin">
          <color theme="3" tint="0.749961851863155"/>
        </left>
        <right style="thin">
          <color theme="3" tint="0.749961851863155"/>
        </right>
        <top style="thick">
          <color theme="3" tint="0.749961851863155"/>
        </top>
        <bottom style="thin">
          <color theme="3" tint="0.749961851863155"/>
        </bottom>
      </border>
    </dxf>
    <dxf>
      <border>
        <left style="thin">
          <color theme="3" tint="0.749961851863155"/>
        </left>
        <right style="thin">
          <color theme="3" tint="0.749961851863155"/>
        </right>
        <top style="thin">
          <color theme="3" tint="0.749961851863155"/>
        </top>
        <bottom style="thin">
          <color theme="3" tint="0.749961851863155"/>
        </bottom>
        <horizontal style="thin">
          <color theme="3" tint="0.749961851863155"/>
        </horizontal>
      </border>
    </dxf>
  </dxfs>
  <tableStyles count="1" defaultTableStyle="TableStyleMedium2" defaultPivotStyle="PivotStyleLight16">
    <tableStyle name="Construction proposal" pivot="0" count="7" xr9:uid="{B04F33C7-E1B9-41CF-9F0C-C167C1C522BB}">
      <tableStyleElement type="wholeTable" dxfId="74"/>
      <tableStyleElement type="headerRow" dxfId="73"/>
      <tableStyleElement type="totalRow" dxfId="72"/>
      <tableStyleElement type="firstColumn" dxfId="71"/>
      <tableStyleElement type="lastColumn" dxfId="70"/>
      <tableStyleElement type="lastHeaderCell" dxfId="69"/>
      <tableStyleElement type="lastTotalCell" dxfId="6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91" Type="http://schemas.openxmlformats.org/officeDocument/2006/relationships/sheetMetadata" Target="metadata.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181" Type="http://schemas.openxmlformats.org/officeDocument/2006/relationships/worksheet" Target="worksheets/sheet181.xml"/><Relationship Id="rId22" Type="http://schemas.openxmlformats.org/officeDocument/2006/relationships/worksheet" Target="worksheets/sheet22.xml"/><Relationship Id="rId43" Type="http://schemas.openxmlformats.org/officeDocument/2006/relationships/worksheet" Target="worksheets/sheet43.xml"/><Relationship Id="rId64" Type="http://schemas.openxmlformats.org/officeDocument/2006/relationships/worksheet" Target="worksheets/sheet64.xml"/><Relationship Id="rId118" Type="http://schemas.openxmlformats.org/officeDocument/2006/relationships/worksheet" Target="worksheets/sheet118.xml"/><Relationship Id="rId139" Type="http://schemas.openxmlformats.org/officeDocument/2006/relationships/worksheet" Target="worksheets/sheet139.xml"/><Relationship Id="rId85" Type="http://schemas.openxmlformats.org/officeDocument/2006/relationships/worksheet" Target="worksheets/sheet85.xml"/><Relationship Id="rId150" Type="http://schemas.openxmlformats.org/officeDocument/2006/relationships/worksheet" Target="worksheets/sheet150.xml"/><Relationship Id="rId171" Type="http://schemas.openxmlformats.org/officeDocument/2006/relationships/worksheet" Target="worksheets/sheet171.xml"/><Relationship Id="rId192" Type="http://schemas.openxmlformats.org/officeDocument/2006/relationships/calcChain" Target="calcChain.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82" Type="http://schemas.openxmlformats.org/officeDocument/2006/relationships/worksheet" Target="worksheets/sheet182.xml"/><Relationship Id="rId6" Type="http://schemas.openxmlformats.org/officeDocument/2006/relationships/worksheet" Target="worksheets/sheet6.xml"/><Relationship Id="rId23" Type="http://schemas.openxmlformats.org/officeDocument/2006/relationships/worksheet" Target="worksheets/sheet23.xml"/><Relationship Id="rId119" Type="http://schemas.openxmlformats.org/officeDocument/2006/relationships/worksheet" Target="worksheets/sheet119.xml"/><Relationship Id="rId44" Type="http://schemas.openxmlformats.org/officeDocument/2006/relationships/worksheet" Target="worksheets/sheet44.xml"/><Relationship Id="rId65" Type="http://schemas.openxmlformats.org/officeDocument/2006/relationships/worksheet" Target="worksheets/sheet65.xml"/><Relationship Id="rId86" Type="http://schemas.openxmlformats.org/officeDocument/2006/relationships/worksheet" Target="worksheets/sheet86.xml"/><Relationship Id="rId130" Type="http://schemas.openxmlformats.org/officeDocument/2006/relationships/worksheet" Target="worksheets/sheet130.xml"/><Relationship Id="rId151" Type="http://schemas.openxmlformats.org/officeDocument/2006/relationships/worksheet" Target="worksheets/sheet151.xml"/><Relationship Id="rId172" Type="http://schemas.openxmlformats.org/officeDocument/2006/relationships/worksheet" Target="worksheets/sheet172.xml"/><Relationship Id="rId193" Type="http://schemas.microsoft.com/office/2006/relationships/vbaProject" Target="vbaProject.bin"/><Relationship Id="rId13" Type="http://schemas.openxmlformats.org/officeDocument/2006/relationships/worksheet" Target="worksheets/sheet13.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theme" Target="theme/theme1.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183" Type="http://schemas.openxmlformats.org/officeDocument/2006/relationships/worksheet" Target="worksheets/sheet183.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worksheet" Target="worksheets/sheet184.xml"/><Relationship Id="rId189" Type="http://schemas.openxmlformats.org/officeDocument/2006/relationships/styles" Target="styles.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79" Type="http://schemas.openxmlformats.org/officeDocument/2006/relationships/worksheet" Target="worksheets/sheet179.xml"/><Relationship Id="rId190" Type="http://schemas.openxmlformats.org/officeDocument/2006/relationships/sharedStrings" Target="sharedStrings.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185" Type="http://schemas.openxmlformats.org/officeDocument/2006/relationships/worksheet" Target="worksheets/sheet185.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worksheet" Target="worksheets/sheet180.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16" Type="http://schemas.openxmlformats.org/officeDocument/2006/relationships/worksheet" Target="worksheets/sheet16.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186" Type="http://schemas.openxmlformats.org/officeDocument/2006/relationships/externalLink" Target="externalLinks/externalLink1.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worksheet" Target="worksheets/sheet176.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externalLink" Target="externalLinks/externalLink2.xml"/><Relationship Id="rId1" Type="http://schemas.openxmlformats.org/officeDocument/2006/relationships/worksheet" Target="worksheets/sheet1.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ctrlProps/ctrlProp657.xml><?xml version="1.0" encoding="utf-8"?>
<formControlPr xmlns="http://schemas.microsoft.com/office/spreadsheetml/2009/9/main" objectType="Button" lockText="1"/>
</file>

<file path=xl/ctrlProps/ctrlProp658.xml><?xml version="1.0" encoding="utf-8"?>
<formControlPr xmlns="http://schemas.microsoft.com/office/spreadsheetml/2009/9/main" objectType="Button" lockText="1"/>
</file>

<file path=xl/ctrlProps/ctrlProp659.xml><?xml version="1.0" encoding="utf-8"?>
<formControlPr xmlns="http://schemas.microsoft.com/office/spreadsheetml/2009/9/main" objectType="Button" lockText="1"/>
</file>

<file path=xl/ctrlProps/ctrlProp660.xml><?xml version="1.0" encoding="utf-8"?>
<formControlPr xmlns="http://schemas.microsoft.com/office/spreadsheetml/2009/9/main" objectType="Button" lockText="1"/>
</file>

<file path=xl/ctrlProps/ctrlProp661.xml><?xml version="1.0" encoding="utf-8"?>
<formControlPr xmlns="http://schemas.microsoft.com/office/spreadsheetml/2009/9/main" objectType="Button" lockText="1"/>
</file>

<file path=xl/ctrlProps/ctrlProp662.xml><?xml version="1.0" encoding="utf-8"?>
<formControlPr xmlns="http://schemas.microsoft.com/office/spreadsheetml/2009/9/main" objectType="Button" lockText="1"/>
</file>

<file path=xl/ctrlProps/ctrlProp663.xml><?xml version="1.0" encoding="utf-8"?>
<formControlPr xmlns="http://schemas.microsoft.com/office/spreadsheetml/2009/9/main" objectType="Button" lockText="1"/>
</file>

<file path=xl/ctrlProps/ctrlProp664.xml><?xml version="1.0" encoding="utf-8"?>
<formControlPr xmlns="http://schemas.microsoft.com/office/spreadsheetml/2009/9/main" objectType="Button" lockText="1"/>
</file>

<file path=xl/ctrlProps/ctrlProp665.xml><?xml version="1.0" encoding="utf-8"?>
<formControlPr xmlns="http://schemas.microsoft.com/office/spreadsheetml/2009/9/main" objectType="Button" lockText="1"/>
</file>

<file path=xl/ctrlProps/ctrlProp666.xml><?xml version="1.0" encoding="utf-8"?>
<formControlPr xmlns="http://schemas.microsoft.com/office/spreadsheetml/2009/9/main" objectType="Button" lockText="1"/>
</file>

<file path=xl/ctrlProps/ctrlProp667.xml><?xml version="1.0" encoding="utf-8"?>
<formControlPr xmlns="http://schemas.microsoft.com/office/spreadsheetml/2009/9/main" objectType="Button" lockText="1"/>
</file>

<file path=xl/ctrlProps/ctrlProp668.xml><?xml version="1.0" encoding="utf-8"?>
<formControlPr xmlns="http://schemas.microsoft.com/office/spreadsheetml/2009/9/main" objectType="Button" lockText="1"/>
</file>

<file path=xl/ctrlProps/ctrlProp669.xml><?xml version="1.0" encoding="utf-8"?>
<formControlPr xmlns="http://schemas.microsoft.com/office/spreadsheetml/2009/9/main" objectType="Button" lockText="1"/>
</file>

<file path=xl/ctrlProps/ctrlProp670.xml><?xml version="1.0" encoding="utf-8"?>
<formControlPr xmlns="http://schemas.microsoft.com/office/spreadsheetml/2009/9/main" objectType="Button" lockText="1"/>
</file>

<file path=xl/ctrlProps/ctrlProp671.xml><?xml version="1.0" encoding="utf-8"?>
<formControlPr xmlns="http://schemas.microsoft.com/office/spreadsheetml/2009/9/main" objectType="Button" lockText="1"/>
</file>

<file path=xl/ctrlProps/ctrlProp672.xml><?xml version="1.0" encoding="utf-8"?>
<formControlPr xmlns="http://schemas.microsoft.com/office/spreadsheetml/2009/9/main" objectType="Button" lockText="1"/>
</file>

<file path=xl/ctrlProps/ctrlProp673.xml><?xml version="1.0" encoding="utf-8"?>
<formControlPr xmlns="http://schemas.microsoft.com/office/spreadsheetml/2009/9/main" objectType="Button" lockText="1"/>
</file>

<file path=xl/ctrlProps/ctrlProp674.xml><?xml version="1.0" encoding="utf-8"?>
<formControlPr xmlns="http://schemas.microsoft.com/office/spreadsheetml/2009/9/main" objectType="Button" lockText="1"/>
</file>

<file path=xl/ctrlProps/ctrlProp675.xml><?xml version="1.0" encoding="utf-8"?>
<formControlPr xmlns="http://schemas.microsoft.com/office/spreadsheetml/2009/9/main" objectType="Button" lockText="1"/>
</file>

<file path=xl/ctrlProps/ctrlProp676.xml><?xml version="1.0" encoding="utf-8"?>
<formControlPr xmlns="http://schemas.microsoft.com/office/spreadsheetml/2009/9/main" objectType="Button" lockText="1"/>
</file>

<file path=xl/ctrlProps/ctrlProp677.xml><?xml version="1.0" encoding="utf-8"?>
<formControlPr xmlns="http://schemas.microsoft.com/office/spreadsheetml/2009/9/main" objectType="Button" lockText="1"/>
</file>

<file path=xl/ctrlProps/ctrlProp678.xml><?xml version="1.0" encoding="utf-8"?>
<formControlPr xmlns="http://schemas.microsoft.com/office/spreadsheetml/2009/9/main" objectType="Button" lockText="1"/>
</file>

<file path=xl/ctrlProps/ctrlProp679.xml><?xml version="1.0" encoding="utf-8"?>
<formControlPr xmlns="http://schemas.microsoft.com/office/spreadsheetml/2009/9/main" objectType="Button" lockText="1"/>
</file>

<file path=xl/ctrlProps/ctrlProp680.xml><?xml version="1.0" encoding="utf-8"?>
<formControlPr xmlns="http://schemas.microsoft.com/office/spreadsheetml/2009/9/main" objectType="Button" lockText="1"/>
</file>

<file path=xl/ctrlProps/ctrlProp681.xml><?xml version="1.0" encoding="utf-8"?>
<formControlPr xmlns="http://schemas.microsoft.com/office/spreadsheetml/2009/9/main" objectType="Button" lockText="1"/>
</file>

<file path=xl/ctrlProps/ctrlProp682.xml><?xml version="1.0" encoding="utf-8"?>
<formControlPr xmlns="http://schemas.microsoft.com/office/spreadsheetml/2009/9/main" objectType="Button" lockText="1"/>
</file>

<file path=xl/ctrlProps/ctrlProp683.xml><?xml version="1.0" encoding="utf-8"?>
<formControlPr xmlns="http://schemas.microsoft.com/office/spreadsheetml/2009/9/main" objectType="Button" lockText="1"/>
</file>

<file path=xl/ctrlProps/ctrlProp684.xml><?xml version="1.0" encoding="utf-8"?>
<formControlPr xmlns="http://schemas.microsoft.com/office/spreadsheetml/2009/9/main" objectType="Button" lockText="1"/>
</file>

<file path=xl/ctrlProps/ctrlProp685.xml><?xml version="1.0" encoding="utf-8"?>
<formControlPr xmlns="http://schemas.microsoft.com/office/spreadsheetml/2009/9/main" objectType="Button" lockText="1"/>
</file>

<file path=xl/ctrlProps/ctrlProp686.xml><?xml version="1.0" encoding="utf-8"?>
<formControlPr xmlns="http://schemas.microsoft.com/office/spreadsheetml/2009/9/main" objectType="Button" lockText="1"/>
</file>

<file path=xl/ctrlProps/ctrlProp687.xml><?xml version="1.0" encoding="utf-8"?>
<formControlPr xmlns="http://schemas.microsoft.com/office/spreadsheetml/2009/9/main" objectType="Button" lockText="1"/>
</file>

<file path=xl/ctrlProps/ctrlProp688.xml><?xml version="1.0" encoding="utf-8"?>
<formControlPr xmlns="http://schemas.microsoft.com/office/spreadsheetml/2009/9/main" objectType="Button" lockText="1"/>
</file>

<file path=xl/ctrlProps/ctrlProp689.xml><?xml version="1.0" encoding="utf-8"?>
<formControlPr xmlns="http://schemas.microsoft.com/office/spreadsheetml/2009/9/main" objectType="Button" lockText="1"/>
</file>

<file path=xl/ctrlProps/ctrlProp690.xml><?xml version="1.0" encoding="utf-8"?>
<formControlPr xmlns="http://schemas.microsoft.com/office/spreadsheetml/2009/9/main" objectType="Button" lockText="1"/>
</file>

<file path=xl/ctrlProps/ctrlProp691.xml><?xml version="1.0" encoding="utf-8"?>
<formControlPr xmlns="http://schemas.microsoft.com/office/spreadsheetml/2009/9/main" objectType="Button" lockText="1"/>
</file>

<file path=xl/ctrlProps/ctrlProp692.xml><?xml version="1.0" encoding="utf-8"?>
<formControlPr xmlns="http://schemas.microsoft.com/office/spreadsheetml/2009/9/main" objectType="Button" lockText="1"/>
</file>

<file path=xl/ctrlProps/ctrlProp693.xml><?xml version="1.0" encoding="utf-8"?>
<formControlPr xmlns="http://schemas.microsoft.com/office/spreadsheetml/2009/9/main" objectType="Button" lockText="1"/>
</file>

<file path=xl/ctrlProps/ctrlProp694.xml><?xml version="1.0" encoding="utf-8"?>
<formControlPr xmlns="http://schemas.microsoft.com/office/spreadsheetml/2009/9/main" objectType="Button" lockText="1"/>
</file>

<file path=xl/ctrlProps/ctrlProp695.xml><?xml version="1.0" encoding="utf-8"?>
<formControlPr xmlns="http://schemas.microsoft.com/office/spreadsheetml/2009/9/main" objectType="Button" lockText="1"/>
</file>

<file path=xl/ctrlProps/ctrlProp696.xml><?xml version="1.0" encoding="utf-8"?>
<formControlPr xmlns="http://schemas.microsoft.com/office/spreadsheetml/2009/9/main" objectType="Button" lockText="1"/>
</file>

<file path=xl/ctrlProps/ctrlProp697.xml><?xml version="1.0" encoding="utf-8"?>
<formControlPr xmlns="http://schemas.microsoft.com/office/spreadsheetml/2009/9/main" objectType="Button" lockText="1"/>
</file>

<file path=xl/ctrlProps/ctrlProp698.xml><?xml version="1.0" encoding="utf-8"?>
<formControlPr xmlns="http://schemas.microsoft.com/office/spreadsheetml/2009/9/main" objectType="Button" lockText="1"/>
</file>

<file path=xl/ctrlProps/ctrlProp699.xml><?xml version="1.0" encoding="utf-8"?>
<formControlPr xmlns="http://schemas.microsoft.com/office/spreadsheetml/2009/9/main" objectType="Button" lockText="1"/>
</file>

<file path=xl/ctrlProps/ctrlProp700.xml><?xml version="1.0" encoding="utf-8"?>
<formControlPr xmlns="http://schemas.microsoft.com/office/spreadsheetml/2009/9/main" objectType="Button" lockText="1"/>
</file>

<file path=xl/ctrlProps/ctrlProp701.xml><?xml version="1.0" encoding="utf-8"?>
<formControlPr xmlns="http://schemas.microsoft.com/office/spreadsheetml/2009/9/main" objectType="Button" lockText="1"/>
</file>

<file path=xl/ctrlProps/ctrlProp702.xml><?xml version="1.0" encoding="utf-8"?>
<formControlPr xmlns="http://schemas.microsoft.com/office/spreadsheetml/2009/9/main" objectType="Button" lockText="1"/>
</file>

<file path=xl/ctrlProps/ctrlProp703.xml><?xml version="1.0" encoding="utf-8"?>
<formControlPr xmlns="http://schemas.microsoft.com/office/spreadsheetml/2009/9/main" objectType="Button" lockText="1"/>
</file>

<file path=xl/ctrlProps/ctrlProp704.xml><?xml version="1.0" encoding="utf-8"?>
<formControlPr xmlns="http://schemas.microsoft.com/office/spreadsheetml/2009/9/main" objectType="Button" lockText="1"/>
</file>

<file path=xl/ctrlProps/ctrlProp705.xml><?xml version="1.0" encoding="utf-8"?>
<formControlPr xmlns="http://schemas.microsoft.com/office/spreadsheetml/2009/9/main" objectType="Button" lockText="1"/>
</file>

<file path=xl/ctrlProps/ctrlProp706.xml><?xml version="1.0" encoding="utf-8"?>
<formControlPr xmlns="http://schemas.microsoft.com/office/spreadsheetml/2009/9/main" objectType="Button" lockText="1"/>
</file>

<file path=xl/ctrlProps/ctrlProp707.xml><?xml version="1.0" encoding="utf-8"?>
<formControlPr xmlns="http://schemas.microsoft.com/office/spreadsheetml/2009/9/main" objectType="Button" lockText="1"/>
</file>

<file path=xl/ctrlProps/ctrlProp708.xml><?xml version="1.0" encoding="utf-8"?>
<formControlPr xmlns="http://schemas.microsoft.com/office/spreadsheetml/2009/9/main" objectType="Button" lockText="1"/>
</file>

<file path=xl/ctrlProps/ctrlProp709.xml><?xml version="1.0" encoding="utf-8"?>
<formControlPr xmlns="http://schemas.microsoft.com/office/spreadsheetml/2009/9/main" objectType="Button" lockText="1"/>
</file>

<file path=xl/ctrlProps/ctrlProp710.xml><?xml version="1.0" encoding="utf-8"?>
<formControlPr xmlns="http://schemas.microsoft.com/office/spreadsheetml/2009/9/main" objectType="Button" lockText="1"/>
</file>

<file path=xl/ctrlProps/ctrlProp711.xml><?xml version="1.0" encoding="utf-8"?>
<formControlPr xmlns="http://schemas.microsoft.com/office/spreadsheetml/2009/9/main" objectType="Button" lockText="1"/>
</file>

<file path=xl/ctrlProps/ctrlProp712.xml><?xml version="1.0" encoding="utf-8"?>
<formControlPr xmlns="http://schemas.microsoft.com/office/spreadsheetml/2009/9/main" objectType="Button" lockText="1"/>
</file>

<file path=xl/ctrlProps/ctrlProp713.xml><?xml version="1.0" encoding="utf-8"?>
<formControlPr xmlns="http://schemas.microsoft.com/office/spreadsheetml/2009/9/main" objectType="Button" lockText="1"/>
</file>

<file path=xl/ctrlProps/ctrlProp714.xml><?xml version="1.0" encoding="utf-8"?>
<formControlPr xmlns="http://schemas.microsoft.com/office/spreadsheetml/2009/9/main" objectType="Button" lockText="1"/>
</file>

<file path=xl/ctrlProps/ctrlProp715.xml><?xml version="1.0" encoding="utf-8"?>
<formControlPr xmlns="http://schemas.microsoft.com/office/spreadsheetml/2009/9/main" objectType="Button" lockText="1"/>
</file>

<file path=xl/ctrlProps/ctrlProp716.xml><?xml version="1.0" encoding="utf-8"?>
<formControlPr xmlns="http://schemas.microsoft.com/office/spreadsheetml/2009/9/main" objectType="Button" lockText="1"/>
</file>

<file path=xl/ctrlProps/ctrlProp717.xml><?xml version="1.0" encoding="utf-8"?>
<formControlPr xmlns="http://schemas.microsoft.com/office/spreadsheetml/2009/9/main" objectType="Button" lockText="1"/>
</file>

<file path=xl/ctrlProps/ctrlProp718.xml><?xml version="1.0" encoding="utf-8"?>
<formControlPr xmlns="http://schemas.microsoft.com/office/spreadsheetml/2009/9/main" objectType="Button" lockText="1"/>
</file>

<file path=xl/ctrlProps/ctrlProp719.xml><?xml version="1.0" encoding="utf-8"?>
<formControlPr xmlns="http://schemas.microsoft.com/office/spreadsheetml/2009/9/main" objectType="Button" lockText="1"/>
</file>

<file path=xl/ctrlProps/ctrlProp720.xml><?xml version="1.0" encoding="utf-8"?>
<formControlPr xmlns="http://schemas.microsoft.com/office/spreadsheetml/2009/9/main" objectType="Button" lockText="1"/>
</file>

<file path=xl/ctrlProps/ctrlProp721.xml><?xml version="1.0" encoding="utf-8"?>
<formControlPr xmlns="http://schemas.microsoft.com/office/spreadsheetml/2009/9/main" objectType="Button" lockText="1"/>
</file>

<file path=xl/ctrlProps/ctrlProp722.xml><?xml version="1.0" encoding="utf-8"?>
<formControlPr xmlns="http://schemas.microsoft.com/office/spreadsheetml/2009/9/main" objectType="Button" lockText="1"/>
</file>

<file path=xl/ctrlProps/ctrlProp723.xml><?xml version="1.0" encoding="utf-8"?>
<formControlPr xmlns="http://schemas.microsoft.com/office/spreadsheetml/2009/9/main" objectType="Button" lockText="1"/>
</file>

<file path=xl/ctrlProps/ctrlProp724.xml><?xml version="1.0" encoding="utf-8"?>
<formControlPr xmlns="http://schemas.microsoft.com/office/spreadsheetml/2009/9/main" objectType="Button" lockText="1"/>
</file>

<file path=xl/ctrlProps/ctrlProp725.xml><?xml version="1.0" encoding="utf-8"?>
<formControlPr xmlns="http://schemas.microsoft.com/office/spreadsheetml/2009/9/main" objectType="Button" lockText="1"/>
</file>

<file path=xl/ctrlProps/ctrlProp726.xml><?xml version="1.0" encoding="utf-8"?>
<formControlPr xmlns="http://schemas.microsoft.com/office/spreadsheetml/2009/9/main" objectType="Button" lockText="1"/>
</file>

<file path=xl/ctrlProps/ctrlProp727.xml><?xml version="1.0" encoding="utf-8"?>
<formControlPr xmlns="http://schemas.microsoft.com/office/spreadsheetml/2009/9/main" objectType="Button" lockText="1"/>
</file>

<file path=xl/ctrlProps/ctrlProp728.xml><?xml version="1.0" encoding="utf-8"?>
<formControlPr xmlns="http://schemas.microsoft.com/office/spreadsheetml/2009/9/main" objectType="Button" lockText="1"/>
</file>

<file path=xl/ctrlProps/ctrlProp729.xml><?xml version="1.0" encoding="utf-8"?>
<formControlPr xmlns="http://schemas.microsoft.com/office/spreadsheetml/2009/9/main" objectType="Button" lockText="1"/>
</file>

<file path=xl/ctrlProps/ctrlProp730.xml><?xml version="1.0" encoding="utf-8"?>
<formControlPr xmlns="http://schemas.microsoft.com/office/spreadsheetml/2009/9/main" objectType="Button" lockText="1"/>
</file>

<file path=xl/ctrlProps/ctrlProp731.xml><?xml version="1.0" encoding="utf-8"?>
<formControlPr xmlns="http://schemas.microsoft.com/office/spreadsheetml/2009/9/main" objectType="Button" lockText="1"/>
</file>

<file path=xl/ctrlProps/ctrlProp732.xml><?xml version="1.0" encoding="utf-8"?>
<formControlPr xmlns="http://schemas.microsoft.com/office/spreadsheetml/2009/9/main" objectType="Button" lockText="1"/>
</file>

<file path=xl/ctrlProps/ctrlProp733.xml><?xml version="1.0" encoding="utf-8"?>
<formControlPr xmlns="http://schemas.microsoft.com/office/spreadsheetml/2009/9/main" objectType="Button" lockText="1"/>
</file>

<file path=xl/ctrlProps/ctrlProp734.xml><?xml version="1.0" encoding="utf-8"?>
<formControlPr xmlns="http://schemas.microsoft.com/office/spreadsheetml/2009/9/main" objectType="Button" lockText="1"/>
</file>

<file path=xl/ctrlProps/ctrlProp735.xml><?xml version="1.0" encoding="utf-8"?>
<formControlPr xmlns="http://schemas.microsoft.com/office/spreadsheetml/2009/9/main" objectType="Button" lockText="1"/>
</file>

<file path=xl/ctrlProps/ctrlProp736.xml><?xml version="1.0" encoding="utf-8"?>
<formControlPr xmlns="http://schemas.microsoft.com/office/spreadsheetml/2009/9/main" objectType="Button" lockText="1"/>
</file>

<file path=xl/ctrlProps/ctrlProp737.xml><?xml version="1.0" encoding="utf-8"?>
<formControlPr xmlns="http://schemas.microsoft.com/office/spreadsheetml/2009/9/main" objectType="Button" lockText="1"/>
</file>

<file path=xl/ctrlProps/ctrlProp738.xml><?xml version="1.0" encoding="utf-8"?>
<formControlPr xmlns="http://schemas.microsoft.com/office/spreadsheetml/2009/9/main" objectType="Button" lockText="1"/>
</file>

<file path=xl/ctrlProps/ctrlProp739.xml><?xml version="1.0" encoding="utf-8"?>
<formControlPr xmlns="http://schemas.microsoft.com/office/spreadsheetml/2009/9/main" objectType="Button" lockText="1"/>
</file>

<file path=xl/ctrlProps/ctrlProp740.xml><?xml version="1.0" encoding="utf-8"?>
<formControlPr xmlns="http://schemas.microsoft.com/office/spreadsheetml/2009/9/main" objectType="Button" lockText="1"/>
</file>

<file path=xl/ctrlProps/ctrlProp741.xml><?xml version="1.0" encoding="utf-8"?>
<formControlPr xmlns="http://schemas.microsoft.com/office/spreadsheetml/2009/9/main" objectType="Button" lockText="1"/>
</file>

<file path=xl/ctrlProps/ctrlProp742.xml><?xml version="1.0" encoding="utf-8"?>
<formControlPr xmlns="http://schemas.microsoft.com/office/spreadsheetml/2009/9/main" objectType="Button" lockText="1"/>
</file>

<file path=xl/ctrlProps/ctrlProp743.xml><?xml version="1.0" encoding="utf-8"?>
<formControlPr xmlns="http://schemas.microsoft.com/office/spreadsheetml/2009/9/main" objectType="Button" lockText="1"/>
</file>

<file path=xl/ctrlProps/ctrlProp744.xml><?xml version="1.0" encoding="utf-8"?>
<formControlPr xmlns="http://schemas.microsoft.com/office/spreadsheetml/2009/9/main" objectType="Button" lockText="1"/>
</file>

<file path=xl/ctrlProps/ctrlProp745.xml><?xml version="1.0" encoding="utf-8"?>
<formControlPr xmlns="http://schemas.microsoft.com/office/spreadsheetml/2009/9/main" objectType="Button" lockText="1"/>
</file>

<file path=xl/ctrlProps/ctrlProp746.xml><?xml version="1.0" encoding="utf-8"?>
<formControlPr xmlns="http://schemas.microsoft.com/office/spreadsheetml/2009/9/main" objectType="Button" lockText="1"/>
</file>

<file path=xl/ctrlProps/ctrlProp747.xml><?xml version="1.0" encoding="utf-8"?>
<formControlPr xmlns="http://schemas.microsoft.com/office/spreadsheetml/2009/9/main" objectType="Button" lockText="1"/>
</file>

<file path=xl/ctrlProps/ctrlProp748.xml><?xml version="1.0" encoding="utf-8"?>
<formControlPr xmlns="http://schemas.microsoft.com/office/spreadsheetml/2009/9/main" objectType="Button" lockText="1"/>
</file>

<file path=xl/ctrlProps/ctrlProp749.xml><?xml version="1.0" encoding="utf-8"?>
<formControlPr xmlns="http://schemas.microsoft.com/office/spreadsheetml/2009/9/main" objectType="Button" lockText="1"/>
</file>

<file path=xl/ctrlProps/ctrlProp750.xml><?xml version="1.0" encoding="utf-8"?>
<formControlPr xmlns="http://schemas.microsoft.com/office/spreadsheetml/2009/9/main" objectType="Button" lockText="1"/>
</file>

<file path=xl/ctrlProps/ctrlProp751.xml><?xml version="1.0" encoding="utf-8"?>
<formControlPr xmlns="http://schemas.microsoft.com/office/spreadsheetml/2009/9/main" objectType="Button" lockText="1"/>
</file>

<file path=xl/ctrlProps/ctrlProp752.xml><?xml version="1.0" encoding="utf-8"?>
<formControlPr xmlns="http://schemas.microsoft.com/office/spreadsheetml/2009/9/main" objectType="Button" lockText="1"/>
</file>

<file path=xl/ctrlProps/ctrlProp753.xml><?xml version="1.0" encoding="utf-8"?>
<formControlPr xmlns="http://schemas.microsoft.com/office/spreadsheetml/2009/9/main" objectType="Button" lockText="1"/>
</file>

<file path=xl/ctrlProps/ctrlProp754.xml><?xml version="1.0" encoding="utf-8"?>
<formControlPr xmlns="http://schemas.microsoft.com/office/spreadsheetml/2009/9/main" objectType="Button" lockText="1"/>
</file>

<file path=xl/ctrlProps/ctrlProp755.xml><?xml version="1.0" encoding="utf-8"?>
<formControlPr xmlns="http://schemas.microsoft.com/office/spreadsheetml/2009/9/main" objectType="Button" lockText="1"/>
</file>

<file path=xl/ctrlProps/ctrlProp756.xml><?xml version="1.0" encoding="utf-8"?>
<formControlPr xmlns="http://schemas.microsoft.com/office/spreadsheetml/2009/9/main" objectType="Button" lockText="1"/>
</file>

<file path=xl/ctrlProps/ctrlProp757.xml><?xml version="1.0" encoding="utf-8"?>
<formControlPr xmlns="http://schemas.microsoft.com/office/spreadsheetml/2009/9/main" objectType="Button" lockText="1"/>
</file>

<file path=xl/ctrlProps/ctrlProp758.xml><?xml version="1.0" encoding="utf-8"?>
<formControlPr xmlns="http://schemas.microsoft.com/office/spreadsheetml/2009/9/main" objectType="Button" lockText="1"/>
</file>

<file path=xl/ctrlProps/ctrlProp759.xml><?xml version="1.0" encoding="utf-8"?>
<formControlPr xmlns="http://schemas.microsoft.com/office/spreadsheetml/2009/9/main" objectType="Button" lockText="1"/>
</file>

<file path=xl/ctrlProps/ctrlProp760.xml><?xml version="1.0" encoding="utf-8"?>
<formControlPr xmlns="http://schemas.microsoft.com/office/spreadsheetml/2009/9/main" objectType="Button" lockText="1"/>
</file>

<file path=xl/ctrlProps/ctrlProp761.xml><?xml version="1.0" encoding="utf-8"?>
<formControlPr xmlns="http://schemas.microsoft.com/office/spreadsheetml/2009/9/main" objectType="Button" lockText="1"/>
</file>

<file path=xl/ctrlProps/ctrlProp762.xml><?xml version="1.0" encoding="utf-8"?>
<formControlPr xmlns="http://schemas.microsoft.com/office/spreadsheetml/2009/9/main" objectType="Button" lockText="1"/>
</file>

<file path=xl/ctrlProps/ctrlProp763.xml><?xml version="1.0" encoding="utf-8"?>
<formControlPr xmlns="http://schemas.microsoft.com/office/spreadsheetml/2009/9/main" objectType="Button" lockText="1"/>
</file>

<file path=xl/ctrlProps/ctrlProp764.xml><?xml version="1.0" encoding="utf-8"?>
<formControlPr xmlns="http://schemas.microsoft.com/office/spreadsheetml/2009/9/main" objectType="Button" lockText="1"/>
</file>

<file path=xl/ctrlProps/ctrlProp765.xml><?xml version="1.0" encoding="utf-8"?>
<formControlPr xmlns="http://schemas.microsoft.com/office/spreadsheetml/2009/9/main" objectType="Button" lockText="1"/>
</file>

<file path=xl/ctrlProps/ctrlProp766.xml><?xml version="1.0" encoding="utf-8"?>
<formControlPr xmlns="http://schemas.microsoft.com/office/spreadsheetml/2009/9/main" objectType="Button" lockText="1"/>
</file>

<file path=xl/ctrlProps/ctrlProp767.xml><?xml version="1.0" encoding="utf-8"?>
<formControlPr xmlns="http://schemas.microsoft.com/office/spreadsheetml/2009/9/main" objectType="Button" lockText="1"/>
</file>

<file path=xl/ctrlProps/ctrlProp768.xml><?xml version="1.0" encoding="utf-8"?>
<formControlPr xmlns="http://schemas.microsoft.com/office/spreadsheetml/2009/9/main" objectType="Button" lockText="1"/>
</file>

<file path=xl/ctrlProps/ctrlProp769.xml><?xml version="1.0" encoding="utf-8"?>
<formControlPr xmlns="http://schemas.microsoft.com/office/spreadsheetml/2009/9/main" objectType="Button" lockText="1"/>
</file>

<file path=xl/ctrlProps/ctrlProp770.xml><?xml version="1.0" encoding="utf-8"?>
<formControlPr xmlns="http://schemas.microsoft.com/office/spreadsheetml/2009/9/main" objectType="Button" lockText="1"/>
</file>

<file path=xl/ctrlProps/ctrlProp771.xml><?xml version="1.0" encoding="utf-8"?>
<formControlPr xmlns="http://schemas.microsoft.com/office/spreadsheetml/2009/9/main" objectType="Button" lockText="1"/>
</file>

<file path=xl/ctrlProps/ctrlProp772.xml><?xml version="1.0" encoding="utf-8"?>
<formControlPr xmlns="http://schemas.microsoft.com/office/spreadsheetml/2009/9/main" objectType="Button" lockText="1"/>
</file>

<file path=xl/ctrlProps/ctrlProp773.xml><?xml version="1.0" encoding="utf-8"?>
<formControlPr xmlns="http://schemas.microsoft.com/office/spreadsheetml/2009/9/main" objectType="Button" lockText="1"/>
</file>

<file path=xl/ctrlProps/ctrlProp774.xml><?xml version="1.0" encoding="utf-8"?>
<formControlPr xmlns="http://schemas.microsoft.com/office/spreadsheetml/2009/9/main" objectType="Button" lockText="1"/>
</file>

<file path=xl/ctrlProps/ctrlProp775.xml><?xml version="1.0" encoding="utf-8"?>
<formControlPr xmlns="http://schemas.microsoft.com/office/spreadsheetml/2009/9/main" objectType="Button" lockText="1"/>
</file>

<file path=xl/ctrlProps/ctrlProp776.xml><?xml version="1.0" encoding="utf-8"?>
<formControlPr xmlns="http://schemas.microsoft.com/office/spreadsheetml/2009/9/main" objectType="Button" lockText="1"/>
</file>

<file path=xl/ctrlProps/ctrlProp777.xml><?xml version="1.0" encoding="utf-8"?>
<formControlPr xmlns="http://schemas.microsoft.com/office/spreadsheetml/2009/9/main" objectType="Button" lockText="1"/>
</file>

<file path=xl/ctrlProps/ctrlProp778.xml><?xml version="1.0" encoding="utf-8"?>
<formControlPr xmlns="http://schemas.microsoft.com/office/spreadsheetml/2009/9/main" objectType="Button" lockText="1"/>
</file>

<file path=xl/ctrlProps/ctrlProp779.xml><?xml version="1.0" encoding="utf-8"?>
<formControlPr xmlns="http://schemas.microsoft.com/office/spreadsheetml/2009/9/main" objectType="Button" lockText="1"/>
</file>

<file path=xl/ctrlProps/ctrlProp780.xml><?xml version="1.0" encoding="utf-8"?>
<formControlPr xmlns="http://schemas.microsoft.com/office/spreadsheetml/2009/9/main" objectType="Button" lockText="1"/>
</file>

<file path=xl/ctrlProps/ctrlProp781.xml><?xml version="1.0" encoding="utf-8"?>
<formControlPr xmlns="http://schemas.microsoft.com/office/spreadsheetml/2009/9/main" objectType="Button" lockText="1"/>
</file>

<file path=xl/ctrlProps/ctrlProp782.xml><?xml version="1.0" encoding="utf-8"?>
<formControlPr xmlns="http://schemas.microsoft.com/office/spreadsheetml/2009/9/main" objectType="Button" lockText="1"/>
</file>

<file path=xl/ctrlProps/ctrlProp783.xml><?xml version="1.0" encoding="utf-8"?>
<formControlPr xmlns="http://schemas.microsoft.com/office/spreadsheetml/2009/9/main" objectType="Button" lockText="1"/>
</file>

<file path=xl/ctrlProps/ctrlProp784.xml><?xml version="1.0" encoding="utf-8"?>
<formControlPr xmlns="http://schemas.microsoft.com/office/spreadsheetml/2009/9/main" objectType="Button" lockText="1"/>
</file>

<file path=xl/ctrlProps/ctrlProp785.xml><?xml version="1.0" encoding="utf-8"?>
<formControlPr xmlns="http://schemas.microsoft.com/office/spreadsheetml/2009/9/main" objectType="Button" lockText="1"/>
</file>

<file path=xl/ctrlProps/ctrlProp786.xml><?xml version="1.0" encoding="utf-8"?>
<formControlPr xmlns="http://schemas.microsoft.com/office/spreadsheetml/2009/9/main" objectType="Button" lockText="1"/>
</file>

<file path=xl/ctrlProps/ctrlProp787.xml><?xml version="1.0" encoding="utf-8"?>
<formControlPr xmlns="http://schemas.microsoft.com/office/spreadsheetml/2009/9/main" objectType="Button" lockText="1"/>
</file>

<file path=xl/ctrlProps/ctrlProp788.xml><?xml version="1.0" encoding="utf-8"?>
<formControlPr xmlns="http://schemas.microsoft.com/office/spreadsheetml/2009/9/main" objectType="Button" lockText="1"/>
</file>

<file path=xl/ctrlProps/ctrlProp789.xml><?xml version="1.0" encoding="utf-8"?>
<formControlPr xmlns="http://schemas.microsoft.com/office/spreadsheetml/2009/9/main" objectType="Button" lockText="1"/>
</file>

<file path=xl/ctrlProps/ctrlProp790.xml><?xml version="1.0" encoding="utf-8"?>
<formControlPr xmlns="http://schemas.microsoft.com/office/spreadsheetml/2009/9/main" objectType="Button" lockText="1"/>
</file>

<file path=xl/ctrlProps/ctrlProp791.xml><?xml version="1.0" encoding="utf-8"?>
<formControlPr xmlns="http://schemas.microsoft.com/office/spreadsheetml/2009/9/main" objectType="Button" lockText="1"/>
</file>

<file path=xl/ctrlProps/ctrlProp792.xml><?xml version="1.0" encoding="utf-8"?>
<formControlPr xmlns="http://schemas.microsoft.com/office/spreadsheetml/2009/9/main" objectType="Button" lockText="1"/>
</file>

<file path=xl/ctrlProps/ctrlProp793.xml><?xml version="1.0" encoding="utf-8"?>
<formControlPr xmlns="http://schemas.microsoft.com/office/spreadsheetml/2009/9/main" objectType="Button" lockText="1"/>
</file>

<file path=xl/ctrlProps/ctrlProp794.xml><?xml version="1.0" encoding="utf-8"?>
<formControlPr xmlns="http://schemas.microsoft.com/office/spreadsheetml/2009/9/main" objectType="Button" lockText="1"/>
</file>

<file path=xl/ctrlProps/ctrlProp795.xml><?xml version="1.0" encoding="utf-8"?>
<formControlPr xmlns="http://schemas.microsoft.com/office/spreadsheetml/2009/9/main" objectType="Button" lockText="1"/>
</file>

<file path=xl/ctrlProps/ctrlProp796.xml><?xml version="1.0" encoding="utf-8"?>
<formControlPr xmlns="http://schemas.microsoft.com/office/spreadsheetml/2009/9/main" objectType="Button" lockText="1"/>
</file>

<file path=xl/ctrlProps/ctrlProp797.xml><?xml version="1.0" encoding="utf-8"?>
<formControlPr xmlns="http://schemas.microsoft.com/office/spreadsheetml/2009/9/main" objectType="Button" lockText="1"/>
</file>

<file path=xl/ctrlProps/ctrlProp798.xml><?xml version="1.0" encoding="utf-8"?>
<formControlPr xmlns="http://schemas.microsoft.com/office/spreadsheetml/2009/9/main" objectType="Button" lockText="1"/>
</file>

<file path=xl/ctrlProps/ctrlProp799.xml><?xml version="1.0" encoding="utf-8"?>
<formControlPr xmlns="http://schemas.microsoft.com/office/spreadsheetml/2009/9/main" objectType="Button" lockText="1"/>
</file>

<file path=xl/ctrlProps/ctrlProp800.xml><?xml version="1.0" encoding="utf-8"?>
<formControlPr xmlns="http://schemas.microsoft.com/office/spreadsheetml/2009/9/main" objectType="Button" lockText="1"/>
</file>

<file path=xl/ctrlProps/ctrlProp801.xml><?xml version="1.0" encoding="utf-8"?>
<formControlPr xmlns="http://schemas.microsoft.com/office/spreadsheetml/2009/9/main" objectType="Button" lockText="1"/>
</file>

<file path=xl/ctrlProps/ctrlProp802.xml><?xml version="1.0" encoding="utf-8"?>
<formControlPr xmlns="http://schemas.microsoft.com/office/spreadsheetml/2009/9/main" objectType="Button" lockText="1"/>
</file>

<file path=xl/ctrlProps/ctrlProp803.xml><?xml version="1.0" encoding="utf-8"?>
<formControlPr xmlns="http://schemas.microsoft.com/office/spreadsheetml/2009/9/main" objectType="Button" lockText="1"/>
</file>

<file path=xl/ctrlProps/ctrlProp804.xml><?xml version="1.0" encoding="utf-8"?>
<formControlPr xmlns="http://schemas.microsoft.com/office/spreadsheetml/2009/9/main" objectType="Button" lockText="1"/>
</file>

<file path=xl/ctrlProps/ctrlProp805.xml><?xml version="1.0" encoding="utf-8"?>
<formControlPr xmlns="http://schemas.microsoft.com/office/spreadsheetml/2009/9/main" objectType="Button" lockText="1"/>
</file>

<file path=xl/ctrlProps/ctrlProp806.xml><?xml version="1.0" encoding="utf-8"?>
<formControlPr xmlns="http://schemas.microsoft.com/office/spreadsheetml/2009/9/main" objectType="Button" lockText="1"/>
</file>

<file path=xl/ctrlProps/ctrlProp807.xml><?xml version="1.0" encoding="utf-8"?>
<formControlPr xmlns="http://schemas.microsoft.com/office/spreadsheetml/2009/9/main" objectType="Button" lockText="1"/>
</file>

<file path=xl/ctrlProps/ctrlProp808.xml><?xml version="1.0" encoding="utf-8"?>
<formControlPr xmlns="http://schemas.microsoft.com/office/spreadsheetml/2009/9/main" objectType="Button" lockText="1"/>
</file>

<file path=xl/ctrlProps/ctrlProp809.xml><?xml version="1.0" encoding="utf-8"?>
<formControlPr xmlns="http://schemas.microsoft.com/office/spreadsheetml/2009/9/main" objectType="Button" lockText="1"/>
</file>

<file path=xl/ctrlProps/ctrlProp810.xml><?xml version="1.0" encoding="utf-8"?>
<formControlPr xmlns="http://schemas.microsoft.com/office/spreadsheetml/2009/9/main" objectType="Button" lockText="1"/>
</file>

<file path=xl/ctrlProps/ctrlProp811.xml><?xml version="1.0" encoding="utf-8"?>
<formControlPr xmlns="http://schemas.microsoft.com/office/spreadsheetml/2009/9/main" objectType="Button" lockText="1"/>
</file>

<file path=xl/ctrlProps/ctrlProp812.xml><?xml version="1.0" encoding="utf-8"?>
<formControlPr xmlns="http://schemas.microsoft.com/office/spreadsheetml/2009/9/main" objectType="Button" lockText="1"/>
</file>

<file path=xl/ctrlProps/ctrlProp813.xml><?xml version="1.0" encoding="utf-8"?>
<formControlPr xmlns="http://schemas.microsoft.com/office/spreadsheetml/2009/9/main" objectType="Button" lockText="1"/>
</file>

<file path=xl/ctrlProps/ctrlProp814.xml><?xml version="1.0" encoding="utf-8"?>
<formControlPr xmlns="http://schemas.microsoft.com/office/spreadsheetml/2009/9/main" objectType="Button" lockText="1"/>
</file>

<file path=xl/ctrlProps/ctrlProp815.xml><?xml version="1.0" encoding="utf-8"?>
<formControlPr xmlns="http://schemas.microsoft.com/office/spreadsheetml/2009/9/main" objectType="Button" lockText="1"/>
</file>

<file path=xl/ctrlProps/ctrlProp816.xml><?xml version="1.0" encoding="utf-8"?>
<formControlPr xmlns="http://schemas.microsoft.com/office/spreadsheetml/2009/9/main" objectType="Button" lockText="1"/>
</file>

<file path=xl/ctrlProps/ctrlProp817.xml><?xml version="1.0" encoding="utf-8"?>
<formControlPr xmlns="http://schemas.microsoft.com/office/spreadsheetml/2009/9/main" objectType="Button" lockText="1"/>
</file>

<file path=xl/ctrlProps/ctrlProp818.xml><?xml version="1.0" encoding="utf-8"?>
<formControlPr xmlns="http://schemas.microsoft.com/office/spreadsheetml/2009/9/main" objectType="Button" lockText="1"/>
</file>

<file path=xl/ctrlProps/ctrlProp819.xml><?xml version="1.0" encoding="utf-8"?>
<formControlPr xmlns="http://schemas.microsoft.com/office/spreadsheetml/2009/9/main" objectType="Button" lockText="1"/>
</file>

<file path=xl/ctrlProps/ctrlProp820.xml><?xml version="1.0" encoding="utf-8"?>
<formControlPr xmlns="http://schemas.microsoft.com/office/spreadsheetml/2009/9/main" objectType="Button" lockText="1"/>
</file>

<file path=xl/ctrlProps/ctrlProp821.xml><?xml version="1.0" encoding="utf-8"?>
<formControlPr xmlns="http://schemas.microsoft.com/office/spreadsheetml/2009/9/main" objectType="Button" lockText="1"/>
</file>

<file path=xl/ctrlProps/ctrlProp822.xml><?xml version="1.0" encoding="utf-8"?>
<formControlPr xmlns="http://schemas.microsoft.com/office/spreadsheetml/2009/9/main" objectType="Button" lockText="1"/>
</file>

<file path=xl/ctrlProps/ctrlProp823.xml><?xml version="1.0" encoding="utf-8"?>
<formControlPr xmlns="http://schemas.microsoft.com/office/spreadsheetml/2009/9/main" objectType="Button" lockText="1"/>
</file>

<file path=xl/ctrlProps/ctrlProp824.xml><?xml version="1.0" encoding="utf-8"?>
<formControlPr xmlns="http://schemas.microsoft.com/office/spreadsheetml/2009/9/main" objectType="Button" lockText="1"/>
</file>

<file path=xl/ctrlProps/ctrlProp825.xml><?xml version="1.0" encoding="utf-8"?>
<formControlPr xmlns="http://schemas.microsoft.com/office/spreadsheetml/2009/9/main" objectType="Button" lockText="1"/>
</file>

<file path=xl/ctrlProps/ctrlProp826.xml><?xml version="1.0" encoding="utf-8"?>
<formControlPr xmlns="http://schemas.microsoft.com/office/spreadsheetml/2009/9/main" objectType="Button" lockText="1"/>
</file>

<file path=xl/ctrlProps/ctrlProp827.xml><?xml version="1.0" encoding="utf-8"?>
<formControlPr xmlns="http://schemas.microsoft.com/office/spreadsheetml/2009/9/main" objectType="Button" lockText="1"/>
</file>

<file path=xl/ctrlProps/ctrlProp828.xml><?xml version="1.0" encoding="utf-8"?>
<formControlPr xmlns="http://schemas.microsoft.com/office/spreadsheetml/2009/9/main" objectType="Button" lockText="1"/>
</file>

<file path=xl/ctrlProps/ctrlProp829.xml><?xml version="1.0" encoding="utf-8"?>
<formControlPr xmlns="http://schemas.microsoft.com/office/spreadsheetml/2009/9/main" objectType="Button" lockText="1"/>
</file>

<file path=xl/ctrlProps/ctrlProp830.xml><?xml version="1.0" encoding="utf-8"?>
<formControlPr xmlns="http://schemas.microsoft.com/office/spreadsheetml/2009/9/main" objectType="Button" lockText="1"/>
</file>

<file path=xl/ctrlProps/ctrlProp831.xml><?xml version="1.0" encoding="utf-8"?>
<formControlPr xmlns="http://schemas.microsoft.com/office/spreadsheetml/2009/9/main" objectType="Button" lockText="1"/>
</file>

<file path=xl/ctrlProps/ctrlProp832.xml><?xml version="1.0" encoding="utf-8"?>
<formControlPr xmlns="http://schemas.microsoft.com/office/spreadsheetml/2009/9/main" objectType="Button" lockText="1"/>
</file>

<file path=xl/ctrlProps/ctrlProp833.xml><?xml version="1.0" encoding="utf-8"?>
<formControlPr xmlns="http://schemas.microsoft.com/office/spreadsheetml/2009/9/main" objectType="Button" lockText="1"/>
</file>

<file path=xl/ctrlProps/ctrlProp834.xml><?xml version="1.0" encoding="utf-8"?>
<formControlPr xmlns="http://schemas.microsoft.com/office/spreadsheetml/2009/9/main" objectType="Button" lockText="1"/>
</file>

<file path=xl/ctrlProps/ctrlProp835.xml><?xml version="1.0" encoding="utf-8"?>
<formControlPr xmlns="http://schemas.microsoft.com/office/spreadsheetml/2009/9/main" objectType="Button" lockText="1"/>
</file>

<file path=xl/ctrlProps/ctrlProp836.xml><?xml version="1.0" encoding="utf-8"?>
<formControlPr xmlns="http://schemas.microsoft.com/office/spreadsheetml/2009/9/main" objectType="Button" lockText="1"/>
</file>

<file path=xl/ctrlProps/ctrlProp837.xml><?xml version="1.0" encoding="utf-8"?>
<formControlPr xmlns="http://schemas.microsoft.com/office/spreadsheetml/2009/9/main" objectType="Button" lockText="1"/>
</file>

<file path=xl/ctrlProps/ctrlProp838.xml><?xml version="1.0" encoding="utf-8"?>
<formControlPr xmlns="http://schemas.microsoft.com/office/spreadsheetml/2009/9/main" objectType="Button" lockText="1"/>
</file>

<file path=xl/ctrlProps/ctrlProp839.xml><?xml version="1.0" encoding="utf-8"?>
<formControlPr xmlns="http://schemas.microsoft.com/office/spreadsheetml/2009/9/main" objectType="Button" lockText="1"/>
</file>

<file path=xl/ctrlProps/ctrlProp840.xml><?xml version="1.0" encoding="utf-8"?>
<formControlPr xmlns="http://schemas.microsoft.com/office/spreadsheetml/2009/9/main" objectType="Button" lockText="1"/>
</file>

<file path=xl/ctrlProps/ctrlProp841.xml><?xml version="1.0" encoding="utf-8"?>
<formControlPr xmlns="http://schemas.microsoft.com/office/spreadsheetml/2009/9/main" objectType="Button" lockText="1"/>
</file>

<file path=xl/ctrlProps/ctrlProp842.xml><?xml version="1.0" encoding="utf-8"?>
<formControlPr xmlns="http://schemas.microsoft.com/office/spreadsheetml/2009/9/main" objectType="Button" lockText="1"/>
</file>

<file path=xl/ctrlProps/ctrlProp843.xml><?xml version="1.0" encoding="utf-8"?>
<formControlPr xmlns="http://schemas.microsoft.com/office/spreadsheetml/2009/9/main" objectType="Button" lockText="1"/>
</file>

<file path=xl/ctrlProps/ctrlProp844.xml><?xml version="1.0" encoding="utf-8"?>
<formControlPr xmlns="http://schemas.microsoft.com/office/spreadsheetml/2009/9/main" objectType="Button" lockText="1"/>
</file>

<file path=xl/ctrlProps/ctrlProp845.xml><?xml version="1.0" encoding="utf-8"?>
<formControlPr xmlns="http://schemas.microsoft.com/office/spreadsheetml/2009/9/main" objectType="Button" lockText="1"/>
</file>

<file path=xl/ctrlProps/ctrlProp846.xml><?xml version="1.0" encoding="utf-8"?>
<formControlPr xmlns="http://schemas.microsoft.com/office/spreadsheetml/2009/9/main" objectType="Button" lockText="1"/>
</file>

<file path=xl/ctrlProps/ctrlProp847.xml><?xml version="1.0" encoding="utf-8"?>
<formControlPr xmlns="http://schemas.microsoft.com/office/spreadsheetml/2009/9/main" objectType="Button" lockText="1"/>
</file>

<file path=xl/ctrlProps/ctrlProp848.xml><?xml version="1.0" encoding="utf-8"?>
<formControlPr xmlns="http://schemas.microsoft.com/office/spreadsheetml/2009/9/main" objectType="Button" lockText="1"/>
</file>

<file path=xl/ctrlProps/ctrlProp849.xml><?xml version="1.0" encoding="utf-8"?>
<formControlPr xmlns="http://schemas.microsoft.com/office/spreadsheetml/2009/9/main" objectType="Button" lockText="1"/>
</file>

<file path=xl/ctrlProps/ctrlProp850.xml><?xml version="1.0" encoding="utf-8"?>
<formControlPr xmlns="http://schemas.microsoft.com/office/spreadsheetml/2009/9/main" objectType="Button" lockText="1"/>
</file>

<file path=xl/ctrlProps/ctrlProp851.xml><?xml version="1.0" encoding="utf-8"?>
<formControlPr xmlns="http://schemas.microsoft.com/office/spreadsheetml/2009/9/main" objectType="Button" lockText="1"/>
</file>

<file path=xl/ctrlProps/ctrlProp852.xml><?xml version="1.0" encoding="utf-8"?>
<formControlPr xmlns="http://schemas.microsoft.com/office/spreadsheetml/2009/9/main" objectType="Button" lockText="1"/>
</file>

<file path=xl/ctrlProps/ctrlProp853.xml><?xml version="1.0" encoding="utf-8"?>
<formControlPr xmlns="http://schemas.microsoft.com/office/spreadsheetml/2009/9/main" objectType="Button" lockText="1"/>
</file>

<file path=xl/ctrlProps/ctrlProp854.xml><?xml version="1.0" encoding="utf-8"?>
<formControlPr xmlns="http://schemas.microsoft.com/office/spreadsheetml/2009/9/main" objectType="Button" lockText="1"/>
</file>

<file path=xl/ctrlProps/ctrlProp855.xml><?xml version="1.0" encoding="utf-8"?>
<formControlPr xmlns="http://schemas.microsoft.com/office/spreadsheetml/2009/9/main" objectType="Button" lockText="1"/>
</file>

<file path=xl/ctrlProps/ctrlProp856.xml><?xml version="1.0" encoding="utf-8"?>
<formControlPr xmlns="http://schemas.microsoft.com/office/spreadsheetml/2009/9/main" objectType="Button" lockText="1"/>
</file>

<file path=xl/ctrlProps/ctrlProp857.xml><?xml version="1.0" encoding="utf-8"?>
<formControlPr xmlns="http://schemas.microsoft.com/office/spreadsheetml/2009/9/main" objectType="Button" lockText="1"/>
</file>

<file path=xl/ctrlProps/ctrlProp858.xml><?xml version="1.0" encoding="utf-8"?>
<formControlPr xmlns="http://schemas.microsoft.com/office/spreadsheetml/2009/9/main" objectType="Button" lockText="1"/>
</file>

<file path=xl/ctrlProps/ctrlProp859.xml><?xml version="1.0" encoding="utf-8"?>
<formControlPr xmlns="http://schemas.microsoft.com/office/spreadsheetml/2009/9/main" objectType="Button" lockText="1"/>
</file>

<file path=xl/ctrlProps/ctrlProp860.xml><?xml version="1.0" encoding="utf-8"?>
<formControlPr xmlns="http://schemas.microsoft.com/office/spreadsheetml/2009/9/main" objectType="Button" lockText="1"/>
</file>

<file path=xl/ctrlProps/ctrlProp861.xml><?xml version="1.0" encoding="utf-8"?>
<formControlPr xmlns="http://schemas.microsoft.com/office/spreadsheetml/2009/9/main" objectType="Button" lockText="1"/>
</file>

<file path=xl/ctrlProps/ctrlProp862.xml><?xml version="1.0" encoding="utf-8"?>
<formControlPr xmlns="http://schemas.microsoft.com/office/spreadsheetml/2009/9/main" objectType="Button" lockText="1"/>
</file>

<file path=xl/ctrlProps/ctrlProp863.xml><?xml version="1.0" encoding="utf-8"?>
<formControlPr xmlns="http://schemas.microsoft.com/office/spreadsheetml/2009/9/main" objectType="Button" lockText="1"/>
</file>

<file path=xl/ctrlProps/ctrlProp864.xml><?xml version="1.0" encoding="utf-8"?>
<formControlPr xmlns="http://schemas.microsoft.com/office/spreadsheetml/2009/9/main" objectType="Button" lockText="1"/>
</file>

<file path=xl/ctrlProps/ctrlProp865.xml><?xml version="1.0" encoding="utf-8"?>
<formControlPr xmlns="http://schemas.microsoft.com/office/spreadsheetml/2009/9/main" objectType="Button" lockText="1"/>
</file>

<file path=xl/ctrlProps/ctrlProp866.xml><?xml version="1.0" encoding="utf-8"?>
<formControlPr xmlns="http://schemas.microsoft.com/office/spreadsheetml/2009/9/main" objectType="Button" lockText="1"/>
</file>

<file path=xl/ctrlProps/ctrlProp867.xml><?xml version="1.0" encoding="utf-8"?>
<formControlPr xmlns="http://schemas.microsoft.com/office/spreadsheetml/2009/9/main" objectType="Button" lockText="1"/>
</file>

<file path=xl/ctrlProps/ctrlProp868.xml><?xml version="1.0" encoding="utf-8"?>
<formControlPr xmlns="http://schemas.microsoft.com/office/spreadsheetml/2009/9/main" objectType="Button" lockText="1"/>
</file>

<file path=xl/ctrlProps/ctrlProp869.xml><?xml version="1.0" encoding="utf-8"?>
<formControlPr xmlns="http://schemas.microsoft.com/office/spreadsheetml/2009/9/main" objectType="Button" lockText="1"/>
</file>

<file path=xl/ctrlProps/ctrlProp870.xml><?xml version="1.0" encoding="utf-8"?>
<formControlPr xmlns="http://schemas.microsoft.com/office/spreadsheetml/2009/9/main" objectType="Button" lockText="1"/>
</file>

<file path=xl/ctrlProps/ctrlProp871.xml><?xml version="1.0" encoding="utf-8"?>
<formControlPr xmlns="http://schemas.microsoft.com/office/spreadsheetml/2009/9/main" objectType="Button" lockText="1"/>
</file>

<file path=xl/ctrlProps/ctrlProp872.xml><?xml version="1.0" encoding="utf-8"?>
<formControlPr xmlns="http://schemas.microsoft.com/office/spreadsheetml/2009/9/main" objectType="Button" lockText="1"/>
</file>

<file path=xl/ctrlProps/ctrlProp873.xml><?xml version="1.0" encoding="utf-8"?>
<formControlPr xmlns="http://schemas.microsoft.com/office/spreadsheetml/2009/9/main" objectType="Button" lockText="1"/>
</file>

<file path=xl/ctrlProps/ctrlProp874.xml><?xml version="1.0" encoding="utf-8"?>
<formControlPr xmlns="http://schemas.microsoft.com/office/spreadsheetml/2009/9/main" objectType="Button" lockText="1"/>
</file>

<file path=xl/ctrlProps/ctrlProp875.xml><?xml version="1.0" encoding="utf-8"?>
<formControlPr xmlns="http://schemas.microsoft.com/office/spreadsheetml/2009/9/main" objectType="Button" lockText="1"/>
</file>

<file path=xl/ctrlProps/ctrlProp876.xml><?xml version="1.0" encoding="utf-8"?>
<formControlPr xmlns="http://schemas.microsoft.com/office/spreadsheetml/2009/9/main" objectType="Button" lockText="1"/>
</file>

<file path=xl/ctrlProps/ctrlProp877.xml><?xml version="1.0" encoding="utf-8"?>
<formControlPr xmlns="http://schemas.microsoft.com/office/spreadsheetml/2009/9/main" objectType="Button" lockText="1"/>
</file>

<file path=xl/ctrlProps/ctrlProp878.xml><?xml version="1.0" encoding="utf-8"?>
<formControlPr xmlns="http://schemas.microsoft.com/office/spreadsheetml/2009/9/main" objectType="Button" lockText="1"/>
</file>

<file path=xl/ctrlProps/ctrlProp879.xml><?xml version="1.0" encoding="utf-8"?>
<formControlPr xmlns="http://schemas.microsoft.com/office/spreadsheetml/2009/9/main" objectType="Button" lockText="1"/>
</file>

<file path=xl/ctrlProps/ctrlProp880.xml><?xml version="1.0" encoding="utf-8"?>
<formControlPr xmlns="http://schemas.microsoft.com/office/spreadsheetml/2009/9/main" objectType="Button" lockText="1"/>
</file>

<file path=xl/ctrlProps/ctrlProp881.xml><?xml version="1.0" encoding="utf-8"?>
<formControlPr xmlns="http://schemas.microsoft.com/office/spreadsheetml/2009/9/main" objectType="Button" lockText="1"/>
</file>

<file path=xl/ctrlProps/ctrlProp882.xml><?xml version="1.0" encoding="utf-8"?>
<formControlPr xmlns="http://schemas.microsoft.com/office/spreadsheetml/2009/9/main" objectType="Button" lockText="1"/>
</file>

<file path=xl/ctrlProps/ctrlProp883.xml><?xml version="1.0" encoding="utf-8"?>
<formControlPr xmlns="http://schemas.microsoft.com/office/spreadsheetml/2009/9/main" objectType="Button" lockText="1"/>
</file>

<file path=xl/ctrlProps/ctrlProp884.xml><?xml version="1.0" encoding="utf-8"?>
<formControlPr xmlns="http://schemas.microsoft.com/office/spreadsheetml/2009/9/main" objectType="Button" lockText="1"/>
</file>

<file path=xl/ctrlProps/ctrlProp885.xml><?xml version="1.0" encoding="utf-8"?>
<formControlPr xmlns="http://schemas.microsoft.com/office/spreadsheetml/2009/9/main" objectType="Button" lockText="1"/>
</file>

<file path=xl/ctrlProps/ctrlProp886.xml><?xml version="1.0" encoding="utf-8"?>
<formControlPr xmlns="http://schemas.microsoft.com/office/spreadsheetml/2009/9/main" objectType="Button" lockText="1"/>
</file>

<file path=xl/ctrlProps/ctrlProp887.xml><?xml version="1.0" encoding="utf-8"?>
<formControlPr xmlns="http://schemas.microsoft.com/office/spreadsheetml/2009/9/main" objectType="Button" lockText="1"/>
</file>

<file path=xl/ctrlProps/ctrlProp888.xml><?xml version="1.0" encoding="utf-8"?>
<formControlPr xmlns="http://schemas.microsoft.com/office/spreadsheetml/2009/9/main" objectType="Button" lockText="1"/>
</file>

<file path=xl/ctrlProps/ctrlProp889.xml><?xml version="1.0" encoding="utf-8"?>
<formControlPr xmlns="http://schemas.microsoft.com/office/spreadsheetml/2009/9/main" objectType="Button" lockText="1"/>
</file>

<file path=xl/ctrlProps/ctrlProp890.xml><?xml version="1.0" encoding="utf-8"?>
<formControlPr xmlns="http://schemas.microsoft.com/office/spreadsheetml/2009/9/main" objectType="Button" lockText="1"/>
</file>

<file path=xl/ctrlProps/ctrlProp891.xml><?xml version="1.0" encoding="utf-8"?>
<formControlPr xmlns="http://schemas.microsoft.com/office/spreadsheetml/2009/9/main" objectType="Button" lockText="1"/>
</file>

<file path=xl/ctrlProps/ctrlProp892.xml><?xml version="1.0" encoding="utf-8"?>
<formControlPr xmlns="http://schemas.microsoft.com/office/spreadsheetml/2009/9/main" objectType="Button" lockText="1"/>
</file>

<file path=xl/ctrlProps/ctrlProp893.xml><?xml version="1.0" encoding="utf-8"?>
<formControlPr xmlns="http://schemas.microsoft.com/office/spreadsheetml/2009/9/main" objectType="Button" lockText="1"/>
</file>

<file path=xl/ctrlProps/ctrlProp894.xml><?xml version="1.0" encoding="utf-8"?>
<formControlPr xmlns="http://schemas.microsoft.com/office/spreadsheetml/2009/9/main" objectType="Button" lockText="1"/>
</file>

<file path=xl/ctrlProps/ctrlProp895.xml><?xml version="1.0" encoding="utf-8"?>
<formControlPr xmlns="http://schemas.microsoft.com/office/spreadsheetml/2009/9/main" objectType="Button" lockText="1"/>
</file>

<file path=xl/ctrlProps/ctrlProp896.xml><?xml version="1.0" encoding="utf-8"?>
<formControlPr xmlns="http://schemas.microsoft.com/office/spreadsheetml/2009/9/main" objectType="Button" lockText="1"/>
</file>

<file path=xl/ctrlProps/ctrlProp897.xml><?xml version="1.0" encoding="utf-8"?>
<formControlPr xmlns="http://schemas.microsoft.com/office/spreadsheetml/2009/9/main" objectType="Button" lockText="1"/>
</file>

<file path=xl/ctrlProps/ctrlProp898.xml><?xml version="1.0" encoding="utf-8"?>
<formControlPr xmlns="http://schemas.microsoft.com/office/spreadsheetml/2009/9/main" objectType="Button" lockText="1"/>
</file>

<file path=xl/ctrlProps/ctrlProp899.xml><?xml version="1.0" encoding="utf-8"?>
<formControlPr xmlns="http://schemas.microsoft.com/office/spreadsheetml/2009/9/main" objectType="Button" lockText="1"/>
</file>

<file path=xl/ctrlProps/ctrlProp900.xml><?xml version="1.0" encoding="utf-8"?>
<formControlPr xmlns="http://schemas.microsoft.com/office/spreadsheetml/2009/9/main" objectType="Button" lockText="1"/>
</file>

<file path=xl/ctrlProps/ctrlProp901.xml><?xml version="1.0" encoding="utf-8"?>
<formControlPr xmlns="http://schemas.microsoft.com/office/spreadsheetml/2009/9/main" objectType="Button" lockText="1"/>
</file>

<file path=xl/ctrlProps/ctrlProp902.xml><?xml version="1.0" encoding="utf-8"?>
<formControlPr xmlns="http://schemas.microsoft.com/office/spreadsheetml/2009/9/main" objectType="Button" lockText="1"/>
</file>

<file path=xl/ctrlProps/ctrlProp903.xml><?xml version="1.0" encoding="utf-8"?>
<formControlPr xmlns="http://schemas.microsoft.com/office/spreadsheetml/2009/9/main" objectType="Button" lockText="1"/>
</file>

<file path=xl/ctrlProps/ctrlProp904.xml><?xml version="1.0" encoding="utf-8"?>
<formControlPr xmlns="http://schemas.microsoft.com/office/spreadsheetml/2009/9/main" objectType="Button" lockText="1"/>
</file>

<file path=xl/ctrlProps/ctrlProp905.xml><?xml version="1.0" encoding="utf-8"?>
<formControlPr xmlns="http://schemas.microsoft.com/office/spreadsheetml/2009/9/main" objectType="Button" lockText="1"/>
</file>

<file path=xl/ctrlProps/ctrlProp906.xml><?xml version="1.0" encoding="utf-8"?>
<formControlPr xmlns="http://schemas.microsoft.com/office/spreadsheetml/2009/9/main" objectType="Button" lockText="1"/>
</file>

<file path=xl/ctrlProps/ctrlProp907.xml><?xml version="1.0" encoding="utf-8"?>
<formControlPr xmlns="http://schemas.microsoft.com/office/spreadsheetml/2009/9/main" objectType="Button" lockText="1"/>
</file>

<file path=xl/ctrlProps/ctrlProp908.xml><?xml version="1.0" encoding="utf-8"?>
<formControlPr xmlns="http://schemas.microsoft.com/office/spreadsheetml/2009/9/main" objectType="Button" lockText="1"/>
</file>

<file path=xl/ctrlProps/ctrlProp909.xml><?xml version="1.0" encoding="utf-8"?>
<formControlPr xmlns="http://schemas.microsoft.com/office/spreadsheetml/2009/9/main" objectType="Button" lockText="1"/>
</file>

<file path=xl/ctrlProps/ctrlProp910.xml><?xml version="1.0" encoding="utf-8"?>
<formControlPr xmlns="http://schemas.microsoft.com/office/spreadsheetml/2009/9/main" objectType="Button" lockText="1"/>
</file>

<file path=xl/ctrlProps/ctrlProp911.xml><?xml version="1.0" encoding="utf-8"?>
<formControlPr xmlns="http://schemas.microsoft.com/office/spreadsheetml/2009/9/main" objectType="Button" lockText="1"/>
</file>

<file path=xl/ctrlProps/ctrlProp912.xml><?xml version="1.0" encoding="utf-8"?>
<formControlPr xmlns="http://schemas.microsoft.com/office/spreadsheetml/2009/9/main" objectType="Button" lockText="1"/>
</file>

<file path=xl/ctrlProps/ctrlProp913.xml><?xml version="1.0" encoding="utf-8"?>
<formControlPr xmlns="http://schemas.microsoft.com/office/spreadsheetml/2009/9/main" objectType="Button" lockText="1"/>
</file>

<file path=xl/ctrlProps/ctrlProp914.xml><?xml version="1.0" encoding="utf-8"?>
<formControlPr xmlns="http://schemas.microsoft.com/office/spreadsheetml/2009/9/main" objectType="Button" lockText="1"/>
</file>

<file path=xl/ctrlProps/ctrlProp915.xml><?xml version="1.0" encoding="utf-8"?>
<formControlPr xmlns="http://schemas.microsoft.com/office/spreadsheetml/2009/9/main" objectType="Button" lockText="1"/>
</file>

<file path=xl/ctrlProps/ctrlProp916.xml><?xml version="1.0" encoding="utf-8"?>
<formControlPr xmlns="http://schemas.microsoft.com/office/spreadsheetml/2009/9/main" objectType="Button" lockText="1"/>
</file>

<file path=xl/ctrlProps/ctrlProp917.xml><?xml version="1.0" encoding="utf-8"?>
<formControlPr xmlns="http://schemas.microsoft.com/office/spreadsheetml/2009/9/main" objectType="Button" lockText="1"/>
</file>

<file path=xl/ctrlProps/ctrlProp918.xml><?xml version="1.0" encoding="utf-8"?>
<formControlPr xmlns="http://schemas.microsoft.com/office/spreadsheetml/2009/9/main" objectType="Button" lockText="1"/>
</file>

<file path=xl/ctrlProps/ctrlProp919.xml><?xml version="1.0" encoding="utf-8"?>
<formControlPr xmlns="http://schemas.microsoft.com/office/spreadsheetml/2009/9/main" objectType="Button" lockText="1"/>
</file>

<file path=xl/ctrlProps/ctrlProp920.xml><?xml version="1.0" encoding="utf-8"?>
<formControlPr xmlns="http://schemas.microsoft.com/office/spreadsheetml/2009/9/main" objectType="Button" lockText="1"/>
</file>

<file path=xl/ctrlProps/ctrlProp921.xml><?xml version="1.0" encoding="utf-8"?>
<formControlPr xmlns="http://schemas.microsoft.com/office/spreadsheetml/2009/9/main" objectType="Button" lockText="1"/>
</file>

<file path=xl/ctrlProps/ctrlProp922.xml><?xml version="1.0" encoding="utf-8"?>
<formControlPr xmlns="http://schemas.microsoft.com/office/spreadsheetml/2009/9/main" objectType="Button" lockText="1"/>
</file>

<file path=xl/ctrlProps/ctrlProp923.xml><?xml version="1.0" encoding="utf-8"?>
<formControlPr xmlns="http://schemas.microsoft.com/office/spreadsheetml/2009/9/main" objectType="Button" lockText="1"/>
</file>

<file path=xl/ctrlProps/ctrlProp924.xml><?xml version="1.0" encoding="utf-8"?>
<formControlPr xmlns="http://schemas.microsoft.com/office/spreadsheetml/2009/9/main" objectType="Button" lockText="1"/>
</file>

<file path=xl/ctrlProps/ctrlProp925.xml><?xml version="1.0" encoding="utf-8"?>
<formControlPr xmlns="http://schemas.microsoft.com/office/spreadsheetml/2009/9/main" objectType="Button" lockText="1"/>
</file>

<file path=xl/ctrlProps/ctrlProp926.xml><?xml version="1.0" encoding="utf-8"?>
<formControlPr xmlns="http://schemas.microsoft.com/office/spreadsheetml/2009/9/main" objectType="Button" lockText="1"/>
</file>

<file path=xl/ctrlProps/ctrlProp927.xml><?xml version="1.0" encoding="utf-8"?>
<formControlPr xmlns="http://schemas.microsoft.com/office/spreadsheetml/2009/9/main" objectType="Button" lockText="1"/>
</file>

<file path=xl/ctrlProps/ctrlProp928.xml><?xml version="1.0" encoding="utf-8"?>
<formControlPr xmlns="http://schemas.microsoft.com/office/spreadsheetml/2009/9/main" objectType="Button" lockText="1"/>
</file>

<file path=xl/ctrlProps/ctrlProp929.xml><?xml version="1.0" encoding="utf-8"?>
<formControlPr xmlns="http://schemas.microsoft.com/office/spreadsheetml/2009/9/main" objectType="Button" lockText="1"/>
</file>

<file path=xl/ctrlProps/ctrlProp930.xml><?xml version="1.0" encoding="utf-8"?>
<formControlPr xmlns="http://schemas.microsoft.com/office/spreadsheetml/2009/9/main" objectType="Button" lockText="1"/>
</file>

<file path=xl/ctrlProps/ctrlProp931.xml><?xml version="1.0" encoding="utf-8"?>
<formControlPr xmlns="http://schemas.microsoft.com/office/spreadsheetml/2009/9/main" objectType="Button" lockText="1"/>
</file>

<file path=xl/ctrlProps/ctrlProp932.xml><?xml version="1.0" encoding="utf-8"?>
<formControlPr xmlns="http://schemas.microsoft.com/office/spreadsheetml/2009/9/main" objectType="Button" lockText="1"/>
</file>

<file path=xl/ctrlProps/ctrlProp933.xml><?xml version="1.0" encoding="utf-8"?>
<formControlPr xmlns="http://schemas.microsoft.com/office/spreadsheetml/2009/9/main" objectType="Button" lockText="1"/>
</file>

<file path=xl/ctrlProps/ctrlProp934.xml><?xml version="1.0" encoding="utf-8"?>
<formControlPr xmlns="http://schemas.microsoft.com/office/spreadsheetml/2009/9/main" objectType="Button" lockText="1"/>
</file>

<file path=xl/ctrlProps/ctrlProp935.xml><?xml version="1.0" encoding="utf-8"?>
<formControlPr xmlns="http://schemas.microsoft.com/office/spreadsheetml/2009/9/main" objectType="Button" lockText="1"/>
</file>

<file path=xl/ctrlProps/ctrlProp936.xml><?xml version="1.0" encoding="utf-8"?>
<formControlPr xmlns="http://schemas.microsoft.com/office/spreadsheetml/2009/9/main" objectType="Button" lockText="1"/>
</file>

<file path=xl/ctrlProps/ctrlProp937.xml><?xml version="1.0" encoding="utf-8"?>
<formControlPr xmlns="http://schemas.microsoft.com/office/spreadsheetml/2009/9/main" objectType="Button" lockText="1"/>
</file>

<file path=xl/ctrlProps/ctrlProp938.xml><?xml version="1.0" encoding="utf-8"?>
<formControlPr xmlns="http://schemas.microsoft.com/office/spreadsheetml/2009/9/main" objectType="Button" lockText="1"/>
</file>

<file path=xl/ctrlProps/ctrlProp939.xml><?xml version="1.0" encoding="utf-8"?>
<formControlPr xmlns="http://schemas.microsoft.com/office/spreadsheetml/2009/9/main" objectType="Button" lockText="1"/>
</file>

<file path=xl/ctrlProps/ctrlProp940.xml><?xml version="1.0" encoding="utf-8"?>
<formControlPr xmlns="http://schemas.microsoft.com/office/spreadsheetml/2009/9/main" objectType="Button" lockText="1"/>
</file>

<file path=xl/ctrlProps/ctrlProp941.xml><?xml version="1.0" encoding="utf-8"?>
<formControlPr xmlns="http://schemas.microsoft.com/office/spreadsheetml/2009/9/main" objectType="Button" lockText="1"/>
</file>

<file path=xl/ctrlProps/ctrlProp942.xml><?xml version="1.0" encoding="utf-8"?>
<formControlPr xmlns="http://schemas.microsoft.com/office/spreadsheetml/2009/9/main" objectType="Button" lockText="1"/>
</file>

<file path=xl/ctrlProps/ctrlProp943.xml><?xml version="1.0" encoding="utf-8"?>
<formControlPr xmlns="http://schemas.microsoft.com/office/spreadsheetml/2009/9/main" objectType="Button" lockText="1"/>
</file>

<file path=xl/ctrlProps/ctrlProp944.xml><?xml version="1.0" encoding="utf-8"?>
<formControlPr xmlns="http://schemas.microsoft.com/office/spreadsheetml/2009/9/main" objectType="Button" lockText="1"/>
</file>

<file path=xl/ctrlProps/ctrlProp945.xml><?xml version="1.0" encoding="utf-8"?>
<formControlPr xmlns="http://schemas.microsoft.com/office/spreadsheetml/2009/9/main" objectType="Button" lockText="1"/>
</file>

<file path=xl/ctrlProps/ctrlProp946.xml><?xml version="1.0" encoding="utf-8"?>
<formControlPr xmlns="http://schemas.microsoft.com/office/spreadsheetml/2009/9/main" objectType="Button" lockText="1"/>
</file>

<file path=xl/ctrlProps/ctrlProp947.xml><?xml version="1.0" encoding="utf-8"?>
<formControlPr xmlns="http://schemas.microsoft.com/office/spreadsheetml/2009/9/main" objectType="Button" lockText="1"/>
</file>

<file path=xl/ctrlProps/ctrlProp948.xml><?xml version="1.0" encoding="utf-8"?>
<formControlPr xmlns="http://schemas.microsoft.com/office/spreadsheetml/2009/9/main" objectType="Button" lockText="1"/>
</file>

<file path=xl/ctrlProps/ctrlProp949.xml><?xml version="1.0" encoding="utf-8"?>
<formControlPr xmlns="http://schemas.microsoft.com/office/spreadsheetml/2009/9/main" objectType="Button" lockText="1"/>
</file>

<file path=xl/ctrlProps/ctrlProp950.xml><?xml version="1.0" encoding="utf-8"?>
<formControlPr xmlns="http://schemas.microsoft.com/office/spreadsheetml/2009/9/main" objectType="Button" lockText="1"/>
</file>

<file path=xl/ctrlProps/ctrlProp951.xml><?xml version="1.0" encoding="utf-8"?>
<formControlPr xmlns="http://schemas.microsoft.com/office/spreadsheetml/2009/9/main" objectType="Button" lockText="1"/>
</file>

<file path=xl/ctrlProps/ctrlProp952.xml><?xml version="1.0" encoding="utf-8"?>
<formControlPr xmlns="http://schemas.microsoft.com/office/spreadsheetml/2009/9/main" objectType="Button" lockText="1"/>
</file>

<file path=xl/ctrlProps/ctrlProp953.xml><?xml version="1.0" encoding="utf-8"?>
<formControlPr xmlns="http://schemas.microsoft.com/office/spreadsheetml/2009/9/main" objectType="Button" lockText="1"/>
</file>

<file path=xl/ctrlProps/ctrlProp954.xml><?xml version="1.0" encoding="utf-8"?>
<formControlPr xmlns="http://schemas.microsoft.com/office/spreadsheetml/2009/9/main" objectType="Button" lockText="1"/>
</file>

<file path=xl/ctrlProps/ctrlProp955.xml><?xml version="1.0" encoding="utf-8"?>
<formControlPr xmlns="http://schemas.microsoft.com/office/spreadsheetml/2009/9/main" objectType="Button" lockText="1"/>
</file>

<file path=xl/ctrlProps/ctrlProp956.xml><?xml version="1.0" encoding="utf-8"?>
<formControlPr xmlns="http://schemas.microsoft.com/office/spreadsheetml/2009/9/main" objectType="Button" lockText="1"/>
</file>

<file path=xl/ctrlProps/ctrlProp957.xml><?xml version="1.0" encoding="utf-8"?>
<formControlPr xmlns="http://schemas.microsoft.com/office/spreadsheetml/2009/9/main" objectType="Button" lockText="1"/>
</file>

<file path=xl/ctrlProps/ctrlProp958.xml><?xml version="1.0" encoding="utf-8"?>
<formControlPr xmlns="http://schemas.microsoft.com/office/spreadsheetml/2009/9/main" objectType="Button" lockText="1"/>
</file>

<file path=xl/ctrlProps/ctrlProp959.xml><?xml version="1.0" encoding="utf-8"?>
<formControlPr xmlns="http://schemas.microsoft.com/office/spreadsheetml/2009/9/main" objectType="Button" lockText="1"/>
</file>

<file path=xl/ctrlProps/ctrlProp960.xml><?xml version="1.0" encoding="utf-8"?>
<formControlPr xmlns="http://schemas.microsoft.com/office/spreadsheetml/2009/9/main" objectType="Button" lockText="1"/>
</file>

<file path=xl/ctrlProps/ctrlProp961.xml><?xml version="1.0" encoding="utf-8"?>
<formControlPr xmlns="http://schemas.microsoft.com/office/spreadsheetml/2009/9/main" objectType="Button" lockText="1"/>
</file>

<file path=xl/ctrlProps/ctrlProp962.xml><?xml version="1.0" encoding="utf-8"?>
<formControlPr xmlns="http://schemas.microsoft.com/office/spreadsheetml/2009/9/main" objectType="Button" lockText="1"/>
</file>

<file path=xl/ctrlProps/ctrlProp963.xml><?xml version="1.0" encoding="utf-8"?>
<formControlPr xmlns="http://schemas.microsoft.com/office/spreadsheetml/2009/9/main" objectType="Button" lockText="1"/>
</file>

<file path=xl/ctrlProps/ctrlProp964.xml><?xml version="1.0" encoding="utf-8"?>
<formControlPr xmlns="http://schemas.microsoft.com/office/spreadsheetml/2009/9/main" objectType="Button" lockText="1"/>
</file>

<file path=xl/ctrlProps/ctrlProp965.xml><?xml version="1.0" encoding="utf-8"?>
<formControlPr xmlns="http://schemas.microsoft.com/office/spreadsheetml/2009/9/main" objectType="Button" lockText="1"/>
</file>

<file path=xl/ctrlProps/ctrlProp966.xml><?xml version="1.0" encoding="utf-8"?>
<formControlPr xmlns="http://schemas.microsoft.com/office/spreadsheetml/2009/9/main" objectType="Button" lockText="1"/>
</file>

<file path=xl/ctrlProps/ctrlProp967.xml><?xml version="1.0" encoding="utf-8"?>
<formControlPr xmlns="http://schemas.microsoft.com/office/spreadsheetml/2009/9/main" objectType="Button" lockText="1"/>
</file>

<file path=xl/ctrlProps/ctrlProp968.xml><?xml version="1.0" encoding="utf-8"?>
<formControlPr xmlns="http://schemas.microsoft.com/office/spreadsheetml/2009/9/main" objectType="Button" lockText="1"/>
</file>

<file path=xl/ctrlProps/ctrlProp969.xml><?xml version="1.0" encoding="utf-8"?>
<formControlPr xmlns="http://schemas.microsoft.com/office/spreadsheetml/2009/9/main" objectType="Button" lockText="1"/>
</file>

<file path=xl/ctrlProps/ctrlProp970.xml><?xml version="1.0" encoding="utf-8"?>
<formControlPr xmlns="http://schemas.microsoft.com/office/spreadsheetml/2009/9/main" objectType="Button" lockText="1"/>
</file>

<file path=xl/ctrlProps/ctrlProp971.xml><?xml version="1.0" encoding="utf-8"?>
<formControlPr xmlns="http://schemas.microsoft.com/office/spreadsheetml/2009/9/main" objectType="Button" lockText="1"/>
</file>

<file path=xl/ctrlProps/ctrlProp972.xml><?xml version="1.0" encoding="utf-8"?>
<formControlPr xmlns="http://schemas.microsoft.com/office/spreadsheetml/2009/9/main" objectType="Button" lockText="1"/>
</file>

<file path=xl/ctrlProps/ctrlProp973.xml><?xml version="1.0" encoding="utf-8"?>
<formControlPr xmlns="http://schemas.microsoft.com/office/spreadsheetml/2009/9/main" objectType="Button" lockText="1"/>
</file>

<file path=xl/ctrlProps/ctrlProp974.xml><?xml version="1.0" encoding="utf-8"?>
<formControlPr xmlns="http://schemas.microsoft.com/office/spreadsheetml/2009/9/main" objectType="Button" lockText="1"/>
</file>

<file path=xl/ctrlProps/ctrlProp975.xml><?xml version="1.0" encoding="utf-8"?>
<formControlPr xmlns="http://schemas.microsoft.com/office/spreadsheetml/2009/9/main" objectType="Button" lockText="1"/>
</file>

<file path=xl/ctrlProps/ctrlProp976.xml><?xml version="1.0" encoding="utf-8"?>
<formControlPr xmlns="http://schemas.microsoft.com/office/spreadsheetml/2009/9/main" objectType="Button" lockText="1"/>
</file>

<file path=xl/ctrlProps/ctrlProp977.xml><?xml version="1.0" encoding="utf-8"?>
<formControlPr xmlns="http://schemas.microsoft.com/office/spreadsheetml/2009/9/main" objectType="Button" lockText="1"/>
</file>

<file path=xl/ctrlProps/ctrlProp978.xml><?xml version="1.0" encoding="utf-8"?>
<formControlPr xmlns="http://schemas.microsoft.com/office/spreadsheetml/2009/9/main" objectType="Button" lockText="1"/>
</file>

<file path=xl/ctrlProps/ctrlProp979.xml><?xml version="1.0" encoding="utf-8"?>
<formControlPr xmlns="http://schemas.microsoft.com/office/spreadsheetml/2009/9/main" objectType="Button" lockText="1"/>
</file>

<file path=xl/ctrlProps/ctrlProp980.xml><?xml version="1.0" encoding="utf-8"?>
<formControlPr xmlns="http://schemas.microsoft.com/office/spreadsheetml/2009/9/main" objectType="Button" lockText="1"/>
</file>

<file path=xl/ctrlProps/ctrlProp981.xml><?xml version="1.0" encoding="utf-8"?>
<formControlPr xmlns="http://schemas.microsoft.com/office/spreadsheetml/2009/9/main" objectType="Button" lockText="1"/>
</file>

<file path=xl/ctrlProps/ctrlProp982.xml><?xml version="1.0" encoding="utf-8"?>
<formControlPr xmlns="http://schemas.microsoft.com/office/spreadsheetml/2009/9/main" objectType="Button" lockText="1"/>
</file>

<file path=xl/ctrlProps/ctrlProp983.xml><?xml version="1.0" encoding="utf-8"?>
<formControlPr xmlns="http://schemas.microsoft.com/office/spreadsheetml/2009/9/main" objectType="Button" lockText="1"/>
</file>

<file path=xl/ctrlProps/ctrlProp984.xml><?xml version="1.0" encoding="utf-8"?>
<formControlPr xmlns="http://schemas.microsoft.com/office/spreadsheetml/2009/9/main" objectType="Button" lockText="1"/>
</file>

<file path=xl/ctrlProps/ctrlProp985.xml><?xml version="1.0" encoding="utf-8"?>
<formControlPr xmlns="http://schemas.microsoft.com/office/spreadsheetml/2009/9/main" objectType="Button" lockText="1"/>
</file>

<file path=xl/ctrlProps/ctrlProp986.xml><?xml version="1.0" encoding="utf-8"?>
<formControlPr xmlns="http://schemas.microsoft.com/office/spreadsheetml/2009/9/main" objectType="Button" lockText="1"/>
</file>

<file path=xl/ctrlProps/ctrlProp987.xml><?xml version="1.0" encoding="utf-8"?>
<formControlPr xmlns="http://schemas.microsoft.com/office/spreadsheetml/2009/9/main" objectType="Button" lockText="1"/>
</file>

<file path=xl/ctrlProps/ctrlProp988.xml><?xml version="1.0" encoding="utf-8"?>
<formControlPr xmlns="http://schemas.microsoft.com/office/spreadsheetml/2009/9/main" objectType="Button" lockText="1"/>
</file>

<file path=xl/ctrlProps/ctrlProp989.xml><?xml version="1.0" encoding="utf-8"?>
<formControlPr xmlns="http://schemas.microsoft.com/office/spreadsheetml/2009/9/main" objectType="Button" lockText="1"/>
</file>

<file path=xl/ctrlProps/ctrlProp990.xml><?xml version="1.0" encoding="utf-8"?>
<formControlPr xmlns="http://schemas.microsoft.com/office/spreadsheetml/2009/9/main" objectType="Button" lockText="1"/>
</file>

<file path=xl/ctrlProps/ctrlProp991.xml><?xml version="1.0" encoding="utf-8"?>
<formControlPr xmlns="http://schemas.microsoft.com/office/spreadsheetml/2009/9/main" objectType="Button" lockText="1"/>
</file>

<file path=xl/ctrlProps/ctrlProp992.xml><?xml version="1.0" encoding="utf-8"?>
<formControlPr xmlns="http://schemas.microsoft.com/office/spreadsheetml/2009/9/main" objectType="Button" lockText="1"/>
</file>

<file path=xl/ctrlProps/ctrlProp993.xml><?xml version="1.0" encoding="utf-8"?>
<formControlPr xmlns="http://schemas.microsoft.com/office/spreadsheetml/2009/9/main" objectType="Button" lockText="1"/>
</file>

<file path=xl/ctrlProps/ctrlProp994.xml><?xml version="1.0" encoding="utf-8"?>
<formControlPr xmlns="http://schemas.microsoft.com/office/spreadsheetml/2009/9/main" objectType="Button" lockText="1"/>
</file>

<file path=xl/ctrlProps/ctrlProp995.xml><?xml version="1.0" encoding="utf-8"?>
<formControlPr xmlns="http://schemas.microsoft.com/office/spreadsheetml/2009/9/main" objectType="Button" lockText="1"/>
</file>

<file path=xl/ctrlProps/ctrlProp996.xml><?xml version="1.0" encoding="utf-8"?>
<formControlPr xmlns="http://schemas.microsoft.com/office/spreadsheetml/2009/9/main" objectType="Button" lockText="1"/>
</file>

<file path=xl/ctrlProps/ctrlProp997.xml><?xml version="1.0" encoding="utf-8"?>
<formControlPr xmlns="http://schemas.microsoft.com/office/spreadsheetml/2009/9/main" objectType="Button" lockText="1"/>
</file>

<file path=xl/ctrlProps/ctrlProp998.xml><?xml version="1.0" encoding="utf-8"?>
<formControlPr xmlns="http://schemas.microsoft.com/office/spreadsheetml/2009/9/main" objectType="Button" lockText="1"/>
</file>

<file path=xl/ctrlProps/ctrlProp999.xml><?xml version="1.0" encoding="utf-8"?>
<formControlPr xmlns="http://schemas.microsoft.com/office/spreadsheetml/2009/9/main" objectType="Button" lockText="1"/>
</file>

<file path=xl/ctrlProps/ctrlProp1000.xml><?xml version="1.0" encoding="utf-8"?>
<formControlPr xmlns="http://schemas.microsoft.com/office/spreadsheetml/2009/9/main" objectType="Button" lockText="1"/>
</file>

<file path=xl/ctrlProps/ctrlProp1001.xml><?xml version="1.0" encoding="utf-8"?>
<formControlPr xmlns="http://schemas.microsoft.com/office/spreadsheetml/2009/9/main" objectType="Button" lockText="1"/>
</file>

<file path=xl/ctrlProps/ctrlProp1002.xml><?xml version="1.0" encoding="utf-8"?>
<formControlPr xmlns="http://schemas.microsoft.com/office/spreadsheetml/2009/9/main" objectType="Button" lockText="1"/>
</file>

<file path=xl/ctrlProps/ctrlProp1003.xml><?xml version="1.0" encoding="utf-8"?>
<formControlPr xmlns="http://schemas.microsoft.com/office/spreadsheetml/2009/9/main" objectType="Button" lockText="1"/>
</file>

<file path=xl/ctrlProps/ctrlProp1004.xml><?xml version="1.0" encoding="utf-8"?>
<formControlPr xmlns="http://schemas.microsoft.com/office/spreadsheetml/2009/9/main" objectType="Button" lockText="1"/>
</file>

<file path=xl/ctrlProps/ctrlProp1005.xml><?xml version="1.0" encoding="utf-8"?>
<formControlPr xmlns="http://schemas.microsoft.com/office/spreadsheetml/2009/9/main" objectType="Button" lockText="1"/>
</file>

<file path=xl/ctrlProps/ctrlProp1006.xml><?xml version="1.0" encoding="utf-8"?>
<formControlPr xmlns="http://schemas.microsoft.com/office/spreadsheetml/2009/9/main" objectType="Button" lockText="1"/>
</file>

<file path=xl/ctrlProps/ctrlProp1007.xml><?xml version="1.0" encoding="utf-8"?>
<formControlPr xmlns="http://schemas.microsoft.com/office/spreadsheetml/2009/9/main" objectType="Button" lockText="1"/>
</file>

<file path=xl/ctrlProps/ctrlProp1008.xml><?xml version="1.0" encoding="utf-8"?>
<formControlPr xmlns="http://schemas.microsoft.com/office/spreadsheetml/2009/9/main" objectType="Button" lockText="1"/>
</file>

<file path=xl/ctrlProps/ctrlProp1009.xml><?xml version="1.0" encoding="utf-8"?>
<formControlPr xmlns="http://schemas.microsoft.com/office/spreadsheetml/2009/9/main" objectType="Button" lockText="1"/>
</file>

<file path=xl/ctrlProps/ctrlProp1010.xml><?xml version="1.0" encoding="utf-8"?>
<formControlPr xmlns="http://schemas.microsoft.com/office/spreadsheetml/2009/9/main" objectType="Button" lockText="1"/>
</file>

<file path=xl/ctrlProps/ctrlProp1011.xml><?xml version="1.0" encoding="utf-8"?>
<formControlPr xmlns="http://schemas.microsoft.com/office/spreadsheetml/2009/9/main" objectType="Button" lockText="1"/>
</file>

<file path=xl/ctrlProps/ctrlProp1012.xml><?xml version="1.0" encoding="utf-8"?>
<formControlPr xmlns="http://schemas.microsoft.com/office/spreadsheetml/2009/9/main" objectType="Button" lockText="1"/>
</file>

<file path=xl/ctrlProps/ctrlProp1013.xml><?xml version="1.0" encoding="utf-8"?>
<formControlPr xmlns="http://schemas.microsoft.com/office/spreadsheetml/2009/9/main" objectType="Button" lockText="1"/>
</file>

<file path=xl/ctrlProps/ctrlProp1014.xml><?xml version="1.0" encoding="utf-8"?>
<formControlPr xmlns="http://schemas.microsoft.com/office/spreadsheetml/2009/9/main" objectType="Button" lockText="1"/>
</file>

<file path=xl/ctrlProps/ctrlProp1015.xml><?xml version="1.0" encoding="utf-8"?>
<formControlPr xmlns="http://schemas.microsoft.com/office/spreadsheetml/2009/9/main" objectType="Button" lockText="1"/>
</file>

<file path=xl/ctrlProps/ctrlProp1016.xml><?xml version="1.0" encoding="utf-8"?>
<formControlPr xmlns="http://schemas.microsoft.com/office/spreadsheetml/2009/9/main" objectType="Button" lockText="1"/>
</file>

<file path=xl/ctrlProps/ctrlProp1017.xml><?xml version="1.0" encoding="utf-8"?>
<formControlPr xmlns="http://schemas.microsoft.com/office/spreadsheetml/2009/9/main" objectType="Button" lockText="1"/>
</file>

<file path=xl/ctrlProps/ctrlProp1018.xml><?xml version="1.0" encoding="utf-8"?>
<formControlPr xmlns="http://schemas.microsoft.com/office/spreadsheetml/2009/9/main" objectType="Button" lockText="1"/>
</file>

<file path=xl/ctrlProps/ctrlProp1019.xml><?xml version="1.0" encoding="utf-8"?>
<formControlPr xmlns="http://schemas.microsoft.com/office/spreadsheetml/2009/9/main" objectType="Button" lockText="1"/>
</file>

<file path=xl/ctrlProps/ctrlProp1020.xml><?xml version="1.0" encoding="utf-8"?>
<formControlPr xmlns="http://schemas.microsoft.com/office/spreadsheetml/2009/9/main" objectType="Button" lockText="1"/>
</file>

<file path=xl/ctrlProps/ctrlProp1021.xml><?xml version="1.0" encoding="utf-8"?>
<formControlPr xmlns="http://schemas.microsoft.com/office/spreadsheetml/2009/9/main" objectType="Button" lockText="1"/>
</file>

<file path=xl/ctrlProps/ctrlProp1022.xml><?xml version="1.0" encoding="utf-8"?>
<formControlPr xmlns="http://schemas.microsoft.com/office/spreadsheetml/2009/9/main" objectType="Button" lockText="1"/>
</file>

<file path=xl/ctrlProps/ctrlProp1023.xml><?xml version="1.0" encoding="utf-8"?>
<formControlPr xmlns="http://schemas.microsoft.com/office/spreadsheetml/2009/9/main" objectType="Button" lockText="1"/>
</file>

<file path=xl/ctrlProps/ctrlProp1024.xml><?xml version="1.0" encoding="utf-8"?>
<formControlPr xmlns="http://schemas.microsoft.com/office/spreadsheetml/2009/9/main" objectType="Button" lockText="1"/>
</file>

<file path=xl/ctrlProps/ctrlProp1025.xml><?xml version="1.0" encoding="utf-8"?>
<formControlPr xmlns="http://schemas.microsoft.com/office/spreadsheetml/2009/9/main" objectType="Button" lockText="1"/>
</file>

<file path=xl/ctrlProps/ctrlProp1026.xml><?xml version="1.0" encoding="utf-8"?>
<formControlPr xmlns="http://schemas.microsoft.com/office/spreadsheetml/2009/9/main" objectType="Button" lockText="1"/>
</file>

<file path=xl/ctrlProps/ctrlProp1027.xml><?xml version="1.0" encoding="utf-8"?>
<formControlPr xmlns="http://schemas.microsoft.com/office/spreadsheetml/2009/9/main" objectType="Button" lockText="1"/>
</file>

<file path=xl/ctrlProps/ctrlProp1028.xml><?xml version="1.0" encoding="utf-8"?>
<formControlPr xmlns="http://schemas.microsoft.com/office/spreadsheetml/2009/9/main" objectType="Button" lockText="1"/>
</file>

<file path=xl/ctrlProps/ctrlProp1029.xml><?xml version="1.0" encoding="utf-8"?>
<formControlPr xmlns="http://schemas.microsoft.com/office/spreadsheetml/2009/9/main" objectType="Button" lockText="1"/>
</file>

<file path=xl/ctrlProps/ctrlProp1030.xml><?xml version="1.0" encoding="utf-8"?>
<formControlPr xmlns="http://schemas.microsoft.com/office/spreadsheetml/2009/9/main" objectType="Button" lockText="1"/>
</file>

<file path=xl/ctrlProps/ctrlProp1031.xml><?xml version="1.0" encoding="utf-8"?>
<formControlPr xmlns="http://schemas.microsoft.com/office/spreadsheetml/2009/9/main" objectType="Button" lockText="1"/>
</file>

<file path=xl/ctrlProps/ctrlProp1032.xml><?xml version="1.0" encoding="utf-8"?>
<formControlPr xmlns="http://schemas.microsoft.com/office/spreadsheetml/2009/9/main" objectType="Button" lockText="1"/>
</file>

<file path=xl/ctrlProps/ctrlProp1033.xml><?xml version="1.0" encoding="utf-8"?>
<formControlPr xmlns="http://schemas.microsoft.com/office/spreadsheetml/2009/9/main" objectType="Button" lockText="1"/>
</file>

<file path=xl/ctrlProps/ctrlProp1034.xml><?xml version="1.0" encoding="utf-8"?>
<formControlPr xmlns="http://schemas.microsoft.com/office/spreadsheetml/2009/9/main" objectType="Button" lockText="1"/>
</file>

<file path=xl/ctrlProps/ctrlProp1035.xml><?xml version="1.0" encoding="utf-8"?>
<formControlPr xmlns="http://schemas.microsoft.com/office/spreadsheetml/2009/9/main" objectType="Button" lockText="1"/>
</file>

<file path=xl/ctrlProps/ctrlProp1036.xml><?xml version="1.0" encoding="utf-8"?>
<formControlPr xmlns="http://schemas.microsoft.com/office/spreadsheetml/2009/9/main" objectType="Button" lockText="1"/>
</file>

<file path=xl/ctrlProps/ctrlProp1037.xml><?xml version="1.0" encoding="utf-8"?>
<formControlPr xmlns="http://schemas.microsoft.com/office/spreadsheetml/2009/9/main" objectType="Button" lockText="1"/>
</file>

<file path=xl/ctrlProps/ctrlProp1038.xml><?xml version="1.0" encoding="utf-8"?>
<formControlPr xmlns="http://schemas.microsoft.com/office/spreadsheetml/2009/9/main" objectType="Button" lockText="1"/>
</file>

<file path=xl/ctrlProps/ctrlProp1039.xml><?xml version="1.0" encoding="utf-8"?>
<formControlPr xmlns="http://schemas.microsoft.com/office/spreadsheetml/2009/9/main" objectType="Button" lockText="1"/>
</file>

<file path=xl/ctrlProps/ctrlProp1040.xml><?xml version="1.0" encoding="utf-8"?>
<formControlPr xmlns="http://schemas.microsoft.com/office/spreadsheetml/2009/9/main" objectType="Button" lockText="1"/>
</file>

<file path=xl/ctrlProps/ctrlProp1041.xml><?xml version="1.0" encoding="utf-8"?>
<formControlPr xmlns="http://schemas.microsoft.com/office/spreadsheetml/2009/9/main" objectType="Button" lockText="1"/>
</file>

<file path=xl/ctrlProps/ctrlProp1042.xml><?xml version="1.0" encoding="utf-8"?>
<formControlPr xmlns="http://schemas.microsoft.com/office/spreadsheetml/2009/9/main" objectType="Button" lockText="1"/>
</file>

<file path=xl/ctrlProps/ctrlProp1043.xml><?xml version="1.0" encoding="utf-8"?>
<formControlPr xmlns="http://schemas.microsoft.com/office/spreadsheetml/2009/9/main" objectType="Button" lockText="1"/>
</file>

<file path=xl/ctrlProps/ctrlProp1044.xml><?xml version="1.0" encoding="utf-8"?>
<formControlPr xmlns="http://schemas.microsoft.com/office/spreadsheetml/2009/9/main" objectType="Button" lockText="1"/>
</file>

<file path=xl/ctrlProps/ctrlProp1045.xml><?xml version="1.0" encoding="utf-8"?>
<formControlPr xmlns="http://schemas.microsoft.com/office/spreadsheetml/2009/9/main" objectType="Button" lockText="1"/>
</file>

<file path=xl/ctrlProps/ctrlProp1046.xml><?xml version="1.0" encoding="utf-8"?>
<formControlPr xmlns="http://schemas.microsoft.com/office/spreadsheetml/2009/9/main" objectType="Button" lockText="1"/>
</file>

<file path=xl/ctrlProps/ctrlProp1047.xml><?xml version="1.0" encoding="utf-8"?>
<formControlPr xmlns="http://schemas.microsoft.com/office/spreadsheetml/2009/9/main" objectType="Button" lockText="1"/>
</file>

<file path=xl/ctrlProps/ctrlProp1048.xml><?xml version="1.0" encoding="utf-8"?>
<formControlPr xmlns="http://schemas.microsoft.com/office/spreadsheetml/2009/9/main" objectType="Button" lockText="1"/>
</file>

<file path=xl/ctrlProps/ctrlProp1049.xml><?xml version="1.0" encoding="utf-8"?>
<formControlPr xmlns="http://schemas.microsoft.com/office/spreadsheetml/2009/9/main" objectType="Button" lockText="1"/>
</file>

<file path=xl/ctrlProps/ctrlProp1050.xml><?xml version="1.0" encoding="utf-8"?>
<formControlPr xmlns="http://schemas.microsoft.com/office/spreadsheetml/2009/9/main" objectType="Button" lockText="1"/>
</file>

<file path=xl/ctrlProps/ctrlProp1051.xml><?xml version="1.0" encoding="utf-8"?>
<formControlPr xmlns="http://schemas.microsoft.com/office/spreadsheetml/2009/9/main" objectType="Button" lockText="1"/>
</file>

<file path=xl/ctrlProps/ctrlProp1052.xml><?xml version="1.0" encoding="utf-8"?>
<formControlPr xmlns="http://schemas.microsoft.com/office/spreadsheetml/2009/9/main" objectType="Button" lockText="1"/>
</file>

<file path=xl/ctrlProps/ctrlProp1053.xml><?xml version="1.0" encoding="utf-8"?>
<formControlPr xmlns="http://schemas.microsoft.com/office/spreadsheetml/2009/9/main" objectType="Button" lockText="1"/>
</file>

<file path=xl/ctrlProps/ctrlProp1054.xml><?xml version="1.0" encoding="utf-8"?>
<formControlPr xmlns="http://schemas.microsoft.com/office/spreadsheetml/2009/9/main" objectType="Button" lockText="1"/>
</file>

<file path=xl/ctrlProps/ctrlProp1055.xml><?xml version="1.0" encoding="utf-8"?>
<formControlPr xmlns="http://schemas.microsoft.com/office/spreadsheetml/2009/9/main" objectType="Button" lockText="1"/>
</file>

<file path=xl/ctrlProps/ctrlProp1056.xml><?xml version="1.0" encoding="utf-8"?>
<formControlPr xmlns="http://schemas.microsoft.com/office/spreadsheetml/2009/9/main" objectType="Button" lockText="1"/>
</file>

<file path=xl/ctrlProps/ctrlProp1057.xml><?xml version="1.0" encoding="utf-8"?>
<formControlPr xmlns="http://schemas.microsoft.com/office/spreadsheetml/2009/9/main" objectType="Button" lockText="1"/>
</file>

<file path=xl/ctrlProps/ctrlProp1058.xml><?xml version="1.0" encoding="utf-8"?>
<formControlPr xmlns="http://schemas.microsoft.com/office/spreadsheetml/2009/9/main" objectType="Button" lockText="1"/>
</file>

<file path=xl/ctrlProps/ctrlProp1059.xml><?xml version="1.0" encoding="utf-8"?>
<formControlPr xmlns="http://schemas.microsoft.com/office/spreadsheetml/2009/9/main" objectType="Button" lockText="1"/>
</file>

<file path=xl/ctrlProps/ctrlProp1060.xml><?xml version="1.0" encoding="utf-8"?>
<formControlPr xmlns="http://schemas.microsoft.com/office/spreadsheetml/2009/9/main" objectType="Button" lockText="1"/>
</file>

<file path=xl/ctrlProps/ctrlProp1061.xml><?xml version="1.0" encoding="utf-8"?>
<formControlPr xmlns="http://schemas.microsoft.com/office/spreadsheetml/2009/9/main" objectType="Button" lockText="1"/>
</file>

<file path=xl/ctrlProps/ctrlProp1062.xml><?xml version="1.0" encoding="utf-8"?>
<formControlPr xmlns="http://schemas.microsoft.com/office/spreadsheetml/2009/9/main" objectType="Button" lockText="1"/>
</file>

<file path=xl/ctrlProps/ctrlProp1063.xml><?xml version="1.0" encoding="utf-8"?>
<formControlPr xmlns="http://schemas.microsoft.com/office/spreadsheetml/2009/9/main" objectType="Button" lockText="1"/>
</file>

<file path=xl/ctrlProps/ctrlProp1064.xml><?xml version="1.0" encoding="utf-8"?>
<formControlPr xmlns="http://schemas.microsoft.com/office/spreadsheetml/2009/9/main" objectType="Button" lockText="1"/>
</file>

<file path=xl/ctrlProps/ctrlProp1065.xml><?xml version="1.0" encoding="utf-8"?>
<formControlPr xmlns="http://schemas.microsoft.com/office/spreadsheetml/2009/9/main" objectType="Button" lockText="1"/>
</file>

<file path=xl/ctrlProps/ctrlProp1066.xml><?xml version="1.0" encoding="utf-8"?>
<formControlPr xmlns="http://schemas.microsoft.com/office/spreadsheetml/2009/9/main" objectType="Button" lockText="1"/>
</file>

<file path=xl/ctrlProps/ctrlProp1067.xml><?xml version="1.0" encoding="utf-8"?>
<formControlPr xmlns="http://schemas.microsoft.com/office/spreadsheetml/2009/9/main" objectType="Button" lockText="1"/>
</file>

<file path=xl/ctrlProps/ctrlProp1068.xml><?xml version="1.0" encoding="utf-8"?>
<formControlPr xmlns="http://schemas.microsoft.com/office/spreadsheetml/2009/9/main" objectType="Button" lockText="1"/>
</file>

<file path=xl/ctrlProps/ctrlProp1069.xml><?xml version="1.0" encoding="utf-8"?>
<formControlPr xmlns="http://schemas.microsoft.com/office/spreadsheetml/2009/9/main" objectType="Button" lockText="1"/>
</file>

<file path=xl/ctrlProps/ctrlProp1070.xml><?xml version="1.0" encoding="utf-8"?>
<formControlPr xmlns="http://schemas.microsoft.com/office/spreadsheetml/2009/9/main" objectType="Button" lockText="1"/>
</file>

<file path=xl/ctrlProps/ctrlProp1071.xml><?xml version="1.0" encoding="utf-8"?>
<formControlPr xmlns="http://schemas.microsoft.com/office/spreadsheetml/2009/9/main" objectType="Button" lockText="1"/>
</file>

<file path=xl/ctrlProps/ctrlProp1072.xml><?xml version="1.0" encoding="utf-8"?>
<formControlPr xmlns="http://schemas.microsoft.com/office/spreadsheetml/2009/9/main" objectType="Button" lockText="1"/>
</file>

<file path=xl/ctrlProps/ctrlProp1073.xml><?xml version="1.0" encoding="utf-8"?>
<formControlPr xmlns="http://schemas.microsoft.com/office/spreadsheetml/2009/9/main" objectType="Button" lockText="1"/>
</file>

<file path=xl/ctrlProps/ctrlProp1074.xml><?xml version="1.0" encoding="utf-8"?>
<formControlPr xmlns="http://schemas.microsoft.com/office/spreadsheetml/2009/9/main" objectType="Button" lockText="1"/>
</file>

<file path=xl/ctrlProps/ctrlProp1075.xml><?xml version="1.0" encoding="utf-8"?>
<formControlPr xmlns="http://schemas.microsoft.com/office/spreadsheetml/2009/9/main" objectType="Button" lockText="1"/>
</file>

<file path=xl/ctrlProps/ctrlProp1076.xml><?xml version="1.0" encoding="utf-8"?>
<formControlPr xmlns="http://schemas.microsoft.com/office/spreadsheetml/2009/9/main" objectType="Button" lockText="1"/>
</file>

<file path=xl/ctrlProps/ctrlProp1077.xml><?xml version="1.0" encoding="utf-8"?>
<formControlPr xmlns="http://schemas.microsoft.com/office/spreadsheetml/2009/9/main" objectType="Button" lockText="1"/>
</file>

<file path=xl/ctrlProps/ctrlProp1078.xml><?xml version="1.0" encoding="utf-8"?>
<formControlPr xmlns="http://schemas.microsoft.com/office/spreadsheetml/2009/9/main" objectType="Button" lockText="1"/>
</file>

<file path=xl/ctrlProps/ctrlProp1079.xml><?xml version="1.0" encoding="utf-8"?>
<formControlPr xmlns="http://schemas.microsoft.com/office/spreadsheetml/2009/9/main" objectType="Button" lockText="1"/>
</file>

<file path=xl/ctrlProps/ctrlProp1080.xml><?xml version="1.0" encoding="utf-8"?>
<formControlPr xmlns="http://schemas.microsoft.com/office/spreadsheetml/2009/9/main" objectType="Button" lockText="1"/>
</file>

<file path=xl/ctrlProps/ctrlProp1081.xml><?xml version="1.0" encoding="utf-8"?>
<formControlPr xmlns="http://schemas.microsoft.com/office/spreadsheetml/2009/9/main" objectType="Button" lockText="1"/>
</file>

<file path=xl/ctrlProps/ctrlProp1082.xml><?xml version="1.0" encoding="utf-8"?>
<formControlPr xmlns="http://schemas.microsoft.com/office/spreadsheetml/2009/9/main" objectType="Button" lockText="1"/>
</file>

<file path=xl/ctrlProps/ctrlProp1083.xml><?xml version="1.0" encoding="utf-8"?>
<formControlPr xmlns="http://schemas.microsoft.com/office/spreadsheetml/2009/9/main" objectType="Button" lockText="1"/>
</file>

<file path=xl/ctrlProps/ctrlProp1084.xml><?xml version="1.0" encoding="utf-8"?>
<formControlPr xmlns="http://schemas.microsoft.com/office/spreadsheetml/2009/9/main" objectType="Button" lockText="1"/>
</file>

<file path=xl/ctrlProps/ctrlProp1085.xml><?xml version="1.0" encoding="utf-8"?>
<formControlPr xmlns="http://schemas.microsoft.com/office/spreadsheetml/2009/9/main" objectType="Button" lockText="1"/>
</file>

<file path=xl/ctrlProps/ctrlProp1086.xml><?xml version="1.0" encoding="utf-8"?>
<formControlPr xmlns="http://schemas.microsoft.com/office/spreadsheetml/2009/9/main" objectType="Button" lockText="1"/>
</file>

<file path=xl/ctrlProps/ctrlProp1087.xml><?xml version="1.0" encoding="utf-8"?>
<formControlPr xmlns="http://schemas.microsoft.com/office/spreadsheetml/2009/9/main" objectType="Button" lockText="1"/>
</file>

<file path=xl/ctrlProps/ctrlProp1088.xml><?xml version="1.0" encoding="utf-8"?>
<formControlPr xmlns="http://schemas.microsoft.com/office/spreadsheetml/2009/9/main" objectType="Button" lockText="1"/>
</file>

<file path=xl/ctrlProps/ctrlProp1089.xml><?xml version="1.0" encoding="utf-8"?>
<formControlPr xmlns="http://schemas.microsoft.com/office/spreadsheetml/2009/9/main" objectType="Button" lockText="1"/>
</file>

<file path=xl/ctrlProps/ctrlProp1090.xml><?xml version="1.0" encoding="utf-8"?>
<formControlPr xmlns="http://schemas.microsoft.com/office/spreadsheetml/2009/9/main" objectType="Button" lockText="1"/>
</file>

<file path=xl/ctrlProps/ctrlProp1091.xml><?xml version="1.0" encoding="utf-8"?>
<formControlPr xmlns="http://schemas.microsoft.com/office/spreadsheetml/2009/9/main" objectType="Button" lockText="1"/>
</file>

<file path=xl/ctrlProps/ctrlProp1092.xml><?xml version="1.0" encoding="utf-8"?>
<formControlPr xmlns="http://schemas.microsoft.com/office/spreadsheetml/2009/9/main" objectType="Button" lockText="1"/>
</file>

<file path=xl/ctrlProps/ctrlProp1093.xml><?xml version="1.0" encoding="utf-8"?>
<formControlPr xmlns="http://schemas.microsoft.com/office/spreadsheetml/2009/9/main" objectType="Button" lockText="1"/>
</file>

<file path=xl/ctrlProps/ctrlProp1094.xml><?xml version="1.0" encoding="utf-8"?>
<formControlPr xmlns="http://schemas.microsoft.com/office/spreadsheetml/2009/9/main" objectType="Button" lockText="1"/>
</file>

<file path=xl/ctrlProps/ctrlProp1095.xml><?xml version="1.0" encoding="utf-8"?>
<formControlPr xmlns="http://schemas.microsoft.com/office/spreadsheetml/2009/9/main" objectType="Button" lockText="1"/>
</file>

<file path=xl/ctrlProps/ctrlProp1096.xml><?xml version="1.0" encoding="utf-8"?>
<formControlPr xmlns="http://schemas.microsoft.com/office/spreadsheetml/2009/9/main" objectType="Button" lockText="1"/>
</file>

<file path=xl/ctrlProps/ctrlProp1097.xml><?xml version="1.0" encoding="utf-8"?>
<formControlPr xmlns="http://schemas.microsoft.com/office/spreadsheetml/2009/9/main" objectType="Button" lockText="1"/>
</file>

<file path=xl/ctrlProps/ctrlProp1098.xml><?xml version="1.0" encoding="utf-8"?>
<formControlPr xmlns="http://schemas.microsoft.com/office/spreadsheetml/2009/9/main" objectType="Button" lockText="1"/>
</file>

<file path=xl/ctrlProps/ctrlProp1099.xml><?xml version="1.0" encoding="utf-8"?>
<formControlPr xmlns="http://schemas.microsoft.com/office/spreadsheetml/2009/9/main" objectType="Button" lockText="1"/>
</file>

<file path=xl/ctrlProps/ctrlProp1100.xml><?xml version="1.0" encoding="utf-8"?>
<formControlPr xmlns="http://schemas.microsoft.com/office/spreadsheetml/2009/9/main" objectType="Button" lockText="1"/>
</file>

<file path=xl/ctrlProps/ctrlProp1101.xml><?xml version="1.0" encoding="utf-8"?>
<formControlPr xmlns="http://schemas.microsoft.com/office/spreadsheetml/2009/9/main" objectType="Button" lockText="1"/>
</file>

<file path=xl/ctrlProps/ctrlProp1102.xml><?xml version="1.0" encoding="utf-8"?>
<formControlPr xmlns="http://schemas.microsoft.com/office/spreadsheetml/2009/9/main" objectType="Button" lockText="1"/>
</file>

<file path=xl/ctrlProps/ctrlProp1103.xml><?xml version="1.0" encoding="utf-8"?>
<formControlPr xmlns="http://schemas.microsoft.com/office/spreadsheetml/2009/9/main" objectType="Button" lockText="1"/>
</file>

<file path=xl/ctrlProps/ctrlProp1104.xml><?xml version="1.0" encoding="utf-8"?>
<formControlPr xmlns="http://schemas.microsoft.com/office/spreadsheetml/2009/9/main" objectType="Button" lockText="1"/>
</file>

<file path=xl/ctrlProps/ctrlProp1105.xml><?xml version="1.0" encoding="utf-8"?>
<formControlPr xmlns="http://schemas.microsoft.com/office/spreadsheetml/2009/9/main" objectType="Button" lockText="1"/>
</file>

<file path=xl/ctrlProps/ctrlProp1106.xml><?xml version="1.0" encoding="utf-8"?>
<formControlPr xmlns="http://schemas.microsoft.com/office/spreadsheetml/2009/9/main" objectType="Button" lockText="1"/>
</file>

<file path=xl/ctrlProps/ctrlProp1107.xml><?xml version="1.0" encoding="utf-8"?>
<formControlPr xmlns="http://schemas.microsoft.com/office/spreadsheetml/2009/9/main" objectType="Button" lockText="1"/>
</file>

<file path=xl/ctrlProps/ctrlProp1108.xml><?xml version="1.0" encoding="utf-8"?>
<formControlPr xmlns="http://schemas.microsoft.com/office/spreadsheetml/2009/9/main" objectType="Button" lockText="1"/>
</file>

<file path=xl/ctrlProps/ctrlProp1109.xml><?xml version="1.0" encoding="utf-8"?>
<formControlPr xmlns="http://schemas.microsoft.com/office/spreadsheetml/2009/9/main" objectType="Button" lockText="1"/>
</file>

<file path=xl/ctrlProps/ctrlProp1110.xml><?xml version="1.0" encoding="utf-8"?>
<formControlPr xmlns="http://schemas.microsoft.com/office/spreadsheetml/2009/9/main" objectType="Button" lockText="1"/>
</file>

<file path=xl/ctrlProps/ctrlProp1111.xml><?xml version="1.0" encoding="utf-8"?>
<formControlPr xmlns="http://schemas.microsoft.com/office/spreadsheetml/2009/9/main" objectType="Button" lockText="1"/>
</file>

<file path=xl/ctrlProps/ctrlProp1112.xml><?xml version="1.0" encoding="utf-8"?>
<formControlPr xmlns="http://schemas.microsoft.com/office/spreadsheetml/2009/9/main" objectType="Button" lockText="1"/>
</file>

<file path=xl/ctrlProps/ctrlProp1113.xml><?xml version="1.0" encoding="utf-8"?>
<formControlPr xmlns="http://schemas.microsoft.com/office/spreadsheetml/2009/9/main" objectType="Button" lockText="1"/>
</file>

<file path=xl/ctrlProps/ctrlProp1114.xml><?xml version="1.0" encoding="utf-8"?>
<formControlPr xmlns="http://schemas.microsoft.com/office/spreadsheetml/2009/9/main" objectType="Button" lockText="1"/>
</file>

<file path=xl/ctrlProps/ctrlProp1115.xml><?xml version="1.0" encoding="utf-8"?>
<formControlPr xmlns="http://schemas.microsoft.com/office/spreadsheetml/2009/9/main" objectType="Button" lockText="1"/>
</file>

<file path=xl/ctrlProps/ctrlProp1116.xml><?xml version="1.0" encoding="utf-8"?>
<formControlPr xmlns="http://schemas.microsoft.com/office/spreadsheetml/2009/9/main" objectType="Button" lockText="1"/>
</file>

<file path=xl/ctrlProps/ctrlProp1117.xml><?xml version="1.0" encoding="utf-8"?>
<formControlPr xmlns="http://schemas.microsoft.com/office/spreadsheetml/2009/9/main" objectType="Button" lockText="1"/>
</file>

<file path=xl/ctrlProps/ctrlProp1118.xml><?xml version="1.0" encoding="utf-8"?>
<formControlPr xmlns="http://schemas.microsoft.com/office/spreadsheetml/2009/9/main" objectType="Button" lockText="1"/>
</file>

<file path=xl/ctrlProps/ctrlProp1119.xml><?xml version="1.0" encoding="utf-8"?>
<formControlPr xmlns="http://schemas.microsoft.com/office/spreadsheetml/2009/9/main" objectType="Button" lockText="1"/>
</file>

<file path=xl/ctrlProps/ctrlProp1120.xml><?xml version="1.0" encoding="utf-8"?>
<formControlPr xmlns="http://schemas.microsoft.com/office/spreadsheetml/2009/9/main" objectType="Button" lockText="1"/>
</file>

<file path=xl/ctrlProps/ctrlProp1121.xml><?xml version="1.0" encoding="utf-8"?>
<formControlPr xmlns="http://schemas.microsoft.com/office/spreadsheetml/2009/9/main" objectType="Button" lockText="1"/>
</file>

<file path=xl/ctrlProps/ctrlProp1122.xml><?xml version="1.0" encoding="utf-8"?>
<formControlPr xmlns="http://schemas.microsoft.com/office/spreadsheetml/2009/9/main" objectType="Button" lockText="1"/>
</file>

<file path=xl/ctrlProps/ctrlProp1123.xml><?xml version="1.0" encoding="utf-8"?>
<formControlPr xmlns="http://schemas.microsoft.com/office/spreadsheetml/2009/9/main" objectType="Button" lockText="1"/>
</file>

<file path=xl/ctrlProps/ctrlProp1124.xml><?xml version="1.0" encoding="utf-8"?>
<formControlPr xmlns="http://schemas.microsoft.com/office/spreadsheetml/2009/9/main" objectType="Button" lockText="1"/>
</file>

<file path=xl/ctrlProps/ctrlProp1125.xml><?xml version="1.0" encoding="utf-8"?>
<formControlPr xmlns="http://schemas.microsoft.com/office/spreadsheetml/2009/9/main" objectType="Button" lockText="1"/>
</file>

<file path=xl/ctrlProps/ctrlProp1126.xml><?xml version="1.0" encoding="utf-8"?>
<formControlPr xmlns="http://schemas.microsoft.com/office/spreadsheetml/2009/9/main" objectType="Button" lockText="1"/>
</file>

<file path=xl/ctrlProps/ctrlProp1127.xml><?xml version="1.0" encoding="utf-8"?>
<formControlPr xmlns="http://schemas.microsoft.com/office/spreadsheetml/2009/9/main" objectType="Button" lockText="1"/>
</file>

<file path=xl/ctrlProps/ctrlProp1128.xml><?xml version="1.0" encoding="utf-8"?>
<formControlPr xmlns="http://schemas.microsoft.com/office/spreadsheetml/2009/9/main" objectType="Button" lockText="1"/>
</file>

<file path=xl/ctrlProps/ctrlProp1129.xml><?xml version="1.0" encoding="utf-8"?>
<formControlPr xmlns="http://schemas.microsoft.com/office/spreadsheetml/2009/9/main" objectType="Button" lockText="1"/>
</file>

<file path=xl/ctrlProps/ctrlProp1130.xml><?xml version="1.0" encoding="utf-8"?>
<formControlPr xmlns="http://schemas.microsoft.com/office/spreadsheetml/2009/9/main" objectType="Button" lockText="1"/>
</file>

<file path=xl/ctrlProps/ctrlProp1131.xml><?xml version="1.0" encoding="utf-8"?>
<formControlPr xmlns="http://schemas.microsoft.com/office/spreadsheetml/2009/9/main" objectType="Button" lockText="1"/>
</file>

<file path=xl/ctrlProps/ctrlProp1132.xml><?xml version="1.0" encoding="utf-8"?>
<formControlPr xmlns="http://schemas.microsoft.com/office/spreadsheetml/2009/9/main" objectType="Button" lockText="1"/>
</file>

<file path=xl/ctrlProps/ctrlProp1133.xml><?xml version="1.0" encoding="utf-8"?>
<formControlPr xmlns="http://schemas.microsoft.com/office/spreadsheetml/2009/9/main" objectType="Button" lockText="1"/>
</file>

<file path=xl/ctrlProps/ctrlProp1134.xml><?xml version="1.0" encoding="utf-8"?>
<formControlPr xmlns="http://schemas.microsoft.com/office/spreadsheetml/2009/9/main" objectType="Button" lockText="1"/>
</file>

<file path=xl/ctrlProps/ctrlProp1135.xml><?xml version="1.0" encoding="utf-8"?>
<formControlPr xmlns="http://schemas.microsoft.com/office/spreadsheetml/2009/9/main" objectType="Button" lockText="1"/>
</file>

<file path=xl/ctrlProps/ctrlProp1136.xml><?xml version="1.0" encoding="utf-8"?>
<formControlPr xmlns="http://schemas.microsoft.com/office/spreadsheetml/2009/9/main" objectType="Button" lockText="1"/>
</file>

<file path=xl/ctrlProps/ctrlProp1137.xml><?xml version="1.0" encoding="utf-8"?>
<formControlPr xmlns="http://schemas.microsoft.com/office/spreadsheetml/2009/9/main" objectType="Button" lockText="1"/>
</file>

<file path=xl/ctrlProps/ctrlProp1138.xml><?xml version="1.0" encoding="utf-8"?>
<formControlPr xmlns="http://schemas.microsoft.com/office/spreadsheetml/2009/9/main" objectType="Button" lockText="1"/>
</file>

<file path=xl/ctrlProps/ctrlProp1139.xml><?xml version="1.0" encoding="utf-8"?>
<formControlPr xmlns="http://schemas.microsoft.com/office/spreadsheetml/2009/9/main" objectType="Button" lockText="1"/>
</file>

<file path=xl/ctrlProps/ctrlProp1140.xml><?xml version="1.0" encoding="utf-8"?>
<formControlPr xmlns="http://schemas.microsoft.com/office/spreadsheetml/2009/9/main" objectType="Button" lockText="1"/>
</file>

<file path=xl/ctrlProps/ctrlProp1141.xml><?xml version="1.0" encoding="utf-8"?>
<formControlPr xmlns="http://schemas.microsoft.com/office/spreadsheetml/2009/9/main" objectType="Button" lockText="1"/>
</file>

<file path=xl/ctrlProps/ctrlProp1142.xml><?xml version="1.0" encoding="utf-8"?>
<formControlPr xmlns="http://schemas.microsoft.com/office/spreadsheetml/2009/9/main" objectType="Button" lockText="1"/>
</file>

<file path=xl/ctrlProps/ctrlProp1143.xml><?xml version="1.0" encoding="utf-8"?>
<formControlPr xmlns="http://schemas.microsoft.com/office/spreadsheetml/2009/9/main" objectType="Button" lockText="1"/>
</file>

<file path=xl/ctrlProps/ctrlProp1144.xml><?xml version="1.0" encoding="utf-8"?>
<formControlPr xmlns="http://schemas.microsoft.com/office/spreadsheetml/2009/9/main" objectType="Button" lockText="1"/>
</file>

<file path=xl/ctrlProps/ctrlProp1145.xml><?xml version="1.0" encoding="utf-8"?>
<formControlPr xmlns="http://schemas.microsoft.com/office/spreadsheetml/2009/9/main" objectType="Button" lockText="1"/>
</file>

<file path=xl/ctrlProps/ctrlProp1146.xml><?xml version="1.0" encoding="utf-8"?>
<formControlPr xmlns="http://schemas.microsoft.com/office/spreadsheetml/2009/9/main" objectType="Button" lockText="1"/>
</file>

<file path=xl/ctrlProps/ctrlProp1147.xml><?xml version="1.0" encoding="utf-8"?>
<formControlPr xmlns="http://schemas.microsoft.com/office/spreadsheetml/2009/9/main" objectType="Button" lockText="1"/>
</file>

<file path=xl/ctrlProps/ctrlProp1148.xml><?xml version="1.0" encoding="utf-8"?>
<formControlPr xmlns="http://schemas.microsoft.com/office/spreadsheetml/2009/9/main" objectType="Button" lockText="1"/>
</file>

<file path=xl/ctrlProps/ctrlProp1149.xml><?xml version="1.0" encoding="utf-8"?>
<formControlPr xmlns="http://schemas.microsoft.com/office/spreadsheetml/2009/9/main" objectType="Button" lockText="1"/>
</file>

<file path=xl/ctrlProps/ctrlProp1150.xml><?xml version="1.0" encoding="utf-8"?>
<formControlPr xmlns="http://schemas.microsoft.com/office/spreadsheetml/2009/9/main" objectType="Button" lockText="1"/>
</file>

<file path=xl/ctrlProps/ctrlProp1151.xml><?xml version="1.0" encoding="utf-8"?>
<formControlPr xmlns="http://schemas.microsoft.com/office/spreadsheetml/2009/9/main" objectType="Button" lockText="1"/>
</file>

<file path=xl/ctrlProps/ctrlProp1152.xml><?xml version="1.0" encoding="utf-8"?>
<formControlPr xmlns="http://schemas.microsoft.com/office/spreadsheetml/2009/9/main" objectType="Button" lockText="1"/>
</file>

<file path=xl/ctrlProps/ctrlProp1153.xml><?xml version="1.0" encoding="utf-8"?>
<formControlPr xmlns="http://schemas.microsoft.com/office/spreadsheetml/2009/9/main" objectType="Button" lockText="1"/>
</file>

<file path=xl/ctrlProps/ctrlProp1154.xml><?xml version="1.0" encoding="utf-8"?>
<formControlPr xmlns="http://schemas.microsoft.com/office/spreadsheetml/2009/9/main" objectType="Button" lockText="1"/>
</file>

<file path=xl/ctrlProps/ctrlProp1155.xml><?xml version="1.0" encoding="utf-8"?>
<formControlPr xmlns="http://schemas.microsoft.com/office/spreadsheetml/2009/9/main" objectType="Button" lockText="1"/>
</file>

<file path=xl/ctrlProps/ctrlProp1156.xml><?xml version="1.0" encoding="utf-8"?>
<formControlPr xmlns="http://schemas.microsoft.com/office/spreadsheetml/2009/9/main" objectType="Button" lockText="1"/>
</file>

<file path=xl/ctrlProps/ctrlProp1157.xml><?xml version="1.0" encoding="utf-8"?>
<formControlPr xmlns="http://schemas.microsoft.com/office/spreadsheetml/2009/9/main" objectType="Button" lockText="1"/>
</file>

<file path=xl/ctrlProps/ctrlProp1158.xml><?xml version="1.0" encoding="utf-8"?>
<formControlPr xmlns="http://schemas.microsoft.com/office/spreadsheetml/2009/9/main" objectType="Button" lockText="1"/>
</file>

<file path=xl/ctrlProps/ctrlProp1159.xml><?xml version="1.0" encoding="utf-8"?>
<formControlPr xmlns="http://schemas.microsoft.com/office/spreadsheetml/2009/9/main" objectType="Button" lockText="1"/>
</file>

<file path=xl/ctrlProps/ctrlProp1160.xml><?xml version="1.0" encoding="utf-8"?>
<formControlPr xmlns="http://schemas.microsoft.com/office/spreadsheetml/2009/9/main" objectType="Button" lockText="1"/>
</file>

<file path=xl/ctrlProps/ctrlProp1161.xml><?xml version="1.0" encoding="utf-8"?>
<formControlPr xmlns="http://schemas.microsoft.com/office/spreadsheetml/2009/9/main" objectType="Button" lockText="1"/>
</file>

<file path=xl/ctrlProps/ctrlProp1162.xml><?xml version="1.0" encoding="utf-8"?>
<formControlPr xmlns="http://schemas.microsoft.com/office/spreadsheetml/2009/9/main" objectType="Button" lockText="1"/>
</file>

<file path=xl/ctrlProps/ctrlProp1163.xml><?xml version="1.0" encoding="utf-8"?>
<formControlPr xmlns="http://schemas.microsoft.com/office/spreadsheetml/2009/9/main" objectType="Button" lockText="1"/>
</file>

<file path=xl/ctrlProps/ctrlProp1164.xml><?xml version="1.0" encoding="utf-8"?>
<formControlPr xmlns="http://schemas.microsoft.com/office/spreadsheetml/2009/9/main" objectType="Button" lockText="1"/>
</file>

<file path=xl/ctrlProps/ctrlProp1165.xml><?xml version="1.0" encoding="utf-8"?>
<formControlPr xmlns="http://schemas.microsoft.com/office/spreadsheetml/2009/9/main" objectType="Button" lockText="1"/>
</file>

<file path=xl/ctrlProps/ctrlProp1166.xml><?xml version="1.0" encoding="utf-8"?>
<formControlPr xmlns="http://schemas.microsoft.com/office/spreadsheetml/2009/9/main" objectType="Button" lockText="1"/>
</file>

<file path=xl/ctrlProps/ctrlProp1167.xml><?xml version="1.0" encoding="utf-8"?>
<formControlPr xmlns="http://schemas.microsoft.com/office/spreadsheetml/2009/9/main" objectType="Button" lockText="1"/>
</file>

<file path=xl/ctrlProps/ctrlProp1168.xml><?xml version="1.0" encoding="utf-8"?>
<formControlPr xmlns="http://schemas.microsoft.com/office/spreadsheetml/2009/9/main" objectType="Button" lockText="1"/>
</file>

<file path=xl/ctrlProps/ctrlProp1169.xml><?xml version="1.0" encoding="utf-8"?>
<formControlPr xmlns="http://schemas.microsoft.com/office/spreadsheetml/2009/9/main" objectType="Button" lockText="1"/>
</file>

<file path=xl/ctrlProps/ctrlProp1170.xml><?xml version="1.0" encoding="utf-8"?>
<formControlPr xmlns="http://schemas.microsoft.com/office/spreadsheetml/2009/9/main" objectType="Button" lockText="1"/>
</file>

<file path=xl/ctrlProps/ctrlProp1171.xml><?xml version="1.0" encoding="utf-8"?>
<formControlPr xmlns="http://schemas.microsoft.com/office/spreadsheetml/2009/9/main" objectType="Button" lockText="1"/>
</file>

<file path=xl/ctrlProps/ctrlProp1172.xml><?xml version="1.0" encoding="utf-8"?>
<formControlPr xmlns="http://schemas.microsoft.com/office/spreadsheetml/2009/9/main" objectType="Button" lockText="1"/>
</file>

<file path=xl/ctrlProps/ctrlProp1173.xml><?xml version="1.0" encoding="utf-8"?>
<formControlPr xmlns="http://schemas.microsoft.com/office/spreadsheetml/2009/9/main" objectType="Button" lockText="1"/>
</file>

<file path=xl/ctrlProps/ctrlProp1174.xml><?xml version="1.0" encoding="utf-8"?>
<formControlPr xmlns="http://schemas.microsoft.com/office/spreadsheetml/2009/9/main" objectType="Button" lockText="1"/>
</file>

<file path=xl/ctrlProps/ctrlProp1175.xml><?xml version="1.0" encoding="utf-8"?>
<formControlPr xmlns="http://schemas.microsoft.com/office/spreadsheetml/2009/9/main" objectType="Button" lockText="1"/>
</file>

<file path=xl/ctrlProps/ctrlProp1176.xml><?xml version="1.0" encoding="utf-8"?>
<formControlPr xmlns="http://schemas.microsoft.com/office/spreadsheetml/2009/9/main" objectType="Button" lockText="1"/>
</file>

<file path=xl/ctrlProps/ctrlProp1177.xml><?xml version="1.0" encoding="utf-8"?>
<formControlPr xmlns="http://schemas.microsoft.com/office/spreadsheetml/2009/9/main" objectType="Button" lockText="1"/>
</file>

<file path=xl/ctrlProps/ctrlProp1178.xml><?xml version="1.0" encoding="utf-8"?>
<formControlPr xmlns="http://schemas.microsoft.com/office/spreadsheetml/2009/9/main" objectType="Button" lockText="1"/>
</file>

<file path=xl/ctrlProps/ctrlProp1179.xml><?xml version="1.0" encoding="utf-8"?>
<formControlPr xmlns="http://schemas.microsoft.com/office/spreadsheetml/2009/9/main" objectType="Button" lockText="1"/>
</file>

<file path=xl/ctrlProps/ctrlProp1180.xml><?xml version="1.0" encoding="utf-8"?>
<formControlPr xmlns="http://schemas.microsoft.com/office/spreadsheetml/2009/9/main" objectType="Button" lockText="1"/>
</file>

<file path=xl/ctrlProps/ctrlProp1181.xml><?xml version="1.0" encoding="utf-8"?>
<formControlPr xmlns="http://schemas.microsoft.com/office/spreadsheetml/2009/9/main" objectType="Button" lockText="1"/>
</file>

<file path=xl/ctrlProps/ctrlProp1182.xml><?xml version="1.0" encoding="utf-8"?>
<formControlPr xmlns="http://schemas.microsoft.com/office/spreadsheetml/2009/9/main" objectType="Button" lockText="1"/>
</file>

<file path=xl/ctrlProps/ctrlProp1183.xml><?xml version="1.0" encoding="utf-8"?>
<formControlPr xmlns="http://schemas.microsoft.com/office/spreadsheetml/2009/9/main" objectType="Button" lockText="1"/>
</file>

<file path=xl/ctrlProps/ctrlProp1184.xml><?xml version="1.0" encoding="utf-8"?>
<formControlPr xmlns="http://schemas.microsoft.com/office/spreadsheetml/2009/9/main" objectType="Button" lockText="1"/>
</file>

<file path=xl/ctrlProps/ctrlProp1185.xml><?xml version="1.0" encoding="utf-8"?>
<formControlPr xmlns="http://schemas.microsoft.com/office/spreadsheetml/2009/9/main" objectType="Button" lockText="1"/>
</file>

<file path=xl/ctrlProps/ctrlProp1186.xml><?xml version="1.0" encoding="utf-8"?>
<formControlPr xmlns="http://schemas.microsoft.com/office/spreadsheetml/2009/9/main" objectType="Button" lockText="1"/>
</file>

<file path=xl/ctrlProps/ctrlProp1187.xml><?xml version="1.0" encoding="utf-8"?>
<formControlPr xmlns="http://schemas.microsoft.com/office/spreadsheetml/2009/9/main" objectType="Button" lockText="1"/>
</file>

<file path=xl/ctrlProps/ctrlProp1188.xml><?xml version="1.0" encoding="utf-8"?>
<formControlPr xmlns="http://schemas.microsoft.com/office/spreadsheetml/2009/9/main" objectType="Button" lockText="1"/>
</file>

<file path=xl/ctrlProps/ctrlProp1189.xml><?xml version="1.0" encoding="utf-8"?>
<formControlPr xmlns="http://schemas.microsoft.com/office/spreadsheetml/2009/9/main" objectType="Button" lockText="1"/>
</file>

<file path=xl/ctrlProps/ctrlProp1190.xml><?xml version="1.0" encoding="utf-8"?>
<formControlPr xmlns="http://schemas.microsoft.com/office/spreadsheetml/2009/9/main" objectType="Button" lockText="1"/>
</file>

<file path=xl/ctrlProps/ctrlProp1191.xml><?xml version="1.0" encoding="utf-8"?>
<formControlPr xmlns="http://schemas.microsoft.com/office/spreadsheetml/2009/9/main" objectType="Button" lockText="1"/>
</file>

<file path=xl/ctrlProps/ctrlProp1192.xml><?xml version="1.0" encoding="utf-8"?>
<formControlPr xmlns="http://schemas.microsoft.com/office/spreadsheetml/2009/9/main" objectType="Button" lockText="1"/>
</file>

<file path=xl/ctrlProps/ctrlProp1193.xml><?xml version="1.0" encoding="utf-8"?>
<formControlPr xmlns="http://schemas.microsoft.com/office/spreadsheetml/2009/9/main" objectType="Button" lockText="1"/>
</file>

<file path=xl/ctrlProps/ctrlProp1194.xml><?xml version="1.0" encoding="utf-8"?>
<formControlPr xmlns="http://schemas.microsoft.com/office/spreadsheetml/2009/9/main" objectType="Button" lockText="1"/>
</file>

<file path=xl/ctrlProps/ctrlProp1195.xml><?xml version="1.0" encoding="utf-8"?>
<formControlPr xmlns="http://schemas.microsoft.com/office/spreadsheetml/2009/9/main" objectType="Button" lockText="1"/>
</file>

<file path=xl/ctrlProps/ctrlProp1196.xml><?xml version="1.0" encoding="utf-8"?>
<formControlPr xmlns="http://schemas.microsoft.com/office/spreadsheetml/2009/9/main" objectType="Button" lockText="1"/>
</file>

<file path=xl/ctrlProps/ctrlProp1197.xml><?xml version="1.0" encoding="utf-8"?>
<formControlPr xmlns="http://schemas.microsoft.com/office/spreadsheetml/2009/9/main" objectType="Button" lockText="1"/>
</file>

<file path=xl/ctrlProps/ctrlProp1198.xml><?xml version="1.0" encoding="utf-8"?>
<formControlPr xmlns="http://schemas.microsoft.com/office/spreadsheetml/2009/9/main" objectType="Button" lockText="1"/>
</file>

<file path=xl/ctrlProps/ctrlProp1199.xml><?xml version="1.0" encoding="utf-8"?>
<formControlPr xmlns="http://schemas.microsoft.com/office/spreadsheetml/2009/9/main" objectType="Button" lockText="1"/>
</file>

<file path=xl/ctrlProps/ctrlProp1200.xml><?xml version="1.0" encoding="utf-8"?>
<formControlPr xmlns="http://schemas.microsoft.com/office/spreadsheetml/2009/9/main" objectType="Button" lockText="1"/>
</file>

<file path=xl/ctrlProps/ctrlProp1201.xml><?xml version="1.0" encoding="utf-8"?>
<formControlPr xmlns="http://schemas.microsoft.com/office/spreadsheetml/2009/9/main" objectType="Button" lockText="1"/>
</file>

<file path=xl/ctrlProps/ctrlProp1202.xml><?xml version="1.0" encoding="utf-8"?>
<formControlPr xmlns="http://schemas.microsoft.com/office/spreadsheetml/2009/9/main" objectType="Button" lockText="1"/>
</file>

<file path=xl/ctrlProps/ctrlProp1203.xml><?xml version="1.0" encoding="utf-8"?>
<formControlPr xmlns="http://schemas.microsoft.com/office/spreadsheetml/2009/9/main" objectType="Button" lockText="1"/>
</file>

<file path=xl/ctrlProps/ctrlProp1204.xml><?xml version="1.0" encoding="utf-8"?>
<formControlPr xmlns="http://schemas.microsoft.com/office/spreadsheetml/2009/9/main" objectType="Button" lockText="1"/>
</file>

<file path=xl/ctrlProps/ctrlProp1205.xml><?xml version="1.0" encoding="utf-8"?>
<formControlPr xmlns="http://schemas.microsoft.com/office/spreadsheetml/2009/9/main" objectType="Button" lockText="1"/>
</file>

<file path=xl/ctrlProps/ctrlProp1206.xml><?xml version="1.0" encoding="utf-8"?>
<formControlPr xmlns="http://schemas.microsoft.com/office/spreadsheetml/2009/9/main" objectType="Button" lockText="1"/>
</file>

<file path=xl/ctrlProps/ctrlProp1207.xml><?xml version="1.0" encoding="utf-8"?>
<formControlPr xmlns="http://schemas.microsoft.com/office/spreadsheetml/2009/9/main" objectType="Button" lockText="1"/>
</file>

<file path=xl/ctrlProps/ctrlProp1208.xml><?xml version="1.0" encoding="utf-8"?>
<formControlPr xmlns="http://schemas.microsoft.com/office/spreadsheetml/2009/9/main" objectType="Button" lockText="1"/>
</file>

<file path=xl/ctrlProps/ctrlProp1209.xml><?xml version="1.0" encoding="utf-8"?>
<formControlPr xmlns="http://schemas.microsoft.com/office/spreadsheetml/2009/9/main" objectType="Button" lockText="1"/>
</file>

<file path=xl/ctrlProps/ctrlProp1210.xml><?xml version="1.0" encoding="utf-8"?>
<formControlPr xmlns="http://schemas.microsoft.com/office/spreadsheetml/2009/9/main" objectType="Button" lockText="1"/>
</file>

<file path=xl/ctrlProps/ctrlProp1211.xml><?xml version="1.0" encoding="utf-8"?>
<formControlPr xmlns="http://schemas.microsoft.com/office/spreadsheetml/2009/9/main" objectType="Button" lockText="1"/>
</file>

<file path=xl/ctrlProps/ctrlProp1212.xml><?xml version="1.0" encoding="utf-8"?>
<formControlPr xmlns="http://schemas.microsoft.com/office/spreadsheetml/2009/9/main" objectType="Button" lockText="1"/>
</file>

<file path=xl/ctrlProps/ctrlProp1213.xml><?xml version="1.0" encoding="utf-8"?>
<formControlPr xmlns="http://schemas.microsoft.com/office/spreadsheetml/2009/9/main" objectType="Button" lockText="1"/>
</file>

<file path=xl/ctrlProps/ctrlProp1214.xml><?xml version="1.0" encoding="utf-8"?>
<formControlPr xmlns="http://schemas.microsoft.com/office/spreadsheetml/2009/9/main" objectType="Button" lockText="1"/>
</file>

<file path=xl/ctrlProps/ctrlProp1215.xml><?xml version="1.0" encoding="utf-8"?>
<formControlPr xmlns="http://schemas.microsoft.com/office/spreadsheetml/2009/9/main" objectType="Button" lockText="1"/>
</file>

<file path=xl/ctrlProps/ctrlProp1216.xml><?xml version="1.0" encoding="utf-8"?>
<formControlPr xmlns="http://schemas.microsoft.com/office/spreadsheetml/2009/9/main" objectType="Button" lockText="1"/>
</file>

<file path=xl/ctrlProps/ctrlProp1217.xml><?xml version="1.0" encoding="utf-8"?>
<formControlPr xmlns="http://schemas.microsoft.com/office/spreadsheetml/2009/9/main" objectType="Button" lockText="1"/>
</file>

<file path=xl/ctrlProps/ctrlProp1218.xml><?xml version="1.0" encoding="utf-8"?>
<formControlPr xmlns="http://schemas.microsoft.com/office/spreadsheetml/2009/9/main" objectType="Button" lockText="1"/>
</file>

<file path=xl/ctrlProps/ctrlProp1219.xml><?xml version="1.0" encoding="utf-8"?>
<formControlPr xmlns="http://schemas.microsoft.com/office/spreadsheetml/2009/9/main" objectType="Button" lockText="1"/>
</file>

<file path=xl/ctrlProps/ctrlProp1220.xml><?xml version="1.0" encoding="utf-8"?>
<formControlPr xmlns="http://schemas.microsoft.com/office/spreadsheetml/2009/9/main" objectType="Button" lockText="1"/>
</file>

<file path=xl/ctrlProps/ctrlProp1221.xml><?xml version="1.0" encoding="utf-8"?>
<formControlPr xmlns="http://schemas.microsoft.com/office/spreadsheetml/2009/9/main" objectType="Button" lockText="1"/>
</file>

<file path=xl/ctrlProps/ctrlProp1222.xml><?xml version="1.0" encoding="utf-8"?>
<formControlPr xmlns="http://schemas.microsoft.com/office/spreadsheetml/2009/9/main" objectType="Button" lockText="1"/>
</file>

<file path=xl/ctrlProps/ctrlProp1223.xml><?xml version="1.0" encoding="utf-8"?>
<formControlPr xmlns="http://schemas.microsoft.com/office/spreadsheetml/2009/9/main" objectType="Button" lockText="1"/>
</file>

<file path=xl/ctrlProps/ctrlProp1224.xml><?xml version="1.0" encoding="utf-8"?>
<formControlPr xmlns="http://schemas.microsoft.com/office/spreadsheetml/2009/9/main" objectType="Button" lockText="1"/>
</file>

<file path=xl/ctrlProps/ctrlProp1225.xml><?xml version="1.0" encoding="utf-8"?>
<formControlPr xmlns="http://schemas.microsoft.com/office/spreadsheetml/2009/9/main" objectType="Button" lockText="1"/>
</file>

<file path=xl/ctrlProps/ctrlProp1226.xml><?xml version="1.0" encoding="utf-8"?>
<formControlPr xmlns="http://schemas.microsoft.com/office/spreadsheetml/2009/9/main" objectType="Button" lockText="1"/>
</file>

<file path=xl/ctrlProps/ctrlProp1227.xml><?xml version="1.0" encoding="utf-8"?>
<formControlPr xmlns="http://schemas.microsoft.com/office/spreadsheetml/2009/9/main" objectType="Button" lockText="1"/>
</file>

<file path=xl/ctrlProps/ctrlProp1228.xml><?xml version="1.0" encoding="utf-8"?>
<formControlPr xmlns="http://schemas.microsoft.com/office/spreadsheetml/2009/9/main" objectType="Button" lockText="1"/>
</file>

<file path=xl/ctrlProps/ctrlProp1229.xml><?xml version="1.0" encoding="utf-8"?>
<formControlPr xmlns="http://schemas.microsoft.com/office/spreadsheetml/2009/9/main" objectType="Button" lockText="1"/>
</file>

<file path=xl/ctrlProps/ctrlProp1230.xml><?xml version="1.0" encoding="utf-8"?>
<formControlPr xmlns="http://schemas.microsoft.com/office/spreadsheetml/2009/9/main" objectType="Button" lockText="1"/>
</file>

<file path=xl/ctrlProps/ctrlProp1231.xml><?xml version="1.0" encoding="utf-8"?>
<formControlPr xmlns="http://schemas.microsoft.com/office/spreadsheetml/2009/9/main" objectType="Button" lockText="1"/>
</file>

<file path=xl/ctrlProps/ctrlProp1232.xml><?xml version="1.0" encoding="utf-8"?>
<formControlPr xmlns="http://schemas.microsoft.com/office/spreadsheetml/2009/9/main" objectType="Button" lockText="1"/>
</file>

<file path=xl/ctrlProps/ctrlProp1233.xml><?xml version="1.0" encoding="utf-8"?>
<formControlPr xmlns="http://schemas.microsoft.com/office/spreadsheetml/2009/9/main" objectType="Button" lockText="1"/>
</file>

<file path=xl/ctrlProps/ctrlProp1234.xml><?xml version="1.0" encoding="utf-8"?>
<formControlPr xmlns="http://schemas.microsoft.com/office/spreadsheetml/2009/9/main" objectType="Button" lockText="1"/>
</file>

<file path=xl/ctrlProps/ctrlProp1235.xml><?xml version="1.0" encoding="utf-8"?>
<formControlPr xmlns="http://schemas.microsoft.com/office/spreadsheetml/2009/9/main" objectType="Button" lockText="1"/>
</file>

<file path=xl/ctrlProps/ctrlProp1236.xml><?xml version="1.0" encoding="utf-8"?>
<formControlPr xmlns="http://schemas.microsoft.com/office/spreadsheetml/2009/9/main" objectType="Button" lockText="1"/>
</file>

<file path=xl/ctrlProps/ctrlProp1237.xml><?xml version="1.0" encoding="utf-8"?>
<formControlPr xmlns="http://schemas.microsoft.com/office/spreadsheetml/2009/9/main" objectType="Button" lockText="1"/>
</file>

<file path=xl/ctrlProps/ctrlProp1238.xml><?xml version="1.0" encoding="utf-8"?>
<formControlPr xmlns="http://schemas.microsoft.com/office/spreadsheetml/2009/9/main" objectType="Button" lockText="1"/>
</file>

<file path=xl/ctrlProps/ctrlProp1239.xml><?xml version="1.0" encoding="utf-8"?>
<formControlPr xmlns="http://schemas.microsoft.com/office/spreadsheetml/2009/9/main" objectType="Button" lockText="1"/>
</file>

<file path=xl/ctrlProps/ctrlProp1240.xml><?xml version="1.0" encoding="utf-8"?>
<formControlPr xmlns="http://schemas.microsoft.com/office/spreadsheetml/2009/9/main" objectType="Button" lockText="1"/>
</file>

<file path=xl/ctrlProps/ctrlProp1241.xml><?xml version="1.0" encoding="utf-8"?>
<formControlPr xmlns="http://schemas.microsoft.com/office/spreadsheetml/2009/9/main" objectType="Button" lockText="1"/>
</file>

<file path=xl/ctrlProps/ctrlProp1242.xml><?xml version="1.0" encoding="utf-8"?>
<formControlPr xmlns="http://schemas.microsoft.com/office/spreadsheetml/2009/9/main" objectType="Button" lockText="1"/>
</file>

<file path=xl/ctrlProps/ctrlProp1243.xml><?xml version="1.0" encoding="utf-8"?>
<formControlPr xmlns="http://schemas.microsoft.com/office/spreadsheetml/2009/9/main" objectType="Button" lockText="1"/>
</file>

<file path=xl/ctrlProps/ctrlProp1244.xml><?xml version="1.0" encoding="utf-8"?>
<formControlPr xmlns="http://schemas.microsoft.com/office/spreadsheetml/2009/9/main" objectType="Button" lockText="1"/>
</file>

<file path=xl/ctrlProps/ctrlProp1245.xml><?xml version="1.0" encoding="utf-8"?>
<formControlPr xmlns="http://schemas.microsoft.com/office/spreadsheetml/2009/9/main" objectType="Button" lockText="1"/>
</file>

<file path=xl/ctrlProps/ctrlProp1246.xml><?xml version="1.0" encoding="utf-8"?>
<formControlPr xmlns="http://schemas.microsoft.com/office/spreadsheetml/2009/9/main" objectType="Button" lockText="1"/>
</file>

<file path=xl/ctrlProps/ctrlProp1247.xml><?xml version="1.0" encoding="utf-8"?>
<formControlPr xmlns="http://schemas.microsoft.com/office/spreadsheetml/2009/9/main" objectType="Button" lockText="1"/>
</file>

<file path=xl/ctrlProps/ctrlProp1248.xml><?xml version="1.0" encoding="utf-8"?>
<formControlPr xmlns="http://schemas.microsoft.com/office/spreadsheetml/2009/9/main" objectType="Button" lockText="1"/>
</file>

<file path=xl/ctrlProps/ctrlProp1249.xml><?xml version="1.0" encoding="utf-8"?>
<formControlPr xmlns="http://schemas.microsoft.com/office/spreadsheetml/2009/9/main" objectType="Button" lockText="1"/>
</file>

<file path=xl/ctrlProps/ctrlProp1250.xml><?xml version="1.0" encoding="utf-8"?>
<formControlPr xmlns="http://schemas.microsoft.com/office/spreadsheetml/2009/9/main" objectType="Button" lockText="1"/>
</file>

<file path=xl/ctrlProps/ctrlProp1251.xml><?xml version="1.0" encoding="utf-8"?>
<formControlPr xmlns="http://schemas.microsoft.com/office/spreadsheetml/2009/9/main" objectType="Button" lockText="1"/>
</file>

<file path=xl/ctrlProps/ctrlProp1252.xml><?xml version="1.0" encoding="utf-8"?>
<formControlPr xmlns="http://schemas.microsoft.com/office/spreadsheetml/2009/9/main" objectType="Button" lockText="1"/>
</file>

<file path=xl/ctrlProps/ctrlProp1253.xml><?xml version="1.0" encoding="utf-8"?>
<formControlPr xmlns="http://schemas.microsoft.com/office/spreadsheetml/2009/9/main" objectType="Button" lockText="1"/>
</file>

<file path=xl/ctrlProps/ctrlProp1254.xml><?xml version="1.0" encoding="utf-8"?>
<formControlPr xmlns="http://schemas.microsoft.com/office/spreadsheetml/2009/9/main" objectType="Button" lockText="1"/>
</file>

<file path=xl/ctrlProps/ctrlProp1255.xml><?xml version="1.0" encoding="utf-8"?>
<formControlPr xmlns="http://schemas.microsoft.com/office/spreadsheetml/2009/9/main" objectType="Button" lockText="1"/>
</file>

<file path=xl/ctrlProps/ctrlProp1256.xml><?xml version="1.0" encoding="utf-8"?>
<formControlPr xmlns="http://schemas.microsoft.com/office/spreadsheetml/2009/9/main" objectType="Button" lockText="1"/>
</file>

<file path=xl/ctrlProps/ctrlProp1257.xml><?xml version="1.0" encoding="utf-8"?>
<formControlPr xmlns="http://schemas.microsoft.com/office/spreadsheetml/2009/9/main" objectType="Button" lockText="1"/>
</file>

<file path=xl/ctrlProps/ctrlProp1258.xml><?xml version="1.0" encoding="utf-8"?>
<formControlPr xmlns="http://schemas.microsoft.com/office/spreadsheetml/2009/9/main" objectType="Button" lockText="1"/>
</file>

<file path=xl/ctrlProps/ctrlProp1259.xml><?xml version="1.0" encoding="utf-8"?>
<formControlPr xmlns="http://schemas.microsoft.com/office/spreadsheetml/2009/9/main" objectType="Button" lockText="1"/>
</file>

<file path=xl/ctrlProps/ctrlProp1260.xml><?xml version="1.0" encoding="utf-8"?>
<formControlPr xmlns="http://schemas.microsoft.com/office/spreadsheetml/2009/9/main" objectType="Button" lockText="1"/>
</file>

<file path=xl/ctrlProps/ctrlProp1261.xml><?xml version="1.0" encoding="utf-8"?>
<formControlPr xmlns="http://schemas.microsoft.com/office/spreadsheetml/2009/9/main" objectType="Button" lockText="1"/>
</file>

<file path=xl/ctrlProps/ctrlProp1262.xml><?xml version="1.0" encoding="utf-8"?>
<formControlPr xmlns="http://schemas.microsoft.com/office/spreadsheetml/2009/9/main" objectType="Button" lockText="1"/>
</file>

<file path=xl/ctrlProps/ctrlProp1263.xml><?xml version="1.0" encoding="utf-8"?>
<formControlPr xmlns="http://schemas.microsoft.com/office/spreadsheetml/2009/9/main" objectType="Button" lockText="1"/>
</file>

<file path=xl/ctrlProps/ctrlProp1264.xml><?xml version="1.0" encoding="utf-8"?>
<formControlPr xmlns="http://schemas.microsoft.com/office/spreadsheetml/2009/9/main" objectType="Button" lockText="1"/>
</file>

<file path=xl/ctrlProps/ctrlProp1265.xml><?xml version="1.0" encoding="utf-8"?>
<formControlPr xmlns="http://schemas.microsoft.com/office/spreadsheetml/2009/9/main" objectType="Button" lockText="1"/>
</file>

<file path=xl/ctrlProps/ctrlProp1266.xml><?xml version="1.0" encoding="utf-8"?>
<formControlPr xmlns="http://schemas.microsoft.com/office/spreadsheetml/2009/9/main" objectType="Button" lockText="1"/>
</file>

<file path=xl/ctrlProps/ctrlProp1267.xml><?xml version="1.0" encoding="utf-8"?>
<formControlPr xmlns="http://schemas.microsoft.com/office/spreadsheetml/2009/9/main" objectType="Button" lockText="1"/>
</file>

<file path=xl/ctrlProps/ctrlProp1268.xml><?xml version="1.0" encoding="utf-8"?>
<formControlPr xmlns="http://schemas.microsoft.com/office/spreadsheetml/2009/9/main" objectType="Button" lockText="1"/>
</file>

<file path=xl/ctrlProps/ctrlProp1269.xml><?xml version="1.0" encoding="utf-8"?>
<formControlPr xmlns="http://schemas.microsoft.com/office/spreadsheetml/2009/9/main" objectType="Button" lockText="1"/>
</file>

<file path=xl/ctrlProps/ctrlProp1270.xml><?xml version="1.0" encoding="utf-8"?>
<formControlPr xmlns="http://schemas.microsoft.com/office/spreadsheetml/2009/9/main" objectType="Button" lockText="1"/>
</file>

<file path=xl/ctrlProps/ctrlProp1271.xml><?xml version="1.0" encoding="utf-8"?>
<formControlPr xmlns="http://schemas.microsoft.com/office/spreadsheetml/2009/9/main" objectType="Button" lockText="1"/>
</file>

<file path=xl/ctrlProps/ctrlProp1272.xml><?xml version="1.0" encoding="utf-8"?>
<formControlPr xmlns="http://schemas.microsoft.com/office/spreadsheetml/2009/9/main" objectType="Button" lockText="1"/>
</file>

<file path=xl/ctrlProps/ctrlProp1273.xml><?xml version="1.0" encoding="utf-8"?>
<formControlPr xmlns="http://schemas.microsoft.com/office/spreadsheetml/2009/9/main" objectType="Button" lockText="1"/>
</file>

<file path=xl/ctrlProps/ctrlProp1274.xml><?xml version="1.0" encoding="utf-8"?>
<formControlPr xmlns="http://schemas.microsoft.com/office/spreadsheetml/2009/9/main" objectType="Button" lockText="1"/>
</file>

<file path=xl/ctrlProps/ctrlProp127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0</xdr:row>
          <xdr:rowOff>0</xdr:rowOff>
        </xdr:from>
        <xdr:to>
          <xdr:col>17</xdr:col>
          <xdr:colOff>50800</xdr:colOff>
          <xdr:row>2</xdr:row>
          <xdr:rowOff>12700</xdr:rowOff>
        </xdr:to>
        <xdr:sp macro="" textlink="">
          <xdr:nvSpPr>
            <xdr:cNvPr id="249857" name="Button 1" hidden="1">
              <a:extLst>
                <a:ext uri="{63B3BB69-23CF-44E3-9099-C40C66FF867C}">
                  <a14:compatExt spid="_x0000_s249857"/>
                </a:ext>
                <a:ext uri="{FF2B5EF4-FFF2-40B4-BE49-F238E27FC236}">
                  <a16:creationId xmlns:a16="http://schemas.microsoft.com/office/drawing/2014/main" id="{00000000-0008-0000-0000-000001D0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POs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127000</xdr:colOff>
          <xdr:row>0</xdr:row>
          <xdr:rowOff>0</xdr:rowOff>
        </xdr:from>
        <xdr:to>
          <xdr:col>16</xdr:col>
          <xdr:colOff>596900</xdr:colOff>
          <xdr:row>2</xdr:row>
          <xdr:rowOff>12700</xdr:rowOff>
        </xdr:to>
        <xdr:sp macro="" textlink="">
          <xdr:nvSpPr>
            <xdr:cNvPr id="250881" name="Button 1" hidden="1">
              <a:extLst>
                <a:ext uri="{63B3BB69-23CF-44E3-9099-C40C66FF867C}">
                  <a14:compatExt spid="_x0000_s250881"/>
                </a:ext>
                <a:ext uri="{FF2B5EF4-FFF2-40B4-BE49-F238E27FC236}">
                  <a16:creationId xmlns:a16="http://schemas.microsoft.com/office/drawing/2014/main" id="{00000000-0008-0000-0100-000001D4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Aptos Narrow"/>
                </a:rPr>
                <a:t>Refresh View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226482</xdr:colOff>
      <xdr:row>3</xdr:row>
      <xdr:rowOff>146405</xdr:rowOff>
    </xdr:from>
    <xdr:to>
      <xdr:col>3</xdr:col>
      <xdr:colOff>137583</xdr:colOff>
      <xdr:row>5</xdr:row>
      <xdr:rowOff>46391</xdr:rowOff>
    </xdr:to>
    <xdr:sp macro="" textlink="">
      <xdr:nvSpPr>
        <xdr:cNvPr id="2" name="Label 2008">
          <a:extLst>
            <a:ext uri="{63B3BB69-23CF-44E3-9099-C40C66FF867C}">
              <a14:compatExt xmlns:a14="http://schemas.microsoft.com/office/drawing/2010/main" spid="_x0000_s518104"/>
            </a:ext>
            <a:ext uri="{FF2B5EF4-FFF2-40B4-BE49-F238E27FC236}">
              <a16:creationId xmlns:a16="http://schemas.microsoft.com/office/drawing/2014/main" id="{00000000-0008-0000-0500-000002000000}"/>
            </a:ext>
          </a:extLst>
        </xdr:cNvPr>
        <xdr:cNvSpPr/>
      </xdr:nvSpPr>
      <xdr:spPr bwMode="auto">
        <a:xfrm>
          <a:off x="1331382" y="1175105"/>
          <a:ext cx="1479551" cy="268286"/>
        </a:xfrm>
        <a:prstGeom prst="rect">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noFill/>
              <a:miter lim="800000"/>
              <a:headEnd/>
              <a:tailEnd/>
            </a14:hiddenLine>
          </a:ext>
        </a:extLst>
      </xdr:spPr>
      <xdr:txBody>
        <a:bodyPr vertOverflow="clip" wrap="square" lIns="36576" tIns="50292" rIns="0" bIns="0" anchor="t" upright="1"/>
        <a:lstStyle/>
        <a:p>
          <a:pPr algn="l" rtl="0">
            <a:defRPr sz="1000"/>
          </a:pPr>
          <a:r>
            <a:rPr lang="en-US" sz="800" b="0" i="0" u="none" strike="noStrike" baseline="0">
              <a:solidFill>
                <a:srgbClr val="000000"/>
              </a:solidFill>
              <a:latin typeface="Segoe UI"/>
              <a:cs typeface="Segoe UI"/>
            </a:rPr>
            <a:t>Paste Contacts Here ------&gt;</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158750</xdr:colOff>
          <xdr:row>0</xdr:row>
          <xdr:rowOff>0</xdr:rowOff>
        </xdr:from>
        <xdr:to>
          <xdr:col>19</xdr:col>
          <xdr:colOff>209550</xdr:colOff>
          <xdr:row>2</xdr:row>
          <xdr:rowOff>12700</xdr:rowOff>
        </xdr:to>
        <xdr:sp macro="" textlink="">
          <xdr:nvSpPr>
            <xdr:cNvPr id="109569" name="Button 1" hidden="1">
              <a:extLst>
                <a:ext uri="{63B3BB69-23CF-44E3-9099-C40C66FF867C}">
                  <a14:compatExt spid="_x0000_s109569"/>
                </a:ext>
                <a:ext uri="{FF2B5EF4-FFF2-40B4-BE49-F238E27FC236}">
                  <a16:creationId xmlns:a16="http://schemas.microsoft.com/office/drawing/2014/main" id="{00000000-0008-0000-0600-000001A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184150</xdr:colOff>
          <xdr:row>3</xdr:row>
          <xdr:rowOff>0</xdr:rowOff>
        </xdr:from>
        <xdr:to>
          <xdr:col>19</xdr:col>
          <xdr:colOff>234950</xdr:colOff>
          <xdr:row>5</xdr:row>
          <xdr:rowOff>0</xdr:rowOff>
        </xdr:to>
        <xdr:sp macro="" textlink="">
          <xdr:nvSpPr>
            <xdr:cNvPr id="109577" name="Button 9" hidden="1">
              <a:extLst>
                <a:ext uri="{63B3BB69-23CF-44E3-9099-C40C66FF867C}">
                  <a14:compatExt spid="_x0000_s109577"/>
                </a:ext>
                <a:ext uri="{FF2B5EF4-FFF2-40B4-BE49-F238E27FC236}">
                  <a16:creationId xmlns:a16="http://schemas.microsoft.com/office/drawing/2014/main" id="{00000000-0008-0000-0600-000009A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222250</xdr:colOff>
          <xdr:row>5</xdr:row>
          <xdr:rowOff>190500</xdr:rowOff>
        </xdr:from>
        <xdr:to>
          <xdr:col>19</xdr:col>
          <xdr:colOff>273050</xdr:colOff>
          <xdr:row>8</xdr:row>
          <xdr:rowOff>0</xdr:rowOff>
        </xdr:to>
        <xdr:sp macro="" textlink="">
          <xdr:nvSpPr>
            <xdr:cNvPr id="109578" name="Button 10" hidden="1">
              <a:extLst>
                <a:ext uri="{63B3BB69-23CF-44E3-9099-C40C66FF867C}">
                  <a14:compatExt spid="_x0000_s109578"/>
                </a:ext>
                <a:ext uri="{FF2B5EF4-FFF2-40B4-BE49-F238E27FC236}">
                  <a16:creationId xmlns:a16="http://schemas.microsoft.com/office/drawing/2014/main" id="{00000000-0008-0000-0600-00000AA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247650</xdr:colOff>
          <xdr:row>8</xdr:row>
          <xdr:rowOff>177800</xdr:rowOff>
        </xdr:from>
        <xdr:to>
          <xdr:col>19</xdr:col>
          <xdr:colOff>298450</xdr:colOff>
          <xdr:row>10</xdr:row>
          <xdr:rowOff>19050</xdr:rowOff>
        </xdr:to>
        <xdr:sp macro="" textlink="">
          <xdr:nvSpPr>
            <xdr:cNvPr id="109579" name="Button 11" hidden="1">
              <a:extLst>
                <a:ext uri="{63B3BB69-23CF-44E3-9099-C40C66FF867C}">
                  <a14:compatExt spid="_x0000_s109579"/>
                </a:ext>
                <a:ext uri="{FF2B5EF4-FFF2-40B4-BE49-F238E27FC236}">
                  <a16:creationId xmlns:a16="http://schemas.microsoft.com/office/drawing/2014/main" id="{00000000-0008-0000-0600-00000BA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273050</xdr:colOff>
          <xdr:row>13</xdr:row>
          <xdr:rowOff>38100</xdr:rowOff>
        </xdr:from>
        <xdr:to>
          <xdr:col>19</xdr:col>
          <xdr:colOff>323850</xdr:colOff>
          <xdr:row>15</xdr:row>
          <xdr:rowOff>50800</xdr:rowOff>
        </xdr:to>
        <xdr:sp macro="" textlink="">
          <xdr:nvSpPr>
            <xdr:cNvPr id="109580" name="Button 12" hidden="1">
              <a:extLst>
                <a:ext uri="{63B3BB69-23CF-44E3-9099-C40C66FF867C}">
                  <a14:compatExt spid="_x0000_s109580"/>
                </a:ext>
                <a:ext uri="{FF2B5EF4-FFF2-40B4-BE49-F238E27FC236}">
                  <a16:creationId xmlns:a16="http://schemas.microsoft.com/office/drawing/2014/main" id="{00000000-0008-0000-0600-00000CA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273050</xdr:colOff>
          <xdr:row>16</xdr:row>
          <xdr:rowOff>31750</xdr:rowOff>
        </xdr:from>
        <xdr:to>
          <xdr:col>19</xdr:col>
          <xdr:colOff>323850</xdr:colOff>
          <xdr:row>18</xdr:row>
          <xdr:rowOff>44450</xdr:rowOff>
        </xdr:to>
        <xdr:sp macro="" textlink="">
          <xdr:nvSpPr>
            <xdr:cNvPr id="109581" name="Button 13" hidden="1">
              <a:extLst>
                <a:ext uri="{63B3BB69-23CF-44E3-9099-C40C66FF867C}">
                  <a14:compatExt spid="_x0000_s109581"/>
                </a:ext>
                <a:ext uri="{FF2B5EF4-FFF2-40B4-BE49-F238E27FC236}">
                  <a16:creationId xmlns:a16="http://schemas.microsoft.com/office/drawing/2014/main" id="{00000000-0008-0000-0600-00000DA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273050</xdr:colOff>
          <xdr:row>10</xdr:row>
          <xdr:rowOff>120650</xdr:rowOff>
        </xdr:from>
        <xdr:to>
          <xdr:col>19</xdr:col>
          <xdr:colOff>323850</xdr:colOff>
          <xdr:row>12</xdr:row>
          <xdr:rowOff>127000</xdr:rowOff>
        </xdr:to>
        <xdr:sp macro="" textlink="">
          <xdr:nvSpPr>
            <xdr:cNvPr id="109582" name="Button 14" hidden="1">
              <a:extLst>
                <a:ext uri="{63B3BB69-23CF-44E3-9099-C40C66FF867C}">
                  <a14:compatExt spid="_x0000_s109582"/>
                </a:ext>
                <a:ext uri="{FF2B5EF4-FFF2-40B4-BE49-F238E27FC236}">
                  <a16:creationId xmlns:a16="http://schemas.microsoft.com/office/drawing/2014/main" id="{00000000-0008-0000-0600-00000EA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CustomInput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273050</xdr:colOff>
          <xdr:row>19</xdr:row>
          <xdr:rowOff>31750</xdr:rowOff>
        </xdr:from>
        <xdr:to>
          <xdr:col>19</xdr:col>
          <xdr:colOff>323850</xdr:colOff>
          <xdr:row>21</xdr:row>
          <xdr:rowOff>44450</xdr:rowOff>
        </xdr:to>
        <xdr:sp macro="" textlink="">
          <xdr:nvSpPr>
            <xdr:cNvPr id="109583" name="Button 15" hidden="1">
              <a:extLst>
                <a:ext uri="{63B3BB69-23CF-44E3-9099-C40C66FF867C}">
                  <a14:compatExt spid="_x0000_s109583"/>
                </a:ext>
                <a:ext uri="{FF2B5EF4-FFF2-40B4-BE49-F238E27FC236}">
                  <a16:creationId xmlns:a16="http://schemas.microsoft.com/office/drawing/2014/main" id="{00000000-0008-0000-0600-00000FA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273050</xdr:colOff>
          <xdr:row>22</xdr:row>
          <xdr:rowOff>31750</xdr:rowOff>
        </xdr:from>
        <xdr:to>
          <xdr:col>19</xdr:col>
          <xdr:colOff>323850</xdr:colOff>
          <xdr:row>24</xdr:row>
          <xdr:rowOff>44450</xdr:rowOff>
        </xdr:to>
        <xdr:sp macro="" textlink="">
          <xdr:nvSpPr>
            <xdr:cNvPr id="109585" name="Button 17" hidden="1">
              <a:extLst>
                <a:ext uri="{63B3BB69-23CF-44E3-9099-C40C66FF867C}">
                  <a14:compatExt spid="_x0000_s109585"/>
                </a:ext>
                <a:ext uri="{FF2B5EF4-FFF2-40B4-BE49-F238E27FC236}">
                  <a16:creationId xmlns:a16="http://schemas.microsoft.com/office/drawing/2014/main" id="{00000000-0008-0000-0600-000011A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69850</xdr:colOff>
          <xdr:row>0</xdr:row>
          <xdr:rowOff>50800</xdr:rowOff>
        </xdr:from>
        <xdr:to>
          <xdr:col>19</xdr:col>
          <xdr:colOff>120650</xdr:colOff>
          <xdr:row>2</xdr:row>
          <xdr:rowOff>63500</xdr:rowOff>
        </xdr:to>
        <xdr:sp macro="" textlink="">
          <xdr:nvSpPr>
            <xdr:cNvPr id="110593" name="Button 1" hidden="1">
              <a:extLst>
                <a:ext uri="{63B3BB69-23CF-44E3-9099-C40C66FF867C}">
                  <a14:compatExt spid="_x0000_s110593"/>
                </a:ext>
                <a:ext uri="{FF2B5EF4-FFF2-40B4-BE49-F238E27FC236}">
                  <a16:creationId xmlns:a16="http://schemas.microsoft.com/office/drawing/2014/main" id="{00000000-0008-0000-0700-000001B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50800</xdr:colOff>
          <xdr:row>3</xdr:row>
          <xdr:rowOff>76200</xdr:rowOff>
        </xdr:from>
        <xdr:to>
          <xdr:col>19</xdr:col>
          <xdr:colOff>101600</xdr:colOff>
          <xdr:row>5</xdr:row>
          <xdr:rowOff>76200</xdr:rowOff>
        </xdr:to>
        <xdr:sp macro="" textlink="">
          <xdr:nvSpPr>
            <xdr:cNvPr id="110600" name="Button 8" hidden="1">
              <a:extLst>
                <a:ext uri="{63B3BB69-23CF-44E3-9099-C40C66FF867C}">
                  <a14:compatExt spid="_x0000_s110600"/>
                </a:ext>
                <a:ext uri="{FF2B5EF4-FFF2-40B4-BE49-F238E27FC236}">
                  <a16:creationId xmlns:a16="http://schemas.microsoft.com/office/drawing/2014/main" id="{00000000-0008-0000-0700-000008B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6</xdr:row>
          <xdr:rowOff>69850</xdr:rowOff>
        </xdr:from>
        <xdr:to>
          <xdr:col>19</xdr:col>
          <xdr:colOff>146050</xdr:colOff>
          <xdr:row>8</xdr:row>
          <xdr:rowOff>69850</xdr:rowOff>
        </xdr:to>
        <xdr:sp macro="" textlink="">
          <xdr:nvSpPr>
            <xdr:cNvPr id="110601" name="Button 9" hidden="1">
              <a:extLst>
                <a:ext uri="{63B3BB69-23CF-44E3-9099-C40C66FF867C}">
                  <a14:compatExt spid="_x0000_s110601"/>
                </a:ext>
                <a:ext uri="{FF2B5EF4-FFF2-40B4-BE49-F238E27FC236}">
                  <a16:creationId xmlns:a16="http://schemas.microsoft.com/office/drawing/2014/main" id="{00000000-0008-0000-0700-000009B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57150</xdr:colOff>
          <xdr:row>8</xdr:row>
          <xdr:rowOff>196850</xdr:rowOff>
        </xdr:from>
        <xdr:to>
          <xdr:col>19</xdr:col>
          <xdr:colOff>107950</xdr:colOff>
          <xdr:row>10</xdr:row>
          <xdr:rowOff>31750</xdr:rowOff>
        </xdr:to>
        <xdr:sp macro="" textlink="">
          <xdr:nvSpPr>
            <xdr:cNvPr id="110602" name="Button 10" hidden="1">
              <a:extLst>
                <a:ext uri="{63B3BB69-23CF-44E3-9099-C40C66FF867C}">
                  <a14:compatExt spid="_x0000_s110602"/>
                </a:ext>
                <a:ext uri="{FF2B5EF4-FFF2-40B4-BE49-F238E27FC236}">
                  <a16:creationId xmlns:a16="http://schemas.microsoft.com/office/drawing/2014/main" id="{00000000-0008-0000-0700-00000AB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50800</xdr:colOff>
          <xdr:row>13</xdr:row>
          <xdr:rowOff>184150</xdr:rowOff>
        </xdr:from>
        <xdr:to>
          <xdr:col>19</xdr:col>
          <xdr:colOff>101600</xdr:colOff>
          <xdr:row>16</xdr:row>
          <xdr:rowOff>12700</xdr:rowOff>
        </xdr:to>
        <xdr:sp macro="" textlink="">
          <xdr:nvSpPr>
            <xdr:cNvPr id="110603" name="Button 11" hidden="1">
              <a:extLst>
                <a:ext uri="{63B3BB69-23CF-44E3-9099-C40C66FF867C}">
                  <a14:compatExt spid="_x0000_s110603"/>
                </a:ext>
                <a:ext uri="{FF2B5EF4-FFF2-40B4-BE49-F238E27FC236}">
                  <a16:creationId xmlns:a16="http://schemas.microsoft.com/office/drawing/2014/main" id="{00000000-0008-0000-0700-00000BB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50800</xdr:colOff>
          <xdr:row>17</xdr:row>
          <xdr:rowOff>6350</xdr:rowOff>
        </xdr:from>
        <xdr:to>
          <xdr:col>19</xdr:col>
          <xdr:colOff>101600</xdr:colOff>
          <xdr:row>19</xdr:row>
          <xdr:rowOff>25400</xdr:rowOff>
        </xdr:to>
        <xdr:sp macro="" textlink="">
          <xdr:nvSpPr>
            <xdr:cNvPr id="110604" name="Button 12" hidden="1">
              <a:extLst>
                <a:ext uri="{63B3BB69-23CF-44E3-9099-C40C66FF867C}">
                  <a14:compatExt spid="_x0000_s110604"/>
                </a:ext>
                <a:ext uri="{FF2B5EF4-FFF2-40B4-BE49-F238E27FC236}">
                  <a16:creationId xmlns:a16="http://schemas.microsoft.com/office/drawing/2014/main" id="{00000000-0008-0000-0700-00000CB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38100</xdr:colOff>
          <xdr:row>23</xdr:row>
          <xdr:rowOff>19050</xdr:rowOff>
        </xdr:from>
        <xdr:to>
          <xdr:col>19</xdr:col>
          <xdr:colOff>88900</xdr:colOff>
          <xdr:row>25</xdr:row>
          <xdr:rowOff>31750</xdr:rowOff>
        </xdr:to>
        <xdr:sp macro="" textlink="">
          <xdr:nvSpPr>
            <xdr:cNvPr id="110605" name="Button 13" hidden="1">
              <a:extLst>
                <a:ext uri="{63B3BB69-23CF-44E3-9099-C40C66FF867C}">
                  <a14:compatExt spid="_x0000_s110605"/>
                </a:ext>
                <a:ext uri="{FF2B5EF4-FFF2-40B4-BE49-F238E27FC236}">
                  <a16:creationId xmlns:a16="http://schemas.microsoft.com/office/drawing/2014/main" id="{00000000-0008-0000-0700-00000DB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12700</xdr:colOff>
          <xdr:row>20</xdr:row>
          <xdr:rowOff>19050</xdr:rowOff>
        </xdr:from>
        <xdr:to>
          <xdr:col>19</xdr:col>
          <xdr:colOff>63500</xdr:colOff>
          <xdr:row>22</xdr:row>
          <xdr:rowOff>25400</xdr:rowOff>
        </xdr:to>
        <xdr:sp macro="" textlink="">
          <xdr:nvSpPr>
            <xdr:cNvPr id="110607" name="Button 15" hidden="1">
              <a:extLst>
                <a:ext uri="{63B3BB69-23CF-44E3-9099-C40C66FF867C}">
                  <a14:compatExt spid="_x0000_s110607"/>
                </a:ext>
                <a:ext uri="{FF2B5EF4-FFF2-40B4-BE49-F238E27FC236}">
                  <a16:creationId xmlns:a16="http://schemas.microsoft.com/office/drawing/2014/main" id="{00000000-0008-0000-0700-00000FB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63500</xdr:colOff>
          <xdr:row>10</xdr:row>
          <xdr:rowOff>177800</xdr:rowOff>
        </xdr:from>
        <xdr:to>
          <xdr:col>19</xdr:col>
          <xdr:colOff>114300</xdr:colOff>
          <xdr:row>13</xdr:row>
          <xdr:rowOff>0</xdr:rowOff>
        </xdr:to>
        <xdr:sp macro="" textlink="">
          <xdr:nvSpPr>
            <xdr:cNvPr id="110608" name="Button 16" hidden="1">
              <a:extLst>
                <a:ext uri="{63B3BB69-23CF-44E3-9099-C40C66FF867C}">
                  <a14:compatExt spid="_x0000_s110608"/>
                </a:ext>
                <a:ext uri="{FF2B5EF4-FFF2-40B4-BE49-F238E27FC236}">
                  <a16:creationId xmlns:a16="http://schemas.microsoft.com/office/drawing/2014/main" id="{00000000-0008-0000-0700-000010B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CustomInput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88900</xdr:colOff>
          <xdr:row>0</xdr:row>
          <xdr:rowOff>0</xdr:rowOff>
        </xdr:from>
        <xdr:to>
          <xdr:col>19</xdr:col>
          <xdr:colOff>139700</xdr:colOff>
          <xdr:row>2</xdr:row>
          <xdr:rowOff>12700</xdr:rowOff>
        </xdr:to>
        <xdr:sp macro="" textlink="">
          <xdr:nvSpPr>
            <xdr:cNvPr id="155650" name="Button 2" hidden="1">
              <a:extLst>
                <a:ext uri="{63B3BB69-23CF-44E3-9099-C40C66FF867C}">
                  <a14:compatExt spid="_x0000_s155650"/>
                </a:ext>
                <a:ext uri="{FF2B5EF4-FFF2-40B4-BE49-F238E27FC236}">
                  <a16:creationId xmlns:a16="http://schemas.microsoft.com/office/drawing/2014/main" id="{00000000-0008-0000-0800-00000260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107950</xdr:colOff>
          <xdr:row>2</xdr:row>
          <xdr:rowOff>177800</xdr:rowOff>
        </xdr:from>
        <xdr:to>
          <xdr:col>19</xdr:col>
          <xdr:colOff>158750</xdr:colOff>
          <xdr:row>5</xdr:row>
          <xdr:rowOff>6350</xdr:rowOff>
        </xdr:to>
        <xdr:sp macro="" textlink="">
          <xdr:nvSpPr>
            <xdr:cNvPr id="155651" name="Button 3" hidden="1">
              <a:extLst>
                <a:ext uri="{63B3BB69-23CF-44E3-9099-C40C66FF867C}">
                  <a14:compatExt spid="_x0000_s155651"/>
                </a:ext>
                <a:ext uri="{FF2B5EF4-FFF2-40B4-BE49-F238E27FC236}">
                  <a16:creationId xmlns:a16="http://schemas.microsoft.com/office/drawing/2014/main" id="{00000000-0008-0000-0800-00000360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6</xdr:row>
          <xdr:rowOff>31750</xdr:rowOff>
        </xdr:from>
        <xdr:to>
          <xdr:col>19</xdr:col>
          <xdr:colOff>146050</xdr:colOff>
          <xdr:row>8</xdr:row>
          <xdr:rowOff>38100</xdr:rowOff>
        </xdr:to>
        <xdr:sp macro="" textlink="">
          <xdr:nvSpPr>
            <xdr:cNvPr id="155652" name="Button 4" hidden="1">
              <a:extLst>
                <a:ext uri="{63B3BB69-23CF-44E3-9099-C40C66FF867C}">
                  <a14:compatExt spid="_x0000_s155652"/>
                </a:ext>
                <a:ext uri="{FF2B5EF4-FFF2-40B4-BE49-F238E27FC236}">
                  <a16:creationId xmlns:a16="http://schemas.microsoft.com/office/drawing/2014/main" id="{00000000-0008-0000-0800-00000460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146050</xdr:colOff>
          <xdr:row>9</xdr:row>
          <xdr:rowOff>12700</xdr:rowOff>
        </xdr:from>
        <xdr:to>
          <xdr:col>19</xdr:col>
          <xdr:colOff>196850</xdr:colOff>
          <xdr:row>11</xdr:row>
          <xdr:rowOff>19050</xdr:rowOff>
        </xdr:to>
        <xdr:sp macro="" textlink="">
          <xdr:nvSpPr>
            <xdr:cNvPr id="155653" name="Button 5" hidden="1">
              <a:extLst>
                <a:ext uri="{63B3BB69-23CF-44E3-9099-C40C66FF867C}">
                  <a14:compatExt spid="_x0000_s155653"/>
                </a:ext>
                <a:ext uri="{FF2B5EF4-FFF2-40B4-BE49-F238E27FC236}">
                  <a16:creationId xmlns:a16="http://schemas.microsoft.com/office/drawing/2014/main" id="{00000000-0008-0000-0800-00000560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146050</xdr:colOff>
          <xdr:row>11</xdr:row>
          <xdr:rowOff>139700</xdr:rowOff>
        </xdr:from>
        <xdr:to>
          <xdr:col>19</xdr:col>
          <xdr:colOff>196850</xdr:colOff>
          <xdr:row>13</xdr:row>
          <xdr:rowOff>152400</xdr:rowOff>
        </xdr:to>
        <xdr:sp macro="" textlink="">
          <xdr:nvSpPr>
            <xdr:cNvPr id="155654" name="Button 6" hidden="1">
              <a:extLst>
                <a:ext uri="{63B3BB69-23CF-44E3-9099-C40C66FF867C}">
                  <a14:compatExt spid="_x0000_s155654"/>
                </a:ext>
                <a:ext uri="{FF2B5EF4-FFF2-40B4-BE49-F238E27FC236}">
                  <a16:creationId xmlns:a16="http://schemas.microsoft.com/office/drawing/2014/main" id="{00000000-0008-0000-0800-00000660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146050</xdr:colOff>
          <xdr:row>14</xdr:row>
          <xdr:rowOff>133350</xdr:rowOff>
        </xdr:from>
        <xdr:to>
          <xdr:col>19</xdr:col>
          <xdr:colOff>196850</xdr:colOff>
          <xdr:row>16</xdr:row>
          <xdr:rowOff>146050</xdr:rowOff>
        </xdr:to>
        <xdr:sp macro="" textlink="">
          <xdr:nvSpPr>
            <xdr:cNvPr id="155655" name="Button 7" hidden="1">
              <a:extLst>
                <a:ext uri="{63B3BB69-23CF-44E3-9099-C40C66FF867C}">
                  <a14:compatExt spid="_x0000_s155655"/>
                </a:ext>
                <a:ext uri="{FF2B5EF4-FFF2-40B4-BE49-F238E27FC236}">
                  <a16:creationId xmlns:a16="http://schemas.microsoft.com/office/drawing/2014/main" id="{00000000-0008-0000-0800-00000760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146050</xdr:colOff>
          <xdr:row>17</xdr:row>
          <xdr:rowOff>133350</xdr:rowOff>
        </xdr:from>
        <xdr:to>
          <xdr:col>19</xdr:col>
          <xdr:colOff>196850</xdr:colOff>
          <xdr:row>19</xdr:row>
          <xdr:rowOff>146050</xdr:rowOff>
        </xdr:to>
        <xdr:sp macro="" textlink="">
          <xdr:nvSpPr>
            <xdr:cNvPr id="155657" name="Button 9" hidden="1">
              <a:extLst>
                <a:ext uri="{63B3BB69-23CF-44E3-9099-C40C66FF867C}">
                  <a14:compatExt spid="_x0000_s155657"/>
                </a:ext>
                <a:ext uri="{FF2B5EF4-FFF2-40B4-BE49-F238E27FC236}">
                  <a16:creationId xmlns:a16="http://schemas.microsoft.com/office/drawing/2014/main" id="{00000000-0008-0000-0800-00000960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146050</xdr:colOff>
          <xdr:row>20</xdr:row>
          <xdr:rowOff>133350</xdr:rowOff>
        </xdr:from>
        <xdr:to>
          <xdr:col>19</xdr:col>
          <xdr:colOff>196850</xdr:colOff>
          <xdr:row>22</xdr:row>
          <xdr:rowOff>146050</xdr:rowOff>
        </xdr:to>
        <xdr:sp macro="" textlink="">
          <xdr:nvSpPr>
            <xdr:cNvPr id="155658" name="Button 10" hidden="1">
              <a:extLst>
                <a:ext uri="{63B3BB69-23CF-44E3-9099-C40C66FF867C}">
                  <a14:compatExt spid="_x0000_s155658"/>
                </a:ext>
                <a:ext uri="{FF2B5EF4-FFF2-40B4-BE49-F238E27FC236}">
                  <a16:creationId xmlns:a16="http://schemas.microsoft.com/office/drawing/2014/main" id="{00000000-0008-0000-0800-00000A60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228600</xdr:colOff>
          <xdr:row>2</xdr:row>
          <xdr:rowOff>57150</xdr:rowOff>
        </xdr:from>
        <xdr:to>
          <xdr:col>19</xdr:col>
          <xdr:colOff>279400</xdr:colOff>
          <xdr:row>4</xdr:row>
          <xdr:rowOff>101600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900-00000158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222250</xdr:colOff>
          <xdr:row>5</xdr:row>
          <xdr:rowOff>57150</xdr:rowOff>
        </xdr:from>
        <xdr:to>
          <xdr:col>19</xdr:col>
          <xdr:colOff>273050</xdr:colOff>
          <xdr:row>7</xdr:row>
          <xdr:rowOff>63500</xdr:rowOff>
        </xdr:to>
        <xdr:sp macro="" textlink="">
          <xdr:nvSpPr>
            <xdr:cNvPr id="153602" name="Button 2" hidden="1">
              <a:extLst>
                <a:ext uri="{63B3BB69-23CF-44E3-9099-C40C66FF867C}">
                  <a14:compatExt spid="_x0000_s153602"/>
                </a:ext>
                <a:ext uri="{FF2B5EF4-FFF2-40B4-BE49-F238E27FC236}">
                  <a16:creationId xmlns:a16="http://schemas.microsoft.com/office/drawing/2014/main" id="{00000000-0008-0000-0900-00000258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273050</xdr:colOff>
          <xdr:row>7</xdr:row>
          <xdr:rowOff>184150</xdr:rowOff>
        </xdr:from>
        <xdr:to>
          <xdr:col>19</xdr:col>
          <xdr:colOff>323850</xdr:colOff>
          <xdr:row>8</xdr:row>
          <xdr:rowOff>374650</xdr:rowOff>
        </xdr:to>
        <xdr:sp macro="" textlink="">
          <xdr:nvSpPr>
            <xdr:cNvPr id="153604" name="Button 4" hidden="1">
              <a:extLst>
                <a:ext uri="{63B3BB69-23CF-44E3-9099-C40C66FF867C}">
                  <a14:compatExt spid="_x0000_s153604"/>
                </a:ext>
                <a:ext uri="{FF2B5EF4-FFF2-40B4-BE49-F238E27FC236}">
                  <a16:creationId xmlns:a16="http://schemas.microsoft.com/office/drawing/2014/main" id="{00000000-0008-0000-0900-00000458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196850</xdr:colOff>
          <xdr:row>0</xdr:row>
          <xdr:rowOff>0</xdr:rowOff>
        </xdr:from>
        <xdr:to>
          <xdr:col>19</xdr:col>
          <xdr:colOff>247650</xdr:colOff>
          <xdr:row>2</xdr:row>
          <xdr:rowOff>12700</xdr:rowOff>
        </xdr:to>
        <xdr:sp macro="" textlink="">
          <xdr:nvSpPr>
            <xdr:cNvPr id="153607" name="Button 7" hidden="1">
              <a:extLst>
                <a:ext uri="{63B3BB69-23CF-44E3-9099-C40C66FF867C}">
                  <a14:compatExt spid="_x0000_s153607"/>
                </a:ext>
                <a:ext uri="{FF2B5EF4-FFF2-40B4-BE49-F238E27FC236}">
                  <a16:creationId xmlns:a16="http://schemas.microsoft.com/office/drawing/2014/main" id="{00000000-0008-0000-0900-00000758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Refresh View</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355600</xdr:colOff>
          <xdr:row>0</xdr:row>
          <xdr:rowOff>0</xdr:rowOff>
        </xdr:from>
        <xdr:to>
          <xdr:col>19</xdr:col>
          <xdr:colOff>406400</xdr:colOff>
          <xdr:row>2</xdr:row>
          <xdr:rowOff>12700</xdr:rowOff>
        </xdr:to>
        <xdr:sp macro="" textlink="">
          <xdr:nvSpPr>
            <xdr:cNvPr id="152577" name="Button 1" hidden="1">
              <a:extLst>
                <a:ext uri="{63B3BB69-23CF-44E3-9099-C40C66FF867C}">
                  <a14:compatExt spid="_x0000_s152577"/>
                </a:ext>
                <a:ext uri="{FF2B5EF4-FFF2-40B4-BE49-F238E27FC236}">
                  <a16:creationId xmlns:a16="http://schemas.microsoft.com/office/drawing/2014/main" id="{00000000-0008-0000-0A00-00000154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355600</xdr:colOff>
          <xdr:row>2</xdr:row>
          <xdr:rowOff>38100</xdr:rowOff>
        </xdr:from>
        <xdr:to>
          <xdr:col>19</xdr:col>
          <xdr:colOff>406400</xdr:colOff>
          <xdr:row>4</xdr:row>
          <xdr:rowOff>50800</xdr:rowOff>
        </xdr:to>
        <xdr:sp macro="" textlink="">
          <xdr:nvSpPr>
            <xdr:cNvPr id="152578" name="Button 2" hidden="1">
              <a:extLst>
                <a:ext uri="{63B3BB69-23CF-44E3-9099-C40C66FF867C}">
                  <a14:compatExt spid="_x0000_s152578"/>
                </a:ext>
                <a:ext uri="{FF2B5EF4-FFF2-40B4-BE49-F238E27FC236}">
                  <a16:creationId xmlns:a16="http://schemas.microsoft.com/office/drawing/2014/main" id="{00000000-0008-0000-0A00-00000254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342900</xdr:colOff>
          <xdr:row>4</xdr:row>
          <xdr:rowOff>69850</xdr:rowOff>
        </xdr:from>
        <xdr:to>
          <xdr:col>19</xdr:col>
          <xdr:colOff>393700</xdr:colOff>
          <xdr:row>6</xdr:row>
          <xdr:rowOff>82550</xdr:rowOff>
        </xdr:to>
        <xdr:sp macro="" textlink="">
          <xdr:nvSpPr>
            <xdr:cNvPr id="152579" name="Button 3" hidden="1">
              <a:extLst>
                <a:ext uri="{63B3BB69-23CF-44E3-9099-C40C66FF867C}">
                  <a14:compatExt spid="_x0000_s152579"/>
                </a:ext>
                <a:ext uri="{FF2B5EF4-FFF2-40B4-BE49-F238E27FC236}">
                  <a16:creationId xmlns:a16="http://schemas.microsoft.com/office/drawing/2014/main" id="{00000000-0008-0000-0A00-00000354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12700</xdr:colOff>
          <xdr:row>0</xdr:row>
          <xdr:rowOff>44450</xdr:rowOff>
        </xdr:from>
        <xdr:to>
          <xdr:col>18</xdr:col>
          <xdr:colOff>234950</xdr:colOff>
          <xdr:row>0</xdr:row>
          <xdr:rowOff>323850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B00-0000010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6350</xdr:colOff>
          <xdr:row>4</xdr:row>
          <xdr:rowOff>6350</xdr:rowOff>
        </xdr:from>
        <xdr:to>
          <xdr:col>10</xdr:col>
          <xdr:colOff>57150</xdr:colOff>
          <xdr:row>6</xdr:row>
          <xdr:rowOff>12700</xdr:rowOff>
        </xdr:to>
        <xdr:sp macro="" textlink="">
          <xdr:nvSpPr>
            <xdr:cNvPr id="615425" name="Button 1" hidden="1">
              <a:extLst>
                <a:ext uri="{63B3BB69-23CF-44E3-9099-C40C66FF867C}">
                  <a14:compatExt spid="_x0000_s615425"/>
                </a:ext>
                <a:ext uri="{FF2B5EF4-FFF2-40B4-BE49-F238E27FC236}">
                  <a16:creationId xmlns:a16="http://schemas.microsoft.com/office/drawing/2014/main" id="{00000000-0008-0000-0D00-00000164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Dashbord</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19050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0E00-000001F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184150</xdr:rowOff>
        </xdr:from>
        <xdr:to>
          <xdr:col>19</xdr:col>
          <xdr:colOff>50800</xdr:colOff>
          <xdr:row>5</xdr:row>
          <xdr:rowOff>25400</xdr:rowOff>
        </xdr:to>
        <xdr:sp macro="" textlink="">
          <xdr:nvSpPr>
            <xdr:cNvPr id="456706" name="Button 2" hidden="1">
              <a:extLst>
                <a:ext uri="{63B3BB69-23CF-44E3-9099-C40C66FF867C}">
                  <a14:compatExt spid="_x0000_s456706"/>
                </a:ext>
                <a:ext uri="{FF2B5EF4-FFF2-40B4-BE49-F238E27FC236}">
                  <a16:creationId xmlns:a16="http://schemas.microsoft.com/office/drawing/2014/main" id="{00000000-0008-0000-0E00-000002F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63500</xdr:rowOff>
        </xdr:to>
        <xdr:sp macro="" textlink="">
          <xdr:nvSpPr>
            <xdr:cNvPr id="456707" name="Button 3" hidden="1">
              <a:extLst>
                <a:ext uri="{63B3BB69-23CF-44E3-9099-C40C66FF867C}">
                  <a14:compatExt spid="_x0000_s456707"/>
                </a:ext>
                <a:ext uri="{FF2B5EF4-FFF2-40B4-BE49-F238E27FC236}">
                  <a16:creationId xmlns:a16="http://schemas.microsoft.com/office/drawing/2014/main" id="{00000000-0008-0000-0E00-000003F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76200</xdr:rowOff>
        </xdr:to>
        <xdr:sp macro="" textlink="">
          <xdr:nvSpPr>
            <xdr:cNvPr id="456708" name="Button 4" hidden="1">
              <a:extLst>
                <a:ext uri="{63B3BB69-23CF-44E3-9099-C40C66FF867C}">
                  <a14:compatExt spid="_x0000_s456708"/>
                </a:ext>
                <a:ext uri="{FF2B5EF4-FFF2-40B4-BE49-F238E27FC236}">
                  <a16:creationId xmlns:a16="http://schemas.microsoft.com/office/drawing/2014/main" id="{00000000-0008-0000-0E00-000004F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31750</xdr:rowOff>
        </xdr:to>
        <xdr:sp macro="" textlink="">
          <xdr:nvSpPr>
            <xdr:cNvPr id="456709" name="Button 5" hidden="1">
              <a:extLst>
                <a:ext uri="{63B3BB69-23CF-44E3-9099-C40C66FF867C}">
                  <a14:compatExt spid="_x0000_s456709"/>
                </a:ext>
                <a:ext uri="{FF2B5EF4-FFF2-40B4-BE49-F238E27FC236}">
                  <a16:creationId xmlns:a16="http://schemas.microsoft.com/office/drawing/2014/main" id="{00000000-0008-0000-0E00-000005F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12700</xdr:rowOff>
        </xdr:from>
        <xdr:to>
          <xdr:col>19</xdr:col>
          <xdr:colOff>50800</xdr:colOff>
          <xdr:row>16</xdr:row>
          <xdr:rowOff>31750</xdr:rowOff>
        </xdr:to>
        <xdr:sp macro="" textlink="">
          <xdr:nvSpPr>
            <xdr:cNvPr id="456710" name="Button 6" hidden="1">
              <a:extLst>
                <a:ext uri="{63B3BB69-23CF-44E3-9099-C40C66FF867C}">
                  <a14:compatExt spid="_x0000_s456710"/>
                </a:ext>
                <a:ext uri="{FF2B5EF4-FFF2-40B4-BE49-F238E27FC236}">
                  <a16:creationId xmlns:a16="http://schemas.microsoft.com/office/drawing/2014/main" id="{00000000-0008-0000-0E00-000006F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19050</xdr:rowOff>
        </xdr:from>
        <xdr:to>
          <xdr:col>19</xdr:col>
          <xdr:colOff>50800</xdr:colOff>
          <xdr:row>19</xdr:row>
          <xdr:rowOff>38100</xdr:rowOff>
        </xdr:to>
        <xdr:sp macro="" textlink="">
          <xdr:nvSpPr>
            <xdr:cNvPr id="456711" name="Button 7" hidden="1">
              <a:extLst>
                <a:ext uri="{63B3BB69-23CF-44E3-9099-C40C66FF867C}">
                  <a14:compatExt spid="_x0000_s456711"/>
                </a:ext>
                <a:ext uri="{FF2B5EF4-FFF2-40B4-BE49-F238E27FC236}">
                  <a16:creationId xmlns:a16="http://schemas.microsoft.com/office/drawing/2014/main" id="{00000000-0008-0000-0E00-000007F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25400</xdr:rowOff>
        </xdr:from>
        <xdr:to>
          <xdr:col>19</xdr:col>
          <xdr:colOff>50800</xdr:colOff>
          <xdr:row>22</xdr:row>
          <xdr:rowOff>44450</xdr:rowOff>
        </xdr:to>
        <xdr:sp macro="" textlink="">
          <xdr:nvSpPr>
            <xdr:cNvPr id="456712" name="Button 8" hidden="1">
              <a:extLst>
                <a:ext uri="{63B3BB69-23CF-44E3-9099-C40C66FF867C}">
                  <a14:compatExt spid="_x0000_s456712"/>
                </a:ext>
                <a:ext uri="{FF2B5EF4-FFF2-40B4-BE49-F238E27FC236}">
                  <a16:creationId xmlns:a16="http://schemas.microsoft.com/office/drawing/2014/main" id="{00000000-0008-0000-0E00-000008F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152400</xdr:rowOff>
        </xdr:from>
        <xdr:to>
          <xdr:col>19</xdr:col>
          <xdr:colOff>50800</xdr:colOff>
          <xdr:row>2</xdr:row>
          <xdr:rowOff>171450</xdr:rowOff>
        </xdr:to>
        <xdr:sp macro="" textlink="">
          <xdr:nvSpPr>
            <xdr:cNvPr id="456713" name="Button 9" hidden="1">
              <a:extLst>
                <a:ext uri="{63B3BB69-23CF-44E3-9099-C40C66FF867C}">
                  <a14:compatExt spid="_x0000_s456713"/>
                </a:ext>
                <a:ext uri="{FF2B5EF4-FFF2-40B4-BE49-F238E27FC236}">
                  <a16:creationId xmlns:a16="http://schemas.microsoft.com/office/drawing/2014/main" id="{00000000-0008-0000-0E00-000009F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19050</xdr:rowOff>
        </xdr:to>
        <xdr:sp macro="" textlink="">
          <xdr:nvSpPr>
            <xdr:cNvPr id="456714" name="Button 10" hidden="1">
              <a:extLst>
                <a:ext uri="{63B3BB69-23CF-44E3-9099-C40C66FF867C}">
                  <a14:compatExt spid="_x0000_s456714"/>
                </a:ext>
                <a:ext uri="{FF2B5EF4-FFF2-40B4-BE49-F238E27FC236}">
                  <a16:creationId xmlns:a16="http://schemas.microsoft.com/office/drawing/2014/main" id="{00000000-0008-0000-0E00-00000AF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184150</xdr:rowOff>
        </xdr:from>
        <xdr:to>
          <xdr:col>19</xdr:col>
          <xdr:colOff>50800</xdr:colOff>
          <xdr:row>5</xdr:row>
          <xdr:rowOff>25400</xdr:rowOff>
        </xdr:to>
        <xdr:sp macro="" textlink="">
          <xdr:nvSpPr>
            <xdr:cNvPr id="456715" name="Button 11" hidden="1">
              <a:extLst>
                <a:ext uri="{63B3BB69-23CF-44E3-9099-C40C66FF867C}">
                  <a14:compatExt spid="_x0000_s456715"/>
                </a:ext>
                <a:ext uri="{FF2B5EF4-FFF2-40B4-BE49-F238E27FC236}">
                  <a16:creationId xmlns:a16="http://schemas.microsoft.com/office/drawing/2014/main" id="{00000000-0008-0000-0E00-00000BF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63500</xdr:rowOff>
        </xdr:to>
        <xdr:sp macro="" textlink="">
          <xdr:nvSpPr>
            <xdr:cNvPr id="456716" name="Button 12" hidden="1">
              <a:extLst>
                <a:ext uri="{63B3BB69-23CF-44E3-9099-C40C66FF867C}">
                  <a14:compatExt spid="_x0000_s456716"/>
                </a:ext>
                <a:ext uri="{FF2B5EF4-FFF2-40B4-BE49-F238E27FC236}">
                  <a16:creationId xmlns:a16="http://schemas.microsoft.com/office/drawing/2014/main" id="{00000000-0008-0000-0E00-00000CF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76200</xdr:rowOff>
        </xdr:to>
        <xdr:sp macro="" textlink="">
          <xdr:nvSpPr>
            <xdr:cNvPr id="456717" name="Button 13" hidden="1">
              <a:extLst>
                <a:ext uri="{63B3BB69-23CF-44E3-9099-C40C66FF867C}">
                  <a14:compatExt spid="_x0000_s456717"/>
                </a:ext>
                <a:ext uri="{FF2B5EF4-FFF2-40B4-BE49-F238E27FC236}">
                  <a16:creationId xmlns:a16="http://schemas.microsoft.com/office/drawing/2014/main" id="{00000000-0008-0000-0E00-00000DF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31750</xdr:rowOff>
        </xdr:to>
        <xdr:sp macro="" textlink="">
          <xdr:nvSpPr>
            <xdr:cNvPr id="456718" name="Button 14" hidden="1">
              <a:extLst>
                <a:ext uri="{63B3BB69-23CF-44E3-9099-C40C66FF867C}">
                  <a14:compatExt spid="_x0000_s456718"/>
                </a:ext>
                <a:ext uri="{FF2B5EF4-FFF2-40B4-BE49-F238E27FC236}">
                  <a16:creationId xmlns:a16="http://schemas.microsoft.com/office/drawing/2014/main" id="{00000000-0008-0000-0E00-00000EF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Dashbord</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2</xdr:row>
          <xdr:rowOff>50800</xdr:rowOff>
        </xdr:from>
        <xdr:to>
          <xdr:col>19</xdr:col>
          <xdr:colOff>44450</xdr:colOff>
          <xdr:row>4</xdr:row>
          <xdr:rowOff>88900</xdr:rowOff>
        </xdr:to>
        <xdr:sp macro="" textlink="">
          <xdr:nvSpPr>
            <xdr:cNvPr id="69667" name="Button 35" hidden="1">
              <a:extLst>
                <a:ext uri="{63B3BB69-23CF-44E3-9099-C40C66FF867C}">
                  <a14:compatExt spid="_x0000_s69667"/>
                </a:ext>
                <a:ext uri="{FF2B5EF4-FFF2-40B4-BE49-F238E27FC236}">
                  <a16:creationId xmlns:a16="http://schemas.microsoft.com/office/drawing/2014/main" id="{00000000-0008-0000-0F00-000023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5</xdr:row>
          <xdr:rowOff>50800</xdr:rowOff>
        </xdr:from>
        <xdr:to>
          <xdr:col>19</xdr:col>
          <xdr:colOff>44450</xdr:colOff>
          <xdr:row>7</xdr:row>
          <xdr:rowOff>44450</xdr:rowOff>
        </xdr:to>
        <xdr:sp macro="" textlink="">
          <xdr:nvSpPr>
            <xdr:cNvPr id="69668" name="Button 36" hidden="1">
              <a:extLst>
                <a:ext uri="{63B3BB69-23CF-44E3-9099-C40C66FF867C}">
                  <a14:compatExt spid="_x0000_s69668"/>
                </a:ext>
                <a:ext uri="{FF2B5EF4-FFF2-40B4-BE49-F238E27FC236}">
                  <a16:creationId xmlns:a16="http://schemas.microsoft.com/office/drawing/2014/main" id="{00000000-0008-0000-0F00-000024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7</xdr:row>
          <xdr:rowOff>177800</xdr:rowOff>
        </xdr:from>
        <xdr:to>
          <xdr:col>19</xdr:col>
          <xdr:colOff>44450</xdr:colOff>
          <xdr:row>9</xdr:row>
          <xdr:rowOff>171450</xdr:rowOff>
        </xdr:to>
        <xdr:sp macro="" textlink="">
          <xdr:nvSpPr>
            <xdr:cNvPr id="69669" name="Button 37" hidden="1">
              <a:extLst>
                <a:ext uri="{63B3BB69-23CF-44E3-9099-C40C66FF867C}">
                  <a14:compatExt spid="_x0000_s69669"/>
                </a:ext>
                <a:ext uri="{FF2B5EF4-FFF2-40B4-BE49-F238E27FC236}">
                  <a16:creationId xmlns:a16="http://schemas.microsoft.com/office/drawing/2014/main" id="{00000000-0008-0000-0F00-000025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44450</xdr:colOff>
          <xdr:row>1</xdr:row>
          <xdr:rowOff>184150</xdr:rowOff>
        </xdr:to>
        <xdr:sp macro="" textlink="">
          <xdr:nvSpPr>
            <xdr:cNvPr id="69670" name="Button 38" hidden="1">
              <a:extLst>
                <a:ext uri="{63B3BB69-23CF-44E3-9099-C40C66FF867C}">
                  <a14:compatExt spid="_x0000_s69670"/>
                </a:ext>
                <a:ext uri="{FF2B5EF4-FFF2-40B4-BE49-F238E27FC236}">
                  <a16:creationId xmlns:a16="http://schemas.microsoft.com/office/drawing/2014/main" id="{00000000-0008-0000-0F00-000026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Refresh View</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603250</xdr:colOff>
          <xdr:row>0</xdr:row>
          <xdr:rowOff>0</xdr:rowOff>
        </xdr:from>
        <xdr:to>
          <xdr:col>19</xdr:col>
          <xdr:colOff>44450</xdr:colOff>
          <xdr:row>2</xdr:row>
          <xdr:rowOff>12700</xdr:rowOff>
        </xdr:to>
        <xdr:sp macro="" textlink="">
          <xdr:nvSpPr>
            <xdr:cNvPr id="70697" name="Button 41" hidden="1">
              <a:extLst>
                <a:ext uri="{63B3BB69-23CF-44E3-9099-C40C66FF867C}">
                  <a14:compatExt spid="_x0000_s70697"/>
                </a:ext>
                <a:ext uri="{FF2B5EF4-FFF2-40B4-BE49-F238E27FC236}">
                  <a16:creationId xmlns:a16="http://schemas.microsoft.com/office/drawing/2014/main" id="{00000000-0008-0000-1000-0000291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603250</xdr:colOff>
          <xdr:row>2</xdr:row>
          <xdr:rowOff>38100</xdr:rowOff>
        </xdr:from>
        <xdr:to>
          <xdr:col>19</xdr:col>
          <xdr:colOff>44450</xdr:colOff>
          <xdr:row>4</xdr:row>
          <xdr:rowOff>50800</xdr:rowOff>
        </xdr:to>
        <xdr:sp macro="" textlink="">
          <xdr:nvSpPr>
            <xdr:cNvPr id="70698" name="Button 42" hidden="1">
              <a:extLst>
                <a:ext uri="{63B3BB69-23CF-44E3-9099-C40C66FF867C}">
                  <a14:compatExt spid="_x0000_s70698"/>
                </a:ext>
                <a:ext uri="{FF2B5EF4-FFF2-40B4-BE49-F238E27FC236}">
                  <a16:creationId xmlns:a16="http://schemas.microsoft.com/office/drawing/2014/main" id="{00000000-0008-0000-1000-00002A1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603250</xdr:colOff>
          <xdr:row>4</xdr:row>
          <xdr:rowOff>76200</xdr:rowOff>
        </xdr:from>
        <xdr:to>
          <xdr:col>19</xdr:col>
          <xdr:colOff>44450</xdr:colOff>
          <xdr:row>6</xdr:row>
          <xdr:rowOff>88900</xdr:rowOff>
        </xdr:to>
        <xdr:sp macro="" textlink="">
          <xdr:nvSpPr>
            <xdr:cNvPr id="70699" name="Button 43" hidden="1">
              <a:extLst>
                <a:ext uri="{63B3BB69-23CF-44E3-9099-C40C66FF867C}">
                  <a14:compatExt spid="_x0000_s70699"/>
                </a:ext>
                <a:ext uri="{FF2B5EF4-FFF2-40B4-BE49-F238E27FC236}">
                  <a16:creationId xmlns:a16="http://schemas.microsoft.com/office/drawing/2014/main" id="{00000000-0008-0000-1000-00002B1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44450</xdr:rowOff>
        </xdr:from>
        <xdr:to>
          <xdr:col>18</xdr:col>
          <xdr:colOff>298450</xdr:colOff>
          <xdr:row>0</xdr:row>
          <xdr:rowOff>330200</xdr:rowOff>
        </xdr:to>
        <xdr:sp macro="" textlink="">
          <xdr:nvSpPr>
            <xdr:cNvPr id="188418" name="Button 2" hidden="1">
              <a:extLst>
                <a:ext uri="{63B3BB69-23CF-44E3-9099-C40C66FF867C}">
                  <a14:compatExt spid="_x0000_s188418"/>
                </a:ext>
                <a:ext uri="{FF2B5EF4-FFF2-40B4-BE49-F238E27FC236}">
                  <a16:creationId xmlns:a16="http://schemas.microsoft.com/office/drawing/2014/main" id="{00000000-0008-0000-1100-000002E0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228600</xdr:colOff>
          <xdr:row>0</xdr:row>
          <xdr:rowOff>0</xdr:rowOff>
        </xdr:from>
        <xdr:to>
          <xdr:col>17</xdr:col>
          <xdr:colOff>6350</xdr:colOff>
          <xdr:row>2</xdr:row>
          <xdr:rowOff>6350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1300-000004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SEC_013000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36063" name="Button 223" hidden="1">
              <a:extLst>
                <a:ext uri="{63B3BB69-23CF-44E3-9099-C40C66FF867C}">
                  <a14:compatExt spid="_x0000_s36063"/>
                </a:ext>
                <a:ext uri="{FF2B5EF4-FFF2-40B4-BE49-F238E27FC236}">
                  <a16:creationId xmlns:a16="http://schemas.microsoft.com/office/drawing/2014/main" id="{3542DFD0-2608-A3D6-5829-66968BF0F48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36064" name="Button 224" hidden="1">
              <a:extLst>
                <a:ext uri="{63B3BB69-23CF-44E3-9099-C40C66FF867C}">
                  <a14:compatExt spid="_x0000_s36064"/>
                </a:ext>
                <a:ext uri="{FF2B5EF4-FFF2-40B4-BE49-F238E27FC236}">
                  <a16:creationId xmlns:a16="http://schemas.microsoft.com/office/drawing/2014/main" id="{07B07777-6CBC-92FF-849E-330043FC5DA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36065" name="Button 225" hidden="1">
              <a:extLst>
                <a:ext uri="{63B3BB69-23CF-44E3-9099-C40C66FF867C}">
                  <a14:compatExt spid="_x0000_s36065"/>
                </a:ext>
                <a:ext uri="{FF2B5EF4-FFF2-40B4-BE49-F238E27FC236}">
                  <a16:creationId xmlns:a16="http://schemas.microsoft.com/office/drawing/2014/main" id="{3EC26CF5-C8A3-BC67-03C1-A2BCF2CE474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36066" name="Button 226" hidden="1">
              <a:extLst>
                <a:ext uri="{63B3BB69-23CF-44E3-9099-C40C66FF867C}">
                  <a14:compatExt spid="_x0000_s36066"/>
                </a:ext>
                <a:ext uri="{FF2B5EF4-FFF2-40B4-BE49-F238E27FC236}">
                  <a16:creationId xmlns:a16="http://schemas.microsoft.com/office/drawing/2014/main" id="{7654ED38-B58A-28A8-05A0-2DEAA0D1E57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36067" name="Button 227" hidden="1">
              <a:extLst>
                <a:ext uri="{63B3BB69-23CF-44E3-9099-C40C66FF867C}">
                  <a14:compatExt spid="_x0000_s36067"/>
                </a:ext>
                <a:ext uri="{FF2B5EF4-FFF2-40B4-BE49-F238E27FC236}">
                  <a16:creationId xmlns:a16="http://schemas.microsoft.com/office/drawing/2014/main" id="{7481F3D9-5E9D-D411-AEDB-C90B2010783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36068" name="Button 228" hidden="1">
              <a:extLst>
                <a:ext uri="{63B3BB69-23CF-44E3-9099-C40C66FF867C}">
                  <a14:compatExt spid="_x0000_s36068"/>
                </a:ext>
                <a:ext uri="{FF2B5EF4-FFF2-40B4-BE49-F238E27FC236}">
                  <a16:creationId xmlns:a16="http://schemas.microsoft.com/office/drawing/2014/main" id="{0DD369D7-87DB-5AD0-EA19-CF47883B396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36069" name="Button 229" hidden="1">
              <a:extLst>
                <a:ext uri="{63B3BB69-23CF-44E3-9099-C40C66FF867C}">
                  <a14:compatExt spid="_x0000_s36069"/>
                </a:ext>
                <a:ext uri="{FF2B5EF4-FFF2-40B4-BE49-F238E27FC236}">
                  <a16:creationId xmlns:a16="http://schemas.microsoft.com/office/drawing/2014/main" id="{6F993508-7707-8F8E-1C66-1F9EDD6FE5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36070" name="Button 230" hidden="1">
              <a:extLst>
                <a:ext uri="{63B3BB69-23CF-44E3-9099-C40C66FF867C}">
                  <a14:compatExt spid="_x0000_s36070"/>
                </a:ext>
                <a:ext uri="{FF2B5EF4-FFF2-40B4-BE49-F238E27FC236}">
                  <a16:creationId xmlns:a16="http://schemas.microsoft.com/office/drawing/2014/main" id="{0469438D-223B-F4AE-5CD6-4D9BF102782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228600</xdr:colOff>
          <xdr:row>0</xdr:row>
          <xdr:rowOff>0</xdr:rowOff>
        </xdr:from>
        <xdr:to>
          <xdr:col>17</xdr:col>
          <xdr:colOff>6350</xdr:colOff>
          <xdr:row>2</xdr:row>
          <xdr:rowOff>6350</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1400-0000049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SEC_014000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37031" name="Button 167" hidden="1">
              <a:extLst>
                <a:ext uri="{63B3BB69-23CF-44E3-9099-C40C66FF867C}">
                  <a14:compatExt spid="_x0000_s37031"/>
                </a:ext>
                <a:ext uri="{FF2B5EF4-FFF2-40B4-BE49-F238E27FC236}">
                  <a16:creationId xmlns:a16="http://schemas.microsoft.com/office/drawing/2014/main" id="{00000000-0008-0000-1400-0000A79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37032" name="Button 168" hidden="1">
              <a:extLst>
                <a:ext uri="{63B3BB69-23CF-44E3-9099-C40C66FF867C}">
                  <a14:compatExt spid="_x0000_s37032"/>
                </a:ext>
                <a:ext uri="{FF2B5EF4-FFF2-40B4-BE49-F238E27FC236}">
                  <a16:creationId xmlns:a16="http://schemas.microsoft.com/office/drawing/2014/main" id="{00000000-0008-0000-1400-0000A89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37033" name="Button 169" hidden="1">
              <a:extLst>
                <a:ext uri="{63B3BB69-23CF-44E3-9099-C40C66FF867C}">
                  <a14:compatExt spid="_x0000_s37033"/>
                </a:ext>
                <a:ext uri="{FF2B5EF4-FFF2-40B4-BE49-F238E27FC236}">
                  <a16:creationId xmlns:a16="http://schemas.microsoft.com/office/drawing/2014/main" id="{00000000-0008-0000-1400-0000A99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37034" name="Button 170" hidden="1">
              <a:extLst>
                <a:ext uri="{63B3BB69-23CF-44E3-9099-C40C66FF867C}">
                  <a14:compatExt spid="_x0000_s37034"/>
                </a:ext>
                <a:ext uri="{FF2B5EF4-FFF2-40B4-BE49-F238E27FC236}">
                  <a16:creationId xmlns:a16="http://schemas.microsoft.com/office/drawing/2014/main" id="{00000000-0008-0000-1400-0000AA9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37035" name="Button 171" hidden="1">
              <a:extLst>
                <a:ext uri="{63B3BB69-23CF-44E3-9099-C40C66FF867C}">
                  <a14:compatExt spid="_x0000_s37035"/>
                </a:ext>
                <a:ext uri="{FF2B5EF4-FFF2-40B4-BE49-F238E27FC236}">
                  <a16:creationId xmlns:a16="http://schemas.microsoft.com/office/drawing/2014/main" id="{00000000-0008-0000-1400-0000AB9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37036" name="Button 172" hidden="1">
              <a:extLst>
                <a:ext uri="{63B3BB69-23CF-44E3-9099-C40C66FF867C}">
                  <a14:compatExt spid="_x0000_s37036"/>
                </a:ext>
                <a:ext uri="{FF2B5EF4-FFF2-40B4-BE49-F238E27FC236}">
                  <a16:creationId xmlns:a16="http://schemas.microsoft.com/office/drawing/2014/main" id="{00000000-0008-0000-1400-0000AC9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37037" name="Button 173" hidden="1">
              <a:extLst>
                <a:ext uri="{63B3BB69-23CF-44E3-9099-C40C66FF867C}">
                  <a14:compatExt spid="_x0000_s37037"/>
                </a:ext>
                <a:ext uri="{FF2B5EF4-FFF2-40B4-BE49-F238E27FC236}">
                  <a16:creationId xmlns:a16="http://schemas.microsoft.com/office/drawing/2014/main" id="{00000000-0008-0000-1400-0000AD9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37038" name="Button 174" hidden="1">
              <a:extLst>
                <a:ext uri="{63B3BB69-23CF-44E3-9099-C40C66FF867C}">
                  <a14:compatExt spid="_x0000_s37038"/>
                </a:ext>
                <a:ext uri="{FF2B5EF4-FFF2-40B4-BE49-F238E27FC236}">
                  <a16:creationId xmlns:a16="http://schemas.microsoft.com/office/drawing/2014/main" id="{00000000-0008-0000-1400-0000AE9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203200</xdr:colOff>
          <xdr:row>0</xdr:row>
          <xdr:rowOff>0</xdr:rowOff>
        </xdr:from>
        <xdr:to>
          <xdr:col>16</xdr:col>
          <xdr:colOff>1473200</xdr:colOff>
          <xdr:row>2</xdr:row>
          <xdr:rowOff>6350</xdr:rowOff>
        </xdr:to>
        <xdr:sp macro="" textlink="">
          <xdr:nvSpPr>
            <xdr:cNvPr id="37905" name="Button 17" hidden="1">
              <a:extLst>
                <a:ext uri="{63B3BB69-23CF-44E3-9099-C40C66FF867C}">
                  <a14:compatExt spid="_x0000_s37905"/>
                </a:ext>
                <a:ext uri="{FF2B5EF4-FFF2-40B4-BE49-F238E27FC236}">
                  <a16:creationId xmlns:a16="http://schemas.microsoft.com/office/drawing/2014/main" id="{00000000-0008-0000-1500-000011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SEC_015000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37962" name="Button 74" hidden="1">
              <a:extLst>
                <a:ext uri="{63B3BB69-23CF-44E3-9099-C40C66FF867C}">
                  <a14:compatExt spid="_x0000_s37962"/>
                </a:ext>
                <a:ext uri="{FF2B5EF4-FFF2-40B4-BE49-F238E27FC236}">
                  <a16:creationId xmlns:a16="http://schemas.microsoft.com/office/drawing/2014/main" id="{00000000-0008-0000-1500-00004A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37963" name="Button 75" hidden="1">
              <a:extLst>
                <a:ext uri="{63B3BB69-23CF-44E3-9099-C40C66FF867C}">
                  <a14:compatExt spid="_x0000_s37963"/>
                </a:ext>
                <a:ext uri="{FF2B5EF4-FFF2-40B4-BE49-F238E27FC236}">
                  <a16:creationId xmlns:a16="http://schemas.microsoft.com/office/drawing/2014/main" id="{00000000-0008-0000-1500-00004B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37964" name="Button 76" hidden="1">
              <a:extLst>
                <a:ext uri="{63B3BB69-23CF-44E3-9099-C40C66FF867C}">
                  <a14:compatExt spid="_x0000_s37964"/>
                </a:ext>
                <a:ext uri="{FF2B5EF4-FFF2-40B4-BE49-F238E27FC236}">
                  <a16:creationId xmlns:a16="http://schemas.microsoft.com/office/drawing/2014/main" id="{00000000-0008-0000-1500-00004C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37965" name="Button 77" hidden="1">
              <a:extLst>
                <a:ext uri="{63B3BB69-23CF-44E3-9099-C40C66FF867C}">
                  <a14:compatExt spid="_x0000_s37965"/>
                </a:ext>
                <a:ext uri="{FF2B5EF4-FFF2-40B4-BE49-F238E27FC236}">
                  <a16:creationId xmlns:a16="http://schemas.microsoft.com/office/drawing/2014/main" id="{00000000-0008-0000-1500-00004D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37966" name="Button 78" hidden="1">
              <a:extLst>
                <a:ext uri="{63B3BB69-23CF-44E3-9099-C40C66FF867C}">
                  <a14:compatExt spid="_x0000_s37966"/>
                </a:ext>
                <a:ext uri="{FF2B5EF4-FFF2-40B4-BE49-F238E27FC236}">
                  <a16:creationId xmlns:a16="http://schemas.microsoft.com/office/drawing/2014/main" id="{00000000-0008-0000-1500-00004E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37967" name="Button 79" hidden="1">
              <a:extLst>
                <a:ext uri="{63B3BB69-23CF-44E3-9099-C40C66FF867C}">
                  <a14:compatExt spid="_x0000_s37967"/>
                </a:ext>
                <a:ext uri="{FF2B5EF4-FFF2-40B4-BE49-F238E27FC236}">
                  <a16:creationId xmlns:a16="http://schemas.microsoft.com/office/drawing/2014/main" id="{00000000-0008-0000-1500-00004F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37968" name="Button 80" hidden="1">
              <a:extLst>
                <a:ext uri="{63B3BB69-23CF-44E3-9099-C40C66FF867C}">
                  <a14:compatExt spid="_x0000_s37968"/>
                </a:ext>
                <a:ext uri="{FF2B5EF4-FFF2-40B4-BE49-F238E27FC236}">
                  <a16:creationId xmlns:a16="http://schemas.microsoft.com/office/drawing/2014/main" id="{00000000-0008-0000-1500-000050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37969" name="Button 81" hidden="1">
              <a:extLst>
                <a:ext uri="{63B3BB69-23CF-44E3-9099-C40C66FF867C}">
                  <a14:compatExt spid="_x0000_s37969"/>
                </a:ext>
                <a:ext uri="{FF2B5EF4-FFF2-40B4-BE49-F238E27FC236}">
                  <a16:creationId xmlns:a16="http://schemas.microsoft.com/office/drawing/2014/main" id="{00000000-0008-0000-1500-000051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234950</xdr:colOff>
          <xdr:row>0</xdr:row>
          <xdr:rowOff>0</xdr:rowOff>
        </xdr:from>
        <xdr:to>
          <xdr:col>17</xdr:col>
          <xdr:colOff>19050</xdr:colOff>
          <xdr:row>2</xdr:row>
          <xdr:rowOff>6350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1600-000004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SEC_016000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39052" name="Button 140" hidden="1">
              <a:extLst>
                <a:ext uri="{63B3BB69-23CF-44E3-9099-C40C66FF867C}">
                  <a14:compatExt spid="_x0000_s39052"/>
                </a:ext>
                <a:ext uri="{FF2B5EF4-FFF2-40B4-BE49-F238E27FC236}">
                  <a16:creationId xmlns:a16="http://schemas.microsoft.com/office/drawing/2014/main" id="{00000000-0008-0000-1600-00008C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39053" name="Button 141" hidden="1">
              <a:extLst>
                <a:ext uri="{63B3BB69-23CF-44E3-9099-C40C66FF867C}">
                  <a14:compatExt spid="_x0000_s39053"/>
                </a:ext>
                <a:ext uri="{FF2B5EF4-FFF2-40B4-BE49-F238E27FC236}">
                  <a16:creationId xmlns:a16="http://schemas.microsoft.com/office/drawing/2014/main" id="{00000000-0008-0000-1600-00008D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39054" name="Button 142" hidden="1">
              <a:extLst>
                <a:ext uri="{63B3BB69-23CF-44E3-9099-C40C66FF867C}">
                  <a14:compatExt spid="_x0000_s39054"/>
                </a:ext>
                <a:ext uri="{FF2B5EF4-FFF2-40B4-BE49-F238E27FC236}">
                  <a16:creationId xmlns:a16="http://schemas.microsoft.com/office/drawing/2014/main" id="{00000000-0008-0000-1600-00008E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39055" name="Button 143" hidden="1">
              <a:extLst>
                <a:ext uri="{63B3BB69-23CF-44E3-9099-C40C66FF867C}">
                  <a14:compatExt spid="_x0000_s39055"/>
                </a:ext>
                <a:ext uri="{FF2B5EF4-FFF2-40B4-BE49-F238E27FC236}">
                  <a16:creationId xmlns:a16="http://schemas.microsoft.com/office/drawing/2014/main" id="{00000000-0008-0000-1600-00008F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39056" name="Button 144" hidden="1">
              <a:extLst>
                <a:ext uri="{63B3BB69-23CF-44E3-9099-C40C66FF867C}">
                  <a14:compatExt spid="_x0000_s39056"/>
                </a:ext>
                <a:ext uri="{FF2B5EF4-FFF2-40B4-BE49-F238E27FC236}">
                  <a16:creationId xmlns:a16="http://schemas.microsoft.com/office/drawing/2014/main" id="{00000000-0008-0000-1600-000090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39057" name="Button 145" hidden="1">
              <a:extLst>
                <a:ext uri="{63B3BB69-23CF-44E3-9099-C40C66FF867C}">
                  <a14:compatExt spid="_x0000_s39057"/>
                </a:ext>
                <a:ext uri="{FF2B5EF4-FFF2-40B4-BE49-F238E27FC236}">
                  <a16:creationId xmlns:a16="http://schemas.microsoft.com/office/drawing/2014/main" id="{00000000-0008-0000-1600-000091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39058" name="Button 146" hidden="1">
              <a:extLst>
                <a:ext uri="{63B3BB69-23CF-44E3-9099-C40C66FF867C}">
                  <a14:compatExt spid="_x0000_s39058"/>
                </a:ext>
                <a:ext uri="{FF2B5EF4-FFF2-40B4-BE49-F238E27FC236}">
                  <a16:creationId xmlns:a16="http://schemas.microsoft.com/office/drawing/2014/main" id="{00000000-0008-0000-1600-000092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39059" name="Button 147" hidden="1">
              <a:extLst>
                <a:ext uri="{63B3BB69-23CF-44E3-9099-C40C66FF867C}">
                  <a14:compatExt spid="_x0000_s39059"/>
                </a:ext>
                <a:ext uri="{FF2B5EF4-FFF2-40B4-BE49-F238E27FC236}">
                  <a16:creationId xmlns:a16="http://schemas.microsoft.com/office/drawing/2014/main" id="{00000000-0008-0000-1600-000093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247650</xdr:colOff>
          <xdr:row>0</xdr:row>
          <xdr:rowOff>0</xdr:rowOff>
        </xdr:from>
        <xdr:to>
          <xdr:col>17</xdr:col>
          <xdr:colOff>25400</xdr:colOff>
          <xdr:row>2</xdr:row>
          <xdr:rowOff>6350</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1700-000004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SEC_017000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40031" name="Button 95" hidden="1">
              <a:extLst>
                <a:ext uri="{63B3BB69-23CF-44E3-9099-C40C66FF867C}">
                  <a14:compatExt spid="_x0000_s40031"/>
                </a:ext>
                <a:ext uri="{FF2B5EF4-FFF2-40B4-BE49-F238E27FC236}">
                  <a16:creationId xmlns:a16="http://schemas.microsoft.com/office/drawing/2014/main" id="{00000000-0008-0000-1700-00005F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40032" name="Button 96" hidden="1">
              <a:extLst>
                <a:ext uri="{63B3BB69-23CF-44E3-9099-C40C66FF867C}">
                  <a14:compatExt spid="_x0000_s40032"/>
                </a:ext>
                <a:ext uri="{FF2B5EF4-FFF2-40B4-BE49-F238E27FC236}">
                  <a16:creationId xmlns:a16="http://schemas.microsoft.com/office/drawing/2014/main" id="{00000000-0008-0000-1700-000060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40033" name="Button 97" hidden="1">
              <a:extLst>
                <a:ext uri="{63B3BB69-23CF-44E3-9099-C40C66FF867C}">
                  <a14:compatExt spid="_x0000_s40033"/>
                </a:ext>
                <a:ext uri="{FF2B5EF4-FFF2-40B4-BE49-F238E27FC236}">
                  <a16:creationId xmlns:a16="http://schemas.microsoft.com/office/drawing/2014/main" id="{00000000-0008-0000-1700-000061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40034" name="Button 98" hidden="1">
              <a:extLst>
                <a:ext uri="{63B3BB69-23CF-44E3-9099-C40C66FF867C}">
                  <a14:compatExt spid="_x0000_s40034"/>
                </a:ext>
                <a:ext uri="{FF2B5EF4-FFF2-40B4-BE49-F238E27FC236}">
                  <a16:creationId xmlns:a16="http://schemas.microsoft.com/office/drawing/2014/main" id="{00000000-0008-0000-1700-000062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40035" name="Button 99" hidden="1">
              <a:extLst>
                <a:ext uri="{63B3BB69-23CF-44E3-9099-C40C66FF867C}">
                  <a14:compatExt spid="_x0000_s40035"/>
                </a:ext>
                <a:ext uri="{FF2B5EF4-FFF2-40B4-BE49-F238E27FC236}">
                  <a16:creationId xmlns:a16="http://schemas.microsoft.com/office/drawing/2014/main" id="{00000000-0008-0000-1700-000063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40036" name="Button 100" hidden="1">
              <a:extLst>
                <a:ext uri="{63B3BB69-23CF-44E3-9099-C40C66FF867C}">
                  <a14:compatExt spid="_x0000_s40036"/>
                </a:ext>
                <a:ext uri="{FF2B5EF4-FFF2-40B4-BE49-F238E27FC236}">
                  <a16:creationId xmlns:a16="http://schemas.microsoft.com/office/drawing/2014/main" id="{00000000-0008-0000-1700-000064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40037" name="Button 101" hidden="1">
              <a:extLst>
                <a:ext uri="{63B3BB69-23CF-44E3-9099-C40C66FF867C}">
                  <a14:compatExt spid="_x0000_s40037"/>
                </a:ext>
                <a:ext uri="{FF2B5EF4-FFF2-40B4-BE49-F238E27FC236}">
                  <a16:creationId xmlns:a16="http://schemas.microsoft.com/office/drawing/2014/main" id="{00000000-0008-0000-1700-000065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40038" name="Button 102" hidden="1">
              <a:extLst>
                <a:ext uri="{63B3BB69-23CF-44E3-9099-C40C66FF867C}">
                  <a14:compatExt spid="_x0000_s40038"/>
                </a:ext>
                <a:ext uri="{FF2B5EF4-FFF2-40B4-BE49-F238E27FC236}">
                  <a16:creationId xmlns:a16="http://schemas.microsoft.com/office/drawing/2014/main" id="{00000000-0008-0000-1700-000066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247650</xdr:colOff>
          <xdr:row>0</xdr:row>
          <xdr:rowOff>0</xdr:rowOff>
        </xdr:from>
        <xdr:to>
          <xdr:col>17</xdr:col>
          <xdr:colOff>25400</xdr:colOff>
          <xdr:row>2</xdr:row>
          <xdr:rowOff>6350</xdr:rowOff>
        </xdr:to>
        <xdr:sp macro="" textlink="">
          <xdr:nvSpPr>
            <xdr:cNvPr id="40964" name="Button 4" hidden="1">
              <a:extLst>
                <a:ext uri="{63B3BB69-23CF-44E3-9099-C40C66FF867C}">
                  <a14:compatExt spid="_x0000_s40964"/>
                </a:ext>
                <a:ext uri="{FF2B5EF4-FFF2-40B4-BE49-F238E27FC236}">
                  <a16:creationId xmlns:a16="http://schemas.microsoft.com/office/drawing/2014/main" id="{00000000-0008-0000-1800-000004A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SEC_018000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41016" name="Button 56" hidden="1">
              <a:extLst>
                <a:ext uri="{63B3BB69-23CF-44E3-9099-C40C66FF867C}">
                  <a14:compatExt spid="_x0000_s41016"/>
                </a:ext>
                <a:ext uri="{FF2B5EF4-FFF2-40B4-BE49-F238E27FC236}">
                  <a16:creationId xmlns:a16="http://schemas.microsoft.com/office/drawing/2014/main" id="{00000000-0008-0000-1800-000038A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41017" name="Button 57" hidden="1">
              <a:extLst>
                <a:ext uri="{63B3BB69-23CF-44E3-9099-C40C66FF867C}">
                  <a14:compatExt spid="_x0000_s41017"/>
                </a:ext>
                <a:ext uri="{FF2B5EF4-FFF2-40B4-BE49-F238E27FC236}">
                  <a16:creationId xmlns:a16="http://schemas.microsoft.com/office/drawing/2014/main" id="{00000000-0008-0000-1800-000039A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41018" name="Button 58" hidden="1">
              <a:extLst>
                <a:ext uri="{63B3BB69-23CF-44E3-9099-C40C66FF867C}">
                  <a14:compatExt spid="_x0000_s41018"/>
                </a:ext>
                <a:ext uri="{FF2B5EF4-FFF2-40B4-BE49-F238E27FC236}">
                  <a16:creationId xmlns:a16="http://schemas.microsoft.com/office/drawing/2014/main" id="{00000000-0008-0000-1800-00003AA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41019" name="Button 59" hidden="1">
              <a:extLst>
                <a:ext uri="{63B3BB69-23CF-44E3-9099-C40C66FF867C}">
                  <a14:compatExt spid="_x0000_s41019"/>
                </a:ext>
                <a:ext uri="{FF2B5EF4-FFF2-40B4-BE49-F238E27FC236}">
                  <a16:creationId xmlns:a16="http://schemas.microsoft.com/office/drawing/2014/main" id="{00000000-0008-0000-1800-00003BA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41020" name="Button 60" hidden="1">
              <a:extLst>
                <a:ext uri="{63B3BB69-23CF-44E3-9099-C40C66FF867C}">
                  <a14:compatExt spid="_x0000_s41020"/>
                </a:ext>
                <a:ext uri="{FF2B5EF4-FFF2-40B4-BE49-F238E27FC236}">
                  <a16:creationId xmlns:a16="http://schemas.microsoft.com/office/drawing/2014/main" id="{00000000-0008-0000-1800-00003CA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41021" name="Button 61" hidden="1">
              <a:extLst>
                <a:ext uri="{63B3BB69-23CF-44E3-9099-C40C66FF867C}">
                  <a14:compatExt spid="_x0000_s41021"/>
                </a:ext>
                <a:ext uri="{FF2B5EF4-FFF2-40B4-BE49-F238E27FC236}">
                  <a16:creationId xmlns:a16="http://schemas.microsoft.com/office/drawing/2014/main" id="{00000000-0008-0000-1800-00003DA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41022" name="Button 62" hidden="1">
              <a:extLst>
                <a:ext uri="{63B3BB69-23CF-44E3-9099-C40C66FF867C}">
                  <a14:compatExt spid="_x0000_s41022"/>
                </a:ext>
                <a:ext uri="{FF2B5EF4-FFF2-40B4-BE49-F238E27FC236}">
                  <a16:creationId xmlns:a16="http://schemas.microsoft.com/office/drawing/2014/main" id="{00000000-0008-0000-1800-00003EA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41023" name="Button 63" hidden="1">
              <a:extLst>
                <a:ext uri="{63B3BB69-23CF-44E3-9099-C40C66FF867C}">
                  <a14:compatExt spid="_x0000_s41023"/>
                </a:ext>
                <a:ext uri="{FF2B5EF4-FFF2-40B4-BE49-F238E27FC236}">
                  <a16:creationId xmlns:a16="http://schemas.microsoft.com/office/drawing/2014/main" id="{00000000-0008-0000-1800-00003FA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209550</xdr:colOff>
          <xdr:row>0</xdr:row>
          <xdr:rowOff>0</xdr:rowOff>
        </xdr:from>
        <xdr:to>
          <xdr:col>16</xdr:col>
          <xdr:colOff>1479550</xdr:colOff>
          <xdr:row>2</xdr:row>
          <xdr:rowOff>6350</xdr:rowOff>
        </xdr:to>
        <xdr:sp macro="" textlink="">
          <xdr:nvSpPr>
            <xdr:cNvPr id="41988" name="Button 4" hidden="1">
              <a:extLst>
                <a:ext uri="{63B3BB69-23CF-44E3-9099-C40C66FF867C}">
                  <a14:compatExt spid="_x0000_s41988"/>
                </a:ext>
                <a:ext uri="{FF2B5EF4-FFF2-40B4-BE49-F238E27FC236}">
                  <a16:creationId xmlns:a16="http://schemas.microsoft.com/office/drawing/2014/main" id="{00000000-0008-0000-1900-000004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SEC_019000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42040" name="Button 56" hidden="1">
              <a:extLst>
                <a:ext uri="{63B3BB69-23CF-44E3-9099-C40C66FF867C}">
                  <a14:compatExt spid="_x0000_s42040"/>
                </a:ext>
                <a:ext uri="{FF2B5EF4-FFF2-40B4-BE49-F238E27FC236}">
                  <a16:creationId xmlns:a16="http://schemas.microsoft.com/office/drawing/2014/main" id="{00000000-0008-0000-1900-000038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42041" name="Button 57" hidden="1">
              <a:extLst>
                <a:ext uri="{63B3BB69-23CF-44E3-9099-C40C66FF867C}">
                  <a14:compatExt spid="_x0000_s42041"/>
                </a:ext>
                <a:ext uri="{FF2B5EF4-FFF2-40B4-BE49-F238E27FC236}">
                  <a16:creationId xmlns:a16="http://schemas.microsoft.com/office/drawing/2014/main" id="{00000000-0008-0000-1900-000039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42042" name="Button 58" hidden="1">
              <a:extLst>
                <a:ext uri="{63B3BB69-23CF-44E3-9099-C40C66FF867C}">
                  <a14:compatExt spid="_x0000_s42042"/>
                </a:ext>
                <a:ext uri="{FF2B5EF4-FFF2-40B4-BE49-F238E27FC236}">
                  <a16:creationId xmlns:a16="http://schemas.microsoft.com/office/drawing/2014/main" id="{00000000-0008-0000-1900-00003A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42043" name="Button 59" hidden="1">
              <a:extLst>
                <a:ext uri="{63B3BB69-23CF-44E3-9099-C40C66FF867C}">
                  <a14:compatExt spid="_x0000_s42043"/>
                </a:ext>
                <a:ext uri="{FF2B5EF4-FFF2-40B4-BE49-F238E27FC236}">
                  <a16:creationId xmlns:a16="http://schemas.microsoft.com/office/drawing/2014/main" id="{00000000-0008-0000-1900-00003B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42044" name="Button 60" hidden="1">
              <a:extLst>
                <a:ext uri="{63B3BB69-23CF-44E3-9099-C40C66FF867C}">
                  <a14:compatExt spid="_x0000_s42044"/>
                </a:ext>
                <a:ext uri="{FF2B5EF4-FFF2-40B4-BE49-F238E27FC236}">
                  <a16:creationId xmlns:a16="http://schemas.microsoft.com/office/drawing/2014/main" id="{00000000-0008-0000-1900-00003C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42045" name="Button 61" hidden="1">
              <a:extLst>
                <a:ext uri="{63B3BB69-23CF-44E3-9099-C40C66FF867C}">
                  <a14:compatExt spid="_x0000_s42045"/>
                </a:ext>
                <a:ext uri="{FF2B5EF4-FFF2-40B4-BE49-F238E27FC236}">
                  <a16:creationId xmlns:a16="http://schemas.microsoft.com/office/drawing/2014/main" id="{00000000-0008-0000-1900-00003D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42046" name="Button 62" hidden="1">
              <a:extLst>
                <a:ext uri="{63B3BB69-23CF-44E3-9099-C40C66FF867C}">
                  <a14:compatExt spid="_x0000_s42046"/>
                </a:ext>
                <a:ext uri="{FF2B5EF4-FFF2-40B4-BE49-F238E27FC236}">
                  <a16:creationId xmlns:a16="http://schemas.microsoft.com/office/drawing/2014/main" id="{00000000-0008-0000-1900-00003E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42047" name="Button 63" hidden="1">
              <a:extLst>
                <a:ext uri="{63B3BB69-23CF-44E3-9099-C40C66FF867C}">
                  <a14:compatExt spid="_x0000_s42047"/>
                </a:ext>
                <a:ext uri="{FF2B5EF4-FFF2-40B4-BE49-F238E27FC236}">
                  <a16:creationId xmlns:a16="http://schemas.microsoft.com/office/drawing/2014/main" id="{00000000-0008-0000-1900-00003F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241300</xdr:colOff>
          <xdr:row>0</xdr:row>
          <xdr:rowOff>0</xdr:rowOff>
        </xdr:from>
        <xdr:to>
          <xdr:col>17</xdr:col>
          <xdr:colOff>0</xdr:colOff>
          <xdr:row>2</xdr:row>
          <xdr:rowOff>12700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1A00-000001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DIV_02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25400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1A00-000006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184150</xdr:rowOff>
        </xdr:from>
        <xdr:to>
          <xdr:col>19</xdr:col>
          <xdr:colOff>57150</xdr:colOff>
          <xdr:row>5</xdr:row>
          <xdr:rowOff>31750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1A00-000007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57150</xdr:colOff>
          <xdr:row>8</xdr:row>
          <xdr:rowOff>63500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1A00-000008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57150</xdr:colOff>
          <xdr:row>11</xdr:row>
          <xdr:rowOff>57150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1A00-000009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57150</xdr:colOff>
          <xdr:row>14</xdr:row>
          <xdr:rowOff>12700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1A00-00000A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177800</xdr:rowOff>
        </xdr:from>
        <xdr:to>
          <xdr:col>19</xdr:col>
          <xdr:colOff>57150</xdr:colOff>
          <xdr:row>17</xdr:row>
          <xdr:rowOff>19050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1A00-00000B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18</xdr:row>
          <xdr:rowOff>0</xdr:rowOff>
        </xdr:from>
        <xdr:to>
          <xdr:col>19</xdr:col>
          <xdr:colOff>57150</xdr:colOff>
          <xdr:row>20</xdr:row>
          <xdr:rowOff>25400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1A00-00000C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6350</xdr:rowOff>
        </xdr:from>
        <xdr:to>
          <xdr:col>19</xdr:col>
          <xdr:colOff>57150</xdr:colOff>
          <xdr:row>23</xdr:row>
          <xdr:rowOff>31750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1A00-00000D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2</xdr:row>
          <xdr:rowOff>50800</xdr:rowOff>
        </xdr:from>
        <xdr:to>
          <xdr:col>19</xdr:col>
          <xdr:colOff>44450</xdr:colOff>
          <xdr:row>4</xdr:row>
          <xdr:rowOff>82550</xdr:rowOff>
        </xdr:to>
        <xdr:sp macro="" textlink="">
          <xdr:nvSpPr>
            <xdr:cNvPr id="431105" name="Button 1" hidden="1">
              <a:extLst>
                <a:ext uri="{63B3BB69-23CF-44E3-9099-C40C66FF867C}">
                  <a14:compatExt spid="_x0000_s431105"/>
                </a:ext>
                <a:ext uri="{FF2B5EF4-FFF2-40B4-BE49-F238E27FC236}">
                  <a16:creationId xmlns:a16="http://schemas.microsoft.com/office/drawing/2014/main" id="{00000000-0008-0000-1B00-00000194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5</xdr:row>
          <xdr:rowOff>50800</xdr:rowOff>
        </xdr:from>
        <xdr:to>
          <xdr:col>19</xdr:col>
          <xdr:colOff>44450</xdr:colOff>
          <xdr:row>7</xdr:row>
          <xdr:rowOff>57150</xdr:rowOff>
        </xdr:to>
        <xdr:sp macro="" textlink="">
          <xdr:nvSpPr>
            <xdr:cNvPr id="431106" name="Button 2" hidden="1">
              <a:extLst>
                <a:ext uri="{63B3BB69-23CF-44E3-9099-C40C66FF867C}">
                  <a14:compatExt spid="_x0000_s431106"/>
                </a:ext>
                <a:ext uri="{FF2B5EF4-FFF2-40B4-BE49-F238E27FC236}">
                  <a16:creationId xmlns:a16="http://schemas.microsoft.com/office/drawing/2014/main" id="{00000000-0008-0000-1B00-00000294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7</xdr:row>
          <xdr:rowOff>177800</xdr:rowOff>
        </xdr:from>
        <xdr:to>
          <xdr:col>19</xdr:col>
          <xdr:colOff>44450</xdr:colOff>
          <xdr:row>9</xdr:row>
          <xdr:rowOff>171450</xdr:rowOff>
        </xdr:to>
        <xdr:sp macro="" textlink="">
          <xdr:nvSpPr>
            <xdr:cNvPr id="431107" name="Button 3" hidden="1">
              <a:extLst>
                <a:ext uri="{63B3BB69-23CF-44E3-9099-C40C66FF867C}">
                  <a14:compatExt spid="_x0000_s431107"/>
                </a:ext>
                <a:ext uri="{FF2B5EF4-FFF2-40B4-BE49-F238E27FC236}">
                  <a16:creationId xmlns:a16="http://schemas.microsoft.com/office/drawing/2014/main" id="{00000000-0008-0000-1B00-00000394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44450</xdr:colOff>
          <xdr:row>2</xdr:row>
          <xdr:rowOff>6350</xdr:rowOff>
        </xdr:to>
        <xdr:sp macro="" textlink="">
          <xdr:nvSpPr>
            <xdr:cNvPr id="431108" name="Button 4" hidden="1">
              <a:extLst>
                <a:ext uri="{63B3BB69-23CF-44E3-9099-C40C66FF867C}">
                  <a14:compatExt spid="_x0000_s431108"/>
                </a:ext>
                <a:ext uri="{FF2B5EF4-FFF2-40B4-BE49-F238E27FC236}">
                  <a16:creationId xmlns:a16="http://schemas.microsoft.com/office/drawing/2014/main" id="{00000000-0008-0000-1B00-00000494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Refresh View</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603250</xdr:colOff>
          <xdr:row>0</xdr:row>
          <xdr:rowOff>0</xdr:rowOff>
        </xdr:from>
        <xdr:to>
          <xdr:col>19</xdr:col>
          <xdr:colOff>44450</xdr:colOff>
          <xdr:row>2</xdr:row>
          <xdr:rowOff>12700</xdr:rowOff>
        </xdr:to>
        <xdr:sp macro="" textlink="">
          <xdr:nvSpPr>
            <xdr:cNvPr id="374788" name="Button 4" hidden="1">
              <a:extLst>
                <a:ext uri="{63B3BB69-23CF-44E3-9099-C40C66FF867C}">
                  <a14:compatExt spid="_x0000_s374788"/>
                </a:ext>
                <a:ext uri="{FF2B5EF4-FFF2-40B4-BE49-F238E27FC236}">
                  <a16:creationId xmlns:a16="http://schemas.microsoft.com/office/drawing/2014/main" id="{00000000-0008-0000-1C00-000004B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603250</xdr:colOff>
          <xdr:row>2</xdr:row>
          <xdr:rowOff>38100</xdr:rowOff>
        </xdr:from>
        <xdr:to>
          <xdr:col>19</xdr:col>
          <xdr:colOff>44450</xdr:colOff>
          <xdr:row>4</xdr:row>
          <xdr:rowOff>50800</xdr:rowOff>
        </xdr:to>
        <xdr:sp macro="" textlink="">
          <xdr:nvSpPr>
            <xdr:cNvPr id="374789" name="Button 5" hidden="1">
              <a:extLst>
                <a:ext uri="{63B3BB69-23CF-44E3-9099-C40C66FF867C}">
                  <a14:compatExt spid="_x0000_s374789"/>
                </a:ext>
                <a:ext uri="{FF2B5EF4-FFF2-40B4-BE49-F238E27FC236}">
                  <a16:creationId xmlns:a16="http://schemas.microsoft.com/office/drawing/2014/main" id="{00000000-0008-0000-1C00-000005B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603250</xdr:colOff>
          <xdr:row>4</xdr:row>
          <xdr:rowOff>76200</xdr:rowOff>
        </xdr:from>
        <xdr:to>
          <xdr:col>19</xdr:col>
          <xdr:colOff>44450</xdr:colOff>
          <xdr:row>6</xdr:row>
          <xdr:rowOff>88900</xdr:rowOff>
        </xdr:to>
        <xdr:sp macro="" textlink="">
          <xdr:nvSpPr>
            <xdr:cNvPr id="374790" name="Button 6" hidden="1">
              <a:extLst>
                <a:ext uri="{63B3BB69-23CF-44E3-9099-C40C66FF867C}">
                  <a14:compatExt spid="_x0000_s374790"/>
                </a:ext>
                <a:ext uri="{FF2B5EF4-FFF2-40B4-BE49-F238E27FC236}">
                  <a16:creationId xmlns:a16="http://schemas.microsoft.com/office/drawing/2014/main" id="{00000000-0008-0000-1C00-000006B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44450</xdr:rowOff>
        </xdr:from>
        <xdr:to>
          <xdr:col>19</xdr:col>
          <xdr:colOff>50800</xdr:colOff>
          <xdr:row>2</xdr:row>
          <xdr:rowOff>57150</xdr:rowOff>
        </xdr:to>
        <xdr:sp macro="" textlink="">
          <xdr:nvSpPr>
            <xdr:cNvPr id="432129" name="Button 1" hidden="1">
              <a:extLst>
                <a:ext uri="{63B3BB69-23CF-44E3-9099-C40C66FF867C}">
                  <a14:compatExt spid="_x0000_s432129"/>
                </a:ext>
                <a:ext uri="{FF2B5EF4-FFF2-40B4-BE49-F238E27FC236}">
                  <a16:creationId xmlns:a16="http://schemas.microsoft.com/office/drawing/2014/main" id="{00000000-0008-0000-1D00-0000019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228600</xdr:colOff>
          <xdr:row>0</xdr:row>
          <xdr:rowOff>0</xdr:rowOff>
        </xdr:from>
        <xdr:to>
          <xdr:col>17</xdr:col>
          <xdr:colOff>12700</xdr:colOff>
          <xdr:row>2</xdr:row>
          <xdr:rowOff>6350</xdr:rowOff>
        </xdr:to>
        <xdr:sp macro="" textlink="">
          <xdr:nvSpPr>
            <xdr:cNvPr id="48133" name="Button 5" hidden="1">
              <a:extLst>
                <a:ext uri="{63B3BB69-23CF-44E3-9099-C40C66FF867C}">
                  <a14:compatExt spid="_x0000_s48133"/>
                </a:ext>
                <a:ext uri="{FF2B5EF4-FFF2-40B4-BE49-F238E27FC236}">
                  <a16:creationId xmlns:a16="http://schemas.microsoft.com/office/drawing/2014/main" id="{00000000-0008-0000-1F00-000005B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SEC_022000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48168" name="Button 40" hidden="1">
              <a:extLst>
                <a:ext uri="{63B3BB69-23CF-44E3-9099-C40C66FF867C}">
                  <a14:compatExt spid="_x0000_s48168"/>
                </a:ext>
                <a:ext uri="{FF2B5EF4-FFF2-40B4-BE49-F238E27FC236}">
                  <a16:creationId xmlns:a16="http://schemas.microsoft.com/office/drawing/2014/main" id="{00000000-0008-0000-1F00-000028B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48169" name="Button 41" hidden="1">
              <a:extLst>
                <a:ext uri="{63B3BB69-23CF-44E3-9099-C40C66FF867C}">
                  <a14:compatExt spid="_x0000_s48169"/>
                </a:ext>
                <a:ext uri="{FF2B5EF4-FFF2-40B4-BE49-F238E27FC236}">
                  <a16:creationId xmlns:a16="http://schemas.microsoft.com/office/drawing/2014/main" id="{00000000-0008-0000-1F00-000029B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48170" name="Button 42" hidden="1">
              <a:extLst>
                <a:ext uri="{63B3BB69-23CF-44E3-9099-C40C66FF867C}">
                  <a14:compatExt spid="_x0000_s48170"/>
                </a:ext>
                <a:ext uri="{FF2B5EF4-FFF2-40B4-BE49-F238E27FC236}">
                  <a16:creationId xmlns:a16="http://schemas.microsoft.com/office/drawing/2014/main" id="{00000000-0008-0000-1F00-00002AB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48171" name="Button 43" hidden="1">
              <a:extLst>
                <a:ext uri="{63B3BB69-23CF-44E3-9099-C40C66FF867C}">
                  <a14:compatExt spid="_x0000_s48171"/>
                </a:ext>
                <a:ext uri="{FF2B5EF4-FFF2-40B4-BE49-F238E27FC236}">
                  <a16:creationId xmlns:a16="http://schemas.microsoft.com/office/drawing/2014/main" id="{00000000-0008-0000-1F00-00002BB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48172" name="Button 44" hidden="1">
              <a:extLst>
                <a:ext uri="{63B3BB69-23CF-44E3-9099-C40C66FF867C}">
                  <a14:compatExt spid="_x0000_s48172"/>
                </a:ext>
                <a:ext uri="{FF2B5EF4-FFF2-40B4-BE49-F238E27FC236}">
                  <a16:creationId xmlns:a16="http://schemas.microsoft.com/office/drawing/2014/main" id="{00000000-0008-0000-1F00-00002CB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48173" name="Button 45" hidden="1">
              <a:extLst>
                <a:ext uri="{63B3BB69-23CF-44E3-9099-C40C66FF867C}">
                  <a14:compatExt spid="_x0000_s48173"/>
                </a:ext>
                <a:ext uri="{FF2B5EF4-FFF2-40B4-BE49-F238E27FC236}">
                  <a16:creationId xmlns:a16="http://schemas.microsoft.com/office/drawing/2014/main" id="{00000000-0008-0000-1F00-00002DB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48174" name="Button 46" hidden="1">
              <a:extLst>
                <a:ext uri="{63B3BB69-23CF-44E3-9099-C40C66FF867C}">
                  <a14:compatExt spid="_x0000_s48174"/>
                </a:ext>
                <a:ext uri="{FF2B5EF4-FFF2-40B4-BE49-F238E27FC236}">
                  <a16:creationId xmlns:a16="http://schemas.microsoft.com/office/drawing/2014/main" id="{00000000-0008-0000-1F00-00002EB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48175" name="Button 47" hidden="1">
              <a:extLst>
                <a:ext uri="{63B3BB69-23CF-44E3-9099-C40C66FF867C}">
                  <a14:compatExt spid="_x0000_s48175"/>
                </a:ext>
                <a:ext uri="{FF2B5EF4-FFF2-40B4-BE49-F238E27FC236}">
                  <a16:creationId xmlns:a16="http://schemas.microsoft.com/office/drawing/2014/main" id="{00000000-0008-0000-1F00-00002FB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215900</xdr:colOff>
          <xdr:row>0</xdr:row>
          <xdr:rowOff>0</xdr:rowOff>
        </xdr:from>
        <xdr:to>
          <xdr:col>16</xdr:col>
          <xdr:colOff>1485900</xdr:colOff>
          <xdr:row>2</xdr:row>
          <xdr:rowOff>6350</xdr:rowOff>
        </xdr:to>
        <xdr:sp macro="" textlink="">
          <xdr:nvSpPr>
            <xdr:cNvPr id="49157" name="Button 5" hidden="1">
              <a:extLst>
                <a:ext uri="{63B3BB69-23CF-44E3-9099-C40C66FF867C}">
                  <a14:compatExt spid="_x0000_s49157"/>
                </a:ext>
                <a:ext uri="{FF2B5EF4-FFF2-40B4-BE49-F238E27FC236}">
                  <a16:creationId xmlns:a16="http://schemas.microsoft.com/office/drawing/2014/main" id="{00000000-0008-0000-2000-000005C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SEC_023000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49192" name="Button 40" hidden="1">
              <a:extLst>
                <a:ext uri="{63B3BB69-23CF-44E3-9099-C40C66FF867C}">
                  <a14:compatExt spid="_x0000_s49192"/>
                </a:ext>
                <a:ext uri="{FF2B5EF4-FFF2-40B4-BE49-F238E27FC236}">
                  <a16:creationId xmlns:a16="http://schemas.microsoft.com/office/drawing/2014/main" id="{00000000-0008-0000-2000-000028C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49193" name="Button 41" hidden="1">
              <a:extLst>
                <a:ext uri="{63B3BB69-23CF-44E3-9099-C40C66FF867C}">
                  <a14:compatExt spid="_x0000_s49193"/>
                </a:ext>
                <a:ext uri="{FF2B5EF4-FFF2-40B4-BE49-F238E27FC236}">
                  <a16:creationId xmlns:a16="http://schemas.microsoft.com/office/drawing/2014/main" id="{00000000-0008-0000-2000-000029C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49194" name="Button 42" hidden="1">
              <a:extLst>
                <a:ext uri="{63B3BB69-23CF-44E3-9099-C40C66FF867C}">
                  <a14:compatExt spid="_x0000_s49194"/>
                </a:ext>
                <a:ext uri="{FF2B5EF4-FFF2-40B4-BE49-F238E27FC236}">
                  <a16:creationId xmlns:a16="http://schemas.microsoft.com/office/drawing/2014/main" id="{00000000-0008-0000-2000-00002AC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49195" name="Button 43" hidden="1">
              <a:extLst>
                <a:ext uri="{63B3BB69-23CF-44E3-9099-C40C66FF867C}">
                  <a14:compatExt spid="_x0000_s49195"/>
                </a:ext>
                <a:ext uri="{FF2B5EF4-FFF2-40B4-BE49-F238E27FC236}">
                  <a16:creationId xmlns:a16="http://schemas.microsoft.com/office/drawing/2014/main" id="{00000000-0008-0000-2000-00002BC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49196" name="Button 44" hidden="1">
              <a:extLst>
                <a:ext uri="{63B3BB69-23CF-44E3-9099-C40C66FF867C}">
                  <a14:compatExt spid="_x0000_s49196"/>
                </a:ext>
                <a:ext uri="{FF2B5EF4-FFF2-40B4-BE49-F238E27FC236}">
                  <a16:creationId xmlns:a16="http://schemas.microsoft.com/office/drawing/2014/main" id="{00000000-0008-0000-2000-00002CC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49197" name="Button 45" hidden="1">
              <a:extLst>
                <a:ext uri="{63B3BB69-23CF-44E3-9099-C40C66FF867C}">
                  <a14:compatExt spid="_x0000_s49197"/>
                </a:ext>
                <a:ext uri="{FF2B5EF4-FFF2-40B4-BE49-F238E27FC236}">
                  <a16:creationId xmlns:a16="http://schemas.microsoft.com/office/drawing/2014/main" id="{00000000-0008-0000-2000-00002DC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49198" name="Button 46" hidden="1">
              <a:extLst>
                <a:ext uri="{63B3BB69-23CF-44E3-9099-C40C66FF867C}">
                  <a14:compatExt spid="_x0000_s49198"/>
                </a:ext>
                <a:ext uri="{FF2B5EF4-FFF2-40B4-BE49-F238E27FC236}">
                  <a16:creationId xmlns:a16="http://schemas.microsoft.com/office/drawing/2014/main" id="{00000000-0008-0000-2000-00002EC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49199" name="Button 47" hidden="1">
              <a:extLst>
                <a:ext uri="{63B3BB69-23CF-44E3-9099-C40C66FF867C}">
                  <a14:compatExt spid="_x0000_s49199"/>
                </a:ext>
                <a:ext uri="{FF2B5EF4-FFF2-40B4-BE49-F238E27FC236}">
                  <a16:creationId xmlns:a16="http://schemas.microsoft.com/office/drawing/2014/main" id="{00000000-0008-0000-2000-00002FC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247650</xdr:colOff>
          <xdr:row>0</xdr:row>
          <xdr:rowOff>0</xdr:rowOff>
        </xdr:from>
        <xdr:to>
          <xdr:col>17</xdr:col>
          <xdr:colOff>25400</xdr:colOff>
          <xdr:row>2</xdr:row>
          <xdr:rowOff>6350</xdr:rowOff>
        </xdr:to>
        <xdr:sp macro="" textlink="">
          <xdr:nvSpPr>
            <xdr:cNvPr id="50181" name="Button 5" hidden="1">
              <a:extLst>
                <a:ext uri="{63B3BB69-23CF-44E3-9099-C40C66FF867C}">
                  <a14:compatExt spid="_x0000_s50181"/>
                </a:ext>
                <a:ext uri="{FF2B5EF4-FFF2-40B4-BE49-F238E27FC236}">
                  <a16:creationId xmlns:a16="http://schemas.microsoft.com/office/drawing/2014/main" id="{00000000-0008-0000-2100-000005C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SEC_024000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952500</xdr:colOff>
          <xdr:row>2</xdr:row>
          <xdr:rowOff>25400</xdr:rowOff>
        </xdr:to>
        <xdr:sp macro="" textlink="">
          <xdr:nvSpPr>
            <xdr:cNvPr id="50183" name="Button 7" hidden="1">
              <a:extLst>
                <a:ext uri="{63B3BB69-23CF-44E3-9099-C40C66FF867C}">
                  <a14:compatExt spid="_x0000_s50183"/>
                </a:ext>
                <a:ext uri="{FF2B5EF4-FFF2-40B4-BE49-F238E27FC236}">
                  <a16:creationId xmlns:a16="http://schemas.microsoft.com/office/drawing/2014/main" id="{00000000-0008-0000-2100-000007C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952500</xdr:colOff>
          <xdr:row>2</xdr:row>
          <xdr:rowOff>50800</xdr:rowOff>
        </xdr:to>
        <xdr:sp macro="" textlink="">
          <xdr:nvSpPr>
            <xdr:cNvPr id="50184" name="Button 8" hidden="1">
              <a:extLst>
                <a:ext uri="{63B3BB69-23CF-44E3-9099-C40C66FF867C}">
                  <a14:compatExt spid="_x0000_s50184"/>
                </a:ext>
                <a:ext uri="{FF2B5EF4-FFF2-40B4-BE49-F238E27FC236}">
                  <a16:creationId xmlns:a16="http://schemas.microsoft.com/office/drawing/2014/main" id="{00000000-0008-0000-2100-000008C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50236" name="Button 60" hidden="1">
              <a:extLst>
                <a:ext uri="{63B3BB69-23CF-44E3-9099-C40C66FF867C}">
                  <a14:compatExt spid="_x0000_s50236"/>
                </a:ext>
                <a:ext uri="{FF2B5EF4-FFF2-40B4-BE49-F238E27FC236}">
                  <a16:creationId xmlns:a16="http://schemas.microsoft.com/office/drawing/2014/main" id="{00000000-0008-0000-2100-00003CC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50237" name="Button 61" hidden="1">
              <a:extLst>
                <a:ext uri="{63B3BB69-23CF-44E3-9099-C40C66FF867C}">
                  <a14:compatExt spid="_x0000_s50237"/>
                </a:ext>
                <a:ext uri="{FF2B5EF4-FFF2-40B4-BE49-F238E27FC236}">
                  <a16:creationId xmlns:a16="http://schemas.microsoft.com/office/drawing/2014/main" id="{00000000-0008-0000-2100-00003DC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50238" name="Button 62" hidden="1">
              <a:extLst>
                <a:ext uri="{63B3BB69-23CF-44E3-9099-C40C66FF867C}">
                  <a14:compatExt spid="_x0000_s50238"/>
                </a:ext>
                <a:ext uri="{FF2B5EF4-FFF2-40B4-BE49-F238E27FC236}">
                  <a16:creationId xmlns:a16="http://schemas.microsoft.com/office/drawing/2014/main" id="{00000000-0008-0000-2100-00003EC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50239" name="Button 63" hidden="1">
              <a:extLst>
                <a:ext uri="{63B3BB69-23CF-44E3-9099-C40C66FF867C}">
                  <a14:compatExt spid="_x0000_s50239"/>
                </a:ext>
                <a:ext uri="{FF2B5EF4-FFF2-40B4-BE49-F238E27FC236}">
                  <a16:creationId xmlns:a16="http://schemas.microsoft.com/office/drawing/2014/main" id="{00000000-0008-0000-2100-00003FC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50240" name="Button 64" hidden="1">
              <a:extLst>
                <a:ext uri="{63B3BB69-23CF-44E3-9099-C40C66FF867C}">
                  <a14:compatExt spid="_x0000_s50240"/>
                </a:ext>
                <a:ext uri="{FF2B5EF4-FFF2-40B4-BE49-F238E27FC236}">
                  <a16:creationId xmlns:a16="http://schemas.microsoft.com/office/drawing/2014/main" id="{00000000-0008-0000-2100-000040C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50241" name="Button 65" hidden="1">
              <a:extLst>
                <a:ext uri="{63B3BB69-23CF-44E3-9099-C40C66FF867C}">
                  <a14:compatExt spid="_x0000_s50241"/>
                </a:ext>
                <a:ext uri="{FF2B5EF4-FFF2-40B4-BE49-F238E27FC236}">
                  <a16:creationId xmlns:a16="http://schemas.microsoft.com/office/drawing/2014/main" id="{00000000-0008-0000-2100-000041C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50242" name="Button 66" hidden="1">
              <a:extLst>
                <a:ext uri="{63B3BB69-23CF-44E3-9099-C40C66FF867C}">
                  <a14:compatExt spid="_x0000_s50242"/>
                </a:ext>
                <a:ext uri="{FF2B5EF4-FFF2-40B4-BE49-F238E27FC236}">
                  <a16:creationId xmlns:a16="http://schemas.microsoft.com/office/drawing/2014/main" id="{00000000-0008-0000-2100-000042C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50243" name="Button 67" hidden="1">
              <a:extLst>
                <a:ext uri="{63B3BB69-23CF-44E3-9099-C40C66FF867C}">
                  <a14:compatExt spid="_x0000_s50243"/>
                </a:ext>
                <a:ext uri="{FF2B5EF4-FFF2-40B4-BE49-F238E27FC236}">
                  <a16:creationId xmlns:a16="http://schemas.microsoft.com/office/drawing/2014/main" id="{00000000-0008-0000-2100-000043C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228600</xdr:colOff>
          <xdr:row>0</xdr:row>
          <xdr:rowOff>0</xdr:rowOff>
        </xdr:from>
        <xdr:to>
          <xdr:col>17</xdr:col>
          <xdr:colOff>6350</xdr:colOff>
          <xdr:row>2</xdr:row>
          <xdr:rowOff>6350</xdr:rowOff>
        </xdr:to>
        <xdr:sp macro="" textlink="">
          <xdr:nvSpPr>
            <xdr:cNvPr id="51205" name="Button 5" hidden="1">
              <a:extLst>
                <a:ext uri="{63B3BB69-23CF-44E3-9099-C40C66FF867C}">
                  <a14:compatExt spid="_x0000_s51205"/>
                </a:ext>
                <a:ext uri="{FF2B5EF4-FFF2-40B4-BE49-F238E27FC236}">
                  <a16:creationId xmlns:a16="http://schemas.microsoft.com/office/drawing/2014/main" id="{00000000-0008-0000-2200-000005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SEC_025000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51250" name="Button 50" hidden="1">
              <a:extLst>
                <a:ext uri="{63B3BB69-23CF-44E3-9099-C40C66FF867C}">
                  <a14:compatExt spid="_x0000_s51250"/>
                </a:ext>
                <a:ext uri="{FF2B5EF4-FFF2-40B4-BE49-F238E27FC236}">
                  <a16:creationId xmlns:a16="http://schemas.microsoft.com/office/drawing/2014/main" id="{00000000-0008-0000-2200-000032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51251" name="Button 51" hidden="1">
              <a:extLst>
                <a:ext uri="{63B3BB69-23CF-44E3-9099-C40C66FF867C}">
                  <a14:compatExt spid="_x0000_s51251"/>
                </a:ext>
                <a:ext uri="{FF2B5EF4-FFF2-40B4-BE49-F238E27FC236}">
                  <a16:creationId xmlns:a16="http://schemas.microsoft.com/office/drawing/2014/main" id="{00000000-0008-0000-2200-000033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51252" name="Button 52" hidden="1">
              <a:extLst>
                <a:ext uri="{63B3BB69-23CF-44E3-9099-C40C66FF867C}">
                  <a14:compatExt spid="_x0000_s51252"/>
                </a:ext>
                <a:ext uri="{FF2B5EF4-FFF2-40B4-BE49-F238E27FC236}">
                  <a16:creationId xmlns:a16="http://schemas.microsoft.com/office/drawing/2014/main" id="{00000000-0008-0000-2200-000034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51253" name="Button 53" hidden="1">
              <a:extLst>
                <a:ext uri="{63B3BB69-23CF-44E3-9099-C40C66FF867C}">
                  <a14:compatExt spid="_x0000_s51253"/>
                </a:ext>
                <a:ext uri="{FF2B5EF4-FFF2-40B4-BE49-F238E27FC236}">
                  <a16:creationId xmlns:a16="http://schemas.microsoft.com/office/drawing/2014/main" id="{00000000-0008-0000-2200-000035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51254" name="Button 54" hidden="1">
              <a:extLst>
                <a:ext uri="{63B3BB69-23CF-44E3-9099-C40C66FF867C}">
                  <a14:compatExt spid="_x0000_s51254"/>
                </a:ext>
                <a:ext uri="{FF2B5EF4-FFF2-40B4-BE49-F238E27FC236}">
                  <a16:creationId xmlns:a16="http://schemas.microsoft.com/office/drawing/2014/main" id="{00000000-0008-0000-2200-000036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51255" name="Button 55" hidden="1">
              <a:extLst>
                <a:ext uri="{63B3BB69-23CF-44E3-9099-C40C66FF867C}">
                  <a14:compatExt spid="_x0000_s51255"/>
                </a:ext>
                <a:ext uri="{FF2B5EF4-FFF2-40B4-BE49-F238E27FC236}">
                  <a16:creationId xmlns:a16="http://schemas.microsoft.com/office/drawing/2014/main" id="{00000000-0008-0000-2200-000037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51256" name="Button 56" hidden="1">
              <a:extLst>
                <a:ext uri="{63B3BB69-23CF-44E3-9099-C40C66FF867C}">
                  <a14:compatExt spid="_x0000_s51256"/>
                </a:ext>
                <a:ext uri="{FF2B5EF4-FFF2-40B4-BE49-F238E27FC236}">
                  <a16:creationId xmlns:a16="http://schemas.microsoft.com/office/drawing/2014/main" id="{00000000-0008-0000-2200-000038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51257" name="Button 57" hidden="1">
              <a:extLst>
                <a:ext uri="{63B3BB69-23CF-44E3-9099-C40C66FF867C}">
                  <a14:compatExt spid="_x0000_s51257"/>
                </a:ext>
                <a:ext uri="{FF2B5EF4-FFF2-40B4-BE49-F238E27FC236}">
                  <a16:creationId xmlns:a16="http://schemas.microsoft.com/office/drawing/2014/main" id="{00000000-0008-0000-2200-000039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215900</xdr:colOff>
          <xdr:row>0</xdr:row>
          <xdr:rowOff>0</xdr:rowOff>
        </xdr:from>
        <xdr:to>
          <xdr:col>16</xdr:col>
          <xdr:colOff>1485900</xdr:colOff>
          <xdr:row>2</xdr:row>
          <xdr:rowOff>6350</xdr:rowOff>
        </xdr:to>
        <xdr:sp macro="" textlink="">
          <xdr:nvSpPr>
            <xdr:cNvPr id="52229" name="Button 5" hidden="1">
              <a:extLst>
                <a:ext uri="{63B3BB69-23CF-44E3-9099-C40C66FF867C}">
                  <a14:compatExt spid="_x0000_s52229"/>
                </a:ext>
                <a:ext uri="{FF2B5EF4-FFF2-40B4-BE49-F238E27FC236}">
                  <a16:creationId xmlns:a16="http://schemas.microsoft.com/office/drawing/2014/main" id="{00000000-0008-0000-2300-000005C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SEC_026000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52265" name="Button 41" hidden="1">
              <a:extLst>
                <a:ext uri="{63B3BB69-23CF-44E3-9099-C40C66FF867C}">
                  <a14:compatExt spid="_x0000_s52265"/>
                </a:ext>
                <a:ext uri="{FF2B5EF4-FFF2-40B4-BE49-F238E27FC236}">
                  <a16:creationId xmlns:a16="http://schemas.microsoft.com/office/drawing/2014/main" id="{00000000-0008-0000-2300-000029C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52266" name="Button 42" hidden="1">
              <a:extLst>
                <a:ext uri="{63B3BB69-23CF-44E3-9099-C40C66FF867C}">
                  <a14:compatExt spid="_x0000_s52266"/>
                </a:ext>
                <a:ext uri="{FF2B5EF4-FFF2-40B4-BE49-F238E27FC236}">
                  <a16:creationId xmlns:a16="http://schemas.microsoft.com/office/drawing/2014/main" id="{00000000-0008-0000-2300-00002AC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52267" name="Button 43" hidden="1">
              <a:extLst>
                <a:ext uri="{63B3BB69-23CF-44E3-9099-C40C66FF867C}">
                  <a14:compatExt spid="_x0000_s52267"/>
                </a:ext>
                <a:ext uri="{FF2B5EF4-FFF2-40B4-BE49-F238E27FC236}">
                  <a16:creationId xmlns:a16="http://schemas.microsoft.com/office/drawing/2014/main" id="{00000000-0008-0000-2300-00002BC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52268" name="Button 44" hidden="1">
              <a:extLst>
                <a:ext uri="{63B3BB69-23CF-44E3-9099-C40C66FF867C}">
                  <a14:compatExt spid="_x0000_s52268"/>
                </a:ext>
                <a:ext uri="{FF2B5EF4-FFF2-40B4-BE49-F238E27FC236}">
                  <a16:creationId xmlns:a16="http://schemas.microsoft.com/office/drawing/2014/main" id="{00000000-0008-0000-2300-00002CC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52269" name="Button 45" hidden="1">
              <a:extLst>
                <a:ext uri="{63B3BB69-23CF-44E3-9099-C40C66FF867C}">
                  <a14:compatExt spid="_x0000_s52269"/>
                </a:ext>
                <a:ext uri="{FF2B5EF4-FFF2-40B4-BE49-F238E27FC236}">
                  <a16:creationId xmlns:a16="http://schemas.microsoft.com/office/drawing/2014/main" id="{00000000-0008-0000-2300-00002DC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52270" name="Button 46" hidden="1">
              <a:extLst>
                <a:ext uri="{63B3BB69-23CF-44E3-9099-C40C66FF867C}">
                  <a14:compatExt spid="_x0000_s52270"/>
                </a:ext>
                <a:ext uri="{FF2B5EF4-FFF2-40B4-BE49-F238E27FC236}">
                  <a16:creationId xmlns:a16="http://schemas.microsoft.com/office/drawing/2014/main" id="{00000000-0008-0000-2300-00002EC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52271" name="Button 47" hidden="1">
              <a:extLst>
                <a:ext uri="{63B3BB69-23CF-44E3-9099-C40C66FF867C}">
                  <a14:compatExt spid="_x0000_s52271"/>
                </a:ext>
                <a:ext uri="{FF2B5EF4-FFF2-40B4-BE49-F238E27FC236}">
                  <a16:creationId xmlns:a16="http://schemas.microsoft.com/office/drawing/2014/main" id="{00000000-0008-0000-2300-00002FC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52272" name="Button 48" hidden="1">
              <a:extLst>
                <a:ext uri="{63B3BB69-23CF-44E3-9099-C40C66FF867C}">
                  <a14:compatExt spid="_x0000_s52272"/>
                </a:ext>
                <a:ext uri="{FF2B5EF4-FFF2-40B4-BE49-F238E27FC236}">
                  <a16:creationId xmlns:a16="http://schemas.microsoft.com/office/drawing/2014/main" id="{00000000-0008-0000-2300-000030C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228600</xdr:colOff>
          <xdr:row>0</xdr:row>
          <xdr:rowOff>0</xdr:rowOff>
        </xdr:from>
        <xdr:to>
          <xdr:col>17</xdr:col>
          <xdr:colOff>6350</xdr:colOff>
          <xdr:row>2</xdr:row>
          <xdr:rowOff>6350</xdr:rowOff>
        </xdr:to>
        <xdr:sp macro="" textlink="">
          <xdr:nvSpPr>
            <xdr:cNvPr id="53253" name="Button 5" hidden="1">
              <a:extLst>
                <a:ext uri="{63B3BB69-23CF-44E3-9099-C40C66FF867C}">
                  <a14:compatExt spid="_x0000_s53253"/>
                </a:ext>
                <a:ext uri="{FF2B5EF4-FFF2-40B4-BE49-F238E27FC236}">
                  <a16:creationId xmlns:a16="http://schemas.microsoft.com/office/drawing/2014/main" id="{00000000-0008-0000-2400-000005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SEC_027000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53288" name="Button 40" hidden="1">
              <a:extLst>
                <a:ext uri="{63B3BB69-23CF-44E3-9099-C40C66FF867C}">
                  <a14:compatExt spid="_x0000_s53288"/>
                </a:ext>
                <a:ext uri="{FF2B5EF4-FFF2-40B4-BE49-F238E27FC236}">
                  <a16:creationId xmlns:a16="http://schemas.microsoft.com/office/drawing/2014/main" id="{00000000-0008-0000-2400-000028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53289" name="Button 41" hidden="1">
              <a:extLst>
                <a:ext uri="{63B3BB69-23CF-44E3-9099-C40C66FF867C}">
                  <a14:compatExt spid="_x0000_s53289"/>
                </a:ext>
                <a:ext uri="{FF2B5EF4-FFF2-40B4-BE49-F238E27FC236}">
                  <a16:creationId xmlns:a16="http://schemas.microsoft.com/office/drawing/2014/main" id="{00000000-0008-0000-2400-000029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53290" name="Button 42" hidden="1">
              <a:extLst>
                <a:ext uri="{63B3BB69-23CF-44E3-9099-C40C66FF867C}">
                  <a14:compatExt spid="_x0000_s53290"/>
                </a:ext>
                <a:ext uri="{FF2B5EF4-FFF2-40B4-BE49-F238E27FC236}">
                  <a16:creationId xmlns:a16="http://schemas.microsoft.com/office/drawing/2014/main" id="{00000000-0008-0000-2400-00002A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53291" name="Button 43" hidden="1">
              <a:extLst>
                <a:ext uri="{63B3BB69-23CF-44E3-9099-C40C66FF867C}">
                  <a14:compatExt spid="_x0000_s53291"/>
                </a:ext>
                <a:ext uri="{FF2B5EF4-FFF2-40B4-BE49-F238E27FC236}">
                  <a16:creationId xmlns:a16="http://schemas.microsoft.com/office/drawing/2014/main" id="{00000000-0008-0000-2400-00002B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53292" name="Button 44" hidden="1">
              <a:extLst>
                <a:ext uri="{63B3BB69-23CF-44E3-9099-C40C66FF867C}">
                  <a14:compatExt spid="_x0000_s53292"/>
                </a:ext>
                <a:ext uri="{FF2B5EF4-FFF2-40B4-BE49-F238E27FC236}">
                  <a16:creationId xmlns:a16="http://schemas.microsoft.com/office/drawing/2014/main" id="{00000000-0008-0000-2400-00002C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53293" name="Button 45" hidden="1">
              <a:extLst>
                <a:ext uri="{63B3BB69-23CF-44E3-9099-C40C66FF867C}">
                  <a14:compatExt spid="_x0000_s53293"/>
                </a:ext>
                <a:ext uri="{FF2B5EF4-FFF2-40B4-BE49-F238E27FC236}">
                  <a16:creationId xmlns:a16="http://schemas.microsoft.com/office/drawing/2014/main" id="{00000000-0008-0000-2400-00002D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53294" name="Button 46" hidden="1">
              <a:extLst>
                <a:ext uri="{63B3BB69-23CF-44E3-9099-C40C66FF867C}">
                  <a14:compatExt spid="_x0000_s53294"/>
                </a:ext>
                <a:ext uri="{FF2B5EF4-FFF2-40B4-BE49-F238E27FC236}">
                  <a16:creationId xmlns:a16="http://schemas.microsoft.com/office/drawing/2014/main" id="{00000000-0008-0000-2400-00002E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53295" name="Button 47" hidden="1">
              <a:extLst>
                <a:ext uri="{63B3BB69-23CF-44E3-9099-C40C66FF867C}">
                  <a14:compatExt spid="_x0000_s53295"/>
                </a:ext>
                <a:ext uri="{FF2B5EF4-FFF2-40B4-BE49-F238E27FC236}">
                  <a16:creationId xmlns:a16="http://schemas.microsoft.com/office/drawing/2014/main" id="{00000000-0008-0000-2400-00002F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228600</xdr:colOff>
          <xdr:row>0</xdr:row>
          <xdr:rowOff>0</xdr:rowOff>
        </xdr:from>
        <xdr:to>
          <xdr:col>17</xdr:col>
          <xdr:colOff>6350</xdr:colOff>
          <xdr:row>2</xdr:row>
          <xdr:rowOff>6350</xdr:rowOff>
        </xdr:to>
        <xdr:sp macro="" textlink="">
          <xdr:nvSpPr>
            <xdr:cNvPr id="54277" name="Button 5" hidden="1">
              <a:extLst>
                <a:ext uri="{63B3BB69-23CF-44E3-9099-C40C66FF867C}">
                  <a14:compatExt spid="_x0000_s54277"/>
                </a:ext>
                <a:ext uri="{FF2B5EF4-FFF2-40B4-BE49-F238E27FC236}">
                  <a16:creationId xmlns:a16="http://schemas.microsoft.com/office/drawing/2014/main" id="{00000000-0008-0000-2500-000005D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SEC_028000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54327" name="Button 55" hidden="1">
              <a:extLst>
                <a:ext uri="{63B3BB69-23CF-44E3-9099-C40C66FF867C}">
                  <a14:compatExt spid="_x0000_s54327"/>
                </a:ext>
                <a:ext uri="{FF2B5EF4-FFF2-40B4-BE49-F238E27FC236}">
                  <a16:creationId xmlns:a16="http://schemas.microsoft.com/office/drawing/2014/main" id="{00000000-0008-0000-2500-000037D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54328" name="Button 56" hidden="1">
              <a:extLst>
                <a:ext uri="{63B3BB69-23CF-44E3-9099-C40C66FF867C}">
                  <a14:compatExt spid="_x0000_s54328"/>
                </a:ext>
                <a:ext uri="{FF2B5EF4-FFF2-40B4-BE49-F238E27FC236}">
                  <a16:creationId xmlns:a16="http://schemas.microsoft.com/office/drawing/2014/main" id="{00000000-0008-0000-2500-000038D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54329" name="Button 57" hidden="1">
              <a:extLst>
                <a:ext uri="{63B3BB69-23CF-44E3-9099-C40C66FF867C}">
                  <a14:compatExt spid="_x0000_s54329"/>
                </a:ext>
                <a:ext uri="{FF2B5EF4-FFF2-40B4-BE49-F238E27FC236}">
                  <a16:creationId xmlns:a16="http://schemas.microsoft.com/office/drawing/2014/main" id="{00000000-0008-0000-2500-000039D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54330" name="Button 58" hidden="1">
              <a:extLst>
                <a:ext uri="{63B3BB69-23CF-44E3-9099-C40C66FF867C}">
                  <a14:compatExt spid="_x0000_s54330"/>
                </a:ext>
                <a:ext uri="{FF2B5EF4-FFF2-40B4-BE49-F238E27FC236}">
                  <a16:creationId xmlns:a16="http://schemas.microsoft.com/office/drawing/2014/main" id="{00000000-0008-0000-2500-00003AD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54331" name="Button 59" hidden="1">
              <a:extLst>
                <a:ext uri="{63B3BB69-23CF-44E3-9099-C40C66FF867C}">
                  <a14:compatExt spid="_x0000_s54331"/>
                </a:ext>
                <a:ext uri="{FF2B5EF4-FFF2-40B4-BE49-F238E27FC236}">
                  <a16:creationId xmlns:a16="http://schemas.microsoft.com/office/drawing/2014/main" id="{00000000-0008-0000-2500-00003BD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54332" name="Button 60" hidden="1">
              <a:extLst>
                <a:ext uri="{63B3BB69-23CF-44E3-9099-C40C66FF867C}">
                  <a14:compatExt spid="_x0000_s54332"/>
                </a:ext>
                <a:ext uri="{FF2B5EF4-FFF2-40B4-BE49-F238E27FC236}">
                  <a16:creationId xmlns:a16="http://schemas.microsoft.com/office/drawing/2014/main" id="{00000000-0008-0000-2500-00003CD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54333" name="Button 61" hidden="1">
              <a:extLst>
                <a:ext uri="{63B3BB69-23CF-44E3-9099-C40C66FF867C}">
                  <a14:compatExt spid="_x0000_s54333"/>
                </a:ext>
                <a:ext uri="{FF2B5EF4-FFF2-40B4-BE49-F238E27FC236}">
                  <a16:creationId xmlns:a16="http://schemas.microsoft.com/office/drawing/2014/main" id="{00000000-0008-0000-2500-00003DD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54334" name="Button 62" hidden="1">
              <a:extLst>
                <a:ext uri="{63B3BB69-23CF-44E3-9099-C40C66FF867C}">
                  <a14:compatExt spid="_x0000_s54334"/>
                </a:ext>
                <a:ext uri="{FF2B5EF4-FFF2-40B4-BE49-F238E27FC236}">
                  <a16:creationId xmlns:a16="http://schemas.microsoft.com/office/drawing/2014/main" id="{00000000-0008-0000-2500-00003ED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228600</xdr:colOff>
          <xdr:row>0</xdr:row>
          <xdr:rowOff>0</xdr:rowOff>
        </xdr:from>
        <xdr:to>
          <xdr:col>17</xdr:col>
          <xdr:colOff>19050</xdr:colOff>
          <xdr:row>2</xdr:row>
          <xdr:rowOff>12700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2600-000001D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DIV_03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44450</xdr:colOff>
          <xdr:row>2</xdr:row>
          <xdr:rowOff>12700</xdr:rowOff>
        </xdr:to>
        <xdr:sp macro="" textlink="">
          <xdr:nvSpPr>
            <xdr:cNvPr id="55318" name="Button 22" hidden="1">
              <a:extLst>
                <a:ext uri="{63B3BB69-23CF-44E3-9099-C40C66FF867C}">
                  <a14:compatExt spid="_x0000_s55318"/>
                </a:ext>
                <a:ext uri="{FF2B5EF4-FFF2-40B4-BE49-F238E27FC236}">
                  <a16:creationId xmlns:a16="http://schemas.microsoft.com/office/drawing/2014/main" id="{00000000-0008-0000-2600-000016D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184150</xdr:rowOff>
        </xdr:from>
        <xdr:to>
          <xdr:col>19</xdr:col>
          <xdr:colOff>50800</xdr:colOff>
          <xdr:row>5</xdr:row>
          <xdr:rowOff>19050</xdr:rowOff>
        </xdr:to>
        <xdr:sp macro="" textlink="">
          <xdr:nvSpPr>
            <xdr:cNvPr id="55319" name="Button 23" hidden="1">
              <a:extLst>
                <a:ext uri="{63B3BB69-23CF-44E3-9099-C40C66FF867C}">
                  <a14:compatExt spid="_x0000_s55319"/>
                </a:ext>
                <a:ext uri="{FF2B5EF4-FFF2-40B4-BE49-F238E27FC236}">
                  <a16:creationId xmlns:a16="http://schemas.microsoft.com/office/drawing/2014/main" id="{00000000-0008-0000-2600-000017D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55320" name="Button 24" hidden="1">
              <a:extLst>
                <a:ext uri="{63B3BB69-23CF-44E3-9099-C40C66FF867C}">
                  <a14:compatExt spid="_x0000_s55320"/>
                </a:ext>
                <a:ext uri="{FF2B5EF4-FFF2-40B4-BE49-F238E27FC236}">
                  <a16:creationId xmlns:a16="http://schemas.microsoft.com/office/drawing/2014/main" id="{00000000-0008-0000-2600-000018D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55321" name="Button 25" hidden="1">
              <a:extLst>
                <a:ext uri="{63B3BB69-23CF-44E3-9099-C40C66FF867C}">
                  <a14:compatExt spid="_x0000_s55321"/>
                </a:ext>
                <a:ext uri="{FF2B5EF4-FFF2-40B4-BE49-F238E27FC236}">
                  <a16:creationId xmlns:a16="http://schemas.microsoft.com/office/drawing/2014/main" id="{00000000-0008-0000-2600-000019D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55322" name="Button 26" hidden="1">
              <a:extLst>
                <a:ext uri="{63B3BB69-23CF-44E3-9099-C40C66FF867C}">
                  <a14:compatExt spid="_x0000_s55322"/>
                </a:ext>
                <a:ext uri="{FF2B5EF4-FFF2-40B4-BE49-F238E27FC236}">
                  <a16:creationId xmlns:a16="http://schemas.microsoft.com/office/drawing/2014/main" id="{00000000-0008-0000-2600-00001AD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177800</xdr:rowOff>
        </xdr:from>
        <xdr:to>
          <xdr:col>19</xdr:col>
          <xdr:colOff>50800</xdr:colOff>
          <xdr:row>17</xdr:row>
          <xdr:rowOff>6350</xdr:rowOff>
        </xdr:to>
        <xdr:sp macro="" textlink="">
          <xdr:nvSpPr>
            <xdr:cNvPr id="55323" name="Button 27" hidden="1">
              <a:extLst>
                <a:ext uri="{63B3BB69-23CF-44E3-9099-C40C66FF867C}">
                  <a14:compatExt spid="_x0000_s55323"/>
                </a:ext>
                <a:ext uri="{FF2B5EF4-FFF2-40B4-BE49-F238E27FC236}">
                  <a16:creationId xmlns:a16="http://schemas.microsoft.com/office/drawing/2014/main" id="{00000000-0008-0000-2600-00001BD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18</xdr:row>
          <xdr:rowOff>0</xdr:rowOff>
        </xdr:from>
        <xdr:to>
          <xdr:col>19</xdr:col>
          <xdr:colOff>50800</xdr:colOff>
          <xdr:row>20</xdr:row>
          <xdr:rowOff>12700</xdr:rowOff>
        </xdr:to>
        <xdr:sp macro="" textlink="">
          <xdr:nvSpPr>
            <xdr:cNvPr id="55324" name="Button 28" hidden="1">
              <a:extLst>
                <a:ext uri="{63B3BB69-23CF-44E3-9099-C40C66FF867C}">
                  <a14:compatExt spid="_x0000_s55324"/>
                </a:ext>
                <a:ext uri="{FF2B5EF4-FFF2-40B4-BE49-F238E27FC236}">
                  <a16:creationId xmlns:a16="http://schemas.microsoft.com/office/drawing/2014/main" id="{00000000-0008-0000-2600-00001CD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6350</xdr:rowOff>
        </xdr:from>
        <xdr:to>
          <xdr:col>19</xdr:col>
          <xdr:colOff>50800</xdr:colOff>
          <xdr:row>23</xdr:row>
          <xdr:rowOff>19050</xdr:rowOff>
        </xdr:to>
        <xdr:sp macro="" textlink="">
          <xdr:nvSpPr>
            <xdr:cNvPr id="55325" name="Button 29" hidden="1">
              <a:extLst>
                <a:ext uri="{63B3BB69-23CF-44E3-9099-C40C66FF867C}">
                  <a14:compatExt spid="_x0000_s55325"/>
                </a:ext>
                <a:ext uri="{FF2B5EF4-FFF2-40B4-BE49-F238E27FC236}">
                  <a16:creationId xmlns:a16="http://schemas.microsoft.com/office/drawing/2014/main" id="{00000000-0008-0000-2600-00001DD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2</xdr:row>
          <xdr:rowOff>50800</xdr:rowOff>
        </xdr:from>
        <xdr:to>
          <xdr:col>19</xdr:col>
          <xdr:colOff>44450</xdr:colOff>
          <xdr:row>4</xdr:row>
          <xdr:rowOff>95250</xdr:rowOff>
        </xdr:to>
        <xdr:sp macro="" textlink="">
          <xdr:nvSpPr>
            <xdr:cNvPr id="434177" name="Button 1" hidden="1">
              <a:extLst>
                <a:ext uri="{63B3BB69-23CF-44E3-9099-C40C66FF867C}">
                  <a14:compatExt spid="_x0000_s434177"/>
                </a:ext>
                <a:ext uri="{FF2B5EF4-FFF2-40B4-BE49-F238E27FC236}">
                  <a16:creationId xmlns:a16="http://schemas.microsoft.com/office/drawing/2014/main" id="{00000000-0008-0000-2700-000001A0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5</xdr:row>
          <xdr:rowOff>50800</xdr:rowOff>
        </xdr:from>
        <xdr:to>
          <xdr:col>19</xdr:col>
          <xdr:colOff>44450</xdr:colOff>
          <xdr:row>7</xdr:row>
          <xdr:rowOff>57150</xdr:rowOff>
        </xdr:to>
        <xdr:sp macro="" textlink="">
          <xdr:nvSpPr>
            <xdr:cNvPr id="434178" name="Button 2" hidden="1">
              <a:extLst>
                <a:ext uri="{63B3BB69-23CF-44E3-9099-C40C66FF867C}">
                  <a14:compatExt spid="_x0000_s434178"/>
                </a:ext>
                <a:ext uri="{FF2B5EF4-FFF2-40B4-BE49-F238E27FC236}">
                  <a16:creationId xmlns:a16="http://schemas.microsoft.com/office/drawing/2014/main" id="{00000000-0008-0000-2700-000002A0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7</xdr:row>
          <xdr:rowOff>177800</xdr:rowOff>
        </xdr:from>
        <xdr:to>
          <xdr:col>19</xdr:col>
          <xdr:colOff>44450</xdr:colOff>
          <xdr:row>9</xdr:row>
          <xdr:rowOff>177800</xdr:rowOff>
        </xdr:to>
        <xdr:sp macro="" textlink="">
          <xdr:nvSpPr>
            <xdr:cNvPr id="434179" name="Button 3" hidden="1">
              <a:extLst>
                <a:ext uri="{63B3BB69-23CF-44E3-9099-C40C66FF867C}">
                  <a14:compatExt spid="_x0000_s434179"/>
                </a:ext>
                <a:ext uri="{FF2B5EF4-FFF2-40B4-BE49-F238E27FC236}">
                  <a16:creationId xmlns:a16="http://schemas.microsoft.com/office/drawing/2014/main" id="{00000000-0008-0000-2700-000003A0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44450</xdr:colOff>
          <xdr:row>2</xdr:row>
          <xdr:rowOff>6350</xdr:rowOff>
        </xdr:to>
        <xdr:sp macro="" textlink="">
          <xdr:nvSpPr>
            <xdr:cNvPr id="434180" name="Button 4" hidden="1">
              <a:extLst>
                <a:ext uri="{63B3BB69-23CF-44E3-9099-C40C66FF867C}">
                  <a14:compatExt spid="_x0000_s434180"/>
                </a:ext>
                <a:ext uri="{FF2B5EF4-FFF2-40B4-BE49-F238E27FC236}">
                  <a16:creationId xmlns:a16="http://schemas.microsoft.com/office/drawing/2014/main" id="{00000000-0008-0000-2700-000004A0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Refresh View</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603250</xdr:colOff>
          <xdr:row>0</xdr:row>
          <xdr:rowOff>0</xdr:rowOff>
        </xdr:from>
        <xdr:to>
          <xdr:col>19</xdr:col>
          <xdr:colOff>44450</xdr:colOff>
          <xdr:row>2</xdr:row>
          <xdr:rowOff>12700</xdr:rowOff>
        </xdr:to>
        <xdr:sp macro="" textlink="">
          <xdr:nvSpPr>
            <xdr:cNvPr id="378887" name="Button 7" hidden="1">
              <a:extLst>
                <a:ext uri="{63B3BB69-23CF-44E3-9099-C40C66FF867C}">
                  <a14:compatExt spid="_x0000_s378887"/>
                </a:ext>
                <a:ext uri="{FF2B5EF4-FFF2-40B4-BE49-F238E27FC236}">
                  <a16:creationId xmlns:a16="http://schemas.microsoft.com/office/drawing/2014/main" id="{00000000-0008-0000-2800-000007C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603250</xdr:colOff>
          <xdr:row>2</xdr:row>
          <xdr:rowOff>38100</xdr:rowOff>
        </xdr:from>
        <xdr:to>
          <xdr:col>19</xdr:col>
          <xdr:colOff>44450</xdr:colOff>
          <xdr:row>4</xdr:row>
          <xdr:rowOff>50800</xdr:rowOff>
        </xdr:to>
        <xdr:sp macro="" textlink="">
          <xdr:nvSpPr>
            <xdr:cNvPr id="378888" name="Button 8" hidden="1">
              <a:extLst>
                <a:ext uri="{63B3BB69-23CF-44E3-9099-C40C66FF867C}">
                  <a14:compatExt spid="_x0000_s378888"/>
                </a:ext>
                <a:ext uri="{FF2B5EF4-FFF2-40B4-BE49-F238E27FC236}">
                  <a16:creationId xmlns:a16="http://schemas.microsoft.com/office/drawing/2014/main" id="{00000000-0008-0000-2800-000008C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603250</xdr:colOff>
          <xdr:row>4</xdr:row>
          <xdr:rowOff>76200</xdr:rowOff>
        </xdr:from>
        <xdr:to>
          <xdr:col>19</xdr:col>
          <xdr:colOff>44450</xdr:colOff>
          <xdr:row>6</xdr:row>
          <xdr:rowOff>88900</xdr:rowOff>
        </xdr:to>
        <xdr:sp macro="" textlink="">
          <xdr:nvSpPr>
            <xdr:cNvPr id="378889" name="Button 9" hidden="1">
              <a:extLst>
                <a:ext uri="{63B3BB69-23CF-44E3-9099-C40C66FF867C}">
                  <a14:compatExt spid="_x0000_s378889"/>
                </a:ext>
                <a:ext uri="{FF2B5EF4-FFF2-40B4-BE49-F238E27FC236}">
                  <a16:creationId xmlns:a16="http://schemas.microsoft.com/office/drawing/2014/main" id="{00000000-0008-0000-2800-000009C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44450</xdr:rowOff>
        </xdr:from>
        <xdr:to>
          <xdr:col>19</xdr:col>
          <xdr:colOff>50800</xdr:colOff>
          <xdr:row>2</xdr:row>
          <xdr:rowOff>57150</xdr:rowOff>
        </xdr:to>
        <xdr:sp macro="" textlink="">
          <xdr:nvSpPr>
            <xdr:cNvPr id="435201" name="Button 1" hidden="1">
              <a:extLst>
                <a:ext uri="{63B3BB69-23CF-44E3-9099-C40C66FF867C}">
                  <a14:compatExt spid="_x0000_s435201"/>
                </a:ext>
                <a:ext uri="{FF2B5EF4-FFF2-40B4-BE49-F238E27FC236}">
                  <a16:creationId xmlns:a16="http://schemas.microsoft.com/office/drawing/2014/main" id="{00000000-0008-0000-2900-000001A4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234950</xdr:colOff>
          <xdr:row>0</xdr:row>
          <xdr:rowOff>0</xdr:rowOff>
        </xdr:from>
        <xdr:to>
          <xdr:col>17</xdr:col>
          <xdr:colOff>19050</xdr:colOff>
          <xdr:row>2</xdr:row>
          <xdr:rowOff>6350</xdr:rowOff>
        </xdr:to>
        <xdr:sp macro="" textlink="">
          <xdr:nvSpPr>
            <xdr:cNvPr id="60421" name="Button 5" hidden="1">
              <a:extLst>
                <a:ext uri="{63B3BB69-23CF-44E3-9099-C40C66FF867C}">
                  <a14:compatExt spid="_x0000_s60421"/>
                </a:ext>
                <a:ext uri="{FF2B5EF4-FFF2-40B4-BE49-F238E27FC236}">
                  <a16:creationId xmlns:a16="http://schemas.microsoft.com/office/drawing/2014/main" id="{00000000-0008-0000-2B00-000005E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SEC_031000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60478" name="Button 62" hidden="1">
              <a:extLst>
                <a:ext uri="{63B3BB69-23CF-44E3-9099-C40C66FF867C}">
                  <a14:compatExt spid="_x0000_s60478"/>
                </a:ext>
                <a:ext uri="{FF2B5EF4-FFF2-40B4-BE49-F238E27FC236}">
                  <a16:creationId xmlns:a16="http://schemas.microsoft.com/office/drawing/2014/main" id="{00000000-0008-0000-2B00-00003EE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60479" name="Button 63" hidden="1">
              <a:extLst>
                <a:ext uri="{63B3BB69-23CF-44E3-9099-C40C66FF867C}">
                  <a14:compatExt spid="_x0000_s60479"/>
                </a:ext>
                <a:ext uri="{FF2B5EF4-FFF2-40B4-BE49-F238E27FC236}">
                  <a16:creationId xmlns:a16="http://schemas.microsoft.com/office/drawing/2014/main" id="{00000000-0008-0000-2B00-00003FE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60480" name="Button 64" hidden="1">
              <a:extLst>
                <a:ext uri="{63B3BB69-23CF-44E3-9099-C40C66FF867C}">
                  <a14:compatExt spid="_x0000_s60480"/>
                </a:ext>
                <a:ext uri="{FF2B5EF4-FFF2-40B4-BE49-F238E27FC236}">
                  <a16:creationId xmlns:a16="http://schemas.microsoft.com/office/drawing/2014/main" id="{00000000-0008-0000-2B00-000040E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60481" name="Button 65" hidden="1">
              <a:extLst>
                <a:ext uri="{63B3BB69-23CF-44E3-9099-C40C66FF867C}">
                  <a14:compatExt spid="_x0000_s60481"/>
                </a:ext>
                <a:ext uri="{FF2B5EF4-FFF2-40B4-BE49-F238E27FC236}">
                  <a16:creationId xmlns:a16="http://schemas.microsoft.com/office/drawing/2014/main" id="{00000000-0008-0000-2B00-000041E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60482" name="Button 66" hidden="1">
              <a:extLst>
                <a:ext uri="{63B3BB69-23CF-44E3-9099-C40C66FF867C}">
                  <a14:compatExt spid="_x0000_s60482"/>
                </a:ext>
                <a:ext uri="{FF2B5EF4-FFF2-40B4-BE49-F238E27FC236}">
                  <a16:creationId xmlns:a16="http://schemas.microsoft.com/office/drawing/2014/main" id="{00000000-0008-0000-2B00-000042E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60483" name="Button 67" hidden="1">
              <a:extLst>
                <a:ext uri="{63B3BB69-23CF-44E3-9099-C40C66FF867C}">
                  <a14:compatExt spid="_x0000_s60483"/>
                </a:ext>
                <a:ext uri="{FF2B5EF4-FFF2-40B4-BE49-F238E27FC236}">
                  <a16:creationId xmlns:a16="http://schemas.microsoft.com/office/drawing/2014/main" id="{00000000-0008-0000-2B00-000043E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60484" name="Button 68" hidden="1">
              <a:extLst>
                <a:ext uri="{63B3BB69-23CF-44E3-9099-C40C66FF867C}">
                  <a14:compatExt spid="_x0000_s60484"/>
                </a:ext>
                <a:ext uri="{FF2B5EF4-FFF2-40B4-BE49-F238E27FC236}">
                  <a16:creationId xmlns:a16="http://schemas.microsoft.com/office/drawing/2014/main" id="{00000000-0008-0000-2B00-000044E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60485" name="Button 69" hidden="1">
              <a:extLst>
                <a:ext uri="{63B3BB69-23CF-44E3-9099-C40C66FF867C}">
                  <a14:compatExt spid="_x0000_s60485"/>
                </a:ext>
                <a:ext uri="{FF2B5EF4-FFF2-40B4-BE49-F238E27FC236}">
                  <a16:creationId xmlns:a16="http://schemas.microsoft.com/office/drawing/2014/main" id="{00000000-0008-0000-2B00-000045E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234950</xdr:colOff>
          <xdr:row>0</xdr:row>
          <xdr:rowOff>0</xdr:rowOff>
        </xdr:from>
        <xdr:to>
          <xdr:col>17</xdr:col>
          <xdr:colOff>19050</xdr:colOff>
          <xdr:row>2</xdr:row>
          <xdr:rowOff>6350</xdr:rowOff>
        </xdr:to>
        <xdr:sp macro="" textlink="">
          <xdr:nvSpPr>
            <xdr:cNvPr id="61445" name="Button 5" hidden="1">
              <a:extLst>
                <a:ext uri="{63B3BB69-23CF-44E3-9099-C40C66FF867C}">
                  <a14:compatExt spid="_x0000_s61445"/>
                </a:ext>
                <a:ext uri="{FF2B5EF4-FFF2-40B4-BE49-F238E27FC236}">
                  <a16:creationId xmlns:a16="http://schemas.microsoft.com/office/drawing/2014/main" id="{00000000-0008-0000-2C00-000005F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SEC_032000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61502" name="Button 62" hidden="1">
              <a:extLst>
                <a:ext uri="{63B3BB69-23CF-44E3-9099-C40C66FF867C}">
                  <a14:compatExt spid="_x0000_s61502"/>
                </a:ext>
                <a:ext uri="{FF2B5EF4-FFF2-40B4-BE49-F238E27FC236}">
                  <a16:creationId xmlns:a16="http://schemas.microsoft.com/office/drawing/2014/main" id="{00000000-0008-0000-2C00-00003EF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61503" name="Button 63" hidden="1">
              <a:extLst>
                <a:ext uri="{63B3BB69-23CF-44E3-9099-C40C66FF867C}">
                  <a14:compatExt spid="_x0000_s61503"/>
                </a:ext>
                <a:ext uri="{FF2B5EF4-FFF2-40B4-BE49-F238E27FC236}">
                  <a16:creationId xmlns:a16="http://schemas.microsoft.com/office/drawing/2014/main" id="{00000000-0008-0000-2C00-00003FF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61504" name="Button 64" hidden="1">
              <a:extLst>
                <a:ext uri="{63B3BB69-23CF-44E3-9099-C40C66FF867C}">
                  <a14:compatExt spid="_x0000_s61504"/>
                </a:ext>
                <a:ext uri="{FF2B5EF4-FFF2-40B4-BE49-F238E27FC236}">
                  <a16:creationId xmlns:a16="http://schemas.microsoft.com/office/drawing/2014/main" id="{00000000-0008-0000-2C00-000040F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61505" name="Button 65" hidden="1">
              <a:extLst>
                <a:ext uri="{63B3BB69-23CF-44E3-9099-C40C66FF867C}">
                  <a14:compatExt spid="_x0000_s61505"/>
                </a:ext>
                <a:ext uri="{FF2B5EF4-FFF2-40B4-BE49-F238E27FC236}">
                  <a16:creationId xmlns:a16="http://schemas.microsoft.com/office/drawing/2014/main" id="{00000000-0008-0000-2C00-000041F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61506" name="Button 66" hidden="1">
              <a:extLst>
                <a:ext uri="{63B3BB69-23CF-44E3-9099-C40C66FF867C}">
                  <a14:compatExt spid="_x0000_s61506"/>
                </a:ext>
                <a:ext uri="{FF2B5EF4-FFF2-40B4-BE49-F238E27FC236}">
                  <a16:creationId xmlns:a16="http://schemas.microsoft.com/office/drawing/2014/main" id="{00000000-0008-0000-2C00-000042F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61507" name="Button 67" hidden="1">
              <a:extLst>
                <a:ext uri="{63B3BB69-23CF-44E3-9099-C40C66FF867C}">
                  <a14:compatExt spid="_x0000_s61507"/>
                </a:ext>
                <a:ext uri="{FF2B5EF4-FFF2-40B4-BE49-F238E27FC236}">
                  <a16:creationId xmlns:a16="http://schemas.microsoft.com/office/drawing/2014/main" id="{00000000-0008-0000-2C00-000043F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61508" name="Button 68" hidden="1">
              <a:extLst>
                <a:ext uri="{63B3BB69-23CF-44E3-9099-C40C66FF867C}">
                  <a14:compatExt spid="_x0000_s61508"/>
                </a:ext>
                <a:ext uri="{FF2B5EF4-FFF2-40B4-BE49-F238E27FC236}">
                  <a16:creationId xmlns:a16="http://schemas.microsoft.com/office/drawing/2014/main" id="{00000000-0008-0000-2C00-000044F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61509" name="Button 69" hidden="1">
              <a:extLst>
                <a:ext uri="{63B3BB69-23CF-44E3-9099-C40C66FF867C}">
                  <a14:compatExt spid="_x0000_s61509"/>
                </a:ext>
                <a:ext uri="{FF2B5EF4-FFF2-40B4-BE49-F238E27FC236}">
                  <a16:creationId xmlns:a16="http://schemas.microsoft.com/office/drawing/2014/main" id="{00000000-0008-0000-2C00-000045F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209550</xdr:colOff>
          <xdr:row>0</xdr:row>
          <xdr:rowOff>0</xdr:rowOff>
        </xdr:from>
        <xdr:to>
          <xdr:col>16</xdr:col>
          <xdr:colOff>1479550</xdr:colOff>
          <xdr:row>2</xdr:row>
          <xdr:rowOff>12700</xdr:rowOff>
        </xdr:to>
        <xdr:sp macro="" textlink="">
          <xdr:nvSpPr>
            <xdr:cNvPr id="62602" name="Button 138" hidden="1">
              <a:extLst>
                <a:ext uri="{63B3BB69-23CF-44E3-9099-C40C66FF867C}">
                  <a14:compatExt spid="_x0000_s62602"/>
                </a:ext>
                <a:ext uri="{FF2B5EF4-FFF2-40B4-BE49-F238E27FC236}">
                  <a16:creationId xmlns:a16="http://schemas.microsoft.com/office/drawing/2014/main" id="{00000000-0008-0000-2D00-00008AF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SEC_033000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62631" name="Button 167" hidden="1">
              <a:extLst>
                <a:ext uri="{63B3BB69-23CF-44E3-9099-C40C66FF867C}">
                  <a14:compatExt spid="_x0000_s62631"/>
                </a:ext>
                <a:ext uri="{FF2B5EF4-FFF2-40B4-BE49-F238E27FC236}">
                  <a16:creationId xmlns:a16="http://schemas.microsoft.com/office/drawing/2014/main" id="{00000000-0008-0000-2D00-0000A7F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62632" name="Button 168" hidden="1">
              <a:extLst>
                <a:ext uri="{63B3BB69-23CF-44E3-9099-C40C66FF867C}">
                  <a14:compatExt spid="_x0000_s62632"/>
                </a:ext>
                <a:ext uri="{FF2B5EF4-FFF2-40B4-BE49-F238E27FC236}">
                  <a16:creationId xmlns:a16="http://schemas.microsoft.com/office/drawing/2014/main" id="{00000000-0008-0000-2D00-0000A8F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62633" name="Button 169" hidden="1">
              <a:extLst>
                <a:ext uri="{63B3BB69-23CF-44E3-9099-C40C66FF867C}">
                  <a14:compatExt spid="_x0000_s62633"/>
                </a:ext>
                <a:ext uri="{FF2B5EF4-FFF2-40B4-BE49-F238E27FC236}">
                  <a16:creationId xmlns:a16="http://schemas.microsoft.com/office/drawing/2014/main" id="{00000000-0008-0000-2D00-0000A9F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62634" name="Button 170" hidden="1">
              <a:extLst>
                <a:ext uri="{63B3BB69-23CF-44E3-9099-C40C66FF867C}">
                  <a14:compatExt spid="_x0000_s62634"/>
                </a:ext>
                <a:ext uri="{FF2B5EF4-FFF2-40B4-BE49-F238E27FC236}">
                  <a16:creationId xmlns:a16="http://schemas.microsoft.com/office/drawing/2014/main" id="{00000000-0008-0000-2D00-0000AAF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62635" name="Button 171" hidden="1">
              <a:extLst>
                <a:ext uri="{63B3BB69-23CF-44E3-9099-C40C66FF867C}">
                  <a14:compatExt spid="_x0000_s62635"/>
                </a:ext>
                <a:ext uri="{FF2B5EF4-FFF2-40B4-BE49-F238E27FC236}">
                  <a16:creationId xmlns:a16="http://schemas.microsoft.com/office/drawing/2014/main" id="{00000000-0008-0000-2D00-0000ABF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62636" name="Button 172" hidden="1">
              <a:extLst>
                <a:ext uri="{63B3BB69-23CF-44E3-9099-C40C66FF867C}">
                  <a14:compatExt spid="_x0000_s62636"/>
                </a:ext>
                <a:ext uri="{FF2B5EF4-FFF2-40B4-BE49-F238E27FC236}">
                  <a16:creationId xmlns:a16="http://schemas.microsoft.com/office/drawing/2014/main" id="{00000000-0008-0000-2D00-0000ACF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62637" name="Button 173" hidden="1">
              <a:extLst>
                <a:ext uri="{63B3BB69-23CF-44E3-9099-C40C66FF867C}">
                  <a14:compatExt spid="_x0000_s62637"/>
                </a:ext>
                <a:ext uri="{FF2B5EF4-FFF2-40B4-BE49-F238E27FC236}">
                  <a16:creationId xmlns:a16="http://schemas.microsoft.com/office/drawing/2014/main" id="{00000000-0008-0000-2D00-0000ADF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62638" name="Button 174" hidden="1">
              <a:extLst>
                <a:ext uri="{63B3BB69-23CF-44E3-9099-C40C66FF867C}">
                  <a14:compatExt spid="_x0000_s62638"/>
                </a:ext>
                <a:ext uri="{FF2B5EF4-FFF2-40B4-BE49-F238E27FC236}">
                  <a16:creationId xmlns:a16="http://schemas.microsoft.com/office/drawing/2014/main" id="{00000000-0008-0000-2D00-0000AEF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209550</xdr:colOff>
          <xdr:row>0</xdr:row>
          <xdr:rowOff>0</xdr:rowOff>
        </xdr:from>
        <xdr:to>
          <xdr:col>16</xdr:col>
          <xdr:colOff>1479550</xdr:colOff>
          <xdr:row>2</xdr:row>
          <xdr:rowOff>6350</xdr:rowOff>
        </xdr:to>
        <xdr:sp macro="" textlink="">
          <xdr:nvSpPr>
            <xdr:cNvPr id="63493" name="Button 5" hidden="1">
              <a:extLst>
                <a:ext uri="{63B3BB69-23CF-44E3-9099-C40C66FF867C}">
                  <a14:compatExt spid="_x0000_s63493"/>
                </a:ext>
                <a:ext uri="{FF2B5EF4-FFF2-40B4-BE49-F238E27FC236}">
                  <a16:creationId xmlns:a16="http://schemas.microsoft.com/office/drawing/2014/main" id="{00000000-0008-0000-2E00-000005F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SEC_034000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63549" name="Button 61" hidden="1">
              <a:extLst>
                <a:ext uri="{63B3BB69-23CF-44E3-9099-C40C66FF867C}">
                  <a14:compatExt spid="_x0000_s63549"/>
                </a:ext>
                <a:ext uri="{FF2B5EF4-FFF2-40B4-BE49-F238E27FC236}">
                  <a16:creationId xmlns:a16="http://schemas.microsoft.com/office/drawing/2014/main" id="{00000000-0008-0000-2E00-00003DF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63550" name="Button 62" hidden="1">
              <a:extLst>
                <a:ext uri="{63B3BB69-23CF-44E3-9099-C40C66FF867C}">
                  <a14:compatExt spid="_x0000_s63550"/>
                </a:ext>
                <a:ext uri="{FF2B5EF4-FFF2-40B4-BE49-F238E27FC236}">
                  <a16:creationId xmlns:a16="http://schemas.microsoft.com/office/drawing/2014/main" id="{00000000-0008-0000-2E00-00003EF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63551" name="Button 63" hidden="1">
              <a:extLst>
                <a:ext uri="{63B3BB69-23CF-44E3-9099-C40C66FF867C}">
                  <a14:compatExt spid="_x0000_s63551"/>
                </a:ext>
                <a:ext uri="{FF2B5EF4-FFF2-40B4-BE49-F238E27FC236}">
                  <a16:creationId xmlns:a16="http://schemas.microsoft.com/office/drawing/2014/main" id="{00000000-0008-0000-2E00-00003FF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63552" name="Button 64" hidden="1">
              <a:extLst>
                <a:ext uri="{63B3BB69-23CF-44E3-9099-C40C66FF867C}">
                  <a14:compatExt spid="_x0000_s63552"/>
                </a:ext>
                <a:ext uri="{FF2B5EF4-FFF2-40B4-BE49-F238E27FC236}">
                  <a16:creationId xmlns:a16="http://schemas.microsoft.com/office/drawing/2014/main" id="{00000000-0008-0000-2E00-000040F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63553" name="Button 65" hidden="1">
              <a:extLst>
                <a:ext uri="{63B3BB69-23CF-44E3-9099-C40C66FF867C}">
                  <a14:compatExt spid="_x0000_s63553"/>
                </a:ext>
                <a:ext uri="{FF2B5EF4-FFF2-40B4-BE49-F238E27FC236}">
                  <a16:creationId xmlns:a16="http://schemas.microsoft.com/office/drawing/2014/main" id="{00000000-0008-0000-2E00-000041F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63554" name="Button 66" hidden="1">
              <a:extLst>
                <a:ext uri="{63B3BB69-23CF-44E3-9099-C40C66FF867C}">
                  <a14:compatExt spid="_x0000_s63554"/>
                </a:ext>
                <a:ext uri="{FF2B5EF4-FFF2-40B4-BE49-F238E27FC236}">
                  <a16:creationId xmlns:a16="http://schemas.microsoft.com/office/drawing/2014/main" id="{00000000-0008-0000-2E00-000042F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63555" name="Button 67" hidden="1">
              <a:extLst>
                <a:ext uri="{63B3BB69-23CF-44E3-9099-C40C66FF867C}">
                  <a14:compatExt spid="_x0000_s63555"/>
                </a:ext>
                <a:ext uri="{FF2B5EF4-FFF2-40B4-BE49-F238E27FC236}">
                  <a16:creationId xmlns:a16="http://schemas.microsoft.com/office/drawing/2014/main" id="{00000000-0008-0000-2E00-000043F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63556" name="Button 68" hidden="1">
              <a:extLst>
                <a:ext uri="{63B3BB69-23CF-44E3-9099-C40C66FF867C}">
                  <a14:compatExt spid="_x0000_s63556"/>
                </a:ext>
                <a:ext uri="{FF2B5EF4-FFF2-40B4-BE49-F238E27FC236}">
                  <a16:creationId xmlns:a16="http://schemas.microsoft.com/office/drawing/2014/main" id="{00000000-0008-0000-2E00-000044F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254000</xdr:colOff>
          <xdr:row>0</xdr:row>
          <xdr:rowOff>0</xdr:rowOff>
        </xdr:from>
        <xdr:to>
          <xdr:col>17</xdr:col>
          <xdr:colOff>31750</xdr:colOff>
          <xdr:row>2</xdr:row>
          <xdr:rowOff>6350</xdr:rowOff>
        </xdr:to>
        <xdr:sp macro="" textlink="">
          <xdr:nvSpPr>
            <xdr:cNvPr id="64517" name="Button 5" hidden="1">
              <a:extLst>
                <a:ext uri="{63B3BB69-23CF-44E3-9099-C40C66FF867C}">
                  <a14:compatExt spid="_x0000_s64517"/>
                </a:ext>
                <a:ext uri="{FF2B5EF4-FFF2-40B4-BE49-F238E27FC236}">
                  <a16:creationId xmlns:a16="http://schemas.microsoft.com/office/drawing/2014/main" id="{00000000-0008-0000-2F00-000005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SEC_035000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64552" name="Button 40" hidden="1">
              <a:extLst>
                <a:ext uri="{63B3BB69-23CF-44E3-9099-C40C66FF867C}">
                  <a14:compatExt spid="_x0000_s64552"/>
                </a:ext>
                <a:ext uri="{FF2B5EF4-FFF2-40B4-BE49-F238E27FC236}">
                  <a16:creationId xmlns:a16="http://schemas.microsoft.com/office/drawing/2014/main" id="{00000000-0008-0000-2F00-000028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64553" name="Button 41" hidden="1">
              <a:extLst>
                <a:ext uri="{63B3BB69-23CF-44E3-9099-C40C66FF867C}">
                  <a14:compatExt spid="_x0000_s64553"/>
                </a:ext>
                <a:ext uri="{FF2B5EF4-FFF2-40B4-BE49-F238E27FC236}">
                  <a16:creationId xmlns:a16="http://schemas.microsoft.com/office/drawing/2014/main" id="{00000000-0008-0000-2F00-000029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64554" name="Button 42" hidden="1">
              <a:extLst>
                <a:ext uri="{63B3BB69-23CF-44E3-9099-C40C66FF867C}">
                  <a14:compatExt spid="_x0000_s64554"/>
                </a:ext>
                <a:ext uri="{FF2B5EF4-FFF2-40B4-BE49-F238E27FC236}">
                  <a16:creationId xmlns:a16="http://schemas.microsoft.com/office/drawing/2014/main" id="{00000000-0008-0000-2F00-00002A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64555" name="Button 43" hidden="1">
              <a:extLst>
                <a:ext uri="{63B3BB69-23CF-44E3-9099-C40C66FF867C}">
                  <a14:compatExt spid="_x0000_s64555"/>
                </a:ext>
                <a:ext uri="{FF2B5EF4-FFF2-40B4-BE49-F238E27FC236}">
                  <a16:creationId xmlns:a16="http://schemas.microsoft.com/office/drawing/2014/main" id="{00000000-0008-0000-2F00-00002B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64556" name="Button 44" hidden="1">
              <a:extLst>
                <a:ext uri="{63B3BB69-23CF-44E3-9099-C40C66FF867C}">
                  <a14:compatExt spid="_x0000_s64556"/>
                </a:ext>
                <a:ext uri="{FF2B5EF4-FFF2-40B4-BE49-F238E27FC236}">
                  <a16:creationId xmlns:a16="http://schemas.microsoft.com/office/drawing/2014/main" id="{00000000-0008-0000-2F00-00002C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64557" name="Button 45" hidden="1">
              <a:extLst>
                <a:ext uri="{63B3BB69-23CF-44E3-9099-C40C66FF867C}">
                  <a14:compatExt spid="_x0000_s64557"/>
                </a:ext>
                <a:ext uri="{FF2B5EF4-FFF2-40B4-BE49-F238E27FC236}">
                  <a16:creationId xmlns:a16="http://schemas.microsoft.com/office/drawing/2014/main" id="{00000000-0008-0000-2F00-00002D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64558" name="Button 46" hidden="1">
              <a:extLst>
                <a:ext uri="{63B3BB69-23CF-44E3-9099-C40C66FF867C}">
                  <a14:compatExt spid="_x0000_s64558"/>
                </a:ext>
                <a:ext uri="{FF2B5EF4-FFF2-40B4-BE49-F238E27FC236}">
                  <a16:creationId xmlns:a16="http://schemas.microsoft.com/office/drawing/2014/main" id="{00000000-0008-0000-2F00-00002E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64559" name="Button 47" hidden="1">
              <a:extLst>
                <a:ext uri="{63B3BB69-23CF-44E3-9099-C40C66FF867C}">
                  <a14:compatExt spid="_x0000_s64559"/>
                </a:ext>
                <a:ext uri="{FF2B5EF4-FFF2-40B4-BE49-F238E27FC236}">
                  <a16:creationId xmlns:a16="http://schemas.microsoft.com/office/drawing/2014/main" id="{00000000-0008-0000-2F00-00002F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234950</xdr:colOff>
          <xdr:row>0</xdr:row>
          <xdr:rowOff>0</xdr:rowOff>
        </xdr:from>
        <xdr:to>
          <xdr:col>17</xdr:col>
          <xdr:colOff>19050</xdr:colOff>
          <xdr:row>2</xdr:row>
          <xdr:rowOff>6350</xdr:rowOff>
        </xdr:to>
        <xdr:sp macro="" textlink="">
          <xdr:nvSpPr>
            <xdr:cNvPr id="65541" name="Button 5" hidden="1">
              <a:extLst>
                <a:ext uri="{63B3BB69-23CF-44E3-9099-C40C66FF867C}">
                  <a14:compatExt spid="_x0000_s65541"/>
                </a:ext>
                <a:ext uri="{FF2B5EF4-FFF2-40B4-BE49-F238E27FC236}">
                  <a16:creationId xmlns:a16="http://schemas.microsoft.com/office/drawing/2014/main" id="{00000000-0008-0000-3000-0000050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SEC_036000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65577" name="Button 41" hidden="1">
              <a:extLst>
                <a:ext uri="{63B3BB69-23CF-44E3-9099-C40C66FF867C}">
                  <a14:compatExt spid="_x0000_s65577"/>
                </a:ext>
                <a:ext uri="{FF2B5EF4-FFF2-40B4-BE49-F238E27FC236}">
                  <a16:creationId xmlns:a16="http://schemas.microsoft.com/office/drawing/2014/main" id="{00000000-0008-0000-3000-0000290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65578" name="Button 42" hidden="1">
              <a:extLst>
                <a:ext uri="{63B3BB69-23CF-44E3-9099-C40C66FF867C}">
                  <a14:compatExt spid="_x0000_s65578"/>
                </a:ext>
                <a:ext uri="{FF2B5EF4-FFF2-40B4-BE49-F238E27FC236}">
                  <a16:creationId xmlns:a16="http://schemas.microsoft.com/office/drawing/2014/main" id="{00000000-0008-0000-3000-00002A0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65579" name="Button 43" hidden="1">
              <a:extLst>
                <a:ext uri="{63B3BB69-23CF-44E3-9099-C40C66FF867C}">
                  <a14:compatExt spid="_x0000_s65579"/>
                </a:ext>
                <a:ext uri="{FF2B5EF4-FFF2-40B4-BE49-F238E27FC236}">
                  <a16:creationId xmlns:a16="http://schemas.microsoft.com/office/drawing/2014/main" id="{00000000-0008-0000-3000-00002B0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65580" name="Button 44" hidden="1">
              <a:extLst>
                <a:ext uri="{63B3BB69-23CF-44E3-9099-C40C66FF867C}">
                  <a14:compatExt spid="_x0000_s65580"/>
                </a:ext>
                <a:ext uri="{FF2B5EF4-FFF2-40B4-BE49-F238E27FC236}">
                  <a16:creationId xmlns:a16="http://schemas.microsoft.com/office/drawing/2014/main" id="{00000000-0008-0000-3000-00002C0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65581" name="Button 45" hidden="1">
              <a:extLst>
                <a:ext uri="{63B3BB69-23CF-44E3-9099-C40C66FF867C}">
                  <a14:compatExt spid="_x0000_s65581"/>
                </a:ext>
                <a:ext uri="{FF2B5EF4-FFF2-40B4-BE49-F238E27FC236}">
                  <a16:creationId xmlns:a16="http://schemas.microsoft.com/office/drawing/2014/main" id="{00000000-0008-0000-3000-00002D0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65582" name="Button 46" hidden="1">
              <a:extLst>
                <a:ext uri="{63B3BB69-23CF-44E3-9099-C40C66FF867C}">
                  <a14:compatExt spid="_x0000_s65582"/>
                </a:ext>
                <a:ext uri="{FF2B5EF4-FFF2-40B4-BE49-F238E27FC236}">
                  <a16:creationId xmlns:a16="http://schemas.microsoft.com/office/drawing/2014/main" id="{00000000-0008-0000-3000-00002E0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65583" name="Button 47" hidden="1">
              <a:extLst>
                <a:ext uri="{63B3BB69-23CF-44E3-9099-C40C66FF867C}">
                  <a14:compatExt spid="_x0000_s65583"/>
                </a:ext>
                <a:ext uri="{FF2B5EF4-FFF2-40B4-BE49-F238E27FC236}">
                  <a16:creationId xmlns:a16="http://schemas.microsoft.com/office/drawing/2014/main" id="{00000000-0008-0000-3000-00002F0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65584" name="Button 48" hidden="1">
              <a:extLst>
                <a:ext uri="{63B3BB69-23CF-44E3-9099-C40C66FF867C}">
                  <a14:compatExt spid="_x0000_s65584"/>
                </a:ext>
                <a:ext uri="{FF2B5EF4-FFF2-40B4-BE49-F238E27FC236}">
                  <a16:creationId xmlns:a16="http://schemas.microsoft.com/office/drawing/2014/main" id="{00000000-0008-0000-3000-0000300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222250</xdr:colOff>
          <xdr:row>0</xdr:row>
          <xdr:rowOff>0</xdr:rowOff>
        </xdr:from>
        <xdr:to>
          <xdr:col>17</xdr:col>
          <xdr:colOff>0</xdr:colOff>
          <xdr:row>2</xdr:row>
          <xdr:rowOff>6350</xdr:rowOff>
        </xdr:to>
        <xdr:sp macro="" textlink="">
          <xdr:nvSpPr>
            <xdr:cNvPr id="66565" name="Button 5" hidden="1">
              <a:extLst>
                <a:ext uri="{63B3BB69-23CF-44E3-9099-C40C66FF867C}">
                  <a14:compatExt spid="_x0000_s66565"/>
                </a:ext>
                <a:ext uri="{FF2B5EF4-FFF2-40B4-BE49-F238E27FC236}">
                  <a16:creationId xmlns:a16="http://schemas.microsoft.com/office/drawing/2014/main" id="{00000000-0008-0000-3100-0000050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SEC_037000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66602" name="Button 42" hidden="1">
              <a:extLst>
                <a:ext uri="{63B3BB69-23CF-44E3-9099-C40C66FF867C}">
                  <a14:compatExt spid="_x0000_s66602"/>
                </a:ext>
                <a:ext uri="{FF2B5EF4-FFF2-40B4-BE49-F238E27FC236}">
                  <a16:creationId xmlns:a16="http://schemas.microsoft.com/office/drawing/2014/main" id="{00000000-0008-0000-3100-00002A0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66603" name="Button 43" hidden="1">
              <a:extLst>
                <a:ext uri="{63B3BB69-23CF-44E3-9099-C40C66FF867C}">
                  <a14:compatExt spid="_x0000_s66603"/>
                </a:ext>
                <a:ext uri="{FF2B5EF4-FFF2-40B4-BE49-F238E27FC236}">
                  <a16:creationId xmlns:a16="http://schemas.microsoft.com/office/drawing/2014/main" id="{00000000-0008-0000-3100-00002B0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66604" name="Button 44" hidden="1">
              <a:extLst>
                <a:ext uri="{63B3BB69-23CF-44E3-9099-C40C66FF867C}">
                  <a14:compatExt spid="_x0000_s66604"/>
                </a:ext>
                <a:ext uri="{FF2B5EF4-FFF2-40B4-BE49-F238E27FC236}">
                  <a16:creationId xmlns:a16="http://schemas.microsoft.com/office/drawing/2014/main" id="{00000000-0008-0000-3100-00002C0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66605" name="Button 45" hidden="1">
              <a:extLst>
                <a:ext uri="{63B3BB69-23CF-44E3-9099-C40C66FF867C}">
                  <a14:compatExt spid="_x0000_s66605"/>
                </a:ext>
                <a:ext uri="{FF2B5EF4-FFF2-40B4-BE49-F238E27FC236}">
                  <a16:creationId xmlns:a16="http://schemas.microsoft.com/office/drawing/2014/main" id="{00000000-0008-0000-3100-00002D0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66606" name="Button 46" hidden="1">
              <a:extLst>
                <a:ext uri="{63B3BB69-23CF-44E3-9099-C40C66FF867C}">
                  <a14:compatExt spid="_x0000_s66606"/>
                </a:ext>
                <a:ext uri="{FF2B5EF4-FFF2-40B4-BE49-F238E27FC236}">
                  <a16:creationId xmlns:a16="http://schemas.microsoft.com/office/drawing/2014/main" id="{00000000-0008-0000-3100-00002E0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66607" name="Button 47" hidden="1">
              <a:extLst>
                <a:ext uri="{63B3BB69-23CF-44E3-9099-C40C66FF867C}">
                  <a14:compatExt spid="_x0000_s66607"/>
                </a:ext>
                <a:ext uri="{FF2B5EF4-FFF2-40B4-BE49-F238E27FC236}">
                  <a16:creationId xmlns:a16="http://schemas.microsoft.com/office/drawing/2014/main" id="{00000000-0008-0000-3100-00002F0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66608" name="Button 48" hidden="1">
              <a:extLst>
                <a:ext uri="{63B3BB69-23CF-44E3-9099-C40C66FF867C}">
                  <a14:compatExt spid="_x0000_s66608"/>
                </a:ext>
                <a:ext uri="{FF2B5EF4-FFF2-40B4-BE49-F238E27FC236}">
                  <a16:creationId xmlns:a16="http://schemas.microsoft.com/office/drawing/2014/main" id="{00000000-0008-0000-3100-0000300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66609" name="Button 49" hidden="1">
              <a:extLst>
                <a:ext uri="{63B3BB69-23CF-44E3-9099-C40C66FF867C}">
                  <a14:compatExt spid="_x0000_s66609"/>
                </a:ext>
                <a:ext uri="{FF2B5EF4-FFF2-40B4-BE49-F238E27FC236}">
                  <a16:creationId xmlns:a16="http://schemas.microsoft.com/office/drawing/2014/main" id="{00000000-0008-0000-3100-0000310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209550</xdr:colOff>
          <xdr:row>0</xdr:row>
          <xdr:rowOff>0</xdr:rowOff>
        </xdr:from>
        <xdr:to>
          <xdr:col>16</xdr:col>
          <xdr:colOff>1479550</xdr:colOff>
          <xdr:row>2</xdr:row>
          <xdr:rowOff>6350</xdr:rowOff>
        </xdr:to>
        <xdr:sp macro="" textlink="">
          <xdr:nvSpPr>
            <xdr:cNvPr id="67589" name="Button 5" hidden="1">
              <a:extLst>
                <a:ext uri="{63B3BB69-23CF-44E3-9099-C40C66FF867C}">
                  <a14:compatExt spid="_x0000_s67589"/>
                </a:ext>
                <a:ext uri="{FF2B5EF4-FFF2-40B4-BE49-F238E27FC236}">
                  <a16:creationId xmlns:a16="http://schemas.microsoft.com/office/drawing/2014/main" id="{00000000-0008-0000-3200-0000050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SEC_038000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67650" name="Button 66" hidden="1">
              <a:extLst>
                <a:ext uri="{63B3BB69-23CF-44E3-9099-C40C66FF867C}">
                  <a14:compatExt spid="_x0000_s67650"/>
                </a:ext>
                <a:ext uri="{FF2B5EF4-FFF2-40B4-BE49-F238E27FC236}">
                  <a16:creationId xmlns:a16="http://schemas.microsoft.com/office/drawing/2014/main" id="{00000000-0008-0000-3200-0000420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67651" name="Button 67" hidden="1">
              <a:extLst>
                <a:ext uri="{63B3BB69-23CF-44E3-9099-C40C66FF867C}">
                  <a14:compatExt spid="_x0000_s67651"/>
                </a:ext>
                <a:ext uri="{FF2B5EF4-FFF2-40B4-BE49-F238E27FC236}">
                  <a16:creationId xmlns:a16="http://schemas.microsoft.com/office/drawing/2014/main" id="{00000000-0008-0000-3200-0000430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67652" name="Button 68" hidden="1">
              <a:extLst>
                <a:ext uri="{63B3BB69-23CF-44E3-9099-C40C66FF867C}">
                  <a14:compatExt spid="_x0000_s67652"/>
                </a:ext>
                <a:ext uri="{FF2B5EF4-FFF2-40B4-BE49-F238E27FC236}">
                  <a16:creationId xmlns:a16="http://schemas.microsoft.com/office/drawing/2014/main" id="{00000000-0008-0000-3200-0000440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67653" name="Button 69" hidden="1">
              <a:extLst>
                <a:ext uri="{63B3BB69-23CF-44E3-9099-C40C66FF867C}">
                  <a14:compatExt spid="_x0000_s67653"/>
                </a:ext>
                <a:ext uri="{FF2B5EF4-FFF2-40B4-BE49-F238E27FC236}">
                  <a16:creationId xmlns:a16="http://schemas.microsoft.com/office/drawing/2014/main" id="{00000000-0008-0000-3200-0000450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67654" name="Button 70" hidden="1">
              <a:extLst>
                <a:ext uri="{63B3BB69-23CF-44E3-9099-C40C66FF867C}">
                  <a14:compatExt spid="_x0000_s67654"/>
                </a:ext>
                <a:ext uri="{FF2B5EF4-FFF2-40B4-BE49-F238E27FC236}">
                  <a16:creationId xmlns:a16="http://schemas.microsoft.com/office/drawing/2014/main" id="{00000000-0008-0000-3200-0000460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67655" name="Button 71" hidden="1">
              <a:extLst>
                <a:ext uri="{63B3BB69-23CF-44E3-9099-C40C66FF867C}">
                  <a14:compatExt spid="_x0000_s67655"/>
                </a:ext>
                <a:ext uri="{FF2B5EF4-FFF2-40B4-BE49-F238E27FC236}">
                  <a16:creationId xmlns:a16="http://schemas.microsoft.com/office/drawing/2014/main" id="{00000000-0008-0000-3200-0000470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67656" name="Button 72" hidden="1">
              <a:extLst>
                <a:ext uri="{63B3BB69-23CF-44E3-9099-C40C66FF867C}">
                  <a14:compatExt spid="_x0000_s67656"/>
                </a:ext>
                <a:ext uri="{FF2B5EF4-FFF2-40B4-BE49-F238E27FC236}">
                  <a16:creationId xmlns:a16="http://schemas.microsoft.com/office/drawing/2014/main" id="{00000000-0008-0000-3200-0000480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67657" name="Button 73" hidden="1">
              <a:extLst>
                <a:ext uri="{63B3BB69-23CF-44E3-9099-C40C66FF867C}">
                  <a14:compatExt spid="_x0000_s67657"/>
                </a:ext>
                <a:ext uri="{FF2B5EF4-FFF2-40B4-BE49-F238E27FC236}">
                  <a16:creationId xmlns:a16="http://schemas.microsoft.com/office/drawing/2014/main" id="{00000000-0008-0000-3200-0000490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831850</xdr:colOff>
          <xdr:row>0</xdr:row>
          <xdr:rowOff>0</xdr:rowOff>
        </xdr:from>
        <xdr:to>
          <xdr:col>16</xdr:col>
          <xdr:colOff>1479550</xdr:colOff>
          <xdr:row>2</xdr:row>
          <xdr:rowOff>12700</xdr:rowOff>
        </xdr:to>
        <xdr:sp macro="" textlink="">
          <xdr:nvSpPr>
            <xdr:cNvPr id="288769" name="Button 1" hidden="1">
              <a:extLst>
                <a:ext uri="{63B3BB69-23CF-44E3-9099-C40C66FF867C}">
                  <a14:compatExt spid="_x0000_s288769"/>
                </a:ext>
                <a:ext uri="{FF2B5EF4-FFF2-40B4-BE49-F238E27FC236}">
                  <a16:creationId xmlns:a16="http://schemas.microsoft.com/office/drawing/2014/main" id="{00000000-0008-0000-3300-00000168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DIV_04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19050</xdr:rowOff>
        </xdr:to>
        <xdr:sp macro="" textlink="">
          <xdr:nvSpPr>
            <xdr:cNvPr id="288770" name="Button 2" hidden="1">
              <a:extLst>
                <a:ext uri="{63B3BB69-23CF-44E3-9099-C40C66FF867C}">
                  <a14:compatExt spid="_x0000_s288770"/>
                </a:ext>
                <a:ext uri="{FF2B5EF4-FFF2-40B4-BE49-F238E27FC236}">
                  <a16:creationId xmlns:a16="http://schemas.microsoft.com/office/drawing/2014/main" id="{00000000-0008-0000-3300-00000268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184150</xdr:rowOff>
        </xdr:from>
        <xdr:to>
          <xdr:col>19</xdr:col>
          <xdr:colOff>50800</xdr:colOff>
          <xdr:row>5</xdr:row>
          <xdr:rowOff>25400</xdr:rowOff>
        </xdr:to>
        <xdr:sp macro="" textlink="">
          <xdr:nvSpPr>
            <xdr:cNvPr id="288771" name="Button 3" hidden="1">
              <a:extLst>
                <a:ext uri="{63B3BB69-23CF-44E3-9099-C40C66FF867C}">
                  <a14:compatExt spid="_x0000_s288771"/>
                </a:ext>
                <a:ext uri="{FF2B5EF4-FFF2-40B4-BE49-F238E27FC236}">
                  <a16:creationId xmlns:a16="http://schemas.microsoft.com/office/drawing/2014/main" id="{00000000-0008-0000-3300-00000368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63500</xdr:rowOff>
        </xdr:to>
        <xdr:sp macro="" textlink="">
          <xdr:nvSpPr>
            <xdr:cNvPr id="288772" name="Button 4" hidden="1">
              <a:extLst>
                <a:ext uri="{63B3BB69-23CF-44E3-9099-C40C66FF867C}">
                  <a14:compatExt spid="_x0000_s288772"/>
                </a:ext>
                <a:ext uri="{FF2B5EF4-FFF2-40B4-BE49-F238E27FC236}">
                  <a16:creationId xmlns:a16="http://schemas.microsoft.com/office/drawing/2014/main" id="{00000000-0008-0000-3300-00000468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76200</xdr:rowOff>
        </xdr:to>
        <xdr:sp macro="" textlink="">
          <xdr:nvSpPr>
            <xdr:cNvPr id="288773" name="Button 5" hidden="1">
              <a:extLst>
                <a:ext uri="{63B3BB69-23CF-44E3-9099-C40C66FF867C}">
                  <a14:compatExt spid="_x0000_s288773"/>
                </a:ext>
                <a:ext uri="{FF2B5EF4-FFF2-40B4-BE49-F238E27FC236}">
                  <a16:creationId xmlns:a16="http://schemas.microsoft.com/office/drawing/2014/main" id="{00000000-0008-0000-3300-00000568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31750</xdr:rowOff>
        </xdr:to>
        <xdr:sp macro="" textlink="">
          <xdr:nvSpPr>
            <xdr:cNvPr id="288774" name="Button 6" hidden="1">
              <a:extLst>
                <a:ext uri="{63B3BB69-23CF-44E3-9099-C40C66FF867C}">
                  <a14:compatExt spid="_x0000_s288774"/>
                </a:ext>
                <a:ext uri="{FF2B5EF4-FFF2-40B4-BE49-F238E27FC236}">
                  <a16:creationId xmlns:a16="http://schemas.microsoft.com/office/drawing/2014/main" id="{00000000-0008-0000-3300-00000668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12700</xdr:rowOff>
        </xdr:from>
        <xdr:to>
          <xdr:col>19</xdr:col>
          <xdr:colOff>50800</xdr:colOff>
          <xdr:row>16</xdr:row>
          <xdr:rowOff>31750</xdr:rowOff>
        </xdr:to>
        <xdr:sp macro="" textlink="">
          <xdr:nvSpPr>
            <xdr:cNvPr id="288775" name="Button 7" hidden="1">
              <a:extLst>
                <a:ext uri="{63B3BB69-23CF-44E3-9099-C40C66FF867C}">
                  <a14:compatExt spid="_x0000_s288775"/>
                </a:ext>
                <a:ext uri="{FF2B5EF4-FFF2-40B4-BE49-F238E27FC236}">
                  <a16:creationId xmlns:a16="http://schemas.microsoft.com/office/drawing/2014/main" id="{00000000-0008-0000-3300-00000768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19050</xdr:rowOff>
        </xdr:from>
        <xdr:to>
          <xdr:col>19</xdr:col>
          <xdr:colOff>50800</xdr:colOff>
          <xdr:row>19</xdr:row>
          <xdr:rowOff>38100</xdr:rowOff>
        </xdr:to>
        <xdr:sp macro="" textlink="">
          <xdr:nvSpPr>
            <xdr:cNvPr id="288776" name="Button 8" hidden="1">
              <a:extLst>
                <a:ext uri="{63B3BB69-23CF-44E3-9099-C40C66FF867C}">
                  <a14:compatExt spid="_x0000_s288776"/>
                </a:ext>
                <a:ext uri="{FF2B5EF4-FFF2-40B4-BE49-F238E27FC236}">
                  <a16:creationId xmlns:a16="http://schemas.microsoft.com/office/drawing/2014/main" id="{00000000-0008-0000-3300-00000868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25400</xdr:rowOff>
        </xdr:from>
        <xdr:to>
          <xdr:col>19</xdr:col>
          <xdr:colOff>50800</xdr:colOff>
          <xdr:row>22</xdr:row>
          <xdr:rowOff>44450</xdr:rowOff>
        </xdr:to>
        <xdr:sp macro="" textlink="">
          <xdr:nvSpPr>
            <xdr:cNvPr id="288777" name="Button 9" hidden="1">
              <a:extLst>
                <a:ext uri="{63B3BB69-23CF-44E3-9099-C40C66FF867C}">
                  <a14:compatExt spid="_x0000_s288777"/>
                </a:ext>
                <a:ext uri="{FF2B5EF4-FFF2-40B4-BE49-F238E27FC236}">
                  <a16:creationId xmlns:a16="http://schemas.microsoft.com/office/drawing/2014/main" id="{00000000-0008-0000-3300-00000968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2</xdr:row>
          <xdr:rowOff>50800</xdr:rowOff>
        </xdr:from>
        <xdr:to>
          <xdr:col>19</xdr:col>
          <xdr:colOff>44450</xdr:colOff>
          <xdr:row>4</xdr:row>
          <xdr:rowOff>95250</xdr:rowOff>
        </xdr:to>
        <xdr:sp macro="" textlink="">
          <xdr:nvSpPr>
            <xdr:cNvPr id="291841" name="Button 1" hidden="1">
              <a:extLst>
                <a:ext uri="{63B3BB69-23CF-44E3-9099-C40C66FF867C}">
                  <a14:compatExt spid="_x0000_s291841"/>
                </a:ext>
                <a:ext uri="{FF2B5EF4-FFF2-40B4-BE49-F238E27FC236}">
                  <a16:creationId xmlns:a16="http://schemas.microsoft.com/office/drawing/2014/main" id="{00000000-0008-0000-3400-00000174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5</xdr:row>
          <xdr:rowOff>50800</xdr:rowOff>
        </xdr:from>
        <xdr:to>
          <xdr:col>19</xdr:col>
          <xdr:colOff>44450</xdr:colOff>
          <xdr:row>7</xdr:row>
          <xdr:rowOff>57150</xdr:rowOff>
        </xdr:to>
        <xdr:sp macro="" textlink="">
          <xdr:nvSpPr>
            <xdr:cNvPr id="291842" name="Button 2" hidden="1">
              <a:extLst>
                <a:ext uri="{63B3BB69-23CF-44E3-9099-C40C66FF867C}">
                  <a14:compatExt spid="_x0000_s291842"/>
                </a:ext>
                <a:ext uri="{FF2B5EF4-FFF2-40B4-BE49-F238E27FC236}">
                  <a16:creationId xmlns:a16="http://schemas.microsoft.com/office/drawing/2014/main" id="{00000000-0008-0000-3400-00000274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7</xdr:row>
          <xdr:rowOff>177800</xdr:rowOff>
        </xdr:from>
        <xdr:to>
          <xdr:col>19</xdr:col>
          <xdr:colOff>44450</xdr:colOff>
          <xdr:row>9</xdr:row>
          <xdr:rowOff>177800</xdr:rowOff>
        </xdr:to>
        <xdr:sp macro="" textlink="">
          <xdr:nvSpPr>
            <xdr:cNvPr id="291843" name="Button 3" hidden="1">
              <a:extLst>
                <a:ext uri="{63B3BB69-23CF-44E3-9099-C40C66FF867C}">
                  <a14:compatExt spid="_x0000_s291843"/>
                </a:ext>
                <a:ext uri="{FF2B5EF4-FFF2-40B4-BE49-F238E27FC236}">
                  <a16:creationId xmlns:a16="http://schemas.microsoft.com/office/drawing/2014/main" id="{00000000-0008-0000-3400-00000374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44450</xdr:colOff>
          <xdr:row>2</xdr:row>
          <xdr:rowOff>6350</xdr:rowOff>
        </xdr:to>
        <xdr:sp macro="" textlink="">
          <xdr:nvSpPr>
            <xdr:cNvPr id="291844" name="Button 4" hidden="1">
              <a:extLst>
                <a:ext uri="{63B3BB69-23CF-44E3-9099-C40C66FF867C}">
                  <a14:compatExt spid="_x0000_s291844"/>
                </a:ext>
                <a:ext uri="{FF2B5EF4-FFF2-40B4-BE49-F238E27FC236}">
                  <a16:creationId xmlns:a16="http://schemas.microsoft.com/office/drawing/2014/main" id="{00000000-0008-0000-3400-00000474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Refresh View</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603250</xdr:colOff>
          <xdr:row>0</xdr:row>
          <xdr:rowOff>0</xdr:rowOff>
        </xdr:from>
        <xdr:to>
          <xdr:col>19</xdr:col>
          <xdr:colOff>44450</xdr:colOff>
          <xdr:row>2</xdr:row>
          <xdr:rowOff>12700</xdr:rowOff>
        </xdr:to>
        <xdr:sp macro="" textlink="">
          <xdr:nvSpPr>
            <xdr:cNvPr id="292871" name="Button 7" hidden="1">
              <a:extLst>
                <a:ext uri="{63B3BB69-23CF-44E3-9099-C40C66FF867C}">
                  <a14:compatExt spid="_x0000_s292871"/>
                </a:ext>
                <a:ext uri="{FF2B5EF4-FFF2-40B4-BE49-F238E27FC236}">
                  <a16:creationId xmlns:a16="http://schemas.microsoft.com/office/drawing/2014/main" id="{00000000-0008-0000-3500-00000778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603250</xdr:colOff>
          <xdr:row>2</xdr:row>
          <xdr:rowOff>38100</xdr:rowOff>
        </xdr:from>
        <xdr:to>
          <xdr:col>19</xdr:col>
          <xdr:colOff>44450</xdr:colOff>
          <xdr:row>4</xdr:row>
          <xdr:rowOff>50800</xdr:rowOff>
        </xdr:to>
        <xdr:sp macro="" textlink="">
          <xdr:nvSpPr>
            <xdr:cNvPr id="292872" name="Button 8" hidden="1">
              <a:extLst>
                <a:ext uri="{63B3BB69-23CF-44E3-9099-C40C66FF867C}">
                  <a14:compatExt spid="_x0000_s292872"/>
                </a:ext>
                <a:ext uri="{FF2B5EF4-FFF2-40B4-BE49-F238E27FC236}">
                  <a16:creationId xmlns:a16="http://schemas.microsoft.com/office/drawing/2014/main" id="{00000000-0008-0000-3500-00000878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603250</xdr:colOff>
          <xdr:row>4</xdr:row>
          <xdr:rowOff>76200</xdr:rowOff>
        </xdr:from>
        <xdr:to>
          <xdr:col>19</xdr:col>
          <xdr:colOff>44450</xdr:colOff>
          <xdr:row>6</xdr:row>
          <xdr:rowOff>88900</xdr:rowOff>
        </xdr:to>
        <xdr:sp macro="" textlink="">
          <xdr:nvSpPr>
            <xdr:cNvPr id="292873" name="Button 9" hidden="1">
              <a:extLst>
                <a:ext uri="{63B3BB69-23CF-44E3-9099-C40C66FF867C}">
                  <a14:compatExt spid="_x0000_s292873"/>
                </a:ext>
                <a:ext uri="{FF2B5EF4-FFF2-40B4-BE49-F238E27FC236}">
                  <a16:creationId xmlns:a16="http://schemas.microsoft.com/office/drawing/2014/main" id="{00000000-0008-0000-3500-00000978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44450</xdr:rowOff>
        </xdr:from>
        <xdr:to>
          <xdr:col>19</xdr:col>
          <xdr:colOff>50800</xdr:colOff>
          <xdr:row>2</xdr:row>
          <xdr:rowOff>57150</xdr:rowOff>
        </xdr:to>
        <xdr:sp macro="" textlink="">
          <xdr:nvSpPr>
            <xdr:cNvPr id="293890" name="Button 2" hidden="1">
              <a:extLst>
                <a:ext uri="{63B3BB69-23CF-44E3-9099-C40C66FF867C}">
                  <a14:compatExt spid="_x0000_s293890"/>
                </a:ext>
                <a:ext uri="{FF2B5EF4-FFF2-40B4-BE49-F238E27FC236}">
                  <a16:creationId xmlns:a16="http://schemas.microsoft.com/office/drawing/2014/main" id="{00000000-0008-0000-3600-0000027C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203200</xdr:colOff>
          <xdr:row>0</xdr:row>
          <xdr:rowOff>0</xdr:rowOff>
        </xdr:from>
        <xdr:to>
          <xdr:col>16</xdr:col>
          <xdr:colOff>1473200</xdr:colOff>
          <xdr:row>2</xdr:row>
          <xdr:rowOff>12700</xdr:rowOff>
        </xdr:to>
        <xdr:sp macro="" textlink="">
          <xdr:nvSpPr>
            <xdr:cNvPr id="314378" name="Button 10" hidden="1">
              <a:extLst>
                <a:ext uri="{63B3BB69-23CF-44E3-9099-C40C66FF867C}">
                  <a14:compatExt spid="_x0000_s314378"/>
                </a:ext>
                <a:ext uri="{FF2B5EF4-FFF2-40B4-BE49-F238E27FC236}">
                  <a16:creationId xmlns:a16="http://schemas.microsoft.com/office/drawing/2014/main" id="{00000000-0008-0000-3800-00000ACC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SEC_042000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314423" name="Button 55" hidden="1">
              <a:extLst>
                <a:ext uri="{63B3BB69-23CF-44E3-9099-C40C66FF867C}">
                  <a14:compatExt spid="_x0000_s314423"/>
                </a:ext>
                <a:ext uri="{FF2B5EF4-FFF2-40B4-BE49-F238E27FC236}">
                  <a16:creationId xmlns:a16="http://schemas.microsoft.com/office/drawing/2014/main" id="{00000000-0008-0000-3800-000037CC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314424" name="Button 56" hidden="1">
              <a:extLst>
                <a:ext uri="{63B3BB69-23CF-44E3-9099-C40C66FF867C}">
                  <a14:compatExt spid="_x0000_s314424"/>
                </a:ext>
                <a:ext uri="{FF2B5EF4-FFF2-40B4-BE49-F238E27FC236}">
                  <a16:creationId xmlns:a16="http://schemas.microsoft.com/office/drawing/2014/main" id="{00000000-0008-0000-3800-000038CC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314425" name="Button 57" hidden="1">
              <a:extLst>
                <a:ext uri="{63B3BB69-23CF-44E3-9099-C40C66FF867C}">
                  <a14:compatExt spid="_x0000_s314425"/>
                </a:ext>
                <a:ext uri="{FF2B5EF4-FFF2-40B4-BE49-F238E27FC236}">
                  <a16:creationId xmlns:a16="http://schemas.microsoft.com/office/drawing/2014/main" id="{00000000-0008-0000-3800-000039CC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314426" name="Button 58" hidden="1">
              <a:extLst>
                <a:ext uri="{63B3BB69-23CF-44E3-9099-C40C66FF867C}">
                  <a14:compatExt spid="_x0000_s314426"/>
                </a:ext>
                <a:ext uri="{FF2B5EF4-FFF2-40B4-BE49-F238E27FC236}">
                  <a16:creationId xmlns:a16="http://schemas.microsoft.com/office/drawing/2014/main" id="{00000000-0008-0000-3800-00003ACC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314427" name="Button 59" hidden="1">
              <a:extLst>
                <a:ext uri="{63B3BB69-23CF-44E3-9099-C40C66FF867C}">
                  <a14:compatExt spid="_x0000_s314427"/>
                </a:ext>
                <a:ext uri="{FF2B5EF4-FFF2-40B4-BE49-F238E27FC236}">
                  <a16:creationId xmlns:a16="http://schemas.microsoft.com/office/drawing/2014/main" id="{00000000-0008-0000-3800-00003BCC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314428" name="Button 60" hidden="1">
              <a:extLst>
                <a:ext uri="{63B3BB69-23CF-44E3-9099-C40C66FF867C}">
                  <a14:compatExt spid="_x0000_s314428"/>
                </a:ext>
                <a:ext uri="{FF2B5EF4-FFF2-40B4-BE49-F238E27FC236}">
                  <a16:creationId xmlns:a16="http://schemas.microsoft.com/office/drawing/2014/main" id="{00000000-0008-0000-3800-00003CCC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314429" name="Button 61" hidden="1">
              <a:extLst>
                <a:ext uri="{63B3BB69-23CF-44E3-9099-C40C66FF867C}">
                  <a14:compatExt spid="_x0000_s314429"/>
                </a:ext>
                <a:ext uri="{FF2B5EF4-FFF2-40B4-BE49-F238E27FC236}">
                  <a16:creationId xmlns:a16="http://schemas.microsoft.com/office/drawing/2014/main" id="{00000000-0008-0000-3800-00003DCC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314430" name="Button 62" hidden="1">
              <a:extLst>
                <a:ext uri="{63B3BB69-23CF-44E3-9099-C40C66FF867C}">
                  <a14:compatExt spid="_x0000_s314430"/>
                </a:ext>
                <a:ext uri="{FF2B5EF4-FFF2-40B4-BE49-F238E27FC236}">
                  <a16:creationId xmlns:a16="http://schemas.microsoft.com/office/drawing/2014/main" id="{00000000-0008-0000-3800-00003ECC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209550</xdr:colOff>
          <xdr:row>0</xdr:row>
          <xdr:rowOff>0</xdr:rowOff>
        </xdr:from>
        <xdr:to>
          <xdr:col>16</xdr:col>
          <xdr:colOff>1479550</xdr:colOff>
          <xdr:row>2</xdr:row>
          <xdr:rowOff>12700</xdr:rowOff>
        </xdr:to>
        <xdr:sp macro="" textlink="">
          <xdr:nvSpPr>
            <xdr:cNvPr id="315402" name="Button 10" hidden="1">
              <a:extLst>
                <a:ext uri="{63B3BB69-23CF-44E3-9099-C40C66FF867C}">
                  <a14:compatExt spid="_x0000_s315402"/>
                </a:ext>
                <a:ext uri="{FF2B5EF4-FFF2-40B4-BE49-F238E27FC236}">
                  <a16:creationId xmlns:a16="http://schemas.microsoft.com/office/drawing/2014/main" id="{00000000-0008-0000-3900-00000AD0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SEC_044000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315663" name="Button 271" hidden="1">
              <a:extLst>
                <a:ext uri="{63B3BB69-23CF-44E3-9099-C40C66FF867C}">
                  <a14:compatExt spid="_x0000_s315663"/>
                </a:ext>
                <a:ext uri="{FF2B5EF4-FFF2-40B4-BE49-F238E27FC236}">
                  <a16:creationId xmlns:a16="http://schemas.microsoft.com/office/drawing/2014/main" id="{00000000-0008-0000-3900-00000FD1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315664" name="Button 272" hidden="1">
              <a:extLst>
                <a:ext uri="{63B3BB69-23CF-44E3-9099-C40C66FF867C}">
                  <a14:compatExt spid="_x0000_s315664"/>
                </a:ext>
                <a:ext uri="{FF2B5EF4-FFF2-40B4-BE49-F238E27FC236}">
                  <a16:creationId xmlns:a16="http://schemas.microsoft.com/office/drawing/2014/main" id="{00000000-0008-0000-3900-000010D1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315665" name="Button 273" hidden="1">
              <a:extLst>
                <a:ext uri="{63B3BB69-23CF-44E3-9099-C40C66FF867C}">
                  <a14:compatExt spid="_x0000_s315665"/>
                </a:ext>
                <a:ext uri="{FF2B5EF4-FFF2-40B4-BE49-F238E27FC236}">
                  <a16:creationId xmlns:a16="http://schemas.microsoft.com/office/drawing/2014/main" id="{00000000-0008-0000-3900-000011D1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315666" name="Button 274" hidden="1">
              <a:extLst>
                <a:ext uri="{63B3BB69-23CF-44E3-9099-C40C66FF867C}">
                  <a14:compatExt spid="_x0000_s315666"/>
                </a:ext>
                <a:ext uri="{FF2B5EF4-FFF2-40B4-BE49-F238E27FC236}">
                  <a16:creationId xmlns:a16="http://schemas.microsoft.com/office/drawing/2014/main" id="{00000000-0008-0000-3900-000012D1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315667" name="Button 275" hidden="1">
              <a:extLst>
                <a:ext uri="{63B3BB69-23CF-44E3-9099-C40C66FF867C}">
                  <a14:compatExt spid="_x0000_s315667"/>
                </a:ext>
                <a:ext uri="{FF2B5EF4-FFF2-40B4-BE49-F238E27FC236}">
                  <a16:creationId xmlns:a16="http://schemas.microsoft.com/office/drawing/2014/main" id="{00000000-0008-0000-3900-000013D1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315668" name="Button 276" hidden="1">
              <a:extLst>
                <a:ext uri="{63B3BB69-23CF-44E3-9099-C40C66FF867C}">
                  <a14:compatExt spid="_x0000_s315668"/>
                </a:ext>
                <a:ext uri="{FF2B5EF4-FFF2-40B4-BE49-F238E27FC236}">
                  <a16:creationId xmlns:a16="http://schemas.microsoft.com/office/drawing/2014/main" id="{00000000-0008-0000-3900-000014D1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315669" name="Button 277" hidden="1">
              <a:extLst>
                <a:ext uri="{63B3BB69-23CF-44E3-9099-C40C66FF867C}">
                  <a14:compatExt spid="_x0000_s315669"/>
                </a:ext>
                <a:ext uri="{FF2B5EF4-FFF2-40B4-BE49-F238E27FC236}">
                  <a16:creationId xmlns:a16="http://schemas.microsoft.com/office/drawing/2014/main" id="{00000000-0008-0000-3900-000015D1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315670" name="Button 278" hidden="1">
              <a:extLst>
                <a:ext uri="{63B3BB69-23CF-44E3-9099-C40C66FF867C}">
                  <a14:compatExt spid="_x0000_s315670"/>
                </a:ext>
                <a:ext uri="{FF2B5EF4-FFF2-40B4-BE49-F238E27FC236}">
                  <a16:creationId xmlns:a16="http://schemas.microsoft.com/office/drawing/2014/main" id="{00000000-0008-0000-3900-000016D1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209550</xdr:colOff>
          <xdr:row>0</xdr:row>
          <xdr:rowOff>0</xdr:rowOff>
        </xdr:from>
        <xdr:to>
          <xdr:col>16</xdr:col>
          <xdr:colOff>1479550</xdr:colOff>
          <xdr:row>2</xdr:row>
          <xdr:rowOff>12700</xdr:rowOff>
        </xdr:to>
        <xdr:sp macro="" textlink="">
          <xdr:nvSpPr>
            <xdr:cNvPr id="316426" name="Button 10" hidden="1">
              <a:extLst>
                <a:ext uri="{63B3BB69-23CF-44E3-9099-C40C66FF867C}">
                  <a14:compatExt spid="_x0000_s316426"/>
                </a:ext>
                <a:ext uri="{FF2B5EF4-FFF2-40B4-BE49-F238E27FC236}">
                  <a16:creationId xmlns:a16="http://schemas.microsoft.com/office/drawing/2014/main" id="{00000000-0008-0000-3A00-00000AD4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SEC_045000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316453" name="Button 37" hidden="1">
              <a:extLst>
                <a:ext uri="{63B3BB69-23CF-44E3-9099-C40C66FF867C}">
                  <a14:compatExt spid="_x0000_s316453"/>
                </a:ext>
                <a:ext uri="{FF2B5EF4-FFF2-40B4-BE49-F238E27FC236}">
                  <a16:creationId xmlns:a16="http://schemas.microsoft.com/office/drawing/2014/main" id="{00000000-0008-0000-3A00-000025D4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316454" name="Button 38" hidden="1">
              <a:extLst>
                <a:ext uri="{63B3BB69-23CF-44E3-9099-C40C66FF867C}">
                  <a14:compatExt spid="_x0000_s316454"/>
                </a:ext>
                <a:ext uri="{FF2B5EF4-FFF2-40B4-BE49-F238E27FC236}">
                  <a16:creationId xmlns:a16="http://schemas.microsoft.com/office/drawing/2014/main" id="{00000000-0008-0000-3A00-000026D4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316455" name="Button 39" hidden="1">
              <a:extLst>
                <a:ext uri="{63B3BB69-23CF-44E3-9099-C40C66FF867C}">
                  <a14:compatExt spid="_x0000_s316455"/>
                </a:ext>
                <a:ext uri="{FF2B5EF4-FFF2-40B4-BE49-F238E27FC236}">
                  <a16:creationId xmlns:a16="http://schemas.microsoft.com/office/drawing/2014/main" id="{00000000-0008-0000-3A00-000027D4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316456" name="Button 40" hidden="1">
              <a:extLst>
                <a:ext uri="{63B3BB69-23CF-44E3-9099-C40C66FF867C}">
                  <a14:compatExt spid="_x0000_s316456"/>
                </a:ext>
                <a:ext uri="{FF2B5EF4-FFF2-40B4-BE49-F238E27FC236}">
                  <a16:creationId xmlns:a16="http://schemas.microsoft.com/office/drawing/2014/main" id="{00000000-0008-0000-3A00-000028D4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316457" name="Button 41" hidden="1">
              <a:extLst>
                <a:ext uri="{63B3BB69-23CF-44E3-9099-C40C66FF867C}">
                  <a14:compatExt spid="_x0000_s316457"/>
                </a:ext>
                <a:ext uri="{FF2B5EF4-FFF2-40B4-BE49-F238E27FC236}">
                  <a16:creationId xmlns:a16="http://schemas.microsoft.com/office/drawing/2014/main" id="{00000000-0008-0000-3A00-000029D4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316458" name="Button 42" hidden="1">
              <a:extLst>
                <a:ext uri="{63B3BB69-23CF-44E3-9099-C40C66FF867C}">
                  <a14:compatExt spid="_x0000_s316458"/>
                </a:ext>
                <a:ext uri="{FF2B5EF4-FFF2-40B4-BE49-F238E27FC236}">
                  <a16:creationId xmlns:a16="http://schemas.microsoft.com/office/drawing/2014/main" id="{00000000-0008-0000-3A00-00002AD4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316459" name="Button 43" hidden="1">
              <a:extLst>
                <a:ext uri="{63B3BB69-23CF-44E3-9099-C40C66FF867C}">
                  <a14:compatExt spid="_x0000_s316459"/>
                </a:ext>
                <a:ext uri="{FF2B5EF4-FFF2-40B4-BE49-F238E27FC236}">
                  <a16:creationId xmlns:a16="http://schemas.microsoft.com/office/drawing/2014/main" id="{00000000-0008-0000-3A00-00002BD4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316460" name="Button 44" hidden="1">
              <a:extLst>
                <a:ext uri="{63B3BB69-23CF-44E3-9099-C40C66FF867C}">
                  <a14:compatExt spid="_x0000_s316460"/>
                </a:ext>
                <a:ext uri="{FF2B5EF4-FFF2-40B4-BE49-F238E27FC236}">
                  <a16:creationId xmlns:a16="http://schemas.microsoft.com/office/drawing/2014/main" id="{00000000-0008-0000-3A00-00002CD4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196850</xdr:colOff>
          <xdr:row>0</xdr:row>
          <xdr:rowOff>0</xdr:rowOff>
        </xdr:from>
        <xdr:to>
          <xdr:col>16</xdr:col>
          <xdr:colOff>1466850</xdr:colOff>
          <xdr:row>2</xdr:row>
          <xdr:rowOff>12700</xdr:rowOff>
        </xdr:to>
        <xdr:sp macro="" textlink="">
          <xdr:nvSpPr>
            <xdr:cNvPr id="317450" name="Button 10" hidden="1">
              <a:extLst>
                <a:ext uri="{63B3BB69-23CF-44E3-9099-C40C66FF867C}">
                  <a14:compatExt spid="_x0000_s317450"/>
                </a:ext>
                <a:ext uri="{FF2B5EF4-FFF2-40B4-BE49-F238E27FC236}">
                  <a16:creationId xmlns:a16="http://schemas.microsoft.com/office/drawing/2014/main" id="{00000000-0008-0000-3B00-00000AD8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SEC_046000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317477" name="Button 37" hidden="1">
              <a:extLst>
                <a:ext uri="{63B3BB69-23CF-44E3-9099-C40C66FF867C}">
                  <a14:compatExt spid="_x0000_s317477"/>
                </a:ext>
                <a:ext uri="{FF2B5EF4-FFF2-40B4-BE49-F238E27FC236}">
                  <a16:creationId xmlns:a16="http://schemas.microsoft.com/office/drawing/2014/main" id="{00000000-0008-0000-3B00-000025D8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317478" name="Button 38" hidden="1">
              <a:extLst>
                <a:ext uri="{63B3BB69-23CF-44E3-9099-C40C66FF867C}">
                  <a14:compatExt spid="_x0000_s317478"/>
                </a:ext>
                <a:ext uri="{FF2B5EF4-FFF2-40B4-BE49-F238E27FC236}">
                  <a16:creationId xmlns:a16="http://schemas.microsoft.com/office/drawing/2014/main" id="{00000000-0008-0000-3B00-000026D8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317479" name="Button 39" hidden="1">
              <a:extLst>
                <a:ext uri="{63B3BB69-23CF-44E3-9099-C40C66FF867C}">
                  <a14:compatExt spid="_x0000_s317479"/>
                </a:ext>
                <a:ext uri="{FF2B5EF4-FFF2-40B4-BE49-F238E27FC236}">
                  <a16:creationId xmlns:a16="http://schemas.microsoft.com/office/drawing/2014/main" id="{00000000-0008-0000-3B00-000027D8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317480" name="Button 40" hidden="1">
              <a:extLst>
                <a:ext uri="{63B3BB69-23CF-44E3-9099-C40C66FF867C}">
                  <a14:compatExt spid="_x0000_s317480"/>
                </a:ext>
                <a:ext uri="{FF2B5EF4-FFF2-40B4-BE49-F238E27FC236}">
                  <a16:creationId xmlns:a16="http://schemas.microsoft.com/office/drawing/2014/main" id="{00000000-0008-0000-3B00-000028D8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317481" name="Button 41" hidden="1">
              <a:extLst>
                <a:ext uri="{63B3BB69-23CF-44E3-9099-C40C66FF867C}">
                  <a14:compatExt spid="_x0000_s317481"/>
                </a:ext>
                <a:ext uri="{FF2B5EF4-FFF2-40B4-BE49-F238E27FC236}">
                  <a16:creationId xmlns:a16="http://schemas.microsoft.com/office/drawing/2014/main" id="{00000000-0008-0000-3B00-000029D8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317482" name="Button 42" hidden="1">
              <a:extLst>
                <a:ext uri="{63B3BB69-23CF-44E3-9099-C40C66FF867C}">
                  <a14:compatExt spid="_x0000_s317482"/>
                </a:ext>
                <a:ext uri="{FF2B5EF4-FFF2-40B4-BE49-F238E27FC236}">
                  <a16:creationId xmlns:a16="http://schemas.microsoft.com/office/drawing/2014/main" id="{00000000-0008-0000-3B00-00002AD8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317483" name="Button 43" hidden="1">
              <a:extLst>
                <a:ext uri="{63B3BB69-23CF-44E3-9099-C40C66FF867C}">
                  <a14:compatExt spid="_x0000_s317483"/>
                </a:ext>
                <a:ext uri="{FF2B5EF4-FFF2-40B4-BE49-F238E27FC236}">
                  <a16:creationId xmlns:a16="http://schemas.microsoft.com/office/drawing/2014/main" id="{00000000-0008-0000-3B00-00002BD8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317484" name="Button 44" hidden="1">
              <a:extLst>
                <a:ext uri="{63B3BB69-23CF-44E3-9099-C40C66FF867C}">
                  <a14:compatExt spid="_x0000_s317484"/>
                </a:ext>
                <a:ext uri="{FF2B5EF4-FFF2-40B4-BE49-F238E27FC236}">
                  <a16:creationId xmlns:a16="http://schemas.microsoft.com/office/drawing/2014/main" id="{00000000-0008-0000-3B00-00002CD8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203200</xdr:colOff>
          <xdr:row>0</xdr:row>
          <xdr:rowOff>6350</xdr:rowOff>
        </xdr:from>
        <xdr:to>
          <xdr:col>16</xdr:col>
          <xdr:colOff>1473200</xdr:colOff>
          <xdr:row>2</xdr:row>
          <xdr:rowOff>19050</xdr:rowOff>
        </xdr:to>
        <xdr:sp macro="" textlink="">
          <xdr:nvSpPr>
            <xdr:cNvPr id="318474" name="Button 10" hidden="1">
              <a:extLst>
                <a:ext uri="{63B3BB69-23CF-44E3-9099-C40C66FF867C}">
                  <a14:compatExt spid="_x0000_s318474"/>
                </a:ext>
                <a:ext uri="{FF2B5EF4-FFF2-40B4-BE49-F238E27FC236}">
                  <a16:creationId xmlns:a16="http://schemas.microsoft.com/office/drawing/2014/main" id="{00000000-0008-0000-3C00-00000ADC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SEC_047000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318518" name="Button 54" hidden="1">
              <a:extLst>
                <a:ext uri="{63B3BB69-23CF-44E3-9099-C40C66FF867C}">
                  <a14:compatExt spid="_x0000_s318518"/>
                </a:ext>
                <a:ext uri="{FF2B5EF4-FFF2-40B4-BE49-F238E27FC236}">
                  <a16:creationId xmlns:a16="http://schemas.microsoft.com/office/drawing/2014/main" id="{00000000-0008-0000-3C00-000036DC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318519" name="Button 55" hidden="1">
              <a:extLst>
                <a:ext uri="{63B3BB69-23CF-44E3-9099-C40C66FF867C}">
                  <a14:compatExt spid="_x0000_s318519"/>
                </a:ext>
                <a:ext uri="{FF2B5EF4-FFF2-40B4-BE49-F238E27FC236}">
                  <a16:creationId xmlns:a16="http://schemas.microsoft.com/office/drawing/2014/main" id="{00000000-0008-0000-3C00-000037DC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318520" name="Button 56" hidden="1">
              <a:extLst>
                <a:ext uri="{63B3BB69-23CF-44E3-9099-C40C66FF867C}">
                  <a14:compatExt spid="_x0000_s318520"/>
                </a:ext>
                <a:ext uri="{FF2B5EF4-FFF2-40B4-BE49-F238E27FC236}">
                  <a16:creationId xmlns:a16="http://schemas.microsoft.com/office/drawing/2014/main" id="{00000000-0008-0000-3C00-000038DC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318521" name="Button 57" hidden="1">
              <a:extLst>
                <a:ext uri="{63B3BB69-23CF-44E3-9099-C40C66FF867C}">
                  <a14:compatExt spid="_x0000_s318521"/>
                </a:ext>
                <a:ext uri="{FF2B5EF4-FFF2-40B4-BE49-F238E27FC236}">
                  <a16:creationId xmlns:a16="http://schemas.microsoft.com/office/drawing/2014/main" id="{00000000-0008-0000-3C00-000039DC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318522" name="Button 58" hidden="1">
              <a:extLst>
                <a:ext uri="{63B3BB69-23CF-44E3-9099-C40C66FF867C}">
                  <a14:compatExt spid="_x0000_s318522"/>
                </a:ext>
                <a:ext uri="{FF2B5EF4-FFF2-40B4-BE49-F238E27FC236}">
                  <a16:creationId xmlns:a16="http://schemas.microsoft.com/office/drawing/2014/main" id="{00000000-0008-0000-3C00-00003ADC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318523" name="Button 59" hidden="1">
              <a:extLst>
                <a:ext uri="{63B3BB69-23CF-44E3-9099-C40C66FF867C}">
                  <a14:compatExt spid="_x0000_s318523"/>
                </a:ext>
                <a:ext uri="{FF2B5EF4-FFF2-40B4-BE49-F238E27FC236}">
                  <a16:creationId xmlns:a16="http://schemas.microsoft.com/office/drawing/2014/main" id="{00000000-0008-0000-3C00-00003BDC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318524" name="Button 60" hidden="1">
              <a:extLst>
                <a:ext uri="{63B3BB69-23CF-44E3-9099-C40C66FF867C}">
                  <a14:compatExt spid="_x0000_s318524"/>
                </a:ext>
                <a:ext uri="{FF2B5EF4-FFF2-40B4-BE49-F238E27FC236}">
                  <a16:creationId xmlns:a16="http://schemas.microsoft.com/office/drawing/2014/main" id="{00000000-0008-0000-3C00-00003CDC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318525" name="Button 61" hidden="1">
              <a:extLst>
                <a:ext uri="{63B3BB69-23CF-44E3-9099-C40C66FF867C}">
                  <a14:compatExt spid="_x0000_s318525"/>
                </a:ext>
                <a:ext uri="{FF2B5EF4-FFF2-40B4-BE49-F238E27FC236}">
                  <a16:creationId xmlns:a16="http://schemas.microsoft.com/office/drawing/2014/main" id="{00000000-0008-0000-3C00-00003DDC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19050</xdr:rowOff>
        </xdr:to>
        <xdr:sp macro="" textlink="">
          <xdr:nvSpPr>
            <xdr:cNvPr id="463873" name="Button 1" hidden="1">
              <a:extLst>
                <a:ext uri="{63B3BB69-23CF-44E3-9099-C40C66FF867C}">
                  <a14:compatExt spid="_x0000_s463873"/>
                </a:ext>
                <a:ext uri="{FF2B5EF4-FFF2-40B4-BE49-F238E27FC236}">
                  <a16:creationId xmlns:a16="http://schemas.microsoft.com/office/drawing/2014/main" id="{00000000-0008-0000-3D00-00000114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184150</xdr:rowOff>
        </xdr:from>
        <xdr:to>
          <xdr:col>19</xdr:col>
          <xdr:colOff>50800</xdr:colOff>
          <xdr:row>5</xdr:row>
          <xdr:rowOff>25400</xdr:rowOff>
        </xdr:to>
        <xdr:sp macro="" textlink="">
          <xdr:nvSpPr>
            <xdr:cNvPr id="463874" name="Button 2" hidden="1">
              <a:extLst>
                <a:ext uri="{63B3BB69-23CF-44E3-9099-C40C66FF867C}">
                  <a14:compatExt spid="_x0000_s463874"/>
                </a:ext>
                <a:ext uri="{FF2B5EF4-FFF2-40B4-BE49-F238E27FC236}">
                  <a16:creationId xmlns:a16="http://schemas.microsoft.com/office/drawing/2014/main" id="{00000000-0008-0000-3D00-00000214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63500</xdr:rowOff>
        </xdr:to>
        <xdr:sp macro="" textlink="">
          <xdr:nvSpPr>
            <xdr:cNvPr id="463875" name="Button 3" hidden="1">
              <a:extLst>
                <a:ext uri="{63B3BB69-23CF-44E3-9099-C40C66FF867C}">
                  <a14:compatExt spid="_x0000_s463875"/>
                </a:ext>
                <a:ext uri="{FF2B5EF4-FFF2-40B4-BE49-F238E27FC236}">
                  <a16:creationId xmlns:a16="http://schemas.microsoft.com/office/drawing/2014/main" id="{00000000-0008-0000-3D00-00000314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76200</xdr:rowOff>
        </xdr:to>
        <xdr:sp macro="" textlink="">
          <xdr:nvSpPr>
            <xdr:cNvPr id="463876" name="Button 4" hidden="1">
              <a:extLst>
                <a:ext uri="{63B3BB69-23CF-44E3-9099-C40C66FF867C}">
                  <a14:compatExt spid="_x0000_s463876"/>
                </a:ext>
                <a:ext uri="{FF2B5EF4-FFF2-40B4-BE49-F238E27FC236}">
                  <a16:creationId xmlns:a16="http://schemas.microsoft.com/office/drawing/2014/main" id="{00000000-0008-0000-3D00-00000414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31750</xdr:rowOff>
        </xdr:to>
        <xdr:sp macro="" textlink="">
          <xdr:nvSpPr>
            <xdr:cNvPr id="463877" name="Button 5" hidden="1">
              <a:extLst>
                <a:ext uri="{63B3BB69-23CF-44E3-9099-C40C66FF867C}">
                  <a14:compatExt spid="_x0000_s463877"/>
                </a:ext>
                <a:ext uri="{FF2B5EF4-FFF2-40B4-BE49-F238E27FC236}">
                  <a16:creationId xmlns:a16="http://schemas.microsoft.com/office/drawing/2014/main" id="{00000000-0008-0000-3D00-00000514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12700</xdr:rowOff>
        </xdr:from>
        <xdr:to>
          <xdr:col>19</xdr:col>
          <xdr:colOff>50800</xdr:colOff>
          <xdr:row>16</xdr:row>
          <xdr:rowOff>31750</xdr:rowOff>
        </xdr:to>
        <xdr:sp macro="" textlink="">
          <xdr:nvSpPr>
            <xdr:cNvPr id="463878" name="Button 6" hidden="1">
              <a:extLst>
                <a:ext uri="{63B3BB69-23CF-44E3-9099-C40C66FF867C}">
                  <a14:compatExt spid="_x0000_s463878"/>
                </a:ext>
                <a:ext uri="{FF2B5EF4-FFF2-40B4-BE49-F238E27FC236}">
                  <a16:creationId xmlns:a16="http://schemas.microsoft.com/office/drawing/2014/main" id="{00000000-0008-0000-3D00-00000614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19050</xdr:rowOff>
        </xdr:from>
        <xdr:to>
          <xdr:col>19</xdr:col>
          <xdr:colOff>50800</xdr:colOff>
          <xdr:row>19</xdr:row>
          <xdr:rowOff>38100</xdr:rowOff>
        </xdr:to>
        <xdr:sp macro="" textlink="">
          <xdr:nvSpPr>
            <xdr:cNvPr id="463879" name="Button 7" hidden="1">
              <a:extLst>
                <a:ext uri="{63B3BB69-23CF-44E3-9099-C40C66FF867C}">
                  <a14:compatExt spid="_x0000_s463879"/>
                </a:ext>
                <a:ext uri="{FF2B5EF4-FFF2-40B4-BE49-F238E27FC236}">
                  <a16:creationId xmlns:a16="http://schemas.microsoft.com/office/drawing/2014/main" id="{00000000-0008-0000-3D00-00000714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25400</xdr:rowOff>
        </xdr:from>
        <xdr:to>
          <xdr:col>19</xdr:col>
          <xdr:colOff>50800</xdr:colOff>
          <xdr:row>22</xdr:row>
          <xdr:rowOff>44450</xdr:rowOff>
        </xdr:to>
        <xdr:sp macro="" textlink="">
          <xdr:nvSpPr>
            <xdr:cNvPr id="463880" name="Button 8" hidden="1">
              <a:extLst>
                <a:ext uri="{63B3BB69-23CF-44E3-9099-C40C66FF867C}">
                  <a14:compatExt spid="_x0000_s463880"/>
                </a:ext>
                <a:ext uri="{FF2B5EF4-FFF2-40B4-BE49-F238E27FC236}">
                  <a16:creationId xmlns:a16="http://schemas.microsoft.com/office/drawing/2014/main" id="{00000000-0008-0000-3D00-00000814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2</xdr:row>
          <xdr:rowOff>50800</xdr:rowOff>
        </xdr:from>
        <xdr:to>
          <xdr:col>19</xdr:col>
          <xdr:colOff>44450</xdr:colOff>
          <xdr:row>4</xdr:row>
          <xdr:rowOff>95250</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3E00-00000120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5</xdr:row>
          <xdr:rowOff>50800</xdr:rowOff>
        </xdr:from>
        <xdr:to>
          <xdr:col>19</xdr:col>
          <xdr:colOff>44450</xdr:colOff>
          <xdr:row>7</xdr:row>
          <xdr:rowOff>57150</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3E00-00000220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7</xdr:row>
          <xdr:rowOff>177800</xdr:rowOff>
        </xdr:from>
        <xdr:to>
          <xdr:col>19</xdr:col>
          <xdr:colOff>44450</xdr:colOff>
          <xdr:row>9</xdr:row>
          <xdr:rowOff>177800</xdr:rowOff>
        </xdr:to>
        <xdr:sp macro="" textlink="">
          <xdr:nvSpPr>
            <xdr:cNvPr id="466947" name="Button 3" hidden="1">
              <a:extLst>
                <a:ext uri="{63B3BB69-23CF-44E3-9099-C40C66FF867C}">
                  <a14:compatExt spid="_x0000_s466947"/>
                </a:ext>
                <a:ext uri="{FF2B5EF4-FFF2-40B4-BE49-F238E27FC236}">
                  <a16:creationId xmlns:a16="http://schemas.microsoft.com/office/drawing/2014/main" id="{00000000-0008-0000-3E00-00000320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44450</xdr:colOff>
          <xdr:row>2</xdr:row>
          <xdr:rowOff>6350</xdr:rowOff>
        </xdr:to>
        <xdr:sp macro="" textlink="">
          <xdr:nvSpPr>
            <xdr:cNvPr id="466948" name="Button 4" hidden="1">
              <a:extLst>
                <a:ext uri="{63B3BB69-23CF-44E3-9099-C40C66FF867C}">
                  <a14:compatExt spid="_x0000_s466948"/>
                </a:ext>
                <a:ext uri="{FF2B5EF4-FFF2-40B4-BE49-F238E27FC236}">
                  <a16:creationId xmlns:a16="http://schemas.microsoft.com/office/drawing/2014/main" id="{00000000-0008-0000-3E00-00000420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Refresh View</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603250</xdr:colOff>
          <xdr:row>0</xdr:row>
          <xdr:rowOff>0</xdr:rowOff>
        </xdr:from>
        <xdr:to>
          <xdr:col>19</xdr:col>
          <xdr:colOff>44450</xdr:colOff>
          <xdr:row>2</xdr:row>
          <xdr:rowOff>12700</xdr:rowOff>
        </xdr:to>
        <xdr:sp macro="" textlink="">
          <xdr:nvSpPr>
            <xdr:cNvPr id="467972" name="Button 4" hidden="1">
              <a:extLst>
                <a:ext uri="{63B3BB69-23CF-44E3-9099-C40C66FF867C}">
                  <a14:compatExt spid="_x0000_s467972"/>
                </a:ext>
                <a:ext uri="{FF2B5EF4-FFF2-40B4-BE49-F238E27FC236}">
                  <a16:creationId xmlns:a16="http://schemas.microsoft.com/office/drawing/2014/main" id="{00000000-0008-0000-3F00-00000424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603250</xdr:colOff>
          <xdr:row>2</xdr:row>
          <xdr:rowOff>38100</xdr:rowOff>
        </xdr:from>
        <xdr:to>
          <xdr:col>19</xdr:col>
          <xdr:colOff>44450</xdr:colOff>
          <xdr:row>4</xdr:row>
          <xdr:rowOff>50800</xdr:rowOff>
        </xdr:to>
        <xdr:sp macro="" textlink="">
          <xdr:nvSpPr>
            <xdr:cNvPr id="467973" name="Button 5" hidden="1">
              <a:extLst>
                <a:ext uri="{63B3BB69-23CF-44E3-9099-C40C66FF867C}">
                  <a14:compatExt spid="_x0000_s467973"/>
                </a:ext>
                <a:ext uri="{FF2B5EF4-FFF2-40B4-BE49-F238E27FC236}">
                  <a16:creationId xmlns:a16="http://schemas.microsoft.com/office/drawing/2014/main" id="{00000000-0008-0000-3F00-00000524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603250</xdr:colOff>
          <xdr:row>4</xdr:row>
          <xdr:rowOff>76200</xdr:rowOff>
        </xdr:from>
        <xdr:to>
          <xdr:col>19</xdr:col>
          <xdr:colOff>44450</xdr:colOff>
          <xdr:row>6</xdr:row>
          <xdr:rowOff>88900</xdr:rowOff>
        </xdr:to>
        <xdr:sp macro="" textlink="">
          <xdr:nvSpPr>
            <xdr:cNvPr id="467974" name="Button 6" hidden="1">
              <a:extLst>
                <a:ext uri="{63B3BB69-23CF-44E3-9099-C40C66FF867C}">
                  <a14:compatExt spid="_x0000_s467974"/>
                </a:ext>
                <a:ext uri="{FF2B5EF4-FFF2-40B4-BE49-F238E27FC236}">
                  <a16:creationId xmlns:a16="http://schemas.microsoft.com/office/drawing/2014/main" id="{00000000-0008-0000-3F00-00000624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a:t>
              </a:r>
            </a:p>
          </xdr:txBody>
        </xdr:sp>
        <xdr:clientData fPrintsWithSheet="0"/>
      </xdr:twoCellAnchor>
    </mc:Choice>
    <mc:Fallback/>
  </mc:AlternateContent>
</xdr:wsDr>
</file>

<file path=xl/drawings/drawing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44450</xdr:rowOff>
        </xdr:from>
        <xdr:to>
          <xdr:col>19</xdr:col>
          <xdr:colOff>50800</xdr:colOff>
          <xdr:row>2</xdr:row>
          <xdr:rowOff>57150</xdr:rowOff>
        </xdr:to>
        <xdr:sp macro="" textlink="">
          <xdr:nvSpPr>
            <xdr:cNvPr id="464897" name="Button 1" hidden="1">
              <a:extLst>
                <a:ext uri="{63B3BB69-23CF-44E3-9099-C40C66FF867C}">
                  <a14:compatExt spid="_x0000_s464897"/>
                </a:ext>
                <a:ext uri="{FF2B5EF4-FFF2-40B4-BE49-F238E27FC236}">
                  <a16:creationId xmlns:a16="http://schemas.microsoft.com/office/drawing/2014/main" id="{00000000-0008-0000-4000-00000118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203200</xdr:colOff>
          <xdr:row>0</xdr:row>
          <xdr:rowOff>0</xdr:rowOff>
        </xdr:from>
        <xdr:to>
          <xdr:col>16</xdr:col>
          <xdr:colOff>1473200</xdr:colOff>
          <xdr:row>2</xdr:row>
          <xdr:rowOff>12700</xdr:rowOff>
        </xdr:to>
        <xdr:sp macro="" textlink="">
          <xdr:nvSpPr>
            <xdr:cNvPr id="320521" name="Button 9" hidden="1">
              <a:extLst>
                <a:ext uri="{63B3BB69-23CF-44E3-9099-C40C66FF867C}">
                  <a14:compatExt spid="_x0000_s320521"/>
                </a:ext>
                <a:ext uri="{FF2B5EF4-FFF2-40B4-BE49-F238E27FC236}">
                  <a16:creationId xmlns:a16="http://schemas.microsoft.com/office/drawing/2014/main" id="{00000000-0008-0000-4200-000009E4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SEC_051000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320549" name="Button 37" hidden="1">
              <a:extLst>
                <a:ext uri="{63B3BB69-23CF-44E3-9099-C40C66FF867C}">
                  <a14:compatExt spid="_x0000_s320549"/>
                </a:ext>
                <a:ext uri="{FF2B5EF4-FFF2-40B4-BE49-F238E27FC236}">
                  <a16:creationId xmlns:a16="http://schemas.microsoft.com/office/drawing/2014/main" id="{00000000-0008-0000-4200-000025E4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320550" name="Button 38" hidden="1">
              <a:extLst>
                <a:ext uri="{63B3BB69-23CF-44E3-9099-C40C66FF867C}">
                  <a14:compatExt spid="_x0000_s320550"/>
                </a:ext>
                <a:ext uri="{FF2B5EF4-FFF2-40B4-BE49-F238E27FC236}">
                  <a16:creationId xmlns:a16="http://schemas.microsoft.com/office/drawing/2014/main" id="{00000000-0008-0000-4200-000026E4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320551" name="Button 39" hidden="1">
              <a:extLst>
                <a:ext uri="{63B3BB69-23CF-44E3-9099-C40C66FF867C}">
                  <a14:compatExt spid="_x0000_s320551"/>
                </a:ext>
                <a:ext uri="{FF2B5EF4-FFF2-40B4-BE49-F238E27FC236}">
                  <a16:creationId xmlns:a16="http://schemas.microsoft.com/office/drawing/2014/main" id="{00000000-0008-0000-4200-000027E4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320552" name="Button 40" hidden="1">
              <a:extLst>
                <a:ext uri="{63B3BB69-23CF-44E3-9099-C40C66FF867C}">
                  <a14:compatExt spid="_x0000_s320552"/>
                </a:ext>
                <a:ext uri="{FF2B5EF4-FFF2-40B4-BE49-F238E27FC236}">
                  <a16:creationId xmlns:a16="http://schemas.microsoft.com/office/drawing/2014/main" id="{00000000-0008-0000-4200-000028E4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320553" name="Button 41" hidden="1">
              <a:extLst>
                <a:ext uri="{63B3BB69-23CF-44E3-9099-C40C66FF867C}">
                  <a14:compatExt spid="_x0000_s320553"/>
                </a:ext>
                <a:ext uri="{FF2B5EF4-FFF2-40B4-BE49-F238E27FC236}">
                  <a16:creationId xmlns:a16="http://schemas.microsoft.com/office/drawing/2014/main" id="{00000000-0008-0000-4200-000029E4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320554" name="Button 42" hidden="1">
              <a:extLst>
                <a:ext uri="{63B3BB69-23CF-44E3-9099-C40C66FF867C}">
                  <a14:compatExt spid="_x0000_s320554"/>
                </a:ext>
                <a:ext uri="{FF2B5EF4-FFF2-40B4-BE49-F238E27FC236}">
                  <a16:creationId xmlns:a16="http://schemas.microsoft.com/office/drawing/2014/main" id="{00000000-0008-0000-4200-00002AE4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320555" name="Button 43" hidden="1">
              <a:extLst>
                <a:ext uri="{63B3BB69-23CF-44E3-9099-C40C66FF867C}">
                  <a14:compatExt spid="_x0000_s320555"/>
                </a:ext>
                <a:ext uri="{FF2B5EF4-FFF2-40B4-BE49-F238E27FC236}">
                  <a16:creationId xmlns:a16="http://schemas.microsoft.com/office/drawing/2014/main" id="{00000000-0008-0000-4200-00002BE4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320556" name="Button 44" hidden="1">
              <a:extLst>
                <a:ext uri="{63B3BB69-23CF-44E3-9099-C40C66FF867C}">
                  <a14:compatExt spid="_x0000_s320556"/>
                </a:ext>
                <a:ext uri="{FF2B5EF4-FFF2-40B4-BE49-F238E27FC236}">
                  <a16:creationId xmlns:a16="http://schemas.microsoft.com/office/drawing/2014/main" id="{00000000-0008-0000-4200-00002CE4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5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203200</xdr:colOff>
          <xdr:row>0</xdr:row>
          <xdr:rowOff>0</xdr:rowOff>
        </xdr:from>
        <xdr:to>
          <xdr:col>16</xdr:col>
          <xdr:colOff>1473200</xdr:colOff>
          <xdr:row>2</xdr:row>
          <xdr:rowOff>12700</xdr:rowOff>
        </xdr:to>
        <xdr:sp macro="" textlink="">
          <xdr:nvSpPr>
            <xdr:cNvPr id="321545" name="Button 9" hidden="1">
              <a:extLst>
                <a:ext uri="{63B3BB69-23CF-44E3-9099-C40C66FF867C}">
                  <a14:compatExt spid="_x0000_s321545"/>
                </a:ext>
                <a:ext uri="{FF2B5EF4-FFF2-40B4-BE49-F238E27FC236}">
                  <a16:creationId xmlns:a16="http://schemas.microsoft.com/office/drawing/2014/main" id="{00000000-0008-0000-4300-000009E8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SEC_052000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321572" name="Button 36" hidden="1">
              <a:extLst>
                <a:ext uri="{63B3BB69-23CF-44E3-9099-C40C66FF867C}">
                  <a14:compatExt spid="_x0000_s321572"/>
                </a:ext>
                <a:ext uri="{FF2B5EF4-FFF2-40B4-BE49-F238E27FC236}">
                  <a16:creationId xmlns:a16="http://schemas.microsoft.com/office/drawing/2014/main" id="{00000000-0008-0000-4300-000024E8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321573" name="Button 37" hidden="1">
              <a:extLst>
                <a:ext uri="{63B3BB69-23CF-44E3-9099-C40C66FF867C}">
                  <a14:compatExt spid="_x0000_s321573"/>
                </a:ext>
                <a:ext uri="{FF2B5EF4-FFF2-40B4-BE49-F238E27FC236}">
                  <a16:creationId xmlns:a16="http://schemas.microsoft.com/office/drawing/2014/main" id="{00000000-0008-0000-4300-000025E8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321574" name="Button 38" hidden="1">
              <a:extLst>
                <a:ext uri="{63B3BB69-23CF-44E3-9099-C40C66FF867C}">
                  <a14:compatExt spid="_x0000_s321574"/>
                </a:ext>
                <a:ext uri="{FF2B5EF4-FFF2-40B4-BE49-F238E27FC236}">
                  <a16:creationId xmlns:a16="http://schemas.microsoft.com/office/drawing/2014/main" id="{00000000-0008-0000-4300-000026E8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321575" name="Button 39" hidden="1">
              <a:extLst>
                <a:ext uri="{63B3BB69-23CF-44E3-9099-C40C66FF867C}">
                  <a14:compatExt spid="_x0000_s321575"/>
                </a:ext>
                <a:ext uri="{FF2B5EF4-FFF2-40B4-BE49-F238E27FC236}">
                  <a16:creationId xmlns:a16="http://schemas.microsoft.com/office/drawing/2014/main" id="{00000000-0008-0000-4300-000027E8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321576" name="Button 40" hidden="1">
              <a:extLst>
                <a:ext uri="{63B3BB69-23CF-44E3-9099-C40C66FF867C}">
                  <a14:compatExt spid="_x0000_s321576"/>
                </a:ext>
                <a:ext uri="{FF2B5EF4-FFF2-40B4-BE49-F238E27FC236}">
                  <a16:creationId xmlns:a16="http://schemas.microsoft.com/office/drawing/2014/main" id="{00000000-0008-0000-4300-000028E8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321577" name="Button 41" hidden="1">
              <a:extLst>
                <a:ext uri="{63B3BB69-23CF-44E3-9099-C40C66FF867C}">
                  <a14:compatExt spid="_x0000_s321577"/>
                </a:ext>
                <a:ext uri="{FF2B5EF4-FFF2-40B4-BE49-F238E27FC236}">
                  <a16:creationId xmlns:a16="http://schemas.microsoft.com/office/drawing/2014/main" id="{00000000-0008-0000-4300-000029E8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321578" name="Button 42" hidden="1">
              <a:extLst>
                <a:ext uri="{63B3BB69-23CF-44E3-9099-C40C66FF867C}">
                  <a14:compatExt spid="_x0000_s321578"/>
                </a:ext>
                <a:ext uri="{FF2B5EF4-FFF2-40B4-BE49-F238E27FC236}">
                  <a16:creationId xmlns:a16="http://schemas.microsoft.com/office/drawing/2014/main" id="{00000000-0008-0000-4300-00002AE8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321579" name="Button 43" hidden="1">
              <a:extLst>
                <a:ext uri="{63B3BB69-23CF-44E3-9099-C40C66FF867C}">
                  <a14:compatExt spid="_x0000_s321579"/>
                </a:ext>
                <a:ext uri="{FF2B5EF4-FFF2-40B4-BE49-F238E27FC236}">
                  <a16:creationId xmlns:a16="http://schemas.microsoft.com/office/drawing/2014/main" id="{00000000-0008-0000-4300-00002BE8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6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254000</xdr:colOff>
          <xdr:row>0</xdr:row>
          <xdr:rowOff>0</xdr:rowOff>
        </xdr:from>
        <xdr:to>
          <xdr:col>17</xdr:col>
          <xdr:colOff>31750</xdr:colOff>
          <xdr:row>2</xdr:row>
          <xdr:rowOff>12700</xdr:rowOff>
        </xdr:to>
        <xdr:sp macro="" textlink="">
          <xdr:nvSpPr>
            <xdr:cNvPr id="344073" name="Button 9" hidden="1">
              <a:extLst>
                <a:ext uri="{63B3BB69-23CF-44E3-9099-C40C66FF867C}">
                  <a14:compatExt spid="_x0000_s344073"/>
                </a:ext>
                <a:ext uri="{FF2B5EF4-FFF2-40B4-BE49-F238E27FC236}">
                  <a16:creationId xmlns:a16="http://schemas.microsoft.com/office/drawing/2014/main" id="{00000000-0008-0000-4400-0000094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SEC_053000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344100" name="Button 36" hidden="1">
              <a:extLst>
                <a:ext uri="{63B3BB69-23CF-44E3-9099-C40C66FF867C}">
                  <a14:compatExt spid="_x0000_s344100"/>
                </a:ext>
                <a:ext uri="{FF2B5EF4-FFF2-40B4-BE49-F238E27FC236}">
                  <a16:creationId xmlns:a16="http://schemas.microsoft.com/office/drawing/2014/main" id="{00000000-0008-0000-4400-0000244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344101" name="Button 37" hidden="1">
              <a:extLst>
                <a:ext uri="{63B3BB69-23CF-44E3-9099-C40C66FF867C}">
                  <a14:compatExt spid="_x0000_s344101"/>
                </a:ext>
                <a:ext uri="{FF2B5EF4-FFF2-40B4-BE49-F238E27FC236}">
                  <a16:creationId xmlns:a16="http://schemas.microsoft.com/office/drawing/2014/main" id="{00000000-0008-0000-4400-0000254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344102" name="Button 38" hidden="1">
              <a:extLst>
                <a:ext uri="{63B3BB69-23CF-44E3-9099-C40C66FF867C}">
                  <a14:compatExt spid="_x0000_s344102"/>
                </a:ext>
                <a:ext uri="{FF2B5EF4-FFF2-40B4-BE49-F238E27FC236}">
                  <a16:creationId xmlns:a16="http://schemas.microsoft.com/office/drawing/2014/main" id="{00000000-0008-0000-4400-0000264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344103" name="Button 39" hidden="1">
              <a:extLst>
                <a:ext uri="{63B3BB69-23CF-44E3-9099-C40C66FF867C}">
                  <a14:compatExt spid="_x0000_s344103"/>
                </a:ext>
                <a:ext uri="{FF2B5EF4-FFF2-40B4-BE49-F238E27FC236}">
                  <a16:creationId xmlns:a16="http://schemas.microsoft.com/office/drawing/2014/main" id="{00000000-0008-0000-4400-0000274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344104" name="Button 40" hidden="1">
              <a:extLst>
                <a:ext uri="{63B3BB69-23CF-44E3-9099-C40C66FF867C}">
                  <a14:compatExt spid="_x0000_s344104"/>
                </a:ext>
                <a:ext uri="{FF2B5EF4-FFF2-40B4-BE49-F238E27FC236}">
                  <a16:creationId xmlns:a16="http://schemas.microsoft.com/office/drawing/2014/main" id="{00000000-0008-0000-4400-0000284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344105" name="Button 41" hidden="1">
              <a:extLst>
                <a:ext uri="{63B3BB69-23CF-44E3-9099-C40C66FF867C}">
                  <a14:compatExt spid="_x0000_s344105"/>
                </a:ext>
                <a:ext uri="{FF2B5EF4-FFF2-40B4-BE49-F238E27FC236}">
                  <a16:creationId xmlns:a16="http://schemas.microsoft.com/office/drawing/2014/main" id="{00000000-0008-0000-4400-0000294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344106" name="Button 42" hidden="1">
              <a:extLst>
                <a:ext uri="{63B3BB69-23CF-44E3-9099-C40C66FF867C}">
                  <a14:compatExt spid="_x0000_s344106"/>
                </a:ext>
                <a:ext uri="{FF2B5EF4-FFF2-40B4-BE49-F238E27FC236}">
                  <a16:creationId xmlns:a16="http://schemas.microsoft.com/office/drawing/2014/main" id="{00000000-0008-0000-4400-00002A4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344107" name="Button 43" hidden="1">
              <a:extLst>
                <a:ext uri="{63B3BB69-23CF-44E3-9099-C40C66FF867C}">
                  <a14:compatExt spid="_x0000_s344107"/>
                </a:ext>
                <a:ext uri="{FF2B5EF4-FFF2-40B4-BE49-F238E27FC236}">
                  <a16:creationId xmlns:a16="http://schemas.microsoft.com/office/drawing/2014/main" id="{00000000-0008-0000-4400-00002B4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6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209550</xdr:colOff>
          <xdr:row>0</xdr:row>
          <xdr:rowOff>0</xdr:rowOff>
        </xdr:from>
        <xdr:to>
          <xdr:col>16</xdr:col>
          <xdr:colOff>1479550</xdr:colOff>
          <xdr:row>2</xdr:row>
          <xdr:rowOff>12700</xdr:rowOff>
        </xdr:to>
        <xdr:sp macro="" textlink="">
          <xdr:nvSpPr>
            <xdr:cNvPr id="345097" name="Button 9" hidden="1">
              <a:extLst>
                <a:ext uri="{63B3BB69-23CF-44E3-9099-C40C66FF867C}">
                  <a14:compatExt spid="_x0000_s345097"/>
                </a:ext>
                <a:ext uri="{FF2B5EF4-FFF2-40B4-BE49-F238E27FC236}">
                  <a16:creationId xmlns:a16="http://schemas.microsoft.com/office/drawing/2014/main" id="{00000000-0008-0000-4500-0000094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SEC_054000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345124" name="Button 36" hidden="1">
              <a:extLst>
                <a:ext uri="{63B3BB69-23CF-44E3-9099-C40C66FF867C}">
                  <a14:compatExt spid="_x0000_s345124"/>
                </a:ext>
                <a:ext uri="{FF2B5EF4-FFF2-40B4-BE49-F238E27FC236}">
                  <a16:creationId xmlns:a16="http://schemas.microsoft.com/office/drawing/2014/main" id="{00000000-0008-0000-4500-0000244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345125" name="Button 37" hidden="1">
              <a:extLst>
                <a:ext uri="{63B3BB69-23CF-44E3-9099-C40C66FF867C}">
                  <a14:compatExt spid="_x0000_s345125"/>
                </a:ext>
                <a:ext uri="{FF2B5EF4-FFF2-40B4-BE49-F238E27FC236}">
                  <a16:creationId xmlns:a16="http://schemas.microsoft.com/office/drawing/2014/main" id="{00000000-0008-0000-4500-0000254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345126" name="Button 38" hidden="1">
              <a:extLst>
                <a:ext uri="{63B3BB69-23CF-44E3-9099-C40C66FF867C}">
                  <a14:compatExt spid="_x0000_s345126"/>
                </a:ext>
                <a:ext uri="{FF2B5EF4-FFF2-40B4-BE49-F238E27FC236}">
                  <a16:creationId xmlns:a16="http://schemas.microsoft.com/office/drawing/2014/main" id="{00000000-0008-0000-4500-0000264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345127" name="Button 39" hidden="1">
              <a:extLst>
                <a:ext uri="{63B3BB69-23CF-44E3-9099-C40C66FF867C}">
                  <a14:compatExt spid="_x0000_s345127"/>
                </a:ext>
                <a:ext uri="{FF2B5EF4-FFF2-40B4-BE49-F238E27FC236}">
                  <a16:creationId xmlns:a16="http://schemas.microsoft.com/office/drawing/2014/main" id="{00000000-0008-0000-4500-0000274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345128" name="Button 40" hidden="1">
              <a:extLst>
                <a:ext uri="{63B3BB69-23CF-44E3-9099-C40C66FF867C}">
                  <a14:compatExt spid="_x0000_s345128"/>
                </a:ext>
                <a:ext uri="{FF2B5EF4-FFF2-40B4-BE49-F238E27FC236}">
                  <a16:creationId xmlns:a16="http://schemas.microsoft.com/office/drawing/2014/main" id="{00000000-0008-0000-4500-0000284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345129" name="Button 41" hidden="1">
              <a:extLst>
                <a:ext uri="{63B3BB69-23CF-44E3-9099-C40C66FF867C}">
                  <a14:compatExt spid="_x0000_s345129"/>
                </a:ext>
                <a:ext uri="{FF2B5EF4-FFF2-40B4-BE49-F238E27FC236}">
                  <a16:creationId xmlns:a16="http://schemas.microsoft.com/office/drawing/2014/main" id="{00000000-0008-0000-4500-0000294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345130" name="Button 42" hidden="1">
              <a:extLst>
                <a:ext uri="{63B3BB69-23CF-44E3-9099-C40C66FF867C}">
                  <a14:compatExt spid="_x0000_s345130"/>
                </a:ext>
                <a:ext uri="{FF2B5EF4-FFF2-40B4-BE49-F238E27FC236}">
                  <a16:creationId xmlns:a16="http://schemas.microsoft.com/office/drawing/2014/main" id="{00000000-0008-0000-4500-00002A4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345131" name="Button 43" hidden="1">
              <a:extLst>
                <a:ext uri="{63B3BB69-23CF-44E3-9099-C40C66FF867C}">
                  <a14:compatExt spid="_x0000_s345131"/>
                </a:ext>
                <a:ext uri="{FF2B5EF4-FFF2-40B4-BE49-F238E27FC236}">
                  <a16:creationId xmlns:a16="http://schemas.microsoft.com/office/drawing/2014/main" id="{00000000-0008-0000-4500-00002B4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6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196850</xdr:colOff>
          <xdr:row>0</xdr:row>
          <xdr:rowOff>0</xdr:rowOff>
        </xdr:from>
        <xdr:to>
          <xdr:col>16</xdr:col>
          <xdr:colOff>1466850</xdr:colOff>
          <xdr:row>2</xdr:row>
          <xdr:rowOff>12700</xdr:rowOff>
        </xdr:to>
        <xdr:sp macro="" textlink="">
          <xdr:nvSpPr>
            <xdr:cNvPr id="346122" name="Button 10" hidden="1">
              <a:extLst>
                <a:ext uri="{63B3BB69-23CF-44E3-9099-C40C66FF867C}">
                  <a14:compatExt spid="_x0000_s346122"/>
                </a:ext>
                <a:ext uri="{FF2B5EF4-FFF2-40B4-BE49-F238E27FC236}">
                  <a16:creationId xmlns:a16="http://schemas.microsoft.com/office/drawing/2014/main" id="{00000000-0008-0000-4600-00000A4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SEC_055000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346147" name="Button 35" hidden="1">
              <a:extLst>
                <a:ext uri="{63B3BB69-23CF-44E3-9099-C40C66FF867C}">
                  <a14:compatExt spid="_x0000_s346147"/>
                </a:ext>
                <a:ext uri="{FF2B5EF4-FFF2-40B4-BE49-F238E27FC236}">
                  <a16:creationId xmlns:a16="http://schemas.microsoft.com/office/drawing/2014/main" id="{00000000-0008-0000-4600-0000234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346148" name="Button 36" hidden="1">
              <a:extLst>
                <a:ext uri="{63B3BB69-23CF-44E3-9099-C40C66FF867C}">
                  <a14:compatExt spid="_x0000_s346148"/>
                </a:ext>
                <a:ext uri="{FF2B5EF4-FFF2-40B4-BE49-F238E27FC236}">
                  <a16:creationId xmlns:a16="http://schemas.microsoft.com/office/drawing/2014/main" id="{00000000-0008-0000-4600-0000244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346149" name="Button 37" hidden="1">
              <a:extLst>
                <a:ext uri="{63B3BB69-23CF-44E3-9099-C40C66FF867C}">
                  <a14:compatExt spid="_x0000_s346149"/>
                </a:ext>
                <a:ext uri="{FF2B5EF4-FFF2-40B4-BE49-F238E27FC236}">
                  <a16:creationId xmlns:a16="http://schemas.microsoft.com/office/drawing/2014/main" id="{00000000-0008-0000-4600-0000254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346150" name="Button 38" hidden="1">
              <a:extLst>
                <a:ext uri="{63B3BB69-23CF-44E3-9099-C40C66FF867C}">
                  <a14:compatExt spid="_x0000_s346150"/>
                </a:ext>
                <a:ext uri="{FF2B5EF4-FFF2-40B4-BE49-F238E27FC236}">
                  <a16:creationId xmlns:a16="http://schemas.microsoft.com/office/drawing/2014/main" id="{00000000-0008-0000-4600-0000264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346151" name="Button 39" hidden="1">
              <a:extLst>
                <a:ext uri="{63B3BB69-23CF-44E3-9099-C40C66FF867C}">
                  <a14:compatExt spid="_x0000_s346151"/>
                </a:ext>
                <a:ext uri="{FF2B5EF4-FFF2-40B4-BE49-F238E27FC236}">
                  <a16:creationId xmlns:a16="http://schemas.microsoft.com/office/drawing/2014/main" id="{00000000-0008-0000-4600-0000274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346152" name="Button 40" hidden="1">
              <a:extLst>
                <a:ext uri="{63B3BB69-23CF-44E3-9099-C40C66FF867C}">
                  <a14:compatExt spid="_x0000_s346152"/>
                </a:ext>
                <a:ext uri="{FF2B5EF4-FFF2-40B4-BE49-F238E27FC236}">
                  <a16:creationId xmlns:a16="http://schemas.microsoft.com/office/drawing/2014/main" id="{00000000-0008-0000-4600-0000284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346153" name="Button 41" hidden="1">
              <a:extLst>
                <a:ext uri="{63B3BB69-23CF-44E3-9099-C40C66FF867C}">
                  <a14:compatExt spid="_x0000_s346153"/>
                </a:ext>
                <a:ext uri="{FF2B5EF4-FFF2-40B4-BE49-F238E27FC236}">
                  <a16:creationId xmlns:a16="http://schemas.microsoft.com/office/drawing/2014/main" id="{00000000-0008-0000-4600-0000294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346154" name="Button 42" hidden="1">
              <a:extLst>
                <a:ext uri="{63B3BB69-23CF-44E3-9099-C40C66FF867C}">
                  <a14:compatExt spid="_x0000_s346154"/>
                </a:ext>
                <a:ext uri="{FF2B5EF4-FFF2-40B4-BE49-F238E27FC236}">
                  <a16:creationId xmlns:a16="http://schemas.microsoft.com/office/drawing/2014/main" id="{00000000-0008-0000-4600-00002A4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6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196850</xdr:colOff>
          <xdr:row>0</xdr:row>
          <xdr:rowOff>0</xdr:rowOff>
        </xdr:from>
        <xdr:to>
          <xdr:col>16</xdr:col>
          <xdr:colOff>1466850</xdr:colOff>
          <xdr:row>2</xdr:row>
          <xdr:rowOff>12700</xdr:rowOff>
        </xdr:to>
        <xdr:sp macro="" textlink="">
          <xdr:nvSpPr>
            <xdr:cNvPr id="347146" name="Button 10" hidden="1">
              <a:extLst>
                <a:ext uri="{63B3BB69-23CF-44E3-9099-C40C66FF867C}">
                  <a14:compatExt spid="_x0000_s347146"/>
                </a:ext>
                <a:ext uri="{FF2B5EF4-FFF2-40B4-BE49-F238E27FC236}">
                  <a16:creationId xmlns:a16="http://schemas.microsoft.com/office/drawing/2014/main" id="{00000000-0008-0000-4700-00000A4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SEC_057000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347178" name="Button 42" hidden="1">
              <a:extLst>
                <a:ext uri="{63B3BB69-23CF-44E3-9099-C40C66FF867C}">
                  <a14:compatExt spid="_x0000_s347178"/>
                </a:ext>
                <a:ext uri="{FF2B5EF4-FFF2-40B4-BE49-F238E27FC236}">
                  <a16:creationId xmlns:a16="http://schemas.microsoft.com/office/drawing/2014/main" id="{00000000-0008-0000-4700-00002A4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347179" name="Button 43" hidden="1">
              <a:extLst>
                <a:ext uri="{63B3BB69-23CF-44E3-9099-C40C66FF867C}">
                  <a14:compatExt spid="_x0000_s347179"/>
                </a:ext>
                <a:ext uri="{FF2B5EF4-FFF2-40B4-BE49-F238E27FC236}">
                  <a16:creationId xmlns:a16="http://schemas.microsoft.com/office/drawing/2014/main" id="{00000000-0008-0000-4700-00002B4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347180" name="Button 44" hidden="1">
              <a:extLst>
                <a:ext uri="{63B3BB69-23CF-44E3-9099-C40C66FF867C}">
                  <a14:compatExt spid="_x0000_s347180"/>
                </a:ext>
                <a:ext uri="{FF2B5EF4-FFF2-40B4-BE49-F238E27FC236}">
                  <a16:creationId xmlns:a16="http://schemas.microsoft.com/office/drawing/2014/main" id="{00000000-0008-0000-4700-00002C4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347181" name="Button 45" hidden="1">
              <a:extLst>
                <a:ext uri="{63B3BB69-23CF-44E3-9099-C40C66FF867C}">
                  <a14:compatExt spid="_x0000_s347181"/>
                </a:ext>
                <a:ext uri="{FF2B5EF4-FFF2-40B4-BE49-F238E27FC236}">
                  <a16:creationId xmlns:a16="http://schemas.microsoft.com/office/drawing/2014/main" id="{00000000-0008-0000-4700-00002D4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347182" name="Button 46" hidden="1">
              <a:extLst>
                <a:ext uri="{63B3BB69-23CF-44E3-9099-C40C66FF867C}">
                  <a14:compatExt spid="_x0000_s347182"/>
                </a:ext>
                <a:ext uri="{FF2B5EF4-FFF2-40B4-BE49-F238E27FC236}">
                  <a16:creationId xmlns:a16="http://schemas.microsoft.com/office/drawing/2014/main" id="{00000000-0008-0000-4700-00002E4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347183" name="Button 47" hidden="1">
              <a:extLst>
                <a:ext uri="{63B3BB69-23CF-44E3-9099-C40C66FF867C}">
                  <a14:compatExt spid="_x0000_s347183"/>
                </a:ext>
                <a:ext uri="{FF2B5EF4-FFF2-40B4-BE49-F238E27FC236}">
                  <a16:creationId xmlns:a16="http://schemas.microsoft.com/office/drawing/2014/main" id="{00000000-0008-0000-4700-00002F4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347184" name="Button 48" hidden="1">
              <a:extLst>
                <a:ext uri="{63B3BB69-23CF-44E3-9099-C40C66FF867C}">
                  <a14:compatExt spid="_x0000_s347184"/>
                </a:ext>
                <a:ext uri="{FF2B5EF4-FFF2-40B4-BE49-F238E27FC236}">
                  <a16:creationId xmlns:a16="http://schemas.microsoft.com/office/drawing/2014/main" id="{00000000-0008-0000-4700-0000304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347185" name="Button 49" hidden="1">
              <a:extLst>
                <a:ext uri="{63B3BB69-23CF-44E3-9099-C40C66FF867C}">
                  <a14:compatExt spid="_x0000_s347185"/>
                </a:ext>
                <a:ext uri="{FF2B5EF4-FFF2-40B4-BE49-F238E27FC236}">
                  <a16:creationId xmlns:a16="http://schemas.microsoft.com/office/drawing/2014/main" id="{00000000-0008-0000-4700-0000314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6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19050</xdr:rowOff>
        </xdr:to>
        <xdr:sp macro="" textlink="">
          <xdr:nvSpPr>
            <xdr:cNvPr id="319490" name="Button 2" hidden="1">
              <a:extLst>
                <a:ext uri="{63B3BB69-23CF-44E3-9099-C40C66FF867C}">
                  <a14:compatExt spid="_x0000_s319490"/>
                </a:ext>
                <a:ext uri="{FF2B5EF4-FFF2-40B4-BE49-F238E27FC236}">
                  <a16:creationId xmlns:a16="http://schemas.microsoft.com/office/drawing/2014/main" id="{00000000-0008-0000-4800-000002E0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184150</xdr:rowOff>
        </xdr:from>
        <xdr:to>
          <xdr:col>19</xdr:col>
          <xdr:colOff>50800</xdr:colOff>
          <xdr:row>5</xdr:row>
          <xdr:rowOff>25400</xdr:rowOff>
        </xdr:to>
        <xdr:sp macro="" textlink="">
          <xdr:nvSpPr>
            <xdr:cNvPr id="319491" name="Button 3" hidden="1">
              <a:extLst>
                <a:ext uri="{63B3BB69-23CF-44E3-9099-C40C66FF867C}">
                  <a14:compatExt spid="_x0000_s319491"/>
                </a:ext>
                <a:ext uri="{FF2B5EF4-FFF2-40B4-BE49-F238E27FC236}">
                  <a16:creationId xmlns:a16="http://schemas.microsoft.com/office/drawing/2014/main" id="{00000000-0008-0000-4800-000003E0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63500</xdr:rowOff>
        </xdr:to>
        <xdr:sp macro="" textlink="">
          <xdr:nvSpPr>
            <xdr:cNvPr id="319492" name="Button 4" hidden="1">
              <a:extLst>
                <a:ext uri="{63B3BB69-23CF-44E3-9099-C40C66FF867C}">
                  <a14:compatExt spid="_x0000_s319492"/>
                </a:ext>
                <a:ext uri="{FF2B5EF4-FFF2-40B4-BE49-F238E27FC236}">
                  <a16:creationId xmlns:a16="http://schemas.microsoft.com/office/drawing/2014/main" id="{00000000-0008-0000-4800-000004E0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76200</xdr:rowOff>
        </xdr:to>
        <xdr:sp macro="" textlink="">
          <xdr:nvSpPr>
            <xdr:cNvPr id="319493" name="Button 5" hidden="1">
              <a:extLst>
                <a:ext uri="{63B3BB69-23CF-44E3-9099-C40C66FF867C}">
                  <a14:compatExt spid="_x0000_s319493"/>
                </a:ext>
                <a:ext uri="{FF2B5EF4-FFF2-40B4-BE49-F238E27FC236}">
                  <a16:creationId xmlns:a16="http://schemas.microsoft.com/office/drawing/2014/main" id="{00000000-0008-0000-4800-000005E0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31750</xdr:rowOff>
        </xdr:to>
        <xdr:sp macro="" textlink="">
          <xdr:nvSpPr>
            <xdr:cNvPr id="319494" name="Button 6" hidden="1">
              <a:extLst>
                <a:ext uri="{63B3BB69-23CF-44E3-9099-C40C66FF867C}">
                  <a14:compatExt spid="_x0000_s319494"/>
                </a:ext>
                <a:ext uri="{FF2B5EF4-FFF2-40B4-BE49-F238E27FC236}">
                  <a16:creationId xmlns:a16="http://schemas.microsoft.com/office/drawing/2014/main" id="{00000000-0008-0000-4800-000006E0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12700</xdr:rowOff>
        </xdr:from>
        <xdr:to>
          <xdr:col>19</xdr:col>
          <xdr:colOff>50800</xdr:colOff>
          <xdr:row>16</xdr:row>
          <xdr:rowOff>31750</xdr:rowOff>
        </xdr:to>
        <xdr:sp macro="" textlink="">
          <xdr:nvSpPr>
            <xdr:cNvPr id="319495" name="Button 7" hidden="1">
              <a:extLst>
                <a:ext uri="{63B3BB69-23CF-44E3-9099-C40C66FF867C}">
                  <a14:compatExt spid="_x0000_s319495"/>
                </a:ext>
                <a:ext uri="{FF2B5EF4-FFF2-40B4-BE49-F238E27FC236}">
                  <a16:creationId xmlns:a16="http://schemas.microsoft.com/office/drawing/2014/main" id="{00000000-0008-0000-4800-000007E0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19050</xdr:rowOff>
        </xdr:from>
        <xdr:to>
          <xdr:col>19</xdr:col>
          <xdr:colOff>50800</xdr:colOff>
          <xdr:row>19</xdr:row>
          <xdr:rowOff>38100</xdr:rowOff>
        </xdr:to>
        <xdr:sp macro="" textlink="">
          <xdr:nvSpPr>
            <xdr:cNvPr id="319496" name="Button 8" hidden="1">
              <a:extLst>
                <a:ext uri="{63B3BB69-23CF-44E3-9099-C40C66FF867C}">
                  <a14:compatExt spid="_x0000_s319496"/>
                </a:ext>
                <a:ext uri="{FF2B5EF4-FFF2-40B4-BE49-F238E27FC236}">
                  <a16:creationId xmlns:a16="http://schemas.microsoft.com/office/drawing/2014/main" id="{00000000-0008-0000-4800-000008E0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203200</xdr:colOff>
          <xdr:row>0</xdr:row>
          <xdr:rowOff>0</xdr:rowOff>
        </xdr:from>
        <xdr:to>
          <xdr:col>16</xdr:col>
          <xdr:colOff>1479550</xdr:colOff>
          <xdr:row>2</xdr:row>
          <xdr:rowOff>12700</xdr:rowOff>
        </xdr:to>
        <xdr:sp macro="" textlink="">
          <xdr:nvSpPr>
            <xdr:cNvPr id="319497" name="Button 9" hidden="1">
              <a:extLst>
                <a:ext uri="{63B3BB69-23CF-44E3-9099-C40C66FF867C}">
                  <a14:compatExt spid="_x0000_s319497"/>
                </a:ext>
                <a:ext uri="{FF2B5EF4-FFF2-40B4-BE49-F238E27FC236}">
                  <a16:creationId xmlns:a16="http://schemas.microsoft.com/office/drawing/2014/main" id="{00000000-0008-0000-4800-000009E0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DIV_06 Sheets</a:t>
              </a:r>
            </a:p>
          </xdr:txBody>
        </xdr:sp>
        <xdr:clientData fPrintsWithSheet="0"/>
      </xdr:twoCellAnchor>
    </mc:Choice>
    <mc:Fallback/>
  </mc:AlternateContent>
</xdr:wsDr>
</file>

<file path=xl/drawings/drawing6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2</xdr:row>
          <xdr:rowOff>50800</xdr:rowOff>
        </xdr:from>
        <xdr:to>
          <xdr:col>19</xdr:col>
          <xdr:colOff>44450</xdr:colOff>
          <xdr:row>4</xdr:row>
          <xdr:rowOff>88900</xdr:rowOff>
        </xdr:to>
        <xdr:sp macro="" textlink="">
          <xdr:nvSpPr>
            <xdr:cNvPr id="438287" name="Button 15" hidden="1">
              <a:extLst>
                <a:ext uri="{63B3BB69-23CF-44E3-9099-C40C66FF867C}">
                  <a14:compatExt spid="_x0000_s438287"/>
                </a:ext>
                <a:ext uri="{FF2B5EF4-FFF2-40B4-BE49-F238E27FC236}">
                  <a16:creationId xmlns:a16="http://schemas.microsoft.com/office/drawing/2014/main" id="{00000000-0008-0000-4900-00000FB0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5</xdr:row>
          <xdr:rowOff>50800</xdr:rowOff>
        </xdr:from>
        <xdr:to>
          <xdr:col>19</xdr:col>
          <xdr:colOff>44450</xdr:colOff>
          <xdr:row>7</xdr:row>
          <xdr:rowOff>44450</xdr:rowOff>
        </xdr:to>
        <xdr:sp macro="" textlink="">
          <xdr:nvSpPr>
            <xdr:cNvPr id="438288" name="Button 16" hidden="1">
              <a:extLst>
                <a:ext uri="{63B3BB69-23CF-44E3-9099-C40C66FF867C}">
                  <a14:compatExt spid="_x0000_s438288"/>
                </a:ext>
                <a:ext uri="{FF2B5EF4-FFF2-40B4-BE49-F238E27FC236}">
                  <a16:creationId xmlns:a16="http://schemas.microsoft.com/office/drawing/2014/main" id="{00000000-0008-0000-4900-000010B0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7</xdr:row>
          <xdr:rowOff>177800</xdr:rowOff>
        </xdr:from>
        <xdr:to>
          <xdr:col>19</xdr:col>
          <xdr:colOff>44450</xdr:colOff>
          <xdr:row>9</xdr:row>
          <xdr:rowOff>171450</xdr:rowOff>
        </xdr:to>
        <xdr:sp macro="" textlink="">
          <xdr:nvSpPr>
            <xdr:cNvPr id="438289" name="Button 17" hidden="1">
              <a:extLst>
                <a:ext uri="{63B3BB69-23CF-44E3-9099-C40C66FF867C}">
                  <a14:compatExt spid="_x0000_s438289"/>
                </a:ext>
                <a:ext uri="{FF2B5EF4-FFF2-40B4-BE49-F238E27FC236}">
                  <a16:creationId xmlns:a16="http://schemas.microsoft.com/office/drawing/2014/main" id="{00000000-0008-0000-4900-000011B0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44450</xdr:colOff>
          <xdr:row>1</xdr:row>
          <xdr:rowOff>184150</xdr:rowOff>
        </xdr:to>
        <xdr:sp macro="" textlink="">
          <xdr:nvSpPr>
            <xdr:cNvPr id="438290" name="Button 18" hidden="1">
              <a:extLst>
                <a:ext uri="{63B3BB69-23CF-44E3-9099-C40C66FF867C}">
                  <a14:compatExt spid="_x0000_s438290"/>
                </a:ext>
                <a:ext uri="{FF2B5EF4-FFF2-40B4-BE49-F238E27FC236}">
                  <a16:creationId xmlns:a16="http://schemas.microsoft.com/office/drawing/2014/main" id="{00000000-0008-0000-4900-000012B0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Refresh View</a:t>
              </a:r>
            </a:p>
          </xdr:txBody>
        </xdr:sp>
        <xdr:clientData fPrintsWithSheet="0"/>
      </xdr:twoCellAnchor>
    </mc:Choice>
    <mc:Fallback/>
  </mc:AlternateContent>
</xdr:wsDr>
</file>

<file path=xl/drawings/drawing6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603250</xdr:colOff>
          <xdr:row>0</xdr:row>
          <xdr:rowOff>0</xdr:rowOff>
        </xdr:from>
        <xdr:to>
          <xdr:col>19</xdr:col>
          <xdr:colOff>44450</xdr:colOff>
          <xdr:row>2</xdr:row>
          <xdr:rowOff>12700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4A00-0000018C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603250</xdr:colOff>
          <xdr:row>2</xdr:row>
          <xdr:rowOff>38100</xdr:rowOff>
        </xdr:from>
        <xdr:to>
          <xdr:col>19</xdr:col>
          <xdr:colOff>44450</xdr:colOff>
          <xdr:row>4</xdr:row>
          <xdr:rowOff>50800</xdr:rowOff>
        </xdr:to>
        <xdr:sp macro="" textlink="">
          <xdr:nvSpPr>
            <xdr:cNvPr id="625666" name="Button 2" hidden="1">
              <a:extLst>
                <a:ext uri="{63B3BB69-23CF-44E3-9099-C40C66FF867C}">
                  <a14:compatExt spid="_x0000_s625666"/>
                </a:ext>
                <a:ext uri="{FF2B5EF4-FFF2-40B4-BE49-F238E27FC236}">
                  <a16:creationId xmlns:a16="http://schemas.microsoft.com/office/drawing/2014/main" id="{00000000-0008-0000-4A00-0000028C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603250</xdr:colOff>
          <xdr:row>4</xdr:row>
          <xdr:rowOff>76200</xdr:rowOff>
        </xdr:from>
        <xdr:to>
          <xdr:col>19</xdr:col>
          <xdr:colOff>44450</xdr:colOff>
          <xdr:row>6</xdr:row>
          <xdr:rowOff>88900</xdr:rowOff>
        </xdr:to>
        <xdr:sp macro="" textlink="">
          <xdr:nvSpPr>
            <xdr:cNvPr id="625667" name="Button 3" hidden="1">
              <a:extLst>
                <a:ext uri="{63B3BB69-23CF-44E3-9099-C40C66FF867C}">
                  <a14:compatExt spid="_x0000_s625667"/>
                </a:ext>
                <a:ext uri="{FF2B5EF4-FFF2-40B4-BE49-F238E27FC236}">
                  <a16:creationId xmlns:a16="http://schemas.microsoft.com/office/drawing/2014/main" id="{00000000-0008-0000-4A00-0000038C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a:t>
              </a:r>
            </a:p>
          </xdr:txBody>
        </xdr:sp>
        <xdr:clientData fPrintsWithSheet="0"/>
      </xdr:twoCellAnchor>
    </mc:Choice>
    <mc:Fallback/>
  </mc:AlternateContent>
</xdr:wsDr>
</file>

<file path=xl/drawings/drawing6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44450</xdr:rowOff>
        </xdr:from>
        <xdr:to>
          <xdr:col>19</xdr:col>
          <xdr:colOff>50800</xdr:colOff>
          <xdr:row>2</xdr:row>
          <xdr:rowOff>57150</xdr:rowOff>
        </xdr:to>
        <xdr:sp macro="" textlink="">
          <xdr:nvSpPr>
            <xdr:cNvPr id="440322" name="Button 2" hidden="1">
              <a:extLst>
                <a:ext uri="{63B3BB69-23CF-44E3-9099-C40C66FF867C}">
                  <a14:compatExt spid="_x0000_s440322"/>
                </a:ext>
                <a:ext uri="{FF2B5EF4-FFF2-40B4-BE49-F238E27FC236}">
                  <a16:creationId xmlns:a16="http://schemas.microsoft.com/office/drawing/2014/main" id="{00000000-0008-0000-4B00-000002B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xdr:wsDr>
</file>

<file path=xl/drawings/drawing6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184150</xdr:colOff>
          <xdr:row>0</xdr:row>
          <xdr:rowOff>6350</xdr:rowOff>
        </xdr:from>
        <xdr:to>
          <xdr:col>16</xdr:col>
          <xdr:colOff>1454150</xdr:colOff>
          <xdr:row>2</xdr:row>
          <xdr:rowOff>19050</xdr:rowOff>
        </xdr:to>
        <xdr:sp macro="" textlink="">
          <xdr:nvSpPr>
            <xdr:cNvPr id="348169" name="Button 9" hidden="1">
              <a:extLst>
                <a:ext uri="{63B3BB69-23CF-44E3-9099-C40C66FF867C}">
                  <a14:compatExt spid="_x0000_s348169"/>
                </a:ext>
                <a:ext uri="{FF2B5EF4-FFF2-40B4-BE49-F238E27FC236}">
                  <a16:creationId xmlns:a16="http://schemas.microsoft.com/office/drawing/2014/main" id="{00000000-0008-0000-4D00-0000095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SEC_061000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348213" name="Button 53" hidden="1">
              <a:extLst>
                <a:ext uri="{63B3BB69-23CF-44E3-9099-C40C66FF867C}">
                  <a14:compatExt spid="_x0000_s348213"/>
                </a:ext>
                <a:ext uri="{FF2B5EF4-FFF2-40B4-BE49-F238E27FC236}">
                  <a16:creationId xmlns:a16="http://schemas.microsoft.com/office/drawing/2014/main" id="{00000000-0008-0000-4D00-0000355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348214" name="Button 54" hidden="1">
              <a:extLst>
                <a:ext uri="{63B3BB69-23CF-44E3-9099-C40C66FF867C}">
                  <a14:compatExt spid="_x0000_s348214"/>
                </a:ext>
                <a:ext uri="{FF2B5EF4-FFF2-40B4-BE49-F238E27FC236}">
                  <a16:creationId xmlns:a16="http://schemas.microsoft.com/office/drawing/2014/main" id="{00000000-0008-0000-4D00-0000365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348215" name="Button 55" hidden="1">
              <a:extLst>
                <a:ext uri="{63B3BB69-23CF-44E3-9099-C40C66FF867C}">
                  <a14:compatExt spid="_x0000_s348215"/>
                </a:ext>
                <a:ext uri="{FF2B5EF4-FFF2-40B4-BE49-F238E27FC236}">
                  <a16:creationId xmlns:a16="http://schemas.microsoft.com/office/drawing/2014/main" id="{00000000-0008-0000-4D00-0000375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348216" name="Button 56" hidden="1">
              <a:extLst>
                <a:ext uri="{63B3BB69-23CF-44E3-9099-C40C66FF867C}">
                  <a14:compatExt spid="_x0000_s348216"/>
                </a:ext>
                <a:ext uri="{FF2B5EF4-FFF2-40B4-BE49-F238E27FC236}">
                  <a16:creationId xmlns:a16="http://schemas.microsoft.com/office/drawing/2014/main" id="{00000000-0008-0000-4D00-0000385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348217" name="Button 57" hidden="1">
              <a:extLst>
                <a:ext uri="{63B3BB69-23CF-44E3-9099-C40C66FF867C}">
                  <a14:compatExt spid="_x0000_s348217"/>
                </a:ext>
                <a:ext uri="{FF2B5EF4-FFF2-40B4-BE49-F238E27FC236}">
                  <a16:creationId xmlns:a16="http://schemas.microsoft.com/office/drawing/2014/main" id="{00000000-0008-0000-4D00-0000395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348218" name="Button 58" hidden="1">
              <a:extLst>
                <a:ext uri="{63B3BB69-23CF-44E3-9099-C40C66FF867C}">
                  <a14:compatExt spid="_x0000_s348218"/>
                </a:ext>
                <a:ext uri="{FF2B5EF4-FFF2-40B4-BE49-F238E27FC236}">
                  <a16:creationId xmlns:a16="http://schemas.microsoft.com/office/drawing/2014/main" id="{00000000-0008-0000-4D00-00003A5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348219" name="Button 59" hidden="1">
              <a:extLst>
                <a:ext uri="{63B3BB69-23CF-44E3-9099-C40C66FF867C}">
                  <a14:compatExt spid="_x0000_s348219"/>
                </a:ext>
                <a:ext uri="{FF2B5EF4-FFF2-40B4-BE49-F238E27FC236}">
                  <a16:creationId xmlns:a16="http://schemas.microsoft.com/office/drawing/2014/main" id="{00000000-0008-0000-4D00-00003B5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348220" name="Button 60" hidden="1">
              <a:extLst>
                <a:ext uri="{63B3BB69-23CF-44E3-9099-C40C66FF867C}">
                  <a14:compatExt spid="_x0000_s348220"/>
                </a:ext>
                <a:ext uri="{FF2B5EF4-FFF2-40B4-BE49-F238E27FC236}">
                  <a16:creationId xmlns:a16="http://schemas.microsoft.com/office/drawing/2014/main" id="{00000000-0008-0000-4D00-00003C5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6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203200</xdr:colOff>
          <xdr:row>0</xdr:row>
          <xdr:rowOff>0</xdr:rowOff>
        </xdr:from>
        <xdr:to>
          <xdr:col>16</xdr:col>
          <xdr:colOff>1473200</xdr:colOff>
          <xdr:row>2</xdr:row>
          <xdr:rowOff>12700</xdr:rowOff>
        </xdr:to>
        <xdr:sp macro="" textlink="">
          <xdr:nvSpPr>
            <xdr:cNvPr id="349193" name="Button 9" hidden="1">
              <a:extLst>
                <a:ext uri="{63B3BB69-23CF-44E3-9099-C40C66FF867C}">
                  <a14:compatExt spid="_x0000_s349193"/>
                </a:ext>
                <a:ext uri="{FF2B5EF4-FFF2-40B4-BE49-F238E27FC236}">
                  <a16:creationId xmlns:a16="http://schemas.microsoft.com/office/drawing/2014/main" id="{00000000-0008-0000-4E00-0000095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SEC_062000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349203" name="Button 19" hidden="1">
              <a:extLst>
                <a:ext uri="{63B3BB69-23CF-44E3-9099-C40C66FF867C}">
                  <a14:compatExt spid="_x0000_s349203"/>
                </a:ext>
                <a:ext uri="{FF2B5EF4-FFF2-40B4-BE49-F238E27FC236}">
                  <a16:creationId xmlns:a16="http://schemas.microsoft.com/office/drawing/2014/main" id="{00000000-0008-0000-4E00-0000135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349204" name="Button 20" hidden="1">
              <a:extLst>
                <a:ext uri="{63B3BB69-23CF-44E3-9099-C40C66FF867C}">
                  <a14:compatExt spid="_x0000_s349204"/>
                </a:ext>
                <a:ext uri="{FF2B5EF4-FFF2-40B4-BE49-F238E27FC236}">
                  <a16:creationId xmlns:a16="http://schemas.microsoft.com/office/drawing/2014/main" id="{00000000-0008-0000-4E00-0000145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349205" name="Button 21" hidden="1">
              <a:extLst>
                <a:ext uri="{63B3BB69-23CF-44E3-9099-C40C66FF867C}">
                  <a14:compatExt spid="_x0000_s349205"/>
                </a:ext>
                <a:ext uri="{FF2B5EF4-FFF2-40B4-BE49-F238E27FC236}">
                  <a16:creationId xmlns:a16="http://schemas.microsoft.com/office/drawing/2014/main" id="{00000000-0008-0000-4E00-0000155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349206" name="Button 22" hidden="1">
              <a:extLst>
                <a:ext uri="{63B3BB69-23CF-44E3-9099-C40C66FF867C}">
                  <a14:compatExt spid="_x0000_s349206"/>
                </a:ext>
                <a:ext uri="{FF2B5EF4-FFF2-40B4-BE49-F238E27FC236}">
                  <a16:creationId xmlns:a16="http://schemas.microsoft.com/office/drawing/2014/main" id="{00000000-0008-0000-4E00-0000165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349207" name="Button 23" hidden="1">
              <a:extLst>
                <a:ext uri="{63B3BB69-23CF-44E3-9099-C40C66FF867C}">
                  <a14:compatExt spid="_x0000_s349207"/>
                </a:ext>
                <a:ext uri="{FF2B5EF4-FFF2-40B4-BE49-F238E27FC236}">
                  <a16:creationId xmlns:a16="http://schemas.microsoft.com/office/drawing/2014/main" id="{00000000-0008-0000-4E00-0000175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349208" name="Button 24" hidden="1">
              <a:extLst>
                <a:ext uri="{63B3BB69-23CF-44E3-9099-C40C66FF867C}">
                  <a14:compatExt spid="_x0000_s349208"/>
                </a:ext>
                <a:ext uri="{FF2B5EF4-FFF2-40B4-BE49-F238E27FC236}">
                  <a16:creationId xmlns:a16="http://schemas.microsoft.com/office/drawing/2014/main" id="{00000000-0008-0000-4E00-0000185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349209" name="Button 25" hidden="1">
              <a:extLst>
                <a:ext uri="{63B3BB69-23CF-44E3-9099-C40C66FF867C}">
                  <a14:compatExt spid="_x0000_s349209"/>
                </a:ext>
                <a:ext uri="{FF2B5EF4-FFF2-40B4-BE49-F238E27FC236}">
                  <a16:creationId xmlns:a16="http://schemas.microsoft.com/office/drawing/2014/main" id="{00000000-0008-0000-4E00-0000195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349210" name="Button 26" hidden="1">
              <a:extLst>
                <a:ext uri="{63B3BB69-23CF-44E3-9099-C40C66FF867C}">
                  <a14:compatExt spid="_x0000_s349210"/>
                </a:ext>
                <a:ext uri="{FF2B5EF4-FFF2-40B4-BE49-F238E27FC236}">
                  <a16:creationId xmlns:a16="http://schemas.microsoft.com/office/drawing/2014/main" id="{00000000-0008-0000-4E00-00001A5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7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203200</xdr:colOff>
          <xdr:row>0</xdr:row>
          <xdr:rowOff>0</xdr:rowOff>
        </xdr:from>
        <xdr:to>
          <xdr:col>16</xdr:col>
          <xdr:colOff>1473200</xdr:colOff>
          <xdr:row>2</xdr:row>
          <xdr:rowOff>12700</xdr:rowOff>
        </xdr:to>
        <xdr:sp macro="" textlink="">
          <xdr:nvSpPr>
            <xdr:cNvPr id="350217" name="Button 9" hidden="1">
              <a:extLst>
                <a:ext uri="{63B3BB69-23CF-44E3-9099-C40C66FF867C}">
                  <a14:compatExt spid="_x0000_s350217"/>
                </a:ext>
                <a:ext uri="{FF2B5EF4-FFF2-40B4-BE49-F238E27FC236}">
                  <a16:creationId xmlns:a16="http://schemas.microsoft.com/office/drawing/2014/main" id="{00000000-0008-0000-4F00-0000095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SEC_064000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350270" name="Button 62" hidden="1">
              <a:extLst>
                <a:ext uri="{63B3BB69-23CF-44E3-9099-C40C66FF867C}">
                  <a14:compatExt spid="_x0000_s350270"/>
                </a:ext>
                <a:ext uri="{FF2B5EF4-FFF2-40B4-BE49-F238E27FC236}">
                  <a16:creationId xmlns:a16="http://schemas.microsoft.com/office/drawing/2014/main" id="{00000000-0008-0000-4F00-00003E5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350271" name="Button 63" hidden="1">
              <a:extLst>
                <a:ext uri="{63B3BB69-23CF-44E3-9099-C40C66FF867C}">
                  <a14:compatExt spid="_x0000_s350271"/>
                </a:ext>
                <a:ext uri="{FF2B5EF4-FFF2-40B4-BE49-F238E27FC236}">
                  <a16:creationId xmlns:a16="http://schemas.microsoft.com/office/drawing/2014/main" id="{00000000-0008-0000-4F00-00003F5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350272" name="Button 64" hidden="1">
              <a:extLst>
                <a:ext uri="{63B3BB69-23CF-44E3-9099-C40C66FF867C}">
                  <a14:compatExt spid="_x0000_s350272"/>
                </a:ext>
                <a:ext uri="{FF2B5EF4-FFF2-40B4-BE49-F238E27FC236}">
                  <a16:creationId xmlns:a16="http://schemas.microsoft.com/office/drawing/2014/main" id="{00000000-0008-0000-4F00-0000405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350273" name="Button 65" hidden="1">
              <a:extLst>
                <a:ext uri="{63B3BB69-23CF-44E3-9099-C40C66FF867C}">
                  <a14:compatExt spid="_x0000_s350273"/>
                </a:ext>
                <a:ext uri="{FF2B5EF4-FFF2-40B4-BE49-F238E27FC236}">
                  <a16:creationId xmlns:a16="http://schemas.microsoft.com/office/drawing/2014/main" id="{00000000-0008-0000-4F00-0000415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350274" name="Button 66" hidden="1">
              <a:extLst>
                <a:ext uri="{63B3BB69-23CF-44E3-9099-C40C66FF867C}">
                  <a14:compatExt spid="_x0000_s350274"/>
                </a:ext>
                <a:ext uri="{FF2B5EF4-FFF2-40B4-BE49-F238E27FC236}">
                  <a16:creationId xmlns:a16="http://schemas.microsoft.com/office/drawing/2014/main" id="{00000000-0008-0000-4F00-0000425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350275" name="Button 67" hidden="1">
              <a:extLst>
                <a:ext uri="{63B3BB69-23CF-44E3-9099-C40C66FF867C}">
                  <a14:compatExt spid="_x0000_s350275"/>
                </a:ext>
                <a:ext uri="{FF2B5EF4-FFF2-40B4-BE49-F238E27FC236}">
                  <a16:creationId xmlns:a16="http://schemas.microsoft.com/office/drawing/2014/main" id="{00000000-0008-0000-4F00-0000435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350276" name="Button 68" hidden="1">
              <a:extLst>
                <a:ext uri="{63B3BB69-23CF-44E3-9099-C40C66FF867C}">
                  <a14:compatExt spid="_x0000_s350276"/>
                </a:ext>
                <a:ext uri="{FF2B5EF4-FFF2-40B4-BE49-F238E27FC236}">
                  <a16:creationId xmlns:a16="http://schemas.microsoft.com/office/drawing/2014/main" id="{00000000-0008-0000-4F00-0000445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350277" name="Button 69" hidden="1">
              <a:extLst>
                <a:ext uri="{63B3BB69-23CF-44E3-9099-C40C66FF867C}">
                  <a14:compatExt spid="_x0000_s350277"/>
                </a:ext>
                <a:ext uri="{FF2B5EF4-FFF2-40B4-BE49-F238E27FC236}">
                  <a16:creationId xmlns:a16="http://schemas.microsoft.com/office/drawing/2014/main" id="{00000000-0008-0000-4F00-0000455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7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203200</xdr:colOff>
          <xdr:row>0</xdr:row>
          <xdr:rowOff>0</xdr:rowOff>
        </xdr:from>
        <xdr:to>
          <xdr:col>16</xdr:col>
          <xdr:colOff>1473200</xdr:colOff>
          <xdr:row>2</xdr:row>
          <xdr:rowOff>12700</xdr:rowOff>
        </xdr:to>
        <xdr:sp macro="" textlink="">
          <xdr:nvSpPr>
            <xdr:cNvPr id="351242" name="Button 10" hidden="1">
              <a:extLst>
                <a:ext uri="{63B3BB69-23CF-44E3-9099-C40C66FF867C}">
                  <a14:compatExt spid="_x0000_s351242"/>
                </a:ext>
                <a:ext uri="{FF2B5EF4-FFF2-40B4-BE49-F238E27FC236}">
                  <a16:creationId xmlns:a16="http://schemas.microsoft.com/office/drawing/2014/main" id="{00000000-0008-0000-5000-00000A5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SEC_065000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351269" name="Button 37" hidden="1">
              <a:extLst>
                <a:ext uri="{63B3BB69-23CF-44E3-9099-C40C66FF867C}">
                  <a14:compatExt spid="_x0000_s351269"/>
                </a:ext>
                <a:ext uri="{FF2B5EF4-FFF2-40B4-BE49-F238E27FC236}">
                  <a16:creationId xmlns:a16="http://schemas.microsoft.com/office/drawing/2014/main" id="{00000000-0008-0000-5000-0000255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351270" name="Button 38" hidden="1">
              <a:extLst>
                <a:ext uri="{63B3BB69-23CF-44E3-9099-C40C66FF867C}">
                  <a14:compatExt spid="_x0000_s351270"/>
                </a:ext>
                <a:ext uri="{FF2B5EF4-FFF2-40B4-BE49-F238E27FC236}">
                  <a16:creationId xmlns:a16="http://schemas.microsoft.com/office/drawing/2014/main" id="{00000000-0008-0000-5000-0000265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351271" name="Button 39" hidden="1">
              <a:extLst>
                <a:ext uri="{63B3BB69-23CF-44E3-9099-C40C66FF867C}">
                  <a14:compatExt spid="_x0000_s351271"/>
                </a:ext>
                <a:ext uri="{FF2B5EF4-FFF2-40B4-BE49-F238E27FC236}">
                  <a16:creationId xmlns:a16="http://schemas.microsoft.com/office/drawing/2014/main" id="{00000000-0008-0000-5000-0000275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351272" name="Button 40" hidden="1">
              <a:extLst>
                <a:ext uri="{63B3BB69-23CF-44E3-9099-C40C66FF867C}">
                  <a14:compatExt spid="_x0000_s351272"/>
                </a:ext>
                <a:ext uri="{FF2B5EF4-FFF2-40B4-BE49-F238E27FC236}">
                  <a16:creationId xmlns:a16="http://schemas.microsoft.com/office/drawing/2014/main" id="{00000000-0008-0000-5000-0000285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351273" name="Button 41" hidden="1">
              <a:extLst>
                <a:ext uri="{63B3BB69-23CF-44E3-9099-C40C66FF867C}">
                  <a14:compatExt spid="_x0000_s351273"/>
                </a:ext>
                <a:ext uri="{FF2B5EF4-FFF2-40B4-BE49-F238E27FC236}">
                  <a16:creationId xmlns:a16="http://schemas.microsoft.com/office/drawing/2014/main" id="{00000000-0008-0000-5000-0000295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351274" name="Button 42" hidden="1">
              <a:extLst>
                <a:ext uri="{63B3BB69-23CF-44E3-9099-C40C66FF867C}">
                  <a14:compatExt spid="_x0000_s351274"/>
                </a:ext>
                <a:ext uri="{FF2B5EF4-FFF2-40B4-BE49-F238E27FC236}">
                  <a16:creationId xmlns:a16="http://schemas.microsoft.com/office/drawing/2014/main" id="{00000000-0008-0000-5000-00002A5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351275" name="Button 43" hidden="1">
              <a:extLst>
                <a:ext uri="{63B3BB69-23CF-44E3-9099-C40C66FF867C}">
                  <a14:compatExt spid="_x0000_s351275"/>
                </a:ext>
                <a:ext uri="{FF2B5EF4-FFF2-40B4-BE49-F238E27FC236}">
                  <a16:creationId xmlns:a16="http://schemas.microsoft.com/office/drawing/2014/main" id="{00000000-0008-0000-5000-00002B5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351276" name="Button 44" hidden="1">
              <a:extLst>
                <a:ext uri="{63B3BB69-23CF-44E3-9099-C40C66FF867C}">
                  <a14:compatExt spid="_x0000_s351276"/>
                </a:ext>
                <a:ext uri="{FF2B5EF4-FFF2-40B4-BE49-F238E27FC236}">
                  <a16:creationId xmlns:a16="http://schemas.microsoft.com/office/drawing/2014/main" id="{00000000-0008-0000-5000-00002C5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7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203200</xdr:colOff>
          <xdr:row>0</xdr:row>
          <xdr:rowOff>0</xdr:rowOff>
        </xdr:from>
        <xdr:to>
          <xdr:col>16</xdr:col>
          <xdr:colOff>1473200</xdr:colOff>
          <xdr:row>2</xdr:row>
          <xdr:rowOff>12700</xdr:rowOff>
        </xdr:to>
        <xdr:sp macro="" textlink="">
          <xdr:nvSpPr>
            <xdr:cNvPr id="352266" name="Button 10" hidden="1">
              <a:extLst>
                <a:ext uri="{63B3BB69-23CF-44E3-9099-C40C66FF867C}">
                  <a14:compatExt spid="_x0000_s352266"/>
                </a:ext>
                <a:ext uri="{FF2B5EF4-FFF2-40B4-BE49-F238E27FC236}">
                  <a16:creationId xmlns:a16="http://schemas.microsoft.com/office/drawing/2014/main" id="{00000000-0008-0000-5100-00000A6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SEC_066000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352301" name="Button 45" hidden="1">
              <a:extLst>
                <a:ext uri="{63B3BB69-23CF-44E3-9099-C40C66FF867C}">
                  <a14:compatExt spid="_x0000_s352301"/>
                </a:ext>
                <a:ext uri="{FF2B5EF4-FFF2-40B4-BE49-F238E27FC236}">
                  <a16:creationId xmlns:a16="http://schemas.microsoft.com/office/drawing/2014/main" id="{00000000-0008-0000-5100-00002D6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352302" name="Button 46" hidden="1">
              <a:extLst>
                <a:ext uri="{63B3BB69-23CF-44E3-9099-C40C66FF867C}">
                  <a14:compatExt spid="_x0000_s352302"/>
                </a:ext>
                <a:ext uri="{FF2B5EF4-FFF2-40B4-BE49-F238E27FC236}">
                  <a16:creationId xmlns:a16="http://schemas.microsoft.com/office/drawing/2014/main" id="{00000000-0008-0000-5100-00002E6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352303" name="Button 47" hidden="1">
              <a:extLst>
                <a:ext uri="{63B3BB69-23CF-44E3-9099-C40C66FF867C}">
                  <a14:compatExt spid="_x0000_s352303"/>
                </a:ext>
                <a:ext uri="{FF2B5EF4-FFF2-40B4-BE49-F238E27FC236}">
                  <a16:creationId xmlns:a16="http://schemas.microsoft.com/office/drawing/2014/main" id="{00000000-0008-0000-5100-00002F6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352304" name="Button 48" hidden="1">
              <a:extLst>
                <a:ext uri="{63B3BB69-23CF-44E3-9099-C40C66FF867C}">
                  <a14:compatExt spid="_x0000_s352304"/>
                </a:ext>
                <a:ext uri="{FF2B5EF4-FFF2-40B4-BE49-F238E27FC236}">
                  <a16:creationId xmlns:a16="http://schemas.microsoft.com/office/drawing/2014/main" id="{00000000-0008-0000-5100-0000306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352305" name="Button 49" hidden="1">
              <a:extLst>
                <a:ext uri="{63B3BB69-23CF-44E3-9099-C40C66FF867C}">
                  <a14:compatExt spid="_x0000_s352305"/>
                </a:ext>
                <a:ext uri="{FF2B5EF4-FFF2-40B4-BE49-F238E27FC236}">
                  <a16:creationId xmlns:a16="http://schemas.microsoft.com/office/drawing/2014/main" id="{00000000-0008-0000-5100-0000316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352306" name="Button 50" hidden="1">
              <a:extLst>
                <a:ext uri="{63B3BB69-23CF-44E3-9099-C40C66FF867C}">
                  <a14:compatExt spid="_x0000_s352306"/>
                </a:ext>
                <a:ext uri="{FF2B5EF4-FFF2-40B4-BE49-F238E27FC236}">
                  <a16:creationId xmlns:a16="http://schemas.microsoft.com/office/drawing/2014/main" id="{00000000-0008-0000-5100-0000326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352307" name="Button 51" hidden="1">
              <a:extLst>
                <a:ext uri="{63B3BB69-23CF-44E3-9099-C40C66FF867C}">
                  <a14:compatExt spid="_x0000_s352307"/>
                </a:ext>
                <a:ext uri="{FF2B5EF4-FFF2-40B4-BE49-F238E27FC236}">
                  <a16:creationId xmlns:a16="http://schemas.microsoft.com/office/drawing/2014/main" id="{00000000-0008-0000-5100-0000336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352308" name="Button 52" hidden="1">
              <a:extLst>
                <a:ext uri="{63B3BB69-23CF-44E3-9099-C40C66FF867C}">
                  <a14:compatExt spid="_x0000_s352308"/>
                </a:ext>
                <a:ext uri="{FF2B5EF4-FFF2-40B4-BE49-F238E27FC236}">
                  <a16:creationId xmlns:a16="http://schemas.microsoft.com/office/drawing/2014/main" id="{00000000-0008-0000-5100-0000346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7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203200</xdr:colOff>
          <xdr:row>0</xdr:row>
          <xdr:rowOff>0</xdr:rowOff>
        </xdr:from>
        <xdr:to>
          <xdr:col>16</xdr:col>
          <xdr:colOff>1473200</xdr:colOff>
          <xdr:row>2</xdr:row>
          <xdr:rowOff>12700</xdr:rowOff>
        </xdr:to>
        <xdr:sp macro="" textlink="">
          <xdr:nvSpPr>
            <xdr:cNvPr id="635914" name="Button 10" hidden="1">
              <a:extLst>
                <a:ext uri="{63B3BB69-23CF-44E3-9099-C40C66FF867C}">
                  <a14:compatExt spid="_x0000_s635914"/>
                </a:ext>
                <a:ext uri="{FF2B5EF4-FFF2-40B4-BE49-F238E27FC236}">
                  <a16:creationId xmlns:a16="http://schemas.microsoft.com/office/drawing/2014/main" id="{00000000-0008-0000-5200-00000AB4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SEC_067000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635924" name="Button 20" hidden="1">
              <a:extLst>
                <a:ext uri="{63B3BB69-23CF-44E3-9099-C40C66FF867C}">
                  <a14:compatExt spid="_x0000_s635924"/>
                </a:ext>
                <a:ext uri="{FF2B5EF4-FFF2-40B4-BE49-F238E27FC236}">
                  <a16:creationId xmlns:a16="http://schemas.microsoft.com/office/drawing/2014/main" id="{00000000-0008-0000-5200-000014B4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635925" name="Button 21" hidden="1">
              <a:extLst>
                <a:ext uri="{63B3BB69-23CF-44E3-9099-C40C66FF867C}">
                  <a14:compatExt spid="_x0000_s635925"/>
                </a:ext>
                <a:ext uri="{FF2B5EF4-FFF2-40B4-BE49-F238E27FC236}">
                  <a16:creationId xmlns:a16="http://schemas.microsoft.com/office/drawing/2014/main" id="{00000000-0008-0000-5200-000015B4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635926" name="Button 22" hidden="1">
              <a:extLst>
                <a:ext uri="{63B3BB69-23CF-44E3-9099-C40C66FF867C}">
                  <a14:compatExt spid="_x0000_s635926"/>
                </a:ext>
                <a:ext uri="{FF2B5EF4-FFF2-40B4-BE49-F238E27FC236}">
                  <a16:creationId xmlns:a16="http://schemas.microsoft.com/office/drawing/2014/main" id="{00000000-0008-0000-5200-000016B4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635927" name="Button 23" hidden="1">
              <a:extLst>
                <a:ext uri="{63B3BB69-23CF-44E3-9099-C40C66FF867C}">
                  <a14:compatExt spid="_x0000_s635927"/>
                </a:ext>
                <a:ext uri="{FF2B5EF4-FFF2-40B4-BE49-F238E27FC236}">
                  <a16:creationId xmlns:a16="http://schemas.microsoft.com/office/drawing/2014/main" id="{00000000-0008-0000-5200-000017B4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635928" name="Button 24" hidden="1">
              <a:extLst>
                <a:ext uri="{63B3BB69-23CF-44E3-9099-C40C66FF867C}">
                  <a14:compatExt spid="_x0000_s635928"/>
                </a:ext>
                <a:ext uri="{FF2B5EF4-FFF2-40B4-BE49-F238E27FC236}">
                  <a16:creationId xmlns:a16="http://schemas.microsoft.com/office/drawing/2014/main" id="{00000000-0008-0000-5200-000018B4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635929" name="Button 25" hidden="1">
              <a:extLst>
                <a:ext uri="{63B3BB69-23CF-44E3-9099-C40C66FF867C}">
                  <a14:compatExt spid="_x0000_s635929"/>
                </a:ext>
                <a:ext uri="{FF2B5EF4-FFF2-40B4-BE49-F238E27FC236}">
                  <a16:creationId xmlns:a16="http://schemas.microsoft.com/office/drawing/2014/main" id="{00000000-0008-0000-5200-000019B4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635930" name="Button 26" hidden="1">
              <a:extLst>
                <a:ext uri="{63B3BB69-23CF-44E3-9099-C40C66FF867C}">
                  <a14:compatExt spid="_x0000_s635930"/>
                </a:ext>
                <a:ext uri="{FF2B5EF4-FFF2-40B4-BE49-F238E27FC236}">
                  <a16:creationId xmlns:a16="http://schemas.microsoft.com/office/drawing/2014/main" id="{00000000-0008-0000-5200-00001AB4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635931" name="Button 27" hidden="1">
              <a:extLst>
                <a:ext uri="{63B3BB69-23CF-44E3-9099-C40C66FF867C}">
                  <a14:compatExt spid="_x0000_s635931"/>
                </a:ext>
                <a:ext uri="{FF2B5EF4-FFF2-40B4-BE49-F238E27FC236}">
                  <a16:creationId xmlns:a16="http://schemas.microsoft.com/office/drawing/2014/main" id="{00000000-0008-0000-5200-00001BB4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7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203200</xdr:colOff>
          <xdr:row>0</xdr:row>
          <xdr:rowOff>0</xdr:rowOff>
        </xdr:from>
        <xdr:to>
          <xdr:col>16</xdr:col>
          <xdr:colOff>1473200</xdr:colOff>
          <xdr:row>2</xdr:row>
          <xdr:rowOff>12700</xdr:rowOff>
        </xdr:to>
        <xdr:sp macro="" textlink="">
          <xdr:nvSpPr>
            <xdr:cNvPr id="636938" name="Button 10" hidden="1">
              <a:extLst>
                <a:ext uri="{63B3BB69-23CF-44E3-9099-C40C66FF867C}">
                  <a14:compatExt spid="_x0000_s636938"/>
                </a:ext>
                <a:ext uri="{FF2B5EF4-FFF2-40B4-BE49-F238E27FC236}">
                  <a16:creationId xmlns:a16="http://schemas.microsoft.com/office/drawing/2014/main" id="{00000000-0008-0000-5300-00000AB8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SEC_068000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636948" name="Button 20" hidden="1">
              <a:extLst>
                <a:ext uri="{63B3BB69-23CF-44E3-9099-C40C66FF867C}">
                  <a14:compatExt spid="_x0000_s636948"/>
                </a:ext>
                <a:ext uri="{FF2B5EF4-FFF2-40B4-BE49-F238E27FC236}">
                  <a16:creationId xmlns:a16="http://schemas.microsoft.com/office/drawing/2014/main" id="{00000000-0008-0000-5300-000014B8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636949" name="Button 21" hidden="1">
              <a:extLst>
                <a:ext uri="{63B3BB69-23CF-44E3-9099-C40C66FF867C}">
                  <a14:compatExt spid="_x0000_s636949"/>
                </a:ext>
                <a:ext uri="{FF2B5EF4-FFF2-40B4-BE49-F238E27FC236}">
                  <a16:creationId xmlns:a16="http://schemas.microsoft.com/office/drawing/2014/main" id="{00000000-0008-0000-5300-000015B8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636950" name="Button 22" hidden="1">
              <a:extLst>
                <a:ext uri="{63B3BB69-23CF-44E3-9099-C40C66FF867C}">
                  <a14:compatExt spid="_x0000_s636950"/>
                </a:ext>
                <a:ext uri="{FF2B5EF4-FFF2-40B4-BE49-F238E27FC236}">
                  <a16:creationId xmlns:a16="http://schemas.microsoft.com/office/drawing/2014/main" id="{00000000-0008-0000-5300-000016B8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636951" name="Button 23" hidden="1">
              <a:extLst>
                <a:ext uri="{63B3BB69-23CF-44E3-9099-C40C66FF867C}">
                  <a14:compatExt spid="_x0000_s636951"/>
                </a:ext>
                <a:ext uri="{FF2B5EF4-FFF2-40B4-BE49-F238E27FC236}">
                  <a16:creationId xmlns:a16="http://schemas.microsoft.com/office/drawing/2014/main" id="{00000000-0008-0000-5300-000017B8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636952" name="Button 24" hidden="1">
              <a:extLst>
                <a:ext uri="{63B3BB69-23CF-44E3-9099-C40C66FF867C}">
                  <a14:compatExt spid="_x0000_s636952"/>
                </a:ext>
                <a:ext uri="{FF2B5EF4-FFF2-40B4-BE49-F238E27FC236}">
                  <a16:creationId xmlns:a16="http://schemas.microsoft.com/office/drawing/2014/main" id="{00000000-0008-0000-5300-000018B8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636953" name="Button 25" hidden="1">
              <a:extLst>
                <a:ext uri="{63B3BB69-23CF-44E3-9099-C40C66FF867C}">
                  <a14:compatExt spid="_x0000_s636953"/>
                </a:ext>
                <a:ext uri="{FF2B5EF4-FFF2-40B4-BE49-F238E27FC236}">
                  <a16:creationId xmlns:a16="http://schemas.microsoft.com/office/drawing/2014/main" id="{00000000-0008-0000-5300-000019B8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636954" name="Button 26" hidden="1">
              <a:extLst>
                <a:ext uri="{63B3BB69-23CF-44E3-9099-C40C66FF867C}">
                  <a14:compatExt spid="_x0000_s636954"/>
                </a:ext>
                <a:ext uri="{FF2B5EF4-FFF2-40B4-BE49-F238E27FC236}">
                  <a16:creationId xmlns:a16="http://schemas.microsoft.com/office/drawing/2014/main" id="{00000000-0008-0000-5300-00001AB8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636955" name="Button 27" hidden="1">
              <a:extLst>
                <a:ext uri="{63B3BB69-23CF-44E3-9099-C40C66FF867C}">
                  <a14:compatExt spid="_x0000_s636955"/>
                </a:ext>
                <a:ext uri="{FF2B5EF4-FFF2-40B4-BE49-F238E27FC236}">
                  <a16:creationId xmlns:a16="http://schemas.microsoft.com/office/drawing/2014/main" id="{00000000-0008-0000-5300-00001BB8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7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19050</xdr:rowOff>
        </xdr:to>
        <xdr:sp macro="" textlink="">
          <xdr:nvSpPr>
            <xdr:cNvPr id="353281" name="Button 1" hidden="1">
              <a:extLst>
                <a:ext uri="{63B3BB69-23CF-44E3-9099-C40C66FF867C}">
                  <a14:compatExt spid="_x0000_s353281"/>
                </a:ext>
                <a:ext uri="{FF2B5EF4-FFF2-40B4-BE49-F238E27FC236}">
                  <a16:creationId xmlns:a16="http://schemas.microsoft.com/office/drawing/2014/main" id="{00000000-0008-0000-5400-0000016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184150</xdr:rowOff>
        </xdr:from>
        <xdr:to>
          <xdr:col>19</xdr:col>
          <xdr:colOff>50800</xdr:colOff>
          <xdr:row>5</xdr:row>
          <xdr:rowOff>25400</xdr:rowOff>
        </xdr:to>
        <xdr:sp macro="" textlink="">
          <xdr:nvSpPr>
            <xdr:cNvPr id="353282" name="Button 2" hidden="1">
              <a:extLst>
                <a:ext uri="{63B3BB69-23CF-44E3-9099-C40C66FF867C}">
                  <a14:compatExt spid="_x0000_s353282"/>
                </a:ext>
                <a:ext uri="{FF2B5EF4-FFF2-40B4-BE49-F238E27FC236}">
                  <a16:creationId xmlns:a16="http://schemas.microsoft.com/office/drawing/2014/main" id="{00000000-0008-0000-5400-0000026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63500</xdr:rowOff>
        </xdr:to>
        <xdr:sp macro="" textlink="">
          <xdr:nvSpPr>
            <xdr:cNvPr id="353283" name="Button 3" hidden="1">
              <a:extLst>
                <a:ext uri="{63B3BB69-23CF-44E3-9099-C40C66FF867C}">
                  <a14:compatExt spid="_x0000_s353283"/>
                </a:ext>
                <a:ext uri="{FF2B5EF4-FFF2-40B4-BE49-F238E27FC236}">
                  <a16:creationId xmlns:a16="http://schemas.microsoft.com/office/drawing/2014/main" id="{00000000-0008-0000-5400-0000036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76200</xdr:rowOff>
        </xdr:to>
        <xdr:sp macro="" textlink="">
          <xdr:nvSpPr>
            <xdr:cNvPr id="353284" name="Button 4" hidden="1">
              <a:extLst>
                <a:ext uri="{63B3BB69-23CF-44E3-9099-C40C66FF867C}">
                  <a14:compatExt spid="_x0000_s353284"/>
                </a:ext>
                <a:ext uri="{FF2B5EF4-FFF2-40B4-BE49-F238E27FC236}">
                  <a16:creationId xmlns:a16="http://schemas.microsoft.com/office/drawing/2014/main" id="{00000000-0008-0000-5400-0000046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31750</xdr:rowOff>
        </xdr:to>
        <xdr:sp macro="" textlink="">
          <xdr:nvSpPr>
            <xdr:cNvPr id="353285" name="Button 5" hidden="1">
              <a:extLst>
                <a:ext uri="{63B3BB69-23CF-44E3-9099-C40C66FF867C}">
                  <a14:compatExt spid="_x0000_s353285"/>
                </a:ext>
                <a:ext uri="{FF2B5EF4-FFF2-40B4-BE49-F238E27FC236}">
                  <a16:creationId xmlns:a16="http://schemas.microsoft.com/office/drawing/2014/main" id="{00000000-0008-0000-5400-0000056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12700</xdr:rowOff>
        </xdr:from>
        <xdr:to>
          <xdr:col>19</xdr:col>
          <xdr:colOff>50800</xdr:colOff>
          <xdr:row>16</xdr:row>
          <xdr:rowOff>31750</xdr:rowOff>
        </xdr:to>
        <xdr:sp macro="" textlink="">
          <xdr:nvSpPr>
            <xdr:cNvPr id="353286" name="Button 6" hidden="1">
              <a:extLst>
                <a:ext uri="{63B3BB69-23CF-44E3-9099-C40C66FF867C}">
                  <a14:compatExt spid="_x0000_s353286"/>
                </a:ext>
                <a:ext uri="{FF2B5EF4-FFF2-40B4-BE49-F238E27FC236}">
                  <a16:creationId xmlns:a16="http://schemas.microsoft.com/office/drawing/2014/main" id="{00000000-0008-0000-5400-0000066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19050</xdr:rowOff>
        </xdr:from>
        <xdr:to>
          <xdr:col>19</xdr:col>
          <xdr:colOff>50800</xdr:colOff>
          <xdr:row>19</xdr:row>
          <xdr:rowOff>38100</xdr:rowOff>
        </xdr:to>
        <xdr:sp macro="" textlink="">
          <xdr:nvSpPr>
            <xdr:cNvPr id="353287" name="Button 7" hidden="1">
              <a:extLst>
                <a:ext uri="{63B3BB69-23CF-44E3-9099-C40C66FF867C}">
                  <a14:compatExt spid="_x0000_s353287"/>
                </a:ext>
                <a:ext uri="{FF2B5EF4-FFF2-40B4-BE49-F238E27FC236}">
                  <a16:creationId xmlns:a16="http://schemas.microsoft.com/office/drawing/2014/main" id="{00000000-0008-0000-5400-0000076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25400</xdr:rowOff>
        </xdr:from>
        <xdr:to>
          <xdr:col>19</xdr:col>
          <xdr:colOff>50800</xdr:colOff>
          <xdr:row>22</xdr:row>
          <xdr:rowOff>44450</xdr:rowOff>
        </xdr:to>
        <xdr:sp macro="" textlink="">
          <xdr:nvSpPr>
            <xdr:cNvPr id="353288" name="Button 8" hidden="1">
              <a:extLst>
                <a:ext uri="{63B3BB69-23CF-44E3-9099-C40C66FF867C}">
                  <a14:compatExt spid="_x0000_s353288"/>
                </a:ext>
                <a:ext uri="{FF2B5EF4-FFF2-40B4-BE49-F238E27FC236}">
                  <a16:creationId xmlns:a16="http://schemas.microsoft.com/office/drawing/2014/main" id="{00000000-0008-0000-5400-0000086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7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603250</xdr:colOff>
          <xdr:row>0</xdr:row>
          <xdr:rowOff>0</xdr:rowOff>
        </xdr:from>
        <xdr:to>
          <xdr:col>19</xdr:col>
          <xdr:colOff>44450</xdr:colOff>
          <xdr:row>2</xdr:row>
          <xdr:rowOff>12700</xdr:rowOff>
        </xdr:to>
        <xdr:sp macro="" textlink="">
          <xdr:nvSpPr>
            <xdr:cNvPr id="628737" name="Button 1" hidden="1">
              <a:extLst>
                <a:ext uri="{63B3BB69-23CF-44E3-9099-C40C66FF867C}">
                  <a14:compatExt spid="_x0000_s628737"/>
                </a:ext>
                <a:ext uri="{FF2B5EF4-FFF2-40B4-BE49-F238E27FC236}">
                  <a16:creationId xmlns:a16="http://schemas.microsoft.com/office/drawing/2014/main" id="{00000000-0008-0000-5600-00000198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603250</xdr:colOff>
          <xdr:row>2</xdr:row>
          <xdr:rowOff>38100</xdr:rowOff>
        </xdr:from>
        <xdr:to>
          <xdr:col>19</xdr:col>
          <xdr:colOff>44450</xdr:colOff>
          <xdr:row>4</xdr:row>
          <xdr:rowOff>50800</xdr:rowOff>
        </xdr:to>
        <xdr:sp macro="" textlink="">
          <xdr:nvSpPr>
            <xdr:cNvPr id="628738" name="Button 2" hidden="1">
              <a:extLst>
                <a:ext uri="{63B3BB69-23CF-44E3-9099-C40C66FF867C}">
                  <a14:compatExt spid="_x0000_s628738"/>
                </a:ext>
                <a:ext uri="{FF2B5EF4-FFF2-40B4-BE49-F238E27FC236}">
                  <a16:creationId xmlns:a16="http://schemas.microsoft.com/office/drawing/2014/main" id="{00000000-0008-0000-5600-00000298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603250</xdr:colOff>
          <xdr:row>4</xdr:row>
          <xdr:rowOff>76200</xdr:rowOff>
        </xdr:from>
        <xdr:to>
          <xdr:col>19</xdr:col>
          <xdr:colOff>44450</xdr:colOff>
          <xdr:row>6</xdr:row>
          <xdr:rowOff>88900</xdr:rowOff>
        </xdr:to>
        <xdr:sp macro="" textlink="">
          <xdr:nvSpPr>
            <xdr:cNvPr id="628739" name="Button 3" hidden="1">
              <a:extLst>
                <a:ext uri="{63B3BB69-23CF-44E3-9099-C40C66FF867C}">
                  <a14:compatExt spid="_x0000_s628739"/>
                </a:ext>
                <a:ext uri="{FF2B5EF4-FFF2-40B4-BE49-F238E27FC236}">
                  <a16:creationId xmlns:a16="http://schemas.microsoft.com/office/drawing/2014/main" id="{00000000-0008-0000-5600-00000398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a:t>
              </a:r>
            </a:p>
          </xdr:txBody>
        </xdr:sp>
        <xdr:clientData fPrintsWithSheet="0"/>
      </xdr:twoCellAnchor>
    </mc:Choice>
    <mc:Fallback/>
  </mc:AlternateContent>
</xdr:wsDr>
</file>

<file path=xl/drawings/drawing7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44450</xdr:rowOff>
        </xdr:from>
        <xdr:to>
          <xdr:col>19</xdr:col>
          <xdr:colOff>50800</xdr:colOff>
          <xdr:row>2</xdr:row>
          <xdr:rowOff>57150</xdr:rowOff>
        </xdr:to>
        <xdr:sp macro="" textlink="">
          <xdr:nvSpPr>
            <xdr:cNvPr id="444417" name="Button 1" hidden="1">
              <a:extLst>
                <a:ext uri="{63B3BB69-23CF-44E3-9099-C40C66FF867C}">
                  <a14:compatExt spid="_x0000_s444417"/>
                </a:ext>
                <a:ext uri="{FF2B5EF4-FFF2-40B4-BE49-F238E27FC236}">
                  <a16:creationId xmlns:a16="http://schemas.microsoft.com/office/drawing/2014/main" id="{00000000-0008-0000-5700-000001C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xdr:wsDr>
</file>

<file path=xl/drawings/drawing7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247650</xdr:colOff>
          <xdr:row>0</xdr:row>
          <xdr:rowOff>0</xdr:rowOff>
        </xdr:from>
        <xdr:to>
          <xdr:col>17</xdr:col>
          <xdr:colOff>25400</xdr:colOff>
          <xdr:row>2</xdr:row>
          <xdr:rowOff>12700</xdr:rowOff>
        </xdr:to>
        <xdr:sp macro="" textlink="">
          <xdr:nvSpPr>
            <xdr:cNvPr id="354314" name="Button 10" hidden="1">
              <a:extLst>
                <a:ext uri="{63B3BB69-23CF-44E3-9099-C40C66FF867C}">
                  <a14:compatExt spid="_x0000_s354314"/>
                </a:ext>
                <a:ext uri="{FF2B5EF4-FFF2-40B4-BE49-F238E27FC236}">
                  <a16:creationId xmlns:a16="http://schemas.microsoft.com/office/drawing/2014/main" id="{00000000-0008-0000-5900-00000A6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SEC_071000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354341" name="Button 37" hidden="1">
              <a:extLst>
                <a:ext uri="{63B3BB69-23CF-44E3-9099-C40C66FF867C}">
                  <a14:compatExt spid="_x0000_s354341"/>
                </a:ext>
                <a:ext uri="{FF2B5EF4-FFF2-40B4-BE49-F238E27FC236}">
                  <a16:creationId xmlns:a16="http://schemas.microsoft.com/office/drawing/2014/main" id="{00000000-0008-0000-5900-0000256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354342" name="Button 38" hidden="1">
              <a:extLst>
                <a:ext uri="{63B3BB69-23CF-44E3-9099-C40C66FF867C}">
                  <a14:compatExt spid="_x0000_s354342"/>
                </a:ext>
                <a:ext uri="{FF2B5EF4-FFF2-40B4-BE49-F238E27FC236}">
                  <a16:creationId xmlns:a16="http://schemas.microsoft.com/office/drawing/2014/main" id="{00000000-0008-0000-5900-0000266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354343" name="Button 39" hidden="1">
              <a:extLst>
                <a:ext uri="{63B3BB69-23CF-44E3-9099-C40C66FF867C}">
                  <a14:compatExt spid="_x0000_s354343"/>
                </a:ext>
                <a:ext uri="{FF2B5EF4-FFF2-40B4-BE49-F238E27FC236}">
                  <a16:creationId xmlns:a16="http://schemas.microsoft.com/office/drawing/2014/main" id="{00000000-0008-0000-5900-0000276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354344" name="Button 40" hidden="1">
              <a:extLst>
                <a:ext uri="{63B3BB69-23CF-44E3-9099-C40C66FF867C}">
                  <a14:compatExt spid="_x0000_s354344"/>
                </a:ext>
                <a:ext uri="{FF2B5EF4-FFF2-40B4-BE49-F238E27FC236}">
                  <a16:creationId xmlns:a16="http://schemas.microsoft.com/office/drawing/2014/main" id="{00000000-0008-0000-5900-0000286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354345" name="Button 41" hidden="1">
              <a:extLst>
                <a:ext uri="{63B3BB69-23CF-44E3-9099-C40C66FF867C}">
                  <a14:compatExt spid="_x0000_s354345"/>
                </a:ext>
                <a:ext uri="{FF2B5EF4-FFF2-40B4-BE49-F238E27FC236}">
                  <a16:creationId xmlns:a16="http://schemas.microsoft.com/office/drawing/2014/main" id="{00000000-0008-0000-5900-0000296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354346" name="Button 42" hidden="1">
              <a:extLst>
                <a:ext uri="{63B3BB69-23CF-44E3-9099-C40C66FF867C}">
                  <a14:compatExt spid="_x0000_s354346"/>
                </a:ext>
                <a:ext uri="{FF2B5EF4-FFF2-40B4-BE49-F238E27FC236}">
                  <a16:creationId xmlns:a16="http://schemas.microsoft.com/office/drawing/2014/main" id="{00000000-0008-0000-5900-00002A6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354347" name="Button 43" hidden="1">
              <a:extLst>
                <a:ext uri="{63B3BB69-23CF-44E3-9099-C40C66FF867C}">
                  <a14:compatExt spid="_x0000_s354347"/>
                </a:ext>
                <a:ext uri="{FF2B5EF4-FFF2-40B4-BE49-F238E27FC236}">
                  <a16:creationId xmlns:a16="http://schemas.microsoft.com/office/drawing/2014/main" id="{00000000-0008-0000-5900-00002B6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354348" name="Button 44" hidden="1">
              <a:extLst>
                <a:ext uri="{63B3BB69-23CF-44E3-9099-C40C66FF867C}">
                  <a14:compatExt spid="_x0000_s354348"/>
                </a:ext>
                <a:ext uri="{FF2B5EF4-FFF2-40B4-BE49-F238E27FC236}">
                  <a16:creationId xmlns:a16="http://schemas.microsoft.com/office/drawing/2014/main" id="{00000000-0008-0000-5900-00002C6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7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203200</xdr:colOff>
          <xdr:row>0</xdr:row>
          <xdr:rowOff>0</xdr:rowOff>
        </xdr:from>
        <xdr:to>
          <xdr:col>16</xdr:col>
          <xdr:colOff>1473200</xdr:colOff>
          <xdr:row>2</xdr:row>
          <xdr:rowOff>12700</xdr:rowOff>
        </xdr:to>
        <xdr:sp macro="" textlink="">
          <xdr:nvSpPr>
            <xdr:cNvPr id="355337" name="Button 9" hidden="1">
              <a:extLst>
                <a:ext uri="{63B3BB69-23CF-44E3-9099-C40C66FF867C}">
                  <a14:compatExt spid="_x0000_s355337"/>
                </a:ext>
                <a:ext uri="{FF2B5EF4-FFF2-40B4-BE49-F238E27FC236}">
                  <a16:creationId xmlns:a16="http://schemas.microsoft.com/office/drawing/2014/main" id="{00000000-0008-0000-5A00-0000096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SEC_072000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355364" name="Button 36" hidden="1">
              <a:extLst>
                <a:ext uri="{63B3BB69-23CF-44E3-9099-C40C66FF867C}">
                  <a14:compatExt spid="_x0000_s355364"/>
                </a:ext>
                <a:ext uri="{FF2B5EF4-FFF2-40B4-BE49-F238E27FC236}">
                  <a16:creationId xmlns:a16="http://schemas.microsoft.com/office/drawing/2014/main" id="{00000000-0008-0000-5A00-0000246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355365" name="Button 37" hidden="1">
              <a:extLst>
                <a:ext uri="{63B3BB69-23CF-44E3-9099-C40C66FF867C}">
                  <a14:compatExt spid="_x0000_s355365"/>
                </a:ext>
                <a:ext uri="{FF2B5EF4-FFF2-40B4-BE49-F238E27FC236}">
                  <a16:creationId xmlns:a16="http://schemas.microsoft.com/office/drawing/2014/main" id="{00000000-0008-0000-5A00-0000256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355366" name="Button 38" hidden="1">
              <a:extLst>
                <a:ext uri="{63B3BB69-23CF-44E3-9099-C40C66FF867C}">
                  <a14:compatExt spid="_x0000_s355366"/>
                </a:ext>
                <a:ext uri="{FF2B5EF4-FFF2-40B4-BE49-F238E27FC236}">
                  <a16:creationId xmlns:a16="http://schemas.microsoft.com/office/drawing/2014/main" id="{00000000-0008-0000-5A00-0000266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355367" name="Button 39" hidden="1">
              <a:extLst>
                <a:ext uri="{63B3BB69-23CF-44E3-9099-C40C66FF867C}">
                  <a14:compatExt spid="_x0000_s355367"/>
                </a:ext>
                <a:ext uri="{FF2B5EF4-FFF2-40B4-BE49-F238E27FC236}">
                  <a16:creationId xmlns:a16="http://schemas.microsoft.com/office/drawing/2014/main" id="{00000000-0008-0000-5A00-0000276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355368" name="Button 40" hidden="1">
              <a:extLst>
                <a:ext uri="{63B3BB69-23CF-44E3-9099-C40C66FF867C}">
                  <a14:compatExt spid="_x0000_s355368"/>
                </a:ext>
                <a:ext uri="{FF2B5EF4-FFF2-40B4-BE49-F238E27FC236}">
                  <a16:creationId xmlns:a16="http://schemas.microsoft.com/office/drawing/2014/main" id="{00000000-0008-0000-5A00-0000286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355369" name="Button 41" hidden="1">
              <a:extLst>
                <a:ext uri="{63B3BB69-23CF-44E3-9099-C40C66FF867C}">
                  <a14:compatExt spid="_x0000_s355369"/>
                </a:ext>
                <a:ext uri="{FF2B5EF4-FFF2-40B4-BE49-F238E27FC236}">
                  <a16:creationId xmlns:a16="http://schemas.microsoft.com/office/drawing/2014/main" id="{00000000-0008-0000-5A00-0000296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355370" name="Button 42" hidden="1">
              <a:extLst>
                <a:ext uri="{63B3BB69-23CF-44E3-9099-C40C66FF867C}">
                  <a14:compatExt spid="_x0000_s355370"/>
                </a:ext>
                <a:ext uri="{FF2B5EF4-FFF2-40B4-BE49-F238E27FC236}">
                  <a16:creationId xmlns:a16="http://schemas.microsoft.com/office/drawing/2014/main" id="{00000000-0008-0000-5A00-00002A6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355371" name="Button 43" hidden="1">
              <a:extLst>
                <a:ext uri="{63B3BB69-23CF-44E3-9099-C40C66FF867C}">
                  <a14:compatExt spid="_x0000_s355371"/>
                </a:ext>
                <a:ext uri="{FF2B5EF4-FFF2-40B4-BE49-F238E27FC236}">
                  <a16:creationId xmlns:a16="http://schemas.microsoft.com/office/drawing/2014/main" id="{00000000-0008-0000-5A00-00002B6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8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203200</xdr:colOff>
          <xdr:row>0</xdr:row>
          <xdr:rowOff>0</xdr:rowOff>
        </xdr:from>
        <xdr:to>
          <xdr:col>16</xdr:col>
          <xdr:colOff>1473200</xdr:colOff>
          <xdr:row>2</xdr:row>
          <xdr:rowOff>12700</xdr:rowOff>
        </xdr:to>
        <xdr:sp macro="" textlink="">
          <xdr:nvSpPr>
            <xdr:cNvPr id="356361" name="Button 9" hidden="1">
              <a:extLst>
                <a:ext uri="{63B3BB69-23CF-44E3-9099-C40C66FF867C}">
                  <a14:compatExt spid="_x0000_s356361"/>
                </a:ext>
                <a:ext uri="{FF2B5EF4-FFF2-40B4-BE49-F238E27FC236}">
                  <a16:creationId xmlns:a16="http://schemas.microsoft.com/office/drawing/2014/main" id="{00000000-0008-0000-5B00-0000097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SEC_073000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356388" name="Button 36" hidden="1">
              <a:extLst>
                <a:ext uri="{63B3BB69-23CF-44E3-9099-C40C66FF867C}">
                  <a14:compatExt spid="_x0000_s356388"/>
                </a:ext>
                <a:ext uri="{FF2B5EF4-FFF2-40B4-BE49-F238E27FC236}">
                  <a16:creationId xmlns:a16="http://schemas.microsoft.com/office/drawing/2014/main" id="{00000000-0008-0000-5B00-0000247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356389" name="Button 37" hidden="1">
              <a:extLst>
                <a:ext uri="{63B3BB69-23CF-44E3-9099-C40C66FF867C}">
                  <a14:compatExt spid="_x0000_s356389"/>
                </a:ext>
                <a:ext uri="{FF2B5EF4-FFF2-40B4-BE49-F238E27FC236}">
                  <a16:creationId xmlns:a16="http://schemas.microsoft.com/office/drawing/2014/main" id="{00000000-0008-0000-5B00-0000257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356390" name="Button 38" hidden="1">
              <a:extLst>
                <a:ext uri="{63B3BB69-23CF-44E3-9099-C40C66FF867C}">
                  <a14:compatExt spid="_x0000_s356390"/>
                </a:ext>
                <a:ext uri="{FF2B5EF4-FFF2-40B4-BE49-F238E27FC236}">
                  <a16:creationId xmlns:a16="http://schemas.microsoft.com/office/drawing/2014/main" id="{00000000-0008-0000-5B00-0000267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356391" name="Button 39" hidden="1">
              <a:extLst>
                <a:ext uri="{63B3BB69-23CF-44E3-9099-C40C66FF867C}">
                  <a14:compatExt spid="_x0000_s356391"/>
                </a:ext>
                <a:ext uri="{FF2B5EF4-FFF2-40B4-BE49-F238E27FC236}">
                  <a16:creationId xmlns:a16="http://schemas.microsoft.com/office/drawing/2014/main" id="{00000000-0008-0000-5B00-0000277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356392" name="Button 40" hidden="1">
              <a:extLst>
                <a:ext uri="{63B3BB69-23CF-44E3-9099-C40C66FF867C}">
                  <a14:compatExt spid="_x0000_s356392"/>
                </a:ext>
                <a:ext uri="{FF2B5EF4-FFF2-40B4-BE49-F238E27FC236}">
                  <a16:creationId xmlns:a16="http://schemas.microsoft.com/office/drawing/2014/main" id="{00000000-0008-0000-5B00-0000287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356393" name="Button 41" hidden="1">
              <a:extLst>
                <a:ext uri="{63B3BB69-23CF-44E3-9099-C40C66FF867C}">
                  <a14:compatExt spid="_x0000_s356393"/>
                </a:ext>
                <a:ext uri="{FF2B5EF4-FFF2-40B4-BE49-F238E27FC236}">
                  <a16:creationId xmlns:a16="http://schemas.microsoft.com/office/drawing/2014/main" id="{00000000-0008-0000-5B00-0000297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356394" name="Button 42" hidden="1">
              <a:extLst>
                <a:ext uri="{63B3BB69-23CF-44E3-9099-C40C66FF867C}">
                  <a14:compatExt spid="_x0000_s356394"/>
                </a:ext>
                <a:ext uri="{FF2B5EF4-FFF2-40B4-BE49-F238E27FC236}">
                  <a16:creationId xmlns:a16="http://schemas.microsoft.com/office/drawing/2014/main" id="{00000000-0008-0000-5B00-00002A7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356395" name="Button 43" hidden="1">
              <a:extLst>
                <a:ext uri="{63B3BB69-23CF-44E3-9099-C40C66FF867C}">
                  <a14:compatExt spid="_x0000_s356395"/>
                </a:ext>
                <a:ext uri="{FF2B5EF4-FFF2-40B4-BE49-F238E27FC236}">
                  <a16:creationId xmlns:a16="http://schemas.microsoft.com/office/drawing/2014/main" id="{00000000-0008-0000-5B00-00002B7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8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196850</xdr:colOff>
          <xdr:row>0</xdr:row>
          <xdr:rowOff>0</xdr:rowOff>
        </xdr:from>
        <xdr:to>
          <xdr:col>16</xdr:col>
          <xdr:colOff>1466850</xdr:colOff>
          <xdr:row>2</xdr:row>
          <xdr:rowOff>12700</xdr:rowOff>
        </xdr:to>
        <xdr:sp macro="" textlink="">
          <xdr:nvSpPr>
            <xdr:cNvPr id="361482" name="Button 10" hidden="1">
              <a:extLst>
                <a:ext uri="{63B3BB69-23CF-44E3-9099-C40C66FF867C}">
                  <a14:compatExt spid="_x0000_s361482"/>
                </a:ext>
                <a:ext uri="{FF2B5EF4-FFF2-40B4-BE49-F238E27FC236}">
                  <a16:creationId xmlns:a16="http://schemas.microsoft.com/office/drawing/2014/main" id="{00000000-0008-0000-5C00-00000A8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SEC_074000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361509" name="Button 37" hidden="1">
              <a:extLst>
                <a:ext uri="{63B3BB69-23CF-44E3-9099-C40C66FF867C}">
                  <a14:compatExt spid="_x0000_s361509"/>
                </a:ext>
                <a:ext uri="{FF2B5EF4-FFF2-40B4-BE49-F238E27FC236}">
                  <a16:creationId xmlns:a16="http://schemas.microsoft.com/office/drawing/2014/main" id="{00000000-0008-0000-5C00-0000258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361510" name="Button 38" hidden="1">
              <a:extLst>
                <a:ext uri="{63B3BB69-23CF-44E3-9099-C40C66FF867C}">
                  <a14:compatExt spid="_x0000_s361510"/>
                </a:ext>
                <a:ext uri="{FF2B5EF4-FFF2-40B4-BE49-F238E27FC236}">
                  <a16:creationId xmlns:a16="http://schemas.microsoft.com/office/drawing/2014/main" id="{00000000-0008-0000-5C00-0000268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361511" name="Button 39" hidden="1">
              <a:extLst>
                <a:ext uri="{63B3BB69-23CF-44E3-9099-C40C66FF867C}">
                  <a14:compatExt spid="_x0000_s361511"/>
                </a:ext>
                <a:ext uri="{FF2B5EF4-FFF2-40B4-BE49-F238E27FC236}">
                  <a16:creationId xmlns:a16="http://schemas.microsoft.com/office/drawing/2014/main" id="{00000000-0008-0000-5C00-0000278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361512" name="Button 40" hidden="1">
              <a:extLst>
                <a:ext uri="{63B3BB69-23CF-44E3-9099-C40C66FF867C}">
                  <a14:compatExt spid="_x0000_s361512"/>
                </a:ext>
                <a:ext uri="{FF2B5EF4-FFF2-40B4-BE49-F238E27FC236}">
                  <a16:creationId xmlns:a16="http://schemas.microsoft.com/office/drawing/2014/main" id="{00000000-0008-0000-5C00-0000288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361513" name="Button 41" hidden="1">
              <a:extLst>
                <a:ext uri="{63B3BB69-23CF-44E3-9099-C40C66FF867C}">
                  <a14:compatExt spid="_x0000_s361513"/>
                </a:ext>
                <a:ext uri="{FF2B5EF4-FFF2-40B4-BE49-F238E27FC236}">
                  <a16:creationId xmlns:a16="http://schemas.microsoft.com/office/drawing/2014/main" id="{00000000-0008-0000-5C00-0000298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361514" name="Button 42" hidden="1">
              <a:extLst>
                <a:ext uri="{63B3BB69-23CF-44E3-9099-C40C66FF867C}">
                  <a14:compatExt spid="_x0000_s361514"/>
                </a:ext>
                <a:ext uri="{FF2B5EF4-FFF2-40B4-BE49-F238E27FC236}">
                  <a16:creationId xmlns:a16="http://schemas.microsoft.com/office/drawing/2014/main" id="{00000000-0008-0000-5C00-00002A8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361515" name="Button 43" hidden="1">
              <a:extLst>
                <a:ext uri="{63B3BB69-23CF-44E3-9099-C40C66FF867C}">
                  <a14:compatExt spid="_x0000_s361515"/>
                </a:ext>
                <a:ext uri="{FF2B5EF4-FFF2-40B4-BE49-F238E27FC236}">
                  <a16:creationId xmlns:a16="http://schemas.microsoft.com/office/drawing/2014/main" id="{00000000-0008-0000-5C00-00002B8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361516" name="Button 44" hidden="1">
              <a:extLst>
                <a:ext uri="{63B3BB69-23CF-44E3-9099-C40C66FF867C}">
                  <a14:compatExt spid="_x0000_s361516"/>
                </a:ext>
                <a:ext uri="{FF2B5EF4-FFF2-40B4-BE49-F238E27FC236}">
                  <a16:creationId xmlns:a16="http://schemas.microsoft.com/office/drawing/2014/main" id="{00000000-0008-0000-5C00-00002C8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8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196850</xdr:colOff>
          <xdr:row>0</xdr:row>
          <xdr:rowOff>6350</xdr:rowOff>
        </xdr:from>
        <xdr:to>
          <xdr:col>16</xdr:col>
          <xdr:colOff>1466850</xdr:colOff>
          <xdr:row>2</xdr:row>
          <xdr:rowOff>19050</xdr:rowOff>
        </xdr:to>
        <xdr:sp macro="" textlink="">
          <xdr:nvSpPr>
            <xdr:cNvPr id="362505" name="Button 9" hidden="1">
              <a:extLst>
                <a:ext uri="{63B3BB69-23CF-44E3-9099-C40C66FF867C}">
                  <a14:compatExt spid="_x0000_s362505"/>
                </a:ext>
                <a:ext uri="{FF2B5EF4-FFF2-40B4-BE49-F238E27FC236}">
                  <a16:creationId xmlns:a16="http://schemas.microsoft.com/office/drawing/2014/main" id="{00000000-0008-0000-5D00-0000098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SEC_075000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362532" name="Button 36" hidden="1">
              <a:extLst>
                <a:ext uri="{63B3BB69-23CF-44E3-9099-C40C66FF867C}">
                  <a14:compatExt spid="_x0000_s362532"/>
                </a:ext>
                <a:ext uri="{FF2B5EF4-FFF2-40B4-BE49-F238E27FC236}">
                  <a16:creationId xmlns:a16="http://schemas.microsoft.com/office/drawing/2014/main" id="{00000000-0008-0000-5D00-0000248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362533" name="Button 37" hidden="1">
              <a:extLst>
                <a:ext uri="{63B3BB69-23CF-44E3-9099-C40C66FF867C}">
                  <a14:compatExt spid="_x0000_s362533"/>
                </a:ext>
                <a:ext uri="{FF2B5EF4-FFF2-40B4-BE49-F238E27FC236}">
                  <a16:creationId xmlns:a16="http://schemas.microsoft.com/office/drawing/2014/main" id="{00000000-0008-0000-5D00-0000258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362534" name="Button 38" hidden="1">
              <a:extLst>
                <a:ext uri="{63B3BB69-23CF-44E3-9099-C40C66FF867C}">
                  <a14:compatExt spid="_x0000_s362534"/>
                </a:ext>
                <a:ext uri="{FF2B5EF4-FFF2-40B4-BE49-F238E27FC236}">
                  <a16:creationId xmlns:a16="http://schemas.microsoft.com/office/drawing/2014/main" id="{00000000-0008-0000-5D00-0000268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362535" name="Button 39" hidden="1">
              <a:extLst>
                <a:ext uri="{63B3BB69-23CF-44E3-9099-C40C66FF867C}">
                  <a14:compatExt spid="_x0000_s362535"/>
                </a:ext>
                <a:ext uri="{FF2B5EF4-FFF2-40B4-BE49-F238E27FC236}">
                  <a16:creationId xmlns:a16="http://schemas.microsoft.com/office/drawing/2014/main" id="{00000000-0008-0000-5D00-0000278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362536" name="Button 40" hidden="1">
              <a:extLst>
                <a:ext uri="{63B3BB69-23CF-44E3-9099-C40C66FF867C}">
                  <a14:compatExt spid="_x0000_s362536"/>
                </a:ext>
                <a:ext uri="{FF2B5EF4-FFF2-40B4-BE49-F238E27FC236}">
                  <a16:creationId xmlns:a16="http://schemas.microsoft.com/office/drawing/2014/main" id="{00000000-0008-0000-5D00-0000288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362537" name="Button 41" hidden="1">
              <a:extLst>
                <a:ext uri="{63B3BB69-23CF-44E3-9099-C40C66FF867C}">
                  <a14:compatExt spid="_x0000_s362537"/>
                </a:ext>
                <a:ext uri="{FF2B5EF4-FFF2-40B4-BE49-F238E27FC236}">
                  <a16:creationId xmlns:a16="http://schemas.microsoft.com/office/drawing/2014/main" id="{00000000-0008-0000-5D00-0000298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362538" name="Button 42" hidden="1">
              <a:extLst>
                <a:ext uri="{63B3BB69-23CF-44E3-9099-C40C66FF867C}">
                  <a14:compatExt spid="_x0000_s362538"/>
                </a:ext>
                <a:ext uri="{FF2B5EF4-FFF2-40B4-BE49-F238E27FC236}">
                  <a16:creationId xmlns:a16="http://schemas.microsoft.com/office/drawing/2014/main" id="{00000000-0008-0000-5D00-00002A8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362539" name="Button 43" hidden="1">
              <a:extLst>
                <a:ext uri="{63B3BB69-23CF-44E3-9099-C40C66FF867C}">
                  <a14:compatExt spid="_x0000_s362539"/>
                </a:ext>
                <a:ext uri="{FF2B5EF4-FFF2-40B4-BE49-F238E27FC236}">
                  <a16:creationId xmlns:a16="http://schemas.microsoft.com/office/drawing/2014/main" id="{00000000-0008-0000-5D00-00002B8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8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196850</xdr:colOff>
          <xdr:row>0</xdr:row>
          <xdr:rowOff>19050</xdr:rowOff>
        </xdr:from>
        <xdr:to>
          <xdr:col>16</xdr:col>
          <xdr:colOff>1466850</xdr:colOff>
          <xdr:row>2</xdr:row>
          <xdr:rowOff>31750</xdr:rowOff>
        </xdr:to>
        <xdr:sp macro="" textlink="">
          <xdr:nvSpPr>
            <xdr:cNvPr id="363529" name="Button 9" hidden="1">
              <a:extLst>
                <a:ext uri="{63B3BB69-23CF-44E3-9099-C40C66FF867C}">
                  <a14:compatExt spid="_x0000_s363529"/>
                </a:ext>
                <a:ext uri="{FF2B5EF4-FFF2-40B4-BE49-F238E27FC236}">
                  <a16:creationId xmlns:a16="http://schemas.microsoft.com/office/drawing/2014/main" id="{00000000-0008-0000-5E00-0000098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SEC_076000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363556" name="Button 36" hidden="1">
              <a:extLst>
                <a:ext uri="{63B3BB69-23CF-44E3-9099-C40C66FF867C}">
                  <a14:compatExt spid="_x0000_s363556"/>
                </a:ext>
                <a:ext uri="{FF2B5EF4-FFF2-40B4-BE49-F238E27FC236}">
                  <a16:creationId xmlns:a16="http://schemas.microsoft.com/office/drawing/2014/main" id="{00000000-0008-0000-5E00-0000248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363557" name="Button 37" hidden="1">
              <a:extLst>
                <a:ext uri="{63B3BB69-23CF-44E3-9099-C40C66FF867C}">
                  <a14:compatExt spid="_x0000_s363557"/>
                </a:ext>
                <a:ext uri="{FF2B5EF4-FFF2-40B4-BE49-F238E27FC236}">
                  <a16:creationId xmlns:a16="http://schemas.microsoft.com/office/drawing/2014/main" id="{00000000-0008-0000-5E00-0000258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363558" name="Button 38" hidden="1">
              <a:extLst>
                <a:ext uri="{63B3BB69-23CF-44E3-9099-C40C66FF867C}">
                  <a14:compatExt spid="_x0000_s363558"/>
                </a:ext>
                <a:ext uri="{FF2B5EF4-FFF2-40B4-BE49-F238E27FC236}">
                  <a16:creationId xmlns:a16="http://schemas.microsoft.com/office/drawing/2014/main" id="{00000000-0008-0000-5E00-0000268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363559" name="Button 39" hidden="1">
              <a:extLst>
                <a:ext uri="{63B3BB69-23CF-44E3-9099-C40C66FF867C}">
                  <a14:compatExt spid="_x0000_s363559"/>
                </a:ext>
                <a:ext uri="{FF2B5EF4-FFF2-40B4-BE49-F238E27FC236}">
                  <a16:creationId xmlns:a16="http://schemas.microsoft.com/office/drawing/2014/main" id="{00000000-0008-0000-5E00-0000278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363560" name="Button 40" hidden="1">
              <a:extLst>
                <a:ext uri="{63B3BB69-23CF-44E3-9099-C40C66FF867C}">
                  <a14:compatExt spid="_x0000_s363560"/>
                </a:ext>
                <a:ext uri="{FF2B5EF4-FFF2-40B4-BE49-F238E27FC236}">
                  <a16:creationId xmlns:a16="http://schemas.microsoft.com/office/drawing/2014/main" id="{00000000-0008-0000-5E00-0000288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363561" name="Button 41" hidden="1">
              <a:extLst>
                <a:ext uri="{63B3BB69-23CF-44E3-9099-C40C66FF867C}">
                  <a14:compatExt spid="_x0000_s363561"/>
                </a:ext>
                <a:ext uri="{FF2B5EF4-FFF2-40B4-BE49-F238E27FC236}">
                  <a16:creationId xmlns:a16="http://schemas.microsoft.com/office/drawing/2014/main" id="{00000000-0008-0000-5E00-0000298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363562" name="Button 42" hidden="1">
              <a:extLst>
                <a:ext uri="{63B3BB69-23CF-44E3-9099-C40C66FF867C}">
                  <a14:compatExt spid="_x0000_s363562"/>
                </a:ext>
                <a:ext uri="{FF2B5EF4-FFF2-40B4-BE49-F238E27FC236}">
                  <a16:creationId xmlns:a16="http://schemas.microsoft.com/office/drawing/2014/main" id="{00000000-0008-0000-5E00-00002A8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363563" name="Button 43" hidden="1">
              <a:extLst>
                <a:ext uri="{63B3BB69-23CF-44E3-9099-C40C66FF867C}">
                  <a14:compatExt spid="_x0000_s363563"/>
                </a:ext>
                <a:ext uri="{FF2B5EF4-FFF2-40B4-BE49-F238E27FC236}">
                  <a16:creationId xmlns:a16="http://schemas.microsoft.com/office/drawing/2014/main" id="{00000000-0008-0000-5E00-00002B8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8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209550</xdr:colOff>
          <xdr:row>0</xdr:row>
          <xdr:rowOff>6350</xdr:rowOff>
        </xdr:from>
        <xdr:to>
          <xdr:col>16</xdr:col>
          <xdr:colOff>1479550</xdr:colOff>
          <xdr:row>2</xdr:row>
          <xdr:rowOff>19050</xdr:rowOff>
        </xdr:to>
        <xdr:sp macro="" textlink="">
          <xdr:nvSpPr>
            <xdr:cNvPr id="364554" name="Button 10" hidden="1">
              <a:extLst>
                <a:ext uri="{63B3BB69-23CF-44E3-9099-C40C66FF867C}">
                  <a14:compatExt spid="_x0000_s364554"/>
                </a:ext>
                <a:ext uri="{FF2B5EF4-FFF2-40B4-BE49-F238E27FC236}">
                  <a16:creationId xmlns:a16="http://schemas.microsoft.com/office/drawing/2014/main" id="{00000000-0008-0000-5F00-00000A9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SEC_077000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364581" name="Button 37" hidden="1">
              <a:extLst>
                <a:ext uri="{63B3BB69-23CF-44E3-9099-C40C66FF867C}">
                  <a14:compatExt spid="_x0000_s364581"/>
                </a:ext>
                <a:ext uri="{FF2B5EF4-FFF2-40B4-BE49-F238E27FC236}">
                  <a16:creationId xmlns:a16="http://schemas.microsoft.com/office/drawing/2014/main" id="{00000000-0008-0000-5F00-0000259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364582" name="Button 38" hidden="1">
              <a:extLst>
                <a:ext uri="{63B3BB69-23CF-44E3-9099-C40C66FF867C}">
                  <a14:compatExt spid="_x0000_s364582"/>
                </a:ext>
                <a:ext uri="{FF2B5EF4-FFF2-40B4-BE49-F238E27FC236}">
                  <a16:creationId xmlns:a16="http://schemas.microsoft.com/office/drawing/2014/main" id="{00000000-0008-0000-5F00-0000269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364583" name="Button 39" hidden="1">
              <a:extLst>
                <a:ext uri="{63B3BB69-23CF-44E3-9099-C40C66FF867C}">
                  <a14:compatExt spid="_x0000_s364583"/>
                </a:ext>
                <a:ext uri="{FF2B5EF4-FFF2-40B4-BE49-F238E27FC236}">
                  <a16:creationId xmlns:a16="http://schemas.microsoft.com/office/drawing/2014/main" id="{00000000-0008-0000-5F00-0000279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364584" name="Button 40" hidden="1">
              <a:extLst>
                <a:ext uri="{63B3BB69-23CF-44E3-9099-C40C66FF867C}">
                  <a14:compatExt spid="_x0000_s364584"/>
                </a:ext>
                <a:ext uri="{FF2B5EF4-FFF2-40B4-BE49-F238E27FC236}">
                  <a16:creationId xmlns:a16="http://schemas.microsoft.com/office/drawing/2014/main" id="{00000000-0008-0000-5F00-0000289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364585" name="Button 41" hidden="1">
              <a:extLst>
                <a:ext uri="{63B3BB69-23CF-44E3-9099-C40C66FF867C}">
                  <a14:compatExt spid="_x0000_s364585"/>
                </a:ext>
                <a:ext uri="{FF2B5EF4-FFF2-40B4-BE49-F238E27FC236}">
                  <a16:creationId xmlns:a16="http://schemas.microsoft.com/office/drawing/2014/main" id="{00000000-0008-0000-5F00-0000299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364586" name="Button 42" hidden="1">
              <a:extLst>
                <a:ext uri="{63B3BB69-23CF-44E3-9099-C40C66FF867C}">
                  <a14:compatExt spid="_x0000_s364586"/>
                </a:ext>
                <a:ext uri="{FF2B5EF4-FFF2-40B4-BE49-F238E27FC236}">
                  <a16:creationId xmlns:a16="http://schemas.microsoft.com/office/drawing/2014/main" id="{00000000-0008-0000-5F00-00002A9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364587" name="Button 43" hidden="1">
              <a:extLst>
                <a:ext uri="{63B3BB69-23CF-44E3-9099-C40C66FF867C}">
                  <a14:compatExt spid="_x0000_s364587"/>
                </a:ext>
                <a:ext uri="{FF2B5EF4-FFF2-40B4-BE49-F238E27FC236}">
                  <a16:creationId xmlns:a16="http://schemas.microsoft.com/office/drawing/2014/main" id="{00000000-0008-0000-5F00-00002B9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364588" name="Button 44" hidden="1">
              <a:extLst>
                <a:ext uri="{63B3BB69-23CF-44E3-9099-C40C66FF867C}">
                  <a14:compatExt spid="_x0000_s364588"/>
                </a:ext>
                <a:ext uri="{FF2B5EF4-FFF2-40B4-BE49-F238E27FC236}">
                  <a16:creationId xmlns:a16="http://schemas.microsoft.com/office/drawing/2014/main" id="{00000000-0008-0000-5F00-00002C9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8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203200</xdr:colOff>
          <xdr:row>0</xdr:row>
          <xdr:rowOff>6350</xdr:rowOff>
        </xdr:from>
        <xdr:to>
          <xdr:col>16</xdr:col>
          <xdr:colOff>1473200</xdr:colOff>
          <xdr:row>2</xdr:row>
          <xdr:rowOff>19050</xdr:rowOff>
        </xdr:to>
        <xdr:sp macro="" textlink="">
          <xdr:nvSpPr>
            <xdr:cNvPr id="365578" name="Button 10" hidden="1">
              <a:extLst>
                <a:ext uri="{63B3BB69-23CF-44E3-9099-C40C66FF867C}">
                  <a14:compatExt spid="_x0000_s365578"/>
                </a:ext>
                <a:ext uri="{FF2B5EF4-FFF2-40B4-BE49-F238E27FC236}">
                  <a16:creationId xmlns:a16="http://schemas.microsoft.com/office/drawing/2014/main" id="{00000000-0008-0000-6000-00000A9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SEC_078000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365605" name="Button 37" hidden="1">
              <a:extLst>
                <a:ext uri="{63B3BB69-23CF-44E3-9099-C40C66FF867C}">
                  <a14:compatExt spid="_x0000_s365605"/>
                </a:ext>
                <a:ext uri="{FF2B5EF4-FFF2-40B4-BE49-F238E27FC236}">
                  <a16:creationId xmlns:a16="http://schemas.microsoft.com/office/drawing/2014/main" id="{00000000-0008-0000-6000-0000259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365606" name="Button 38" hidden="1">
              <a:extLst>
                <a:ext uri="{63B3BB69-23CF-44E3-9099-C40C66FF867C}">
                  <a14:compatExt spid="_x0000_s365606"/>
                </a:ext>
                <a:ext uri="{FF2B5EF4-FFF2-40B4-BE49-F238E27FC236}">
                  <a16:creationId xmlns:a16="http://schemas.microsoft.com/office/drawing/2014/main" id="{00000000-0008-0000-6000-0000269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365607" name="Button 39" hidden="1">
              <a:extLst>
                <a:ext uri="{63B3BB69-23CF-44E3-9099-C40C66FF867C}">
                  <a14:compatExt spid="_x0000_s365607"/>
                </a:ext>
                <a:ext uri="{FF2B5EF4-FFF2-40B4-BE49-F238E27FC236}">
                  <a16:creationId xmlns:a16="http://schemas.microsoft.com/office/drawing/2014/main" id="{00000000-0008-0000-6000-0000279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365608" name="Button 40" hidden="1">
              <a:extLst>
                <a:ext uri="{63B3BB69-23CF-44E3-9099-C40C66FF867C}">
                  <a14:compatExt spid="_x0000_s365608"/>
                </a:ext>
                <a:ext uri="{FF2B5EF4-FFF2-40B4-BE49-F238E27FC236}">
                  <a16:creationId xmlns:a16="http://schemas.microsoft.com/office/drawing/2014/main" id="{00000000-0008-0000-6000-0000289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365609" name="Button 41" hidden="1">
              <a:extLst>
                <a:ext uri="{63B3BB69-23CF-44E3-9099-C40C66FF867C}">
                  <a14:compatExt spid="_x0000_s365609"/>
                </a:ext>
                <a:ext uri="{FF2B5EF4-FFF2-40B4-BE49-F238E27FC236}">
                  <a16:creationId xmlns:a16="http://schemas.microsoft.com/office/drawing/2014/main" id="{00000000-0008-0000-6000-0000299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365610" name="Button 42" hidden="1">
              <a:extLst>
                <a:ext uri="{63B3BB69-23CF-44E3-9099-C40C66FF867C}">
                  <a14:compatExt spid="_x0000_s365610"/>
                </a:ext>
                <a:ext uri="{FF2B5EF4-FFF2-40B4-BE49-F238E27FC236}">
                  <a16:creationId xmlns:a16="http://schemas.microsoft.com/office/drawing/2014/main" id="{00000000-0008-0000-6000-00002A9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365611" name="Button 43" hidden="1">
              <a:extLst>
                <a:ext uri="{63B3BB69-23CF-44E3-9099-C40C66FF867C}">
                  <a14:compatExt spid="_x0000_s365611"/>
                </a:ext>
                <a:ext uri="{FF2B5EF4-FFF2-40B4-BE49-F238E27FC236}">
                  <a16:creationId xmlns:a16="http://schemas.microsoft.com/office/drawing/2014/main" id="{00000000-0008-0000-6000-00002B9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365612" name="Button 44" hidden="1">
              <a:extLst>
                <a:ext uri="{63B3BB69-23CF-44E3-9099-C40C66FF867C}">
                  <a14:compatExt spid="_x0000_s365612"/>
                </a:ext>
                <a:ext uri="{FF2B5EF4-FFF2-40B4-BE49-F238E27FC236}">
                  <a16:creationId xmlns:a16="http://schemas.microsoft.com/office/drawing/2014/main" id="{00000000-0008-0000-6000-00002C94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8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196850</xdr:colOff>
          <xdr:row>0</xdr:row>
          <xdr:rowOff>19050</xdr:rowOff>
        </xdr:from>
        <xdr:to>
          <xdr:col>16</xdr:col>
          <xdr:colOff>1466850</xdr:colOff>
          <xdr:row>2</xdr:row>
          <xdr:rowOff>31750</xdr:rowOff>
        </xdr:to>
        <xdr:sp macro="" textlink="">
          <xdr:nvSpPr>
            <xdr:cNvPr id="366602" name="Button 10" hidden="1">
              <a:extLst>
                <a:ext uri="{63B3BB69-23CF-44E3-9099-C40C66FF867C}">
                  <a14:compatExt spid="_x0000_s366602"/>
                </a:ext>
                <a:ext uri="{FF2B5EF4-FFF2-40B4-BE49-F238E27FC236}">
                  <a16:creationId xmlns:a16="http://schemas.microsoft.com/office/drawing/2014/main" id="{00000000-0008-0000-6100-00000A9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SEC_079000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366630" name="Button 38" hidden="1">
              <a:extLst>
                <a:ext uri="{63B3BB69-23CF-44E3-9099-C40C66FF867C}">
                  <a14:compatExt spid="_x0000_s366630"/>
                </a:ext>
                <a:ext uri="{FF2B5EF4-FFF2-40B4-BE49-F238E27FC236}">
                  <a16:creationId xmlns:a16="http://schemas.microsoft.com/office/drawing/2014/main" id="{00000000-0008-0000-6100-0000269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366631" name="Button 39" hidden="1">
              <a:extLst>
                <a:ext uri="{63B3BB69-23CF-44E3-9099-C40C66FF867C}">
                  <a14:compatExt spid="_x0000_s366631"/>
                </a:ext>
                <a:ext uri="{FF2B5EF4-FFF2-40B4-BE49-F238E27FC236}">
                  <a16:creationId xmlns:a16="http://schemas.microsoft.com/office/drawing/2014/main" id="{00000000-0008-0000-6100-0000279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366632" name="Button 40" hidden="1">
              <a:extLst>
                <a:ext uri="{63B3BB69-23CF-44E3-9099-C40C66FF867C}">
                  <a14:compatExt spid="_x0000_s366632"/>
                </a:ext>
                <a:ext uri="{FF2B5EF4-FFF2-40B4-BE49-F238E27FC236}">
                  <a16:creationId xmlns:a16="http://schemas.microsoft.com/office/drawing/2014/main" id="{00000000-0008-0000-6100-0000289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366633" name="Button 41" hidden="1">
              <a:extLst>
                <a:ext uri="{63B3BB69-23CF-44E3-9099-C40C66FF867C}">
                  <a14:compatExt spid="_x0000_s366633"/>
                </a:ext>
                <a:ext uri="{FF2B5EF4-FFF2-40B4-BE49-F238E27FC236}">
                  <a16:creationId xmlns:a16="http://schemas.microsoft.com/office/drawing/2014/main" id="{00000000-0008-0000-6100-0000299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366634" name="Button 42" hidden="1">
              <a:extLst>
                <a:ext uri="{63B3BB69-23CF-44E3-9099-C40C66FF867C}">
                  <a14:compatExt spid="_x0000_s366634"/>
                </a:ext>
                <a:ext uri="{FF2B5EF4-FFF2-40B4-BE49-F238E27FC236}">
                  <a16:creationId xmlns:a16="http://schemas.microsoft.com/office/drawing/2014/main" id="{00000000-0008-0000-6100-00002A9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366635" name="Button 43" hidden="1">
              <a:extLst>
                <a:ext uri="{63B3BB69-23CF-44E3-9099-C40C66FF867C}">
                  <a14:compatExt spid="_x0000_s366635"/>
                </a:ext>
                <a:ext uri="{FF2B5EF4-FFF2-40B4-BE49-F238E27FC236}">
                  <a16:creationId xmlns:a16="http://schemas.microsoft.com/office/drawing/2014/main" id="{00000000-0008-0000-6100-00002B9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366636" name="Button 44" hidden="1">
              <a:extLst>
                <a:ext uri="{63B3BB69-23CF-44E3-9099-C40C66FF867C}">
                  <a14:compatExt spid="_x0000_s366636"/>
                </a:ext>
                <a:ext uri="{FF2B5EF4-FFF2-40B4-BE49-F238E27FC236}">
                  <a16:creationId xmlns:a16="http://schemas.microsoft.com/office/drawing/2014/main" id="{00000000-0008-0000-6100-00002C9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366637" name="Button 45" hidden="1">
              <a:extLst>
                <a:ext uri="{63B3BB69-23CF-44E3-9099-C40C66FF867C}">
                  <a14:compatExt spid="_x0000_s366637"/>
                </a:ext>
                <a:ext uri="{FF2B5EF4-FFF2-40B4-BE49-F238E27FC236}">
                  <a16:creationId xmlns:a16="http://schemas.microsoft.com/office/drawing/2014/main" id="{00000000-0008-0000-6100-00002D9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8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19050</xdr:rowOff>
        </xdr:to>
        <xdr:sp macro="" textlink="">
          <xdr:nvSpPr>
            <xdr:cNvPr id="448513" name="Button 1" hidden="1">
              <a:extLst>
                <a:ext uri="{63B3BB69-23CF-44E3-9099-C40C66FF867C}">
                  <a14:compatExt spid="_x0000_s448513"/>
                </a:ext>
                <a:ext uri="{FF2B5EF4-FFF2-40B4-BE49-F238E27FC236}">
                  <a16:creationId xmlns:a16="http://schemas.microsoft.com/office/drawing/2014/main" id="{00000000-0008-0000-6200-000001D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184150</xdr:rowOff>
        </xdr:from>
        <xdr:to>
          <xdr:col>19</xdr:col>
          <xdr:colOff>50800</xdr:colOff>
          <xdr:row>5</xdr:row>
          <xdr:rowOff>25400</xdr:rowOff>
        </xdr:to>
        <xdr:sp macro="" textlink="">
          <xdr:nvSpPr>
            <xdr:cNvPr id="448514" name="Button 2" hidden="1">
              <a:extLst>
                <a:ext uri="{63B3BB69-23CF-44E3-9099-C40C66FF867C}">
                  <a14:compatExt spid="_x0000_s448514"/>
                </a:ext>
                <a:ext uri="{FF2B5EF4-FFF2-40B4-BE49-F238E27FC236}">
                  <a16:creationId xmlns:a16="http://schemas.microsoft.com/office/drawing/2014/main" id="{00000000-0008-0000-6200-000002D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63500</xdr:rowOff>
        </xdr:to>
        <xdr:sp macro="" textlink="">
          <xdr:nvSpPr>
            <xdr:cNvPr id="448515" name="Button 3" hidden="1">
              <a:extLst>
                <a:ext uri="{63B3BB69-23CF-44E3-9099-C40C66FF867C}">
                  <a14:compatExt spid="_x0000_s448515"/>
                </a:ext>
                <a:ext uri="{FF2B5EF4-FFF2-40B4-BE49-F238E27FC236}">
                  <a16:creationId xmlns:a16="http://schemas.microsoft.com/office/drawing/2014/main" id="{00000000-0008-0000-6200-000003D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76200</xdr:rowOff>
        </xdr:to>
        <xdr:sp macro="" textlink="">
          <xdr:nvSpPr>
            <xdr:cNvPr id="448516" name="Button 4" hidden="1">
              <a:extLst>
                <a:ext uri="{63B3BB69-23CF-44E3-9099-C40C66FF867C}">
                  <a14:compatExt spid="_x0000_s448516"/>
                </a:ext>
                <a:ext uri="{FF2B5EF4-FFF2-40B4-BE49-F238E27FC236}">
                  <a16:creationId xmlns:a16="http://schemas.microsoft.com/office/drawing/2014/main" id="{00000000-0008-0000-6200-000004D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31750</xdr:rowOff>
        </xdr:to>
        <xdr:sp macro="" textlink="">
          <xdr:nvSpPr>
            <xdr:cNvPr id="448517" name="Button 5" hidden="1">
              <a:extLst>
                <a:ext uri="{63B3BB69-23CF-44E3-9099-C40C66FF867C}">
                  <a14:compatExt spid="_x0000_s448517"/>
                </a:ext>
                <a:ext uri="{FF2B5EF4-FFF2-40B4-BE49-F238E27FC236}">
                  <a16:creationId xmlns:a16="http://schemas.microsoft.com/office/drawing/2014/main" id="{00000000-0008-0000-6200-000005D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12700</xdr:rowOff>
        </xdr:from>
        <xdr:to>
          <xdr:col>19</xdr:col>
          <xdr:colOff>50800</xdr:colOff>
          <xdr:row>16</xdr:row>
          <xdr:rowOff>31750</xdr:rowOff>
        </xdr:to>
        <xdr:sp macro="" textlink="">
          <xdr:nvSpPr>
            <xdr:cNvPr id="448518" name="Button 6" hidden="1">
              <a:extLst>
                <a:ext uri="{63B3BB69-23CF-44E3-9099-C40C66FF867C}">
                  <a14:compatExt spid="_x0000_s448518"/>
                </a:ext>
                <a:ext uri="{FF2B5EF4-FFF2-40B4-BE49-F238E27FC236}">
                  <a16:creationId xmlns:a16="http://schemas.microsoft.com/office/drawing/2014/main" id="{00000000-0008-0000-6200-000006D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19050</xdr:rowOff>
        </xdr:from>
        <xdr:to>
          <xdr:col>19</xdr:col>
          <xdr:colOff>50800</xdr:colOff>
          <xdr:row>19</xdr:row>
          <xdr:rowOff>38100</xdr:rowOff>
        </xdr:to>
        <xdr:sp macro="" textlink="">
          <xdr:nvSpPr>
            <xdr:cNvPr id="448519" name="Button 7" hidden="1">
              <a:extLst>
                <a:ext uri="{63B3BB69-23CF-44E3-9099-C40C66FF867C}">
                  <a14:compatExt spid="_x0000_s448519"/>
                </a:ext>
                <a:ext uri="{FF2B5EF4-FFF2-40B4-BE49-F238E27FC236}">
                  <a16:creationId xmlns:a16="http://schemas.microsoft.com/office/drawing/2014/main" id="{00000000-0008-0000-6200-000007D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25400</xdr:rowOff>
        </xdr:from>
        <xdr:to>
          <xdr:col>19</xdr:col>
          <xdr:colOff>50800</xdr:colOff>
          <xdr:row>22</xdr:row>
          <xdr:rowOff>44450</xdr:rowOff>
        </xdr:to>
        <xdr:sp macro="" textlink="">
          <xdr:nvSpPr>
            <xdr:cNvPr id="448520" name="Button 8" hidden="1">
              <a:extLst>
                <a:ext uri="{63B3BB69-23CF-44E3-9099-C40C66FF867C}">
                  <a14:compatExt spid="_x0000_s448520"/>
                </a:ext>
                <a:ext uri="{FF2B5EF4-FFF2-40B4-BE49-F238E27FC236}">
                  <a16:creationId xmlns:a16="http://schemas.microsoft.com/office/drawing/2014/main" id="{00000000-0008-0000-6200-000008D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8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1454150</xdr:colOff>
          <xdr:row>2</xdr:row>
          <xdr:rowOff>44450</xdr:rowOff>
        </xdr:from>
        <xdr:to>
          <xdr:col>19</xdr:col>
          <xdr:colOff>12700</xdr:colOff>
          <xdr:row>4</xdr:row>
          <xdr:rowOff>82550</xdr:rowOff>
        </xdr:to>
        <xdr:sp macro="" textlink="">
          <xdr:nvSpPr>
            <xdr:cNvPr id="449542" name="Button 6" hidden="1">
              <a:extLst>
                <a:ext uri="{63B3BB69-23CF-44E3-9099-C40C66FF867C}">
                  <a14:compatExt spid="_x0000_s449542"/>
                </a:ext>
                <a:ext uri="{FF2B5EF4-FFF2-40B4-BE49-F238E27FC236}">
                  <a16:creationId xmlns:a16="http://schemas.microsoft.com/office/drawing/2014/main" id="{00000000-0008-0000-6300-000006DC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1454150</xdr:colOff>
          <xdr:row>5</xdr:row>
          <xdr:rowOff>31750</xdr:rowOff>
        </xdr:from>
        <xdr:to>
          <xdr:col>19</xdr:col>
          <xdr:colOff>12700</xdr:colOff>
          <xdr:row>7</xdr:row>
          <xdr:rowOff>31750</xdr:rowOff>
        </xdr:to>
        <xdr:sp macro="" textlink="">
          <xdr:nvSpPr>
            <xdr:cNvPr id="449543" name="Button 7" hidden="1">
              <a:extLst>
                <a:ext uri="{63B3BB69-23CF-44E3-9099-C40C66FF867C}">
                  <a14:compatExt spid="_x0000_s449543"/>
                </a:ext>
                <a:ext uri="{FF2B5EF4-FFF2-40B4-BE49-F238E27FC236}">
                  <a16:creationId xmlns:a16="http://schemas.microsoft.com/office/drawing/2014/main" id="{00000000-0008-0000-6300-000007DC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1454150</xdr:colOff>
          <xdr:row>7</xdr:row>
          <xdr:rowOff>152400</xdr:rowOff>
        </xdr:from>
        <xdr:to>
          <xdr:col>19</xdr:col>
          <xdr:colOff>12700</xdr:colOff>
          <xdr:row>9</xdr:row>
          <xdr:rowOff>146050</xdr:rowOff>
        </xdr:to>
        <xdr:sp macro="" textlink="">
          <xdr:nvSpPr>
            <xdr:cNvPr id="449544" name="Button 8" hidden="1">
              <a:extLst>
                <a:ext uri="{63B3BB69-23CF-44E3-9099-C40C66FF867C}">
                  <a14:compatExt spid="_x0000_s449544"/>
                </a:ext>
                <a:ext uri="{FF2B5EF4-FFF2-40B4-BE49-F238E27FC236}">
                  <a16:creationId xmlns:a16="http://schemas.microsoft.com/office/drawing/2014/main" id="{00000000-0008-0000-6300-000008DC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1454150</xdr:colOff>
          <xdr:row>0</xdr:row>
          <xdr:rowOff>0</xdr:rowOff>
        </xdr:from>
        <xdr:to>
          <xdr:col>19</xdr:col>
          <xdr:colOff>12700</xdr:colOff>
          <xdr:row>2</xdr:row>
          <xdr:rowOff>0</xdr:rowOff>
        </xdr:to>
        <xdr:sp macro="" textlink="">
          <xdr:nvSpPr>
            <xdr:cNvPr id="449545" name="Button 9" hidden="1">
              <a:extLst>
                <a:ext uri="{63B3BB69-23CF-44E3-9099-C40C66FF867C}">
                  <a14:compatExt spid="_x0000_s449545"/>
                </a:ext>
                <a:ext uri="{FF2B5EF4-FFF2-40B4-BE49-F238E27FC236}">
                  <a16:creationId xmlns:a16="http://schemas.microsoft.com/office/drawing/2014/main" id="{00000000-0008-0000-6300-000009DC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Refresh View</a:t>
              </a:r>
            </a:p>
          </xdr:txBody>
        </xdr:sp>
        <xdr:clientData fPrintsWithSheet="0"/>
      </xdr:twoCellAnchor>
    </mc:Choice>
    <mc:Fallback/>
  </mc:AlternateContent>
</xdr:wsDr>
</file>

<file path=xl/drawings/drawing8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603250</xdr:colOff>
          <xdr:row>0</xdr:row>
          <xdr:rowOff>0</xdr:rowOff>
        </xdr:from>
        <xdr:to>
          <xdr:col>19</xdr:col>
          <xdr:colOff>44450</xdr:colOff>
          <xdr:row>2</xdr:row>
          <xdr:rowOff>12700</xdr:rowOff>
        </xdr:to>
        <xdr:sp macro="" textlink="">
          <xdr:nvSpPr>
            <xdr:cNvPr id="450564" name="Button 4" hidden="1">
              <a:extLst>
                <a:ext uri="{63B3BB69-23CF-44E3-9099-C40C66FF867C}">
                  <a14:compatExt spid="_x0000_s450564"/>
                </a:ext>
                <a:ext uri="{FF2B5EF4-FFF2-40B4-BE49-F238E27FC236}">
                  <a16:creationId xmlns:a16="http://schemas.microsoft.com/office/drawing/2014/main" id="{00000000-0008-0000-6400-000004E0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603250</xdr:colOff>
          <xdr:row>2</xdr:row>
          <xdr:rowOff>38100</xdr:rowOff>
        </xdr:from>
        <xdr:to>
          <xdr:col>19</xdr:col>
          <xdr:colOff>44450</xdr:colOff>
          <xdr:row>4</xdr:row>
          <xdr:rowOff>50800</xdr:rowOff>
        </xdr:to>
        <xdr:sp macro="" textlink="">
          <xdr:nvSpPr>
            <xdr:cNvPr id="450565" name="Button 5" hidden="1">
              <a:extLst>
                <a:ext uri="{63B3BB69-23CF-44E3-9099-C40C66FF867C}">
                  <a14:compatExt spid="_x0000_s450565"/>
                </a:ext>
                <a:ext uri="{FF2B5EF4-FFF2-40B4-BE49-F238E27FC236}">
                  <a16:creationId xmlns:a16="http://schemas.microsoft.com/office/drawing/2014/main" id="{00000000-0008-0000-6400-000005E0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603250</xdr:colOff>
          <xdr:row>4</xdr:row>
          <xdr:rowOff>76200</xdr:rowOff>
        </xdr:from>
        <xdr:to>
          <xdr:col>19</xdr:col>
          <xdr:colOff>44450</xdr:colOff>
          <xdr:row>6</xdr:row>
          <xdr:rowOff>88900</xdr:rowOff>
        </xdr:to>
        <xdr:sp macro="" textlink="">
          <xdr:nvSpPr>
            <xdr:cNvPr id="450566" name="Button 6" hidden="1">
              <a:extLst>
                <a:ext uri="{63B3BB69-23CF-44E3-9099-C40C66FF867C}">
                  <a14:compatExt spid="_x0000_s450566"/>
                </a:ext>
                <a:ext uri="{FF2B5EF4-FFF2-40B4-BE49-F238E27FC236}">
                  <a16:creationId xmlns:a16="http://schemas.microsoft.com/office/drawing/2014/main" id="{00000000-0008-0000-6400-000006E0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a:t>
              </a:r>
            </a:p>
          </xdr:txBody>
        </xdr:sp>
        <xdr:clientData fPrintsWithSheet="0"/>
      </xdr:twoCellAnchor>
    </mc:Choice>
    <mc:Fallback/>
  </mc:AlternateContent>
</xdr:wsDr>
</file>

<file path=xl/drawings/drawing9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44450</xdr:rowOff>
        </xdr:from>
        <xdr:to>
          <xdr:col>19</xdr:col>
          <xdr:colOff>50800</xdr:colOff>
          <xdr:row>2</xdr:row>
          <xdr:rowOff>57150</xdr:rowOff>
        </xdr:to>
        <xdr:sp macro="" textlink="">
          <xdr:nvSpPr>
            <xdr:cNvPr id="451585" name="Button 1" hidden="1">
              <a:extLst>
                <a:ext uri="{63B3BB69-23CF-44E3-9099-C40C66FF867C}">
                  <a14:compatExt spid="_x0000_s451585"/>
                </a:ext>
                <a:ext uri="{FF2B5EF4-FFF2-40B4-BE49-F238E27FC236}">
                  <a16:creationId xmlns:a16="http://schemas.microsoft.com/office/drawing/2014/main" id="{00000000-0008-0000-6500-000001E4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xdr:wsDr>
</file>

<file path=xl/drawings/drawing9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184150</xdr:colOff>
          <xdr:row>0</xdr:row>
          <xdr:rowOff>0</xdr:rowOff>
        </xdr:from>
        <xdr:to>
          <xdr:col>16</xdr:col>
          <xdr:colOff>1454150</xdr:colOff>
          <xdr:row>2</xdr:row>
          <xdr:rowOff>12700</xdr:rowOff>
        </xdr:to>
        <xdr:sp macro="" textlink="">
          <xdr:nvSpPr>
            <xdr:cNvPr id="453641" name="Button 9" hidden="1">
              <a:extLst>
                <a:ext uri="{63B3BB69-23CF-44E3-9099-C40C66FF867C}">
                  <a14:compatExt spid="_x0000_s453641"/>
                </a:ext>
                <a:ext uri="{FF2B5EF4-FFF2-40B4-BE49-F238E27FC236}">
                  <a16:creationId xmlns:a16="http://schemas.microsoft.com/office/drawing/2014/main" id="{00000000-0008-0000-6700-000009EC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SEC_081000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453907" name="Button 275" hidden="1">
              <a:extLst>
                <a:ext uri="{63B3BB69-23CF-44E3-9099-C40C66FF867C}">
                  <a14:compatExt spid="_x0000_s453907"/>
                </a:ext>
                <a:ext uri="{FF2B5EF4-FFF2-40B4-BE49-F238E27FC236}">
                  <a16:creationId xmlns:a16="http://schemas.microsoft.com/office/drawing/2014/main" id="{00000000-0008-0000-6700-000013ED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453908" name="Button 276" hidden="1">
              <a:extLst>
                <a:ext uri="{63B3BB69-23CF-44E3-9099-C40C66FF867C}">
                  <a14:compatExt spid="_x0000_s453908"/>
                </a:ext>
                <a:ext uri="{FF2B5EF4-FFF2-40B4-BE49-F238E27FC236}">
                  <a16:creationId xmlns:a16="http://schemas.microsoft.com/office/drawing/2014/main" id="{00000000-0008-0000-6700-000014ED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453909" name="Button 277" hidden="1">
              <a:extLst>
                <a:ext uri="{63B3BB69-23CF-44E3-9099-C40C66FF867C}">
                  <a14:compatExt spid="_x0000_s453909"/>
                </a:ext>
                <a:ext uri="{FF2B5EF4-FFF2-40B4-BE49-F238E27FC236}">
                  <a16:creationId xmlns:a16="http://schemas.microsoft.com/office/drawing/2014/main" id="{00000000-0008-0000-6700-000015ED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453910" name="Button 278" hidden="1">
              <a:extLst>
                <a:ext uri="{63B3BB69-23CF-44E3-9099-C40C66FF867C}">
                  <a14:compatExt spid="_x0000_s453910"/>
                </a:ext>
                <a:ext uri="{FF2B5EF4-FFF2-40B4-BE49-F238E27FC236}">
                  <a16:creationId xmlns:a16="http://schemas.microsoft.com/office/drawing/2014/main" id="{00000000-0008-0000-6700-000016ED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453911" name="Button 279" hidden="1">
              <a:extLst>
                <a:ext uri="{63B3BB69-23CF-44E3-9099-C40C66FF867C}">
                  <a14:compatExt spid="_x0000_s453911"/>
                </a:ext>
                <a:ext uri="{FF2B5EF4-FFF2-40B4-BE49-F238E27FC236}">
                  <a16:creationId xmlns:a16="http://schemas.microsoft.com/office/drawing/2014/main" id="{00000000-0008-0000-6700-000017ED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453912" name="Button 280" hidden="1">
              <a:extLst>
                <a:ext uri="{63B3BB69-23CF-44E3-9099-C40C66FF867C}">
                  <a14:compatExt spid="_x0000_s453912"/>
                </a:ext>
                <a:ext uri="{FF2B5EF4-FFF2-40B4-BE49-F238E27FC236}">
                  <a16:creationId xmlns:a16="http://schemas.microsoft.com/office/drawing/2014/main" id="{00000000-0008-0000-6700-000018ED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453913" name="Button 281" hidden="1">
              <a:extLst>
                <a:ext uri="{63B3BB69-23CF-44E3-9099-C40C66FF867C}">
                  <a14:compatExt spid="_x0000_s453913"/>
                </a:ext>
                <a:ext uri="{FF2B5EF4-FFF2-40B4-BE49-F238E27FC236}">
                  <a16:creationId xmlns:a16="http://schemas.microsoft.com/office/drawing/2014/main" id="{00000000-0008-0000-6700-000019ED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453914" name="Button 282" hidden="1">
              <a:extLst>
                <a:ext uri="{63B3BB69-23CF-44E3-9099-C40C66FF867C}">
                  <a14:compatExt spid="_x0000_s453914"/>
                </a:ext>
                <a:ext uri="{FF2B5EF4-FFF2-40B4-BE49-F238E27FC236}">
                  <a16:creationId xmlns:a16="http://schemas.microsoft.com/office/drawing/2014/main" id="{00000000-0008-0000-6700-00001AED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9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171450</xdr:colOff>
          <xdr:row>0</xdr:row>
          <xdr:rowOff>0</xdr:rowOff>
        </xdr:from>
        <xdr:to>
          <xdr:col>16</xdr:col>
          <xdr:colOff>1441450</xdr:colOff>
          <xdr:row>2</xdr:row>
          <xdr:rowOff>12700</xdr:rowOff>
        </xdr:to>
        <xdr:sp macro="" textlink="">
          <xdr:nvSpPr>
            <xdr:cNvPr id="454665" name="Button 9" hidden="1">
              <a:extLst>
                <a:ext uri="{63B3BB69-23CF-44E3-9099-C40C66FF867C}">
                  <a14:compatExt spid="_x0000_s454665"/>
                </a:ext>
                <a:ext uri="{FF2B5EF4-FFF2-40B4-BE49-F238E27FC236}">
                  <a16:creationId xmlns:a16="http://schemas.microsoft.com/office/drawing/2014/main" id="{00000000-0008-0000-6800-000009F0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SEC_083000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454692" name="Button 36" hidden="1">
              <a:extLst>
                <a:ext uri="{63B3BB69-23CF-44E3-9099-C40C66FF867C}">
                  <a14:compatExt spid="_x0000_s454692"/>
                </a:ext>
                <a:ext uri="{FF2B5EF4-FFF2-40B4-BE49-F238E27FC236}">
                  <a16:creationId xmlns:a16="http://schemas.microsoft.com/office/drawing/2014/main" id="{00000000-0008-0000-6800-000024F0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454693" name="Button 37" hidden="1">
              <a:extLst>
                <a:ext uri="{63B3BB69-23CF-44E3-9099-C40C66FF867C}">
                  <a14:compatExt spid="_x0000_s454693"/>
                </a:ext>
                <a:ext uri="{FF2B5EF4-FFF2-40B4-BE49-F238E27FC236}">
                  <a16:creationId xmlns:a16="http://schemas.microsoft.com/office/drawing/2014/main" id="{00000000-0008-0000-6800-000025F0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454694" name="Button 38" hidden="1">
              <a:extLst>
                <a:ext uri="{63B3BB69-23CF-44E3-9099-C40C66FF867C}">
                  <a14:compatExt spid="_x0000_s454694"/>
                </a:ext>
                <a:ext uri="{FF2B5EF4-FFF2-40B4-BE49-F238E27FC236}">
                  <a16:creationId xmlns:a16="http://schemas.microsoft.com/office/drawing/2014/main" id="{00000000-0008-0000-6800-000026F0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454695" name="Button 39" hidden="1">
              <a:extLst>
                <a:ext uri="{63B3BB69-23CF-44E3-9099-C40C66FF867C}">
                  <a14:compatExt spid="_x0000_s454695"/>
                </a:ext>
                <a:ext uri="{FF2B5EF4-FFF2-40B4-BE49-F238E27FC236}">
                  <a16:creationId xmlns:a16="http://schemas.microsoft.com/office/drawing/2014/main" id="{00000000-0008-0000-6800-000027F0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454696" name="Button 40" hidden="1">
              <a:extLst>
                <a:ext uri="{63B3BB69-23CF-44E3-9099-C40C66FF867C}">
                  <a14:compatExt spid="_x0000_s454696"/>
                </a:ext>
                <a:ext uri="{FF2B5EF4-FFF2-40B4-BE49-F238E27FC236}">
                  <a16:creationId xmlns:a16="http://schemas.microsoft.com/office/drawing/2014/main" id="{00000000-0008-0000-6800-000028F0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454697" name="Button 41" hidden="1">
              <a:extLst>
                <a:ext uri="{63B3BB69-23CF-44E3-9099-C40C66FF867C}">
                  <a14:compatExt spid="_x0000_s454697"/>
                </a:ext>
                <a:ext uri="{FF2B5EF4-FFF2-40B4-BE49-F238E27FC236}">
                  <a16:creationId xmlns:a16="http://schemas.microsoft.com/office/drawing/2014/main" id="{00000000-0008-0000-6800-000029F0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454698" name="Button 42" hidden="1">
              <a:extLst>
                <a:ext uri="{63B3BB69-23CF-44E3-9099-C40C66FF867C}">
                  <a14:compatExt spid="_x0000_s454698"/>
                </a:ext>
                <a:ext uri="{FF2B5EF4-FFF2-40B4-BE49-F238E27FC236}">
                  <a16:creationId xmlns:a16="http://schemas.microsoft.com/office/drawing/2014/main" id="{00000000-0008-0000-6800-00002AF0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454699" name="Button 43" hidden="1">
              <a:extLst>
                <a:ext uri="{63B3BB69-23CF-44E3-9099-C40C66FF867C}">
                  <a14:compatExt spid="_x0000_s454699"/>
                </a:ext>
                <a:ext uri="{FF2B5EF4-FFF2-40B4-BE49-F238E27FC236}">
                  <a16:creationId xmlns:a16="http://schemas.microsoft.com/office/drawing/2014/main" id="{00000000-0008-0000-6800-00002BF0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9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184150</xdr:colOff>
          <xdr:row>0</xdr:row>
          <xdr:rowOff>0</xdr:rowOff>
        </xdr:from>
        <xdr:to>
          <xdr:col>16</xdr:col>
          <xdr:colOff>1454150</xdr:colOff>
          <xdr:row>2</xdr:row>
          <xdr:rowOff>12700</xdr:rowOff>
        </xdr:to>
        <xdr:sp macro="" textlink="">
          <xdr:nvSpPr>
            <xdr:cNvPr id="457737" name="Button 9" hidden="1">
              <a:extLst>
                <a:ext uri="{63B3BB69-23CF-44E3-9099-C40C66FF867C}">
                  <a14:compatExt spid="_x0000_s457737"/>
                </a:ext>
                <a:ext uri="{FF2B5EF4-FFF2-40B4-BE49-F238E27FC236}">
                  <a16:creationId xmlns:a16="http://schemas.microsoft.com/office/drawing/2014/main" id="{00000000-0008-0000-6900-000009FC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SEC_084000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457781" name="Button 53" hidden="1">
              <a:extLst>
                <a:ext uri="{63B3BB69-23CF-44E3-9099-C40C66FF867C}">
                  <a14:compatExt spid="_x0000_s457781"/>
                </a:ext>
                <a:ext uri="{FF2B5EF4-FFF2-40B4-BE49-F238E27FC236}">
                  <a16:creationId xmlns:a16="http://schemas.microsoft.com/office/drawing/2014/main" id="{00000000-0008-0000-6900-000035FC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457782" name="Button 54" hidden="1">
              <a:extLst>
                <a:ext uri="{63B3BB69-23CF-44E3-9099-C40C66FF867C}">
                  <a14:compatExt spid="_x0000_s457782"/>
                </a:ext>
                <a:ext uri="{FF2B5EF4-FFF2-40B4-BE49-F238E27FC236}">
                  <a16:creationId xmlns:a16="http://schemas.microsoft.com/office/drawing/2014/main" id="{00000000-0008-0000-6900-000036FC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457783" name="Button 55" hidden="1">
              <a:extLst>
                <a:ext uri="{63B3BB69-23CF-44E3-9099-C40C66FF867C}">
                  <a14:compatExt spid="_x0000_s457783"/>
                </a:ext>
                <a:ext uri="{FF2B5EF4-FFF2-40B4-BE49-F238E27FC236}">
                  <a16:creationId xmlns:a16="http://schemas.microsoft.com/office/drawing/2014/main" id="{00000000-0008-0000-6900-000037FC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457784" name="Button 56" hidden="1">
              <a:extLst>
                <a:ext uri="{63B3BB69-23CF-44E3-9099-C40C66FF867C}">
                  <a14:compatExt spid="_x0000_s457784"/>
                </a:ext>
                <a:ext uri="{FF2B5EF4-FFF2-40B4-BE49-F238E27FC236}">
                  <a16:creationId xmlns:a16="http://schemas.microsoft.com/office/drawing/2014/main" id="{00000000-0008-0000-6900-000038FC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457785" name="Button 57" hidden="1">
              <a:extLst>
                <a:ext uri="{63B3BB69-23CF-44E3-9099-C40C66FF867C}">
                  <a14:compatExt spid="_x0000_s457785"/>
                </a:ext>
                <a:ext uri="{FF2B5EF4-FFF2-40B4-BE49-F238E27FC236}">
                  <a16:creationId xmlns:a16="http://schemas.microsoft.com/office/drawing/2014/main" id="{00000000-0008-0000-6900-000039FC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457786" name="Button 58" hidden="1">
              <a:extLst>
                <a:ext uri="{63B3BB69-23CF-44E3-9099-C40C66FF867C}">
                  <a14:compatExt spid="_x0000_s457786"/>
                </a:ext>
                <a:ext uri="{FF2B5EF4-FFF2-40B4-BE49-F238E27FC236}">
                  <a16:creationId xmlns:a16="http://schemas.microsoft.com/office/drawing/2014/main" id="{00000000-0008-0000-6900-00003AFC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457787" name="Button 59" hidden="1">
              <a:extLst>
                <a:ext uri="{63B3BB69-23CF-44E3-9099-C40C66FF867C}">
                  <a14:compatExt spid="_x0000_s457787"/>
                </a:ext>
                <a:ext uri="{FF2B5EF4-FFF2-40B4-BE49-F238E27FC236}">
                  <a16:creationId xmlns:a16="http://schemas.microsoft.com/office/drawing/2014/main" id="{00000000-0008-0000-6900-00003BFC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457788" name="Button 60" hidden="1">
              <a:extLst>
                <a:ext uri="{63B3BB69-23CF-44E3-9099-C40C66FF867C}">
                  <a14:compatExt spid="_x0000_s457788"/>
                </a:ext>
                <a:ext uri="{FF2B5EF4-FFF2-40B4-BE49-F238E27FC236}">
                  <a16:creationId xmlns:a16="http://schemas.microsoft.com/office/drawing/2014/main" id="{00000000-0008-0000-6900-00003CFC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9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209550</xdr:colOff>
          <xdr:row>0</xdr:row>
          <xdr:rowOff>0</xdr:rowOff>
        </xdr:from>
        <xdr:to>
          <xdr:col>16</xdr:col>
          <xdr:colOff>1479550</xdr:colOff>
          <xdr:row>2</xdr:row>
          <xdr:rowOff>12700</xdr:rowOff>
        </xdr:to>
        <xdr:sp macro="" textlink="">
          <xdr:nvSpPr>
            <xdr:cNvPr id="458762" name="Button 10" hidden="1">
              <a:extLst>
                <a:ext uri="{63B3BB69-23CF-44E3-9099-C40C66FF867C}">
                  <a14:compatExt spid="_x0000_s458762"/>
                </a:ext>
                <a:ext uri="{FF2B5EF4-FFF2-40B4-BE49-F238E27FC236}">
                  <a16:creationId xmlns:a16="http://schemas.microsoft.com/office/drawing/2014/main" id="{00000000-0008-0000-6A00-00000A00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SEC_085000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458789" name="Button 37" hidden="1">
              <a:extLst>
                <a:ext uri="{63B3BB69-23CF-44E3-9099-C40C66FF867C}">
                  <a14:compatExt spid="_x0000_s458789"/>
                </a:ext>
                <a:ext uri="{FF2B5EF4-FFF2-40B4-BE49-F238E27FC236}">
                  <a16:creationId xmlns:a16="http://schemas.microsoft.com/office/drawing/2014/main" id="{00000000-0008-0000-6A00-00002500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458790" name="Button 38" hidden="1">
              <a:extLst>
                <a:ext uri="{63B3BB69-23CF-44E3-9099-C40C66FF867C}">
                  <a14:compatExt spid="_x0000_s458790"/>
                </a:ext>
                <a:ext uri="{FF2B5EF4-FFF2-40B4-BE49-F238E27FC236}">
                  <a16:creationId xmlns:a16="http://schemas.microsoft.com/office/drawing/2014/main" id="{00000000-0008-0000-6A00-00002600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458791" name="Button 39" hidden="1">
              <a:extLst>
                <a:ext uri="{63B3BB69-23CF-44E3-9099-C40C66FF867C}">
                  <a14:compatExt spid="_x0000_s458791"/>
                </a:ext>
                <a:ext uri="{FF2B5EF4-FFF2-40B4-BE49-F238E27FC236}">
                  <a16:creationId xmlns:a16="http://schemas.microsoft.com/office/drawing/2014/main" id="{00000000-0008-0000-6A00-00002700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458792" name="Button 40" hidden="1">
              <a:extLst>
                <a:ext uri="{63B3BB69-23CF-44E3-9099-C40C66FF867C}">
                  <a14:compatExt spid="_x0000_s458792"/>
                </a:ext>
                <a:ext uri="{FF2B5EF4-FFF2-40B4-BE49-F238E27FC236}">
                  <a16:creationId xmlns:a16="http://schemas.microsoft.com/office/drawing/2014/main" id="{00000000-0008-0000-6A00-00002800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458793" name="Button 41" hidden="1">
              <a:extLst>
                <a:ext uri="{63B3BB69-23CF-44E3-9099-C40C66FF867C}">
                  <a14:compatExt spid="_x0000_s458793"/>
                </a:ext>
                <a:ext uri="{FF2B5EF4-FFF2-40B4-BE49-F238E27FC236}">
                  <a16:creationId xmlns:a16="http://schemas.microsoft.com/office/drawing/2014/main" id="{00000000-0008-0000-6A00-00002900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458794" name="Button 42" hidden="1">
              <a:extLst>
                <a:ext uri="{63B3BB69-23CF-44E3-9099-C40C66FF867C}">
                  <a14:compatExt spid="_x0000_s458794"/>
                </a:ext>
                <a:ext uri="{FF2B5EF4-FFF2-40B4-BE49-F238E27FC236}">
                  <a16:creationId xmlns:a16="http://schemas.microsoft.com/office/drawing/2014/main" id="{00000000-0008-0000-6A00-00002A00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458795" name="Button 43" hidden="1">
              <a:extLst>
                <a:ext uri="{63B3BB69-23CF-44E3-9099-C40C66FF867C}">
                  <a14:compatExt spid="_x0000_s458795"/>
                </a:ext>
                <a:ext uri="{FF2B5EF4-FFF2-40B4-BE49-F238E27FC236}">
                  <a16:creationId xmlns:a16="http://schemas.microsoft.com/office/drawing/2014/main" id="{00000000-0008-0000-6A00-00002B00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458796" name="Button 44" hidden="1">
              <a:extLst>
                <a:ext uri="{63B3BB69-23CF-44E3-9099-C40C66FF867C}">
                  <a14:compatExt spid="_x0000_s458796"/>
                </a:ext>
                <a:ext uri="{FF2B5EF4-FFF2-40B4-BE49-F238E27FC236}">
                  <a16:creationId xmlns:a16="http://schemas.microsoft.com/office/drawing/2014/main" id="{00000000-0008-0000-6A00-00002C00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9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209550</xdr:colOff>
          <xdr:row>0</xdr:row>
          <xdr:rowOff>0</xdr:rowOff>
        </xdr:from>
        <xdr:to>
          <xdr:col>16</xdr:col>
          <xdr:colOff>1479550</xdr:colOff>
          <xdr:row>2</xdr:row>
          <xdr:rowOff>12700</xdr:rowOff>
        </xdr:to>
        <xdr:sp macro="" textlink="">
          <xdr:nvSpPr>
            <xdr:cNvPr id="459786" name="Button 10" hidden="1">
              <a:extLst>
                <a:ext uri="{63B3BB69-23CF-44E3-9099-C40C66FF867C}">
                  <a14:compatExt spid="_x0000_s459786"/>
                </a:ext>
                <a:ext uri="{FF2B5EF4-FFF2-40B4-BE49-F238E27FC236}">
                  <a16:creationId xmlns:a16="http://schemas.microsoft.com/office/drawing/2014/main" id="{00000000-0008-0000-6B00-00000A04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SEC_086000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459822" name="Button 46" hidden="1">
              <a:extLst>
                <a:ext uri="{63B3BB69-23CF-44E3-9099-C40C66FF867C}">
                  <a14:compatExt spid="_x0000_s459822"/>
                </a:ext>
                <a:ext uri="{FF2B5EF4-FFF2-40B4-BE49-F238E27FC236}">
                  <a16:creationId xmlns:a16="http://schemas.microsoft.com/office/drawing/2014/main" id="{00000000-0008-0000-6B00-00002E04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459823" name="Button 47" hidden="1">
              <a:extLst>
                <a:ext uri="{63B3BB69-23CF-44E3-9099-C40C66FF867C}">
                  <a14:compatExt spid="_x0000_s459823"/>
                </a:ext>
                <a:ext uri="{FF2B5EF4-FFF2-40B4-BE49-F238E27FC236}">
                  <a16:creationId xmlns:a16="http://schemas.microsoft.com/office/drawing/2014/main" id="{00000000-0008-0000-6B00-00002F04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459824" name="Button 48" hidden="1">
              <a:extLst>
                <a:ext uri="{63B3BB69-23CF-44E3-9099-C40C66FF867C}">
                  <a14:compatExt spid="_x0000_s459824"/>
                </a:ext>
                <a:ext uri="{FF2B5EF4-FFF2-40B4-BE49-F238E27FC236}">
                  <a16:creationId xmlns:a16="http://schemas.microsoft.com/office/drawing/2014/main" id="{00000000-0008-0000-6B00-00003004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459825" name="Button 49" hidden="1">
              <a:extLst>
                <a:ext uri="{63B3BB69-23CF-44E3-9099-C40C66FF867C}">
                  <a14:compatExt spid="_x0000_s459825"/>
                </a:ext>
                <a:ext uri="{FF2B5EF4-FFF2-40B4-BE49-F238E27FC236}">
                  <a16:creationId xmlns:a16="http://schemas.microsoft.com/office/drawing/2014/main" id="{00000000-0008-0000-6B00-00003104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459826" name="Button 50" hidden="1">
              <a:extLst>
                <a:ext uri="{63B3BB69-23CF-44E3-9099-C40C66FF867C}">
                  <a14:compatExt spid="_x0000_s459826"/>
                </a:ext>
                <a:ext uri="{FF2B5EF4-FFF2-40B4-BE49-F238E27FC236}">
                  <a16:creationId xmlns:a16="http://schemas.microsoft.com/office/drawing/2014/main" id="{00000000-0008-0000-6B00-00003204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459827" name="Button 51" hidden="1">
              <a:extLst>
                <a:ext uri="{63B3BB69-23CF-44E3-9099-C40C66FF867C}">
                  <a14:compatExt spid="_x0000_s459827"/>
                </a:ext>
                <a:ext uri="{FF2B5EF4-FFF2-40B4-BE49-F238E27FC236}">
                  <a16:creationId xmlns:a16="http://schemas.microsoft.com/office/drawing/2014/main" id="{00000000-0008-0000-6B00-00003304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459828" name="Button 52" hidden="1">
              <a:extLst>
                <a:ext uri="{63B3BB69-23CF-44E3-9099-C40C66FF867C}">
                  <a14:compatExt spid="_x0000_s459828"/>
                </a:ext>
                <a:ext uri="{FF2B5EF4-FFF2-40B4-BE49-F238E27FC236}">
                  <a16:creationId xmlns:a16="http://schemas.microsoft.com/office/drawing/2014/main" id="{00000000-0008-0000-6B00-00003404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459829" name="Button 53" hidden="1">
              <a:extLst>
                <a:ext uri="{63B3BB69-23CF-44E3-9099-C40C66FF867C}">
                  <a14:compatExt spid="_x0000_s459829"/>
                </a:ext>
                <a:ext uri="{FF2B5EF4-FFF2-40B4-BE49-F238E27FC236}">
                  <a16:creationId xmlns:a16="http://schemas.microsoft.com/office/drawing/2014/main" id="{00000000-0008-0000-6B00-00003504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9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196850</xdr:colOff>
          <xdr:row>0</xdr:row>
          <xdr:rowOff>0</xdr:rowOff>
        </xdr:from>
        <xdr:to>
          <xdr:col>16</xdr:col>
          <xdr:colOff>1466850</xdr:colOff>
          <xdr:row>2</xdr:row>
          <xdr:rowOff>12700</xdr:rowOff>
        </xdr:to>
        <xdr:sp macro="" textlink="">
          <xdr:nvSpPr>
            <xdr:cNvPr id="460809" name="Button 9" hidden="1">
              <a:extLst>
                <a:ext uri="{63B3BB69-23CF-44E3-9099-C40C66FF867C}">
                  <a14:compatExt spid="_x0000_s460809"/>
                </a:ext>
                <a:ext uri="{FF2B5EF4-FFF2-40B4-BE49-F238E27FC236}">
                  <a16:creationId xmlns:a16="http://schemas.microsoft.com/office/drawing/2014/main" id="{00000000-0008-0000-6C00-00000908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SEC_087000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460836" name="Button 36" hidden="1">
              <a:extLst>
                <a:ext uri="{63B3BB69-23CF-44E3-9099-C40C66FF867C}">
                  <a14:compatExt spid="_x0000_s460836"/>
                </a:ext>
                <a:ext uri="{FF2B5EF4-FFF2-40B4-BE49-F238E27FC236}">
                  <a16:creationId xmlns:a16="http://schemas.microsoft.com/office/drawing/2014/main" id="{00000000-0008-0000-6C00-00002408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460837" name="Button 37" hidden="1">
              <a:extLst>
                <a:ext uri="{63B3BB69-23CF-44E3-9099-C40C66FF867C}">
                  <a14:compatExt spid="_x0000_s460837"/>
                </a:ext>
                <a:ext uri="{FF2B5EF4-FFF2-40B4-BE49-F238E27FC236}">
                  <a16:creationId xmlns:a16="http://schemas.microsoft.com/office/drawing/2014/main" id="{00000000-0008-0000-6C00-00002508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460838" name="Button 38" hidden="1">
              <a:extLst>
                <a:ext uri="{63B3BB69-23CF-44E3-9099-C40C66FF867C}">
                  <a14:compatExt spid="_x0000_s460838"/>
                </a:ext>
                <a:ext uri="{FF2B5EF4-FFF2-40B4-BE49-F238E27FC236}">
                  <a16:creationId xmlns:a16="http://schemas.microsoft.com/office/drawing/2014/main" id="{00000000-0008-0000-6C00-00002608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460839" name="Button 39" hidden="1">
              <a:extLst>
                <a:ext uri="{63B3BB69-23CF-44E3-9099-C40C66FF867C}">
                  <a14:compatExt spid="_x0000_s460839"/>
                </a:ext>
                <a:ext uri="{FF2B5EF4-FFF2-40B4-BE49-F238E27FC236}">
                  <a16:creationId xmlns:a16="http://schemas.microsoft.com/office/drawing/2014/main" id="{00000000-0008-0000-6C00-00002708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460840" name="Button 40" hidden="1">
              <a:extLst>
                <a:ext uri="{63B3BB69-23CF-44E3-9099-C40C66FF867C}">
                  <a14:compatExt spid="_x0000_s460840"/>
                </a:ext>
                <a:ext uri="{FF2B5EF4-FFF2-40B4-BE49-F238E27FC236}">
                  <a16:creationId xmlns:a16="http://schemas.microsoft.com/office/drawing/2014/main" id="{00000000-0008-0000-6C00-00002808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460841" name="Button 41" hidden="1">
              <a:extLst>
                <a:ext uri="{63B3BB69-23CF-44E3-9099-C40C66FF867C}">
                  <a14:compatExt spid="_x0000_s460841"/>
                </a:ext>
                <a:ext uri="{FF2B5EF4-FFF2-40B4-BE49-F238E27FC236}">
                  <a16:creationId xmlns:a16="http://schemas.microsoft.com/office/drawing/2014/main" id="{00000000-0008-0000-6C00-00002908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460842" name="Button 42" hidden="1">
              <a:extLst>
                <a:ext uri="{63B3BB69-23CF-44E3-9099-C40C66FF867C}">
                  <a14:compatExt spid="_x0000_s460842"/>
                </a:ext>
                <a:ext uri="{FF2B5EF4-FFF2-40B4-BE49-F238E27FC236}">
                  <a16:creationId xmlns:a16="http://schemas.microsoft.com/office/drawing/2014/main" id="{00000000-0008-0000-6C00-00002A08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460843" name="Button 43" hidden="1">
              <a:extLst>
                <a:ext uri="{63B3BB69-23CF-44E3-9099-C40C66FF867C}">
                  <a14:compatExt spid="_x0000_s460843"/>
                </a:ext>
                <a:ext uri="{FF2B5EF4-FFF2-40B4-BE49-F238E27FC236}">
                  <a16:creationId xmlns:a16="http://schemas.microsoft.com/office/drawing/2014/main" id="{00000000-0008-0000-6C00-00002B08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9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203200</xdr:colOff>
          <xdr:row>0</xdr:row>
          <xdr:rowOff>0</xdr:rowOff>
        </xdr:from>
        <xdr:to>
          <xdr:col>16</xdr:col>
          <xdr:colOff>1473200</xdr:colOff>
          <xdr:row>2</xdr:row>
          <xdr:rowOff>12700</xdr:rowOff>
        </xdr:to>
        <xdr:sp macro="" textlink="">
          <xdr:nvSpPr>
            <xdr:cNvPr id="461834" name="Button 10" hidden="1">
              <a:extLst>
                <a:ext uri="{63B3BB69-23CF-44E3-9099-C40C66FF867C}">
                  <a14:compatExt spid="_x0000_s461834"/>
                </a:ext>
                <a:ext uri="{FF2B5EF4-FFF2-40B4-BE49-F238E27FC236}">
                  <a16:creationId xmlns:a16="http://schemas.microsoft.com/office/drawing/2014/main" id="{00000000-0008-0000-6D00-00000A0C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SEC_088000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461844" name="Button 20" hidden="1">
              <a:extLst>
                <a:ext uri="{63B3BB69-23CF-44E3-9099-C40C66FF867C}">
                  <a14:compatExt spid="_x0000_s461844"/>
                </a:ext>
                <a:ext uri="{FF2B5EF4-FFF2-40B4-BE49-F238E27FC236}">
                  <a16:creationId xmlns:a16="http://schemas.microsoft.com/office/drawing/2014/main" id="{00000000-0008-0000-6D00-0000140C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461845" name="Button 21" hidden="1">
              <a:extLst>
                <a:ext uri="{63B3BB69-23CF-44E3-9099-C40C66FF867C}">
                  <a14:compatExt spid="_x0000_s461845"/>
                </a:ext>
                <a:ext uri="{FF2B5EF4-FFF2-40B4-BE49-F238E27FC236}">
                  <a16:creationId xmlns:a16="http://schemas.microsoft.com/office/drawing/2014/main" id="{00000000-0008-0000-6D00-0000150C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461846" name="Button 22" hidden="1">
              <a:extLst>
                <a:ext uri="{63B3BB69-23CF-44E3-9099-C40C66FF867C}">
                  <a14:compatExt spid="_x0000_s461846"/>
                </a:ext>
                <a:ext uri="{FF2B5EF4-FFF2-40B4-BE49-F238E27FC236}">
                  <a16:creationId xmlns:a16="http://schemas.microsoft.com/office/drawing/2014/main" id="{00000000-0008-0000-6D00-0000160C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461847" name="Button 23" hidden="1">
              <a:extLst>
                <a:ext uri="{63B3BB69-23CF-44E3-9099-C40C66FF867C}">
                  <a14:compatExt spid="_x0000_s461847"/>
                </a:ext>
                <a:ext uri="{FF2B5EF4-FFF2-40B4-BE49-F238E27FC236}">
                  <a16:creationId xmlns:a16="http://schemas.microsoft.com/office/drawing/2014/main" id="{00000000-0008-0000-6D00-0000170C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461848" name="Button 24" hidden="1">
              <a:extLst>
                <a:ext uri="{63B3BB69-23CF-44E3-9099-C40C66FF867C}">
                  <a14:compatExt spid="_x0000_s461848"/>
                </a:ext>
                <a:ext uri="{FF2B5EF4-FFF2-40B4-BE49-F238E27FC236}">
                  <a16:creationId xmlns:a16="http://schemas.microsoft.com/office/drawing/2014/main" id="{00000000-0008-0000-6D00-0000180C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461849" name="Button 25" hidden="1">
              <a:extLst>
                <a:ext uri="{63B3BB69-23CF-44E3-9099-C40C66FF867C}">
                  <a14:compatExt spid="_x0000_s461849"/>
                </a:ext>
                <a:ext uri="{FF2B5EF4-FFF2-40B4-BE49-F238E27FC236}">
                  <a16:creationId xmlns:a16="http://schemas.microsoft.com/office/drawing/2014/main" id="{00000000-0008-0000-6D00-0000190C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461850" name="Button 26" hidden="1">
              <a:extLst>
                <a:ext uri="{63B3BB69-23CF-44E3-9099-C40C66FF867C}">
                  <a14:compatExt spid="_x0000_s461850"/>
                </a:ext>
                <a:ext uri="{FF2B5EF4-FFF2-40B4-BE49-F238E27FC236}">
                  <a16:creationId xmlns:a16="http://schemas.microsoft.com/office/drawing/2014/main" id="{00000000-0008-0000-6D00-00001A0C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461851" name="Button 27" hidden="1">
              <a:extLst>
                <a:ext uri="{63B3BB69-23CF-44E3-9099-C40C66FF867C}">
                  <a14:compatExt spid="_x0000_s461851"/>
                </a:ext>
                <a:ext uri="{FF2B5EF4-FFF2-40B4-BE49-F238E27FC236}">
                  <a16:creationId xmlns:a16="http://schemas.microsoft.com/office/drawing/2014/main" id="{00000000-0008-0000-6D00-00001B0C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9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209550</xdr:colOff>
          <xdr:row>0</xdr:row>
          <xdr:rowOff>0</xdr:rowOff>
        </xdr:from>
        <xdr:to>
          <xdr:col>16</xdr:col>
          <xdr:colOff>1479550</xdr:colOff>
          <xdr:row>2</xdr:row>
          <xdr:rowOff>12700</xdr:rowOff>
        </xdr:to>
        <xdr:sp macro="" textlink="">
          <xdr:nvSpPr>
            <xdr:cNvPr id="462857" name="Button 9" hidden="1">
              <a:extLst>
                <a:ext uri="{63B3BB69-23CF-44E3-9099-C40C66FF867C}">
                  <a14:compatExt spid="_x0000_s462857"/>
                </a:ext>
                <a:ext uri="{FF2B5EF4-FFF2-40B4-BE49-F238E27FC236}">
                  <a16:creationId xmlns:a16="http://schemas.microsoft.com/office/drawing/2014/main" id="{00000000-0008-0000-6E00-00000910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SEC_089000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462867" name="Button 19" hidden="1">
              <a:extLst>
                <a:ext uri="{63B3BB69-23CF-44E3-9099-C40C66FF867C}">
                  <a14:compatExt spid="_x0000_s462867"/>
                </a:ext>
                <a:ext uri="{FF2B5EF4-FFF2-40B4-BE49-F238E27FC236}">
                  <a16:creationId xmlns:a16="http://schemas.microsoft.com/office/drawing/2014/main" id="{00000000-0008-0000-6E00-00001310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462868" name="Button 20" hidden="1">
              <a:extLst>
                <a:ext uri="{63B3BB69-23CF-44E3-9099-C40C66FF867C}">
                  <a14:compatExt spid="_x0000_s462868"/>
                </a:ext>
                <a:ext uri="{FF2B5EF4-FFF2-40B4-BE49-F238E27FC236}">
                  <a16:creationId xmlns:a16="http://schemas.microsoft.com/office/drawing/2014/main" id="{00000000-0008-0000-6E00-00001410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462869" name="Button 21" hidden="1">
              <a:extLst>
                <a:ext uri="{63B3BB69-23CF-44E3-9099-C40C66FF867C}">
                  <a14:compatExt spid="_x0000_s462869"/>
                </a:ext>
                <a:ext uri="{FF2B5EF4-FFF2-40B4-BE49-F238E27FC236}">
                  <a16:creationId xmlns:a16="http://schemas.microsoft.com/office/drawing/2014/main" id="{00000000-0008-0000-6E00-00001510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462870" name="Button 22" hidden="1">
              <a:extLst>
                <a:ext uri="{63B3BB69-23CF-44E3-9099-C40C66FF867C}">
                  <a14:compatExt spid="_x0000_s462870"/>
                </a:ext>
                <a:ext uri="{FF2B5EF4-FFF2-40B4-BE49-F238E27FC236}">
                  <a16:creationId xmlns:a16="http://schemas.microsoft.com/office/drawing/2014/main" id="{00000000-0008-0000-6E00-00001610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462871" name="Button 23" hidden="1">
              <a:extLst>
                <a:ext uri="{63B3BB69-23CF-44E3-9099-C40C66FF867C}">
                  <a14:compatExt spid="_x0000_s462871"/>
                </a:ext>
                <a:ext uri="{FF2B5EF4-FFF2-40B4-BE49-F238E27FC236}">
                  <a16:creationId xmlns:a16="http://schemas.microsoft.com/office/drawing/2014/main" id="{00000000-0008-0000-6E00-00001710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462872" name="Button 24" hidden="1">
              <a:extLst>
                <a:ext uri="{63B3BB69-23CF-44E3-9099-C40C66FF867C}">
                  <a14:compatExt spid="_x0000_s462872"/>
                </a:ext>
                <a:ext uri="{FF2B5EF4-FFF2-40B4-BE49-F238E27FC236}">
                  <a16:creationId xmlns:a16="http://schemas.microsoft.com/office/drawing/2014/main" id="{00000000-0008-0000-6E00-00001810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462873" name="Button 25" hidden="1">
              <a:extLst>
                <a:ext uri="{63B3BB69-23CF-44E3-9099-C40C66FF867C}">
                  <a14:compatExt spid="_x0000_s462873"/>
                </a:ext>
                <a:ext uri="{FF2B5EF4-FFF2-40B4-BE49-F238E27FC236}">
                  <a16:creationId xmlns:a16="http://schemas.microsoft.com/office/drawing/2014/main" id="{00000000-0008-0000-6E00-00001910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462874" name="Button 26" hidden="1">
              <a:extLst>
                <a:ext uri="{63B3BB69-23CF-44E3-9099-C40C66FF867C}">
                  <a14:compatExt spid="_x0000_s462874"/>
                </a:ext>
                <a:ext uri="{FF2B5EF4-FFF2-40B4-BE49-F238E27FC236}">
                  <a16:creationId xmlns:a16="http://schemas.microsoft.com/office/drawing/2014/main" id="{00000000-0008-0000-6E00-00001A10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9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19050</xdr:rowOff>
        </xdr:to>
        <xdr:sp macro="" textlink="">
          <xdr:nvSpPr>
            <xdr:cNvPr id="561153" name="Button 1" hidden="1">
              <a:extLst>
                <a:ext uri="{63B3BB69-23CF-44E3-9099-C40C66FF867C}">
                  <a14:compatExt spid="_x0000_s561153"/>
                </a:ext>
                <a:ext uri="{FF2B5EF4-FFF2-40B4-BE49-F238E27FC236}">
                  <a16:creationId xmlns:a16="http://schemas.microsoft.com/office/drawing/2014/main" id="{00000000-0008-0000-6F00-00000190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184150</xdr:rowOff>
        </xdr:from>
        <xdr:to>
          <xdr:col>19</xdr:col>
          <xdr:colOff>50800</xdr:colOff>
          <xdr:row>5</xdr:row>
          <xdr:rowOff>25400</xdr:rowOff>
        </xdr:to>
        <xdr:sp macro="" textlink="">
          <xdr:nvSpPr>
            <xdr:cNvPr id="561154" name="Button 2" hidden="1">
              <a:extLst>
                <a:ext uri="{63B3BB69-23CF-44E3-9099-C40C66FF867C}">
                  <a14:compatExt spid="_x0000_s561154"/>
                </a:ext>
                <a:ext uri="{FF2B5EF4-FFF2-40B4-BE49-F238E27FC236}">
                  <a16:creationId xmlns:a16="http://schemas.microsoft.com/office/drawing/2014/main" id="{00000000-0008-0000-6F00-00000290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63500</xdr:rowOff>
        </xdr:to>
        <xdr:sp macro="" textlink="">
          <xdr:nvSpPr>
            <xdr:cNvPr id="561155" name="Button 3" hidden="1">
              <a:extLst>
                <a:ext uri="{63B3BB69-23CF-44E3-9099-C40C66FF867C}">
                  <a14:compatExt spid="_x0000_s561155"/>
                </a:ext>
                <a:ext uri="{FF2B5EF4-FFF2-40B4-BE49-F238E27FC236}">
                  <a16:creationId xmlns:a16="http://schemas.microsoft.com/office/drawing/2014/main" id="{00000000-0008-0000-6F00-00000390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76200</xdr:rowOff>
        </xdr:to>
        <xdr:sp macro="" textlink="">
          <xdr:nvSpPr>
            <xdr:cNvPr id="561156" name="Button 4" hidden="1">
              <a:extLst>
                <a:ext uri="{63B3BB69-23CF-44E3-9099-C40C66FF867C}">
                  <a14:compatExt spid="_x0000_s561156"/>
                </a:ext>
                <a:ext uri="{FF2B5EF4-FFF2-40B4-BE49-F238E27FC236}">
                  <a16:creationId xmlns:a16="http://schemas.microsoft.com/office/drawing/2014/main" id="{00000000-0008-0000-6F00-00000490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31750</xdr:rowOff>
        </xdr:to>
        <xdr:sp macro="" textlink="">
          <xdr:nvSpPr>
            <xdr:cNvPr id="561157" name="Button 5" hidden="1">
              <a:extLst>
                <a:ext uri="{63B3BB69-23CF-44E3-9099-C40C66FF867C}">
                  <a14:compatExt spid="_x0000_s561157"/>
                </a:ext>
                <a:ext uri="{FF2B5EF4-FFF2-40B4-BE49-F238E27FC236}">
                  <a16:creationId xmlns:a16="http://schemas.microsoft.com/office/drawing/2014/main" id="{00000000-0008-0000-6F00-00000590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12700</xdr:rowOff>
        </xdr:from>
        <xdr:to>
          <xdr:col>19</xdr:col>
          <xdr:colOff>50800</xdr:colOff>
          <xdr:row>16</xdr:row>
          <xdr:rowOff>31750</xdr:rowOff>
        </xdr:to>
        <xdr:sp macro="" textlink="">
          <xdr:nvSpPr>
            <xdr:cNvPr id="561158" name="Button 6" hidden="1">
              <a:extLst>
                <a:ext uri="{63B3BB69-23CF-44E3-9099-C40C66FF867C}">
                  <a14:compatExt spid="_x0000_s561158"/>
                </a:ext>
                <a:ext uri="{FF2B5EF4-FFF2-40B4-BE49-F238E27FC236}">
                  <a16:creationId xmlns:a16="http://schemas.microsoft.com/office/drawing/2014/main" id="{00000000-0008-0000-6F00-00000690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19050</xdr:rowOff>
        </xdr:from>
        <xdr:to>
          <xdr:col>19</xdr:col>
          <xdr:colOff>50800</xdr:colOff>
          <xdr:row>19</xdr:row>
          <xdr:rowOff>38100</xdr:rowOff>
        </xdr:to>
        <xdr:sp macro="" textlink="">
          <xdr:nvSpPr>
            <xdr:cNvPr id="561159" name="Button 7" hidden="1">
              <a:extLst>
                <a:ext uri="{63B3BB69-23CF-44E3-9099-C40C66FF867C}">
                  <a14:compatExt spid="_x0000_s561159"/>
                </a:ext>
                <a:ext uri="{FF2B5EF4-FFF2-40B4-BE49-F238E27FC236}">
                  <a16:creationId xmlns:a16="http://schemas.microsoft.com/office/drawing/2014/main" id="{00000000-0008-0000-6F00-00000790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25400</xdr:rowOff>
        </xdr:from>
        <xdr:to>
          <xdr:col>19</xdr:col>
          <xdr:colOff>50800</xdr:colOff>
          <xdr:row>22</xdr:row>
          <xdr:rowOff>44450</xdr:rowOff>
        </xdr:to>
        <xdr:sp macro="" textlink="">
          <xdr:nvSpPr>
            <xdr:cNvPr id="561160" name="Button 8" hidden="1">
              <a:extLst>
                <a:ext uri="{63B3BB69-23CF-44E3-9099-C40C66FF867C}">
                  <a14:compatExt spid="_x0000_s561160"/>
                </a:ext>
                <a:ext uri="{FF2B5EF4-FFF2-40B4-BE49-F238E27FC236}">
                  <a16:creationId xmlns:a16="http://schemas.microsoft.com/office/drawing/2014/main" id="{00000000-0008-0000-6F00-00000890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184150</xdr:rowOff>
        </xdr:from>
        <xdr:to>
          <xdr:col>19</xdr:col>
          <xdr:colOff>57150</xdr:colOff>
          <xdr:row>5</xdr:row>
          <xdr:rowOff>25400</xdr:rowOff>
        </xdr:to>
        <xdr:sp macro="" textlink="">
          <xdr:nvSpPr>
            <xdr:cNvPr id="561163" name="Button 11" hidden="1">
              <a:extLst>
                <a:ext uri="{63B3BB69-23CF-44E3-9099-C40C66FF867C}">
                  <a14:compatExt spid="_x0000_s561163"/>
                </a:ext>
                <a:ext uri="{FF2B5EF4-FFF2-40B4-BE49-F238E27FC236}">
                  <a16:creationId xmlns:a16="http://schemas.microsoft.com/office/drawing/2014/main" id="{00000000-0008-0000-6F00-00000B90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57150</xdr:colOff>
          <xdr:row>8</xdr:row>
          <xdr:rowOff>63500</xdr:rowOff>
        </xdr:to>
        <xdr:sp macro="" textlink="">
          <xdr:nvSpPr>
            <xdr:cNvPr id="561164" name="Button 12" hidden="1">
              <a:extLst>
                <a:ext uri="{63B3BB69-23CF-44E3-9099-C40C66FF867C}">
                  <a14:compatExt spid="_x0000_s561164"/>
                </a:ext>
                <a:ext uri="{FF2B5EF4-FFF2-40B4-BE49-F238E27FC236}">
                  <a16:creationId xmlns:a16="http://schemas.microsoft.com/office/drawing/2014/main" id="{00000000-0008-0000-6F00-00000C90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57150</xdr:colOff>
          <xdr:row>10</xdr:row>
          <xdr:rowOff>76200</xdr:rowOff>
        </xdr:to>
        <xdr:sp macro="" textlink="">
          <xdr:nvSpPr>
            <xdr:cNvPr id="561165" name="Button 13" hidden="1">
              <a:extLst>
                <a:ext uri="{63B3BB69-23CF-44E3-9099-C40C66FF867C}">
                  <a14:compatExt spid="_x0000_s561165"/>
                </a:ext>
                <a:ext uri="{FF2B5EF4-FFF2-40B4-BE49-F238E27FC236}">
                  <a16:creationId xmlns:a16="http://schemas.microsoft.com/office/drawing/2014/main" id="{00000000-0008-0000-6F00-00000D90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57150</xdr:colOff>
          <xdr:row>13</xdr:row>
          <xdr:rowOff>31750</xdr:rowOff>
        </xdr:to>
        <xdr:sp macro="" textlink="">
          <xdr:nvSpPr>
            <xdr:cNvPr id="561166" name="Button 14" hidden="1">
              <a:extLst>
                <a:ext uri="{63B3BB69-23CF-44E3-9099-C40C66FF867C}">
                  <a14:compatExt spid="_x0000_s561166"/>
                </a:ext>
                <a:ext uri="{FF2B5EF4-FFF2-40B4-BE49-F238E27FC236}">
                  <a16:creationId xmlns:a16="http://schemas.microsoft.com/office/drawing/2014/main" id="{00000000-0008-0000-6F00-00000E90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Dashbord</a:t>
              </a:r>
            </a:p>
          </xdr:txBody>
        </xdr:sp>
        <xdr:clientData fPrintsWithSheet="0"/>
      </xdr:twoCellAnchor>
    </mc:Choice>
    <mc:Fallback/>
  </mc:AlternateContent>
</xdr:wsDr>
</file>

<file path=xl/drawings/drawing10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2</xdr:row>
          <xdr:rowOff>50800</xdr:rowOff>
        </xdr:from>
        <xdr:to>
          <xdr:col>19</xdr:col>
          <xdr:colOff>44450</xdr:colOff>
          <xdr:row>4</xdr:row>
          <xdr:rowOff>95250</xdr:rowOff>
        </xdr:to>
        <xdr:sp macro="" textlink="">
          <xdr:nvSpPr>
            <xdr:cNvPr id="562177" name="Button 1" hidden="1">
              <a:extLst>
                <a:ext uri="{63B3BB69-23CF-44E3-9099-C40C66FF867C}">
                  <a14:compatExt spid="_x0000_s562177"/>
                </a:ext>
                <a:ext uri="{FF2B5EF4-FFF2-40B4-BE49-F238E27FC236}">
                  <a16:creationId xmlns:a16="http://schemas.microsoft.com/office/drawing/2014/main" id="{00000000-0008-0000-7000-00000194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5</xdr:row>
          <xdr:rowOff>50800</xdr:rowOff>
        </xdr:from>
        <xdr:to>
          <xdr:col>19</xdr:col>
          <xdr:colOff>44450</xdr:colOff>
          <xdr:row>7</xdr:row>
          <xdr:rowOff>57150</xdr:rowOff>
        </xdr:to>
        <xdr:sp macro="" textlink="">
          <xdr:nvSpPr>
            <xdr:cNvPr id="562178" name="Button 2" hidden="1">
              <a:extLst>
                <a:ext uri="{63B3BB69-23CF-44E3-9099-C40C66FF867C}">
                  <a14:compatExt spid="_x0000_s562178"/>
                </a:ext>
                <a:ext uri="{FF2B5EF4-FFF2-40B4-BE49-F238E27FC236}">
                  <a16:creationId xmlns:a16="http://schemas.microsoft.com/office/drawing/2014/main" id="{00000000-0008-0000-7000-00000294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7</xdr:row>
          <xdr:rowOff>177800</xdr:rowOff>
        </xdr:from>
        <xdr:to>
          <xdr:col>19</xdr:col>
          <xdr:colOff>44450</xdr:colOff>
          <xdr:row>9</xdr:row>
          <xdr:rowOff>177800</xdr:rowOff>
        </xdr:to>
        <xdr:sp macro="" textlink="">
          <xdr:nvSpPr>
            <xdr:cNvPr id="562179" name="Button 3" hidden="1">
              <a:extLst>
                <a:ext uri="{63B3BB69-23CF-44E3-9099-C40C66FF867C}">
                  <a14:compatExt spid="_x0000_s562179"/>
                </a:ext>
                <a:ext uri="{FF2B5EF4-FFF2-40B4-BE49-F238E27FC236}">
                  <a16:creationId xmlns:a16="http://schemas.microsoft.com/office/drawing/2014/main" id="{00000000-0008-0000-7000-00000394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44450</xdr:colOff>
          <xdr:row>2</xdr:row>
          <xdr:rowOff>6350</xdr:rowOff>
        </xdr:to>
        <xdr:sp macro="" textlink="">
          <xdr:nvSpPr>
            <xdr:cNvPr id="562180" name="Button 4" hidden="1">
              <a:extLst>
                <a:ext uri="{63B3BB69-23CF-44E3-9099-C40C66FF867C}">
                  <a14:compatExt spid="_x0000_s562180"/>
                </a:ext>
                <a:ext uri="{FF2B5EF4-FFF2-40B4-BE49-F238E27FC236}">
                  <a16:creationId xmlns:a16="http://schemas.microsoft.com/office/drawing/2014/main" id="{00000000-0008-0000-7000-00000494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Refresh View</a:t>
              </a:r>
            </a:p>
          </xdr:txBody>
        </xdr:sp>
        <xdr:clientData fPrintsWithSheet="0"/>
      </xdr:twoCellAnchor>
    </mc:Choice>
    <mc:Fallback/>
  </mc:AlternateContent>
</xdr:wsDr>
</file>

<file path=xl/drawings/drawing10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603250</xdr:colOff>
          <xdr:row>0</xdr:row>
          <xdr:rowOff>0</xdr:rowOff>
        </xdr:from>
        <xdr:to>
          <xdr:col>19</xdr:col>
          <xdr:colOff>44450</xdr:colOff>
          <xdr:row>2</xdr:row>
          <xdr:rowOff>12700</xdr:rowOff>
        </xdr:to>
        <xdr:sp macro="" textlink="">
          <xdr:nvSpPr>
            <xdr:cNvPr id="563204" name="Button 4" hidden="1">
              <a:extLst>
                <a:ext uri="{63B3BB69-23CF-44E3-9099-C40C66FF867C}">
                  <a14:compatExt spid="_x0000_s563204"/>
                </a:ext>
                <a:ext uri="{FF2B5EF4-FFF2-40B4-BE49-F238E27FC236}">
                  <a16:creationId xmlns:a16="http://schemas.microsoft.com/office/drawing/2014/main" id="{00000000-0008-0000-7100-00000498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603250</xdr:colOff>
          <xdr:row>2</xdr:row>
          <xdr:rowOff>38100</xdr:rowOff>
        </xdr:from>
        <xdr:to>
          <xdr:col>19</xdr:col>
          <xdr:colOff>44450</xdr:colOff>
          <xdr:row>4</xdr:row>
          <xdr:rowOff>50800</xdr:rowOff>
        </xdr:to>
        <xdr:sp macro="" textlink="">
          <xdr:nvSpPr>
            <xdr:cNvPr id="563205" name="Button 5" hidden="1">
              <a:extLst>
                <a:ext uri="{63B3BB69-23CF-44E3-9099-C40C66FF867C}">
                  <a14:compatExt spid="_x0000_s563205"/>
                </a:ext>
                <a:ext uri="{FF2B5EF4-FFF2-40B4-BE49-F238E27FC236}">
                  <a16:creationId xmlns:a16="http://schemas.microsoft.com/office/drawing/2014/main" id="{00000000-0008-0000-7100-00000598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603250</xdr:colOff>
          <xdr:row>4</xdr:row>
          <xdr:rowOff>76200</xdr:rowOff>
        </xdr:from>
        <xdr:to>
          <xdr:col>19</xdr:col>
          <xdr:colOff>44450</xdr:colOff>
          <xdr:row>6</xdr:row>
          <xdr:rowOff>88900</xdr:rowOff>
        </xdr:to>
        <xdr:sp macro="" textlink="">
          <xdr:nvSpPr>
            <xdr:cNvPr id="563206" name="Button 6" hidden="1">
              <a:extLst>
                <a:ext uri="{63B3BB69-23CF-44E3-9099-C40C66FF867C}">
                  <a14:compatExt spid="_x0000_s563206"/>
                </a:ext>
                <a:ext uri="{FF2B5EF4-FFF2-40B4-BE49-F238E27FC236}">
                  <a16:creationId xmlns:a16="http://schemas.microsoft.com/office/drawing/2014/main" id="{00000000-0008-0000-7100-00000698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a:t>
              </a:r>
            </a:p>
          </xdr:txBody>
        </xdr:sp>
        <xdr:clientData fPrintsWithSheet="0"/>
      </xdr:twoCellAnchor>
    </mc:Choice>
    <mc:Fallback/>
  </mc:AlternateContent>
</xdr:wsDr>
</file>

<file path=xl/drawings/drawing10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44450</xdr:rowOff>
        </xdr:from>
        <xdr:to>
          <xdr:col>19</xdr:col>
          <xdr:colOff>50800</xdr:colOff>
          <xdr:row>2</xdr:row>
          <xdr:rowOff>57150</xdr:rowOff>
        </xdr:to>
        <xdr:sp macro="" textlink="">
          <xdr:nvSpPr>
            <xdr:cNvPr id="564225" name="Button 1" hidden="1">
              <a:extLst>
                <a:ext uri="{63B3BB69-23CF-44E3-9099-C40C66FF867C}">
                  <a14:compatExt spid="_x0000_s564225"/>
                </a:ext>
                <a:ext uri="{FF2B5EF4-FFF2-40B4-BE49-F238E27FC236}">
                  <a16:creationId xmlns:a16="http://schemas.microsoft.com/office/drawing/2014/main" id="{00000000-0008-0000-7200-0000019C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xdr:wsDr>
</file>

<file path=xl/drawings/drawing10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209550</xdr:colOff>
          <xdr:row>0</xdr:row>
          <xdr:rowOff>0</xdr:rowOff>
        </xdr:from>
        <xdr:to>
          <xdr:col>16</xdr:col>
          <xdr:colOff>1479550</xdr:colOff>
          <xdr:row>2</xdr:row>
          <xdr:rowOff>12700</xdr:rowOff>
        </xdr:to>
        <xdr:sp macro="" textlink="">
          <xdr:nvSpPr>
            <xdr:cNvPr id="566286" name="Button 14" hidden="1">
              <a:extLst>
                <a:ext uri="{63B3BB69-23CF-44E3-9099-C40C66FF867C}">
                  <a14:compatExt spid="_x0000_s566286"/>
                </a:ext>
                <a:ext uri="{FF2B5EF4-FFF2-40B4-BE49-F238E27FC236}">
                  <a16:creationId xmlns:a16="http://schemas.microsoft.com/office/drawing/2014/main" id="{00000000-0008-0000-7400-00000EA4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SEC_092000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566296" name="Button 24" hidden="1">
              <a:extLst>
                <a:ext uri="{63B3BB69-23CF-44E3-9099-C40C66FF867C}">
                  <a14:compatExt spid="_x0000_s566296"/>
                </a:ext>
                <a:ext uri="{FF2B5EF4-FFF2-40B4-BE49-F238E27FC236}">
                  <a16:creationId xmlns:a16="http://schemas.microsoft.com/office/drawing/2014/main" id="{00000000-0008-0000-7400-000018A4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566297" name="Button 25" hidden="1">
              <a:extLst>
                <a:ext uri="{63B3BB69-23CF-44E3-9099-C40C66FF867C}">
                  <a14:compatExt spid="_x0000_s566297"/>
                </a:ext>
                <a:ext uri="{FF2B5EF4-FFF2-40B4-BE49-F238E27FC236}">
                  <a16:creationId xmlns:a16="http://schemas.microsoft.com/office/drawing/2014/main" id="{00000000-0008-0000-7400-000019A4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566298" name="Button 26" hidden="1">
              <a:extLst>
                <a:ext uri="{63B3BB69-23CF-44E3-9099-C40C66FF867C}">
                  <a14:compatExt spid="_x0000_s566298"/>
                </a:ext>
                <a:ext uri="{FF2B5EF4-FFF2-40B4-BE49-F238E27FC236}">
                  <a16:creationId xmlns:a16="http://schemas.microsoft.com/office/drawing/2014/main" id="{00000000-0008-0000-7400-00001AA4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566299" name="Button 27" hidden="1">
              <a:extLst>
                <a:ext uri="{63B3BB69-23CF-44E3-9099-C40C66FF867C}">
                  <a14:compatExt spid="_x0000_s566299"/>
                </a:ext>
                <a:ext uri="{FF2B5EF4-FFF2-40B4-BE49-F238E27FC236}">
                  <a16:creationId xmlns:a16="http://schemas.microsoft.com/office/drawing/2014/main" id="{00000000-0008-0000-7400-00001BA4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566300" name="Button 28" hidden="1">
              <a:extLst>
                <a:ext uri="{63B3BB69-23CF-44E3-9099-C40C66FF867C}">
                  <a14:compatExt spid="_x0000_s566300"/>
                </a:ext>
                <a:ext uri="{FF2B5EF4-FFF2-40B4-BE49-F238E27FC236}">
                  <a16:creationId xmlns:a16="http://schemas.microsoft.com/office/drawing/2014/main" id="{00000000-0008-0000-7400-00001CA4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566301" name="Button 29" hidden="1">
              <a:extLst>
                <a:ext uri="{63B3BB69-23CF-44E3-9099-C40C66FF867C}">
                  <a14:compatExt spid="_x0000_s566301"/>
                </a:ext>
                <a:ext uri="{FF2B5EF4-FFF2-40B4-BE49-F238E27FC236}">
                  <a16:creationId xmlns:a16="http://schemas.microsoft.com/office/drawing/2014/main" id="{00000000-0008-0000-7400-00001DA4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566302" name="Button 30" hidden="1">
              <a:extLst>
                <a:ext uri="{63B3BB69-23CF-44E3-9099-C40C66FF867C}">
                  <a14:compatExt spid="_x0000_s566302"/>
                </a:ext>
                <a:ext uri="{FF2B5EF4-FFF2-40B4-BE49-F238E27FC236}">
                  <a16:creationId xmlns:a16="http://schemas.microsoft.com/office/drawing/2014/main" id="{00000000-0008-0000-7400-00001EA4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566303" name="Button 31" hidden="1">
              <a:extLst>
                <a:ext uri="{63B3BB69-23CF-44E3-9099-C40C66FF867C}">
                  <a14:compatExt spid="_x0000_s566303"/>
                </a:ext>
                <a:ext uri="{FF2B5EF4-FFF2-40B4-BE49-F238E27FC236}">
                  <a16:creationId xmlns:a16="http://schemas.microsoft.com/office/drawing/2014/main" id="{00000000-0008-0000-7400-00001FA4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10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203200</xdr:colOff>
          <xdr:row>0</xdr:row>
          <xdr:rowOff>0</xdr:rowOff>
        </xdr:from>
        <xdr:to>
          <xdr:col>16</xdr:col>
          <xdr:colOff>1473200</xdr:colOff>
          <xdr:row>2</xdr:row>
          <xdr:rowOff>12700</xdr:rowOff>
        </xdr:to>
        <xdr:sp macro="" textlink="">
          <xdr:nvSpPr>
            <xdr:cNvPr id="567310" name="Button 14" hidden="1">
              <a:extLst>
                <a:ext uri="{63B3BB69-23CF-44E3-9099-C40C66FF867C}">
                  <a14:compatExt spid="_x0000_s567310"/>
                </a:ext>
                <a:ext uri="{FF2B5EF4-FFF2-40B4-BE49-F238E27FC236}">
                  <a16:creationId xmlns:a16="http://schemas.microsoft.com/office/drawing/2014/main" id="{00000000-0008-0000-7500-00000EA8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SEC_093000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567320" name="Button 24" hidden="1">
              <a:extLst>
                <a:ext uri="{63B3BB69-23CF-44E3-9099-C40C66FF867C}">
                  <a14:compatExt spid="_x0000_s567320"/>
                </a:ext>
                <a:ext uri="{FF2B5EF4-FFF2-40B4-BE49-F238E27FC236}">
                  <a16:creationId xmlns:a16="http://schemas.microsoft.com/office/drawing/2014/main" id="{00000000-0008-0000-7500-000018A8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567321" name="Button 25" hidden="1">
              <a:extLst>
                <a:ext uri="{63B3BB69-23CF-44E3-9099-C40C66FF867C}">
                  <a14:compatExt spid="_x0000_s567321"/>
                </a:ext>
                <a:ext uri="{FF2B5EF4-FFF2-40B4-BE49-F238E27FC236}">
                  <a16:creationId xmlns:a16="http://schemas.microsoft.com/office/drawing/2014/main" id="{00000000-0008-0000-7500-000019A8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567322" name="Button 26" hidden="1">
              <a:extLst>
                <a:ext uri="{63B3BB69-23CF-44E3-9099-C40C66FF867C}">
                  <a14:compatExt spid="_x0000_s567322"/>
                </a:ext>
                <a:ext uri="{FF2B5EF4-FFF2-40B4-BE49-F238E27FC236}">
                  <a16:creationId xmlns:a16="http://schemas.microsoft.com/office/drawing/2014/main" id="{00000000-0008-0000-7500-00001AA8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567323" name="Button 27" hidden="1">
              <a:extLst>
                <a:ext uri="{63B3BB69-23CF-44E3-9099-C40C66FF867C}">
                  <a14:compatExt spid="_x0000_s567323"/>
                </a:ext>
                <a:ext uri="{FF2B5EF4-FFF2-40B4-BE49-F238E27FC236}">
                  <a16:creationId xmlns:a16="http://schemas.microsoft.com/office/drawing/2014/main" id="{00000000-0008-0000-7500-00001BA8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567324" name="Button 28" hidden="1">
              <a:extLst>
                <a:ext uri="{63B3BB69-23CF-44E3-9099-C40C66FF867C}">
                  <a14:compatExt spid="_x0000_s567324"/>
                </a:ext>
                <a:ext uri="{FF2B5EF4-FFF2-40B4-BE49-F238E27FC236}">
                  <a16:creationId xmlns:a16="http://schemas.microsoft.com/office/drawing/2014/main" id="{00000000-0008-0000-7500-00001CA8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567325" name="Button 29" hidden="1">
              <a:extLst>
                <a:ext uri="{63B3BB69-23CF-44E3-9099-C40C66FF867C}">
                  <a14:compatExt spid="_x0000_s567325"/>
                </a:ext>
                <a:ext uri="{FF2B5EF4-FFF2-40B4-BE49-F238E27FC236}">
                  <a16:creationId xmlns:a16="http://schemas.microsoft.com/office/drawing/2014/main" id="{00000000-0008-0000-7500-00001DA8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567326" name="Button 30" hidden="1">
              <a:extLst>
                <a:ext uri="{63B3BB69-23CF-44E3-9099-C40C66FF867C}">
                  <a14:compatExt spid="_x0000_s567326"/>
                </a:ext>
                <a:ext uri="{FF2B5EF4-FFF2-40B4-BE49-F238E27FC236}">
                  <a16:creationId xmlns:a16="http://schemas.microsoft.com/office/drawing/2014/main" id="{00000000-0008-0000-7500-00001EA8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567327" name="Button 31" hidden="1">
              <a:extLst>
                <a:ext uri="{63B3BB69-23CF-44E3-9099-C40C66FF867C}">
                  <a14:compatExt spid="_x0000_s567327"/>
                </a:ext>
                <a:ext uri="{FF2B5EF4-FFF2-40B4-BE49-F238E27FC236}">
                  <a16:creationId xmlns:a16="http://schemas.microsoft.com/office/drawing/2014/main" id="{00000000-0008-0000-7500-00001FA8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10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209550</xdr:colOff>
          <xdr:row>0</xdr:row>
          <xdr:rowOff>0</xdr:rowOff>
        </xdr:from>
        <xdr:to>
          <xdr:col>16</xdr:col>
          <xdr:colOff>1479550</xdr:colOff>
          <xdr:row>2</xdr:row>
          <xdr:rowOff>12700</xdr:rowOff>
        </xdr:to>
        <xdr:sp macro="" textlink="">
          <xdr:nvSpPr>
            <xdr:cNvPr id="568334" name="Button 14" hidden="1">
              <a:extLst>
                <a:ext uri="{63B3BB69-23CF-44E3-9099-C40C66FF867C}">
                  <a14:compatExt spid="_x0000_s568334"/>
                </a:ext>
                <a:ext uri="{FF2B5EF4-FFF2-40B4-BE49-F238E27FC236}">
                  <a16:creationId xmlns:a16="http://schemas.microsoft.com/office/drawing/2014/main" id="{00000000-0008-0000-7600-00000EAC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SEC_095000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568344" name="Button 24" hidden="1">
              <a:extLst>
                <a:ext uri="{63B3BB69-23CF-44E3-9099-C40C66FF867C}">
                  <a14:compatExt spid="_x0000_s568344"/>
                </a:ext>
                <a:ext uri="{FF2B5EF4-FFF2-40B4-BE49-F238E27FC236}">
                  <a16:creationId xmlns:a16="http://schemas.microsoft.com/office/drawing/2014/main" id="{00000000-0008-0000-7600-000018AC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568345" name="Button 25" hidden="1">
              <a:extLst>
                <a:ext uri="{63B3BB69-23CF-44E3-9099-C40C66FF867C}">
                  <a14:compatExt spid="_x0000_s568345"/>
                </a:ext>
                <a:ext uri="{FF2B5EF4-FFF2-40B4-BE49-F238E27FC236}">
                  <a16:creationId xmlns:a16="http://schemas.microsoft.com/office/drawing/2014/main" id="{00000000-0008-0000-7600-000019AC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568346" name="Button 26" hidden="1">
              <a:extLst>
                <a:ext uri="{63B3BB69-23CF-44E3-9099-C40C66FF867C}">
                  <a14:compatExt spid="_x0000_s568346"/>
                </a:ext>
                <a:ext uri="{FF2B5EF4-FFF2-40B4-BE49-F238E27FC236}">
                  <a16:creationId xmlns:a16="http://schemas.microsoft.com/office/drawing/2014/main" id="{00000000-0008-0000-7600-00001AAC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568347" name="Button 27" hidden="1">
              <a:extLst>
                <a:ext uri="{63B3BB69-23CF-44E3-9099-C40C66FF867C}">
                  <a14:compatExt spid="_x0000_s568347"/>
                </a:ext>
                <a:ext uri="{FF2B5EF4-FFF2-40B4-BE49-F238E27FC236}">
                  <a16:creationId xmlns:a16="http://schemas.microsoft.com/office/drawing/2014/main" id="{00000000-0008-0000-7600-00001BAC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568348" name="Button 28" hidden="1">
              <a:extLst>
                <a:ext uri="{63B3BB69-23CF-44E3-9099-C40C66FF867C}">
                  <a14:compatExt spid="_x0000_s568348"/>
                </a:ext>
                <a:ext uri="{FF2B5EF4-FFF2-40B4-BE49-F238E27FC236}">
                  <a16:creationId xmlns:a16="http://schemas.microsoft.com/office/drawing/2014/main" id="{00000000-0008-0000-7600-00001CAC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568349" name="Button 29" hidden="1">
              <a:extLst>
                <a:ext uri="{63B3BB69-23CF-44E3-9099-C40C66FF867C}">
                  <a14:compatExt spid="_x0000_s568349"/>
                </a:ext>
                <a:ext uri="{FF2B5EF4-FFF2-40B4-BE49-F238E27FC236}">
                  <a16:creationId xmlns:a16="http://schemas.microsoft.com/office/drawing/2014/main" id="{00000000-0008-0000-7600-00001DAC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568350" name="Button 30" hidden="1">
              <a:extLst>
                <a:ext uri="{63B3BB69-23CF-44E3-9099-C40C66FF867C}">
                  <a14:compatExt spid="_x0000_s568350"/>
                </a:ext>
                <a:ext uri="{FF2B5EF4-FFF2-40B4-BE49-F238E27FC236}">
                  <a16:creationId xmlns:a16="http://schemas.microsoft.com/office/drawing/2014/main" id="{00000000-0008-0000-7600-00001EAC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568351" name="Button 31" hidden="1">
              <a:extLst>
                <a:ext uri="{63B3BB69-23CF-44E3-9099-C40C66FF867C}">
                  <a14:compatExt spid="_x0000_s568351"/>
                </a:ext>
                <a:ext uri="{FF2B5EF4-FFF2-40B4-BE49-F238E27FC236}">
                  <a16:creationId xmlns:a16="http://schemas.microsoft.com/office/drawing/2014/main" id="{00000000-0008-0000-7600-00001FAC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10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203200</xdr:colOff>
          <xdr:row>0</xdr:row>
          <xdr:rowOff>0</xdr:rowOff>
        </xdr:from>
        <xdr:to>
          <xdr:col>16</xdr:col>
          <xdr:colOff>1473200</xdr:colOff>
          <xdr:row>2</xdr:row>
          <xdr:rowOff>12700</xdr:rowOff>
        </xdr:to>
        <xdr:sp macro="" textlink="">
          <xdr:nvSpPr>
            <xdr:cNvPr id="569358" name="Button 14" hidden="1">
              <a:extLst>
                <a:ext uri="{63B3BB69-23CF-44E3-9099-C40C66FF867C}">
                  <a14:compatExt spid="_x0000_s569358"/>
                </a:ext>
                <a:ext uri="{FF2B5EF4-FFF2-40B4-BE49-F238E27FC236}">
                  <a16:creationId xmlns:a16="http://schemas.microsoft.com/office/drawing/2014/main" id="{00000000-0008-0000-7700-00000EB0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SEC_096000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569368" name="Button 24" hidden="1">
              <a:extLst>
                <a:ext uri="{63B3BB69-23CF-44E3-9099-C40C66FF867C}">
                  <a14:compatExt spid="_x0000_s569368"/>
                </a:ext>
                <a:ext uri="{FF2B5EF4-FFF2-40B4-BE49-F238E27FC236}">
                  <a16:creationId xmlns:a16="http://schemas.microsoft.com/office/drawing/2014/main" id="{00000000-0008-0000-7700-000018B0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569369" name="Button 25" hidden="1">
              <a:extLst>
                <a:ext uri="{63B3BB69-23CF-44E3-9099-C40C66FF867C}">
                  <a14:compatExt spid="_x0000_s569369"/>
                </a:ext>
                <a:ext uri="{FF2B5EF4-FFF2-40B4-BE49-F238E27FC236}">
                  <a16:creationId xmlns:a16="http://schemas.microsoft.com/office/drawing/2014/main" id="{00000000-0008-0000-7700-000019B0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569370" name="Button 26" hidden="1">
              <a:extLst>
                <a:ext uri="{63B3BB69-23CF-44E3-9099-C40C66FF867C}">
                  <a14:compatExt spid="_x0000_s569370"/>
                </a:ext>
                <a:ext uri="{FF2B5EF4-FFF2-40B4-BE49-F238E27FC236}">
                  <a16:creationId xmlns:a16="http://schemas.microsoft.com/office/drawing/2014/main" id="{00000000-0008-0000-7700-00001AB0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569371" name="Button 27" hidden="1">
              <a:extLst>
                <a:ext uri="{63B3BB69-23CF-44E3-9099-C40C66FF867C}">
                  <a14:compatExt spid="_x0000_s569371"/>
                </a:ext>
                <a:ext uri="{FF2B5EF4-FFF2-40B4-BE49-F238E27FC236}">
                  <a16:creationId xmlns:a16="http://schemas.microsoft.com/office/drawing/2014/main" id="{00000000-0008-0000-7700-00001BB0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569372" name="Button 28" hidden="1">
              <a:extLst>
                <a:ext uri="{63B3BB69-23CF-44E3-9099-C40C66FF867C}">
                  <a14:compatExt spid="_x0000_s569372"/>
                </a:ext>
                <a:ext uri="{FF2B5EF4-FFF2-40B4-BE49-F238E27FC236}">
                  <a16:creationId xmlns:a16="http://schemas.microsoft.com/office/drawing/2014/main" id="{00000000-0008-0000-7700-00001CB0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569373" name="Button 29" hidden="1">
              <a:extLst>
                <a:ext uri="{63B3BB69-23CF-44E3-9099-C40C66FF867C}">
                  <a14:compatExt spid="_x0000_s569373"/>
                </a:ext>
                <a:ext uri="{FF2B5EF4-FFF2-40B4-BE49-F238E27FC236}">
                  <a16:creationId xmlns:a16="http://schemas.microsoft.com/office/drawing/2014/main" id="{00000000-0008-0000-7700-00001DB0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569374" name="Button 30" hidden="1">
              <a:extLst>
                <a:ext uri="{63B3BB69-23CF-44E3-9099-C40C66FF867C}">
                  <a14:compatExt spid="_x0000_s569374"/>
                </a:ext>
                <a:ext uri="{FF2B5EF4-FFF2-40B4-BE49-F238E27FC236}">
                  <a16:creationId xmlns:a16="http://schemas.microsoft.com/office/drawing/2014/main" id="{00000000-0008-0000-7700-00001EB0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569375" name="Button 31" hidden="1">
              <a:extLst>
                <a:ext uri="{63B3BB69-23CF-44E3-9099-C40C66FF867C}">
                  <a14:compatExt spid="_x0000_s569375"/>
                </a:ext>
                <a:ext uri="{FF2B5EF4-FFF2-40B4-BE49-F238E27FC236}">
                  <a16:creationId xmlns:a16="http://schemas.microsoft.com/office/drawing/2014/main" id="{00000000-0008-0000-7700-00001FB0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10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203200</xdr:colOff>
          <xdr:row>0</xdr:row>
          <xdr:rowOff>0</xdr:rowOff>
        </xdr:from>
        <xdr:to>
          <xdr:col>16</xdr:col>
          <xdr:colOff>1473200</xdr:colOff>
          <xdr:row>2</xdr:row>
          <xdr:rowOff>12700</xdr:rowOff>
        </xdr:to>
        <xdr:sp macro="" textlink="">
          <xdr:nvSpPr>
            <xdr:cNvPr id="570382" name="Button 14" hidden="1">
              <a:extLst>
                <a:ext uri="{63B3BB69-23CF-44E3-9099-C40C66FF867C}">
                  <a14:compatExt spid="_x0000_s570382"/>
                </a:ext>
                <a:ext uri="{FF2B5EF4-FFF2-40B4-BE49-F238E27FC236}">
                  <a16:creationId xmlns:a16="http://schemas.microsoft.com/office/drawing/2014/main" id="{00000000-0008-0000-7800-00000EB4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SEC_097000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570410" name="Button 42" hidden="1">
              <a:extLst>
                <a:ext uri="{63B3BB69-23CF-44E3-9099-C40C66FF867C}">
                  <a14:compatExt spid="_x0000_s570410"/>
                </a:ext>
                <a:ext uri="{FF2B5EF4-FFF2-40B4-BE49-F238E27FC236}">
                  <a16:creationId xmlns:a16="http://schemas.microsoft.com/office/drawing/2014/main" id="{00000000-0008-0000-7800-00002AB4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570411" name="Button 43" hidden="1">
              <a:extLst>
                <a:ext uri="{63B3BB69-23CF-44E3-9099-C40C66FF867C}">
                  <a14:compatExt spid="_x0000_s570411"/>
                </a:ext>
                <a:ext uri="{FF2B5EF4-FFF2-40B4-BE49-F238E27FC236}">
                  <a16:creationId xmlns:a16="http://schemas.microsoft.com/office/drawing/2014/main" id="{00000000-0008-0000-7800-00002BB4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570412" name="Button 44" hidden="1">
              <a:extLst>
                <a:ext uri="{63B3BB69-23CF-44E3-9099-C40C66FF867C}">
                  <a14:compatExt spid="_x0000_s570412"/>
                </a:ext>
                <a:ext uri="{FF2B5EF4-FFF2-40B4-BE49-F238E27FC236}">
                  <a16:creationId xmlns:a16="http://schemas.microsoft.com/office/drawing/2014/main" id="{00000000-0008-0000-7800-00002CB4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570413" name="Button 45" hidden="1">
              <a:extLst>
                <a:ext uri="{63B3BB69-23CF-44E3-9099-C40C66FF867C}">
                  <a14:compatExt spid="_x0000_s570413"/>
                </a:ext>
                <a:ext uri="{FF2B5EF4-FFF2-40B4-BE49-F238E27FC236}">
                  <a16:creationId xmlns:a16="http://schemas.microsoft.com/office/drawing/2014/main" id="{00000000-0008-0000-7800-00002DB4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570414" name="Button 46" hidden="1">
              <a:extLst>
                <a:ext uri="{63B3BB69-23CF-44E3-9099-C40C66FF867C}">
                  <a14:compatExt spid="_x0000_s570414"/>
                </a:ext>
                <a:ext uri="{FF2B5EF4-FFF2-40B4-BE49-F238E27FC236}">
                  <a16:creationId xmlns:a16="http://schemas.microsoft.com/office/drawing/2014/main" id="{00000000-0008-0000-7800-00002EB4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570415" name="Button 47" hidden="1">
              <a:extLst>
                <a:ext uri="{63B3BB69-23CF-44E3-9099-C40C66FF867C}">
                  <a14:compatExt spid="_x0000_s570415"/>
                </a:ext>
                <a:ext uri="{FF2B5EF4-FFF2-40B4-BE49-F238E27FC236}">
                  <a16:creationId xmlns:a16="http://schemas.microsoft.com/office/drawing/2014/main" id="{00000000-0008-0000-7800-00002FB4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570416" name="Button 48" hidden="1">
              <a:extLst>
                <a:ext uri="{63B3BB69-23CF-44E3-9099-C40C66FF867C}">
                  <a14:compatExt spid="_x0000_s570416"/>
                </a:ext>
                <a:ext uri="{FF2B5EF4-FFF2-40B4-BE49-F238E27FC236}">
                  <a16:creationId xmlns:a16="http://schemas.microsoft.com/office/drawing/2014/main" id="{00000000-0008-0000-7800-000030B4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570417" name="Button 49" hidden="1">
              <a:extLst>
                <a:ext uri="{63B3BB69-23CF-44E3-9099-C40C66FF867C}">
                  <a14:compatExt spid="_x0000_s570417"/>
                </a:ext>
                <a:ext uri="{FF2B5EF4-FFF2-40B4-BE49-F238E27FC236}">
                  <a16:creationId xmlns:a16="http://schemas.microsoft.com/office/drawing/2014/main" id="{00000000-0008-0000-7800-000031B4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10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203200</xdr:colOff>
          <xdr:row>0</xdr:row>
          <xdr:rowOff>19050</xdr:rowOff>
        </xdr:from>
        <xdr:to>
          <xdr:col>16</xdr:col>
          <xdr:colOff>1473200</xdr:colOff>
          <xdr:row>2</xdr:row>
          <xdr:rowOff>31750</xdr:rowOff>
        </xdr:to>
        <xdr:sp macro="" textlink="">
          <xdr:nvSpPr>
            <xdr:cNvPr id="571405" name="Button 13" hidden="1">
              <a:extLst>
                <a:ext uri="{63B3BB69-23CF-44E3-9099-C40C66FF867C}">
                  <a14:compatExt spid="_x0000_s571405"/>
                </a:ext>
                <a:ext uri="{FF2B5EF4-FFF2-40B4-BE49-F238E27FC236}">
                  <a16:creationId xmlns:a16="http://schemas.microsoft.com/office/drawing/2014/main" id="{00000000-0008-0000-7900-00000DB8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SEC_098000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571415" name="Button 23" hidden="1">
              <a:extLst>
                <a:ext uri="{63B3BB69-23CF-44E3-9099-C40C66FF867C}">
                  <a14:compatExt spid="_x0000_s571415"/>
                </a:ext>
                <a:ext uri="{FF2B5EF4-FFF2-40B4-BE49-F238E27FC236}">
                  <a16:creationId xmlns:a16="http://schemas.microsoft.com/office/drawing/2014/main" id="{00000000-0008-0000-7900-000017B8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571416" name="Button 24" hidden="1">
              <a:extLst>
                <a:ext uri="{63B3BB69-23CF-44E3-9099-C40C66FF867C}">
                  <a14:compatExt spid="_x0000_s571416"/>
                </a:ext>
                <a:ext uri="{FF2B5EF4-FFF2-40B4-BE49-F238E27FC236}">
                  <a16:creationId xmlns:a16="http://schemas.microsoft.com/office/drawing/2014/main" id="{00000000-0008-0000-7900-000018B8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571417" name="Button 25" hidden="1">
              <a:extLst>
                <a:ext uri="{63B3BB69-23CF-44E3-9099-C40C66FF867C}">
                  <a14:compatExt spid="_x0000_s571417"/>
                </a:ext>
                <a:ext uri="{FF2B5EF4-FFF2-40B4-BE49-F238E27FC236}">
                  <a16:creationId xmlns:a16="http://schemas.microsoft.com/office/drawing/2014/main" id="{00000000-0008-0000-7900-000019B8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571418" name="Button 26" hidden="1">
              <a:extLst>
                <a:ext uri="{63B3BB69-23CF-44E3-9099-C40C66FF867C}">
                  <a14:compatExt spid="_x0000_s571418"/>
                </a:ext>
                <a:ext uri="{FF2B5EF4-FFF2-40B4-BE49-F238E27FC236}">
                  <a16:creationId xmlns:a16="http://schemas.microsoft.com/office/drawing/2014/main" id="{00000000-0008-0000-7900-00001AB8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571419" name="Button 27" hidden="1">
              <a:extLst>
                <a:ext uri="{63B3BB69-23CF-44E3-9099-C40C66FF867C}">
                  <a14:compatExt spid="_x0000_s571419"/>
                </a:ext>
                <a:ext uri="{FF2B5EF4-FFF2-40B4-BE49-F238E27FC236}">
                  <a16:creationId xmlns:a16="http://schemas.microsoft.com/office/drawing/2014/main" id="{00000000-0008-0000-7900-00001BB8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571420" name="Button 28" hidden="1">
              <a:extLst>
                <a:ext uri="{63B3BB69-23CF-44E3-9099-C40C66FF867C}">
                  <a14:compatExt spid="_x0000_s571420"/>
                </a:ext>
                <a:ext uri="{FF2B5EF4-FFF2-40B4-BE49-F238E27FC236}">
                  <a16:creationId xmlns:a16="http://schemas.microsoft.com/office/drawing/2014/main" id="{00000000-0008-0000-7900-00001CB8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571421" name="Button 29" hidden="1">
              <a:extLst>
                <a:ext uri="{63B3BB69-23CF-44E3-9099-C40C66FF867C}">
                  <a14:compatExt spid="_x0000_s571421"/>
                </a:ext>
                <a:ext uri="{FF2B5EF4-FFF2-40B4-BE49-F238E27FC236}">
                  <a16:creationId xmlns:a16="http://schemas.microsoft.com/office/drawing/2014/main" id="{00000000-0008-0000-7900-00001DB8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571422" name="Button 30" hidden="1">
              <a:extLst>
                <a:ext uri="{63B3BB69-23CF-44E3-9099-C40C66FF867C}">
                  <a14:compatExt spid="_x0000_s571422"/>
                </a:ext>
                <a:ext uri="{FF2B5EF4-FFF2-40B4-BE49-F238E27FC236}">
                  <a16:creationId xmlns:a16="http://schemas.microsoft.com/office/drawing/2014/main" id="{00000000-0008-0000-7900-00001EB8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10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222250</xdr:colOff>
          <xdr:row>0</xdr:row>
          <xdr:rowOff>6350</xdr:rowOff>
        </xdr:from>
        <xdr:to>
          <xdr:col>17</xdr:col>
          <xdr:colOff>0</xdr:colOff>
          <xdr:row>2</xdr:row>
          <xdr:rowOff>19050</xdr:rowOff>
        </xdr:to>
        <xdr:sp macro="" textlink="">
          <xdr:nvSpPr>
            <xdr:cNvPr id="572429" name="Button 13" hidden="1">
              <a:extLst>
                <a:ext uri="{63B3BB69-23CF-44E3-9099-C40C66FF867C}">
                  <a14:compatExt spid="_x0000_s572429"/>
                </a:ext>
                <a:ext uri="{FF2B5EF4-FFF2-40B4-BE49-F238E27FC236}">
                  <a16:creationId xmlns:a16="http://schemas.microsoft.com/office/drawing/2014/main" id="{00000000-0008-0000-7A00-00000DBC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SEC_099000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572439" name="Button 23" hidden="1">
              <a:extLst>
                <a:ext uri="{63B3BB69-23CF-44E3-9099-C40C66FF867C}">
                  <a14:compatExt spid="_x0000_s572439"/>
                </a:ext>
                <a:ext uri="{FF2B5EF4-FFF2-40B4-BE49-F238E27FC236}">
                  <a16:creationId xmlns:a16="http://schemas.microsoft.com/office/drawing/2014/main" id="{00000000-0008-0000-7A00-000017BC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572440" name="Button 24" hidden="1">
              <a:extLst>
                <a:ext uri="{63B3BB69-23CF-44E3-9099-C40C66FF867C}">
                  <a14:compatExt spid="_x0000_s572440"/>
                </a:ext>
                <a:ext uri="{FF2B5EF4-FFF2-40B4-BE49-F238E27FC236}">
                  <a16:creationId xmlns:a16="http://schemas.microsoft.com/office/drawing/2014/main" id="{00000000-0008-0000-7A00-000018BC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572441" name="Button 25" hidden="1">
              <a:extLst>
                <a:ext uri="{63B3BB69-23CF-44E3-9099-C40C66FF867C}">
                  <a14:compatExt spid="_x0000_s572441"/>
                </a:ext>
                <a:ext uri="{FF2B5EF4-FFF2-40B4-BE49-F238E27FC236}">
                  <a16:creationId xmlns:a16="http://schemas.microsoft.com/office/drawing/2014/main" id="{00000000-0008-0000-7A00-000019BC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572442" name="Button 26" hidden="1">
              <a:extLst>
                <a:ext uri="{63B3BB69-23CF-44E3-9099-C40C66FF867C}">
                  <a14:compatExt spid="_x0000_s572442"/>
                </a:ext>
                <a:ext uri="{FF2B5EF4-FFF2-40B4-BE49-F238E27FC236}">
                  <a16:creationId xmlns:a16="http://schemas.microsoft.com/office/drawing/2014/main" id="{00000000-0008-0000-7A00-00001ABC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572443" name="Button 27" hidden="1">
              <a:extLst>
                <a:ext uri="{63B3BB69-23CF-44E3-9099-C40C66FF867C}">
                  <a14:compatExt spid="_x0000_s572443"/>
                </a:ext>
                <a:ext uri="{FF2B5EF4-FFF2-40B4-BE49-F238E27FC236}">
                  <a16:creationId xmlns:a16="http://schemas.microsoft.com/office/drawing/2014/main" id="{00000000-0008-0000-7A00-00001BBC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572444" name="Button 28" hidden="1">
              <a:extLst>
                <a:ext uri="{63B3BB69-23CF-44E3-9099-C40C66FF867C}">
                  <a14:compatExt spid="_x0000_s572444"/>
                </a:ext>
                <a:ext uri="{FF2B5EF4-FFF2-40B4-BE49-F238E27FC236}">
                  <a16:creationId xmlns:a16="http://schemas.microsoft.com/office/drawing/2014/main" id="{00000000-0008-0000-7A00-00001CBC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572445" name="Button 29" hidden="1">
              <a:extLst>
                <a:ext uri="{63B3BB69-23CF-44E3-9099-C40C66FF867C}">
                  <a14:compatExt spid="_x0000_s572445"/>
                </a:ext>
                <a:ext uri="{FF2B5EF4-FFF2-40B4-BE49-F238E27FC236}">
                  <a16:creationId xmlns:a16="http://schemas.microsoft.com/office/drawing/2014/main" id="{00000000-0008-0000-7A00-00001DBC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572446" name="Button 30" hidden="1">
              <a:extLst>
                <a:ext uri="{63B3BB69-23CF-44E3-9099-C40C66FF867C}">
                  <a14:compatExt spid="_x0000_s572446"/>
                </a:ext>
                <a:ext uri="{FF2B5EF4-FFF2-40B4-BE49-F238E27FC236}">
                  <a16:creationId xmlns:a16="http://schemas.microsoft.com/office/drawing/2014/main" id="{00000000-0008-0000-7A00-00001EBC0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1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602129" name="Button 17" hidden="1">
              <a:extLst>
                <a:ext uri="{63B3BB69-23CF-44E3-9099-C40C66FF867C}">
                  <a14:compatExt spid="_x0000_s602129"/>
                </a:ext>
                <a:ext uri="{FF2B5EF4-FFF2-40B4-BE49-F238E27FC236}">
                  <a16:creationId xmlns:a16="http://schemas.microsoft.com/office/drawing/2014/main" id="{00000000-0008-0000-7B00-0000113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602130" name="Button 18" hidden="1">
              <a:extLst>
                <a:ext uri="{63B3BB69-23CF-44E3-9099-C40C66FF867C}">
                  <a14:compatExt spid="_x0000_s602130"/>
                </a:ext>
                <a:ext uri="{FF2B5EF4-FFF2-40B4-BE49-F238E27FC236}">
                  <a16:creationId xmlns:a16="http://schemas.microsoft.com/office/drawing/2014/main" id="{00000000-0008-0000-7B00-0000123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602131" name="Button 19" hidden="1">
              <a:extLst>
                <a:ext uri="{63B3BB69-23CF-44E3-9099-C40C66FF867C}">
                  <a14:compatExt spid="_x0000_s602131"/>
                </a:ext>
                <a:ext uri="{FF2B5EF4-FFF2-40B4-BE49-F238E27FC236}">
                  <a16:creationId xmlns:a16="http://schemas.microsoft.com/office/drawing/2014/main" id="{00000000-0008-0000-7B00-0000133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602132" name="Button 20" hidden="1">
              <a:extLst>
                <a:ext uri="{63B3BB69-23CF-44E3-9099-C40C66FF867C}">
                  <a14:compatExt spid="_x0000_s602132"/>
                </a:ext>
                <a:ext uri="{FF2B5EF4-FFF2-40B4-BE49-F238E27FC236}">
                  <a16:creationId xmlns:a16="http://schemas.microsoft.com/office/drawing/2014/main" id="{00000000-0008-0000-7B00-0000143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602133" name="Button 21" hidden="1">
              <a:extLst>
                <a:ext uri="{63B3BB69-23CF-44E3-9099-C40C66FF867C}">
                  <a14:compatExt spid="_x0000_s602133"/>
                </a:ext>
                <a:ext uri="{FF2B5EF4-FFF2-40B4-BE49-F238E27FC236}">
                  <a16:creationId xmlns:a16="http://schemas.microsoft.com/office/drawing/2014/main" id="{00000000-0008-0000-7B00-0000153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602134" name="Button 22" hidden="1">
              <a:extLst>
                <a:ext uri="{63B3BB69-23CF-44E3-9099-C40C66FF867C}">
                  <a14:compatExt spid="_x0000_s602134"/>
                </a:ext>
                <a:ext uri="{FF2B5EF4-FFF2-40B4-BE49-F238E27FC236}">
                  <a16:creationId xmlns:a16="http://schemas.microsoft.com/office/drawing/2014/main" id="{00000000-0008-0000-7B00-0000163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602135" name="Button 23" hidden="1">
              <a:extLst>
                <a:ext uri="{63B3BB69-23CF-44E3-9099-C40C66FF867C}">
                  <a14:compatExt spid="_x0000_s602135"/>
                </a:ext>
                <a:ext uri="{FF2B5EF4-FFF2-40B4-BE49-F238E27FC236}">
                  <a16:creationId xmlns:a16="http://schemas.microsoft.com/office/drawing/2014/main" id="{00000000-0008-0000-7B00-0000173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602136" name="Button 24" hidden="1">
              <a:extLst>
                <a:ext uri="{63B3BB69-23CF-44E3-9099-C40C66FF867C}">
                  <a14:compatExt spid="_x0000_s602136"/>
                </a:ext>
                <a:ext uri="{FF2B5EF4-FFF2-40B4-BE49-F238E27FC236}">
                  <a16:creationId xmlns:a16="http://schemas.microsoft.com/office/drawing/2014/main" id="{00000000-0008-0000-7B00-0000183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1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2</xdr:row>
          <xdr:rowOff>50800</xdr:rowOff>
        </xdr:from>
        <xdr:to>
          <xdr:col>19</xdr:col>
          <xdr:colOff>44450</xdr:colOff>
          <xdr:row>4</xdr:row>
          <xdr:rowOff>95250</xdr:rowOff>
        </xdr:to>
        <xdr:sp macro="" textlink="">
          <xdr:nvSpPr>
            <xdr:cNvPr id="603137" name="Button 1" hidden="1">
              <a:extLst>
                <a:ext uri="{63B3BB69-23CF-44E3-9099-C40C66FF867C}">
                  <a14:compatExt spid="_x0000_s603137"/>
                </a:ext>
                <a:ext uri="{FF2B5EF4-FFF2-40B4-BE49-F238E27FC236}">
                  <a16:creationId xmlns:a16="http://schemas.microsoft.com/office/drawing/2014/main" id="{00000000-0008-0000-7C00-00000134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5</xdr:row>
          <xdr:rowOff>50800</xdr:rowOff>
        </xdr:from>
        <xdr:to>
          <xdr:col>19</xdr:col>
          <xdr:colOff>44450</xdr:colOff>
          <xdr:row>7</xdr:row>
          <xdr:rowOff>57150</xdr:rowOff>
        </xdr:to>
        <xdr:sp macro="" textlink="">
          <xdr:nvSpPr>
            <xdr:cNvPr id="603138" name="Button 2" hidden="1">
              <a:extLst>
                <a:ext uri="{63B3BB69-23CF-44E3-9099-C40C66FF867C}">
                  <a14:compatExt spid="_x0000_s603138"/>
                </a:ext>
                <a:ext uri="{FF2B5EF4-FFF2-40B4-BE49-F238E27FC236}">
                  <a16:creationId xmlns:a16="http://schemas.microsoft.com/office/drawing/2014/main" id="{00000000-0008-0000-7C00-00000234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7</xdr:row>
          <xdr:rowOff>177800</xdr:rowOff>
        </xdr:from>
        <xdr:to>
          <xdr:col>19</xdr:col>
          <xdr:colOff>44450</xdr:colOff>
          <xdr:row>9</xdr:row>
          <xdr:rowOff>177800</xdr:rowOff>
        </xdr:to>
        <xdr:sp macro="" textlink="">
          <xdr:nvSpPr>
            <xdr:cNvPr id="603139" name="Button 3" hidden="1">
              <a:extLst>
                <a:ext uri="{63B3BB69-23CF-44E3-9099-C40C66FF867C}">
                  <a14:compatExt spid="_x0000_s603139"/>
                </a:ext>
                <a:ext uri="{FF2B5EF4-FFF2-40B4-BE49-F238E27FC236}">
                  <a16:creationId xmlns:a16="http://schemas.microsoft.com/office/drawing/2014/main" id="{00000000-0008-0000-7C00-00000334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44450</xdr:colOff>
          <xdr:row>2</xdr:row>
          <xdr:rowOff>6350</xdr:rowOff>
        </xdr:to>
        <xdr:sp macro="" textlink="">
          <xdr:nvSpPr>
            <xdr:cNvPr id="603140" name="Button 4" hidden="1">
              <a:extLst>
                <a:ext uri="{63B3BB69-23CF-44E3-9099-C40C66FF867C}">
                  <a14:compatExt spid="_x0000_s603140"/>
                </a:ext>
                <a:ext uri="{FF2B5EF4-FFF2-40B4-BE49-F238E27FC236}">
                  <a16:creationId xmlns:a16="http://schemas.microsoft.com/office/drawing/2014/main" id="{00000000-0008-0000-7C00-00000434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Refresh View</a:t>
              </a:r>
            </a:p>
          </xdr:txBody>
        </xdr:sp>
        <xdr:clientData fPrintsWithSheet="0"/>
      </xdr:twoCellAnchor>
    </mc:Choice>
    <mc:Fallback/>
  </mc:AlternateContent>
</xdr:wsDr>
</file>

<file path=xl/drawings/drawing1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603250</xdr:colOff>
          <xdr:row>0</xdr:row>
          <xdr:rowOff>0</xdr:rowOff>
        </xdr:from>
        <xdr:to>
          <xdr:col>19</xdr:col>
          <xdr:colOff>44450</xdr:colOff>
          <xdr:row>2</xdr:row>
          <xdr:rowOff>12700</xdr:rowOff>
        </xdr:to>
        <xdr:sp macro="" textlink="">
          <xdr:nvSpPr>
            <xdr:cNvPr id="604164" name="Button 4" hidden="1">
              <a:extLst>
                <a:ext uri="{63B3BB69-23CF-44E3-9099-C40C66FF867C}">
                  <a14:compatExt spid="_x0000_s604164"/>
                </a:ext>
                <a:ext uri="{FF2B5EF4-FFF2-40B4-BE49-F238E27FC236}">
                  <a16:creationId xmlns:a16="http://schemas.microsoft.com/office/drawing/2014/main" id="{00000000-0008-0000-7D00-00000438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603250</xdr:colOff>
          <xdr:row>2</xdr:row>
          <xdr:rowOff>38100</xdr:rowOff>
        </xdr:from>
        <xdr:to>
          <xdr:col>19</xdr:col>
          <xdr:colOff>44450</xdr:colOff>
          <xdr:row>4</xdr:row>
          <xdr:rowOff>50800</xdr:rowOff>
        </xdr:to>
        <xdr:sp macro="" textlink="">
          <xdr:nvSpPr>
            <xdr:cNvPr id="604165" name="Button 5" hidden="1">
              <a:extLst>
                <a:ext uri="{63B3BB69-23CF-44E3-9099-C40C66FF867C}">
                  <a14:compatExt spid="_x0000_s604165"/>
                </a:ext>
                <a:ext uri="{FF2B5EF4-FFF2-40B4-BE49-F238E27FC236}">
                  <a16:creationId xmlns:a16="http://schemas.microsoft.com/office/drawing/2014/main" id="{00000000-0008-0000-7D00-00000538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603250</xdr:colOff>
          <xdr:row>4</xdr:row>
          <xdr:rowOff>76200</xdr:rowOff>
        </xdr:from>
        <xdr:to>
          <xdr:col>19</xdr:col>
          <xdr:colOff>44450</xdr:colOff>
          <xdr:row>6</xdr:row>
          <xdr:rowOff>88900</xdr:rowOff>
        </xdr:to>
        <xdr:sp macro="" textlink="">
          <xdr:nvSpPr>
            <xdr:cNvPr id="604166" name="Button 6" hidden="1">
              <a:extLst>
                <a:ext uri="{63B3BB69-23CF-44E3-9099-C40C66FF867C}">
                  <a14:compatExt spid="_x0000_s604166"/>
                </a:ext>
                <a:ext uri="{FF2B5EF4-FFF2-40B4-BE49-F238E27FC236}">
                  <a16:creationId xmlns:a16="http://schemas.microsoft.com/office/drawing/2014/main" id="{00000000-0008-0000-7D00-00000638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a:t>
              </a:r>
            </a:p>
          </xdr:txBody>
        </xdr:sp>
        <xdr:clientData fPrintsWithSheet="0"/>
      </xdr:twoCellAnchor>
    </mc:Choice>
    <mc:Fallback/>
  </mc:AlternateContent>
</xdr:wsDr>
</file>

<file path=xl/drawings/drawing1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44450</xdr:rowOff>
        </xdr:from>
        <xdr:to>
          <xdr:col>19</xdr:col>
          <xdr:colOff>50800</xdr:colOff>
          <xdr:row>2</xdr:row>
          <xdr:rowOff>57150</xdr:rowOff>
        </xdr:to>
        <xdr:sp macro="" textlink="">
          <xdr:nvSpPr>
            <xdr:cNvPr id="605185" name="Button 1" hidden="1">
              <a:extLst>
                <a:ext uri="{63B3BB69-23CF-44E3-9099-C40C66FF867C}">
                  <a14:compatExt spid="_x0000_s605185"/>
                </a:ext>
                <a:ext uri="{FF2B5EF4-FFF2-40B4-BE49-F238E27FC236}">
                  <a16:creationId xmlns:a16="http://schemas.microsoft.com/office/drawing/2014/main" id="{00000000-0008-0000-7E00-0000013C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xdr:wsDr>
</file>

<file path=xl/drawings/drawing1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203200</xdr:colOff>
          <xdr:row>0</xdr:row>
          <xdr:rowOff>6350</xdr:rowOff>
        </xdr:from>
        <xdr:to>
          <xdr:col>16</xdr:col>
          <xdr:colOff>1473200</xdr:colOff>
          <xdr:row>2</xdr:row>
          <xdr:rowOff>19050</xdr:rowOff>
        </xdr:to>
        <xdr:sp macro="" textlink="">
          <xdr:nvSpPr>
            <xdr:cNvPr id="606215" name="Button 7" hidden="1">
              <a:extLst>
                <a:ext uri="{63B3BB69-23CF-44E3-9099-C40C66FF867C}">
                  <a14:compatExt spid="_x0000_s606215"/>
                </a:ext>
                <a:ext uri="{FF2B5EF4-FFF2-40B4-BE49-F238E27FC236}">
                  <a16:creationId xmlns:a16="http://schemas.microsoft.com/office/drawing/2014/main" id="{00000000-0008-0000-8000-0000074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SEC_101000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606406" name="Button 198" hidden="1">
              <a:extLst>
                <a:ext uri="{63B3BB69-23CF-44E3-9099-C40C66FF867C}">
                  <a14:compatExt spid="_x0000_s606406"/>
                </a:ext>
                <a:ext uri="{FF2B5EF4-FFF2-40B4-BE49-F238E27FC236}">
                  <a16:creationId xmlns:a16="http://schemas.microsoft.com/office/drawing/2014/main" id="{00000000-0008-0000-8000-0000C64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606407" name="Button 199" hidden="1">
              <a:extLst>
                <a:ext uri="{63B3BB69-23CF-44E3-9099-C40C66FF867C}">
                  <a14:compatExt spid="_x0000_s606407"/>
                </a:ext>
                <a:ext uri="{FF2B5EF4-FFF2-40B4-BE49-F238E27FC236}">
                  <a16:creationId xmlns:a16="http://schemas.microsoft.com/office/drawing/2014/main" id="{00000000-0008-0000-8000-0000C74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606408" name="Button 200" hidden="1">
              <a:extLst>
                <a:ext uri="{63B3BB69-23CF-44E3-9099-C40C66FF867C}">
                  <a14:compatExt spid="_x0000_s606408"/>
                </a:ext>
                <a:ext uri="{FF2B5EF4-FFF2-40B4-BE49-F238E27FC236}">
                  <a16:creationId xmlns:a16="http://schemas.microsoft.com/office/drawing/2014/main" id="{00000000-0008-0000-8000-0000C84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606409" name="Button 201" hidden="1">
              <a:extLst>
                <a:ext uri="{63B3BB69-23CF-44E3-9099-C40C66FF867C}">
                  <a14:compatExt spid="_x0000_s606409"/>
                </a:ext>
                <a:ext uri="{FF2B5EF4-FFF2-40B4-BE49-F238E27FC236}">
                  <a16:creationId xmlns:a16="http://schemas.microsoft.com/office/drawing/2014/main" id="{00000000-0008-0000-8000-0000C94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606410" name="Button 202" hidden="1">
              <a:extLst>
                <a:ext uri="{63B3BB69-23CF-44E3-9099-C40C66FF867C}">
                  <a14:compatExt spid="_x0000_s606410"/>
                </a:ext>
                <a:ext uri="{FF2B5EF4-FFF2-40B4-BE49-F238E27FC236}">
                  <a16:creationId xmlns:a16="http://schemas.microsoft.com/office/drawing/2014/main" id="{00000000-0008-0000-8000-0000CA4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606411" name="Button 203" hidden="1">
              <a:extLst>
                <a:ext uri="{63B3BB69-23CF-44E3-9099-C40C66FF867C}">
                  <a14:compatExt spid="_x0000_s606411"/>
                </a:ext>
                <a:ext uri="{FF2B5EF4-FFF2-40B4-BE49-F238E27FC236}">
                  <a16:creationId xmlns:a16="http://schemas.microsoft.com/office/drawing/2014/main" id="{00000000-0008-0000-8000-0000CB4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606412" name="Button 204" hidden="1">
              <a:extLst>
                <a:ext uri="{63B3BB69-23CF-44E3-9099-C40C66FF867C}">
                  <a14:compatExt spid="_x0000_s606412"/>
                </a:ext>
                <a:ext uri="{FF2B5EF4-FFF2-40B4-BE49-F238E27FC236}">
                  <a16:creationId xmlns:a16="http://schemas.microsoft.com/office/drawing/2014/main" id="{00000000-0008-0000-8000-0000CC4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606413" name="Button 205" hidden="1">
              <a:extLst>
                <a:ext uri="{63B3BB69-23CF-44E3-9099-C40C66FF867C}">
                  <a14:compatExt spid="_x0000_s606413"/>
                </a:ext>
                <a:ext uri="{FF2B5EF4-FFF2-40B4-BE49-F238E27FC236}">
                  <a16:creationId xmlns:a16="http://schemas.microsoft.com/office/drawing/2014/main" id="{00000000-0008-0000-8000-0000CD4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1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196850</xdr:colOff>
          <xdr:row>0</xdr:row>
          <xdr:rowOff>0</xdr:rowOff>
        </xdr:from>
        <xdr:to>
          <xdr:col>16</xdr:col>
          <xdr:colOff>1466850</xdr:colOff>
          <xdr:row>2</xdr:row>
          <xdr:rowOff>12700</xdr:rowOff>
        </xdr:to>
        <xdr:sp macro="" textlink="">
          <xdr:nvSpPr>
            <xdr:cNvPr id="608263" name="Button 7" hidden="1">
              <a:extLst>
                <a:ext uri="{63B3BB69-23CF-44E3-9099-C40C66FF867C}">
                  <a14:compatExt spid="_x0000_s608263"/>
                </a:ext>
                <a:ext uri="{FF2B5EF4-FFF2-40B4-BE49-F238E27FC236}">
                  <a16:creationId xmlns:a16="http://schemas.microsoft.com/office/drawing/2014/main" id="{00000000-0008-0000-8100-00000748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SEC_102000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608290" name="Button 34" hidden="1">
              <a:extLst>
                <a:ext uri="{63B3BB69-23CF-44E3-9099-C40C66FF867C}">
                  <a14:compatExt spid="_x0000_s608290"/>
                </a:ext>
                <a:ext uri="{FF2B5EF4-FFF2-40B4-BE49-F238E27FC236}">
                  <a16:creationId xmlns:a16="http://schemas.microsoft.com/office/drawing/2014/main" id="{00000000-0008-0000-8100-00002248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608291" name="Button 35" hidden="1">
              <a:extLst>
                <a:ext uri="{63B3BB69-23CF-44E3-9099-C40C66FF867C}">
                  <a14:compatExt spid="_x0000_s608291"/>
                </a:ext>
                <a:ext uri="{FF2B5EF4-FFF2-40B4-BE49-F238E27FC236}">
                  <a16:creationId xmlns:a16="http://schemas.microsoft.com/office/drawing/2014/main" id="{00000000-0008-0000-8100-00002348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608292" name="Button 36" hidden="1">
              <a:extLst>
                <a:ext uri="{63B3BB69-23CF-44E3-9099-C40C66FF867C}">
                  <a14:compatExt spid="_x0000_s608292"/>
                </a:ext>
                <a:ext uri="{FF2B5EF4-FFF2-40B4-BE49-F238E27FC236}">
                  <a16:creationId xmlns:a16="http://schemas.microsoft.com/office/drawing/2014/main" id="{00000000-0008-0000-8100-00002448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608293" name="Button 37" hidden="1">
              <a:extLst>
                <a:ext uri="{63B3BB69-23CF-44E3-9099-C40C66FF867C}">
                  <a14:compatExt spid="_x0000_s608293"/>
                </a:ext>
                <a:ext uri="{FF2B5EF4-FFF2-40B4-BE49-F238E27FC236}">
                  <a16:creationId xmlns:a16="http://schemas.microsoft.com/office/drawing/2014/main" id="{00000000-0008-0000-8100-00002548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608294" name="Button 38" hidden="1">
              <a:extLst>
                <a:ext uri="{63B3BB69-23CF-44E3-9099-C40C66FF867C}">
                  <a14:compatExt spid="_x0000_s608294"/>
                </a:ext>
                <a:ext uri="{FF2B5EF4-FFF2-40B4-BE49-F238E27FC236}">
                  <a16:creationId xmlns:a16="http://schemas.microsoft.com/office/drawing/2014/main" id="{00000000-0008-0000-8100-00002648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608295" name="Button 39" hidden="1">
              <a:extLst>
                <a:ext uri="{63B3BB69-23CF-44E3-9099-C40C66FF867C}">
                  <a14:compatExt spid="_x0000_s608295"/>
                </a:ext>
                <a:ext uri="{FF2B5EF4-FFF2-40B4-BE49-F238E27FC236}">
                  <a16:creationId xmlns:a16="http://schemas.microsoft.com/office/drawing/2014/main" id="{00000000-0008-0000-8100-00002748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608296" name="Button 40" hidden="1">
              <a:extLst>
                <a:ext uri="{63B3BB69-23CF-44E3-9099-C40C66FF867C}">
                  <a14:compatExt spid="_x0000_s608296"/>
                </a:ext>
                <a:ext uri="{FF2B5EF4-FFF2-40B4-BE49-F238E27FC236}">
                  <a16:creationId xmlns:a16="http://schemas.microsoft.com/office/drawing/2014/main" id="{00000000-0008-0000-8100-00002848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608297" name="Button 41" hidden="1">
              <a:extLst>
                <a:ext uri="{63B3BB69-23CF-44E3-9099-C40C66FF867C}">
                  <a14:compatExt spid="_x0000_s608297"/>
                </a:ext>
                <a:ext uri="{FF2B5EF4-FFF2-40B4-BE49-F238E27FC236}">
                  <a16:creationId xmlns:a16="http://schemas.microsoft.com/office/drawing/2014/main" id="{00000000-0008-0000-8100-00002948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1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203200</xdr:colOff>
          <xdr:row>0</xdr:row>
          <xdr:rowOff>6350</xdr:rowOff>
        </xdr:from>
        <xdr:to>
          <xdr:col>16</xdr:col>
          <xdr:colOff>1473200</xdr:colOff>
          <xdr:row>2</xdr:row>
          <xdr:rowOff>19050</xdr:rowOff>
        </xdr:to>
        <xdr:sp macro="" textlink="">
          <xdr:nvSpPr>
            <xdr:cNvPr id="609289" name="Button 9" hidden="1">
              <a:extLst>
                <a:ext uri="{63B3BB69-23CF-44E3-9099-C40C66FF867C}">
                  <a14:compatExt spid="_x0000_s609289"/>
                </a:ext>
                <a:ext uri="{FF2B5EF4-FFF2-40B4-BE49-F238E27FC236}">
                  <a16:creationId xmlns:a16="http://schemas.microsoft.com/office/drawing/2014/main" id="{00000000-0008-0000-8200-0000094C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SEC_103000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609299" name="Button 19" hidden="1">
              <a:extLst>
                <a:ext uri="{63B3BB69-23CF-44E3-9099-C40C66FF867C}">
                  <a14:compatExt spid="_x0000_s609299"/>
                </a:ext>
                <a:ext uri="{FF2B5EF4-FFF2-40B4-BE49-F238E27FC236}">
                  <a16:creationId xmlns:a16="http://schemas.microsoft.com/office/drawing/2014/main" id="{00000000-0008-0000-8200-0000134C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609300" name="Button 20" hidden="1">
              <a:extLst>
                <a:ext uri="{63B3BB69-23CF-44E3-9099-C40C66FF867C}">
                  <a14:compatExt spid="_x0000_s609300"/>
                </a:ext>
                <a:ext uri="{FF2B5EF4-FFF2-40B4-BE49-F238E27FC236}">
                  <a16:creationId xmlns:a16="http://schemas.microsoft.com/office/drawing/2014/main" id="{00000000-0008-0000-8200-0000144C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609301" name="Button 21" hidden="1">
              <a:extLst>
                <a:ext uri="{63B3BB69-23CF-44E3-9099-C40C66FF867C}">
                  <a14:compatExt spid="_x0000_s609301"/>
                </a:ext>
                <a:ext uri="{FF2B5EF4-FFF2-40B4-BE49-F238E27FC236}">
                  <a16:creationId xmlns:a16="http://schemas.microsoft.com/office/drawing/2014/main" id="{00000000-0008-0000-8200-0000154C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609302" name="Button 22" hidden="1">
              <a:extLst>
                <a:ext uri="{63B3BB69-23CF-44E3-9099-C40C66FF867C}">
                  <a14:compatExt spid="_x0000_s609302"/>
                </a:ext>
                <a:ext uri="{FF2B5EF4-FFF2-40B4-BE49-F238E27FC236}">
                  <a16:creationId xmlns:a16="http://schemas.microsoft.com/office/drawing/2014/main" id="{00000000-0008-0000-8200-0000164C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609303" name="Button 23" hidden="1">
              <a:extLst>
                <a:ext uri="{63B3BB69-23CF-44E3-9099-C40C66FF867C}">
                  <a14:compatExt spid="_x0000_s609303"/>
                </a:ext>
                <a:ext uri="{FF2B5EF4-FFF2-40B4-BE49-F238E27FC236}">
                  <a16:creationId xmlns:a16="http://schemas.microsoft.com/office/drawing/2014/main" id="{00000000-0008-0000-8200-0000174C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609304" name="Button 24" hidden="1">
              <a:extLst>
                <a:ext uri="{63B3BB69-23CF-44E3-9099-C40C66FF867C}">
                  <a14:compatExt spid="_x0000_s609304"/>
                </a:ext>
                <a:ext uri="{FF2B5EF4-FFF2-40B4-BE49-F238E27FC236}">
                  <a16:creationId xmlns:a16="http://schemas.microsoft.com/office/drawing/2014/main" id="{00000000-0008-0000-8200-0000184C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609305" name="Button 25" hidden="1">
              <a:extLst>
                <a:ext uri="{63B3BB69-23CF-44E3-9099-C40C66FF867C}">
                  <a14:compatExt spid="_x0000_s609305"/>
                </a:ext>
                <a:ext uri="{FF2B5EF4-FFF2-40B4-BE49-F238E27FC236}">
                  <a16:creationId xmlns:a16="http://schemas.microsoft.com/office/drawing/2014/main" id="{00000000-0008-0000-8200-0000194C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609306" name="Button 26" hidden="1">
              <a:extLst>
                <a:ext uri="{63B3BB69-23CF-44E3-9099-C40C66FF867C}">
                  <a14:compatExt spid="_x0000_s609306"/>
                </a:ext>
                <a:ext uri="{FF2B5EF4-FFF2-40B4-BE49-F238E27FC236}">
                  <a16:creationId xmlns:a16="http://schemas.microsoft.com/office/drawing/2014/main" id="{00000000-0008-0000-8200-00001A4C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1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0</xdr:colOff>
          <xdr:row>0</xdr:row>
          <xdr:rowOff>0</xdr:rowOff>
        </xdr:from>
        <xdr:to>
          <xdr:col>16</xdr:col>
          <xdr:colOff>1270000</xdr:colOff>
          <xdr:row>2</xdr:row>
          <xdr:rowOff>12700</xdr:rowOff>
        </xdr:to>
        <xdr:sp macro="" textlink="">
          <xdr:nvSpPr>
            <xdr:cNvPr id="610314" name="Button 10" hidden="1">
              <a:extLst>
                <a:ext uri="{63B3BB69-23CF-44E3-9099-C40C66FF867C}">
                  <a14:compatExt spid="_x0000_s610314"/>
                </a:ext>
                <a:ext uri="{FF2B5EF4-FFF2-40B4-BE49-F238E27FC236}">
                  <a16:creationId xmlns:a16="http://schemas.microsoft.com/office/drawing/2014/main" id="{00000000-0008-0000-8300-00000A5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SEC_104000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610324" name="Button 20" hidden="1">
              <a:extLst>
                <a:ext uri="{63B3BB69-23CF-44E3-9099-C40C66FF867C}">
                  <a14:compatExt spid="_x0000_s610324"/>
                </a:ext>
                <a:ext uri="{FF2B5EF4-FFF2-40B4-BE49-F238E27FC236}">
                  <a16:creationId xmlns:a16="http://schemas.microsoft.com/office/drawing/2014/main" id="{00000000-0008-0000-8300-0000145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610325" name="Button 21" hidden="1">
              <a:extLst>
                <a:ext uri="{63B3BB69-23CF-44E3-9099-C40C66FF867C}">
                  <a14:compatExt spid="_x0000_s610325"/>
                </a:ext>
                <a:ext uri="{FF2B5EF4-FFF2-40B4-BE49-F238E27FC236}">
                  <a16:creationId xmlns:a16="http://schemas.microsoft.com/office/drawing/2014/main" id="{00000000-0008-0000-8300-0000155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610326" name="Button 22" hidden="1">
              <a:extLst>
                <a:ext uri="{63B3BB69-23CF-44E3-9099-C40C66FF867C}">
                  <a14:compatExt spid="_x0000_s610326"/>
                </a:ext>
                <a:ext uri="{FF2B5EF4-FFF2-40B4-BE49-F238E27FC236}">
                  <a16:creationId xmlns:a16="http://schemas.microsoft.com/office/drawing/2014/main" id="{00000000-0008-0000-8300-0000165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610327" name="Button 23" hidden="1">
              <a:extLst>
                <a:ext uri="{63B3BB69-23CF-44E3-9099-C40C66FF867C}">
                  <a14:compatExt spid="_x0000_s610327"/>
                </a:ext>
                <a:ext uri="{FF2B5EF4-FFF2-40B4-BE49-F238E27FC236}">
                  <a16:creationId xmlns:a16="http://schemas.microsoft.com/office/drawing/2014/main" id="{00000000-0008-0000-8300-0000175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610328" name="Button 24" hidden="1">
              <a:extLst>
                <a:ext uri="{63B3BB69-23CF-44E3-9099-C40C66FF867C}">
                  <a14:compatExt spid="_x0000_s610328"/>
                </a:ext>
                <a:ext uri="{FF2B5EF4-FFF2-40B4-BE49-F238E27FC236}">
                  <a16:creationId xmlns:a16="http://schemas.microsoft.com/office/drawing/2014/main" id="{00000000-0008-0000-8300-0000185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610329" name="Button 25" hidden="1">
              <a:extLst>
                <a:ext uri="{63B3BB69-23CF-44E3-9099-C40C66FF867C}">
                  <a14:compatExt spid="_x0000_s610329"/>
                </a:ext>
                <a:ext uri="{FF2B5EF4-FFF2-40B4-BE49-F238E27FC236}">
                  <a16:creationId xmlns:a16="http://schemas.microsoft.com/office/drawing/2014/main" id="{00000000-0008-0000-8300-0000195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610330" name="Button 26" hidden="1">
              <a:extLst>
                <a:ext uri="{63B3BB69-23CF-44E3-9099-C40C66FF867C}">
                  <a14:compatExt spid="_x0000_s610330"/>
                </a:ext>
                <a:ext uri="{FF2B5EF4-FFF2-40B4-BE49-F238E27FC236}">
                  <a16:creationId xmlns:a16="http://schemas.microsoft.com/office/drawing/2014/main" id="{00000000-0008-0000-8300-00001A5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610331" name="Button 27" hidden="1">
              <a:extLst>
                <a:ext uri="{63B3BB69-23CF-44E3-9099-C40C66FF867C}">
                  <a14:compatExt spid="_x0000_s610331"/>
                </a:ext>
                <a:ext uri="{FF2B5EF4-FFF2-40B4-BE49-F238E27FC236}">
                  <a16:creationId xmlns:a16="http://schemas.microsoft.com/office/drawing/2014/main" id="{00000000-0008-0000-8300-00001B5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1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0</xdr:colOff>
          <xdr:row>0</xdr:row>
          <xdr:rowOff>0</xdr:rowOff>
        </xdr:from>
        <xdr:to>
          <xdr:col>16</xdr:col>
          <xdr:colOff>1270000</xdr:colOff>
          <xdr:row>2</xdr:row>
          <xdr:rowOff>12700</xdr:rowOff>
        </xdr:to>
        <xdr:sp macro="" textlink="">
          <xdr:nvSpPr>
            <xdr:cNvPr id="611338" name="Button 10" hidden="1">
              <a:extLst>
                <a:ext uri="{63B3BB69-23CF-44E3-9099-C40C66FF867C}">
                  <a14:compatExt spid="_x0000_s611338"/>
                </a:ext>
                <a:ext uri="{FF2B5EF4-FFF2-40B4-BE49-F238E27FC236}">
                  <a16:creationId xmlns:a16="http://schemas.microsoft.com/office/drawing/2014/main" id="{00000000-0008-0000-8400-00000A54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SEC_105000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50800</xdr:rowOff>
        </xdr:from>
        <xdr:to>
          <xdr:col>19</xdr:col>
          <xdr:colOff>50800</xdr:colOff>
          <xdr:row>2</xdr:row>
          <xdr:rowOff>63500</xdr:rowOff>
        </xdr:to>
        <xdr:sp macro="" textlink="">
          <xdr:nvSpPr>
            <xdr:cNvPr id="611411" name="Button 83" hidden="1">
              <a:extLst>
                <a:ext uri="{63B3BB69-23CF-44E3-9099-C40C66FF867C}">
                  <a14:compatExt spid="_x0000_s611411"/>
                </a:ext>
                <a:ext uri="{FF2B5EF4-FFF2-40B4-BE49-F238E27FC236}">
                  <a16:creationId xmlns:a16="http://schemas.microsoft.com/office/drawing/2014/main" id="{00000000-0008-0000-8400-00005354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3</xdr:row>
          <xdr:rowOff>88900</xdr:rowOff>
        </xdr:from>
        <xdr:to>
          <xdr:col>19</xdr:col>
          <xdr:colOff>50800</xdr:colOff>
          <xdr:row>5</xdr:row>
          <xdr:rowOff>88900</xdr:rowOff>
        </xdr:to>
        <xdr:sp macro="" textlink="">
          <xdr:nvSpPr>
            <xdr:cNvPr id="611412" name="Button 84" hidden="1">
              <a:extLst>
                <a:ext uri="{63B3BB69-23CF-44E3-9099-C40C66FF867C}">
                  <a14:compatExt spid="_x0000_s611412"/>
                </a:ext>
                <a:ext uri="{FF2B5EF4-FFF2-40B4-BE49-F238E27FC236}">
                  <a16:creationId xmlns:a16="http://schemas.microsoft.com/office/drawing/2014/main" id="{00000000-0008-0000-8400-00005454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88900</xdr:rowOff>
        </xdr:from>
        <xdr:to>
          <xdr:col>19</xdr:col>
          <xdr:colOff>50800</xdr:colOff>
          <xdr:row>8</xdr:row>
          <xdr:rowOff>95250</xdr:rowOff>
        </xdr:to>
        <xdr:sp macro="" textlink="">
          <xdr:nvSpPr>
            <xdr:cNvPr id="611413" name="Button 85" hidden="1">
              <a:extLst>
                <a:ext uri="{63B3BB69-23CF-44E3-9099-C40C66FF867C}">
                  <a14:compatExt spid="_x0000_s611413"/>
                </a:ext>
                <a:ext uri="{FF2B5EF4-FFF2-40B4-BE49-F238E27FC236}">
                  <a16:creationId xmlns:a16="http://schemas.microsoft.com/office/drawing/2014/main" id="{00000000-0008-0000-8400-00005554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222250</xdr:rowOff>
        </xdr:from>
        <xdr:to>
          <xdr:col>19</xdr:col>
          <xdr:colOff>50800</xdr:colOff>
          <xdr:row>9</xdr:row>
          <xdr:rowOff>82550</xdr:rowOff>
        </xdr:to>
        <xdr:sp macro="" textlink="">
          <xdr:nvSpPr>
            <xdr:cNvPr id="611414" name="Button 86" hidden="1">
              <a:extLst>
                <a:ext uri="{63B3BB69-23CF-44E3-9099-C40C66FF867C}">
                  <a14:compatExt spid="_x0000_s611414"/>
                </a:ext>
                <a:ext uri="{FF2B5EF4-FFF2-40B4-BE49-F238E27FC236}">
                  <a16:creationId xmlns:a16="http://schemas.microsoft.com/office/drawing/2014/main" id="{00000000-0008-0000-8400-00005654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13</xdr:row>
          <xdr:rowOff>63500</xdr:rowOff>
        </xdr:from>
        <xdr:to>
          <xdr:col>19</xdr:col>
          <xdr:colOff>50800</xdr:colOff>
          <xdr:row>15</xdr:row>
          <xdr:rowOff>76200</xdr:rowOff>
        </xdr:to>
        <xdr:sp macro="" textlink="">
          <xdr:nvSpPr>
            <xdr:cNvPr id="611415" name="Button 87" hidden="1">
              <a:extLst>
                <a:ext uri="{63B3BB69-23CF-44E3-9099-C40C66FF867C}">
                  <a14:compatExt spid="_x0000_s611415"/>
                </a:ext>
                <a:ext uri="{FF2B5EF4-FFF2-40B4-BE49-F238E27FC236}">
                  <a16:creationId xmlns:a16="http://schemas.microsoft.com/office/drawing/2014/main" id="{00000000-0008-0000-8400-00005754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16</xdr:row>
          <xdr:rowOff>69850</xdr:rowOff>
        </xdr:from>
        <xdr:to>
          <xdr:col>19</xdr:col>
          <xdr:colOff>50800</xdr:colOff>
          <xdr:row>18</xdr:row>
          <xdr:rowOff>82550</xdr:rowOff>
        </xdr:to>
        <xdr:sp macro="" textlink="">
          <xdr:nvSpPr>
            <xdr:cNvPr id="611416" name="Button 88" hidden="1">
              <a:extLst>
                <a:ext uri="{63B3BB69-23CF-44E3-9099-C40C66FF867C}">
                  <a14:compatExt spid="_x0000_s611416"/>
                </a:ext>
                <a:ext uri="{FF2B5EF4-FFF2-40B4-BE49-F238E27FC236}">
                  <a16:creationId xmlns:a16="http://schemas.microsoft.com/office/drawing/2014/main" id="{00000000-0008-0000-8400-00005854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22</xdr:row>
          <xdr:rowOff>95250</xdr:rowOff>
        </xdr:from>
        <xdr:to>
          <xdr:col>19</xdr:col>
          <xdr:colOff>50800</xdr:colOff>
          <xdr:row>24</xdr:row>
          <xdr:rowOff>107950</xdr:rowOff>
        </xdr:to>
        <xdr:sp macro="" textlink="">
          <xdr:nvSpPr>
            <xdr:cNvPr id="611417" name="Button 89" hidden="1">
              <a:extLst>
                <a:ext uri="{63B3BB69-23CF-44E3-9099-C40C66FF867C}">
                  <a14:compatExt spid="_x0000_s611417"/>
                </a:ext>
                <a:ext uri="{FF2B5EF4-FFF2-40B4-BE49-F238E27FC236}">
                  <a16:creationId xmlns:a16="http://schemas.microsoft.com/office/drawing/2014/main" id="{00000000-0008-0000-8400-00005954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19</xdr:row>
          <xdr:rowOff>88900</xdr:rowOff>
        </xdr:from>
        <xdr:to>
          <xdr:col>19</xdr:col>
          <xdr:colOff>50800</xdr:colOff>
          <xdr:row>21</xdr:row>
          <xdr:rowOff>101600</xdr:rowOff>
        </xdr:to>
        <xdr:sp macro="" textlink="">
          <xdr:nvSpPr>
            <xdr:cNvPr id="611418" name="Button 90" hidden="1">
              <a:extLst>
                <a:ext uri="{63B3BB69-23CF-44E3-9099-C40C66FF867C}">
                  <a14:compatExt spid="_x0000_s611418"/>
                </a:ext>
                <a:ext uri="{FF2B5EF4-FFF2-40B4-BE49-F238E27FC236}">
                  <a16:creationId xmlns:a16="http://schemas.microsoft.com/office/drawing/2014/main" id="{00000000-0008-0000-8400-00005A54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10</xdr:row>
          <xdr:rowOff>44450</xdr:rowOff>
        </xdr:from>
        <xdr:to>
          <xdr:col>19</xdr:col>
          <xdr:colOff>50800</xdr:colOff>
          <xdr:row>12</xdr:row>
          <xdr:rowOff>57150</xdr:rowOff>
        </xdr:to>
        <xdr:sp macro="" textlink="">
          <xdr:nvSpPr>
            <xdr:cNvPr id="611419" name="Button 91" hidden="1">
              <a:extLst>
                <a:ext uri="{63B3BB69-23CF-44E3-9099-C40C66FF867C}">
                  <a14:compatExt spid="_x0000_s611419"/>
                </a:ext>
                <a:ext uri="{FF2B5EF4-FFF2-40B4-BE49-F238E27FC236}">
                  <a16:creationId xmlns:a16="http://schemas.microsoft.com/office/drawing/2014/main" id="{00000000-0008-0000-8400-00005B54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CustomInput</a:t>
              </a:r>
            </a:p>
          </xdr:txBody>
        </xdr:sp>
        <xdr:clientData fPrintsWithSheet="0"/>
      </xdr:twoCellAnchor>
    </mc:Choice>
    <mc:Fallback/>
  </mc:AlternateContent>
</xdr:wsDr>
</file>

<file path=xl/drawings/drawing1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0</xdr:colOff>
          <xdr:row>0</xdr:row>
          <xdr:rowOff>0</xdr:rowOff>
        </xdr:from>
        <xdr:to>
          <xdr:col>16</xdr:col>
          <xdr:colOff>1270000</xdr:colOff>
          <xdr:row>2</xdr:row>
          <xdr:rowOff>12700</xdr:rowOff>
        </xdr:to>
        <xdr:sp macro="" textlink="">
          <xdr:nvSpPr>
            <xdr:cNvPr id="637962" name="Button 10" hidden="1">
              <a:extLst>
                <a:ext uri="{63B3BB69-23CF-44E3-9099-C40C66FF867C}">
                  <a14:compatExt spid="_x0000_s637962"/>
                </a:ext>
                <a:ext uri="{FF2B5EF4-FFF2-40B4-BE49-F238E27FC236}">
                  <a16:creationId xmlns:a16="http://schemas.microsoft.com/office/drawing/2014/main" id="{00000000-0008-0000-8800-00000ABC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SEC_107000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637972" name="Button 20" hidden="1">
              <a:extLst>
                <a:ext uri="{63B3BB69-23CF-44E3-9099-C40C66FF867C}">
                  <a14:compatExt spid="_x0000_s637972"/>
                </a:ext>
                <a:ext uri="{FF2B5EF4-FFF2-40B4-BE49-F238E27FC236}">
                  <a16:creationId xmlns:a16="http://schemas.microsoft.com/office/drawing/2014/main" id="{00000000-0008-0000-8800-000014BC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637973" name="Button 21" hidden="1">
              <a:extLst>
                <a:ext uri="{63B3BB69-23CF-44E3-9099-C40C66FF867C}">
                  <a14:compatExt spid="_x0000_s637973"/>
                </a:ext>
                <a:ext uri="{FF2B5EF4-FFF2-40B4-BE49-F238E27FC236}">
                  <a16:creationId xmlns:a16="http://schemas.microsoft.com/office/drawing/2014/main" id="{00000000-0008-0000-8800-000015BC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637974" name="Button 22" hidden="1">
              <a:extLst>
                <a:ext uri="{63B3BB69-23CF-44E3-9099-C40C66FF867C}">
                  <a14:compatExt spid="_x0000_s637974"/>
                </a:ext>
                <a:ext uri="{FF2B5EF4-FFF2-40B4-BE49-F238E27FC236}">
                  <a16:creationId xmlns:a16="http://schemas.microsoft.com/office/drawing/2014/main" id="{00000000-0008-0000-8800-000016BC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637975" name="Button 23" hidden="1">
              <a:extLst>
                <a:ext uri="{63B3BB69-23CF-44E3-9099-C40C66FF867C}">
                  <a14:compatExt spid="_x0000_s637975"/>
                </a:ext>
                <a:ext uri="{FF2B5EF4-FFF2-40B4-BE49-F238E27FC236}">
                  <a16:creationId xmlns:a16="http://schemas.microsoft.com/office/drawing/2014/main" id="{00000000-0008-0000-8800-000017BC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637976" name="Button 24" hidden="1">
              <a:extLst>
                <a:ext uri="{63B3BB69-23CF-44E3-9099-C40C66FF867C}">
                  <a14:compatExt spid="_x0000_s637976"/>
                </a:ext>
                <a:ext uri="{FF2B5EF4-FFF2-40B4-BE49-F238E27FC236}">
                  <a16:creationId xmlns:a16="http://schemas.microsoft.com/office/drawing/2014/main" id="{00000000-0008-0000-8800-000018BC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637977" name="Button 25" hidden="1">
              <a:extLst>
                <a:ext uri="{63B3BB69-23CF-44E3-9099-C40C66FF867C}">
                  <a14:compatExt spid="_x0000_s637977"/>
                </a:ext>
                <a:ext uri="{FF2B5EF4-FFF2-40B4-BE49-F238E27FC236}">
                  <a16:creationId xmlns:a16="http://schemas.microsoft.com/office/drawing/2014/main" id="{00000000-0008-0000-8800-000019BC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637978" name="Button 26" hidden="1">
              <a:extLst>
                <a:ext uri="{63B3BB69-23CF-44E3-9099-C40C66FF867C}">
                  <a14:compatExt spid="_x0000_s637978"/>
                </a:ext>
                <a:ext uri="{FF2B5EF4-FFF2-40B4-BE49-F238E27FC236}">
                  <a16:creationId xmlns:a16="http://schemas.microsoft.com/office/drawing/2014/main" id="{00000000-0008-0000-8800-00001ABC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637979" name="Button 27" hidden="1">
              <a:extLst>
                <a:ext uri="{63B3BB69-23CF-44E3-9099-C40C66FF867C}">
                  <a14:compatExt spid="_x0000_s637979"/>
                </a:ext>
                <a:ext uri="{FF2B5EF4-FFF2-40B4-BE49-F238E27FC236}">
                  <a16:creationId xmlns:a16="http://schemas.microsoft.com/office/drawing/2014/main" id="{00000000-0008-0000-8800-00001BBC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1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0</xdr:colOff>
          <xdr:row>0</xdr:row>
          <xdr:rowOff>0</xdr:rowOff>
        </xdr:from>
        <xdr:to>
          <xdr:col>16</xdr:col>
          <xdr:colOff>1270000</xdr:colOff>
          <xdr:row>2</xdr:row>
          <xdr:rowOff>12700</xdr:rowOff>
        </xdr:to>
        <xdr:sp macro="" textlink="">
          <xdr:nvSpPr>
            <xdr:cNvPr id="638986" name="Button 10" hidden="1">
              <a:extLst>
                <a:ext uri="{63B3BB69-23CF-44E3-9099-C40C66FF867C}">
                  <a14:compatExt spid="_x0000_s638986"/>
                </a:ext>
                <a:ext uri="{FF2B5EF4-FFF2-40B4-BE49-F238E27FC236}">
                  <a16:creationId xmlns:a16="http://schemas.microsoft.com/office/drawing/2014/main" id="{00000000-0008-0000-8900-00000AC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SEC_108000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638996" name="Button 20" hidden="1">
              <a:extLst>
                <a:ext uri="{63B3BB69-23CF-44E3-9099-C40C66FF867C}">
                  <a14:compatExt spid="_x0000_s638996"/>
                </a:ext>
                <a:ext uri="{FF2B5EF4-FFF2-40B4-BE49-F238E27FC236}">
                  <a16:creationId xmlns:a16="http://schemas.microsoft.com/office/drawing/2014/main" id="{00000000-0008-0000-8900-000014C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638997" name="Button 21" hidden="1">
              <a:extLst>
                <a:ext uri="{63B3BB69-23CF-44E3-9099-C40C66FF867C}">
                  <a14:compatExt spid="_x0000_s638997"/>
                </a:ext>
                <a:ext uri="{FF2B5EF4-FFF2-40B4-BE49-F238E27FC236}">
                  <a16:creationId xmlns:a16="http://schemas.microsoft.com/office/drawing/2014/main" id="{00000000-0008-0000-8900-000015C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638998" name="Button 22" hidden="1">
              <a:extLst>
                <a:ext uri="{63B3BB69-23CF-44E3-9099-C40C66FF867C}">
                  <a14:compatExt spid="_x0000_s638998"/>
                </a:ext>
                <a:ext uri="{FF2B5EF4-FFF2-40B4-BE49-F238E27FC236}">
                  <a16:creationId xmlns:a16="http://schemas.microsoft.com/office/drawing/2014/main" id="{00000000-0008-0000-8900-000016C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638999" name="Button 23" hidden="1">
              <a:extLst>
                <a:ext uri="{63B3BB69-23CF-44E3-9099-C40C66FF867C}">
                  <a14:compatExt spid="_x0000_s638999"/>
                </a:ext>
                <a:ext uri="{FF2B5EF4-FFF2-40B4-BE49-F238E27FC236}">
                  <a16:creationId xmlns:a16="http://schemas.microsoft.com/office/drawing/2014/main" id="{00000000-0008-0000-8900-000017C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639000" name="Button 24" hidden="1">
              <a:extLst>
                <a:ext uri="{63B3BB69-23CF-44E3-9099-C40C66FF867C}">
                  <a14:compatExt spid="_x0000_s639000"/>
                </a:ext>
                <a:ext uri="{FF2B5EF4-FFF2-40B4-BE49-F238E27FC236}">
                  <a16:creationId xmlns:a16="http://schemas.microsoft.com/office/drawing/2014/main" id="{00000000-0008-0000-8900-000018C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639001" name="Button 25" hidden="1">
              <a:extLst>
                <a:ext uri="{63B3BB69-23CF-44E3-9099-C40C66FF867C}">
                  <a14:compatExt spid="_x0000_s639001"/>
                </a:ext>
                <a:ext uri="{FF2B5EF4-FFF2-40B4-BE49-F238E27FC236}">
                  <a16:creationId xmlns:a16="http://schemas.microsoft.com/office/drawing/2014/main" id="{00000000-0008-0000-8900-000019C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639002" name="Button 26" hidden="1">
              <a:extLst>
                <a:ext uri="{63B3BB69-23CF-44E3-9099-C40C66FF867C}">
                  <a14:compatExt spid="_x0000_s639002"/>
                </a:ext>
                <a:ext uri="{FF2B5EF4-FFF2-40B4-BE49-F238E27FC236}">
                  <a16:creationId xmlns:a16="http://schemas.microsoft.com/office/drawing/2014/main" id="{00000000-0008-0000-8900-00001AC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639003" name="Button 27" hidden="1">
              <a:extLst>
                <a:ext uri="{63B3BB69-23CF-44E3-9099-C40C66FF867C}">
                  <a14:compatExt spid="_x0000_s639003"/>
                </a:ext>
                <a:ext uri="{FF2B5EF4-FFF2-40B4-BE49-F238E27FC236}">
                  <a16:creationId xmlns:a16="http://schemas.microsoft.com/office/drawing/2014/main" id="{00000000-0008-0000-8900-00001BC0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1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47521" name="Button 1" hidden="1">
              <a:extLst>
                <a:ext uri="{63B3BB69-23CF-44E3-9099-C40C66FF867C}">
                  <a14:compatExt spid="_x0000_s747521"/>
                </a:ext>
                <a:ext uri="{FF2B5EF4-FFF2-40B4-BE49-F238E27FC236}">
                  <a16:creationId xmlns:a16="http://schemas.microsoft.com/office/drawing/2014/main" id="{334C03DF-2B6F-484D-7C6F-6265195B856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747522" name="Button 2" hidden="1">
              <a:extLst>
                <a:ext uri="{63B3BB69-23CF-44E3-9099-C40C66FF867C}">
                  <a14:compatExt spid="_x0000_s747522"/>
                </a:ext>
                <a:ext uri="{FF2B5EF4-FFF2-40B4-BE49-F238E27FC236}">
                  <a16:creationId xmlns:a16="http://schemas.microsoft.com/office/drawing/2014/main" id="{4486ECE0-2DAD-E9D4-845A-B7E4DBC3490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747523" name="Button 3" hidden="1">
              <a:extLst>
                <a:ext uri="{63B3BB69-23CF-44E3-9099-C40C66FF867C}">
                  <a14:compatExt spid="_x0000_s747523"/>
                </a:ext>
                <a:ext uri="{FF2B5EF4-FFF2-40B4-BE49-F238E27FC236}">
                  <a16:creationId xmlns:a16="http://schemas.microsoft.com/office/drawing/2014/main" id="{9213DA2B-C0D2-F1A5-E0B6-B185DF213C0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747524" name="Button 4" hidden="1">
              <a:extLst>
                <a:ext uri="{63B3BB69-23CF-44E3-9099-C40C66FF867C}">
                  <a14:compatExt spid="_x0000_s747524"/>
                </a:ext>
                <a:ext uri="{FF2B5EF4-FFF2-40B4-BE49-F238E27FC236}">
                  <a16:creationId xmlns:a16="http://schemas.microsoft.com/office/drawing/2014/main" id="{F19754A0-DDBF-9930-2DBB-9E2698BFD38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747525" name="Button 5" hidden="1">
              <a:extLst>
                <a:ext uri="{63B3BB69-23CF-44E3-9099-C40C66FF867C}">
                  <a14:compatExt spid="_x0000_s747525"/>
                </a:ext>
                <a:ext uri="{FF2B5EF4-FFF2-40B4-BE49-F238E27FC236}">
                  <a16:creationId xmlns:a16="http://schemas.microsoft.com/office/drawing/2014/main" id="{A76074A4-79FC-0087-15A7-8B2010EFD0B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747526" name="Button 6" hidden="1">
              <a:extLst>
                <a:ext uri="{63B3BB69-23CF-44E3-9099-C40C66FF867C}">
                  <a14:compatExt spid="_x0000_s747526"/>
                </a:ext>
                <a:ext uri="{FF2B5EF4-FFF2-40B4-BE49-F238E27FC236}">
                  <a16:creationId xmlns:a16="http://schemas.microsoft.com/office/drawing/2014/main" id="{BFD29470-690D-F27C-A664-4A9404E6100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747527" name="Button 7" hidden="1">
              <a:extLst>
                <a:ext uri="{63B3BB69-23CF-44E3-9099-C40C66FF867C}">
                  <a14:compatExt spid="_x0000_s747527"/>
                </a:ext>
                <a:ext uri="{FF2B5EF4-FFF2-40B4-BE49-F238E27FC236}">
                  <a16:creationId xmlns:a16="http://schemas.microsoft.com/office/drawing/2014/main" id="{388B0BB8-0743-B80E-D767-7E60863CB36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747528" name="Button 8" hidden="1">
              <a:extLst>
                <a:ext uri="{63B3BB69-23CF-44E3-9099-C40C66FF867C}">
                  <a14:compatExt spid="_x0000_s747528"/>
                </a:ext>
                <a:ext uri="{FF2B5EF4-FFF2-40B4-BE49-F238E27FC236}">
                  <a16:creationId xmlns:a16="http://schemas.microsoft.com/office/drawing/2014/main" id="{475A9FF1-19FE-C20C-CEEB-07631707695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1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52641" name="Button 1" hidden="1">
              <a:extLst>
                <a:ext uri="{63B3BB69-23CF-44E3-9099-C40C66FF867C}">
                  <a14:compatExt spid="_x0000_s752641"/>
                </a:ext>
                <a:ext uri="{FF2B5EF4-FFF2-40B4-BE49-F238E27FC236}">
                  <a16:creationId xmlns:a16="http://schemas.microsoft.com/office/drawing/2014/main" id="{7DB180B3-6028-48E1-90FB-D6DE9D39158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752642" name="Button 2" hidden="1">
              <a:extLst>
                <a:ext uri="{63B3BB69-23CF-44E3-9099-C40C66FF867C}">
                  <a14:compatExt spid="_x0000_s752642"/>
                </a:ext>
                <a:ext uri="{FF2B5EF4-FFF2-40B4-BE49-F238E27FC236}">
                  <a16:creationId xmlns:a16="http://schemas.microsoft.com/office/drawing/2014/main" id="{CA1ABB08-8488-4BD5-947A-53E748CE358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752643" name="Button 3" hidden="1">
              <a:extLst>
                <a:ext uri="{63B3BB69-23CF-44E3-9099-C40C66FF867C}">
                  <a14:compatExt spid="_x0000_s752643"/>
                </a:ext>
                <a:ext uri="{FF2B5EF4-FFF2-40B4-BE49-F238E27FC236}">
                  <a16:creationId xmlns:a16="http://schemas.microsoft.com/office/drawing/2014/main" id="{98CD6929-D333-4B2A-A218-DBBDE00C5C9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752644" name="Button 4" hidden="1">
              <a:extLst>
                <a:ext uri="{63B3BB69-23CF-44E3-9099-C40C66FF867C}">
                  <a14:compatExt spid="_x0000_s752644"/>
                </a:ext>
                <a:ext uri="{FF2B5EF4-FFF2-40B4-BE49-F238E27FC236}">
                  <a16:creationId xmlns:a16="http://schemas.microsoft.com/office/drawing/2014/main" id="{724FEC1C-0E81-44CC-A2A6-3FC6C936C72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752645" name="Button 5" hidden="1">
              <a:extLst>
                <a:ext uri="{63B3BB69-23CF-44E3-9099-C40C66FF867C}">
                  <a14:compatExt spid="_x0000_s752645"/>
                </a:ext>
                <a:ext uri="{FF2B5EF4-FFF2-40B4-BE49-F238E27FC236}">
                  <a16:creationId xmlns:a16="http://schemas.microsoft.com/office/drawing/2014/main" id="{80718FAD-4D35-4E9E-ACCE-D2F0EC4C7E6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752646" name="Button 6" hidden="1">
              <a:extLst>
                <a:ext uri="{63B3BB69-23CF-44E3-9099-C40C66FF867C}">
                  <a14:compatExt spid="_x0000_s752646"/>
                </a:ext>
                <a:ext uri="{FF2B5EF4-FFF2-40B4-BE49-F238E27FC236}">
                  <a16:creationId xmlns:a16="http://schemas.microsoft.com/office/drawing/2014/main" id="{0707AA6C-E3DB-4332-A04D-52911006FA4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752647" name="Button 7" hidden="1">
              <a:extLst>
                <a:ext uri="{63B3BB69-23CF-44E3-9099-C40C66FF867C}">
                  <a14:compatExt spid="_x0000_s752647"/>
                </a:ext>
                <a:ext uri="{FF2B5EF4-FFF2-40B4-BE49-F238E27FC236}">
                  <a16:creationId xmlns:a16="http://schemas.microsoft.com/office/drawing/2014/main" id="{D9827038-E403-4CE2-B4BA-12D19D019BC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752648" name="Button 8" hidden="1">
              <a:extLst>
                <a:ext uri="{63B3BB69-23CF-44E3-9099-C40C66FF867C}">
                  <a14:compatExt spid="_x0000_s752648"/>
                </a:ext>
                <a:ext uri="{FF2B5EF4-FFF2-40B4-BE49-F238E27FC236}">
                  <a16:creationId xmlns:a16="http://schemas.microsoft.com/office/drawing/2014/main" id="{9B7301D8-F87A-43B9-BC33-A82333DF5CD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0</xdr:row>
          <xdr:rowOff>0</xdr:rowOff>
        </xdr:from>
        <xdr:to>
          <xdr:col>16</xdr:col>
          <xdr:colOff>1270000</xdr:colOff>
          <xdr:row>2</xdr:row>
          <xdr:rowOff>12700</xdr:rowOff>
        </xdr:to>
        <xdr:sp macro="" textlink="">
          <xdr:nvSpPr>
            <xdr:cNvPr id="752649" name="Button 9" hidden="1">
              <a:extLst>
                <a:ext uri="{63B3BB69-23CF-44E3-9099-C40C66FF867C}">
                  <a14:compatExt spid="_x0000_s752649"/>
                </a:ext>
                <a:ext uri="{FF2B5EF4-FFF2-40B4-BE49-F238E27FC236}">
                  <a16:creationId xmlns:a16="http://schemas.microsoft.com/office/drawing/2014/main" id="{10D6CC98-7BE2-F5E9-15E2-09034CBBAF6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SEC_111000</a:t>
              </a:r>
            </a:p>
          </xdr:txBody>
        </xdr:sp>
        <xdr:clientData fPrintsWithSheet="0"/>
      </xdr:twoCellAnchor>
    </mc:Choice>
    <mc:Fallback/>
  </mc:AlternateContent>
</xdr:wsDr>
</file>

<file path=xl/drawings/drawing1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53665" name="Button 1" hidden="1">
              <a:extLst>
                <a:ext uri="{63B3BB69-23CF-44E3-9099-C40C66FF867C}">
                  <a14:compatExt spid="_x0000_s753665"/>
                </a:ext>
                <a:ext uri="{FF2B5EF4-FFF2-40B4-BE49-F238E27FC236}">
                  <a16:creationId xmlns:a16="http://schemas.microsoft.com/office/drawing/2014/main" id="{7D8BD19F-A9E9-4599-85D8-2410EB42220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753666" name="Button 2" hidden="1">
              <a:extLst>
                <a:ext uri="{63B3BB69-23CF-44E3-9099-C40C66FF867C}">
                  <a14:compatExt spid="_x0000_s753666"/>
                </a:ext>
                <a:ext uri="{FF2B5EF4-FFF2-40B4-BE49-F238E27FC236}">
                  <a16:creationId xmlns:a16="http://schemas.microsoft.com/office/drawing/2014/main" id="{F716379C-069E-4DE1-BE40-3BFF918C13C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753667" name="Button 3" hidden="1">
              <a:extLst>
                <a:ext uri="{63B3BB69-23CF-44E3-9099-C40C66FF867C}">
                  <a14:compatExt spid="_x0000_s753667"/>
                </a:ext>
                <a:ext uri="{FF2B5EF4-FFF2-40B4-BE49-F238E27FC236}">
                  <a16:creationId xmlns:a16="http://schemas.microsoft.com/office/drawing/2014/main" id="{CDA536C8-60D4-4439-9D1C-545AD039B84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753668" name="Button 4" hidden="1">
              <a:extLst>
                <a:ext uri="{63B3BB69-23CF-44E3-9099-C40C66FF867C}">
                  <a14:compatExt spid="_x0000_s753668"/>
                </a:ext>
                <a:ext uri="{FF2B5EF4-FFF2-40B4-BE49-F238E27FC236}">
                  <a16:creationId xmlns:a16="http://schemas.microsoft.com/office/drawing/2014/main" id="{7178A75A-70B2-47AD-B129-76D599B6D20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753669" name="Button 5" hidden="1">
              <a:extLst>
                <a:ext uri="{63B3BB69-23CF-44E3-9099-C40C66FF867C}">
                  <a14:compatExt spid="_x0000_s753669"/>
                </a:ext>
                <a:ext uri="{FF2B5EF4-FFF2-40B4-BE49-F238E27FC236}">
                  <a16:creationId xmlns:a16="http://schemas.microsoft.com/office/drawing/2014/main" id="{52840BAC-84EF-43C6-975D-931D0C22A71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753670" name="Button 6" hidden="1">
              <a:extLst>
                <a:ext uri="{63B3BB69-23CF-44E3-9099-C40C66FF867C}">
                  <a14:compatExt spid="_x0000_s753670"/>
                </a:ext>
                <a:ext uri="{FF2B5EF4-FFF2-40B4-BE49-F238E27FC236}">
                  <a16:creationId xmlns:a16="http://schemas.microsoft.com/office/drawing/2014/main" id="{52FEB60A-9250-4FC9-A38E-9A7BEFBAE41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753671" name="Button 7" hidden="1">
              <a:extLst>
                <a:ext uri="{63B3BB69-23CF-44E3-9099-C40C66FF867C}">
                  <a14:compatExt spid="_x0000_s753671"/>
                </a:ext>
                <a:ext uri="{FF2B5EF4-FFF2-40B4-BE49-F238E27FC236}">
                  <a16:creationId xmlns:a16="http://schemas.microsoft.com/office/drawing/2014/main" id="{03447EB7-A42D-49B5-81D6-64C8C57A33A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753672" name="Button 8" hidden="1">
              <a:extLst>
                <a:ext uri="{63B3BB69-23CF-44E3-9099-C40C66FF867C}">
                  <a14:compatExt spid="_x0000_s753672"/>
                </a:ext>
                <a:ext uri="{FF2B5EF4-FFF2-40B4-BE49-F238E27FC236}">
                  <a16:creationId xmlns:a16="http://schemas.microsoft.com/office/drawing/2014/main" id="{5507FEC8-0897-48D6-9C31-83406BEE24D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0</xdr:row>
          <xdr:rowOff>0</xdr:rowOff>
        </xdr:from>
        <xdr:to>
          <xdr:col>16</xdr:col>
          <xdr:colOff>1270000</xdr:colOff>
          <xdr:row>2</xdr:row>
          <xdr:rowOff>12700</xdr:rowOff>
        </xdr:to>
        <xdr:sp macro="" textlink="">
          <xdr:nvSpPr>
            <xdr:cNvPr id="753673" name="Button 9" hidden="1">
              <a:extLst>
                <a:ext uri="{63B3BB69-23CF-44E3-9099-C40C66FF867C}">
                  <a14:compatExt spid="_x0000_s753673"/>
                </a:ext>
                <a:ext uri="{FF2B5EF4-FFF2-40B4-BE49-F238E27FC236}">
                  <a16:creationId xmlns:a16="http://schemas.microsoft.com/office/drawing/2014/main" id="{CD745455-3C29-3F0D-AA25-4DCC41C2194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SEC_112000</a:t>
              </a:r>
            </a:p>
          </xdr:txBody>
        </xdr:sp>
        <xdr:clientData fPrintsWithSheet="0"/>
      </xdr:twoCellAnchor>
    </mc:Choice>
    <mc:Fallback/>
  </mc:AlternateContent>
</xdr:wsDr>
</file>

<file path=xl/drawings/drawing1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54689" name="Button 1" hidden="1">
              <a:extLst>
                <a:ext uri="{63B3BB69-23CF-44E3-9099-C40C66FF867C}">
                  <a14:compatExt spid="_x0000_s754689"/>
                </a:ext>
                <a:ext uri="{FF2B5EF4-FFF2-40B4-BE49-F238E27FC236}">
                  <a16:creationId xmlns:a16="http://schemas.microsoft.com/office/drawing/2014/main" id="{4EC84583-B8D0-4EB1-8225-B2B77A3C7D8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754690" name="Button 2" hidden="1">
              <a:extLst>
                <a:ext uri="{63B3BB69-23CF-44E3-9099-C40C66FF867C}">
                  <a14:compatExt spid="_x0000_s754690"/>
                </a:ext>
                <a:ext uri="{FF2B5EF4-FFF2-40B4-BE49-F238E27FC236}">
                  <a16:creationId xmlns:a16="http://schemas.microsoft.com/office/drawing/2014/main" id="{03C8D27F-40FE-4530-9C74-F924F47EC8AE}"/>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754691" name="Button 3" hidden="1">
              <a:extLst>
                <a:ext uri="{63B3BB69-23CF-44E3-9099-C40C66FF867C}">
                  <a14:compatExt spid="_x0000_s754691"/>
                </a:ext>
                <a:ext uri="{FF2B5EF4-FFF2-40B4-BE49-F238E27FC236}">
                  <a16:creationId xmlns:a16="http://schemas.microsoft.com/office/drawing/2014/main" id="{3D42A213-861E-4838-A95B-4601933B653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754692" name="Button 4" hidden="1">
              <a:extLst>
                <a:ext uri="{63B3BB69-23CF-44E3-9099-C40C66FF867C}">
                  <a14:compatExt spid="_x0000_s754692"/>
                </a:ext>
                <a:ext uri="{FF2B5EF4-FFF2-40B4-BE49-F238E27FC236}">
                  <a16:creationId xmlns:a16="http://schemas.microsoft.com/office/drawing/2014/main" id="{4A703AD0-757C-4128-9262-D4C6E0835B2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754693" name="Button 5" hidden="1">
              <a:extLst>
                <a:ext uri="{63B3BB69-23CF-44E3-9099-C40C66FF867C}">
                  <a14:compatExt spid="_x0000_s754693"/>
                </a:ext>
                <a:ext uri="{FF2B5EF4-FFF2-40B4-BE49-F238E27FC236}">
                  <a16:creationId xmlns:a16="http://schemas.microsoft.com/office/drawing/2014/main" id="{52C1AADC-8EA2-4253-8996-52D2FA72A38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754694" name="Button 6" hidden="1">
              <a:extLst>
                <a:ext uri="{63B3BB69-23CF-44E3-9099-C40C66FF867C}">
                  <a14:compatExt spid="_x0000_s754694"/>
                </a:ext>
                <a:ext uri="{FF2B5EF4-FFF2-40B4-BE49-F238E27FC236}">
                  <a16:creationId xmlns:a16="http://schemas.microsoft.com/office/drawing/2014/main" id="{D3497574-D9B1-4D8F-9637-E223C98A305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754695" name="Button 7" hidden="1">
              <a:extLst>
                <a:ext uri="{63B3BB69-23CF-44E3-9099-C40C66FF867C}">
                  <a14:compatExt spid="_x0000_s754695"/>
                </a:ext>
                <a:ext uri="{FF2B5EF4-FFF2-40B4-BE49-F238E27FC236}">
                  <a16:creationId xmlns:a16="http://schemas.microsoft.com/office/drawing/2014/main" id="{9F46AF74-4CD3-476D-B172-7309061B907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754696" name="Button 8" hidden="1">
              <a:extLst>
                <a:ext uri="{63B3BB69-23CF-44E3-9099-C40C66FF867C}">
                  <a14:compatExt spid="_x0000_s754696"/>
                </a:ext>
                <a:ext uri="{FF2B5EF4-FFF2-40B4-BE49-F238E27FC236}">
                  <a16:creationId xmlns:a16="http://schemas.microsoft.com/office/drawing/2014/main" id="{8EF1EBEB-5818-4AD6-9BF0-30E98AF613B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0</xdr:row>
          <xdr:rowOff>0</xdr:rowOff>
        </xdr:from>
        <xdr:to>
          <xdr:col>16</xdr:col>
          <xdr:colOff>1270000</xdr:colOff>
          <xdr:row>2</xdr:row>
          <xdr:rowOff>12700</xdr:rowOff>
        </xdr:to>
        <xdr:sp macro="" textlink="">
          <xdr:nvSpPr>
            <xdr:cNvPr id="754697" name="Button 9" hidden="1">
              <a:extLst>
                <a:ext uri="{63B3BB69-23CF-44E3-9099-C40C66FF867C}">
                  <a14:compatExt spid="_x0000_s754697"/>
                </a:ext>
                <a:ext uri="{FF2B5EF4-FFF2-40B4-BE49-F238E27FC236}">
                  <a16:creationId xmlns:a16="http://schemas.microsoft.com/office/drawing/2014/main" id="{77963A7E-091A-6DC6-E9B7-B7C74D15868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SEC_113000</a:t>
              </a:r>
            </a:p>
          </xdr:txBody>
        </xdr:sp>
        <xdr:clientData fPrintsWithSheet="0"/>
      </xdr:twoCellAnchor>
    </mc:Choice>
    <mc:Fallback/>
  </mc:AlternateContent>
</xdr:wsDr>
</file>

<file path=xl/drawings/drawing1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55713" name="Button 1" hidden="1">
              <a:extLst>
                <a:ext uri="{63B3BB69-23CF-44E3-9099-C40C66FF867C}">
                  <a14:compatExt spid="_x0000_s755713"/>
                </a:ext>
                <a:ext uri="{FF2B5EF4-FFF2-40B4-BE49-F238E27FC236}">
                  <a16:creationId xmlns:a16="http://schemas.microsoft.com/office/drawing/2014/main" id="{B20F1DDA-4FE1-4BA4-9537-98B6E3FFDC6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755714" name="Button 2" hidden="1">
              <a:extLst>
                <a:ext uri="{63B3BB69-23CF-44E3-9099-C40C66FF867C}">
                  <a14:compatExt spid="_x0000_s755714"/>
                </a:ext>
                <a:ext uri="{FF2B5EF4-FFF2-40B4-BE49-F238E27FC236}">
                  <a16:creationId xmlns:a16="http://schemas.microsoft.com/office/drawing/2014/main" id="{0F5AD01A-2832-42A6-A1BF-B4ECC5987F0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755715" name="Button 3" hidden="1">
              <a:extLst>
                <a:ext uri="{63B3BB69-23CF-44E3-9099-C40C66FF867C}">
                  <a14:compatExt spid="_x0000_s755715"/>
                </a:ext>
                <a:ext uri="{FF2B5EF4-FFF2-40B4-BE49-F238E27FC236}">
                  <a16:creationId xmlns:a16="http://schemas.microsoft.com/office/drawing/2014/main" id="{EFBA7171-C268-48E5-87C5-63109AB09EEE}"/>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755716" name="Button 4" hidden="1">
              <a:extLst>
                <a:ext uri="{63B3BB69-23CF-44E3-9099-C40C66FF867C}">
                  <a14:compatExt spid="_x0000_s755716"/>
                </a:ext>
                <a:ext uri="{FF2B5EF4-FFF2-40B4-BE49-F238E27FC236}">
                  <a16:creationId xmlns:a16="http://schemas.microsoft.com/office/drawing/2014/main" id="{449FEA7E-AF25-4B03-8F45-A89E4B8EA02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755717" name="Button 5" hidden="1">
              <a:extLst>
                <a:ext uri="{63B3BB69-23CF-44E3-9099-C40C66FF867C}">
                  <a14:compatExt spid="_x0000_s755717"/>
                </a:ext>
                <a:ext uri="{FF2B5EF4-FFF2-40B4-BE49-F238E27FC236}">
                  <a16:creationId xmlns:a16="http://schemas.microsoft.com/office/drawing/2014/main" id="{DD14F245-AA25-4752-8236-CA12CA9A69E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755718" name="Button 6" hidden="1">
              <a:extLst>
                <a:ext uri="{63B3BB69-23CF-44E3-9099-C40C66FF867C}">
                  <a14:compatExt spid="_x0000_s755718"/>
                </a:ext>
                <a:ext uri="{FF2B5EF4-FFF2-40B4-BE49-F238E27FC236}">
                  <a16:creationId xmlns:a16="http://schemas.microsoft.com/office/drawing/2014/main" id="{64EFA38A-77ED-45BE-99DD-9F89BD2CC4F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755719" name="Button 7" hidden="1">
              <a:extLst>
                <a:ext uri="{63B3BB69-23CF-44E3-9099-C40C66FF867C}">
                  <a14:compatExt spid="_x0000_s755719"/>
                </a:ext>
                <a:ext uri="{FF2B5EF4-FFF2-40B4-BE49-F238E27FC236}">
                  <a16:creationId xmlns:a16="http://schemas.microsoft.com/office/drawing/2014/main" id="{C2F441F8-3554-4CB4-8F4D-2F6F8C75EB7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755720" name="Button 8" hidden="1">
              <a:extLst>
                <a:ext uri="{63B3BB69-23CF-44E3-9099-C40C66FF867C}">
                  <a14:compatExt spid="_x0000_s755720"/>
                </a:ext>
                <a:ext uri="{FF2B5EF4-FFF2-40B4-BE49-F238E27FC236}">
                  <a16:creationId xmlns:a16="http://schemas.microsoft.com/office/drawing/2014/main" id="{7291DA74-637D-48D4-ADCF-4ED61F3F5F4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0</xdr:row>
          <xdr:rowOff>0</xdr:rowOff>
        </xdr:from>
        <xdr:to>
          <xdr:col>16</xdr:col>
          <xdr:colOff>1270000</xdr:colOff>
          <xdr:row>2</xdr:row>
          <xdr:rowOff>12700</xdr:rowOff>
        </xdr:to>
        <xdr:sp macro="" textlink="">
          <xdr:nvSpPr>
            <xdr:cNvPr id="755721" name="Button 9" hidden="1">
              <a:extLst>
                <a:ext uri="{63B3BB69-23CF-44E3-9099-C40C66FF867C}">
                  <a14:compatExt spid="_x0000_s755721"/>
                </a:ext>
                <a:ext uri="{FF2B5EF4-FFF2-40B4-BE49-F238E27FC236}">
                  <a16:creationId xmlns:a16="http://schemas.microsoft.com/office/drawing/2014/main" id="{DA3F56BE-B04B-022C-DE6A-6B0AB3B6CCF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SEC_114000</a:t>
              </a:r>
            </a:p>
          </xdr:txBody>
        </xdr:sp>
        <xdr:clientData fPrintsWithSheet="0"/>
      </xdr:twoCellAnchor>
    </mc:Choice>
    <mc:Fallback/>
  </mc:AlternateContent>
</xdr:wsDr>
</file>

<file path=xl/drawings/drawing1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56737" name="Button 1" hidden="1">
              <a:extLst>
                <a:ext uri="{63B3BB69-23CF-44E3-9099-C40C66FF867C}">
                  <a14:compatExt spid="_x0000_s756737"/>
                </a:ext>
                <a:ext uri="{FF2B5EF4-FFF2-40B4-BE49-F238E27FC236}">
                  <a16:creationId xmlns:a16="http://schemas.microsoft.com/office/drawing/2014/main" id="{1F8E72BB-07D3-456D-962E-BDAFE12816B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756738" name="Button 2" hidden="1">
              <a:extLst>
                <a:ext uri="{63B3BB69-23CF-44E3-9099-C40C66FF867C}">
                  <a14:compatExt spid="_x0000_s756738"/>
                </a:ext>
                <a:ext uri="{FF2B5EF4-FFF2-40B4-BE49-F238E27FC236}">
                  <a16:creationId xmlns:a16="http://schemas.microsoft.com/office/drawing/2014/main" id="{8004D5E9-743D-4722-8438-BDAC4BCE2A3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756739" name="Button 3" hidden="1">
              <a:extLst>
                <a:ext uri="{63B3BB69-23CF-44E3-9099-C40C66FF867C}">
                  <a14:compatExt spid="_x0000_s756739"/>
                </a:ext>
                <a:ext uri="{FF2B5EF4-FFF2-40B4-BE49-F238E27FC236}">
                  <a16:creationId xmlns:a16="http://schemas.microsoft.com/office/drawing/2014/main" id="{A230015C-5EC1-4B0D-82FA-08386F1FEAA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756740" name="Button 4" hidden="1">
              <a:extLst>
                <a:ext uri="{63B3BB69-23CF-44E3-9099-C40C66FF867C}">
                  <a14:compatExt spid="_x0000_s756740"/>
                </a:ext>
                <a:ext uri="{FF2B5EF4-FFF2-40B4-BE49-F238E27FC236}">
                  <a16:creationId xmlns:a16="http://schemas.microsoft.com/office/drawing/2014/main" id="{3EB0EFE4-2659-4874-A50A-25DEC452D05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756741" name="Button 5" hidden="1">
              <a:extLst>
                <a:ext uri="{63B3BB69-23CF-44E3-9099-C40C66FF867C}">
                  <a14:compatExt spid="_x0000_s756741"/>
                </a:ext>
                <a:ext uri="{FF2B5EF4-FFF2-40B4-BE49-F238E27FC236}">
                  <a16:creationId xmlns:a16="http://schemas.microsoft.com/office/drawing/2014/main" id="{5A34FFD8-9237-465F-88F2-D307FD1F8D8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756742" name="Button 6" hidden="1">
              <a:extLst>
                <a:ext uri="{63B3BB69-23CF-44E3-9099-C40C66FF867C}">
                  <a14:compatExt spid="_x0000_s756742"/>
                </a:ext>
                <a:ext uri="{FF2B5EF4-FFF2-40B4-BE49-F238E27FC236}">
                  <a16:creationId xmlns:a16="http://schemas.microsoft.com/office/drawing/2014/main" id="{DD5064A8-235B-4FA3-B937-1D8BF23A2DD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756743" name="Button 7" hidden="1">
              <a:extLst>
                <a:ext uri="{63B3BB69-23CF-44E3-9099-C40C66FF867C}">
                  <a14:compatExt spid="_x0000_s756743"/>
                </a:ext>
                <a:ext uri="{FF2B5EF4-FFF2-40B4-BE49-F238E27FC236}">
                  <a16:creationId xmlns:a16="http://schemas.microsoft.com/office/drawing/2014/main" id="{115436BD-1D5B-4C75-9245-236CC359914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756744" name="Button 8" hidden="1">
              <a:extLst>
                <a:ext uri="{63B3BB69-23CF-44E3-9099-C40C66FF867C}">
                  <a14:compatExt spid="_x0000_s756744"/>
                </a:ext>
                <a:ext uri="{FF2B5EF4-FFF2-40B4-BE49-F238E27FC236}">
                  <a16:creationId xmlns:a16="http://schemas.microsoft.com/office/drawing/2014/main" id="{145AE1FD-8A5F-4B42-80F3-BB2AB622E8E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0</xdr:row>
          <xdr:rowOff>0</xdr:rowOff>
        </xdr:from>
        <xdr:to>
          <xdr:col>16</xdr:col>
          <xdr:colOff>1270000</xdr:colOff>
          <xdr:row>2</xdr:row>
          <xdr:rowOff>12700</xdr:rowOff>
        </xdr:to>
        <xdr:sp macro="" textlink="">
          <xdr:nvSpPr>
            <xdr:cNvPr id="756745" name="Button 9" hidden="1">
              <a:extLst>
                <a:ext uri="{63B3BB69-23CF-44E3-9099-C40C66FF867C}">
                  <a14:compatExt spid="_x0000_s756745"/>
                </a:ext>
                <a:ext uri="{FF2B5EF4-FFF2-40B4-BE49-F238E27FC236}">
                  <a16:creationId xmlns:a16="http://schemas.microsoft.com/office/drawing/2014/main" id="{9AA514BC-3A0D-F37F-E99B-10C9A1CD7F3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SEC_115000</a:t>
              </a:r>
            </a:p>
          </xdr:txBody>
        </xdr:sp>
        <xdr:clientData fPrintsWithSheet="0"/>
      </xdr:twoCellAnchor>
    </mc:Choice>
    <mc:Fallback/>
  </mc:AlternateContent>
</xdr:wsDr>
</file>

<file path=xl/drawings/drawing1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57761" name="Button 1" hidden="1">
              <a:extLst>
                <a:ext uri="{63B3BB69-23CF-44E3-9099-C40C66FF867C}">
                  <a14:compatExt spid="_x0000_s757761"/>
                </a:ext>
                <a:ext uri="{FF2B5EF4-FFF2-40B4-BE49-F238E27FC236}">
                  <a16:creationId xmlns:a16="http://schemas.microsoft.com/office/drawing/2014/main" id="{DD56E045-CAEF-4AEF-B21E-70C3E3AB95F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757762" name="Button 2" hidden="1">
              <a:extLst>
                <a:ext uri="{63B3BB69-23CF-44E3-9099-C40C66FF867C}">
                  <a14:compatExt spid="_x0000_s757762"/>
                </a:ext>
                <a:ext uri="{FF2B5EF4-FFF2-40B4-BE49-F238E27FC236}">
                  <a16:creationId xmlns:a16="http://schemas.microsoft.com/office/drawing/2014/main" id="{426330F6-5FCE-4440-808E-E27412D1AC6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757763" name="Button 3" hidden="1">
              <a:extLst>
                <a:ext uri="{63B3BB69-23CF-44E3-9099-C40C66FF867C}">
                  <a14:compatExt spid="_x0000_s757763"/>
                </a:ext>
                <a:ext uri="{FF2B5EF4-FFF2-40B4-BE49-F238E27FC236}">
                  <a16:creationId xmlns:a16="http://schemas.microsoft.com/office/drawing/2014/main" id="{F5C3485C-077D-4F36-9EAD-664D499CE7E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757764" name="Button 4" hidden="1">
              <a:extLst>
                <a:ext uri="{63B3BB69-23CF-44E3-9099-C40C66FF867C}">
                  <a14:compatExt spid="_x0000_s757764"/>
                </a:ext>
                <a:ext uri="{FF2B5EF4-FFF2-40B4-BE49-F238E27FC236}">
                  <a16:creationId xmlns:a16="http://schemas.microsoft.com/office/drawing/2014/main" id="{03346590-8B90-4830-A7DC-10D755E28A5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757765" name="Button 5" hidden="1">
              <a:extLst>
                <a:ext uri="{63B3BB69-23CF-44E3-9099-C40C66FF867C}">
                  <a14:compatExt spid="_x0000_s757765"/>
                </a:ext>
                <a:ext uri="{FF2B5EF4-FFF2-40B4-BE49-F238E27FC236}">
                  <a16:creationId xmlns:a16="http://schemas.microsoft.com/office/drawing/2014/main" id="{6902DD07-51E5-4019-A27F-B39C5AAB18D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757766" name="Button 6" hidden="1">
              <a:extLst>
                <a:ext uri="{63B3BB69-23CF-44E3-9099-C40C66FF867C}">
                  <a14:compatExt spid="_x0000_s757766"/>
                </a:ext>
                <a:ext uri="{FF2B5EF4-FFF2-40B4-BE49-F238E27FC236}">
                  <a16:creationId xmlns:a16="http://schemas.microsoft.com/office/drawing/2014/main" id="{C5864422-8209-4502-B2BF-05A39F3D330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757767" name="Button 7" hidden="1">
              <a:extLst>
                <a:ext uri="{63B3BB69-23CF-44E3-9099-C40C66FF867C}">
                  <a14:compatExt spid="_x0000_s757767"/>
                </a:ext>
                <a:ext uri="{FF2B5EF4-FFF2-40B4-BE49-F238E27FC236}">
                  <a16:creationId xmlns:a16="http://schemas.microsoft.com/office/drawing/2014/main" id="{654E0728-8325-4489-9ED2-B6D2F85594A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757768" name="Button 8" hidden="1">
              <a:extLst>
                <a:ext uri="{63B3BB69-23CF-44E3-9099-C40C66FF867C}">
                  <a14:compatExt spid="_x0000_s757768"/>
                </a:ext>
                <a:ext uri="{FF2B5EF4-FFF2-40B4-BE49-F238E27FC236}">
                  <a16:creationId xmlns:a16="http://schemas.microsoft.com/office/drawing/2014/main" id="{30C7594D-6FE1-4CC8-8E1E-AB266CAD3D6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0</xdr:row>
          <xdr:rowOff>0</xdr:rowOff>
        </xdr:from>
        <xdr:to>
          <xdr:col>16</xdr:col>
          <xdr:colOff>1270000</xdr:colOff>
          <xdr:row>2</xdr:row>
          <xdr:rowOff>12700</xdr:rowOff>
        </xdr:to>
        <xdr:sp macro="" textlink="">
          <xdr:nvSpPr>
            <xdr:cNvPr id="757769" name="Button 9" hidden="1">
              <a:extLst>
                <a:ext uri="{63B3BB69-23CF-44E3-9099-C40C66FF867C}">
                  <a14:compatExt spid="_x0000_s757769"/>
                </a:ext>
                <a:ext uri="{FF2B5EF4-FFF2-40B4-BE49-F238E27FC236}">
                  <a16:creationId xmlns:a16="http://schemas.microsoft.com/office/drawing/2014/main" id="{A40212C1-B58E-0259-43C9-49F3630AF24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SEC_116000</a:t>
              </a:r>
            </a:p>
          </xdr:txBody>
        </xdr:sp>
        <xdr:clientData fPrintsWithSheet="0"/>
      </xdr:twoCellAnchor>
    </mc:Choice>
    <mc:Fallback/>
  </mc:AlternateContent>
</xdr:wsDr>
</file>

<file path=xl/drawings/drawing1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58785" name="Button 1" hidden="1">
              <a:extLst>
                <a:ext uri="{63B3BB69-23CF-44E3-9099-C40C66FF867C}">
                  <a14:compatExt spid="_x0000_s758785"/>
                </a:ext>
                <a:ext uri="{FF2B5EF4-FFF2-40B4-BE49-F238E27FC236}">
                  <a16:creationId xmlns:a16="http://schemas.microsoft.com/office/drawing/2014/main" id="{4835EE32-3FA3-4865-A33A-07C3B023F21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758786" name="Button 2" hidden="1">
              <a:extLst>
                <a:ext uri="{63B3BB69-23CF-44E3-9099-C40C66FF867C}">
                  <a14:compatExt spid="_x0000_s758786"/>
                </a:ext>
                <a:ext uri="{FF2B5EF4-FFF2-40B4-BE49-F238E27FC236}">
                  <a16:creationId xmlns:a16="http://schemas.microsoft.com/office/drawing/2014/main" id="{E163A436-755A-480F-B113-F0B67E6AD52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758787" name="Button 3" hidden="1">
              <a:extLst>
                <a:ext uri="{63B3BB69-23CF-44E3-9099-C40C66FF867C}">
                  <a14:compatExt spid="_x0000_s758787"/>
                </a:ext>
                <a:ext uri="{FF2B5EF4-FFF2-40B4-BE49-F238E27FC236}">
                  <a16:creationId xmlns:a16="http://schemas.microsoft.com/office/drawing/2014/main" id="{711939ED-54F1-4450-A5D5-6BA268C288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758788" name="Button 4" hidden="1">
              <a:extLst>
                <a:ext uri="{63B3BB69-23CF-44E3-9099-C40C66FF867C}">
                  <a14:compatExt spid="_x0000_s758788"/>
                </a:ext>
                <a:ext uri="{FF2B5EF4-FFF2-40B4-BE49-F238E27FC236}">
                  <a16:creationId xmlns:a16="http://schemas.microsoft.com/office/drawing/2014/main" id="{97EE589B-B362-436C-B750-CEC43A4AB2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758789" name="Button 5" hidden="1">
              <a:extLst>
                <a:ext uri="{63B3BB69-23CF-44E3-9099-C40C66FF867C}">
                  <a14:compatExt spid="_x0000_s758789"/>
                </a:ext>
                <a:ext uri="{FF2B5EF4-FFF2-40B4-BE49-F238E27FC236}">
                  <a16:creationId xmlns:a16="http://schemas.microsoft.com/office/drawing/2014/main" id="{FB7C3984-51B6-493A-A1A6-6548DE2D75D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758790" name="Button 6" hidden="1">
              <a:extLst>
                <a:ext uri="{63B3BB69-23CF-44E3-9099-C40C66FF867C}">
                  <a14:compatExt spid="_x0000_s758790"/>
                </a:ext>
                <a:ext uri="{FF2B5EF4-FFF2-40B4-BE49-F238E27FC236}">
                  <a16:creationId xmlns:a16="http://schemas.microsoft.com/office/drawing/2014/main" id="{77053BE0-F169-4D1E-A3DA-25D812BF70C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758791" name="Button 7" hidden="1">
              <a:extLst>
                <a:ext uri="{63B3BB69-23CF-44E3-9099-C40C66FF867C}">
                  <a14:compatExt spid="_x0000_s758791"/>
                </a:ext>
                <a:ext uri="{FF2B5EF4-FFF2-40B4-BE49-F238E27FC236}">
                  <a16:creationId xmlns:a16="http://schemas.microsoft.com/office/drawing/2014/main" id="{5FEC43CB-7A18-4789-9927-603AFEC209B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758792" name="Button 8" hidden="1">
              <a:extLst>
                <a:ext uri="{63B3BB69-23CF-44E3-9099-C40C66FF867C}">
                  <a14:compatExt spid="_x0000_s758792"/>
                </a:ext>
                <a:ext uri="{FF2B5EF4-FFF2-40B4-BE49-F238E27FC236}">
                  <a16:creationId xmlns:a16="http://schemas.microsoft.com/office/drawing/2014/main" id="{2D8C3C3A-6A73-4E98-999B-D654BC495A1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0</xdr:row>
          <xdr:rowOff>0</xdr:rowOff>
        </xdr:from>
        <xdr:to>
          <xdr:col>16</xdr:col>
          <xdr:colOff>1270000</xdr:colOff>
          <xdr:row>2</xdr:row>
          <xdr:rowOff>12700</xdr:rowOff>
        </xdr:to>
        <xdr:sp macro="" textlink="">
          <xdr:nvSpPr>
            <xdr:cNvPr id="758793" name="Button 9" hidden="1">
              <a:extLst>
                <a:ext uri="{63B3BB69-23CF-44E3-9099-C40C66FF867C}">
                  <a14:compatExt spid="_x0000_s758793"/>
                </a:ext>
                <a:ext uri="{FF2B5EF4-FFF2-40B4-BE49-F238E27FC236}">
                  <a16:creationId xmlns:a16="http://schemas.microsoft.com/office/drawing/2014/main" id="{FE09DF59-E947-E293-20C7-F739579FBDB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SEC_117000</a:t>
              </a:r>
            </a:p>
          </xdr:txBody>
        </xdr:sp>
        <xdr:clientData fPrintsWithSheet="0"/>
      </xdr:twoCellAnchor>
    </mc:Choice>
    <mc:Fallback/>
  </mc:AlternateContent>
</xdr:wsDr>
</file>

<file path=xl/drawings/drawing1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59809" name="Button 1" hidden="1">
              <a:extLst>
                <a:ext uri="{63B3BB69-23CF-44E3-9099-C40C66FF867C}">
                  <a14:compatExt spid="_x0000_s759809"/>
                </a:ext>
                <a:ext uri="{FF2B5EF4-FFF2-40B4-BE49-F238E27FC236}">
                  <a16:creationId xmlns:a16="http://schemas.microsoft.com/office/drawing/2014/main" id="{0692885B-A09E-4324-B6D0-670D89E86E6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759810" name="Button 2" hidden="1">
              <a:extLst>
                <a:ext uri="{63B3BB69-23CF-44E3-9099-C40C66FF867C}">
                  <a14:compatExt spid="_x0000_s759810"/>
                </a:ext>
                <a:ext uri="{FF2B5EF4-FFF2-40B4-BE49-F238E27FC236}">
                  <a16:creationId xmlns:a16="http://schemas.microsoft.com/office/drawing/2014/main" id="{4F54A4F5-BE17-42C2-B44D-9750C2F630E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759811" name="Button 3" hidden="1">
              <a:extLst>
                <a:ext uri="{63B3BB69-23CF-44E3-9099-C40C66FF867C}">
                  <a14:compatExt spid="_x0000_s759811"/>
                </a:ext>
                <a:ext uri="{FF2B5EF4-FFF2-40B4-BE49-F238E27FC236}">
                  <a16:creationId xmlns:a16="http://schemas.microsoft.com/office/drawing/2014/main" id="{08E294A0-896C-4C31-A0D3-C46F2E5E7FC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759812" name="Button 4" hidden="1">
              <a:extLst>
                <a:ext uri="{63B3BB69-23CF-44E3-9099-C40C66FF867C}">
                  <a14:compatExt spid="_x0000_s759812"/>
                </a:ext>
                <a:ext uri="{FF2B5EF4-FFF2-40B4-BE49-F238E27FC236}">
                  <a16:creationId xmlns:a16="http://schemas.microsoft.com/office/drawing/2014/main" id="{A663A128-3F57-46CA-9EDD-286E69039E6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759813" name="Button 5" hidden="1">
              <a:extLst>
                <a:ext uri="{63B3BB69-23CF-44E3-9099-C40C66FF867C}">
                  <a14:compatExt spid="_x0000_s759813"/>
                </a:ext>
                <a:ext uri="{FF2B5EF4-FFF2-40B4-BE49-F238E27FC236}">
                  <a16:creationId xmlns:a16="http://schemas.microsoft.com/office/drawing/2014/main" id="{8E7E8105-23EC-4ED2-A87F-5D1A3F7D8B4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759814" name="Button 6" hidden="1">
              <a:extLst>
                <a:ext uri="{63B3BB69-23CF-44E3-9099-C40C66FF867C}">
                  <a14:compatExt spid="_x0000_s759814"/>
                </a:ext>
                <a:ext uri="{FF2B5EF4-FFF2-40B4-BE49-F238E27FC236}">
                  <a16:creationId xmlns:a16="http://schemas.microsoft.com/office/drawing/2014/main" id="{B70213C9-F2E9-46C8-AEBE-EC1CB832D7AE}"/>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759815" name="Button 7" hidden="1">
              <a:extLst>
                <a:ext uri="{63B3BB69-23CF-44E3-9099-C40C66FF867C}">
                  <a14:compatExt spid="_x0000_s759815"/>
                </a:ext>
                <a:ext uri="{FF2B5EF4-FFF2-40B4-BE49-F238E27FC236}">
                  <a16:creationId xmlns:a16="http://schemas.microsoft.com/office/drawing/2014/main" id="{37CA9F8B-A16E-4C8E-8767-10D7516BFB6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759816" name="Button 8" hidden="1">
              <a:extLst>
                <a:ext uri="{63B3BB69-23CF-44E3-9099-C40C66FF867C}">
                  <a14:compatExt spid="_x0000_s759816"/>
                </a:ext>
                <a:ext uri="{FF2B5EF4-FFF2-40B4-BE49-F238E27FC236}">
                  <a16:creationId xmlns:a16="http://schemas.microsoft.com/office/drawing/2014/main" id="{3D10974C-7409-44CF-BB17-9342C154818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0</xdr:row>
          <xdr:rowOff>0</xdr:rowOff>
        </xdr:from>
        <xdr:to>
          <xdr:col>16</xdr:col>
          <xdr:colOff>1270000</xdr:colOff>
          <xdr:row>2</xdr:row>
          <xdr:rowOff>12700</xdr:rowOff>
        </xdr:to>
        <xdr:sp macro="" textlink="">
          <xdr:nvSpPr>
            <xdr:cNvPr id="759817" name="Button 9" hidden="1">
              <a:extLst>
                <a:ext uri="{63B3BB69-23CF-44E3-9099-C40C66FF867C}">
                  <a14:compatExt spid="_x0000_s759817"/>
                </a:ext>
                <a:ext uri="{FF2B5EF4-FFF2-40B4-BE49-F238E27FC236}">
                  <a16:creationId xmlns:a16="http://schemas.microsoft.com/office/drawing/2014/main" id="{743D5994-CC73-0BB3-EE43-079EC328897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SEC_118000</a:t>
              </a:r>
            </a:p>
          </xdr:txBody>
        </xdr:sp>
        <xdr:clientData fPrintsWithSheet="0"/>
      </xdr:twoCellAnchor>
    </mc:Choice>
    <mc:Fallback/>
  </mc:AlternateContent>
</xdr:wsDr>
</file>

<file path=xl/drawings/drawing1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97697" name="Button 1" hidden="1">
              <a:extLst>
                <a:ext uri="{63B3BB69-23CF-44E3-9099-C40C66FF867C}">
                  <a14:compatExt spid="_x0000_s797697"/>
                </a:ext>
                <a:ext uri="{FF2B5EF4-FFF2-40B4-BE49-F238E27FC236}">
                  <a16:creationId xmlns:a16="http://schemas.microsoft.com/office/drawing/2014/main" id="{22D38654-F136-B1BE-7E98-2FC4E404ABA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797698" name="Button 2" hidden="1">
              <a:extLst>
                <a:ext uri="{63B3BB69-23CF-44E3-9099-C40C66FF867C}">
                  <a14:compatExt spid="_x0000_s797698"/>
                </a:ext>
                <a:ext uri="{FF2B5EF4-FFF2-40B4-BE49-F238E27FC236}">
                  <a16:creationId xmlns:a16="http://schemas.microsoft.com/office/drawing/2014/main" id="{27E59CDF-1DA6-0A44-7541-1AEF1A601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797699" name="Button 3" hidden="1">
              <a:extLst>
                <a:ext uri="{63B3BB69-23CF-44E3-9099-C40C66FF867C}">
                  <a14:compatExt spid="_x0000_s797699"/>
                </a:ext>
                <a:ext uri="{FF2B5EF4-FFF2-40B4-BE49-F238E27FC236}">
                  <a16:creationId xmlns:a16="http://schemas.microsoft.com/office/drawing/2014/main" id="{6C26A400-1226-0E4A-8A6F-734273E8FA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797700" name="Button 4" hidden="1">
              <a:extLst>
                <a:ext uri="{63B3BB69-23CF-44E3-9099-C40C66FF867C}">
                  <a14:compatExt spid="_x0000_s797700"/>
                </a:ext>
                <a:ext uri="{FF2B5EF4-FFF2-40B4-BE49-F238E27FC236}">
                  <a16:creationId xmlns:a16="http://schemas.microsoft.com/office/drawing/2014/main" id="{B5E2BA1C-84E2-FA32-5FC0-F287F96134F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797701" name="Button 5" hidden="1">
              <a:extLst>
                <a:ext uri="{63B3BB69-23CF-44E3-9099-C40C66FF867C}">
                  <a14:compatExt spid="_x0000_s797701"/>
                </a:ext>
                <a:ext uri="{FF2B5EF4-FFF2-40B4-BE49-F238E27FC236}">
                  <a16:creationId xmlns:a16="http://schemas.microsoft.com/office/drawing/2014/main" id="{4C6668FA-56B3-44CC-FB76-4380A978DD6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797702" name="Button 6" hidden="1">
              <a:extLst>
                <a:ext uri="{63B3BB69-23CF-44E3-9099-C40C66FF867C}">
                  <a14:compatExt spid="_x0000_s797702"/>
                </a:ext>
                <a:ext uri="{FF2B5EF4-FFF2-40B4-BE49-F238E27FC236}">
                  <a16:creationId xmlns:a16="http://schemas.microsoft.com/office/drawing/2014/main" id="{5843A3FE-47D3-FE80-5350-F7203A5E8E6E}"/>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797703" name="Button 7" hidden="1">
              <a:extLst>
                <a:ext uri="{63B3BB69-23CF-44E3-9099-C40C66FF867C}">
                  <a14:compatExt spid="_x0000_s797703"/>
                </a:ext>
                <a:ext uri="{FF2B5EF4-FFF2-40B4-BE49-F238E27FC236}">
                  <a16:creationId xmlns:a16="http://schemas.microsoft.com/office/drawing/2014/main" id="{DA3097FF-8AE8-AC79-0936-50652451108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797704" name="Button 8" hidden="1">
              <a:extLst>
                <a:ext uri="{63B3BB69-23CF-44E3-9099-C40C66FF867C}">
                  <a14:compatExt spid="_x0000_s797704"/>
                </a:ext>
                <a:ext uri="{FF2B5EF4-FFF2-40B4-BE49-F238E27FC236}">
                  <a16:creationId xmlns:a16="http://schemas.microsoft.com/office/drawing/2014/main" id="{9E99A89E-2677-BBB0-F6F5-E932CB68A6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1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2</xdr:row>
          <xdr:rowOff>50800</xdr:rowOff>
        </xdr:from>
        <xdr:to>
          <xdr:col>19</xdr:col>
          <xdr:colOff>50800</xdr:colOff>
          <xdr:row>4</xdr:row>
          <xdr:rowOff>101600</xdr:rowOff>
        </xdr:to>
        <xdr:sp macro="" textlink="">
          <xdr:nvSpPr>
            <xdr:cNvPr id="798721" name="Button 1" hidden="1">
              <a:extLst>
                <a:ext uri="{63B3BB69-23CF-44E3-9099-C40C66FF867C}">
                  <a14:compatExt spid="_x0000_s798721"/>
                </a:ext>
                <a:ext uri="{FF2B5EF4-FFF2-40B4-BE49-F238E27FC236}">
                  <a16:creationId xmlns:a16="http://schemas.microsoft.com/office/drawing/2014/main" id="{251C7A7F-6943-B606-75C3-84BD753A3AB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5</xdr:row>
          <xdr:rowOff>50800</xdr:rowOff>
        </xdr:from>
        <xdr:to>
          <xdr:col>19</xdr:col>
          <xdr:colOff>50800</xdr:colOff>
          <xdr:row>7</xdr:row>
          <xdr:rowOff>57150</xdr:rowOff>
        </xdr:to>
        <xdr:sp macro="" textlink="">
          <xdr:nvSpPr>
            <xdr:cNvPr id="798722" name="Button 2" hidden="1">
              <a:extLst>
                <a:ext uri="{63B3BB69-23CF-44E3-9099-C40C66FF867C}">
                  <a14:compatExt spid="_x0000_s798722"/>
                </a:ext>
                <a:ext uri="{FF2B5EF4-FFF2-40B4-BE49-F238E27FC236}">
                  <a16:creationId xmlns:a16="http://schemas.microsoft.com/office/drawing/2014/main" id="{7E1890FF-A15E-71C7-186B-2FFB79E3F32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7</xdr:row>
          <xdr:rowOff>171450</xdr:rowOff>
        </xdr:from>
        <xdr:to>
          <xdr:col>19</xdr:col>
          <xdr:colOff>50800</xdr:colOff>
          <xdr:row>9</xdr:row>
          <xdr:rowOff>171450</xdr:rowOff>
        </xdr:to>
        <xdr:sp macro="" textlink="">
          <xdr:nvSpPr>
            <xdr:cNvPr id="798723" name="Button 3" hidden="1">
              <a:extLst>
                <a:ext uri="{63B3BB69-23CF-44E3-9099-C40C66FF867C}">
                  <a14:compatExt spid="_x0000_s798723"/>
                </a:ext>
                <a:ext uri="{FF2B5EF4-FFF2-40B4-BE49-F238E27FC236}">
                  <a16:creationId xmlns:a16="http://schemas.microsoft.com/office/drawing/2014/main" id="{87D392D2-86E7-4431-AF79-6C4D6F36561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98724" name="Button 4" hidden="1">
              <a:extLst>
                <a:ext uri="{63B3BB69-23CF-44E3-9099-C40C66FF867C}">
                  <a14:compatExt spid="_x0000_s798724"/>
                </a:ext>
                <a:ext uri="{FF2B5EF4-FFF2-40B4-BE49-F238E27FC236}">
                  <a16:creationId xmlns:a16="http://schemas.microsoft.com/office/drawing/2014/main" id="{FA55B5DB-EB19-8ED1-A3A9-9ACF181DE82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Refresh View</a:t>
              </a:r>
            </a:p>
          </xdr:txBody>
        </xdr:sp>
        <xdr:clientData fPrintsWithSheet="0"/>
      </xdr:twoCellAnchor>
    </mc:Choice>
    <mc:Fallback/>
  </mc:AlternateContent>
</xdr:wsDr>
</file>

<file path=xl/drawings/drawing1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603250</xdr:colOff>
          <xdr:row>0</xdr:row>
          <xdr:rowOff>0</xdr:rowOff>
        </xdr:from>
        <xdr:to>
          <xdr:col>19</xdr:col>
          <xdr:colOff>44450</xdr:colOff>
          <xdr:row>2</xdr:row>
          <xdr:rowOff>12700</xdr:rowOff>
        </xdr:to>
        <xdr:sp macro="" textlink="">
          <xdr:nvSpPr>
            <xdr:cNvPr id="799745" name="Button 1" hidden="1">
              <a:extLst>
                <a:ext uri="{63B3BB69-23CF-44E3-9099-C40C66FF867C}">
                  <a14:compatExt spid="_x0000_s799745"/>
                </a:ext>
                <a:ext uri="{FF2B5EF4-FFF2-40B4-BE49-F238E27FC236}">
                  <a16:creationId xmlns:a16="http://schemas.microsoft.com/office/drawing/2014/main" id="{01E33220-8D43-A7E0-F219-AA96A5CE956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603250</xdr:colOff>
          <xdr:row>2</xdr:row>
          <xdr:rowOff>38100</xdr:rowOff>
        </xdr:from>
        <xdr:to>
          <xdr:col>19</xdr:col>
          <xdr:colOff>44450</xdr:colOff>
          <xdr:row>4</xdr:row>
          <xdr:rowOff>50800</xdr:rowOff>
        </xdr:to>
        <xdr:sp macro="" textlink="">
          <xdr:nvSpPr>
            <xdr:cNvPr id="799746" name="Button 2" hidden="1">
              <a:extLst>
                <a:ext uri="{63B3BB69-23CF-44E3-9099-C40C66FF867C}">
                  <a14:compatExt spid="_x0000_s799746"/>
                </a:ext>
                <a:ext uri="{FF2B5EF4-FFF2-40B4-BE49-F238E27FC236}">
                  <a16:creationId xmlns:a16="http://schemas.microsoft.com/office/drawing/2014/main" id="{5F0E5DBE-8A4B-E134-3D4B-2C77343E038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603250</xdr:colOff>
          <xdr:row>4</xdr:row>
          <xdr:rowOff>76200</xdr:rowOff>
        </xdr:from>
        <xdr:to>
          <xdr:col>19</xdr:col>
          <xdr:colOff>44450</xdr:colOff>
          <xdr:row>6</xdr:row>
          <xdr:rowOff>88900</xdr:rowOff>
        </xdr:to>
        <xdr:sp macro="" textlink="">
          <xdr:nvSpPr>
            <xdr:cNvPr id="799747" name="Button 3" hidden="1">
              <a:extLst>
                <a:ext uri="{63B3BB69-23CF-44E3-9099-C40C66FF867C}">
                  <a14:compatExt spid="_x0000_s799747"/>
                </a:ext>
                <a:ext uri="{FF2B5EF4-FFF2-40B4-BE49-F238E27FC236}">
                  <a16:creationId xmlns:a16="http://schemas.microsoft.com/office/drawing/2014/main" id="{F8CAFAB7-A96F-9F70-2AA6-414F1440767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a:t>
              </a:r>
            </a:p>
          </xdr:txBody>
        </xdr:sp>
        <xdr:clientData fPrintsWithSheet="0"/>
      </xdr:twoCellAnchor>
    </mc:Choice>
    <mc:Fallback/>
  </mc:AlternateContent>
</xdr:wsDr>
</file>

<file path=xl/drawings/drawing1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50800</xdr:rowOff>
        </xdr:from>
        <xdr:to>
          <xdr:col>18</xdr:col>
          <xdr:colOff>228600</xdr:colOff>
          <xdr:row>1</xdr:row>
          <xdr:rowOff>146050</xdr:rowOff>
        </xdr:to>
        <xdr:sp macro="" textlink="">
          <xdr:nvSpPr>
            <xdr:cNvPr id="800769" name="Button 1" hidden="1">
              <a:extLst>
                <a:ext uri="{63B3BB69-23CF-44E3-9099-C40C66FF867C}">
                  <a14:compatExt spid="_x0000_s800769"/>
                </a:ext>
                <a:ext uri="{FF2B5EF4-FFF2-40B4-BE49-F238E27FC236}">
                  <a16:creationId xmlns:a16="http://schemas.microsoft.com/office/drawing/2014/main" id="{956A47E6-E224-2435-C525-24A4B95F1C4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xdr:wsDr>
</file>

<file path=xl/drawings/drawing1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65953" name="Button 1" hidden="1">
              <a:extLst>
                <a:ext uri="{63B3BB69-23CF-44E3-9099-C40C66FF867C}">
                  <a14:compatExt spid="_x0000_s765953"/>
                </a:ext>
                <a:ext uri="{FF2B5EF4-FFF2-40B4-BE49-F238E27FC236}">
                  <a16:creationId xmlns:a16="http://schemas.microsoft.com/office/drawing/2014/main" id="{5527283E-107D-4F9F-8EDB-2BE42118E3D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765954" name="Button 2" hidden="1">
              <a:extLst>
                <a:ext uri="{63B3BB69-23CF-44E3-9099-C40C66FF867C}">
                  <a14:compatExt spid="_x0000_s765954"/>
                </a:ext>
                <a:ext uri="{FF2B5EF4-FFF2-40B4-BE49-F238E27FC236}">
                  <a16:creationId xmlns:a16="http://schemas.microsoft.com/office/drawing/2014/main" id="{D717405F-C881-49CB-954E-8B4B383270E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765955" name="Button 3" hidden="1">
              <a:extLst>
                <a:ext uri="{63B3BB69-23CF-44E3-9099-C40C66FF867C}">
                  <a14:compatExt spid="_x0000_s765955"/>
                </a:ext>
                <a:ext uri="{FF2B5EF4-FFF2-40B4-BE49-F238E27FC236}">
                  <a16:creationId xmlns:a16="http://schemas.microsoft.com/office/drawing/2014/main" id="{81C5DBDB-BBF3-444F-90D8-AF8C1A17E05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765956" name="Button 4" hidden="1">
              <a:extLst>
                <a:ext uri="{63B3BB69-23CF-44E3-9099-C40C66FF867C}">
                  <a14:compatExt spid="_x0000_s765956"/>
                </a:ext>
                <a:ext uri="{FF2B5EF4-FFF2-40B4-BE49-F238E27FC236}">
                  <a16:creationId xmlns:a16="http://schemas.microsoft.com/office/drawing/2014/main" id="{74940E0E-2FEF-4B3E-8532-06693FAD7E4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765957" name="Button 5" hidden="1">
              <a:extLst>
                <a:ext uri="{63B3BB69-23CF-44E3-9099-C40C66FF867C}">
                  <a14:compatExt spid="_x0000_s765957"/>
                </a:ext>
                <a:ext uri="{FF2B5EF4-FFF2-40B4-BE49-F238E27FC236}">
                  <a16:creationId xmlns:a16="http://schemas.microsoft.com/office/drawing/2014/main" id="{AA3925D3-BAD2-4681-865A-BCFB1DE47AB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765958" name="Button 6" hidden="1">
              <a:extLst>
                <a:ext uri="{63B3BB69-23CF-44E3-9099-C40C66FF867C}">
                  <a14:compatExt spid="_x0000_s765958"/>
                </a:ext>
                <a:ext uri="{FF2B5EF4-FFF2-40B4-BE49-F238E27FC236}">
                  <a16:creationId xmlns:a16="http://schemas.microsoft.com/office/drawing/2014/main" id="{8630BF9C-5DA0-4156-839E-7AE597FC0EA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765959" name="Button 7" hidden="1">
              <a:extLst>
                <a:ext uri="{63B3BB69-23CF-44E3-9099-C40C66FF867C}">
                  <a14:compatExt spid="_x0000_s765959"/>
                </a:ext>
                <a:ext uri="{FF2B5EF4-FFF2-40B4-BE49-F238E27FC236}">
                  <a16:creationId xmlns:a16="http://schemas.microsoft.com/office/drawing/2014/main" id="{A062800F-D421-40DE-BCC4-2C9806C726A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765960" name="Button 8" hidden="1">
              <a:extLst>
                <a:ext uri="{63B3BB69-23CF-44E3-9099-C40C66FF867C}">
                  <a14:compatExt spid="_x0000_s765960"/>
                </a:ext>
                <a:ext uri="{FF2B5EF4-FFF2-40B4-BE49-F238E27FC236}">
                  <a16:creationId xmlns:a16="http://schemas.microsoft.com/office/drawing/2014/main" id="{2820A95A-869E-4384-93C3-D16C27DFAE3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0</xdr:row>
          <xdr:rowOff>0</xdr:rowOff>
        </xdr:from>
        <xdr:to>
          <xdr:col>16</xdr:col>
          <xdr:colOff>1270000</xdr:colOff>
          <xdr:row>2</xdr:row>
          <xdr:rowOff>12700</xdr:rowOff>
        </xdr:to>
        <xdr:sp macro="" textlink="">
          <xdr:nvSpPr>
            <xdr:cNvPr id="765962" name="Button 10" hidden="1">
              <a:extLst>
                <a:ext uri="{63B3BB69-23CF-44E3-9099-C40C66FF867C}">
                  <a14:compatExt spid="_x0000_s765962"/>
                </a:ext>
                <a:ext uri="{FF2B5EF4-FFF2-40B4-BE49-F238E27FC236}">
                  <a16:creationId xmlns:a16="http://schemas.microsoft.com/office/drawing/2014/main" id="{6F92BBA8-D82B-864D-3548-F7ABC50AAD8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SEC_121000</a:t>
              </a:r>
            </a:p>
          </xdr:txBody>
        </xdr:sp>
        <xdr:clientData fPrintsWithSheet="0"/>
      </xdr:twoCellAnchor>
    </mc:Choice>
    <mc:Fallback/>
  </mc:AlternateContent>
</xdr:wsDr>
</file>

<file path=xl/drawings/drawing1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66977" name="Button 1" hidden="1">
              <a:extLst>
                <a:ext uri="{63B3BB69-23CF-44E3-9099-C40C66FF867C}">
                  <a14:compatExt spid="_x0000_s766977"/>
                </a:ext>
                <a:ext uri="{FF2B5EF4-FFF2-40B4-BE49-F238E27FC236}">
                  <a16:creationId xmlns:a16="http://schemas.microsoft.com/office/drawing/2014/main" id="{6B6C5735-3406-4CD6-84D4-27B73642D7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766978" name="Button 2" hidden="1">
              <a:extLst>
                <a:ext uri="{63B3BB69-23CF-44E3-9099-C40C66FF867C}">
                  <a14:compatExt spid="_x0000_s766978"/>
                </a:ext>
                <a:ext uri="{FF2B5EF4-FFF2-40B4-BE49-F238E27FC236}">
                  <a16:creationId xmlns:a16="http://schemas.microsoft.com/office/drawing/2014/main" id="{4063D8D1-9D2A-4EC0-AAFC-DFEF626C2F7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766979" name="Button 3" hidden="1">
              <a:extLst>
                <a:ext uri="{63B3BB69-23CF-44E3-9099-C40C66FF867C}">
                  <a14:compatExt spid="_x0000_s766979"/>
                </a:ext>
                <a:ext uri="{FF2B5EF4-FFF2-40B4-BE49-F238E27FC236}">
                  <a16:creationId xmlns:a16="http://schemas.microsoft.com/office/drawing/2014/main" id="{854651F2-F197-46C7-A85F-806BD32C7A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766980" name="Button 4" hidden="1">
              <a:extLst>
                <a:ext uri="{63B3BB69-23CF-44E3-9099-C40C66FF867C}">
                  <a14:compatExt spid="_x0000_s766980"/>
                </a:ext>
                <a:ext uri="{FF2B5EF4-FFF2-40B4-BE49-F238E27FC236}">
                  <a16:creationId xmlns:a16="http://schemas.microsoft.com/office/drawing/2014/main" id="{7CA07265-29F0-4B78-9520-ADFB066EE56E}"/>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766981" name="Button 5" hidden="1">
              <a:extLst>
                <a:ext uri="{63B3BB69-23CF-44E3-9099-C40C66FF867C}">
                  <a14:compatExt spid="_x0000_s766981"/>
                </a:ext>
                <a:ext uri="{FF2B5EF4-FFF2-40B4-BE49-F238E27FC236}">
                  <a16:creationId xmlns:a16="http://schemas.microsoft.com/office/drawing/2014/main" id="{7AE4A9DE-7F91-4FD9-A64D-A94EE49ED95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766982" name="Button 6" hidden="1">
              <a:extLst>
                <a:ext uri="{63B3BB69-23CF-44E3-9099-C40C66FF867C}">
                  <a14:compatExt spid="_x0000_s766982"/>
                </a:ext>
                <a:ext uri="{FF2B5EF4-FFF2-40B4-BE49-F238E27FC236}">
                  <a16:creationId xmlns:a16="http://schemas.microsoft.com/office/drawing/2014/main" id="{7DB72680-F97C-4B9F-BBFF-E90A0CBBB04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766983" name="Button 7" hidden="1">
              <a:extLst>
                <a:ext uri="{63B3BB69-23CF-44E3-9099-C40C66FF867C}">
                  <a14:compatExt spid="_x0000_s766983"/>
                </a:ext>
                <a:ext uri="{FF2B5EF4-FFF2-40B4-BE49-F238E27FC236}">
                  <a16:creationId xmlns:a16="http://schemas.microsoft.com/office/drawing/2014/main" id="{8DCED7CF-8363-4B5A-AF81-C57F4B05201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766984" name="Button 8" hidden="1">
              <a:extLst>
                <a:ext uri="{63B3BB69-23CF-44E3-9099-C40C66FF867C}">
                  <a14:compatExt spid="_x0000_s766984"/>
                </a:ext>
                <a:ext uri="{FF2B5EF4-FFF2-40B4-BE49-F238E27FC236}">
                  <a16:creationId xmlns:a16="http://schemas.microsoft.com/office/drawing/2014/main" id="{BB97ACDF-C15C-4B4B-884D-F11D062628B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0</xdr:row>
          <xdr:rowOff>0</xdr:rowOff>
        </xdr:from>
        <xdr:to>
          <xdr:col>16</xdr:col>
          <xdr:colOff>1270000</xdr:colOff>
          <xdr:row>2</xdr:row>
          <xdr:rowOff>12700</xdr:rowOff>
        </xdr:to>
        <xdr:sp macro="" textlink="">
          <xdr:nvSpPr>
            <xdr:cNvPr id="766986" name="Button 10" hidden="1">
              <a:extLst>
                <a:ext uri="{63B3BB69-23CF-44E3-9099-C40C66FF867C}">
                  <a14:compatExt spid="_x0000_s766986"/>
                </a:ext>
                <a:ext uri="{FF2B5EF4-FFF2-40B4-BE49-F238E27FC236}">
                  <a16:creationId xmlns:a16="http://schemas.microsoft.com/office/drawing/2014/main" id="{B61C416E-820A-40FE-C202-26F7162C71F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SEC_122000</a:t>
              </a:r>
            </a:p>
          </xdr:txBody>
        </xdr:sp>
        <xdr:clientData fPrintsWithSheet="0"/>
      </xdr:twoCellAnchor>
    </mc:Choice>
    <mc:Fallback/>
  </mc:AlternateContent>
</xdr:wsDr>
</file>

<file path=xl/drawings/drawing1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68001" name="Button 1" hidden="1">
              <a:extLst>
                <a:ext uri="{63B3BB69-23CF-44E3-9099-C40C66FF867C}">
                  <a14:compatExt spid="_x0000_s768001"/>
                </a:ext>
                <a:ext uri="{FF2B5EF4-FFF2-40B4-BE49-F238E27FC236}">
                  <a16:creationId xmlns:a16="http://schemas.microsoft.com/office/drawing/2014/main" id="{7F98F4BD-E4A1-419A-A1A7-2664B74E559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768002" name="Button 2" hidden="1">
              <a:extLst>
                <a:ext uri="{63B3BB69-23CF-44E3-9099-C40C66FF867C}">
                  <a14:compatExt spid="_x0000_s768002"/>
                </a:ext>
                <a:ext uri="{FF2B5EF4-FFF2-40B4-BE49-F238E27FC236}">
                  <a16:creationId xmlns:a16="http://schemas.microsoft.com/office/drawing/2014/main" id="{2BA23FBF-33A9-4A49-A9D1-5BD0FF59F5C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768003" name="Button 3" hidden="1">
              <a:extLst>
                <a:ext uri="{63B3BB69-23CF-44E3-9099-C40C66FF867C}">
                  <a14:compatExt spid="_x0000_s768003"/>
                </a:ext>
                <a:ext uri="{FF2B5EF4-FFF2-40B4-BE49-F238E27FC236}">
                  <a16:creationId xmlns:a16="http://schemas.microsoft.com/office/drawing/2014/main" id="{76169DB5-99CE-4468-8A41-1D7F8039A1D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768004" name="Button 4" hidden="1">
              <a:extLst>
                <a:ext uri="{63B3BB69-23CF-44E3-9099-C40C66FF867C}">
                  <a14:compatExt spid="_x0000_s768004"/>
                </a:ext>
                <a:ext uri="{FF2B5EF4-FFF2-40B4-BE49-F238E27FC236}">
                  <a16:creationId xmlns:a16="http://schemas.microsoft.com/office/drawing/2014/main" id="{5120A633-3041-48C7-9CEC-BF7539B00EF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768005" name="Button 5" hidden="1">
              <a:extLst>
                <a:ext uri="{63B3BB69-23CF-44E3-9099-C40C66FF867C}">
                  <a14:compatExt spid="_x0000_s768005"/>
                </a:ext>
                <a:ext uri="{FF2B5EF4-FFF2-40B4-BE49-F238E27FC236}">
                  <a16:creationId xmlns:a16="http://schemas.microsoft.com/office/drawing/2014/main" id="{37BC20E8-0C71-4218-99A0-9ECB8AD8AA4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768006" name="Button 6" hidden="1">
              <a:extLst>
                <a:ext uri="{63B3BB69-23CF-44E3-9099-C40C66FF867C}">
                  <a14:compatExt spid="_x0000_s768006"/>
                </a:ext>
                <a:ext uri="{FF2B5EF4-FFF2-40B4-BE49-F238E27FC236}">
                  <a16:creationId xmlns:a16="http://schemas.microsoft.com/office/drawing/2014/main" id="{E6319062-AD69-4A12-A899-DD8A56AE8CE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768007" name="Button 7" hidden="1">
              <a:extLst>
                <a:ext uri="{63B3BB69-23CF-44E3-9099-C40C66FF867C}">
                  <a14:compatExt spid="_x0000_s768007"/>
                </a:ext>
                <a:ext uri="{FF2B5EF4-FFF2-40B4-BE49-F238E27FC236}">
                  <a16:creationId xmlns:a16="http://schemas.microsoft.com/office/drawing/2014/main" id="{8F61F685-E209-4D88-BDCD-7EBD04E53AA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768008" name="Button 8" hidden="1">
              <a:extLst>
                <a:ext uri="{63B3BB69-23CF-44E3-9099-C40C66FF867C}">
                  <a14:compatExt spid="_x0000_s768008"/>
                </a:ext>
                <a:ext uri="{FF2B5EF4-FFF2-40B4-BE49-F238E27FC236}">
                  <a16:creationId xmlns:a16="http://schemas.microsoft.com/office/drawing/2014/main" id="{BC507B85-1559-4CC6-AAEE-9D0FE38FCCD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0</xdr:row>
          <xdr:rowOff>0</xdr:rowOff>
        </xdr:from>
        <xdr:to>
          <xdr:col>16</xdr:col>
          <xdr:colOff>1270000</xdr:colOff>
          <xdr:row>2</xdr:row>
          <xdr:rowOff>12700</xdr:rowOff>
        </xdr:to>
        <xdr:sp macro="" textlink="">
          <xdr:nvSpPr>
            <xdr:cNvPr id="768010" name="Button 10" hidden="1">
              <a:extLst>
                <a:ext uri="{63B3BB69-23CF-44E3-9099-C40C66FF867C}">
                  <a14:compatExt spid="_x0000_s768010"/>
                </a:ext>
                <a:ext uri="{FF2B5EF4-FFF2-40B4-BE49-F238E27FC236}">
                  <a16:creationId xmlns:a16="http://schemas.microsoft.com/office/drawing/2014/main" id="{1BEFAA2A-CAEE-5807-C1CC-C23940AAF9F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SEC_123000</a:t>
              </a:r>
            </a:p>
          </xdr:txBody>
        </xdr:sp>
        <xdr:clientData fPrintsWithSheet="0"/>
      </xdr:twoCellAnchor>
    </mc:Choice>
    <mc:Fallback/>
  </mc:AlternateContent>
</xdr:wsDr>
</file>

<file path=xl/drawings/drawing1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69025" name="Button 1" hidden="1">
              <a:extLst>
                <a:ext uri="{63B3BB69-23CF-44E3-9099-C40C66FF867C}">
                  <a14:compatExt spid="_x0000_s769025"/>
                </a:ext>
                <a:ext uri="{FF2B5EF4-FFF2-40B4-BE49-F238E27FC236}">
                  <a16:creationId xmlns:a16="http://schemas.microsoft.com/office/drawing/2014/main" id="{9B83D5DB-3634-4AF4-AABA-6ACCE411733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769026" name="Button 2" hidden="1">
              <a:extLst>
                <a:ext uri="{63B3BB69-23CF-44E3-9099-C40C66FF867C}">
                  <a14:compatExt spid="_x0000_s769026"/>
                </a:ext>
                <a:ext uri="{FF2B5EF4-FFF2-40B4-BE49-F238E27FC236}">
                  <a16:creationId xmlns:a16="http://schemas.microsoft.com/office/drawing/2014/main" id="{165F9435-4494-4E33-AD56-38C365DD3C7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769027" name="Button 3" hidden="1">
              <a:extLst>
                <a:ext uri="{63B3BB69-23CF-44E3-9099-C40C66FF867C}">
                  <a14:compatExt spid="_x0000_s769027"/>
                </a:ext>
                <a:ext uri="{FF2B5EF4-FFF2-40B4-BE49-F238E27FC236}">
                  <a16:creationId xmlns:a16="http://schemas.microsoft.com/office/drawing/2014/main" id="{BB23CEF3-101B-4F83-B3D4-C9180BF5159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769028" name="Button 4" hidden="1">
              <a:extLst>
                <a:ext uri="{63B3BB69-23CF-44E3-9099-C40C66FF867C}">
                  <a14:compatExt spid="_x0000_s769028"/>
                </a:ext>
                <a:ext uri="{FF2B5EF4-FFF2-40B4-BE49-F238E27FC236}">
                  <a16:creationId xmlns:a16="http://schemas.microsoft.com/office/drawing/2014/main" id="{7EBB7B73-A563-4353-A59E-06336A763BD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769029" name="Button 5" hidden="1">
              <a:extLst>
                <a:ext uri="{63B3BB69-23CF-44E3-9099-C40C66FF867C}">
                  <a14:compatExt spid="_x0000_s769029"/>
                </a:ext>
                <a:ext uri="{FF2B5EF4-FFF2-40B4-BE49-F238E27FC236}">
                  <a16:creationId xmlns:a16="http://schemas.microsoft.com/office/drawing/2014/main" id="{8F622911-C718-408D-B601-4E87B1DDEDA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769030" name="Button 6" hidden="1">
              <a:extLst>
                <a:ext uri="{63B3BB69-23CF-44E3-9099-C40C66FF867C}">
                  <a14:compatExt spid="_x0000_s769030"/>
                </a:ext>
                <a:ext uri="{FF2B5EF4-FFF2-40B4-BE49-F238E27FC236}">
                  <a16:creationId xmlns:a16="http://schemas.microsoft.com/office/drawing/2014/main" id="{D110273F-FAAC-4032-A432-1140C1EE502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769031" name="Button 7" hidden="1">
              <a:extLst>
                <a:ext uri="{63B3BB69-23CF-44E3-9099-C40C66FF867C}">
                  <a14:compatExt spid="_x0000_s769031"/>
                </a:ext>
                <a:ext uri="{FF2B5EF4-FFF2-40B4-BE49-F238E27FC236}">
                  <a16:creationId xmlns:a16="http://schemas.microsoft.com/office/drawing/2014/main" id="{2F9F1ED7-0AC9-485C-B53A-D061BC9EDEA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769032" name="Button 8" hidden="1">
              <a:extLst>
                <a:ext uri="{63B3BB69-23CF-44E3-9099-C40C66FF867C}">
                  <a14:compatExt spid="_x0000_s769032"/>
                </a:ext>
                <a:ext uri="{FF2B5EF4-FFF2-40B4-BE49-F238E27FC236}">
                  <a16:creationId xmlns:a16="http://schemas.microsoft.com/office/drawing/2014/main" id="{2AEA3C08-1EAD-498C-B5F3-844BAEC7EB9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0</xdr:row>
          <xdr:rowOff>0</xdr:rowOff>
        </xdr:from>
        <xdr:to>
          <xdr:col>16</xdr:col>
          <xdr:colOff>1270000</xdr:colOff>
          <xdr:row>2</xdr:row>
          <xdr:rowOff>12700</xdr:rowOff>
        </xdr:to>
        <xdr:sp macro="" textlink="">
          <xdr:nvSpPr>
            <xdr:cNvPr id="769034" name="Button 10" hidden="1">
              <a:extLst>
                <a:ext uri="{63B3BB69-23CF-44E3-9099-C40C66FF867C}">
                  <a14:compatExt spid="_x0000_s769034"/>
                </a:ext>
                <a:ext uri="{FF2B5EF4-FFF2-40B4-BE49-F238E27FC236}">
                  <a16:creationId xmlns:a16="http://schemas.microsoft.com/office/drawing/2014/main" id="{71FD1BB5-B2D4-FCFE-62FD-55FB99816B1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SEC_124000</a:t>
              </a:r>
            </a:p>
          </xdr:txBody>
        </xdr:sp>
        <xdr:clientData fPrintsWithSheet="0"/>
      </xdr:twoCellAnchor>
    </mc:Choice>
    <mc:Fallback/>
  </mc:AlternateContent>
</xdr:wsDr>
</file>

<file path=xl/drawings/drawing1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70049" name="Button 1" hidden="1">
              <a:extLst>
                <a:ext uri="{63B3BB69-23CF-44E3-9099-C40C66FF867C}">
                  <a14:compatExt spid="_x0000_s770049"/>
                </a:ext>
                <a:ext uri="{FF2B5EF4-FFF2-40B4-BE49-F238E27FC236}">
                  <a16:creationId xmlns:a16="http://schemas.microsoft.com/office/drawing/2014/main" id="{B65F300A-71E5-41C9-AB9F-544103E702E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770050" name="Button 2" hidden="1">
              <a:extLst>
                <a:ext uri="{63B3BB69-23CF-44E3-9099-C40C66FF867C}">
                  <a14:compatExt spid="_x0000_s770050"/>
                </a:ext>
                <a:ext uri="{FF2B5EF4-FFF2-40B4-BE49-F238E27FC236}">
                  <a16:creationId xmlns:a16="http://schemas.microsoft.com/office/drawing/2014/main" id="{C6D37792-D797-4F92-B4E4-CC68F2078DA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770051" name="Button 3" hidden="1">
              <a:extLst>
                <a:ext uri="{63B3BB69-23CF-44E3-9099-C40C66FF867C}">
                  <a14:compatExt spid="_x0000_s770051"/>
                </a:ext>
                <a:ext uri="{FF2B5EF4-FFF2-40B4-BE49-F238E27FC236}">
                  <a16:creationId xmlns:a16="http://schemas.microsoft.com/office/drawing/2014/main" id="{705D21F6-D835-41E2-9E7A-AC91ADB8D87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770052" name="Button 4" hidden="1">
              <a:extLst>
                <a:ext uri="{63B3BB69-23CF-44E3-9099-C40C66FF867C}">
                  <a14:compatExt spid="_x0000_s770052"/>
                </a:ext>
                <a:ext uri="{FF2B5EF4-FFF2-40B4-BE49-F238E27FC236}">
                  <a16:creationId xmlns:a16="http://schemas.microsoft.com/office/drawing/2014/main" id="{61068A94-E056-4455-A5E3-7C903BCBF7F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770053" name="Button 5" hidden="1">
              <a:extLst>
                <a:ext uri="{63B3BB69-23CF-44E3-9099-C40C66FF867C}">
                  <a14:compatExt spid="_x0000_s770053"/>
                </a:ext>
                <a:ext uri="{FF2B5EF4-FFF2-40B4-BE49-F238E27FC236}">
                  <a16:creationId xmlns:a16="http://schemas.microsoft.com/office/drawing/2014/main" id="{4EA448FC-ADB7-4685-A857-E5FE638E73E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770054" name="Button 6" hidden="1">
              <a:extLst>
                <a:ext uri="{63B3BB69-23CF-44E3-9099-C40C66FF867C}">
                  <a14:compatExt spid="_x0000_s770054"/>
                </a:ext>
                <a:ext uri="{FF2B5EF4-FFF2-40B4-BE49-F238E27FC236}">
                  <a16:creationId xmlns:a16="http://schemas.microsoft.com/office/drawing/2014/main" id="{E93D5835-EF9C-4816-92DB-28F34418A9F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770055" name="Button 7" hidden="1">
              <a:extLst>
                <a:ext uri="{63B3BB69-23CF-44E3-9099-C40C66FF867C}">
                  <a14:compatExt spid="_x0000_s770055"/>
                </a:ext>
                <a:ext uri="{FF2B5EF4-FFF2-40B4-BE49-F238E27FC236}">
                  <a16:creationId xmlns:a16="http://schemas.microsoft.com/office/drawing/2014/main" id="{2A884654-8327-4F5A-94F9-38A5F89CD6C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770056" name="Button 8" hidden="1">
              <a:extLst>
                <a:ext uri="{63B3BB69-23CF-44E3-9099-C40C66FF867C}">
                  <a14:compatExt spid="_x0000_s770056"/>
                </a:ext>
                <a:ext uri="{FF2B5EF4-FFF2-40B4-BE49-F238E27FC236}">
                  <a16:creationId xmlns:a16="http://schemas.microsoft.com/office/drawing/2014/main" id="{861B4B2C-B4B2-4784-9575-8C5FCE9C4F8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0</xdr:row>
          <xdr:rowOff>0</xdr:rowOff>
        </xdr:from>
        <xdr:to>
          <xdr:col>16</xdr:col>
          <xdr:colOff>1270000</xdr:colOff>
          <xdr:row>2</xdr:row>
          <xdr:rowOff>12700</xdr:rowOff>
        </xdr:to>
        <xdr:sp macro="" textlink="">
          <xdr:nvSpPr>
            <xdr:cNvPr id="770058" name="Button 10" hidden="1">
              <a:extLst>
                <a:ext uri="{63B3BB69-23CF-44E3-9099-C40C66FF867C}">
                  <a14:compatExt spid="_x0000_s770058"/>
                </a:ext>
                <a:ext uri="{FF2B5EF4-FFF2-40B4-BE49-F238E27FC236}">
                  <a16:creationId xmlns:a16="http://schemas.microsoft.com/office/drawing/2014/main" id="{E65171B0-6E2F-1761-0874-F13A0816001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SEC_125000</a:t>
              </a:r>
            </a:p>
          </xdr:txBody>
        </xdr:sp>
        <xdr:clientData fPrintsWithSheet="0"/>
      </xdr:twoCellAnchor>
    </mc:Choice>
    <mc:Fallback/>
  </mc:AlternateContent>
</xdr:wsDr>
</file>

<file path=xl/drawings/drawing1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71073" name="Button 1" hidden="1">
              <a:extLst>
                <a:ext uri="{63B3BB69-23CF-44E3-9099-C40C66FF867C}">
                  <a14:compatExt spid="_x0000_s771073"/>
                </a:ext>
                <a:ext uri="{FF2B5EF4-FFF2-40B4-BE49-F238E27FC236}">
                  <a16:creationId xmlns:a16="http://schemas.microsoft.com/office/drawing/2014/main" id="{EB2F076E-9011-4FC8-9349-3B810BA106F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771074" name="Button 2" hidden="1">
              <a:extLst>
                <a:ext uri="{63B3BB69-23CF-44E3-9099-C40C66FF867C}">
                  <a14:compatExt spid="_x0000_s771074"/>
                </a:ext>
                <a:ext uri="{FF2B5EF4-FFF2-40B4-BE49-F238E27FC236}">
                  <a16:creationId xmlns:a16="http://schemas.microsoft.com/office/drawing/2014/main" id="{C5B9678C-18B8-401B-90A1-A8C99EBA07F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771075" name="Button 3" hidden="1">
              <a:extLst>
                <a:ext uri="{63B3BB69-23CF-44E3-9099-C40C66FF867C}">
                  <a14:compatExt spid="_x0000_s771075"/>
                </a:ext>
                <a:ext uri="{FF2B5EF4-FFF2-40B4-BE49-F238E27FC236}">
                  <a16:creationId xmlns:a16="http://schemas.microsoft.com/office/drawing/2014/main" id="{53D7E8C7-F0DD-4930-85E5-284E01654CF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771076" name="Button 4" hidden="1">
              <a:extLst>
                <a:ext uri="{63B3BB69-23CF-44E3-9099-C40C66FF867C}">
                  <a14:compatExt spid="_x0000_s771076"/>
                </a:ext>
                <a:ext uri="{FF2B5EF4-FFF2-40B4-BE49-F238E27FC236}">
                  <a16:creationId xmlns:a16="http://schemas.microsoft.com/office/drawing/2014/main" id="{4390B903-7EF6-41A8-B34A-A2DA6BB3979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771077" name="Button 5" hidden="1">
              <a:extLst>
                <a:ext uri="{63B3BB69-23CF-44E3-9099-C40C66FF867C}">
                  <a14:compatExt spid="_x0000_s771077"/>
                </a:ext>
                <a:ext uri="{FF2B5EF4-FFF2-40B4-BE49-F238E27FC236}">
                  <a16:creationId xmlns:a16="http://schemas.microsoft.com/office/drawing/2014/main" id="{CE840175-9D66-4D70-A1B5-D1474638C78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771078" name="Button 6" hidden="1">
              <a:extLst>
                <a:ext uri="{63B3BB69-23CF-44E3-9099-C40C66FF867C}">
                  <a14:compatExt spid="_x0000_s771078"/>
                </a:ext>
                <a:ext uri="{FF2B5EF4-FFF2-40B4-BE49-F238E27FC236}">
                  <a16:creationId xmlns:a16="http://schemas.microsoft.com/office/drawing/2014/main" id="{E37F8FCD-2415-483F-B955-27CC3F96061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771079" name="Button 7" hidden="1">
              <a:extLst>
                <a:ext uri="{63B3BB69-23CF-44E3-9099-C40C66FF867C}">
                  <a14:compatExt spid="_x0000_s771079"/>
                </a:ext>
                <a:ext uri="{FF2B5EF4-FFF2-40B4-BE49-F238E27FC236}">
                  <a16:creationId xmlns:a16="http://schemas.microsoft.com/office/drawing/2014/main" id="{A153A5D0-4D9F-499C-ABC5-02E0C8016AD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771080" name="Button 8" hidden="1">
              <a:extLst>
                <a:ext uri="{63B3BB69-23CF-44E3-9099-C40C66FF867C}">
                  <a14:compatExt spid="_x0000_s771080"/>
                </a:ext>
                <a:ext uri="{FF2B5EF4-FFF2-40B4-BE49-F238E27FC236}">
                  <a16:creationId xmlns:a16="http://schemas.microsoft.com/office/drawing/2014/main" id="{DA91C6C2-2E71-4502-BAC8-3F879B95269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0</xdr:row>
          <xdr:rowOff>0</xdr:rowOff>
        </xdr:from>
        <xdr:to>
          <xdr:col>16</xdr:col>
          <xdr:colOff>1270000</xdr:colOff>
          <xdr:row>2</xdr:row>
          <xdr:rowOff>12700</xdr:rowOff>
        </xdr:to>
        <xdr:sp macro="" textlink="">
          <xdr:nvSpPr>
            <xdr:cNvPr id="771082" name="Button 10" hidden="1">
              <a:extLst>
                <a:ext uri="{63B3BB69-23CF-44E3-9099-C40C66FF867C}">
                  <a14:compatExt spid="_x0000_s771082"/>
                </a:ext>
                <a:ext uri="{FF2B5EF4-FFF2-40B4-BE49-F238E27FC236}">
                  <a16:creationId xmlns:a16="http://schemas.microsoft.com/office/drawing/2014/main" id="{F828A4D4-1061-7606-0A93-ED38ACAB592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SEC_126000</a:t>
              </a:r>
            </a:p>
          </xdr:txBody>
        </xdr:sp>
        <xdr:clientData fPrintsWithSheet="0"/>
      </xdr:twoCellAnchor>
    </mc:Choice>
    <mc:Fallback/>
  </mc:AlternateContent>
</xdr:wsDr>
</file>

<file path=xl/drawings/drawing1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72097" name="Button 1" hidden="1">
              <a:extLst>
                <a:ext uri="{63B3BB69-23CF-44E3-9099-C40C66FF867C}">
                  <a14:compatExt spid="_x0000_s772097"/>
                </a:ext>
                <a:ext uri="{FF2B5EF4-FFF2-40B4-BE49-F238E27FC236}">
                  <a16:creationId xmlns:a16="http://schemas.microsoft.com/office/drawing/2014/main" id="{7ADFA65B-C525-46F9-AD02-4DCA679CDAB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772098" name="Button 2" hidden="1">
              <a:extLst>
                <a:ext uri="{63B3BB69-23CF-44E3-9099-C40C66FF867C}">
                  <a14:compatExt spid="_x0000_s772098"/>
                </a:ext>
                <a:ext uri="{FF2B5EF4-FFF2-40B4-BE49-F238E27FC236}">
                  <a16:creationId xmlns:a16="http://schemas.microsoft.com/office/drawing/2014/main" id="{94C6E28C-E81A-462D-BCEE-F8458CAF07A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772099" name="Button 3" hidden="1">
              <a:extLst>
                <a:ext uri="{63B3BB69-23CF-44E3-9099-C40C66FF867C}">
                  <a14:compatExt spid="_x0000_s772099"/>
                </a:ext>
                <a:ext uri="{FF2B5EF4-FFF2-40B4-BE49-F238E27FC236}">
                  <a16:creationId xmlns:a16="http://schemas.microsoft.com/office/drawing/2014/main" id="{F0B8D36F-F4C0-42EE-BAFE-A8DAE5E550C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772100" name="Button 4" hidden="1">
              <a:extLst>
                <a:ext uri="{63B3BB69-23CF-44E3-9099-C40C66FF867C}">
                  <a14:compatExt spid="_x0000_s772100"/>
                </a:ext>
                <a:ext uri="{FF2B5EF4-FFF2-40B4-BE49-F238E27FC236}">
                  <a16:creationId xmlns:a16="http://schemas.microsoft.com/office/drawing/2014/main" id="{088048B7-083F-4D87-B655-317A530DCD1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772101" name="Button 5" hidden="1">
              <a:extLst>
                <a:ext uri="{63B3BB69-23CF-44E3-9099-C40C66FF867C}">
                  <a14:compatExt spid="_x0000_s772101"/>
                </a:ext>
                <a:ext uri="{FF2B5EF4-FFF2-40B4-BE49-F238E27FC236}">
                  <a16:creationId xmlns:a16="http://schemas.microsoft.com/office/drawing/2014/main" id="{86CAB91B-8511-4D61-8292-253AF3F78E0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772102" name="Button 6" hidden="1">
              <a:extLst>
                <a:ext uri="{63B3BB69-23CF-44E3-9099-C40C66FF867C}">
                  <a14:compatExt spid="_x0000_s772102"/>
                </a:ext>
                <a:ext uri="{FF2B5EF4-FFF2-40B4-BE49-F238E27FC236}">
                  <a16:creationId xmlns:a16="http://schemas.microsoft.com/office/drawing/2014/main" id="{AB534888-FE76-4CCB-A63B-6B371086A28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772103" name="Button 7" hidden="1">
              <a:extLst>
                <a:ext uri="{63B3BB69-23CF-44E3-9099-C40C66FF867C}">
                  <a14:compatExt spid="_x0000_s772103"/>
                </a:ext>
                <a:ext uri="{FF2B5EF4-FFF2-40B4-BE49-F238E27FC236}">
                  <a16:creationId xmlns:a16="http://schemas.microsoft.com/office/drawing/2014/main" id="{6D2CF10A-712C-467F-AD25-49C5A398443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772104" name="Button 8" hidden="1">
              <a:extLst>
                <a:ext uri="{63B3BB69-23CF-44E3-9099-C40C66FF867C}">
                  <a14:compatExt spid="_x0000_s772104"/>
                </a:ext>
                <a:ext uri="{FF2B5EF4-FFF2-40B4-BE49-F238E27FC236}">
                  <a16:creationId xmlns:a16="http://schemas.microsoft.com/office/drawing/2014/main" id="{A2C8F6C8-4596-4EEC-AFB1-6640E08339C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0</xdr:row>
          <xdr:rowOff>0</xdr:rowOff>
        </xdr:from>
        <xdr:to>
          <xdr:col>16</xdr:col>
          <xdr:colOff>1270000</xdr:colOff>
          <xdr:row>2</xdr:row>
          <xdr:rowOff>12700</xdr:rowOff>
        </xdr:to>
        <xdr:sp macro="" textlink="">
          <xdr:nvSpPr>
            <xdr:cNvPr id="772106" name="Button 10" hidden="1">
              <a:extLst>
                <a:ext uri="{63B3BB69-23CF-44E3-9099-C40C66FF867C}">
                  <a14:compatExt spid="_x0000_s772106"/>
                </a:ext>
                <a:ext uri="{FF2B5EF4-FFF2-40B4-BE49-F238E27FC236}">
                  <a16:creationId xmlns:a16="http://schemas.microsoft.com/office/drawing/2014/main" id="{413D9647-9F36-C922-7392-67EB1C3E1D1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SEC_129000</a:t>
              </a:r>
            </a:p>
          </xdr:txBody>
        </xdr:sp>
        <xdr:clientData fPrintsWithSheet="0"/>
      </xdr:twoCellAnchor>
    </mc:Choice>
    <mc:Fallback/>
  </mc:AlternateContent>
</xdr:wsDr>
</file>

<file path=xl/drawings/drawing1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74145" name="Button 1" hidden="1">
              <a:extLst>
                <a:ext uri="{63B3BB69-23CF-44E3-9099-C40C66FF867C}">
                  <a14:compatExt spid="_x0000_s774145"/>
                </a:ext>
                <a:ext uri="{FF2B5EF4-FFF2-40B4-BE49-F238E27FC236}">
                  <a16:creationId xmlns:a16="http://schemas.microsoft.com/office/drawing/2014/main" id="{3E45ED09-6673-83E7-9078-F673ED9B14F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774146" name="Button 2" hidden="1">
              <a:extLst>
                <a:ext uri="{63B3BB69-23CF-44E3-9099-C40C66FF867C}">
                  <a14:compatExt spid="_x0000_s774146"/>
                </a:ext>
                <a:ext uri="{FF2B5EF4-FFF2-40B4-BE49-F238E27FC236}">
                  <a16:creationId xmlns:a16="http://schemas.microsoft.com/office/drawing/2014/main" id="{19636C3D-3E86-E358-4566-C6830B6FC97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774147" name="Button 3" hidden="1">
              <a:extLst>
                <a:ext uri="{63B3BB69-23CF-44E3-9099-C40C66FF867C}">
                  <a14:compatExt spid="_x0000_s774147"/>
                </a:ext>
                <a:ext uri="{FF2B5EF4-FFF2-40B4-BE49-F238E27FC236}">
                  <a16:creationId xmlns:a16="http://schemas.microsoft.com/office/drawing/2014/main" id="{9CA9448F-B83B-5B7A-8E56-9E857C85268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774148" name="Button 4" hidden="1">
              <a:extLst>
                <a:ext uri="{63B3BB69-23CF-44E3-9099-C40C66FF867C}">
                  <a14:compatExt spid="_x0000_s774148"/>
                </a:ext>
                <a:ext uri="{FF2B5EF4-FFF2-40B4-BE49-F238E27FC236}">
                  <a16:creationId xmlns:a16="http://schemas.microsoft.com/office/drawing/2014/main" id="{66B36D3D-383D-433D-A9AC-1E8EE4D803F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774149" name="Button 5" hidden="1">
              <a:extLst>
                <a:ext uri="{63B3BB69-23CF-44E3-9099-C40C66FF867C}">
                  <a14:compatExt spid="_x0000_s774149"/>
                </a:ext>
                <a:ext uri="{FF2B5EF4-FFF2-40B4-BE49-F238E27FC236}">
                  <a16:creationId xmlns:a16="http://schemas.microsoft.com/office/drawing/2014/main" id="{00A4C5B2-7DC6-1FCA-E9FB-61F083A82E3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774150" name="Button 6" hidden="1">
              <a:extLst>
                <a:ext uri="{63B3BB69-23CF-44E3-9099-C40C66FF867C}">
                  <a14:compatExt spid="_x0000_s774150"/>
                </a:ext>
                <a:ext uri="{FF2B5EF4-FFF2-40B4-BE49-F238E27FC236}">
                  <a16:creationId xmlns:a16="http://schemas.microsoft.com/office/drawing/2014/main" id="{717661E4-CF05-AE50-00C3-5BDC9B7B0D2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774151" name="Button 7" hidden="1">
              <a:extLst>
                <a:ext uri="{63B3BB69-23CF-44E3-9099-C40C66FF867C}">
                  <a14:compatExt spid="_x0000_s774151"/>
                </a:ext>
                <a:ext uri="{FF2B5EF4-FFF2-40B4-BE49-F238E27FC236}">
                  <a16:creationId xmlns:a16="http://schemas.microsoft.com/office/drawing/2014/main" id="{3484CAC2-31CD-4B26-FC89-F748E04835C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774152" name="Button 8" hidden="1">
              <a:extLst>
                <a:ext uri="{63B3BB69-23CF-44E3-9099-C40C66FF867C}">
                  <a14:compatExt spid="_x0000_s774152"/>
                </a:ext>
                <a:ext uri="{FF2B5EF4-FFF2-40B4-BE49-F238E27FC236}">
                  <a16:creationId xmlns:a16="http://schemas.microsoft.com/office/drawing/2014/main" id="{B4094FE3-0CFA-557F-02FE-148AC1A8DDA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1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2</xdr:row>
          <xdr:rowOff>50800</xdr:rowOff>
        </xdr:from>
        <xdr:to>
          <xdr:col>19</xdr:col>
          <xdr:colOff>50800</xdr:colOff>
          <xdr:row>4</xdr:row>
          <xdr:rowOff>101600</xdr:rowOff>
        </xdr:to>
        <xdr:sp macro="" textlink="">
          <xdr:nvSpPr>
            <xdr:cNvPr id="775174" name="Button 6" hidden="1">
              <a:extLst>
                <a:ext uri="{63B3BB69-23CF-44E3-9099-C40C66FF867C}">
                  <a14:compatExt spid="_x0000_s775174"/>
                </a:ext>
                <a:ext uri="{FF2B5EF4-FFF2-40B4-BE49-F238E27FC236}">
                  <a16:creationId xmlns:a16="http://schemas.microsoft.com/office/drawing/2014/main" id="{8E0AB36F-032D-4655-4B4B-ED90579C1C9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5</xdr:row>
          <xdr:rowOff>50800</xdr:rowOff>
        </xdr:from>
        <xdr:to>
          <xdr:col>19</xdr:col>
          <xdr:colOff>50800</xdr:colOff>
          <xdr:row>7</xdr:row>
          <xdr:rowOff>57150</xdr:rowOff>
        </xdr:to>
        <xdr:sp macro="" textlink="">
          <xdr:nvSpPr>
            <xdr:cNvPr id="775175" name="Button 7" hidden="1">
              <a:extLst>
                <a:ext uri="{63B3BB69-23CF-44E3-9099-C40C66FF867C}">
                  <a14:compatExt spid="_x0000_s775175"/>
                </a:ext>
                <a:ext uri="{FF2B5EF4-FFF2-40B4-BE49-F238E27FC236}">
                  <a16:creationId xmlns:a16="http://schemas.microsoft.com/office/drawing/2014/main" id="{C91EBC4E-5767-1D19-726E-4416589374B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7</xdr:row>
          <xdr:rowOff>171450</xdr:rowOff>
        </xdr:from>
        <xdr:to>
          <xdr:col>19</xdr:col>
          <xdr:colOff>50800</xdr:colOff>
          <xdr:row>9</xdr:row>
          <xdr:rowOff>171450</xdr:rowOff>
        </xdr:to>
        <xdr:sp macro="" textlink="">
          <xdr:nvSpPr>
            <xdr:cNvPr id="775176" name="Button 8" hidden="1">
              <a:extLst>
                <a:ext uri="{63B3BB69-23CF-44E3-9099-C40C66FF867C}">
                  <a14:compatExt spid="_x0000_s775176"/>
                </a:ext>
                <a:ext uri="{FF2B5EF4-FFF2-40B4-BE49-F238E27FC236}">
                  <a16:creationId xmlns:a16="http://schemas.microsoft.com/office/drawing/2014/main" id="{E6030E72-794A-8C23-826E-D9E2E4F45A4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75177" name="Button 9" hidden="1">
              <a:extLst>
                <a:ext uri="{63B3BB69-23CF-44E3-9099-C40C66FF867C}">
                  <a14:compatExt spid="_x0000_s775177"/>
                </a:ext>
                <a:ext uri="{FF2B5EF4-FFF2-40B4-BE49-F238E27FC236}">
                  <a16:creationId xmlns:a16="http://schemas.microsoft.com/office/drawing/2014/main" id="{BCF60859-978A-80A3-DB49-43177C255E4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Refresh View</a:t>
              </a:r>
            </a:p>
          </xdr:txBody>
        </xdr:sp>
        <xdr:clientData fPrintsWithSheet="0"/>
      </xdr:twoCellAnchor>
    </mc:Choice>
    <mc:Fallback/>
  </mc:AlternateContent>
</xdr:wsDr>
</file>

<file path=xl/drawings/drawing1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603250</xdr:colOff>
          <xdr:row>0</xdr:row>
          <xdr:rowOff>0</xdr:rowOff>
        </xdr:from>
        <xdr:to>
          <xdr:col>19</xdr:col>
          <xdr:colOff>44450</xdr:colOff>
          <xdr:row>2</xdr:row>
          <xdr:rowOff>12700</xdr:rowOff>
        </xdr:to>
        <xdr:sp macro="" textlink="">
          <xdr:nvSpPr>
            <xdr:cNvPr id="776193" name="Button 1" hidden="1">
              <a:extLst>
                <a:ext uri="{63B3BB69-23CF-44E3-9099-C40C66FF867C}">
                  <a14:compatExt spid="_x0000_s776193"/>
                </a:ext>
                <a:ext uri="{FF2B5EF4-FFF2-40B4-BE49-F238E27FC236}">
                  <a16:creationId xmlns:a16="http://schemas.microsoft.com/office/drawing/2014/main" id="{740E881E-11C4-1347-0AF7-9DC220BAC78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603250</xdr:colOff>
          <xdr:row>2</xdr:row>
          <xdr:rowOff>38100</xdr:rowOff>
        </xdr:from>
        <xdr:to>
          <xdr:col>19</xdr:col>
          <xdr:colOff>44450</xdr:colOff>
          <xdr:row>4</xdr:row>
          <xdr:rowOff>50800</xdr:rowOff>
        </xdr:to>
        <xdr:sp macro="" textlink="">
          <xdr:nvSpPr>
            <xdr:cNvPr id="776194" name="Button 2" hidden="1">
              <a:extLst>
                <a:ext uri="{63B3BB69-23CF-44E3-9099-C40C66FF867C}">
                  <a14:compatExt spid="_x0000_s776194"/>
                </a:ext>
                <a:ext uri="{FF2B5EF4-FFF2-40B4-BE49-F238E27FC236}">
                  <a16:creationId xmlns:a16="http://schemas.microsoft.com/office/drawing/2014/main" id="{07FFE480-8EBD-1851-448B-06E92FF8FED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603250</xdr:colOff>
          <xdr:row>4</xdr:row>
          <xdr:rowOff>76200</xdr:rowOff>
        </xdr:from>
        <xdr:to>
          <xdr:col>19</xdr:col>
          <xdr:colOff>44450</xdr:colOff>
          <xdr:row>6</xdr:row>
          <xdr:rowOff>88900</xdr:rowOff>
        </xdr:to>
        <xdr:sp macro="" textlink="">
          <xdr:nvSpPr>
            <xdr:cNvPr id="776195" name="Button 3" hidden="1">
              <a:extLst>
                <a:ext uri="{63B3BB69-23CF-44E3-9099-C40C66FF867C}">
                  <a14:compatExt spid="_x0000_s776195"/>
                </a:ext>
                <a:ext uri="{FF2B5EF4-FFF2-40B4-BE49-F238E27FC236}">
                  <a16:creationId xmlns:a16="http://schemas.microsoft.com/office/drawing/2014/main" id="{8459DAFB-48C3-1D12-41DF-652B2FAEC1C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a:t>
              </a:r>
            </a:p>
          </xdr:txBody>
        </xdr:sp>
        <xdr:clientData fPrintsWithSheet="0"/>
      </xdr:twoCellAnchor>
    </mc:Choice>
    <mc:Fallback/>
  </mc:AlternateContent>
</xdr:wsDr>
</file>

<file path=xl/drawings/drawing1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50800</xdr:rowOff>
        </xdr:from>
        <xdr:to>
          <xdr:col>18</xdr:col>
          <xdr:colOff>228600</xdr:colOff>
          <xdr:row>1</xdr:row>
          <xdr:rowOff>146050</xdr:rowOff>
        </xdr:to>
        <xdr:sp macro="" textlink="">
          <xdr:nvSpPr>
            <xdr:cNvPr id="777217" name="Button 1" hidden="1">
              <a:extLst>
                <a:ext uri="{63B3BB69-23CF-44E3-9099-C40C66FF867C}">
                  <a14:compatExt spid="_x0000_s777217"/>
                </a:ext>
                <a:ext uri="{FF2B5EF4-FFF2-40B4-BE49-F238E27FC236}">
                  <a16:creationId xmlns:a16="http://schemas.microsoft.com/office/drawing/2014/main" id="{496C2494-C7DD-8BEF-4D04-2E482CD75F7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xdr:wsDr>
</file>

<file path=xl/drawings/drawing1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78241" name="Button 1" hidden="1">
              <a:extLst>
                <a:ext uri="{63B3BB69-23CF-44E3-9099-C40C66FF867C}">
                  <a14:compatExt spid="_x0000_s778241"/>
                </a:ext>
                <a:ext uri="{FF2B5EF4-FFF2-40B4-BE49-F238E27FC236}">
                  <a16:creationId xmlns:a16="http://schemas.microsoft.com/office/drawing/2014/main" id="{B2720ABF-E4AE-432F-826A-D354F2C7016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778242" name="Button 2" hidden="1">
              <a:extLst>
                <a:ext uri="{63B3BB69-23CF-44E3-9099-C40C66FF867C}">
                  <a14:compatExt spid="_x0000_s778242"/>
                </a:ext>
                <a:ext uri="{FF2B5EF4-FFF2-40B4-BE49-F238E27FC236}">
                  <a16:creationId xmlns:a16="http://schemas.microsoft.com/office/drawing/2014/main" id="{44AE1468-8038-4355-9C07-3397085B3D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778243" name="Button 3" hidden="1">
              <a:extLst>
                <a:ext uri="{63B3BB69-23CF-44E3-9099-C40C66FF867C}">
                  <a14:compatExt spid="_x0000_s778243"/>
                </a:ext>
                <a:ext uri="{FF2B5EF4-FFF2-40B4-BE49-F238E27FC236}">
                  <a16:creationId xmlns:a16="http://schemas.microsoft.com/office/drawing/2014/main" id="{DF19A275-C0D6-44B7-AC15-006085D6EE8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778244" name="Button 4" hidden="1">
              <a:extLst>
                <a:ext uri="{63B3BB69-23CF-44E3-9099-C40C66FF867C}">
                  <a14:compatExt spid="_x0000_s778244"/>
                </a:ext>
                <a:ext uri="{FF2B5EF4-FFF2-40B4-BE49-F238E27FC236}">
                  <a16:creationId xmlns:a16="http://schemas.microsoft.com/office/drawing/2014/main" id="{2340CF25-66C0-467B-84FE-66243F7DBD9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778245" name="Button 5" hidden="1">
              <a:extLst>
                <a:ext uri="{63B3BB69-23CF-44E3-9099-C40C66FF867C}">
                  <a14:compatExt spid="_x0000_s778245"/>
                </a:ext>
                <a:ext uri="{FF2B5EF4-FFF2-40B4-BE49-F238E27FC236}">
                  <a16:creationId xmlns:a16="http://schemas.microsoft.com/office/drawing/2014/main" id="{D6825127-E4BF-48E5-A0AC-41BBC099846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778246" name="Button 6" hidden="1">
              <a:extLst>
                <a:ext uri="{63B3BB69-23CF-44E3-9099-C40C66FF867C}">
                  <a14:compatExt spid="_x0000_s778246"/>
                </a:ext>
                <a:ext uri="{FF2B5EF4-FFF2-40B4-BE49-F238E27FC236}">
                  <a16:creationId xmlns:a16="http://schemas.microsoft.com/office/drawing/2014/main" id="{2A80C88D-99D6-4C22-8577-C7921A15463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778247" name="Button 7" hidden="1">
              <a:extLst>
                <a:ext uri="{63B3BB69-23CF-44E3-9099-C40C66FF867C}">
                  <a14:compatExt spid="_x0000_s778247"/>
                </a:ext>
                <a:ext uri="{FF2B5EF4-FFF2-40B4-BE49-F238E27FC236}">
                  <a16:creationId xmlns:a16="http://schemas.microsoft.com/office/drawing/2014/main" id="{966EC26F-CB90-45A9-B3E0-B6BA5D0B56D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778248" name="Button 8" hidden="1">
              <a:extLst>
                <a:ext uri="{63B3BB69-23CF-44E3-9099-C40C66FF867C}">
                  <a14:compatExt spid="_x0000_s778248"/>
                </a:ext>
                <a:ext uri="{FF2B5EF4-FFF2-40B4-BE49-F238E27FC236}">
                  <a16:creationId xmlns:a16="http://schemas.microsoft.com/office/drawing/2014/main" id="{97798774-6335-445D-9545-33CCC3680A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0</xdr:row>
          <xdr:rowOff>0</xdr:rowOff>
        </xdr:from>
        <xdr:to>
          <xdr:col>16</xdr:col>
          <xdr:colOff>1270000</xdr:colOff>
          <xdr:row>2</xdr:row>
          <xdr:rowOff>12700</xdr:rowOff>
        </xdr:to>
        <xdr:sp macro="" textlink="">
          <xdr:nvSpPr>
            <xdr:cNvPr id="778249" name="Button 9" hidden="1">
              <a:extLst>
                <a:ext uri="{63B3BB69-23CF-44E3-9099-C40C66FF867C}">
                  <a14:compatExt spid="_x0000_s778249"/>
                </a:ext>
                <a:ext uri="{FF2B5EF4-FFF2-40B4-BE49-F238E27FC236}">
                  <a16:creationId xmlns:a16="http://schemas.microsoft.com/office/drawing/2014/main" id="{41E744E6-7124-85CA-7C72-5A2DA2420AF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SEC_131000</a:t>
              </a:r>
            </a:p>
          </xdr:txBody>
        </xdr:sp>
        <xdr:clientData fPrintsWithSheet="0"/>
      </xdr:twoCellAnchor>
    </mc:Choice>
    <mc:Fallback/>
  </mc:AlternateContent>
</xdr:wsDr>
</file>

<file path=xl/drawings/drawing1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79265" name="Button 1" hidden="1">
              <a:extLst>
                <a:ext uri="{63B3BB69-23CF-44E3-9099-C40C66FF867C}">
                  <a14:compatExt spid="_x0000_s779265"/>
                </a:ext>
                <a:ext uri="{FF2B5EF4-FFF2-40B4-BE49-F238E27FC236}">
                  <a16:creationId xmlns:a16="http://schemas.microsoft.com/office/drawing/2014/main" id="{C8D0A8CA-2C5B-43EF-9001-900D68A7583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779266" name="Button 2" hidden="1">
              <a:extLst>
                <a:ext uri="{63B3BB69-23CF-44E3-9099-C40C66FF867C}">
                  <a14:compatExt spid="_x0000_s779266"/>
                </a:ext>
                <a:ext uri="{FF2B5EF4-FFF2-40B4-BE49-F238E27FC236}">
                  <a16:creationId xmlns:a16="http://schemas.microsoft.com/office/drawing/2014/main" id="{C2352086-0D87-4AF5-8E76-F0ACBC1F343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779267" name="Button 3" hidden="1">
              <a:extLst>
                <a:ext uri="{63B3BB69-23CF-44E3-9099-C40C66FF867C}">
                  <a14:compatExt spid="_x0000_s779267"/>
                </a:ext>
                <a:ext uri="{FF2B5EF4-FFF2-40B4-BE49-F238E27FC236}">
                  <a16:creationId xmlns:a16="http://schemas.microsoft.com/office/drawing/2014/main" id="{C6748260-1107-48AA-BAC4-F51B1CDCE15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779268" name="Button 4" hidden="1">
              <a:extLst>
                <a:ext uri="{63B3BB69-23CF-44E3-9099-C40C66FF867C}">
                  <a14:compatExt spid="_x0000_s779268"/>
                </a:ext>
                <a:ext uri="{FF2B5EF4-FFF2-40B4-BE49-F238E27FC236}">
                  <a16:creationId xmlns:a16="http://schemas.microsoft.com/office/drawing/2014/main" id="{CA57CC24-86FB-403F-A86E-96BC7F91195E}"/>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779269" name="Button 5" hidden="1">
              <a:extLst>
                <a:ext uri="{63B3BB69-23CF-44E3-9099-C40C66FF867C}">
                  <a14:compatExt spid="_x0000_s779269"/>
                </a:ext>
                <a:ext uri="{FF2B5EF4-FFF2-40B4-BE49-F238E27FC236}">
                  <a16:creationId xmlns:a16="http://schemas.microsoft.com/office/drawing/2014/main" id="{4DBBF741-8BEA-4D8D-862E-5E1E8644586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779270" name="Button 6" hidden="1">
              <a:extLst>
                <a:ext uri="{63B3BB69-23CF-44E3-9099-C40C66FF867C}">
                  <a14:compatExt spid="_x0000_s779270"/>
                </a:ext>
                <a:ext uri="{FF2B5EF4-FFF2-40B4-BE49-F238E27FC236}">
                  <a16:creationId xmlns:a16="http://schemas.microsoft.com/office/drawing/2014/main" id="{66C0B8AF-1846-451B-8D55-D96E16394F1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779271" name="Button 7" hidden="1">
              <a:extLst>
                <a:ext uri="{63B3BB69-23CF-44E3-9099-C40C66FF867C}">
                  <a14:compatExt spid="_x0000_s779271"/>
                </a:ext>
                <a:ext uri="{FF2B5EF4-FFF2-40B4-BE49-F238E27FC236}">
                  <a16:creationId xmlns:a16="http://schemas.microsoft.com/office/drawing/2014/main" id="{9562A5D6-AE5E-4EFB-9BFB-886DD78FF98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779272" name="Button 8" hidden="1">
              <a:extLst>
                <a:ext uri="{63B3BB69-23CF-44E3-9099-C40C66FF867C}">
                  <a14:compatExt spid="_x0000_s779272"/>
                </a:ext>
                <a:ext uri="{FF2B5EF4-FFF2-40B4-BE49-F238E27FC236}">
                  <a16:creationId xmlns:a16="http://schemas.microsoft.com/office/drawing/2014/main" id="{33083C89-4D59-4BB8-B00E-840B4751FD6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0</xdr:row>
          <xdr:rowOff>0</xdr:rowOff>
        </xdr:from>
        <xdr:to>
          <xdr:col>16</xdr:col>
          <xdr:colOff>1270000</xdr:colOff>
          <xdr:row>2</xdr:row>
          <xdr:rowOff>12700</xdr:rowOff>
        </xdr:to>
        <xdr:sp macro="" textlink="">
          <xdr:nvSpPr>
            <xdr:cNvPr id="779273" name="Button 9" hidden="1">
              <a:extLst>
                <a:ext uri="{63B3BB69-23CF-44E3-9099-C40C66FF867C}">
                  <a14:compatExt spid="_x0000_s779273"/>
                </a:ext>
                <a:ext uri="{FF2B5EF4-FFF2-40B4-BE49-F238E27FC236}">
                  <a16:creationId xmlns:a16="http://schemas.microsoft.com/office/drawing/2014/main" id="{8A286109-54DD-F68D-0A72-C959148B15F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SEC_132000</a:t>
              </a:r>
            </a:p>
          </xdr:txBody>
        </xdr:sp>
        <xdr:clientData fPrintsWithSheet="0"/>
      </xdr:twoCellAnchor>
    </mc:Choice>
    <mc:Fallback/>
  </mc:AlternateContent>
</xdr:wsDr>
</file>

<file path=xl/drawings/drawing1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81313" name="Button 1" hidden="1">
              <a:extLst>
                <a:ext uri="{63B3BB69-23CF-44E3-9099-C40C66FF867C}">
                  <a14:compatExt spid="_x0000_s781313"/>
                </a:ext>
                <a:ext uri="{FF2B5EF4-FFF2-40B4-BE49-F238E27FC236}">
                  <a16:creationId xmlns:a16="http://schemas.microsoft.com/office/drawing/2014/main" id="{CA2E7F7D-C32F-4BF6-8A7B-C2178E54D14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781314" name="Button 2" hidden="1">
              <a:extLst>
                <a:ext uri="{63B3BB69-23CF-44E3-9099-C40C66FF867C}">
                  <a14:compatExt spid="_x0000_s781314"/>
                </a:ext>
                <a:ext uri="{FF2B5EF4-FFF2-40B4-BE49-F238E27FC236}">
                  <a16:creationId xmlns:a16="http://schemas.microsoft.com/office/drawing/2014/main" id="{74F191A1-BBEE-4F38-825C-BDCC249BE59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781315" name="Button 3" hidden="1">
              <a:extLst>
                <a:ext uri="{63B3BB69-23CF-44E3-9099-C40C66FF867C}">
                  <a14:compatExt spid="_x0000_s781315"/>
                </a:ext>
                <a:ext uri="{FF2B5EF4-FFF2-40B4-BE49-F238E27FC236}">
                  <a16:creationId xmlns:a16="http://schemas.microsoft.com/office/drawing/2014/main" id="{C577BB94-D36F-4EDA-B7E3-581EA3C7CED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781316" name="Button 4" hidden="1">
              <a:extLst>
                <a:ext uri="{63B3BB69-23CF-44E3-9099-C40C66FF867C}">
                  <a14:compatExt spid="_x0000_s781316"/>
                </a:ext>
                <a:ext uri="{FF2B5EF4-FFF2-40B4-BE49-F238E27FC236}">
                  <a16:creationId xmlns:a16="http://schemas.microsoft.com/office/drawing/2014/main" id="{8B16F61B-6B80-44D5-AF65-20D606319DB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781317" name="Button 5" hidden="1">
              <a:extLst>
                <a:ext uri="{63B3BB69-23CF-44E3-9099-C40C66FF867C}">
                  <a14:compatExt spid="_x0000_s781317"/>
                </a:ext>
                <a:ext uri="{FF2B5EF4-FFF2-40B4-BE49-F238E27FC236}">
                  <a16:creationId xmlns:a16="http://schemas.microsoft.com/office/drawing/2014/main" id="{750C2321-0D4B-48FE-8C7C-95C19567D49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781318" name="Button 6" hidden="1">
              <a:extLst>
                <a:ext uri="{63B3BB69-23CF-44E3-9099-C40C66FF867C}">
                  <a14:compatExt spid="_x0000_s781318"/>
                </a:ext>
                <a:ext uri="{FF2B5EF4-FFF2-40B4-BE49-F238E27FC236}">
                  <a16:creationId xmlns:a16="http://schemas.microsoft.com/office/drawing/2014/main" id="{3AE20BF1-86B0-43C8-AEB9-20B9D6F3AED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781319" name="Button 7" hidden="1">
              <a:extLst>
                <a:ext uri="{63B3BB69-23CF-44E3-9099-C40C66FF867C}">
                  <a14:compatExt spid="_x0000_s781319"/>
                </a:ext>
                <a:ext uri="{FF2B5EF4-FFF2-40B4-BE49-F238E27FC236}">
                  <a16:creationId xmlns:a16="http://schemas.microsoft.com/office/drawing/2014/main" id="{7C146884-B0FE-4708-B30A-4D5DDA93005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781320" name="Button 8" hidden="1">
              <a:extLst>
                <a:ext uri="{63B3BB69-23CF-44E3-9099-C40C66FF867C}">
                  <a14:compatExt spid="_x0000_s781320"/>
                </a:ext>
                <a:ext uri="{FF2B5EF4-FFF2-40B4-BE49-F238E27FC236}">
                  <a16:creationId xmlns:a16="http://schemas.microsoft.com/office/drawing/2014/main" id="{4FCAD96F-CF85-4829-A758-50A46BC21EB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0</xdr:row>
          <xdr:rowOff>0</xdr:rowOff>
        </xdr:from>
        <xdr:to>
          <xdr:col>16</xdr:col>
          <xdr:colOff>1270000</xdr:colOff>
          <xdr:row>2</xdr:row>
          <xdr:rowOff>12700</xdr:rowOff>
        </xdr:to>
        <xdr:sp macro="" textlink="">
          <xdr:nvSpPr>
            <xdr:cNvPr id="781321" name="Button 9" hidden="1">
              <a:extLst>
                <a:ext uri="{63B3BB69-23CF-44E3-9099-C40C66FF867C}">
                  <a14:compatExt spid="_x0000_s781321"/>
                </a:ext>
                <a:ext uri="{FF2B5EF4-FFF2-40B4-BE49-F238E27FC236}">
                  <a16:creationId xmlns:a16="http://schemas.microsoft.com/office/drawing/2014/main" id="{F513A01B-0F1E-BBE0-4686-3F6705552CB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SEC_133000</a:t>
              </a:r>
            </a:p>
          </xdr:txBody>
        </xdr:sp>
        <xdr:clientData fPrintsWithSheet="0"/>
      </xdr:twoCellAnchor>
    </mc:Choice>
    <mc:Fallback/>
  </mc:AlternateContent>
</xdr:wsDr>
</file>

<file path=xl/drawings/drawing1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82337" name="Button 1" hidden="1">
              <a:extLst>
                <a:ext uri="{63B3BB69-23CF-44E3-9099-C40C66FF867C}">
                  <a14:compatExt spid="_x0000_s782337"/>
                </a:ext>
                <a:ext uri="{FF2B5EF4-FFF2-40B4-BE49-F238E27FC236}">
                  <a16:creationId xmlns:a16="http://schemas.microsoft.com/office/drawing/2014/main" id="{2AC93397-6BD0-4024-802F-73510283431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782338" name="Button 2" hidden="1">
              <a:extLst>
                <a:ext uri="{63B3BB69-23CF-44E3-9099-C40C66FF867C}">
                  <a14:compatExt spid="_x0000_s782338"/>
                </a:ext>
                <a:ext uri="{FF2B5EF4-FFF2-40B4-BE49-F238E27FC236}">
                  <a16:creationId xmlns:a16="http://schemas.microsoft.com/office/drawing/2014/main" id="{A8B83D6D-DE31-4860-8840-2BDC3A56E33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782339" name="Button 3" hidden="1">
              <a:extLst>
                <a:ext uri="{63B3BB69-23CF-44E3-9099-C40C66FF867C}">
                  <a14:compatExt spid="_x0000_s782339"/>
                </a:ext>
                <a:ext uri="{FF2B5EF4-FFF2-40B4-BE49-F238E27FC236}">
                  <a16:creationId xmlns:a16="http://schemas.microsoft.com/office/drawing/2014/main" id="{9695A732-EC9B-4E82-AE22-29CF905B65F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782340" name="Button 4" hidden="1">
              <a:extLst>
                <a:ext uri="{63B3BB69-23CF-44E3-9099-C40C66FF867C}">
                  <a14:compatExt spid="_x0000_s782340"/>
                </a:ext>
                <a:ext uri="{FF2B5EF4-FFF2-40B4-BE49-F238E27FC236}">
                  <a16:creationId xmlns:a16="http://schemas.microsoft.com/office/drawing/2014/main" id="{35213BBC-6AB1-4FB8-A931-E96E58DB2D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782341" name="Button 5" hidden="1">
              <a:extLst>
                <a:ext uri="{63B3BB69-23CF-44E3-9099-C40C66FF867C}">
                  <a14:compatExt spid="_x0000_s782341"/>
                </a:ext>
                <a:ext uri="{FF2B5EF4-FFF2-40B4-BE49-F238E27FC236}">
                  <a16:creationId xmlns:a16="http://schemas.microsoft.com/office/drawing/2014/main" id="{52D78C4B-7060-40F0-905F-80F63AA1EDD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782342" name="Button 6" hidden="1">
              <a:extLst>
                <a:ext uri="{63B3BB69-23CF-44E3-9099-C40C66FF867C}">
                  <a14:compatExt spid="_x0000_s782342"/>
                </a:ext>
                <a:ext uri="{FF2B5EF4-FFF2-40B4-BE49-F238E27FC236}">
                  <a16:creationId xmlns:a16="http://schemas.microsoft.com/office/drawing/2014/main" id="{FBFC268C-CE5E-4231-BD92-C5E2EAB7304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782343" name="Button 7" hidden="1">
              <a:extLst>
                <a:ext uri="{63B3BB69-23CF-44E3-9099-C40C66FF867C}">
                  <a14:compatExt spid="_x0000_s782343"/>
                </a:ext>
                <a:ext uri="{FF2B5EF4-FFF2-40B4-BE49-F238E27FC236}">
                  <a16:creationId xmlns:a16="http://schemas.microsoft.com/office/drawing/2014/main" id="{C2DB73D2-AF8E-41D6-9452-B31906F817D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782344" name="Button 8" hidden="1">
              <a:extLst>
                <a:ext uri="{63B3BB69-23CF-44E3-9099-C40C66FF867C}">
                  <a14:compatExt spid="_x0000_s782344"/>
                </a:ext>
                <a:ext uri="{FF2B5EF4-FFF2-40B4-BE49-F238E27FC236}">
                  <a16:creationId xmlns:a16="http://schemas.microsoft.com/office/drawing/2014/main" id="{388B7452-FC3F-472C-B207-9D30F702C4C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0</xdr:row>
          <xdr:rowOff>0</xdr:rowOff>
        </xdr:from>
        <xdr:to>
          <xdr:col>16</xdr:col>
          <xdr:colOff>1270000</xdr:colOff>
          <xdr:row>2</xdr:row>
          <xdr:rowOff>12700</xdr:rowOff>
        </xdr:to>
        <xdr:sp macro="" textlink="">
          <xdr:nvSpPr>
            <xdr:cNvPr id="782345" name="Button 9" hidden="1">
              <a:extLst>
                <a:ext uri="{63B3BB69-23CF-44E3-9099-C40C66FF867C}">
                  <a14:compatExt spid="_x0000_s782345"/>
                </a:ext>
                <a:ext uri="{FF2B5EF4-FFF2-40B4-BE49-F238E27FC236}">
                  <a16:creationId xmlns:a16="http://schemas.microsoft.com/office/drawing/2014/main" id="{AAA8E53C-CD19-0526-ADB0-7EEC7B9BEED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SEC_134000</a:t>
              </a:r>
            </a:p>
          </xdr:txBody>
        </xdr:sp>
        <xdr:clientData fPrintsWithSheet="0"/>
      </xdr:twoCellAnchor>
    </mc:Choice>
    <mc:Fallback/>
  </mc:AlternateContent>
</xdr:wsDr>
</file>

<file path=xl/drawings/drawing1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84385" name="Button 1" hidden="1">
              <a:extLst>
                <a:ext uri="{63B3BB69-23CF-44E3-9099-C40C66FF867C}">
                  <a14:compatExt spid="_x0000_s784385"/>
                </a:ext>
                <a:ext uri="{FF2B5EF4-FFF2-40B4-BE49-F238E27FC236}">
                  <a16:creationId xmlns:a16="http://schemas.microsoft.com/office/drawing/2014/main" id="{66567B6C-19EB-4586-8599-332BF677883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784386" name="Button 2" hidden="1">
              <a:extLst>
                <a:ext uri="{63B3BB69-23CF-44E3-9099-C40C66FF867C}">
                  <a14:compatExt spid="_x0000_s784386"/>
                </a:ext>
                <a:ext uri="{FF2B5EF4-FFF2-40B4-BE49-F238E27FC236}">
                  <a16:creationId xmlns:a16="http://schemas.microsoft.com/office/drawing/2014/main" id="{344151E6-1729-4533-BF65-A3BAC5DBE6D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784387" name="Button 3" hidden="1">
              <a:extLst>
                <a:ext uri="{63B3BB69-23CF-44E3-9099-C40C66FF867C}">
                  <a14:compatExt spid="_x0000_s784387"/>
                </a:ext>
                <a:ext uri="{FF2B5EF4-FFF2-40B4-BE49-F238E27FC236}">
                  <a16:creationId xmlns:a16="http://schemas.microsoft.com/office/drawing/2014/main" id="{7AA234F4-AF88-4EF3-A85F-20637198B73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784388" name="Button 4" hidden="1">
              <a:extLst>
                <a:ext uri="{63B3BB69-23CF-44E3-9099-C40C66FF867C}">
                  <a14:compatExt spid="_x0000_s784388"/>
                </a:ext>
                <a:ext uri="{FF2B5EF4-FFF2-40B4-BE49-F238E27FC236}">
                  <a16:creationId xmlns:a16="http://schemas.microsoft.com/office/drawing/2014/main" id="{D20C8F5A-C836-4E70-B4CD-268CACDDA3D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784389" name="Button 5" hidden="1">
              <a:extLst>
                <a:ext uri="{63B3BB69-23CF-44E3-9099-C40C66FF867C}">
                  <a14:compatExt spid="_x0000_s784389"/>
                </a:ext>
                <a:ext uri="{FF2B5EF4-FFF2-40B4-BE49-F238E27FC236}">
                  <a16:creationId xmlns:a16="http://schemas.microsoft.com/office/drawing/2014/main" id="{AA551000-2DEA-4C51-8F4D-C7230ADD485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784390" name="Button 6" hidden="1">
              <a:extLst>
                <a:ext uri="{63B3BB69-23CF-44E3-9099-C40C66FF867C}">
                  <a14:compatExt spid="_x0000_s784390"/>
                </a:ext>
                <a:ext uri="{FF2B5EF4-FFF2-40B4-BE49-F238E27FC236}">
                  <a16:creationId xmlns:a16="http://schemas.microsoft.com/office/drawing/2014/main" id="{5BFA8B6A-756E-40A9-883B-47C7FF96965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784391" name="Button 7" hidden="1">
              <a:extLst>
                <a:ext uri="{63B3BB69-23CF-44E3-9099-C40C66FF867C}">
                  <a14:compatExt spid="_x0000_s784391"/>
                </a:ext>
                <a:ext uri="{FF2B5EF4-FFF2-40B4-BE49-F238E27FC236}">
                  <a16:creationId xmlns:a16="http://schemas.microsoft.com/office/drawing/2014/main" id="{C46E4563-FDCD-487C-AA9A-6155EF39278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784392" name="Button 8" hidden="1">
              <a:extLst>
                <a:ext uri="{63B3BB69-23CF-44E3-9099-C40C66FF867C}">
                  <a14:compatExt spid="_x0000_s784392"/>
                </a:ext>
                <a:ext uri="{FF2B5EF4-FFF2-40B4-BE49-F238E27FC236}">
                  <a16:creationId xmlns:a16="http://schemas.microsoft.com/office/drawing/2014/main" id="{EF8F984D-5B36-4573-9F51-919A797FBB2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0</xdr:row>
          <xdr:rowOff>0</xdr:rowOff>
        </xdr:from>
        <xdr:to>
          <xdr:col>16</xdr:col>
          <xdr:colOff>1270000</xdr:colOff>
          <xdr:row>2</xdr:row>
          <xdr:rowOff>12700</xdr:rowOff>
        </xdr:to>
        <xdr:sp macro="" textlink="">
          <xdr:nvSpPr>
            <xdr:cNvPr id="784394" name="Button 10" hidden="1">
              <a:extLst>
                <a:ext uri="{63B3BB69-23CF-44E3-9099-C40C66FF867C}">
                  <a14:compatExt spid="_x0000_s784394"/>
                </a:ext>
                <a:ext uri="{FF2B5EF4-FFF2-40B4-BE49-F238E27FC236}">
                  <a16:creationId xmlns:a16="http://schemas.microsoft.com/office/drawing/2014/main" id="{D635BEB9-974B-DA20-EB46-91C3D5CAC7A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SEC_135000</a:t>
              </a:r>
            </a:p>
          </xdr:txBody>
        </xdr:sp>
        <xdr:clientData fPrintsWithSheet="0"/>
      </xdr:twoCellAnchor>
    </mc:Choice>
    <mc:Fallback/>
  </mc:AlternateContent>
</xdr:wsDr>
</file>

<file path=xl/drawings/drawing1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120650</xdr:colOff>
          <xdr:row>23</xdr:row>
          <xdr:rowOff>0</xdr:rowOff>
        </xdr:from>
        <xdr:to>
          <xdr:col>2</xdr:col>
          <xdr:colOff>171450</xdr:colOff>
          <xdr:row>25</xdr:row>
          <xdr:rowOff>12700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8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DIV_01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25</xdr:row>
          <xdr:rowOff>171450</xdr:rowOff>
        </xdr:from>
        <xdr:to>
          <xdr:col>2</xdr:col>
          <xdr:colOff>158750</xdr:colOff>
          <xdr:row>28</xdr:row>
          <xdr:rowOff>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8500-00000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SEC_013000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28</xdr:row>
          <xdr:rowOff>171450</xdr:rowOff>
        </xdr:from>
        <xdr:to>
          <xdr:col>2</xdr:col>
          <xdr:colOff>158750</xdr:colOff>
          <xdr:row>31</xdr:row>
          <xdr:rowOff>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8500-00000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SEC_014000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31</xdr:row>
          <xdr:rowOff>177800</xdr:rowOff>
        </xdr:from>
        <xdr:to>
          <xdr:col>2</xdr:col>
          <xdr:colOff>177800</xdr:colOff>
          <xdr:row>34</xdr:row>
          <xdr:rowOff>6350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8500-00000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SEC_015000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34</xdr:row>
          <xdr:rowOff>146050</xdr:rowOff>
        </xdr:from>
        <xdr:to>
          <xdr:col>2</xdr:col>
          <xdr:colOff>165100</xdr:colOff>
          <xdr:row>36</xdr:row>
          <xdr:rowOff>158750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8500-00000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SEC_016000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120650</xdr:colOff>
          <xdr:row>37</xdr:row>
          <xdr:rowOff>146050</xdr:rowOff>
        </xdr:from>
        <xdr:to>
          <xdr:col>2</xdr:col>
          <xdr:colOff>171450</xdr:colOff>
          <xdr:row>39</xdr:row>
          <xdr:rowOff>158750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85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SEC_017000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40</xdr:row>
          <xdr:rowOff>139700</xdr:rowOff>
        </xdr:from>
        <xdr:to>
          <xdr:col>2</xdr:col>
          <xdr:colOff>158750</xdr:colOff>
          <xdr:row>42</xdr:row>
          <xdr:rowOff>152400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85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SEC_018000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43</xdr:row>
          <xdr:rowOff>165100</xdr:rowOff>
        </xdr:from>
        <xdr:to>
          <xdr:col>2</xdr:col>
          <xdr:colOff>158750</xdr:colOff>
          <xdr:row>45</xdr:row>
          <xdr:rowOff>177800</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8500-00000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SEC_019000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82550</xdr:colOff>
          <xdr:row>47</xdr:row>
          <xdr:rowOff>0</xdr:rowOff>
        </xdr:from>
        <xdr:to>
          <xdr:col>2</xdr:col>
          <xdr:colOff>133350</xdr:colOff>
          <xdr:row>49</xdr:row>
          <xdr:rowOff>12700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8500-00000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DIV_02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120650</xdr:colOff>
          <xdr:row>49</xdr:row>
          <xdr:rowOff>165100</xdr:rowOff>
        </xdr:from>
        <xdr:to>
          <xdr:col>2</xdr:col>
          <xdr:colOff>171450</xdr:colOff>
          <xdr:row>51</xdr:row>
          <xdr:rowOff>177800</xdr:rowOff>
        </xdr:to>
        <xdr:sp macro="" textlink="">
          <xdr:nvSpPr>
            <xdr:cNvPr id="5134" name="Button 14" hidden="1">
              <a:extLst>
                <a:ext uri="{63B3BB69-23CF-44E3-9099-C40C66FF867C}">
                  <a14:compatExt spid="_x0000_s5134"/>
                </a:ext>
                <a:ext uri="{FF2B5EF4-FFF2-40B4-BE49-F238E27FC236}">
                  <a16:creationId xmlns:a16="http://schemas.microsoft.com/office/drawing/2014/main" id="{00000000-0008-0000-8500-00000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SEC_022000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120650</xdr:colOff>
          <xdr:row>52</xdr:row>
          <xdr:rowOff>158750</xdr:rowOff>
        </xdr:from>
        <xdr:to>
          <xdr:col>2</xdr:col>
          <xdr:colOff>171450</xdr:colOff>
          <xdr:row>54</xdr:row>
          <xdr:rowOff>171450</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8500-00000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SEC_023000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120650</xdr:colOff>
          <xdr:row>55</xdr:row>
          <xdr:rowOff>146050</xdr:rowOff>
        </xdr:from>
        <xdr:to>
          <xdr:col>2</xdr:col>
          <xdr:colOff>171450</xdr:colOff>
          <xdr:row>57</xdr:row>
          <xdr:rowOff>158750</xdr:rowOff>
        </xdr:to>
        <xdr:sp macro="" textlink="">
          <xdr:nvSpPr>
            <xdr:cNvPr id="5136" name="Button 16" hidden="1">
              <a:extLst>
                <a:ext uri="{63B3BB69-23CF-44E3-9099-C40C66FF867C}">
                  <a14:compatExt spid="_x0000_s5136"/>
                </a:ext>
                <a:ext uri="{FF2B5EF4-FFF2-40B4-BE49-F238E27FC236}">
                  <a16:creationId xmlns:a16="http://schemas.microsoft.com/office/drawing/2014/main" id="{00000000-0008-0000-8500-00001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SEC_024000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58</xdr:row>
          <xdr:rowOff>165100</xdr:rowOff>
        </xdr:from>
        <xdr:to>
          <xdr:col>2</xdr:col>
          <xdr:colOff>158750</xdr:colOff>
          <xdr:row>60</xdr:row>
          <xdr:rowOff>177800</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8500-00001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SEC_025000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61</xdr:row>
          <xdr:rowOff>152400</xdr:rowOff>
        </xdr:from>
        <xdr:to>
          <xdr:col>2</xdr:col>
          <xdr:colOff>158750</xdr:colOff>
          <xdr:row>63</xdr:row>
          <xdr:rowOff>165100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85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SEC_026000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120650</xdr:colOff>
          <xdr:row>64</xdr:row>
          <xdr:rowOff>177800</xdr:rowOff>
        </xdr:from>
        <xdr:to>
          <xdr:col>2</xdr:col>
          <xdr:colOff>171450</xdr:colOff>
          <xdr:row>67</xdr:row>
          <xdr:rowOff>6350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85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SEC_027000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67</xdr:row>
          <xdr:rowOff>171450</xdr:rowOff>
        </xdr:from>
        <xdr:to>
          <xdr:col>2</xdr:col>
          <xdr:colOff>177800</xdr:colOff>
          <xdr:row>70</xdr:row>
          <xdr:rowOff>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85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SEC_028000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6350</xdr:colOff>
          <xdr:row>46</xdr:row>
          <xdr:rowOff>146050</xdr:rowOff>
        </xdr:from>
        <xdr:to>
          <xdr:col>12</xdr:col>
          <xdr:colOff>31750</xdr:colOff>
          <xdr:row>48</xdr:row>
          <xdr:rowOff>165100</xdr:rowOff>
        </xdr:to>
        <xdr:sp macro="" textlink="">
          <xdr:nvSpPr>
            <xdr:cNvPr id="5141" name="Button 21" hidden="1">
              <a:extLst>
                <a:ext uri="{63B3BB69-23CF-44E3-9099-C40C66FF867C}">
                  <a14:compatExt spid="_x0000_s5141"/>
                </a:ext>
                <a:ext uri="{FF2B5EF4-FFF2-40B4-BE49-F238E27FC236}">
                  <a16:creationId xmlns:a16="http://schemas.microsoft.com/office/drawing/2014/main" id="{00000000-0008-0000-8500-00001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DIV_02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70</xdr:row>
          <xdr:rowOff>158750</xdr:rowOff>
        </xdr:from>
        <xdr:to>
          <xdr:col>2</xdr:col>
          <xdr:colOff>177800</xdr:colOff>
          <xdr:row>72</xdr:row>
          <xdr:rowOff>171450</xdr:rowOff>
        </xdr:to>
        <xdr:sp macro="" textlink="">
          <xdr:nvSpPr>
            <xdr:cNvPr id="5143" name="Button 23" hidden="1">
              <a:extLst>
                <a:ext uri="{63B3BB69-23CF-44E3-9099-C40C66FF867C}">
                  <a14:compatExt spid="_x0000_s5143"/>
                </a:ext>
                <a:ext uri="{FF2B5EF4-FFF2-40B4-BE49-F238E27FC236}">
                  <a16:creationId xmlns:a16="http://schemas.microsoft.com/office/drawing/2014/main" id="{00000000-0008-0000-8500-00001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DIV_03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71</xdr:row>
          <xdr:rowOff>0</xdr:rowOff>
        </xdr:from>
        <xdr:to>
          <xdr:col>12</xdr:col>
          <xdr:colOff>50800</xdr:colOff>
          <xdr:row>73</xdr:row>
          <xdr:rowOff>12700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85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DIV_03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73</xdr:row>
          <xdr:rowOff>165100</xdr:rowOff>
        </xdr:from>
        <xdr:to>
          <xdr:col>2</xdr:col>
          <xdr:colOff>165100</xdr:colOff>
          <xdr:row>75</xdr:row>
          <xdr:rowOff>177800</xdr:rowOff>
        </xdr:to>
        <xdr:sp macro="" textlink="">
          <xdr:nvSpPr>
            <xdr:cNvPr id="5145" name="Button 25" hidden="1">
              <a:extLst>
                <a:ext uri="{63B3BB69-23CF-44E3-9099-C40C66FF867C}">
                  <a14:compatExt spid="_x0000_s5145"/>
                </a:ext>
                <a:ext uri="{FF2B5EF4-FFF2-40B4-BE49-F238E27FC236}">
                  <a16:creationId xmlns:a16="http://schemas.microsoft.com/office/drawing/2014/main" id="{00000000-0008-0000-8500-00001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SEC_031000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76</xdr:row>
          <xdr:rowOff>165100</xdr:rowOff>
        </xdr:from>
        <xdr:to>
          <xdr:col>2</xdr:col>
          <xdr:colOff>146050</xdr:colOff>
          <xdr:row>78</xdr:row>
          <xdr:rowOff>177800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8500-00001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SEC_032000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120650</xdr:colOff>
          <xdr:row>79</xdr:row>
          <xdr:rowOff>177800</xdr:rowOff>
        </xdr:from>
        <xdr:to>
          <xdr:col>2</xdr:col>
          <xdr:colOff>171450</xdr:colOff>
          <xdr:row>82</xdr:row>
          <xdr:rowOff>6350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85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SEC_033000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120650</xdr:colOff>
          <xdr:row>82</xdr:row>
          <xdr:rowOff>158750</xdr:rowOff>
        </xdr:from>
        <xdr:to>
          <xdr:col>2</xdr:col>
          <xdr:colOff>171450</xdr:colOff>
          <xdr:row>84</xdr:row>
          <xdr:rowOff>171450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85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SEC_034000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85</xdr:row>
          <xdr:rowOff>133350</xdr:rowOff>
        </xdr:from>
        <xdr:to>
          <xdr:col>2</xdr:col>
          <xdr:colOff>165100</xdr:colOff>
          <xdr:row>87</xdr:row>
          <xdr:rowOff>146050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85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SEC_035000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88</xdr:row>
          <xdr:rowOff>139700</xdr:rowOff>
        </xdr:from>
        <xdr:to>
          <xdr:col>2</xdr:col>
          <xdr:colOff>165100</xdr:colOff>
          <xdr:row>90</xdr:row>
          <xdr:rowOff>152400</xdr:rowOff>
        </xdr:to>
        <xdr:sp macro="" textlink="">
          <xdr:nvSpPr>
            <xdr:cNvPr id="5150" name="Button 30" hidden="1">
              <a:extLst>
                <a:ext uri="{63B3BB69-23CF-44E3-9099-C40C66FF867C}">
                  <a14:compatExt spid="_x0000_s5150"/>
                </a:ext>
                <a:ext uri="{FF2B5EF4-FFF2-40B4-BE49-F238E27FC236}">
                  <a16:creationId xmlns:a16="http://schemas.microsoft.com/office/drawing/2014/main" id="{00000000-0008-0000-8500-00001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SEC_036000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120650</xdr:colOff>
          <xdr:row>91</xdr:row>
          <xdr:rowOff>139700</xdr:rowOff>
        </xdr:from>
        <xdr:to>
          <xdr:col>2</xdr:col>
          <xdr:colOff>171450</xdr:colOff>
          <xdr:row>93</xdr:row>
          <xdr:rowOff>152400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85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SEC_037000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94</xdr:row>
          <xdr:rowOff>152400</xdr:rowOff>
        </xdr:from>
        <xdr:to>
          <xdr:col>2</xdr:col>
          <xdr:colOff>177800</xdr:colOff>
          <xdr:row>96</xdr:row>
          <xdr:rowOff>165100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85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SEC_038000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596900</xdr:colOff>
          <xdr:row>22</xdr:row>
          <xdr:rowOff>158750</xdr:rowOff>
        </xdr:from>
        <xdr:to>
          <xdr:col>12</xdr:col>
          <xdr:colOff>12700</xdr:colOff>
          <xdr:row>24</xdr:row>
          <xdr:rowOff>177800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8500-00002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DIV_01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14</xdr:row>
          <xdr:rowOff>146050</xdr:rowOff>
        </xdr:from>
        <xdr:to>
          <xdr:col>2</xdr:col>
          <xdr:colOff>146050</xdr:colOff>
          <xdr:row>16</xdr:row>
          <xdr:rowOff>165100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8500-00002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POs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97</xdr:row>
          <xdr:rowOff>165100</xdr:rowOff>
        </xdr:from>
        <xdr:to>
          <xdr:col>2</xdr:col>
          <xdr:colOff>177800</xdr:colOff>
          <xdr:row>99</xdr:row>
          <xdr:rowOff>177800</xdr:rowOff>
        </xdr:to>
        <xdr:sp macro="" textlink="">
          <xdr:nvSpPr>
            <xdr:cNvPr id="5158" name="Button 38" hidden="1">
              <a:extLst>
                <a:ext uri="{63B3BB69-23CF-44E3-9099-C40C66FF867C}">
                  <a14:compatExt spid="_x0000_s5158"/>
                </a:ext>
                <a:ext uri="{FF2B5EF4-FFF2-40B4-BE49-F238E27FC236}">
                  <a16:creationId xmlns:a16="http://schemas.microsoft.com/office/drawing/2014/main" id="{00000000-0008-0000-8500-00002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DIV_04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xdr:colOff>
          <xdr:row>97</xdr:row>
          <xdr:rowOff>165100</xdr:rowOff>
        </xdr:from>
        <xdr:to>
          <xdr:col>12</xdr:col>
          <xdr:colOff>69850</xdr:colOff>
          <xdr:row>99</xdr:row>
          <xdr:rowOff>177800</xdr:rowOff>
        </xdr:to>
        <xdr:sp macro="" textlink="">
          <xdr:nvSpPr>
            <xdr:cNvPr id="5159" name="Button 39" hidden="1">
              <a:extLst>
                <a:ext uri="{63B3BB69-23CF-44E3-9099-C40C66FF867C}">
                  <a14:compatExt spid="_x0000_s5159"/>
                </a:ext>
                <a:ext uri="{FF2B5EF4-FFF2-40B4-BE49-F238E27FC236}">
                  <a16:creationId xmlns:a16="http://schemas.microsoft.com/office/drawing/2014/main" id="{00000000-0008-0000-8500-00002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DIV_04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100</xdr:row>
          <xdr:rowOff>152400</xdr:rowOff>
        </xdr:from>
        <xdr:to>
          <xdr:col>2</xdr:col>
          <xdr:colOff>177800</xdr:colOff>
          <xdr:row>102</xdr:row>
          <xdr:rowOff>165100</xdr:rowOff>
        </xdr:to>
        <xdr:sp macro="" textlink="">
          <xdr:nvSpPr>
            <xdr:cNvPr id="5165" name="Button 45" hidden="1">
              <a:extLst>
                <a:ext uri="{63B3BB69-23CF-44E3-9099-C40C66FF867C}">
                  <a14:compatExt spid="_x0000_s5165"/>
                </a:ext>
                <a:ext uri="{FF2B5EF4-FFF2-40B4-BE49-F238E27FC236}">
                  <a16:creationId xmlns:a16="http://schemas.microsoft.com/office/drawing/2014/main" id="{00000000-0008-0000-8500-00002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SEC_042000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103</xdr:row>
          <xdr:rowOff>152400</xdr:rowOff>
        </xdr:from>
        <xdr:to>
          <xdr:col>2</xdr:col>
          <xdr:colOff>165100</xdr:colOff>
          <xdr:row>105</xdr:row>
          <xdr:rowOff>165100</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8500-00002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SEC_044000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106</xdr:row>
          <xdr:rowOff>158750</xdr:rowOff>
        </xdr:from>
        <xdr:to>
          <xdr:col>2</xdr:col>
          <xdr:colOff>158750</xdr:colOff>
          <xdr:row>108</xdr:row>
          <xdr:rowOff>171450</xdr:rowOff>
        </xdr:to>
        <xdr:sp macro="" textlink="">
          <xdr:nvSpPr>
            <xdr:cNvPr id="5167" name="Button 47" hidden="1">
              <a:extLst>
                <a:ext uri="{63B3BB69-23CF-44E3-9099-C40C66FF867C}">
                  <a14:compatExt spid="_x0000_s5167"/>
                </a:ext>
                <a:ext uri="{FF2B5EF4-FFF2-40B4-BE49-F238E27FC236}">
                  <a16:creationId xmlns:a16="http://schemas.microsoft.com/office/drawing/2014/main" id="{00000000-0008-0000-8500-00002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SEC_045000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109</xdr:row>
          <xdr:rowOff>152400</xdr:rowOff>
        </xdr:from>
        <xdr:to>
          <xdr:col>2</xdr:col>
          <xdr:colOff>158750</xdr:colOff>
          <xdr:row>111</xdr:row>
          <xdr:rowOff>165100</xdr:rowOff>
        </xdr:to>
        <xdr:sp macro="" textlink="">
          <xdr:nvSpPr>
            <xdr:cNvPr id="5168" name="Button 48" hidden="1">
              <a:extLst>
                <a:ext uri="{63B3BB69-23CF-44E3-9099-C40C66FF867C}">
                  <a14:compatExt spid="_x0000_s5168"/>
                </a:ext>
                <a:ext uri="{FF2B5EF4-FFF2-40B4-BE49-F238E27FC236}">
                  <a16:creationId xmlns:a16="http://schemas.microsoft.com/office/drawing/2014/main" id="{00000000-0008-0000-8500-00003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SEC_046000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82550</xdr:colOff>
          <xdr:row>112</xdr:row>
          <xdr:rowOff>165100</xdr:rowOff>
        </xdr:from>
        <xdr:to>
          <xdr:col>2</xdr:col>
          <xdr:colOff>133350</xdr:colOff>
          <xdr:row>114</xdr:row>
          <xdr:rowOff>177800</xdr:rowOff>
        </xdr:to>
        <xdr:sp macro="" textlink="">
          <xdr:nvSpPr>
            <xdr:cNvPr id="5169" name="Button 49" hidden="1">
              <a:extLst>
                <a:ext uri="{63B3BB69-23CF-44E3-9099-C40C66FF867C}">
                  <a14:compatExt spid="_x0000_s5169"/>
                </a:ext>
                <a:ext uri="{FF2B5EF4-FFF2-40B4-BE49-F238E27FC236}">
                  <a16:creationId xmlns:a16="http://schemas.microsoft.com/office/drawing/2014/main" id="{00000000-0008-0000-8500-00003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SEC_047000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115</xdr:row>
          <xdr:rowOff>133350</xdr:rowOff>
        </xdr:from>
        <xdr:to>
          <xdr:col>2</xdr:col>
          <xdr:colOff>146050</xdr:colOff>
          <xdr:row>117</xdr:row>
          <xdr:rowOff>146050</xdr:rowOff>
        </xdr:to>
        <xdr:sp macro="" textlink="">
          <xdr:nvSpPr>
            <xdr:cNvPr id="5170" name="Button 50" hidden="1">
              <a:extLst>
                <a:ext uri="{63B3BB69-23CF-44E3-9099-C40C66FF867C}">
                  <a14:compatExt spid="_x0000_s5170"/>
                </a:ext>
                <a:ext uri="{FF2B5EF4-FFF2-40B4-BE49-F238E27FC236}">
                  <a16:creationId xmlns:a16="http://schemas.microsoft.com/office/drawing/2014/main" id="{00000000-0008-0000-8500-00003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DIV_05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666750</xdr:colOff>
          <xdr:row>115</xdr:row>
          <xdr:rowOff>158750</xdr:rowOff>
        </xdr:from>
        <xdr:to>
          <xdr:col>12</xdr:col>
          <xdr:colOff>44450</xdr:colOff>
          <xdr:row>117</xdr:row>
          <xdr:rowOff>171450</xdr:rowOff>
        </xdr:to>
        <xdr:sp macro="" textlink="">
          <xdr:nvSpPr>
            <xdr:cNvPr id="5171" name="Button 51" hidden="1">
              <a:extLst>
                <a:ext uri="{63B3BB69-23CF-44E3-9099-C40C66FF867C}">
                  <a14:compatExt spid="_x0000_s5171"/>
                </a:ext>
                <a:ext uri="{FF2B5EF4-FFF2-40B4-BE49-F238E27FC236}">
                  <a16:creationId xmlns:a16="http://schemas.microsoft.com/office/drawing/2014/main" id="{00000000-0008-0000-8500-00003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DIV_05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118</xdr:row>
          <xdr:rowOff>146050</xdr:rowOff>
        </xdr:from>
        <xdr:to>
          <xdr:col>2</xdr:col>
          <xdr:colOff>146050</xdr:colOff>
          <xdr:row>120</xdr:row>
          <xdr:rowOff>158750</xdr:rowOff>
        </xdr:to>
        <xdr:sp macro="" textlink="">
          <xdr:nvSpPr>
            <xdr:cNvPr id="5172" name="Button 52" hidden="1">
              <a:extLst>
                <a:ext uri="{63B3BB69-23CF-44E3-9099-C40C66FF867C}">
                  <a14:compatExt spid="_x0000_s5172"/>
                </a:ext>
                <a:ext uri="{FF2B5EF4-FFF2-40B4-BE49-F238E27FC236}">
                  <a16:creationId xmlns:a16="http://schemas.microsoft.com/office/drawing/2014/main" id="{00000000-0008-0000-8500-00003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SEC_051000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121</xdr:row>
          <xdr:rowOff>158750</xdr:rowOff>
        </xdr:from>
        <xdr:to>
          <xdr:col>2</xdr:col>
          <xdr:colOff>146050</xdr:colOff>
          <xdr:row>123</xdr:row>
          <xdr:rowOff>171450</xdr:rowOff>
        </xdr:to>
        <xdr:sp macro="" textlink="">
          <xdr:nvSpPr>
            <xdr:cNvPr id="5173" name="Button 53" hidden="1">
              <a:extLst>
                <a:ext uri="{63B3BB69-23CF-44E3-9099-C40C66FF867C}">
                  <a14:compatExt spid="_x0000_s5173"/>
                </a:ext>
                <a:ext uri="{FF2B5EF4-FFF2-40B4-BE49-F238E27FC236}">
                  <a16:creationId xmlns:a16="http://schemas.microsoft.com/office/drawing/2014/main" id="{00000000-0008-0000-8500-00003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SEC_052000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125</xdr:row>
          <xdr:rowOff>0</xdr:rowOff>
        </xdr:from>
        <xdr:to>
          <xdr:col>2</xdr:col>
          <xdr:colOff>177800</xdr:colOff>
          <xdr:row>127</xdr:row>
          <xdr:rowOff>12700</xdr:rowOff>
        </xdr:to>
        <xdr:sp macro="" textlink="">
          <xdr:nvSpPr>
            <xdr:cNvPr id="5174" name="Button 54" hidden="1">
              <a:extLst>
                <a:ext uri="{63B3BB69-23CF-44E3-9099-C40C66FF867C}">
                  <a14:compatExt spid="_x0000_s5174"/>
                </a:ext>
                <a:ext uri="{FF2B5EF4-FFF2-40B4-BE49-F238E27FC236}">
                  <a16:creationId xmlns:a16="http://schemas.microsoft.com/office/drawing/2014/main" id="{00000000-0008-0000-8500-00003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SEC_053000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128</xdr:row>
          <xdr:rowOff>0</xdr:rowOff>
        </xdr:from>
        <xdr:to>
          <xdr:col>2</xdr:col>
          <xdr:colOff>165100</xdr:colOff>
          <xdr:row>130</xdr:row>
          <xdr:rowOff>12700</xdr:rowOff>
        </xdr:to>
        <xdr:sp macro="" textlink="">
          <xdr:nvSpPr>
            <xdr:cNvPr id="5175" name="Button 55" hidden="1">
              <a:extLst>
                <a:ext uri="{63B3BB69-23CF-44E3-9099-C40C66FF867C}">
                  <a14:compatExt spid="_x0000_s5175"/>
                </a:ext>
                <a:ext uri="{FF2B5EF4-FFF2-40B4-BE49-F238E27FC236}">
                  <a16:creationId xmlns:a16="http://schemas.microsoft.com/office/drawing/2014/main" id="{00000000-0008-0000-8500-00003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SEC_054000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130</xdr:row>
          <xdr:rowOff>177800</xdr:rowOff>
        </xdr:from>
        <xdr:to>
          <xdr:col>2</xdr:col>
          <xdr:colOff>177800</xdr:colOff>
          <xdr:row>133</xdr:row>
          <xdr:rowOff>6350</xdr:rowOff>
        </xdr:to>
        <xdr:sp macro="" textlink="">
          <xdr:nvSpPr>
            <xdr:cNvPr id="5176" name="Button 56" hidden="1">
              <a:extLst>
                <a:ext uri="{63B3BB69-23CF-44E3-9099-C40C66FF867C}">
                  <a14:compatExt spid="_x0000_s5176"/>
                </a:ext>
                <a:ext uri="{FF2B5EF4-FFF2-40B4-BE49-F238E27FC236}">
                  <a16:creationId xmlns:a16="http://schemas.microsoft.com/office/drawing/2014/main" id="{00000000-0008-0000-8500-00003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SEC_055000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120650</xdr:colOff>
          <xdr:row>133</xdr:row>
          <xdr:rowOff>158750</xdr:rowOff>
        </xdr:from>
        <xdr:to>
          <xdr:col>2</xdr:col>
          <xdr:colOff>171450</xdr:colOff>
          <xdr:row>135</xdr:row>
          <xdr:rowOff>171450</xdr:rowOff>
        </xdr:to>
        <xdr:sp macro="" textlink="">
          <xdr:nvSpPr>
            <xdr:cNvPr id="5177" name="Button 57" hidden="1">
              <a:extLst>
                <a:ext uri="{63B3BB69-23CF-44E3-9099-C40C66FF867C}">
                  <a14:compatExt spid="_x0000_s5177"/>
                </a:ext>
                <a:ext uri="{FF2B5EF4-FFF2-40B4-BE49-F238E27FC236}">
                  <a16:creationId xmlns:a16="http://schemas.microsoft.com/office/drawing/2014/main" id="{00000000-0008-0000-8500-00003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SEC_057000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136</xdr:row>
          <xdr:rowOff>158750</xdr:rowOff>
        </xdr:from>
        <xdr:to>
          <xdr:col>2</xdr:col>
          <xdr:colOff>158750</xdr:colOff>
          <xdr:row>138</xdr:row>
          <xdr:rowOff>171450</xdr:rowOff>
        </xdr:to>
        <xdr:sp macro="" textlink="">
          <xdr:nvSpPr>
            <xdr:cNvPr id="5178" name="Button 58" hidden="1">
              <a:extLst>
                <a:ext uri="{63B3BB69-23CF-44E3-9099-C40C66FF867C}">
                  <a14:compatExt spid="_x0000_s5178"/>
                </a:ext>
                <a:ext uri="{FF2B5EF4-FFF2-40B4-BE49-F238E27FC236}">
                  <a16:creationId xmlns:a16="http://schemas.microsoft.com/office/drawing/2014/main" id="{00000000-0008-0000-8500-00003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DIV_06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635000</xdr:colOff>
          <xdr:row>136</xdr:row>
          <xdr:rowOff>139700</xdr:rowOff>
        </xdr:from>
        <xdr:to>
          <xdr:col>12</xdr:col>
          <xdr:colOff>19050</xdr:colOff>
          <xdr:row>138</xdr:row>
          <xdr:rowOff>152400</xdr:rowOff>
        </xdr:to>
        <xdr:sp macro="" textlink="">
          <xdr:nvSpPr>
            <xdr:cNvPr id="5180" name="Button 60" hidden="1">
              <a:extLst>
                <a:ext uri="{63B3BB69-23CF-44E3-9099-C40C66FF867C}">
                  <a14:compatExt spid="_x0000_s5180"/>
                </a:ext>
                <a:ext uri="{FF2B5EF4-FFF2-40B4-BE49-F238E27FC236}">
                  <a16:creationId xmlns:a16="http://schemas.microsoft.com/office/drawing/2014/main" id="{00000000-0008-0000-8500-00003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DIV_06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139</xdr:row>
          <xdr:rowOff>158750</xdr:rowOff>
        </xdr:from>
        <xdr:to>
          <xdr:col>2</xdr:col>
          <xdr:colOff>165100</xdr:colOff>
          <xdr:row>141</xdr:row>
          <xdr:rowOff>171450</xdr:rowOff>
        </xdr:to>
        <xdr:sp macro="" textlink="">
          <xdr:nvSpPr>
            <xdr:cNvPr id="5181" name="Button 61" hidden="1">
              <a:extLst>
                <a:ext uri="{63B3BB69-23CF-44E3-9099-C40C66FF867C}">
                  <a14:compatExt spid="_x0000_s5181"/>
                </a:ext>
                <a:ext uri="{FF2B5EF4-FFF2-40B4-BE49-F238E27FC236}">
                  <a16:creationId xmlns:a16="http://schemas.microsoft.com/office/drawing/2014/main" id="{00000000-0008-0000-8500-00003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SEC_061000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142</xdr:row>
          <xdr:rowOff>165100</xdr:rowOff>
        </xdr:from>
        <xdr:to>
          <xdr:col>2</xdr:col>
          <xdr:colOff>152400</xdr:colOff>
          <xdr:row>144</xdr:row>
          <xdr:rowOff>177800</xdr:rowOff>
        </xdr:to>
        <xdr:sp macro="" textlink="">
          <xdr:nvSpPr>
            <xdr:cNvPr id="5182" name="Button 62" hidden="1">
              <a:extLst>
                <a:ext uri="{63B3BB69-23CF-44E3-9099-C40C66FF867C}">
                  <a14:compatExt spid="_x0000_s5182"/>
                </a:ext>
                <a:ext uri="{FF2B5EF4-FFF2-40B4-BE49-F238E27FC236}">
                  <a16:creationId xmlns:a16="http://schemas.microsoft.com/office/drawing/2014/main" id="{00000000-0008-0000-8500-00003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SEC_062000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145</xdr:row>
          <xdr:rowOff>165100</xdr:rowOff>
        </xdr:from>
        <xdr:to>
          <xdr:col>2</xdr:col>
          <xdr:colOff>165100</xdr:colOff>
          <xdr:row>147</xdr:row>
          <xdr:rowOff>177800</xdr:rowOff>
        </xdr:to>
        <xdr:sp macro="" textlink="">
          <xdr:nvSpPr>
            <xdr:cNvPr id="5183" name="Button 63" hidden="1">
              <a:extLst>
                <a:ext uri="{63B3BB69-23CF-44E3-9099-C40C66FF867C}">
                  <a14:compatExt spid="_x0000_s5183"/>
                </a:ext>
                <a:ext uri="{FF2B5EF4-FFF2-40B4-BE49-F238E27FC236}">
                  <a16:creationId xmlns:a16="http://schemas.microsoft.com/office/drawing/2014/main" id="{00000000-0008-0000-8500-00003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SEC_064000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120650</xdr:colOff>
          <xdr:row>148</xdr:row>
          <xdr:rowOff>171450</xdr:rowOff>
        </xdr:from>
        <xdr:to>
          <xdr:col>2</xdr:col>
          <xdr:colOff>171450</xdr:colOff>
          <xdr:row>151</xdr:row>
          <xdr:rowOff>0</xdr:rowOff>
        </xdr:to>
        <xdr:sp macro="" textlink="">
          <xdr:nvSpPr>
            <xdr:cNvPr id="5184" name="Button 64" hidden="1">
              <a:extLst>
                <a:ext uri="{63B3BB69-23CF-44E3-9099-C40C66FF867C}">
                  <a14:compatExt spid="_x0000_s5184"/>
                </a:ext>
                <a:ext uri="{FF2B5EF4-FFF2-40B4-BE49-F238E27FC236}">
                  <a16:creationId xmlns:a16="http://schemas.microsoft.com/office/drawing/2014/main" id="{00000000-0008-0000-8500-00004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SEC_065000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152</xdr:row>
          <xdr:rowOff>0</xdr:rowOff>
        </xdr:from>
        <xdr:to>
          <xdr:col>2</xdr:col>
          <xdr:colOff>177800</xdr:colOff>
          <xdr:row>154</xdr:row>
          <xdr:rowOff>0</xdr:rowOff>
        </xdr:to>
        <xdr:sp macro="" textlink="">
          <xdr:nvSpPr>
            <xdr:cNvPr id="5185" name="Button 65" hidden="1">
              <a:extLst>
                <a:ext uri="{63B3BB69-23CF-44E3-9099-C40C66FF867C}">
                  <a14:compatExt spid="_x0000_s5185"/>
                </a:ext>
                <a:ext uri="{FF2B5EF4-FFF2-40B4-BE49-F238E27FC236}">
                  <a16:creationId xmlns:a16="http://schemas.microsoft.com/office/drawing/2014/main" id="{00000000-0008-0000-8500-00004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SEC_066000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160</xdr:row>
          <xdr:rowOff>171450</xdr:rowOff>
        </xdr:from>
        <xdr:to>
          <xdr:col>2</xdr:col>
          <xdr:colOff>165100</xdr:colOff>
          <xdr:row>163</xdr:row>
          <xdr:rowOff>0</xdr:rowOff>
        </xdr:to>
        <xdr:sp macro="" textlink="">
          <xdr:nvSpPr>
            <xdr:cNvPr id="5186" name="Button 66" hidden="1">
              <a:extLst>
                <a:ext uri="{63B3BB69-23CF-44E3-9099-C40C66FF867C}">
                  <a14:compatExt spid="_x0000_s5186"/>
                </a:ext>
                <a:ext uri="{FF2B5EF4-FFF2-40B4-BE49-F238E27FC236}">
                  <a16:creationId xmlns:a16="http://schemas.microsoft.com/office/drawing/2014/main" id="{00000000-0008-0000-8500-00004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DIV_07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160</xdr:row>
          <xdr:rowOff>171450</xdr:rowOff>
        </xdr:from>
        <xdr:to>
          <xdr:col>12</xdr:col>
          <xdr:colOff>50800</xdr:colOff>
          <xdr:row>163</xdr:row>
          <xdr:rowOff>0</xdr:rowOff>
        </xdr:to>
        <xdr:sp macro="" textlink="">
          <xdr:nvSpPr>
            <xdr:cNvPr id="5187" name="Button 67" hidden="1">
              <a:extLst>
                <a:ext uri="{63B3BB69-23CF-44E3-9099-C40C66FF867C}">
                  <a14:compatExt spid="_x0000_s5187"/>
                </a:ext>
                <a:ext uri="{FF2B5EF4-FFF2-40B4-BE49-F238E27FC236}">
                  <a16:creationId xmlns:a16="http://schemas.microsoft.com/office/drawing/2014/main" id="{00000000-0008-0000-8500-00004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DIV_07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163</xdr:row>
          <xdr:rowOff>165100</xdr:rowOff>
        </xdr:from>
        <xdr:to>
          <xdr:col>2</xdr:col>
          <xdr:colOff>165100</xdr:colOff>
          <xdr:row>165</xdr:row>
          <xdr:rowOff>177800</xdr:rowOff>
        </xdr:to>
        <xdr:sp macro="" textlink="">
          <xdr:nvSpPr>
            <xdr:cNvPr id="5188" name="Button 68" hidden="1">
              <a:extLst>
                <a:ext uri="{63B3BB69-23CF-44E3-9099-C40C66FF867C}">
                  <a14:compatExt spid="_x0000_s5188"/>
                </a:ext>
                <a:ext uri="{FF2B5EF4-FFF2-40B4-BE49-F238E27FC236}">
                  <a16:creationId xmlns:a16="http://schemas.microsoft.com/office/drawing/2014/main" id="{00000000-0008-0000-8500-00004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SEC_071000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166</xdr:row>
          <xdr:rowOff>120650</xdr:rowOff>
        </xdr:from>
        <xdr:to>
          <xdr:col>2</xdr:col>
          <xdr:colOff>177800</xdr:colOff>
          <xdr:row>168</xdr:row>
          <xdr:rowOff>133350</xdr:rowOff>
        </xdr:to>
        <xdr:sp macro="" textlink="">
          <xdr:nvSpPr>
            <xdr:cNvPr id="5189" name="Button 69" hidden="1">
              <a:extLst>
                <a:ext uri="{63B3BB69-23CF-44E3-9099-C40C66FF867C}">
                  <a14:compatExt spid="_x0000_s5189"/>
                </a:ext>
                <a:ext uri="{FF2B5EF4-FFF2-40B4-BE49-F238E27FC236}">
                  <a16:creationId xmlns:a16="http://schemas.microsoft.com/office/drawing/2014/main" id="{00000000-0008-0000-8500-00004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SEC_072000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120650</xdr:colOff>
          <xdr:row>169</xdr:row>
          <xdr:rowOff>158750</xdr:rowOff>
        </xdr:from>
        <xdr:to>
          <xdr:col>2</xdr:col>
          <xdr:colOff>171450</xdr:colOff>
          <xdr:row>171</xdr:row>
          <xdr:rowOff>171450</xdr:rowOff>
        </xdr:to>
        <xdr:sp macro="" textlink="">
          <xdr:nvSpPr>
            <xdr:cNvPr id="5190" name="Button 70" hidden="1">
              <a:extLst>
                <a:ext uri="{63B3BB69-23CF-44E3-9099-C40C66FF867C}">
                  <a14:compatExt spid="_x0000_s5190"/>
                </a:ext>
                <a:ext uri="{FF2B5EF4-FFF2-40B4-BE49-F238E27FC236}">
                  <a16:creationId xmlns:a16="http://schemas.microsoft.com/office/drawing/2014/main" id="{00000000-0008-0000-8500-00004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SEC_073000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172</xdr:row>
          <xdr:rowOff>158750</xdr:rowOff>
        </xdr:from>
        <xdr:to>
          <xdr:col>2</xdr:col>
          <xdr:colOff>165100</xdr:colOff>
          <xdr:row>174</xdr:row>
          <xdr:rowOff>171450</xdr:rowOff>
        </xdr:to>
        <xdr:sp macro="" textlink="">
          <xdr:nvSpPr>
            <xdr:cNvPr id="5191" name="Button 71" hidden="1">
              <a:extLst>
                <a:ext uri="{63B3BB69-23CF-44E3-9099-C40C66FF867C}">
                  <a14:compatExt spid="_x0000_s5191"/>
                </a:ext>
                <a:ext uri="{FF2B5EF4-FFF2-40B4-BE49-F238E27FC236}">
                  <a16:creationId xmlns:a16="http://schemas.microsoft.com/office/drawing/2014/main" id="{00000000-0008-0000-8500-00004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SEC_074000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175</xdr:row>
          <xdr:rowOff>165100</xdr:rowOff>
        </xdr:from>
        <xdr:to>
          <xdr:col>2</xdr:col>
          <xdr:colOff>177800</xdr:colOff>
          <xdr:row>177</xdr:row>
          <xdr:rowOff>177800</xdr:rowOff>
        </xdr:to>
        <xdr:sp macro="" textlink="">
          <xdr:nvSpPr>
            <xdr:cNvPr id="5192" name="Button 72" hidden="1">
              <a:extLst>
                <a:ext uri="{63B3BB69-23CF-44E3-9099-C40C66FF867C}">
                  <a14:compatExt spid="_x0000_s5192"/>
                </a:ext>
                <a:ext uri="{FF2B5EF4-FFF2-40B4-BE49-F238E27FC236}">
                  <a16:creationId xmlns:a16="http://schemas.microsoft.com/office/drawing/2014/main" id="{00000000-0008-0000-8500-00004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SEC_075000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120650</xdr:colOff>
          <xdr:row>178</xdr:row>
          <xdr:rowOff>152400</xdr:rowOff>
        </xdr:from>
        <xdr:to>
          <xdr:col>2</xdr:col>
          <xdr:colOff>171450</xdr:colOff>
          <xdr:row>180</xdr:row>
          <xdr:rowOff>165100</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8500-00004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SEC_076000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181</xdr:row>
          <xdr:rowOff>158750</xdr:rowOff>
        </xdr:from>
        <xdr:to>
          <xdr:col>2</xdr:col>
          <xdr:colOff>165100</xdr:colOff>
          <xdr:row>183</xdr:row>
          <xdr:rowOff>171450</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8500-00004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SEC_077000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184</xdr:row>
          <xdr:rowOff>177800</xdr:rowOff>
        </xdr:from>
        <xdr:to>
          <xdr:col>2</xdr:col>
          <xdr:colOff>177800</xdr:colOff>
          <xdr:row>187</xdr:row>
          <xdr:rowOff>6350</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8500-00004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SEC_078000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187</xdr:row>
          <xdr:rowOff>165100</xdr:rowOff>
        </xdr:from>
        <xdr:to>
          <xdr:col>2</xdr:col>
          <xdr:colOff>165100</xdr:colOff>
          <xdr:row>189</xdr:row>
          <xdr:rowOff>177800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8500-00004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SEC_079000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190</xdr:row>
          <xdr:rowOff>165100</xdr:rowOff>
        </xdr:from>
        <xdr:to>
          <xdr:col>2</xdr:col>
          <xdr:colOff>177800</xdr:colOff>
          <xdr:row>192</xdr:row>
          <xdr:rowOff>177800</xdr:rowOff>
        </xdr:to>
        <xdr:sp macro="" textlink="">
          <xdr:nvSpPr>
            <xdr:cNvPr id="5197" name="Button 77" hidden="1">
              <a:extLst>
                <a:ext uri="{63B3BB69-23CF-44E3-9099-C40C66FF867C}">
                  <a14:compatExt spid="_x0000_s5197"/>
                </a:ext>
                <a:ext uri="{FF2B5EF4-FFF2-40B4-BE49-F238E27FC236}">
                  <a16:creationId xmlns:a16="http://schemas.microsoft.com/office/drawing/2014/main" id="{00000000-0008-0000-8500-00004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DIV_08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6350</xdr:colOff>
          <xdr:row>190</xdr:row>
          <xdr:rowOff>171450</xdr:rowOff>
        </xdr:from>
        <xdr:to>
          <xdr:col>12</xdr:col>
          <xdr:colOff>57150</xdr:colOff>
          <xdr:row>193</xdr:row>
          <xdr:rowOff>0</xdr:rowOff>
        </xdr:to>
        <xdr:sp macro="" textlink="">
          <xdr:nvSpPr>
            <xdr:cNvPr id="5198" name="Button 78" hidden="1">
              <a:extLst>
                <a:ext uri="{63B3BB69-23CF-44E3-9099-C40C66FF867C}">
                  <a14:compatExt spid="_x0000_s5198"/>
                </a:ext>
                <a:ext uri="{FF2B5EF4-FFF2-40B4-BE49-F238E27FC236}">
                  <a16:creationId xmlns:a16="http://schemas.microsoft.com/office/drawing/2014/main" id="{00000000-0008-0000-8500-00004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DIV_08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193</xdr:row>
          <xdr:rowOff>158750</xdr:rowOff>
        </xdr:from>
        <xdr:to>
          <xdr:col>2</xdr:col>
          <xdr:colOff>184150</xdr:colOff>
          <xdr:row>195</xdr:row>
          <xdr:rowOff>171450</xdr:rowOff>
        </xdr:to>
        <xdr:sp macro="" textlink="">
          <xdr:nvSpPr>
            <xdr:cNvPr id="5199" name="Button 79" hidden="1">
              <a:extLst>
                <a:ext uri="{63B3BB69-23CF-44E3-9099-C40C66FF867C}">
                  <a14:compatExt spid="_x0000_s5199"/>
                </a:ext>
                <a:ext uri="{FF2B5EF4-FFF2-40B4-BE49-F238E27FC236}">
                  <a16:creationId xmlns:a16="http://schemas.microsoft.com/office/drawing/2014/main" id="{00000000-0008-0000-8500-00004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SEC_081000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196</xdr:row>
          <xdr:rowOff>133350</xdr:rowOff>
        </xdr:from>
        <xdr:to>
          <xdr:col>2</xdr:col>
          <xdr:colOff>177800</xdr:colOff>
          <xdr:row>198</xdr:row>
          <xdr:rowOff>146050</xdr:rowOff>
        </xdr:to>
        <xdr:sp macro="" textlink="">
          <xdr:nvSpPr>
            <xdr:cNvPr id="5200" name="Button 80" hidden="1">
              <a:extLst>
                <a:ext uri="{63B3BB69-23CF-44E3-9099-C40C66FF867C}">
                  <a14:compatExt spid="_x0000_s5200"/>
                </a:ext>
                <a:ext uri="{FF2B5EF4-FFF2-40B4-BE49-F238E27FC236}">
                  <a16:creationId xmlns:a16="http://schemas.microsoft.com/office/drawing/2014/main" id="{00000000-0008-0000-8500-00005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SEC_083000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199</xdr:row>
          <xdr:rowOff>158750</xdr:rowOff>
        </xdr:from>
        <xdr:to>
          <xdr:col>2</xdr:col>
          <xdr:colOff>177800</xdr:colOff>
          <xdr:row>201</xdr:row>
          <xdr:rowOff>171450</xdr:rowOff>
        </xdr:to>
        <xdr:sp macro="" textlink="">
          <xdr:nvSpPr>
            <xdr:cNvPr id="5201" name="Button 81" hidden="1">
              <a:extLst>
                <a:ext uri="{63B3BB69-23CF-44E3-9099-C40C66FF867C}">
                  <a14:compatExt spid="_x0000_s5201"/>
                </a:ext>
                <a:ext uri="{FF2B5EF4-FFF2-40B4-BE49-F238E27FC236}">
                  <a16:creationId xmlns:a16="http://schemas.microsoft.com/office/drawing/2014/main" id="{00000000-0008-0000-8500-00005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SEC_084000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202</xdr:row>
          <xdr:rowOff>165100</xdr:rowOff>
        </xdr:from>
        <xdr:to>
          <xdr:col>2</xdr:col>
          <xdr:colOff>177800</xdr:colOff>
          <xdr:row>204</xdr:row>
          <xdr:rowOff>177800</xdr:rowOff>
        </xdr:to>
        <xdr:sp macro="" textlink="">
          <xdr:nvSpPr>
            <xdr:cNvPr id="5202" name="Button 82" hidden="1">
              <a:extLst>
                <a:ext uri="{63B3BB69-23CF-44E3-9099-C40C66FF867C}">
                  <a14:compatExt spid="_x0000_s5202"/>
                </a:ext>
                <a:ext uri="{FF2B5EF4-FFF2-40B4-BE49-F238E27FC236}">
                  <a16:creationId xmlns:a16="http://schemas.microsoft.com/office/drawing/2014/main" id="{00000000-0008-0000-8500-00005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SEC_085000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120650</xdr:colOff>
          <xdr:row>205</xdr:row>
          <xdr:rowOff>171450</xdr:rowOff>
        </xdr:from>
        <xdr:to>
          <xdr:col>2</xdr:col>
          <xdr:colOff>171450</xdr:colOff>
          <xdr:row>208</xdr:row>
          <xdr:rowOff>0</xdr:rowOff>
        </xdr:to>
        <xdr:sp macro="" textlink="">
          <xdr:nvSpPr>
            <xdr:cNvPr id="5203" name="Button 83" hidden="1">
              <a:extLst>
                <a:ext uri="{63B3BB69-23CF-44E3-9099-C40C66FF867C}">
                  <a14:compatExt spid="_x0000_s5203"/>
                </a:ext>
                <a:ext uri="{FF2B5EF4-FFF2-40B4-BE49-F238E27FC236}">
                  <a16:creationId xmlns:a16="http://schemas.microsoft.com/office/drawing/2014/main" id="{00000000-0008-0000-8500-00005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SEC_086000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208</xdr:row>
          <xdr:rowOff>171450</xdr:rowOff>
        </xdr:from>
        <xdr:to>
          <xdr:col>2</xdr:col>
          <xdr:colOff>177800</xdr:colOff>
          <xdr:row>211</xdr:row>
          <xdr:rowOff>0</xdr:rowOff>
        </xdr:to>
        <xdr:sp macro="" textlink="">
          <xdr:nvSpPr>
            <xdr:cNvPr id="5204" name="Button 84" hidden="1">
              <a:extLst>
                <a:ext uri="{63B3BB69-23CF-44E3-9099-C40C66FF867C}">
                  <a14:compatExt spid="_x0000_s5204"/>
                </a:ext>
                <a:ext uri="{FF2B5EF4-FFF2-40B4-BE49-F238E27FC236}">
                  <a16:creationId xmlns:a16="http://schemas.microsoft.com/office/drawing/2014/main" id="{00000000-0008-0000-8500-00005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SEC_087000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211</xdr:row>
          <xdr:rowOff>165100</xdr:rowOff>
        </xdr:from>
        <xdr:to>
          <xdr:col>2</xdr:col>
          <xdr:colOff>177800</xdr:colOff>
          <xdr:row>213</xdr:row>
          <xdr:rowOff>177800</xdr:rowOff>
        </xdr:to>
        <xdr:sp macro="" textlink="">
          <xdr:nvSpPr>
            <xdr:cNvPr id="5205" name="Button 85" hidden="1">
              <a:extLst>
                <a:ext uri="{63B3BB69-23CF-44E3-9099-C40C66FF867C}">
                  <a14:compatExt spid="_x0000_s5205"/>
                </a:ext>
                <a:ext uri="{FF2B5EF4-FFF2-40B4-BE49-F238E27FC236}">
                  <a16:creationId xmlns:a16="http://schemas.microsoft.com/office/drawing/2014/main" id="{00000000-0008-0000-8500-00005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SEC_088000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215</xdr:row>
          <xdr:rowOff>0</xdr:rowOff>
        </xdr:from>
        <xdr:to>
          <xdr:col>2</xdr:col>
          <xdr:colOff>177800</xdr:colOff>
          <xdr:row>217</xdr:row>
          <xdr:rowOff>12700</xdr:rowOff>
        </xdr:to>
        <xdr:sp macro="" textlink="">
          <xdr:nvSpPr>
            <xdr:cNvPr id="5206" name="Button 86" hidden="1">
              <a:extLst>
                <a:ext uri="{63B3BB69-23CF-44E3-9099-C40C66FF867C}">
                  <a14:compatExt spid="_x0000_s5206"/>
                </a:ext>
                <a:ext uri="{FF2B5EF4-FFF2-40B4-BE49-F238E27FC236}">
                  <a16:creationId xmlns:a16="http://schemas.microsoft.com/office/drawing/2014/main" id="{00000000-0008-0000-8500-00005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SEC_089000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120650</xdr:colOff>
          <xdr:row>217</xdr:row>
          <xdr:rowOff>158750</xdr:rowOff>
        </xdr:from>
        <xdr:to>
          <xdr:col>2</xdr:col>
          <xdr:colOff>171450</xdr:colOff>
          <xdr:row>219</xdr:row>
          <xdr:rowOff>171450</xdr:rowOff>
        </xdr:to>
        <xdr:sp macro="" textlink="">
          <xdr:nvSpPr>
            <xdr:cNvPr id="5207" name="Button 87" hidden="1">
              <a:extLst>
                <a:ext uri="{63B3BB69-23CF-44E3-9099-C40C66FF867C}">
                  <a14:compatExt spid="_x0000_s5207"/>
                </a:ext>
                <a:ext uri="{FF2B5EF4-FFF2-40B4-BE49-F238E27FC236}">
                  <a16:creationId xmlns:a16="http://schemas.microsoft.com/office/drawing/2014/main" id="{00000000-0008-0000-8500-00005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DIV_09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217</xdr:row>
          <xdr:rowOff>139700</xdr:rowOff>
        </xdr:from>
        <xdr:to>
          <xdr:col>12</xdr:col>
          <xdr:colOff>50800</xdr:colOff>
          <xdr:row>219</xdr:row>
          <xdr:rowOff>152400</xdr:rowOff>
        </xdr:to>
        <xdr:sp macro="" textlink="">
          <xdr:nvSpPr>
            <xdr:cNvPr id="5208" name="Button 88" hidden="1">
              <a:extLst>
                <a:ext uri="{63B3BB69-23CF-44E3-9099-C40C66FF867C}">
                  <a14:compatExt spid="_x0000_s5208"/>
                </a:ext>
                <a:ext uri="{FF2B5EF4-FFF2-40B4-BE49-F238E27FC236}">
                  <a16:creationId xmlns:a16="http://schemas.microsoft.com/office/drawing/2014/main" id="{00000000-0008-0000-8500-00005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DIV_09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220</xdr:row>
          <xdr:rowOff>165100</xdr:rowOff>
        </xdr:from>
        <xdr:to>
          <xdr:col>2</xdr:col>
          <xdr:colOff>177800</xdr:colOff>
          <xdr:row>222</xdr:row>
          <xdr:rowOff>177800</xdr:rowOff>
        </xdr:to>
        <xdr:sp macro="" textlink="">
          <xdr:nvSpPr>
            <xdr:cNvPr id="5209" name="Button 89" hidden="1">
              <a:extLst>
                <a:ext uri="{63B3BB69-23CF-44E3-9099-C40C66FF867C}">
                  <a14:compatExt spid="_x0000_s5209"/>
                </a:ext>
                <a:ext uri="{FF2B5EF4-FFF2-40B4-BE49-F238E27FC236}">
                  <a16:creationId xmlns:a16="http://schemas.microsoft.com/office/drawing/2014/main" id="{00000000-0008-0000-8500-00005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SEC_092000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120650</xdr:colOff>
          <xdr:row>223</xdr:row>
          <xdr:rowOff>171450</xdr:rowOff>
        </xdr:from>
        <xdr:to>
          <xdr:col>2</xdr:col>
          <xdr:colOff>171450</xdr:colOff>
          <xdr:row>226</xdr:row>
          <xdr:rowOff>0</xdr:rowOff>
        </xdr:to>
        <xdr:sp macro="" textlink="">
          <xdr:nvSpPr>
            <xdr:cNvPr id="5210" name="Button 90" hidden="1">
              <a:extLst>
                <a:ext uri="{63B3BB69-23CF-44E3-9099-C40C66FF867C}">
                  <a14:compatExt spid="_x0000_s5210"/>
                </a:ext>
                <a:ext uri="{FF2B5EF4-FFF2-40B4-BE49-F238E27FC236}">
                  <a16:creationId xmlns:a16="http://schemas.microsoft.com/office/drawing/2014/main" id="{00000000-0008-0000-8500-00005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SEC_093000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226</xdr:row>
          <xdr:rowOff>165100</xdr:rowOff>
        </xdr:from>
        <xdr:to>
          <xdr:col>2</xdr:col>
          <xdr:colOff>177800</xdr:colOff>
          <xdr:row>228</xdr:row>
          <xdr:rowOff>177800</xdr:rowOff>
        </xdr:to>
        <xdr:sp macro="" textlink="">
          <xdr:nvSpPr>
            <xdr:cNvPr id="5211" name="Button 91" hidden="1">
              <a:extLst>
                <a:ext uri="{63B3BB69-23CF-44E3-9099-C40C66FF867C}">
                  <a14:compatExt spid="_x0000_s5211"/>
                </a:ext>
                <a:ext uri="{FF2B5EF4-FFF2-40B4-BE49-F238E27FC236}">
                  <a16:creationId xmlns:a16="http://schemas.microsoft.com/office/drawing/2014/main" id="{00000000-0008-0000-8500-00005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SEC_095000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229</xdr:row>
          <xdr:rowOff>177800</xdr:rowOff>
        </xdr:from>
        <xdr:to>
          <xdr:col>2</xdr:col>
          <xdr:colOff>177800</xdr:colOff>
          <xdr:row>232</xdr:row>
          <xdr:rowOff>6350</xdr:rowOff>
        </xdr:to>
        <xdr:sp macro="" textlink="">
          <xdr:nvSpPr>
            <xdr:cNvPr id="5212" name="Button 92" hidden="1">
              <a:extLst>
                <a:ext uri="{63B3BB69-23CF-44E3-9099-C40C66FF867C}">
                  <a14:compatExt spid="_x0000_s5212"/>
                </a:ext>
                <a:ext uri="{FF2B5EF4-FFF2-40B4-BE49-F238E27FC236}">
                  <a16:creationId xmlns:a16="http://schemas.microsoft.com/office/drawing/2014/main" id="{00000000-0008-0000-8500-00005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SEC_096000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232</xdr:row>
          <xdr:rowOff>165100</xdr:rowOff>
        </xdr:from>
        <xdr:to>
          <xdr:col>2</xdr:col>
          <xdr:colOff>177800</xdr:colOff>
          <xdr:row>234</xdr:row>
          <xdr:rowOff>177800</xdr:rowOff>
        </xdr:to>
        <xdr:sp macro="" textlink="">
          <xdr:nvSpPr>
            <xdr:cNvPr id="5213" name="Button 93" hidden="1">
              <a:extLst>
                <a:ext uri="{63B3BB69-23CF-44E3-9099-C40C66FF867C}">
                  <a14:compatExt spid="_x0000_s5213"/>
                </a:ext>
                <a:ext uri="{FF2B5EF4-FFF2-40B4-BE49-F238E27FC236}">
                  <a16:creationId xmlns:a16="http://schemas.microsoft.com/office/drawing/2014/main" id="{00000000-0008-0000-8500-00005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SEC_097000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120650</xdr:colOff>
          <xdr:row>235</xdr:row>
          <xdr:rowOff>177800</xdr:rowOff>
        </xdr:from>
        <xdr:to>
          <xdr:col>2</xdr:col>
          <xdr:colOff>171450</xdr:colOff>
          <xdr:row>238</xdr:row>
          <xdr:rowOff>6350</xdr:rowOff>
        </xdr:to>
        <xdr:sp macro="" textlink="">
          <xdr:nvSpPr>
            <xdr:cNvPr id="5214" name="Button 94" hidden="1">
              <a:extLst>
                <a:ext uri="{63B3BB69-23CF-44E3-9099-C40C66FF867C}">
                  <a14:compatExt spid="_x0000_s5214"/>
                </a:ext>
                <a:ext uri="{FF2B5EF4-FFF2-40B4-BE49-F238E27FC236}">
                  <a16:creationId xmlns:a16="http://schemas.microsoft.com/office/drawing/2014/main" id="{00000000-0008-0000-8500-00005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SEC_098000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238</xdr:row>
          <xdr:rowOff>171450</xdr:rowOff>
        </xdr:from>
        <xdr:to>
          <xdr:col>2</xdr:col>
          <xdr:colOff>165100</xdr:colOff>
          <xdr:row>241</xdr:row>
          <xdr:rowOff>0</xdr:rowOff>
        </xdr:to>
        <xdr:sp macro="" textlink="">
          <xdr:nvSpPr>
            <xdr:cNvPr id="5215" name="Button 95" hidden="1">
              <a:extLst>
                <a:ext uri="{63B3BB69-23CF-44E3-9099-C40C66FF867C}">
                  <a14:compatExt spid="_x0000_s5215"/>
                </a:ext>
                <a:ext uri="{FF2B5EF4-FFF2-40B4-BE49-F238E27FC236}">
                  <a16:creationId xmlns:a16="http://schemas.microsoft.com/office/drawing/2014/main" id="{00000000-0008-0000-8500-00005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SEC_099000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241</xdr:row>
          <xdr:rowOff>158750</xdr:rowOff>
        </xdr:from>
        <xdr:to>
          <xdr:col>2</xdr:col>
          <xdr:colOff>165100</xdr:colOff>
          <xdr:row>243</xdr:row>
          <xdr:rowOff>171450</xdr:rowOff>
        </xdr:to>
        <xdr:sp macro="" textlink="">
          <xdr:nvSpPr>
            <xdr:cNvPr id="5224" name="Button 104" hidden="1">
              <a:extLst>
                <a:ext uri="{63B3BB69-23CF-44E3-9099-C40C66FF867C}">
                  <a14:compatExt spid="_x0000_s5224"/>
                </a:ext>
                <a:ext uri="{FF2B5EF4-FFF2-40B4-BE49-F238E27FC236}">
                  <a16:creationId xmlns:a16="http://schemas.microsoft.com/office/drawing/2014/main" id="{00000000-0008-0000-8500-00006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DIV_10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666750</xdr:colOff>
          <xdr:row>241</xdr:row>
          <xdr:rowOff>171450</xdr:rowOff>
        </xdr:from>
        <xdr:to>
          <xdr:col>12</xdr:col>
          <xdr:colOff>44450</xdr:colOff>
          <xdr:row>244</xdr:row>
          <xdr:rowOff>0</xdr:rowOff>
        </xdr:to>
        <xdr:sp macro="" textlink="">
          <xdr:nvSpPr>
            <xdr:cNvPr id="5225" name="Button 105" hidden="1">
              <a:extLst>
                <a:ext uri="{63B3BB69-23CF-44E3-9099-C40C66FF867C}">
                  <a14:compatExt spid="_x0000_s5225"/>
                </a:ext>
                <a:ext uri="{FF2B5EF4-FFF2-40B4-BE49-F238E27FC236}">
                  <a16:creationId xmlns:a16="http://schemas.microsoft.com/office/drawing/2014/main" id="{00000000-0008-0000-8500-00006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DIV_10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244</xdr:row>
          <xdr:rowOff>158750</xdr:rowOff>
        </xdr:from>
        <xdr:to>
          <xdr:col>2</xdr:col>
          <xdr:colOff>177800</xdr:colOff>
          <xdr:row>246</xdr:row>
          <xdr:rowOff>171450</xdr:rowOff>
        </xdr:to>
        <xdr:sp macro="" textlink="">
          <xdr:nvSpPr>
            <xdr:cNvPr id="5226" name="Button 106" hidden="1">
              <a:extLst>
                <a:ext uri="{63B3BB69-23CF-44E3-9099-C40C66FF867C}">
                  <a14:compatExt spid="_x0000_s5226"/>
                </a:ext>
                <a:ext uri="{FF2B5EF4-FFF2-40B4-BE49-F238E27FC236}">
                  <a16:creationId xmlns:a16="http://schemas.microsoft.com/office/drawing/2014/main" id="{00000000-0008-0000-8500-00006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SEC_101000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120650</xdr:colOff>
          <xdr:row>247</xdr:row>
          <xdr:rowOff>165100</xdr:rowOff>
        </xdr:from>
        <xdr:to>
          <xdr:col>2</xdr:col>
          <xdr:colOff>171450</xdr:colOff>
          <xdr:row>249</xdr:row>
          <xdr:rowOff>177800</xdr:rowOff>
        </xdr:to>
        <xdr:sp macro="" textlink="">
          <xdr:nvSpPr>
            <xdr:cNvPr id="5227" name="Button 107" hidden="1">
              <a:extLst>
                <a:ext uri="{63B3BB69-23CF-44E3-9099-C40C66FF867C}">
                  <a14:compatExt spid="_x0000_s5227"/>
                </a:ext>
                <a:ext uri="{FF2B5EF4-FFF2-40B4-BE49-F238E27FC236}">
                  <a16:creationId xmlns:a16="http://schemas.microsoft.com/office/drawing/2014/main" id="{00000000-0008-0000-8500-00006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SEC_102000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250</xdr:row>
          <xdr:rowOff>177800</xdr:rowOff>
        </xdr:from>
        <xdr:to>
          <xdr:col>2</xdr:col>
          <xdr:colOff>177800</xdr:colOff>
          <xdr:row>253</xdr:row>
          <xdr:rowOff>6350</xdr:rowOff>
        </xdr:to>
        <xdr:sp macro="" textlink="">
          <xdr:nvSpPr>
            <xdr:cNvPr id="5228" name="Button 108" hidden="1">
              <a:extLst>
                <a:ext uri="{63B3BB69-23CF-44E3-9099-C40C66FF867C}">
                  <a14:compatExt spid="_x0000_s5228"/>
                </a:ext>
                <a:ext uri="{FF2B5EF4-FFF2-40B4-BE49-F238E27FC236}">
                  <a16:creationId xmlns:a16="http://schemas.microsoft.com/office/drawing/2014/main" id="{00000000-0008-0000-8500-00006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SEC_103000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254</xdr:row>
          <xdr:rowOff>6350</xdr:rowOff>
        </xdr:from>
        <xdr:to>
          <xdr:col>2</xdr:col>
          <xdr:colOff>177800</xdr:colOff>
          <xdr:row>256</xdr:row>
          <xdr:rowOff>19050</xdr:rowOff>
        </xdr:to>
        <xdr:sp macro="" textlink="">
          <xdr:nvSpPr>
            <xdr:cNvPr id="5229" name="Button 109" hidden="1">
              <a:extLst>
                <a:ext uri="{63B3BB69-23CF-44E3-9099-C40C66FF867C}">
                  <a14:compatExt spid="_x0000_s5229"/>
                </a:ext>
                <a:ext uri="{FF2B5EF4-FFF2-40B4-BE49-F238E27FC236}">
                  <a16:creationId xmlns:a16="http://schemas.microsoft.com/office/drawing/2014/main" id="{00000000-0008-0000-8500-00006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SEC_104000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257</xdr:row>
          <xdr:rowOff>0</xdr:rowOff>
        </xdr:from>
        <xdr:to>
          <xdr:col>2</xdr:col>
          <xdr:colOff>177800</xdr:colOff>
          <xdr:row>259</xdr:row>
          <xdr:rowOff>12700</xdr:rowOff>
        </xdr:to>
        <xdr:sp macro="" textlink="">
          <xdr:nvSpPr>
            <xdr:cNvPr id="5230" name="Button 110" hidden="1">
              <a:extLst>
                <a:ext uri="{63B3BB69-23CF-44E3-9099-C40C66FF867C}">
                  <a14:compatExt spid="_x0000_s5230"/>
                </a:ext>
                <a:ext uri="{FF2B5EF4-FFF2-40B4-BE49-F238E27FC236}">
                  <a16:creationId xmlns:a16="http://schemas.microsoft.com/office/drawing/2014/main" id="{00000000-0008-0000-8500-00006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SEC_105000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120650</xdr:colOff>
          <xdr:row>154</xdr:row>
          <xdr:rowOff>171450</xdr:rowOff>
        </xdr:from>
        <xdr:to>
          <xdr:col>2</xdr:col>
          <xdr:colOff>171450</xdr:colOff>
          <xdr:row>157</xdr:row>
          <xdr:rowOff>0</xdr:rowOff>
        </xdr:to>
        <xdr:sp macro="" textlink="">
          <xdr:nvSpPr>
            <xdr:cNvPr id="5234" name="Button 114" hidden="1">
              <a:extLst>
                <a:ext uri="{63B3BB69-23CF-44E3-9099-C40C66FF867C}">
                  <a14:compatExt spid="_x0000_s5234"/>
                </a:ext>
                <a:ext uri="{FF2B5EF4-FFF2-40B4-BE49-F238E27FC236}">
                  <a16:creationId xmlns:a16="http://schemas.microsoft.com/office/drawing/2014/main" id="{00000000-0008-0000-8500-00007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SEC_067000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120650</xdr:colOff>
          <xdr:row>158</xdr:row>
          <xdr:rowOff>6350</xdr:rowOff>
        </xdr:from>
        <xdr:to>
          <xdr:col>2</xdr:col>
          <xdr:colOff>171450</xdr:colOff>
          <xdr:row>160</xdr:row>
          <xdr:rowOff>19050</xdr:rowOff>
        </xdr:to>
        <xdr:sp macro="" textlink="">
          <xdr:nvSpPr>
            <xdr:cNvPr id="5236" name="Button 116" hidden="1">
              <a:extLst>
                <a:ext uri="{63B3BB69-23CF-44E3-9099-C40C66FF867C}">
                  <a14:compatExt spid="_x0000_s5236"/>
                </a:ext>
                <a:ext uri="{FF2B5EF4-FFF2-40B4-BE49-F238E27FC236}">
                  <a16:creationId xmlns:a16="http://schemas.microsoft.com/office/drawing/2014/main" id="{00000000-0008-0000-8500-00007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SEC_068000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259</xdr:row>
          <xdr:rowOff>139700</xdr:rowOff>
        </xdr:from>
        <xdr:to>
          <xdr:col>2</xdr:col>
          <xdr:colOff>177800</xdr:colOff>
          <xdr:row>261</xdr:row>
          <xdr:rowOff>152400</xdr:rowOff>
        </xdr:to>
        <xdr:sp macro="" textlink="">
          <xdr:nvSpPr>
            <xdr:cNvPr id="5237" name="Button 117" hidden="1">
              <a:extLst>
                <a:ext uri="{63B3BB69-23CF-44E3-9099-C40C66FF867C}">
                  <a14:compatExt spid="_x0000_s5237"/>
                </a:ext>
                <a:ext uri="{FF2B5EF4-FFF2-40B4-BE49-F238E27FC236}">
                  <a16:creationId xmlns:a16="http://schemas.microsoft.com/office/drawing/2014/main" id="{00000000-0008-0000-8500-00007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SEC_107000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262</xdr:row>
          <xdr:rowOff>158750</xdr:rowOff>
        </xdr:from>
        <xdr:to>
          <xdr:col>2</xdr:col>
          <xdr:colOff>158750</xdr:colOff>
          <xdr:row>264</xdr:row>
          <xdr:rowOff>171450</xdr:rowOff>
        </xdr:to>
        <xdr:sp macro="" textlink="">
          <xdr:nvSpPr>
            <xdr:cNvPr id="5238" name="Button 118" hidden="1">
              <a:extLst>
                <a:ext uri="{63B3BB69-23CF-44E3-9099-C40C66FF867C}">
                  <a14:compatExt spid="_x0000_s5238"/>
                </a:ext>
                <a:ext uri="{FF2B5EF4-FFF2-40B4-BE49-F238E27FC236}">
                  <a16:creationId xmlns:a16="http://schemas.microsoft.com/office/drawing/2014/main" id="{00000000-0008-0000-8500-00007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SEC_108000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158750</xdr:colOff>
          <xdr:row>19</xdr:row>
          <xdr:rowOff>139700</xdr:rowOff>
        </xdr:from>
        <xdr:to>
          <xdr:col>2</xdr:col>
          <xdr:colOff>152400</xdr:colOff>
          <xdr:row>21</xdr:row>
          <xdr:rowOff>158750</xdr:rowOff>
        </xdr:to>
        <xdr:sp macro="" textlink="">
          <xdr:nvSpPr>
            <xdr:cNvPr id="5240" name="Button 120" hidden="1">
              <a:extLst>
                <a:ext uri="{63B3BB69-23CF-44E3-9099-C40C66FF867C}">
                  <a14:compatExt spid="_x0000_s5240"/>
                </a:ext>
                <a:ext uri="{FF2B5EF4-FFF2-40B4-BE49-F238E27FC236}">
                  <a16:creationId xmlns:a16="http://schemas.microsoft.com/office/drawing/2014/main" id="{00000000-0008-0000-8500-00007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120650</xdr:colOff>
          <xdr:row>265</xdr:row>
          <xdr:rowOff>171450</xdr:rowOff>
        </xdr:from>
        <xdr:to>
          <xdr:col>2</xdr:col>
          <xdr:colOff>171450</xdr:colOff>
          <xdr:row>268</xdr:row>
          <xdr:rowOff>0</xdr:rowOff>
        </xdr:to>
        <xdr:sp macro="" textlink="">
          <xdr:nvSpPr>
            <xdr:cNvPr id="5241" name="Button 121" hidden="1">
              <a:extLst>
                <a:ext uri="{63B3BB69-23CF-44E3-9099-C40C66FF867C}">
                  <a14:compatExt spid="_x0000_s5241"/>
                </a:ext>
                <a:ext uri="{FF2B5EF4-FFF2-40B4-BE49-F238E27FC236}">
                  <a16:creationId xmlns:a16="http://schemas.microsoft.com/office/drawing/2014/main" id="{C80A2313-361A-8720-A424-62E0626EDF6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DIV_11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265</xdr:row>
          <xdr:rowOff>165100</xdr:rowOff>
        </xdr:from>
        <xdr:to>
          <xdr:col>12</xdr:col>
          <xdr:colOff>50800</xdr:colOff>
          <xdr:row>267</xdr:row>
          <xdr:rowOff>177800</xdr:rowOff>
        </xdr:to>
        <xdr:sp macro="" textlink="">
          <xdr:nvSpPr>
            <xdr:cNvPr id="5242" name="Button 122" hidden="1">
              <a:extLst>
                <a:ext uri="{63B3BB69-23CF-44E3-9099-C40C66FF867C}">
                  <a14:compatExt spid="_x0000_s5242"/>
                </a:ext>
                <a:ext uri="{FF2B5EF4-FFF2-40B4-BE49-F238E27FC236}">
                  <a16:creationId xmlns:a16="http://schemas.microsoft.com/office/drawing/2014/main" id="{15DE6E55-AD40-C851-C3DC-868F42BABDC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DIV_11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268</xdr:row>
          <xdr:rowOff>165100</xdr:rowOff>
        </xdr:from>
        <xdr:to>
          <xdr:col>2</xdr:col>
          <xdr:colOff>165100</xdr:colOff>
          <xdr:row>270</xdr:row>
          <xdr:rowOff>177800</xdr:rowOff>
        </xdr:to>
        <xdr:sp macro="" textlink="">
          <xdr:nvSpPr>
            <xdr:cNvPr id="5243" name="Button 123" hidden="1">
              <a:extLst>
                <a:ext uri="{63B3BB69-23CF-44E3-9099-C40C66FF867C}">
                  <a14:compatExt spid="_x0000_s5243"/>
                </a:ext>
                <a:ext uri="{FF2B5EF4-FFF2-40B4-BE49-F238E27FC236}">
                  <a16:creationId xmlns:a16="http://schemas.microsoft.com/office/drawing/2014/main" id="{71F12640-9A46-87C1-6680-FFD74C7896F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SEC_111000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271</xdr:row>
          <xdr:rowOff>165100</xdr:rowOff>
        </xdr:from>
        <xdr:to>
          <xdr:col>2</xdr:col>
          <xdr:colOff>177800</xdr:colOff>
          <xdr:row>273</xdr:row>
          <xdr:rowOff>177800</xdr:rowOff>
        </xdr:to>
        <xdr:sp macro="" textlink="">
          <xdr:nvSpPr>
            <xdr:cNvPr id="5244" name="Button 124" hidden="1">
              <a:extLst>
                <a:ext uri="{63B3BB69-23CF-44E3-9099-C40C66FF867C}">
                  <a14:compatExt spid="_x0000_s5244"/>
                </a:ext>
                <a:ext uri="{FF2B5EF4-FFF2-40B4-BE49-F238E27FC236}">
                  <a16:creationId xmlns:a16="http://schemas.microsoft.com/office/drawing/2014/main" id="{15C1974F-1F54-A4AE-526F-AC0987013B5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SEC_112000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274</xdr:row>
          <xdr:rowOff>158750</xdr:rowOff>
        </xdr:from>
        <xdr:to>
          <xdr:col>2</xdr:col>
          <xdr:colOff>184150</xdr:colOff>
          <xdr:row>276</xdr:row>
          <xdr:rowOff>171450</xdr:rowOff>
        </xdr:to>
        <xdr:sp macro="" textlink="">
          <xdr:nvSpPr>
            <xdr:cNvPr id="5245" name="Button 125" hidden="1">
              <a:extLst>
                <a:ext uri="{63B3BB69-23CF-44E3-9099-C40C66FF867C}">
                  <a14:compatExt spid="_x0000_s5245"/>
                </a:ext>
                <a:ext uri="{FF2B5EF4-FFF2-40B4-BE49-F238E27FC236}">
                  <a16:creationId xmlns:a16="http://schemas.microsoft.com/office/drawing/2014/main" id="{448596BF-7ED1-5CCF-0BB0-84992FB12B1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SEC_113000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277</xdr:row>
          <xdr:rowOff>177800</xdr:rowOff>
        </xdr:from>
        <xdr:to>
          <xdr:col>2</xdr:col>
          <xdr:colOff>177800</xdr:colOff>
          <xdr:row>280</xdr:row>
          <xdr:rowOff>6350</xdr:rowOff>
        </xdr:to>
        <xdr:sp macro="" textlink="">
          <xdr:nvSpPr>
            <xdr:cNvPr id="5246" name="Button 126" hidden="1">
              <a:extLst>
                <a:ext uri="{63B3BB69-23CF-44E3-9099-C40C66FF867C}">
                  <a14:compatExt spid="_x0000_s5246"/>
                </a:ext>
                <a:ext uri="{FF2B5EF4-FFF2-40B4-BE49-F238E27FC236}">
                  <a16:creationId xmlns:a16="http://schemas.microsoft.com/office/drawing/2014/main" id="{421FD6A0-2554-BFDD-A3B6-B186DF9E4AC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SEC_114000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280</xdr:row>
          <xdr:rowOff>177800</xdr:rowOff>
        </xdr:from>
        <xdr:to>
          <xdr:col>2</xdr:col>
          <xdr:colOff>165100</xdr:colOff>
          <xdr:row>283</xdr:row>
          <xdr:rowOff>6350</xdr:rowOff>
        </xdr:to>
        <xdr:sp macro="" textlink="">
          <xdr:nvSpPr>
            <xdr:cNvPr id="5247" name="Button 127" hidden="1">
              <a:extLst>
                <a:ext uri="{63B3BB69-23CF-44E3-9099-C40C66FF867C}">
                  <a14:compatExt spid="_x0000_s5247"/>
                </a:ext>
                <a:ext uri="{FF2B5EF4-FFF2-40B4-BE49-F238E27FC236}">
                  <a16:creationId xmlns:a16="http://schemas.microsoft.com/office/drawing/2014/main" id="{69BDAFED-DE2F-7ADF-A79A-8239B1B3769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SEC_115000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283</xdr:row>
          <xdr:rowOff>165100</xdr:rowOff>
        </xdr:from>
        <xdr:to>
          <xdr:col>2</xdr:col>
          <xdr:colOff>165100</xdr:colOff>
          <xdr:row>285</xdr:row>
          <xdr:rowOff>177800</xdr:rowOff>
        </xdr:to>
        <xdr:sp macro="" textlink="">
          <xdr:nvSpPr>
            <xdr:cNvPr id="5248" name="Button 128" hidden="1">
              <a:extLst>
                <a:ext uri="{63B3BB69-23CF-44E3-9099-C40C66FF867C}">
                  <a14:compatExt spid="_x0000_s5248"/>
                </a:ext>
                <a:ext uri="{FF2B5EF4-FFF2-40B4-BE49-F238E27FC236}">
                  <a16:creationId xmlns:a16="http://schemas.microsoft.com/office/drawing/2014/main" id="{57E62EF0-2195-00B4-90F7-FB2F52D7338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SEC_116000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286</xdr:row>
          <xdr:rowOff>171450</xdr:rowOff>
        </xdr:from>
        <xdr:to>
          <xdr:col>2</xdr:col>
          <xdr:colOff>177800</xdr:colOff>
          <xdr:row>289</xdr:row>
          <xdr:rowOff>0</xdr:rowOff>
        </xdr:to>
        <xdr:sp macro="" textlink="">
          <xdr:nvSpPr>
            <xdr:cNvPr id="5249" name="Button 129" hidden="1">
              <a:extLst>
                <a:ext uri="{63B3BB69-23CF-44E3-9099-C40C66FF867C}">
                  <a14:compatExt spid="_x0000_s5249"/>
                </a:ext>
                <a:ext uri="{FF2B5EF4-FFF2-40B4-BE49-F238E27FC236}">
                  <a16:creationId xmlns:a16="http://schemas.microsoft.com/office/drawing/2014/main" id="{2101B88A-EDE5-A173-209F-48707F2FB3E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SEC_117000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290</xdr:row>
          <xdr:rowOff>0</xdr:rowOff>
        </xdr:from>
        <xdr:to>
          <xdr:col>2</xdr:col>
          <xdr:colOff>177800</xdr:colOff>
          <xdr:row>292</xdr:row>
          <xdr:rowOff>12700</xdr:rowOff>
        </xdr:to>
        <xdr:sp macro="" textlink="">
          <xdr:nvSpPr>
            <xdr:cNvPr id="5250" name="Button 130" hidden="1">
              <a:extLst>
                <a:ext uri="{63B3BB69-23CF-44E3-9099-C40C66FF867C}">
                  <a14:compatExt spid="_x0000_s5250"/>
                </a:ext>
                <a:ext uri="{FF2B5EF4-FFF2-40B4-BE49-F238E27FC236}">
                  <a16:creationId xmlns:a16="http://schemas.microsoft.com/office/drawing/2014/main" id="{FB056AA6-0EAA-0B34-1433-4B193E9897A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SEC_118000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120650</xdr:colOff>
          <xdr:row>295</xdr:row>
          <xdr:rowOff>165100</xdr:rowOff>
        </xdr:from>
        <xdr:to>
          <xdr:col>2</xdr:col>
          <xdr:colOff>171450</xdr:colOff>
          <xdr:row>297</xdr:row>
          <xdr:rowOff>177800</xdr:rowOff>
        </xdr:to>
        <xdr:sp macro="" textlink="">
          <xdr:nvSpPr>
            <xdr:cNvPr id="5253" name="Button 133" hidden="1">
              <a:extLst>
                <a:ext uri="{63B3BB69-23CF-44E3-9099-C40C66FF867C}">
                  <a14:compatExt spid="_x0000_s5253"/>
                </a:ext>
                <a:ext uri="{FF2B5EF4-FFF2-40B4-BE49-F238E27FC236}">
                  <a16:creationId xmlns:a16="http://schemas.microsoft.com/office/drawing/2014/main" id="{978D6219-D94D-95A9-5388-D04444C7C8F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SEC_121000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120650</xdr:colOff>
          <xdr:row>298</xdr:row>
          <xdr:rowOff>171450</xdr:rowOff>
        </xdr:from>
        <xdr:to>
          <xdr:col>2</xdr:col>
          <xdr:colOff>171450</xdr:colOff>
          <xdr:row>301</xdr:row>
          <xdr:rowOff>0</xdr:rowOff>
        </xdr:to>
        <xdr:sp macro="" textlink="">
          <xdr:nvSpPr>
            <xdr:cNvPr id="5254" name="Button 134" hidden="1">
              <a:extLst>
                <a:ext uri="{63B3BB69-23CF-44E3-9099-C40C66FF867C}">
                  <a14:compatExt spid="_x0000_s5254"/>
                </a:ext>
                <a:ext uri="{FF2B5EF4-FFF2-40B4-BE49-F238E27FC236}">
                  <a16:creationId xmlns:a16="http://schemas.microsoft.com/office/drawing/2014/main" id="{A5ACF38C-81B7-F2F3-9EB2-6D0A413D0EC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SEC_122000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301</xdr:row>
          <xdr:rowOff>165100</xdr:rowOff>
        </xdr:from>
        <xdr:to>
          <xdr:col>2</xdr:col>
          <xdr:colOff>177800</xdr:colOff>
          <xdr:row>303</xdr:row>
          <xdr:rowOff>177800</xdr:rowOff>
        </xdr:to>
        <xdr:sp macro="" textlink="">
          <xdr:nvSpPr>
            <xdr:cNvPr id="5255" name="Button 135" hidden="1">
              <a:extLst>
                <a:ext uri="{63B3BB69-23CF-44E3-9099-C40C66FF867C}">
                  <a14:compatExt spid="_x0000_s5255"/>
                </a:ext>
                <a:ext uri="{FF2B5EF4-FFF2-40B4-BE49-F238E27FC236}">
                  <a16:creationId xmlns:a16="http://schemas.microsoft.com/office/drawing/2014/main" id="{A8D71158-E487-B243-0539-D7D7B9D615B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SEC_123000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304</xdr:row>
          <xdr:rowOff>177800</xdr:rowOff>
        </xdr:from>
        <xdr:to>
          <xdr:col>2</xdr:col>
          <xdr:colOff>165100</xdr:colOff>
          <xdr:row>307</xdr:row>
          <xdr:rowOff>6350</xdr:rowOff>
        </xdr:to>
        <xdr:sp macro="" textlink="">
          <xdr:nvSpPr>
            <xdr:cNvPr id="5256" name="Button 136" hidden="1">
              <a:extLst>
                <a:ext uri="{63B3BB69-23CF-44E3-9099-C40C66FF867C}">
                  <a14:compatExt spid="_x0000_s5256"/>
                </a:ext>
                <a:ext uri="{FF2B5EF4-FFF2-40B4-BE49-F238E27FC236}">
                  <a16:creationId xmlns:a16="http://schemas.microsoft.com/office/drawing/2014/main" id="{C65821DE-AB0F-82E0-D6EB-DD76B3EA90E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SEC_124000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308</xdr:row>
          <xdr:rowOff>0</xdr:rowOff>
        </xdr:from>
        <xdr:to>
          <xdr:col>2</xdr:col>
          <xdr:colOff>177800</xdr:colOff>
          <xdr:row>310</xdr:row>
          <xdr:rowOff>12700</xdr:rowOff>
        </xdr:to>
        <xdr:sp macro="" textlink="">
          <xdr:nvSpPr>
            <xdr:cNvPr id="5257" name="Button 137" hidden="1">
              <a:extLst>
                <a:ext uri="{63B3BB69-23CF-44E3-9099-C40C66FF867C}">
                  <a14:compatExt spid="_x0000_s5257"/>
                </a:ext>
                <a:ext uri="{FF2B5EF4-FFF2-40B4-BE49-F238E27FC236}">
                  <a16:creationId xmlns:a16="http://schemas.microsoft.com/office/drawing/2014/main" id="{38C6FD32-2100-341C-9A44-5A32096BB20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SEC_125000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139700</xdr:colOff>
          <xdr:row>310</xdr:row>
          <xdr:rowOff>165100</xdr:rowOff>
        </xdr:from>
        <xdr:to>
          <xdr:col>2</xdr:col>
          <xdr:colOff>190500</xdr:colOff>
          <xdr:row>312</xdr:row>
          <xdr:rowOff>177800</xdr:rowOff>
        </xdr:to>
        <xdr:sp macro="" textlink="">
          <xdr:nvSpPr>
            <xdr:cNvPr id="5258" name="Button 138" hidden="1">
              <a:extLst>
                <a:ext uri="{63B3BB69-23CF-44E3-9099-C40C66FF867C}">
                  <a14:compatExt spid="_x0000_s5258"/>
                </a:ext>
                <a:ext uri="{FF2B5EF4-FFF2-40B4-BE49-F238E27FC236}">
                  <a16:creationId xmlns:a16="http://schemas.microsoft.com/office/drawing/2014/main" id="{F99D8ADE-9979-16FB-2279-999A046D572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SEC_126000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313</xdr:row>
          <xdr:rowOff>177800</xdr:rowOff>
        </xdr:from>
        <xdr:to>
          <xdr:col>2</xdr:col>
          <xdr:colOff>165100</xdr:colOff>
          <xdr:row>316</xdr:row>
          <xdr:rowOff>6350</xdr:rowOff>
        </xdr:to>
        <xdr:sp macro="" textlink="">
          <xdr:nvSpPr>
            <xdr:cNvPr id="5259" name="Button 139" hidden="1">
              <a:extLst>
                <a:ext uri="{63B3BB69-23CF-44E3-9099-C40C66FF867C}">
                  <a14:compatExt spid="_x0000_s5259"/>
                </a:ext>
                <a:ext uri="{FF2B5EF4-FFF2-40B4-BE49-F238E27FC236}">
                  <a16:creationId xmlns:a16="http://schemas.microsoft.com/office/drawing/2014/main" id="{26379646-775E-AFFC-260D-751BAE74E9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SEC_129000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120650</xdr:colOff>
          <xdr:row>317</xdr:row>
          <xdr:rowOff>19050</xdr:rowOff>
        </xdr:from>
        <xdr:to>
          <xdr:col>2</xdr:col>
          <xdr:colOff>171450</xdr:colOff>
          <xdr:row>319</xdr:row>
          <xdr:rowOff>31750</xdr:rowOff>
        </xdr:to>
        <xdr:sp macro="" textlink="">
          <xdr:nvSpPr>
            <xdr:cNvPr id="5261" name="Button 141" hidden="1">
              <a:extLst>
                <a:ext uri="{63B3BB69-23CF-44E3-9099-C40C66FF867C}">
                  <a14:compatExt spid="_x0000_s5261"/>
                </a:ext>
                <a:ext uri="{FF2B5EF4-FFF2-40B4-BE49-F238E27FC236}">
                  <a16:creationId xmlns:a16="http://schemas.microsoft.com/office/drawing/2014/main" id="{50D3CC03-D1D1-CF39-9D93-7B91ED704F5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DIV_13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6350</xdr:colOff>
          <xdr:row>316</xdr:row>
          <xdr:rowOff>152400</xdr:rowOff>
        </xdr:from>
        <xdr:to>
          <xdr:col>12</xdr:col>
          <xdr:colOff>57150</xdr:colOff>
          <xdr:row>318</xdr:row>
          <xdr:rowOff>165100</xdr:rowOff>
        </xdr:to>
        <xdr:sp macro="" textlink="">
          <xdr:nvSpPr>
            <xdr:cNvPr id="5262" name="Button 142" hidden="1">
              <a:extLst>
                <a:ext uri="{63B3BB69-23CF-44E3-9099-C40C66FF867C}">
                  <a14:compatExt spid="_x0000_s5262"/>
                </a:ext>
                <a:ext uri="{FF2B5EF4-FFF2-40B4-BE49-F238E27FC236}">
                  <a16:creationId xmlns:a16="http://schemas.microsoft.com/office/drawing/2014/main" id="{10FE53F0-0FED-02B4-EB01-489A37C6EC4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DIV_13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319</xdr:row>
          <xdr:rowOff>177800</xdr:rowOff>
        </xdr:from>
        <xdr:to>
          <xdr:col>2</xdr:col>
          <xdr:colOff>177800</xdr:colOff>
          <xdr:row>322</xdr:row>
          <xdr:rowOff>6350</xdr:rowOff>
        </xdr:to>
        <xdr:sp macro="" textlink="">
          <xdr:nvSpPr>
            <xdr:cNvPr id="5263" name="Button 143" hidden="1">
              <a:extLst>
                <a:ext uri="{63B3BB69-23CF-44E3-9099-C40C66FF867C}">
                  <a14:compatExt spid="_x0000_s5263"/>
                </a:ext>
                <a:ext uri="{FF2B5EF4-FFF2-40B4-BE49-F238E27FC236}">
                  <a16:creationId xmlns:a16="http://schemas.microsoft.com/office/drawing/2014/main" id="{13678CEE-5986-7C92-A567-B701C411578E}"/>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SEC_131000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322</xdr:row>
          <xdr:rowOff>171450</xdr:rowOff>
        </xdr:from>
        <xdr:to>
          <xdr:col>2</xdr:col>
          <xdr:colOff>184150</xdr:colOff>
          <xdr:row>325</xdr:row>
          <xdr:rowOff>0</xdr:rowOff>
        </xdr:to>
        <xdr:sp macro="" textlink="">
          <xdr:nvSpPr>
            <xdr:cNvPr id="5264" name="Button 144" hidden="1">
              <a:extLst>
                <a:ext uri="{63B3BB69-23CF-44E3-9099-C40C66FF867C}">
                  <a14:compatExt spid="_x0000_s5264"/>
                </a:ext>
                <a:ext uri="{FF2B5EF4-FFF2-40B4-BE49-F238E27FC236}">
                  <a16:creationId xmlns:a16="http://schemas.microsoft.com/office/drawing/2014/main" id="{BED21EDB-0AF8-F2D4-4906-B6679F19B53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SEC_132000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326</xdr:row>
          <xdr:rowOff>0</xdr:rowOff>
        </xdr:from>
        <xdr:to>
          <xdr:col>2</xdr:col>
          <xdr:colOff>165100</xdr:colOff>
          <xdr:row>328</xdr:row>
          <xdr:rowOff>12700</xdr:rowOff>
        </xdr:to>
        <xdr:sp macro="" textlink="">
          <xdr:nvSpPr>
            <xdr:cNvPr id="5265" name="Button 145" hidden="1">
              <a:extLst>
                <a:ext uri="{63B3BB69-23CF-44E3-9099-C40C66FF867C}">
                  <a14:compatExt spid="_x0000_s5265"/>
                </a:ext>
                <a:ext uri="{FF2B5EF4-FFF2-40B4-BE49-F238E27FC236}">
                  <a16:creationId xmlns:a16="http://schemas.microsoft.com/office/drawing/2014/main" id="{8F4F8ABC-B63C-2C61-DAF5-13CB8B21E10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SEC_133000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120650</xdr:colOff>
          <xdr:row>328</xdr:row>
          <xdr:rowOff>165100</xdr:rowOff>
        </xdr:from>
        <xdr:to>
          <xdr:col>2</xdr:col>
          <xdr:colOff>171450</xdr:colOff>
          <xdr:row>330</xdr:row>
          <xdr:rowOff>177800</xdr:rowOff>
        </xdr:to>
        <xdr:sp macro="" textlink="">
          <xdr:nvSpPr>
            <xdr:cNvPr id="5266" name="Button 146" hidden="1">
              <a:extLst>
                <a:ext uri="{63B3BB69-23CF-44E3-9099-C40C66FF867C}">
                  <a14:compatExt spid="_x0000_s5266"/>
                </a:ext>
                <a:ext uri="{FF2B5EF4-FFF2-40B4-BE49-F238E27FC236}">
                  <a16:creationId xmlns:a16="http://schemas.microsoft.com/office/drawing/2014/main" id="{81A77603-E918-19B4-64EA-94263532190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SEC_134000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120650</xdr:colOff>
          <xdr:row>331</xdr:row>
          <xdr:rowOff>171450</xdr:rowOff>
        </xdr:from>
        <xdr:to>
          <xdr:col>2</xdr:col>
          <xdr:colOff>171450</xdr:colOff>
          <xdr:row>334</xdr:row>
          <xdr:rowOff>0</xdr:rowOff>
        </xdr:to>
        <xdr:sp macro="" textlink="">
          <xdr:nvSpPr>
            <xdr:cNvPr id="5267" name="Button 147" hidden="1">
              <a:extLst>
                <a:ext uri="{63B3BB69-23CF-44E3-9099-C40C66FF867C}">
                  <a14:compatExt spid="_x0000_s5267"/>
                </a:ext>
                <a:ext uri="{FF2B5EF4-FFF2-40B4-BE49-F238E27FC236}">
                  <a16:creationId xmlns:a16="http://schemas.microsoft.com/office/drawing/2014/main" id="{FF460DBC-FFFF-22C1-D981-A49D4B16F68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SEC_135000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334</xdr:row>
          <xdr:rowOff>165100</xdr:rowOff>
        </xdr:from>
        <xdr:to>
          <xdr:col>2</xdr:col>
          <xdr:colOff>184150</xdr:colOff>
          <xdr:row>336</xdr:row>
          <xdr:rowOff>177800</xdr:rowOff>
        </xdr:to>
        <xdr:sp macro="" textlink="">
          <xdr:nvSpPr>
            <xdr:cNvPr id="5268" name="Button 148" hidden="1">
              <a:extLst>
                <a:ext uri="{63B3BB69-23CF-44E3-9099-C40C66FF867C}">
                  <a14:compatExt spid="_x0000_s5268"/>
                </a:ext>
                <a:ext uri="{FF2B5EF4-FFF2-40B4-BE49-F238E27FC236}">
                  <a16:creationId xmlns:a16="http://schemas.microsoft.com/office/drawing/2014/main" id="{BDBE58D9-83F5-26A7-6774-96994EB50B3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DIV_14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666750</xdr:colOff>
          <xdr:row>334</xdr:row>
          <xdr:rowOff>165100</xdr:rowOff>
        </xdr:from>
        <xdr:to>
          <xdr:col>12</xdr:col>
          <xdr:colOff>44450</xdr:colOff>
          <xdr:row>336</xdr:row>
          <xdr:rowOff>177800</xdr:rowOff>
        </xdr:to>
        <xdr:sp macro="" textlink="">
          <xdr:nvSpPr>
            <xdr:cNvPr id="5269" name="Button 149" hidden="1">
              <a:extLst>
                <a:ext uri="{63B3BB69-23CF-44E3-9099-C40C66FF867C}">
                  <a14:compatExt spid="_x0000_s5269"/>
                </a:ext>
                <a:ext uri="{FF2B5EF4-FFF2-40B4-BE49-F238E27FC236}">
                  <a16:creationId xmlns:a16="http://schemas.microsoft.com/office/drawing/2014/main" id="{A479C9C9-09A3-0F85-8446-E028545B35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DIV_14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337</xdr:row>
          <xdr:rowOff>171450</xdr:rowOff>
        </xdr:from>
        <xdr:to>
          <xdr:col>2</xdr:col>
          <xdr:colOff>184150</xdr:colOff>
          <xdr:row>340</xdr:row>
          <xdr:rowOff>0</xdr:rowOff>
        </xdr:to>
        <xdr:sp macro="" textlink="">
          <xdr:nvSpPr>
            <xdr:cNvPr id="5270" name="Button 150" hidden="1">
              <a:extLst>
                <a:ext uri="{63B3BB69-23CF-44E3-9099-C40C66FF867C}">
                  <a14:compatExt spid="_x0000_s5270"/>
                </a:ext>
                <a:ext uri="{FF2B5EF4-FFF2-40B4-BE49-F238E27FC236}">
                  <a16:creationId xmlns:a16="http://schemas.microsoft.com/office/drawing/2014/main" id="{476BB0B9-F6A3-D9F7-AF26-8C246D8B619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SEC_141000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341</xdr:row>
          <xdr:rowOff>0</xdr:rowOff>
        </xdr:from>
        <xdr:to>
          <xdr:col>2</xdr:col>
          <xdr:colOff>177800</xdr:colOff>
          <xdr:row>343</xdr:row>
          <xdr:rowOff>12700</xdr:rowOff>
        </xdr:to>
        <xdr:sp macro="" textlink="">
          <xdr:nvSpPr>
            <xdr:cNvPr id="5271" name="Button 151" hidden="1">
              <a:extLst>
                <a:ext uri="{63B3BB69-23CF-44E3-9099-C40C66FF867C}">
                  <a14:compatExt spid="_x0000_s5271"/>
                </a:ext>
                <a:ext uri="{FF2B5EF4-FFF2-40B4-BE49-F238E27FC236}">
                  <a16:creationId xmlns:a16="http://schemas.microsoft.com/office/drawing/2014/main" id="{681D6348-DB5E-182E-6726-F53110EFCAB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SEC_142000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343</xdr:row>
          <xdr:rowOff>177800</xdr:rowOff>
        </xdr:from>
        <xdr:to>
          <xdr:col>2</xdr:col>
          <xdr:colOff>184150</xdr:colOff>
          <xdr:row>346</xdr:row>
          <xdr:rowOff>6350</xdr:rowOff>
        </xdr:to>
        <xdr:sp macro="" textlink="">
          <xdr:nvSpPr>
            <xdr:cNvPr id="5272" name="Button 152" hidden="1">
              <a:extLst>
                <a:ext uri="{63B3BB69-23CF-44E3-9099-C40C66FF867C}">
                  <a14:compatExt spid="_x0000_s5272"/>
                </a:ext>
                <a:ext uri="{FF2B5EF4-FFF2-40B4-BE49-F238E27FC236}">
                  <a16:creationId xmlns:a16="http://schemas.microsoft.com/office/drawing/2014/main" id="{7C8BA2EE-FAC1-D1D9-1FF3-2ABBCD5C529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SEC_143000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347</xdr:row>
          <xdr:rowOff>0</xdr:rowOff>
        </xdr:from>
        <xdr:to>
          <xdr:col>2</xdr:col>
          <xdr:colOff>165100</xdr:colOff>
          <xdr:row>349</xdr:row>
          <xdr:rowOff>12700</xdr:rowOff>
        </xdr:to>
        <xdr:sp macro="" textlink="">
          <xdr:nvSpPr>
            <xdr:cNvPr id="5273" name="Button 153" hidden="1">
              <a:extLst>
                <a:ext uri="{63B3BB69-23CF-44E3-9099-C40C66FF867C}">
                  <a14:compatExt spid="_x0000_s5273"/>
                </a:ext>
                <a:ext uri="{FF2B5EF4-FFF2-40B4-BE49-F238E27FC236}">
                  <a16:creationId xmlns:a16="http://schemas.microsoft.com/office/drawing/2014/main" id="{C1120994-581A-1539-BB59-60820913BB3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SEC_144000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350</xdr:row>
          <xdr:rowOff>12700</xdr:rowOff>
        </xdr:from>
        <xdr:to>
          <xdr:col>2</xdr:col>
          <xdr:colOff>177800</xdr:colOff>
          <xdr:row>352</xdr:row>
          <xdr:rowOff>25400</xdr:rowOff>
        </xdr:to>
        <xdr:sp macro="" textlink="">
          <xdr:nvSpPr>
            <xdr:cNvPr id="5274" name="Button 154" hidden="1">
              <a:extLst>
                <a:ext uri="{63B3BB69-23CF-44E3-9099-C40C66FF867C}">
                  <a14:compatExt spid="_x0000_s5274"/>
                </a:ext>
                <a:ext uri="{FF2B5EF4-FFF2-40B4-BE49-F238E27FC236}">
                  <a16:creationId xmlns:a16="http://schemas.microsoft.com/office/drawing/2014/main" id="{AFEE3F98-1951-ABDD-A1FB-DD2ACFC875D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SEC_147000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120650</xdr:colOff>
          <xdr:row>353</xdr:row>
          <xdr:rowOff>6350</xdr:rowOff>
        </xdr:from>
        <xdr:to>
          <xdr:col>2</xdr:col>
          <xdr:colOff>171450</xdr:colOff>
          <xdr:row>355</xdr:row>
          <xdr:rowOff>19050</xdr:rowOff>
        </xdr:to>
        <xdr:sp macro="" textlink="">
          <xdr:nvSpPr>
            <xdr:cNvPr id="5275" name="Button 155" hidden="1">
              <a:extLst>
                <a:ext uri="{63B3BB69-23CF-44E3-9099-C40C66FF867C}">
                  <a14:compatExt spid="_x0000_s5275"/>
                </a:ext>
                <a:ext uri="{FF2B5EF4-FFF2-40B4-BE49-F238E27FC236}">
                  <a16:creationId xmlns:a16="http://schemas.microsoft.com/office/drawing/2014/main" id="{46F73921-8574-31CA-553B-846025B4647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SEC_148000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355</xdr:row>
          <xdr:rowOff>146050</xdr:rowOff>
        </xdr:from>
        <xdr:to>
          <xdr:col>2</xdr:col>
          <xdr:colOff>177800</xdr:colOff>
          <xdr:row>357</xdr:row>
          <xdr:rowOff>158750</xdr:rowOff>
        </xdr:to>
        <xdr:sp macro="" textlink="">
          <xdr:nvSpPr>
            <xdr:cNvPr id="5276" name="Button 156" hidden="1">
              <a:extLst>
                <a:ext uri="{63B3BB69-23CF-44E3-9099-C40C66FF867C}">
                  <a14:compatExt spid="_x0000_s5276"/>
                </a:ext>
                <a:ext uri="{FF2B5EF4-FFF2-40B4-BE49-F238E27FC236}">
                  <a16:creationId xmlns:a16="http://schemas.microsoft.com/office/drawing/2014/main" id="{A0DC65F1-755E-C72D-9AE0-5EA02169765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SEC_149000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292</xdr:row>
          <xdr:rowOff>158750</xdr:rowOff>
        </xdr:from>
        <xdr:to>
          <xdr:col>2</xdr:col>
          <xdr:colOff>203200</xdr:colOff>
          <xdr:row>294</xdr:row>
          <xdr:rowOff>171450</xdr:rowOff>
        </xdr:to>
        <xdr:sp macro="" textlink="">
          <xdr:nvSpPr>
            <xdr:cNvPr id="5279" name="Button 159" hidden="1">
              <a:extLst>
                <a:ext uri="{63B3BB69-23CF-44E3-9099-C40C66FF867C}">
                  <a14:compatExt spid="_x0000_s5279"/>
                </a:ext>
                <a:ext uri="{FF2B5EF4-FFF2-40B4-BE49-F238E27FC236}">
                  <a16:creationId xmlns:a16="http://schemas.microsoft.com/office/drawing/2014/main" id="{BD253EA6-C8DA-9C17-EEEE-0BFA62B1A8C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Enter DIV_12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666750</xdr:colOff>
          <xdr:row>292</xdr:row>
          <xdr:rowOff>152400</xdr:rowOff>
        </xdr:from>
        <xdr:to>
          <xdr:col>12</xdr:col>
          <xdr:colOff>44450</xdr:colOff>
          <xdr:row>294</xdr:row>
          <xdr:rowOff>165100</xdr:rowOff>
        </xdr:to>
        <xdr:sp macro="" textlink="">
          <xdr:nvSpPr>
            <xdr:cNvPr id="5280" name="Button 160" hidden="1">
              <a:extLst>
                <a:ext uri="{63B3BB69-23CF-44E3-9099-C40C66FF867C}">
                  <a14:compatExt spid="_x0000_s5280"/>
                </a:ext>
                <a:ext uri="{FF2B5EF4-FFF2-40B4-BE49-F238E27FC236}">
                  <a16:creationId xmlns:a16="http://schemas.microsoft.com/office/drawing/2014/main" id="{D08574AB-6D44-97C9-D64E-3E938C8092E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DIV_12</a:t>
              </a:r>
            </a:p>
          </xdr:txBody>
        </xdr:sp>
        <xdr:clientData fPrintsWithSheet="0"/>
      </xdr:twoCellAnchor>
    </mc:Choice>
    <mc:Fallback/>
  </mc:AlternateContent>
</xdr:wsDr>
</file>

<file path=xl/drawings/drawing1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85409" name="Button 1" hidden="1">
              <a:extLst>
                <a:ext uri="{63B3BB69-23CF-44E3-9099-C40C66FF867C}">
                  <a14:compatExt spid="_x0000_s785409"/>
                </a:ext>
                <a:ext uri="{FF2B5EF4-FFF2-40B4-BE49-F238E27FC236}">
                  <a16:creationId xmlns:a16="http://schemas.microsoft.com/office/drawing/2014/main" id="{8626376D-5BE4-F30A-F3AB-853C609BFE1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785410" name="Button 2" hidden="1">
              <a:extLst>
                <a:ext uri="{63B3BB69-23CF-44E3-9099-C40C66FF867C}">
                  <a14:compatExt spid="_x0000_s785410"/>
                </a:ext>
                <a:ext uri="{FF2B5EF4-FFF2-40B4-BE49-F238E27FC236}">
                  <a16:creationId xmlns:a16="http://schemas.microsoft.com/office/drawing/2014/main" id="{5F94D844-1BC8-14A4-3859-4A1BA63267E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785411" name="Button 3" hidden="1">
              <a:extLst>
                <a:ext uri="{63B3BB69-23CF-44E3-9099-C40C66FF867C}">
                  <a14:compatExt spid="_x0000_s785411"/>
                </a:ext>
                <a:ext uri="{FF2B5EF4-FFF2-40B4-BE49-F238E27FC236}">
                  <a16:creationId xmlns:a16="http://schemas.microsoft.com/office/drawing/2014/main" id="{32A3CC7B-D2C0-0C5D-A17C-16505918505E}"/>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785412" name="Button 4" hidden="1">
              <a:extLst>
                <a:ext uri="{63B3BB69-23CF-44E3-9099-C40C66FF867C}">
                  <a14:compatExt spid="_x0000_s785412"/>
                </a:ext>
                <a:ext uri="{FF2B5EF4-FFF2-40B4-BE49-F238E27FC236}">
                  <a16:creationId xmlns:a16="http://schemas.microsoft.com/office/drawing/2014/main" id="{4436A7FC-CE76-A510-AB7D-B8F0F9A4E1B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785413" name="Button 5" hidden="1">
              <a:extLst>
                <a:ext uri="{63B3BB69-23CF-44E3-9099-C40C66FF867C}">
                  <a14:compatExt spid="_x0000_s785413"/>
                </a:ext>
                <a:ext uri="{FF2B5EF4-FFF2-40B4-BE49-F238E27FC236}">
                  <a16:creationId xmlns:a16="http://schemas.microsoft.com/office/drawing/2014/main" id="{06F7318B-1853-E82F-A4DB-6C2760662E2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785414" name="Button 6" hidden="1">
              <a:extLst>
                <a:ext uri="{63B3BB69-23CF-44E3-9099-C40C66FF867C}">
                  <a14:compatExt spid="_x0000_s785414"/>
                </a:ext>
                <a:ext uri="{FF2B5EF4-FFF2-40B4-BE49-F238E27FC236}">
                  <a16:creationId xmlns:a16="http://schemas.microsoft.com/office/drawing/2014/main" id="{16E72436-8CE5-89B5-E6E9-90F83AAD978E}"/>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785415" name="Button 7" hidden="1">
              <a:extLst>
                <a:ext uri="{63B3BB69-23CF-44E3-9099-C40C66FF867C}">
                  <a14:compatExt spid="_x0000_s785415"/>
                </a:ext>
                <a:ext uri="{FF2B5EF4-FFF2-40B4-BE49-F238E27FC236}">
                  <a16:creationId xmlns:a16="http://schemas.microsoft.com/office/drawing/2014/main" id="{F4E167FD-36E3-8DC8-1372-ECD6ABFF527E}"/>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785416" name="Button 8" hidden="1">
              <a:extLst>
                <a:ext uri="{63B3BB69-23CF-44E3-9099-C40C66FF867C}">
                  <a14:compatExt spid="_x0000_s785416"/>
                </a:ext>
                <a:ext uri="{FF2B5EF4-FFF2-40B4-BE49-F238E27FC236}">
                  <a16:creationId xmlns:a16="http://schemas.microsoft.com/office/drawing/2014/main" id="{BE6C7477-17C0-952A-9EA3-FCB0E11B9EC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1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2</xdr:row>
          <xdr:rowOff>50800</xdr:rowOff>
        </xdr:from>
        <xdr:to>
          <xdr:col>19</xdr:col>
          <xdr:colOff>50800</xdr:colOff>
          <xdr:row>4</xdr:row>
          <xdr:rowOff>101600</xdr:rowOff>
        </xdr:to>
        <xdr:sp macro="" textlink="">
          <xdr:nvSpPr>
            <xdr:cNvPr id="786433" name="Button 1" hidden="1">
              <a:extLst>
                <a:ext uri="{63B3BB69-23CF-44E3-9099-C40C66FF867C}">
                  <a14:compatExt spid="_x0000_s786433"/>
                </a:ext>
                <a:ext uri="{FF2B5EF4-FFF2-40B4-BE49-F238E27FC236}">
                  <a16:creationId xmlns:a16="http://schemas.microsoft.com/office/drawing/2014/main" id="{13892EE4-4DF3-5F54-30D3-E7049735AA7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5</xdr:row>
          <xdr:rowOff>50800</xdr:rowOff>
        </xdr:from>
        <xdr:to>
          <xdr:col>19</xdr:col>
          <xdr:colOff>50800</xdr:colOff>
          <xdr:row>7</xdr:row>
          <xdr:rowOff>57150</xdr:rowOff>
        </xdr:to>
        <xdr:sp macro="" textlink="">
          <xdr:nvSpPr>
            <xdr:cNvPr id="786434" name="Button 2" hidden="1">
              <a:extLst>
                <a:ext uri="{63B3BB69-23CF-44E3-9099-C40C66FF867C}">
                  <a14:compatExt spid="_x0000_s786434"/>
                </a:ext>
                <a:ext uri="{FF2B5EF4-FFF2-40B4-BE49-F238E27FC236}">
                  <a16:creationId xmlns:a16="http://schemas.microsoft.com/office/drawing/2014/main" id="{12BCFF47-3DC9-7DAE-DA82-5E5A7AACB8B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7</xdr:row>
          <xdr:rowOff>171450</xdr:rowOff>
        </xdr:from>
        <xdr:to>
          <xdr:col>19</xdr:col>
          <xdr:colOff>50800</xdr:colOff>
          <xdr:row>9</xdr:row>
          <xdr:rowOff>171450</xdr:rowOff>
        </xdr:to>
        <xdr:sp macro="" textlink="">
          <xdr:nvSpPr>
            <xdr:cNvPr id="786435" name="Button 3" hidden="1">
              <a:extLst>
                <a:ext uri="{63B3BB69-23CF-44E3-9099-C40C66FF867C}">
                  <a14:compatExt spid="_x0000_s786435"/>
                </a:ext>
                <a:ext uri="{FF2B5EF4-FFF2-40B4-BE49-F238E27FC236}">
                  <a16:creationId xmlns:a16="http://schemas.microsoft.com/office/drawing/2014/main" id="{EFFAC99F-125B-7B5F-1321-345A31EB235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86436" name="Button 4" hidden="1">
              <a:extLst>
                <a:ext uri="{63B3BB69-23CF-44E3-9099-C40C66FF867C}">
                  <a14:compatExt spid="_x0000_s786436"/>
                </a:ext>
                <a:ext uri="{FF2B5EF4-FFF2-40B4-BE49-F238E27FC236}">
                  <a16:creationId xmlns:a16="http://schemas.microsoft.com/office/drawing/2014/main" id="{1AA8D0E1-947A-C0D7-1012-94105AF6D02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Refresh View</a:t>
              </a:r>
            </a:p>
          </xdr:txBody>
        </xdr:sp>
        <xdr:clientData fPrintsWithSheet="0"/>
      </xdr:twoCellAnchor>
    </mc:Choice>
    <mc:Fallback/>
  </mc:AlternateContent>
</xdr:wsDr>
</file>

<file path=xl/drawings/drawing1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603250</xdr:colOff>
          <xdr:row>0</xdr:row>
          <xdr:rowOff>0</xdr:rowOff>
        </xdr:from>
        <xdr:to>
          <xdr:col>19</xdr:col>
          <xdr:colOff>44450</xdr:colOff>
          <xdr:row>2</xdr:row>
          <xdr:rowOff>12700</xdr:rowOff>
        </xdr:to>
        <xdr:sp macro="" textlink="">
          <xdr:nvSpPr>
            <xdr:cNvPr id="787457" name="Button 1" hidden="1">
              <a:extLst>
                <a:ext uri="{63B3BB69-23CF-44E3-9099-C40C66FF867C}">
                  <a14:compatExt spid="_x0000_s787457"/>
                </a:ext>
                <a:ext uri="{FF2B5EF4-FFF2-40B4-BE49-F238E27FC236}">
                  <a16:creationId xmlns:a16="http://schemas.microsoft.com/office/drawing/2014/main" id="{B29FEFE1-4E70-9BA5-0D4A-8F7634CB8B9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603250</xdr:colOff>
          <xdr:row>2</xdr:row>
          <xdr:rowOff>38100</xdr:rowOff>
        </xdr:from>
        <xdr:to>
          <xdr:col>19</xdr:col>
          <xdr:colOff>44450</xdr:colOff>
          <xdr:row>4</xdr:row>
          <xdr:rowOff>50800</xdr:rowOff>
        </xdr:to>
        <xdr:sp macro="" textlink="">
          <xdr:nvSpPr>
            <xdr:cNvPr id="787458" name="Button 2" hidden="1">
              <a:extLst>
                <a:ext uri="{63B3BB69-23CF-44E3-9099-C40C66FF867C}">
                  <a14:compatExt spid="_x0000_s787458"/>
                </a:ext>
                <a:ext uri="{FF2B5EF4-FFF2-40B4-BE49-F238E27FC236}">
                  <a16:creationId xmlns:a16="http://schemas.microsoft.com/office/drawing/2014/main" id="{7EC436A2-79A8-4BB6-276A-8809D037A9E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603250</xdr:colOff>
          <xdr:row>4</xdr:row>
          <xdr:rowOff>76200</xdr:rowOff>
        </xdr:from>
        <xdr:to>
          <xdr:col>19</xdr:col>
          <xdr:colOff>44450</xdr:colOff>
          <xdr:row>6</xdr:row>
          <xdr:rowOff>88900</xdr:rowOff>
        </xdr:to>
        <xdr:sp macro="" textlink="">
          <xdr:nvSpPr>
            <xdr:cNvPr id="787459" name="Button 3" hidden="1">
              <a:extLst>
                <a:ext uri="{63B3BB69-23CF-44E3-9099-C40C66FF867C}">
                  <a14:compatExt spid="_x0000_s787459"/>
                </a:ext>
                <a:ext uri="{FF2B5EF4-FFF2-40B4-BE49-F238E27FC236}">
                  <a16:creationId xmlns:a16="http://schemas.microsoft.com/office/drawing/2014/main" id="{28BC0138-0A7B-C331-8B6B-5C0B1074311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a:t>
              </a:r>
            </a:p>
          </xdr:txBody>
        </xdr:sp>
        <xdr:clientData fPrintsWithSheet="0"/>
      </xdr:twoCellAnchor>
    </mc:Choice>
    <mc:Fallback/>
  </mc:AlternateContent>
</xdr:wsDr>
</file>

<file path=xl/drawings/drawing1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50800</xdr:rowOff>
        </xdr:from>
        <xdr:to>
          <xdr:col>18</xdr:col>
          <xdr:colOff>228600</xdr:colOff>
          <xdr:row>1</xdr:row>
          <xdr:rowOff>146050</xdr:rowOff>
        </xdr:to>
        <xdr:sp macro="" textlink="">
          <xdr:nvSpPr>
            <xdr:cNvPr id="788481" name="Button 1" hidden="1">
              <a:extLst>
                <a:ext uri="{63B3BB69-23CF-44E3-9099-C40C66FF867C}">
                  <a14:compatExt spid="_x0000_s788481"/>
                </a:ext>
                <a:ext uri="{FF2B5EF4-FFF2-40B4-BE49-F238E27FC236}">
                  <a16:creationId xmlns:a16="http://schemas.microsoft.com/office/drawing/2014/main" id="{897E1EE8-72FE-AB42-D29E-84184D682FF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xdr:wsDr>
</file>

<file path=xl/drawings/drawing1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89505" name="Button 1" hidden="1">
              <a:extLst>
                <a:ext uri="{63B3BB69-23CF-44E3-9099-C40C66FF867C}">
                  <a14:compatExt spid="_x0000_s789505"/>
                </a:ext>
                <a:ext uri="{FF2B5EF4-FFF2-40B4-BE49-F238E27FC236}">
                  <a16:creationId xmlns:a16="http://schemas.microsoft.com/office/drawing/2014/main" id="{A654B326-19B6-406E-89AA-3741EB3F0E8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789506" name="Button 2" hidden="1">
              <a:extLst>
                <a:ext uri="{63B3BB69-23CF-44E3-9099-C40C66FF867C}">
                  <a14:compatExt spid="_x0000_s789506"/>
                </a:ext>
                <a:ext uri="{FF2B5EF4-FFF2-40B4-BE49-F238E27FC236}">
                  <a16:creationId xmlns:a16="http://schemas.microsoft.com/office/drawing/2014/main" id="{29D1513C-9B7F-41A6-BE87-E48F20E31CF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789507" name="Button 3" hidden="1">
              <a:extLst>
                <a:ext uri="{63B3BB69-23CF-44E3-9099-C40C66FF867C}">
                  <a14:compatExt spid="_x0000_s789507"/>
                </a:ext>
                <a:ext uri="{FF2B5EF4-FFF2-40B4-BE49-F238E27FC236}">
                  <a16:creationId xmlns:a16="http://schemas.microsoft.com/office/drawing/2014/main" id="{258D5DB9-BF75-4166-AADA-A3DB687DB32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789508" name="Button 4" hidden="1">
              <a:extLst>
                <a:ext uri="{63B3BB69-23CF-44E3-9099-C40C66FF867C}">
                  <a14:compatExt spid="_x0000_s789508"/>
                </a:ext>
                <a:ext uri="{FF2B5EF4-FFF2-40B4-BE49-F238E27FC236}">
                  <a16:creationId xmlns:a16="http://schemas.microsoft.com/office/drawing/2014/main" id="{F3EA5DE9-E62B-4742-B6DE-A205FE9B235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789509" name="Button 5" hidden="1">
              <a:extLst>
                <a:ext uri="{63B3BB69-23CF-44E3-9099-C40C66FF867C}">
                  <a14:compatExt spid="_x0000_s789509"/>
                </a:ext>
                <a:ext uri="{FF2B5EF4-FFF2-40B4-BE49-F238E27FC236}">
                  <a16:creationId xmlns:a16="http://schemas.microsoft.com/office/drawing/2014/main" id="{339FB191-4006-4C3E-9BC2-12EF6FE1A2F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789510" name="Button 6" hidden="1">
              <a:extLst>
                <a:ext uri="{63B3BB69-23CF-44E3-9099-C40C66FF867C}">
                  <a14:compatExt spid="_x0000_s789510"/>
                </a:ext>
                <a:ext uri="{FF2B5EF4-FFF2-40B4-BE49-F238E27FC236}">
                  <a16:creationId xmlns:a16="http://schemas.microsoft.com/office/drawing/2014/main" id="{3E0A7BE0-38F0-4F26-AB3A-736588B43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789511" name="Button 7" hidden="1">
              <a:extLst>
                <a:ext uri="{63B3BB69-23CF-44E3-9099-C40C66FF867C}">
                  <a14:compatExt spid="_x0000_s789511"/>
                </a:ext>
                <a:ext uri="{FF2B5EF4-FFF2-40B4-BE49-F238E27FC236}">
                  <a16:creationId xmlns:a16="http://schemas.microsoft.com/office/drawing/2014/main" id="{E851897A-28D7-4E70-ACD9-D42185C0AE7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789512" name="Button 8" hidden="1">
              <a:extLst>
                <a:ext uri="{63B3BB69-23CF-44E3-9099-C40C66FF867C}">
                  <a14:compatExt spid="_x0000_s789512"/>
                </a:ext>
                <a:ext uri="{FF2B5EF4-FFF2-40B4-BE49-F238E27FC236}">
                  <a16:creationId xmlns:a16="http://schemas.microsoft.com/office/drawing/2014/main" id="{A830DAD4-CAEA-47CE-BA9A-09114786FEF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0</xdr:row>
          <xdr:rowOff>0</xdr:rowOff>
        </xdr:from>
        <xdr:to>
          <xdr:col>16</xdr:col>
          <xdr:colOff>1270000</xdr:colOff>
          <xdr:row>2</xdr:row>
          <xdr:rowOff>12700</xdr:rowOff>
        </xdr:to>
        <xdr:sp macro="" textlink="">
          <xdr:nvSpPr>
            <xdr:cNvPr id="789513" name="Button 9" hidden="1">
              <a:extLst>
                <a:ext uri="{63B3BB69-23CF-44E3-9099-C40C66FF867C}">
                  <a14:compatExt spid="_x0000_s789513"/>
                </a:ext>
                <a:ext uri="{FF2B5EF4-FFF2-40B4-BE49-F238E27FC236}">
                  <a16:creationId xmlns:a16="http://schemas.microsoft.com/office/drawing/2014/main" id="{1EE18571-C200-2086-24B0-42F2D60C3A1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SEC_141000</a:t>
              </a:r>
            </a:p>
          </xdr:txBody>
        </xdr:sp>
        <xdr:clientData fPrintsWithSheet="0"/>
      </xdr:twoCellAnchor>
    </mc:Choice>
    <mc:Fallback/>
  </mc:AlternateContent>
</xdr:wsDr>
</file>

<file path=xl/drawings/drawing15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90529" name="Button 1" hidden="1">
              <a:extLst>
                <a:ext uri="{63B3BB69-23CF-44E3-9099-C40C66FF867C}">
                  <a14:compatExt spid="_x0000_s790529"/>
                </a:ext>
                <a:ext uri="{FF2B5EF4-FFF2-40B4-BE49-F238E27FC236}">
                  <a16:creationId xmlns:a16="http://schemas.microsoft.com/office/drawing/2014/main" id="{A1CF54F6-82D7-4F74-AA6C-83A99EB8F14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790530" name="Button 2" hidden="1">
              <a:extLst>
                <a:ext uri="{63B3BB69-23CF-44E3-9099-C40C66FF867C}">
                  <a14:compatExt spid="_x0000_s790530"/>
                </a:ext>
                <a:ext uri="{FF2B5EF4-FFF2-40B4-BE49-F238E27FC236}">
                  <a16:creationId xmlns:a16="http://schemas.microsoft.com/office/drawing/2014/main" id="{B543C597-97F8-472A-BD7F-912C15FF8E8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790531" name="Button 3" hidden="1">
              <a:extLst>
                <a:ext uri="{63B3BB69-23CF-44E3-9099-C40C66FF867C}">
                  <a14:compatExt spid="_x0000_s790531"/>
                </a:ext>
                <a:ext uri="{FF2B5EF4-FFF2-40B4-BE49-F238E27FC236}">
                  <a16:creationId xmlns:a16="http://schemas.microsoft.com/office/drawing/2014/main" id="{01B495FE-A96A-4442-B91B-A15259A026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790532" name="Button 4" hidden="1">
              <a:extLst>
                <a:ext uri="{63B3BB69-23CF-44E3-9099-C40C66FF867C}">
                  <a14:compatExt spid="_x0000_s790532"/>
                </a:ext>
                <a:ext uri="{FF2B5EF4-FFF2-40B4-BE49-F238E27FC236}">
                  <a16:creationId xmlns:a16="http://schemas.microsoft.com/office/drawing/2014/main" id="{7F9715C3-22BA-47A9-87BE-091D5A3F962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790533" name="Button 5" hidden="1">
              <a:extLst>
                <a:ext uri="{63B3BB69-23CF-44E3-9099-C40C66FF867C}">
                  <a14:compatExt spid="_x0000_s790533"/>
                </a:ext>
                <a:ext uri="{FF2B5EF4-FFF2-40B4-BE49-F238E27FC236}">
                  <a16:creationId xmlns:a16="http://schemas.microsoft.com/office/drawing/2014/main" id="{988A4A65-B8CD-4C30-90F3-0A2172C8401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790534" name="Button 6" hidden="1">
              <a:extLst>
                <a:ext uri="{63B3BB69-23CF-44E3-9099-C40C66FF867C}">
                  <a14:compatExt spid="_x0000_s790534"/>
                </a:ext>
                <a:ext uri="{FF2B5EF4-FFF2-40B4-BE49-F238E27FC236}">
                  <a16:creationId xmlns:a16="http://schemas.microsoft.com/office/drawing/2014/main" id="{599EF5A6-6354-4022-844F-A051F2D4CB9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790535" name="Button 7" hidden="1">
              <a:extLst>
                <a:ext uri="{63B3BB69-23CF-44E3-9099-C40C66FF867C}">
                  <a14:compatExt spid="_x0000_s790535"/>
                </a:ext>
                <a:ext uri="{FF2B5EF4-FFF2-40B4-BE49-F238E27FC236}">
                  <a16:creationId xmlns:a16="http://schemas.microsoft.com/office/drawing/2014/main" id="{25835487-DCF9-42BE-9036-9B7FD50E8B6E}"/>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790536" name="Button 8" hidden="1">
              <a:extLst>
                <a:ext uri="{63B3BB69-23CF-44E3-9099-C40C66FF867C}">
                  <a14:compatExt spid="_x0000_s790536"/>
                </a:ext>
                <a:ext uri="{FF2B5EF4-FFF2-40B4-BE49-F238E27FC236}">
                  <a16:creationId xmlns:a16="http://schemas.microsoft.com/office/drawing/2014/main" id="{B2B0EE9E-B178-4178-B454-8EB47FDDD88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0</xdr:row>
          <xdr:rowOff>0</xdr:rowOff>
        </xdr:from>
        <xdr:to>
          <xdr:col>16</xdr:col>
          <xdr:colOff>1270000</xdr:colOff>
          <xdr:row>2</xdr:row>
          <xdr:rowOff>12700</xdr:rowOff>
        </xdr:to>
        <xdr:sp macro="" textlink="">
          <xdr:nvSpPr>
            <xdr:cNvPr id="790537" name="Button 9" hidden="1">
              <a:extLst>
                <a:ext uri="{63B3BB69-23CF-44E3-9099-C40C66FF867C}">
                  <a14:compatExt spid="_x0000_s790537"/>
                </a:ext>
                <a:ext uri="{FF2B5EF4-FFF2-40B4-BE49-F238E27FC236}">
                  <a16:creationId xmlns:a16="http://schemas.microsoft.com/office/drawing/2014/main" id="{1917F960-5FD6-122B-B99E-4DA5292652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SEC_142000</a:t>
              </a:r>
            </a:p>
          </xdr:txBody>
        </xdr:sp>
        <xdr:clientData fPrintsWithSheet="0"/>
      </xdr:twoCellAnchor>
    </mc:Choice>
    <mc:Fallback/>
  </mc:AlternateContent>
</xdr:wsDr>
</file>

<file path=xl/drawings/drawing1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91553" name="Button 1" hidden="1">
              <a:extLst>
                <a:ext uri="{63B3BB69-23CF-44E3-9099-C40C66FF867C}">
                  <a14:compatExt spid="_x0000_s791553"/>
                </a:ext>
                <a:ext uri="{FF2B5EF4-FFF2-40B4-BE49-F238E27FC236}">
                  <a16:creationId xmlns:a16="http://schemas.microsoft.com/office/drawing/2014/main" id="{1FE19D2D-3F42-4836-9D48-F7F427643B1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791554" name="Button 2" hidden="1">
              <a:extLst>
                <a:ext uri="{63B3BB69-23CF-44E3-9099-C40C66FF867C}">
                  <a14:compatExt spid="_x0000_s791554"/>
                </a:ext>
                <a:ext uri="{FF2B5EF4-FFF2-40B4-BE49-F238E27FC236}">
                  <a16:creationId xmlns:a16="http://schemas.microsoft.com/office/drawing/2014/main" id="{C4B770F4-7C64-4A6F-B2A3-D61472133DA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791555" name="Button 3" hidden="1">
              <a:extLst>
                <a:ext uri="{63B3BB69-23CF-44E3-9099-C40C66FF867C}">
                  <a14:compatExt spid="_x0000_s791555"/>
                </a:ext>
                <a:ext uri="{FF2B5EF4-FFF2-40B4-BE49-F238E27FC236}">
                  <a16:creationId xmlns:a16="http://schemas.microsoft.com/office/drawing/2014/main" id="{08DC058C-8D94-4931-BC96-8F47BF81D9D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791556" name="Button 4" hidden="1">
              <a:extLst>
                <a:ext uri="{63B3BB69-23CF-44E3-9099-C40C66FF867C}">
                  <a14:compatExt spid="_x0000_s791556"/>
                </a:ext>
                <a:ext uri="{FF2B5EF4-FFF2-40B4-BE49-F238E27FC236}">
                  <a16:creationId xmlns:a16="http://schemas.microsoft.com/office/drawing/2014/main" id="{8B1C3F48-3D76-456F-84D3-C83EAFF816B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791557" name="Button 5" hidden="1">
              <a:extLst>
                <a:ext uri="{63B3BB69-23CF-44E3-9099-C40C66FF867C}">
                  <a14:compatExt spid="_x0000_s791557"/>
                </a:ext>
                <a:ext uri="{FF2B5EF4-FFF2-40B4-BE49-F238E27FC236}">
                  <a16:creationId xmlns:a16="http://schemas.microsoft.com/office/drawing/2014/main" id="{7389A1B7-CB33-426E-90DA-E85C95BB740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791558" name="Button 6" hidden="1">
              <a:extLst>
                <a:ext uri="{63B3BB69-23CF-44E3-9099-C40C66FF867C}">
                  <a14:compatExt spid="_x0000_s791558"/>
                </a:ext>
                <a:ext uri="{FF2B5EF4-FFF2-40B4-BE49-F238E27FC236}">
                  <a16:creationId xmlns:a16="http://schemas.microsoft.com/office/drawing/2014/main" id="{B9576BF0-6D72-40E1-B6BA-688D38619BC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791559" name="Button 7" hidden="1">
              <a:extLst>
                <a:ext uri="{63B3BB69-23CF-44E3-9099-C40C66FF867C}">
                  <a14:compatExt spid="_x0000_s791559"/>
                </a:ext>
                <a:ext uri="{FF2B5EF4-FFF2-40B4-BE49-F238E27FC236}">
                  <a16:creationId xmlns:a16="http://schemas.microsoft.com/office/drawing/2014/main" id="{C02D7D4E-ACB8-42BD-841B-DF1A1BDBC01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791560" name="Button 8" hidden="1">
              <a:extLst>
                <a:ext uri="{63B3BB69-23CF-44E3-9099-C40C66FF867C}">
                  <a14:compatExt spid="_x0000_s791560"/>
                </a:ext>
                <a:ext uri="{FF2B5EF4-FFF2-40B4-BE49-F238E27FC236}">
                  <a16:creationId xmlns:a16="http://schemas.microsoft.com/office/drawing/2014/main" id="{A88D5A43-A787-47A9-922D-B8FE50D7D3D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0</xdr:row>
          <xdr:rowOff>0</xdr:rowOff>
        </xdr:from>
        <xdr:to>
          <xdr:col>16</xdr:col>
          <xdr:colOff>1270000</xdr:colOff>
          <xdr:row>2</xdr:row>
          <xdr:rowOff>12700</xdr:rowOff>
        </xdr:to>
        <xdr:sp macro="" textlink="">
          <xdr:nvSpPr>
            <xdr:cNvPr id="791561" name="Button 9" hidden="1">
              <a:extLst>
                <a:ext uri="{63B3BB69-23CF-44E3-9099-C40C66FF867C}">
                  <a14:compatExt spid="_x0000_s791561"/>
                </a:ext>
                <a:ext uri="{FF2B5EF4-FFF2-40B4-BE49-F238E27FC236}">
                  <a16:creationId xmlns:a16="http://schemas.microsoft.com/office/drawing/2014/main" id="{23CAE6AE-1121-0D3C-0FC0-C26241D8704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SEC_143000</a:t>
              </a:r>
            </a:p>
          </xdr:txBody>
        </xdr:sp>
        <xdr:clientData fPrintsWithSheet="0"/>
      </xdr:twoCellAnchor>
    </mc:Choice>
    <mc:Fallback/>
  </mc:AlternateContent>
</xdr:wsDr>
</file>

<file path=xl/drawings/drawing15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0</xdr:colOff>
          <xdr:row>0</xdr:row>
          <xdr:rowOff>0</xdr:rowOff>
        </xdr:from>
        <xdr:to>
          <xdr:col>16</xdr:col>
          <xdr:colOff>1270000</xdr:colOff>
          <xdr:row>2</xdr:row>
          <xdr:rowOff>12700</xdr:rowOff>
        </xdr:to>
        <xdr:sp macro="" textlink="">
          <xdr:nvSpPr>
            <xdr:cNvPr id="792585" name="Button 9" hidden="1">
              <a:extLst>
                <a:ext uri="{63B3BB69-23CF-44E3-9099-C40C66FF867C}">
                  <a14:compatExt spid="_x0000_s792585"/>
                </a:ext>
                <a:ext uri="{FF2B5EF4-FFF2-40B4-BE49-F238E27FC236}">
                  <a16:creationId xmlns:a16="http://schemas.microsoft.com/office/drawing/2014/main" id="{338258AE-295C-C19F-B7F7-B46407F1948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SEC_144000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92595" name="Button 19" hidden="1">
              <a:extLst>
                <a:ext uri="{63B3BB69-23CF-44E3-9099-C40C66FF867C}">
                  <a14:compatExt spid="_x0000_s792595"/>
                </a:ext>
                <a:ext uri="{FF2B5EF4-FFF2-40B4-BE49-F238E27FC236}">
                  <a16:creationId xmlns:a16="http://schemas.microsoft.com/office/drawing/2014/main" id="{5E09C0AE-6E96-8036-2A76-7F9D3BECFE0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792596" name="Button 20" hidden="1">
              <a:extLst>
                <a:ext uri="{63B3BB69-23CF-44E3-9099-C40C66FF867C}">
                  <a14:compatExt spid="_x0000_s792596"/>
                </a:ext>
                <a:ext uri="{FF2B5EF4-FFF2-40B4-BE49-F238E27FC236}">
                  <a16:creationId xmlns:a16="http://schemas.microsoft.com/office/drawing/2014/main" id="{E5DA517F-0F9D-E1DD-2D30-749D2F4D3FD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792597" name="Button 21" hidden="1">
              <a:extLst>
                <a:ext uri="{63B3BB69-23CF-44E3-9099-C40C66FF867C}">
                  <a14:compatExt spid="_x0000_s792597"/>
                </a:ext>
                <a:ext uri="{FF2B5EF4-FFF2-40B4-BE49-F238E27FC236}">
                  <a16:creationId xmlns:a16="http://schemas.microsoft.com/office/drawing/2014/main" id="{5E66B62E-8C99-9C3B-1B5C-964773298DA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792598" name="Button 22" hidden="1">
              <a:extLst>
                <a:ext uri="{63B3BB69-23CF-44E3-9099-C40C66FF867C}">
                  <a14:compatExt spid="_x0000_s792598"/>
                </a:ext>
                <a:ext uri="{FF2B5EF4-FFF2-40B4-BE49-F238E27FC236}">
                  <a16:creationId xmlns:a16="http://schemas.microsoft.com/office/drawing/2014/main" id="{DDC06AA1-934E-2BD8-B210-3D5E5F03A94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792599" name="Button 23" hidden="1">
              <a:extLst>
                <a:ext uri="{63B3BB69-23CF-44E3-9099-C40C66FF867C}">
                  <a14:compatExt spid="_x0000_s792599"/>
                </a:ext>
                <a:ext uri="{FF2B5EF4-FFF2-40B4-BE49-F238E27FC236}">
                  <a16:creationId xmlns:a16="http://schemas.microsoft.com/office/drawing/2014/main" id="{74C153A4-BE92-2FA8-5FB6-EA96654FF03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792600" name="Button 24" hidden="1">
              <a:extLst>
                <a:ext uri="{63B3BB69-23CF-44E3-9099-C40C66FF867C}">
                  <a14:compatExt spid="_x0000_s792600"/>
                </a:ext>
                <a:ext uri="{FF2B5EF4-FFF2-40B4-BE49-F238E27FC236}">
                  <a16:creationId xmlns:a16="http://schemas.microsoft.com/office/drawing/2014/main" id="{7848C1D9-9F7D-1DC4-FA87-DD52F629541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792601" name="Button 25" hidden="1">
              <a:extLst>
                <a:ext uri="{63B3BB69-23CF-44E3-9099-C40C66FF867C}">
                  <a14:compatExt spid="_x0000_s792601"/>
                </a:ext>
                <a:ext uri="{FF2B5EF4-FFF2-40B4-BE49-F238E27FC236}">
                  <a16:creationId xmlns:a16="http://schemas.microsoft.com/office/drawing/2014/main" id="{CDC88233-3EEF-AA24-0009-2E9B20D3710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792602" name="Button 26" hidden="1">
              <a:extLst>
                <a:ext uri="{63B3BB69-23CF-44E3-9099-C40C66FF867C}">
                  <a14:compatExt spid="_x0000_s792602"/>
                </a:ext>
                <a:ext uri="{FF2B5EF4-FFF2-40B4-BE49-F238E27FC236}">
                  <a16:creationId xmlns:a16="http://schemas.microsoft.com/office/drawing/2014/main" id="{E6568E33-8E56-3B8C-CCDC-C3BA311B98F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drawings/drawing15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93601" name="Button 1" hidden="1">
              <a:extLst>
                <a:ext uri="{63B3BB69-23CF-44E3-9099-C40C66FF867C}">
                  <a14:compatExt spid="_x0000_s793601"/>
                </a:ext>
                <a:ext uri="{FF2B5EF4-FFF2-40B4-BE49-F238E27FC236}">
                  <a16:creationId xmlns:a16="http://schemas.microsoft.com/office/drawing/2014/main" id="{744A3582-3E43-4218-8261-E2114BCE1C8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793602" name="Button 2" hidden="1">
              <a:extLst>
                <a:ext uri="{63B3BB69-23CF-44E3-9099-C40C66FF867C}">
                  <a14:compatExt spid="_x0000_s793602"/>
                </a:ext>
                <a:ext uri="{FF2B5EF4-FFF2-40B4-BE49-F238E27FC236}">
                  <a16:creationId xmlns:a16="http://schemas.microsoft.com/office/drawing/2014/main" id="{BF0707F5-A0A4-4775-9EF5-D5A98C3C8D7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793603" name="Button 3" hidden="1">
              <a:extLst>
                <a:ext uri="{63B3BB69-23CF-44E3-9099-C40C66FF867C}">
                  <a14:compatExt spid="_x0000_s793603"/>
                </a:ext>
                <a:ext uri="{FF2B5EF4-FFF2-40B4-BE49-F238E27FC236}">
                  <a16:creationId xmlns:a16="http://schemas.microsoft.com/office/drawing/2014/main" id="{589BA828-5F59-4308-9DA6-0C15833DB2D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793604" name="Button 4" hidden="1">
              <a:extLst>
                <a:ext uri="{63B3BB69-23CF-44E3-9099-C40C66FF867C}">
                  <a14:compatExt spid="_x0000_s793604"/>
                </a:ext>
                <a:ext uri="{FF2B5EF4-FFF2-40B4-BE49-F238E27FC236}">
                  <a16:creationId xmlns:a16="http://schemas.microsoft.com/office/drawing/2014/main" id="{088AB16E-E2F2-4383-AD39-4D930EAC47BE}"/>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793605" name="Button 5" hidden="1">
              <a:extLst>
                <a:ext uri="{63B3BB69-23CF-44E3-9099-C40C66FF867C}">
                  <a14:compatExt spid="_x0000_s793605"/>
                </a:ext>
                <a:ext uri="{FF2B5EF4-FFF2-40B4-BE49-F238E27FC236}">
                  <a16:creationId xmlns:a16="http://schemas.microsoft.com/office/drawing/2014/main" id="{9EAD3A00-AA6B-4822-92E7-CB31B4C94E1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793606" name="Button 6" hidden="1">
              <a:extLst>
                <a:ext uri="{63B3BB69-23CF-44E3-9099-C40C66FF867C}">
                  <a14:compatExt spid="_x0000_s793606"/>
                </a:ext>
                <a:ext uri="{FF2B5EF4-FFF2-40B4-BE49-F238E27FC236}">
                  <a16:creationId xmlns:a16="http://schemas.microsoft.com/office/drawing/2014/main" id="{DC685FF7-A968-4065-AD6E-36EDBBCB4FD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793607" name="Button 7" hidden="1">
              <a:extLst>
                <a:ext uri="{63B3BB69-23CF-44E3-9099-C40C66FF867C}">
                  <a14:compatExt spid="_x0000_s793607"/>
                </a:ext>
                <a:ext uri="{FF2B5EF4-FFF2-40B4-BE49-F238E27FC236}">
                  <a16:creationId xmlns:a16="http://schemas.microsoft.com/office/drawing/2014/main" id="{DA27FE1B-0BAA-489F-A97A-91BFC9B6080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793608" name="Button 8" hidden="1">
              <a:extLst>
                <a:ext uri="{63B3BB69-23CF-44E3-9099-C40C66FF867C}">
                  <a14:compatExt spid="_x0000_s793608"/>
                </a:ext>
                <a:ext uri="{FF2B5EF4-FFF2-40B4-BE49-F238E27FC236}">
                  <a16:creationId xmlns:a16="http://schemas.microsoft.com/office/drawing/2014/main" id="{63857E15-03FA-4C44-BA74-6314AF9A1BD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0</xdr:row>
          <xdr:rowOff>0</xdr:rowOff>
        </xdr:from>
        <xdr:to>
          <xdr:col>16</xdr:col>
          <xdr:colOff>1270000</xdr:colOff>
          <xdr:row>2</xdr:row>
          <xdr:rowOff>12700</xdr:rowOff>
        </xdr:to>
        <xdr:sp macro="" textlink="">
          <xdr:nvSpPr>
            <xdr:cNvPr id="793609" name="Button 9" hidden="1">
              <a:extLst>
                <a:ext uri="{63B3BB69-23CF-44E3-9099-C40C66FF867C}">
                  <a14:compatExt spid="_x0000_s793609"/>
                </a:ext>
                <a:ext uri="{FF2B5EF4-FFF2-40B4-BE49-F238E27FC236}">
                  <a16:creationId xmlns:a16="http://schemas.microsoft.com/office/drawing/2014/main" id="{003D8647-929C-DB7B-87B4-2B8D15DFCAC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SEC_147000</a:t>
              </a:r>
            </a:p>
          </xdr:txBody>
        </xdr:sp>
        <xdr:clientData fPrintsWithSheet="0"/>
      </xdr:twoCellAnchor>
    </mc:Choice>
    <mc:Fallback/>
  </mc:AlternateContent>
</xdr:wsDr>
</file>

<file path=xl/drawings/drawing16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94625" name="Button 1" hidden="1">
              <a:extLst>
                <a:ext uri="{63B3BB69-23CF-44E3-9099-C40C66FF867C}">
                  <a14:compatExt spid="_x0000_s794625"/>
                </a:ext>
                <a:ext uri="{FF2B5EF4-FFF2-40B4-BE49-F238E27FC236}">
                  <a16:creationId xmlns:a16="http://schemas.microsoft.com/office/drawing/2014/main" id="{9BA1B776-7AF8-4C1B-8910-70583F7E5F0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794626" name="Button 2" hidden="1">
              <a:extLst>
                <a:ext uri="{63B3BB69-23CF-44E3-9099-C40C66FF867C}">
                  <a14:compatExt spid="_x0000_s794626"/>
                </a:ext>
                <a:ext uri="{FF2B5EF4-FFF2-40B4-BE49-F238E27FC236}">
                  <a16:creationId xmlns:a16="http://schemas.microsoft.com/office/drawing/2014/main" id="{25DAE8BD-98F2-4E17-8FC9-C5B0C74ABCB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794627" name="Button 3" hidden="1">
              <a:extLst>
                <a:ext uri="{63B3BB69-23CF-44E3-9099-C40C66FF867C}">
                  <a14:compatExt spid="_x0000_s794627"/>
                </a:ext>
                <a:ext uri="{FF2B5EF4-FFF2-40B4-BE49-F238E27FC236}">
                  <a16:creationId xmlns:a16="http://schemas.microsoft.com/office/drawing/2014/main" id="{53A71E7B-0FC1-4438-A9B9-C05DC80F88C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387350</xdr:rowOff>
        </xdr:from>
        <xdr:to>
          <xdr:col>19</xdr:col>
          <xdr:colOff>50800</xdr:colOff>
          <xdr:row>10</xdr:row>
          <xdr:rowOff>69850</xdr:rowOff>
        </xdr:to>
        <xdr:sp macro="" textlink="">
          <xdr:nvSpPr>
            <xdr:cNvPr id="794628" name="Button 4" hidden="1">
              <a:extLst>
                <a:ext uri="{63B3BB69-23CF-44E3-9099-C40C66FF867C}">
                  <a14:compatExt spid="_x0000_s794628"/>
                </a:ext>
                <a:ext uri="{FF2B5EF4-FFF2-40B4-BE49-F238E27FC236}">
                  <a16:creationId xmlns:a16="http://schemas.microsoft.com/office/drawing/2014/main" id="{04176D77-7E0F-4313-9CE0-9CE372A4B62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12700</xdr:rowOff>
        </xdr:from>
        <xdr:to>
          <xdr:col>19</xdr:col>
          <xdr:colOff>50800</xdr:colOff>
          <xdr:row>13</xdr:row>
          <xdr:rowOff>25400</xdr:rowOff>
        </xdr:to>
        <xdr:sp macro="" textlink="">
          <xdr:nvSpPr>
            <xdr:cNvPr id="794629" name="Button 5" hidden="1">
              <a:extLst>
                <a:ext uri="{63B3BB69-23CF-44E3-9099-C40C66FF867C}">
                  <a14:compatExt spid="_x0000_s794629"/>
                </a:ext>
                <a:ext uri="{FF2B5EF4-FFF2-40B4-BE49-F238E27FC236}">
                  <a16:creationId xmlns:a16="http://schemas.microsoft.com/office/drawing/2014/main" id="{26FFAF73-6A0E-4AED-97D2-BAD5904A4DB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6350</xdr:rowOff>
        </xdr:from>
        <xdr:to>
          <xdr:col>19</xdr:col>
          <xdr:colOff>50800</xdr:colOff>
          <xdr:row>16</xdr:row>
          <xdr:rowOff>19050</xdr:rowOff>
        </xdr:to>
        <xdr:sp macro="" textlink="">
          <xdr:nvSpPr>
            <xdr:cNvPr id="794630" name="Button 6" hidden="1">
              <a:extLst>
                <a:ext uri="{63B3BB69-23CF-44E3-9099-C40C66FF867C}">
                  <a14:compatExt spid="_x0000_s794630"/>
                </a:ext>
                <a:ext uri="{FF2B5EF4-FFF2-40B4-BE49-F238E27FC236}">
                  <a16:creationId xmlns:a16="http://schemas.microsoft.com/office/drawing/2014/main" id="{41FFC443-E29E-497E-81F7-1C124704FFAE}"/>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12700</xdr:rowOff>
        </xdr:from>
        <xdr:to>
          <xdr:col>19</xdr:col>
          <xdr:colOff>50800</xdr:colOff>
          <xdr:row>19</xdr:row>
          <xdr:rowOff>25400</xdr:rowOff>
        </xdr:to>
        <xdr:sp macro="" textlink="">
          <xdr:nvSpPr>
            <xdr:cNvPr id="794631" name="Button 7" hidden="1">
              <a:extLst>
                <a:ext uri="{63B3BB69-23CF-44E3-9099-C40C66FF867C}">
                  <a14:compatExt spid="_x0000_s794631"/>
                </a:ext>
                <a:ext uri="{FF2B5EF4-FFF2-40B4-BE49-F238E27FC236}">
                  <a16:creationId xmlns:a16="http://schemas.microsoft.com/office/drawing/2014/main" id="{E5A6B727-D9BF-4C27-B7A3-4BD0C501667E}"/>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20</xdr:row>
          <xdr:rowOff>19050</xdr:rowOff>
        </xdr:from>
        <xdr:to>
          <xdr:col>19</xdr:col>
          <xdr:colOff>50800</xdr:colOff>
          <xdr:row>22</xdr:row>
          <xdr:rowOff>31750</xdr:rowOff>
        </xdr:to>
        <xdr:sp macro="" textlink="">
          <xdr:nvSpPr>
            <xdr:cNvPr id="794632" name="Button 8" hidden="1">
              <a:extLst>
                <a:ext uri="{63B3BB69-23CF-44E3-9099-C40C66FF867C}">
                  <a14:compatExt spid="_x0000_s794632"/>
                </a:ext>
                <a:ext uri="{FF2B5EF4-FFF2-40B4-BE49-F238E27FC236}">
                  <a16:creationId xmlns:a16="http://schemas.microsoft.com/office/drawing/2014/main" id="{4AA65391-3DC5-4D21-A993-2B1DF157E40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0</xdr:row>
          <xdr:rowOff>0</xdr:rowOff>
        </xdr:from>
        <xdr:to>
          <xdr:col>16</xdr:col>
          <xdr:colOff>1270000</xdr:colOff>
          <xdr:row>2</xdr:row>
          <xdr:rowOff>12700</xdr:rowOff>
        </xdr:to>
        <xdr:sp macro="" textlink="">
          <xdr:nvSpPr>
            <xdr:cNvPr id="794633" name="Button 9" hidden="1">
              <a:extLst>
                <a:ext uri="{63B3BB69-23CF-44E3-9099-C40C66FF867C}">
                  <a14:compatExt spid="_x0000_s794633"/>
                </a:ext>
                <a:ext uri="{FF2B5EF4-FFF2-40B4-BE49-F238E27FC236}">
                  <a16:creationId xmlns:a16="http://schemas.microsoft.com/office/drawing/2014/main" id="{789A062E-3F4C-8396-504E-65610894E0A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SEC_148000</a:t>
              </a:r>
            </a:p>
          </xdr:txBody>
        </xdr:sp>
        <xdr:clientData fPrintsWithSheet="0"/>
      </xdr:twoCellAnchor>
    </mc:Choice>
    <mc:Fallback/>
  </mc:AlternateContent>
</xdr:wsDr>
</file>

<file path=xl/drawings/drawing16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0</xdr:colOff>
          <xdr:row>0</xdr:row>
          <xdr:rowOff>0</xdr:rowOff>
        </xdr:from>
        <xdr:to>
          <xdr:col>16</xdr:col>
          <xdr:colOff>1270000</xdr:colOff>
          <xdr:row>2</xdr:row>
          <xdr:rowOff>12700</xdr:rowOff>
        </xdr:to>
        <xdr:sp macro="" textlink="">
          <xdr:nvSpPr>
            <xdr:cNvPr id="795657" name="Button 9" hidden="1">
              <a:extLst>
                <a:ext uri="{63B3BB69-23CF-44E3-9099-C40C66FF867C}">
                  <a14:compatExt spid="_x0000_s795657"/>
                </a:ext>
                <a:ext uri="{FF2B5EF4-FFF2-40B4-BE49-F238E27FC236}">
                  <a16:creationId xmlns:a16="http://schemas.microsoft.com/office/drawing/2014/main" id="{2B13170D-72DA-1D60-C0B1-1563AFBD1CD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Exit SEC_149000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50800</xdr:colOff>
          <xdr:row>2</xdr:row>
          <xdr:rowOff>12700</xdr:rowOff>
        </xdr:to>
        <xdr:sp macro="" textlink="">
          <xdr:nvSpPr>
            <xdr:cNvPr id="795667" name="Button 19" hidden="1">
              <a:extLst>
                <a:ext uri="{63B3BB69-23CF-44E3-9099-C40C66FF867C}">
                  <a14:compatExt spid="_x0000_s795667"/>
                </a:ext>
                <a:ext uri="{FF2B5EF4-FFF2-40B4-BE49-F238E27FC236}">
                  <a16:creationId xmlns:a16="http://schemas.microsoft.com/office/drawing/2014/main" id="{C766EBA3-79B6-C140-E2C7-ED80ABD7D59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Save Area or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177800</xdr:rowOff>
        </xdr:from>
        <xdr:to>
          <xdr:col>19</xdr:col>
          <xdr:colOff>50800</xdr:colOff>
          <xdr:row>5</xdr:row>
          <xdr:rowOff>12700</xdr:rowOff>
        </xdr:to>
        <xdr:sp macro="" textlink="">
          <xdr:nvSpPr>
            <xdr:cNvPr id="795668" name="Button 20" hidden="1">
              <a:extLst>
                <a:ext uri="{63B3BB69-23CF-44E3-9099-C40C66FF867C}">
                  <a14:compatExt spid="_x0000_s795668"/>
                </a:ext>
                <a:ext uri="{FF2B5EF4-FFF2-40B4-BE49-F238E27FC236}">
                  <a16:creationId xmlns:a16="http://schemas.microsoft.com/office/drawing/2014/main" id="{9375F45B-90CF-B952-A51D-68517D7BC89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Clear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50800</xdr:rowOff>
        </xdr:from>
        <xdr:to>
          <xdr:col>19</xdr:col>
          <xdr:colOff>50800</xdr:colOff>
          <xdr:row>8</xdr:row>
          <xdr:rowOff>57150</xdr:rowOff>
        </xdr:to>
        <xdr:sp macro="" textlink="">
          <xdr:nvSpPr>
            <xdr:cNvPr id="795669" name="Button 21" hidden="1">
              <a:extLst>
                <a:ext uri="{63B3BB69-23CF-44E3-9099-C40C66FF867C}">
                  <a14:compatExt spid="_x0000_s795669"/>
                </a:ext>
                <a:ext uri="{FF2B5EF4-FFF2-40B4-BE49-F238E27FC236}">
                  <a16:creationId xmlns:a16="http://schemas.microsoft.com/office/drawing/2014/main" id="{6FFB13A0-9EDC-2C7B-8640-0CF067666F1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9</xdr:row>
          <xdr:rowOff>44450</xdr:rowOff>
        </xdr:from>
        <xdr:to>
          <xdr:col>19</xdr:col>
          <xdr:colOff>50800</xdr:colOff>
          <xdr:row>11</xdr:row>
          <xdr:rowOff>50800</xdr:rowOff>
        </xdr:to>
        <xdr:sp macro="" textlink="">
          <xdr:nvSpPr>
            <xdr:cNvPr id="795670" name="Button 22" hidden="1">
              <a:extLst>
                <a:ext uri="{63B3BB69-23CF-44E3-9099-C40C66FF867C}">
                  <a14:compatExt spid="_x0000_s795670"/>
                </a:ext>
                <a:ext uri="{FF2B5EF4-FFF2-40B4-BE49-F238E27FC236}">
                  <a16:creationId xmlns:a16="http://schemas.microsoft.com/office/drawing/2014/main" id="{2CE3E4F4-0C0F-24A4-C582-BCDE15D0E87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Input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177800</xdr:rowOff>
        </xdr:from>
        <xdr:to>
          <xdr:col>19</xdr:col>
          <xdr:colOff>50800</xdr:colOff>
          <xdr:row>14</xdr:row>
          <xdr:rowOff>6350</xdr:rowOff>
        </xdr:to>
        <xdr:sp macro="" textlink="">
          <xdr:nvSpPr>
            <xdr:cNvPr id="795671" name="Button 23" hidden="1">
              <a:extLst>
                <a:ext uri="{63B3BB69-23CF-44E3-9099-C40C66FF867C}">
                  <a14:compatExt spid="_x0000_s795671"/>
                </a:ext>
                <a:ext uri="{FF2B5EF4-FFF2-40B4-BE49-F238E27FC236}">
                  <a16:creationId xmlns:a16="http://schemas.microsoft.com/office/drawing/2014/main" id="{C0C966ED-482A-BC89-94C9-03011853817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14</xdr:row>
          <xdr:rowOff>171450</xdr:rowOff>
        </xdr:from>
        <xdr:to>
          <xdr:col>19</xdr:col>
          <xdr:colOff>50800</xdr:colOff>
          <xdr:row>17</xdr:row>
          <xdr:rowOff>0</xdr:rowOff>
        </xdr:to>
        <xdr:sp macro="" textlink="">
          <xdr:nvSpPr>
            <xdr:cNvPr id="795672" name="Button 24" hidden="1">
              <a:extLst>
                <a:ext uri="{63B3BB69-23CF-44E3-9099-C40C66FF867C}">
                  <a14:compatExt spid="_x0000_s795672"/>
                </a:ext>
                <a:ext uri="{FF2B5EF4-FFF2-40B4-BE49-F238E27FC236}">
                  <a16:creationId xmlns:a16="http://schemas.microsoft.com/office/drawing/2014/main" id="{2EBF1CBC-3A94-B52A-31BC-960300F598A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177800</xdr:rowOff>
        </xdr:from>
        <xdr:to>
          <xdr:col>19</xdr:col>
          <xdr:colOff>50800</xdr:colOff>
          <xdr:row>20</xdr:row>
          <xdr:rowOff>6350</xdr:rowOff>
        </xdr:to>
        <xdr:sp macro="" textlink="">
          <xdr:nvSpPr>
            <xdr:cNvPr id="795673" name="Button 25" hidden="1">
              <a:extLst>
                <a:ext uri="{63B3BB69-23CF-44E3-9099-C40C66FF867C}">
                  <a14:compatExt spid="_x0000_s795673"/>
                </a:ext>
                <a:ext uri="{FF2B5EF4-FFF2-40B4-BE49-F238E27FC236}">
                  <a16:creationId xmlns:a16="http://schemas.microsoft.com/office/drawing/2014/main" id="{74D52509-3378-9DD5-64D4-CD6FE3AF175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View_Print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21</xdr:row>
          <xdr:rowOff>0</xdr:rowOff>
        </xdr:from>
        <xdr:to>
          <xdr:col>19</xdr:col>
          <xdr:colOff>50800</xdr:colOff>
          <xdr:row>23</xdr:row>
          <xdr:rowOff>12700</xdr:rowOff>
        </xdr:to>
        <xdr:sp macro="" textlink="">
          <xdr:nvSpPr>
            <xdr:cNvPr id="795674" name="Button 26" hidden="1">
              <a:extLst>
                <a:ext uri="{63B3BB69-23CF-44E3-9099-C40C66FF867C}">
                  <a14:compatExt spid="_x0000_s795674"/>
                </a:ext>
                <a:ext uri="{FF2B5EF4-FFF2-40B4-BE49-F238E27FC236}">
                  <a16:creationId xmlns:a16="http://schemas.microsoft.com/office/drawing/2014/main" id="{D827EABE-14D7-5C2B-D82B-816C15761F5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dnort\OneDrive\Documents\DataMate\DataMate.xlam" TargetMode="External"/><Relationship Id="rId1" Type="http://schemas.openxmlformats.org/officeDocument/2006/relationships/externalLinkPath" Target="file:///C:\Users\dnort\OneDrive\Documents\DataMate\DataMate.xla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Blank"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s>
    <definedNames>
      <definedName name="SaveData"/>
    </defined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ank"/>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7122DAB-41DA-413F-8D87-970BC4BB106B}" name="Table13" displayName="Table13" ref="A9:O10" insertRow="1" totalsRowShown="0" headerRowDxfId="67" dataDxfId="66">
  <autoFilter ref="A9:O10" xr:uid="{B7122DAB-41DA-413F-8D87-970BC4BB106B}"/>
  <tableColumns count="15">
    <tableColumn id="1" xr3:uid="{D5D76069-D599-4AC8-9643-4F7360C6BEB9}" name="Log 1" dataDxfId="65"/>
    <tableColumn id="2" xr3:uid="{F250457E-FA72-4EE4-905C-C7067B2D8124}" name="Log 2" dataDxfId="64"/>
    <tableColumn id="3" xr3:uid="{0DEB1173-AF0E-4C87-B4A4-E8860B4C5BED}" name="Log 3" dataDxfId="63"/>
    <tableColumn id="4" xr3:uid="{C9D23270-1C8D-4E1D-8B4A-DEE331DF7CD1}" name="Log 4" dataDxfId="62"/>
    <tableColumn id="5" xr3:uid="{29835624-C2CD-4E5B-8BEA-99E6C2DCEB15}" name="Log 5" dataDxfId="61"/>
    <tableColumn id="6" xr3:uid="{6ADB216C-7D34-4241-9F05-EF66DFDE6510}" name="Log 6" dataDxfId="60"/>
    <tableColumn id="7" xr3:uid="{5AD3AC95-CCAD-46F3-90ED-9F043E0A2937}" name="Log 7" dataDxfId="59"/>
    <tableColumn id="8" xr3:uid="{CA155999-C29A-43AB-9F45-E06629C33AB9}" name="Log 8" dataDxfId="58"/>
    <tableColumn id="9" xr3:uid="{48857141-AD72-4ECD-B280-F2C813544CAF}" name="Log 9" dataDxfId="57"/>
    <tableColumn id="10" xr3:uid="{A4D59C51-5B45-4154-8351-6089848BD2C5}" name="Log 10" dataDxfId="56"/>
    <tableColumn id="11" xr3:uid="{17191B6C-04DB-4BBE-B213-A9698905E5F2}" name="Log 11" dataDxfId="55"/>
    <tableColumn id="12" xr3:uid="{8FDF4899-BA34-4E72-A283-C2390BCB4BE5}" name="Log 12" dataDxfId="54"/>
    <tableColumn id="13" xr3:uid="{85029DE6-62FC-4D69-8B02-79DC76538190}" name="Update 1" dataDxfId="53"/>
    <tableColumn id="14" xr3:uid="{7BCDF5C9-0027-451E-A8B2-E4C25C638B98}" name="Update 2" dataDxfId="52"/>
    <tableColumn id="15" xr3:uid="{51594329-1772-401D-9CFE-17F08F8CD3F1}" name="Update 3" dataDxfId="51"/>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DC0DCB7-AB0F-4708-A10A-F14A27BA4E16}" name="Table18" displayName="Table18" ref="D2:R2000" totalsRowShown="0" headerRowDxfId="50" dataDxfId="48" headerRowBorderDxfId="49" tableBorderDxfId="47" totalsRowBorderDxfId="46">
  <autoFilter ref="D2:R2000" xr:uid="{8DEAABF9-06CD-446D-B4AC-E3949E40836B}"/>
  <sortState xmlns:xlrd2="http://schemas.microsoft.com/office/spreadsheetml/2017/richdata2" ref="D3:R2000">
    <sortCondition ref="F2:F2000"/>
  </sortState>
  <tableColumns count="15">
    <tableColumn id="1" xr3:uid="{F36D8204-6009-44C4-821E-1FFEE0E66F4F}" name="First Name" dataDxfId="45"/>
    <tableColumn id="2" xr3:uid="{5ABEDF47-AB05-4D9F-9322-747E8EBB051D}" name="Job Title" dataDxfId="44"/>
    <tableColumn id="3" xr3:uid="{49A0CE07-8798-43B9-ADFC-A37762D701C3}" name="Company" dataDxfId="43"/>
    <tableColumn id="4" xr3:uid="{D5E2516E-D7ED-4826-A5D3-B6C64745C2D6}" name="File As" dataDxfId="42"/>
    <tableColumn id="5" xr3:uid="{11AA907C-CE70-4843-AF69-4F9DD877D7D4}" name="Country/Region" dataDxfId="41"/>
    <tableColumn id="6" xr3:uid="{AD08C69E-1524-458E-B30B-9681A10BCEF9}" name="Department" dataDxfId="40"/>
    <tableColumn id="7" xr3:uid="{5FC8F077-EABF-4F6F-B3F9-C906E97B6CB6}" name="Business Phone" dataDxfId="39"/>
    <tableColumn id="8" xr3:uid="{1B455754-0A0D-4B78-86E1-74D4C9EEAC53}" name="Business Fax" dataDxfId="38"/>
    <tableColumn id="9" xr3:uid="{AF2115A4-965B-42D1-BCBE-345AB3114F42}" name="Business Address Street" dataDxfId="37"/>
    <tableColumn id="10" xr3:uid="{D327C1D5-C388-43C2-9921-E6B900AEF26D}" name="Business Address City" dataDxfId="36"/>
    <tableColumn id="11" xr3:uid="{A72E8D0C-94CB-4409-9E70-2796B301A1BD}" name="Business Address State" dataDxfId="35"/>
    <tableColumn id="12" xr3:uid="{D4F70E88-9E5B-44CD-9DE0-2DAC379F5274}" name="Business Address Postal Code" dataDxfId="34"/>
    <tableColumn id="13" xr3:uid="{F8815172-B72C-4164-8DD2-FC973F456DEE}" name="Home Phone" dataDxfId="33"/>
    <tableColumn id="14" xr3:uid="{939052E4-E609-4DB9-AAE8-729FBBED405F}" name="Mobile Phone" dataDxfId="32"/>
    <tableColumn id="15" xr3:uid="{D0790456-B602-443D-A8D0-B7D7FF708983}" name="Email" dataDxfId="31"/>
  </tableColumns>
  <tableStyleInfo name="Construction proposal"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C7B93FD-3032-4274-B996-159274C42EAE}" name="Table1" displayName="Table1" ref="A9:O10" insertRow="1" totalsRowShown="0" headerRowDxfId="30">
  <autoFilter ref="A9:O10" xr:uid="{6C7B93FD-3032-4274-B996-159274C42EAE}"/>
  <tableColumns count="15">
    <tableColumn id="1" xr3:uid="{53D8EB36-1F94-4151-95AF-8ECB093706D7}" name="AREA/FLOOR/ZONE" dataDxfId="29" totalsRowDxfId="28">
      <calculatedColumnFormula>DIV_01Data!S1</calculatedColumnFormula>
    </tableColumn>
    <tableColumn id="2" xr3:uid="{AF61CEBA-DB9E-4583-B37B-D28E8BF0CFDD}" name="Page" dataDxfId="27" totalsRowDxfId="26">
      <calculatedColumnFormula>DIV_01Data!T1</calculatedColumnFormula>
    </tableColumn>
    <tableColumn id="3" xr3:uid="{A6A243BF-87C3-4431-B87C-A2E207A6E3DB}" name="SUB COST" dataDxfId="25" totalsRowDxfId="24">
      <calculatedColumnFormula>DIV_01Data!U1</calculatedColumnFormula>
    </tableColumn>
    <tableColumn id="4" xr3:uid="{9DC26658-3623-412A-B34D-2A42F1C0BA4B}" name="MAT COST" dataDxfId="23" totalsRowDxfId="22">
      <calculatedColumnFormula>DIV_01Data!V1</calculatedColumnFormula>
    </tableColumn>
    <tableColumn id="5" xr3:uid="{DF251765-79B4-47E3-A596-5CEE4E44946E}" name="LAB COST" dataDxfId="21" totalsRowDxfId="20">
      <calculatedColumnFormula>DIV_01Data!W1</calculatedColumnFormula>
    </tableColumn>
    <tableColumn id="6" xr3:uid="{1D9B3901-C748-4CBE-9306-A65DD5FDCECB}" name="EQUIP COST" dataDxfId="19" totalsRowDxfId="18">
      <calculatedColumnFormula>DIV_01Data!X1</calculatedColumnFormula>
    </tableColumn>
    <tableColumn id="7" xr3:uid="{53CE01EE-53F4-46AB-8F1E-937F2006C7E6}" name="Total Cost" dataDxfId="17" totalsRowDxfId="16">
      <calculatedColumnFormula>DIV_01Data!Y1</calculatedColumnFormula>
    </tableColumn>
    <tableColumn id="8" xr3:uid="{19316279-0CF3-4037-B575-13B334467153}" name="Date" dataDxfId="15" totalsRowDxfId="14">
      <calculatedColumnFormula>DIV_01Data!Z1</calculatedColumnFormula>
    </tableColumn>
    <tableColumn id="9" xr3:uid="{C223ABC6-DB7A-4D9B-86A5-FF1C5544E4D2}" name="Description" dataDxfId="13" totalsRowDxfId="12">
      <calculatedColumnFormula>DIV_01Data!AA1</calculatedColumnFormula>
    </tableColumn>
    <tableColumn id="10" xr3:uid="{6508A92E-FE67-45D7-B0A6-48E9AF3E37DC}" name="Log 10" dataDxfId="11" totalsRowDxfId="10">
      <calculatedColumnFormula>DIV_01Data!AB1</calculatedColumnFormula>
    </tableColumn>
    <tableColumn id="11" xr3:uid="{F36688FA-CF63-40C2-83FB-D0F2E554E9EC}" name="Log 11" dataDxfId="9" totalsRowDxfId="8">
      <calculatedColumnFormula>DIV_01Data!AC1</calculatedColumnFormula>
    </tableColumn>
    <tableColumn id="12" xr3:uid="{609DAFEB-0E3D-47F8-90CC-AB20A9D2BABA}" name="Log 12" dataDxfId="7" totalsRowDxfId="6">
      <calculatedColumnFormula>DIV_01Data!AD1</calculatedColumnFormula>
    </tableColumn>
    <tableColumn id="13" xr3:uid="{C1D21945-3B24-4896-A958-D31B62D4248C}" name="Update 1" dataDxfId="5" totalsRowDxfId="4">
      <calculatedColumnFormula>DIV_01Data!AE1</calculatedColumnFormula>
    </tableColumn>
    <tableColumn id="14" xr3:uid="{15E968A3-5689-4661-A1D6-8B6C6C39676E}" name="Update 2" dataDxfId="3" totalsRowDxfId="2">
      <calculatedColumnFormula>DIV_01Data!AF1</calculatedColumnFormula>
    </tableColumn>
    <tableColumn id="15" xr3:uid="{1924FF66-D2C9-40A7-9277-07C851BB3364}" name="Update 3" dataDxfId="1" totalsRowDxfId="0">
      <calculatedColumnFormula>DIV_01Data!AG1</calculatedColumnFormula>
    </tableColumn>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E1AA7E1-319C-42BE-A529-C3247AD8F3BC}" name="Table1" displayName="Table1_1" ref="A9:O10" insertRow="1" totalsRowShown="0">
  <autoFilter ref="A9:O10" xr:uid="{BE1AA7E1-319C-42BE-A529-C3247AD8F3BC}"/>
  <tableColumns count="15">
    <tableColumn id="1" xr3:uid="{8ADDB03D-8D42-4393-9548-C195824BC32C}" name="Log 1"/>
    <tableColumn id="2" xr3:uid="{17DCA325-8C0E-4E89-8DBA-3865DFFBF0C6}" name="Log 2"/>
    <tableColumn id="3" xr3:uid="{EED447DC-7C4D-4EFD-9543-3938DD4FC8FD}" name="Log 3"/>
    <tableColumn id="4" xr3:uid="{4DB9F204-4FBD-4E48-A744-B5A40800D274}" name="Log 4"/>
    <tableColumn id="5" xr3:uid="{84A07EE5-C496-4742-9478-7F8EF184E516}" name="Log 5"/>
    <tableColumn id="6" xr3:uid="{3E65747B-E24D-4533-A746-86D3ED380EFA}" name="Log 6"/>
    <tableColumn id="7" xr3:uid="{803C3BEA-FBB8-4E15-B88B-920650210406}" name="Log 7"/>
    <tableColumn id="8" xr3:uid="{16B08FE4-7A01-4CB9-8B7C-B044E79B58C3}" name="Log 8"/>
    <tableColumn id="9" xr3:uid="{A69C574F-A4A0-43A3-A807-0A01226F898E}" name="Log 9"/>
    <tableColumn id="10" xr3:uid="{C58EB19D-ED52-4A75-80EE-D8C47BB45B4E}" name="Log 10"/>
    <tableColumn id="11" xr3:uid="{582028CE-1E05-4E92-B230-7B59A96A9B4C}" name="Log 11"/>
    <tableColumn id="12" xr3:uid="{D9DCAF58-4A2F-4B3C-BD88-2915B366261C}" name="Log 12"/>
    <tableColumn id="13" xr3:uid="{BD660A73-3C2A-4A87-BEBA-70A6B5C4C4AC}" name="Update 1"/>
    <tableColumn id="14" xr3:uid="{5BCF0D44-27BD-46D6-BD2F-2E1A4C6A5B95}" name="Update 2"/>
    <tableColumn id="15" xr3:uid="{EC3E66F5-205C-43E1-9F6A-C87474AF441B}" name="Update 3"/>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26158C6-FB3A-4AEC-9283-054F63C01A38}">
  <we:reference id="77e3ff6d-24d5-4929-a3a3-b89a3cee20f0" version="1.0.0.0" store="developer" storeType="Registry"/>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3.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4.xml"/><Relationship Id="rId1" Type="http://schemas.openxmlformats.org/officeDocument/2006/relationships/hyperlink" Target="mailto:datamateapp@gmail.com" TargetMode="External"/><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4.vml"/><Relationship Id="rId7" Type="http://schemas.openxmlformats.org/officeDocument/2006/relationships/ctrlProp" Target="../ctrlProps/ctrlProp15.xml"/><Relationship Id="rId12" Type="http://schemas.openxmlformats.org/officeDocument/2006/relationships/ctrlProp" Target="../ctrlProps/ctrlProp20.xml"/><Relationship Id="rId2" Type="http://schemas.openxmlformats.org/officeDocument/2006/relationships/drawing" Target="../drawings/drawing5.xml"/><Relationship Id="rId1" Type="http://schemas.openxmlformats.org/officeDocument/2006/relationships/hyperlink" Target="mailto:datamateapp@gmail.com" TargetMode="External"/><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ctrlProp" Target="../ctrlProps/ctrlProp13.xml"/><Relationship Id="rId10" Type="http://schemas.openxmlformats.org/officeDocument/2006/relationships/ctrlProp" Target="../ctrlProps/ctrlProp18.xml"/><Relationship Id="rId4" Type="http://schemas.openxmlformats.org/officeDocument/2006/relationships/ctrlProp" Target="../ctrlProps/ctrlProp12.xml"/><Relationship Id="rId9" Type="http://schemas.openxmlformats.org/officeDocument/2006/relationships/ctrlProp" Target="../ctrlProps/ctrlProp1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vmlDrawing" Target="../drawings/vmlDrawing5.vml"/><Relationship Id="rId7" Type="http://schemas.openxmlformats.org/officeDocument/2006/relationships/ctrlProp" Target="../ctrlProps/ctrlProp24.xml"/><Relationship Id="rId2" Type="http://schemas.openxmlformats.org/officeDocument/2006/relationships/drawing" Target="../drawings/drawing6.xml"/><Relationship Id="rId1" Type="http://schemas.openxmlformats.org/officeDocument/2006/relationships/hyperlink" Target="mailto:datamateapp@gmail.com" TargetMode="External"/><Relationship Id="rId6" Type="http://schemas.openxmlformats.org/officeDocument/2006/relationships/ctrlProp" Target="../ctrlProps/ctrlProp23.xml"/><Relationship Id="rId11" Type="http://schemas.openxmlformats.org/officeDocument/2006/relationships/ctrlProp" Target="../ctrlProps/ctrlProp28.xml"/><Relationship Id="rId5" Type="http://schemas.openxmlformats.org/officeDocument/2006/relationships/ctrlProp" Target="../ctrlProps/ctrlProp22.xml"/><Relationship Id="rId10" Type="http://schemas.openxmlformats.org/officeDocument/2006/relationships/ctrlProp" Target="../ctrlProps/ctrlProp27.xml"/><Relationship Id="rId4" Type="http://schemas.openxmlformats.org/officeDocument/2006/relationships/ctrlProp" Target="../ctrlProps/ctrlProp21.xml"/><Relationship Id="rId9" Type="http://schemas.openxmlformats.org/officeDocument/2006/relationships/ctrlProp" Target="../ctrlProps/ctrlProp2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32.xml"/><Relationship Id="rId2" Type="http://schemas.openxmlformats.org/officeDocument/2006/relationships/drawing" Target="../drawings/drawing7.xml"/><Relationship Id="rId1" Type="http://schemas.openxmlformats.org/officeDocument/2006/relationships/hyperlink" Target="mailto:datamateapp@gmail.com" TargetMode="External"/><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7.vml"/><Relationship Id="rId1" Type="http://schemas.openxmlformats.org/officeDocument/2006/relationships/drawing" Target="../drawings/drawing8.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36.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7.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trlProp" Target="../ctrlProps/ctrlProp47.xml"/><Relationship Id="rId3" Type="http://schemas.openxmlformats.org/officeDocument/2006/relationships/vmlDrawing" Target="../drawings/vmlDrawing10.vml"/><Relationship Id="rId7" Type="http://schemas.openxmlformats.org/officeDocument/2006/relationships/ctrlProp" Target="../ctrlProps/ctrlProp41.xml"/><Relationship Id="rId12" Type="http://schemas.openxmlformats.org/officeDocument/2006/relationships/ctrlProp" Target="../ctrlProps/ctrlProp46.xml"/><Relationship Id="rId17" Type="http://schemas.openxmlformats.org/officeDocument/2006/relationships/ctrlProp" Target="../ctrlProps/ctrlProp51.xml"/><Relationship Id="rId2" Type="http://schemas.openxmlformats.org/officeDocument/2006/relationships/drawing" Target="../drawings/drawing11.xml"/><Relationship Id="rId16" Type="http://schemas.openxmlformats.org/officeDocument/2006/relationships/ctrlProp" Target="../ctrlProps/ctrlProp50.xml"/><Relationship Id="rId1" Type="http://schemas.openxmlformats.org/officeDocument/2006/relationships/hyperlink" Target="mailto:datamateapp@gmail.com" TargetMode="External"/><Relationship Id="rId6" Type="http://schemas.openxmlformats.org/officeDocument/2006/relationships/ctrlProp" Target="../ctrlProps/ctrlProp40.xml"/><Relationship Id="rId11" Type="http://schemas.openxmlformats.org/officeDocument/2006/relationships/ctrlProp" Target="../ctrlProps/ctrlProp45.xml"/><Relationship Id="rId5" Type="http://schemas.openxmlformats.org/officeDocument/2006/relationships/ctrlProp" Target="../ctrlProps/ctrlProp39.xml"/><Relationship Id="rId15" Type="http://schemas.openxmlformats.org/officeDocument/2006/relationships/ctrlProp" Target="../ctrlProps/ctrlProp49.xml"/><Relationship Id="rId10" Type="http://schemas.openxmlformats.org/officeDocument/2006/relationships/ctrlProp" Target="../ctrlProps/ctrlProp44.xml"/><Relationship Id="rId4" Type="http://schemas.openxmlformats.org/officeDocument/2006/relationships/ctrlProp" Target="../ctrlProps/ctrlProp38.xml"/><Relationship Id="rId9" Type="http://schemas.openxmlformats.org/officeDocument/2006/relationships/ctrlProp" Target="../ctrlProps/ctrlProp43.xml"/><Relationship Id="rId14" Type="http://schemas.openxmlformats.org/officeDocument/2006/relationships/ctrlProp" Target="../ctrlProps/ctrlProp48.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55.xml"/><Relationship Id="rId2" Type="http://schemas.openxmlformats.org/officeDocument/2006/relationships/drawing" Target="../drawings/drawing12.xml"/><Relationship Id="rId1" Type="http://schemas.openxmlformats.org/officeDocument/2006/relationships/hyperlink" Target="mailto:datamateapp@gmail.com" TargetMode="External"/><Relationship Id="rId6" Type="http://schemas.openxmlformats.org/officeDocument/2006/relationships/ctrlProp" Target="../ctrlProps/ctrlProp5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6.xml"/><Relationship Id="rId2" Type="http://schemas.openxmlformats.org/officeDocument/2006/relationships/vmlDrawing" Target="../drawings/vmlDrawing12.vml"/><Relationship Id="rId1" Type="http://schemas.openxmlformats.org/officeDocument/2006/relationships/drawing" Target="../drawings/drawing13.xml"/><Relationship Id="rId6" Type="http://schemas.openxmlformats.org/officeDocument/2006/relationships/table" Target="../tables/table3.xml"/><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9.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64.xml"/><Relationship Id="rId3" Type="http://schemas.openxmlformats.org/officeDocument/2006/relationships/vmlDrawing" Target="../drawings/vmlDrawing14.vml"/><Relationship Id="rId7" Type="http://schemas.openxmlformats.org/officeDocument/2006/relationships/ctrlProp" Target="../ctrlProps/ctrlProp63.xml"/><Relationship Id="rId12" Type="http://schemas.openxmlformats.org/officeDocument/2006/relationships/ctrlProp" Target="../ctrlProps/ctrlProp68.xml"/><Relationship Id="rId2" Type="http://schemas.openxmlformats.org/officeDocument/2006/relationships/drawing" Target="../drawings/drawing15.xml"/><Relationship Id="rId1" Type="http://schemas.openxmlformats.org/officeDocument/2006/relationships/hyperlink" Target="mailto:datamateapp@gmail.com" TargetMode="External"/><Relationship Id="rId6" Type="http://schemas.openxmlformats.org/officeDocument/2006/relationships/ctrlProp" Target="../ctrlProps/ctrlProp62.xml"/><Relationship Id="rId11" Type="http://schemas.openxmlformats.org/officeDocument/2006/relationships/ctrlProp" Target="../ctrlProps/ctrlProp67.xml"/><Relationship Id="rId5" Type="http://schemas.openxmlformats.org/officeDocument/2006/relationships/ctrlProp" Target="../ctrlProps/ctrlProp61.xml"/><Relationship Id="rId10" Type="http://schemas.openxmlformats.org/officeDocument/2006/relationships/ctrlProp" Target="../ctrlProps/ctrlProp66.xml"/><Relationship Id="rId4" Type="http://schemas.openxmlformats.org/officeDocument/2006/relationships/ctrlProp" Target="../ctrlProps/ctrlProp60.xml"/><Relationship Id="rId9" Type="http://schemas.openxmlformats.org/officeDocument/2006/relationships/ctrlProp" Target="../ctrlProps/ctrlProp65.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73.xml"/><Relationship Id="rId3" Type="http://schemas.openxmlformats.org/officeDocument/2006/relationships/vmlDrawing" Target="../drawings/vmlDrawing15.vml"/><Relationship Id="rId7" Type="http://schemas.openxmlformats.org/officeDocument/2006/relationships/ctrlProp" Target="../ctrlProps/ctrlProp72.xml"/><Relationship Id="rId12" Type="http://schemas.openxmlformats.org/officeDocument/2006/relationships/ctrlProp" Target="../ctrlProps/ctrlProp77.xml"/><Relationship Id="rId2" Type="http://schemas.openxmlformats.org/officeDocument/2006/relationships/drawing" Target="../drawings/drawing16.xml"/><Relationship Id="rId1" Type="http://schemas.openxmlformats.org/officeDocument/2006/relationships/hyperlink" Target="mailto:datamateapp@gmail.com" TargetMode="External"/><Relationship Id="rId6" Type="http://schemas.openxmlformats.org/officeDocument/2006/relationships/ctrlProp" Target="../ctrlProps/ctrlProp71.xml"/><Relationship Id="rId11" Type="http://schemas.openxmlformats.org/officeDocument/2006/relationships/ctrlProp" Target="../ctrlProps/ctrlProp76.xml"/><Relationship Id="rId5" Type="http://schemas.openxmlformats.org/officeDocument/2006/relationships/ctrlProp" Target="../ctrlProps/ctrlProp70.xml"/><Relationship Id="rId10" Type="http://schemas.openxmlformats.org/officeDocument/2006/relationships/ctrlProp" Target="../ctrlProps/ctrlProp75.xml"/><Relationship Id="rId4" Type="http://schemas.openxmlformats.org/officeDocument/2006/relationships/ctrlProp" Target="../ctrlProps/ctrlProp69.xml"/><Relationship Id="rId9" Type="http://schemas.openxmlformats.org/officeDocument/2006/relationships/ctrlProp" Target="../ctrlProps/ctrlProp74.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82.xml"/><Relationship Id="rId3" Type="http://schemas.openxmlformats.org/officeDocument/2006/relationships/vmlDrawing" Target="../drawings/vmlDrawing16.vml"/><Relationship Id="rId7" Type="http://schemas.openxmlformats.org/officeDocument/2006/relationships/ctrlProp" Target="../ctrlProps/ctrlProp81.xml"/><Relationship Id="rId12" Type="http://schemas.openxmlformats.org/officeDocument/2006/relationships/ctrlProp" Target="../ctrlProps/ctrlProp86.xml"/><Relationship Id="rId2" Type="http://schemas.openxmlformats.org/officeDocument/2006/relationships/drawing" Target="../drawings/drawing17.xml"/><Relationship Id="rId1" Type="http://schemas.openxmlformats.org/officeDocument/2006/relationships/hyperlink" Target="mailto:datamateapp@gmail.com" TargetMode="External"/><Relationship Id="rId6" Type="http://schemas.openxmlformats.org/officeDocument/2006/relationships/ctrlProp" Target="../ctrlProps/ctrlProp80.xml"/><Relationship Id="rId11" Type="http://schemas.openxmlformats.org/officeDocument/2006/relationships/ctrlProp" Target="../ctrlProps/ctrlProp85.xml"/><Relationship Id="rId5" Type="http://schemas.openxmlformats.org/officeDocument/2006/relationships/ctrlProp" Target="../ctrlProps/ctrlProp79.xml"/><Relationship Id="rId10" Type="http://schemas.openxmlformats.org/officeDocument/2006/relationships/ctrlProp" Target="../ctrlProps/ctrlProp84.xml"/><Relationship Id="rId4" Type="http://schemas.openxmlformats.org/officeDocument/2006/relationships/ctrlProp" Target="../ctrlProps/ctrlProp78.xml"/><Relationship Id="rId9" Type="http://schemas.openxmlformats.org/officeDocument/2006/relationships/ctrlProp" Target="../ctrlProps/ctrlProp83.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91.xml"/><Relationship Id="rId3" Type="http://schemas.openxmlformats.org/officeDocument/2006/relationships/vmlDrawing" Target="../drawings/vmlDrawing17.vml"/><Relationship Id="rId7" Type="http://schemas.openxmlformats.org/officeDocument/2006/relationships/ctrlProp" Target="../ctrlProps/ctrlProp90.xml"/><Relationship Id="rId12" Type="http://schemas.openxmlformats.org/officeDocument/2006/relationships/ctrlProp" Target="../ctrlProps/ctrlProp95.xml"/><Relationship Id="rId2" Type="http://schemas.openxmlformats.org/officeDocument/2006/relationships/drawing" Target="../drawings/drawing18.xml"/><Relationship Id="rId1" Type="http://schemas.openxmlformats.org/officeDocument/2006/relationships/hyperlink" Target="mailto:datamateapp@gmail.com" TargetMode="External"/><Relationship Id="rId6" Type="http://schemas.openxmlformats.org/officeDocument/2006/relationships/ctrlProp" Target="../ctrlProps/ctrlProp89.xml"/><Relationship Id="rId11" Type="http://schemas.openxmlformats.org/officeDocument/2006/relationships/ctrlProp" Target="../ctrlProps/ctrlProp94.xml"/><Relationship Id="rId5" Type="http://schemas.openxmlformats.org/officeDocument/2006/relationships/ctrlProp" Target="../ctrlProps/ctrlProp88.xml"/><Relationship Id="rId10" Type="http://schemas.openxmlformats.org/officeDocument/2006/relationships/ctrlProp" Target="../ctrlProps/ctrlProp93.xml"/><Relationship Id="rId4" Type="http://schemas.openxmlformats.org/officeDocument/2006/relationships/ctrlProp" Target="../ctrlProps/ctrlProp87.xml"/><Relationship Id="rId9" Type="http://schemas.openxmlformats.org/officeDocument/2006/relationships/ctrlProp" Target="../ctrlProps/ctrlProp92.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100.xml"/><Relationship Id="rId3" Type="http://schemas.openxmlformats.org/officeDocument/2006/relationships/vmlDrawing" Target="../drawings/vmlDrawing18.vml"/><Relationship Id="rId7" Type="http://schemas.openxmlformats.org/officeDocument/2006/relationships/ctrlProp" Target="../ctrlProps/ctrlProp99.xml"/><Relationship Id="rId12" Type="http://schemas.openxmlformats.org/officeDocument/2006/relationships/ctrlProp" Target="../ctrlProps/ctrlProp104.xml"/><Relationship Id="rId2" Type="http://schemas.openxmlformats.org/officeDocument/2006/relationships/drawing" Target="../drawings/drawing19.xml"/><Relationship Id="rId1" Type="http://schemas.openxmlformats.org/officeDocument/2006/relationships/hyperlink" Target="mailto:datamateapp@gmail.com" TargetMode="External"/><Relationship Id="rId6" Type="http://schemas.openxmlformats.org/officeDocument/2006/relationships/ctrlProp" Target="../ctrlProps/ctrlProp98.xml"/><Relationship Id="rId11" Type="http://schemas.openxmlformats.org/officeDocument/2006/relationships/ctrlProp" Target="../ctrlProps/ctrlProp103.xml"/><Relationship Id="rId5" Type="http://schemas.openxmlformats.org/officeDocument/2006/relationships/ctrlProp" Target="../ctrlProps/ctrlProp97.xml"/><Relationship Id="rId10" Type="http://schemas.openxmlformats.org/officeDocument/2006/relationships/ctrlProp" Target="../ctrlProps/ctrlProp102.xml"/><Relationship Id="rId4" Type="http://schemas.openxmlformats.org/officeDocument/2006/relationships/ctrlProp" Target="../ctrlProps/ctrlProp96.xml"/><Relationship Id="rId9" Type="http://schemas.openxmlformats.org/officeDocument/2006/relationships/ctrlProp" Target="../ctrlProps/ctrlProp101.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109.xml"/><Relationship Id="rId3" Type="http://schemas.openxmlformats.org/officeDocument/2006/relationships/vmlDrawing" Target="../drawings/vmlDrawing19.vml"/><Relationship Id="rId7" Type="http://schemas.openxmlformats.org/officeDocument/2006/relationships/ctrlProp" Target="../ctrlProps/ctrlProp108.xml"/><Relationship Id="rId12" Type="http://schemas.openxmlformats.org/officeDocument/2006/relationships/ctrlProp" Target="../ctrlProps/ctrlProp113.xml"/><Relationship Id="rId2" Type="http://schemas.openxmlformats.org/officeDocument/2006/relationships/drawing" Target="../drawings/drawing20.xml"/><Relationship Id="rId1" Type="http://schemas.openxmlformats.org/officeDocument/2006/relationships/hyperlink" Target="mailto:datamateapp@gmail.com" TargetMode="External"/><Relationship Id="rId6" Type="http://schemas.openxmlformats.org/officeDocument/2006/relationships/ctrlProp" Target="../ctrlProps/ctrlProp107.xml"/><Relationship Id="rId11" Type="http://schemas.openxmlformats.org/officeDocument/2006/relationships/ctrlProp" Target="../ctrlProps/ctrlProp112.xml"/><Relationship Id="rId5" Type="http://schemas.openxmlformats.org/officeDocument/2006/relationships/ctrlProp" Target="../ctrlProps/ctrlProp106.xml"/><Relationship Id="rId10" Type="http://schemas.openxmlformats.org/officeDocument/2006/relationships/ctrlProp" Target="../ctrlProps/ctrlProp111.xml"/><Relationship Id="rId4" Type="http://schemas.openxmlformats.org/officeDocument/2006/relationships/ctrlProp" Target="../ctrlProps/ctrlProp105.xml"/><Relationship Id="rId9" Type="http://schemas.openxmlformats.org/officeDocument/2006/relationships/ctrlProp" Target="../ctrlProps/ctrlProp110.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118.xml"/><Relationship Id="rId3" Type="http://schemas.openxmlformats.org/officeDocument/2006/relationships/vmlDrawing" Target="../drawings/vmlDrawing20.vml"/><Relationship Id="rId7" Type="http://schemas.openxmlformats.org/officeDocument/2006/relationships/ctrlProp" Target="../ctrlProps/ctrlProp117.xml"/><Relationship Id="rId12" Type="http://schemas.openxmlformats.org/officeDocument/2006/relationships/ctrlProp" Target="../ctrlProps/ctrlProp122.xml"/><Relationship Id="rId2" Type="http://schemas.openxmlformats.org/officeDocument/2006/relationships/drawing" Target="../drawings/drawing21.xml"/><Relationship Id="rId1" Type="http://schemas.openxmlformats.org/officeDocument/2006/relationships/hyperlink" Target="mailto:datamateapp@gmail.com" TargetMode="External"/><Relationship Id="rId6" Type="http://schemas.openxmlformats.org/officeDocument/2006/relationships/ctrlProp" Target="../ctrlProps/ctrlProp116.xml"/><Relationship Id="rId11" Type="http://schemas.openxmlformats.org/officeDocument/2006/relationships/ctrlProp" Target="../ctrlProps/ctrlProp121.xml"/><Relationship Id="rId5" Type="http://schemas.openxmlformats.org/officeDocument/2006/relationships/ctrlProp" Target="../ctrlProps/ctrlProp115.xml"/><Relationship Id="rId10" Type="http://schemas.openxmlformats.org/officeDocument/2006/relationships/ctrlProp" Target="../ctrlProps/ctrlProp120.xml"/><Relationship Id="rId4" Type="http://schemas.openxmlformats.org/officeDocument/2006/relationships/ctrlProp" Target="../ctrlProps/ctrlProp114.xml"/><Relationship Id="rId9" Type="http://schemas.openxmlformats.org/officeDocument/2006/relationships/ctrlProp" Target="../ctrlProps/ctrlProp119.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127.xml"/><Relationship Id="rId3" Type="http://schemas.openxmlformats.org/officeDocument/2006/relationships/vmlDrawing" Target="../drawings/vmlDrawing21.vml"/><Relationship Id="rId7" Type="http://schemas.openxmlformats.org/officeDocument/2006/relationships/ctrlProp" Target="../ctrlProps/ctrlProp126.xml"/><Relationship Id="rId12" Type="http://schemas.openxmlformats.org/officeDocument/2006/relationships/ctrlProp" Target="../ctrlProps/ctrlProp131.xml"/><Relationship Id="rId2" Type="http://schemas.openxmlformats.org/officeDocument/2006/relationships/drawing" Target="../drawings/drawing22.xml"/><Relationship Id="rId1" Type="http://schemas.openxmlformats.org/officeDocument/2006/relationships/hyperlink" Target="mailto:datamateapp@gmail.com" TargetMode="External"/><Relationship Id="rId6" Type="http://schemas.openxmlformats.org/officeDocument/2006/relationships/ctrlProp" Target="../ctrlProps/ctrlProp125.xml"/><Relationship Id="rId11" Type="http://schemas.openxmlformats.org/officeDocument/2006/relationships/ctrlProp" Target="../ctrlProps/ctrlProp130.xml"/><Relationship Id="rId5" Type="http://schemas.openxmlformats.org/officeDocument/2006/relationships/ctrlProp" Target="../ctrlProps/ctrlProp124.xml"/><Relationship Id="rId10" Type="http://schemas.openxmlformats.org/officeDocument/2006/relationships/ctrlProp" Target="../ctrlProps/ctrlProp129.xml"/><Relationship Id="rId4" Type="http://schemas.openxmlformats.org/officeDocument/2006/relationships/ctrlProp" Target="../ctrlProps/ctrlProp123.xml"/><Relationship Id="rId9" Type="http://schemas.openxmlformats.org/officeDocument/2006/relationships/ctrlProp" Target="../ctrlProps/ctrlProp128.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2.vml"/><Relationship Id="rId7" Type="http://schemas.openxmlformats.org/officeDocument/2006/relationships/ctrlProp" Target="../ctrlProps/ctrlProp135.xml"/><Relationship Id="rId2" Type="http://schemas.openxmlformats.org/officeDocument/2006/relationships/drawing" Target="../drawings/drawing23.xml"/><Relationship Id="rId1" Type="http://schemas.openxmlformats.org/officeDocument/2006/relationships/hyperlink" Target="mailto:datamateapp@gmail.com" TargetMode="External"/><Relationship Id="rId6" Type="http://schemas.openxmlformats.org/officeDocument/2006/relationships/ctrlProp" Target="../ctrlProps/ctrlProp134.xml"/><Relationship Id="rId5" Type="http://schemas.openxmlformats.org/officeDocument/2006/relationships/ctrlProp" Target="../ctrlProps/ctrlProp133.xml"/><Relationship Id="rId4" Type="http://schemas.openxmlformats.org/officeDocument/2006/relationships/ctrlProp" Target="../ctrlProps/ctrlProp132.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36.xml"/><Relationship Id="rId2" Type="http://schemas.openxmlformats.org/officeDocument/2006/relationships/vmlDrawing" Target="../drawings/vmlDrawing23.vml"/><Relationship Id="rId1" Type="http://schemas.openxmlformats.org/officeDocument/2006/relationships/drawing" Target="../drawings/drawing24.xml"/><Relationship Id="rId5" Type="http://schemas.openxmlformats.org/officeDocument/2006/relationships/ctrlProp" Target="../ctrlProps/ctrlProp138.xml"/><Relationship Id="rId4" Type="http://schemas.openxmlformats.org/officeDocument/2006/relationships/ctrlProp" Target="../ctrlProps/ctrlProp137.xml"/></Relationships>
</file>

<file path=xl/worksheets/_rels/sheet30.xml.rels><?xml version="1.0" encoding="UTF-8" standalone="yes"?>
<Relationships xmlns="http://schemas.openxmlformats.org/package/2006/relationships"><Relationship Id="rId3" Type="http://schemas.openxmlformats.org/officeDocument/2006/relationships/ctrlProp" Target="../ctrlProps/ctrlProp139.xml"/><Relationship Id="rId2" Type="http://schemas.openxmlformats.org/officeDocument/2006/relationships/vmlDrawing" Target="../drawings/vmlDrawing24.vml"/><Relationship Id="rId1" Type="http://schemas.openxmlformats.org/officeDocument/2006/relationships/drawing" Target="../drawings/drawing25.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144.xml"/><Relationship Id="rId3" Type="http://schemas.openxmlformats.org/officeDocument/2006/relationships/vmlDrawing" Target="../drawings/vmlDrawing25.vml"/><Relationship Id="rId7" Type="http://schemas.openxmlformats.org/officeDocument/2006/relationships/ctrlProp" Target="../ctrlProps/ctrlProp143.xml"/><Relationship Id="rId12" Type="http://schemas.openxmlformats.org/officeDocument/2006/relationships/ctrlProp" Target="../ctrlProps/ctrlProp148.xml"/><Relationship Id="rId2" Type="http://schemas.openxmlformats.org/officeDocument/2006/relationships/drawing" Target="../drawings/drawing26.xml"/><Relationship Id="rId1" Type="http://schemas.openxmlformats.org/officeDocument/2006/relationships/hyperlink" Target="mailto:datamateapp@gmail.com" TargetMode="External"/><Relationship Id="rId6" Type="http://schemas.openxmlformats.org/officeDocument/2006/relationships/ctrlProp" Target="../ctrlProps/ctrlProp142.xml"/><Relationship Id="rId11" Type="http://schemas.openxmlformats.org/officeDocument/2006/relationships/ctrlProp" Target="../ctrlProps/ctrlProp147.xml"/><Relationship Id="rId5" Type="http://schemas.openxmlformats.org/officeDocument/2006/relationships/ctrlProp" Target="../ctrlProps/ctrlProp141.xml"/><Relationship Id="rId10" Type="http://schemas.openxmlformats.org/officeDocument/2006/relationships/ctrlProp" Target="../ctrlProps/ctrlProp146.xml"/><Relationship Id="rId4" Type="http://schemas.openxmlformats.org/officeDocument/2006/relationships/ctrlProp" Target="../ctrlProps/ctrlProp140.xml"/><Relationship Id="rId9" Type="http://schemas.openxmlformats.org/officeDocument/2006/relationships/ctrlProp" Target="../ctrlProps/ctrlProp145.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153.xml"/><Relationship Id="rId3" Type="http://schemas.openxmlformats.org/officeDocument/2006/relationships/vmlDrawing" Target="../drawings/vmlDrawing26.vml"/><Relationship Id="rId7" Type="http://schemas.openxmlformats.org/officeDocument/2006/relationships/ctrlProp" Target="../ctrlProps/ctrlProp152.xml"/><Relationship Id="rId12" Type="http://schemas.openxmlformats.org/officeDocument/2006/relationships/ctrlProp" Target="../ctrlProps/ctrlProp157.xml"/><Relationship Id="rId2" Type="http://schemas.openxmlformats.org/officeDocument/2006/relationships/drawing" Target="../drawings/drawing27.xml"/><Relationship Id="rId1" Type="http://schemas.openxmlformats.org/officeDocument/2006/relationships/hyperlink" Target="mailto:datamateapp@gmail.com" TargetMode="External"/><Relationship Id="rId6" Type="http://schemas.openxmlformats.org/officeDocument/2006/relationships/ctrlProp" Target="../ctrlProps/ctrlProp151.xml"/><Relationship Id="rId11" Type="http://schemas.openxmlformats.org/officeDocument/2006/relationships/ctrlProp" Target="../ctrlProps/ctrlProp156.xml"/><Relationship Id="rId5" Type="http://schemas.openxmlformats.org/officeDocument/2006/relationships/ctrlProp" Target="../ctrlProps/ctrlProp150.xml"/><Relationship Id="rId10" Type="http://schemas.openxmlformats.org/officeDocument/2006/relationships/ctrlProp" Target="../ctrlProps/ctrlProp155.xml"/><Relationship Id="rId4" Type="http://schemas.openxmlformats.org/officeDocument/2006/relationships/ctrlProp" Target="../ctrlProps/ctrlProp149.xml"/><Relationship Id="rId9" Type="http://schemas.openxmlformats.org/officeDocument/2006/relationships/ctrlProp" Target="../ctrlProps/ctrlProp154.x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162.xml"/><Relationship Id="rId13" Type="http://schemas.openxmlformats.org/officeDocument/2006/relationships/ctrlProp" Target="../ctrlProps/ctrlProp167.xml"/><Relationship Id="rId3" Type="http://schemas.openxmlformats.org/officeDocument/2006/relationships/vmlDrawing" Target="../drawings/vmlDrawing27.vml"/><Relationship Id="rId7" Type="http://schemas.openxmlformats.org/officeDocument/2006/relationships/ctrlProp" Target="../ctrlProps/ctrlProp161.xml"/><Relationship Id="rId12" Type="http://schemas.openxmlformats.org/officeDocument/2006/relationships/ctrlProp" Target="../ctrlProps/ctrlProp166.xml"/><Relationship Id="rId2" Type="http://schemas.openxmlformats.org/officeDocument/2006/relationships/drawing" Target="../drawings/drawing28.xml"/><Relationship Id="rId1" Type="http://schemas.openxmlformats.org/officeDocument/2006/relationships/hyperlink" Target="mailto:datamateapp@gmail.com" TargetMode="External"/><Relationship Id="rId6" Type="http://schemas.openxmlformats.org/officeDocument/2006/relationships/ctrlProp" Target="../ctrlProps/ctrlProp160.xml"/><Relationship Id="rId11" Type="http://schemas.openxmlformats.org/officeDocument/2006/relationships/ctrlProp" Target="../ctrlProps/ctrlProp165.xml"/><Relationship Id="rId5" Type="http://schemas.openxmlformats.org/officeDocument/2006/relationships/ctrlProp" Target="../ctrlProps/ctrlProp159.xml"/><Relationship Id="rId10" Type="http://schemas.openxmlformats.org/officeDocument/2006/relationships/ctrlProp" Target="../ctrlProps/ctrlProp164.xml"/><Relationship Id="rId4" Type="http://schemas.openxmlformats.org/officeDocument/2006/relationships/ctrlProp" Target="../ctrlProps/ctrlProp158.xml"/><Relationship Id="rId9" Type="http://schemas.openxmlformats.org/officeDocument/2006/relationships/ctrlProp" Target="../ctrlProps/ctrlProp163.xml"/><Relationship Id="rId14" Type="http://schemas.openxmlformats.org/officeDocument/2006/relationships/ctrlProp" Target="../ctrlProps/ctrlProp168.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173.xml"/><Relationship Id="rId3" Type="http://schemas.openxmlformats.org/officeDocument/2006/relationships/vmlDrawing" Target="../drawings/vmlDrawing28.vml"/><Relationship Id="rId7" Type="http://schemas.openxmlformats.org/officeDocument/2006/relationships/ctrlProp" Target="../ctrlProps/ctrlProp172.xml"/><Relationship Id="rId12" Type="http://schemas.openxmlformats.org/officeDocument/2006/relationships/ctrlProp" Target="../ctrlProps/ctrlProp177.xml"/><Relationship Id="rId2" Type="http://schemas.openxmlformats.org/officeDocument/2006/relationships/drawing" Target="../drawings/drawing29.xml"/><Relationship Id="rId1" Type="http://schemas.openxmlformats.org/officeDocument/2006/relationships/hyperlink" Target="mailto:datamateapp@gmail.com" TargetMode="External"/><Relationship Id="rId6" Type="http://schemas.openxmlformats.org/officeDocument/2006/relationships/ctrlProp" Target="../ctrlProps/ctrlProp171.xml"/><Relationship Id="rId11" Type="http://schemas.openxmlformats.org/officeDocument/2006/relationships/ctrlProp" Target="../ctrlProps/ctrlProp176.xml"/><Relationship Id="rId5" Type="http://schemas.openxmlformats.org/officeDocument/2006/relationships/ctrlProp" Target="../ctrlProps/ctrlProp170.xml"/><Relationship Id="rId10" Type="http://schemas.openxmlformats.org/officeDocument/2006/relationships/ctrlProp" Target="../ctrlProps/ctrlProp175.xml"/><Relationship Id="rId4" Type="http://schemas.openxmlformats.org/officeDocument/2006/relationships/ctrlProp" Target="../ctrlProps/ctrlProp169.xml"/><Relationship Id="rId9" Type="http://schemas.openxmlformats.org/officeDocument/2006/relationships/ctrlProp" Target="../ctrlProps/ctrlProp174.xml"/></Relationships>
</file>

<file path=xl/worksheets/_rels/sheet36.xml.rels><?xml version="1.0" encoding="UTF-8" standalone="yes"?>
<Relationships xmlns="http://schemas.openxmlformats.org/package/2006/relationships"><Relationship Id="rId8" Type="http://schemas.openxmlformats.org/officeDocument/2006/relationships/ctrlProp" Target="../ctrlProps/ctrlProp182.xml"/><Relationship Id="rId3" Type="http://schemas.openxmlformats.org/officeDocument/2006/relationships/vmlDrawing" Target="../drawings/vmlDrawing29.vml"/><Relationship Id="rId7" Type="http://schemas.openxmlformats.org/officeDocument/2006/relationships/ctrlProp" Target="../ctrlProps/ctrlProp181.xml"/><Relationship Id="rId12" Type="http://schemas.openxmlformats.org/officeDocument/2006/relationships/ctrlProp" Target="../ctrlProps/ctrlProp186.xml"/><Relationship Id="rId2" Type="http://schemas.openxmlformats.org/officeDocument/2006/relationships/drawing" Target="../drawings/drawing30.xml"/><Relationship Id="rId1" Type="http://schemas.openxmlformats.org/officeDocument/2006/relationships/hyperlink" Target="mailto:datamateapp@gmail.com" TargetMode="External"/><Relationship Id="rId6" Type="http://schemas.openxmlformats.org/officeDocument/2006/relationships/ctrlProp" Target="../ctrlProps/ctrlProp180.xml"/><Relationship Id="rId11" Type="http://schemas.openxmlformats.org/officeDocument/2006/relationships/ctrlProp" Target="../ctrlProps/ctrlProp185.xml"/><Relationship Id="rId5" Type="http://schemas.openxmlformats.org/officeDocument/2006/relationships/ctrlProp" Target="../ctrlProps/ctrlProp179.xml"/><Relationship Id="rId10" Type="http://schemas.openxmlformats.org/officeDocument/2006/relationships/ctrlProp" Target="../ctrlProps/ctrlProp184.xml"/><Relationship Id="rId4" Type="http://schemas.openxmlformats.org/officeDocument/2006/relationships/ctrlProp" Target="../ctrlProps/ctrlProp178.xml"/><Relationship Id="rId9" Type="http://schemas.openxmlformats.org/officeDocument/2006/relationships/ctrlProp" Target="../ctrlProps/ctrlProp183.x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191.xml"/><Relationship Id="rId3" Type="http://schemas.openxmlformats.org/officeDocument/2006/relationships/vmlDrawing" Target="../drawings/vmlDrawing30.vml"/><Relationship Id="rId7" Type="http://schemas.openxmlformats.org/officeDocument/2006/relationships/ctrlProp" Target="../ctrlProps/ctrlProp190.xml"/><Relationship Id="rId12" Type="http://schemas.openxmlformats.org/officeDocument/2006/relationships/ctrlProp" Target="../ctrlProps/ctrlProp195.xml"/><Relationship Id="rId2" Type="http://schemas.openxmlformats.org/officeDocument/2006/relationships/drawing" Target="../drawings/drawing31.xml"/><Relationship Id="rId1" Type="http://schemas.openxmlformats.org/officeDocument/2006/relationships/hyperlink" Target="mailto:datamateapp@gmail.com" TargetMode="External"/><Relationship Id="rId6" Type="http://schemas.openxmlformats.org/officeDocument/2006/relationships/ctrlProp" Target="../ctrlProps/ctrlProp189.xml"/><Relationship Id="rId11" Type="http://schemas.openxmlformats.org/officeDocument/2006/relationships/ctrlProp" Target="../ctrlProps/ctrlProp194.xml"/><Relationship Id="rId5" Type="http://schemas.openxmlformats.org/officeDocument/2006/relationships/ctrlProp" Target="../ctrlProps/ctrlProp188.xml"/><Relationship Id="rId10" Type="http://schemas.openxmlformats.org/officeDocument/2006/relationships/ctrlProp" Target="../ctrlProps/ctrlProp193.xml"/><Relationship Id="rId4" Type="http://schemas.openxmlformats.org/officeDocument/2006/relationships/ctrlProp" Target="../ctrlProps/ctrlProp187.xml"/><Relationship Id="rId9" Type="http://schemas.openxmlformats.org/officeDocument/2006/relationships/ctrlProp" Target="../ctrlProps/ctrlProp192.x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200.xml"/><Relationship Id="rId3" Type="http://schemas.openxmlformats.org/officeDocument/2006/relationships/vmlDrawing" Target="../drawings/vmlDrawing31.vml"/><Relationship Id="rId7" Type="http://schemas.openxmlformats.org/officeDocument/2006/relationships/ctrlProp" Target="../ctrlProps/ctrlProp199.xml"/><Relationship Id="rId12" Type="http://schemas.openxmlformats.org/officeDocument/2006/relationships/ctrlProp" Target="../ctrlProps/ctrlProp204.xml"/><Relationship Id="rId2" Type="http://schemas.openxmlformats.org/officeDocument/2006/relationships/drawing" Target="../drawings/drawing32.xml"/><Relationship Id="rId1" Type="http://schemas.openxmlformats.org/officeDocument/2006/relationships/hyperlink" Target="mailto:datamateapp@gmail.com" TargetMode="External"/><Relationship Id="rId6" Type="http://schemas.openxmlformats.org/officeDocument/2006/relationships/ctrlProp" Target="../ctrlProps/ctrlProp198.xml"/><Relationship Id="rId11" Type="http://schemas.openxmlformats.org/officeDocument/2006/relationships/ctrlProp" Target="../ctrlProps/ctrlProp203.xml"/><Relationship Id="rId5" Type="http://schemas.openxmlformats.org/officeDocument/2006/relationships/ctrlProp" Target="../ctrlProps/ctrlProp197.xml"/><Relationship Id="rId10" Type="http://schemas.openxmlformats.org/officeDocument/2006/relationships/ctrlProp" Target="../ctrlProps/ctrlProp202.xml"/><Relationship Id="rId4" Type="http://schemas.openxmlformats.org/officeDocument/2006/relationships/ctrlProp" Target="../ctrlProps/ctrlProp196.xml"/><Relationship Id="rId9" Type="http://schemas.openxmlformats.org/officeDocument/2006/relationships/ctrlProp" Target="../ctrlProps/ctrlProp201.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209.xml"/><Relationship Id="rId3" Type="http://schemas.openxmlformats.org/officeDocument/2006/relationships/vmlDrawing" Target="../drawings/vmlDrawing32.vml"/><Relationship Id="rId7" Type="http://schemas.openxmlformats.org/officeDocument/2006/relationships/ctrlProp" Target="../ctrlProps/ctrlProp208.xml"/><Relationship Id="rId12" Type="http://schemas.openxmlformats.org/officeDocument/2006/relationships/ctrlProp" Target="../ctrlProps/ctrlProp213.xml"/><Relationship Id="rId2" Type="http://schemas.openxmlformats.org/officeDocument/2006/relationships/drawing" Target="../drawings/drawing33.xml"/><Relationship Id="rId1" Type="http://schemas.openxmlformats.org/officeDocument/2006/relationships/hyperlink" Target="mailto:datamateapp@gmail.com" TargetMode="External"/><Relationship Id="rId6" Type="http://schemas.openxmlformats.org/officeDocument/2006/relationships/ctrlProp" Target="../ctrlProps/ctrlProp207.xml"/><Relationship Id="rId11" Type="http://schemas.openxmlformats.org/officeDocument/2006/relationships/ctrlProp" Target="../ctrlProps/ctrlProp212.xml"/><Relationship Id="rId5" Type="http://schemas.openxmlformats.org/officeDocument/2006/relationships/ctrlProp" Target="../ctrlProps/ctrlProp206.xml"/><Relationship Id="rId10" Type="http://schemas.openxmlformats.org/officeDocument/2006/relationships/ctrlProp" Target="../ctrlProps/ctrlProp211.xml"/><Relationship Id="rId4" Type="http://schemas.openxmlformats.org/officeDocument/2006/relationships/ctrlProp" Target="../ctrlProps/ctrlProp205.xml"/><Relationship Id="rId9" Type="http://schemas.openxmlformats.org/officeDocument/2006/relationships/ctrlProp" Target="../ctrlProps/ctrlProp210.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3.vml"/><Relationship Id="rId7" Type="http://schemas.openxmlformats.org/officeDocument/2006/relationships/ctrlProp" Target="../ctrlProps/ctrlProp217.xml"/><Relationship Id="rId2" Type="http://schemas.openxmlformats.org/officeDocument/2006/relationships/drawing" Target="../drawings/drawing34.xml"/><Relationship Id="rId1" Type="http://schemas.openxmlformats.org/officeDocument/2006/relationships/hyperlink" Target="mailto:datamateapp@gmail.com" TargetMode="External"/><Relationship Id="rId6" Type="http://schemas.openxmlformats.org/officeDocument/2006/relationships/ctrlProp" Target="../ctrlProps/ctrlProp216.xml"/><Relationship Id="rId5" Type="http://schemas.openxmlformats.org/officeDocument/2006/relationships/ctrlProp" Target="../ctrlProps/ctrlProp215.xml"/><Relationship Id="rId4" Type="http://schemas.openxmlformats.org/officeDocument/2006/relationships/ctrlProp" Target="../ctrlProps/ctrlProp214.xml"/></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218.xml"/><Relationship Id="rId2" Type="http://schemas.openxmlformats.org/officeDocument/2006/relationships/vmlDrawing" Target="../drawings/vmlDrawing34.vml"/><Relationship Id="rId1" Type="http://schemas.openxmlformats.org/officeDocument/2006/relationships/drawing" Target="../drawings/drawing35.xml"/><Relationship Id="rId5" Type="http://schemas.openxmlformats.org/officeDocument/2006/relationships/ctrlProp" Target="../ctrlProps/ctrlProp220.xml"/><Relationship Id="rId4" Type="http://schemas.openxmlformats.org/officeDocument/2006/relationships/ctrlProp" Target="../ctrlProps/ctrlProp219.xml"/></Relationships>
</file>

<file path=xl/worksheets/_rels/sheet42.xml.rels><?xml version="1.0" encoding="UTF-8" standalone="yes"?>
<Relationships xmlns="http://schemas.openxmlformats.org/package/2006/relationships"><Relationship Id="rId3" Type="http://schemas.openxmlformats.org/officeDocument/2006/relationships/ctrlProp" Target="../ctrlProps/ctrlProp221.xml"/><Relationship Id="rId2" Type="http://schemas.openxmlformats.org/officeDocument/2006/relationships/vmlDrawing" Target="../drawings/vmlDrawing35.vml"/><Relationship Id="rId1" Type="http://schemas.openxmlformats.org/officeDocument/2006/relationships/drawing" Target="../drawings/drawing36.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226.xml"/><Relationship Id="rId3" Type="http://schemas.openxmlformats.org/officeDocument/2006/relationships/vmlDrawing" Target="../drawings/vmlDrawing36.vml"/><Relationship Id="rId7" Type="http://schemas.openxmlformats.org/officeDocument/2006/relationships/ctrlProp" Target="../ctrlProps/ctrlProp225.xml"/><Relationship Id="rId12" Type="http://schemas.openxmlformats.org/officeDocument/2006/relationships/ctrlProp" Target="../ctrlProps/ctrlProp230.xml"/><Relationship Id="rId2" Type="http://schemas.openxmlformats.org/officeDocument/2006/relationships/drawing" Target="../drawings/drawing37.xml"/><Relationship Id="rId1" Type="http://schemas.openxmlformats.org/officeDocument/2006/relationships/hyperlink" Target="mailto:datamateapp@gmail.com" TargetMode="External"/><Relationship Id="rId6" Type="http://schemas.openxmlformats.org/officeDocument/2006/relationships/ctrlProp" Target="../ctrlProps/ctrlProp224.xml"/><Relationship Id="rId11" Type="http://schemas.openxmlformats.org/officeDocument/2006/relationships/ctrlProp" Target="../ctrlProps/ctrlProp229.xml"/><Relationship Id="rId5" Type="http://schemas.openxmlformats.org/officeDocument/2006/relationships/ctrlProp" Target="../ctrlProps/ctrlProp223.xml"/><Relationship Id="rId10" Type="http://schemas.openxmlformats.org/officeDocument/2006/relationships/ctrlProp" Target="../ctrlProps/ctrlProp228.xml"/><Relationship Id="rId4" Type="http://schemas.openxmlformats.org/officeDocument/2006/relationships/ctrlProp" Target="../ctrlProps/ctrlProp222.xml"/><Relationship Id="rId9" Type="http://schemas.openxmlformats.org/officeDocument/2006/relationships/ctrlProp" Target="../ctrlProps/ctrlProp227.xml"/></Relationships>
</file>

<file path=xl/worksheets/_rels/sheet45.xml.rels><?xml version="1.0" encoding="UTF-8" standalone="yes"?>
<Relationships xmlns="http://schemas.openxmlformats.org/package/2006/relationships"><Relationship Id="rId8" Type="http://schemas.openxmlformats.org/officeDocument/2006/relationships/ctrlProp" Target="../ctrlProps/ctrlProp235.xml"/><Relationship Id="rId3" Type="http://schemas.openxmlformats.org/officeDocument/2006/relationships/vmlDrawing" Target="../drawings/vmlDrawing37.vml"/><Relationship Id="rId7" Type="http://schemas.openxmlformats.org/officeDocument/2006/relationships/ctrlProp" Target="../ctrlProps/ctrlProp234.xml"/><Relationship Id="rId12" Type="http://schemas.openxmlformats.org/officeDocument/2006/relationships/ctrlProp" Target="../ctrlProps/ctrlProp239.xml"/><Relationship Id="rId2" Type="http://schemas.openxmlformats.org/officeDocument/2006/relationships/drawing" Target="../drawings/drawing38.xml"/><Relationship Id="rId1" Type="http://schemas.openxmlformats.org/officeDocument/2006/relationships/hyperlink" Target="mailto:datamateapp@gmail.com" TargetMode="External"/><Relationship Id="rId6" Type="http://schemas.openxmlformats.org/officeDocument/2006/relationships/ctrlProp" Target="../ctrlProps/ctrlProp233.xml"/><Relationship Id="rId11" Type="http://schemas.openxmlformats.org/officeDocument/2006/relationships/ctrlProp" Target="../ctrlProps/ctrlProp238.xml"/><Relationship Id="rId5" Type="http://schemas.openxmlformats.org/officeDocument/2006/relationships/ctrlProp" Target="../ctrlProps/ctrlProp232.xml"/><Relationship Id="rId10" Type="http://schemas.openxmlformats.org/officeDocument/2006/relationships/ctrlProp" Target="../ctrlProps/ctrlProp237.xml"/><Relationship Id="rId4" Type="http://schemas.openxmlformats.org/officeDocument/2006/relationships/ctrlProp" Target="../ctrlProps/ctrlProp231.xml"/><Relationship Id="rId9" Type="http://schemas.openxmlformats.org/officeDocument/2006/relationships/ctrlProp" Target="../ctrlProps/ctrlProp236.xml"/></Relationships>
</file>

<file path=xl/worksheets/_rels/sheet46.xml.rels><?xml version="1.0" encoding="UTF-8" standalone="yes"?>
<Relationships xmlns="http://schemas.openxmlformats.org/package/2006/relationships"><Relationship Id="rId8" Type="http://schemas.openxmlformats.org/officeDocument/2006/relationships/ctrlProp" Target="../ctrlProps/ctrlProp244.xml"/><Relationship Id="rId3" Type="http://schemas.openxmlformats.org/officeDocument/2006/relationships/vmlDrawing" Target="../drawings/vmlDrawing38.vml"/><Relationship Id="rId7" Type="http://schemas.openxmlformats.org/officeDocument/2006/relationships/ctrlProp" Target="../ctrlProps/ctrlProp243.xml"/><Relationship Id="rId12" Type="http://schemas.openxmlformats.org/officeDocument/2006/relationships/ctrlProp" Target="../ctrlProps/ctrlProp248.xml"/><Relationship Id="rId2" Type="http://schemas.openxmlformats.org/officeDocument/2006/relationships/drawing" Target="../drawings/drawing39.xml"/><Relationship Id="rId1" Type="http://schemas.openxmlformats.org/officeDocument/2006/relationships/hyperlink" Target="mailto:datamateapp@gmail.com" TargetMode="External"/><Relationship Id="rId6" Type="http://schemas.openxmlformats.org/officeDocument/2006/relationships/ctrlProp" Target="../ctrlProps/ctrlProp242.xml"/><Relationship Id="rId11" Type="http://schemas.openxmlformats.org/officeDocument/2006/relationships/ctrlProp" Target="../ctrlProps/ctrlProp247.xml"/><Relationship Id="rId5" Type="http://schemas.openxmlformats.org/officeDocument/2006/relationships/ctrlProp" Target="../ctrlProps/ctrlProp241.xml"/><Relationship Id="rId10" Type="http://schemas.openxmlformats.org/officeDocument/2006/relationships/ctrlProp" Target="../ctrlProps/ctrlProp246.xml"/><Relationship Id="rId4" Type="http://schemas.openxmlformats.org/officeDocument/2006/relationships/ctrlProp" Target="../ctrlProps/ctrlProp240.xml"/><Relationship Id="rId9" Type="http://schemas.openxmlformats.org/officeDocument/2006/relationships/ctrlProp" Target="../ctrlProps/ctrlProp245.xml"/></Relationships>
</file>

<file path=xl/worksheets/_rels/sheet47.xml.rels><?xml version="1.0" encoding="UTF-8" standalone="yes"?>
<Relationships xmlns="http://schemas.openxmlformats.org/package/2006/relationships"><Relationship Id="rId8" Type="http://schemas.openxmlformats.org/officeDocument/2006/relationships/ctrlProp" Target="../ctrlProps/ctrlProp253.xml"/><Relationship Id="rId3" Type="http://schemas.openxmlformats.org/officeDocument/2006/relationships/vmlDrawing" Target="../drawings/vmlDrawing39.vml"/><Relationship Id="rId7" Type="http://schemas.openxmlformats.org/officeDocument/2006/relationships/ctrlProp" Target="../ctrlProps/ctrlProp252.xml"/><Relationship Id="rId12" Type="http://schemas.openxmlformats.org/officeDocument/2006/relationships/ctrlProp" Target="../ctrlProps/ctrlProp257.xml"/><Relationship Id="rId2" Type="http://schemas.openxmlformats.org/officeDocument/2006/relationships/drawing" Target="../drawings/drawing40.xml"/><Relationship Id="rId1" Type="http://schemas.openxmlformats.org/officeDocument/2006/relationships/hyperlink" Target="mailto:datamateapp@gmail.com" TargetMode="External"/><Relationship Id="rId6" Type="http://schemas.openxmlformats.org/officeDocument/2006/relationships/ctrlProp" Target="../ctrlProps/ctrlProp251.xml"/><Relationship Id="rId11" Type="http://schemas.openxmlformats.org/officeDocument/2006/relationships/ctrlProp" Target="../ctrlProps/ctrlProp256.xml"/><Relationship Id="rId5" Type="http://schemas.openxmlformats.org/officeDocument/2006/relationships/ctrlProp" Target="../ctrlProps/ctrlProp250.xml"/><Relationship Id="rId10" Type="http://schemas.openxmlformats.org/officeDocument/2006/relationships/ctrlProp" Target="../ctrlProps/ctrlProp255.xml"/><Relationship Id="rId4" Type="http://schemas.openxmlformats.org/officeDocument/2006/relationships/ctrlProp" Target="../ctrlProps/ctrlProp249.xml"/><Relationship Id="rId9" Type="http://schemas.openxmlformats.org/officeDocument/2006/relationships/ctrlProp" Target="../ctrlProps/ctrlProp254.xml"/></Relationships>
</file>

<file path=xl/worksheets/_rels/sheet48.xml.rels><?xml version="1.0" encoding="UTF-8" standalone="yes"?>
<Relationships xmlns="http://schemas.openxmlformats.org/package/2006/relationships"><Relationship Id="rId8" Type="http://schemas.openxmlformats.org/officeDocument/2006/relationships/ctrlProp" Target="../ctrlProps/ctrlProp262.xml"/><Relationship Id="rId3" Type="http://schemas.openxmlformats.org/officeDocument/2006/relationships/vmlDrawing" Target="../drawings/vmlDrawing40.vml"/><Relationship Id="rId7" Type="http://schemas.openxmlformats.org/officeDocument/2006/relationships/ctrlProp" Target="../ctrlProps/ctrlProp261.xml"/><Relationship Id="rId12" Type="http://schemas.openxmlformats.org/officeDocument/2006/relationships/ctrlProp" Target="../ctrlProps/ctrlProp266.xml"/><Relationship Id="rId2" Type="http://schemas.openxmlformats.org/officeDocument/2006/relationships/drawing" Target="../drawings/drawing41.xml"/><Relationship Id="rId1" Type="http://schemas.openxmlformats.org/officeDocument/2006/relationships/hyperlink" Target="mailto:datamateapp@gmail.com" TargetMode="External"/><Relationship Id="rId6" Type="http://schemas.openxmlformats.org/officeDocument/2006/relationships/ctrlProp" Target="../ctrlProps/ctrlProp260.xml"/><Relationship Id="rId11" Type="http://schemas.openxmlformats.org/officeDocument/2006/relationships/ctrlProp" Target="../ctrlProps/ctrlProp265.xml"/><Relationship Id="rId5" Type="http://schemas.openxmlformats.org/officeDocument/2006/relationships/ctrlProp" Target="../ctrlProps/ctrlProp259.xml"/><Relationship Id="rId10" Type="http://schemas.openxmlformats.org/officeDocument/2006/relationships/ctrlProp" Target="../ctrlProps/ctrlProp264.xml"/><Relationship Id="rId4" Type="http://schemas.openxmlformats.org/officeDocument/2006/relationships/ctrlProp" Target="../ctrlProps/ctrlProp258.xml"/><Relationship Id="rId9" Type="http://schemas.openxmlformats.org/officeDocument/2006/relationships/ctrlProp" Target="../ctrlProps/ctrlProp263.xml"/></Relationships>
</file>

<file path=xl/worksheets/_rels/sheet49.xml.rels><?xml version="1.0" encoding="UTF-8" standalone="yes"?>
<Relationships xmlns="http://schemas.openxmlformats.org/package/2006/relationships"><Relationship Id="rId8" Type="http://schemas.openxmlformats.org/officeDocument/2006/relationships/ctrlProp" Target="../ctrlProps/ctrlProp271.xml"/><Relationship Id="rId3" Type="http://schemas.openxmlformats.org/officeDocument/2006/relationships/vmlDrawing" Target="../drawings/vmlDrawing41.vml"/><Relationship Id="rId7" Type="http://schemas.openxmlformats.org/officeDocument/2006/relationships/ctrlProp" Target="../ctrlProps/ctrlProp270.xml"/><Relationship Id="rId12" Type="http://schemas.openxmlformats.org/officeDocument/2006/relationships/ctrlProp" Target="../ctrlProps/ctrlProp275.xml"/><Relationship Id="rId2" Type="http://schemas.openxmlformats.org/officeDocument/2006/relationships/drawing" Target="../drawings/drawing42.xml"/><Relationship Id="rId1" Type="http://schemas.openxmlformats.org/officeDocument/2006/relationships/hyperlink" Target="mailto:datamateapp@gmail.com" TargetMode="External"/><Relationship Id="rId6" Type="http://schemas.openxmlformats.org/officeDocument/2006/relationships/ctrlProp" Target="../ctrlProps/ctrlProp269.xml"/><Relationship Id="rId11" Type="http://schemas.openxmlformats.org/officeDocument/2006/relationships/ctrlProp" Target="../ctrlProps/ctrlProp274.xml"/><Relationship Id="rId5" Type="http://schemas.openxmlformats.org/officeDocument/2006/relationships/ctrlProp" Target="../ctrlProps/ctrlProp268.xml"/><Relationship Id="rId10" Type="http://schemas.openxmlformats.org/officeDocument/2006/relationships/ctrlProp" Target="../ctrlProps/ctrlProp273.xml"/><Relationship Id="rId4" Type="http://schemas.openxmlformats.org/officeDocument/2006/relationships/ctrlProp" Target="../ctrlProps/ctrlProp267.xml"/><Relationship Id="rId9" Type="http://schemas.openxmlformats.org/officeDocument/2006/relationships/ctrlProp" Target="../ctrlProps/ctrlProp272.xml"/></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280.xml"/><Relationship Id="rId3" Type="http://schemas.openxmlformats.org/officeDocument/2006/relationships/vmlDrawing" Target="../drawings/vmlDrawing42.vml"/><Relationship Id="rId7" Type="http://schemas.openxmlformats.org/officeDocument/2006/relationships/ctrlProp" Target="../ctrlProps/ctrlProp279.xml"/><Relationship Id="rId12" Type="http://schemas.openxmlformats.org/officeDocument/2006/relationships/ctrlProp" Target="../ctrlProps/ctrlProp284.xml"/><Relationship Id="rId2" Type="http://schemas.openxmlformats.org/officeDocument/2006/relationships/drawing" Target="../drawings/drawing43.xml"/><Relationship Id="rId1" Type="http://schemas.openxmlformats.org/officeDocument/2006/relationships/hyperlink" Target="mailto:datamateapp@gmail.com" TargetMode="External"/><Relationship Id="rId6" Type="http://schemas.openxmlformats.org/officeDocument/2006/relationships/ctrlProp" Target="../ctrlProps/ctrlProp278.xml"/><Relationship Id="rId11" Type="http://schemas.openxmlformats.org/officeDocument/2006/relationships/ctrlProp" Target="../ctrlProps/ctrlProp283.xml"/><Relationship Id="rId5" Type="http://schemas.openxmlformats.org/officeDocument/2006/relationships/ctrlProp" Target="../ctrlProps/ctrlProp277.xml"/><Relationship Id="rId10" Type="http://schemas.openxmlformats.org/officeDocument/2006/relationships/ctrlProp" Target="../ctrlProps/ctrlProp282.xml"/><Relationship Id="rId4" Type="http://schemas.openxmlformats.org/officeDocument/2006/relationships/ctrlProp" Target="../ctrlProps/ctrlProp276.xml"/><Relationship Id="rId9" Type="http://schemas.openxmlformats.org/officeDocument/2006/relationships/ctrlProp" Target="../ctrlProps/ctrlProp281.xml"/></Relationships>
</file>

<file path=xl/worksheets/_rels/sheet51.xml.rels><?xml version="1.0" encoding="UTF-8" standalone="yes"?>
<Relationships xmlns="http://schemas.openxmlformats.org/package/2006/relationships"><Relationship Id="rId8" Type="http://schemas.openxmlformats.org/officeDocument/2006/relationships/ctrlProp" Target="../ctrlProps/ctrlProp289.xml"/><Relationship Id="rId3" Type="http://schemas.openxmlformats.org/officeDocument/2006/relationships/vmlDrawing" Target="../drawings/vmlDrawing43.vml"/><Relationship Id="rId7" Type="http://schemas.openxmlformats.org/officeDocument/2006/relationships/ctrlProp" Target="../ctrlProps/ctrlProp288.xml"/><Relationship Id="rId12" Type="http://schemas.openxmlformats.org/officeDocument/2006/relationships/ctrlProp" Target="../ctrlProps/ctrlProp293.xml"/><Relationship Id="rId2" Type="http://schemas.openxmlformats.org/officeDocument/2006/relationships/drawing" Target="../drawings/drawing44.xml"/><Relationship Id="rId1" Type="http://schemas.openxmlformats.org/officeDocument/2006/relationships/hyperlink" Target="mailto:datamateapp@gmail.com" TargetMode="External"/><Relationship Id="rId6" Type="http://schemas.openxmlformats.org/officeDocument/2006/relationships/ctrlProp" Target="../ctrlProps/ctrlProp287.xml"/><Relationship Id="rId11" Type="http://schemas.openxmlformats.org/officeDocument/2006/relationships/ctrlProp" Target="../ctrlProps/ctrlProp292.xml"/><Relationship Id="rId5" Type="http://schemas.openxmlformats.org/officeDocument/2006/relationships/ctrlProp" Target="../ctrlProps/ctrlProp286.xml"/><Relationship Id="rId10" Type="http://schemas.openxmlformats.org/officeDocument/2006/relationships/ctrlProp" Target="../ctrlProps/ctrlProp291.xml"/><Relationship Id="rId4" Type="http://schemas.openxmlformats.org/officeDocument/2006/relationships/ctrlProp" Target="../ctrlProps/ctrlProp285.xml"/><Relationship Id="rId9" Type="http://schemas.openxmlformats.org/officeDocument/2006/relationships/ctrlProp" Target="../ctrlProps/ctrlProp290.xml"/></Relationships>
</file>

<file path=xl/worksheets/_rels/sheet52.xml.rels><?xml version="1.0" encoding="UTF-8" standalone="yes"?>
<Relationships xmlns="http://schemas.openxmlformats.org/package/2006/relationships"><Relationship Id="rId8" Type="http://schemas.openxmlformats.org/officeDocument/2006/relationships/ctrlProp" Target="../ctrlProps/ctrlProp298.xml"/><Relationship Id="rId3" Type="http://schemas.openxmlformats.org/officeDocument/2006/relationships/vmlDrawing" Target="../drawings/vmlDrawing44.vml"/><Relationship Id="rId7" Type="http://schemas.openxmlformats.org/officeDocument/2006/relationships/ctrlProp" Target="../ctrlProps/ctrlProp297.xml"/><Relationship Id="rId12" Type="http://schemas.openxmlformats.org/officeDocument/2006/relationships/ctrlProp" Target="../ctrlProps/ctrlProp302.xml"/><Relationship Id="rId2" Type="http://schemas.openxmlformats.org/officeDocument/2006/relationships/drawing" Target="../drawings/drawing45.xml"/><Relationship Id="rId1" Type="http://schemas.openxmlformats.org/officeDocument/2006/relationships/hyperlink" Target="mailto:datamateapp@gmail.com" TargetMode="External"/><Relationship Id="rId6" Type="http://schemas.openxmlformats.org/officeDocument/2006/relationships/ctrlProp" Target="../ctrlProps/ctrlProp296.xml"/><Relationship Id="rId11" Type="http://schemas.openxmlformats.org/officeDocument/2006/relationships/ctrlProp" Target="../ctrlProps/ctrlProp301.xml"/><Relationship Id="rId5" Type="http://schemas.openxmlformats.org/officeDocument/2006/relationships/ctrlProp" Target="../ctrlProps/ctrlProp295.xml"/><Relationship Id="rId10" Type="http://schemas.openxmlformats.org/officeDocument/2006/relationships/ctrlProp" Target="../ctrlProps/ctrlProp300.xml"/><Relationship Id="rId4" Type="http://schemas.openxmlformats.org/officeDocument/2006/relationships/ctrlProp" Target="../ctrlProps/ctrlProp294.xml"/><Relationship Id="rId9" Type="http://schemas.openxmlformats.org/officeDocument/2006/relationships/ctrlProp" Target="../ctrlProps/ctrlProp299.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5.vml"/><Relationship Id="rId7" Type="http://schemas.openxmlformats.org/officeDocument/2006/relationships/ctrlProp" Target="../ctrlProps/ctrlProp306.xml"/><Relationship Id="rId2" Type="http://schemas.openxmlformats.org/officeDocument/2006/relationships/drawing" Target="../drawings/drawing46.xml"/><Relationship Id="rId1" Type="http://schemas.openxmlformats.org/officeDocument/2006/relationships/hyperlink" Target="mailto:datamateapp@gmail.com" TargetMode="External"/><Relationship Id="rId6" Type="http://schemas.openxmlformats.org/officeDocument/2006/relationships/ctrlProp" Target="../ctrlProps/ctrlProp305.xml"/><Relationship Id="rId5" Type="http://schemas.openxmlformats.org/officeDocument/2006/relationships/ctrlProp" Target="../ctrlProps/ctrlProp304.xml"/><Relationship Id="rId4" Type="http://schemas.openxmlformats.org/officeDocument/2006/relationships/ctrlProp" Target="../ctrlProps/ctrlProp303.xml"/></Relationships>
</file>

<file path=xl/worksheets/_rels/sheet54.xml.rels><?xml version="1.0" encoding="UTF-8" standalone="yes"?>
<Relationships xmlns="http://schemas.openxmlformats.org/package/2006/relationships"><Relationship Id="rId3" Type="http://schemas.openxmlformats.org/officeDocument/2006/relationships/ctrlProp" Target="../ctrlProps/ctrlProp307.xml"/><Relationship Id="rId2" Type="http://schemas.openxmlformats.org/officeDocument/2006/relationships/vmlDrawing" Target="../drawings/vmlDrawing46.vml"/><Relationship Id="rId1" Type="http://schemas.openxmlformats.org/officeDocument/2006/relationships/drawing" Target="../drawings/drawing47.xml"/><Relationship Id="rId5" Type="http://schemas.openxmlformats.org/officeDocument/2006/relationships/ctrlProp" Target="../ctrlProps/ctrlProp309.xml"/><Relationship Id="rId4" Type="http://schemas.openxmlformats.org/officeDocument/2006/relationships/ctrlProp" Target="../ctrlProps/ctrlProp308.xml"/></Relationships>
</file>

<file path=xl/worksheets/_rels/sheet55.xml.rels><?xml version="1.0" encoding="UTF-8" standalone="yes"?>
<Relationships xmlns="http://schemas.openxmlformats.org/package/2006/relationships"><Relationship Id="rId3" Type="http://schemas.openxmlformats.org/officeDocument/2006/relationships/ctrlProp" Target="../ctrlProps/ctrlProp310.xml"/><Relationship Id="rId2" Type="http://schemas.openxmlformats.org/officeDocument/2006/relationships/vmlDrawing" Target="../drawings/vmlDrawing47.vml"/><Relationship Id="rId1" Type="http://schemas.openxmlformats.org/officeDocument/2006/relationships/drawing" Target="../drawings/drawing48.xml"/></Relationships>
</file>

<file path=xl/worksheets/_rels/sheet57.xml.rels><?xml version="1.0" encoding="UTF-8" standalone="yes"?>
<Relationships xmlns="http://schemas.openxmlformats.org/package/2006/relationships"><Relationship Id="rId8" Type="http://schemas.openxmlformats.org/officeDocument/2006/relationships/ctrlProp" Target="../ctrlProps/ctrlProp315.xml"/><Relationship Id="rId3" Type="http://schemas.openxmlformats.org/officeDocument/2006/relationships/vmlDrawing" Target="../drawings/vmlDrawing48.vml"/><Relationship Id="rId7" Type="http://schemas.openxmlformats.org/officeDocument/2006/relationships/ctrlProp" Target="../ctrlProps/ctrlProp314.xml"/><Relationship Id="rId12" Type="http://schemas.openxmlformats.org/officeDocument/2006/relationships/ctrlProp" Target="../ctrlProps/ctrlProp319.xml"/><Relationship Id="rId2" Type="http://schemas.openxmlformats.org/officeDocument/2006/relationships/drawing" Target="../drawings/drawing49.xml"/><Relationship Id="rId1" Type="http://schemas.openxmlformats.org/officeDocument/2006/relationships/hyperlink" Target="mailto:datamateapp@gmail.com" TargetMode="External"/><Relationship Id="rId6" Type="http://schemas.openxmlformats.org/officeDocument/2006/relationships/ctrlProp" Target="../ctrlProps/ctrlProp313.xml"/><Relationship Id="rId11" Type="http://schemas.openxmlformats.org/officeDocument/2006/relationships/ctrlProp" Target="../ctrlProps/ctrlProp318.xml"/><Relationship Id="rId5" Type="http://schemas.openxmlformats.org/officeDocument/2006/relationships/ctrlProp" Target="../ctrlProps/ctrlProp312.xml"/><Relationship Id="rId10" Type="http://schemas.openxmlformats.org/officeDocument/2006/relationships/ctrlProp" Target="../ctrlProps/ctrlProp317.xml"/><Relationship Id="rId4" Type="http://schemas.openxmlformats.org/officeDocument/2006/relationships/ctrlProp" Target="../ctrlProps/ctrlProp311.xml"/><Relationship Id="rId9" Type="http://schemas.openxmlformats.org/officeDocument/2006/relationships/ctrlProp" Target="../ctrlProps/ctrlProp316.xml"/></Relationships>
</file>

<file path=xl/worksheets/_rels/sheet58.xml.rels><?xml version="1.0" encoding="UTF-8" standalone="yes"?>
<Relationships xmlns="http://schemas.openxmlformats.org/package/2006/relationships"><Relationship Id="rId8" Type="http://schemas.openxmlformats.org/officeDocument/2006/relationships/ctrlProp" Target="../ctrlProps/ctrlProp324.xml"/><Relationship Id="rId3" Type="http://schemas.openxmlformats.org/officeDocument/2006/relationships/vmlDrawing" Target="../drawings/vmlDrawing49.vml"/><Relationship Id="rId7" Type="http://schemas.openxmlformats.org/officeDocument/2006/relationships/ctrlProp" Target="../ctrlProps/ctrlProp323.xml"/><Relationship Id="rId12" Type="http://schemas.openxmlformats.org/officeDocument/2006/relationships/ctrlProp" Target="../ctrlProps/ctrlProp328.xml"/><Relationship Id="rId2" Type="http://schemas.openxmlformats.org/officeDocument/2006/relationships/drawing" Target="../drawings/drawing50.xml"/><Relationship Id="rId1" Type="http://schemas.openxmlformats.org/officeDocument/2006/relationships/hyperlink" Target="mailto:datamateapp@gmail.com" TargetMode="External"/><Relationship Id="rId6" Type="http://schemas.openxmlformats.org/officeDocument/2006/relationships/ctrlProp" Target="../ctrlProps/ctrlProp322.xml"/><Relationship Id="rId11" Type="http://schemas.openxmlformats.org/officeDocument/2006/relationships/ctrlProp" Target="../ctrlProps/ctrlProp327.xml"/><Relationship Id="rId5" Type="http://schemas.openxmlformats.org/officeDocument/2006/relationships/ctrlProp" Target="../ctrlProps/ctrlProp321.xml"/><Relationship Id="rId10" Type="http://schemas.openxmlformats.org/officeDocument/2006/relationships/ctrlProp" Target="../ctrlProps/ctrlProp326.xml"/><Relationship Id="rId4" Type="http://schemas.openxmlformats.org/officeDocument/2006/relationships/ctrlProp" Target="../ctrlProps/ctrlProp320.xml"/><Relationship Id="rId9" Type="http://schemas.openxmlformats.org/officeDocument/2006/relationships/ctrlProp" Target="../ctrlProps/ctrlProp325.xml"/></Relationships>
</file>

<file path=xl/worksheets/_rels/sheet59.xml.rels><?xml version="1.0" encoding="UTF-8" standalone="yes"?>
<Relationships xmlns="http://schemas.openxmlformats.org/package/2006/relationships"><Relationship Id="rId8" Type="http://schemas.openxmlformats.org/officeDocument/2006/relationships/ctrlProp" Target="../ctrlProps/ctrlProp333.xml"/><Relationship Id="rId3" Type="http://schemas.openxmlformats.org/officeDocument/2006/relationships/vmlDrawing" Target="../drawings/vmlDrawing50.vml"/><Relationship Id="rId7" Type="http://schemas.openxmlformats.org/officeDocument/2006/relationships/ctrlProp" Target="../ctrlProps/ctrlProp332.xml"/><Relationship Id="rId12" Type="http://schemas.openxmlformats.org/officeDocument/2006/relationships/ctrlProp" Target="../ctrlProps/ctrlProp337.xml"/><Relationship Id="rId2" Type="http://schemas.openxmlformats.org/officeDocument/2006/relationships/drawing" Target="../drawings/drawing51.xml"/><Relationship Id="rId1" Type="http://schemas.openxmlformats.org/officeDocument/2006/relationships/hyperlink" Target="mailto:datamateapp@gmail.com" TargetMode="External"/><Relationship Id="rId6" Type="http://schemas.openxmlformats.org/officeDocument/2006/relationships/ctrlProp" Target="../ctrlProps/ctrlProp331.xml"/><Relationship Id="rId11" Type="http://schemas.openxmlformats.org/officeDocument/2006/relationships/ctrlProp" Target="../ctrlProps/ctrlProp336.xml"/><Relationship Id="rId5" Type="http://schemas.openxmlformats.org/officeDocument/2006/relationships/ctrlProp" Target="../ctrlProps/ctrlProp330.xml"/><Relationship Id="rId10" Type="http://schemas.openxmlformats.org/officeDocument/2006/relationships/ctrlProp" Target="../ctrlProps/ctrlProp335.xml"/><Relationship Id="rId4" Type="http://schemas.openxmlformats.org/officeDocument/2006/relationships/ctrlProp" Target="../ctrlProps/ctrlProp329.xml"/><Relationship Id="rId9" Type="http://schemas.openxmlformats.org/officeDocument/2006/relationships/ctrlProp" Target="../ctrlProps/ctrlProp334.xml"/></Relationships>
</file>

<file path=xl/worksheets/_rels/sheet60.xml.rels><?xml version="1.0" encoding="UTF-8" standalone="yes"?>
<Relationships xmlns="http://schemas.openxmlformats.org/package/2006/relationships"><Relationship Id="rId8" Type="http://schemas.openxmlformats.org/officeDocument/2006/relationships/ctrlProp" Target="../ctrlProps/ctrlProp342.xml"/><Relationship Id="rId3" Type="http://schemas.openxmlformats.org/officeDocument/2006/relationships/vmlDrawing" Target="../drawings/vmlDrawing51.vml"/><Relationship Id="rId7" Type="http://schemas.openxmlformats.org/officeDocument/2006/relationships/ctrlProp" Target="../ctrlProps/ctrlProp341.xml"/><Relationship Id="rId12" Type="http://schemas.openxmlformats.org/officeDocument/2006/relationships/ctrlProp" Target="../ctrlProps/ctrlProp346.xml"/><Relationship Id="rId2" Type="http://schemas.openxmlformats.org/officeDocument/2006/relationships/drawing" Target="../drawings/drawing52.xml"/><Relationship Id="rId1" Type="http://schemas.openxmlformats.org/officeDocument/2006/relationships/hyperlink" Target="mailto:datamateapp@gmail.com" TargetMode="External"/><Relationship Id="rId6" Type="http://schemas.openxmlformats.org/officeDocument/2006/relationships/ctrlProp" Target="../ctrlProps/ctrlProp340.xml"/><Relationship Id="rId11" Type="http://schemas.openxmlformats.org/officeDocument/2006/relationships/ctrlProp" Target="../ctrlProps/ctrlProp345.xml"/><Relationship Id="rId5" Type="http://schemas.openxmlformats.org/officeDocument/2006/relationships/ctrlProp" Target="../ctrlProps/ctrlProp339.xml"/><Relationship Id="rId10" Type="http://schemas.openxmlformats.org/officeDocument/2006/relationships/ctrlProp" Target="../ctrlProps/ctrlProp344.xml"/><Relationship Id="rId4" Type="http://schemas.openxmlformats.org/officeDocument/2006/relationships/ctrlProp" Target="../ctrlProps/ctrlProp338.xml"/><Relationship Id="rId9" Type="http://schemas.openxmlformats.org/officeDocument/2006/relationships/ctrlProp" Target="../ctrlProps/ctrlProp343.xml"/></Relationships>
</file>

<file path=xl/worksheets/_rels/sheet61.xml.rels><?xml version="1.0" encoding="UTF-8" standalone="yes"?>
<Relationships xmlns="http://schemas.openxmlformats.org/package/2006/relationships"><Relationship Id="rId8" Type="http://schemas.openxmlformats.org/officeDocument/2006/relationships/ctrlProp" Target="../ctrlProps/ctrlProp351.xml"/><Relationship Id="rId3" Type="http://schemas.openxmlformats.org/officeDocument/2006/relationships/vmlDrawing" Target="../drawings/vmlDrawing52.vml"/><Relationship Id="rId7" Type="http://schemas.openxmlformats.org/officeDocument/2006/relationships/ctrlProp" Target="../ctrlProps/ctrlProp350.xml"/><Relationship Id="rId12" Type="http://schemas.openxmlformats.org/officeDocument/2006/relationships/ctrlProp" Target="../ctrlProps/ctrlProp355.xml"/><Relationship Id="rId2" Type="http://schemas.openxmlformats.org/officeDocument/2006/relationships/drawing" Target="../drawings/drawing53.xml"/><Relationship Id="rId1" Type="http://schemas.openxmlformats.org/officeDocument/2006/relationships/hyperlink" Target="mailto:datamateapp@gmail.com" TargetMode="External"/><Relationship Id="rId6" Type="http://schemas.openxmlformats.org/officeDocument/2006/relationships/ctrlProp" Target="../ctrlProps/ctrlProp349.xml"/><Relationship Id="rId11" Type="http://schemas.openxmlformats.org/officeDocument/2006/relationships/ctrlProp" Target="../ctrlProps/ctrlProp354.xml"/><Relationship Id="rId5" Type="http://schemas.openxmlformats.org/officeDocument/2006/relationships/ctrlProp" Target="../ctrlProps/ctrlProp348.xml"/><Relationship Id="rId10" Type="http://schemas.openxmlformats.org/officeDocument/2006/relationships/ctrlProp" Target="../ctrlProps/ctrlProp353.xml"/><Relationship Id="rId4" Type="http://schemas.openxmlformats.org/officeDocument/2006/relationships/ctrlProp" Target="../ctrlProps/ctrlProp347.xml"/><Relationship Id="rId9" Type="http://schemas.openxmlformats.org/officeDocument/2006/relationships/ctrlProp" Target="../ctrlProps/ctrlProp352.xml"/></Relationships>
</file>

<file path=xl/worksheets/_rels/sheet62.xml.rels><?xml version="1.0" encoding="UTF-8" standalone="yes"?>
<Relationships xmlns="http://schemas.openxmlformats.org/package/2006/relationships"><Relationship Id="rId8" Type="http://schemas.openxmlformats.org/officeDocument/2006/relationships/ctrlProp" Target="../ctrlProps/ctrlProp360.xml"/><Relationship Id="rId3" Type="http://schemas.openxmlformats.org/officeDocument/2006/relationships/vmlDrawing" Target="../drawings/vmlDrawing53.vml"/><Relationship Id="rId7" Type="http://schemas.openxmlformats.org/officeDocument/2006/relationships/ctrlProp" Target="../ctrlProps/ctrlProp359.xml"/><Relationship Id="rId2" Type="http://schemas.openxmlformats.org/officeDocument/2006/relationships/drawing" Target="../drawings/drawing54.xml"/><Relationship Id="rId1" Type="http://schemas.openxmlformats.org/officeDocument/2006/relationships/hyperlink" Target="mailto:datamateapp@gmail.com" TargetMode="External"/><Relationship Id="rId6" Type="http://schemas.openxmlformats.org/officeDocument/2006/relationships/ctrlProp" Target="../ctrlProps/ctrlProp358.xml"/><Relationship Id="rId11" Type="http://schemas.openxmlformats.org/officeDocument/2006/relationships/ctrlProp" Target="../ctrlProps/ctrlProp363.xml"/><Relationship Id="rId5" Type="http://schemas.openxmlformats.org/officeDocument/2006/relationships/ctrlProp" Target="../ctrlProps/ctrlProp357.xml"/><Relationship Id="rId10" Type="http://schemas.openxmlformats.org/officeDocument/2006/relationships/ctrlProp" Target="../ctrlProps/ctrlProp362.xml"/><Relationship Id="rId4" Type="http://schemas.openxmlformats.org/officeDocument/2006/relationships/ctrlProp" Target="../ctrlProps/ctrlProp356.xml"/><Relationship Id="rId9" Type="http://schemas.openxmlformats.org/officeDocument/2006/relationships/ctrlProp" Target="../ctrlProps/ctrlProp361.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54.vml"/><Relationship Id="rId7" Type="http://schemas.openxmlformats.org/officeDocument/2006/relationships/ctrlProp" Target="../ctrlProps/ctrlProp367.xml"/><Relationship Id="rId2" Type="http://schemas.openxmlformats.org/officeDocument/2006/relationships/drawing" Target="../drawings/drawing55.xml"/><Relationship Id="rId1" Type="http://schemas.openxmlformats.org/officeDocument/2006/relationships/hyperlink" Target="mailto:datamateapp@gmail.com" TargetMode="External"/><Relationship Id="rId6" Type="http://schemas.openxmlformats.org/officeDocument/2006/relationships/ctrlProp" Target="../ctrlProps/ctrlProp366.xml"/><Relationship Id="rId5" Type="http://schemas.openxmlformats.org/officeDocument/2006/relationships/ctrlProp" Target="../ctrlProps/ctrlProp365.xml"/><Relationship Id="rId4" Type="http://schemas.openxmlformats.org/officeDocument/2006/relationships/ctrlProp" Target="../ctrlProps/ctrlProp364.xml"/></Relationships>
</file>

<file path=xl/worksheets/_rels/sheet64.xml.rels><?xml version="1.0" encoding="UTF-8" standalone="yes"?>
<Relationships xmlns="http://schemas.openxmlformats.org/package/2006/relationships"><Relationship Id="rId3" Type="http://schemas.openxmlformats.org/officeDocument/2006/relationships/ctrlProp" Target="../ctrlProps/ctrlProp368.xml"/><Relationship Id="rId2" Type="http://schemas.openxmlformats.org/officeDocument/2006/relationships/vmlDrawing" Target="../drawings/vmlDrawing55.vml"/><Relationship Id="rId1" Type="http://schemas.openxmlformats.org/officeDocument/2006/relationships/drawing" Target="../drawings/drawing56.xml"/><Relationship Id="rId5" Type="http://schemas.openxmlformats.org/officeDocument/2006/relationships/ctrlProp" Target="../ctrlProps/ctrlProp370.xml"/><Relationship Id="rId4" Type="http://schemas.openxmlformats.org/officeDocument/2006/relationships/ctrlProp" Target="../ctrlProps/ctrlProp369.xml"/></Relationships>
</file>

<file path=xl/worksheets/_rels/sheet65.xml.rels><?xml version="1.0" encoding="UTF-8" standalone="yes"?>
<Relationships xmlns="http://schemas.openxmlformats.org/package/2006/relationships"><Relationship Id="rId3" Type="http://schemas.openxmlformats.org/officeDocument/2006/relationships/ctrlProp" Target="../ctrlProps/ctrlProp371.xml"/><Relationship Id="rId2" Type="http://schemas.openxmlformats.org/officeDocument/2006/relationships/vmlDrawing" Target="../drawings/vmlDrawing56.vml"/><Relationship Id="rId1" Type="http://schemas.openxmlformats.org/officeDocument/2006/relationships/drawing" Target="../drawings/drawing57.xml"/></Relationships>
</file>

<file path=xl/worksheets/_rels/sheet67.xml.rels><?xml version="1.0" encoding="UTF-8" standalone="yes"?>
<Relationships xmlns="http://schemas.openxmlformats.org/package/2006/relationships"><Relationship Id="rId8" Type="http://schemas.openxmlformats.org/officeDocument/2006/relationships/ctrlProp" Target="../ctrlProps/ctrlProp376.xml"/><Relationship Id="rId3" Type="http://schemas.openxmlformats.org/officeDocument/2006/relationships/vmlDrawing" Target="../drawings/vmlDrawing57.vml"/><Relationship Id="rId7" Type="http://schemas.openxmlformats.org/officeDocument/2006/relationships/ctrlProp" Target="../ctrlProps/ctrlProp375.xml"/><Relationship Id="rId12" Type="http://schemas.openxmlformats.org/officeDocument/2006/relationships/ctrlProp" Target="../ctrlProps/ctrlProp380.xml"/><Relationship Id="rId2" Type="http://schemas.openxmlformats.org/officeDocument/2006/relationships/drawing" Target="../drawings/drawing58.xml"/><Relationship Id="rId1" Type="http://schemas.openxmlformats.org/officeDocument/2006/relationships/hyperlink" Target="mailto:datamateapp@gmail.com" TargetMode="External"/><Relationship Id="rId6" Type="http://schemas.openxmlformats.org/officeDocument/2006/relationships/ctrlProp" Target="../ctrlProps/ctrlProp374.xml"/><Relationship Id="rId11" Type="http://schemas.openxmlformats.org/officeDocument/2006/relationships/ctrlProp" Target="../ctrlProps/ctrlProp379.xml"/><Relationship Id="rId5" Type="http://schemas.openxmlformats.org/officeDocument/2006/relationships/ctrlProp" Target="../ctrlProps/ctrlProp373.xml"/><Relationship Id="rId10" Type="http://schemas.openxmlformats.org/officeDocument/2006/relationships/ctrlProp" Target="../ctrlProps/ctrlProp378.xml"/><Relationship Id="rId4" Type="http://schemas.openxmlformats.org/officeDocument/2006/relationships/ctrlProp" Target="../ctrlProps/ctrlProp372.xml"/><Relationship Id="rId9" Type="http://schemas.openxmlformats.org/officeDocument/2006/relationships/ctrlProp" Target="../ctrlProps/ctrlProp377.xml"/></Relationships>
</file>

<file path=xl/worksheets/_rels/sheet68.xml.rels><?xml version="1.0" encoding="UTF-8" standalone="yes"?>
<Relationships xmlns="http://schemas.openxmlformats.org/package/2006/relationships"><Relationship Id="rId8" Type="http://schemas.openxmlformats.org/officeDocument/2006/relationships/ctrlProp" Target="../ctrlProps/ctrlProp385.xml"/><Relationship Id="rId3" Type="http://schemas.openxmlformats.org/officeDocument/2006/relationships/vmlDrawing" Target="../drawings/vmlDrawing58.vml"/><Relationship Id="rId7" Type="http://schemas.openxmlformats.org/officeDocument/2006/relationships/ctrlProp" Target="../ctrlProps/ctrlProp384.xml"/><Relationship Id="rId12" Type="http://schemas.openxmlformats.org/officeDocument/2006/relationships/ctrlProp" Target="../ctrlProps/ctrlProp389.xml"/><Relationship Id="rId2" Type="http://schemas.openxmlformats.org/officeDocument/2006/relationships/drawing" Target="../drawings/drawing59.xml"/><Relationship Id="rId1" Type="http://schemas.openxmlformats.org/officeDocument/2006/relationships/hyperlink" Target="mailto:datamateapp@gmail.com" TargetMode="External"/><Relationship Id="rId6" Type="http://schemas.openxmlformats.org/officeDocument/2006/relationships/ctrlProp" Target="../ctrlProps/ctrlProp383.xml"/><Relationship Id="rId11" Type="http://schemas.openxmlformats.org/officeDocument/2006/relationships/ctrlProp" Target="../ctrlProps/ctrlProp388.xml"/><Relationship Id="rId5" Type="http://schemas.openxmlformats.org/officeDocument/2006/relationships/ctrlProp" Target="../ctrlProps/ctrlProp382.xml"/><Relationship Id="rId10" Type="http://schemas.openxmlformats.org/officeDocument/2006/relationships/ctrlProp" Target="../ctrlProps/ctrlProp387.xml"/><Relationship Id="rId4" Type="http://schemas.openxmlformats.org/officeDocument/2006/relationships/ctrlProp" Target="../ctrlProps/ctrlProp381.xml"/><Relationship Id="rId9" Type="http://schemas.openxmlformats.org/officeDocument/2006/relationships/ctrlProp" Target="../ctrlProps/ctrlProp386.xml"/></Relationships>
</file>

<file path=xl/worksheets/_rels/sheet69.xml.rels><?xml version="1.0" encoding="UTF-8" standalone="yes"?>
<Relationships xmlns="http://schemas.openxmlformats.org/package/2006/relationships"><Relationship Id="rId8" Type="http://schemas.openxmlformats.org/officeDocument/2006/relationships/ctrlProp" Target="../ctrlProps/ctrlProp394.xml"/><Relationship Id="rId3" Type="http://schemas.openxmlformats.org/officeDocument/2006/relationships/vmlDrawing" Target="../drawings/vmlDrawing59.vml"/><Relationship Id="rId7" Type="http://schemas.openxmlformats.org/officeDocument/2006/relationships/ctrlProp" Target="../ctrlProps/ctrlProp393.xml"/><Relationship Id="rId12" Type="http://schemas.openxmlformats.org/officeDocument/2006/relationships/ctrlProp" Target="../ctrlProps/ctrlProp398.xml"/><Relationship Id="rId2" Type="http://schemas.openxmlformats.org/officeDocument/2006/relationships/drawing" Target="../drawings/drawing60.xml"/><Relationship Id="rId1" Type="http://schemas.openxmlformats.org/officeDocument/2006/relationships/hyperlink" Target="mailto:datamateapp@gmail.com" TargetMode="External"/><Relationship Id="rId6" Type="http://schemas.openxmlformats.org/officeDocument/2006/relationships/ctrlProp" Target="../ctrlProps/ctrlProp392.xml"/><Relationship Id="rId11" Type="http://schemas.openxmlformats.org/officeDocument/2006/relationships/ctrlProp" Target="../ctrlProps/ctrlProp397.xml"/><Relationship Id="rId5" Type="http://schemas.openxmlformats.org/officeDocument/2006/relationships/ctrlProp" Target="../ctrlProps/ctrlProp391.xml"/><Relationship Id="rId10" Type="http://schemas.openxmlformats.org/officeDocument/2006/relationships/ctrlProp" Target="../ctrlProps/ctrlProp396.xml"/><Relationship Id="rId4" Type="http://schemas.openxmlformats.org/officeDocument/2006/relationships/ctrlProp" Target="../ctrlProps/ctrlProp390.xml"/><Relationship Id="rId9" Type="http://schemas.openxmlformats.org/officeDocument/2006/relationships/ctrlProp" Target="../ctrlProps/ctrlProp395.xml"/></Relationships>
</file>

<file path=xl/worksheets/_rels/sheet70.xml.rels><?xml version="1.0" encoding="UTF-8" standalone="yes"?>
<Relationships xmlns="http://schemas.openxmlformats.org/package/2006/relationships"><Relationship Id="rId8" Type="http://schemas.openxmlformats.org/officeDocument/2006/relationships/ctrlProp" Target="../ctrlProps/ctrlProp403.xml"/><Relationship Id="rId3" Type="http://schemas.openxmlformats.org/officeDocument/2006/relationships/vmlDrawing" Target="../drawings/vmlDrawing60.vml"/><Relationship Id="rId7" Type="http://schemas.openxmlformats.org/officeDocument/2006/relationships/ctrlProp" Target="../ctrlProps/ctrlProp402.xml"/><Relationship Id="rId12" Type="http://schemas.openxmlformats.org/officeDocument/2006/relationships/ctrlProp" Target="../ctrlProps/ctrlProp407.xml"/><Relationship Id="rId2" Type="http://schemas.openxmlformats.org/officeDocument/2006/relationships/drawing" Target="../drawings/drawing61.xml"/><Relationship Id="rId1" Type="http://schemas.openxmlformats.org/officeDocument/2006/relationships/hyperlink" Target="mailto:datamateapp@gmail.com" TargetMode="External"/><Relationship Id="rId6" Type="http://schemas.openxmlformats.org/officeDocument/2006/relationships/ctrlProp" Target="../ctrlProps/ctrlProp401.xml"/><Relationship Id="rId11" Type="http://schemas.openxmlformats.org/officeDocument/2006/relationships/ctrlProp" Target="../ctrlProps/ctrlProp406.xml"/><Relationship Id="rId5" Type="http://schemas.openxmlformats.org/officeDocument/2006/relationships/ctrlProp" Target="../ctrlProps/ctrlProp400.xml"/><Relationship Id="rId10" Type="http://schemas.openxmlformats.org/officeDocument/2006/relationships/ctrlProp" Target="../ctrlProps/ctrlProp405.xml"/><Relationship Id="rId4" Type="http://schemas.openxmlformats.org/officeDocument/2006/relationships/ctrlProp" Target="../ctrlProps/ctrlProp399.xml"/><Relationship Id="rId9" Type="http://schemas.openxmlformats.org/officeDocument/2006/relationships/ctrlProp" Target="../ctrlProps/ctrlProp404.xml"/></Relationships>
</file>

<file path=xl/worksheets/_rels/sheet71.xml.rels><?xml version="1.0" encoding="UTF-8" standalone="yes"?>
<Relationships xmlns="http://schemas.openxmlformats.org/package/2006/relationships"><Relationship Id="rId8" Type="http://schemas.openxmlformats.org/officeDocument/2006/relationships/ctrlProp" Target="../ctrlProps/ctrlProp412.xml"/><Relationship Id="rId3" Type="http://schemas.openxmlformats.org/officeDocument/2006/relationships/vmlDrawing" Target="../drawings/vmlDrawing61.vml"/><Relationship Id="rId7" Type="http://schemas.openxmlformats.org/officeDocument/2006/relationships/ctrlProp" Target="../ctrlProps/ctrlProp411.xml"/><Relationship Id="rId12" Type="http://schemas.openxmlformats.org/officeDocument/2006/relationships/ctrlProp" Target="../ctrlProps/ctrlProp416.xml"/><Relationship Id="rId2" Type="http://schemas.openxmlformats.org/officeDocument/2006/relationships/drawing" Target="../drawings/drawing62.xml"/><Relationship Id="rId1" Type="http://schemas.openxmlformats.org/officeDocument/2006/relationships/hyperlink" Target="mailto:datamateapp@gmail.com" TargetMode="External"/><Relationship Id="rId6" Type="http://schemas.openxmlformats.org/officeDocument/2006/relationships/ctrlProp" Target="../ctrlProps/ctrlProp410.xml"/><Relationship Id="rId11" Type="http://schemas.openxmlformats.org/officeDocument/2006/relationships/ctrlProp" Target="../ctrlProps/ctrlProp415.xml"/><Relationship Id="rId5" Type="http://schemas.openxmlformats.org/officeDocument/2006/relationships/ctrlProp" Target="../ctrlProps/ctrlProp409.xml"/><Relationship Id="rId10" Type="http://schemas.openxmlformats.org/officeDocument/2006/relationships/ctrlProp" Target="../ctrlProps/ctrlProp414.xml"/><Relationship Id="rId4" Type="http://schemas.openxmlformats.org/officeDocument/2006/relationships/ctrlProp" Target="../ctrlProps/ctrlProp408.xml"/><Relationship Id="rId9" Type="http://schemas.openxmlformats.org/officeDocument/2006/relationships/ctrlProp" Target="../ctrlProps/ctrlProp413.xml"/></Relationships>
</file>

<file path=xl/worksheets/_rels/sheet72.xml.rels><?xml version="1.0" encoding="UTF-8" standalone="yes"?>
<Relationships xmlns="http://schemas.openxmlformats.org/package/2006/relationships"><Relationship Id="rId8" Type="http://schemas.openxmlformats.org/officeDocument/2006/relationships/ctrlProp" Target="../ctrlProps/ctrlProp421.xml"/><Relationship Id="rId3" Type="http://schemas.openxmlformats.org/officeDocument/2006/relationships/vmlDrawing" Target="../drawings/vmlDrawing62.vml"/><Relationship Id="rId7" Type="http://schemas.openxmlformats.org/officeDocument/2006/relationships/ctrlProp" Target="../ctrlProps/ctrlProp420.xml"/><Relationship Id="rId12" Type="http://schemas.openxmlformats.org/officeDocument/2006/relationships/ctrlProp" Target="../ctrlProps/ctrlProp425.xml"/><Relationship Id="rId2" Type="http://schemas.openxmlformats.org/officeDocument/2006/relationships/drawing" Target="../drawings/drawing63.xml"/><Relationship Id="rId1" Type="http://schemas.openxmlformats.org/officeDocument/2006/relationships/hyperlink" Target="mailto:datamateapp@gmail.com" TargetMode="External"/><Relationship Id="rId6" Type="http://schemas.openxmlformats.org/officeDocument/2006/relationships/ctrlProp" Target="../ctrlProps/ctrlProp419.xml"/><Relationship Id="rId11" Type="http://schemas.openxmlformats.org/officeDocument/2006/relationships/ctrlProp" Target="../ctrlProps/ctrlProp424.xml"/><Relationship Id="rId5" Type="http://schemas.openxmlformats.org/officeDocument/2006/relationships/ctrlProp" Target="../ctrlProps/ctrlProp418.xml"/><Relationship Id="rId10" Type="http://schemas.openxmlformats.org/officeDocument/2006/relationships/ctrlProp" Target="../ctrlProps/ctrlProp423.xml"/><Relationship Id="rId4" Type="http://schemas.openxmlformats.org/officeDocument/2006/relationships/ctrlProp" Target="../ctrlProps/ctrlProp417.xml"/><Relationship Id="rId9" Type="http://schemas.openxmlformats.org/officeDocument/2006/relationships/ctrlProp" Target="../ctrlProps/ctrlProp422.xml"/></Relationships>
</file>

<file path=xl/worksheets/_rels/sheet73.xml.rels><?xml version="1.0" encoding="UTF-8" standalone="yes"?>
<Relationships xmlns="http://schemas.openxmlformats.org/package/2006/relationships"><Relationship Id="rId8" Type="http://schemas.openxmlformats.org/officeDocument/2006/relationships/ctrlProp" Target="../ctrlProps/ctrlProp430.xml"/><Relationship Id="rId3" Type="http://schemas.openxmlformats.org/officeDocument/2006/relationships/vmlDrawing" Target="../drawings/vmlDrawing63.vml"/><Relationship Id="rId7" Type="http://schemas.openxmlformats.org/officeDocument/2006/relationships/ctrlProp" Target="../ctrlProps/ctrlProp429.xml"/><Relationship Id="rId2" Type="http://schemas.openxmlformats.org/officeDocument/2006/relationships/drawing" Target="../drawings/drawing64.xml"/><Relationship Id="rId1" Type="http://schemas.openxmlformats.org/officeDocument/2006/relationships/hyperlink" Target="mailto:datamateapp@gmail.com" TargetMode="External"/><Relationship Id="rId6" Type="http://schemas.openxmlformats.org/officeDocument/2006/relationships/ctrlProp" Target="../ctrlProps/ctrlProp428.xml"/><Relationship Id="rId11" Type="http://schemas.openxmlformats.org/officeDocument/2006/relationships/ctrlProp" Target="../ctrlProps/ctrlProp433.xml"/><Relationship Id="rId5" Type="http://schemas.openxmlformats.org/officeDocument/2006/relationships/ctrlProp" Target="../ctrlProps/ctrlProp427.xml"/><Relationship Id="rId10" Type="http://schemas.openxmlformats.org/officeDocument/2006/relationships/ctrlProp" Target="../ctrlProps/ctrlProp432.xml"/><Relationship Id="rId4" Type="http://schemas.openxmlformats.org/officeDocument/2006/relationships/ctrlProp" Target="../ctrlProps/ctrlProp426.xml"/><Relationship Id="rId9" Type="http://schemas.openxmlformats.org/officeDocument/2006/relationships/ctrlProp" Target="../ctrlProps/ctrlProp431.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64.vml"/><Relationship Id="rId7" Type="http://schemas.openxmlformats.org/officeDocument/2006/relationships/ctrlProp" Target="../ctrlProps/ctrlProp437.xml"/><Relationship Id="rId2" Type="http://schemas.openxmlformats.org/officeDocument/2006/relationships/drawing" Target="../drawings/drawing65.xml"/><Relationship Id="rId1" Type="http://schemas.openxmlformats.org/officeDocument/2006/relationships/hyperlink" Target="mailto:datamateapp@gmail.com" TargetMode="External"/><Relationship Id="rId6" Type="http://schemas.openxmlformats.org/officeDocument/2006/relationships/ctrlProp" Target="../ctrlProps/ctrlProp436.xml"/><Relationship Id="rId5" Type="http://schemas.openxmlformats.org/officeDocument/2006/relationships/ctrlProp" Target="../ctrlProps/ctrlProp435.xml"/><Relationship Id="rId4" Type="http://schemas.openxmlformats.org/officeDocument/2006/relationships/ctrlProp" Target="../ctrlProps/ctrlProp434.xml"/></Relationships>
</file>

<file path=xl/worksheets/_rels/sheet75.xml.rels><?xml version="1.0" encoding="UTF-8" standalone="yes"?>
<Relationships xmlns="http://schemas.openxmlformats.org/package/2006/relationships"><Relationship Id="rId3" Type="http://schemas.openxmlformats.org/officeDocument/2006/relationships/ctrlProp" Target="../ctrlProps/ctrlProp438.xml"/><Relationship Id="rId2" Type="http://schemas.openxmlformats.org/officeDocument/2006/relationships/vmlDrawing" Target="../drawings/vmlDrawing65.vml"/><Relationship Id="rId1" Type="http://schemas.openxmlformats.org/officeDocument/2006/relationships/drawing" Target="../drawings/drawing66.xml"/><Relationship Id="rId5" Type="http://schemas.openxmlformats.org/officeDocument/2006/relationships/ctrlProp" Target="../ctrlProps/ctrlProp440.xml"/><Relationship Id="rId4" Type="http://schemas.openxmlformats.org/officeDocument/2006/relationships/ctrlProp" Target="../ctrlProps/ctrlProp439.xml"/></Relationships>
</file>

<file path=xl/worksheets/_rels/sheet76.xml.rels><?xml version="1.0" encoding="UTF-8" standalone="yes"?>
<Relationships xmlns="http://schemas.openxmlformats.org/package/2006/relationships"><Relationship Id="rId3" Type="http://schemas.openxmlformats.org/officeDocument/2006/relationships/ctrlProp" Target="../ctrlProps/ctrlProp441.xml"/><Relationship Id="rId2" Type="http://schemas.openxmlformats.org/officeDocument/2006/relationships/vmlDrawing" Target="../drawings/vmlDrawing66.vml"/><Relationship Id="rId1" Type="http://schemas.openxmlformats.org/officeDocument/2006/relationships/drawing" Target="../drawings/drawing67.xml"/></Relationships>
</file>

<file path=xl/worksheets/_rels/sheet78.xml.rels><?xml version="1.0" encoding="UTF-8" standalone="yes"?>
<Relationships xmlns="http://schemas.openxmlformats.org/package/2006/relationships"><Relationship Id="rId8" Type="http://schemas.openxmlformats.org/officeDocument/2006/relationships/ctrlProp" Target="../ctrlProps/ctrlProp446.xml"/><Relationship Id="rId3" Type="http://schemas.openxmlformats.org/officeDocument/2006/relationships/vmlDrawing" Target="../drawings/vmlDrawing67.vml"/><Relationship Id="rId7" Type="http://schemas.openxmlformats.org/officeDocument/2006/relationships/ctrlProp" Target="../ctrlProps/ctrlProp445.xml"/><Relationship Id="rId12" Type="http://schemas.openxmlformats.org/officeDocument/2006/relationships/ctrlProp" Target="../ctrlProps/ctrlProp450.xml"/><Relationship Id="rId2" Type="http://schemas.openxmlformats.org/officeDocument/2006/relationships/drawing" Target="../drawings/drawing68.xml"/><Relationship Id="rId1" Type="http://schemas.openxmlformats.org/officeDocument/2006/relationships/hyperlink" Target="mailto:datamateapp@gmail.com" TargetMode="External"/><Relationship Id="rId6" Type="http://schemas.openxmlformats.org/officeDocument/2006/relationships/ctrlProp" Target="../ctrlProps/ctrlProp444.xml"/><Relationship Id="rId11" Type="http://schemas.openxmlformats.org/officeDocument/2006/relationships/ctrlProp" Target="../ctrlProps/ctrlProp449.xml"/><Relationship Id="rId5" Type="http://schemas.openxmlformats.org/officeDocument/2006/relationships/ctrlProp" Target="../ctrlProps/ctrlProp443.xml"/><Relationship Id="rId10" Type="http://schemas.openxmlformats.org/officeDocument/2006/relationships/ctrlProp" Target="../ctrlProps/ctrlProp448.xml"/><Relationship Id="rId4" Type="http://schemas.openxmlformats.org/officeDocument/2006/relationships/ctrlProp" Target="../ctrlProps/ctrlProp442.xml"/><Relationship Id="rId9" Type="http://schemas.openxmlformats.org/officeDocument/2006/relationships/ctrlProp" Target="../ctrlProps/ctrlProp447.xml"/></Relationships>
</file>

<file path=xl/worksheets/_rels/sheet79.xml.rels><?xml version="1.0" encoding="UTF-8" standalone="yes"?>
<Relationships xmlns="http://schemas.openxmlformats.org/package/2006/relationships"><Relationship Id="rId8" Type="http://schemas.openxmlformats.org/officeDocument/2006/relationships/ctrlProp" Target="../ctrlProps/ctrlProp455.xml"/><Relationship Id="rId3" Type="http://schemas.openxmlformats.org/officeDocument/2006/relationships/vmlDrawing" Target="../drawings/vmlDrawing68.vml"/><Relationship Id="rId7" Type="http://schemas.openxmlformats.org/officeDocument/2006/relationships/ctrlProp" Target="../ctrlProps/ctrlProp454.xml"/><Relationship Id="rId12" Type="http://schemas.openxmlformats.org/officeDocument/2006/relationships/ctrlProp" Target="../ctrlProps/ctrlProp459.xml"/><Relationship Id="rId2" Type="http://schemas.openxmlformats.org/officeDocument/2006/relationships/drawing" Target="../drawings/drawing69.xml"/><Relationship Id="rId1" Type="http://schemas.openxmlformats.org/officeDocument/2006/relationships/hyperlink" Target="mailto:datamateapp@gmail.com" TargetMode="External"/><Relationship Id="rId6" Type="http://schemas.openxmlformats.org/officeDocument/2006/relationships/ctrlProp" Target="../ctrlProps/ctrlProp453.xml"/><Relationship Id="rId11" Type="http://schemas.openxmlformats.org/officeDocument/2006/relationships/ctrlProp" Target="../ctrlProps/ctrlProp458.xml"/><Relationship Id="rId5" Type="http://schemas.openxmlformats.org/officeDocument/2006/relationships/ctrlProp" Target="../ctrlProps/ctrlProp452.xml"/><Relationship Id="rId10" Type="http://schemas.openxmlformats.org/officeDocument/2006/relationships/ctrlProp" Target="../ctrlProps/ctrlProp457.xml"/><Relationship Id="rId4" Type="http://schemas.openxmlformats.org/officeDocument/2006/relationships/ctrlProp" Target="../ctrlProps/ctrlProp451.xml"/><Relationship Id="rId9" Type="http://schemas.openxmlformats.org/officeDocument/2006/relationships/ctrlProp" Target="../ctrlProps/ctrlProp456.xml"/></Relationships>
</file>

<file path=xl/worksheets/_rels/sheet80.xml.rels><?xml version="1.0" encoding="UTF-8" standalone="yes"?>
<Relationships xmlns="http://schemas.openxmlformats.org/package/2006/relationships"><Relationship Id="rId8" Type="http://schemas.openxmlformats.org/officeDocument/2006/relationships/ctrlProp" Target="../ctrlProps/ctrlProp464.xml"/><Relationship Id="rId3" Type="http://schemas.openxmlformats.org/officeDocument/2006/relationships/vmlDrawing" Target="../drawings/vmlDrawing69.vml"/><Relationship Id="rId7" Type="http://schemas.openxmlformats.org/officeDocument/2006/relationships/ctrlProp" Target="../ctrlProps/ctrlProp463.xml"/><Relationship Id="rId12" Type="http://schemas.openxmlformats.org/officeDocument/2006/relationships/ctrlProp" Target="../ctrlProps/ctrlProp468.xml"/><Relationship Id="rId2" Type="http://schemas.openxmlformats.org/officeDocument/2006/relationships/drawing" Target="../drawings/drawing70.xml"/><Relationship Id="rId1" Type="http://schemas.openxmlformats.org/officeDocument/2006/relationships/hyperlink" Target="mailto:datamateapp@gmail.com" TargetMode="External"/><Relationship Id="rId6" Type="http://schemas.openxmlformats.org/officeDocument/2006/relationships/ctrlProp" Target="../ctrlProps/ctrlProp462.xml"/><Relationship Id="rId11" Type="http://schemas.openxmlformats.org/officeDocument/2006/relationships/ctrlProp" Target="../ctrlProps/ctrlProp467.xml"/><Relationship Id="rId5" Type="http://schemas.openxmlformats.org/officeDocument/2006/relationships/ctrlProp" Target="../ctrlProps/ctrlProp461.xml"/><Relationship Id="rId10" Type="http://schemas.openxmlformats.org/officeDocument/2006/relationships/ctrlProp" Target="../ctrlProps/ctrlProp466.xml"/><Relationship Id="rId4" Type="http://schemas.openxmlformats.org/officeDocument/2006/relationships/ctrlProp" Target="../ctrlProps/ctrlProp460.xml"/><Relationship Id="rId9" Type="http://schemas.openxmlformats.org/officeDocument/2006/relationships/ctrlProp" Target="../ctrlProps/ctrlProp465.xml"/></Relationships>
</file>

<file path=xl/worksheets/_rels/sheet81.xml.rels><?xml version="1.0" encoding="UTF-8" standalone="yes"?>
<Relationships xmlns="http://schemas.openxmlformats.org/package/2006/relationships"><Relationship Id="rId8" Type="http://schemas.openxmlformats.org/officeDocument/2006/relationships/ctrlProp" Target="../ctrlProps/ctrlProp473.xml"/><Relationship Id="rId3" Type="http://schemas.openxmlformats.org/officeDocument/2006/relationships/vmlDrawing" Target="../drawings/vmlDrawing70.vml"/><Relationship Id="rId7" Type="http://schemas.openxmlformats.org/officeDocument/2006/relationships/ctrlProp" Target="../ctrlProps/ctrlProp472.xml"/><Relationship Id="rId12" Type="http://schemas.openxmlformats.org/officeDocument/2006/relationships/ctrlProp" Target="../ctrlProps/ctrlProp477.xml"/><Relationship Id="rId2" Type="http://schemas.openxmlformats.org/officeDocument/2006/relationships/drawing" Target="../drawings/drawing71.xml"/><Relationship Id="rId1" Type="http://schemas.openxmlformats.org/officeDocument/2006/relationships/hyperlink" Target="mailto:datamateapp@gmail.com" TargetMode="External"/><Relationship Id="rId6" Type="http://schemas.openxmlformats.org/officeDocument/2006/relationships/ctrlProp" Target="../ctrlProps/ctrlProp471.xml"/><Relationship Id="rId11" Type="http://schemas.openxmlformats.org/officeDocument/2006/relationships/ctrlProp" Target="../ctrlProps/ctrlProp476.xml"/><Relationship Id="rId5" Type="http://schemas.openxmlformats.org/officeDocument/2006/relationships/ctrlProp" Target="../ctrlProps/ctrlProp470.xml"/><Relationship Id="rId10" Type="http://schemas.openxmlformats.org/officeDocument/2006/relationships/ctrlProp" Target="../ctrlProps/ctrlProp475.xml"/><Relationship Id="rId4" Type="http://schemas.openxmlformats.org/officeDocument/2006/relationships/ctrlProp" Target="../ctrlProps/ctrlProp469.xml"/><Relationship Id="rId9" Type="http://schemas.openxmlformats.org/officeDocument/2006/relationships/ctrlProp" Target="../ctrlProps/ctrlProp474.xml"/></Relationships>
</file>

<file path=xl/worksheets/_rels/sheet82.xml.rels><?xml version="1.0" encoding="UTF-8" standalone="yes"?>
<Relationships xmlns="http://schemas.openxmlformats.org/package/2006/relationships"><Relationship Id="rId8" Type="http://schemas.openxmlformats.org/officeDocument/2006/relationships/ctrlProp" Target="../ctrlProps/ctrlProp482.xml"/><Relationship Id="rId3" Type="http://schemas.openxmlformats.org/officeDocument/2006/relationships/vmlDrawing" Target="../drawings/vmlDrawing71.vml"/><Relationship Id="rId7" Type="http://schemas.openxmlformats.org/officeDocument/2006/relationships/ctrlProp" Target="../ctrlProps/ctrlProp481.xml"/><Relationship Id="rId12" Type="http://schemas.openxmlformats.org/officeDocument/2006/relationships/ctrlProp" Target="../ctrlProps/ctrlProp486.xml"/><Relationship Id="rId2" Type="http://schemas.openxmlformats.org/officeDocument/2006/relationships/drawing" Target="../drawings/drawing72.xml"/><Relationship Id="rId1" Type="http://schemas.openxmlformats.org/officeDocument/2006/relationships/hyperlink" Target="mailto:datamateapp@gmail.com" TargetMode="External"/><Relationship Id="rId6" Type="http://schemas.openxmlformats.org/officeDocument/2006/relationships/ctrlProp" Target="../ctrlProps/ctrlProp480.xml"/><Relationship Id="rId11" Type="http://schemas.openxmlformats.org/officeDocument/2006/relationships/ctrlProp" Target="../ctrlProps/ctrlProp485.xml"/><Relationship Id="rId5" Type="http://schemas.openxmlformats.org/officeDocument/2006/relationships/ctrlProp" Target="../ctrlProps/ctrlProp479.xml"/><Relationship Id="rId10" Type="http://schemas.openxmlformats.org/officeDocument/2006/relationships/ctrlProp" Target="../ctrlProps/ctrlProp484.xml"/><Relationship Id="rId4" Type="http://schemas.openxmlformats.org/officeDocument/2006/relationships/ctrlProp" Target="../ctrlProps/ctrlProp478.xml"/><Relationship Id="rId9" Type="http://schemas.openxmlformats.org/officeDocument/2006/relationships/ctrlProp" Target="../ctrlProps/ctrlProp483.xml"/></Relationships>
</file>

<file path=xl/worksheets/_rels/sheet83.xml.rels><?xml version="1.0" encoding="UTF-8" standalone="yes"?>
<Relationships xmlns="http://schemas.openxmlformats.org/package/2006/relationships"><Relationship Id="rId8" Type="http://schemas.openxmlformats.org/officeDocument/2006/relationships/ctrlProp" Target="../ctrlProps/ctrlProp491.xml"/><Relationship Id="rId3" Type="http://schemas.openxmlformats.org/officeDocument/2006/relationships/vmlDrawing" Target="../drawings/vmlDrawing72.vml"/><Relationship Id="rId7" Type="http://schemas.openxmlformats.org/officeDocument/2006/relationships/ctrlProp" Target="../ctrlProps/ctrlProp490.xml"/><Relationship Id="rId12" Type="http://schemas.openxmlformats.org/officeDocument/2006/relationships/ctrlProp" Target="../ctrlProps/ctrlProp495.xml"/><Relationship Id="rId2" Type="http://schemas.openxmlformats.org/officeDocument/2006/relationships/drawing" Target="../drawings/drawing73.xml"/><Relationship Id="rId1" Type="http://schemas.openxmlformats.org/officeDocument/2006/relationships/hyperlink" Target="mailto:datamateapp@gmail.com" TargetMode="External"/><Relationship Id="rId6" Type="http://schemas.openxmlformats.org/officeDocument/2006/relationships/ctrlProp" Target="../ctrlProps/ctrlProp489.xml"/><Relationship Id="rId11" Type="http://schemas.openxmlformats.org/officeDocument/2006/relationships/ctrlProp" Target="../ctrlProps/ctrlProp494.xml"/><Relationship Id="rId5" Type="http://schemas.openxmlformats.org/officeDocument/2006/relationships/ctrlProp" Target="../ctrlProps/ctrlProp488.xml"/><Relationship Id="rId10" Type="http://schemas.openxmlformats.org/officeDocument/2006/relationships/ctrlProp" Target="../ctrlProps/ctrlProp493.xml"/><Relationship Id="rId4" Type="http://schemas.openxmlformats.org/officeDocument/2006/relationships/ctrlProp" Target="../ctrlProps/ctrlProp487.xml"/><Relationship Id="rId9" Type="http://schemas.openxmlformats.org/officeDocument/2006/relationships/ctrlProp" Target="../ctrlProps/ctrlProp492.xml"/></Relationships>
</file>

<file path=xl/worksheets/_rels/sheet84.xml.rels><?xml version="1.0" encoding="UTF-8" standalone="yes"?>
<Relationships xmlns="http://schemas.openxmlformats.org/package/2006/relationships"><Relationship Id="rId8" Type="http://schemas.openxmlformats.org/officeDocument/2006/relationships/ctrlProp" Target="../ctrlProps/ctrlProp500.xml"/><Relationship Id="rId3" Type="http://schemas.openxmlformats.org/officeDocument/2006/relationships/vmlDrawing" Target="../drawings/vmlDrawing73.vml"/><Relationship Id="rId7" Type="http://schemas.openxmlformats.org/officeDocument/2006/relationships/ctrlProp" Target="../ctrlProps/ctrlProp499.xml"/><Relationship Id="rId12" Type="http://schemas.openxmlformats.org/officeDocument/2006/relationships/ctrlProp" Target="../ctrlProps/ctrlProp504.xml"/><Relationship Id="rId2" Type="http://schemas.openxmlformats.org/officeDocument/2006/relationships/drawing" Target="../drawings/drawing74.xml"/><Relationship Id="rId1" Type="http://schemas.openxmlformats.org/officeDocument/2006/relationships/hyperlink" Target="mailto:datamateapp@gmail.com" TargetMode="External"/><Relationship Id="rId6" Type="http://schemas.openxmlformats.org/officeDocument/2006/relationships/ctrlProp" Target="../ctrlProps/ctrlProp498.xml"/><Relationship Id="rId11" Type="http://schemas.openxmlformats.org/officeDocument/2006/relationships/ctrlProp" Target="../ctrlProps/ctrlProp503.xml"/><Relationship Id="rId5" Type="http://schemas.openxmlformats.org/officeDocument/2006/relationships/ctrlProp" Target="../ctrlProps/ctrlProp497.xml"/><Relationship Id="rId10" Type="http://schemas.openxmlformats.org/officeDocument/2006/relationships/ctrlProp" Target="../ctrlProps/ctrlProp502.xml"/><Relationship Id="rId4" Type="http://schemas.openxmlformats.org/officeDocument/2006/relationships/ctrlProp" Target="../ctrlProps/ctrlProp496.xml"/><Relationship Id="rId9" Type="http://schemas.openxmlformats.org/officeDocument/2006/relationships/ctrlProp" Target="../ctrlProps/ctrlProp501.xml"/></Relationships>
</file>

<file path=xl/worksheets/_rels/sheet85.xml.rels><?xml version="1.0" encoding="UTF-8" standalone="yes"?>
<Relationships xmlns="http://schemas.openxmlformats.org/package/2006/relationships"><Relationship Id="rId8" Type="http://schemas.openxmlformats.org/officeDocument/2006/relationships/ctrlProp" Target="../ctrlProps/ctrlProp509.xml"/><Relationship Id="rId3" Type="http://schemas.openxmlformats.org/officeDocument/2006/relationships/vmlDrawing" Target="../drawings/vmlDrawing74.vml"/><Relationship Id="rId7" Type="http://schemas.openxmlformats.org/officeDocument/2006/relationships/ctrlProp" Target="../ctrlProps/ctrlProp508.xml"/><Relationship Id="rId2" Type="http://schemas.openxmlformats.org/officeDocument/2006/relationships/drawing" Target="../drawings/drawing75.xml"/><Relationship Id="rId1" Type="http://schemas.openxmlformats.org/officeDocument/2006/relationships/hyperlink" Target="mailto:datamateapp@gmail.com" TargetMode="External"/><Relationship Id="rId6" Type="http://schemas.openxmlformats.org/officeDocument/2006/relationships/ctrlProp" Target="../ctrlProps/ctrlProp507.xml"/><Relationship Id="rId11" Type="http://schemas.openxmlformats.org/officeDocument/2006/relationships/ctrlProp" Target="../ctrlProps/ctrlProp512.xml"/><Relationship Id="rId5" Type="http://schemas.openxmlformats.org/officeDocument/2006/relationships/ctrlProp" Target="../ctrlProps/ctrlProp506.xml"/><Relationship Id="rId10" Type="http://schemas.openxmlformats.org/officeDocument/2006/relationships/ctrlProp" Target="../ctrlProps/ctrlProp511.xml"/><Relationship Id="rId4" Type="http://schemas.openxmlformats.org/officeDocument/2006/relationships/ctrlProp" Target="../ctrlProps/ctrlProp505.xml"/><Relationship Id="rId9" Type="http://schemas.openxmlformats.org/officeDocument/2006/relationships/ctrlProp" Target="../ctrlProps/ctrlProp510.xml"/></Relationships>
</file>

<file path=xl/worksheets/_rels/sheet87.xml.rels><?xml version="1.0" encoding="UTF-8" standalone="yes"?>
<Relationships xmlns="http://schemas.openxmlformats.org/package/2006/relationships"><Relationship Id="rId3" Type="http://schemas.openxmlformats.org/officeDocument/2006/relationships/ctrlProp" Target="../ctrlProps/ctrlProp513.xml"/><Relationship Id="rId2" Type="http://schemas.openxmlformats.org/officeDocument/2006/relationships/vmlDrawing" Target="../drawings/vmlDrawing75.vml"/><Relationship Id="rId1" Type="http://schemas.openxmlformats.org/officeDocument/2006/relationships/drawing" Target="../drawings/drawing76.xml"/><Relationship Id="rId5" Type="http://schemas.openxmlformats.org/officeDocument/2006/relationships/ctrlProp" Target="../ctrlProps/ctrlProp515.xml"/><Relationship Id="rId4" Type="http://schemas.openxmlformats.org/officeDocument/2006/relationships/ctrlProp" Target="../ctrlProps/ctrlProp514.xml"/></Relationships>
</file>

<file path=xl/worksheets/_rels/sheet88.xml.rels><?xml version="1.0" encoding="UTF-8" standalone="yes"?>
<Relationships xmlns="http://schemas.openxmlformats.org/package/2006/relationships"><Relationship Id="rId3" Type="http://schemas.openxmlformats.org/officeDocument/2006/relationships/ctrlProp" Target="../ctrlProps/ctrlProp516.xml"/><Relationship Id="rId2" Type="http://schemas.openxmlformats.org/officeDocument/2006/relationships/vmlDrawing" Target="../drawings/vmlDrawing76.vml"/><Relationship Id="rId1" Type="http://schemas.openxmlformats.org/officeDocument/2006/relationships/drawing" Target="../drawings/drawing77.xml"/></Relationships>
</file>

<file path=xl/worksheets/_rels/sheet90.xml.rels><?xml version="1.0" encoding="UTF-8" standalone="yes"?>
<Relationships xmlns="http://schemas.openxmlformats.org/package/2006/relationships"><Relationship Id="rId8" Type="http://schemas.openxmlformats.org/officeDocument/2006/relationships/ctrlProp" Target="../ctrlProps/ctrlProp521.xml"/><Relationship Id="rId3" Type="http://schemas.openxmlformats.org/officeDocument/2006/relationships/vmlDrawing" Target="../drawings/vmlDrawing77.vml"/><Relationship Id="rId7" Type="http://schemas.openxmlformats.org/officeDocument/2006/relationships/ctrlProp" Target="../ctrlProps/ctrlProp520.xml"/><Relationship Id="rId12" Type="http://schemas.openxmlformats.org/officeDocument/2006/relationships/ctrlProp" Target="../ctrlProps/ctrlProp525.xml"/><Relationship Id="rId2" Type="http://schemas.openxmlformats.org/officeDocument/2006/relationships/drawing" Target="../drawings/drawing78.xml"/><Relationship Id="rId1" Type="http://schemas.openxmlformats.org/officeDocument/2006/relationships/hyperlink" Target="mailto:datamateapp@gmail.com" TargetMode="External"/><Relationship Id="rId6" Type="http://schemas.openxmlformats.org/officeDocument/2006/relationships/ctrlProp" Target="../ctrlProps/ctrlProp519.xml"/><Relationship Id="rId11" Type="http://schemas.openxmlformats.org/officeDocument/2006/relationships/ctrlProp" Target="../ctrlProps/ctrlProp524.xml"/><Relationship Id="rId5" Type="http://schemas.openxmlformats.org/officeDocument/2006/relationships/ctrlProp" Target="../ctrlProps/ctrlProp518.xml"/><Relationship Id="rId10" Type="http://schemas.openxmlformats.org/officeDocument/2006/relationships/ctrlProp" Target="../ctrlProps/ctrlProp523.xml"/><Relationship Id="rId4" Type="http://schemas.openxmlformats.org/officeDocument/2006/relationships/ctrlProp" Target="../ctrlProps/ctrlProp517.xml"/><Relationship Id="rId9" Type="http://schemas.openxmlformats.org/officeDocument/2006/relationships/ctrlProp" Target="../ctrlProps/ctrlProp522.xml"/></Relationships>
</file>

<file path=xl/worksheets/_rels/sheet91.xml.rels><?xml version="1.0" encoding="UTF-8" standalone="yes"?>
<Relationships xmlns="http://schemas.openxmlformats.org/package/2006/relationships"><Relationship Id="rId8" Type="http://schemas.openxmlformats.org/officeDocument/2006/relationships/ctrlProp" Target="../ctrlProps/ctrlProp530.xml"/><Relationship Id="rId3" Type="http://schemas.openxmlformats.org/officeDocument/2006/relationships/vmlDrawing" Target="../drawings/vmlDrawing78.vml"/><Relationship Id="rId7" Type="http://schemas.openxmlformats.org/officeDocument/2006/relationships/ctrlProp" Target="../ctrlProps/ctrlProp529.xml"/><Relationship Id="rId12" Type="http://schemas.openxmlformats.org/officeDocument/2006/relationships/ctrlProp" Target="../ctrlProps/ctrlProp534.xml"/><Relationship Id="rId2" Type="http://schemas.openxmlformats.org/officeDocument/2006/relationships/drawing" Target="../drawings/drawing79.xml"/><Relationship Id="rId1" Type="http://schemas.openxmlformats.org/officeDocument/2006/relationships/hyperlink" Target="mailto:datamateapp@gmail.com" TargetMode="External"/><Relationship Id="rId6" Type="http://schemas.openxmlformats.org/officeDocument/2006/relationships/ctrlProp" Target="../ctrlProps/ctrlProp528.xml"/><Relationship Id="rId11" Type="http://schemas.openxmlformats.org/officeDocument/2006/relationships/ctrlProp" Target="../ctrlProps/ctrlProp533.xml"/><Relationship Id="rId5" Type="http://schemas.openxmlformats.org/officeDocument/2006/relationships/ctrlProp" Target="../ctrlProps/ctrlProp527.xml"/><Relationship Id="rId10" Type="http://schemas.openxmlformats.org/officeDocument/2006/relationships/ctrlProp" Target="../ctrlProps/ctrlProp532.xml"/><Relationship Id="rId4" Type="http://schemas.openxmlformats.org/officeDocument/2006/relationships/ctrlProp" Target="../ctrlProps/ctrlProp526.xml"/><Relationship Id="rId9" Type="http://schemas.openxmlformats.org/officeDocument/2006/relationships/ctrlProp" Target="../ctrlProps/ctrlProp531.xml"/></Relationships>
</file>

<file path=xl/worksheets/_rels/sheet92.xml.rels><?xml version="1.0" encoding="UTF-8" standalone="yes"?>
<Relationships xmlns="http://schemas.openxmlformats.org/package/2006/relationships"><Relationship Id="rId8" Type="http://schemas.openxmlformats.org/officeDocument/2006/relationships/ctrlProp" Target="../ctrlProps/ctrlProp539.xml"/><Relationship Id="rId3" Type="http://schemas.openxmlformats.org/officeDocument/2006/relationships/vmlDrawing" Target="../drawings/vmlDrawing79.vml"/><Relationship Id="rId7" Type="http://schemas.openxmlformats.org/officeDocument/2006/relationships/ctrlProp" Target="../ctrlProps/ctrlProp538.xml"/><Relationship Id="rId12" Type="http://schemas.openxmlformats.org/officeDocument/2006/relationships/ctrlProp" Target="../ctrlProps/ctrlProp543.xml"/><Relationship Id="rId2" Type="http://schemas.openxmlformats.org/officeDocument/2006/relationships/drawing" Target="../drawings/drawing80.xml"/><Relationship Id="rId1" Type="http://schemas.openxmlformats.org/officeDocument/2006/relationships/hyperlink" Target="mailto:datamateapp@gmail.com" TargetMode="External"/><Relationship Id="rId6" Type="http://schemas.openxmlformats.org/officeDocument/2006/relationships/ctrlProp" Target="../ctrlProps/ctrlProp537.xml"/><Relationship Id="rId11" Type="http://schemas.openxmlformats.org/officeDocument/2006/relationships/ctrlProp" Target="../ctrlProps/ctrlProp542.xml"/><Relationship Id="rId5" Type="http://schemas.openxmlformats.org/officeDocument/2006/relationships/ctrlProp" Target="../ctrlProps/ctrlProp536.xml"/><Relationship Id="rId10" Type="http://schemas.openxmlformats.org/officeDocument/2006/relationships/ctrlProp" Target="../ctrlProps/ctrlProp541.xml"/><Relationship Id="rId4" Type="http://schemas.openxmlformats.org/officeDocument/2006/relationships/ctrlProp" Target="../ctrlProps/ctrlProp535.xml"/><Relationship Id="rId9" Type="http://schemas.openxmlformats.org/officeDocument/2006/relationships/ctrlProp" Target="../ctrlProps/ctrlProp540.xml"/></Relationships>
</file>

<file path=xl/worksheets/_rels/sheet93.xml.rels><?xml version="1.0" encoding="UTF-8" standalone="yes"?>
<Relationships xmlns="http://schemas.openxmlformats.org/package/2006/relationships"><Relationship Id="rId8" Type="http://schemas.openxmlformats.org/officeDocument/2006/relationships/ctrlProp" Target="../ctrlProps/ctrlProp548.xml"/><Relationship Id="rId3" Type="http://schemas.openxmlformats.org/officeDocument/2006/relationships/vmlDrawing" Target="../drawings/vmlDrawing80.vml"/><Relationship Id="rId7" Type="http://schemas.openxmlformats.org/officeDocument/2006/relationships/ctrlProp" Target="../ctrlProps/ctrlProp547.xml"/><Relationship Id="rId12" Type="http://schemas.openxmlformats.org/officeDocument/2006/relationships/ctrlProp" Target="../ctrlProps/ctrlProp552.xml"/><Relationship Id="rId2" Type="http://schemas.openxmlformats.org/officeDocument/2006/relationships/drawing" Target="../drawings/drawing81.xml"/><Relationship Id="rId1" Type="http://schemas.openxmlformats.org/officeDocument/2006/relationships/hyperlink" Target="mailto:datamateapp@gmail.com" TargetMode="External"/><Relationship Id="rId6" Type="http://schemas.openxmlformats.org/officeDocument/2006/relationships/ctrlProp" Target="../ctrlProps/ctrlProp546.xml"/><Relationship Id="rId11" Type="http://schemas.openxmlformats.org/officeDocument/2006/relationships/ctrlProp" Target="../ctrlProps/ctrlProp551.xml"/><Relationship Id="rId5" Type="http://schemas.openxmlformats.org/officeDocument/2006/relationships/ctrlProp" Target="../ctrlProps/ctrlProp545.xml"/><Relationship Id="rId10" Type="http://schemas.openxmlformats.org/officeDocument/2006/relationships/ctrlProp" Target="../ctrlProps/ctrlProp550.xml"/><Relationship Id="rId4" Type="http://schemas.openxmlformats.org/officeDocument/2006/relationships/ctrlProp" Target="../ctrlProps/ctrlProp544.xml"/><Relationship Id="rId9" Type="http://schemas.openxmlformats.org/officeDocument/2006/relationships/ctrlProp" Target="../ctrlProps/ctrlProp549.xml"/></Relationships>
</file>

<file path=xl/worksheets/_rels/sheet94.xml.rels><?xml version="1.0" encoding="UTF-8" standalone="yes"?>
<Relationships xmlns="http://schemas.openxmlformats.org/package/2006/relationships"><Relationship Id="rId8" Type="http://schemas.openxmlformats.org/officeDocument/2006/relationships/ctrlProp" Target="../ctrlProps/ctrlProp557.xml"/><Relationship Id="rId3" Type="http://schemas.openxmlformats.org/officeDocument/2006/relationships/vmlDrawing" Target="../drawings/vmlDrawing81.vml"/><Relationship Id="rId7" Type="http://schemas.openxmlformats.org/officeDocument/2006/relationships/ctrlProp" Target="../ctrlProps/ctrlProp556.xml"/><Relationship Id="rId12" Type="http://schemas.openxmlformats.org/officeDocument/2006/relationships/ctrlProp" Target="../ctrlProps/ctrlProp561.xml"/><Relationship Id="rId2" Type="http://schemas.openxmlformats.org/officeDocument/2006/relationships/drawing" Target="../drawings/drawing82.xml"/><Relationship Id="rId1" Type="http://schemas.openxmlformats.org/officeDocument/2006/relationships/hyperlink" Target="mailto:datamateapp@gmail.com" TargetMode="External"/><Relationship Id="rId6" Type="http://schemas.openxmlformats.org/officeDocument/2006/relationships/ctrlProp" Target="../ctrlProps/ctrlProp555.xml"/><Relationship Id="rId11" Type="http://schemas.openxmlformats.org/officeDocument/2006/relationships/ctrlProp" Target="../ctrlProps/ctrlProp560.xml"/><Relationship Id="rId5" Type="http://schemas.openxmlformats.org/officeDocument/2006/relationships/ctrlProp" Target="../ctrlProps/ctrlProp554.xml"/><Relationship Id="rId10" Type="http://schemas.openxmlformats.org/officeDocument/2006/relationships/ctrlProp" Target="../ctrlProps/ctrlProp559.xml"/><Relationship Id="rId4" Type="http://schemas.openxmlformats.org/officeDocument/2006/relationships/ctrlProp" Target="../ctrlProps/ctrlProp553.xml"/><Relationship Id="rId9" Type="http://schemas.openxmlformats.org/officeDocument/2006/relationships/ctrlProp" Target="../ctrlProps/ctrlProp558.xml"/></Relationships>
</file>

<file path=xl/worksheets/_rels/sheet95.xml.rels><?xml version="1.0" encoding="UTF-8" standalone="yes"?>
<Relationships xmlns="http://schemas.openxmlformats.org/package/2006/relationships"><Relationship Id="rId8" Type="http://schemas.openxmlformats.org/officeDocument/2006/relationships/ctrlProp" Target="../ctrlProps/ctrlProp566.xml"/><Relationship Id="rId3" Type="http://schemas.openxmlformats.org/officeDocument/2006/relationships/vmlDrawing" Target="../drawings/vmlDrawing82.vml"/><Relationship Id="rId7" Type="http://schemas.openxmlformats.org/officeDocument/2006/relationships/ctrlProp" Target="../ctrlProps/ctrlProp565.xml"/><Relationship Id="rId12" Type="http://schemas.openxmlformats.org/officeDocument/2006/relationships/ctrlProp" Target="../ctrlProps/ctrlProp570.xml"/><Relationship Id="rId2" Type="http://schemas.openxmlformats.org/officeDocument/2006/relationships/drawing" Target="../drawings/drawing83.xml"/><Relationship Id="rId1" Type="http://schemas.openxmlformats.org/officeDocument/2006/relationships/hyperlink" Target="mailto:datamateapp@gmail.com" TargetMode="External"/><Relationship Id="rId6" Type="http://schemas.openxmlformats.org/officeDocument/2006/relationships/ctrlProp" Target="../ctrlProps/ctrlProp564.xml"/><Relationship Id="rId11" Type="http://schemas.openxmlformats.org/officeDocument/2006/relationships/ctrlProp" Target="../ctrlProps/ctrlProp569.xml"/><Relationship Id="rId5" Type="http://schemas.openxmlformats.org/officeDocument/2006/relationships/ctrlProp" Target="../ctrlProps/ctrlProp563.xml"/><Relationship Id="rId10" Type="http://schemas.openxmlformats.org/officeDocument/2006/relationships/ctrlProp" Target="../ctrlProps/ctrlProp568.xml"/><Relationship Id="rId4" Type="http://schemas.openxmlformats.org/officeDocument/2006/relationships/ctrlProp" Target="../ctrlProps/ctrlProp562.xml"/><Relationship Id="rId9" Type="http://schemas.openxmlformats.org/officeDocument/2006/relationships/ctrlProp" Target="../ctrlProps/ctrlProp567.xml"/></Relationships>
</file>

<file path=xl/worksheets/_rels/sheet96.xml.rels><?xml version="1.0" encoding="UTF-8" standalone="yes"?>
<Relationships xmlns="http://schemas.openxmlformats.org/package/2006/relationships"><Relationship Id="rId8" Type="http://schemas.openxmlformats.org/officeDocument/2006/relationships/ctrlProp" Target="../ctrlProps/ctrlProp575.xml"/><Relationship Id="rId3" Type="http://schemas.openxmlformats.org/officeDocument/2006/relationships/vmlDrawing" Target="../drawings/vmlDrawing83.vml"/><Relationship Id="rId7" Type="http://schemas.openxmlformats.org/officeDocument/2006/relationships/ctrlProp" Target="../ctrlProps/ctrlProp574.xml"/><Relationship Id="rId12" Type="http://schemas.openxmlformats.org/officeDocument/2006/relationships/ctrlProp" Target="../ctrlProps/ctrlProp579.xml"/><Relationship Id="rId2" Type="http://schemas.openxmlformats.org/officeDocument/2006/relationships/drawing" Target="../drawings/drawing84.xml"/><Relationship Id="rId1" Type="http://schemas.openxmlformats.org/officeDocument/2006/relationships/hyperlink" Target="mailto:datamateapp@gmail.com" TargetMode="External"/><Relationship Id="rId6" Type="http://schemas.openxmlformats.org/officeDocument/2006/relationships/ctrlProp" Target="../ctrlProps/ctrlProp573.xml"/><Relationship Id="rId11" Type="http://schemas.openxmlformats.org/officeDocument/2006/relationships/ctrlProp" Target="../ctrlProps/ctrlProp578.xml"/><Relationship Id="rId5" Type="http://schemas.openxmlformats.org/officeDocument/2006/relationships/ctrlProp" Target="../ctrlProps/ctrlProp572.xml"/><Relationship Id="rId10" Type="http://schemas.openxmlformats.org/officeDocument/2006/relationships/ctrlProp" Target="../ctrlProps/ctrlProp577.xml"/><Relationship Id="rId4" Type="http://schemas.openxmlformats.org/officeDocument/2006/relationships/ctrlProp" Target="../ctrlProps/ctrlProp571.xml"/><Relationship Id="rId9" Type="http://schemas.openxmlformats.org/officeDocument/2006/relationships/ctrlProp" Target="../ctrlProps/ctrlProp576.xml"/></Relationships>
</file>

<file path=xl/worksheets/_rels/sheet97.xml.rels><?xml version="1.0" encoding="UTF-8" standalone="yes"?>
<Relationships xmlns="http://schemas.openxmlformats.org/package/2006/relationships"><Relationship Id="rId8" Type="http://schemas.openxmlformats.org/officeDocument/2006/relationships/ctrlProp" Target="../ctrlProps/ctrlProp584.xml"/><Relationship Id="rId3" Type="http://schemas.openxmlformats.org/officeDocument/2006/relationships/vmlDrawing" Target="../drawings/vmlDrawing84.vml"/><Relationship Id="rId7" Type="http://schemas.openxmlformats.org/officeDocument/2006/relationships/ctrlProp" Target="../ctrlProps/ctrlProp583.xml"/><Relationship Id="rId12" Type="http://schemas.openxmlformats.org/officeDocument/2006/relationships/ctrlProp" Target="../ctrlProps/ctrlProp588.xml"/><Relationship Id="rId2" Type="http://schemas.openxmlformats.org/officeDocument/2006/relationships/drawing" Target="../drawings/drawing85.xml"/><Relationship Id="rId1" Type="http://schemas.openxmlformats.org/officeDocument/2006/relationships/hyperlink" Target="mailto:datamateapp@gmail.com" TargetMode="External"/><Relationship Id="rId6" Type="http://schemas.openxmlformats.org/officeDocument/2006/relationships/ctrlProp" Target="../ctrlProps/ctrlProp582.xml"/><Relationship Id="rId11" Type="http://schemas.openxmlformats.org/officeDocument/2006/relationships/ctrlProp" Target="../ctrlProps/ctrlProp587.xml"/><Relationship Id="rId5" Type="http://schemas.openxmlformats.org/officeDocument/2006/relationships/ctrlProp" Target="../ctrlProps/ctrlProp581.xml"/><Relationship Id="rId10" Type="http://schemas.openxmlformats.org/officeDocument/2006/relationships/ctrlProp" Target="../ctrlProps/ctrlProp586.xml"/><Relationship Id="rId4" Type="http://schemas.openxmlformats.org/officeDocument/2006/relationships/ctrlProp" Target="../ctrlProps/ctrlProp580.xml"/><Relationship Id="rId9" Type="http://schemas.openxmlformats.org/officeDocument/2006/relationships/ctrlProp" Target="../ctrlProps/ctrlProp585.xml"/></Relationships>
</file>

<file path=xl/worksheets/_rels/sheet98.xml.rels><?xml version="1.0" encoding="UTF-8" standalone="yes"?>
<Relationships xmlns="http://schemas.openxmlformats.org/package/2006/relationships"><Relationship Id="rId8" Type="http://schemas.openxmlformats.org/officeDocument/2006/relationships/ctrlProp" Target="../ctrlProps/ctrlProp593.xml"/><Relationship Id="rId3" Type="http://schemas.openxmlformats.org/officeDocument/2006/relationships/vmlDrawing" Target="../drawings/vmlDrawing85.vml"/><Relationship Id="rId7" Type="http://schemas.openxmlformats.org/officeDocument/2006/relationships/ctrlProp" Target="../ctrlProps/ctrlProp592.xml"/><Relationship Id="rId12" Type="http://schemas.openxmlformats.org/officeDocument/2006/relationships/ctrlProp" Target="../ctrlProps/ctrlProp597.xml"/><Relationship Id="rId2" Type="http://schemas.openxmlformats.org/officeDocument/2006/relationships/drawing" Target="../drawings/drawing86.xml"/><Relationship Id="rId1" Type="http://schemas.openxmlformats.org/officeDocument/2006/relationships/hyperlink" Target="mailto:datamateapp@gmail.com" TargetMode="External"/><Relationship Id="rId6" Type="http://schemas.openxmlformats.org/officeDocument/2006/relationships/ctrlProp" Target="../ctrlProps/ctrlProp591.xml"/><Relationship Id="rId11" Type="http://schemas.openxmlformats.org/officeDocument/2006/relationships/ctrlProp" Target="../ctrlProps/ctrlProp596.xml"/><Relationship Id="rId5" Type="http://schemas.openxmlformats.org/officeDocument/2006/relationships/ctrlProp" Target="../ctrlProps/ctrlProp590.xml"/><Relationship Id="rId10" Type="http://schemas.openxmlformats.org/officeDocument/2006/relationships/ctrlProp" Target="../ctrlProps/ctrlProp595.xml"/><Relationship Id="rId4" Type="http://schemas.openxmlformats.org/officeDocument/2006/relationships/ctrlProp" Target="../ctrlProps/ctrlProp589.xml"/><Relationship Id="rId9" Type="http://schemas.openxmlformats.org/officeDocument/2006/relationships/ctrlProp" Target="../ctrlProps/ctrlProp594.xml"/></Relationships>
</file>

<file path=xl/worksheets/_rels/sheet99.xml.rels><?xml version="1.0" encoding="UTF-8" standalone="yes"?>
<Relationships xmlns="http://schemas.openxmlformats.org/package/2006/relationships"><Relationship Id="rId8" Type="http://schemas.openxmlformats.org/officeDocument/2006/relationships/ctrlProp" Target="../ctrlProps/ctrlProp602.xml"/><Relationship Id="rId3" Type="http://schemas.openxmlformats.org/officeDocument/2006/relationships/vmlDrawing" Target="../drawings/vmlDrawing86.vml"/><Relationship Id="rId7" Type="http://schemas.openxmlformats.org/officeDocument/2006/relationships/ctrlProp" Target="../ctrlProps/ctrlProp601.xml"/><Relationship Id="rId2" Type="http://schemas.openxmlformats.org/officeDocument/2006/relationships/drawing" Target="../drawings/drawing87.xml"/><Relationship Id="rId1" Type="http://schemas.openxmlformats.org/officeDocument/2006/relationships/hyperlink" Target="mailto:datamateapp@gmail.com" TargetMode="External"/><Relationship Id="rId6" Type="http://schemas.openxmlformats.org/officeDocument/2006/relationships/ctrlProp" Target="../ctrlProps/ctrlProp600.xml"/><Relationship Id="rId11" Type="http://schemas.openxmlformats.org/officeDocument/2006/relationships/ctrlProp" Target="../ctrlProps/ctrlProp605.xml"/><Relationship Id="rId5" Type="http://schemas.openxmlformats.org/officeDocument/2006/relationships/ctrlProp" Target="../ctrlProps/ctrlProp599.xml"/><Relationship Id="rId10" Type="http://schemas.openxmlformats.org/officeDocument/2006/relationships/ctrlProp" Target="../ctrlProps/ctrlProp604.xml"/><Relationship Id="rId4" Type="http://schemas.openxmlformats.org/officeDocument/2006/relationships/ctrlProp" Target="../ctrlProps/ctrlProp598.xml"/><Relationship Id="rId9" Type="http://schemas.openxmlformats.org/officeDocument/2006/relationships/ctrlProp" Target="../ctrlProps/ctrlProp603.xml"/></Relationships>
</file>

<file path=xl/worksheets/_rels/sheet100.xml.rels><?xml version="1.0" encoding="UTF-8" standalone="yes"?>
<Relationships xmlns="http://schemas.openxmlformats.org/package/2006/relationships"><Relationship Id="rId3" Type="http://schemas.openxmlformats.org/officeDocument/2006/relationships/vmlDrawing" Target="../drawings/vmlDrawing87.vml"/><Relationship Id="rId7" Type="http://schemas.openxmlformats.org/officeDocument/2006/relationships/ctrlProp" Target="../ctrlProps/ctrlProp609.xml"/><Relationship Id="rId2" Type="http://schemas.openxmlformats.org/officeDocument/2006/relationships/drawing" Target="../drawings/drawing88.xml"/><Relationship Id="rId1" Type="http://schemas.openxmlformats.org/officeDocument/2006/relationships/hyperlink" Target="mailto:datamateapp@gmail.com" TargetMode="External"/><Relationship Id="rId6" Type="http://schemas.openxmlformats.org/officeDocument/2006/relationships/ctrlProp" Target="../ctrlProps/ctrlProp608.xml"/><Relationship Id="rId5" Type="http://schemas.openxmlformats.org/officeDocument/2006/relationships/ctrlProp" Target="../ctrlProps/ctrlProp607.xml"/><Relationship Id="rId4" Type="http://schemas.openxmlformats.org/officeDocument/2006/relationships/ctrlProp" Target="../ctrlProps/ctrlProp606.xml"/></Relationships>
</file>

<file path=xl/worksheets/_rels/sheet101.xml.rels><?xml version="1.0" encoding="UTF-8" standalone="yes"?>
<Relationships xmlns="http://schemas.openxmlformats.org/package/2006/relationships"><Relationship Id="rId3" Type="http://schemas.openxmlformats.org/officeDocument/2006/relationships/ctrlProp" Target="../ctrlProps/ctrlProp610.xml"/><Relationship Id="rId2" Type="http://schemas.openxmlformats.org/officeDocument/2006/relationships/vmlDrawing" Target="../drawings/vmlDrawing88.vml"/><Relationship Id="rId1" Type="http://schemas.openxmlformats.org/officeDocument/2006/relationships/drawing" Target="../drawings/drawing89.xml"/><Relationship Id="rId5" Type="http://schemas.openxmlformats.org/officeDocument/2006/relationships/ctrlProp" Target="../ctrlProps/ctrlProp612.xml"/><Relationship Id="rId4" Type="http://schemas.openxmlformats.org/officeDocument/2006/relationships/ctrlProp" Target="../ctrlProps/ctrlProp611.xml"/></Relationships>
</file>

<file path=xl/worksheets/_rels/sheet102.xml.rels><?xml version="1.0" encoding="UTF-8" standalone="yes"?>
<Relationships xmlns="http://schemas.openxmlformats.org/package/2006/relationships"><Relationship Id="rId3" Type="http://schemas.openxmlformats.org/officeDocument/2006/relationships/ctrlProp" Target="../ctrlProps/ctrlProp613.xml"/><Relationship Id="rId2" Type="http://schemas.openxmlformats.org/officeDocument/2006/relationships/vmlDrawing" Target="../drawings/vmlDrawing89.vml"/><Relationship Id="rId1" Type="http://schemas.openxmlformats.org/officeDocument/2006/relationships/drawing" Target="../drawings/drawing90.xml"/></Relationships>
</file>

<file path=xl/worksheets/_rels/sheet104.xml.rels><?xml version="1.0" encoding="UTF-8" standalone="yes"?>
<Relationships xmlns="http://schemas.openxmlformats.org/package/2006/relationships"><Relationship Id="rId8" Type="http://schemas.openxmlformats.org/officeDocument/2006/relationships/ctrlProp" Target="../ctrlProps/ctrlProp618.xml"/><Relationship Id="rId3" Type="http://schemas.openxmlformats.org/officeDocument/2006/relationships/vmlDrawing" Target="../drawings/vmlDrawing90.vml"/><Relationship Id="rId7" Type="http://schemas.openxmlformats.org/officeDocument/2006/relationships/ctrlProp" Target="../ctrlProps/ctrlProp617.xml"/><Relationship Id="rId12" Type="http://schemas.openxmlformats.org/officeDocument/2006/relationships/ctrlProp" Target="../ctrlProps/ctrlProp622.xml"/><Relationship Id="rId2" Type="http://schemas.openxmlformats.org/officeDocument/2006/relationships/drawing" Target="../drawings/drawing91.xml"/><Relationship Id="rId1" Type="http://schemas.openxmlformats.org/officeDocument/2006/relationships/hyperlink" Target="mailto:datamateapp@gmail.com" TargetMode="External"/><Relationship Id="rId6" Type="http://schemas.openxmlformats.org/officeDocument/2006/relationships/ctrlProp" Target="../ctrlProps/ctrlProp616.xml"/><Relationship Id="rId11" Type="http://schemas.openxmlformats.org/officeDocument/2006/relationships/ctrlProp" Target="../ctrlProps/ctrlProp621.xml"/><Relationship Id="rId5" Type="http://schemas.openxmlformats.org/officeDocument/2006/relationships/ctrlProp" Target="../ctrlProps/ctrlProp615.xml"/><Relationship Id="rId10" Type="http://schemas.openxmlformats.org/officeDocument/2006/relationships/ctrlProp" Target="../ctrlProps/ctrlProp620.xml"/><Relationship Id="rId4" Type="http://schemas.openxmlformats.org/officeDocument/2006/relationships/ctrlProp" Target="../ctrlProps/ctrlProp614.xml"/><Relationship Id="rId9" Type="http://schemas.openxmlformats.org/officeDocument/2006/relationships/ctrlProp" Target="../ctrlProps/ctrlProp619.xml"/></Relationships>
</file>

<file path=xl/worksheets/_rels/sheet105.xml.rels><?xml version="1.0" encoding="UTF-8" standalone="yes"?>
<Relationships xmlns="http://schemas.openxmlformats.org/package/2006/relationships"><Relationship Id="rId8" Type="http://schemas.openxmlformats.org/officeDocument/2006/relationships/ctrlProp" Target="../ctrlProps/ctrlProp627.xml"/><Relationship Id="rId3" Type="http://schemas.openxmlformats.org/officeDocument/2006/relationships/vmlDrawing" Target="../drawings/vmlDrawing91.vml"/><Relationship Id="rId7" Type="http://schemas.openxmlformats.org/officeDocument/2006/relationships/ctrlProp" Target="../ctrlProps/ctrlProp626.xml"/><Relationship Id="rId12" Type="http://schemas.openxmlformats.org/officeDocument/2006/relationships/ctrlProp" Target="../ctrlProps/ctrlProp631.xml"/><Relationship Id="rId2" Type="http://schemas.openxmlformats.org/officeDocument/2006/relationships/drawing" Target="../drawings/drawing92.xml"/><Relationship Id="rId1" Type="http://schemas.openxmlformats.org/officeDocument/2006/relationships/hyperlink" Target="mailto:datamateapp@gmail.com" TargetMode="External"/><Relationship Id="rId6" Type="http://schemas.openxmlformats.org/officeDocument/2006/relationships/ctrlProp" Target="../ctrlProps/ctrlProp625.xml"/><Relationship Id="rId11" Type="http://schemas.openxmlformats.org/officeDocument/2006/relationships/ctrlProp" Target="../ctrlProps/ctrlProp630.xml"/><Relationship Id="rId5" Type="http://schemas.openxmlformats.org/officeDocument/2006/relationships/ctrlProp" Target="../ctrlProps/ctrlProp624.xml"/><Relationship Id="rId10" Type="http://schemas.openxmlformats.org/officeDocument/2006/relationships/ctrlProp" Target="../ctrlProps/ctrlProp629.xml"/><Relationship Id="rId4" Type="http://schemas.openxmlformats.org/officeDocument/2006/relationships/ctrlProp" Target="../ctrlProps/ctrlProp623.xml"/><Relationship Id="rId9" Type="http://schemas.openxmlformats.org/officeDocument/2006/relationships/ctrlProp" Target="../ctrlProps/ctrlProp628.xml"/></Relationships>
</file>

<file path=xl/worksheets/_rels/sheet106.xml.rels><?xml version="1.0" encoding="UTF-8" standalone="yes"?>
<Relationships xmlns="http://schemas.openxmlformats.org/package/2006/relationships"><Relationship Id="rId8" Type="http://schemas.openxmlformats.org/officeDocument/2006/relationships/ctrlProp" Target="../ctrlProps/ctrlProp636.xml"/><Relationship Id="rId3" Type="http://schemas.openxmlformats.org/officeDocument/2006/relationships/vmlDrawing" Target="../drawings/vmlDrawing92.vml"/><Relationship Id="rId7" Type="http://schemas.openxmlformats.org/officeDocument/2006/relationships/ctrlProp" Target="../ctrlProps/ctrlProp635.xml"/><Relationship Id="rId12" Type="http://schemas.openxmlformats.org/officeDocument/2006/relationships/ctrlProp" Target="../ctrlProps/ctrlProp640.xml"/><Relationship Id="rId2" Type="http://schemas.openxmlformats.org/officeDocument/2006/relationships/drawing" Target="../drawings/drawing93.xml"/><Relationship Id="rId1" Type="http://schemas.openxmlformats.org/officeDocument/2006/relationships/hyperlink" Target="mailto:datamateapp@gmail.com" TargetMode="External"/><Relationship Id="rId6" Type="http://schemas.openxmlformats.org/officeDocument/2006/relationships/ctrlProp" Target="../ctrlProps/ctrlProp634.xml"/><Relationship Id="rId11" Type="http://schemas.openxmlformats.org/officeDocument/2006/relationships/ctrlProp" Target="../ctrlProps/ctrlProp639.xml"/><Relationship Id="rId5" Type="http://schemas.openxmlformats.org/officeDocument/2006/relationships/ctrlProp" Target="../ctrlProps/ctrlProp633.xml"/><Relationship Id="rId10" Type="http://schemas.openxmlformats.org/officeDocument/2006/relationships/ctrlProp" Target="../ctrlProps/ctrlProp638.xml"/><Relationship Id="rId4" Type="http://schemas.openxmlformats.org/officeDocument/2006/relationships/ctrlProp" Target="../ctrlProps/ctrlProp632.xml"/><Relationship Id="rId9" Type="http://schemas.openxmlformats.org/officeDocument/2006/relationships/ctrlProp" Target="../ctrlProps/ctrlProp637.xml"/></Relationships>
</file>

<file path=xl/worksheets/_rels/sheet107.xml.rels><?xml version="1.0" encoding="UTF-8" standalone="yes"?>
<Relationships xmlns="http://schemas.openxmlformats.org/package/2006/relationships"><Relationship Id="rId8" Type="http://schemas.openxmlformats.org/officeDocument/2006/relationships/ctrlProp" Target="../ctrlProps/ctrlProp645.xml"/><Relationship Id="rId3" Type="http://schemas.openxmlformats.org/officeDocument/2006/relationships/vmlDrawing" Target="../drawings/vmlDrawing93.vml"/><Relationship Id="rId7" Type="http://schemas.openxmlformats.org/officeDocument/2006/relationships/ctrlProp" Target="../ctrlProps/ctrlProp644.xml"/><Relationship Id="rId12" Type="http://schemas.openxmlformats.org/officeDocument/2006/relationships/ctrlProp" Target="../ctrlProps/ctrlProp649.xml"/><Relationship Id="rId2" Type="http://schemas.openxmlformats.org/officeDocument/2006/relationships/drawing" Target="../drawings/drawing94.xml"/><Relationship Id="rId1" Type="http://schemas.openxmlformats.org/officeDocument/2006/relationships/hyperlink" Target="mailto:datamateapp@gmail.com" TargetMode="External"/><Relationship Id="rId6" Type="http://schemas.openxmlformats.org/officeDocument/2006/relationships/ctrlProp" Target="../ctrlProps/ctrlProp643.xml"/><Relationship Id="rId11" Type="http://schemas.openxmlformats.org/officeDocument/2006/relationships/ctrlProp" Target="../ctrlProps/ctrlProp648.xml"/><Relationship Id="rId5" Type="http://schemas.openxmlformats.org/officeDocument/2006/relationships/ctrlProp" Target="../ctrlProps/ctrlProp642.xml"/><Relationship Id="rId10" Type="http://schemas.openxmlformats.org/officeDocument/2006/relationships/ctrlProp" Target="../ctrlProps/ctrlProp647.xml"/><Relationship Id="rId4" Type="http://schemas.openxmlformats.org/officeDocument/2006/relationships/ctrlProp" Target="../ctrlProps/ctrlProp641.xml"/><Relationship Id="rId9" Type="http://schemas.openxmlformats.org/officeDocument/2006/relationships/ctrlProp" Target="../ctrlProps/ctrlProp646.xml"/></Relationships>
</file>

<file path=xl/worksheets/_rels/sheet108.xml.rels><?xml version="1.0" encoding="UTF-8" standalone="yes"?>
<Relationships xmlns="http://schemas.openxmlformats.org/package/2006/relationships"><Relationship Id="rId8" Type="http://schemas.openxmlformats.org/officeDocument/2006/relationships/ctrlProp" Target="../ctrlProps/ctrlProp654.xml"/><Relationship Id="rId3" Type="http://schemas.openxmlformats.org/officeDocument/2006/relationships/vmlDrawing" Target="../drawings/vmlDrawing94.vml"/><Relationship Id="rId7" Type="http://schemas.openxmlformats.org/officeDocument/2006/relationships/ctrlProp" Target="../ctrlProps/ctrlProp653.xml"/><Relationship Id="rId12" Type="http://schemas.openxmlformats.org/officeDocument/2006/relationships/ctrlProp" Target="../ctrlProps/ctrlProp658.xml"/><Relationship Id="rId2" Type="http://schemas.openxmlformats.org/officeDocument/2006/relationships/drawing" Target="../drawings/drawing95.xml"/><Relationship Id="rId1" Type="http://schemas.openxmlformats.org/officeDocument/2006/relationships/hyperlink" Target="mailto:datamateapp@gmail.com" TargetMode="External"/><Relationship Id="rId6" Type="http://schemas.openxmlformats.org/officeDocument/2006/relationships/ctrlProp" Target="../ctrlProps/ctrlProp652.xml"/><Relationship Id="rId11" Type="http://schemas.openxmlformats.org/officeDocument/2006/relationships/ctrlProp" Target="../ctrlProps/ctrlProp657.xml"/><Relationship Id="rId5" Type="http://schemas.openxmlformats.org/officeDocument/2006/relationships/ctrlProp" Target="../ctrlProps/ctrlProp651.xml"/><Relationship Id="rId10" Type="http://schemas.openxmlformats.org/officeDocument/2006/relationships/ctrlProp" Target="../ctrlProps/ctrlProp656.xml"/><Relationship Id="rId4" Type="http://schemas.openxmlformats.org/officeDocument/2006/relationships/ctrlProp" Target="../ctrlProps/ctrlProp650.xml"/><Relationship Id="rId9" Type="http://schemas.openxmlformats.org/officeDocument/2006/relationships/ctrlProp" Target="../ctrlProps/ctrlProp655.xml"/></Relationships>
</file>

<file path=xl/worksheets/_rels/sheet109.xml.rels><?xml version="1.0" encoding="UTF-8" standalone="yes"?>
<Relationships xmlns="http://schemas.openxmlformats.org/package/2006/relationships"><Relationship Id="rId8" Type="http://schemas.openxmlformats.org/officeDocument/2006/relationships/ctrlProp" Target="../ctrlProps/ctrlProp663.xml"/><Relationship Id="rId3" Type="http://schemas.openxmlformats.org/officeDocument/2006/relationships/vmlDrawing" Target="../drawings/vmlDrawing95.vml"/><Relationship Id="rId7" Type="http://schemas.openxmlformats.org/officeDocument/2006/relationships/ctrlProp" Target="../ctrlProps/ctrlProp662.xml"/><Relationship Id="rId12" Type="http://schemas.openxmlformats.org/officeDocument/2006/relationships/ctrlProp" Target="../ctrlProps/ctrlProp667.xml"/><Relationship Id="rId2" Type="http://schemas.openxmlformats.org/officeDocument/2006/relationships/drawing" Target="../drawings/drawing96.xml"/><Relationship Id="rId1" Type="http://schemas.openxmlformats.org/officeDocument/2006/relationships/hyperlink" Target="mailto:datamateapp@gmail.com" TargetMode="External"/><Relationship Id="rId6" Type="http://schemas.openxmlformats.org/officeDocument/2006/relationships/ctrlProp" Target="../ctrlProps/ctrlProp661.xml"/><Relationship Id="rId11" Type="http://schemas.openxmlformats.org/officeDocument/2006/relationships/ctrlProp" Target="../ctrlProps/ctrlProp666.xml"/><Relationship Id="rId5" Type="http://schemas.openxmlformats.org/officeDocument/2006/relationships/ctrlProp" Target="../ctrlProps/ctrlProp660.xml"/><Relationship Id="rId10" Type="http://schemas.openxmlformats.org/officeDocument/2006/relationships/ctrlProp" Target="../ctrlProps/ctrlProp665.xml"/><Relationship Id="rId4" Type="http://schemas.openxmlformats.org/officeDocument/2006/relationships/ctrlProp" Target="../ctrlProps/ctrlProp659.xml"/><Relationship Id="rId9" Type="http://schemas.openxmlformats.org/officeDocument/2006/relationships/ctrlProp" Target="../ctrlProps/ctrlProp664.xml"/></Relationships>
</file>

<file path=xl/worksheets/_rels/sheet110.xml.rels><?xml version="1.0" encoding="UTF-8" standalone="yes"?>
<Relationships xmlns="http://schemas.openxmlformats.org/package/2006/relationships"><Relationship Id="rId8" Type="http://schemas.openxmlformats.org/officeDocument/2006/relationships/ctrlProp" Target="../ctrlProps/ctrlProp672.xml"/><Relationship Id="rId3" Type="http://schemas.openxmlformats.org/officeDocument/2006/relationships/vmlDrawing" Target="../drawings/vmlDrawing96.vml"/><Relationship Id="rId7" Type="http://schemas.openxmlformats.org/officeDocument/2006/relationships/ctrlProp" Target="../ctrlProps/ctrlProp671.xml"/><Relationship Id="rId12" Type="http://schemas.openxmlformats.org/officeDocument/2006/relationships/ctrlProp" Target="../ctrlProps/ctrlProp676.xml"/><Relationship Id="rId2" Type="http://schemas.openxmlformats.org/officeDocument/2006/relationships/drawing" Target="../drawings/drawing97.xml"/><Relationship Id="rId1" Type="http://schemas.openxmlformats.org/officeDocument/2006/relationships/hyperlink" Target="mailto:datamateapp@gmail.com" TargetMode="External"/><Relationship Id="rId6" Type="http://schemas.openxmlformats.org/officeDocument/2006/relationships/ctrlProp" Target="../ctrlProps/ctrlProp670.xml"/><Relationship Id="rId11" Type="http://schemas.openxmlformats.org/officeDocument/2006/relationships/ctrlProp" Target="../ctrlProps/ctrlProp675.xml"/><Relationship Id="rId5" Type="http://schemas.openxmlformats.org/officeDocument/2006/relationships/ctrlProp" Target="../ctrlProps/ctrlProp669.xml"/><Relationship Id="rId10" Type="http://schemas.openxmlformats.org/officeDocument/2006/relationships/ctrlProp" Target="../ctrlProps/ctrlProp674.xml"/><Relationship Id="rId4" Type="http://schemas.openxmlformats.org/officeDocument/2006/relationships/ctrlProp" Target="../ctrlProps/ctrlProp668.xml"/><Relationship Id="rId9" Type="http://schemas.openxmlformats.org/officeDocument/2006/relationships/ctrlProp" Target="../ctrlProps/ctrlProp673.xml"/></Relationships>
</file>

<file path=xl/worksheets/_rels/sheet111.xml.rels><?xml version="1.0" encoding="UTF-8" standalone="yes"?>
<Relationships xmlns="http://schemas.openxmlformats.org/package/2006/relationships"><Relationship Id="rId8" Type="http://schemas.openxmlformats.org/officeDocument/2006/relationships/ctrlProp" Target="../ctrlProps/ctrlProp681.xml"/><Relationship Id="rId3" Type="http://schemas.openxmlformats.org/officeDocument/2006/relationships/vmlDrawing" Target="../drawings/vmlDrawing97.vml"/><Relationship Id="rId7" Type="http://schemas.openxmlformats.org/officeDocument/2006/relationships/ctrlProp" Target="../ctrlProps/ctrlProp680.xml"/><Relationship Id="rId12" Type="http://schemas.openxmlformats.org/officeDocument/2006/relationships/ctrlProp" Target="../ctrlProps/ctrlProp685.xml"/><Relationship Id="rId2" Type="http://schemas.openxmlformats.org/officeDocument/2006/relationships/drawing" Target="../drawings/drawing98.xml"/><Relationship Id="rId1" Type="http://schemas.openxmlformats.org/officeDocument/2006/relationships/hyperlink" Target="mailto:datamateapp@gmail.com" TargetMode="External"/><Relationship Id="rId6" Type="http://schemas.openxmlformats.org/officeDocument/2006/relationships/ctrlProp" Target="../ctrlProps/ctrlProp679.xml"/><Relationship Id="rId11" Type="http://schemas.openxmlformats.org/officeDocument/2006/relationships/ctrlProp" Target="../ctrlProps/ctrlProp684.xml"/><Relationship Id="rId5" Type="http://schemas.openxmlformats.org/officeDocument/2006/relationships/ctrlProp" Target="../ctrlProps/ctrlProp678.xml"/><Relationship Id="rId10" Type="http://schemas.openxmlformats.org/officeDocument/2006/relationships/ctrlProp" Target="../ctrlProps/ctrlProp683.xml"/><Relationship Id="rId4" Type="http://schemas.openxmlformats.org/officeDocument/2006/relationships/ctrlProp" Target="../ctrlProps/ctrlProp677.xml"/><Relationship Id="rId9" Type="http://schemas.openxmlformats.org/officeDocument/2006/relationships/ctrlProp" Target="../ctrlProps/ctrlProp682.xml"/></Relationships>
</file>

<file path=xl/worksheets/_rels/sheet112.xml.rels><?xml version="1.0" encoding="UTF-8" standalone="yes"?>
<Relationships xmlns="http://schemas.openxmlformats.org/package/2006/relationships"><Relationship Id="rId8" Type="http://schemas.openxmlformats.org/officeDocument/2006/relationships/ctrlProp" Target="../ctrlProps/ctrlProp690.xml"/><Relationship Id="rId13" Type="http://schemas.openxmlformats.org/officeDocument/2006/relationships/ctrlProp" Target="../ctrlProps/ctrlProp695.xml"/><Relationship Id="rId3" Type="http://schemas.openxmlformats.org/officeDocument/2006/relationships/vmlDrawing" Target="../drawings/vmlDrawing98.vml"/><Relationship Id="rId7" Type="http://schemas.openxmlformats.org/officeDocument/2006/relationships/ctrlProp" Target="../ctrlProps/ctrlProp689.xml"/><Relationship Id="rId12" Type="http://schemas.openxmlformats.org/officeDocument/2006/relationships/ctrlProp" Target="../ctrlProps/ctrlProp694.xml"/><Relationship Id="rId2" Type="http://schemas.openxmlformats.org/officeDocument/2006/relationships/drawing" Target="../drawings/drawing99.xml"/><Relationship Id="rId1" Type="http://schemas.openxmlformats.org/officeDocument/2006/relationships/hyperlink" Target="mailto:datamateapp@gmail.com" TargetMode="External"/><Relationship Id="rId6" Type="http://schemas.openxmlformats.org/officeDocument/2006/relationships/ctrlProp" Target="../ctrlProps/ctrlProp688.xml"/><Relationship Id="rId11" Type="http://schemas.openxmlformats.org/officeDocument/2006/relationships/ctrlProp" Target="../ctrlProps/ctrlProp693.xml"/><Relationship Id="rId5" Type="http://schemas.openxmlformats.org/officeDocument/2006/relationships/ctrlProp" Target="../ctrlProps/ctrlProp687.xml"/><Relationship Id="rId15" Type="http://schemas.openxmlformats.org/officeDocument/2006/relationships/ctrlProp" Target="../ctrlProps/ctrlProp697.xml"/><Relationship Id="rId10" Type="http://schemas.openxmlformats.org/officeDocument/2006/relationships/ctrlProp" Target="../ctrlProps/ctrlProp692.xml"/><Relationship Id="rId4" Type="http://schemas.openxmlformats.org/officeDocument/2006/relationships/ctrlProp" Target="../ctrlProps/ctrlProp686.xml"/><Relationship Id="rId9" Type="http://schemas.openxmlformats.org/officeDocument/2006/relationships/ctrlProp" Target="../ctrlProps/ctrlProp691.xml"/><Relationship Id="rId14" Type="http://schemas.openxmlformats.org/officeDocument/2006/relationships/ctrlProp" Target="../ctrlProps/ctrlProp696.xml"/></Relationships>
</file>

<file path=xl/worksheets/_rels/sheet113.xml.rels><?xml version="1.0" encoding="UTF-8" standalone="yes"?>
<Relationships xmlns="http://schemas.openxmlformats.org/package/2006/relationships"><Relationship Id="rId3" Type="http://schemas.openxmlformats.org/officeDocument/2006/relationships/vmlDrawing" Target="../drawings/vmlDrawing99.vml"/><Relationship Id="rId7" Type="http://schemas.openxmlformats.org/officeDocument/2006/relationships/ctrlProp" Target="../ctrlProps/ctrlProp701.xml"/><Relationship Id="rId2" Type="http://schemas.openxmlformats.org/officeDocument/2006/relationships/drawing" Target="../drawings/drawing100.xml"/><Relationship Id="rId1" Type="http://schemas.openxmlformats.org/officeDocument/2006/relationships/hyperlink" Target="mailto:datamateapp@gmail.com" TargetMode="External"/><Relationship Id="rId6" Type="http://schemas.openxmlformats.org/officeDocument/2006/relationships/ctrlProp" Target="../ctrlProps/ctrlProp700.xml"/><Relationship Id="rId5" Type="http://schemas.openxmlformats.org/officeDocument/2006/relationships/ctrlProp" Target="../ctrlProps/ctrlProp699.xml"/><Relationship Id="rId4" Type="http://schemas.openxmlformats.org/officeDocument/2006/relationships/ctrlProp" Target="../ctrlProps/ctrlProp698.xml"/></Relationships>
</file>

<file path=xl/worksheets/_rels/sheet114.xml.rels><?xml version="1.0" encoding="UTF-8" standalone="yes"?>
<Relationships xmlns="http://schemas.openxmlformats.org/package/2006/relationships"><Relationship Id="rId3" Type="http://schemas.openxmlformats.org/officeDocument/2006/relationships/ctrlProp" Target="../ctrlProps/ctrlProp702.xml"/><Relationship Id="rId2" Type="http://schemas.openxmlformats.org/officeDocument/2006/relationships/vmlDrawing" Target="../drawings/vmlDrawing100.vml"/><Relationship Id="rId1" Type="http://schemas.openxmlformats.org/officeDocument/2006/relationships/drawing" Target="../drawings/drawing101.xml"/><Relationship Id="rId5" Type="http://schemas.openxmlformats.org/officeDocument/2006/relationships/ctrlProp" Target="../ctrlProps/ctrlProp704.xml"/><Relationship Id="rId4" Type="http://schemas.openxmlformats.org/officeDocument/2006/relationships/ctrlProp" Target="../ctrlProps/ctrlProp703.xml"/></Relationships>
</file>

<file path=xl/worksheets/_rels/sheet115.xml.rels><?xml version="1.0" encoding="UTF-8" standalone="yes"?>
<Relationships xmlns="http://schemas.openxmlformats.org/package/2006/relationships"><Relationship Id="rId3" Type="http://schemas.openxmlformats.org/officeDocument/2006/relationships/ctrlProp" Target="../ctrlProps/ctrlProp705.xml"/><Relationship Id="rId2" Type="http://schemas.openxmlformats.org/officeDocument/2006/relationships/vmlDrawing" Target="../drawings/vmlDrawing101.vml"/><Relationship Id="rId1" Type="http://schemas.openxmlformats.org/officeDocument/2006/relationships/drawing" Target="../drawings/drawing102.xml"/></Relationships>
</file>

<file path=xl/worksheets/_rels/sheet117.xml.rels><?xml version="1.0" encoding="UTF-8" standalone="yes"?>
<Relationships xmlns="http://schemas.openxmlformats.org/package/2006/relationships"><Relationship Id="rId8" Type="http://schemas.openxmlformats.org/officeDocument/2006/relationships/ctrlProp" Target="../ctrlProps/ctrlProp710.xml"/><Relationship Id="rId3" Type="http://schemas.openxmlformats.org/officeDocument/2006/relationships/vmlDrawing" Target="../drawings/vmlDrawing102.vml"/><Relationship Id="rId7" Type="http://schemas.openxmlformats.org/officeDocument/2006/relationships/ctrlProp" Target="../ctrlProps/ctrlProp709.xml"/><Relationship Id="rId12" Type="http://schemas.openxmlformats.org/officeDocument/2006/relationships/ctrlProp" Target="../ctrlProps/ctrlProp714.xml"/><Relationship Id="rId2" Type="http://schemas.openxmlformats.org/officeDocument/2006/relationships/drawing" Target="../drawings/drawing103.xml"/><Relationship Id="rId1" Type="http://schemas.openxmlformats.org/officeDocument/2006/relationships/hyperlink" Target="mailto:datamateapp@gmail.com" TargetMode="External"/><Relationship Id="rId6" Type="http://schemas.openxmlformats.org/officeDocument/2006/relationships/ctrlProp" Target="../ctrlProps/ctrlProp708.xml"/><Relationship Id="rId11" Type="http://schemas.openxmlformats.org/officeDocument/2006/relationships/ctrlProp" Target="../ctrlProps/ctrlProp713.xml"/><Relationship Id="rId5" Type="http://schemas.openxmlformats.org/officeDocument/2006/relationships/ctrlProp" Target="../ctrlProps/ctrlProp707.xml"/><Relationship Id="rId10" Type="http://schemas.openxmlformats.org/officeDocument/2006/relationships/ctrlProp" Target="../ctrlProps/ctrlProp712.xml"/><Relationship Id="rId4" Type="http://schemas.openxmlformats.org/officeDocument/2006/relationships/ctrlProp" Target="../ctrlProps/ctrlProp706.xml"/><Relationship Id="rId9" Type="http://schemas.openxmlformats.org/officeDocument/2006/relationships/ctrlProp" Target="../ctrlProps/ctrlProp711.xml"/></Relationships>
</file>

<file path=xl/worksheets/_rels/sheet118.xml.rels><?xml version="1.0" encoding="UTF-8" standalone="yes"?>
<Relationships xmlns="http://schemas.openxmlformats.org/package/2006/relationships"><Relationship Id="rId8" Type="http://schemas.openxmlformats.org/officeDocument/2006/relationships/ctrlProp" Target="../ctrlProps/ctrlProp719.xml"/><Relationship Id="rId3" Type="http://schemas.openxmlformats.org/officeDocument/2006/relationships/vmlDrawing" Target="../drawings/vmlDrawing103.vml"/><Relationship Id="rId7" Type="http://schemas.openxmlformats.org/officeDocument/2006/relationships/ctrlProp" Target="../ctrlProps/ctrlProp718.xml"/><Relationship Id="rId12" Type="http://schemas.openxmlformats.org/officeDocument/2006/relationships/ctrlProp" Target="../ctrlProps/ctrlProp723.xml"/><Relationship Id="rId2" Type="http://schemas.openxmlformats.org/officeDocument/2006/relationships/drawing" Target="../drawings/drawing104.xml"/><Relationship Id="rId1" Type="http://schemas.openxmlformats.org/officeDocument/2006/relationships/hyperlink" Target="mailto:datamateapp@gmail.com" TargetMode="External"/><Relationship Id="rId6" Type="http://schemas.openxmlformats.org/officeDocument/2006/relationships/ctrlProp" Target="../ctrlProps/ctrlProp717.xml"/><Relationship Id="rId11" Type="http://schemas.openxmlformats.org/officeDocument/2006/relationships/ctrlProp" Target="../ctrlProps/ctrlProp722.xml"/><Relationship Id="rId5" Type="http://schemas.openxmlformats.org/officeDocument/2006/relationships/ctrlProp" Target="../ctrlProps/ctrlProp716.xml"/><Relationship Id="rId10" Type="http://schemas.openxmlformats.org/officeDocument/2006/relationships/ctrlProp" Target="../ctrlProps/ctrlProp721.xml"/><Relationship Id="rId4" Type="http://schemas.openxmlformats.org/officeDocument/2006/relationships/ctrlProp" Target="../ctrlProps/ctrlProp715.xml"/><Relationship Id="rId9" Type="http://schemas.openxmlformats.org/officeDocument/2006/relationships/ctrlProp" Target="../ctrlProps/ctrlProp720.xml"/></Relationships>
</file>

<file path=xl/worksheets/_rels/sheet119.xml.rels><?xml version="1.0" encoding="UTF-8" standalone="yes"?>
<Relationships xmlns="http://schemas.openxmlformats.org/package/2006/relationships"><Relationship Id="rId8" Type="http://schemas.openxmlformats.org/officeDocument/2006/relationships/ctrlProp" Target="../ctrlProps/ctrlProp728.xml"/><Relationship Id="rId3" Type="http://schemas.openxmlformats.org/officeDocument/2006/relationships/vmlDrawing" Target="../drawings/vmlDrawing104.vml"/><Relationship Id="rId7" Type="http://schemas.openxmlformats.org/officeDocument/2006/relationships/ctrlProp" Target="../ctrlProps/ctrlProp727.xml"/><Relationship Id="rId12" Type="http://schemas.openxmlformats.org/officeDocument/2006/relationships/ctrlProp" Target="../ctrlProps/ctrlProp732.xml"/><Relationship Id="rId2" Type="http://schemas.openxmlformats.org/officeDocument/2006/relationships/drawing" Target="../drawings/drawing105.xml"/><Relationship Id="rId1" Type="http://schemas.openxmlformats.org/officeDocument/2006/relationships/hyperlink" Target="mailto:datamateapp@gmail.com" TargetMode="External"/><Relationship Id="rId6" Type="http://schemas.openxmlformats.org/officeDocument/2006/relationships/ctrlProp" Target="../ctrlProps/ctrlProp726.xml"/><Relationship Id="rId11" Type="http://schemas.openxmlformats.org/officeDocument/2006/relationships/ctrlProp" Target="../ctrlProps/ctrlProp731.xml"/><Relationship Id="rId5" Type="http://schemas.openxmlformats.org/officeDocument/2006/relationships/ctrlProp" Target="../ctrlProps/ctrlProp725.xml"/><Relationship Id="rId10" Type="http://schemas.openxmlformats.org/officeDocument/2006/relationships/ctrlProp" Target="../ctrlProps/ctrlProp730.xml"/><Relationship Id="rId4" Type="http://schemas.openxmlformats.org/officeDocument/2006/relationships/ctrlProp" Target="../ctrlProps/ctrlProp724.xml"/><Relationship Id="rId9" Type="http://schemas.openxmlformats.org/officeDocument/2006/relationships/ctrlProp" Target="../ctrlProps/ctrlProp729.xml"/></Relationships>
</file>

<file path=xl/worksheets/_rels/sheet120.xml.rels><?xml version="1.0" encoding="UTF-8" standalone="yes"?>
<Relationships xmlns="http://schemas.openxmlformats.org/package/2006/relationships"><Relationship Id="rId8" Type="http://schemas.openxmlformats.org/officeDocument/2006/relationships/ctrlProp" Target="../ctrlProps/ctrlProp737.xml"/><Relationship Id="rId3" Type="http://schemas.openxmlformats.org/officeDocument/2006/relationships/vmlDrawing" Target="../drawings/vmlDrawing105.vml"/><Relationship Id="rId7" Type="http://schemas.openxmlformats.org/officeDocument/2006/relationships/ctrlProp" Target="../ctrlProps/ctrlProp736.xml"/><Relationship Id="rId12" Type="http://schemas.openxmlformats.org/officeDocument/2006/relationships/ctrlProp" Target="../ctrlProps/ctrlProp741.xml"/><Relationship Id="rId2" Type="http://schemas.openxmlformats.org/officeDocument/2006/relationships/drawing" Target="../drawings/drawing106.xml"/><Relationship Id="rId1" Type="http://schemas.openxmlformats.org/officeDocument/2006/relationships/hyperlink" Target="mailto:datamateapp@gmail.com" TargetMode="External"/><Relationship Id="rId6" Type="http://schemas.openxmlformats.org/officeDocument/2006/relationships/ctrlProp" Target="../ctrlProps/ctrlProp735.xml"/><Relationship Id="rId11" Type="http://schemas.openxmlformats.org/officeDocument/2006/relationships/ctrlProp" Target="../ctrlProps/ctrlProp740.xml"/><Relationship Id="rId5" Type="http://schemas.openxmlformats.org/officeDocument/2006/relationships/ctrlProp" Target="../ctrlProps/ctrlProp734.xml"/><Relationship Id="rId10" Type="http://schemas.openxmlformats.org/officeDocument/2006/relationships/ctrlProp" Target="../ctrlProps/ctrlProp739.xml"/><Relationship Id="rId4" Type="http://schemas.openxmlformats.org/officeDocument/2006/relationships/ctrlProp" Target="../ctrlProps/ctrlProp733.xml"/><Relationship Id="rId9" Type="http://schemas.openxmlformats.org/officeDocument/2006/relationships/ctrlProp" Target="../ctrlProps/ctrlProp738.xml"/></Relationships>
</file>

<file path=xl/worksheets/_rels/sheet121.xml.rels><?xml version="1.0" encoding="UTF-8" standalone="yes"?>
<Relationships xmlns="http://schemas.openxmlformats.org/package/2006/relationships"><Relationship Id="rId8" Type="http://schemas.openxmlformats.org/officeDocument/2006/relationships/ctrlProp" Target="../ctrlProps/ctrlProp746.xml"/><Relationship Id="rId3" Type="http://schemas.openxmlformats.org/officeDocument/2006/relationships/vmlDrawing" Target="../drawings/vmlDrawing106.vml"/><Relationship Id="rId7" Type="http://schemas.openxmlformats.org/officeDocument/2006/relationships/ctrlProp" Target="../ctrlProps/ctrlProp745.xml"/><Relationship Id="rId12" Type="http://schemas.openxmlformats.org/officeDocument/2006/relationships/ctrlProp" Target="../ctrlProps/ctrlProp750.xml"/><Relationship Id="rId2" Type="http://schemas.openxmlformats.org/officeDocument/2006/relationships/drawing" Target="../drawings/drawing107.xml"/><Relationship Id="rId1" Type="http://schemas.openxmlformats.org/officeDocument/2006/relationships/hyperlink" Target="mailto:datamateapp@gmail.com" TargetMode="External"/><Relationship Id="rId6" Type="http://schemas.openxmlformats.org/officeDocument/2006/relationships/ctrlProp" Target="../ctrlProps/ctrlProp744.xml"/><Relationship Id="rId11" Type="http://schemas.openxmlformats.org/officeDocument/2006/relationships/ctrlProp" Target="../ctrlProps/ctrlProp749.xml"/><Relationship Id="rId5" Type="http://schemas.openxmlformats.org/officeDocument/2006/relationships/ctrlProp" Target="../ctrlProps/ctrlProp743.xml"/><Relationship Id="rId10" Type="http://schemas.openxmlformats.org/officeDocument/2006/relationships/ctrlProp" Target="../ctrlProps/ctrlProp748.xml"/><Relationship Id="rId4" Type="http://schemas.openxmlformats.org/officeDocument/2006/relationships/ctrlProp" Target="../ctrlProps/ctrlProp742.xml"/><Relationship Id="rId9" Type="http://schemas.openxmlformats.org/officeDocument/2006/relationships/ctrlProp" Target="../ctrlProps/ctrlProp747.xml"/></Relationships>
</file>

<file path=xl/worksheets/_rels/sheet122.xml.rels><?xml version="1.0" encoding="UTF-8" standalone="yes"?>
<Relationships xmlns="http://schemas.openxmlformats.org/package/2006/relationships"><Relationship Id="rId8" Type="http://schemas.openxmlformats.org/officeDocument/2006/relationships/ctrlProp" Target="../ctrlProps/ctrlProp755.xml"/><Relationship Id="rId3" Type="http://schemas.openxmlformats.org/officeDocument/2006/relationships/vmlDrawing" Target="../drawings/vmlDrawing107.vml"/><Relationship Id="rId7" Type="http://schemas.openxmlformats.org/officeDocument/2006/relationships/ctrlProp" Target="../ctrlProps/ctrlProp754.xml"/><Relationship Id="rId12" Type="http://schemas.openxmlformats.org/officeDocument/2006/relationships/ctrlProp" Target="../ctrlProps/ctrlProp759.xml"/><Relationship Id="rId2" Type="http://schemas.openxmlformats.org/officeDocument/2006/relationships/drawing" Target="../drawings/drawing108.xml"/><Relationship Id="rId1" Type="http://schemas.openxmlformats.org/officeDocument/2006/relationships/hyperlink" Target="mailto:datamateapp@gmail.com" TargetMode="External"/><Relationship Id="rId6" Type="http://schemas.openxmlformats.org/officeDocument/2006/relationships/ctrlProp" Target="../ctrlProps/ctrlProp753.xml"/><Relationship Id="rId11" Type="http://schemas.openxmlformats.org/officeDocument/2006/relationships/ctrlProp" Target="../ctrlProps/ctrlProp758.xml"/><Relationship Id="rId5" Type="http://schemas.openxmlformats.org/officeDocument/2006/relationships/ctrlProp" Target="../ctrlProps/ctrlProp752.xml"/><Relationship Id="rId10" Type="http://schemas.openxmlformats.org/officeDocument/2006/relationships/ctrlProp" Target="../ctrlProps/ctrlProp757.xml"/><Relationship Id="rId4" Type="http://schemas.openxmlformats.org/officeDocument/2006/relationships/ctrlProp" Target="../ctrlProps/ctrlProp751.xml"/><Relationship Id="rId9" Type="http://schemas.openxmlformats.org/officeDocument/2006/relationships/ctrlProp" Target="../ctrlProps/ctrlProp756.xml"/></Relationships>
</file>

<file path=xl/worksheets/_rels/sheet123.xml.rels><?xml version="1.0" encoding="UTF-8" standalone="yes"?>
<Relationships xmlns="http://schemas.openxmlformats.org/package/2006/relationships"><Relationship Id="rId8" Type="http://schemas.openxmlformats.org/officeDocument/2006/relationships/ctrlProp" Target="../ctrlProps/ctrlProp764.xml"/><Relationship Id="rId3" Type="http://schemas.openxmlformats.org/officeDocument/2006/relationships/vmlDrawing" Target="../drawings/vmlDrawing108.vml"/><Relationship Id="rId7" Type="http://schemas.openxmlformats.org/officeDocument/2006/relationships/ctrlProp" Target="../ctrlProps/ctrlProp763.xml"/><Relationship Id="rId12" Type="http://schemas.openxmlformats.org/officeDocument/2006/relationships/ctrlProp" Target="../ctrlProps/ctrlProp768.xml"/><Relationship Id="rId2" Type="http://schemas.openxmlformats.org/officeDocument/2006/relationships/drawing" Target="../drawings/drawing109.xml"/><Relationship Id="rId1" Type="http://schemas.openxmlformats.org/officeDocument/2006/relationships/hyperlink" Target="mailto:datamateapp@gmail.com" TargetMode="External"/><Relationship Id="rId6" Type="http://schemas.openxmlformats.org/officeDocument/2006/relationships/ctrlProp" Target="../ctrlProps/ctrlProp762.xml"/><Relationship Id="rId11" Type="http://schemas.openxmlformats.org/officeDocument/2006/relationships/ctrlProp" Target="../ctrlProps/ctrlProp767.xml"/><Relationship Id="rId5" Type="http://schemas.openxmlformats.org/officeDocument/2006/relationships/ctrlProp" Target="../ctrlProps/ctrlProp761.xml"/><Relationship Id="rId10" Type="http://schemas.openxmlformats.org/officeDocument/2006/relationships/ctrlProp" Target="../ctrlProps/ctrlProp766.xml"/><Relationship Id="rId4" Type="http://schemas.openxmlformats.org/officeDocument/2006/relationships/ctrlProp" Target="../ctrlProps/ctrlProp760.xml"/><Relationship Id="rId9" Type="http://schemas.openxmlformats.org/officeDocument/2006/relationships/ctrlProp" Target="../ctrlProps/ctrlProp765.xml"/></Relationships>
</file>

<file path=xl/worksheets/_rels/sheet124.xml.rels><?xml version="1.0" encoding="UTF-8" standalone="yes"?>
<Relationships xmlns="http://schemas.openxmlformats.org/package/2006/relationships"><Relationship Id="rId8" Type="http://schemas.openxmlformats.org/officeDocument/2006/relationships/ctrlProp" Target="../ctrlProps/ctrlProp773.xml"/><Relationship Id="rId3" Type="http://schemas.openxmlformats.org/officeDocument/2006/relationships/vmlDrawing" Target="../drawings/vmlDrawing109.vml"/><Relationship Id="rId7" Type="http://schemas.openxmlformats.org/officeDocument/2006/relationships/ctrlProp" Target="../ctrlProps/ctrlProp772.xml"/><Relationship Id="rId2" Type="http://schemas.openxmlformats.org/officeDocument/2006/relationships/drawing" Target="../drawings/drawing110.xml"/><Relationship Id="rId1" Type="http://schemas.openxmlformats.org/officeDocument/2006/relationships/hyperlink" Target="mailto:datamateapp@gmail.com" TargetMode="External"/><Relationship Id="rId6" Type="http://schemas.openxmlformats.org/officeDocument/2006/relationships/ctrlProp" Target="../ctrlProps/ctrlProp771.xml"/><Relationship Id="rId11" Type="http://schemas.openxmlformats.org/officeDocument/2006/relationships/ctrlProp" Target="../ctrlProps/ctrlProp776.xml"/><Relationship Id="rId5" Type="http://schemas.openxmlformats.org/officeDocument/2006/relationships/ctrlProp" Target="../ctrlProps/ctrlProp770.xml"/><Relationship Id="rId10" Type="http://schemas.openxmlformats.org/officeDocument/2006/relationships/ctrlProp" Target="../ctrlProps/ctrlProp775.xml"/><Relationship Id="rId4" Type="http://schemas.openxmlformats.org/officeDocument/2006/relationships/ctrlProp" Target="../ctrlProps/ctrlProp769.xml"/><Relationship Id="rId9" Type="http://schemas.openxmlformats.org/officeDocument/2006/relationships/ctrlProp" Target="../ctrlProps/ctrlProp774.xml"/></Relationships>
</file>

<file path=xl/worksheets/_rels/sheet125.xml.rels><?xml version="1.0" encoding="UTF-8" standalone="yes"?>
<Relationships xmlns="http://schemas.openxmlformats.org/package/2006/relationships"><Relationship Id="rId3" Type="http://schemas.openxmlformats.org/officeDocument/2006/relationships/vmlDrawing" Target="../drawings/vmlDrawing110.vml"/><Relationship Id="rId7" Type="http://schemas.openxmlformats.org/officeDocument/2006/relationships/ctrlProp" Target="../ctrlProps/ctrlProp780.xml"/><Relationship Id="rId2" Type="http://schemas.openxmlformats.org/officeDocument/2006/relationships/drawing" Target="../drawings/drawing111.xml"/><Relationship Id="rId1" Type="http://schemas.openxmlformats.org/officeDocument/2006/relationships/hyperlink" Target="mailto:datamateapp@gmail.com" TargetMode="External"/><Relationship Id="rId6" Type="http://schemas.openxmlformats.org/officeDocument/2006/relationships/ctrlProp" Target="../ctrlProps/ctrlProp779.xml"/><Relationship Id="rId5" Type="http://schemas.openxmlformats.org/officeDocument/2006/relationships/ctrlProp" Target="../ctrlProps/ctrlProp778.xml"/><Relationship Id="rId4" Type="http://schemas.openxmlformats.org/officeDocument/2006/relationships/ctrlProp" Target="../ctrlProps/ctrlProp777.xml"/></Relationships>
</file>

<file path=xl/worksheets/_rels/sheet126.xml.rels><?xml version="1.0" encoding="UTF-8" standalone="yes"?>
<Relationships xmlns="http://schemas.openxmlformats.org/package/2006/relationships"><Relationship Id="rId3" Type="http://schemas.openxmlformats.org/officeDocument/2006/relationships/ctrlProp" Target="../ctrlProps/ctrlProp781.xml"/><Relationship Id="rId2" Type="http://schemas.openxmlformats.org/officeDocument/2006/relationships/vmlDrawing" Target="../drawings/vmlDrawing111.vml"/><Relationship Id="rId1" Type="http://schemas.openxmlformats.org/officeDocument/2006/relationships/drawing" Target="../drawings/drawing112.xml"/><Relationship Id="rId5" Type="http://schemas.openxmlformats.org/officeDocument/2006/relationships/ctrlProp" Target="../ctrlProps/ctrlProp783.xml"/><Relationship Id="rId4" Type="http://schemas.openxmlformats.org/officeDocument/2006/relationships/ctrlProp" Target="../ctrlProps/ctrlProp782.xml"/></Relationships>
</file>

<file path=xl/worksheets/_rels/sheet127.xml.rels><?xml version="1.0" encoding="UTF-8" standalone="yes"?>
<Relationships xmlns="http://schemas.openxmlformats.org/package/2006/relationships"><Relationship Id="rId3" Type="http://schemas.openxmlformats.org/officeDocument/2006/relationships/ctrlProp" Target="../ctrlProps/ctrlProp784.xml"/><Relationship Id="rId2" Type="http://schemas.openxmlformats.org/officeDocument/2006/relationships/vmlDrawing" Target="../drawings/vmlDrawing112.vml"/><Relationship Id="rId1" Type="http://schemas.openxmlformats.org/officeDocument/2006/relationships/drawing" Target="../drawings/drawing113.xml"/></Relationships>
</file>

<file path=xl/worksheets/_rels/sheet129.xml.rels><?xml version="1.0" encoding="UTF-8" standalone="yes"?>
<Relationships xmlns="http://schemas.openxmlformats.org/package/2006/relationships"><Relationship Id="rId8" Type="http://schemas.openxmlformats.org/officeDocument/2006/relationships/ctrlProp" Target="../ctrlProps/ctrlProp789.xml"/><Relationship Id="rId3" Type="http://schemas.openxmlformats.org/officeDocument/2006/relationships/vmlDrawing" Target="../drawings/vmlDrawing113.vml"/><Relationship Id="rId7" Type="http://schemas.openxmlformats.org/officeDocument/2006/relationships/ctrlProp" Target="../ctrlProps/ctrlProp788.xml"/><Relationship Id="rId12" Type="http://schemas.openxmlformats.org/officeDocument/2006/relationships/ctrlProp" Target="../ctrlProps/ctrlProp793.xml"/><Relationship Id="rId2" Type="http://schemas.openxmlformats.org/officeDocument/2006/relationships/drawing" Target="../drawings/drawing114.xml"/><Relationship Id="rId1" Type="http://schemas.openxmlformats.org/officeDocument/2006/relationships/hyperlink" Target="mailto:datamateapp@gmail.com" TargetMode="External"/><Relationship Id="rId6" Type="http://schemas.openxmlformats.org/officeDocument/2006/relationships/ctrlProp" Target="../ctrlProps/ctrlProp787.xml"/><Relationship Id="rId11" Type="http://schemas.openxmlformats.org/officeDocument/2006/relationships/ctrlProp" Target="../ctrlProps/ctrlProp792.xml"/><Relationship Id="rId5" Type="http://schemas.openxmlformats.org/officeDocument/2006/relationships/ctrlProp" Target="../ctrlProps/ctrlProp786.xml"/><Relationship Id="rId10" Type="http://schemas.openxmlformats.org/officeDocument/2006/relationships/ctrlProp" Target="../ctrlProps/ctrlProp791.xml"/><Relationship Id="rId4" Type="http://schemas.openxmlformats.org/officeDocument/2006/relationships/ctrlProp" Target="../ctrlProps/ctrlProp785.xml"/><Relationship Id="rId9" Type="http://schemas.openxmlformats.org/officeDocument/2006/relationships/ctrlProp" Target="../ctrlProps/ctrlProp790.xml"/></Relationships>
</file>

<file path=xl/worksheets/_rels/sheet130.xml.rels><?xml version="1.0" encoding="UTF-8" standalone="yes"?>
<Relationships xmlns="http://schemas.openxmlformats.org/package/2006/relationships"><Relationship Id="rId8" Type="http://schemas.openxmlformats.org/officeDocument/2006/relationships/ctrlProp" Target="../ctrlProps/ctrlProp798.xml"/><Relationship Id="rId3" Type="http://schemas.openxmlformats.org/officeDocument/2006/relationships/vmlDrawing" Target="../drawings/vmlDrawing114.vml"/><Relationship Id="rId7" Type="http://schemas.openxmlformats.org/officeDocument/2006/relationships/ctrlProp" Target="../ctrlProps/ctrlProp797.xml"/><Relationship Id="rId12" Type="http://schemas.openxmlformats.org/officeDocument/2006/relationships/ctrlProp" Target="../ctrlProps/ctrlProp802.xml"/><Relationship Id="rId2" Type="http://schemas.openxmlformats.org/officeDocument/2006/relationships/drawing" Target="../drawings/drawing115.xml"/><Relationship Id="rId1" Type="http://schemas.openxmlformats.org/officeDocument/2006/relationships/hyperlink" Target="mailto:datamateapp@gmail.com" TargetMode="External"/><Relationship Id="rId6" Type="http://schemas.openxmlformats.org/officeDocument/2006/relationships/ctrlProp" Target="../ctrlProps/ctrlProp796.xml"/><Relationship Id="rId11" Type="http://schemas.openxmlformats.org/officeDocument/2006/relationships/ctrlProp" Target="../ctrlProps/ctrlProp801.xml"/><Relationship Id="rId5" Type="http://schemas.openxmlformats.org/officeDocument/2006/relationships/ctrlProp" Target="../ctrlProps/ctrlProp795.xml"/><Relationship Id="rId10" Type="http://schemas.openxmlformats.org/officeDocument/2006/relationships/ctrlProp" Target="../ctrlProps/ctrlProp800.xml"/><Relationship Id="rId4" Type="http://schemas.openxmlformats.org/officeDocument/2006/relationships/ctrlProp" Target="../ctrlProps/ctrlProp794.xml"/><Relationship Id="rId9" Type="http://schemas.openxmlformats.org/officeDocument/2006/relationships/ctrlProp" Target="../ctrlProps/ctrlProp799.xml"/></Relationships>
</file>

<file path=xl/worksheets/_rels/sheet131.xml.rels><?xml version="1.0" encoding="UTF-8" standalone="yes"?>
<Relationships xmlns="http://schemas.openxmlformats.org/package/2006/relationships"><Relationship Id="rId8" Type="http://schemas.openxmlformats.org/officeDocument/2006/relationships/ctrlProp" Target="../ctrlProps/ctrlProp807.xml"/><Relationship Id="rId3" Type="http://schemas.openxmlformats.org/officeDocument/2006/relationships/vmlDrawing" Target="../drawings/vmlDrawing115.vml"/><Relationship Id="rId7" Type="http://schemas.openxmlformats.org/officeDocument/2006/relationships/ctrlProp" Target="../ctrlProps/ctrlProp806.xml"/><Relationship Id="rId12" Type="http://schemas.openxmlformats.org/officeDocument/2006/relationships/ctrlProp" Target="../ctrlProps/ctrlProp811.xml"/><Relationship Id="rId2" Type="http://schemas.openxmlformats.org/officeDocument/2006/relationships/drawing" Target="../drawings/drawing116.xml"/><Relationship Id="rId1" Type="http://schemas.openxmlformats.org/officeDocument/2006/relationships/hyperlink" Target="mailto:datamateapp@gmail.com" TargetMode="External"/><Relationship Id="rId6" Type="http://schemas.openxmlformats.org/officeDocument/2006/relationships/ctrlProp" Target="../ctrlProps/ctrlProp805.xml"/><Relationship Id="rId11" Type="http://schemas.openxmlformats.org/officeDocument/2006/relationships/ctrlProp" Target="../ctrlProps/ctrlProp810.xml"/><Relationship Id="rId5" Type="http://schemas.openxmlformats.org/officeDocument/2006/relationships/ctrlProp" Target="../ctrlProps/ctrlProp804.xml"/><Relationship Id="rId10" Type="http://schemas.openxmlformats.org/officeDocument/2006/relationships/ctrlProp" Target="../ctrlProps/ctrlProp809.xml"/><Relationship Id="rId4" Type="http://schemas.openxmlformats.org/officeDocument/2006/relationships/ctrlProp" Target="../ctrlProps/ctrlProp803.xml"/><Relationship Id="rId9" Type="http://schemas.openxmlformats.org/officeDocument/2006/relationships/ctrlProp" Target="../ctrlProps/ctrlProp808.xml"/></Relationships>
</file>

<file path=xl/worksheets/_rels/sheet132.xml.rels><?xml version="1.0" encoding="UTF-8" standalone="yes"?>
<Relationships xmlns="http://schemas.openxmlformats.org/package/2006/relationships"><Relationship Id="rId8" Type="http://schemas.openxmlformats.org/officeDocument/2006/relationships/ctrlProp" Target="../ctrlProps/ctrlProp816.xml"/><Relationship Id="rId3" Type="http://schemas.openxmlformats.org/officeDocument/2006/relationships/vmlDrawing" Target="../drawings/vmlDrawing116.vml"/><Relationship Id="rId7" Type="http://schemas.openxmlformats.org/officeDocument/2006/relationships/ctrlProp" Target="../ctrlProps/ctrlProp815.xml"/><Relationship Id="rId12" Type="http://schemas.openxmlformats.org/officeDocument/2006/relationships/ctrlProp" Target="../ctrlProps/ctrlProp820.xml"/><Relationship Id="rId2" Type="http://schemas.openxmlformats.org/officeDocument/2006/relationships/drawing" Target="../drawings/drawing117.xml"/><Relationship Id="rId1" Type="http://schemas.openxmlformats.org/officeDocument/2006/relationships/hyperlink" Target="mailto:datamateapp@gmail.com" TargetMode="External"/><Relationship Id="rId6" Type="http://schemas.openxmlformats.org/officeDocument/2006/relationships/ctrlProp" Target="../ctrlProps/ctrlProp814.xml"/><Relationship Id="rId11" Type="http://schemas.openxmlformats.org/officeDocument/2006/relationships/ctrlProp" Target="../ctrlProps/ctrlProp819.xml"/><Relationship Id="rId5" Type="http://schemas.openxmlformats.org/officeDocument/2006/relationships/ctrlProp" Target="../ctrlProps/ctrlProp813.xml"/><Relationship Id="rId10" Type="http://schemas.openxmlformats.org/officeDocument/2006/relationships/ctrlProp" Target="../ctrlProps/ctrlProp818.xml"/><Relationship Id="rId4" Type="http://schemas.openxmlformats.org/officeDocument/2006/relationships/ctrlProp" Target="../ctrlProps/ctrlProp812.xml"/><Relationship Id="rId9" Type="http://schemas.openxmlformats.org/officeDocument/2006/relationships/ctrlProp" Target="../ctrlProps/ctrlProp817.xml"/></Relationships>
</file>

<file path=xl/worksheets/_rels/sheet133.xml.rels><?xml version="1.0" encoding="UTF-8" standalone="yes"?>
<Relationships xmlns="http://schemas.openxmlformats.org/package/2006/relationships"><Relationship Id="rId8" Type="http://schemas.openxmlformats.org/officeDocument/2006/relationships/ctrlProp" Target="../ctrlProps/ctrlProp825.xml"/><Relationship Id="rId13" Type="http://schemas.openxmlformats.org/officeDocument/2006/relationships/ctrlProp" Target="../ctrlProps/ctrlProp830.xml"/><Relationship Id="rId3" Type="http://schemas.openxmlformats.org/officeDocument/2006/relationships/vmlDrawing" Target="../drawings/vmlDrawing117.vml"/><Relationship Id="rId7" Type="http://schemas.openxmlformats.org/officeDocument/2006/relationships/ctrlProp" Target="../ctrlProps/ctrlProp824.xml"/><Relationship Id="rId12" Type="http://schemas.openxmlformats.org/officeDocument/2006/relationships/ctrlProp" Target="../ctrlProps/ctrlProp829.xml"/><Relationship Id="rId2" Type="http://schemas.openxmlformats.org/officeDocument/2006/relationships/drawing" Target="../drawings/drawing118.xml"/><Relationship Id="rId1" Type="http://schemas.openxmlformats.org/officeDocument/2006/relationships/hyperlink" Target="mailto:datamateapp@gmail.com" TargetMode="External"/><Relationship Id="rId6" Type="http://schemas.openxmlformats.org/officeDocument/2006/relationships/ctrlProp" Target="../ctrlProps/ctrlProp823.xml"/><Relationship Id="rId11" Type="http://schemas.openxmlformats.org/officeDocument/2006/relationships/ctrlProp" Target="../ctrlProps/ctrlProp828.xml"/><Relationship Id="rId5" Type="http://schemas.openxmlformats.org/officeDocument/2006/relationships/ctrlProp" Target="../ctrlProps/ctrlProp822.xml"/><Relationship Id="rId10" Type="http://schemas.openxmlformats.org/officeDocument/2006/relationships/ctrlProp" Target="../ctrlProps/ctrlProp827.xml"/><Relationship Id="rId4" Type="http://schemas.openxmlformats.org/officeDocument/2006/relationships/ctrlProp" Target="../ctrlProps/ctrlProp821.xml"/><Relationship Id="rId9" Type="http://schemas.openxmlformats.org/officeDocument/2006/relationships/ctrlProp" Target="../ctrlProps/ctrlProp826.xml"/></Relationships>
</file>

<file path=xl/worksheets/_rels/sheet134.xml.rels><?xml version="1.0" encoding="UTF-8" standalone="yes"?>
<Relationships xmlns="http://schemas.openxmlformats.org/package/2006/relationships"><Relationship Id="rId8" Type="http://schemas.openxmlformats.org/officeDocument/2006/relationships/ctrlProp" Target="../ctrlProps/ctrlProp835.xml"/><Relationship Id="rId3" Type="http://schemas.openxmlformats.org/officeDocument/2006/relationships/vmlDrawing" Target="../drawings/vmlDrawing118.vml"/><Relationship Id="rId7" Type="http://schemas.openxmlformats.org/officeDocument/2006/relationships/ctrlProp" Target="../ctrlProps/ctrlProp834.xml"/><Relationship Id="rId12" Type="http://schemas.openxmlformats.org/officeDocument/2006/relationships/ctrlProp" Target="../ctrlProps/ctrlProp839.xml"/><Relationship Id="rId2" Type="http://schemas.openxmlformats.org/officeDocument/2006/relationships/drawing" Target="../drawings/drawing119.xml"/><Relationship Id="rId1" Type="http://schemas.openxmlformats.org/officeDocument/2006/relationships/hyperlink" Target="mailto:datamateapp@gmail.com" TargetMode="External"/><Relationship Id="rId6" Type="http://schemas.openxmlformats.org/officeDocument/2006/relationships/ctrlProp" Target="../ctrlProps/ctrlProp833.xml"/><Relationship Id="rId11" Type="http://schemas.openxmlformats.org/officeDocument/2006/relationships/ctrlProp" Target="../ctrlProps/ctrlProp838.xml"/><Relationship Id="rId5" Type="http://schemas.openxmlformats.org/officeDocument/2006/relationships/ctrlProp" Target="../ctrlProps/ctrlProp832.xml"/><Relationship Id="rId10" Type="http://schemas.openxmlformats.org/officeDocument/2006/relationships/ctrlProp" Target="../ctrlProps/ctrlProp837.xml"/><Relationship Id="rId4" Type="http://schemas.openxmlformats.org/officeDocument/2006/relationships/ctrlProp" Target="../ctrlProps/ctrlProp831.xml"/><Relationship Id="rId9" Type="http://schemas.openxmlformats.org/officeDocument/2006/relationships/ctrlProp" Target="../ctrlProps/ctrlProp836.xml"/></Relationships>
</file>

<file path=xl/worksheets/_rels/sheet135.xml.rels><?xml version="1.0" encoding="UTF-8" standalone="yes"?>
<Relationships xmlns="http://schemas.openxmlformats.org/package/2006/relationships"><Relationship Id="rId8" Type="http://schemas.openxmlformats.org/officeDocument/2006/relationships/ctrlProp" Target="../ctrlProps/ctrlProp844.xml"/><Relationship Id="rId3" Type="http://schemas.openxmlformats.org/officeDocument/2006/relationships/vmlDrawing" Target="../drawings/vmlDrawing119.vml"/><Relationship Id="rId7" Type="http://schemas.openxmlformats.org/officeDocument/2006/relationships/ctrlProp" Target="../ctrlProps/ctrlProp843.xml"/><Relationship Id="rId12" Type="http://schemas.openxmlformats.org/officeDocument/2006/relationships/ctrlProp" Target="../ctrlProps/ctrlProp848.xml"/><Relationship Id="rId2" Type="http://schemas.openxmlformats.org/officeDocument/2006/relationships/drawing" Target="../drawings/drawing120.xml"/><Relationship Id="rId1" Type="http://schemas.openxmlformats.org/officeDocument/2006/relationships/hyperlink" Target="mailto:datamateapp@gmail.com" TargetMode="External"/><Relationship Id="rId6" Type="http://schemas.openxmlformats.org/officeDocument/2006/relationships/ctrlProp" Target="../ctrlProps/ctrlProp842.xml"/><Relationship Id="rId11" Type="http://schemas.openxmlformats.org/officeDocument/2006/relationships/ctrlProp" Target="../ctrlProps/ctrlProp847.xml"/><Relationship Id="rId5" Type="http://schemas.openxmlformats.org/officeDocument/2006/relationships/ctrlProp" Target="../ctrlProps/ctrlProp841.xml"/><Relationship Id="rId10" Type="http://schemas.openxmlformats.org/officeDocument/2006/relationships/ctrlProp" Target="../ctrlProps/ctrlProp846.xml"/><Relationship Id="rId4" Type="http://schemas.openxmlformats.org/officeDocument/2006/relationships/ctrlProp" Target="../ctrlProps/ctrlProp840.xml"/><Relationship Id="rId9" Type="http://schemas.openxmlformats.org/officeDocument/2006/relationships/ctrlProp" Target="../ctrlProps/ctrlProp845.xml"/></Relationships>
</file>

<file path=xl/worksheets/_rels/sheet136.xml.rels><?xml version="1.0" encoding="UTF-8" standalone="yes"?>
<Relationships xmlns="http://schemas.openxmlformats.org/package/2006/relationships"><Relationship Id="rId8" Type="http://schemas.openxmlformats.org/officeDocument/2006/relationships/ctrlProp" Target="../ctrlProps/ctrlProp853.xml"/><Relationship Id="rId3" Type="http://schemas.openxmlformats.org/officeDocument/2006/relationships/vmlDrawing" Target="../drawings/vmlDrawing120.vml"/><Relationship Id="rId7" Type="http://schemas.openxmlformats.org/officeDocument/2006/relationships/ctrlProp" Target="../ctrlProps/ctrlProp852.xml"/><Relationship Id="rId2" Type="http://schemas.openxmlformats.org/officeDocument/2006/relationships/drawing" Target="../drawings/drawing121.xml"/><Relationship Id="rId1" Type="http://schemas.openxmlformats.org/officeDocument/2006/relationships/hyperlink" Target="mailto:datamateapp@gmail.com" TargetMode="External"/><Relationship Id="rId6" Type="http://schemas.openxmlformats.org/officeDocument/2006/relationships/ctrlProp" Target="../ctrlProps/ctrlProp851.xml"/><Relationship Id="rId11" Type="http://schemas.openxmlformats.org/officeDocument/2006/relationships/ctrlProp" Target="../ctrlProps/ctrlProp856.xml"/><Relationship Id="rId5" Type="http://schemas.openxmlformats.org/officeDocument/2006/relationships/ctrlProp" Target="../ctrlProps/ctrlProp850.xml"/><Relationship Id="rId10" Type="http://schemas.openxmlformats.org/officeDocument/2006/relationships/ctrlProp" Target="../ctrlProps/ctrlProp855.xml"/><Relationship Id="rId4" Type="http://schemas.openxmlformats.org/officeDocument/2006/relationships/ctrlProp" Target="../ctrlProps/ctrlProp849.xml"/><Relationship Id="rId9" Type="http://schemas.openxmlformats.org/officeDocument/2006/relationships/ctrlProp" Target="../ctrlProps/ctrlProp854.xml"/></Relationships>
</file>

<file path=xl/worksheets/_rels/sheet13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41.xml.rels><?xml version="1.0" encoding="UTF-8" standalone="yes"?>
<Relationships xmlns="http://schemas.openxmlformats.org/package/2006/relationships"><Relationship Id="rId8" Type="http://schemas.openxmlformats.org/officeDocument/2006/relationships/ctrlProp" Target="../ctrlProps/ctrlProp861.xml"/><Relationship Id="rId3" Type="http://schemas.openxmlformats.org/officeDocument/2006/relationships/vmlDrawing" Target="../drawings/vmlDrawing121.vml"/><Relationship Id="rId7" Type="http://schemas.openxmlformats.org/officeDocument/2006/relationships/ctrlProp" Target="../ctrlProps/ctrlProp860.xml"/><Relationship Id="rId12" Type="http://schemas.openxmlformats.org/officeDocument/2006/relationships/ctrlProp" Target="../ctrlProps/ctrlProp865.xml"/><Relationship Id="rId2" Type="http://schemas.openxmlformats.org/officeDocument/2006/relationships/drawing" Target="../drawings/drawing122.xml"/><Relationship Id="rId1" Type="http://schemas.openxmlformats.org/officeDocument/2006/relationships/hyperlink" Target="mailto:datamateapp@gmail.com" TargetMode="External"/><Relationship Id="rId6" Type="http://schemas.openxmlformats.org/officeDocument/2006/relationships/ctrlProp" Target="../ctrlProps/ctrlProp859.xml"/><Relationship Id="rId11" Type="http://schemas.openxmlformats.org/officeDocument/2006/relationships/ctrlProp" Target="../ctrlProps/ctrlProp864.xml"/><Relationship Id="rId5" Type="http://schemas.openxmlformats.org/officeDocument/2006/relationships/ctrlProp" Target="../ctrlProps/ctrlProp858.xml"/><Relationship Id="rId10" Type="http://schemas.openxmlformats.org/officeDocument/2006/relationships/ctrlProp" Target="../ctrlProps/ctrlProp863.xml"/><Relationship Id="rId4" Type="http://schemas.openxmlformats.org/officeDocument/2006/relationships/ctrlProp" Target="../ctrlProps/ctrlProp857.xml"/><Relationship Id="rId9" Type="http://schemas.openxmlformats.org/officeDocument/2006/relationships/ctrlProp" Target="../ctrlProps/ctrlProp862.xml"/></Relationships>
</file>

<file path=xl/worksheets/_rels/sheet142.xml.rels><?xml version="1.0" encoding="UTF-8" standalone="yes"?>
<Relationships xmlns="http://schemas.openxmlformats.org/package/2006/relationships"><Relationship Id="rId8" Type="http://schemas.openxmlformats.org/officeDocument/2006/relationships/ctrlProp" Target="../ctrlProps/ctrlProp870.xml"/><Relationship Id="rId3" Type="http://schemas.openxmlformats.org/officeDocument/2006/relationships/vmlDrawing" Target="../drawings/vmlDrawing122.vml"/><Relationship Id="rId7" Type="http://schemas.openxmlformats.org/officeDocument/2006/relationships/ctrlProp" Target="../ctrlProps/ctrlProp869.xml"/><Relationship Id="rId12" Type="http://schemas.openxmlformats.org/officeDocument/2006/relationships/ctrlProp" Target="../ctrlProps/ctrlProp874.xml"/><Relationship Id="rId2" Type="http://schemas.openxmlformats.org/officeDocument/2006/relationships/drawing" Target="../drawings/drawing123.xml"/><Relationship Id="rId1" Type="http://schemas.openxmlformats.org/officeDocument/2006/relationships/hyperlink" Target="mailto:datamateapp@gmail.com" TargetMode="External"/><Relationship Id="rId6" Type="http://schemas.openxmlformats.org/officeDocument/2006/relationships/ctrlProp" Target="../ctrlProps/ctrlProp868.xml"/><Relationship Id="rId11" Type="http://schemas.openxmlformats.org/officeDocument/2006/relationships/ctrlProp" Target="../ctrlProps/ctrlProp873.xml"/><Relationship Id="rId5" Type="http://schemas.openxmlformats.org/officeDocument/2006/relationships/ctrlProp" Target="../ctrlProps/ctrlProp867.xml"/><Relationship Id="rId10" Type="http://schemas.openxmlformats.org/officeDocument/2006/relationships/ctrlProp" Target="../ctrlProps/ctrlProp872.xml"/><Relationship Id="rId4" Type="http://schemas.openxmlformats.org/officeDocument/2006/relationships/ctrlProp" Target="../ctrlProps/ctrlProp866.xml"/><Relationship Id="rId9" Type="http://schemas.openxmlformats.org/officeDocument/2006/relationships/ctrlProp" Target="../ctrlProps/ctrlProp871.xml"/></Relationships>
</file>

<file path=xl/worksheets/_rels/sheet143.xml.rels><?xml version="1.0" encoding="UTF-8" standalone="yes"?>
<Relationships xmlns="http://schemas.openxmlformats.org/package/2006/relationships"><Relationship Id="rId8" Type="http://schemas.openxmlformats.org/officeDocument/2006/relationships/ctrlProp" Target="../ctrlProps/ctrlProp879.xml"/><Relationship Id="rId3" Type="http://schemas.openxmlformats.org/officeDocument/2006/relationships/vmlDrawing" Target="../drawings/vmlDrawing123.vml"/><Relationship Id="rId7" Type="http://schemas.openxmlformats.org/officeDocument/2006/relationships/ctrlProp" Target="../ctrlProps/ctrlProp878.xml"/><Relationship Id="rId12" Type="http://schemas.openxmlformats.org/officeDocument/2006/relationships/ctrlProp" Target="../ctrlProps/ctrlProp883.xml"/><Relationship Id="rId2" Type="http://schemas.openxmlformats.org/officeDocument/2006/relationships/drawing" Target="../drawings/drawing124.xml"/><Relationship Id="rId1" Type="http://schemas.openxmlformats.org/officeDocument/2006/relationships/hyperlink" Target="mailto:datamateapp@gmail.com" TargetMode="External"/><Relationship Id="rId6" Type="http://schemas.openxmlformats.org/officeDocument/2006/relationships/ctrlProp" Target="../ctrlProps/ctrlProp877.xml"/><Relationship Id="rId11" Type="http://schemas.openxmlformats.org/officeDocument/2006/relationships/ctrlProp" Target="../ctrlProps/ctrlProp882.xml"/><Relationship Id="rId5" Type="http://schemas.openxmlformats.org/officeDocument/2006/relationships/ctrlProp" Target="../ctrlProps/ctrlProp876.xml"/><Relationship Id="rId10" Type="http://schemas.openxmlformats.org/officeDocument/2006/relationships/ctrlProp" Target="../ctrlProps/ctrlProp881.xml"/><Relationship Id="rId4" Type="http://schemas.openxmlformats.org/officeDocument/2006/relationships/ctrlProp" Target="../ctrlProps/ctrlProp875.xml"/><Relationship Id="rId9" Type="http://schemas.openxmlformats.org/officeDocument/2006/relationships/ctrlProp" Target="../ctrlProps/ctrlProp880.xml"/></Relationships>
</file>

<file path=xl/worksheets/_rels/sheet144.xml.rels><?xml version="1.0" encoding="UTF-8" standalone="yes"?>
<Relationships xmlns="http://schemas.openxmlformats.org/package/2006/relationships"><Relationship Id="rId8" Type="http://schemas.openxmlformats.org/officeDocument/2006/relationships/ctrlProp" Target="../ctrlProps/ctrlProp888.xml"/><Relationship Id="rId3" Type="http://schemas.openxmlformats.org/officeDocument/2006/relationships/vmlDrawing" Target="../drawings/vmlDrawing124.vml"/><Relationship Id="rId7" Type="http://schemas.openxmlformats.org/officeDocument/2006/relationships/ctrlProp" Target="../ctrlProps/ctrlProp887.xml"/><Relationship Id="rId12" Type="http://schemas.openxmlformats.org/officeDocument/2006/relationships/ctrlProp" Target="../ctrlProps/ctrlProp892.xml"/><Relationship Id="rId2" Type="http://schemas.openxmlformats.org/officeDocument/2006/relationships/drawing" Target="../drawings/drawing125.xml"/><Relationship Id="rId1" Type="http://schemas.openxmlformats.org/officeDocument/2006/relationships/hyperlink" Target="mailto:datamateapp@gmail.com" TargetMode="External"/><Relationship Id="rId6" Type="http://schemas.openxmlformats.org/officeDocument/2006/relationships/ctrlProp" Target="../ctrlProps/ctrlProp886.xml"/><Relationship Id="rId11" Type="http://schemas.openxmlformats.org/officeDocument/2006/relationships/ctrlProp" Target="../ctrlProps/ctrlProp891.xml"/><Relationship Id="rId5" Type="http://schemas.openxmlformats.org/officeDocument/2006/relationships/ctrlProp" Target="../ctrlProps/ctrlProp885.xml"/><Relationship Id="rId10" Type="http://schemas.openxmlformats.org/officeDocument/2006/relationships/ctrlProp" Target="../ctrlProps/ctrlProp890.xml"/><Relationship Id="rId4" Type="http://schemas.openxmlformats.org/officeDocument/2006/relationships/ctrlProp" Target="../ctrlProps/ctrlProp884.xml"/><Relationship Id="rId9" Type="http://schemas.openxmlformats.org/officeDocument/2006/relationships/ctrlProp" Target="../ctrlProps/ctrlProp889.xml"/></Relationships>
</file>

<file path=xl/worksheets/_rels/sheet145.xml.rels><?xml version="1.0" encoding="UTF-8" standalone="yes"?>
<Relationships xmlns="http://schemas.openxmlformats.org/package/2006/relationships"><Relationship Id="rId8" Type="http://schemas.openxmlformats.org/officeDocument/2006/relationships/ctrlProp" Target="../ctrlProps/ctrlProp897.xml"/><Relationship Id="rId3" Type="http://schemas.openxmlformats.org/officeDocument/2006/relationships/vmlDrawing" Target="../drawings/vmlDrawing125.vml"/><Relationship Id="rId7" Type="http://schemas.openxmlformats.org/officeDocument/2006/relationships/ctrlProp" Target="../ctrlProps/ctrlProp896.xml"/><Relationship Id="rId12" Type="http://schemas.openxmlformats.org/officeDocument/2006/relationships/ctrlProp" Target="../ctrlProps/ctrlProp901.xml"/><Relationship Id="rId2" Type="http://schemas.openxmlformats.org/officeDocument/2006/relationships/drawing" Target="../drawings/drawing126.xml"/><Relationship Id="rId1" Type="http://schemas.openxmlformats.org/officeDocument/2006/relationships/hyperlink" Target="mailto:datamateapp@gmail.com" TargetMode="External"/><Relationship Id="rId6" Type="http://schemas.openxmlformats.org/officeDocument/2006/relationships/ctrlProp" Target="../ctrlProps/ctrlProp895.xml"/><Relationship Id="rId11" Type="http://schemas.openxmlformats.org/officeDocument/2006/relationships/ctrlProp" Target="../ctrlProps/ctrlProp900.xml"/><Relationship Id="rId5" Type="http://schemas.openxmlformats.org/officeDocument/2006/relationships/ctrlProp" Target="../ctrlProps/ctrlProp894.xml"/><Relationship Id="rId10" Type="http://schemas.openxmlformats.org/officeDocument/2006/relationships/ctrlProp" Target="../ctrlProps/ctrlProp899.xml"/><Relationship Id="rId4" Type="http://schemas.openxmlformats.org/officeDocument/2006/relationships/ctrlProp" Target="../ctrlProps/ctrlProp893.xml"/><Relationship Id="rId9" Type="http://schemas.openxmlformats.org/officeDocument/2006/relationships/ctrlProp" Target="../ctrlProps/ctrlProp898.xml"/></Relationships>
</file>

<file path=xl/worksheets/_rels/sheet146.xml.rels><?xml version="1.0" encoding="UTF-8" standalone="yes"?>
<Relationships xmlns="http://schemas.openxmlformats.org/package/2006/relationships"><Relationship Id="rId8" Type="http://schemas.openxmlformats.org/officeDocument/2006/relationships/ctrlProp" Target="../ctrlProps/ctrlProp906.xml"/><Relationship Id="rId3" Type="http://schemas.openxmlformats.org/officeDocument/2006/relationships/vmlDrawing" Target="../drawings/vmlDrawing126.vml"/><Relationship Id="rId7" Type="http://schemas.openxmlformats.org/officeDocument/2006/relationships/ctrlProp" Target="../ctrlProps/ctrlProp905.xml"/><Relationship Id="rId12" Type="http://schemas.openxmlformats.org/officeDocument/2006/relationships/ctrlProp" Target="../ctrlProps/ctrlProp910.xml"/><Relationship Id="rId2" Type="http://schemas.openxmlformats.org/officeDocument/2006/relationships/drawing" Target="../drawings/drawing127.xml"/><Relationship Id="rId1" Type="http://schemas.openxmlformats.org/officeDocument/2006/relationships/hyperlink" Target="mailto:datamateapp@gmail.com" TargetMode="External"/><Relationship Id="rId6" Type="http://schemas.openxmlformats.org/officeDocument/2006/relationships/ctrlProp" Target="../ctrlProps/ctrlProp904.xml"/><Relationship Id="rId11" Type="http://schemas.openxmlformats.org/officeDocument/2006/relationships/ctrlProp" Target="../ctrlProps/ctrlProp909.xml"/><Relationship Id="rId5" Type="http://schemas.openxmlformats.org/officeDocument/2006/relationships/ctrlProp" Target="../ctrlProps/ctrlProp903.xml"/><Relationship Id="rId10" Type="http://schemas.openxmlformats.org/officeDocument/2006/relationships/ctrlProp" Target="../ctrlProps/ctrlProp908.xml"/><Relationship Id="rId4" Type="http://schemas.openxmlformats.org/officeDocument/2006/relationships/ctrlProp" Target="../ctrlProps/ctrlProp902.xml"/><Relationship Id="rId9" Type="http://schemas.openxmlformats.org/officeDocument/2006/relationships/ctrlProp" Target="../ctrlProps/ctrlProp907.xml"/></Relationships>
</file>

<file path=xl/worksheets/_rels/sheet147.xml.rels><?xml version="1.0" encoding="UTF-8" standalone="yes"?>
<Relationships xmlns="http://schemas.openxmlformats.org/package/2006/relationships"><Relationship Id="rId8" Type="http://schemas.openxmlformats.org/officeDocument/2006/relationships/ctrlProp" Target="../ctrlProps/ctrlProp915.xml"/><Relationship Id="rId3" Type="http://schemas.openxmlformats.org/officeDocument/2006/relationships/vmlDrawing" Target="../drawings/vmlDrawing127.vml"/><Relationship Id="rId7" Type="http://schemas.openxmlformats.org/officeDocument/2006/relationships/ctrlProp" Target="../ctrlProps/ctrlProp914.xml"/><Relationship Id="rId12" Type="http://schemas.openxmlformats.org/officeDocument/2006/relationships/ctrlProp" Target="../ctrlProps/ctrlProp919.xml"/><Relationship Id="rId2" Type="http://schemas.openxmlformats.org/officeDocument/2006/relationships/drawing" Target="../drawings/drawing128.xml"/><Relationship Id="rId1" Type="http://schemas.openxmlformats.org/officeDocument/2006/relationships/hyperlink" Target="mailto:datamateapp@gmail.com" TargetMode="External"/><Relationship Id="rId6" Type="http://schemas.openxmlformats.org/officeDocument/2006/relationships/ctrlProp" Target="../ctrlProps/ctrlProp913.xml"/><Relationship Id="rId11" Type="http://schemas.openxmlformats.org/officeDocument/2006/relationships/ctrlProp" Target="../ctrlProps/ctrlProp918.xml"/><Relationship Id="rId5" Type="http://schemas.openxmlformats.org/officeDocument/2006/relationships/ctrlProp" Target="../ctrlProps/ctrlProp912.xml"/><Relationship Id="rId10" Type="http://schemas.openxmlformats.org/officeDocument/2006/relationships/ctrlProp" Target="../ctrlProps/ctrlProp917.xml"/><Relationship Id="rId4" Type="http://schemas.openxmlformats.org/officeDocument/2006/relationships/ctrlProp" Target="../ctrlProps/ctrlProp911.xml"/><Relationship Id="rId9" Type="http://schemas.openxmlformats.org/officeDocument/2006/relationships/ctrlProp" Target="../ctrlProps/ctrlProp916.xml"/></Relationships>
</file>

<file path=xl/worksheets/_rels/sheet148.xml.rels><?xml version="1.0" encoding="UTF-8" standalone="yes"?>
<Relationships xmlns="http://schemas.openxmlformats.org/package/2006/relationships"><Relationship Id="rId8" Type="http://schemas.openxmlformats.org/officeDocument/2006/relationships/ctrlProp" Target="../ctrlProps/ctrlProp924.xml"/><Relationship Id="rId3" Type="http://schemas.openxmlformats.org/officeDocument/2006/relationships/vmlDrawing" Target="../drawings/vmlDrawing128.vml"/><Relationship Id="rId7" Type="http://schemas.openxmlformats.org/officeDocument/2006/relationships/ctrlProp" Target="../ctrlProps/ctrlProp923.xml"/><Relationship Id="rId12" Type="http://schemas.openxmlformats.org/officeDocument/2006/relationships/ctrlProp" Target="../ctrlProps/ctrlProp928.xml"/><Relationship Id="rId2" Type="http://schemas.openxmlformats.org/officeDocument/2006/relationships/drawing" Target="../drawings/drawing129.xml"/><Relationship Id="rId1" Type="http://schemas.openxmlformats.org/officeDocument/2006/relationships/hyperlink" Target="mailto:datamateapp@gmail.com" TargetMode="External"/><Relationship Id="rId6" Type="http://schemas.openxmlformats.org/officeDocument/2006/relationships/ctrlProp" Target="../ctrlProps/ctrlProp922.xml"/><Relationship Id="rId11" Type="http://schemas.openxmlformats.org/officeDocument/2006/relationships/ctrlProp" Target="../ctrlProps/ctrlProp927.xml"/><Relationship Id="rId5" Type="http://schemas.openxmlformats.org/officeDocument/2006/relationships/ctrlProp" Target="../ctrlProps/ctrlProp921.xml"/><Relationship Id="rId10" Type="http://schemas.openxmlformats.org/officeDocument/2006/relationships/ctrlProp" Target="../ctrlProps/ctrlProp926.xml"/><Relationship Id="rId4" Type="http://schemas.openxmlformats.org/officeDocument/2006/relationships/ctrlProp" Target="../ctrlProps/ctrlProp920.xml"/><Relationship Id="rId9" Type="http://schemas.openxmlformats.org/officeDocument/2006/relationships/ctrlProp" Target="../ctrlProps/ctrlProp925.xml"/></Relationships>
</file>

<file path=xl/worksheets/_rels/sheet149.xml.rels><?xml version="1.0" encoding="UTF-8" standalone="yes"?>
<Relationships xmlns="http://schemas.openxmlformats.org/package/2006/relationships"><Relationship Id="rId8" Type="http://schemas.openxmlformats.org/officeDocument/2006/relationships/ctrlProp" Target="../ctrlProps/ctrlProp933.xml"/><Relationship Id="rId3" Type="http://schemas.openxmlformats.org/officeDocument/2006/relationships/vmlDrawing" Target="../drawings/vmlDrawing129.vml"/><Relationship Id="rId7" Type="http://schemas.openxmlformats.org/officeDocument/2006/relationships/ctrlProp" Target="../ctrlProps/ctrlProp932.xml"/><Relationship Id="rId2" Type="http://schemas.openxmlformats.org/officeDocument/2006/relationships/drawing" Target="../drawings/drawing130.xml"/><Relationship Id="rId1" Type="http://schemas.openxmlformats.org/officeDocument/2006/relationships/hyperlink" Target="mailto:datamateapp@gmail.com" TargetMode="External"/><Relationship Id="rId6" Type="http://schemas.openxmlformats.org/officeDocument/2006/relationships/ctrlProp" Target="../ctrlProps/ctrlProp931.xml"/><Relationship Id="rId11" Type="http://schemas.openxmlformats.org/officeDocument/2006/relationships/ctrlProp" Target="../ctrlProps/ctrlProp936.xml"/><Relationship Id="rId5" Type="http://schemas.openxmlformats.org/officeDocument/2006/relationships/ctrlProp" Target="../ctrlProps/ctrlProp930.xml"/><Relationship Id="rId10" Type="http://schemas.openxmlformats.org/officeDocument/2006/relationships/ctrlProp" Target="../ctrlProps/ctrlProp935.xml"/><Relationship Id="rId4" Type="http://schemas.openxmlformats.org/officeDocument/2006/relationships/ctrlProp" Target="../ctrlProps/ctrlProp929.xml"/><Relationship Id="rId9" Type="http://schemas.openxmlformats.org/officeDocument/2006/relationships/ctrlProp" Target="../ctrlProps/ctrlProp934.xml"/></Relationships>
</file>

<file path=xl/worksheets/_rels/sheet150.xml.rels><?xml version="1.0" encoding="UTF-8" standalone="yes"?>
<Relationships xmlns="http://schemas.openxmlformats.org/package/2006/relationships"><Relationship Id="rId3" Type="http://schemas.openxmlformats.org/officeDocument/2006/relationships/vmlDrawing" Target="../drawings/vmlDrawing130.vml"/><Relationship Id="rId7" Type="http://schemas.openxmlformats.org/officeDocument/2006/relationships/ctrlProp" Target="../ctrlProps/ctrlProp940.xml"/><Relationship Id="rId2" Type="http://schemas.openxmlformats.org/officeDocument/2006/relationships/drawing" Target="../drawings/drawing131.xml"/><Relationship Id="rId1" Type="http://schemas.openxmlformats.org/officeDocument/2006/relationships/hyperlink" Target="mailto:datamateapp@gmail.com" TargetMode="External"/><Relationship Id="rId6" Type="http://schemas.openxmlformats.org/officeDocument/2006/relationships/ctrlProp" Target="../ctrlProps/ctrlProp939.xml"/><Relationship Id="rId5" Type="http://schemas.openxmlformats.org/officeDocument/2006/relationships/ctrlProp" Target="../ctrlProps/ctrlProp938.xml"/><Relationship Id="rId4" Type="http://schemas.openxmlformats.org/officeDocument/2006/relationships/ctrlProp" Target="../ctrlProps/ctrlProp937.xml"/></Relationships>
</file>

<file path=xl/worksheets/_rels/sheet151.xml.rels><?xml version="1.0" encoding="UTF-8" standalone="yes"?>
<Relationships xmlns="http://schemas.openxmlformats.org/package/2006/relationships"><Relationship Id="rId3" Type="http://schemas.openxmlformats.org/officeDocument/2006/relationships/ctrlProp" Target="../ctrlProps/ctrlProp941.xml"/><Relationship Id="rId2" Type="http://schemas.openxmlformats.org/officeDocument/2006/relationships/vmlDrawing" Target="../drawings/vmlDrawing131.vml"/><Relationship Id="rId1" Type="http://schemas.openxmlformats.org/officeDocument/2006/relationships/drawing" Target="../drawings/drawing132.xml"/><Relationship Id="rId5" Type="http://schemas.openxmlformats.org/officeDocument/2006/relationships/ctrlProp" Target="../ctrlProps/ctrlProp943.xml"/><Relationship Id="rId4" Type="http://schemas.openxmlformats.org/officeDocument/2006/relationships/ctrlProp" Target="../ctrlProps/ctrlProp942.xml"/></Relationships>
</file>

<file path=xl/worksheets/_rels/sheet152.xml.rels><?xml version="1.0" encoding="UTF-8" standalone="yes"?>
<Relationships xmlns="http://schemas.openxmlformats.org/package/2006/relationships"><Relationship Id="rId3" Type="http://schemas.openxmlformats.org/officeDocument/2006/relationships/ctrlProp" Target="../ctrlProps/ctrlProp944.xml"/><Relationship Id="rId2" Type="http://schemas.openxmlformats.org/officeDocument/2006/relationships/vmlDrawing" Target="../drawings/vmlDrawing132.vml"/><Relationship Id="rId1" Type="http://schemas.openxmlformats.org/officeDocument/2006/relationships/drawing" Target="../drawings/drawing133.xml"/></Relationships>
</file>

<file path=xl/worksheets/_rels/sheet154.xml.rels><?xml version="1.0" encoding="UTF-8" standalone="yes"?>
<Relationships xmlns="http://schemas.openxmlformats.org/package/2006/relationships"><Relationship Id="rId8" Type="http://schemas.openxmlformats.org/officeDocument/2006/relationships/ctrlProp" Target="../ctrlProps/ctrlProp949.xml"/><Relationship Id="rId3" Type="http://schemas.openxmlformats.org/officeDocument/2006/relationships/vmlDrawing" Target="../drawings/vmlDrawing133.vml"/><Relationship Id="rId7" Type="http://schemas.openxmlformats.org/officeDocument/2006/relationships/ctrlProp" Target="../ctrlProps/ctrlProp948.xml"/><Relationship Id="rId12" Type="http://schemas.openxmlformats.org/officeDocument/2006/relationships/ctrlProp" Target="../ctrlProps/ctrlProp953.xml"/><Relationship Id="rId2" Type="http://schemas.openxmlformats.org/officeDocument/2006/relationships/drawing" Target="../drawings/drawing134.xml"/><Relationship Id="rId1" Type="http://schemas.openxmlformats.org/officeDocument/2006/relationships/hyperlink" Target="mailto:datamateapp@gmail.com" TargetMode="External"/><Relationship Id="rId6" Type="http://schemas.openxmlformats.org/officeDocument/2006/relationships/ctrlProp" Target="../ctrlProps/ctrlProp947.xml"/><Relationship Id="rId11" Type="http://schemas.openxmlformats.org/officeDocument/2006/relationships/ctrlProp" Target="../ctrlProps/ctrlProp952.xml"/><Relationship Id="rId5" Type="http://schemas.openxmlformats.org/officeDocument/2006/relationships/ctrlProp" Target="../ctrlProps/ctrlProp946.xml"/><Relationship Id="rId10" Type="http://schemas.openxmlformats.org/officeDocument/2006/relationships/ctrlProp" Target="../ctrlProps/ctrlProp951.xml"/><Relationship Id="rId4" Type="http://schemas.openxmlformats.org/officeDocument/2006/relationships/ctrlProp" Target="../ctrlProps/ctrlProp945.xml"/><Relationship Id="rId9" Type="http://schemas.openxmlformats.org/officeDocument/2006/relationships/ctrlProp" Target="../ctrlProps/ctrlProp950.xml"/></Relationships>
</file>

<file path=xl/worksheets/_rels/sheet155.xml.rels><?xml version="1.0" encoding="UTF-8" standalone="yes"?>
<Relationships xmlns="http://schemas.openxmlformats.org/package/2006/relationships"><Relationship Id="rId8" Type="http://schemas.openxmlformats.org/officeDocument/2006/relationships/ctrlProp" Target="../ctrlProps/ctrlProp958.xml"/><Relationship Id="rId3" Type="http://schemas.openxmlformats.org/officeDocument/2006/relationships/vmlDrawing" Target="../drawings/vmlDrawing134.vml"/><Relationship Id="rId7" Type="http://schemas.openxmlformats.org/officeDocument/2006/relationships/ctrlProp" Target="../ctrlProps/ctrlProp957.xml"/><Relationship Id="rId12" Type="http://schemas.openxmlformats.org/officeDocument/2006/relationships/ctrlProp" Target="../ctrlProps/ctrlProp962.xml"/><Relationship Id="rId2" Type="http://schemas.openxmlformats.org/officeDocument/2006/relationships/drawing" Target="../drawings/drawing135.xml"/><Relationship Id="rId1" Type="http://schemas.openxmlformats.org/officeDocument/2006/relationships/hyperlink" Target="mailto:datamateapp@gmail.com" TargetMode="External"/><Relationship Id="rId6" Type="http://schemas.openxmlformats.org/officeDocument/2006/relationships/ctrlProp" Target="../ctrlProps/ctrlProp956.xml"/><Relationship Id="rId11" Type="http://schemas.openxmlformats.org/officeDocument/2006/relationships/ctrlProp" Target="../ctrlProps/ctrlProp961.xml"/><Relationship Id="rId5" Type="http://schemas.openxmlformats.org/officeDocument/2006/relationships/ctrlProp" Target="../ctrlProps/ctrlProp955.xml"/><Relationship Id="rId10" Type="http://schemas.openxmlformats.org/officeDocument/2006/relationships/ctrlProp" Target="../ctrlProps/ctrlProp960.xml"/><Relationship Id="rId4" Type="http://schemas.openxmlformats.org/officeDocument/2006/relationships/ctrlProp" Target="../ctrlProps/ctrlProp954.xml"/><Relationship Id="rId9" Type="http://schemas.openxmlformats.org/officeDocument/2006/relationships/ctrlProp" Target="../ctrlProps/ctrlProp959.xml"/></Relationships>
</file>

<file path=xl/worksheets/_rels/sheet156.xml.rels><?xml version="1.0" encoding="UTF-8" standalone="yes"?>
<Relationships xmlns="http://schemas.openxmlformats.org/package/2006/relationships"><Relationship Id="rId8" Type="http://schemas.openxmlformats.org/officeDocument/2006/relationships/ctrlProp" Target="../ctrlProps/ctrlProp967.xml"/><Relationship Id="rId3" Type="http://schemas.openxmlformats.org/officeDocument/2006/relationships/vmlDrawing" Target="../drawings/vmlDrawing135.vml"/><Relationship Id="rId7" Type="http://schemas.openxmlformats.org/officeDocument/2006/relationships/ctrlProp" Target="../ctrlProps/ctrlProp966.xml"/><Relationship Id="rId12" Type="http://schemas.openxmlformats.org/officeDocument/2006/relationships/ctrlProp" Target="../ctrlProps/ctrlProp971.xml"/><Relationship Id="rId2" Type="http://schemas.openxmlformats.org/officeDocument/2006/relationships/drawing" Target="../drawings/drawing136.xml"/><Relationship Id="rId1" Type="http://schemas.openxmlformats.org/officeDocument/2006/relationships/hyperlink" Target="mailto:datamateapp@gmail.com" TargetMode="External"/><Relationship Id="rId6" Type="http://schemas.openxmlformats.org/officeDocument/2006/relationships/ctrlProp" Target="../ctrlProps/ctrlProp965.xml"/><Relationship Id="rId11" Type="http://schemas.openxmlformats.org/officeDocument/2006/relationships/ctrlProp" Target="../ctrlProps/ctrlProp970.xml"/><Relationship Id="rId5" Type="http://schemas.openxmlformats.org/officeDocument/2006/relationships/ctrlProp" Target="../ctrlProps/ctrlProp964.xml"/><Relationship Id="rId10" Type="http://schemas.openxmlformats.org/officeDocument/2006/relationships/ctrlProp" Target="../ctrlProps/ctrlProp969.xml"/><Relationship Id="rId4" Type="http://schemas.openxmlformats.org/officeDocument/2006/relationships/ctrlProp" Target="../ctrlProps/ctrlProp963.xml"/><Relationship Id="rId9" Type="http://schemas.openxmlformats.org/officeDocument/2006/relationships/ctrlProp" Target="../ctrlProps/ctrlProp968.xml"/></Relationships>
</file>

<file path=xl/worksheets/_rels/sheet157.xml.rels><?xml version="1.0" encoding="UTF-8" standalone="yes"?>
<Relationships xmlns="http://schemas.openxmlformats.org/package/2006/relationships"><Relationship Id="rId8" Type="http://schemas.openxmlformats.org/officeDocument/2006/relationships/ctrlProp" Target="../ctrlProps/ctrlProp976.xml"/><Relationship Id="rId3" Type="http://schemas.openxmlformats.org/officeDocument/2006/relationships/vmlDrawing" Target="../drawings/vmlDrawing136.vml"/><Relationship Id="rId7" Type="http://schemas.openxmlformats.org/officeDocument/2006/relationships/ctrlProp" Target="../ctrlProps/ctrlProp975.xml"/><Relationship Id="rId12" Type="http://schemas.openxmlformats.org/officeDocument/2006/relationships/ctrlProp" Target="../ctrlProps/ctrlProp980.xml"/><Relationship Id="rId2" Type="http://schemas.openxmlformats.org/officeDocument/2006/relationships/drawing" Target="../drawings/drawing137.xml"/><Relationship Id="rId1" Type="http://schemas.openxmlformats.org/officeDocument/2006/relationships/hyperlink" Target="mailto:datamateapp@gmail.com" TargetMode="External"/><Relationship Id="rId6" Type="http://schemas.openxmlformats.org/officeDocument/2006/relationships/ctrlProp" Target="../ctrlProps/ctrlProp974.xml"/><Relationship Id="rId11" Type="http://schemas.openxmlformats.org/officeDocument/2006/relationships/ctrlProp" Target="../ctrlProps/ctrlProp979.xml"/><Relationship Id="rId5" Type="http://schemas.openxmlformats.org/officeDocument/2006/relationships/ctrlProp" Target="../ctrlProps/ctrlProp973.xml"/><Relationship Id="rId10" Type="http://schemas.openxmlformats.org/officeDocument/2006/relationships/ctrlProp" Target="../ctrlProps/ctrlProp978.xml"/><Relationship Id="rId4" Type="http://schemas.openxmlformats.org/officeDocument/2006/relationships/ctrlProp" Target="../ctrlProps/ctrlProp972.xml"/><Relationship Id="rId9" Type="http://schemas.openxmlformats.org/officeDocument/2006/relationships/ctrlProp" Target="../ctrlProps/ctrlProp977.xml"/></Relationships>
</file>

<file path=xl/worksheets/_rels/sheet158.xml.rels><?xml version="1.0" encoding="UTF-8" standalone="yes"?>
<Relationships xmlns="http://schemas.openxmlformats.org/package/2006/relationships"><Relationship Id="rId8" Type="http://schemas.openxmlformats.org/officeDocument/2006/relationships/ctrlProp" Target="../ctrlProps/ctrlProp985.xml"/><Relationship Id="rId3" Type="http://schemas.openxmlformats.org/officeDocument/2006/relationships/vmlDrawing" Target="../drawings/vmlDrawing137.vml"/><Relationship Id="rId7" Type="http://schemas.openxmlformats.org/officeDocument/2006/relationships/ctrlProp" Target="../ctrlProps/ctrlProp984.xml"/><Relationship Id="rId12" Type="http://schemas.openxmlformats.org/officeDocument/2006/relationships/ctrlProp" Target="../ctrlProps/ctrlProp989.xml"/><Relationship Id="rId2" Type="http://schemas.openxmlformats.org/officeDocument/2006/relationships/drawing" Target="../drawings/drawing138.xml"/><Relationship Id="rId1" Type="http://schemas.openxmlformats.org/officeDocument/2006/relationships/hyperlink" Target="mailto:datamateapp@gmail.com" TargetMode="External"/><Relationship Id="rId6" Type="http://schemas.openxmlformats.org/officeDocument/2006/relationships/ctrlProp" Target="../ctrlProps/ctrlProp983.xml"/><Relationship Id="rId11" Type="http://schemas.openxmlformats.org/officeDocument/2006/relationships/ctrlProp" Target="../ctrlProps/ctrlProp988.xml"/><Relationship Id="rId5" Type="http://schemas.openxmlformats.org/officeDocument/2006/relationships/ctrlProp" Target="../ctrlProps/ctrlProp982.xml"/><Relationship Id="rId10" Type="http://schemas.openxmlformats.org/officeDocument/2006/relationships/ctrlProp" Target="../ctrlProps/ctrlProp987.xml"/><Relationship Id="rId4" Type="http://schemas.openxmlformats.org/officeDocument/2006/relationships/ctrlProp" Target="../ctrlProps/ctrlProp981.xml"/><Relationship Id="rId9" Type="http://schemas.openxmlformats.org/officeDocument/2006/relationships/ctrlProp" Target="../ctrlProps/ctrlProp986.xml"/></Relationships>
</file>

<file path=xl/worksheets/_rels/sheet159.xml.rels><?xml version="1.0" encoding="UTF-8" standalone="yes"?>
<Relationships xmlns="http://schemas.openxmlformats.org/package/2006/relationships"><Relationship Id="rId8" Type="http://schemas.openxmlformats.org/officeDocument/2006/relationships/ctrlProp" Target="../ctrlProps/ctrlProp994.xml"/><Relationship Id="rId3" Type="http://schemas.openxmlformats.org/officeDocument/2006/relationships/vmlDrawing" Target="../drawings/vmlDrawing138.vml"/><Relationship Id="rId7" Type="http://schemas.openxmlformats.org/officeDocument/2006/relationships/ctrlProp" Target="../ctrlProps/ctrlProp993.xml"/><Relationship Id="rId12" Type="http://schemas.openxmlformats.org/officeDocument/2006/relationships/ctrlProp" Target="../ctrlProps/ctrlProp998.xml"/><Relationship Id="rId2" Type="http://schemas.openxmlformats.org/officeDocument/2006/relationships/drawing" Target="../drawings/drawing139.xml"/><Relationship Id="rId1" Type="http://schemas.openxmlformats.org/officeDocument/2006/relationships/hyperlink" Target="mailto:datamateapp@gmail.com" TargetMode="External"/><Relationship Id="rId6" Type="http://schemas.openxmlformats.org/officeDocument/2006/relationships/ctrlProp" Target="../ctrlProps/ctrlProp992.xml"/><Relationship Id="rId11" Type="http://schemas.openxmlformats.org/officeDocument/2006/relationships/ctrlProp" Target="../ctrlProps/ctrlProp997.xml"/><Relationship Id="rId5" Type="http://schemas.openxmlformats.org/officeDocument/2006/relationships/ctrlProp" Target="../ctrlProps/ctrlProp991.xml"/><Relationship Id="rId10" Type="http://schemas.openxmlformats.org/officeDocument/2006/relationships/ctrlProp" Target="../ctrlProps/ctrlProp996.xml"/><Relationship Id="rId4" Type="http://schemas.openxmlformats.org/officeDocument/2006/relationships/ctrlProp" Target="../ctrlProps/ctrlProp990.xml"/><Relationship Id="rId9" Type="http://schemas.openxmlformats.org/officeDocument/2006/relationships/ctrlProp" Target="../ctrlProps/ctrlProp995.xml"/></Relationships>
</file>

<file path=xl/worksheets/_rels/sheet160.xml.rels><?xml version="1.0" encoding="UTF-8" standalone="yes"?>
<Relationships xmlns="http://schemas.openxmlformats.org/package/2006/relationships"><Relationship Id="rId8" Type="http://schemas.openxmlformats.org/officeDocument/2006/relationships/ctrlProp" Target="../ctrlProps/ctrlProp1003.xml"/><Relationship Id="rId3" Type="http://schemas.openxmlformats.org/officeDocument/2006/relationships/vmlDrawing" Target="../drawings/vmlDrawing139.vml"/><Relationship Id="rId7" Type="http://schemas.openxmlformats.org/officeDocument/2006/relationships/ctrlProp" Target="../ctrlProps/ctrlProp1002.xml"/><Relationship Id="rId12" Type="http://schemas.openxmlformats.org/officeDocument/2006/relationships/ctrlProp" Target="../ctrlProps/ctrlProp1007.xml"/><Relationship Id="rId2" Type="http://schemas.openxmlformats.org/officeDocument/2006/relationships/drawing" Target="../drawings/drawing140.xml"/><Relationship Id="rId1" Type="http://schemas.openxmlformats.org/officeDocument/2006/relationships/hyperlink" Target="mailto:datamateapp@gmail.com" TargetMode="External"/><Relationship Id="rId6" Type="http://schemas.openxmlformats.org/officeDocument/2006/relationships/ctrlProp" Target="../ctrlProps/ctrlProp1001.xml"/><Relationship Id="rId11" Type="http://schemas.openxmlformats.org/officeDocument/2006/relationships/ctrlProp" Target="../ctrlProps/ctrlProp1006.xml"/><Relationship Id="rId5" Type="http://schemas.openxmlformats.org/officeDocument/2006/relationships/ctrlProp" Target="../ctrlProps/ctrlProp1000.xml"/><Relationship Id="rId10" Type="http://schemas.openxmlformats.org/officeDocument/2006/relationships/ctrlProp" Target="../ctrlProps/ctrlProp1005.xml"/><Relationship Id="rId4" Type="http://schemas.openxmlformats.org/officeDocument/2006/relationships/ctrlProp" Target="../ctrlProps/ctrlProp999.xml"/><Relationship Id="rId9" Type="http://schemas.openxmlformats.org/officeDocument/2006/relationships/ctrlProp" Target="../ctrlProps/ctrlProp1004.xml"/></Relationships>
</file>

<file path=xl/worksheets/_rels/sheet161.xml.rels><?xml version="1.0" encoding="UTF-8" standalone="yes"?>
<Relationships xmlns="http://schemas.openxmlformats.org/package/2006/relationships"><Relationship Id="rId8" Type="http://schemas.openxmlformats.org/officeDocument/2006/relationships/ctrlProp" Target="../ctrlProps/ctrlProp1012.xml"/><Relationship Id="rId3" Type="http://schemas.openxmlformats.org/officeDocument/2006/relationships/vmlDrawing" Target="../drawings/vmlDrawing140.vml"/><Relationship Id="rId7" Type="http://schemas.openxmlformats.org/officeDocument/2006/relationships/ctrlProp" Target="../ctrlProps/ctrlProp1011.xml"/><Relationship Id="rId2" Type="http://schemas.openxmlformats.org/officeDocument/2006/relationships/drawing" Target="../drawings/drawing141.xml"/><Relationship Id="rId1" Type="http://schemas.openxmlformats.org/officeDocument/2006/relationships/hyperlink" Target="mailto:datamateapp@gmail.com" TargetMode="External"/><Relationship Id="rId6" Type="http://schemas.openxmlformats.org/officeDocument/2006/relationships/ctrlProp" Target="../ctrlProps/ctrlProp1010.xml"/><Relationship Id="rId11" Type="http://schemas.openxmlformats.org/officeDocument/2006/relationships/ctrlProp" Target="../ctrlProps/ctrlProp1015.xml"/><Relationship Id="rId5" Type="http://schemas.openxmlformats.org/officeDocument/2006/relationships/ctrlProp" Target="../ctrlProps/ctrlProp1009.xml"/><Relationship Id="rId10" Type="http://schemas.openxmlformats.org/officeDocument/2006/relationships/ctrlProp" Target="../ctrlProps/ctrlProp1014.xml"/><Relationship Id="rId4" Type="http://schemas.openxmlformats.org/officeDocument/2006/relationships/ctrlProp" Target="../ctrlProps/ctrlProp1008.xml"/><Relationship Id="rId9" Type="http://schemas.openxmlformats.org/officeDocument/2006/relationships/ctrlProp" Target="../ctrlProps/ctrlProp1013.xml"/></Relationships>
</file>

<file path=xl/worksheets/_rels/sheet162.xml.rels><?xml version="1.0" encoding="UTF-8" standalone="yes"?>
<Relationships xmlns="http://schemas.openxmlformats.org/package/2006/relationships"><Relationship Id="rId3" Type="http://schemas.openxmlformats.org/officeDocument/2006/relationships/vmlDrawing" Target="../drawings/vmlDrawing141.vml"/><Relationship Id="rId7" Type="http://schemas.openxmlformats.org/officeDocument/2006/relationships/ctrlProp" Target="../ctrlProps/ctrlProp1019.xml"/><Relationship Id="rId2" Type="http://schemas.openxmlformats.org/officeDocument/2006/relationships/drawing" Target="../drawings/drawing142.xml"/><Relationship Id="rId1" Type="http://schemas.openxmlformats.org/officeDocument/2006/relationships/hyperlink" Target="mailto:datamateapp@gmail.com" TargetMode="External"/><Relationship Id="rId6" Type="http://schemas.openxmlformats.org/officeDocument/2006/relationships/ctrlProp" Target="../ctrlProps/ctrlProp1018.xml"/><Relationship Id="rId5" Type="http://schemas.openxmlformats.org/officeDocument/2006/relationships/ctrlProp" Target="../ctrlProps/ctrlProp1017.xml"/><Relationship Id="rId4" Type="http://schemas.openxmlformats.org/officeDocument/2006/relationships/ctrlProp" Target="../ctrlProps/ctrlProp1016.xml"/></Relationships>
</file>

<file path=xl/worksheets/_rels/sheet163.xml.rels><?xml version="1.0" encoding="UTF-8" standalone="yes"?>
<Relationships xmlns="http://schemas.openxmlformats.org/package/2006/relationships"><Relationship Id="rId3" Type="http://schemas.openxmlformats.org/officeDocument/2006/relationships/ctrlProp" Target="../ctrlProps/ctrlProp1020.xml"/><Relationship Id="rId2" Type="http://schemas.openxmlformats.org/officeDocument/2006/relationships/vmlDrawing" Target="../drawings/vmlDrawing142.vml"/><Relationship Id="rId1" Type="http://schemas.openxmlformats.org/officeDocument/2006/relationships/drawing" Target="../drawings/drawing143.xml"/><Relationship Id="rId5" Type="http://schemas.openxmlformats.org/officeDocument/2006/relationships/ctrlProp" Target="../ctrlProps/ctrlProp1022.xml"/><Relationship Id="rId4" Type="http://schemas.openxmlformats.org/officeDocument/2006/relationships/ctrlProp" Target="../ctrlProps/ctrlProp1021.xml"/></Relationships>
</file>

<file path=xl/worksheets/_rels/sheet164.xml.rels><?xml version="1.0" encoding="UTF-8" standalone="yes"?>
<Relationships xmlns="http://schemas.openxmlformats.org/package/2006/relationships"><Relationship Id="rId3" Type="http://schemas.openxmlformats.org/officeDocument/2006/relationships/ctrlProp" Target="../ctrlProps/ctrlProp1023.xml"/><Relationship Id="rId2" Type="http://schemas.openxmlformats.org/officeDocument/2006/relationships/vmlDrawing" Target="../drawings/vmlDrawing143.vml"/><Relationship Id="rId1" Type="http://schemas.openxmlformats.org/officeDocument/2006/relationships/drawing" Target="../drawings/drawing144.xml"/></Relationships>
</file>

<file path=xl/worksheets/_rels/sheet166.xml.rels><?xml version="1.0" encoding="UTF-8" standalone="yes"?>
<Relationships xmlns="http://schemas.openxmlformats.org/package/2006/relationships"><Relationship Id="rId8" Type="http://schemas.openxmlformats.org/officeDocument/2006/relationships/ctrlProp" Target="../ctrlProps/ctrlProp1028.xml"/><Relationship Id="rId3" Type="http://schemas.openxmlformats.org/officeDocument/2006/relationships/vmlDrawing" Target="../drawings/vmlDrawing144.vml"/><Relationship Id="rId7" Type="http://schemas.openxmlformats.org/officeDocument/2006/relationships/ctrlProp" Target="../ctrlProps/ctrlProp1027.xml"/><Relationship Id="rId12" Type="http://schemas.openxmlformats.org/officeDocument/2006/relationships/ctrlProp" Target="../ctrlProps/ctrlProp1032.xml"/><Relationship Id="rId2" Type="http://schemas.openxmlformats.org/officeDocument/2006/relationships/drawing" Target="../drawings/drawing145.xml"/><Relationship Id="rId1" Type="http://schemas.openxmlformats.org/officeDocument/2006/relationships/hyperlink" Target="mailto:datamateapp@gmail.com" TargetMode="External"/><Relationship Id="rId6" Type="http://schemas.openxmlformats.org/officeDocument/2006/relationships/ctrlProp" Target="../ctrlProps/ctrlProp1026.xml"/><Relationship Id="rId11" Type="http://schemas.openxmlformats.org/officeDocument/2006/relationships/ctrlProp" Target="../ctrlProps/ctrlProp1031.xml"/><Relationship Id="rId5" Type="http://schemas.openxmlformats.org/officeDocument/2006/relationships/ctrlProp" Target="../ctrlProps/ctrlProp1025.xml"/><Relationship Id="rId10" Type="http://schemas.openxmlformats.org/officeDocument/2006/relationships/ctrlProp" Target="../ctrlProps/ctrlProp1030.xml"/><Relationship Id="rId4" Type="http://schemas.openxmlformats.org/officeDocument/2006/relationships/ctrlProp" Target="../ctrlProps/ctrlProp1024.xml"/><Relationship Id="rId9" Type="http://schemas.openxmlformats.org/officeDocument/2006/relationships/ctrlProp" Target="../ctrlProps/ctrlProp1029.xml"/></Relationships>
</file>

<file path=xl/worksheets/_rels/sheet167.xml.rels><?xml version="1.0" encoding="UTF-8" standalone="yes"?>
<Relationships xmlns="http://schemas.openxmlformats.org/package/2006/relationships"><Relationship Id="rId8" Type="http://schemas.openxmlformats.org/officeDocument/2006/relationships/ctrlProp" Target="../ctrlProps/ctrlProp1037.xml"/><Relationship Id="rId3" Type="http://schemas.openxmlformats.org/officeDocument/2006/relationships/vmlDrawing" Target="../drawings/vmlDrawing145.vml"/><Relationship Id="rId7" Type="http://schemas.openxmlformats.org/officeDocument/2006/relationships/ctrlProp" Target="../ctrlProps/ctrlProp1036.xml"/><Relationship Id="rId12" Type="http://schemas.openxmlformats.org/officeDocument/2006/relationships/ctrlProp" Target="../ctrlProps/ctrlProp1041.xml"/><Relationship Id="rId2" Type="http://schemas.openxmlformats.org/officeDocument/2006/relationships/drawing" Target="../drawings/drawing146.xml"/><Relationship Id="rId1" Type="http://schemas.openxmlformats.org/officeDocument/2006/relationships/hyperlink" Target="mailto:datamateapp@gmail.com" TargetMode="External"/><Relationship Id="rId6" Type="http://schemas.openxmlformats.org/officeDocument/2006/relationships/ctrlProp" Target="../ctrlProps/ctrlProp1035.xml"/><Relationship Id="rId11" Type="http://schemas.openxmlformats.org/officeDocument/2006/relationships/ctrlProp" Target="../ctrlProps/ctrlProp1040.xml"/><Relationship Id="rId5" Type="http://schemas.openxmlformats.org/officeDocument/2006/relationships/ctrlProp" Target="../ctrlProps/ctrlProp1034.xml"/><Relationship Id="rId10" Type="http://schemas.openxmlformats.org/officeDocument/2006/relationships/ctrlProp" Target="../ctrlProps/ctrlProp1039.xml"/><Relationship Id="rId4" Type="http://schemas.openxmlformats.org/officeDocument/2006/relationships/ctrlProp" Target="../ctrlProps/ctrlProp1033.xml"/><Relationship Id="rId9" Type="http://schemas.openxmlformats.org/officeDocument/2006/relationships/ctrlProp" Target="../ctrlProps/ctrlProp1038.xml"/></Relationships>
</file>

<file path=xl/worksheets/_rels/sheet168.xml.rels><?xml version="1.0" encoding="UTF-8" standalone="yes"?>
<Relationships xmlns="http://schemas.openxmlformats.org/package/2006/relationships"><Relationship Id="rId8" Type="http://schemas.openxmlformats.org/officeDocument/2006/relationships/ctrlProp" Target="../ctrlProps/ctrlProp1046.xml"/><Relationship Id="rId3" Type="http://schemas.openxmlformats.org/officeDocument/2006/relationships/vmlDrawing" Target="../drawings/vmlDrawing146.vml"/><Relationship Id="rId7" Type="http://schemas.openxmlformats.org/officeDocument/2006/relationships/ctrlProp" Target="../ctrlProps/ctrlProp1045.xml"/><Relationship Id="rId12" Type="http://schemas.openxmlformats.org/officeDocument/2006/relationships/ctrlProp" Target="../ctrlProps/ctrlProp1050.xml"/><Relationship Id="rId2" Type="http://schemas.openxmlformats.org/officeDocument/2006/relationships/drawing" Target="../drawings/drawing147.xml"/><Relationship Id="rId1" Type="http://schemas.openxmlformats.org/officeDocument/2006/relationships/hyperlink" Target="mailto:datamateapp@gmail.com" TargetMode="External"/><Relationship Id="rId6" Type="http://schemas.openxmlformats.org/officeDocument/2006/relationships/ctrlProp" Target="../ctrlProps/ctrlProp1044.xml"/><Relationship Id="rId11" Type="http://schemas.openxmlformats.org/officeDocument/2006/relationships/ctrlProp" Target="../ctrlProps/ctrlProp1049.xml"/><Relationship Id="rId5" Type="http://schemas.openxmlformats.org/officeDocument/2006/relationships/ctrlProp" Target="../ctrlProps/ctrlProp1043.xml"/><Relationship Id="rId10" Type="http://schemas.openxmlformats.org/officeDocument/2006/relationships/ctrlProp" Target="../ctrlProps/ctrlProp1048.xml"/><Relationship Id="rId4" Type="http://schemas.openxmlformats.org/officeDocument/2006/relationships/ctrlProp" Target="../ctrlProps/ctrlProp1042.xml"/><Relationship Id="rId9" Type="http://schemas.openxmlformats.org/officeDocument/2006/relationships/ctrlProp" Target="../ctrlProps/ctrlProp1047.xml"/></Relationships>
</file>

<file path=xl/worksheets/_rels/sheet169.xml.rels><?xml version="1.0" encoding="UTF-8" standalone="yes"?>
<Relationships xmlns="http://schemas.openxmlformats.org/package/2006/relationships"><Relationship Id="rId8" Type="http://schemas.openxmlformats.org/officeDocument/2006/relationships/ctrlProp" Target="../ctrlProps/ctrlProp1055.xml"/><Relationship Id="rId3" Type="http://schemas.openxmlformats.org/officeDocument/2006/relationships/vmlDrawing" Target="../drawings/vmlDrawing147.vml"/><Relationship Id="rId7" Type="http://schemas.openxmlformats.org/officeDocument/2006/relationships/ctrlProp" Target="../ctrlProps/ctrlProp1054.xml"/><Relationship Id="rId12" Type="http://schemas.openxmlformats.org/officeDocument/2006/relationships/ctrlProp" Target="../ctrlProps/ctrlProp1059.xml"/><Relationship Id="rId2" Type="http://schemas.openxmlformats.org/officeDocument/2006/relationships/drawing" Target="../drawings/drawing148.xml"/><Relationship Id="rId1" Type="http://schemas.openxmlformats.org/officeDocument/2006/relationships/hyperlink" Target="mailto:datamateapp@gmail.com" TargetMode="External"/><Relationship Id="rId6" Type="http://schemas.openxmlformats.org/officeDocument/2006/relationships/ctrlProp" Target="../ctrlProps/ctrlProp1053.xml"/><Relationship Id="rId11" Type="http://schemas.openxmlformats.org/officeDocument/2006/relationships/ctrlProp" Target="../ctrlProps/ctrlProp1058.xml"/><Relationship Id="rId5" Type="http://schemas.openxmlformats.org/officeDocument/2006/relationships/ctrlProp" Target="../ctrlProps/ctrlProp1052.xml"/><Relationship Id="rId10" Type="http://schemas.openxmlformats.org/officeDocument/2006/relationships/ctrlProp" Target="../ctrlProps/ctrlProp1057.xml"/><Relationship Id="rId4" Type="http://schemas.openxmlformats.org/officeDocument/2006/relationships/ctrlProp" Target="../ctrlProps/ctrlProp1051.xml"/><Relationship Id="rId9" Type="http://schemas.openxmlformats.org/officeDocument/2006/relationships/ctrlProp" Target="../ctrlProps/ctrlProp1056.xml"/></Relationships>
</file>

<file path=xl/worksheets/_rels/sheet170.xml.rels><?xml version="1.0" encoding="UTF-8" standalone="yes"?>
<Relationships xmlns="http://schemas.openxmlformats.org/package/2006/relationships"><Relationship Id="rId8" Type="http://schemas.openxmlformats.org/officeDocument/2006/relationships/ctrlProp" Target="../ctrlProps/ctrlProp1064.xml"/><Relationship Id="rId3" Type="http://schemas.openxmlformats.org/officeDocument/2006/relationships/vmlDrawing" Target="../drawings/vmlDrawing148.vml"/><Relationship Id="rId7" Type="http://schemas.openxmlformats.org/officeDocument/2006/relationships/ctrlProp" Target="../ctrlProps/ctrlProp1063.xml"/><Relationship Id="rId12" Type="http://schemas.openxmlformats.org/officeDocument/2006/relationships/ctrlProp" Target="../ctrlProps/ctrlProp1068.xml"/><Relationship Id="rId2" Type="http://schemas.openxmlformats.org/officeDocument/2006/relationships/drawing" Target="../drawings/drawing149.xml"/><Relationship Id="rId1" Type="http://schemas.openxmlformats.org/officeDocument/2006/relationships/hyperlink" Target="mailto:datamateapp@gmail.com" TargetMode="External"/><Relationship Id="rId6" Type="http://schemas.openxmlformats.org/officeDocument/2006/relationships/ctrlProp" Target="../ctrlProps/ctrlProp1062.xml"/><Relationship Id="rId11" Type="http://schemas.openxmlformats.org/officeDocument/2006/relationships/ctrlProp" Target="../ctrlProps/ctrlProp1067.xml"/><Relationship Id="rId5" Type="http://schemas.openxmlformats.org/officeDocument/2006/relationships/ctrlProp" Target="../ctrlProps/ctrlProp1061.xml"/><Relationship Id="rId10" Type="http://schemas.openxmlformats.org/officeDocument/2006/relationships/ctrlProp" Target="../ctrlProps/ctrlProp1066.xml"/><Relationship Id="rId4" Type="http://schemas.openxmlformats.org/officeDocument/2006/relationships/ctrlProp" Target="../ctrlProps/ctrlProp1060.xml"/><Relationship Id="rId9" Type="http://schemas.openxmlformats.org/officeDocument/2006/relationships/ctrlProp" Target="../ctrlProps/ctrlProp1065.xml"/></Relationships>
</file>

<file path=xl/worksheets/_rels/sheet171.xml.rels><?xml version="1.0" encoding="UTF-8" standalone="yes"?>
<Relationships xmlns="http://schemas.openxmlformats.org/package/2006/relationships"><Relationship Id="rId117" Type="http://schemas.openxmlformats.org/officeDocument/2006/relationships/ctrlProp" Target="../ctrlProps/ctrlProp1182.xml"/><Relationship Id="rId21" Type="http://schemas.openxmlformats.org/officeDocument/2006/relationships/ctrlProp" Target="../ctrlProps/ctrlProp1086.xml"/><Relationship Id="rId42" Type="http://schemas.openxmlformats.org/officeDocument/2006/relationships/ctrlProp" Target="../ctrlProps/ctrlProp1107.xml"/><Relationship Id="rId47" Type="http://schemas.openxmlformats.org/officeDocument/2006/relationships/ctrlProp" Target="../ctrlProps/ctrlProp1112.xml"/><Relationship Id="rId63" Type="http://schemas.openxmlformats.org/officeDocument/2006/relationships/ctrlProp" Target="../ctrlProps/ctrlProp1128.xml"/><Relationship Id="rId68" Type="http://schemas.openxmlformats.org/officeDocument/2006/relationships/ctrlProp" Target="../ctrlProps/ctrlProp1133.xml"/><Relationship Id="rId84" Type="http://schemas.openxmlformats.org/officeDocument/2006/relationships/ctrlProp" Target="../ctrlProps/ctrlProp1149.xml"/><Relationship Id="rId89" Type="http://schemas.openxmlformats.org/officeDocument/2006/relationships/ctrlProp" Target="../ctrlProps/ctrlProp1154.xml"/><Relationship Id="rId112" Type="http://schemas.openxmlformats.org/officeDocument/2006/relationships/ctrlProp" Target="../ctrlProps/ctrlProp1177.xml"/><Relationship Id="rId16" Type="http://schemas.openxmlformats.org/officeDocument/2006/relationships/ctrlProp" Target="../ctrlProps/ctrlProp1081.xml"/><Relationship Id="rId107" Type="http://schemas.openxmlformats.org/officeDocument/2006/relationships/ctrlProp" Target="../ctrlProps/ctrlProp1172.xml"/><Relationship Id="rId11" Type="http://schemas.openxmlformats.org/officeDocument/2006/relationships/ctrlProp" Target="../ctrlProps/ctrlProp1076.xml"/><Relationship Id="rId32" Type="http://schemas.openxmlformats.org/officeDocument/2006/relationships/ctrlProp" Target="../ctrlProps/ctrlProp1097.xml"/><Relationship Id="rId37" Type="http://schemas.openxmlformats.org/officeDocument/2006/relationships/ctrlProp" Target="../ctrlProps/ctrlProp1102.xml"/><Relationship Id="rId53" Type="http://schemas.openxmlformats.org/officeDocument/2006/relationships/ctrlProp" Target="../ctrlProps/ctrlProp1118.xml"/><Relationship Id="rId58" Type="http://schemas.openxmlformats.org/officeDocument/2006/relationships/ctrlProp" Target="../ctrlProps/ctrlProp1123.xml"/><Relationship Id="rId74" Type="http://schemas.openxmlformats.org/officeDocument/2006/relationships/ctrlProp" Target="../ctrlProps/ctrlProp1139.xml"/><Relationship Id="rId79" Type="http://schemas.openxmlformats.org/officeDocument/2006/relationships/ctrlProp" Target="../ctrlProps/ctrlProp1144.xml"/><Relationship Id="rId102" Type="http://schemas.openxmlformats.org/officeDocument/2006/relationships/ctrlProp" Target="../ctrlProps/ctrlProp1167.xml"/><Relationship Id="rId123" Type="http://schemas.openxmlformats.org/officeDocument/2006/relationships/ctrlProp" Target="../ctrlProps/ctrlProp1188.xml"/><Relationship Id="rId128" Type="http://schemas.openxmlformats.org/officeDocument/2006/relationships/ctrlProp" Target="../ctrlProps/ctrlProp1193.xml"/><Relationship Id="rId5" Type="http://schemas.openxmlformats.org/officeDocument/2006/relationships/ctrlProp" Target="../ctrlProps/ctrlProp1070.xml"/><Relationship Id="rId90" Type="http://schemas.openxmlformats.org/officeDocument/2006/relationships/ctrlProp" Target="../ctrlProps/ctrlProp1155.xml"/><Relationship Id="rId95" Type="http://schemas.openxmlformats.org/officeDocument/2006/relationships/ctrlProp" Target="../ctrlProps/ctrlProp1160.xml"/><Relationship Id="rId22" Type="http://schemas.openxmlformats.org/officeDocument/2006/relationships/ctrlProp" Target="../ctrlProps/ctrlProp1087.xml"/><Relationship Id="rId27" Type="http://schemas.openxmlformats.org/officeDocument/2006/relationships/ctrlProp" Target="../ctrlProps/ctrlProp1092.xml"/><Relationship Id="rId43" Type="http://schemas.openxmlformats.org/officeDocument/2006/relationships/ctrlProp" Target="../ctrlProps/ctrlProp1108.xml"/><Relationship Id="rId48" Type="http://schemas.openxmlformats.org/officeDocument/2006/relationships/ctrlProp" Target="../ctrlProps/ctrlProp1113.xml"/><Relationship Id="rId64" Type="http://schemas.openxmlformats.org/officeDocument/2006/relationships/ctrlProp" Target="../ctrlProps/ctrlProp1129.xml"/><Relationship Id="rId69" Type="http://schemas.openxmlformats.org/officeDocument/2006/relationships/ctrlProp" Target="../ctrlProps/ctrlProp1134.xml"/><Relationship Id="rId113" Type="http://schemas.openxmlformats.org/officeDocument/2006/relationships/ctrlProp" Target="../ctrlProps/ctrlProp1178.xml"/><Relationship Id="rId118" Type="http://schemas.openxmlformats.org/officeDocument/2006/relationships/ctrlProp" Target="../ctrlProps/ctrlProp1183.xml"/><Relationship Id="rId80" Type="http://schemas.openxmlformats.org/officeDocument/2006/relationships/ctrlProp" Target="../ctrlProps/ctrlProp1145.xml"/><Relationship Id="rId85" Type="http://schemas.openxmlformats.org/officeDocument/2006/relationships/ctrlProp" Target="../ctrlProps/ctrlProp1150.xml"/><Relationship Id="rId12" Type="http://schemas.openxmlformats.org/officeDocument/2006/relationships/ctrlProp" Target="../ctrlProps/ctrlProp1077.xml"/><Relationship Id="rId17" Type="http://schemas.openxmlformats.org/officeDocument/2006/relationships/ctrlProp" Target="../ctrlProps/ctrlProp1082.xml"/><Relationship Id="rId33" Type="http://schemas.openxmlformats.org/officeDocument/2006/relationships/ctrlProp" Target="../ctrlProps/ctrlProp1098.xml"/><Relationship Id="rId38" Type="http://schemas.openxmlformats.org/officeDocument/2006/relationships/ctrlProp" Target="../ctrlProps/ctrlProp1103.xml"/><Relationship Id="rId59" Type="http://schemas.openxmlformats.org/officeDocument/2006/relationships/ctrlProp" Target="../ctrlProps/ctrlProp1124.xml"/><Relationship Id="rId103" Type="http://schemas.openxmlformats.org/officeDocument/2006/relationships/ctrlProp" Target="../ctrlProps/ctrlProp1168.xml"/><Relationship Id="rId108" Type="http://schemas.openxmlformats.org/officeDocument/2006/relationships/ctrlProp" Target="../ctrlProps/ctrlProp1173.xml"/><Relationship Id="rId124" Type="http://schemas.openxmlformats.org/officeDocument/2006/relationships/ctrlProp" Target="../ctrlProps/ctrlProp1189.xml"/><Relationship Id="rId129" Type="http://schemas.openxmlformats.org/officeDocument/2006/relationships/ctrlProp" Target="../ctrlProps/ctrlProp1194.xml"/><Relationship Id="rId54" Type="http://schemas.openxmlformats.org/officeDocument/2006/relationships/ctrlProp" Target="../ctrlProps/ctrlProp1119.xml"/><Relationship Id="rId70" Type="http://schemas.openxmlformats.org/officeDocument/2006/relationships/ctrlProp" Target="../ctrlProps/ctrlProp1135.xml"/><Relationship Id="rId75" Type="http://schemas.openxmlformats.org/officeDocument/2006/relationships/ctrlProp" Target="../ctrlProps/ctrlProp1140.xml"/><Relationship Id="rId91" Type="http://schemas.openxmlformats.org/officeDocument/2006/relationships/ctrlProp" Target="../ctrlProps/ctrlProp1156.xml"/><Relationship Id="rId96" Type="http://schemas.openxmlformats.org/officeDocument/2006/relationships/ctrlProp" Target="../ctrlProps/ctrlProp1161.xml"/><Relationship Id="rId1" Type="http://schemas.openxmlformats.org/officeDocument/2006/relationships/hyperlink" Target="mailto:datamateapp@gmail.com" TargetMode="External"/><Relationship Id="rId6" Type="http://schemas.openxmlformats.org/officeDocument/2006/relationships/ctrlProp" Target="../ctrlProps/ctrlProp1071.xml"/><Relationship Id="rId23" Type="http://schemas.openxmlformats.org/officeDocument/2006/relationships/ctrlProp" Target="../ctrlProps/ctrlProp1088.xml"/><Relationship Id="rId28" Type="http://schemas.openxmlformats.org/officeDocument/2006/relationships/ctrlProp" Target="../ctrlProps/ctrlProp1093.xml"/><Relationship Id="rId49" Type="http://schemas.openxmlformats.org/officeDocument/2006/relationships/ctrlProp" Target="../ctrlProps/ctrlProp1114.xml"/><Relationship Id="rId114" Type="http://schemas.openxmlformats.org/officeDocument/2006/relationships/ctrlProp" Target="../ctrlProps/ctrlProp1179.xml"/><Relationship Id="rId119" Type="http://schemas.openxmlformats.org/officeDocument/2006/relationships/ctrlProp" Target="../ctrlProps/ctrlProp1184.xml"/><Relationship Id="rId44" Type="http://schemas.openxmlformats.org/officeDocument/2006/relationships/ctrlProp" Target="../ctrlProps/ctrlProp1109.xml"/><Relationship Id="rId60" Type="http://schemas.openxmlformats.org/officeDocument/2006/relationships/ctrlProp" Target="../ctrlProps/ctrlProp1125.xml"/><Relationship Id="rId65" Type="http://schemas.openxmlformats.org/officeDocument/2006/relationships/ctrlProp" Target="../ctrlProps/ctrlProp1130.xml"/><Relationship Id="rId81" Type="http://schemas.openxmlformats.org/officeDocument/2006/relationships/ctrlProp" Target="../ctrlProps/ctrlProp1146.xml"/><Relationship Id="rId86" Type="http://schemas.openxmlformats.org/officeDocument/2006/relationships/ctrlProp" Target="../ctrlProps/ctrlProp1151.xml"/><Relationship Id="rId130" Type="http://schemas.openxmlformats.org/officeDocument/2006/relationships/ctrlProp" Target="../ctrlProps/ctrlProp1195.xml"/><Relationship Id="rId13" Type="http://schemas.openxmlformats.org/officeDocument/2006/relationships/ctrlProp" Target="../ctrlProps/ctrlProp1078.xml"/><Relationship Id="rId18" Type="http://schemas.openxmlformats.org/officeDocument/2006/relationships/ctrlProp" Target="../ctrlProps/ctrlProp1083.xml"/><Relationship Id="rId39" Type="http://schemas.openxmlformats.org/officeDocument/2006/relationships/ctrlProp" Target="../ctrlProps/ctrlProp1104.xml"/><Relationship Id="rId109" Type="http://schemas.openxmlformats.org/officeDocument/2006/relationships/ctrlProp" Target="../ctrlProps/ctrlProp1174.xml"/><Relationship Id="rId34" Type="http://schemas.openxmlformats.org/officeDocument/2006/relationships/ctrlProp" Target="../ctrlProps/ctrlProp1099.xml"/><Relationship Id="rId50" Type="http://schemas.openxmlformats.org/officeDocument/2006/relationships/ctrlProp" Target="../ctrlProps/ctrlProp1115.xml"/><Relationship Id="rId55" Type="http://schemas.openxmlformats.org/officeDocument/2006/relationships/ctrlProp" Target="../ctrlProps/ctrlProp1120.xml"/><Relationship Id="rId76" Type="http://schemas.openxmlformats.org/officeDocument/2006/relationships/ctrlProp" Target="../ctrlProps/ctrlProp1141.xml"/><Relationship Id="rId97" Type="http://schemas.openxmlformats.org/officeDocument/2006/relationships/ctrlProp" Target="../ctrlProps/ctrlProp1162.xml"/><Relationship Id="rId104" Type="http://schemas.openxmlformats.org/officeDocument/2006/relationships/ctrlProp" Target="../ctrlProps/ctrlProp1169.xml"/><Relationship Id="rId120" Type="http://schemas.openxmlformats.org/officeDocument/2006/relationships/ctrlProp" Target="../ctrlProps/ctrlProp1185.xml"/><Relationship Id="rId125" Type="http://schemas.openxmlformats.org/officeDocument/2006/relationships/ctrlProp" Target="../ctrlProps/ctrlProp1190.xml"/><Relationship Id="rId7" Type="http://schemas.openxmlformats.org/officeDocument/2006/relationships/ctrlProp" Target="../ctrlProps/ctrlProp1072.xml"/><Relationship Id="rId71" Type="http://schemas.openxmlformats.org/officeDocument/2006/relationships/ctrlProp" Target="../ctrlProps/ctrlProp1136.xml"/><Relationship Id="rId92" Type="http://schemas.openxmlformats.org/officeDocument/2006/relationships/ctrlProp" Target="../ctrlProps/ctrlProp1157.xml"/><Relationship Id="rId2" Type="http://schemas.openxmlformats.org/officeDocument/2006/relationships/drawing" Target="../drawings/drawing150.xml"/><Relationship Id="rId29" Type="http://schemas.openxmlformats.org/officeDocument/2006/relationships/ctrlProp" Target="../ctrlProps/ctrlProp1094.xml"/><Relationship Id="rId24" Type="http://schemas.openxmlformats.org/officeDocument/2006/relationships/ctrlProp" Target="../ctrlProps/ctrlProp1089.xml"/><Relationship Id="rId40" Type="http://schemas.openxmlformats.org/officeDocument/2006/relationships/ctrlProp" Target="../ctrlProps/ctrlProp1105.xml"/><Relationship Id="rId45" Type="http://schemas.openxmlformats.org/officeDocument/2006/relationships/ctrlProp" Target="../ctrlProps/ctrlProp1110.xml"/><Relationship Id="rId66" Type="http://schemas.openxmlformats.org/officeDocument/2006/relationships/ctrlProp" Target="../ctrlProps/ctrlProp1131.xml"/><Relationship Id="rId87" Type="http://schemas.openxmlformats.org/officeDocument/2006/relationships/ctrlProp" Target="../ctrlProps/ctrlProp1152.xml"/><Relationship Id="rId110" Type="http://schemas.openxmlformats.org/officeDocument/2006/relationships/ctrlProp" Target="../ctrlProps/ctrlProp1175.xml"/><Relationship Id="rId115" Type="http://schemas.openxmlformats.org/officeDocument/2006/relationships/ctrlProp" Target="../ctrlProps/ctrlProp1180.xml"/><Relationship Id="rId131" Type="http://schemas.openxmlformats.org/officeDocument/2006/relationships/ctrlProp" Target="../ctrlProps/ctrlProp1196.xml"/><Relationship Id="rId61" Type="http://schemas.openxmlformats.org/officeDocument/2006/relationships/ctrlProp" Target="../ctrlProps/ctrlProp1126.xml"/><Relationship Id="rId82" Type="http://schemas.openxmlformats.org/officeDocument/2006/relationships/ctrlProp" Target="../ctrlProps/ctrlProp1147.xml"/><Relationship Id="rId19" Type="http://schemas.openxmlformats.org/officeDocument/2006/relationships/ctrlProp" Target="../ctrlProps/ctrlProp1084.xml"/><Relationship Id="rId14" Type="http://schemas.openxmlformats.org/officeDocument/2006/relationships/ctrlProp" Target="../ctrlProps/ctrlProp1079.xml"/><Relationship Id="rId30" Type="http://schemas.openxmlformats.org/officeDocument/2006/relationships/ctrlProp" Target="../ctrlProps/ctrlProp1095.xml"/><Relationship Id="rId35" Type="http://schemas.openxmlformats.org/officeDocument/2006/relationships/ctrlProp" Target="../ctrlProps/ctrlProp1100.xml"/><Relationship Id="rId56" Type="http://schemas.openxmlformats.org/officeDocument/2006/relationships/ctrlProp" Target="../ctrlProps/ctrlProp1121.xml"/><Relationship Id="rId77" Type="http://schemas.openxmlformats.org/officeDocument/2006/relationships/ctrlProp" Target="../ctrlProps/ctrlProp1142.xml"/><Relationship Id="rId100" Type="http://schemas.openxmlformats.org/officeDocument/2006/relationships/ctrlProp" Target="../ctrlProps/ctrlProp1165.xml"/><Relationship Id="rId105" Type="http://schemas.openxmlformats.org/officeDocument/2006/relationships/ctrlProp" Target="../ctrlProps/ctrlProp1170.xml"/><Relationship Id="rId126" Type="http://schemas.openxmlformats.org/officeDocument/2006/relationships/ctrlProp" Target="../ctrlProps/ctrlProp1191.xml"/><Relationship Id="rId8" Type="http://schemas.openxmlformats.org/officeDocument/2006/relationships/ctrlProp" Target="../ctrlProps/ctrlProp1073.xml"/><Relationship Id="rId51" Type="http://schemas.openxmlformats.org/officeDocument/2006/relationships/ctrlProp" Target="../ctrlProps/ctrlProp1116.xml"/><Relationship Id="rId72" Type="http://schemas.openxmlformats.org/officeDocument/2006/relationships/ctrlProp" Target="../ctrlProps/ctrlProp1137.xml"/><Relationship Id="rId93" Type="http://schemas.openxmlformats.org/officeDocument/2006/relationships/ctrlProp" Target="../ctrlProps/ctrlProp1158.xml"/><Relationship Id="rId98" Type="http://schemas.openxmlformats.org/officeDocument/2006/relationships/ctrlProp" Target="../ctrlProps/ctrlProp1163.xml"/><Relationship Id="rId121" Type="http://schemas.openxmlformats.org/officeDocument/2006/relationships/ctrlProp" Target="../ctrlProps/ctrlProp1186.xml"/><Relationship Id="rId3" Type="http://schemas.openxmlformats.org/officeDocument/2006/relationships/vmlDrawing" Target="../drawings/vmlDrawing149.vml"/><Relationship Id="rId25" Type="http://schemas.openxmlformats.org/officeDocument/2006/relationships/ctrlProp" Target="../ctrlProps/ctrlProp1090.xml"/><Relationship Id="rId46" Type="http://schemas.openxmlformats.org/officeDocument/2006/relationships/ctrlProp" Target="../ctrlProps/ctrlProp1111.xml"/><Relationship Id="rId67" Type="http://schemas.openxmlformats.org/officeDocument/2006/relationships/ctrlProp" Target="../ctrlProps/ctrlProp1132.xml"/><Relationship Id="rId116" Type="http://schemas.openxmlformats.org/officeDocument/2006/relationships/ctrlProp" Target="../ctrlProps/ctrlProp1181.xml"/><Relationship Id="rId20" Type="http://schemas.openxmlformats.org/officeDocument/2006/relationships/ctrlProp" Target="../ctrlProps/ctrlProp1085.xml"/><Relationship Id="rId41" Type="http://schemas.openxmlformats.org/officeDocument/2006/relationships/ctrlProp" Target="../ctrlProps/ctrlProp1106.xml"/><Relationship Id="rId62" Type="http://schemas.openxmlformats.org/officeDocument/2006/relationships/ctrlProp" Target="../ctrlProps/ctrlProp1127.xml"/><Relationship Id="rId83" Type="http://schemas.openxmlformats.org/officeDocument/2006/relationships/ctrlProp" Target="../ctrlProps/ctrlProp1148.xml"/><Relationship Id="rId88" Type="http://schemas.openxmlformats.org/officeDocument/2006/relationships/ctrlProp" Target="../ctrlProps/ctrlProp1153.xml"/><Relationship Id="rId111" Type="http://schemas.openxmlformats.org/officeDocument/2006/relationships/ctrlProp" Target="../ctrlProps/ctrlProp1176.xml"/><Relationship Id="rId15" Type="http://schemas.openxmlformats.org/officeDocument/2006/relationships/ctrlProp" Target="../ctrlProps/ctrlProp1080.xml"/><Relationship Id="rId36" Type="http://schemas.openxmlformats.org/officeDocument/2006/relationships/ctrlProp" Target="../ctrlProps/ctrlProp1101.xml"/><Relationship Id="rId57" Type="http://schemas.openxmlformats.org/officeDocument/2006/relationships/ctrlProp" Target="../ctrlProps/ctrlProp1122.xml"/><Relationship Id="rId106" Type="http://schemas.openxmlformats.org/officeDocument/2006/relationships/ctrlProp" Target="../ctrlProps/ctrlProp1171.xml"/><Relationship Id="rId127" Type="http://schemas.openxmlformats.org/officeDocument/2006/relationships/ctrlProp" Target="../ctrlProps/ctrlProp1192.xml"/><Relationship Id="rId10" Type="http://schemas.openxmlformats.org/officeDocument/2006/relationships/ctrlProp" Target="../ctrlProps/ctrlProp1075.xml"/><Relationship Id="rId31" Type="http://schemas.openxmlformats.org/officeDocument/2006/relationships/ctrlProp" Target="../ctrlProps/ctrlProp1096.xml"/><Relationship Id="rId52" Type="http://schemas.openxmlformats.org/officeDocument/2006/relationships/ctrlProp" Target="../ctrlProps/ctrlProp1117.xml"/><Relationship Id="rId73" Type="http://schemas.openxmlformats.org/officeDocument/2006/relationships/ctrlProp" Target="../ctrlProps/ctrlProp1138.xml"/><Relationship Id="rId78" Type="http://schemas.openxmlformats.org/officeDocument/2006/relationships/ctrlProp" Target="../ctrlProps/ctrlProp1143.xml"/><Relationship Id="rId94" Type="http://schemas.openxmlformats.org/officeDocument/2006/relationships/ctrlProp" Target="../ctrlProps/ctrlProp1159.xml"/><Relationship Id="rId99" Type="http://schemas.openxmlformats.org/officeDocument/2006/relationships/ctrlProp" Target="../ctrlProps/ctrlProp1164.xml"/><Relationship Id="rId101" Type="http://schemas.openxmlformats.org/officeDocument/2006/relationships/ctrlProp" Target="../ctrlProps/ctrlProp1166.xml"/><Relationship Id="rId122" Type="http://schemas.openxmlformats.org/officeDocument/2006/relationships/ctrlProp" Target="../ctrlProps/ctrlProp1187.xml"/><Relationship Id="rId4" Type="http://schemas.openxmlformats.org/officeDocument/2006/relationships/ctrlProp" Target="../ctrlProps/ctrlProp1069.xml"/><Relationship Id="rId9" Type="http://schemas.openxmlformats.org/officeDocument/2006/relationships/ctrlProp" Target="../ctrlProps/ctrlProp1074.xml"/><Relationship Id="rId26" Type="http://schemas.openxmlformats.org/officeDocument/2006/relationships/ctrlProp" Target="../ctrlProps/ctrlProp1091.xml"/></Relationships>
</file>

<file path=xl/worksheets/_rels/sheet174.xml.rels><?xml version="1.0" encoding="UTF-8" standalone="yes"?>
<Relationships xmlns="http://schemas.openxmlformats.org/package/2006/relationships"><Relationship Id="rId8" Type="http://schemas.openxmlformats.org/officeDocument/2006/relationships/ctrlProp" Target="../ctrlProps/ctrlProp1201.xml"/><Relationship Id="rId3" Type="http://schemas.openxmlformats.org/officeDocument/2006/relationships/vmlDrawing" Target="../drawings/vmlDrawing150.vml"/><Relationship Id="rId7" Type="http://schemas.openxmlformats.org/officeDocument/2006/relationships/ctrlProp" Target="../ctrlProps/ctrlProp1200.xml"/><Relationship Id="rId2" Type="http://schemas.openxmlformats.org/officeDocument/2006/relationships/drawing" Target="../drawings/drawing151.xml"/><Relationship Id="rId1" Type="http://schemas.openxmlformats.org/officeDocument/2006/relationships/hyperlink" Target="mailto:datamateapp@gmail.com" TargetMode="External"/><Relationship Id="rId6" Type="http://schemas.openxmlformats.org/officeDocument/2006/relationships/ctrlProp" Target="../ctrlProps/ctrlProp1199.xml"/><Relationship Id="rId11" Type="http://schemas.openxmlformats.org/officeDocument/2006/relationships/ctrlProp" Target="../ctrlProps/ctrlProp1204.xml"/><Relationship Id="rId5" Type="http://schemas.openxmlformats.org/officeDocument/2006/relationships/ctrlProp" Target="../ctrlProps/ctrlProp1198.xml"/><Relationship Id="rId10" Type="http://schemas.openxmlformats.org/officeDocument/2006/relationships/ctrlProp" Target="../ctrlProps/ctrlProp1203.xml"/><Relationship Id="rId4" Type="http://schemas.openxmlformats.org/officeDocument/2006/relationships/ctrlProp" Target="../ctrlProps/ctrlProp1197.xml"/><Relationship Id="rId9" Type="http://schemas.openxmlformats.org/officeDocument/2006/relationships/ctrlProp" Target="../ctrlProps/ctrlProp1202.xml"/></Relationships>
</file>

<file path=xl/worksheets/_rels/sheet175.xml.rels><?xml version="1.0" encoding="UTF-8" standalone="yes"?>
<Relationships xmlns="http://schemas.openxmlformats.org/package/2006/relationships"><Relationship Id="rId3" Type="http://schemas.openxmlformats.org/officeDocument/2006/relationships/vmlDrawing" Target="../drawings/vmlDrawing151.vml"/><Relationship Id="rId7" Type="http://schemas.openxmlformats.org/officeDocument/2006/relationships/ctrlProp" Target="../ctrlProps/ctrlProp1208.xml"/><Relationship Id="rId2" Type="http://schemas.openxmlformats.org/officeDocument/2006/relationships/drawing" Target="../drawings/drawing152.xml"/><Relationship Id="rId1" Type="http://schemas.openxmlformats.org/officeDocument/2006/relationships/hyperlink" Target="mailto:datamateapp@gmail.com" TargetMode="External"/><Relationship Id="rId6" Type="http://schemas.openxmlformats.org/officeDocument/2006/relationships/ctrlProp" Target="../ctrlProps/ctrlProp1207.xml"/><Relationship Id="rId5" Type="http://schemas.openxmlformats.org/officeDocument/2006/relationships/ctrlProp" Target="../ctrlProps/ctrlProp1206.xml"/><Relationship Id="rId4" Type="http://schemas.openxmlformats.org/officeDocument/2006/relationships/ctrlProp" Target="../ctrlProps/ctrlProp1205.xml"/></Relationships>
</file>

<file path=xl/worksheets/_rels/sheet176.xml.rels><?xml version="1.0" encoding="UTF-8" standalone="yes"?>
<Relationships xmlns="http://schemas.openxmlformats.org/package/2006/relationships"><Relationship Id="rId3" Type="http://schemas.openxmlformats.org/officeDocument/2006/relationships/ctrlProp" Target="../ctrlProps/ctrlProp1209.xml"/><Relationship Id="rId2" Type="http://schemas.openxmlformats.org/officeDocument/2006/relationships/vmlDrawing" Target="../drawings/vmlDrawing152.vml"/><Relationship Id="rId1" Type="http://schemas.openxmlformats.org/officeDocument/2006/relationships/drawing" Target="../drawings/drawing153.xml"/><Relationship Id="rId5" Type="http://schemas.openxmlformats.org/officeDocument/2006/relationships/ctrlProp" Target="../ctrlProps/ctrlProp1211.xml"/><Relationship Id="rId4" Type="http://schemas.openxmlformats.org/officeDocument/2006/relationships/ctrlProp" Target="../ctrlProps/ctrlProp1210.xml"/></Relationships>
</file>

<file path=xl/worksheets/_rels/sheet177.xml.rels><?xml version="1.0" encoding="UTF-8" standalone="yes"?>
<Relationships xmlns="http://schemas.openxmlformats.org/package/2006/relationships"><Relationship Id="rId3" Type="http://schemas.openxmlformats.org/officeDocument/2006/relationships/ctrlProp" Target="../ctrlProps/ctrlProp1212.xml"/><Relationship Id="rId2" Type="http://schemas.openxmlformats.org/officeDocument/2006/relationships/vmlDrawing" Target="../drawings/vmlDrawing153.vml"/><Relationship Id="rId1" Type="http://schemas.openxmlformats.org/officeDocument/2006/relationships/drawing" Target="../drawings/drawing154.xml"/></Relationships>
</file>

<file path=xl/worksheets/_rels/sheet179.xml.rels><?xml version="1.0" encoding="UTF-8" standalone="yes"?>
<Relationships xmlns="http://schemas.openxmlformats.org/package/2006/relationships"><Relationship Id="rId8" Type="http://schemas.openxmlformats.org/officeDocument/2006/relationships/ctrlProp" Target="../ctrlProps/ctrlProp1217.xml"/><Relationship Id="rId3" Type="http://schemas.openxmlformats.org/officeDocument/2006/relationships/vmlDrawing" Target="../drawings/vmlDrawing154.vml"/><Relationship Id="rId7" Type="http://schemas.openxmlformats.org/officeDocument/2006/relationships/ctrlProp" Target="../ctrlProps/ctrlProp1216.xml"/><Relationship Id="rId12" Type="http://schemas.openxmlformats.org/officeDocument/2006/relationships/ctrlProp" Target="../ctrlProps/ctrlProp1221.xml"/><Relationship Id="rId2" Type="http://schemas.openxmlformats.org/officeDocument/2006/relationships/drawing" Target="../drawings/drawing155.xml"/><Relationship Id="rId1" Type="http://schemas.openxmlformats.org/officeDocument/2006/relationships/hyperlink" Target="mailto:datamateapp@gmail.com" TargetMode="External"/><Relationship Id="rId6" Type="http://schemas.openxmlformats.org/officeDocument/2006/relationships/ctrlProp" Target="../ctrlProps/ctrlProp1215.xml"/><Relationship Id="rId11" Type="http://schemas.openxmlformats.org/officeDocument/2006/relationships/ctrlProp" Target="../ctrlProps/ctrlProp1220.xml"/><Relationship Id="rId5" Type="http://schemas.openxmlformats.org/officeDocument/2006/relationships/ctrlProp" Target="../ctrlProps/ctrlProp1214.xml"/><Relationship Id="rId10" Type="http://schemas.openxmlformats.org/officeDocument/2006/relationships/ctrlProp" Target="../ctrlProps/ctrlProp1219.xml"/><Relationship Id="rId4" Type="http://schemas.openxmlformats.org/officeDocument/2006/relationships/ctrlProp" Target="../ctrlProps/ctrlProp1213.xml"/><Relationship Id="rId9" Type="http://schemas.openxmlformats.org/officeDocument/2006/relationships/ctrlProp" Target="../ctrlProps/ctrlProp1218.xml"/></Relationships>
</file>

<file path=xl/worksheets/_rels/sheet180.xml.rels><?xml version="1.0" encoding="UTF-8" standalone="yes"?>
<Relationships xmlns="http://schemas.openxmlformats.org/package/2006/relationships"><Relationship Id="rId8" Type="http://schemas.openxmlformats.org/officeDocument/2006/relationships/ctrlProp" Target="../ctrlProps/ctrlProp1226.xml"/><Relationship Id="rId3" Type="http://schemas.openxmlformats.org/officeDocument/2006/relationships/vmlDrawing" Target="../drawings/vmlDrawing155.vml"/><Relationship Id="rId7" Type="http://schemas.openxmlformats.org/officeDocument/2006/relationships/ctrlProp" Target="../ctrlProps/ctrlProp1225.xml"/><Relationship Id="rId12" Type="http://schemas.openxmlformats.org/officeDocument/2006/relationships/ctrlProp" Target="../ctrlProps/ctrlProp1230.xml"/><Relationship Id="rId2" Type="http://schemas.openxmlformats.org/officeDocument/2006/relationships/drawing" Target="../drawings/drawing156.xml"/><Relationship Id="rId1" Type="http://schemas.openxmlformats.org/officeDocument/2006/relationships/hyperlink" Target="mailto:datamateapp@gmail.com" TargetMode="External"/><Relationship Id="rId6" Type="http://schemas.openxmlformats.org/officeDocument/2006/relationships/ctrlProp" Target="../ctrlProps/ctrlProp1224.xml"/><Relationship Id="rId11" Type="http://schemas.openxmlformats.org/officeDocument/2006/relationships/ctrlProp" Target="../ctrlProps/ctrlProp1229.xml"/><Relationship Id="rId5" Type="http://schemas.openxmlformats.org/officeDocument/2006/relationships/ctrlProp" Target="../ctrlProps/ctrlProp1223.xml"/><Relationship Id="rId10" Type="http://schemas.openxmlformats.org/officeDocument/2006/relationships/ctrlProp" Target="../ctrlProps/ctrlProp1228.xml"/><Relationship Id="rId4" Type="http://schemas.openxmlformats.org/officeDocument/2006/relationships/ctrlProp" Target="../ctrlProps/ctrlProp1222.xml"/><Relationship Id="rId9" Type="http://schemas.openxmlformats.org/officeDocument/2006/relationships/ctrlProp" Target="../ctrlProps/ctrlProp1227.xml"/></Relationships>
</file>

<file path=xl/worksheets/_rels/sheet181.xml.rels><?xml version="1.0" encoding="UTF-8" standalone="yes"?>
<Relationships xmlns="http://schemas.openxmlformats.org/package/2006/relationships"><Relationship Id="rId8" Type="http://schemas.openxmlformats.org/officeDocument/2006/relationships/ctrlProp" Target="../ctrlProps/ctrlProp1235.xml"/><Relationship Id="rId3" Type="http://schemas.openxmlformats.org/officeDocument/2006/relationships/vmlDrawing" Target="../drawings/vmlDrawing156.vml"/><Relationship Id="rId7" Type="http://schemas.openxmlformats.org/officeDocument/2006/relationships/ctrlProp" Target="../ctrlProps/ctrlProp1234.xml"/><Relationship Id="rId12" Type="http://schemas.openxmlformats.org/officeDocument/2006/relationships/ctrlProp" Target="../ctrlProps/ctrlProp1239.xml"/><Relationship Id="rId2" Type="http://schemas.openxmlformats.org/officeDocument/2006/relationships/drawing" Target="../drawings/drawing157.xml"/><Relationship Id="rId1" Type="http://schemas.openxmlformats.org/officeDocument/2006/relationships/hyperlink" Target="mailto:datamateapp@gmail.com" TargetMode="External"/><Relationship Id="rId6" Type="http://schemas.openxmlformats.org/officeDocument/2006/relationships/ctrlProp" Target="../ctrlProps/ctrlProp1233.xml"/><Relationship Id="rId11" Type="http://schemas.openxmlformats.org/officeDocument/2006/relationships/ctrlProp" Target="../ctrlProps/ctrlProp1238.xml"/><Relationship Id="rId5" Type="http://schemas.openxmlformats.org/officeDocument/2006/relationships/ctrlProp" Target="../ctrlProps/ctrlProp1232.xml"/><Relationship Id="rId10" Type="http://schemas.openxmlformats.org/officeDocument/2006/relationships/ctrlProp" Target="../ctrlProps/ctrlProp1237.xml"/><Relationship Id="rId4" Type="http://schemas.openxmlformats.org/officeDocument/2006/relationships/ctrlProp" Target="../ctrlProps/ctrlProp1231.xml"/><Relationship Id="rId9" Type="http://schemas.openxmlformats.org/officeDocument/2006/relationships/ctrlProp" Target="../ctrlProps/ctrlProp1236.xml"/></Relationships>
</file>

<file path=xl/worksheets/_rels/sheet182.xml.rels><?xml version="1.0" encoding="UTF-8" standalone="yes"?>
<Relationships xmlns="http://schemas.openxmlformats.org/package/2006/relationships"><Relationship Id="rId8" Type="http://schemas.openxmlformats.org/officeDocument/2006/relationships/ctrlProp" Target="../ctrlProps/ctrlProp1244.xml"/><Relationship Id="rId3" Type="http://schemas.openxmlformats.org/officeDocument/2006/relationships/vmlDrawing" Target="../drawings/vmlDrawing157.vml"/><Relationship Id="rId7" Type="http://schemas.openxmlformats.org/officeDocument/2006/relationships/ctrlProp" Target="../ctrlProps/ctrlProp1243.xml"/><Relationship Id="rId12" Type="http://schemas.openxmlformats.org/officeDocument/2006/relationships/ctrlProp" Target="../ctrlProps/ctrlProp1248.xml"/><Relationship Id="rId2" Type="http://schemas.openxmlformats.org/officeDocument/2006/relationships/drawing" Target="../drawings/drawing158.xml"/><Relationship Id="rId1" Type="http://schemas.openxmlformats.org/officeDocument/2006/relationships/hyperlink" Target="mailto:datamateapp@gmail.com" TargetMode="External"/><Relationship Id="rId6" Type="http://schemas.openxmlformats.org/officeDocument/2006/relationships/ctrlProp" Target="../ctrlProps/ctrlProp1242.xml"/><Relationship Id="rId11" Type="http://schemas.openxmlformats.org/officeDocument/2006/relationships/ctrlProp" Target="../ctrlProps/ctrlProp1247.xml"/><Relationship Id="rId5" Type="http://schemas.openxmlformats.org/officeDocument/2006/relationships/ctrlProp" Target="../ctrlProps/ctrlProp1241.xml"/><Relationship Id="rId10" Type="http://schemas.openxmlformats.org/officeDocument/2006/relationships/ctrlProp" Target="../ctrlProps/ctrlProp1246.xml"/><Relationship Id="rId4" Type="http://schemas.openxmlformats.org/officeDocument/2006/relationships/ctrlProp" Target="../ctrlProps/ctrlProp1240.xml"/><Relationship Id="rId9" Type="http://schemas.openxmlformats.org/officeDocument/2006/relationships/ctrlProp" Target="../ctrlProps/ctrlProp1245.xml"/></Relationships>
</file>

<file path=xl/worksheets/_rels/sheet183.xml.rels><?xml version="1.0" encoding="UTF-8" standalone="yes"?>
<Relationships xmlns="http://schemas.openxmlformats.org/package/2006/relationships"><Relationship Id="rId8" Type="http://schemas.openxmlformats.org/officeDocument/2006/relationships/ctrlProp" Target="../ctrlProps/ctrlProp1253.xml"/><Relationship Id="rId3" Type="http://schemas.openxmlformats.org/officeDocument/2006/relationships/vmlDrawing" Target="../drawings/vmlDrawing158.vml"/><Relationship Id="rId7" Type="http://schemas.openxmlformats.org/officeDocument/2006/relationships/ctrlProp" Target="../ctrlProps/ctrlProp1252.xml"/><Relationship Id="rId12" Type="http://schemas.openxmlformats.org/officeDocument/2006/relationships/ctrlProp" Target="../ctrlProps/ctrlProp1257.xml"/><Relationship Id="rId2" Type="http://schemas.openxmlformats.org/officeDocument/2006/relationships/drawing" Target="../drawings/drawing159.xml"/><Relationship Id="rId1" Type="http://schemas.openxmlformats.org/officeDocument/2006/relationships/hyperlink" Target="mailto:datamateapp@gmail.com" TargetMode="External"/><Relationship Id="rId6" Type="http://schemas.openxmlformats.org/officeDocument/2006/relationships/ctrlProp" Target="../ctrlProps/ctrlProp1251.xml"/><Relationship Id="rId11" Type="http://schemas.openxmlformats.org/officeDocument/2006/relationships/ctrlProp" Target="../ctrlProps/ctrlProp1256.xml"/><Relationship Id="rId5" Type="http://schemas.openxmlformats.org/officeDocument/2006/relationships/ctrlProp" Target="../ctrlProps/ctrlProp1250.xml"/><Relationship Id="rId10" Type="http://schemas.openxmlformats.org/officeDocument/2006/relationships/ctrlProp" Target="../ctrlProps/ctrlProp1255.xml"/><Relationship Id="rId4" Type="http://schemas.openxmlformats.org/officeDocument/2006/relationships/ctrlProp" Target="../ctrlProps/ctrlProp1249.xml"/><Relationship Id="rId9" Type="http://schemas.openxmlformats.org/officeDocument/2006/relationships/ctrlProp" Target="../ctrlProps/ctrlProp1254.xml"/></Relationships>
</file>

<file path=xl/worksheets/_rels/sheet184.xml.rels><?xml version="1.0" encoding="UTF-8" standalone="yes"?>
<Relationships xmlns="http://schemas.openxmlformats.org/package/2006/relationships"><Relationship Id="rId8" Type="http://schemas.openxmlformats.org/officeDocument/2006/relationships/ctrlProp" Target="../ctrlProps/ctrlProp1262.xml"/><Relationship Id="rId3" Type="http://schemas.openxmlformats.org/officeDocument/2006/relationships/vmlDrawing" Target="../drawings/vmlDrawing159.vml"/><Relationship Id="rId7" Type="http://schemas.openxmlformats.org/officeDocument/2006/relationships/ctrlProp" Target="../ctrlProps/ctrlProp1261.xml"/><Relationship Id="rId12" Type="http://schemas.openxmlformats.org/officeDocument/2006/relationships/ctrlProp" Target="../ctrlProps/ctrlProp1266.xml"/><Relationship Id="rId2" Type="http://schemas.openxmlformats.org/officeDocument/2006/relationships/drawing" Target="../drawings/drawing160.xml"/><Relationship Id="rId1" Type="http://schemas.openxmlformats.org/officeDocument/2006/relationships/hyperlink" Target="mailto:datamateapp@gmail.com" TargetMode="External"/><Relationship Id="rId6" Type="http://schemas.openxmlformats.org/officeDocument/2006/relationships/ctrlProp" Target="../ctrlProps/ctrlProp1260.xml"/><Relationship Id="rId11" Type="http://schemas.openxmlformats.org/officeDocument/2006/relationships/ctrlProp" Target="../ctrlProps/ctrlProp1265.xml"/><Relationship Id="rId5" Type="http://schemas.openxmlformats.org/officeDocument/2006/relationships/ctrlProp" Target="../ctrlProps/ctrlProp1259.xml"/><Relationship Id="rId10" Type="http://schemas.openxmlformats.org/officeDocument/2006/relationships/ctrlProp" Target="../ctrlProps/ctrlProp1264.xml"/><Relationship Id="rId4" Type="http://schemas.openxmlformats.org/officeDocument/2006/relationships/ctrlProp" Target="../ctrlProps/ctrlProp1258.xml"/><Relationship Id="rId9" Type="http://schemas.openxmlformats.org/officeDocument/2006/relationships/ctrlProp" Target="../ctrlProps/ctrlProp1263.xml"/></Relationships>
</file>

<file path=xl/worksheets/_rels/sheet185.xml.rels><?xml version="1.0" encoding="UTF-8" standalone="yes"?>
<Relationships xmlns="http://schemas.openxmlformats.org/package/2006/relationships"><Relationship Id="rId8" Type="http://schemas.openxmlformats.org/officeDocument/2006/relationships/ctrlProp" Target="../ctrlProps/ctrlProp1271.xml"/><Relationship Id="rId3" Type="http://schemas.openxmlformats.org/officeDocument/2006/relationships/vmlDrawing" Target="../drawings/vmlDrawing160.vml"/><Relationship Id="rId7" Type="http://schemas.openxmlformats.org/officeDocument/2006/relationships/ctrlProp" Target="../ctrlProps/ctrlProp1270.xml"/><Relationship Id="rId12" Type="http://schemas.openxmlformats.org/officeDocument/2006/relationships/ctrlProp" Target="../ctrlProps/ctrlProp1275.xml"/><Relationship Id="rId2" Type="http://schemas.openxmlformats.org/officeDocument/2006/relationships/drawing" Target="../drawings/drawing161.xml"/><Relationship Id="rId1" Type="http://schemas.openxmlformats.org/officeDocument/2006/relationships/hyperlink" Target="mailto:datamateapp@gmail.com" TargetMode="External"/><Relationship Id="rId6" Type="http://schemas.openxmlformats.org/officeDocument/2006/relationships/ctrlProp" Target="../ctrlProps/ctrlProp1269.xml"/><Relationship Id="rId11" Type="http://schemas.openxmlformats.org/officeDocument/2006/relationships/ctrlProp" Target="../ctrlProps/ctrlProp1274.xml"/><Relationship Id="rId5" Type="http://schemas.openxmlformats.org/officeDocument/2006/relationships/ctrlProp" Target="../ctrlProps/ctrlProp1268.xml"/><Relationship Id="rId10" Type="http://schemas.openxmlformats.org/officeDocument/2006/relationships/ctrlProp" Target="../ctrlProps/ctrlProp1273.xml"/><Relationship Id="rId4" Type="http://schemas.openxmlformats.org/officeDocument/2006/relationships/ctrlProp" Target="../ctrlProps/ctrlProp1267.xml"/><Relationship Id="rId9" Type="http://schemas.openxmlformats.org/officeDocument/2006/relationships/ctrlProp" Target="../ctrlProps/ctrlProp127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34EBF7-3C8F-4526-B88B-8E5CB522A892}">
  <sheetPr codeName="Sheet54"/>
  <dimension ref="A1:O53"/>
  <sheetViews>
    <sheetView workbookViewId="0">
      <selection activeCell="D14" sqref="D14"/>
    </sheetView>
  </sheetViews>
  <sheetFormatPr defaultRowHeight="14.5" x14ac:dyDescent="0.35"/>
  <cols>
    <col min="1" max="1" width="12" style="1" customWidth="1"/>
    <col min="2" max="2" width="9.453125" style="1" customWidth="1"/>
    <col min="3" max="3" width="17.7265625" style="1" customWidth="1"/>
    <col min="4" max="4" width="15.26953125" style="1" customWidth="1"/>
    <col min="5" max="5" width="8.7265625" style="1"/>
    <col min="6" max="6" width="12.1796875" style="1" customWidth="1"/>
    <col min="7" max="7" width="15.54296875" style="1" customWidth="1"/>
    <col min="8" max="8" width="13" style="1" customWidth="1"/>
    <col min="9" max="9" width="12.453125" style="1" customWidth="1"/>
    <col min="10" max="10" width="14.54296875" style="1" customWidth="1"/>
    <col min="11" max="16384" width="8.7265625" style="1"/>
  </cols>
  <sheetData>
    <row r="1" spans="1:15" x14ac:dyDescent="0.35">
      <c r="A1" s="54" t="str">
        <f>A6</f>
        <v>PURCHASE ORDER NUMBER:</v>
      </c>
      <c r="B1" s="55" t="str">
        <f>A8</f>
        <v>To:</v>
      </c>
      <c r="C1" s="55" t="str">
        <f>A20</f>
        <v>Delivery Required By:</v>
      </c>
      <c r="D1" s="55" t="str">
        <f>H39</f>
        <v>GRAND TOTAL:</v>
      </c>
      <c r="E1" s="55" t="str">
        <f>A51</f>
        <v>Date of Order:</v>
      </c>
      <c r="F1" s="55" t="str">
        <f>H42</f>
        <v>Cost Code:</v>
      </c>
      <c r="G1" s="55" t="str">
        <f>F42</f>
        <v>Attachments:</v>
      </c>
      <c r="H1" s="55" t="s">
        <v>21419</v>
      </c>
      <c r="I1" s="55" t="s">
        <v>21388</v>
      </c>
      <c r="J1" s="55" t="s">
        <v>21389</v>
      </c>
      <c r="K1" s="55" t="s">
        <v>21390</v>
      </c>
      <c r="L1" s="55" t="s">
        <v>21391</v>
      </c>
      <c r="M1" s="55" t="str">
        <f>A50</f>
        <v>Date Signed:</v>
      </c>
      <c r="N1" s="55" t="str">
        <f>A47</f>
        <v>Acknowledged By:</v>
      </c>
      <c r="O1" s="56" t="s">
        <v>21394</v>
      </c>
    </row>
    <row r="2" spans="1:15" x14ac:dyDescent="0.35">
      <c r="A2" s="58">
        <f>D6</f>
        <v>0</v>
      </c>
      <c r="B2" s="59" t="str">
        <f>B8</f>
        <v>Example Supplier/Vendor</v>
      </c>
      <c r="C2" s="59">
        <f>C20</f>
        <v>0</v>
      </c>
      <c r="D2" s="59">
        <f>J39</f>
        <v>0</v>
      </c>
      <c r="E2" s="59">
        <f>D51</f>
        <v>0</v>
      </c>
      <c r="F2" s="59">
        <f>I42</f>
        <v>0</v>
      </c>
      <c r="G2" s="59">
        <f>G42</f>
        <v>0</v>
      </c>
      <c r="H2" s="59"/>
      <c r="I2" s="59"/>
      <c r="J2" s="59"/>
      <c r="K2" s="59"/>
      <c r="L2" s="59"/>
      <c r="M2" s="59"/>
      <c r="N2" s="59"/>
      <c r="O2" s="60"/>
    </row>
    <row r="3" spans="1:15" ht="25" x14ac:dyDescent="0.5">
      <c r="A3" s="429" t="str">
        <f>Contacts!F3</f>
        <v>Your Company Name</v>
      </c>
      <c r="B3" s="430"/>
      <c r="C3" s="430"/>
      <c r="D3" s="430"/>
      <c r="E3" s="430"/>
      <c r="F3" s="430"/>
      <c r="G3" s="430"/>
      <c r="H3" s="430"/>
      <c r="I3" s="430"/>
      <c r="J3" s="431"/>
      <c r="K3" s="110"/>
      <c r="L3" s="110"/>
      <c r="M3" s="110"/>
      <c r="N3" s="110"/>
      <c r="O3" s="110"/>
    </row>
    <row r="4" spans="1:15" ht="15.5" x14ac:dyDescent="0.35">
      <c r="A4" s="118"/>
      <c r="B4" s="119"/>
      <c r="C4" s="120" t="str">
        <f>Contacts!L3</f>
        <v>1234 Construction Lane</v>
      </c>
      <c r="D4" s="119"/>
      <c r="E4" s="119"/>
      <c r="F4" s="120"/>
      <c r="G4" s="119" t="str" cm="1">
        <f t="array" ref="G4:H4">Contacts!M3:N3</f>
        <v>Springfield</v>
      </c>
      <c r="H4" s="119" t="str">
        <v>IL</v>
      </c>
      <c r="I4" s="119"/>
      <c r="J4" s="121"/>
    </row>
    <row r="5" spans="1:15" x14ac:dyDescent="0.35">
      <c r="A5" s="122"/>
      <c r="B5" s="123"/>
      <c r="C5" s="123"/>
      <c r="D5" s="124"/>
      <c r="E5" s="123"/>
      <c r="F5" s="123"/>
      <c r="G5" s="123"/>
      <c r="H5" s="123"/>
      <c r="I5" s="124"/>
      <c r="J5" s="125"/>
    </row>
    <row r="6" spans="1:15" ht="15.5" x14ac:dyDescent="0.35">
      <c r="A6" s="432" t="s">
        <v>21434</v>
      </c>
      <c r="B6" s="433"/>
      <c r="C6" s="433"/>
      <c r="D6" s="126"/>
      <c r="E6" s="101"/>
      <c r="F6" s="434" t="s">
        <v>21435</v>
      </c>
      <c r="G6" s="435"/>
      <c r="H6" s="435"/>
      <c r="I6" s="127"/>
      <c r="J6" s="101"/>
    </row>
    <row r="7" spans="1:15" x14ac:dyDescent="0.35">
      <c r="A7" s="113"/>
      <c r="D7" s="128"/>
      <c r="E7" s="101"/>
      <c r="I7" s="128"/>
      <c r="J7" s="101"/>
    </row>
    <row r="8" spans="1:15" x14ac:dyDescent="0.35">
      <c r="A8" s="113" t="s">
        <v>21436</v>
      </c>
      <c r="B8" s="423" t="s">
        <v>21437</v>
      </c>
      <c r="C8" s="423"/>
      <c r="D8" s="423"/>
      <c r="E8" s="101"/>
      <c r="F8" s="1" t="s">
        <v>21438</v>
      </c>
      <c r="G8" s="423" t="s">
        <v>21439</v>
      </c>
      <c r="H8" s="423"/>
      <c r="I8" s="423"/>
      <c r="J8" s="101"/>
    </row>
    <row r="9" spans="1:15" x14ac:dyDescent="0.35">
      <c r="A9" s="113"/>
      <c r="B9" s="422" t="str">
        <f>VLOOKUP(B8,Contacts!C2:R2000,10,FALSE)</f>
        <v>440 North Industrial Drive</v>
      </c>
      <c r="C9" s="422"/>
      <c r="D9" s="422"/>
      <c r="E9" s="101"/>
      <c r="G9" s="422" t="str">
        <f>VLOOKUP(G8,Contacts!C2:W2000,10,FALSE)</f>
        <v>101 Enterprise Dr</v>
      </c>
      <c r="H9" s="422"/>
      <c r="I9" s="422"/>
      <c r="J9" s="101"/>
    </row>
    <row r="10" spans="1:15" x14ac:dyDescent="0.35">
      <c r="A10" s="113"/>
      <c r="B10" s="130" t="str">
        <f>VLOOKUP(B8,Contacts!C2:R2000, 11, FALSE) &amp; ", " &amp; VLOOKUP(B8,Contacts!C2:R2000, 12, FALSE) &amp; " " &amp; VLOOKUP(B8,Contacts!C2:R2000, 13, FALSE)</f>
        <v>Springfield, IL 62523</v>
      </c>
      <c r="C10" s="130"/>
      <c r="D10" s="130"/>
      <c r="E10" s="101"/>
      <c r="G10" s="130" t="str">
        <f>VLOOKUP(G8,Contacts!C2:R2000, 11, FALSE) &amp; ", " &amp; VLOOKUP(B8,Contacts!C2:R2000, 12, FALSE) &amp; " " &amp; VLOOKUP(B8,Contacts!C2:R2000, 13, FALSE)</f>
        <v>Springfield, IL 62523</v>
      </c>
      <c r="H10" s="130"/>
      <c r="I10" s="130"/>
      <c r="J10" s="101"/>
    </row>
    <row r="11" spans="1:15" x14ac:dyDescent="0.35">
      <c r="A11" s="113"/>
      <c r="B11" s="130"/>
      <c r="C11" s="130"/>
      <c r="D11" s="130"/>
      <c r="E11" s="101"/>
      <c r="G11" s="131"/>
      <c r="J11" s="101"/>
    </row>
    <row r="12" spans="1:15" x14ac:dyDescent="0.35">
      <c r="A12" s="113" t="s">
        <v>21440</v>
      </c>
      <c r="B12" s="130" t="str">
        <f>VLOOKUP(B8,Contacts!$C$2:$R2000,2,FALSE)</f>
        <v>Michael Jordan</v>
      </c>
      <c r="C12" s="130"/>
      <c r="D12" s="130"/>
      <c r="E12" s="101"/>
      <c r="J12" s="101"/>
    </row>
    <row r="13" spans="1:15" x14ac:dyDescent="0.35">
      <c r="A13" s="113"/>
      <c r="B13" s="131"/>
      <c r="C13" s="131"/>
      <c r="D13" s="131"/>
      <c r="E13" s="101"/>
      <c r="F13" s="1" t="s">
        <v>21441</v>
      </c>
      <c r="G13" s="132" t="s">
        <v>21442</v>
      </c>
      <c r="H13" s="131"/>
      <c r="J13" s="101"/>
    </row>
    <row r="14" spans="1:15" x14ac:dyDescent="0.35">
      <c r="A14" s="113"/>
      <c r="B14" s="131"/>
      <c r="C14" s="131"/>
      <c r="D14" s="131"/>
      <c r="E14" s="101"/>
      <c r="G14" s="1" t="s">
        <v>21443</v>
      </c>
      <c r="H14" s="131"/>
      <c r="J14" s="101"/>
    </row>
    <row r="15" spans="1:15" x14ac:dyDescent="0.35">
      <c r="A15" s="113" t="s">
        <v>21444</v>
      </c>
      <c r="B15" s="421" t="str">
        <f>VLOOKUP(B8,Contacts!$C$2:$CQ$4043,8,FALSE)</f>
        <v>(555) 555-1733</v>
      </c>
      <c r="C15" s="422"/>
      <c r="D15" s="130"/>
      <c r="E15" s="101"/>
      <c r="F15" s="1" t="s">
        <v>21445</v>
      </c>
      <c r="J15" s="101"/>
    </row>
    <row r="16" spans="1:15" x14ac:dyDescent="0.35">
      <c r="A16" s="113" t="s">
        <v>21446</v>
      </c>
      <c r="B16" s="421" t="str">
        <f>VLOOKUP(B8,Contacts!$C$2:$CQ$4043,9,FALSE)</f>
        <v>(555) 555-9790</v>
      </c>
      <c r="C16" s="422"/>
      <c r="D16" s="130"/>
      <c r="E16" s="101"/>
      <c r="G16" s="423" t="s">
        <v>21447</v>
      </c>
      <c r="H16" s="423"/>
      <c r="I16" s="423"/>
      <c r="J16" s="101"/>
    </row>
    <row r="17" spans="1:10" x14ac:dyDescent="0.35">
      <c r="A17" s="113" t="s">
        <v>21448</v>
      </c>
      <c r="B17" s="131" t="str">
        <f>VLOOKUP(B8,Contacts!$C$2:$CQ$4043,16,FALSE)</f>
        <v>mjordan@examplesupplier.com</v>
      </c>
      <c r="C17" s="131"/>
      <c r="D17" s="131"/>
      <c r="E17" s="101"/>
      <c r="G17" s="422" t="str">
        <f>VLOOKUP(G16,Contacts!C2:W2008,10,FALSE)</f>
        <v>1234 Construction Lane</v>
      </c>
      <c r="H17" s="422"/>
      <c r="I17" s="422"/>
      <c r="J17" s="101"/>
    </row>
    <row r="18" spans="1:10" x14ac:dyDescent="0.35">
      <c r="A18" s="113" t="s">
        <v>21449</v>
      </c>
      <c r="B18" s="131" t="s">
        <v>21450</v>
      </c>
      <c r="C18" s="131"/>
      <c r="D18" s="131"/>
      <c r="E18" s="101"/>
      <c r="G18" s="130" t="str">
        <f>VLOOKUP(G16,Contacts!C2:R2000, 11, FALSE) &amp; ", " &amp; VLOOKUP(B8,Contacts!C2:R2000, 12, FALSE) &amp; " " &amp; VLOOKUP(B8,Contacts!C2:R2000, 13, FALSE)</f>
        <v>Springfield, IL 62523</v>
      </c>
      <c r="H18" s="130"/>
      <c r="I18" s="130"/>
      <c r="J18" s="101"/>
    </row>
    <row r="19" spans="1:10" x14ac:dyDescent="0.35">
      <c r="A19" s="113"/>
      <c r="E19" s="101"/>
      <c r="G19" s="131"/>
      <c r="J19" s="101"/>
    </row>
    <row r="20" spans="1:10" x14ac:dyDescent="0.35">
      <c r="A20" s="113" t="s">
        <v>21451</v>
      </c>
      <c r="C20" s="129"/>
      <c r="E20" s="133" t="s">
        <v>21452</v>
      </c>
      <c r="F20" s="73" t="s">
        <v>21453</v>
      </c>
      <c r="G20" s="134"/>
      <c r="H20" s="135" t="s">
        <v>21454</v>
      </c>
      <c r="I20" s="135"/>
      <c r="J20" s="129" t="s">
        <v>21455</v>
      </c>
    </row>
    <row r="21" spans="1:10" ht="15.5" x14ac:dyDescent="0.35">
      <c r="A21" s="136"/>
      <c r="B21" s="137"/>
      <c r="C21" s="138"/>
      <c r="D21" s="137"/>
      <c r="E21" s="137"/>
      <c r="F21" s="137"/>
      <c r="G21" s="137"/>
      <c r="H21" s="137"/>
      <c r="I21" s="137"/>
      <c r="J21" s="139"/>
    </row>
    <row r="22" spans="1:10" x14ac:dyDescent="0.35">
      <c r="A22" s="140" t="s">
        <v>21456</v>
      </c>
      <c r="B22" s="73"/>
      <c r="C22" s="73"/>
      <c r="D22" s="141"/>
      <c r="E22" s="73"/>
      <c r="F22" s="73"/>
      <c r="G22" s="117"/>
      <c r="H22" s="142" t="s">
        <v>21457</v>
      </c>
      <c r="I22" s="142" t="s">
        <v>3</v>
      </c>
      <c r="J22" s="142" t="s">
        <v>21458</v>
      </c>
    </row>
    <row r="23" spans="1:10" ht="15.5" x14ac:dyDescent="0.35">
      <c r="A23" s="143" t="s">
        <v>21459</v>
      </c>
      <c r="B23" s="424" t="s">
        <v>21439</v>
      </c>
      <c r="C23" s="425"/>
      <c r="D23" s="425"/>
      <c r="E23" s="425"/>
      <c r="F23" s="425"/>
      <c r="G23" s="426"/>
      <c r="H23" s="144"/>
      <c r="I23" s="145"/>
      <c r="J23" s="146"/>
    </row>
    <row r="24" spans="1:10" x14ac:dyDescent="0.35">
      <c r="A24" s="147" t="s">
        <v>21460</v>
      </c>
      <c r="B24" s="148"/>
      <c r="C24" s="148"/>
      <c r="D24" s="149"/>
      <c r="E24" s="149"/>
      <c r="F24" s="149"/>
      <c r="G24" s="149"/>
      <c r="H24" s="150"/>
      <c r="I24" s="151"/>
      <c r="J24" s="152"/>
    </row>
    <row r="25" spans="1:10" x14ac:dyDescent="0.35">
      <c r="A25" s="427" t="e">
        <v>#REF!</v>
      </c>
      <c r="B25" s="428"/>
      <c r="C25" s="428"/>
      <c r="D25" s="153"/>
      <c r="E25" s="154"/>
      <c r="F25" s="155"/>
      <c r="G25" s="156"/>
      <c r="H25" s="157" t="s">
        <v>21461</v>
      </c>
      <c r="I25" s="158"/>
      <c r="J25" s="159"/>
    </row>
    <row r="26" spans="1:10" x14ac:dyDescent="0.35">
      <c r="A26" s="160" t="s">
        <v>21462</v>
      </c>
      <c r="B26" s="161"/>
      <c r="C26" s="162"/>
      <c r="D26" s="148"/>
      <c r="E26" s="163"/>
      <c r="F26" s="164"/>
      <c r="G26" s="165"/>
      <c r="H26" s="150"/>
      <c r="I26" s="151"/>
      <c r="J26" s="152"/>
    </row>
    <row r="27" spans="1:10" x14ac:dyDescent="0.35">
      <c r="A27" s="397"/>
      <c r="B27" s="398"/>
      <c r="C27" s="398"/>
      <c r="D27" s="398"/>
      <c r="E27" s="398"/>
      <c r="F27" s="398"/>
      <c r="G27" s="398"/>
      <c r="H27" s="166"/>
      <c r="I27" s="166"/>
      <c r="J27" s="167">
        <f t="shared" ref="J27:J33" si="0">H27*I27</f>
        <v>0</v>
      </c>
    </row>
    <row r="28" spans="1:10" x14ac:dyDescent="0.35">
      <c r="A28" s="397"/>
      <c r="B28" s="398"/>
      <c r="C28" s="398"/>
      <c r="D28" s="398"/>
      <c r="E28" s="398"/>
      <c r="F28" s="398"/>
      <c r="G28" s="398"/>
      <c r="H28" s="166"/>
      <c r="I28" s="166"/>
      <c r="J28" s="167">
        <f t="shared" si="0"/>
        <v>0</v>
      </c>
    </row>
    <row r="29" spans="1:10" x14ac:dyDescent="0.35">
      <c r="A29" s="397"/>
      <c r="B29" s="398"/>
      <c r="C29" s="398"/>
      <c r="D29" s="398"/>
      <c r="E29" s="398"/>
      <c r="F29" s="398"/>
      <c r="G29" s="398"/>
      <c r="H29" s="166"/>
      <c r="I29" s="166"/>
      <c r="J29" s="167">
        <f t="shared" si="0"/>
        <v>0</v>
      </c>
    </row>
    <row r="30" spans="1:10" x14ac:dyDescent="0.35">
      <c r="A30" s="397"/>
      <c r="B30" s="398"/>
      <c r="C30" s="398"/>
      <c r="D30" s="398"/>
      <c r="E30" s="398"/>
      <c r="F30" s="398"/>
      <c r="G30" s="398"/>
      <c r="H30" s="166"/>
      <c r="I30" s="166"/>
      <c r="J30" s="167">
        <f t="shared" si="0"/>
        <v>0</v>
      </c>
    </row>
    <row r="31" spans="1:10" x14ac:dyDescent="0.35">
      <c r="A31" s="397"/>
      <c r="B31" s="398"/>
      <c r="C31" s="398"/>
      <c r="D31" s="398"/>
      <c r="E31" s="398"/>
      <c r="F31" s="398"/>
      <c r="G31" s="398"/>
      <c r="H31" s="166"/>
      <c r="I31" s="166"/>
      <c r="J31" s="167">
        <f t="shared" si="0"/>
        <v>0</v>
      </c>
    </row>
    <row r="32" spans="1:10" x14ac:dyDescent="0.35">
      <c r="A32" s="397"/>
      <c r="B32" s="398"/>
      <c r="C32" s="398"/>
      <c r="D32" s="398"/>
      <c r="E32" s="398"/>
      <c r="F32" s="398"/>
      <c r="G32" s="398"/>
      <c r="H32" s="166"/>
      <c r="I32" s="166"/>
      <c r="J32" s="167">
        <f t="shared" si="0"/>
        <v>0</v>
      </c>
    </row>
    <row r="33" spans="1:10" x14ac:dyDescent="0.35">
      <c r="A33" s="397"/>
      <c r="B33" s="398"/>
      <c r="C33" s="398"/>
      <c r="D33" s="398"/>
      <c r="E33" s="398"/>
      <c r="F33" s="398"/>
      <c r="G33" s="398"/>
      <c r="H33" s="166"/>
      <c r="I33" s="166"/>
      <c r="J33" s="167">
        <f t="shared" si="0"/>
        <v>0</v>
      </c>
    </row>
    <row r="34" spans="1:10" x14ac:dyDescent="0.35">
      <c r="A34" s="399"/>
      <c r="B34" s="400"/>
      <c r="C34" s="400"/>
      <c r="D34" s="400"/>
      <c r="E34" s="400"/>
      <c r="F34" s="400"/>
      <c r="G34" s="401"/>
      <c r="H34" s="150"/>
      <c r="I34" s="151"/>
      <c r="J34" s="169"/>
    </row>
    <row r="35" spans="1:10" x14ac:dyDescent="0.35">
      <c r="A35" s="113"/>
      <c r="B35" s="168"/>
      <c r="C35" s="131"/>
      <c r="G35" s="131"/>
      <c r="H35" s="150"/>
      <c r="I35" s="151"/>
      <c r="J35" s="169"/>
    </row>
    <row r="36" spans="1:10" x14ac:dyDescent="0.35">
      <c r="A36" s="113"/>
      <c r="G36" s="131" t="s">
        <v>25</v>
      </c>
      <c r="H36" s="150"/>
      <c r="I36" s="151"/>
      <c r="J36" s="152">
        <f>SUM(J27:J33)</f>
        <v>0</v>
      </c>
    </row>
    <row r="37" spans="1:10" x14ac:dyDescent="0.35">
      <c r="A37" s="170" t="s">
        <v>21463</v>
      </c>
      <c r="G37" s="131"/>
      <c r="H37" s="150"/>
      <c r="I37" s="151"/>
      <c r="J37" s="152"/>
    </row>
    <row r="38" spans="1:10" x14ac:dyDescent="0.35">
      <c r="A38" s="171"/>
      <c r="B38" s="129"/>
      <c r="H38" s="172"/>
      <c r="I38" s="173"/>
      <c r="J38" s="174"/>
    </row>
    <row r="39" spans="1:10" ht="15" thickBot="1" x14ac:dyDescent="0.4">
      <c r="A39" s="113"/>
      <c r="H39" s="175" t="s">
        <v>21464</v>
      </c>
      <c r="I39" s="176"/>
      <c r="J39" s="177">
        <f>SUM(J36)</f>
        <v>0</v>
      </c>
    </row>
    <row r="40" spans="1:10" ht="15.5" thickTop="1" thickBot="1" x14ac:dyDescent="0.4">
      <c r="A40" s="113" t="s">
        <v>21461</v>
      </c>
      <c r="J40" s="101"/>
    </row>
    <row r="41" spans="1:10" ht="15.5" thickTop="1" thickBot="1" x14ac:dyDescent="0.4">
      <c r="A41" s="402" t="s">
        <v>21465</v>
      </c>
      <c r="B41" s="403"/>
      <c r="C41" s="403"/>
      <c r="D41" s="403"/>
      <c r="E41" s="403"/>
      <c r="F41" s="403"/>
      <c r="G41" s="404"/>
      <c r="H41" s="403"/>
      <c r="I41" s="404"/>
      <c r="J41" s="405"/>
    </row>
    <row r="42" spans="1:10" ht="15.5" thickTop="1" thickBot="1" x14ac:dyDescent="0.4">
      <c r="A42" s="178" t="s">
        <v>21466</v>
      </c>
      <c r="B42" s="179"/>
      <c r="C42" s="179"/>
      <c r="D42" s="179"/>
      <c r="E42" s="179"/>
      <c r="F42" s="179" t="s">
        <v>21467</v>
      </c>
      <c r="G42" s="180"/>
      <c r="H42" s="179" t="s">
        <v>21468</v>
      </c>
      <c r="I42" s="406"/>
      <c r="J42" s="406"/>
    </row>
    <row r="43" spans="1:10" ht="15" thickTop="1" x14ac:dyDescent="0.35">
      <c r="A43" s="407" t="s">
        <v>21469</v>
      </c>
      <c r="B43" s="404"/>
      <c r="C43" s="404"/>
      <c r="D43" s="404"/>
      <c r="E43" s="408" t="e">
        <f>#REF!</f>
        <v>#REF!</v>
      </c>
      <c r="F43" s="408"/>
      <c r="G43" s="400"/>
      <c r="H43" s="404"/>
      <c r="I43" s="409"/>
      <c r="J43" s="410"/>
    </row>
    <row r="44" spans="1:10" ht="15" thickBot="1" x14ac:dyDescent="0.4">
      <c r="A44" s="411" t="s">
        <v>21461</v>
      </c>
      <c r="B44" s="412"/>
      <c r="C44" s="412"/>
      <c r="D44" s="412"/>
      <c r="E44" s="412"/>
      <c r="F44" s="412"/>
      <c r="G44" s="412"/>
      <c r="H44" s="412"/>
      <c r="I44" s="412"/>
      <c r="J44" s="413"/>
    </row>
    <row r="45" spans="1:10" ht="15.5" thickTop="1" thickBot="1" x14ac:dyDescent="0.4">
      <c r="A45" s="402" t="s">
        <v>21470</v>
      </c>
      <c r="B45" s="403"/>
      <c r="C45" s="403"/>
      <c r="D45" s="403"/>
      <c r="E45" s="403"/>
      <c r="F45" s="403"/>
      <c r="G45" s="403"/>
      <c r="H45" s="403"/>
      <c r="I45" s="403"/>
      <c r="J45" s="414"/>
    </row>
    <row r="46" spans="1:10" ht="15" thickTop="1" x14ac:dyDescent="0.35">
      <c r="A46" s="113"/>
      <c r="J46" s="101"/>
    </row>
    <row r="47" spans="1:10" ht="21" x14ac:dyDescent="0.5">
      <c r="A47" s="113" t="s">
        <v>21471</v>
      </c>
      <c r="D47" s="59"/>
      <c r="F47" s="1" t="s">
        <v>21472</v>
      </c>
      <c r="H47" s="415" t="e">
        <f>VLOOKUP(F48,Contacts!C2:R2000,2,FALSE)</f>
        <v>#REF!</v>
      </c>
      <c r="I47" s="416"/>
      <c r="J47" s="182"/>
    </row>
    <row r="48" spans="1:10" x14ac:dyDescent="0.35">
      <c r="A48" s="170" t="s">
        <v>21473</v>
      </c>
      <c r="B48" s="417" t="str">
        <f>B8</f>
        <v>Example Supplier/Vendor</v>
      </c>
      <c r="C48" s="418"/>
      <c r="D48" s="418"/>
      <c r="E48" s="418"/>
      <c r="F48" s="131" t="e">
        <v>#REF!</v>
      </c>
      <c r="J48" s="101"/>
    </row>
    <row r="49" spans="1:10" x14ac:dyDescent="0.35">
      <c r="A49" s="170" t="s">
        <v>21474</v>
      </c>
      <c r="D49" s="183"/>
      <c r="F49" s="131"/>
      <c r="H49" s="419"/>
      <c r="I49" s="420"/>
      <c r="J49" s="101"/>
    </row>
    <row r="50" spans="1:10" x14ac:dyDescent="0.35">
      <c r="A50" s="170" t="s">
        <v>21475</v>
      </c>
      <c r="D50" s="184"/>
      <c r="H50" s="185" t="s">
        <v>21476</v>
      </c>
      <c r="I50" s="185"/>
      <c r="J50" s="101"/>
    </row>
    <row r="51" spans="1:10" x14ac:dyDescent="0.35">
      <c r="A51" s="186" t="s">
        <v>21477</v>
      </c>
      <c r="B51" s="59"/>
      <c r="C51" s="59" t="s">
        <v>21461</v>
      </c>
      <c r="D51" s="187"/>
      <c r="E51" s="59"/>
      <c r="F51" s="59"/>
      <c r="G51" s="59"/>
      <c r="H51" s="59"/>
      <c r="I51" s="59"/>
      <c r="J51" s="60"/>
    </row>
    <row r="52" spans="1:10" ht="14.5" customHeight="1" x14ac:dyDescent="0.35">
      <c r="A52" s="391" t="s">
        <v>21478</v>
      </c>
      <c r="B52" s="392"/>
      <c r="C52" s="392"/>
      <c r="D52" s="392"/>
      <c r="E52" s="392"/>
      <c r="F52" s="392"/>
      <c r="G52" s="392"/>
      <c r="H52" s="392"/>
      <c r="I52" s="392"/>
      <c r="J52" s="393"/>
    </row>
    <row r="53" spans="1:10" x14ac:dyDescent="0.35">
      <c r="A53" s="394"/>
      <c r="B53" s="395"/>
      <c r="C53" s="395"/>
      <c r="D53" s="395"/>
      <c r="E53" s="395"/>
      <c r="F53" s="395"/>
      <c r="G53" s="395"/>
      <c r="H53" s="395"/>
      <c r="I53" s="395"/>
      <c r="J53" s="396"/>
    </row>
  </sheetData>
  <mergeCells count="31">
    <mergeCell ref="B9:D9"/>
    <mergeCell ref="G9:I9"/>
    <mergeCell ref="A3:J3"/>
    <mergeCell ref="A6:C6"/>
    <mergeCell ref="F6:H6"/>
    <mergeCell ref="B8:D8"/>
    <mergeCell ref="G8:I8"/>
    <mergeCell ref="A32:G32"/>
    <mergeCell ref="B15:C15"/>
    <mergeCell ref="B16:C16"/>
    <mergeCell ref="G16:I16"/>
    <mergeCell ref="G17:I17"/>
    <mergeCell ref="B23:G23"/>
    <mergeCell ref="A25:C25"/>
    <mergeCell ref="A27:G27"/>
    <mergeCell ref="A28:G28"/>
    <mergeCell ref="A29:G29"/>
    <mergeCell ref="A30:G30"/>
    <mergeCell ref="A31:G31"/>
    <mergeCell ref="A52:J53"/>
    <mergeCell ref="A33:G33"/>
    <mergeCell ref="A34:G34"/>
    <mergeCell ref="A41:J41"/>
    <mergeCell ref="I42:J42"/>
    <mergeCell ref="A43:D43"/>
    <mergeCell ref="E43:J43"/>
    <mergeCell ref="A44:J44"/>
    <mergeCell ref="A45:J45"/>
    <mergeCell ref="H47:I47"/>
    <mergeCell ref="B48:E48"/>
    <mergeCell ref="H49:I49"/>
  </mergeCells>
  <dataValidations count="3">
    <dataValidation allowBlank="1" showInputMessage="1" showErrorMessage="1" prompt="Select this cell and paste the URL of your attachment in the formula bar. File must be stored on One Drive or other web server and shareable." sqref="G42" xr:uid="{8CB94510-041E-490A-87A2-C711C99A90BA}"/>
    <dataValidation allowBlank="1" showInputMessage="1" showErrorMessage="1" prompt="Enter a new purchase order number." sqref="D6" xr:uid="{8B249BAB-1F01-430F-8726-34449829B1C7}"/>
    <dataValidation allowBlank="1" showInputMessage="1" showErrorMessage="1" prompt="Enter a Phase Number" sqref="I6" xr:uid="{8E37469D-5E37-406E-B006-E9DFB0F373F3}"/>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9857" r:id="rId3" name="Button 1">
              <controlPr defaultSize="0" print="0" autoFill="0" autoPict="0" macro="[0]!ExitPOsSheets">
                <anchor moveWithCells="1" sizeWithCells="1">
                  <from>
                    <xdr:col>15</xdr:col>
                    <xdr:colOff>0</xdr:colOff>
                    <xdr:row>0</xdr:row>
                    <xdr:rowOff>0</xdr:rowOff>
                  </from>
                  <to>
                    <xdr:col>17</xdr:col>
                    <xdr:colOff>50800</xdr:colOff>
                    <xdr:row>2</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25E44-AB28-4B17-9FD0-ED6565E96B29}">
  <sheetPr codeName="Sheet55"/>
  <dimension ref="A1:Q200"/>
  <sheetViews>
    <sheetView workbookViewId="0">
      <selection activeCell="D14" sqref="D14"/>
    </sheetView>
  </sheetViews>
  <sheetFormatPr defaultRowHeight="14.5" x14ac:dyDescent="0.35"/>
  <cols>
    <col min="1" max="1" width="12" style="1" customWidth="1"/>
    <col min="2" max="2" width="9.453125" style="1" customWidth="1"/>
    <col min="3" max="3" width="17.7265625" style="1" customWidth="1"/>
    <col min="4" max="4" width="15.26953125" style="1" customWidth="1"/>
    <col min="5" max="5" width="8.7265625" style="1"/>
    <col min="6" max="6" width="12.1796875" style="1" customWidth="1"/>
    <col min="7" max="7" width="15.54296875" style="1" customWidth="1"/>
    <col min="8" max="8" width="13" style="1" customWidth="1"/>
    <col min="9" max="9" width="12.453125" style="1" customWidth="1"/>
    <col min="10" max="10" width="14.54296875" style="1" customWidth="1"/>
    <col min="11" max="16384" width="8.7265625" style="1"/>
  </cols>
  <sheetData>
    <row r="1" spans="1:17" x14ac:dyDescent="0.35">
      <c r="A1" s="57" t="str">
        <f>POsView_Print!B2</f>
        <v xml:space="preserve">0- Example Supplier/Vendor- 0- 0- 0- 0- 0- - - - - </v>
      </c>
      <c r="B1" s="57"/>
      <c r="C1" s="57"/>
      <c r="D1" s="57"/>
      <c r="E1" s="57"/>
      <c r="F1" s="57"/>
      <c r="G1" s="57"/>
      <c r="H1" s="57"/>
      <c r="I1" s="57"/>
      <c r="J1" s="57"/>
      <c r="K1" s="57"/>
      <c r="L1" s="57"/>
      <c r="M1" s="57" t="s">
        <v>21475</v>
      </c>
      <c r="N1" s="57" t="s">
        <v>21471</v>
      </c>
      <c r="O1" s="57" t="s">
        <v>21394</v>
      </c>
      <c r="P1" s="57"/>
      <c r="Q1" s="57"/>
    </row>
    <row r="2" spans="1:17" x14ac:dyDescent="0.35">
      <c r="A2" s="57"/>
      <c r="B2" s="436" t="s">
        <v>21537</v>
      </c>
      <c r="C2" s="436"/>
      <c r="D2" s="436"/>
      <c r="E2" s="436"/>
      <c r="F2" s="436"/>
      <c r="G2" s="436"/>
      <c r="H2" s="436"/>
      <c r="I2" s="436"/>
      <c r="J2" s="436"/>
      <c r="K2" s="436"/>
      <c r="L2" s="436"/>
      <c r="P2" s="57"/>
      <c r="Q2" s="57"/>
    </row>
    <row r="3" spans="1:17" ht="25" x14ac:dyDescent="0.5">
      <c r="A3" s="429" t="e">
        <f>VLOOKUP(A1,POsData!$A$1:$DZU$1000000,36,FALSE)</f>
        <v>#N/A</v>
      </c>
      <c r="B3" s="430"/>
      <c r="C3" s="430"/>
      <c r="D3" s="430"/>
      <c r="E3" s="430"/>
      <c r="F3" s="430"/>
      <c r="G3" s="430"/>
      <c r="H3" s="430"/>
      <c r="I3" s="430"/>
      <c r="J3" s="431"/>
      <c r="K3" s="110" t="e">
        <f>VLOOKUP(A1,POsData!$A$1:$DZU$1000000,46,FALSE)</f>
        <v>#N/A</v>
      </c>
      <c r="L3" s="110" t="e">
        <f>VLOOKUP(A1,POsData!$A$1:$DZU$1000000,47,FALSE)</f>
        <v>#N/A</v>
      </c>
      <c r="M3" s="110" t="e">
        <f>VLOOKUP(A1,POsData!$A$1:$DZU$1000000,48,FALSE)</f>
        <v>#N/A</v>
      </c>
      <c r="N3" s="110" t="e">
        <f>VLOOKUP(A1,POsData!$A$1:$DZU$1000000,49,FALSE)</f>
        <v>#N/A</v>
      </c>
      <c r="O3" s="110" t="e">
        <f>VLOOKUP(A1,POsData!$A$1:$DZU$1000000,50,FALSE)</f>
        <v>#N/A</v>
      </c>
      <c r="P3" s="110" t="e">
        <f>VLOOKUP(A1,POsData!$A$1:$DZU$1000000,51,FALSE)</f>
        <v>#N/A</v>
      </c>
      <c r="Q3" s="112" t="e">
        <f>VLOOKUP(A1,POsData!$A$1:$DZU$1000000,52,FALSE)</f>
        <v>#N/A</v>
      </c>
    </row>
    <row r="4" spans="1:17" ht="15.5" x14ac:dyDescent="0.35">
      <c r="A4" s="118" t="e">
        <f>VLOOKUP(A1,POsData!$A$1:$DZU$1000000,53,FALSE)</f>
        <v>#N/A</v>
      </c>
      <c r="B4" s="119" t="e">
        <f>VLOOKUP(A1,POsData!$A$1:$DZU$1000000,54,FALSE)</f>
        <v>#N/A</v>
      </c>
      <c r="C4" s="120" t="e">
        <f>VLOOKUP(A1,POsData!$A$1:$DZU$1000000,55,FALSE)</f>
        <v>#N/A</v>
      </c>
      <c r="D4" s="119" t="e">
        <f>VLOOKUP(A1,POsData!$A$1:$DZU$1000000,56,FALSE)</f>
        <v>#N/A</v>
      </c>
      <c r="E4" s="119" t="e">
        <f>VLOOKUP(A1,POsData!$A$1:$DZU$1000000,57,FALSE)</f>
        <v>#N/A</v>
      </c>
      <c r="F4" s="120" t="e">
        <f>VLOOKUP(A1,POsData!$A$1:$DZU$1000000,58,FALSE)</f>
        <v>#N/A</v>
      </c>
      <c r="G4" s="119" t="e">
        <f>VLOOKUP(A1,POsData!$A$1:$DZU$1000000,59,FALSE)</f>
        <v>#N/A</v>
      </c>
      <c r="H4" s="119" t="e">
        <f>VLOOKUP(A1,POsData!$A$1:$DZU$1000000,60,FALSE)</f>
        <v>#N/A</v>
      </c>
      <c r="I4" s="119" t="e">
        <f>VLOOKUP(A1,POsData!$A$1:$DZU$1000000,61,FALSE)</f>
        <v>#N/A</v>
      </c>
      <c r="J4" s="121" t="e">
        <f>VLOOKUP(A1,POsData!$A$1:$DZU$1000000,62,FALSE)</f>
        <v>#N/A</v>
      </c>
      <c r="K4" s="1" t="e">
        <f>VLOOKUP(A1,POsData!$A$1:$DZU$1000000,63,FALSE)</f>
        <v>#N/A</v>
      </c>
      <c r="L4" s="1" t="e">
        <f>VLOOKUP(A1,POsData!$A$1:$DZU$1000000,64,FALSE)</f>
        <v>#N/A</v>
      </c>
      <c r="M4" s="1" t="e">
        <f>VLOOKUP(A1,POsData!$A$1:$DZU$1000000,65,FALSE)</f>
        <v>#N/A</v>
      </c>
      <c r="N4" s="1" t="e">
        <f>VLOOKUP(A1,POsData!$A$1:$DZU$1000000,66,FALSE)</f>
        <v>#N/A</v>
      </c>
      <c r="O4" s="1" t="e">
        <f>VLOOKUP(A1,POsData!$A$1:$DZU$1000000,67,FALSE)</f>
        <v>#N/A</v>
      </c>
      <c r="P4" s="1" t="e">
        <f>VLOOKUP(A1,POsData!$A$1:$DZU$1000000,68,FALSE)</f>
        <v>#N/A</v>
      </c>
      <c r="Q4" s="101" t="e">
        <f>VLOOKUP(A1,POsData!$A$1:$DZU$1000000,69,FALSE)</f>
        <v>#N/A</v>
      </c>
    </row>
    <row r="5" spans="1:17" x14ac:dyDescent="0.35">
      <c r="A5" s="122" t="e">
        <f>VLOOKUP(A1,POsData!$A$1:$DZU$1000000,70,FALSE)</f>
        <v>#N/A</v>
      </c>
      <c r="B5" s="123" t="e">
        <f>VLOOKUP(A1,POsData!$A$1:$DZU$1000000,71,FALSE)</f>
        <v>#N/A</v>
      </c>
      <c r="C5" s="123" t="e">
        <f>VLOOKUP(A1,POsData!$A$1:$DZU$1000000,72,FALSE)</f>
        <v>#N/A</v>
      </c>
      <c r="D5" s="124" t="e">
        <f>VLOOKUP(A1,POsData!$A$1:$DZU$1000000,73,FALSE)</f>
        <v>#N/A</v>
      </c>
      <c r="E5" s="123" t="e">
        <f>VLOOKUP(A1,POsData!$A$1:$DZU$1000000,74,FALSE)</f>
        <v>#N/A</v>
      </c>
      <c r="F5" s="123" t="e">
        <f>VLOOKUP(A1,POsData!$A$1:$DZU$1000000,75,FALSE)</f>
        <v>#N/A</v>
      </c>
      <c r="G5" s="123" t="e">
        <f>VLOOKUP(A1,POsData!$A$1:$DZU$1000000,76,FALSE)</f>
        <v>#N/A</v>
      </c>
      <c r="H5" s="123" t="e">
        <f>VLOOKUP(A1,POsData!$A$1:$DZU$1000000,77,FALSE)</f>
        <v>#N/A</v>
      </c>
      <c r="I5" s="124" t="e">
        <f>VLOOKUP(A1,POsData!$A$1:$DZU$1000000,78,FALSE)</f>
        <v>#N/A</v>
      </c>
      <c r="J5" s="125" t="e">
        <f>VLOOKUP(A1,POsData!$A$1:$DZU$1000000,79,FALSE)</f>
        <v>#N/A</v>
      </c>
      <c r="K5" s="1" t="e">
        <f>VLOOKUP(A1,POsData!$A$1:$DZU$1000000,80,FALSE)</f>
        <v>#N/A</v>
      </c>
      <c r="L5" s="1" t="e">
        <f>VLOOKUP(A1,POsData!$A$1:$DZU$1000000,81,FALSE)</f>
        <v>#N/A</v>
      </c>
      <c r="M5" s="1" t="e">
        <f>VLOOKUP(A1,POsData!$A$1:$DZU$1000000,82,FALSE)</f>
        <v>#N/A</v>
      </c>
      <c r="N5" s="1" t="e">
        <f>VLOOKUP(A1,POsData!$A$1:$DZU$1000000,83,FALSE)</f>
        <v>#N/A</v>
      </c>
      <c r="O5" s="1" t="e">
        <f>VLOOKUP(A1,POsData!$A$1:$DZU$1000000,84,FALSE)</f>
        <v>#N/A</v>
      </c>
      <c r="P5" s="1" t="e">
        <f>VLOOKUP(A1,POsData!$A$1:$DZU$1000000,85,FALSE)</f>
        <v>#N/A</v>
      </c>
      <c r="Q5" s="101" t="e">
        <f>VLOOKUP(A1,POsData!$A$1:$DZU$1000000,86,FALSE)</f>
        <v>#N/A</v>
      </c>
    </row>
    <row r="6" spans="1:17" ht="15.5" x14ac:dyDescent="0.35">
      <c r="A6" s="432" t="e">
        <f>VLOOKUP(A1,POsData!$A$1:$DZU$1000000,87,FALSE)</f>
        <v>#N/A</v>
      </c>
      <c r="B6" s="433"/>
      <c r="C6" s="433"/>
      <c r="D6" s="126" t="e">
        <f>VLOOKUP(A1,POsData!$A$1:$DZU$1000000,90,FALSE)</f>
        <v>#N/A</v>
      </c>
      <c r="E6" s="101" t="e">
        <f>VLOOKUP(A1,POsData!$A$1:$DZU$1000000,91,FALSE)</f>
        <v>#N/A</v>
      </c>
      <c r="F6" s="434" t="e">
        <f>VLOOKUP(A1,POsData!$A$1:$DZU$1000000,92,FALSE)</f>
        <v>#N/A</v>
      </c>
      <c r="G6" s="435"/>
      <c r="H6" s="435"/>
      <c r="I6" s="127" t="e">
        <f>VLOOKUP(A1,POsData!$A$1:$DZU$1000000,95,FALSE)</f>
        <v>#N/A</v>
      </c>
      <c r="J6" s="101" t="e">
        <f>VLOOKUP(A1,POsData!$A$1:$DZU$1000000,96,FALSE)</f>
        <v>#N/A</v>
      </c>
      <c r="K6" s="1" t="e">
        <f>VLOOKUP(A1,POsData!$A$1:$DZU$1000000,97,FALSE)</f>
        <v>#N/A</v>
      </c>
      <c r="L6" s="1" t="e">
        <f>VLOOKUP(A1,POsData!$A$1:$DZU$1000000,98,FALSE)</f>
        <v>#N/A</v>
      </c>
      <c r="M6" s="1" t="e">
        <f>VLOOKUP(A1,POsData!$A$1:$DZU$1000000,99,FALSE)</f>
        <v>#N/A</v>
      </c>
      <c r="N6" s="1" t="e">
        <f>VLOOKUP(A1,POsData!$A$1:$DZU$1000000,100,FALSE)</f>
        <v>#N/A</v>
      </c>
      <c r="O6" s="1" t="e">
        <f>VLOOKUP(A1,POsData!$A$1:$DZU$1000000,101,FALSE)</f>
        <v>#N/A</v>
      </c>
      <c r="P6" s="1" t="e">
        <f>VLOOKUP(A1,POsData!$A$1:$DZU$1000000,102,FALSE)</f>
        <v>#N/A</v>
      </c>
      <c r="Q6" s="101" t="e">
        <f>VLOOKUP(A1,POsData!$A$1:$DZU$1000000,103,FALSE)</f>
        <v>#N/A</v>
      </c>
    </row>
    <row r="7" spans="1:17" x14ac:dyDescent="0.35">
      <c r="A7" s="113" t="e">
        <f>VLOOKUP(A1,POsData!$A$1:$DZU$1000000,104,FALSE)</f>
        <v>#N/A</v>
      </c>
      <c r="B7" s="1" t="e">
        <f>VLOOKUP(A1,POsData!$A$1:$DZU$1000000,105,FALSE)</f>
        <v>#N/A</v>
      </c>
      <c r="C7" s="1" t="e">
        <f>VLOOKUP(A1,POsData!$A$1:$DZU$1000000,106,FALSE)</f>
        <v>#N/A</v>
      </c>
      <c r="D7" s="128" t="e">
        <f>VLOOKUP(A1,POsData!$A$1:$DZU$1000000,107,FALSE)</f>
        <v>#N/A</v>
      </c>
      <c r="E7" s="101" t="e">
        <f>VLOOKUP(A1,POsData!$A$1:$DZU$1000000,108,FALSE)</f>
        <v>#N/A</v>
      </c>
      <c r="F7" s="1" t="e">
        <f>VLOOKUP(A1,POsData!$A$1:$DZU$1000000,109,FALSE)</f>
        <v>#N/A</v>
      </c>
      <c r="G7" s="1" t="e">
        <f>VLOOKUP(A1,POsData!$A$1:$DZU$1000000,110,FALSE)</f>
        <v>#N/A</v>
      </c>
      <c r="H7" s="1" t="e">
        <f>VLOOKUP(A1,POsData!$A$1:$DZU$1000000,111,FALSE)</f>
        <v>#N/A</v>
      </c>
      <c r="I7" s="128" t="e">
        <f>VLOOKUP(A1,POsData!$A$1:$DZU$1000000,112,FALSE)</f>
        <v>#N/A</v>
      </c>
      <c r="J7" s="101" t="e">
        <f>VLOOKUP(A1,POsData!$A$1:$DZU$1000000,113,FALSE)</f>
        <v>#N/A</v>
      </c>
      <c r="K7" s="1" t="e">
        <f>VLOOKUP(A1,POsData!$A$1:$DZU$1000000,114,FALSE)</f>
        <v>#N/A</v>
      </c>
      <c r="L7" s="1" t="e">
        <f>VLOOKUP(A1,POsData!$A$1:$DZU$1000000,115,FALSE)</f>
        <v>#N/A</v>
      </c>
      <c r="M7" s="1" t="e">
        <f>VLOOKUP(A1,POsData!$A$1:$DZU$1000000,116,FALSE)</f>
        <v>#N/A</v>
      </c>
      <c r="N7" s="1" t="e">
        <f>VLOOKUP(A1,POsData!$A$1:$DZU$1000000,117,FALSE)</f>
        <v>#N/A</v>
      </c>
      <c r="O7" s="1" t="e">
        <f>VLOOKUP(A1,POsData!$A$1:$DZU$1000000,118,FALSE)</f>
        <v>#N/A</v>
      </c>
      <c r="P7" s="1" t="e">
        <f>VLOOKUP(A1,POsData!$A$1:$DZU$1000000,119,FALSE)</f>
        <v>#N/A</v>
      </c>
      <c r="Q7" s="101" t="e">
        <f>VLOOKUP(A1,POsData!$A$1:$DZU$1000000,120,FALSE)</f>
        <v>#N/A</v>
      </c>
    </row>
    <row r="8" spans="1:17" x14ac:dyDescent="0.35">
      <c r="A8" s="113" t="e">
        <f>VLOOKUP(A1,POsData!$A$1:$DZU$1000000,121,FALSE)</f>
        <v>#N/A</v>
      </c>
      <c r="B8" s="423" t="e">
        <f>VLOOKUP(A1,POsData!$A$1:$DZU$1000000,122,FALSE)</f>
        <v>#N/A</v>
      </c>
      <c r="C8" s="423"/>
      <c r="D8" s="423"/>
      <c r="E8" s="101" t="e">
        <f>VLOOKUP(A1,POsData!$A$1:$DZU$1000000,125,FALSE)</f>
        <v>#N/A</v>
      </c>
      <c r="F8" s="1" t="e">
        <f>VLOOKUP(A1,POsData!$A$1:$DZU$1000000,126,FALSE)</f>
        <v>#N/A</v>
      </c>
      <c r="G8" s="397" t="e">
        <f>VLOOKUP(A1,POsData!$A$1:$DZU$1000000,127,FALSE)</f>
        <v>#N/A</v>
      </c>
      <c r="H8" s="397"/>
      <c r="I8" s="397"/>
      <c r="J8" s="101" t="e">
        <f>VLOOKUP(A1,POsData!$A$1:$DZU$1000000,130,FALSE)</f>
        <v>#N/A</v>
      </c>
      <c r="K8" s="1" t="e">
        <f>VLOOKUP(A1,POsData!$A$1:$DZU$1000000,131,FALSE)</f>
        <v>#N/A</v>
      </c>
      <c r="L8" s="1" t="e">
        <f>VLOOKUP(A1,POsData!$A$1:$DZU$1000000,132,FALSE)</f>
        <v>#N/A</v>
      </c>
      <c r="M8" s="1" t="e">
        <f>VLOOKUP(A1,POsData!$A$1:$DZU$1000000,133,FALSE)</f>
        <v>#N/A</v>
      </c>
      <c r="N8" s="1" t="e">
        <f>VLOOKUP(A1,POsData!$A$1:$DZU$1000000,134,FALSE)</f>
        <v>#N/A</v>
      </c>
      <c r="O8" s="1" t="e">
        <f>VLOOKUP(A1,POsData!$A$1:$DZU$1000000,135,FALSE)</f>
        <v>#N/A</v>
      </c>
      <c r="P8" s="1" t="e">
        <f>VLOOKUP(A1,POsData!$A$1:$DZU$1000000,136,FALSE)</f>
        <v>#N/A</v>
      </c>
      <c r="Q8" s="101" t="e">
        <f>VLOOKUP(A1,POsData!$A$1:$DZU$1000000,137,FALSE)</f>
        <v>#N/A</v>
      </c>
    </row>
    <row r="9" spans="1:17" x14ac:dyDescent="0.35">
      <c r="A9" s="113" t="e">
        <f>VLOOKUP(A1,POsData!$A$1:$DZU$1000000,138,FALSE)</f>
        <v>#N/A</v>
      </c>
      <c r="B9" s="422" t="e">
        <f>VLOOKUP(A1,POsData!$A$1:$DZU$1000000,139,FALSE)</f>
        <v>#N/A</v>
      </c>
      <c r="C9" s="422"/>
      <c r="D9" s="422"/>
      <c r="E9" s="101" t="e">
        <f>VLOOKUP(A1,POsData!$A$1:$DZU$1000000,142,FALSE)</f>
        <v>#N/A</v>
      </c>
      <c r="F9" s="1" t="e">
        <f>VLOOKUP(A1,POsData!$A$1:$DZU$1000000,143,FALSE)</f>
        <v>#N/A</v>
      </c>
      <c r="G9" s="130" t="e">
        <f>VLOOKUP(A1,POsData!$A$1:$DZU$1000000,144,FALSE)</f>
        <v>#N/A</v>
      </c>
      <c r="H9" s="1" t="e">
        <f>VLOOKUP(A1,POsData!$A$1:$DZU$1000000,145,FALSE)</f>
        <v>#N/A</v>
      </c>
      <c r="I9" s="1" t="e">
        <f>VLOOKUP(A1,POsData!$A$1:$DZU$1000000,146,FALSE)</f>
        <v>#N/A</v>
      </c>
      <c r="J9" s="101" t="e">
        <f>VLOOKUP(A1,POsData!$A$1:$DZU$1000000,147,FALSE)</f>
        <v>#N/A</v>
      </c>
      <c r="K9" s="1" t="e">
        <f>VLOOKUP(A1,POsData!$A$1:$DZU$1000000,148,FALSE)</f>
        <v>#N/A</v>
      </c>
      <c r="L9" s="1" t="e">
        <f>VLOOKUP(A1,POsData!$A$1:$DZU$1000000,149,FALSE)</f>
        <v>#N/A</v>
      </c>
      <c r="M9" s="1" t="e">
        <f>VLOOKUP(A1,POsData!$A$1:$DZU$1000000,150,FALSE)</f>
        <v>#N/A</v>
      </c>
      <c r="N9" s="1" t="e">
        <f>VLOOKUP(A1,POsData!$A$1:$DZU$1000000,151,FALSE)</f>
        <v>#N/A</v>
      </c>
      <c r="O9" s="1" t="e">
        <f>VLOOKUP(A1,POsData!$A$1:$DZU$1000000,152,FALSE)</f>
        <v>#N/A</v>
      </c>
      <c r="P9" s="1" t="e">
        <f>VLOOKUP(A1,POsData!$A$1:$DZU$1000000,153,FALSE)</f>
        <v>#N/A</v>
      </c>
      <c r="Q9" s="101" t="e">
        <f>VLOOKUP(A1,POsData!$A$1:$DZU$1000000,154,FALSE)</f>
        <v>#N/A</v>
      </c>
    </row>
    <row r="10" spans="1:17" x14ac:dyDescent="0.35">
      <c r="A10" s="113" t="e">
        <f>VLOOKUP(A1,POsData!$A$1:$DZU$1000000,155,FALSE)</f>
        <v>#N/A</v>
      </c>
      <c r="B10" s="130" t="e">
        <f>VLOOKUP(A1,POsData!$A$1:$DZU$1000000,156,FALSE)</f>
        <v>#N/A</v>
      </c>
      <c r="C10" s="130" t="e">
        <f>VLOOKUP(A1,POsData!$A$1:$DZU$1000000,157,FALSE)</f>
        <v>#N/A</v>
      </c>
      <c r="D10" s="130" t="e">
        <f>VLOOKUP(A1,POsData!$A$1:$DZU$1000000,158,FALSE)</f>
        <v>#N/A</v>
      </c>
      <c r="E10" s="101" t="e">
        <f>VLOOKUP(A1,POsData!$A$1:$DZU$1000000,159,FALSE)</f>
        <v>#N/A</v>
      </c>
      <c r="F10" s="1" t="e">
        <f>VLOOKUP(A1,POsData!$A$1:$DZU$1000000,160,FALSE)</f>
        <v>#N/A</v>
      </c>
      <c r="G10" s="130" t="e">
        <f>VLOOKUP(A1,POsData!$A$1:$DZU$1000000,161,FALSE)</f>
        <v>#N/A</v>
      </c>
      <c r="H10" s="1" t="e">
        <f>VLOOKUP(A1,POsData!$A$1:$DZU$1000000,162,FALSE)</f>
        <v>#N/A</v>
      </c>
      <c r="I10" s="1" t="e">
        <f>VLOOKUP(A1,POsData!$A$1:$DZU$1000000,163,FALSE)</f>
        <v>#N/A</v>
      </c>
      <c r="J10" s="101" t="e">
        <f>VLOOKUP(A1,POsData!$A$1:$DZU$1000000,164,FALSE)</f>
        <v>#N/A</v>
      </c>
      <c r="K10" s="1" t="e">
        <f>VLOOKUP(A1,POsData!$A$1:$DZU$1000000,165,FALSE)</f>
        <v>#N/A</v>
      </c>
      <c r="L10" s="1" t="e">
        <f>VLOOKUP(A1,POsData!$A$1:$DZU$1000000,166,FALSE)</f>
        <v>#N/A</v>
      </c>
      <c r="M10" s="1" t="e">
        <f>VLOOKUP(A1,POsData!$A$1:$DZU$1000000,167,FALSE)</f>
        <v>#N/A</v>
      </c>
      <c r="N10" s="1" t="e">
        <f>VLOOKUP(A1,POsData!$A$1:$DZU$1000000,168,FALSE)</f>
        <v>#N/A</v>
      </c>
      <c r="O10" s="1" t="e">
        <f>VLOOKUP(A1,POsData!$A$1:$DZU$1000000,169,FALSE)</f>
        <v>#N/A</v>
      </c>
      <c r="P10" s="1" t="e">
        <f>VLOOKUP(A1,POsData!$A$1:$DZU$1000000,170,FALSE)</f>
        <v>#N/A</v>
      </c>
      <c r="Q10" s="101" t="e">
        <f>VLOOKUP(A1,POsData!$A$1:$DZU$1000000,171,FALSE)</f>
        <v>#N/A</v>
      </c>
    </row>
    <row r="11" spans="1:17" x14ac:dyDescent="0.35">
      <c r="A11" s="113" t="e">
        <f>VLOOKUP(A1,POsData!$A$1:$DZU$1000000,172,FALSE)</f>
        <v>#N/A</v>
      </c>
      <c r="B11" s="130" t="e">
        <f>VLOOKUP(A1,POsData!$A$1:$DZU$1000000,173,FALSE)</f>
        <v>#N/A</v>
      </c>
      <c r="C11" s="130" t="e">
        <f>VLOOKUP(A1,POsData!$A$1:$DZU$1000000,174,FALSE)</f>
        <v>#N/A</v>
      </c>
      <c r="D11" s="130" t="e">
        <f>VLOOKUP(A1,POsData!$A$1:$DZU$1000000,175,FALSE)</f>
        <v>#N/A</v>
      </c>
      <c r="E11" s="101" t="e">
        <f>VLOOKUP(A1,POsData!$A$1:$DZU$1000000,176,FALSE)</f>
        <v>#N/A</v>
      </c>
      <c r="F11" s="1" t="e">
        <f>VLOOKUP(A1,POsData!$A$1:$DZU$1000000,177,FALSE)</f>
        <v>#N/A</v>
      </c>
      <c r="G11" s="131" t="e">
        <f>VLOOKUP(A1,POsData!$A$1:$DZU$1000000,178,FALSE)</f>
        <v>#N/A</v>
      </c>
      <c r="H11" s="1" t="e">
        <f>VLOOKUP(A1,POsData!$A$1:$DZU$1000000,179,FALSE)</f>
        <v>#N/A</v>
      </c>
      <c r="I11" s="1" t="e">
        <f>VLOOKUP(A1,POsData!$A$1:$DZU$1000000,180,FALSE)</f>
        <v>#N/A</v>
      </c>
      <c r="J11" s="101" t="e">
        <f>VLOOKUP(A1,POsData!$A$1:$DZU$1000000,181,FALSE)</f>
        <v>#N/A</v>
      </c>
      <c r="K11" s="1" t="e">
        <f>VLOOKUP(A1,POsData!$A$1:$DZU$1000000,182,FALSE)</f>
        <v>#N/A</v>
      </c>
      <c r="L11" s="1" t="e">
        <f>VLOOKUP(A1,POsData!$A$1:$DZU$1000000,183,FALSE)</f>
        <v>#N/A</v>
      </c>
      <c r="M11" s="1" t="e">
        <f>VLOOKUP(A1,POsData!$A$1:$DZU$1000000,184,FALSE)</f>
        <v>#N/A</v>
      </c>
      <c r="N11" s="1" t="e">
        <f>VLOOKUP(A1,POsData!$A$1:$DZU$1000000,185,FALSE)</f>
        <v>#N/A</v>
      </c>
      <c r="O11" s="1" t="e">
        <f>VLOOKUP(A1,POsData!$A$1:$DZU$1000000,186,FALSE)</f>
        <v>#N/A</v>
      </c>
      <c r="P11" s="1" t="e">
        <f>VLOOKUP(A1,POsData!$A$1:$DZU$1000000,187,FALSE)</f>
        <v>#N/A</v>
      </c>
      <c r="Q11" s="101" t="e">
        <f>VLOOKUP(A1,POsData!$A$1:$DZU$1000000,188,FALSE)</f>
        <v>#N/A</v>
      </c>
    </row>
    <row r="12" spans="1:17" x14ac:dyDescent="0.35">
      <c r="A12" s="113" t="e">
        <f>VLOOKUP(A1,POsData!$A$1:$DZU$1000000,189,FALSE)</f>
        <v>#N/A</v>
      </c>
      <c r="B12" s="130" t="e">
        <f>VLOOKUP(A1,POsData!$A$1:$DZU$1000000,190,FALSE)</f>
        <v>#N/A</v>
      </c>
      <c r="C12" s="130" t="e">
        <f>VLOOKUP(A1,POsData!$A$1:$DZU$1000000,191,FALSE)</f>
        <v>#N/A</v>
      </c>
      <c r="D12" s="130" t="e">
        <f>VLOOKUP(A1,POsData!$A$1:$DZU$1000000,192,FALSE)</f>
        <v>#N/A</v>
      </c>
      <c r="E12" s="101" t="e">
        <f>VLOOKUP(A1,POsData!$A$1:$DZU$1000000,193,FALSE)</f>
        <v>#N/A</v>
      </c>
      <c r="F12" s="1" t="e">
        <f>VLOOKUP(A1,POsData!$A$1:$DZU$1000000,194,FALSE)</f>
        <v>#N/A</v>
      </c>
      <c r="G12" s="1" t="e">
        <f>VLOOKUP(A1,POsData!$A$1:$DZU$1000000,195,FALSE)</f>
        <v>#N/A</v>
      </c>
      <c r="H12" s="1" t="e">
        <f>VLOOKUP(A1,POsData!$A$1:$DZU$1000000,196,FALSE)</f>
        <v>#N/A</v>
      </c>
      <c r="I12" s="1" t="e">
        <f>VLOOKUP(A1,POsData!$A$1:$DZU$1000000,197,FALSE)</f>
        <v>#N/A</v>
      </c>
      <c r="J12" s="101" t="e">
        <f>VLOOKUP(A1,POsData!$A$1:$DZU$1000000,198,FALSE)</f>
        <v>#N/A</v>
      </c>
      <c r="K12" s="1" t="e">
        <f>VLOOKUP(A1,POsData!$A$1:$DZU$1000000,199,FALSE)</f>
        <v>#N/A</v>
      </c>
      <c r="L12" s="1" t="e">
        <f>VLOOKUP(A1,POsData!$A$1:$DZU$1000000,200,FALSE)</f>
        <v>#N/A</v>
      </c>
      <c r="M12" s="1" t="e">
        <f>VLOOKUP(A1,POsData!$A$1:$DZU$1000000,201,FALSE)</f>
        <v>#N/A</v>
      </c>
      <c r="N12" s="1" t="e">
        <f>VLOOKUP(A1,POsData!$A$1:$DZU$1000000,202,FALSE)</f>
        <v>#N/A</v>
      </c>
      <c r="O12" s="1" t="e">
        <f>VLOOKUP(A1,POsData!$A$1:$DZU$1000000,203,FALSE)</f>
        <v>#N/A</v>
      </c>
      <c r="P12" s="1" t="e">
        <f>VLOOKUP(A1,POsData!$A$1:$DZU$1000000,204,FALSE)</f>
        <v>#N/A</v>
      </c>
      <c r="Q12" s="101" t="e">
        <f>VLOOKUP(A1,POsData!$A$1:$DZU$1000000,205,FALSE)</f>
        <v>#N/A</v>
      </c>
    </row>
    <row r="13" spans="1:17" x14ac:dyDescent="0.35">
      <c r="A13" s="113" t="e">
        <f>VLOOKUP(A1,POsData!$A$1:$DZU$1000000,206,FALSE)</f>
        <v>#N/A</v>
      </c>
      <c r="B13" s="131" t="e">
        <f>VLOOKUP(A1,POsData!$A$1:$DZU$1000000,207,FALSE)</f>
        <v>#N/A</v>
      </c>
      <c r="C13" s="131" t="e">
        <f>VLOOKUP(A1,POsData!$A$1:$DZU$1000000,208,FALSE)</f>
        <v>#N/A</v>
      </c>
      <c r="D13" s="131" t="e">
        <f>VLOOKUP(A1,POsData!$A$1:$DZU$1000000,209,FALSE)</f>
        <v>#N/A</v>
      </c>
      <c r="E13" s="101" t="e">
        <f>VLOOKUP(A1,POsData!$A$1:$DZU$1000000,210,FALSE)</f>
        <v>#N/A</v>
      </c>
      <c r="F13" s="1" t="e">
        <f>VLOOKUP(A1,POsData!$A$1:$DZU$1000000,211,FALSE)</f>
        <v>#N/A</v>
      </c>
      <c r="G13" s="132" t="e">
        <f>VLOOKUP(A1,POsData!$A$1:$DZU$1000000,212,FALSE)</f>
        <v>#N/A</v>
      </c>
      <c r="H13" s="131" t="e">
        <f>VLOOKUP(A1,POsData!$A$1:$DZU$1000000,213,FALSE)</f>
        <v>#N/A</v>
      </c>
      <c r="I13" s="1" t="e">
        <f>VLOOKUP(A1,POsData!$A$1:$DZU$1000000,214,FALSE)</f>
        <v>#N/A</v>
      </c>
      <c r="J13" s="101" t="e">
        <f>VLOOKUP(A1,POsData!$A$1:$DZU$1000000,215,FALSE)</f>
        <v>#N/A</v>
      </c>
      <c r="K13" s="1" t="e">
        <f>VLOOKUP(A1,POsData!$A$1:$DZU$1000000,216,FALSE)</f>
        <v>#N/A</v>
      </c>
      <c r="L13" s="1" t="e">
        <f>VLOOKUP(A1,POsData!$A$1:$DZU$1000000,217,FALSE)</f>
        <v>#N/A</v>
      </c>
      <c r="M13" s="1" t="e">
        <f>VLOOKUP(A1,POsData!$A$1:$DZU$1000000,218,FALSE)</f>
        <v>#N/A</v>
      </c>
      <c r="N13" s="1" t="e">
        <f>VLOOKUP(A1,POsData!$A$1:$DZU$1000000,219,FALSE)</f>
        <v>#N/A</v>
      </c>
      <c r="O13" s="1" t="e">
        <f>VLOOKUP(A1,POsData!$A$1:$DZU$1000000,220,FALSE)</f>
        <v>#N/A</v>
      </c>
      <c r="P13" s="1" t="e">
        <f>VLOOKUP(A1,POsData!$A$1:$DZU$1000000,221,FALSE)</f>
        <v>#N/A</v>
      </c>
      <c r="Q13" s="101" t="e">
        <f>VLOOKUP(A1,POsData!$A$1:$DZU$1000000,222,FALSE)</f>
        <v>#N/A</v>
      </c>
    </row>
    <row r="14" spans="1:17" x14ac:dyDescent="0.35">
      <c r="A14" s="113" t="e">
        <f>VLOOKUP(A1,POsData!$A$1:$DZU$1000000,223,FALSE)</f>
        <v>#N/A</v>
      </c>
      <c r="B14" s="131" t="e">
        <f>VLOOKUP(A1,POsData!$A$1:$DZU$1000000,224,FALSE)</f>
        <v>#N/A</v>
      </c>
      <c r="C14" s="131" t="e">
        <f>VLOOKUP(A1,POsData!$A$1:$DZU$1000000,225,FALSE)</f>
        <v>#N/A</v>
      </c>
      <c r="D14" s="131" t="e">
        <f>VLOOKUP(A1,POsData!$A$1:$DZU$1000000,226,FALSE)</f>
        <v>#N/A</v>
      </c>
      <c r="E14" s="101" t="e">
        <f>VLOOKUP(A1,POsData!$A$1:$DZU$1000000,227,FALSE)</f>
        <v>#N/A</v>
      </c>
      <c r="F14" s="1" t="e">
        <f>VLOOKUP(A1,POsData!$A$1:$DZU$1000000,228,FALSE)</f>
        <v>#N/A</v>
      </c>
      <c r="G14" s="1" t="e">
        <f>VLOOKUP(A1,POsData!$A$1:$DZU$1000000,229,FALSE)</f>
        <v>#N/A</v>
      </c>
      <c r="H14" s="131" t="e">
        <f>VLOOKUP(A1,POsData!$A$1:$DZU$1000000,230,FALSE)</f>
        <v>#N/A</v>
      </c>
      <c r="I14" s="1" t="e">
        <f>VLOOKUP(A1,POsData!$A$1:$DZU$1000000,231,FALSE)</f>
        <v>#N/A</v>
      </c>
      <c r="J14" s="101" t="e">
        <f>VLOOKUP(A1,POsData!$A$1:$DZU$1000000,232,FALSE)</f>
        <v>#N/A</v>
      </c>
      <c r="K14" s="1" t="e">
        <f>VLOOKUP(A1,POsData!$A$1:$DZU$1000000,233,FALSE)</f>
        <v>#N/A</v>
      </c>
      <c r="L14" s="1" t="e">
        <f>VLOOKUP(A1,POsData!$A$1:$DZU$1000000,234,FALSE)</f>
        <v>#N/A</v>
      </c>
      <c r="M14" s="1" t="e">
        <f>VLOOKUP(A1,POsData!$A$1:$DZU$1000000,235,FALSE)</f>
        <v>#N/A</v>
      </c>
      <c r="N14" s="1" t="e">
        <f>VLOOKUP(A1,POsData!$A$1:$DZU$1000000,236,FALSE)</f>
        <v>#N/A</v>
      </c>
      <c r="O14" s="1" t="e">
        <f>VLOOKUP(A1,POsData!$A$1:$DZU$1000000,237,FALSE)</f>
        <v>#N/A</v>
      </c>
      <c r="P14" s="1" t="e">
        <f>VLOOKUP(A1,POsData!$A$1:$DZU$1000000,238,FALSE)</f>
        <v>#N/A</v>
      </c>
      <c r="Q14" s="101" t="e">
        <f>VLOOKUP(A1,POsData!$A$1:$DZU$1000000,239,FALSE)</f>
        <v>#N/A</v>
      </c>
    </row>
    <row r="15" spans="1:17" x14ac:dyDescent="0.35">
      <c r="A15" s="113" t="e">
        <f>VLOOKUP(A1,POsData!$A$1:$DZU$1000000,240,FALSE)</f>
        <v>#N/A</v>
      </c>
      <c r="B15" s="421" t="e">
        <f>VLOOKUP(A1,POsData!$A$1:$DZU$1000000,241,FALSE)</f>
        <v>#N/A</v>
      </c>
      <c r="C15" s="422"/>
      <c r="D15" s="130" t="e">
        <f>VLOOKUP(A1,POsData!$A$1:$DZU$1000000,243,FALSE)</f>
        <v>#N/A</v>
      </c>
      <c r="E15" s="101" t="e">
        <f>VLOOKUP(A1,POsData!$A$1:$DZU$1000000,244,FALSE)</f>
        <v>#N/A</v>
      </c>
      <c r="F15" s="1" t="e">
        <f>VLOOKUP(A1,POsData!$A$1:$DZU$1000000,245,FALSE)</f>
        <v>#N/A</v>
      </c>
      <c r="G15" s="1" t="e">
        <f>VLOOKUP(A1,POsData!$A$1:$DZU$1000000,246,FALSE)</f>
        <v>#N/A</v>
      </c>
      <c r="H15" s="1" t="e">
        <f>VLOOKUP(A1,POsData!$A$1:$DZU$1000000,247,FALSE)</f>
        <v>#N/A</v>
      </c>
      <c r="I15" s="1" t="e">
        <f>VLOOKUP(A1,POsData!$A$1:$DZU$1000000,248,FALSE)</f>
        <v>#N/A</v>
      </c>
      <c r="J15" s="101" t="e">
        <f>VLOOKUP(A1,POsData!$A$1:$DZU$1000000,249,FALSE)</f>
        <v>#N/A</v>
      </c>
      <c r="K15" s="1" t="e">
        <f>VLOOKUP(A1,POsData!$A$1:$DZU$1000000,250,FALSE)</f>
        <v>#N/A</v>
      </c>
      <c r="L15" s="1" t="e">
        <f>VLOOKUP(A1,POsData!$A$1:$DZU$1000000,251,FALSE)</f>
        <v>#N/A</v>
      </c>
      <c r="M15" s="1" t="e">
        <f>VLOOKUP(A1,POsData!$A$1:$DZU$1000000,252,FALSE)</f>
        <v>#N/A</v>
      </c>
      <c r="N15" s="1" t="e">
        <f>VLOOKUP(A1,POsData!$A$1:$DZU$1000000,253,FALSE)</f>
        <v>#N/A</v>
      </c>
      <c r="O15" s="1" t="e">
        <f>VLOOKUP(A1,POsData!$A$1:$DZU$1000000,254,FALSE)</f>
        <v>#N/A</v>
      </c>
      <c r="P15" s="1" t="e">
        <f>VLOOKUP(A1,POsData!$A$1:$DZU$1000000,255,FALSE)</f>
        <v>#N/A</v>
      </c>
      <c r="Q15" s="101" t="e">
        <f>VLOOKUP(A1,POsData!$A$1:$DZU$1000000,256,FALSE)</f>
        <v>#N/A</v>
      </c>
    </row>
    <row r="16" spans="1:17" x14ac:dyDescent="0.35">
      <c r="A16" s="113" t="e">
        <f>VLOOKUP(A1,POsData!$A$1:$DZU$1000000,257,FALSE)</f>
        <v>#N/A</v>
      </c>
      <c r="B16" s="421" t="e">
        <f>VLOOKUP(A1,POsData!$A$1:$DZU$1000000,258,FALSE)</f>
        <v>#N/A</v>
      </c>
      <c r="C16" s="422"/>
      <c r="D16" s="130" t="e">
        <f>VLOOKUP(A1,POsData!$A$1:$DZU$1000000,260,FALSE)</f>
        <v>#N/A</v>
      </c>
      <c r="E16" s="101" t="e">
        <f>VLOOKUP(A1,POsData!$A$1:$DZU$1000000,261,FALSE)</f>
        <v>#N/A</v>
      </c>
      <c r="F16" s="1" t="e">
        <f>VLOOKUP(A1,POsData!$A$1:$DZU$1000000,262,FALSE)</f>
        <v>#N/A</v>
      </c>
      <c r="G16" s="397" t="e">
        <f>VLOOKUP(A1,POsData!$A$1:$DZU$1000000,263,FALSE)</f>
        <v>#N/A</v>
      </c>
      <c r="H16" s="397"/>
      <c r="I16" s="397"/>
      <c r="J16" s="101" t="e">
        <f>VLOOKUP(A1,POsData!$A$1:$DZU$1000000,266,FALSE)</f>
        <v>#N/A</v>
      </c>
      <c r="K16" s="1" t="e">
        <f>VLOOKUP(A1,POsData!$A$1:$DZU$1000000,267,FALSE)</f>
        <v>#N/A</v>
      </c>
      <c r="L16" s="1" t="e">
        <f>VLOOKUP(A1,POsData!$A$1:$DZU$1000000,268,FALSE)</f>
        <v>#N/A</v>
      </c>
      <c r="M16" s="1" t="e">
        <f>VLOOKUP(A1,POsData!$A$1:$DZU$1000000,269,FALSE)</f>
        <v>#N/A</v>
      </c>
      <c r="N16" s="1" t="e">
        <f>VLOOKUP(A1,POsData!$A$1:$DZU$1000000,270,FALSE)</f>
        <v>#N/A</v>
      </c>
      <c r="O16" s="1" t="e">
        <f>VLOOKUP(A1,POsData!$A$1:$DZU$1000000,271,FALSE)</f>
        <v>#N/A</v>
      </c>
      <c r="P16" s="1" t="e">
        <f>VLOOKUP(A1,POsData!$A$1:$DZU$1000000,272,FALSE)</f>
        <v>#N/A</v>
      </c>
      <c r="Q16" s="101" t="e">
        <f>VLOOKUP(A1,POsData!$A$1:$DZU$1000000,273,FALSE)</f>
        <v>#N/A</v>
      </c>
    </row>
    <row r="17" spans="1:17" x14ac:dyDescent="0.35">
      <c r="A17" s="113" t="e">
        <f>VLOOKUP(A1,POsData!$A$1:$DZU$1000000,274,FALSE)</f>
        <v>#N/A</v>
      </c>
      <c r="B17" s="131" t="e">
        <f>VLOOKUP(A1,POsData!$A$1:$DZU$1000000,275,FALSE)</f>
        <v>#N/A</v>
      </c>
      <c r="C17" s="131" t="e">
        <f>VLOOKUP(A1,POsData!$A$1:$DZU$1000000,276,FALSE)</f>
        <v>#N/A</v>
      </c>
      <c r="D17" s="131" t="e">
        <f>VLOOKUP(A1,POsData!$A$1:$DZU$1000000,277,FALSE)</f>
        <v>#N/A</v>
      </c>
      <c r="E17" s="101" t="e">
        <f>VLOOKUP(A1,POsData!$A$1:$DZU$1000000,278,FALSE)</f>
        <v>#N/A</v>
      </c>
      <c r="F17" s="1" t="e">
        <f>VLOOKUP(A1,POsData!$A$1:$DZU$1000000,279,FALSE)</f>
        <v>#N/A</v>
      </c>
      <c r="G17" s="131" t="e">
        <f>VLOOKUP(A1,POsData!$A$1:$DZU$1000000,280,FALSE)</f>
        <v>#N/A</v>
      </c>
      <c r="H17" s="1" t="e">
        <f>VLOOKUP(A1,POsData!$A$1:$DZU$1000000,281,FALSE)</f>
        <v>#N/A</v>
      </c>
      <c r="I17" s="1" t="e">
        <f>VLOOKUP(A1,POsData!$A$1:$DZU$1000000,282,FALSE)</f>
        <v>#N/A</v>
      </c>
      <c r="J17" s="101" t="e">
        <f>VLOOKUP(A1,POsData!$A$1:$DZU$1000000,283,FALSE)</f>
        <v>#N/A</v>
      </c>
      <c r="K17" s="1" t="e">
        <f>VLOOKUP(A1,POsData!$A$1:$DZU$1000000,284,FALSE)</f>
        <v>#N/A</v>
      </c>
      <c r="L17" s="1" t="e">
        <f>VLOOKUP(A1,POsData!$A$1:$DZU$1000000,285,FALSE)</f>
        <v>#N/A</v>
      </c>
      <c r="M17" s="1" t="e">
        <f>VLOOKUP(A1,POsData!$A$1:$DZU$1000000,286,FALSE)</f>
        <v>#N/A</v>
      </c>
      <c r="N17" s="1" t="e">
        <f>VLOOKUP(A1,POsData!$A$1:$DZU$1000000,287,FALSE)</f>
        <v>#N/A</v>
      </c>
      <c r="O17" s="1" t="e">
        <f>VLOOKUP(A1,POsData!$A$1:$DZU$1000000,288,FALSE)</f>
        <v>#N/A</v>
      </c>
      <c r="P17" s="1" t="e">
        <f>VLOOKUP(A1,POsData!$A$1:$DZU$1000000,289,FALSE)</f>
        <v>#N/A</v>
      </c>
      <c r="Q17" s="101" t="e">
        <f>VLOOKUP(A1,POsData!$A$1:$DZU$1000000,290,FALSE)</f>
        <v>#N/A</v>
      </c>
    </row>
    <row r="18" spans="1:17" x14ac:dyDescent="0.35">
      <c r="A18" s="113" t="e">
        <f>VLOOKUP(A1,POsData!$A$1:$DZU$1000000,291,FALSE)</f>
        <v>#N/A</v>
      </c>
      <c r="B18" s="131" t="e">
        <f>VLOOKUP(A1,POsData!$A$1:$DZU$1000000,292,FALSE)</f>
        <v>#N/A</v>
      </c>
      <c r="C18" s="131" t="e">
        <f>VLOOKUP(A1,POsData!$A$1:$DZU$1000000,293,FALSE)</f>
        <v>#N/A</v>
      </c>
      <c r="D18" s="131" t="e">
        <f>VLOOKUP(A1,POsData!$A$1:$DZU$1000000,294,FALSE)</f>
        <v>#N/A</v>
      </c>
      <c r="E18" s="101" t="e">
        <f>VLOOKUP(A1,POsData!$A$1:$DZU$1000000,295,FALSE)</f>
        <v>#N/A</v>
      </c>
      <c r="F18" s="1" t="e">
        <f>VLOOKUP(A1,POsData!$A$1:$DZU$1000000,296,FALSE)</f>
        <v>#N/A</v>
      </c>
      <c r="G18" s="131" t="e">
        <f>VLOOKUP(A1,POsData!$A$1:$DZU$1000000,297,FALSE)</f>
        <v>#N/A</v>
      </c>
      <c r="H18" s="1" t="e">
        <f>VLOOKUP(A1,POsData!$A$1:$DZU$1000000,298,FALSE)</f>
        <v>#N/A</v>
      </c>
      <c r="I18" s="1" t="e">
        <f>VLOOKUP(A1,POsData!$A$1:$DZU$1000000,299,FALSE)</f>
        <v>#N/A</v>
      </c>
      <c r="J18" s="101" t="e">
        <f>VLOOKUP(A1,POsData!$A$1:$DZU$1000000,300,FALSE)</f>
        <v>#N/A</v>
      </c>
      <c r="K18" s="1" t="e">
        <f>VLOOKUP(A1,POsData!$A$1:$DZU$1000000,301,FALSE)</f>
        <v>#N/A</v>
      </c>
      <c r="L18" s="1" t="e">
        <f>VLOOKUP(A1,POsData!$A$1:$DZU$1000000,302,FALSE)</f>
        <v>#N/A</v>
      </c>
      <c r="M18" s="1" t="e">
        <f>VLOOKUP(A1,POsData!$A$1:$DZU$1000000,303,FALSE)</f>
        <v>#N/A</v>
      </c>
      <c r="N18" s="1" t="e">
        <f>VLOOKUP(A1,POsData!$A$1:$DZU$1000000,304,FALSE)</f>
        <v>#N/A</v>
      </c>
      <c r="O18" s="1" t="e">
        <f>VLOOKUP(A1,POsData!$A$1:$DZU$1000000,305,FALSE)</f>
        <v>#N/A</v>
      </c>
      <c r="P18" s="1" t="e">
        <f>VLOOKUP(A1,POsData!$A$1:$DZU$1000000,306,FALSE)</f>
        <v>#N/A</v>
      </c>
      <c r="Q18" s="101" t="e">
        <f>VLOOKUP(A1,POsData!$A$1:$DZU$1000000,307,FALSE)</f>
        <v>#N/A</v>
      </c>
    </row>
    <row r="19" spans="1:17" x14ac:dyDescent="0.35">
      <c r="A19" s="113" t="e">
        <f>VLOOKUP(A1,POsData!$A$1:$DZU$1000000,308,FALSE)</f>
        <v>#N/A</v>
      </c>
      <c r="B19" s="1" t="e">
        <f>VLOOKUP(A1,POsData!$A$1:$DZU$1000000,309,FALSE)</f>
        <v>#N/A</v>
      </c>
      <c r="C19" s="1" t="e">
        <f>VLOOKUP(A1,POsData!$A$1:$DZU$1000000,310,FALSE)</f>
        <v>#N/A</v>
      </c>
      <c r="D19" s="1" t="e">
        <f>VLOOKUP(A1,POsData!$A$1:$DZU$1000000,311,FALSE)</f>
        <v>#N/A</v>
      </c>
      <c r="E19" s="101" t="e">
        <f>VLOOKUP(A1,POsData!$A$1:$DZU$1000000,312,FALSE)</f>
        <v>#N/A</v>
      </c>
      <c r="F19" s="1" t="e">
        <f>VLOOKUP(A1,POsData!$A$1:$DZU$1000000,313,FALSE)</f>
        <v>#N/A</v>
      </c>
      <c r="G19" s="131" t="e">
        <f>VLOOKUP(A1,POsData!$A$1:$DZU$1000000,314,FALSE)</f>
        <v>#N/A</v>
      </c>
      <c r="H19" s="1" t="e">
        <f>VLOOKUP(A1,POsData!$A$1:$DZU$1000000,315,FALSE)</f>
        <v>#N/A</v>
      </c>
      <c r="I19" s="1" t="e">
        <f>VLOOKUP(A1,POsData!$A$1:$DZU$1000000,316,FALSE)</f>
        <v>#N/A</v>
      </c>
      <c r="J19" s="101" t="e">
        <f>VLOOKUP(A1,POsData!$A$1:$DZU$1000000,317,FALSE)</f>
        <v>#N/A</v>
      </c>
      <c r="K19" s="1" t="e">
        <f>VLOOKUP(A1,POsData!$A$1:$DZU$1000000,318,FALSE)</f>
        <v>#N/A</v>
      </c>
      <c r="L19" s="1" t="e">
        <f>VLOOKUP(A1,POsData!$A$1:$DZU$1000000,319,FALSE)</f>
        <v>#N/A</v>
      </c>
      <c r="M19" s="1" t="e">
        <f>VLOOKUP(A1,POsData!$A$1:$DZU$1000000,320,FALSE)</f>
        <v>#N/A</v>
      </c>
      <c r="N19" s="1" t="e">
        <f>VLOOKUP(A1,POsData!$A$1:$DZU$1000000,321,FALSE)</f>
        <v>#N/A</v>
      </c>
      <c r="O19" s="1" t="e">
        <f>VLOOKUP(A1,POsData!$A$1:$DZU$1000000,322,FALSE)</f>
        <v>#N/A</v>
      </c>
      <c r="P19" s="1" t="e">
        <f>VLOOKUP(A1,POsData!$A$1:$DZU$1000000,323,FALSE)</f>
        <v>#N/A</v>
      </c>
      <c r="Q19" s="101" t="e">
        <f>VLOOKUP(A1,POsData!$A$1:$DZU$1000000,324,FALSE)</f>
        <v>#N/A</v>
      </c>
    </row>
    <row r="20" spans="1:17" x14ac:dyDescent="0.35">
      <c r="A20" s="113" t="e">
        <f>VLOOKUP(A1,POsData!$A$1:$DZU$1000000,325,FALSE)</f>
        <v>#N/A</v>
      </c>
      <c r="B20" s="1" t="e">
        <f>VLOOKUP(A1,POsData!$A$1:$DZU$1000000,326,FALSE)</f>
        <v>#N/A</v>
      </c>
      <c r="C20" s="129" t="e">
        <f>VLOOKUP(A1,POsData!$A$1:$DZU$1000000,327,FALSE)</f>
        <v>#N/A</v>
      </c>
      <c r="D20" s="1" t="e">
        <f>VLOOKUP(A1,POsData!$A$1:$DZU$1000000,328,FALSE)</f>
        <v>#N/A</v>
      </c>
      <c r="E20" s="133" t="e">
        <f>VLOOKUP(A1,POsData!$A$1:$DZU$1000000,329,FALSE)</f>
        <v>#N/A</v>
      </c>
      <c r="F20" s="73" t="e">
        <f>VLOOKUP(A1,POsData!$A$1:$DZU$1000000,330,FALSE)</f>
        <v>#N/A</v>
      </c>
      <c r="G20" s="134" t="e">
        <f>VLOOKUP(A1,POsData!$A$1:$DZU$1000000,331,FALSE)</f>
        <v>#N/A</v>
      </c>
      <c r="H20" s="135" t="e">
        <f>VLOOKUP(A1,POsData!$A$1:$DZU$1000000,332,FALSE)</f>
        <v>#N/A</v>
      </c>
      <c r="I20" s="135" t="e">
        <f>VLOOKUP(A1,POsData!$A$1:$DZU$1000000,333,FALSE)</f>
        <v>#N/A</v>
      </c>
      <c r="J20" s="129" t="e">
        <f>VLOOKUP(A1,POsData!$A$1:$DZU$1000000,334,FALSE)</f>
        <v>#N/A</v>
      </c>
      <c r="K20" s="1" t="e">
        <f>VLOOKUP(A1,POsData!$A$1:$DZU$1000000,335,FALSE)</f>
        <v>#N/A</v>
      </c>
      <c r="L20" s="1" t="e">
        <f>VLOOKUP(A1,POsData!$A$1:$DZU$1000000,336,FALSE)</f>
        <v>#N/A</v>
      </c>
      <c r="M20" s="1" t="e">
        <f>VLOOKUP(A1,POsData!$A$1:$DZU$1000000,337,FALSE)</f>
        <v>#N/A</v>
      </c>
      <c r="N20" s="1" t="e">
        <f>VLOOKUP(A1,POsData!$A$1:$DZU$1000000,338,FALSE)</f>
        <v>#N/A</v>
      </c>
      <c r="O20" s="1" t="e">
        <f>VLOOKUP(A1,POsData!$A$1:$DZU$1000000,339,FALSE)</f>
        <v>#N/A</v>
      </c>
      <c r="P20" s="1" t="e">
        <f>VLOOKUP(A1,POsData!$A$1:$DZU$1000000,340,FALSE)</f>
        <v>#N/A</v>
      </c>
      <c r="Q20" s="101" t="e">
        <f>VLOOKUP(A1,POsData!$A$1:$DZU$1000000,341,FALSE)</f>
        <v>#N/A</v>
      </c>
    </row>
    <row r="21" spans="1:17" ht="15.5" x14ac:dyDescent="0.35">
      <c r="A21" s="136" t="e">
        <f>VLOOKUP(A1,POsData!$A$1:$DZU$1000000,342,FALSE)</f>
        <v>#N/A</v>
      </c>
      <c r="B21" s="137" t="e">
        <f>VLOOKUP(A1,POsData!$A$1:$DZU$1000000,343,FALSE)</f>
        <v>#N/A</v>
      </c>
      <c r="C21" s="138" t="e">
        <f>VLOOKUP(A1,POsData!$A$1:$DZU$1000000,344,FALSE)</f>
        <v>#N/A</v>
      </c>
      <c r="D21" s="137" t="e">
        <f>VLOOKUP(A1,POsData!$A$1:$DZU$1000000,345,FALSE)</f>
        <v>#N/A</v>
      </c>
      <c r="E21" s="137" t="e">
        <f>VLOOKUP(A1,POsData!$A$1:$DZU$1000000,346,FALSE)</f>
        <v>#N/A</v>
      </c>
      <c r="F21" s="137" t="e">
        <f>VLOOKUP(A1,POsData!$A$1:$DZU$1000000,347,FALSE)</f>
        <v>#N/A</v>
      </c>
      <c r="G21" s="137" t="e">
        <f>VLOOKUP(A1,POsData!$A$1:$DZU$1000000,348,FALSE)</f>
        <v>#N/A</v>
      </c>
      <c r="H21" s="137" t="e">
        <f>VLOOKUP(A1,POsData!$A$1:$DZU$1000000,349,FALSE)</f>
        <v>#N/A</v>
      </c>
      <c r="I21" s="137" t="e">
        <f>VLOOKUP(A1,POsData!$A$1:$DZU$1000000,350,FALSE)</f>
        <v>#N/A</v>
      </c>
      <c r="J21" s="139" t="e">
        <f>VLOOKUP(A1,POsData!$A$1:$DZU$1000000,351,FALSE)</f>
        <v>#N/A</v>
      </c>
      <c r="K21" s="1" t="e">
        <f>VLOOKUP(A1,POsData!$A$1:$DZU$1000000,352,FALSE)</f>
        <v>#N/A</v>
      </c>
      <c r="L21" s="1" t="e">
        <f>VLOOKUP(A1,POsData!$A$1:$DZU$1000000,353,FALSE)</f>
        <v>#N/A</v>
      </c>
      <c r="M21" s="1" t="e">
        <f>VLOOKUP(A1,POsData!$A$1:$DZU$1000000,354,FALSE)</f>
        <v>#N/A</v>
      </c>
      <c r="N21" s="1" t="e">
        <f>VLOOKUP(A1,POsData!$A$1:$DZU$1000000,355,FALSE)</f>
        <v>#N/A</v>
      </c>
      <c r="O21" s="1" t="e">
        <f>VLOOKUP(A1,POsData!$A$1:$DZU$1000000,356,FALSE)</f>
        <v>#N/A</v>
      </c>
      <c r="P21" s="1" t="e">
        <f>VLOOKUP(A1,POsData!$A$1:$DZU$1000000,357,FALSE)</f>
        <v>#N/A</v>
      </c>
      <c r="Q21" s="101" t="e">
        <f>VLOOKUP(A1,POsData!$A$1:$DZU$1000000,358,FALSE)</f>
        <v>#N/A</v>
      </c>
    </row>
    <row r="22" spans="1:17" x14ac:dyDescent="0.35">
      <c r="A22" s="140" t="e">
        <f>VLOOKUP(A1,POsData!$A$1:$DZU$1000000,359,FALSE)</f>
        <v>#N/A</v>
      </c>
      <c r="B22" s="73" t="e">
        <f>VLOOKUP(A1,POsData!$A$1:$DZU$1000000,360,FALSE)</f>
        <v>#N/A</v>
      </c>
      <c r="C22" s="73" t="e">
        <f>VLOOKUP(A1,POsData!$A$1:$DZU$1000000,361,FALSE)</f>
        <v>#N/A</v>
      </c>
      <c r="D22" s="141" t="e">
        <f>VLOOKUP(A1,POsData!$A$1:$DZU$1000000,362,FALSE)</f>
        <v>#N/A</v>
      </c>
      <c r="E22" s="73" t="e">
        <f>VLOOKUP(A1,POsData!$A$1:$DZU$1000000,363,FALSE)</f>
        <v>#N/A</v>
      </c>
      <c r="F22" s="73" t="e">
        <f>VLOOKUP(A1,POsData!$A$1:$DZU$1000000,364,FALSE)</f>
        <v>#N/A</v>
      </c>
      <c r="G22" s="117" t="e">
        <f>VLOOKUP(A1,POsData!$A$1:$DZU$1000000,365,FALSE)</f>
        <v>#N/A</v>
      </c>
      <c r="H22" s="142" t="e">
        <f>VLOOKUP(A1,POsData!$A$1:$DZU$1000000,366,FALSE)</f>
        <v>#N/A</v>
      </c>
      <c r="I22" s="142" t="e">
        <f>VLOOKUP(A1,POsData!$A$1:$DZU$1000000,367,FALSE)</f>
        <v>#N/A</v>
      </c>
      <c r="J22" s="142" t="e">
        <f>VLOOKUP(A1,POsData!$A$1:$DZU$1000000,368,FALSE)</f>
        <v>#N/A</v>
      </c>
      <c r="K22" s="1" t="e">
        <f>VLOOKUP(A1,POsData!$A$1:$DZU$1000000,369,FALSE)</f>
        <v>#N/A</v>
      </c>
      <c r="L22" s="1" t="e">
        <f>VLOOKUP(A1,POsData!$A$1:$DZU$1000000,370,FALSE)</f>
        <v>#N/A</v>
      </c>
      <c r="M22" s="1" t="e">
        <f>VLOOKUP(A1,POsData!$A$1:$DZU$1000000,371,FALSE)</f>
        <v>#N/A</v>
      </c>
      <c r="N22" s="1" t="e">
        <f>VLOOKUP(A1,POsData!$A$1:$DZU$1000000,372,FALSE)</f>
        <v>#N/A</v>
      </c>
      <c r="O22" s="1" t="e">
        <f>VLOOKUP(A1,POsData!$A$1:$DZU$1000000,373,FALSE)</f>
        <v>#N/A</v>
      </c>
      <c r="P22" s="1" t="e">
        <f>VLOOKUP(A1,POsData!$A$1:$DZU$1000000,374,FALSE)</f>
        <v>#N/A</v>
      </c>
      <c r="Q22" s="101" t="e">
        <f>VLOOKUP(A1,POsData!$A$1:$DZU$1000000,375,FALSE)</f>
        <v>#N/A</v>
      </c>
    </row>
    <row r="23" spans="1:17" ht="15.5" x14ac:dyDescent="0.35">
      <c r="A23" s="143" t="e">
        <f>VLOOKUP(A1,POsData!$A$1:$DZU$1000000,376,FALSE)</f>
        <v>#N/A</v>
      </c>
      <c r="B23" s="424" t="e">
        <f>VLOOKUP(A1,POsData!$A$1:$DZU$1000000,377,FALSE)</f>
        <v>#N/A</v>
      </c>
      <c r="C23" s="425"/>
      <c r="D23" s="425"/>
      <c r="E23" s="425"/>
      <c r="F23" s="425"/>
      <c r="G23" s="426"/>
      <c r="H23" s="144" t="e">
        <f>VLOOKUP(A1,POsData!$A$1:$DZU$1000000,383,FALSE)</f>
        <v>#N/A</v>
      </c>
      <c r="I23" s="145" t="e">
        <f>VLOOKUP(A1,POsData!$A$1:$DZU$1000000,384,FALSE)</f>
        <v>#N/A</v>
      </c>
      <c r="J23" s="146" t="e">
        <f>VLOOKUP(A1,POsData!$A$1:$DZU$1000000,385,FALSE)</f>
        <v>#N/A</v>
      </c>
      <c r="K23" s="1" t="e">
        <f>VLOOKUP(A1,POsData!$A$1:$DZU$1000000,386,FALSE)</f>
        <v>#N/A</v>
      </c>
      <c r="L23" s="1" t="e">
        <f>VLOOKUP(A1,POsData!$A$1:$DZU$1000000,387,FALSE)</f>
        <v>#N/A</v>
      </c>
      <c r="M23" s="1" t="e">
        <f>VLOOKUP(A1,POsData!$A$1:$DZU$1000000,388,FALSE)</f>
        <v>#N/A</v>
      </c>
      <c r="N23" s="1" t="e">
        <f>VLOOKUP(A1,POsData!$A$1:$DZU$1000000,389,FALSE)</f>
        <v>#N/A</v>
      </c>
      <c r="O23" s="1" t="e">
        <f>VLOOKUP(A1,POsData!$A$1:$DZU$1000000,390,FALSE)</f>
        <v>#N/A</v>
      </c>
      <c r="P23" s="1" t="e">
        <f>VLOOKUP(A1,POsData!$A$1:$DZU$1000000,391,FALSE)</f>
        <v>#N/A</v>
      </c>
      <c r="Q23" s="101" t="e">
        <f>VLOOKUP(A1,POsData!$A$1:$DZU$1000000,392,FALSE)</f>
        <v>#N/A</v>
      </c>
    </row>
    <row r="24" spans="1:17" x14ac:dyDescent="0.35">
      <c r="A24" s="147" t="e">
        <f>VLOOKUP(A1,POsData!$A$1:$DZU$1000000,393,FALSE)</f>
        <v>#N/A</v>
      </c>
      <c r="B24" s="148" t="e">
        <f>VLOOKUP(A1,POsData!$A$1:$DZU$1000000,394,FALSE)</f>
        <v>#N/A</v>
      </c>
      <c r="C24" s="148" t="e">
        <f>VLOOKUP(A1,POsData!$A$1:$DZU$1000000,395,FALSE)</f>
        <v>#N/A</v>
      </c>
      <c r="D24" s="149" t="e">
        <f>VLOOKUP(A1,POsData!$A$1:$DZU$1000000,396,FALSE)</f>
        <v>#N/A</v>
      </c>
      <c r="E24" s="149" t="e">
        <f>VLOOKUP(A1,POsData!$A$1:$DZU$1000000,397,FALSE)</f>
        <v>#N/A</v>
      </c>
      <c r="F24" s="149" t="e">
        <f>VLOOKUP(A1,POsData!$A$1:$DZU$1000000,398,FALSE)</f>
        <v>#N/A</v>
      </c>
      <c r="G24" s="149" t="e">
        <f>VLOOKUP(A1,POsData!$A$1:$DZU$1000000,399,FALSE)</f>
        <v>#N/A</v>
      </c>
      <c r="H24" s="150" t="e">
        <f>VLOOKUP(A1,POsData!$A$1:$DZU$1000000,400,FALSE)</f>
        <v>#N/A</v>
      </c>
      <c r="I24" s="151" t="e">
        <f>VLOOKUP(A1,POsData!$A$1:$DZU$1000000,401,FALSE)</f>
        <v>#N/A</v>
      </c>
      <c r="J24" s="152" t="e">
        <f>VLOOKUP(A1,POsData!$A$1:$DZU$1000000,402,FALSE)</f>
        <v>#N/A</v>
      </c>
      <c r="K24" s="1" t="e">
        <f>VLOOKUP(A1,POsData!$A$1:$DZU$1000000,403,FALSE)</f>
        <v>#N/A</v>
      </c>
      <c r="L24" s="1" t="e">
        <f>VLOOKUP(A1,POsData!$A$1:$DZU$1000000,404,FALSE)</f>
        <v>#N/A</v>
      </c>
      <c r="M24" s="1" t="e">
        <f>VLOOKUP(A1,POsData!$A$1:$DZU$1000000,405,FALSE)</f>
        <v>#N/A</v>
      </c>
      <c r="N24" s="1" t="e">
        <f>VLOOKUP(A1,POsData!$A$1:$DZU$1000000,406,FALSE)</f>
        <v>#N/A</v>
      </c>
      <c r="O24" s="1" t="e">
        <f>VLOOKUP(A1,POsData!$A$1:$DZU$1000000,407,FALSE)</f>
        <v>#N/A</v>
      </c>
      <c r="P24" s="1" t="e">
        <f>VLOOKUP(A1,POsData!$A$1:$DZU$1000000,408,FALSE)</f>
        <v>#N/A</v>
      </c>
      <c r="Q24" s="101" t="e">
        <f>VLOOKUP(A1,POsData!$A$1:$DZU$1000000,409,FALSE)</f>
        <v>#N/A</v>
      </c>
    </row>
    <row r="25" spans="1:17" x14ac:dyDescent="0.35">
      <c r="A25" s="427" t="e">
        <f>VLOOKUP(A1,POsData!$A$1:$DZU$1000000,410,FALSE)</f>
        <v>#N/A</v>
      </c>
      <c r="B25" s="428"/>
      <c r="C25" s="428"/>
      <c r="D25" s="153" t="e">
        <f>VLOOKUP(A1,POsData!$A$1:$DZU$1000000,413,FALSE)</f>
        <v>#N/A</v>
      </c>
      <c r="E25" s="154" t="e">
        <f>VLOOKUP(A1,POsData!$A$1:$DZU$1000000,414,FALSE)</f>
        <v>#N/A</v>
      </c>
      <c r="F25" s="155" t="e">
        <f>VLOOKUP(A1,POsData!$A$1:$DZU$1000000,415,FALSE)</f>
        <v>#N/A</v>
      </c>
      <c r="G25" s="156" t="e">
        <f>VLOOKUP(A1,POsData!$A$1:$DZU$1000000,416,FALSE)</f>
        <v>#N/A</v>
      </c>
      <c r="H25" s="157" t="e">
        <f>VLOOKUP(A1,POsData!$A$1:$DZU$1000000,417,FALSE)</f>
        <v>#N/A</v>
      </c>
      <c r="I25" s="158" t="e">
        <f>VLOOKUP(A1,POsData!$A$1:$DZU$1000000,418,FALSE)</f>
        <v>#N/A</v>
      </c>
      <c r="J25" s="159" t="e">
        <f>VLOOKUP(A1,POsData!$A$1:$DZU$1000000,419,FALSE)</f>
        <v>#N/A</v>
      </c>
      <c r="K25" s="1" t="e">
        <f>VLOOKUP(A1,POsData!$A$1:$DZU$1000000,420,FALSE)</f>
        <v>#N/A</v>
      </c>
      <c r="L25" s="1" t="e">
        <f>VLOOKUP(A1,POsData!$A$1:$DZU$1000000,421,FALSE)</f>
        <v>#N/A</v>
      </c>
      <c r="M25" s="1" t="e">
        <f>VLOOKUP(A1,POsData!$A$1:$DZU$1000000,422,FALSE)</f>
        <v>#N/A</v>
      </c>
      <c r="N25" s="1" t="e">
        <f>VLOOKUP(A1,POsData!$A$1:$DZU$1000000,423,FALSE)</f>
        <v>#N/A</v>
      </c>
      <c r="O25" s="1" t="e">
        <f>VLOOKUP(A1,POsData!$A$1:$DZU$1000000,424,FALSE)</f>
        <v>#N/A</v>
      </c>
      <c r="P25" s="1" t="e">
        <f>VLOOKUP(A1,POsData!$A$1:$DZU$1000000,425,FALSE)</f>
        <v>#N/A</v>
      </c>
      <c r="Q25" s="101" t="e">
        <f>VLOOKUP(A1,POsData!$A$1:$DZU$1000000,426,FALSE)</f>
        <v>#N/A</v>
      </c>
    </row>
    <row r="26" spans="1:17" x14ac:dyDescent="0.35">
      <c r="A26" s="160" t="e">
        <f>VLOOKUP(A1,POsData!$A$1:$DZU$1000000,427,FALSE)</f>
        <v>#N/A</v>
      </c>
      <c r="B26" s="161" t="e">
        <f>VLOOKUP(A1,POsData!$A$1:$DZU$1000000,428,FALSE)</f>
        <v>#N/A</v>
      </c>
      <c r="C26" s="162" t="e">
        <f>VLOOKUP(A1,POsData!$A$1:$DZU$1000000,429,FALSE)</f>
        <v>#N/A</v>
      </c>
      <c r="D26" s="148" t="e">
        <f>VLOOKUP(A1,POsData!$A$1:$DZU$1000000,430,FALSE)</f>
        <v>#N/A</v>
      </c>
      <c r="E26" s="163" t="e">
        <f>VLOOKUP(A1,POsData!$A$1:$DZU$1000000,431,FALSE)</f>
        <v>#N/A</v>
      </c>
      <c r="F26" s="164" t="e">
        <f>VLOOKUP(A1,POsData!$A$1:$DZU$1000000,432,FALSE)</f>
        <v>#N/A</v>
      </c>
      <c r="G26" s="165" t="e">
        <f>VLOOKUP(A1,POsData!$A$1:$DZU$1000000,433,FALSE)</f>
        <v>#N/A</v>
      </c>
      <c r="H26" s="150" t="e">
        <f>VLOOKUP(A1,POsData!$A$1:$DZU$1000000,434,FALSE)</f>
        <v>#N/A</v>
      </c>
      <c r="I26" s="151" t="e">
        <f>VLOOKUP(A1,POsData!$A$1:$DZU$1000000,435,FALSE)</f>
        <v>#N/A</v>
      </c>
      <c r="J26" s="152" t="e">
        <f>VLOOKUP(A1,POsData!$A$1:$DZU$1000000,436,FALSE)</f>
        <v>#N/A</v>
      </c>
      <c r="K26" s="1" t="e">
        <f>VLOOKUP(A1,POsData!$A$1:$DZU$1000000,437,FALSE)</f>
        <v>#N/A</v>
      </c>
      <c r="L26" s="1" t="e">
        <f>VLOOKUP(A1,POsData!$A$1:$DZU$1000000,438,FALSE)</f>
        <v>#N/A</v>
      </c>
      <c r="M26" s="1" t="e">
        <f>VLOOKUP(A1,POsData!$A$1:$DZU$1000000,439,FALSE)</f>
        <v>#N/A</v>
      </c>
      <c r="N26" s="1" t="e">
        <f>VLOOKUP(A1,POsData!$A$1:$DZU$1000000,440,FALSE)</f>
        <v>#N/A</v>
      </c>
      <c r="O26" s="1" t="e">
        <f>VLOOKUP(A1,POsData!$A$1:$DZU$1000000,441,FALSE)</f>
        <v>#N/A</v>
      </c>
      <c r="P26" s="1" t="e">
        <f>VLOOKUP(A1,POsData!$A$1:$DZU$1000000,442,FALSE)</f>
        <v>#N/A</v>
      </c>
      <c r="Q26" s="101" t="e">
        <f>VLOOKUP(A1,POsData!$A$1:$DZU$1000000,443,FALSE)</f>
        <v>#N/A</v>
      </c>
    </row>
    <row r="27" spans="1:17" x14ac:dyDescent="0.35">
      <c r="A27" s="397" t="e">
        <f>VLOOKUP(A1,POsData!$A$1:$DZU$1000000,444,FALSE)</f>
        <v>#N/A</v>
      </c>
      <c r="B27" s="398"/>
      <c r="C27" s="398"/>
      <c r="D27" s="398"/>
      <c r="E27" s="398"/>
      <c r="F27" s="398"/>
      <c r="G27" s="398"/>
      <c r="H27" s="166" t="e">
        <f>VLOOKUP(A1,POsData!$A$1:$DZU$1000000,451,FALSE)</f>
        <v>#N/A</v>
      </c>
      <c r="I27" s="166" t="e">
        <f>VLOOKUP(A1,POsData!$A$1:$DZU$1000000,452,FALSE)</f>
        <v>#N/A</v>
      </c>
      <c r="J27" s="167" t="e">
        <f>VLOOKUP(A1,POsData!$A$1:$DZU$1000000,453,FALSE)</f>
        <v>#N/A</v>
      </c>
      <c r="K27" s="1" t="e">
        <f>VLOOKUP(A1,POsData!$A$1:$DZU$1000000,454,FALSE)</f>
        <v>#N/A</v>
      </c>
      <c r="L27" s="1" t="e">
        <f>VLOOKUP(A1,POsData!$A$1:$DZU$1000000,455,FALSE)</f>
        <v>#N/A</v>
      </c>
      <c r="M27" s="1" t="e">
        <f>VLOOKUP(A1,POsData!$A$1:$DZU$1000000,456,FALSE)</f>
        <v>#N/A</v>
      </c>
      <c r="N27" s="1" t="e">
        <f>VLOOKUP(A1,POsData!$A$1:$DZU$1000000,457,FALSE)</f>
        <v>#N/A</v>
      </c>
      <c r="O27" s="1" t="e">
        <f>VLOOKUP(A1,POsData!$A$1:$DZU$1000000,458,FALSE)</f>
        <v>#N/A</v>
      </c>
      <c r="P27" s="1" t="e">
        <f>VLOOKUP(A1,POsData!$A$1:$DZU$1000000,459,FALSE)</f>
        <v>#N/A</v>
      </c>
      <c r="Q27" s="101" t="e">
        <f>VLOOKUP(A1,POsData!$A$1:$DZU$1000000,460,FALSE)</f>
        <v>#N/A</v>
      </c>
    </row>
    <row r="28" spans="1:17" x14ac:dyDescent="0.35">
      <c r="A28" s="397" t="e">
        <f>VLOOKUP(A1,POsData!$A$1:$DZU$1000000,461,FALSE)</f>
        <v>#N/A</v>
      </c>
      <c r="B28" s="398"/>
      <c r="C28" s="398"/>
      <c r="D28" s="398"/>
      <c r="E28" s="398"/>
      <c r="F28" s="398"/>
      <c r="G28" s="398"/>
      <c r="H28" s="166" t="e">
        <f>VLOOKUP(A1,POsData!$A$1:$DZU$1000000,468,FALSE)</f>
        <v>#N/A</v>
      </c>
      <c r="I28" s="166" t="e">
        <f>VLOOKUP(A1,POsData!$A$1:$DZU$1000000,469,FALSE)</f>
        <v>#N/A</v>
      </c>
      <c r="J28" s="167" t="e">
        <f>VLOOKUP(A1,POsData!$A$1:$DZU$1000000,470,FALSE)</f>
        <v>#N/A</v>
      </c>
      <c r="K28" s="1" t="e">
        <f>VLOOKUP(A1,POsData!$A$1:$DZU$1000000,471,FALSE)</f>
        <v>#N/A</v>
      </c>
      <c r="L28" s="1" t="e">
        <f>VLOOKUP(A1,POsData!$A$1:$DZU$1000000,472,FALSE)</f>
        <v>#N/A</v>
      </c>
      <c r="M28" s="1" t="e">
        <f>VLOOKUP(A1,POsData!$A$1:$DZU$1000000,473,FALSE)</f>
        <v>#N/A</v>
      </c>
      <c r="N28" s="1" t="e">
        <f>VLOOKUP(A1,POsData!$A$1:$DZU$1000000,474,FALSE)</f>
        <v>#N/A</v>
      </c>
      <c r="O28" s="1" t="e">
        <f>VLOOKUP(A1,POsData!$A$1:$DZU$1000000,475,FALSE)</f>
        <v>#N/A</v>
      </c>
      <c r="P28" s="1" t="e">
        <f>VLOOKUP(A1,POsData!$A$1:$DZU$1000000,476,FALSE)</f>
        <v>#N/A</v>
      </c>
      <c r="Q28" s="101" t="e">
        <f>VLOOKUP(A1,POsData!$A$1:$DZU$1000000,477,FALSE)</f>
        <v>#N/A</v>
      </c>
    </row>
    <row r="29" spans="1:17" x14ac:dyDescent="0.35">
      <c r="A29" s="397" t="e">
        <f>VLOOKUP(A1,POsData!$A$1:$DZU$1000000,478,FALSE)</f>
        <v>#N/A</v>
      </c>
      <c r="B29" s="398"/>
      <c r="C29" s="398"/>
      <c r="D29" s="398"/>
      <c r="E29" s="398"/>
      <c r="F29" s="398"/>
      <c r="G29" s="398"/>
      <c r="H29" s="166" t="e">
        <f>VLOOKUP(A1,POsData!$A$1:$DZU$1000000,485,FALSE)</f>
        <v>#N/A</v>
      </c>
      <c r="I29" s="166" t="e">
        <f>VLOOKUP(A1,POsData!$A$1:$DZU$1000000,486,FALSE)</f>
        <v>#N/A</v>
      </c>
      <c r="J29" s="167" t="e">
        <f>VLOOKUP(A1,POsData!$A$1:$DZU$1000000,487,FALSE)</f>
        <v>#N/A</v>
      </c>
      <c r="K29" s="1" t="e">
        <f>VLOOKUP(A1,POsData!$A$1:$DZU$1000000,488,FALSE)</f>
        <v>#N/A</v>
      </c>
      <c r="L29" s="1" t="e">
        <f>VLOOKUP(A1,POsData!$A$1:$DZU$1000000,489,FALSE)</f>
        <v>#N/A</v>
      </c>
      <c r="M29" s="1" t="e">
        <f>VLOOKUP(A1,POsData!$A$1:$DZU$1000000,490,FALSE)</f>
        <v>#N/A</v>
      </c>
      <c r="N29" s="1" t="e">
        <f>VLOOKUP(A1,POsData!$A$1:$DZU$1000000,491,FALSE)</f>
        <v>#N/A</v>
      </c>
      <c r="O29" s="1" t="e">
        <f>VLOOKUP(A1,POsData!$A$1:$DZU$1000000,492,FALSE)</f>
        <v>#N/A</v>
      </c>
      <c r="P29" s="1" t="e">
        <f>VLOOKUP(A1,POsData!$A$1:$DZU$1000000,493,FALSE)</f>
        <v>#N/A</v>
      </c>
      <c r="Q29" s="101" t="e">
        <f>VLOOKUP(A1,POsData!$A$1:$DZU$1000000,494,FALSE)</f>
        <v>#N/A</v>
      </c>
    </row>
    <row r="30" spans="1:17" x14ac:dyDescent="0.35">
      <c r="A30" s="397" t="e">
        <f>VLOOKUP(A1,POsData!$A$1:$DZU$1000000,495,FALSE)</f>
        <v>#N/A</v>
      </c>
      <c r="B30" s="398"/>
      <c r="C30" s="398"/>
      <c r="D30" s="398"/>
      <c r="E30" s="398"/>
      <c r="F30" s="398"/>
      <c r="G30" s="398"/>
      <c r="H30" s="166" t="e">
        <f>VLOOKUP(A1,POsData!$A$1:$DZU$1000000,502,FALSE)</f>
        <v>#N/A</v>
      </c>
      <c r="I30" s="166" t="e">
        <f>VLOOKUP(A1,POsData!$A$1:$DZU$1000000,503,FALSE)</f>
        <v>#N/A</v>
      </c>
      <c r="J30" s="167" t="e">
        <f>VLOOKUP(A1,POsData!$A$1:$DZU$1000000,504,FALSE)</f>
        <v>#N/A</v>
      </c>
      <c r="K30" s="1" t="e">
        <f>VLOOKUP(A1,POsData!$A$1:$DZU$1000000,505,FALSE)</f>
        <v>#N/A</v>
      </c>
      <c r="L30" s="1" t="e">
        <f>VLOOKUP(A1,POsData!$A$1:$DZU$1000000,506,FALSE)</f>
        <v>#N/A</v>
      </c>
      <c r="M30" s="1" t="e">
        <f>VLOOKUP(A1,POsData!$A$1:$DZU$1000000,507,FALSE)</f>
        <v>#N/A</v>
      </c>
      <c r="N30" s="1" t="e">
        <f>VLOOKUP(A1,POsData!$A$1:$DZU$1000000,508,FALSE)</f>
        <v>#N/A</v>
      </c>
      <c r="O30" s="1" t="e">
        <f>VLOOKUP(A1,POsData!$A$1:$DZU$1000000,509,FALSE)</f>
        <v>#N/A</v>
      </c>
      <c r="P30" s="1" t="e">
        <f>VLOOKUP(A1,POsData!$A$1:$DZU$1000000,510,FALSE)</f>
        <v>#N/A</v>
      </c>
      <c r="Q30" s="101" t="e">
        <f>VLOOKUP(A1,POsData!$A$1:$DZU$1000000,511,FALSE)</f>
        <v>#N/A</v>
      </c>
    </row>
    <row r="31" spans="1:17" x14ac:dyDescent="0.35">
      <c r="A31" s="397" t="e">
        <f>VLOOKUP(A1,POsData!$A$1:$DZU$1000000,512,FALSE)</f>
        <v>#N/A</v>
      </c>
      <c r="B31" s="398"/>
      <c r="C31" s="398"/>
      <c r="D31" s="398"/>
      <c r="E31" s="398"/>
      <c r="F31" s="398"/>
      <c r="G31" s="398"/>
      <c r="H31" s="166" t="e">
        <f>VLOOKUP(A1,POsData!$A$1:$DZU$1000000,519,FALSE)</f>
        <v>#N/A</v>
      </c>
      <c r="I31" s="166" t="e">
        <f>VLOOKUP(A1,POsData!$A$1:$DZU$1000000,520,FALSE)</f>
        <v>#N/A</v>
      </c>
      <c r="J31" s="167" t="e">
        <f>VLOOKUP(A1,POsData!$A$1:$DZU$1000000,521,FALSE)</f>
        <v>#N/A</v>
      </c>
      <c r="K31" s="1" t="e">
        <f>VLOOKUP(A1,POsData!$A$1:$DZU$1000000,522,FALSE)</f>
        <v>#N/A</v>
      </c>
      <c r="L31" s="1" t="e">
        <f>VLOOKUP(A1,POsData!$A$1:$DZU$1000000,523,FALSE)</f>
        <v>#N/A</v>
      </c>
      <c r="M31" s="1" t="e">
        <f>VLOOKUP(A1,POsData!$A$1:$DZU$1000000,524,FALSE)</f>
        <v>#N/A</v>
      </c>
      <c r="N31" s="1" t="e">
        <f>VLOOKUP(A1,POsData!$A$1:$DZU$1000000,525,FALSE)</f>
        <v>#N/A</v>
      </c>
      <c r="O31" s="1" t="e">
        <f>VLOOKUP(A1,POsData!$A$1:$DZU$1000000,526,FALSE)</f>
        <v>#N/A</v>
      </c>
      <c r="P31" s="1" t="e">
        <f>VLOOKUP(A1,POsData!$A$1:$DZU$1000000,527,FALSE)</f>
        <v>#N/A</v>
      </c>
      <c r="Q31" s="101" t="e">
        <f>VLOOKUP(A1,POsData!$A$1:$DZU$1000000,528,FALSE)</f>
        <v>#N/A</v>
      </c>
    </row>
    <row r="32" spans="1:17" x14ac:dyDescent="0.35">
      <c r="A32" s="397" t="e">
        <f>VLOOKUP(A1,POsData!$A$1:$DZU$1000000,529,FALSE)</f>
        <v>#N/A</v>
      </c>
      <c r="B32" s="398"/>
      <c r="C32" s="398"/>
      <c r="D32" s="398"/>
      <c r="E32" s="398"/>
      <c r="F32" s="398"/>
      <c r="G32" s="398"/>
      <c r="H32" s="166" t="e">
        <f>VLOOKUP(A1,POsData!$A$1:$DZU$1000000,536,FALSE)</f>
        <v>#N/A</v>
      </c>
      <c r="I32" s="166" t="e">
        <f>VLOOKUP(A1,POsData!$A$1:$DZU$1000000,537,FALSE)</f>
        <v>#N/A</v>
      </c>
      <c r="J32" s="167" t="e">
        <f>VLOOKUP(A1,POsData!$A$1:$DZU$1000000,538,FALSE)</f>
        <v>#N/A</v>
      </c>
      <c r="K32" s="1" t="e">
        <f>VLOOKUP(A1,POsData!$A$1:$DZU$1000000,539,FALSE)</f>
        <v>#N/A</v>
      </c>
      <c r="L32" s="1" t="e">
        <f>VLOOKUP(A1,POsData!$A$1:$DZU$1000000,540,FALSE)</f>
        <v>#N/A</v>
      </c>
      <c r="M32" s="1" t="e">
        <f>VLOOKUP(A1,POsData!$A$1:$DZU$1000000,541,FALSE)</f>
        <v>#N/A</v>
      </c>
      <c r="N32" s="1" t="e">
        <f>VLOOKUP(A1,POsData!$A$1:$DZU$1000000,542,FALSE)</f>
        <v>#N/A</v>
      </c>
      <c r="O32" s="1" t="e">
        <f>VLOOKUP(A1,POsData!$A$1:$DZU$1000000,543,FALSE)</f>
        <v>#N/A</v>
      </c>
      <c r="P32" s="1" t="e">
        <f>VLOOKUP(A1,POsData!$A$1:$DZU$1000000,544,FALSE)</f>
        <v>#N/A</v>
      </c>
      <c r="Q32" s="101" t="e">
        <f>VLOOKUP(A1,POsData!$A$1:$DZU$1000000,545,FALSE)</f>
        <v>#N/A</v>
      </c>
    </row>
    <row r="33" spans="1:17" x14ac:dyDescent="0.35">
      <c r="A33" s="397" t="e">
        <f>VLOOKUP(A1,POsData!$A$1:$DZU$1000000,546,FALSE)</f>
        <v>#N/A</v>
      </c>
      <c r="B33" s="398"/>
      <c r="C33" s="398"/>
      <c r="D33" s="398"/>
      <c r="E33" s="398"/>
      <c r="F33" s="398"/>
      <c r="G33" s="398"/>
      <c r="H33" s="166" t="e">
        <f>VLOOKUP(A1,POsData!$A$1:$DZU$1000000,553,FALSE)</f>
        <v>#N/A</v>
      </c>
      <c r="I33" s="166" t="e">
        <f>VLOOKUP(A1,POsData!$A$1:$DZU$1000000,554,FALSE)</f>
        <v>#N/A</v>
      </c>
      <c r="J33" s="167" t="e">
        <f>VLOOKUP(A1,POsData!$A$1:$DZU$1000000,555,FALSE)</f>
        <v>#N/A</v>
      </c>
      <c r="K33" s="1" t="e">
        <f>VLOOKUP(A1,POsData!$A$1:$DZU$1000000,556,FALSE)</f>
        <v>#N/A</v>
      </c>
      <c r="L33" s="1" t="e">
        <f>VLOOKUP(A1,POsData!$A$1:$DZU$1000000,557,FALSE)</f>
        <v>#N/A</v>
      </c>
      <c r="M33" s="1" t="e">
        <f>VLOOKUP(A1,POsData!$A$1:$DZU$1000000,558,FALSE)</f>
        <v>#N/A</v>
      </c>
      <c r="N33" s="1" t="e">
        <f>VLOOKUP(A1,POsData!$A$1:$DZU$1000000,559,FALSE)</f>
        <v>#N/A</v>
      </c>
      <c r="O33" s="1" t="e">
        <f>VLOOKUP(A1,POsData!$A$1:$DZU$1000000,560,FALSE)</f>
        <v>#N/A</v>
      </c>
      <c r="P33" s="1" t="e">
        <f>VLOOKUP(A1,POsData!$A$1:$DZU$1000000,561,FALSE)</f>
        <v>#N/A</v>
      </c>
      <c r="Q33" s="101" t="e">
        <f>VLOOKUP(A1,POsData!$A$1:$DZU$1000000,562,FALSE)</f>
        <v>#N/A</v>
      </c>
    </row>
    <row r="34" spans="1:17" x14ac:dyDescent="0.35">
      <c r="A34" s="399" t="e">
        <f>VLOOKUP(A1,POsData!$A$1:$DZU$1000000,563,FALSE)</f>
        <v>#N/A</v>
      </c>
      <c r="B34" s="400"/>
      <c r="C34" s="400"/>
      <c r="D34" s="400"/>
      <c r="E34" s="400"/>
      <c r="F34" s="400"/>
      <c r="G34" s="401"/>
      <c r="H34" s="150" t="e">
        <f>VLOOKUP(A1,POsData!$A$1:$DZU$1000000,570,FALSE)</f>
        <v>#N/A</v>
      </c>
      <c r="I34" s="151" t="e">
        <f>VLOOKUP(A1,POsData!$A$1:$DZU$1000000,571,FALSE)</f>
        <v>#N/A</v>
      </c>
      <c r="J34" s="169" t="e">
        <f>VLOOKUP(A1,POsData!$A$1:$DZU$1000000,572,FALSE)</f>
        <v>#N/A</v>
      </c>
      <c r="K34" s="1" t="e">
        <f>VLOOKUP(A1,POsData!$A$1:$DZU$1000000,573,FALSE)</f>
        <v>#N/A</v>
      </c>
      <c r="L34" s="1" t="e">
        <f>VLOOKUP(A1,POsData!$A$1:$DZU$1000000,574,FALSE)</f>
        <v>#N/A</v>
      </c>
      <c r="M34" s="1" t="e">
        <f>VLOOKUP(A1,POsData!$A$1:$DZU$1000000,575,FALSE)</f>
        <v>#N/A</v>
      </c>
      <c r="N34" s="1" t="e">
        <f>VLOOKUP(A1,POsData!$A$1:$DZU$1000000,576,FALSE)</f>
        <v>#N/A</v>
      </c>
      <c r="O34" s="1" t="e">
        <f>VLOOKUP(A1,POsData!$A$1:$DZU$1000000,577,FALSE)</f>
        <v>#N/A</v>
      </c>
      <c r="P34" s="1" t="e">
        <f>VLOOKUP(A1,POsData!$A$1:$DZU$1000000,578,FALSE)</f>
        <v>#N/A</v>
      </c>
      <c r="Q34" s="101" t="e">
        <f>VLOOKUP(A1,POsData!$A$1:$DZU$1000000,579,FALSE)</f>
        <v>#N/A</v>
      </c>
    </row>
    <row r="35" spans="1:17" x14ac:dyDescent="0.35">
      <c r="A35" s="113" t="e">
        <f>VLOOKUP(A1,POsData!$A$1:$DZU$1000000,580,FALSE)</f>
        <v>#N/A</v>
      </c>
      <c r="B35" s="168" t="e">
        <f>VLOOKUP(A1,POsData!$A$1:$DZU$1000000,581,FALSE)</f>
        <v>#N/A</v>
      </c>
      <c r="C35" s="131" t="e">
        <f>VLOOKUP(A1,POsData!$A$1:$DZU$1000000,582,FALSE)</f>
        <v>#N/A</v>
      </c>
      <c r="D35" s="1" t="e">
        <f>VLOOKUP(A1,POsData!$A$1:$DZU$1000000,583,FALSE)</f>
        <v>#N/A</v>
      </c>
      <c r="E35" s="1" t="e">
        <f>VLOOKUP(A1,POsData!$A$1:$DZU$1000000,584,FALSE)</f>
        <v>#N/A</v>
      </c>
      <c r="F35" s="1" t="e">
        <f>VLOOKUP(A1,POsData!$A$1:$DZU$1000000,585,FALSE)</f>
        <v>#N/A</v>
      </c>
      <c r="G35" s="131" t="e">
        <f>VLOOKUP(A1,POsData!$A$1:$DZU$1000000,586,FALSE)</f>
        <v>#N/A</v>
      </c>
      <c r="H35" s="150" t="e">
        <f>VLOOKUP(A1,POsData!$A$1:$DZU$1000000,587,FALSE)</f>
        <v>#N/A</v>
      </c>
      <c r="I35" s="151" t="e">
        <f>VLOOKUP(A1,POsData!$A$1:$DZU$1000000,588,FALSE)</f>
        <v>#N/A</v>
      </c>
      <c r="J35" s="169" t="e">
        <f>VLOOKUP(A1,POsData!$A$1:$DZU$1000000,589,FALSE)</f>
        <v>#N/A</v>
      </c>
      <c r="K35" s="1" t="e">
        <f>VLOOKUP(A1,POsData!$A$1:$DZU$1000000,590,FALSE)</f>
        <v>#N/A</v>
      </c>
      <c r="L35" s="1" t="e">
        <f>VLOOKUP(A1,POsData!$A$1:$DZU$1000000,591,FALSE)</f>
        <v>#N/A</v>
      </c>
      <c r="M35" s="1" t="e">
        <f>VLOOKUP(A1,POsData!$A$1:$DZU$1000000,592,FALSE)</f>
        <v>#N/A</v>
      </c>
      <c r="N35" s="1" t="e">
        <f>VLOOKUP(A1,POsData!$A$1:$DZU$1000000,593,FALSE)</f>
        <v>#N/A</v>
      </c>
      <c r="O35" s="1" t="e">
        <f>VLOOKUP(A1,POsData!$A$1:$DZU$1000000,594,FALSE)</f>
        <v>#N/A</v>
      </c>
      <c r="P35" s="1" t="e">
        <f>VLOOKUP(A1,POsData!$A$1:$DZU$1000000,595,FALSE)</f>
        <v>#N/A</v>
      </c>
      <c r="Q35" s="101" t="e">
        <f>VLOOKUP(A1,POsData!$A$1:$DZU$1000000,596,FALSE)</f>
        <v>#N/A</v>
      </c>
    </row>
    <row r="36" spans="1:17" x14ac:dyDescent="0.35">
      <c r="A36" s="113" t="e">
        <f>VLOOKUP(A1,POsData!$A$1:$DZU$1000000,597,FALSE)</f>
        <v>#N/A</v>
      </c>
      <c r="B36" s="1" t="e">
        <f>VLOOKUP(A1,POsData!$A$1:$DZU$1000000,598,FALSE)</f>
        <v>#N/A</v>
      </c>
      <c r="C36" s="1" t="e">
        <f>VLOOKUP(A1,POsData!$A$1:$DZU$1000000,599,FALSE)</f>
        <v>#N/A</v>
      </c>
      <c r="D36" s="1" t="e">
        <f>VLOOKUP(A1,POsData!$A$1:$DZU$1000000,600,FALSE)</f>
        <v>#N/A</v>
      </c>
      <c r="E36" s="1" t="e">
        <f>VLOOKUP(A1,POsData!$A$1:$DZU$1000000,601,FALSE)</f>
        <v>#N/A</v>
      </c>
      <c r="F36" s="1" t="e">
        <f>VLOOKUP(A1,POsData!$A$1:$DZU$1000000,602,FALSE)</f>
        <v>#N/A</v>
      </c>
      <c r="G36" s="131" t="e">
        <f>VLOOKUP(A1,POsData!$A$1:$DZU$1000000,603,FALSE)</f>
        <v>#N/A</v>
      </c>
      <c r="H36" s="150" t="e">
        <f>VLOOKUP(A1,POsData!$A$1:$DZU$1000000,604,FALSE)</f>
        <v>#N/A</v>
      </c>
      <c r="I36" s="151" t="e">
        <f>VLOOKUP(A1,POsData!$A$1:$DZU$1000000,605,FALSE)</f>
        <v>#N/A</v>
      </c>
      <c r="J36" s="152" t="e">
        <f>VLOOKUP(A1,POsData!$A$1:$DZU$1000000,606,FALSE)</f>
        <v>#N/A</v>
      </c>
      <c r="K36" s="1" t="e">
        <f>VLOOKUP(A1,POsData!$A$1:$DZU$1000000,607,FALSE)</f>
        <v>#N/A</v>
      </c>
      <c r="L36" s="1" t="e">
        <f>VLOOKUP(A1,POsData!$A$1:$DZU$1000000,608,FALSE)</f>
        <v>#N/A</v>
      </c>
      <c r="M36" s="1" t="e">
        <f>VLOOKUP(A1,POsData!$A$1:$DZU$1000000,609,FALSE)</f>
        <v>#N/A</v>
      </c>
      <c r="N36" s="1" t="e">
        <f>VLOOKUP(A1,POsData!$A$1:$DZU$1000000,610,FALSE)</f>
        <v>#N/A</v>
      </c>
      <c r="O36" s="1" t="e">
        <f>VLOOKUP(A1,POsData!$A$1:$DZU$1000000,611,FALSE)</f>
        <v>#N/A</v>
      </c>
      <c r="P36" s="1" t="e">
        <f>VLOOKUP(A1,POsData!$A$1:$DZU$1000000,612,FALSE)</f>
        <v>#N/A</v>
      </c>
      <c r="Q36" s="101" t="e">
        <f>VLOOKUP(A1,POsData!$A$1:$DZU$1000000,613,FALSE)</f>
        <v>#N/A</v>
      </c>
    </row>
    <row r="37" spans="1:17" x14ac:dyDescent="0.35">
      <c r="A37" s="170" t="e">
        <f>VLOOKUP(A1,POsData!$A$1:$DZU$1000000,614,FALSE)</f>
        <v>#N/A</v>
      </c>
      <c r="B37" s="1" t="e">
        <f>VLOOKUP(A1,POsData!$A$1:$DZU$1000000,615,FALSE)</f>
        <v>#N/A</v>
      </c>
      <c r="C37" s="1" t="e">
        <f>VLOOKUP(A1,POsData!$A$1:$DZU$1000000,616,FALSE)</f>
        <v>#N/A</v>
      </c>
      <c r="D37" s="1" t="e">
        <f>VLOOKUP(A1,POsData!$A$1:$DZU$1000000,617,FALSE)</f>
        <v>#N/A</v>
      </c>
      <c r="E37" s="1" t="e">
        <f>VLOOKUP(A1,POsData!$A$1:$DZU$1000000,618,FALSE)</f>
        <v>#N/A</v>
      </c>
      <c r="F37" s="1" t="e">
        <f>VLOOKUP(A1,POsData!$A$1:$DZU$1000000,619,FALSE)</f>
        <v>#N/A</v>
      </c>
      <c r="G37" s="131" t="e">
        <f>VLOOKUP(A1,POsData!$A$1:$DZU$1000000,620,FALSE)</f>
        <v>#N/A</v>
      </c>
      <c r="H37" s="150" t="e">
        <f>VLOOKUP(A1,POsData!$A$1:$DZU$1000000,621,FALSE)</f>
        <v>#N/A</v>
      </c>
      <c r="I37" s="151" t="e">
        <f>VLOOKUP(A1,POsData!$A$1:$DZU$1000000,622,FALSE)</f>
        <v>#N/A</v>
      </c>
      <c r="J37" s="152" t="e">
        <f>VLOOKUP(A1,POsData!$A$1:$DZU$1000000,623,FALSE)</f>
        <v>#N/A</v>
      </c>
      <c r="K37" s="1" t="e">
        <f>VLOOKUP(A1,POsData!$A$1:$DZU$1000000,624,FALSE)</f>
        <v>#N/A</v>
      </c>
      <c r="L37" s="1" t="e">
        <f>VLOOKUP(A1,POsData!$A$1:$DZU$1000000,625,FALSE)</f>
        <v>#N/A</v>
      </c>
      <c r="M37" s="1" t="e">
        <f>VLOOKUP(A1,POsData!$A$1:$DZU$1000000,626,FALSE)</f>
        <v>#N/A</v>
      </c>
      <c r="N37" s="1" t="e">
        <f>VLOOKUP(A1,POsData!$A$1:$DZU$1000000,627,FALSE)</f>
        <v>#N/A</v>
      </c>
      <c r="O37" s="1" t="e">
        <f>VLOOKUP(A1,POsData!$A$1:$DZU$1000000,628,FALSE)</f>
        <v>#N/A</v>
      </c>
      <c r="P37" s="1" t="e">
        <f>VLOOKUP(A1,POsData!$A$1:$DZU$1000000,629,FALSE)</f>
        <v>#N/A</v>
      </c>
      <c r="Q37" s="101" t="e">
        <f>VLOOKUP(A1,POsData!$A$1:$DZU$1000000,630,FALSE)</f>
        <v>#N/A</v>
      </c>
    </row>
    <row r="38" spans="1:17" x14ac:dyDescent="0.35">
      <c r="A38" s="171" t="e">
        <f>VLOOKUP(A1,POsData!$A$1:$DZU$1000000,631,FALSE)</f>
        <v>#N/A</v>
      </c>
      <c r="B38" s="129" t="e">
        <f>VLOOKUP(A1,POsData!$A$1:$DZU$1000000,632,FALSE)</f>
        <v>#N/A</v>
      </c>
      <c r="C38" s="1" t="e">
        <f>VLOOKUP(A1,POsData!$A$1:$DZU$1000000,633,FALSE)</f>
        <v>#N/A</v>
      </c>
      <c r="D38" s="1" t="e">
        <f>VLOOKUP(A1,POsData!$A$1:$DZU$1000000,634,FALSE)</f>
        <v>#N/A</v>
      </c>
      <c r="E38" s="1" t="e">
        <f>VLOOKUP(A1,POsData!$A$1:$DZU$1000000,635,FALSE)</f>
        <v>#N/A</v>
      </c>
      <c r="F38" s="1" t="e">
        <f>VLOOKUP(A1,POsData!$A$1:$DZU$1000000,636,FALSE)</f>
        <v>#N/A</v>
      </c>
      <c r="G38" s="1" t="e">
        <f>VLOOKUP(A1,POsData!$A$1:$DZU$1000000,637,FALSE)</f>
        <v>#N/A</v>
      </c>
      <c r="H38" s="172" t="e">
        <f>VLOOKUP(A1,POsData!$A$1:$DZU$1000000,638,FALSE)</f>
        <v>#N/A</v>
      </c>
      <c r="I38" s="173" t="e">
        <f>VLOOKUP(A1,POsData!$A$1:$DZU$1000000,639,FALSE)</f>
        <v>#N/A</v>
      </c>
      <c r="J38" s="174" t="e">
        <f>VLOOKUP(A1,POsData!$A$1:$DZU$1000000,640,FALSE)</f>
        <v>#N/A</v>
      </c>
      <c r="K38" s="1" t="e">
        <f>VLOOKUP(A1,POsData!$A$1:$DZU$1000000,641,FALSE)</f>
        <v>#N/A</v>
      </c>
      <c r="L38" s="1" t="e">
        <f>VLOOKUP(A1,POsData!$A$1:$DZU$1000000,642,FALSE)</f>
        <v>#N/A</v>
      </c>
      <c r="M38" s="1" t="e">
        <f>VLOOKUP(A1,POsData!$A$1:$DZU$1000000,643,FALSE)</f>
        <v>#N/A</v>
      </c>
      <c r="N38" s="1" t="e">
        <f>VLOOKUP(A1,POsData!$A$1:$DZU$1000000,644,FALSE)</f>
        <v>#N/A</v>
      </c>
      <c r="O38" s="1" t="e">
        <f>VLOOKUP(A1,POsData!$A$1:$DZU$1000000,645,FALSE)</f>
        <v>#N/A</v>
      </c>
      <c r="P38" s="1" t="e">
        <f>VLOOKUP(A1,POsData!$A$1:$DZU$1000000,646,FALSE)</f>
        <v>#N/A</v>
      </c>
      <c r="Q38" s="101" t="e">
        <f>VLOOKUP(A1,POsData!$A$1:$DZU$1000000,647,FALSE)</f>
        <v>#N/A</v>
      </c>
    </row>
    <row r="39" spans="1:17" ht="15" thickBot="1" x14ac:dyDescent="0.4">
      <c r="A39" s="113" t="e">
        <f>VLOOKUP(A1,POsData!$A$1:$DZU$1000000,648,FALSE)</f>
        <v>#N/A</v>
      </c>
      <c r="B39" s="1" t="e">
        <f>VLOOKUP(A1,POsData!$A$1:$DZU$1000000,649,FALSE)</f>
        <v>#N/A</v>
      </c>
      <c r="C39" s="1" t="e">
        <f>VLOOKUP(A1,POsData!$A$1:$DZU$1000000,650,FALSE)</f>
        <v>#N/A</v>
      </c>
      <c r="D39" s="1" t="e">
        <f>VLOOKUP(A1,POsData!$A$1:$DZU$1000000,651,FALSE)</f>
        <v>#N/A</v>
      </c>
      <c r="E39" s="1" t="e">
        <f>VLOOKUP(A1,POsData!$A$1:$DZU$1000000,652,FALSE)</f>
        <v>#N/A</v>
      </c>
      <c r="F39" s="1" t="e">
        <f>VLOOKUP(A1,POsData!$A$1:$DZU$1000000,653,FALSE)</f>
        <v>#N/A</v>
      </c>
      <c r="G39" s="1" t="e">
        <f>VLOOKUP(A1,POsData!$A$1:$DZU$1000000,654,FALSE)</f>
        <v>#N/A</v>
      </c>
      <c r="H39" s="175" t="e">
        <f>VLOOKUP(A1,POsData!$A$1:$DZU$1000000,655,FALSE)</f>
        <v>#N/A</v>
      </c>
      <c r="I39" s="176" t="e">
        <f>VLOOKUP(A1,POsData!$A$1:$DZU$1000000,656,FALSE)</f>
        <v>#N/A</v>
      </c>
      <c r="J39" s="177" t="e">
        <f>VLOOKUP(A1,POsData!$A$1:$DZU$1000000,657,FALSE)</f>
        <v>#N/A</v>
      </c>
      <c r="K39" s="1" t="e">
        <f>VLOOKUP(A1,POsData!$A$1:$DZU$1000000,658,FALSE)</f>
        <v>#N/A</v>
      </c>
      <c r="L39" s="1" t="e">
        <f>VLOOKUP(A1,POsData!$A$1:$DZU$1000000,659,FALSE)</f>
        <v>#N/A</v>
      </c>
      <c r="M39" s="1" t="e">
        <f>VLOOKUP(A1,POsData!$A$1:$DZU$1000000,660,FALSE)</f>
        <v>#N/A</v>
      </c>
      <c r="N39" s="1" t="e">
        <f>VLOOKUP(A1,POsData!$A$1:$DZU$1000000,661,FALSE)</f>
        <v>#N/A</v>
      </c>
      <c r="O39" s="1" t="e">
        <f>VLOOKUP(A1,POsData!$A$1:$DZU$1000000,662,FALSE)</f>
        <v>#N/A</v>
      </c>
      <c r="P39" s="1" t="e">
        <f>VLOOKUP(A1,POsData!$A$1:$DZU$1000000,663,FALSE)</f>
        <v>#N/A</v>
      </c>
      <c r="Q39" s="101" t="e">
        <f>VLOOKUP(A1,POsData!$A$1:$DZU$1000000,664,FALSE)</f>
        <v>#N/A</v>
      </c>
    </row>
    <row r="40" spans="1:17" ht="15.5" thickTop="1" thickBot="1" x14ac:dyDescent="0.4">
      <c r="A40" s="113" t="e">
        <f>VLOOKUP(A1,POsData!$A$1:$DZU$1000000,665,FALSE)</f>
        <v>#N/A</v>
      </c>
      <c r="B40" s="1" t="e">
        <f>VLOOKUP(A1,POsData!$A$1:$DZU$1000000,666,FALSE)</f>
        <v>#N/A</v>
      </c>
      <c r="C40" s="1" t="e">
        <f>VLOOKUP(A1,POsData!$A$1:$DZU$1000000,667,FALSE)</f>
        <v>#N/A</v>
      </c>
      <c r="D40" s="1" t="e">
        <f>VLOOKUP(A1,POsData!$A$1:$DZU$1000000,668,FALSE)</f>
        <v>#N/A</v>
      </c>
      <c r="E40" s="1" t="e">
        <f>VLOOKUP(A1,POsData!$A$1:$DZU$1000000,669,FALSE)</f>
        <v>#N/A</v>
      </c>
      <c r="F40" s="1" t="e">
        <f>VLOOKUP(A1,POsData!$A$1:$DZU$1000000,670,FALSE)</f>
        <v>#N/A</v>
      </c>
      <c r="G40" s="1" t="e">
        <f>VLOOKUP(A1,POsData!$A$1:$DZU$1000000,671,FALSE)</f>
        <v>#N/A</v>
      </c>
      <c r="H40" s="1" t="e">
        <f>VLOOKUP(A1,POsData!$A$1:$DZU$1000000,672,FALSE)</f>
        <v>#N/A</v>
      </c>
      <c r="I40" s="1" t="e">
        <f>VLOOKUP(A1,POsData!$A$1:$DZU$1000000,673,FALSE)</f>
        <v>#N/A</v>
      </c>
      <c r="J40" s="101" t="e">
        <f>VLOOKUP(A1,POsData!$A$1:$DZU$1000000,674,FALSE)</f>
        <v>#N/A</v>
      </c>
      <c r="K40" s="1" t="e">
        <f>VLOOKUP(A1,POsData!$A$1:$DZU$1000000,675,FALSE)</f>
        <v>#N/A</v>
      </c>
      <c r="L40" s="1" t="e">
        <f>VLOOKUP(A1,POsData!$A$1:$DZU$1000000,676,FALSE)</f>
        <v>#N/A</v>
      </c>
      <c r="M40" s="1" t="e">
        <f>VLOOKUP(A1,POsData!$A$1:$DZU$1000000,677,FALSE)</f>
        <v>#N/A</v>
      </c>
      <c r="N40" s="1" t="e">
        <f>VLOOKUP(A1,POsData!$A$1:$DZU$1000000,678,FALSE)</f>
        <v>#N/A</v>
      </c>
      <c r="O40" s="1" t="e">
        <f>VLOOKUP(A1,POsData!$A$1:$DZU$1000000,679,FALSE)</f>
        <v>#N/A</v>
      </c>
      <c r="P40" s="1" t="e">
        <f>VLOOKUP(A1,POsData!$A$1:$DZU$1000000,680,FALSE)</f>
        <v>#N/A</v>
      </c>
      <c r="Q40" s="101" t="e">
        <f>VLOOKUP(A1,POsData!$A$1:$DZU$1000000,681,FALSE)</f>
        <v>#N/A</v>
      </c>
    </row>
    <row r="41" spans="1:17" ht="15.5" thickTop="1" thickBot="1" x14ac:dyDescent="0.4">
      <c r="A41" s="402" t="e">
        <f>VLOOKUP(A1,POsData!$A$1:$DZU$1000000,682,FALSE)</f>
        <v>#N/A</v>
      </c>
      <c r="B41" s="403"/>
      <c r="C41" s="403"/>
      <c r="D41" s="403"/>
      <c r="E41" s="403"/>
      <c r="F41" s="403"/>
      <c r="G41" s="404"/>
      <c r="H41" s="403"/>
      <c r="I41" s="404"/>
      <c r="J41" s="405"/>
      <c r="K41" s="1" t="e">
        <f>VLOOKUP(A1,POsData!$A$1:$DZU$1000000,692,FALSE)</f>
        <v>#N/A</v>
      </c>
      <c r="L41" s="1" t="e">
        <f>VLOOKUP(A1,POsData!$A$1:$DZU$1000000,693,FALSE)</f>
        <v>#N/A</v>
      </c>
      <c r="M41" s="1" t="e">
        <f>VLOOKUP(A1,POsData!$A$1:$DZU$1000000,694,FALSE)</f>
        <v>#N/A</v>
      </c>
      <c r="N41" s="1" t="e">
        <f>VLOOKUP(A1,POsData!$A$1:$DZU$1000000,695,FALSE)</f>
        <v>#N/A</v>
      </c>
      <c r="O41" s="1" t="e">
        <f>VLOOKUP(A1,POsData!$A$1:$DZU$1000000,696,FALSE)</f>
        <v>#N/A</v>
      </c>
      <c r="P41" s="1" t="e">
        <f>VLOOKUP(A1,POsData!$A$1:$DZU$1000000,697,FALSE)</f>
        <v>#N/A</v>
      </c>
      <c r="Q41" s="101" t="e">
        <f>VLOOKUP(A1,POsData!$A$1:$DZU$1000000,698,FALSE)</f>
        <v>#N/A</v>
      </c>
    </row>
    <row r="42" spans="1:17" ht="15.5" thickTop="1" thickBot="1" x14ac:dyDescent="0.4">
      <c r="A42" s="178" t="e">
        <f>VLOOKUP(A1,POsData!$A$1:$DZU$1000000,699,FALSE)</f>
        <v>#N/A</v>
      </c>
      <c r="B42" s="179" t="e">
        <f>VLOOKUP(A1,POsData!$A$1:$DZU$1000000,700,FALSE)</f>
        <v>#N/A</v>
      </c>
      <c r="C42" s="179" t="e">
        <f>VLOOKUP(A1,POsData!$A$1:$DZU$1000000,701,FALSE)</f>
        <v>#N/A</v>
      </c>
      <c r="D42" s="179" t="e">
        <f>VLOOKUP(A1,POsData!$A$1:$DZU$1000000,702,FALSE)</f>
        <v>#N/A</v>
      </c>
      <c r="E42" s="179" t="e">
        <f>VLOOKUP(A1,POsData!$A$1:$DZU$1000000,703,FALSE)</f>
        <v>#N/A</v>
      </c>
      <c r="F42" s="179" t="e">
        <f>VLOOKUP(A1,POsData!$A$1:$DZU$1000000,704,FALSE)</f>
        <v>#N/A</v>
      </c>
      <c r="G42" s="180" t="e">
        <f>VLOOKUP(A1,POsData!$A$1:$DZU$1000000,705,FALSE)</f>
        <v>#N/A</v>
      </c>
      <c r="H42" s="179" t="e">
        <f>VLOOKUP(A1,POsData!$A$1:$DZU$1000000,706,FALSE)</f>
        <v>#N/A</v>
      </c>
      <c r="I42" s="406" t="e">
        <f>VLOOKUP(A1,POsData!$A$1:$DZU$1000000,707,FALSE)</f>
        <v>#N/A</v>
      </c>
      <c r="J42" s="406"/>
      <c r="K42" s="1" t="e">
        <f>VLOOKUP(A1,POsData!$A$1:$DZU$1000000,709,FALSE)</f>
        <v>#N/A</v>
      </c>
      <c r="L42" s="1" t="e">
        <f>VLOOKUP(A1,POsData!$A$1:$DZU$1000000,710,FALSE)</f>
        <v>#N/A</v>
      </c>
      <c r="M42" s="1" t="e">
        <f>VLOOKUP(A1,POsData!$A$1:$DZU$1000000,711,FALSE)</f>
        <v>#N/A</v>
      </c>
      <c r="N42" s="1" t="e">
        <f>VLOOKUP(A1,POsData!$A$1:$DZU$1000000,712,FALSE)</f>
        <v>#N/A</v>
      </c>
      <c r="O42" s="1" t="e">
        <f>VLOOKUP(A1,POsData!$A$1:$DZU$1000000,713,FALSE)</f>
        <v>#N/A</v>
      </c>
      <c r="P42" s="1" t="e">
        <f>VLOOKUP(A1,POsData!$A$1:$DZU$1000000,714,FALSE)</f>
        <v>#N/A</v>
      </c>
      <c r="Q42" s="101" t="e">
        <f>VLOOKUP(A1,POsData!$A$1:$DZU$1000000,715,FALSE)</f>
        <v>#N/A</v>
      </c>
    </row>
    <row r="43" spans="1:17" ht="15" thickTop="1" x14ac:dyDescent="0.35">
      <c r="A43" s="407" t="e">
        <f>VLOOKUP(A1,POsData!$A$1:$DZU$1000000,716,FALSE)</f>
        <v>#N/A</v>
      </c>
      <c r="B43" s="404"/>
      <c r="C43" s="404"/>
      <c r="D43" s="404"/>
      <c r="E43" s="408" t="e">
        <f>VLOOKUP(A1,POsData!$A$1:$DZU$1000000,720,FALSE)</f>
        <v>#N/A</v>
      </c>
      <c r="F43" s="408"/>
      <c r="G43" s="400"/>
      <c r="H43" s="404"/>
      <c r="I43" s="409"/>
      <c r="J43" s="410"/>
      <c r="K43" s="1" t="e">
        <f>VLOOKUP(A1,POsData!$A$1:$DZU$1000000,726,FALSE)</f>
        <v>#N/A</v>
      </c>
      <c r="L43" s="1" t="e">
        <f>VLOOKUP(A1,POsData!$A$1:$DZU$1000000,727,FALSE)</f>
        <v>#N/A</v>
      </c>
      <c r="M43" s="1" t="e">
        <f>VLOOKUP(A1,POsData!$A$1:$DZU$1000000,728,FALSE)</f>
        <v>#N/A</v>
      </c>
      <c r="N43" s="1" t="e">
        <f>VLOOKUP(A1,POsData!$A$1:$DZU$1000000,729,FALSE)</f>
        <v>#N/A</v>
      </c>
      <c r="O43" s="1" t="e">
        <f>VLOOKUP(A1,POsData!$A$1:$DZU$1000000,730,FALSE)</f>
        <v>#N/A</v>
      </c>
      <c r="P43" s="1" t="e">
        <f>VLOOKUP(A1,POsData!$A$1:$DZU$1000000,731,FALSE)</f>
        <v>#N/A</v>
      </c>
      <c r="Q43" s="101" t="e">
        <f>VLOOKUP(A1,POsData!$A$1:$DZU$1000000,732,FALSE)</f>
        <v>#N/A</v>
      </c>
    </row>
    <row r="44" spans="1:17" ht="15" thickBot="1" x14ac:dyDescent="0.4">
      <c r="A44" s="411" t="e">
        <f>VLOOKUP(A1,POsData!$A$1:$DZU$1000000,733,FALSE)</f>
        <v>#N/A</v>
      </c>
      <c r="B44" s="412"/>
      <c r="C44" s="412"/>
      <c r="D44" s="412"/>
      <c r="E44" s="412"/>
      <c r="F44" s="412"/>
      <c r="G44" s="412"/>
      <c r="H44" s="412"/>
      <c r="I44" s="412"/>
      <c r="J44" s="413"/>
      <c r="K44" s="1" t="e">
        <f>VLOOKUP(A1,POsData!$A$1:$DZU$1000000,743,FALSE)</f>
        <v>#N/A</v>
      </c>
      <c r="L44" s="1" t="e">
        <f>VLOOKUP(A1,POsData!$A$1:$DZU$1000000,744,FALSE)</f>
        <v>#N/A</v>
      </c>
      <c r="M44" s="1" t="e">
        <f>VLOOKUP(A1,POsData!$A$1:$DZU$1000000,745,FALSE)</f>
        <v>#N/A</v>
      </c>
      <c r="N44" s="1" t="e">
        <f>VLOOKUP(A1,POsData!$A$1:$DZU$1000000,746,FALSE)</f>
        <v>#N/A</v>
      </c>
      <c r="O44" s="1" t="e">
        <f>VLOOKUP(A1,POsData!$A$1:$DZU$1000000,747,FALSE)</f>
        <v>#N/A</v>
      </c>
      <c r="P44" s="1" t="e">
        <f>VLOOKUP(A1,POsData!$A$1:$DZU$1000000,748,FALSE)</f>
        <v>#N/A</v>
      </c>
      <c r="Q44" s="101" t="e">
        <f>VLOOKUP(A1,POsData!$A$1:$DZU$1000000,749,FALSE)</f>
        <v>#N/A</v>
      </c>
    </row>
    <row r="45" spans="1:17" ht="15.5" thickTop="1" thickBot="1" x14ac:dyDescent="0.4">
      <c r="A45" s="402" t="e">
        <f>VLOOKUP(A1,POsData!$A$1:$DZU$1000000,750,FALSE)</f>
        <v>#N/A</v>
      </c>
      <c r="B45" s="403"/>
      <c r="C45" s="403"/>
      <c r="D45" s="403"/>
      <c r="E45" s="403"/>
      <c r="F45" s="403"/>
      <c r="G45" s="403"/>
      <c r="H45" s="403"/>
      <c r="I45" s="403"/>
      <c r="J45" s="414"/>
      <c r="K45" s="1" t="e">
        <f>VLOOKUP(A1,POsData!$A$1:$DZU$1000000,760,FALSE)</f>
        <v>#N/A</v>
      </c>
      <c r="L45" s="1" t="e">
        <f>VLOOKUP(A1,POsData!$A$1:$DZU$1000000,761,FALSE)</f>
        <v>#N/A</v>
      </c>
      <c r="M45" s="1" t="e">
        <f>VLOOKUP(A1,POsData!$A$1:$DZU$1000000,762,FALSE)</f>
        <v>#N/A</v>
      </c>
      <c r="N45" s="1" t="e">
        <f>VLOOKUP(A1,POsData!$A$1:$DZU$1000000,763,FALSE)</f>
        <v>#N/A</v>
      </c>
      <c r="O45" s="1" t="e">
        <f>VLOOKUP(A1,POsData!$A$1:$DZU$1000000,764,FALSE)</f>
        <v>#N/A</v>
      </c>
      <c r="P45" s="1" t="e">
        <f>VLOOKUP(A1,POsData!$A$1:$DZU$1000000,765,FALSE)</f>
        <v>#N/A</v>
      </c>
      <c r="Q45" s="101" t="e">
        <f>VLOOKUP(A1,POsData!$A$1:$DZU$1000000,766,FALSE)</f>
        <v>#N/A</v>
      </c>
    </row>
    <row r="46" spans="1:17" ht="15" thickTop="1" x14ac:dyDescent="0.35">
      <c r="A46" s="113" t="e">
        <f>VLOOKUP(A1,POsData!$A$1:$DZU$1000000,767,FALSE)</f>
        <v>#N/A</v>
      </c>
      <c r="B46" s="1" t="e">
        <f>VLOOKUP(A1,POsData!$A$1:$DZU$1000000,768,FALSE)</f>
        <v>#N/A</v>
      </c>
      <c r="C46" s="1" t="e">
        <f>VLOOKUP(A1,POsData!$A$1:$DZU$1000000,769,FALSE)</f>
        <v>#N/A</v>
      </c>
      <c r="D46" s="1" t="e">
        <f>VLOOKUP(A1,POsData!$A$1:$DZU$1000000,770,FALSE)</f>
        <v>#N/A</v>
      </c>
      <c r="E46" s="1" t="e">
        <f>VLOOKUP(A1,POsData!$A$1:$DZU$1000000,771,FALSE)</f>
        <v>#N/A</v>
      </c>
      <c r="F46" s="1" t="e">
        <f>VLOOKUP(A1,POsData!$A$1:$DZU$1000000,772,FALSE)</f>
        <v>#N/A</v>
      </c>
      <c r="G46" s="1" t="e">
        <f>VLOOKUP(A1,POsData!$A$1:$DZU$1000000,773,FALSE)</f>
        <v>#N/A</v>
      </c>
      <c r="H46" s="1" t="e">
        <f>VLOOKUP(A1,POsData!$A$1:$DZU$1000000,774,FALSE)</f>
        <v>#N/A</v>
      </c>
      <c r="I46" s="1" t="e">
        <f>VLOOKUP(A1,POsData!$A$1:$DZU$1000000,775,FALSE)</f>
        <v>#N/A</v>
      </c>
      <c r="J46" s="101" t="e">
        <f>VLOOKUP(A1,POsData!$A$1:$DZU$1000000,776,FALSE)</f>
        <v>#N/A</v>
      </c>
      <c r="K46" s="1" t="e">
        <f>VLOOKUP(A1,POsData!$A$1:$DZU$1000000,777,FALSE)</f>
        <v>#N/A</v>
      </c>
      <c r="L46" s="1" t="e">
        <f>VLOOKUP(A1,POsData!$A$1:$DZU$1000000,778,FALSE)</f>
        <v>#N/A</v>
      </c>
      <c r="M46" s="1" t="e">
        <f>VLOOKUP(A1,POsData!$A$1:$DZU$1000000,779,FALSE)</f>
        <v>#N/A</v>
      </c>
      <c r="N46" s="1" t="e">
        <f>VLOOKUP(A1,POsData!$A$1:$DZU$1000000,780,FALSE)</f>
        <v>#N/A</v>
      </c>
      <c r="O46" s="1" t="e">
        <f>VLOOKUP(A1,POsData!$A$1:$DZU$1000000,781,FALSE)</f>
        <v>#N/A</v>
      </c>
      <c r="P46" s="1" t="e">
        <f>VLOOKUP(A1,POsData!$A$1:$DZU$1000000,782,FALSE)</f>
        <v>#N/A</v>
      </c>
      <c r="Q46" s="101" t="e">
        <f>VLOOKUP(A1,POsData!$A$1:$DZU$1000000,783,FALSE)</f>
        <v>#N/A</v>
      </c>
    </row>
    <row r="47" spans="1:17" ht="21" x14ac:dyDescent="0.5">
      <c r="A47" s="113" t="e">
        <f>VLOOKUP(A1,POsData!$A$1:$DZU$1000000,784,FALSE)</f>
        <v>#N/A</v>
      </c>
      <c r="B47" s="1" t="e">
        <f>VLOOKUP(A1,POsData!$A$1:$DZU$1000000,785,FALSE)</f>
        <v>#N/A</v>
      </c>
      <c r="C47" s="1" t="e">
        <f>VLOOKUP(A1,POsData!$A$1:$DZU$1000000,786,FALSE)</f>
        <v>#N/A</v>
      </c>
      <c r="D47" s="59" t="e">
        <f>VLOOKUP(A1,POsData!$A$1:$DZU$1000000,787,FALSE)</f>
        <v>#N/A</v>
      </c>
      <c r="E47" s="1" t="e">
        <f>VLOOKUP(A1,POsData!$A$1:$DZU$1000000,788,FALSE)</f>
        <v>#N/A</v>
      </c>
      <c r="F47" s="1" t="e">
        <f>VLOOKUP(A1,POsData!$A$1:$DZU$1000000,789,FALSE)</f>
        <v>#N/A</v>
      </c>
      <c r="G47" s="1" t="e">
        <f>VLOOKUP(A1,POsData!$A$1:$DZU$1000000,790,FALSE)</f>
        <v>#N/A</v>
      </c>
      <c r="H47" s="181" t="e">
        <f>VLOOKUP(A1,POsData!$A$1:$DZU$1000000,791,FALSE)</f>
        <v>#N/A</v>
      </c>
      <c r="I47" s="181" t="e">
        <f>VLOOKUP(A1,POsData!$A$1:$DZU$1000000,792,FALSE)</f>
        <v>#N/A</v>
      </c>
      <c r="J47" s="182" t="e">
        <f>VLOOKUP(A1,POsData!$A$1:$DZU$1000000,793,FALSE)</f>
        <v>#N/A</v>
      </c>
      <c r="K47" s="1" t="e">
        <f>VLOOKUP(A1,POsData!$A$1:$DZU$1000000,794,FALSE)</f>
        <v>#N/A</v>
      </c>
      <c r="L47" s="1" t="e">
        <f>VLOOKUP(A1,POsData!$A$1:$DZU$1000000,795,FALSE)</f>
        <v>#N/A</v>
      </c>
      <c r="M47" s="1" t="e">
        <f>VLOOKUP(A1,POsData!$A$1:$DZU$1000000,796,FALSE)</f>
        <v>#N/A</v>
      </c>
      <c r="N47" s="1" t="e">
        <f>VLOOKUP(A1,POsData!$A$1:$DZU$1000000,797,FALSE)</f>
        <v>#N/A</v>
      </c>
      <c r="O47" s="1" t="e">
        <f>VLOOKUP(A1,POsData!$A$1:$DZU$1000000,798,FALSE)</f>
        <v>#N/A</v>
      </c>
      <c r="P47" s="1" t="e">
        <f>VLOOKUP(A1,POsData!$A$1:$DZU$1000000,799,FALSE)</f>
        <v>#N/A</v>
      </c>
      <c r="Q47" s="101" t="e">
        <f>VLOOKUP(A1,POsData!$A$1:$DZU$1000000,800,FALSE)</f>
        <v>#N/A</v>
      </c>
    </row>
    <row r="48" spans="1:17" x14ac:dyDescent="0.35">
      <c r="A48" s="170" t="e">
        <f>VLOOKUP(A1,POsData!$A$1:$DZU$1000000,801,FALSE)</f>
        <v>#N/A</v>
      </c>
      <c r="B48" s="417" t="e">
        <f>VLOOKUP(A1,POsData!$A$1:$DZU$1000000,802,FALSE)</f>
        <v>#N/A</v>
      </c>
      <c r="C48" s="418"/>
      <c r="D48" s="418"/>
      <c r="E48" s="418"/>
      <c r="F48" s="131" t="e">
        <f>VLOOKUP(A1,POsData!$A$1:$DZU$1000000,806,FALSE)</f>
        <v>#N/A</v>
      </c>
      <c r="G48" s="1" t="e">
        <f>VLOOKUP(A1,POsData!$A$1:$DZU$1000000,807,FALSE)</f>
        <v>#N/A</v>
      </c>
      <c r="H48" s="1" t="e">
        <f>VLOOKUP(A1,POsData!$A$1:$DZU$1000000,808,FALSE)</f>
        <v>#N/A</v>
      </c>
      <c r="I48" s="1" t="e">
        <f>VLOOKUP(A1,POsData!$A$1:$DZU$1000000,809,FALSE)</f>
        <v>#N/A</v>
      </c>
      <c r="J48" s="101" t="e">
        <f>VLOOKUP(A1,POsData!$A$1:$DZU$1000000,810,FALSE)</f>
        <v>#N/A</v>
      </c>
      <c r="K48" s="1" t="e">
        <f>VLOOKUP(A1,POsData!$A$1:$DZU$1000000,811,FALSE)</f>
        <v>#N/A</v>
      </c>
      <c r="L48" s="1" t="e">
        <f>VLOOKUP(A1,POsData!$A$1:$DZU$1000000,812,FALSE)</f>
        <v>#N/A</v>
      </c>
      <c r="M48" s="1" t="e">
        <f>VLOOKUP(A1,POsData!$A$1:$DZU$1000000,813,FALSE)</f>
        <v>#N/A</v>
      </c>
      <c r="N48" s="1" t="e">
        <f>VLOOKUP(A1,POsData!$A$1:$DZU$1000000,814,FALSE)</f>
        <v>#N/A</v>
      </c>
      <c r="O48" s="1" t="e">
        <f>VLOOKUP(A1,POsData!$A$1:$DZU$1000000,815,FALSE)</f>
        <v>#N/A</v>
      </c>
      <c r="P48" s="1" t="e">
        <f>VLOOKUP(A1,POsData!$A$1:$DZU$1000000,816,FALSE)</f>
        <v>#N/A</v>
      </c>
      <c r="Q48" s="101" t="e">
        <f>VLOOKUP(A1,POsData!$A$1:$DZU$1000000,817,FALSE)</f>
        <v>#N/A</v>
      </c>
    </row>
    <row r="49" spans="1:17" x14ac:dyDescent="0.35">
      <c r="A49" s="170" t="e">
        <f>VLOOKUP(A1,POsData!$A$1:$DZU$1000000,818,FALSE)</f>
        <v>#N/A</v>
      </c>
      <c r="B49" s="1" t="e">
        <f>VLOOKUP(A1,POsData!$A$1:$DZU$1000000,819,FALSE)</f>
        <v>#N/A</v>
      </c>
      <c r="C49" s="1" t="e">
        <f>VLOOKUP(A1,POsData!$A$1:$DZU$1000000,820,FALSE)</f>
        <v>#N/A</v>
      </c>
      <c r="D49" s="183" t="e">
        <f>VLOOKUP(A1,POsData!$A$1:$DZU$1000000,821,FALSE)</f>
        <v>#N/A</v>
      </c>
      <c r="E49" s="1" t="e">
        <f>VLOOKUP(A1,POsData!$A$1:$DZU$1000000,822,FALSE)</f>
        <v>#N/A</v>
      </c>
      <c r="F49" s="131" t="e">
        <f>VLOOKUP(A1,POsData!$A$1:$DZU$1000000,823,FALSE)</f>
        <v>#N/A</v>
      </c>
      <c r="G49" s="1" t="e">
        <f>VLOOKUP(A1,POsData!$A$1:$DZU$1000000,824,FALSE)</f>
        <v>#N/A</v>
      </c>
      <c r="H49" s="419" t="e">
        <f>VLOOKUP(A1,POsData!$A$1:$DZU$1000000,825,FALSE)</f>
        <v>#N/A</v>
      </c>
      <c r="I49" s="420"/>
      <c r="J49" s="101" t="e">
        <f>VLOOKUP(A1,POsData!$A$1:$DZU$1000000,827,FALSE)</f>
        <v>#N/A</v>
      </c>
      <c r="K49" s="1" t="e">
        <f>VLOOKUP(A1,POsData!$A$1:$DZU$1000000,828,FALSE)</f>
        <v>#N/A</v>
      </c>
      <c r="L49" s="1" t="e">
        <f>VLOOKUP(A1,POsData!$A$1:$DZU$1000000,829,FALSE)</f>
        <v>#N/A</v>
      </c>
      <c r="M49" s="1" t="e">
        <f>VLOOKUP(A1,POsData!$A$1:$DZU$1000000,830,FALSE)</f>
        <v>#N/A</v>
      </c>
      <c r="N49" s="1" t="e">
        <f>VLOOKUP(A1,POsData!$A$1:$DZU$1000000,831,FALSE)</f>
        <v>#N/A</v>
      </c>
      <c r="O49" s="1" t="e">
        <f>VLOOKUP(A1,POsData!$A$1:$DZU$1000000,832,FALSE)</f>
        <v>#N/A</v>
      </c>
      <c r="P49" s="1" t="e">
        <f>VLOOKUP(A1,POsData!$A$1:$DZU$1000000,833,FALSE)</f>
        <v>#N/A</v>
      </c>
      <c r="Q49" s="101" t="e">
        <f>VLOOKUP(A1,POsData!$A$1:$DZU$1000000,834,FALSE)</f>
        <v>#N/A</v>
      </c>
    </row>
    <row r="50" spans="1:17" x14ac:dyDescent="0.35">
      <c r="A50" s="170" t="e">
        <f>VLOOKUP(A1,POsData!$A$1:$DZU$1000000,835,FALSE)</f>
        <v>#N/A</v>
      </c>
      <c r="B50" s="1" t="e">
        <f>VLOOKUP(A1,POsData!$A$1:$DZU$1000000,836,FALSE)</f>
        <v>#N/A</v>
      </c>
      <c r="C50" s="1" t="e">
        <f>VLOOKUP(A1,POsData!$A$1:$DZU$1000000,837,FALSE)</f>
        <v>#N/A</v>
      </c>
      <c r="D50" s="184" t="e">
        <f>VLOOKUP(A1,POsData!$A$1:$DZU$1000000,838,FALSE)</f>
        <v>#N/A</v>
      </c>
      <c r="E50" s="1" t="e">
        <f>VLOOKUP(A1,POsData!$A$1:$DZU$1000000,839,FALSE)</f>
        <v>#N/A</v>
      </c>
      <c r="F50" s="1" t="e">
        <f>VLOOKUP(A1,POsData!$A$1:$DZU$1000000,840,FALSE)</f>
        <v>#N/A</v>
      </c>
      <c r="G50" s="1" t="e">
        <f>VLOOKUP(A1,POsData!$A$1:$DZU$1000000,841,FALSE)</f>
        <v>#N/A</v>
      </c>
      <c r="H50" s="185" t="e">
        <f>VLOOKUP(A1,POsData!$A$1:$DZU$1000000,842,FALSE)</f>
        <v>#N/A</v>
      </c>
      <c r="I50" s="185" t="e">
        <f>VLOOKUP(A1,POsData!$A$1:$DZU$1000000,843,FALSE)</f>
        <v>#N/A</v>
      </c>
      <c r="J50" s="101" t="e">
        <f>VLOOKUP(A1,POsData!$A$1:$DZU$1000000,844,FALSE)</f>
        <v>#N/A</v>
      </c>
      <c r="K50" s="1" t="e">
        <f>VLOOKUP(A1,POsData!$A$1:$DZU$1000000,845,FALSE)</f>
        <v>#N/A</v>
      </c>
      <c r="L50" s="1" t="e">
        <f>VLOOKUP(A1,POsData!$A$1:$DZU$1000000,846,FALSE)</f>
        <v>#N/A</v>
      </c>
      <c r="M50" s="1" t="e">
        <f>VLOOKUP(A1,POsData!$A$1:$DZU$1000000,847,FALSE)</f>
        <v>#N/A</v>
      </c>
      <c r="N50" s="1" t="e">
        <f>VLOOKUP(A1,POsData!$A$1:$DZU$1000000,848,FALSE)</f>
        <v>#N/A</v>
      </c>
      <c r="O50" s="1" t="e">
        <f>VLOOKUP(A1,POsData!$A$1:$DZU$1000000,849,FALSE)</f>
        <v>#N/A</v>
      </c>
      <c r="P50" s="1" t="e">
        <f>VLOOKUP(A1,POsData!$A$1:$DZU$1000000,850,FALSE)</f>
        <v>#N/A</v>
      </c>
      <c r="Q50" s="101" t="e">
        <f>VLOOKUP(A1,POsData!$A$1:$DZU$1000000,851,FALSE)</f>
        <v>#N/A</v>
      </c>
    </row>
    <row r="51" spans="1:17" x14ac:dyDescent="0.35">
      <c r="A51" s="186" t="e">
        <f>VLOOKUP(A1,POsData!$A$1:$DZU$1000000,852,FALSE)</f>
        <v>#N/A</v>
      </c>
      <c r="B51" s="59" t="e">
        <f>VLOOKUP(A1,POsData!$A$1:$DZU$1000000,853,FALSE)</f>
        <v>#N/A</v>
      </c>
      <c r="C51" s="59" t="e">
        <f>VLOOKUP(A1,POsData!$A$1:$DZU$1000000,854,FALSE)</f>
        <v>#N/A</v>
      </c>
      <c r="D51" s="187" t="e">
        <f>VLOOKUP(A1,POsData!$A$1:$DZU$1000000,855,FALSE)</f>
        <v>#N/A</v>
      </c>
      <c r="E51" s="59" t="e">
        <f>VLOOKUP(A1,POsData!$A$1:$DZU$1000000,856,FALSE)</f>
        <v>#N/A</v>
      </c>
      <c r="F51" s="59" t="e">
        <f>VLOOKUP(A1,POsData!$A$1:$DZU$1000000,857,FALSE)</f>
        <v>#N/A</v>
      </c>
      <c r="G51" s="59" t="e">
        <f>VLOOKUP(A1,POsData!$A$1:$DZU$1000000,858,FALSE)</f>
        <v>#N/A</v>
      </c>
      <c r="H51" s="59" t="e">
        <f>VLOOKUP(A1,POsData!$A$1:$DZU$1000000,859,FALSE)</f>
        <v>#N/A</v>
      </c>
      <c r="I51" s="59" t="e">
        <f>VLOOKUP(A1,POsData!$A$1:$DZU$1000000,860,FALSE)</f>
        <v>#N/A</v>
      </c>
      <c r="J51" s="60" t="e">
        <f>VLOOKUP(A1,POsData!$A$1:$DZU$1000000,861,FALSE)</f>
        <v>#N/A</v>
      </c>
      <c r="K51" s="1" t="e">
        <f>VLOOKUP(A1,POsData!$A$1:$DZU$1000000,862,FALSE)</f>
        <v>#N/A</v>
      </c>
      <c r="L51" s="1" t="e">
        <f>VLOOKUP(A1,POsData!$A$1:$DZU$1000000,863,FALSE)</f>
        <v>#N/A</v>
      </c>
      <c r="M51" s="1" t="e">
        <f>VLOOKUP(A1,POsData!$A$1:$DZU$1000000,864,FALSE)</f>
        <v>#N/A</v>
      </c>
      <c r="N51" s="1" t="e">
        <f>VLOOKUP(A1,POsData!$A$1:$DZU$1000000,865,FALSE)</f>
        <v>#N/A</v>
      </c>
      <c r="O51" s="1" t="e">
        <f>VLOOKUP(A1,POsData!$A$1:$DZU$1000000,866,FALSE)</f>
        <v>#N/A</v>
      </c>
      <c r="P51" s="1" t="e">
        <f>VLOOKUP(A1,POsData!$A$1:$DZU$1000000,867,FALSE)</f>
        <v>#N/A</v>
      </c>
      <c r="Q51" s="101" t="e">
        <f>VLOOKUP(A1,POsData!$A$1:$DZU$1000000,868,FALSE)</f>
        <v>#N/A</v>
      </c>
    </row>
    <row r="52" spans="1:17" ht="14.5" customHeight="1" x14ac:dyDescent="0.35">
      <c r="A52" s="391" t="e">
        <f>VLOOKUP(A1,POsData!$A$1:$DZU$1000000,869,FALSE)</f>
        <v>#N/A</v>
      </c>
      <c r="B52" s="392"/>
      <c r="C52" s="392"/>
      <c r="D52" s="392"/>
      <c r="E52" s="392"/>
      <c r="F52" s="392"/>
      <c r="G52" s="392"/>
      <c r="H52" s="392"/>
      <c r="I52" s="392"/>
      <c r="J52" s="393"/>
      <c r="K52" s="1" t="e">
        <f>VLOOKUP(A1,POsData!$A$1:$DZU$1000000,879,FALSE)</f>
        <v>#N/A</v>
      </c>
      <c r="L52" s="1" t="e">
        <f>VLOOKUP(A1,POsData!$A$1:$DZU$1000000,880,FALSE)</f>
        <v>#N/A</v>
      </c>
      <c r="M52" s="1" t="e">
        <f>VLOOKUP(A1,POsData!$A$1:$DZU$1000000,881,FALSE)</f>
        <v>#N/A</v>
      </c>
      <c r="N52" s="1" t="e">
        <f>VLOOKUP(A1,POsData!$A$1:$DZU$1000000,882,FALSE)</f>
        <v>#N/A</v>
      </c>
      <c r="O52" s="1" t="e">
        <f>VLOOKUP(A1,POsData!$A$1:$DZU$1000000,883,FALSE)</f>
        <v>#N/A</v>
      </c>
      <c r="P52" s="1" t="e">
        <f>VLOOKUP(A1,POsData!$A$1:$DZU$1000000,884,FALSE)</f>
        <v>#N/A</v>
      </c>
      <c r="Q52" s="101" t="e">
        <f>VLOOKUP(A1,POsData!$A$1:$DZU$1000000,885,FALSE)</f>
        <v>#N/A</v>
      </c>
    </row>
    <row r="53" spans="1:17" x14ac:dyDescent="0.35">
      <c r="A53" s="394"/>
      <c r="B53" s="395"/>
      <c r="C53" s="395"/>
      <c r="D53" s="395"/>
      <c r="E53" s="395"/>
      <c r="F53" s="395"/>
      <c r="G53" s="395"/>
      <c r="H53" s="395"/>
      <c r="I53" s="395"/>
      <c r="J53" s="396"/>
      <c r="K53" s="1" t="e">
        <f>VLOOKUP(A1,POsData!$A$1:$DZU$1000000,896,FALSE)</f>
        <v>#N/A</v>
      </c>
      <c r="L53" s="1" t="e">
        <f>VLOOKUP(A1,POsData!$A$1:$DZU$1000000,897,FALSE)</f>
        <v>#N/A</v>
      </c>
      <c r="M53" s="1" t="e">
        <f>VLOOKUP(A1,POsData!$A$1:$DZU$1000000,898,FALSE)</f>
        <v>#N/A</v>
      </c>
      <c r="N53" s="1" t="e">
        <f>VLOOKUP(A1,POsData!$A$1:$DZU$1000000,899,FALSE)</f>
        <v>#N/A</v>
      </c>
      <c r="O53" s="1" t="e">
        <f>VLOOKUP(A1,POsData!$A$1:$DZU$1000000,900,FALSE)</f>
        <v>#N/A</v>
      </c>
      <c r="P53" s="1" t="e">
        <f>VLOOKUP(A1,POsData!$A$1:$DZU$1000000,901,FALSE)</f>
        <v>#N/A</v>
      </c>
      <c r="Q53" s="101" t="e">
        <f>VLOOKUP(A1,POsData!$A$1:$DZU$1000000,902,FALSE)</f>
        <v>#N/A</v>
      </c>
    </row>
    <row r="54" spans="1:17" x14ac:dyDescent="0.35">
      <c r="A54" s="113" t="e">
        <f>VLOOKUP(A1,POsData!$A$1:$DZU$1000000,903,FALSE)</f>
        <v>#N/A</v>
      </c>
      <c r="B54" s="1" t="e">
        <f>VLOOKUP(A1,POsData!$A$1:$DZU$1000000,904,FALSE)</f>
        <v>#N/A</v>
      </c>
      <c r="C54" s="1" t="e">
        <f>VLOOKUP(A1,POsData!$A$1:$DZU$1000000,905,FALSE)</f>
        <v>#N/A</v>
      </c>
      <c r="D54" s="1" t="e">
        <f>VLOOKUP(A1,POsData!$A$1:$DZU$1000000,906,FALSE)</f>
        <v>#N/A</v>
      </c>
      <c r="E54" s="1" t="e">
        <f>VLOOKUP(A1,POsData!$A$1:$DZU$1000000,907,FALSE)</f>
        <v>#N/A</v>
      </c>
      <c r="F54" s="1" t="e">
        <f>VLOOKUP(A1,POsData!$A$1:$DZU$1000000,908,FALSE)</f>
        <v>#N/A</v>
      </c>
      <c r="G54" s="1" t="e">
        <f>VLOOKUP(A1,POsData!$A$1:$DZU$1000000,909,FALSE)</f>
        <v>#N/A</v>
      </c>
      <c r="H54" s="1" t="e">
        <f>VLOOKUP(A1,POsData!$A$1:$DZU$1000000,910,FALSE)</f>
        <v>#N/A</v>
      </c>
      <c r="I54" s="1" t="e">
        <f>VLOOKUP(A1,POsData!$A$1:$DZU$1000000,911,FALSE)</f>
        <v>#N/A</v>
      </c>
      <c r="J54" s="1" t="e">
        <f>VLOOKUP(A1,POsData!$A$1:$DZU$1000000,912,FALSE)</f>
        <v>#N/A</v>
      </c>
      <c r="K54" s="1" t="e">
        <f>VLOOKUP(A1,POsData!$A$1:$DZU$1000000,913,FALSE)</f>
        <v>#N/A</v>
      </c>
      <c r="L54" s="1" t="e">
        <f>VLOOKUP(A1,POsData!$A$1:$DZU$1000000,914,FALSE)</f>
        <v>#N/A</v>
      </c>
      <c r="M54" s="1" t="e">
        <f>VLOOKUP(A1,POsData!$A$1:$DZU$1000000,915,FALSE)</f>
        <v>#N/A</v>
      </c>
      <c r="N54" s="1" t="e">
        <f>VLOOKUP(A1,POsData!$A$1:$DZU$1000000,916,FALSE)</f>
        <v>#N/A</v>
      </c>
      <c r="O54" s="1" t="e">
        <f>VLOOKUP(A1,POsData!$A$1:$DZU$1000000,917,FALSE)</f>
        <v>#N/A</v>
      </c>
      <c r="P54" s="1" t="e">
        <f>VLOOKUP(A1,POsData!$A$1:$DZU$1000000,918,FALSE)</f>
        <v>#N/A</v>
      </c>
      <c r="Q54" s="101" t="e">
        <f>VLOOKUP(A1,POsData!$A$1:$DZU$1000000,919,FALSE)</f>
        <v>#N/A</v>
      </c>
    </row>
    <row r="55" spans="1:17" x14ac:dyDescent="0.35">
      <c r="A55" s="113" t="e">
        <f>VLOOKUP(A1,POsData!$A$1:$DZU$1000000,920,FALSE)</f>
        <v>#N/A</v>
      </c>
      <c r="B55" s="1" t="e">
        <f>VLOOKUP(A1,POsData!$A$1:$DZU$1000000,921,FALSE)</f>
        <v>#N/A</v>
      </c>
      <c r="C55" s="1" t="e">
        <f>VLOOKUP(A1,POsData!$A$1:$DZU$1000000,922,FALSE)</f>
        <v>#N/A</v>
      </c>
      <c r="D55" s="1" t="e">
        <f>VLOOKUP(A1,POsData!$A$1:$DZU$1000000,923,FALSE)</f>
        <v>#N/A</v>
      </c>
      <c r="E55" s="1" t="e">
        <f>VLOOKUP(A1,POsData!$A$1:$DZU$1000000,924,FALSE)</f>
        <v>#N/A</v>
      </c>
      <c r="F55" s="1" t="e">
        <f>VLOOKUP(A1,POsData!$A$1:$DZU$1000000,925,FALSE)</f>
        <v>#N/A</v>
      </c>
      <c r="G55" s="1" t="e">
        <f>VLOOKUP(A1,POsData!$A$1:$DZU$1000000,926,FALSE)</f>
        <v>#N/A</v>
      </c>
      <c r="H55" s="1" t="e">
        <f>VLOOKUP(A1,POsData!$A$1:$DZU$1000000,927,FALSE)</f>
        <v>#N/A</v>
      </c>
      <c r="I55" s="1" t="e">
        <f>VLOOKUP(A1,POsData!$A$1:$DZU$1000000,928,FALSE)</f>
        <v>#N/A</v>
      </c>
      <c r="J55" s="1" t="e">
        <f>VLOOKUP(A1,POsData!$A$1:$DZU$1000000,929,FALSE)</f>
        <v>#N/A</v>
      </c>
      <c r="K55" s="1" t="e">
        <f>VLOOKUP(A1,POsData!$A$1:$DZU$1000000,930,FALSE)</f>
        <v>#N/A</v>
      </c>
      <c r="L55" s="1" t="e">
        <f>VLOOKUP(A1,POsData!$A$1:$DZU$1000000,931,FALSE)</f>
        <v>#N/A</v>
      </c>
      <c r="M55" s="1" t="e">
        <f>VLOOKUP(A1,POsData!$A$1:$DZU$1000000,932,FALSE)</f>
        <v>#N/A</v>
      </c>
      <c r="N55" s="1" t="e">
        <f>VLOOKUP(A1,POsData!$A$1:$DZU$1000000,933,FALSE)</f>
        <v>#N/A</v>
      </c>
      <c r="O55" s="1" t="e">
        <f>VLOOKUP(A1,POsData!$A$1:$DZU$1000000,934,FALSE)</f>
        <v>#N/A</v>
      </c>
      <c r="P55" s="1" t="e">
        <f>VLOOKUP(A1,POsData!$A$1:$DZU$1000000,935,FALSE)</f>
        <v>#N/A</v>
      </c>
      <c r="Q55" s="101" t="e">
        <f>VLOOKUP(A1,POsData!$A$1:$DZU$1000000,936,FALSE)</f>
        <v>#N/A</v>
      </c>
    </row>
    <row r="56" spans="1:17" x14ac:dyDescent="0.35">
      <c r="A56" s="113" t="e">
        <f>VLOOKUP(A1,POsData!$A$1:$DZU$1000000,937,FALSE)</f>
        <v>#N/A</v>
      </c>
      <c r="B56" s="1" t="e">
        <f>VLOOKUP(A1,POsData!$A$1:$DZU$1000000,938,FALSE)</f>
        <v>#N/A</v>
      </c>
      <c r="C56" s="1" t="e">
        <f>VLOOKUP(A1,POsData!$A$1:$DZU$1000000,939,FALSE)</f>
        <v>#N/A</v>
      </c>
      <c r="D56" s="1" t="e">
        <f>VLOOKUP(A1,POsData!$A$1:$DZU$1000000,940,FALSE)</f>
        <v>#N/A</v>
      </c>
      <c r="E56" s="1" t="e">
        <f>VLOOKUP(A1,POsData!$A$1:$DZU$1000000,941,FALSE)</f>
        <v>#N/A</v>
      </c>
      <c r="F56" s="1" t="e">
        <f>VLOOKUP(A1,POsData!$A$1:$DZU$1000000,942,FALSE)</f>
        <v>#N/A</v>
      </c>
      <c r="G56" s="1" t="e">
        <f>VLOOKUP(A1,POsData!$A$1:$DZU$1000000,943,FALSE)</f>
        <v>#N/A</v>
      </c>
      <c r="H56" s="1" t="e">
        <f>VLOOKUP(A1,POsData!$A$1:$DZU$1000000,944,FALSE)</f>
        <v>#N/A</v>
      </c>
      <c r="I56" s="1" t="e">
        <f>VLOOKUP(A1,POsData!$A$1:$DZU$1000000,945,FALSE)</f>
        <v>#N/A</v>
      </c>
      <c r="J56" s="1" t="e">
        <f>VLOOKUP(A1,POsData!$A$1:$DZU$1000000,946,FALSE)</f>
        <v>#N/A</v>
      </c>
      <c r="K56" s="1" t="e">
        <f>VLOOKUP(A1,POsData!$A$1:$DZU$1000000,947,FALSE)</f>
        <v>#N/A</v>
      </c>
      <c r="L56" s="1" t="e">
        <f>VLOOKUP(A1,POsData!$A$1:$DZU$1000000,948,FALSE)</f>
        <v>#N/A</v>
      </c>
      <c r="M56" s="1" t="e">
        <f>VLOOKUP(A1,POsData!$A$1:$DZU$1000000,949,FALSE)</f>
        <v>#N/A</v>
      </c>
      <c r="N56" s="1" t="e">
        <f>VLOOKUP(A1,POsData!$A$1:$DZU$1000000,950,FALSE)</f>
        <v>#N/A</v>
      </c>
      <c r="O56" s="1" t="e">
        <f>VLOOKUP(A1,POsData!$A$1:$DZU$1000000,951,FALSE)</f>
        <v>#N/A</v>
      </c>
      <c r="P56" s="1" t="e">
        <f>VLOOKUP(A1,POsData!$A$1:$DZU$1000000,952,FALSE)</f>
        <v>#N/A</v>
      </c>
      <c r="Q56" s="101" t="e">
        <f>VLOOKUP(A1,POsData!$A$1:$DZU$1000000,953,FALSE)</f>
        <v>#N/A</v>
      </c>
    </row>
    <row r="57" spans="1:17" x14ac:dyDescent="0.35">
      <c r="A57" s="113" t="e">
        <f>VLOOKUP(A1,POsData!$A$1:$DZU$1000000,954,FALSE)</f>
        <v>#N/A</v>
      </c>
      <c r="B57" s="1" t="e">
        <f>VLOOKUP(A1,POsData!$A$1:$DZU$1000000,955,FALSE)</f>
        <v>#N/A</v>
      </c>
      <c r="C57" s="1" t="e">
        <f>VLOOKUP(A1,POsData!$A$1:$DZU$1000000,956,FALSE)</f>
        <v>#N/A</v>
      </c>
      <c r="D57" s="1" t="e">
        <f>VLOOKUP(A1,POsData!$A$1:$DZU$1000000,957,FALSE)</f>
        <v>#N/A</v>
      </c>
      <c r="E57" s="1" t="e">
        <f>VLOOKUP(A1,POsData!$A$1:$DZU$1000000,958,FALSE)</f>
        <v>#N/A</v>
      </c>
      <c r="F57" s="1" t="e">
        <f>VLOOKUP(A1,POsData!$A$1:$DZU$1000000,959,FALSE)</f>
        <v>#N/A</v>
      </c>
      <c r="G57" s="1" t="e">
        <f>VLOOKUP(A1,POsData!$A$1:$DZU$1000000,960,FALSE)</f>
        <v>#N/A</v>
      </c>
      <c r="H57" s="1" t="e">
        <f>VLOOKUP(A1,POsData!$A$1:$DZU$1000000,961,FALSE)</f>
        <v>#N/A</v>
      </c>
      <c r="I57" s="1" t="e">
        <f>VLOOKUP(A1,POsData!$A$1:$DZU$1000000,962,FALSE)</f>
        <v>#N/A</v>
      </c>
      <c r="J57" s="1" t="e">
        <f>VLOOKUP(A1,POsData!$A$1:$DZU$1000000,963,FALSE)</f>
        <v>#N/A</v>
      </c>
      <c r="K57" s="1" t="e">
        <f>VLOOKUP(A1,POsData!$A$1:$DZU$1000000,964,FALSE)</f>
        <v>#N/A</v>
      </c>
      <c r="L57" s="1" t="e">
        <f>VLOOKUP(A1,POsData!$A$1:$DZU$1000000,965,FALSE)</f>
        <v>#N/A</v>
      </c>
      <c r="M57" s="1" t="e">
        <f>VLOOKUP(A1,POsData!$A$1:$DZU$1000000,966,FALSE)</f>
        <v>#N/A</v>
      </c>
      <c r="N57" s="1" t="e">
        <f>VLOOKUP(A1,POsData!$A$1:$DZU$1000000,967,FALSE)</f>
        <v>#N/A</v>
      </c>
      <c r="O57" s="1" t="e">
        <f>VLOOKUP(A1,POsData!$A$1:$DZU$1000000,968,FALSE)</f>
        <v>#N/A</v>
      </c>
      <c r="P57" s="1" t="e">
        <f>VLOOKUP(A1,POsData!$A$1:$DZU$1000000,969,FALSE)</f>
        <v>#N/A</v>
      </c>
      <c r="Q57" s="101" t="e">
        <f>VLOOKUP(A1,POsData!$A$1:$DZU$1000000,970,FALSE)</f>
        <v>#N/A</v>
      </c>
    </row>
    <row r="58" spans="1:17" x14ac:dyDescent="0.35">
      <c r="A58" s="113" t="e">
        <f>VLOOKUP(A1,POsData!$A$1:$DZU$1000000,971,FALSE)</f>
        <v>#N/A</v>
      </c>
      <c r="B58" s="1" t="e">
        <f>VLOOKUP(A1,POsData!$A$1:$DZU$1000000,972,FALSE)</f>
        <v>#N/A</v>
      </c>
      <c r="C58" s="1" t="e">
        <f>VLOOKUP(A1,POsData!$A$1:$DZU$1000000,973,FALSE)</f>
        <v>#N/A</v>
      </c>
      <c r="D58" s="1" t="e">
        <f>VLOOKUP(A1,POsData!$A$1:$DZU$1000000,974,FALSE)</f>
        <v>#N/A</v>
      </c>
      <c r="E58" s="1" t="e">
        <f>VLOOKUP(A1,POsData!$A$1:$DZU$1000000,975,FALSE)</f>
        <v>#N/A</v>
      </c>
      <c r="F58" s="1" t="e">
        <f>VLOOKUP(A1,POsData!$A$1:$DZU$1000000,976,FALSE)</f>
        <v>#N/A</v>
      </c>
      <c r="G58" s="1" t="e">
        <f>VLOOKUP(A1,POsData!$A$1:$DZU$1000000,977,FALSE)</f>
        <v>#N/A</v>
      </c>
      <c r="H58" s="1" t="e">
        <f>VLOOKUP(A1,POsData!$A$1:$DZU$1000000,978,FALSE)</f>
        <v>#N/A</v>
      </c>
      <c r="I58" s="1" t="e">
        <f>VLOOKUP(A1,POsData!$A$1:$DZU$1000000,979,FALSE)</f>
        <v>#N/A</v>
      </c>
      <c r="J58" s="1" t="e">
        <f>VLOOKUP(A1,POsData!$A$1:$DZU$1000000,980,FALSE)</f>
        <v>#N/A</v>
      </c>
      <c r="K58" s="1" t="e">
        <f>VLOOKUP(A1,POsData!$A$1:$DZU$1000000,981,FALSE)</f>
        <v>#N/A</v>
      </c>
      <c r="L58" s="1" t="e">
        <f>VLOOKUP(A1,POsData!$A$1:$DZU$1000000,982,FALSE)</f>
        <v>#N/A</v>
      </c>
      <c r="M58" s="1" t="e">
        <f>VLOOKUP(A1,POsData!$A$1:$DZU$1000000,983,FALSE)</f>
        <v>#N/A</v>
      </c>
      <c r="N58" s="1" t="e">
        <f>VLOOKUP(A1,POsData!$A$1:$DZU$1000000,984,FALSE)</f>
        <v>#N/A</v>
      </c>
      <c r="O58" s="1" t="e">
        <f>VLOOKUP(A1,POsData!$A$1:$DZU$1000000,985,FALSE)</f>
        <v>#N/A</v>
      </c>
      <c r="P58" s="1" t="e">
        <f>VLOOKUP(A1,POsData!$A$1:$DZU$1000000,986,FALSE)</f>
        <v>#N/A</v>
      </c>
      <c r="Q58" s="101" t="e">
        <f>VLOOKUP(A1,POsData!$A$1:$DZU$1000000,987,FALSE)</f>
        <v>#N/A</v>
      </c>
    </row>
    <row r="59" spans="1:17" x14ac:dyDescent="0.35">
      <c r="A59" s="113" t="e">
        <f>VLOOKUP(A1,POsData!$A$1:$DZU$1000000,988,FALSE)</f>
        <v>#N/A</v>
      </c>
      <c r="B59" s="1" t="e">
        <f>VLOOKUP(A1,POsData!$A$1:$DZU$1000000,989,FALSE)</f>
        <v>#N/A</v>
      </c>
      <c r="C59" s="1" t="e">
        <f>VLOOKUP(A1,POsData!$A$1:$DZU$1000000,990,FALSE)</f>
        <v>#N/A</v>
      </c>
      <c r="D59" s="1" t="e">
        <f>VLOOKUP(A1,POsData!$A$1:$DZU$1000000,991,FALSE)</f>
        <v>#N/A</v>
      </c>
      <c r="E59" s="1" t="e">
        <f>VLOOKUP(A1,POsData!$A$1:$DZU$1000000,992,FALSE)</f>
        <v>#N/A</v>
      </c>
      <c r="F59" s="1" t="e">
        <f>VLOOKUP(A1,POsData!$A$1:$DZU$1000000,993,FALSE)</f>
        <v>#N/A</v>
      </c>
      <c r="G59" s="1" t="e">
        <f>VLOOKUP(A1,POsData!$A$1:$DZU$1000000,994,FALSE)</f>
        <v>#N/A</v>
      </c>
      <c r="H59" s="1" t="e">
        <f>VLOOKUP(A1,POsData!$A$1:$DZU$1000000,995,FALSE)</f>
        <v>#N/A</v>
      </c>
      <c r="I59" s="1" t="e">
        <f>VLOOKUP(A1,POsData!$A$1:$DZU$1000000,996,FALSE)</f>
        <v>#N/A</v>
      </c>
      <c r="J59" s="1" t="e">
        <f>VLOOKUP(A1,POsData!$A$1:$DZU$1000000,997,FALSE)</f>
        <v>#N/A</v>
      </c>
      <c r="K59" s="1" t="e">
        <f>VLOOKUP(A1,POsData!$A$1:$DZU$1000000,998,FALSE)</f>
        <v>#N/A</v>
      </c>
      <c r="L59" s="1" t="e">
        <f>VLOOKUP(A1,POsData!$A$1:$DZU$1000000,999,FALSE)</f>
        <v>#N/A</v>
      </c>
      <c r="M59" s="1" t="e">
        <f>VLOOKUP(A1,POsData!$A$1:$DZU$1000000,1000,FALSE)</f>
        <v>#N/A</v>
      </c>
      <c r="N59" s="1" t="e">
        <f>VLOOKUP(A1,POsData!$A$1:$DZU$1000000,1001,FALSE)</f>
        <v>#N/A</v>
      </c>
      <c r="O59" s="1" t="e">
        <f>VLOOKUP(A1,POsData!$A$1:$DZU$1000000,1002,FALSE)</f>
        <v>#N/A</v>
      </c>
      <c r="P59" s="1" t="e">
        <f>VLOOKUP(A1,POsData!$A$1:$DZU$1000000,1003,FALSE)</f>
        <v>#N/A</v>
      </c>
      <c r="Q59" s="101" t="e">
        <f>VLOOKUP(A1,POsData!$A$1:$DZU$1000000,1004,FALSE)</f>
        <v>#N/A</v>
      </c>
    </row>
    <row r="60" spans="1:17" x14ac:dyDescent="0.35">
      <c r="A60" s="113" t="e">
        <f>VLOOKUP(A1,POsData!$A$1:$DZU$1000000,1005,FALSE)</f>
        <v>#N/A</v>
      </c>
      <c r="B60" s="1" t="e">
        <f>VLOOKUP(A1,POsData!$A$1:$DZU$1000000,1006,FALSE)</f>
        <v>#N/A</v>
      </c>
      <c r="C60" s="1" t="e">
        <f>VLOOKUP(A1,POsData!$A$1:$DZU$1000000,1007,FALSE)</f>
        <v>#N/A</v>
      </c>
      <c r="D60" s="1" t="e">
        <f>VLOOKUP(A1,POsData!$A$1:$DZU$1000000,1008,FALSE)</f>
        <v>#N/A</v>
      </c>
      <c r="E60" s="1" t="e">
        <f>VLOOKUP(A1,POsData!$A$1:$DZU$1000000,1009,FALSE)</f>
        <v>#N/A</v>
      </c>
      <c r="F60" s="1" t="e">
        <f>VLOOKUP(A1,POsData!$A$1:$DZU$1000000,1010,FALSE)</f>
        <v>#N/A</v>
      </c>
      <c r="G60" s="1" t="e">
        <f>VLOOKUP(A1,POsData!$A$1:$DZU$1000000,1011,FALSE)</f>
        <v>#N/A</v>
      </c>
      <c r="H60" s="1" t="e">
        <f>VLOOKUP(A1,POsData!$A$1:$DZU$1000000,1012,FALSE)</f>
        <v>#N/A</v>
      </c>
      <c r="I60" s="1" t="e">
        <f>VLOOKUP(A1,POsData!$A$1:$DZU$1000000,1013,FALSE)</f>
        <v>#N/A</v>
      </c>
      <c r="J60" s="1" t="e">
        <f>VLOOKUP(A1,POsData!$A$1:$DZU$1000000,1014,FALSE)</f>
        <v>#N/A</v>
      </c>
      <c r="K60" s="1" t="e">
        <f>VLOOKUP(A1,POsData!$A$1:$DZU$1000000,1015,FALSE)</f>
        <v>#N/A</v>
      </c>
      <c r="L60" s="1" t="e">
        <f>VLOOKUP(A1,POsData!$A$1:$DZU$1000000,1016,FALSE)</f>
        <v>#N/A</v>
      </c>
      <c r="M60" s="1" t="e">
        <f>VLOOKUP(A1,POsData!$A$1:$DZU$1000000,1017,FALSE)</f>
        <v>#N/A</v>
      </c>
      <c r="N60" s="1" t="e">
        <f>VLOOKUP(A1,POsData!$A$1:$DZU$1000000,1018,FALSE)</f>
        <v>#N/A</v>
      </c>
      <c r="O60" s="1" t="e">
        <f>VLOOKUP(A1,POsData!$A$1:$DZU$1000000,1019,FALSE)</f>
        <v>#N/A</v>
      </c>
      <c r="P60" s="1" t="e">
        <f>VLOOKUP(A1,POsData!$A$1:$DZU$1000000,1020,FALSE)</f>
        <v>#N/A</v>
      </c>
      <c r="Q60" s="101" t="e">
        <f>VLOOKUP(A1,POsData!$A$1:$DZU$1000000,1021,FALSE)</f>
        <v>#N/A</v>
      </c>
    </row>
    <row r="61" spans="1:17" x14ac:dyDescent="0.35">
      <c r="A61" s="113" t="e">
        <f>VLOOKUP(A1,POsData!$A$1:$DZU$1000000,1022,FALSE)</f>
        <v>#N/A</v>
      </c>
      <c r="B61" s="1" t="e">
        <f>VLOOKUP(A1,POsData!$A$1:$DZU$1000000,1023,FALSE)</f>
        <v>#N/A</v>
      </c>
      <c r="C61" s="1" t="e">
        <f>VLOOKUP(A1,POsData!$A$1:$DZU$1000000,1024,FALSE)</f>
        <v>#N/A</v>
      </c>
      <c r="D61" s="1" t="e">
        <f>VLOOKUP(A1,POsData!$A$1:$DZU$1000000,1025,FALSE)</f>
        <v>#N/A</v>
      </c>
      <c r="E61" s="1" t="e">
        <f>VLOOKUP(A1,POsData!$A$1:$DZU$1000000,1026,FALSE)</f>
        <v>#N/A</v>
      </c>
      <c r="F61" s="1" t="e">
        <f>VLOOKUP(A1,POsData!$A$1:$DZU$1000000,1027,FALSE)</f>
        <v>#N/A</v>
      </c>
      <c r="G61" s="1" t="e">
        <f>VLOOKUP(A1,POsData!$A$1:$DZU$1000000,1028,FALSE)</f>
        <v>#N/A</v>
      </c>
      <c r="H61" s="1" t="e">
        <f>VLOOKUP(A1,POsData!$A$1:$DZU$1000000,1029,FALSE)</f>
        <v>#N/A</v>
      </c>
      <c r="I61" s="1" t="e">
        <f>VLOOKUP(A1,POsData!$A$1:$DZU$1000000,1030,FALSE)</f>
        <v>#N/A</v>
      </c>
      <c r="J61" s="1" t="e">
        <f>VLOOKUP(A1,POsData!$A$1:$DZU$1000000,1031,FALSE)</f>
        <v>#N/A</v>
      </c>
      <c r="K61" s="1" t="e">
        <f>VLOOKUP(A1,POsData!$A$1:$DZU$1000000,1032,FALSE)</f>
        <v>#N/A</v>
      </c>
      <c r="L61" s="1" t="e">
        <f>VLOOKUP(A1,POsData!$A$1:$DZU$1000000,1033,FALSE)</f>
        <v>#N/A</v>
      </c>
      <c r="M61" s="1" t="e">
        <f>VLOOKUP(A1,POsData!$A$1:$DZU$1000000,1034,FALSE)</f>
        <v>#N/A</v>
      </c>
      <c r="N61" s="1" t="e">
        <f>VLOOKUP(A1,POsData!$A$1:$DZU$1000000,1035,FALSE)</f>
        <v>#N/A</v>
      </c>
      <c r="O61" s="1" t="e">
        <f>VLOOKUP(A1,POsData!$A$1:$DZU$1000000,1036,FALSE)</f>
        <v>#N/A</v>
      </c>
      <c r="P61" s="1" t="e">
        <f>VLOOKUP(A1,POsData!$A$1:$DZU$1000000,1037,FALSE)</f>
        <v>#N/A</v>
      </c>
      <c r="Q61" s="101" t="e">
        <f>VLOOKUP(A1,POsData!$A$1:$DZU$1000000,1038,FALSE)</f>
        <v>#N/A</v>
      </c>
    </row>
    <row r="62" spans="1:17" x14ac:dyDescent="0.35">
      <c r="A62" s="113" t="e">
        <f>VLOOKUP(A1,POsData!$A$1:$DZU$1000000,1039,FALSE)</f>
        <v>#N/A</v>
      </c>
      <c r="B62" s="1" t="e">
        <f>VLOOKUP(A1,POsData!$A$1:$DZU$1000000,1040,FALSE)</f>
        <v>#N/A</v>
      </c>
      <c r="C62" s="1" t="e">
        <f>VLOOKUP(A1,POsData!$A$1:$DZU$1000000,1041,FALSE)</f>
        <v>#N/A</v>
      </c>
      <c r="D62" s="1" t="e">
        <f>VLOOKUP(A1,POsData!$A$1:$DZU$1000000,1042,FALSE)</f>
        <v>#N/A</v>
      </c>
      <c r="E62" s="1" t="e">
        <f>VLOOKUP(A1,POsData!$A$1:$DZU$1000000,1043,FALSE)</f>
        <v>#N/A</v>
      </c>
      <c r="F62" s="1" t="e">
        <f>VLOOKUP(A1,POsData!$A$1:$DZU$1000000,1044,FALSE)</f>
        <v>#N/A</v>
      </c>
      <c r="G62" s="1" t="e">
        <f>VLOOKUP(A1,POsData!$A$1:$DZU$1000000,1045,FALSE)</f>
        <v>#N/A</v>
      </c>
      <c r="H62" s="1" t="e">
        <f>VLOOKUP(A1,POsData!$A$1:$DZU$1000000,1046,FALSE)</f>
        <v>#N/A</v>
      </c>
      <c r="I62" s="1" t="e">
        <f>VLOOKUP(A1,POsData!$A$1:$DZU$1000000,1047,FALSE)</f>
        <v>#N/A</v>
      </c>
      <c r="J62" s="1" t="e">
        <f>VLOOKUP(A1,POsData!$A$1:$DZU$1000000,1048,FALSE)</f>
        <v>#N/A</v>
      </c>
      <c r="K62" s="1" t="e">
        <f>VLOOKUP(A1,POsData!$A$1:$DZU$1000000,1049,FALSE)</f>
        <v>#N/A</v>
      </c>
      <c r="L62" s="1" t="e">
        <f>VLOOKUP(A1,POsData!$A$1:$DZU$1000000,1050,FALSE)</f>
        <v>#N/A</v>
      </c>
      <c r="M62" s="1" t="e">
        <f>VLOOKUP(A1,POsData!$A$1:$DZU$1000000,1051,FALSE)</f>
        <v>#N/A</v>
      </c>
      <c r="N62" s="1" t="e">
        <f>VLOOKUP(A1,POsData!$A$1:$DZU$1000000,1052,FALSE)</f>
        <v>#N/A</v>
      </c>
      <c r="O62" s="1" t="e">
        <f>VLOOKUP(A1,POsData!$A$1:$DZU$1000000,1053,FALSE)</f>
        <v>#N/A</v>
      </c>
      <c r="P62" s="1" t="e">
        <f>VLOOKUP(A1,POsData!$A$1:$DZU$1000000,1054,FALSE)</f>
        <v>#N/A</v>
      </c>
      <c r="Q62" s="101" t="e">
        <f>VLOOKUP(A1,POsData!$A$1:$DZU$1000000,1055,FALSE)</f>
        <v>#N/A</v>
      </c>
    </row>
    <row r="63" spans="1:17" x14ac:dyDescent="0.35">
      <c r="A63" s="113" t="e">
        <f>VLOOKUP(A1,POsData!$A$1:$DZU$1000000,1056,FALSE)</f>
        <v>#N/A</v>
      </c>
      <c r="B63" s="1" t="e">
        <f>VLOOKUP(A1,POsData!$A$1:$DZU$1000000,1057,FALSE)</f>
        <v>#N/A</v>
      </c>
      <c r="C63" s="1" t="e">
        <f>VLOOKUP(A1,POsData!$A$1:$DZU$1000000,1058,FALSE)</f>
        <v>#N/A</v>
      </c>
      <c r="D63" s="1" t="e">
        <f>VLOOKUP(A1,POsData!$A$1:$DZU$1000000,1059,FALSE)</f>
        <v>#N/A</v>
      </c>
      <c r="E63" s="1" t="e">
        <f>VLOOKUP(A1,POsData!$A$1:$DZU$1000000,1060,FALSE)</f>
        <v>#N/A</v>
      </c>
      <c r="F63" s="1" t="e">
        <f>VLOOKUP(A1,POsData!$A$1:$DZU$1000000,1061,FALSE)</f>
        <v>#N/A</v>
      </c>
      <c r="G63" s="1" t="e">
        <f>VLOOKUP(A1,POsData!$A$1:$DZU$1000000,1062,FALSE)</f>
        <v>#N/A</v>
      </c>
      <c r="H63" s="1" t="e">
        <f>VLOOKUP(A1,POsData!$A$1:$DZU$1000000,1063,FALSE)</f>
        <v>#N/A</v>
      </c>
      <c r="I63" s="1" t="e">
        <f>VLOOKUP(A1,POsData!$A$1:$DZU$1000000,1064,FALSE)</f>
        <v>#N/A</v>
      </c>
      <c r="J63" s="1" t="e">
        <f>VLOOKUP(A1,POsData!$A$1:$DZU$1000000,1065,FALSE)</f>
        <v>#N/A</v>
      </c>
      <c r="K63" s="1" t="e">
        <f>VLOOKUP(A1,POsData!$A$1:$DZU$1000000,1066,FALSE)</f>
        <v>#N/A</v>
      </c>
      <c r="L63" s="1" t="e">
        <f>VLOOKUP(A1,POsData!$A$1:$DZU$1000000,1067,FALSE)</f>
        <v>#N/A</v>
      </c>
      <c r="M63" s="1" t="e">
        <f>VLOOKUP(A1,POsData!$A$1:$DZU$1000000,1068,FALSE)</f>
        <v>#N/A</v>
      </c>
      <c r="N63" s="1" t="e">
        <f>VLOOKUP(A1,POsData!$A$1:$DZU$1000000,1069,FALSE)</f>
        <v>#N/A</v>
      </c>
      <c r="O63" s="1" t="e">
        <f>VLOOKUP(A1,POsData!$A$1:$DZU$1000000,1070,FALSE)</f>
        <v>#N/A</v>
      </c>
      <c r="P63" s="1" t="e">
        <f>VLOOKUP(A1,POsData!$A$1:$DZU$1000000,1071,FALSE)</f>
        <v>#N/A</v>
      </c>
      <c r="Q63" s="101" t="e">
        <f>VLOOKUP(A1,POsData!$A$1:$DZU$1000000,1072,FALSE)</f>
        <v>#N/A</v>
      </c>
    </row>
    <row r="64" spans="1:17" x14ac:dyDescent="0.35">
      <c r="A64" s="113" t="e">
        <f>VLOOKUP(A1,POsData!$A$1:$DZU$1000000,1073,FALSE)</f>
        <v>#N/A</v>
      </c>
      <c r="B64" s="1" t="e">
        <f>VLOOKUP(A1,POsData!$A$1:$DZU$1000000,1074,FALSE)</f>
        <v>#N/A</v>
      </c>
      <c r="C64" s="1" t="e">
        <f>VLOOKUP(A1,POsData!$A$1:$DZU$1000000,1075,FALSE)</f>
        <v>#N/A</v>
      </c>
      <c r="D64" s="1" t="e">
        <f>VLOOKUP(A1,POsData!$A$1:$DZU$1000000,1076,FALSE)</f>
        <v>#N/A</v>
      </c>
      <c r="E64" s="1" t="e">
        <f>VLOOKUP(A1,POsData!$A$1:$DZU$1000000,1077,FALSE)</f>
        <v>#N/A</v>
      </c>
      <c r="F64" s="1" t="e">
        <f>VLOOKUP(A1,POsData!$A$1:$DZU$1000000,1078,FALSE)</f>
        <v>#N/A</v>
      </c>
      <c r="G64" s="1" t="e">
        <f>VLOOKUP(A1,POsData!$A$1:$DZU$1000000,1079,FALSE)</f>
        <v>#N/A</v>
      </c>
      <c r="H64" s="1" t="e">
        <f>VLOOKUP(A1,POsData!$A$1:$DZU$1000000,1080,FALSE)</f>
        <v>#N/A</v>
      </c>
      <c r="I64" s="1" t="e">
        <f>VLOOKUP(A1,POsData!$A$1:$DZU$1000000,1081,FALSE)</f>
        <v>#N/A</v>
      </c>
      <c r="J64" s="1" t="e">
        <f>VLOOKUP(A1,POsData!$A$1:$DZU$1000000,1082,FALSE)</f>
        <v>#N/A</v>
      </c>
      <c r="K64" s="1" t="e">
        <f>VLOOKUP(A1,POsData!$A$1:$DZU$1000000,1083,FALSE)</f>
        <v>#N/A</v>
      </c>
      <c r="L64" s="1" t="e">
        <f>VLOOKUP(A1,POsData!$A$1:$DZU$1000000,1084,FALSE)</f>
        <v>#N/A</v>
      </c>
      <c r="M64" s="1" t="e">
        <f>VLOOKUP(A1,POsData!$A$1:$DZU$1000000,1085,FALSE)</f>
        <v>#N/A</v>
      </c>
      <c r="N64" s="1" t="e">
        <f>VLOOKUP(A1,POsData!$A$1:$DZU$1000000,1086,FALSE)</f>
        <v>#N/A</v>
      </c>
      <c r="O64" s="1" t="e">
        <f>VLOOKUP(A1,POsData!$A$1:$DZU$1000000,1087,FALSE)</f>
        <v>#N/A</v>
      </c>
      <c r="P64" s="1" t="e">
        <f>VLOOKUP(A1,POsData!$A$1:$DZU$1000000,1088,FALSE)</f>
        <v>#N/A</v>
      </c>
      <c r="Q64" s="101" t="e">
        <f>VLOOKUP(A1,POsData!$A$1:$DZU$1000000,1089,FALSE)</f>
        <v>#N/A</v>
      </c>
    </row>
    <row r="65" spans="1:17" x14ac:dyDescent="0.35">
      <c r="A65" s="113" t="e">
        <f>VLOOKUP(A1,POsData!$A$1:$DZU$1000000,1090,FALSE)</f>
        <v>#N/A</v>
      </c>
      <c r="B65" s="1" t="e">
        <f>VLOOKUP(A1,POsData!$A$1:$DZU$1000000,1091,FALSE)</f>
        <v>#N/A</v>
      </c>
      <c r="C65" s="1" t="e">
        <f>VLOOKUP(A1,POsData!$A$1:$DZU$1000000,1092,FALSE)</f>
        <v>#N/A</v>
      </c>
      <c r="D65" s="1" t="e">
        <f>VLOOKUP(A1,POsData!$A$1:$DZU$1000000,1093,FALSE)</f>
        <v>#N/A</v>
      </c>
      <c r="E65" s="1" t="e">
        <f>VLOOKUP(A1,POsData!$A$1:$DZU$1000000,1094,FALSE)</f>
        <v>#N/A</v>
      </c>
      <c r="F65" s="1" t="e">
        <f>VLOOKUP(A1,POsData!$A$1:$DZU$1000000,1095,FALSE)</f>
        <v>#N/A</v>
      </c>
      <c r="G65" s="1" t="e">
        <f>VLOOKUP(A1,POsData!$A$1:$DZU$1000000,1096,FALSE)</f>
        <v>#N/A</v>
      </c>
      <c r="H65" s="1" t="e">
        <f>VLOOKUP(A1,POsData!$A$1:$DZU$1000000,1097,FALSE)</f>
        <v>#N/A</v>
      </c>
      <c r="I65" s="1" t="e">
        <f>VLOOKUP(A1,POsData!$A$1:$DZU$1000000,1098,FALSE)</f>
        <v>#N/A</v>
      </c>
      <c r="J65" s="1" t="e">
        <f>VLOOKUP(A1,POsData!$A$1:$DZU$1000000,1099,FALSE)</f>
        <v>#N/A</v>
      </c>
      <c r="K65" s="1" t="e">
        <f>VLOOKUP(A1,POsData!$A$1:$DZU$1000000,1100,FALSE)</f>
        <v>#N/A</v>
      </c>
      <c r="L65" s="1" t="e">
        <f>VLOOKUP(A1,POsData!$A$1:$DZU$1000000,1101,FALSE)</f>
        <v>#N/A</v>
      </c>
      <c r="M65" s="1" t="e">
        <f>VLOOKUP(A1,POsData!$A$1:$DZU$1000000,1102,FALSE)</f>
        <v>#N/A</v>
      </c>
      <c r="N65" s="1" t="e">
        <f>VLOOKUP(A1,POsData!$A$1:$DZU$1000000,1103,FALSE)</f>
        <v>#N/A</v>
      </c>
      <c r="O65" s="1" t="e">
        <f>VLOOKUP(A1,POsData!$A$1:$DZU$1000000,1104,FALSE)</f>
        <v>#N/A</v>
      </c>
      <c r="P65" s="1" t="e">
        <f>VLOOKUP(A1,POsData!$A$1:$DZU$1000000,1105,FALSE)</f>
        <v>#N/A</v>
      </c>
      <c r="Q65" s="101" t="e">
        <f>VLOOKUP(A1,POsData!$A$1:$DZU$1000000,1106,FALSE)</f>
        <v>#N/A</v>
      </c>
    </row>
    <row r="66" spans="1:17" x14ac:dyDescent="0.35">
      <c r="A66" s="113" t="e">
        <f>VLOOKUP(A1,POsData!$A$1:$DZU$1000000,1107,FALSE)</f>
        <v>#N/A</v>
      </c>
      <c r="B66" s="1" t="e">
        <f>VLOOKUP(A1,POsData!$A$1:$DZU$1000000,1108,FALSE)</f>
        <v>#N/A</v>
      </c>
      <c r="C66" s="1" t="e">
        <f>VLOOKUP(A1,POsData!$A$1:$DZU$1000000,1109,FALSE)</f>
        <v>#N/A</v>
      </c>
      <c r="D66" s="1" t="e">
        <f>VLOOKUP(A1,POsData!$A$1:$DZU$1000000,1110,FALSE)</f>
        <v>#N/A</v>
      </c>
      <c r="E66" s="1" t="e">
        <f>VLOOKUP(A1,POsData!$A$1:$DZU$1000000,1111,FALSE)</f>
        <v>#N/A</v>
      </c>
      <c r="F66" s="1" t="e">
        <f>VLOOKUP(A1,POsData!$A$1:$DZU$1000000,1112,FALSE)</f>
        <v>#N/A</v>
      </c>
      <c r="G66" s="1" t="e">
        <f>VLOOKUP(A1,POsData!$A$1:$DZU$1000000,1113,FALSE)</f>
        <v>#N/A</v>
      </c>
      <c r="H66" s="1" t="e">
        <f>VLOOKUP(A1,POsData!$A$1:$DZU$1000000,1114,FALSE)</f>
        <v>#N/A</v>
      </c>
      <c r="I66" s="1" t="e">
        <f>VLOOKUP(A1,POsData!$A$1:$DZU$1000000,1115,FALSE)</f>
        <v>#N/A</v>
      </c>
      <c r="J66" s="1" t="e">
        <f>VLOOKUP(A1,POsData!$A$1:$DZU$1000000,1116,FALSE)</f>
        <v>#N/A</v>
      </c>
      <c r="K66" s="1" t="e">
        <f>VLOOKUP(A1,POsData!$A$1:$DZU$1000000,1117,FALSE)</f>
        <v>#N/A</v>
      </c>
      <c r="L66" s="1" t="e">
        <f>VLOOKUP(A1,POsData!$A$1:$DZU$1000000,1118,FALSE)</f>
        <v>#N/A</v>
      </c>
      <c r="M66" s="1" t="e">
        <f>VLOOKUP(A1,POsData!$A$1:$DZU$1000000,1119,FALSE)</f>
        <v>#N/A</v>
      </c>
      <c r="N66" s="1" t="e">
        <f>VLOOKUP(A1,POsData!$A$1:$DZU$1000000,1120,FALSE)</f>
        <v>#N/A</v>
      </c>
      <c r="O66" s="1" t="e">
        <f>VLOOKUP(A1,POsData!$A$1:$DZU$1000000,1121,FALSE)</f>
        <v>#N/A</v>
      </c>
      <c r="P66" s="1" t="e">
        <f>VLOOKUP(A1,POsData!$A$1:$DZU$1000000,1122,FALSE)</f>
        <v>#N/A</v>
      </c>
      <c r="Q66" s="101" t="e">
        <f>VLOOKUP(A1,POsData!$A$1:$DZU$1000000,1123,FALSE)</f>
        <v>#N/A</v>
      </c>
    </row>
    <row r="67" spans="1:17" x14ac:dyDescent="0.35">
      <c r="A67" s="113" t="e">
        <f>VLOOKUP(A1,POsData!$A$1:$DZU$1000000,1124,FALSE)</f>
        <v>#N/A</v>
      </c>
      <c r="B67" s="1" t="e">
        <f>VLOOKUP(A1,POsData!$A$1:$DZU$1000000,1125,FALSE)</f>
        <v>#N/A</v>
      </c>
      <c r="C67" s="1" t="e">
        <f>VLOOKUP(A1,POsData!$A$1:$DZU$1000000,1126,FALSE)</f>
        <v>#N/A</v>
      </c>
      <c r="D67" s="1" t="e">
        <f>VLOOKUP(A1,POsData!$A$1:$DZU$1000000,1127,FALSE)</f>
        <v>#N/A</v>
      </c>
      <c r="E67" s="1" t="e">
        <f>VLOOKUP(A1,POsData!$A$1:$DZU$1000000,1128,FALSE)</f>
        <v>#N/A</v>
      </c>
      <c r="F67" s="1" t="e">
        <f>VLOOKUP(A1,POsData!$A$1:$DZU$1000000,1129,FALSE)</f>
        <v>#N/A</v>
      </c>
      <c r="G67" s="1" t="e">
        <f>VLOOKUP(A1,POsData!$A$1:$DZU$1000000,1130,FALSE)</f>
        <v>#N/A</v>
      </c>
      <c r="H67" s="1" t="e">
        <f>VLOOKUP(A1,POsData!$A$1:$DZU$1000000,1131,FALSE)</f>
        <v>#N/A</v>
      </c>
      <c r="I67" s="1" t="e">
        <f>VLOOKUP(A1,POsData!$A$1:$DZU$1000000,1132,FALSE)</f>
        <v>#N/A</v>
      </c>
      <c r="J67" s="1" t="e">
        <f>VLOOKUP(A1,POsData!$A$1:$DZU$1000000,1133,FALSE)</f>
        <v>#N/A</v>
      </c>
      <c r="K67" s="1" t="e">
        <f>VLOOKUP(A1,POsData!$A$1:$DZU$1000000,1134,FALSE)</f>
        <v>#N/A</v>
      </c>
      <c r="L67" s="1" t="e">
        <f>VLOOKUP(A1,POsData!$A$1:$DZU$1000000,1135,FALSE)</f>
        <v>#N/A</v>
      </c>
      <c r="M67" s="1" t="e">
        <f>VLOOKUP(A1,POsData!$A$1:$DZU$1000000,1136,FALSE)</f>
        <v>#N/A</v>
      </c>
      <c r="N67" s="1" t="e">
        <f>VLOOKUP(A1,POsData!$A$1:$DZU$1000000,1137,FALSE)</f>
        <v>#N/A</v>
      </c>
      <c r="O67" s="1" t="e">
        <f>VLOOKUP(A1,POsData!$A$1:$DZU$1000000,1138,FALSE)</f>
        <v>#N/A</v>
      </c>
      <c r="P67" s="1" t="e">
        <f>VLOOKUP(A1,POsData!$A$1:$DZU$1000000,1139,FALSE)</f>
        <v>#N/A</v>
      </c>
      <c r="Q67" s="101" t="e">
        <f>VLOOKUP(A1,POsData!$A$1:$DZU$1000000,1140,FALSE)</f>
        <v>#N/A</v>
      </c>
    </row>
    <row r="68" spans="1:17" x14ac:dyDescent="0.35">
      <c r="A68" s="113" t="e">
        <f>VLOOKUP(A1,POsData!$A$1:$DZU$1000000,1141,FALSE)</f>
        <v>#N/A</v>
      </c>
      <c r="B68" s="1" t="e">
        <f>VLOOKUP(A1,POsData!$A$1:$DZU$1000000,1142,FALSE)</f>
        <v>#N/A</v>
      </c>
      <c r="C68" s="1" t="e">
        <f>VLOOKUP(A1,POsData!$A$1:$DZU$1000000,1143,FALSE)</f>
        <v>#N/A</v>
      </c>
      <c r="D68" s="1" t="e">
        <f>VLOOKUP(A1,POsData!$A$1:$DZU$1000000,1144,FALSE)</f>
        <v>#N/A</v>
      </c>
      <c r="E68" s="1" t="e">
        <f>VLOOKUP(A1,POsData!$A$1:$DZU$1000000,1145,FALSE)</f>
        <v>#N/A</v>
      </c>
      <c r="F68" s="1" t="e">
        <f>VLOOKUP(A1,POsData!$A$1:$DZU$1000000,1146,FALSE)</f>
        <v>#N/A</v>
      </c>
      <c r="G68" s="1" t="e">
        <f>VLOOKUP(A1,POsData!$A$1:$DZU$1000000,1147,FALSE)</f>
        <v>#N/A</v>
      </c>
      <c r="H68" s="1" t="e">
        <f>VLOOKUP(A1,POsData!$A$1:$DZU$1000000,1148,FALSE)</f>
        <v>#N/A</v>
      </c>
      <c r="I68" s="1" t="e">
        <f>VLOOKUP(A1,POsData!$A$1:$DZU$1000000,1149,FALSE)</f>
        <v>#N/A</v>
      </c>
      <c r="J68" s="1" t="e">
        <f>VLOOKUP(A1,POsData!$A$1:$DZU$1000000,1150,FALSE)</f>
        <v>#N/A</v>
      </c>
      <c r="K68" s="1" t="e">
        <f>VLOOKUP(A1,POsData!$A$1:$DZU$1000000,1151,FALSE)</f>
        <v>#N/A</v>
      </c>
      <c r="L68" s="1" t="e">
        <f>VLOOKUP(A1,POsData!$A$1:$DZU$1000000,1152,FALSE)</f>
        <v>#N/A</v>
      </c>
      <c r="M68" s="1" t="e">
        <f>VLOOKUP(A1,POsData!$A$1:$DZU$1000000,1153,FALSE)</f>
        <v>#N/A</v>
      </c>
      <c r="N68" s="1" t="e">
        <f>VLOOKUP(A1,POsData!$A$1:$DZU$1000000,1154,FALSE)</f>
        <v>#N/A</v>
      </c>
      <c r="O68" s="1" t="e">
        <f>VLOOKUP(A1,POsData!$A$1:$DZU$1000000,1155,FALSE)</f>
        <v>#N/A</v>
      </c>
      <c r="P68" s="1" t="e">
        <f>VLOOKUP(A1,POsData!$A$1:$DZU$1000000,1156,FALSE)</f>
        <v>#N/A</v>
      </c>
      <c r="Q68" s="101" t="e">
        <f>VLOOKUP(A1,POsData!$A$1:$DZU$1000000,1157,FALSE)</f>
        <v>#N/A</v>
      </c>
    </row>
    <row r="69" spans="1:17" x14ac:dyDescent="0.35">
      <c r="A69" s="113" t="e">
        <f>VLOOKUP(A1,POsData!$A$1:$DZU$1000000,1158,FALSE)</f>
        <v>#N/A</v>
      </c>
      <c r="B69" s="1" t="e">
        <f>VLOOKUP(A1,POsData!$A$1:$DZU$1000000,1159,FALSE)</f>
        <v>#N/A</v>
      </c>
      <c r="C69" s="1" t="e">
        <f>VLOOKUP(A1,POsData!$A$1:$DZU$1000000,1160,FALSE)</f>
        <v>#N/A</v>
      </c>
      <c r="D69" s="1" t="e">
        <f>VLOOKUP(A1,POsData!$A$1:$DZU$1000000,1161,FALSE)</f>
        <v>#N/A</v>
      </c>
      <c r="E69" s="1" t="e">
        <f>VLOOKUP(A1,POsData!$A$1:$DZU$1000000,1162,FALSE)</f>
        <v>#N/A</v>
      </c>
      <c r="F69" s="1" t="e">
        <f>VLOOKUP(A1,POsData!$A$1:$DZU$1000000,1163,FALSE)</f>
        <v>#N/A</v>
      </c>
      <c r="G69" s="1" t="e">
        <f>VLOOKUP(A1,POsData!$A$1:$DZU$1000000,1164,FALSE)</f>
        <v>#N/A</v>
      </c>
      <c r="H69" s="1" t="e">
        <f>VLOOKUP(A1,POsData!$A$1:$DZU$1000000,1165,FALSE)</f>
        <v>#N/A</v>
      </c>
      <c r="I69" s="1" t="e">
        <f>VLOOKUP(A1,POsData!$A$1:$DZU$1000000,1166,FALSE)</f>
        <v>#N/A</v>
      </c>
      <c r="J69" s="1" t="e">
        <f>VLOOKUP(A1,POsData!$A$1:$DZU$1000000,1167,FALSE)</f>
        <v>#N/A</v>
      </c>
      <c r="K69" s="1" t="e">
        <f>VLOOKUP(A1,POsData!$A$1:$DZU$1000000,1168,FALSE)</f>
        <v>#N/A</v>
      </c>
      <c r="L69" s="1" t="e">
        <f>VLOOKUP(A1,POsData!$A$1:$DZU$1000000,1169,FALSE)</f>
        <v>#N/A</v>
      </c>
      <c r="M69" s="1" t="e">
        <f>VLOOKUP(A1,POsData!$A$1:$DZU$1000000,1170,FALSE)</f>
        <v>#N/A</v>
      </c>
      <c r="N69" s="1" t="e">
        <f>VLOOKUP(A1,POsData!$A$1:$DZU$1000000,1171,FALSE)</f>
        <v>#N/A</v>
      </c>
      <c r="O69" s="1" t="e">
        <f>VLOOKUP(A1,POsData!$A$1:$DZU$1000000,1172,FALSE)</f>
        <v>#N/A</v>
      </c>
      <c r="P69" s="1" t="e">
        <f>VLOOKUP(A1,POsData!$A$1:$DZU$1000000,1173,FALSE)</f>
        <v>#N/A</v>
      </c>
      <c r="Q69" s="101" t="e">
        <f>VLOOKUP(A1,POsData!$A$1:$DZU$1000000,1174,FALSE)</f>
        <v>#N/A</v>
      </c>
    </row>
    <row r="70" spans="1:17" x14ac:dyDescent="0.35">
      <c r="A70" s="113" t="e">
        <f>VLOOKUP(A1,POsData!$A$1:$DZU$1000000,1175,FALSE)</f>
        <v>#N/A</v>
      </c>
      <c r="B70" s="1" t="e">
        <f>VLOOKUP(A1,POsData!$A$1:$DZU$1000000,1176,FALSE)</f>
        <v>#N/A</v>
      </c>
      <c r="C70" s="1" t="e">
        <f>VLOOKUP(A1,POsData!$A$1:$DZU$1000000,1177,FALSE)</f>
        <v>#N/A</v>
      </c>
      <c r="D70" s="1" t="e">
        <f>VLOOKUP(A1,POsData!$A$1:$DZU$1000000,1178,FALSE)</f>
        <v>#N/A</v>
      </c>
      <c r="E70" s="1" t="e">
        <f>VLOOKUP(A1,POsData!$A$1:$DZU$1000000,1179,FALSE)</f>
        <v>#N/A</v>
      </c>
      <c r="F70" s="1" t="e">
        <f>VLOOKUP(A1,POsData!$A$1:$DZU$1000000,1180,FALSE)</f>
        <v>#N/A</v>
      </c>
      <c r="G70" s="1" t="e">
        <f>VLOOKUP(A1,POsData!$A$1:$DZU$1000000,1181,FALSE)</f>
        <v>#N/A</v>
      </c>
      <c r="H70" s="1" t="e">
        <f>VLOOKUP(A1,POsData!$A$1:$DZU$1000000,1182,FALSE)</f>
        <v>#N/A</v>
      </c>
      <c r="I70" s="1" t="e">
        <f>VLOOKUP(A1,POsData!$A$1:$DZU$1000000,1183,FALSE)</f>
        <v>#N/A</v>
      </c>
      <c r="J70" s="1" t="e">
        <f>VLOOKUP(A1,POsData!$A$1:$DZU$1000000,1184,FALSE)</f>
        <v>#N/A</v>
      </c>
      <c r="K70" s="1" t="e">
        <f>VLOOKUP(A1,POsData!$A$1:$DZU$1000000,1185,FALSE)</f>
        <v>#N/A</v>
      </c>
      <c r="L70" s="1" t="e">
        <f>VLOOKUP(A1,POsData!$A$1:$DZU$1000000,1186,FALSE)</f>
        <v>#N/A</v>
      </c>
      <c r="M70" s="1" t="e">
        <f>VLOOKUP(A1,POsData!$A$1:$DZU$1000000,1187,FALSE)</f>
        <v>#N/A</v>
      </c>
      <c r="N70" s="1" t="e">
        <f>VLOOKUP(A1,POsData!$A$1:$DZU$1000000,1188,FALSE)</f>
        <v>#N/A</v>
      </c>
      <c r="O70" s="1" t="e">
        <f>VLOOKUP(A1,POsData!$A$1:$DZU$1000000,1189,FALSE)</f>
        <v>#N/A</v>
      </c>
      <c r="P70" s="1" t="e">
        <f>VLOOKUP(A1,POsData!$A$1:$DZU$1000000,1190,FALSE)</f>
        <v>#N/A</v>
      </c>
      <c r="Q70" s="101" t="e">
        <f>VLOOKUP(A1,POsData!$A$1:$DZU$1000000,1191,FALSE)</f>
        <v>#N/A</v>
      </c>
    </row>
    <row r="71" spans="1:17" x14ac:dyDescent="0.35">
      <c r="A71" s="113" t="e">
        <f>VLOOKUP(A1,POsData!$A$1:$DZU$1000000,1192,FALSE)</f>
        <v>#N/A</v>
      </c>
      <c r="B71" s="1" t="e">
        <f>VLOOKUP(A1,POsData!$A$1:$DZU$1000000,1193,FALSE)</f>
        <v>#N/A</v>
      </c>
      <c r="C71" s="1" t="e">
        <f>VLOOKUP(A1,POsData!$A$1:$DZU$1000000,1194,FALSE)</f>
        <v>#N/A</v>
      </c>
      <c r="D71" s="1" t="e">
        <f>VLOOKUP(A1,POsData!$A$1:$DZU$1000000,1195,FALSE)</f>
        <v>#N/A</v>
      </c>
      <c r="E71" s="1" t="e">
        <f>VLOOKUP(A1,POsData!$A$1:$DZU$1000000,1196,FALSE)</f>
        <v>#N/A</v>
      </c>
      <c r="F71" s="1" t="e">
        <f>VLOOKUP(A1,POsData!$A$1:$DZU$1000000,1197,FALSE)</f>
        <v>#N/A</v>
      </c>
      <c r="G71" s="1" t="e">
        <f>VLOOKUP(A1,POsData!$A$1:$DZU$1000000,1198,FALSE)</f>
        <v>#N/A</v>
      </c>
      <c r="H71" s="1" t="e">
        <f>VLOOKUP(A1,POsData!$A$1:$DZU$1000000,1199,FALSE)</f>
        <v>#N/A</v>
      </c>
      <c r="I71" s="1" t="e">
        <f>VLOOKUP(A1,POsData!$A$1:$DZU$1000000,1200,FALSE)</f>
        <v>#N/A</v>
      </c>
      <c r="J71" s="1" t="e">
        <f>VLOOKUP(A1,POsData!$A$1:$DZU$1000000,1201,FALSE)</f>
        <v>#N/A</v>
      </c>
      <c r="K71" s="1" t="e">
        <f>VLOOKUP(A1,POsData!$A$1:$DZU$1000000,1202,FALSE)</f>
        <v>#N/A</v>
      </c>
      <c r="L71" s="1" t="e">
        <f>VLOOKUP(A1,POsData!$A$1:$DZU$1000000,1203,FALSE)</f>
        <v>#N/A</v>
      </c>
      <c r="M71" s="1" t="e">
        <f>VLOOKUP(A1,POsData!$A$1:$DZU$1000000,1204,FALSE)</f>
        <v>#N/A</v>
      </c>
      <c r="N71" s="1" t="e">
        <f>VLOOKUP(A1,POsData!$A$1:$DZU$1000000,1205,FALSE)</f>
        <v>#N/A</v>
      </c>
      <c r="O71" s="1" t="e">
        <f>VLOOKUP(A1,POsData!$A$1:$DZU$1000000,1206,FALSE)</f>
        <v>#N/A</v>
      </c>
      <c r="P71" s="1" t="e">
        <f>VLOOKUP(A1,POsData!$A$1:$DZU$1000000,1207,FALSE)</f>
        <v>#N/A</v>
      </c>
      <c r="Q71" s="101" t="e">
        <f>VLOOKUP(A1,POsData!$A$1:$DZU$1000000,1208,FALSE)</f>
        <v>#N/A</v>
      </c>
    </row>
    <row r="72" spans="1:17" x14ac:dyDescent="0.35">
      <c r="A72" s="113" t="e">
        <f>VLOOKUP(A1,POsData!$A$1:$DZU$1000000,1209,FALSE)</f>
        <v>#N/A</v>
      </c>
      <c r="B72" s="1" t="e">
        <f>VLOOKUP(A1,POsData!$A$1:$DZU$1000000,1210,FALSE)</f>
        <v>#N/A</v>
      </c>
      <c r="C72" s="1" t="e">
        <f>VLOOKUP(A1,POsData!$A$1:$DZU$1000000,1211,FALSE)</f>
        <v>#N/A</v>
      </c>
      <c r="D72" s="1" t="e">
        <f>VLOOKUP(A1,POsData!$A$1:$DZU$1000000,1212,FALSE)</f>
        <v>#N/A</v>
      </c>
      <c r="E72" s="1" t="e">
        <f>VLOOKUP(A1,POsData!$A$1:$DZU$1000000,1213,FALSE)</f>
        <v>#N/A</v>
      </c>
      <c r="F72" s="1" t="e">
        <f>VLOOKUP(A1,POsData!$A$1:$DZU$1000000,1214,FALSE)</f>
        <v>#N/A</v>
      </c>
      <c r="G72" s="1" t="e">
        <f>VLOOKUP(A1,POsData!$A$1:$DZU$1000000,1215,FALSE)</f>
        <v>#N/A</v>
      </c>
      <c r="H72" s="1" t="e">
        <f>VLOOKUP(A1,POsData!$A$1:$DZU$1000000,1216,FALSE)</f>
        <v>#N/A</v>
      </c>
      <c r="I72" s="1" t="e">
        <f>VLOOKUP(A1,POsData!$A$1:$DZU$1000000,1217,FALSE)</f>
        <v>#N/A</v>
      </c>
      <c r="J72" s="1" t="e">
        <f>VLOOKUP(A1,POsData!$A$1:$DZU$1000000,1218,FALSE)</f>
        <v>#N/A</v>
      </c>
      <c r="K72" s="1" t="e">
        <f>VLOOKUP(A1,POsData!$A$1:$DZU$1000000,1219,FALSE)</f>
        <v>#N/A</v>
      </c>
      <c r="L72" s="1" t="e">
        <f>VLOOKUP(A1,POsData!$A$1:$DZU$1000000,1220,FALSE)</f>
        <v>#N/A</v>
      </c>
      <c r="M72" s="1" t="e">
        <f>VLOOKUP(A1,POsData!$A$1:$DZU$1000000,1221,FALSE)</f>
        <v>#N/A</v>
      </c>
      <c r="N72" s="1" t="e">
        <f>VLOOKUP(A1,POsData!$A$1:$DZU$1000000,1222,FALSE)</f>
        <v>#N/A</v>
      </c>
      <c r="O72" s="1" t="e">
        <f>VLOOKUP(A1,POsData!$A$1:$DZU$1000000,1223,FALSE)</f>
        <v>#N/A</v>
      </c>
      <c r="P72" s="1" t="e">
        <f>VLOOKUP(A1,POsData!$A$1:$DZU$1000000,1224,FALSE)</f>
        <v>#N/A</v>
      </c>
      <c r="Q72" s="101" t="e">
        <f>VLOOKUP(A1,POsData!$A$1:$DZU$1000000,1225,FALSE)</f>
        <v>#N/A</v>
      </c>
    </row>
    <row r="73" spans="1:17" x14ac:dyDescent="0.35">
      <c r="A73" s="113" t="e">
        <f>VLOOKUP(A1,POsData!$A$1:$DZU$1000000,1226,FALSE)</f>
        <v>#N/A</v>
      </c>
      <c r="B73" s="1" t="e">
        <f>VLOOKUP(A1,POsData!$A$1:$DZU$1000000,1227,FALSE)</f>
        <v>#N/A</v>
      </c>
      <c r="C73" s="1" t="e">
        <f>VLOOKUP(A1,POsData!$A$1:$DZU$1000000,1228,FALSE)</f>
        <v>#N/A</v>
      </c>
      <c r="D73" s="1" t="e">
        <f>VLOOKUP(A1,POsData!$A$1:$DZU$1000000,1229,FALSE)</f>
        <v>#N/A</v>
      </c>
      <c r="E73" s="1" t="e">
        <f>VLOOKUP(A1,POsData!$A$1:$DZU$1000000,1230,FALSE)</f>
        <v>#N/A</v>
      </c>
      <c r="F73" s="1" t="e">
        <f>VLOOKUP(A1,POsData!$A$1:$DZU$1000000,1231,FALSE)</f>
        <v>#N/A</v>
      </c>
      <c r="G73" s="1" t="e">
        <f>VLOOKUP(A1,POsData!$A$1:$DZU$1000000,1232,FALSE)</f>
        <v>#N/A</v>
      </c>
      <c r="H73" s="1" t="e">
        <f>VLOOKUP(A1,POsData!$A$1:$DZU$1000000,1233,FALSE)</f>
        <v>#N/A</v>
      </c>
      <c r="I73" s="1" t="e">
        <f>VLOOKUP(A1,POsData!$A$1:$DZU$1000000,1234,FALSE)</f>
        <v>#N/A</v>
      </c>
      <c r="J73" s="1" t="e">
        <f>VLOOKUP(A1,POsData!$A$1:$DZU$1000000,1235,FALSE)</f>
        <v>#N/A</v>
      </c>
      <c r="K73" s="1" t="e">
        <f>VLOOKUP(A1,POsData!$A$1:$DZU$1000000,1236,FALSE)</f>
        <v>#N/A</v>
      </c>
      <c r="L73" s="1" t="e">
        <f>VLOOKUP(A1,POsData!$A$1:$DZU$1000000,1237,FALSE)</f>
        <v>#N/A</v>
      </c>
      <c r="M73" s="1" t="e">
        <f>VLOOKUP(A1,POsData!$A$1:$DZU$1000000,1238,FALSE)</f>
        <v>#N/A</v>
      </c>
      <c r="N73" s="1" t="e">
        <f>VLOOKUP(A1,POsData!$A$1:$DZU$1000000,1239,FALSE)</f>
        <v>#N/A</v>
      </c>
      <c r="O73" s="1" t="e">
        <f>VLOOKUP(A1,POsData!$A$1:$DZU$1000000,1240,FALSE)</f>
        <v>#N/A</v>
      </c>
      <c r="P73" s="1" t="e">
        <f>VLOOKUP(A1,POsData!$A$1:$DZU$1000000,1241,FALSE)</f>
        <v>#N/A</v>
      </c>
      <c r="Q73" s="101" t="e">
        <f>VLOOKUP(A1,POsData!$A$1:$DZU$1000000,1242,FALSE)</f>
        <v>#N/A</v>
      </c>
    </row>
    <row r="74" spans="1:17" x14ac:dyDescent="0.35">
      <c r="A74" s="113" t="e">
        <f>VLOOKUP(A1,POsData!$A$1:$DZU$1000000,1243,FALSE)</f>
        <v>#N/A</v>
      </c>
      <c r="B74" s="1" t="e">
        <f>VLOOKUP(A1,POsData!$A$1:$DZU$1000000,1244,FALSE)</f>
        <v>#N/A</v>
      </c>
      <c r="C74" s="1" t="e">
        <f>VLOOKUP(A1,POsData!$A$1:$DZU$1000000,1245,FALSE)</f>
        <v>#N/A</v>
      </c>
      <c r="D74" s="1" t="e">
        <f>VLOOKUP(A1,POsData!$A$1:$DZU$1000000,1246,FALSE)</f>
        <v>#N/A</v>
      </c>
      <c r="E74" s="1" t="e">
        <f>VLOOKUP(A1,POsData!$A$1:$DZU$1000000,1247,FALSE)</f>
        <v>#N/A</v>
      </c>
      <c r="F74" s="1" t="e">
        <f>VLOOKUP(A1,POsData!$A$1:$DZU$1000000,1248,FALSE)</f>
        <v>#N/A</v>
      </c>
      <c r="G74" s="1" t="e">
        <f>VLOOKUP(A1,POsData!$A$1:$DZU$1000000,1249,FALSE)</f>
        <v>#N/A</v>
      </c>
      <c r="H74" s="1" t="e">
        <f>VLOOKUP(A1,POsData!$A$1:$DZU$1000000,1250,FALSE)</f>
        <v>#N/A</v>
      </c>
      <c r="I74" s="1" t="e">
        <f>VLOOKUP(A1,POsData!$A$1:$DZU$1000000,1251,FALSE)</f>
        <v>#N/A</v>
      </c>
      <c r="J74" s="1" t="e">
        <f>VLOOKUP(A1,POsData!$A$1:$DZU$1000000,1252,FALSE)</f>
        <v>#N/A</v>
      </c>
      <c r="K74" s="1" t="e">
        <f>VLOOKUP(A1,POsData!$A$1:$DZU$1000000,1253,FALSE)</f>
        <v>#N/A</v>
      </c>
      <c r="L74" s="1" t="e">
        <f>VLOOKUP(A1,POsData!$A$1:$DZU$1000000,1254,FALSE)</f>
        <v>#N/A</v>
      </c>
      <c r="M74" s="1" t="e">
        <f>VLOOKUP(A1,POsData!$A$1:$DZU$1000000,1255,FALSE)</f>
        <v>#N/A</v>
      </c>
      <c r="N74" s="1" t="e">
        <f>VLOOKUP(A1,POsData!$A$1:$DZU$1000000,1256,FALSE)</f>
        <v>#N/A</v>
      </c>
      <c r="O74" s="1" t="e">
        <f>VLOOKUP(A1,POsData!$A$1:$DZU$1000000,1257,FALSE)</f>
        <v>#N/A</v>
      </c>
      <c r="P74" s="1" t="e">
        <f>VLOOKUP(A1,POsData!$A$1:$DZU$1000000,1258,FALSE)</f>
        <v>#N/A</v>
      </c>
      <c r="Q74" s="101" t="e">
        <f>VLOOKUP(A1,POsData!$A$1:$DZU$1000000,1259,FALSE)</f>
        <v>#N/A</v>
      </c>
    </row>
    <row r="75" spans="1:17" x14ac:dyDescent="0.35">
      <c r="A75" s="113" t="e">
        <f>VLOOKUP(A1,POsData!$A$1:$DZU$1000000,1260,FALSE)</f>
        <v>#N/A</v>
      </c>
      <c r="B75" s="1" t="e">
        <f>VLOOKUP(A1,POsData!$A$1:$DZU$1000000,1261,FALSE)</f>
        <v>#N/A</v>
      </c>
      <c r="C75" s="1" t="e">
        <f>VLOOKUP(A1,POsData!$A$1:$DZU$1000000,1262,FALSE)</f>
        <v>#N/A</v>
      </c>
      <c r="D75" s="1" t="e">
        <f>VLOOKUP(A1,POsData!$A$1:$DZU$1000000,1263,FALSE)</f>
        <v>#N/A</v>
      </c>
      <c r="E75" s="1" t="e">
        <f>VLOOKUP(A1,POsData!$A$1:$DZU$1000000,1264,FALSE)</f>
        <v>#N/A</v>
      </c>
      <c r="F75" s="1" t="e">
        <f>VLOOKUP(A1,POsData!$A$1:$DZU$1000000,1265,FALSE)</f>
        <v>#N/A</v>
      </c>
      <c r="G75" s="1" t="e">
        <f>VLOOKUP(A1,POsData!$A$1:$DZU$1000000,1266,FALSE)</f>
        <v>#N/A</v>
      </c>
      <c r="H75" s="1" t="e">
        <f>VLOOKUP(A1,POsData!$A$1:$DZU$1000000,1267,FALSE)</f>
        <v>#N/A</v>
      </c>
      <c r="I75" s="1" t="e">
        <f>VLOOKUP(A1,POsData!$A$1:$DZU$1000000,1268,FALSE)</f>
        <v>#N/A</v>
      </c>
      <c r="J75" s="1" t="e">
        <f>VLOOKUP(A1,POsData!$A$1:$DZU$1000000,1269,FALSE)</f>
        <v>#N/A</v>
      </c>
      <c r="K75" s="1" t="e">
        <f>VLOOKUP(A1,POsData!$A$1:$DZU$1000000,1270,FALSE)</f>
        <v>#N/A</v>
      </c>
      <c r="L75" s="1" t="e">
        <f>VLOOKUP(A1,POsData!$A$1:$DZU$1000000,1271,FALSE)</f>
        <v>#N/A</v>
      </c>
      <c r="M75" s="1" t="e">
        <f>VLOOKUP(A1,POsData!$A$1:$DZU$1000000,1272,FALSE)</f>
        <v>#N/A</v>
      </c>
      <c r="N75" s="1" t="e">
        <f>VLOOKUP(A1,POsData!$A$1:$DZU$1000000,1273,FALSE)</f>
        <v>#N/A</v>
      </c>
      <c r="O75" s="1" t="e">
        <f>VLOOKUP(A1,POsData!$A$1:$DZU$1000000,1274,FALSE)</f>
        <v>#N/A</v>
      </c>
      <c r="P75" s="1" t="e">
        <f>VLOOKUP(A1,POsData!$A$1:$DZU$1000000,1275,FALSE)</f>
        <v>#N/A</v>
      </c>
      <c r="Q75" s="101" t="e">
        <f>VLOOKUP(A1,POsData!$A$1:$DZU$1000000,1276,FALSE)</f>
        <v>#N/A</v>
      </c>
    </row>
    <row r="76" spans="1:17" x14ac:dyDescent="0.35">
      <c r="A76" s="113" t="e">
        <f>VLOOKUP(A1,POsData!$A$1:$DZU$1000000,1277,FALSE)</f>
        <v>#N/A</v>
      </c>
      <c r="B76" s="1" t="e">
        <f>VLOOKUP(A1,POsData!$A$1:$DZU$1000000,1278,FALSE)</f>
        <v>#N/A</v>
      </c>
      <c r="C76" s="1" t="e">
        <f>VLOOKUP(A1,POsData!$A$1:$DZU$1000000,1279,FALSE)</f>
        <v>#N/A</v>
      </c>
      <c r="D76" s="1" t="e">
        <f>VLOOKUP(A1,POsData!$A$1:$DZU$1000000,1280,FALSE)</f>
        <v>#N/A</v>
      </c>
      <c r="E76" s="1" t="e">
        <f>VLOOKUP(A1,POsData!$A$1:$DZU$1000000,1281,FALSE)</f>
        <v>#N/A</v>
      </c>
      <c r="F76" s="1" t="e">
        <f>VLOOKUP(A1,POsData!$A$1:$DZU$1000000,1282,FALSE)</f>
        <v>#N/A</v>
      </c>
      <c r="G76" s="1" t="e">
        <f>VLOOKUP(A1,POsData!$A$1:$DZU$1000000,1283,FALSE)</f>
        <v>#N/A</v>
      </c>
      <c r="H76" s="1" t="e">
        <f>VLOOKUP(A1,POsData!$A$1:$DZU$1000000,1284,FALSE)</f>
        <v>#N/A</v>
      </c>
      <c r="I76" s="1" t="e">
        <f>VLOOKUP(A1,POsData!$A$1:$DZU$1000000,1285,FALSE)</f>
        <v>#N/A</v>
      </c>
      <c r="J76" s="1" t="e">
        <f>VLOOKUP(A1,POsData!$A$1:$DZU$1000000,1286,FALSE)</f>
        <v>#N/A</v>
      </c>
      <c r="K76" s="1" t="e">
        <f>VLOOKUP(A1,POsData!$A$1:$DZU$1000000,1287,FALSE)</f>
        <v>#N/A</v>
      </c>
      <c r="L76" s="1" t="e">
        <f>VLOOKUP(A1,POsData!$A$1:$DZU$1000000,1288,FALSE)</f>
        <v>#N/A</v>
      </c>
      <c r="M76" s="1" t="e">
        <f>VLOOKUP(A1,POsData!$A$1:$DZU$1000000,1289,FALSE)</f>
        <v>#N/A</v>
      </c>
      <c r="N76" s="1" t="e">
        <f>VLOOKUP(A1,POsData!$A$1:$DZU$1000000,1290,FALSE)</f>
        <v>#N/A</v>
      </c>
      <c r="O76" s="1" t="e">
        <f>VLOOKUP(A1,POsData!$A$1:$DZU$1000000,1291,FALSE)</f>
        <v>#N/A</v>
      </c>
      <c r="P76" s="1" t="e">
        <f>VLOOKUP(A1,POsData!$A$1:$DZU$1000000,1292,FALSE)</f>
        <v>#N/A</v>
      </c>
      <c r="Q76" s="101" t="e">
        <f>VLOOKUP(A1,POsData!$A$1:$DZU$1000000,1293,FALSE)</f>
        <v>#N/A</v>
      </c>
    </row>
    <row r="77" spans="1:17" x14ac:dyDescent="0.35">
      <c r="A77" s="113" t="e">
        <f>VLOOKUP(A1,POsData!$A$1:$DZU$1000000,1294,FALSE)</f>
        <v>#N/A</v>
      </c>
      <c r="B77" s="1" t="e">
        <f>VLOOKUP(A1,POsData!$A$1:$DZU$1000000,1295,FALSE)</f>
        <v>#N/A</v>
      </c>
      <c r="C77" s="1" t="e">
        <f>VLOOKUP(A1,POsData!$A$1:$DZU$1000000,1296,FALSE)</f>
        <v>#N/A</v>
      </c>
      <c r="D77" s="1" t="e">
        <f>VLOOKUP(A1,POsData!$A$1:$DZU$1000000,1297,FALSE)</f>
        <v>#N/A</v>
      </c>
      <c r="E77" s="1" t="e">
        <f>VLOOKUP(A1,POsData!$A$1:$DZU$1000000,1298,FALSE)</f>
        <v>#N/A</v>
      </c>
      <c r="F77" s="1" t="e">
        <f>VLOOKUP(A1,POsData!$A$1:$DZU$1000000,1299,FALSE)</f>
        <v>#N/A</v>
      </c>
      <c r="G77" s="1" t="e">
        <f>VLOOKUP(A1,POsData!$A$1:$DZU$1000000,1300,FALSE)</f>
        <v>#N/A</v>
      </c>
      <c r="H77" s="1" t="e">
        <f>VLOOKUP(A1,POsData!$A$1:$DZU$1000000,1301,FALSE)</f>
        <v>#N/A</v>
      </c>
      <c r="I77" s="1" t="e">
        <f>VLOOKUP(A1,POsData!$A$1:$DZU$1000000,1302,FALSE)</f>
        <v>#N/A</v>
      </c>
      <c r="J77" s="1" t="e">
        <f>VLOOKUP(A1,POsData!$A$1:$DZU$1000000,1303,FALSE)</f>
        <v>#N/A</v>
      </c>
      <c r="K77" s="1" t="e">
        <f>VLOOKUP(A1,POsData!$A$1:$DZU$1000000,1304,FALSE)</f>
        <v>#N/A</v>
      </c>
      <c r="L77" s="1" t="e">
        <f>VLOOKUP(A1,POsData!$A$1:$DZU$1000000,1305,FALSE)</f>
        <v>#N/A</v>
      </c>
      <c r="M77" s="1" t="e">
        <f>VLOOKUP(A1,POsData!$A$1:$DZU$1000000,1306,FALSE)</f>
        <v>#N/A</v>
      </c>
      <c r="N77" s="1" t="e">
        <f>VLOOKUP(A1,POsData!$A$1:$DZU$1000000,1307,FALSE)</f>
        <v>#N/A</v>
      </c>
      <c r="O77" s="1" t="e">
        <f>VLOOKUP(A1,POsData!$A$1:$DZU$1000000,1308,FALSE)</f>
        <v>#N/A</v>
      </c>
      <c r="P77" s="1" t="e">
        <f>VLOOKUP(A1,POsData!$A$1:$DZU$1000000,1309,FALSE)</f>
        <v>#N/A</v>
      </c>
      <c r="Q77" s="101" t="e">
        <f>VLOOKUP(A1,POsData!$A$1:$DZU$1000000,1310,FALSE)</f>
        <v>#N/A</v>
      </c>
    </row>
    <row r="78" spans="1:17" x14ac:dyDescent="0.35">
      <c r="A78" s="113" t="e">
        <f>VLOOKUP(A1,POsData!$A$1:$DZU$1000000,1311,FALSE)</f>
        <v>#N/A</v>
      </c>
      <c r="B78" s="1" t="e">
        <f>VLOOKUP(A1,POsData!$A$1:$DZU$1000000,1312,FALSE)</f>
        <v>#N/A</v>
      </c>
      <c r="C78" s="1" t="e">
        <f>VLOOKUP(A1,POsData!$A$1:$DZU$1000000,1313,FALSE)</f>
        <v>#N/A</v>
      </c>
      <c r="D78" s="1" t="e">
        <f>VLOOKUP(A1,POsData!$A$1:$DZU$1000000,1314,FALSE)</f>
        <v>#N/A</v>
      </c>
      <c r="E78" s="1" t="e">
        <f>VLOOKUP(A1,POsData!$A$1:$DZU$1000000,1315,FALSE)</f>
        <v>#N/A</v>
      </c>
      <c r="F78" s="1" t="e">
        <f>VLOOKUP(A1,POsData!$A$1:$DZU$1000000,1316,FALSE)</f>
        <v>#N/A</v>
      </c>
      <c r="G78" s="1" t="e">
        <f>VLOOKUP(A1,POsData!$A$1:$DZU$1000000,1317,FALSE)</f>
        <v>#N/A</v>
      </c>
      <c r="H78" s="1" t="e">
        <f>VLOOKUP(A1,POsData!$A$1:$DZU$1000000,1318,FALSE)</f>
        <v>#N/A</v>
      </c>
      <c r="I78" s="1" t="e">
        <f>VLOOKUP(A1,POsData!$A$1:$DZU$1000000,1319,FALSE)</f>
        <v>#N/A</v>
      </c>
      <c r="J78" s="1" t="e">
        <f>VLOOKUP(A1,POsData!$A$1:$DZU$1000000,1320,FALSE)</f>
        <v>#N/A</v>
      </c>
      <c r="K78" s="1" t="e">
        <f>VLOOKUP(A1,POsData!$A$1:$DZU$1000000,1321,FALSE)</f>
        <v>#N/A</v>
      </c>
      <c r="L78" s="1" t="e">
        <f>VLOOKUP(A1,POsData!$A$1:$DZU$1000000,1322,FALSE)</f>
        <v>#N/A</v>
      </c>
      <c r="M78" s="1" t="e">
        <f>VLOOKUP(A1,POsData!$A$1:$DZU$1000000,1323,FALSE)</f>
        <v>#N/A</v>
      </c>
      <c r="N78" s="1" t="e">
        <f>VLOOKUP(A1,POsData!$A$1:$DZU$1000000,1324,FALSE)</f>
        <v>#N/A</v>
      </c>
      <c r="O78" s="1" t="e">
        <f>VLOOKUP(A1,POsData!$A$1:$DZU$1000000,1325,FALSE)</f>
        <v>#N/A</v>
      </c>
      <c r="P78" s="1" t="e">
        <f>VLOOKUP(A1,POsData!$A$1:$DZU$1000000,1326,FALSE)</f>
        <v>#N/A</v>
      </c>
      <c r="Q78" s="101" t="e">
        <f>VLOOKUP(A1,POsData!$A$1:$DZU$1000000,1327,FALSE)</f>
        <v>#N/A</v>
      </c>
    </row>
    <row r="79" spans="1:17" x14ac:dyDescent="0.35">
      <c r="A79" s="113" t="e">
        <f>VLOOKUP(A1,POsData!$A$1:$DZU$1000000,1328,FALSE)</f>
        <v>#N/A</v>
      </c>
      <c r="B79" s="1" t="e">
        <f>VLOOKUP(A1,POsData!$A$1:$DZU$1000000,1329,FALSE)</f>
        <v>#N/A</v>
      </c>
      <c r="C79" s="1" t="e">
        <f>VLOOKUP(A1,POsData!$A$1:$DZU$1000000,1330,FALSE)</f>
        <v>#N/A</v>
      </c>
      <c r="D79" s="1" t="e">
        <f>VLOOKUP(A1,POsData!$A$1:$DZU$1000000,1331,FALSE)</f>
        <v>#N/A</v>
      </c>
      <c r="E79" s="1" t="e">
        <f>VLOOKUP(A1,POsData!$A$1:$DZU$1000000,1332,FALSE)</f>
        <v>#N/A</v>
      </c>
      <c r="F79" s="1" t="e">
        <f>VLOOKUP(A1,POsData!$A$1:$DZU$1000000,1333,FALSE)</f>
        <v>#N/A</v>
      </c>
      <c r="G79" s="1" t="e">
        <f>VLOOKUP(A1,POsData!$A$1:$DZU$1000000,1334,FALSE)</f>
        <v>#N/A</v>
      </c>
      <c r="H79" s="1" t="e">
        <f>VLOOKUP(A1,POsData!$A$1:$DZU$1000000,1335,FALSE)</f>
        <v>#N/A</v>
      </c>
      <c r="I79" s="1" t="e">
        <f>VLOOKUP(A1,POsData!$A$1:$DZU$1000000,1336,FALSE)</f>
        <v>#N/A</v>
      </c>
      <c r="J79" s="1" t="e">
        <f>VLOOKUP(A1,POsData!$A$1:$DZU$1000000,1337,FALSE)</f>
        <v>#N/A</v>
      </c>
      <c r="K79" s="1" t="e">
        <f>VLOOKUP(A1,POsData!$A$1:$DZU$1000000,1338,FALSE)</f>
        <v>#N/A</v>
      </c>
      <c r="L79" s="1" t="e">
        <f>VLOOKUP(A1,POsData!$A$1:$DZU$1000000,1339,FALSE)</f>
        <v>#N/A</v>
      </c>
      <c r="M79" s="1" t="e">
        <f>VLOOKUP(A1,POsData!$A$1:$DZU$1000000,1340,FALSE)</f>
        <v>#N/A</v>
      </c>
      <c r="N79" s="1" t="e">
        <f>VLOOKUP(A1,POsData!$A$1:$DZU$1000000,1341,FALSE)</f>
        <v>#N/A</v>
      </c>
      <c r="O79" s="1" t="e">
        <f>VLOOKUP(A1,POsData!$A$1:$DZU$1000000,1342,FALSE)</f>
        <v>#N/A</v>
      </c>
      <c r="P79" s="1" t="e">
        <f>VLOOKUP(A1,POsData!$A$1:$DZU$1000000,1343,FALSE)</f>
        <v>#N/A</v>
      </c>
      <c r="Q79" s="101" t="e">
        <f>VLOOKUP(A1,POsData!$A$1:$DZU$1000000,1344,FALSE)</f>
        <v>#N/A</v>
      </c>
    </row>
    <row r="80" spans="1:17" x14ac:dyDescent="0.35">
      <c r="A80" s="113" t="e">
        <f>VLOOKUP(A1,POsData!$A$1:$DZU$1000000,1345,FALSE)</f>
        <v>#N/A</v>
      </c>
      <c r="B80" s="1" t="e">
        <f>VLOOKUP(A1,POsData!$A$1:$DZU$1000000,1346,FALSE)</f>
        <v>#N/A</v>
      </c>
      <c r="C80" s="1" t="e">
        <f>VLOOKUP(A1,POsData!$A$1:$DZU$1000000,1347,FALSE)</f>
        <v>#N/A</v>
      </c>
      <c r="D80" s="1" t="e">
        <f>VLOOKUP(A1,POsData!$A$1:$DZU$1000000,1348,FALSE)</f>
        <v>#N/A</v>
      </c>
      <c r="E80" s="1" t="e">
        <f>VLOOKUP(A1,POsData!$A$1:$DZU$1000000,1349,FALSE)</f>
        <v>#N/A</v>
      </c>
      <c r="F80" s="1" t="e">
        <f>VLOOKUP(A1,POsData!$A$1:$DZU$1000000,1350,FALSE)</f>
        <v>#N/A</v>
      </c>
      <c r="G80" s="1" t="e">
        <f>VLOOKUP(A1,POsData!$A$1:$DZU$1000000,1351,FALSE)</f>
        <v>#N/A</v>
      </c>
      <c r="H80" s="1" t="e">
        <f>VLOOKUP(A1,POsData!$A$1:$DZU$1000000,1352,FALSE)</f>
        <v>#N/A</v>
      </c>
      <c r="I80" s="1" t="e">
        <f>VLOOKUP(A1,POsData!$A$1:$DZU$1000000,1353,FALSE)</f>
        <v>#N/A</v>
      </c>
      <c r="J80" s="1" t="e">
        <f>VLOOKUP(A1,POsData!$A$1:$DZU$1000000,1354,FALSE)</f>
        <v>#N/A</v>
      </c>
      <c r="K80" s="1" t="e">
        <f>VLOOKUP(A1,POsData!$A$1:$DZU$1000000,1355,FALSE)</f>
        <v>#N/A</v>
      </c>
      <c r="L80" s="1" t="e">
        <f>VLOOKUP(A1,POsData!$A$1:$DZU$1000000,1356,FALSE)</f>
        <v>#N/A</v>
      </c>
      <c r="M80" s="1" t="e">
        <f>VLOOKUP(A1,POsData!$A$1:$DZU$1000000,1357,FALSE)</f>
        <v>#N/A</v>
      </c>
      <c r="N80" s="1" t="e">
        <f>VLOOKUP(A1,POsData!$A$1:$DZU$1000000,1358,FALSE)</f>
        <v>#N/A</v>
      </c>
      <c r="O80" s="1" t="e">
        <f>VLOOKUP(A1,POsData!$A$1:$DZU$1000000,1359,FALSE)</f>
        <v>#N/A</v>
      </c>
      <c r="P80" s="1" t="e">
        <f>VLOOKUP(A1,POsData!$A$1:$DZU$1000000,1360,FALSE)</f>
        <v>#N/A</v>
      </c>
      <c r="Q80" s="101" t="e">
        <f>VLOOKUP(A1,POsData!$A$1:$DZU$1000000,1361,FALSE)</f>
        <v>#N/A</v>
      </c>
    </row>
    <row r="81" spans="1:17" x14ac:dyDescent="0.35">
      <c r="A81" s="113" t="e">
        <f>VLOOKUP(A1,POsData!$A$1:$DZU$1000000,1362,FALSE)</f>
        <v>#N/A</v>
      </c>
      <c r="B81" s="1" t="e">
        <f>VLOOKUP(A1,POsData!$A$1:$DZU$1000000,1363,FALSE)</f>
        <v>#N/A</v>
      </c>
      <c r="C81" s="1" t="e">
        <f>VLOOKUP(A1,POsData!$A$1:$DZU$1000000,1364,FALSE)</f>
        <v>#N/A</v>
      </c>
      <c r="D81" s="1" t="e">
        <f>VLOOKUP(A1,POsData!$A$1:$DZU$1000000,1365,FALSE)</f>
        <v>#N/A</v>
      </c>
      <c r="E81" s="1" t="e">
        <f>VLOOKUP(A1,POsData!$A$1:$DZU$1000000,1366,FALSE)</f>
        <v>#N/A</v>
      </c>
      <c r="F81" s="1" t="e">
        <f>VLOOKUP(A1,POsData!$A$1:$DZU$1000000,1367,FALSE)</f>
        <v>#N/A</v>
      </c>
      <c r="G81" s="1" t="e">
        <f>VLOOKUP(A1,POsData!$A$1:$DZU$1000000,1368,FALSE)</f>
        <v>#N/A</v>
      </c>
      <c r="H81" s="1" t="e">
        <f>VLOOKUP(A1,POsData!$A$1:$DZU$1000000,1369,FALSE)</f>
        <v>#N/A</v>
      </c>
      <c r="I81" s="1" t="e">
        <f>VLOOKUP(A1,POsData!$A$1:$DZU$1000000,1370,FALSE)</f>
        <v>#N/A</v>
      </c>
      <c r="J81" s="1" t="e">
        <f>VLOOKUP(A1,POsData!$A$1:$DZU$1000000,1371,FALSE)</f>
        <v>#N/A</v>
      </c>
      <c r="K81" s="1" t="e">
        <f>VLOOKUP(A1,POsData!$A$1:$DZU$1000000,1372,FALSE)</f>
        <v>#N/A</v>
      </c>
      <c r="L81" s="1" t="e">
        <f>VLOOKUP(A1,POsData!$A$1:$DZU$1000000,1373,FALSE)</f>
        <v>#N/A</v>
      </c>
      <c r="M81" s="1" t="e">
        <f>VLOOKUP(A1,POsData!$A$1:$DZU$1000000,1374,FALSE)</f>
        <v>#N/A</v>
      </c>
      <c r="N81" s="1" t="e">
        <f>VLOOKUP(A1,POsData!$A$1:$DZU$1000000,1375,FALSE)</f>
        <v>#N/A</v>
      </c>
      <c r="O81" s="1" t="e">
        <f>VLOOKUP(A1,POsData!$A$1:$DZU$1000000,1376,FALSE)</f>
        <v>#N/A</v>
      </c>
      <c r="P81" s="1" t="e">
        <f>VLOOKUP(A1,POsData!$A$1:$DZU$1000000,1377,FALSE)</f>
        <v>#N/A</v>
      </c>
      <c r="Q81" s="101" t="e">
        <f>VLOOKUP(A1,POsData!$A$1:$DZU$1000000,1378,FALSE)</f>
        <v>#N/A</v>
      </c>
    </row>
    <row r="82" spans="1:17" x14ac:dyDescent="0.35">
      <c r="A82" s="113" t="e">
        <f>VLOOKUP(A1,POsData!$A$1:$DZU$1000000,1379,FALSE)</f>
        <v>#N/A</v>
      </c>
      <c r="B82" s="1" t="e">
        <f>VLOOKUP(A1,POsData!$A$1:$DZU$1000000,1380,FALSE)</f>
        <v>#N/A</v>
      </c>
      <c r="C82" s="1" t="e">
        <f>VLOOKUP(A1,POsData!$A$1:$DZU$1000000,1381,FALSE)</f>
        <v>#N/A</v>
      </c>
      <c r="D82" s="1" t="e">
        <f>VLOOKUP(A1,POsData!$A$1:$DZU$1000000,1382,FALSE)</f>
        <v>#N/A</v>
      </c>
      <c r="E82" s="1" t="e">
        <f>VLOOKUP(A1,POsData!$A$1:$DZU$1000000,1383,FALSE)</f>
        <v>#N/A</v>
      </c>
      <c r="F82" s="1" t="e">
        <f>VLOOKUP(A1,POsData!$A$1:$DZU$1000000,1384,FALSE)</f>
        <v>#N/A</v>
      </c>
      <c r="G82" s="1" t="e">
        <f>VLOOKUP(A1,POsData!$A$1:$DZU$1000000,1385,FALSE)</f>
        <v>#N/A</v>
      </c>
      <c r="H82" s="1" t="e">
        <f>VLOOKUP(A1,POsData!$A$1:$DZU$1000000,1386,FALSE)</f>
        <v>#N/A</v>
      </c>
      <c r="I82" s="1" t="e">
        <f>VLOOKUP(A1,POsData!$A$1:$DZU$1000000,1387,FALSE)</f>
        <v>#N/A</v>
      </c>
      <c r="J82" s="1" t="e">
        <f>VLOOKUP(A1,POsData!$A$1:$DZU$1000000,1388,FALSE)</f>
        <v>#N/A</v>
      </c>
      <c r="K82" s="1" t="e">
        <f>VLOOKUP(A1,POsData!$A$1:$DZU$1000000,1389,FALSE)</f>
        <v>#N/A</v>
      </c>
      <c r="L82" s="1" t="e">
        <f>VLOOKUP(A1,POsData!$A$1:$DZU$1000000,1390,FALSE)</f>
        <v>#N/A</v>
      </c>
      <c r="M82" s="1" t="e">
        <f>VLOOKUP(A1,POsData!$A$1:$DZU$1000000,1391,FALSE)</f>
        <v>#N/A</v>
      </c>
      <c r="N82" s="1" t="e">
        <f>VLOOKUP(A1,POsData!$A$1:$DZU$1000000,1392,FALSE)</f>
        <v>#N/A</v>
      </c>
      <c r="O82" s="1" t="e">
        <f>VLOOKUP(A1,POsData!$A$1:$DZU$1000000,1393,FALSE)</f>
        <v>#N/A</v>
      </c>
      <c r="P82" s="1" t="e">
        <f>VLOOKUP(A1,POsData!$A$1:$DZU$1000000,1394,FALSE)</f>
        <v>#N/A</v>
      </c>
      <c r="Q82" s="101" t="e">
        <f>VLOOKUP(A1,POsData!$A$1:$DZU$1000000,1395,FALSE)</f>
        <v>#N/A</v>
      </c>
    </row>
    <row r="83" spans="1:17" x14ac:dyDescent="0.35">
      <c r="A83" s="113" t="e">
        <f>VLOOKUP(A1,POsData!$A$1:$DZU$1000000,1396,FALSE)</f>
        <v>#N/A</v>
      </c>
      <c r="B83" s="1" t="e">
        <f>VLOOKUP(A1,POsData!$A$1:$DZU$1000000,1397,FALSE)</f>
        <v>#N/A</v>
      </c>
      <c r="C83" s="1" t="e">
        <f>VLOOKUP(A1,POsData!$A$1:$DZU$1000000,1398,FALSE)</f>
        <v>#N/A</v>
      </c>
      <c r="D83" s="1" t="e">
        <f>VLOOKUP(A1,POsData!$A$1:$DZU$1000000,1399,FALSE)</f>
        <v>#N/A</v>
      </c>
      <c r="E83" s="1" t="e">
        <f>VLOOKUP(A1,POsData!$A$1:$DZU$1000000,1400,FALSE)</f>
        <v>#N/A</v>
      </c>
      <c r="F83" s="1" t="e">
        <f>VLOOKUP(A1,POsData!$A$1:$DZU$1000000,1401,FALSE)</f>
        <v>#N/A</v>
      </c>
      <c r="G83" s="1" t="e">
        <f>VLOOKUP(A1,POsData!$A$1:$DZU$1000000,1402,FALSE)</f>
        <v>#N/A</v>
      </c>
      <c r="H83" s="1" t="e">
        <f>VLOOKUP(A1,POsData!$A$1:$DZU$1000000,1403,FALSE)</f>
        <v>#N/A</v>
      </c>
      <c r="I83" s="1" t="e">
        <f>VLOOKUP(A1,POsData!$A$1:$DZU$1000000,1404,FALSE)</f>
        <v>#N/A</v>
      </c>
      <c r="J83" s="1" t="e">
        <f>VLOOKUP(A1,POsData!$A$1:$DZU$1000000,1405,FALSE)</f>
        <v>#N/A</v>
      </c>
      <c r="K83" s="1" t="e">
        <f>VLOOKUP(A1,POsData!$A$1:$DZU$1000000,1406,FALSE)</f>
        <v>#N/A</v>
      </c>
      <c r="L83" s="1" t="e">
        <f>VLOOKUP(A1,POsData!$A$1:$DZU$1000000,1407,FALSE)</f>
        <v>#N/A</v>
      </c>
      <c r="M83" s="1" t="e">
        <f>VLOOKUP(A1,POsData!$A$1:$DZU$1000000,1408,FALSE)</f>
        <v>#N/A</v>
      </c>
      <c r="N83" s="1" t="e">
        <f>VLOOKUP(A1,POsData!$A$1:$DZU$1000000,1409,FALSE)</f>
        <v>#N/A</v>
      </c>
      <c r="O83" s="1" t="e">
        <f>VLOOKUP(A1,POsData!$A$1:$DZU$1000000,1410,FALSE)</f>
        <v>#N/A</v>
      </c>
      <c r="P83" s="1" t="e">
        <f>VLOOKUP(A1,POsData!$A$1:$DZU$1000000,1411,FALSE)</f>
        <v>#N/A</v>
      </c>
      <c r="Q83" s="101" t="e">
        <f>VLOOKUP(A1,POsData!$A$1:$DZU$1000000,1412,FALSE)</f>
        <v>#N/A</v>
      </c>
    </row>
    <row r="84" spans="1:17" x14ac:dyDescent="0.35">
      <c r="A84" s="113" t="e">
        <f>VLOOKUP(A1,POsData!$A$1:$DZU$1000000,1413,FALSE)</f>
        <v>#N/A</v>
      </c>
      <c r="B84" s="1" t="e">
        <f>VLOOKUP(A1,POsData!$A$1:$DZU$1000000,1414,FALSE)</f>
        <v>#N/A</v>
      </c>
      <c r="C84" s="1" t="e">
        <f>VLOOKUP(A1,POsData!$A$1:$DZU$1000000,1415,FALSE)</f>
        <v>#N/A</v>
      </c>
      <c r="D84" s="1" t="e">
        <f>VLOOKUP(A1,POsData!$A$1:$DZU$1000000,1416,FALSE)</f>
        <v>#N/A</v>
      </c>
      <c r="E84" s="1" t="e">
        <f>VLOOKUP(A1,POsData!$A$1:$DZU$1000000,1417,FALSE)</f>
        <v>#N/A</v>
      </c>
      <c r="F84" s="1" t="e">
        <f>VLOOKUP(A1,POsData!$A$1:$DZU$1000000,1418,FALSE)</f>
        <v>#N/A</v>
      </c>
      <c r="G84" s="1" t="e">
        <f>VLOOKUP(A1,POsData!$A$1:$DZU$1000000,1419,FALSE)</f>
        <v>#N/A</v>
      </c>
      <c r="H84" s="1" t="e">
        <f>VLOOKUP(A1,POsData!$A$1:$DZU$1000000,1420,FALSE)</f>
        <v>#N/A</v>
      </c>
      <c r="I84" s="1" t="e">
        <f>VLOOKUP(A1,POsData!$A$1:$DZU$1000000,1421,FALSE)</f>
        <v>#N/A</v>
      </c>
      <c r="J84" s="1" t="e">
        <f>VLOOKUP(A1,POsData!$A$1:$DZU$1000000,1422,FALSE)</f>
        <v>#N/A</v>
      </c>
      <c r="K84" s="1" t="e">
        <f>VLOOKUP(A1,POsData!$A$1:$DZU$1000000,1423,FALSE)</f>
        <v>#N/A</v>
      </c>
      <c r="L84" s="1" t="e">
        <f>VLOOKUP(A1,POsData!$A$1:$DZU$1000000,1424,FALSE)</f>
        <v>#N/A</v>
      </c>
      <c r="M84" s="1" t="e">
        <f>VLOOKUP(A1,POsData!$A$1:$DZU$1000000,1425,FALSE)</f>
        <v>#N/A</v>
      </c>
      <c r="N84" s="1" t="e">
        <f>VLOOKUP(A1,POsData!$A$1:$DZU$1000000,1426,FALSE)</f>
        <v>#N/A</v>
      </c>
      <c r="O84" s="1" t="e">
        <f>VLOOKUP(A1,POsData!$A$1:$DZU$1000000,1427,FALSE)</f>
        <v>#N/A</v>
      </c>
      <c r="P84" s="1" t="e">
        <f>VLOOKUP(A1,POsData!$A$1:$DZU$1000000,1428,FALSE)</f>
        <v>#N/A</v>
      </c>
      <c r="Q84" s="101" t="e">
        <f>VLOOKUP(A1,POsData!$A$1:$DZU$1000000,1429,FALSE)</f>
        <v>#N/A</v>
      </c>
    </row>
    <row r="85" spans="1:17" x14ac:dyDescent="0.35">
      <c r="A85" s="113" t="e">
        <f>VLOOKUP(A1,POsData!$A$1:$DZU$1000000,1430,FALSE)</f>
        <v>#N/A</v>
      </c>
      <c r="B85" s="1" t="e">
        <f>VLOOKUP(A1,POsData!$A$1:$DZU$1000000,1431,FALSE)</f>
        <v>#N/A</v>
      </c>
      <c r="C85" s="1" t="e">
        <f>VLOOKUP(A1,POsData!$A$1:$DZU$1000000,1432,FALSE)</f>
        <v>#N/A</v>
      </c>
      <c r="D85" s="1" t="e">
        <f>VLOOKUP(A1,POsData!$A$1:$DZU$1000000,1433,FALSE)</f>
        <v>#N/A</v>
      </c>
      <c r="E85" s="1" t="e">
        <f>VLOOKUP(A1,POsData!$A$1:$DZU$1000000,1434,FALSE)</f>
        <v>#N/A</v>
      </c>
      <c r="F85" s="1" t="e">
        <f>VLOOKUP(A1,POsData!$A$1:$DZU$1000000,1435,FALSE)</f>
        <v>#N/A</v>
      </c>
      <c r="G85" s="1" t="e">
        <f>VLOOKUP(A1,POsData!$A$1:$DZU$1000000,1436,FALSE)</f>
        <v>#N/A</v>
      </c>
      <c r="H85" s="1" t="e">
        <f>VLOOKUP(A1,POsData!$A$1:$DZU$1000000,1437,FALSE)</f>
        <v>#N/A</v>
      </c>
      <c r="I85" s="1" t="e">
        <f>VLOOKUP(A1,POsData!$A$1:$DZU$1000000,1438,FALSE)</f>
        <v>#N/A</v>
      </c>
      <c r="J85" s="1" t="e">
        <f>VLOOKUP(A1,POsData!$A$1:$DZU$1000000,1439,FALSE)</f>
        <v>#N/A</v>
      </c>
      <c r="K85" s="1" t="e">
        <f>VLOOKUP(A1,POsData!$A$1:$DZU$1000000,1440,FALSE)</f>
        <v>#N/A</v>
      </c>
      <c r="L85" s="1" t="e">
        <f>VLOOKUP(A1,POsData!$A$1:$DZU$1000000,1441,FALSE)</f>
        <v>#N/A</v>
      </c>
      <c r="M85" s="1" t="e">
        <f>VLOOKUP(A1,POsData!$A$1:$DZU$1000000,1442,FALSE)</f>
        <v>#N/A</v>
      </c>
      <c r="N85" s="1" t="e">
        <f>VLOOKUP(A1,POsData!$A$1:$DZU$1000000,1443,FALSE)</f>
        <v>#N/A</v>
      </c>
      <c r="O85" s="1" t="e">
        <f>VLOOKUP(A1,POsData!$A$1:$DZU$1000000,1444,FALSE)</f>
        <v>#N/A</v>
      </c>
      <c r="P85" s="1" t="e">
        <f>VLOOKUP(A1,POsData!$A$1:$DZU$1000000,1445,FALSE)</f>
        <v>#N/A</v>
      </c>
      <c r="Q85" s="101" t="e">
        <f>VLOOKUP(A1,POsData!$A$1:$DZU$1000000,1446,FALSE)</f>
        <v>#N/A</v>
      </c>
    </row>
    <row r="86" spans="1:17" x14ac:dyDescent="0.35">
      <c r="A86" s="113" t="e">
        <f>VLOOKUP(A1,POsData!$A$1:$DZU$1000000,1447,FALSE)</f>
        <v>#N/A</v>
      </c>
      <c r="B86" s="1" t="e">
        <f>VLOOKUP(A1,POsData!$A$1:$DZU$1000000,1448,FALSE)</f>
        <v>#N/A</v>
      </c>
      <c r="C86" s="1" t="e">
        <f>VLOOKUP(A1,POsData!$A$1:$DZU$1000000,1449,FALSE)</f>
        <v>#N/A</v>
      </c>
      <c r="D86" s="1" t="e">
        <f>VLOOKUP(A1,POsData!$A$1:$DZU$1000000,1450,FALSE)</f>
        <v>#N/A</v>
      </c>
      <c r="E86" s="1" t="e">
        <f>VLOOKUP(A1,POsData!$A$1:$DZU$1000000,1451,FALSE)</f>
        <v>#N/A</v>
      </c>
      <c r="F86" s="1" t="e">
        <f>VLOOKUP(A1,POsData!$A$1:$DZU$1000000,1452,FALSE)</f>
        <v>#N/A</v>
      </c>
      <c r="G86" s="1" t="e">
        <f>VLOOKUP(A1,POsData!$A$1:$DZU$1000000,1453,FALSE)</f>
        <v>#N/A</v>
      </c>
      <c r="H86" s="1" t="e">
        <f>VLOOKUP(A1,POsData!$A$1:$DZU$1000000,1454,FALSE)</f>
        <v>#N/A</v>
      </c>
      <c r="I86" s="1" t="e">
        <f>VLOOKUP(A1,POsData!$A$1:$DZU$1000000,1455,FALSE)</f>
        <v>#N/A</v>
      </c>
      <c r="J86" s="1" t="e">
        <f>VLOOKUP(A1,POsData!$A$1:$DZU$1000000,1456,FALSE)</f>
        <v>#N/A</v>
      </c>
      <c r="K86" s="1" t="e">
        <f>VLOOKUP(A1,POsData!$A$1:$DZU$1000000,1457,FALSE)</f>
        <v>#N/A</v>
      </c>
      <c r="L86" s="1" t="e">
        <f>VLOOKUP(A1,POsData!$A$1:$DZU$1000000,1458,FALSE)</f>
        <v>#N/A</v>
      </c>
      <c r="M86" s="1" t="e">
        <f>VLOOKUP(A1,POsData!$A$1:$DZU$1000000,1459,FALSE)</f>
        <v>#N/A</v>
      </c>
      <c r="N86" s="1" t="e">
        <f>VLOOKUP(A1,POsData!$A$1:$DZU$1000000,1460,FALSE)</f>
        <v>#N/A</v>
      </c>
      <c r="O86" s="1" t="e">
        <f>VLOOKUP(A1,POsData!$A$1:$DZU$1000000,1461,FALSE)</f>
        <v>#N/A</v>
      </c>
      <c r="P86" s="1" t="e">
        <f>VLOOKUP(A1,POsData!$A$1:$DZU$1000000,1462,FALSE)</f>
        <v>#N/A</v>
      </c>
      <c r="Q86" s="101" t="e">
        <f>VLOOKUP(A1,POsData!$A$1:$DZU$1000000,1463,FALSE)</f>
        <v>#N/A</v>
      </c>
    </row>
    <row r="87" spans="1:17" x14ac:dyDescent="0.35">
      <c r="A87" s="113" t="e">
        <f>VLOOKUP(A1,POsData!$A$1:$DZU$1000000,1464,FALSE)</f>
        <v>#N/A</v>
      </c>
      <c r="B87" s="1" t="e">
        <f>VLOOKUP(A1,POsData!$A$1:$DZU$1000000,1465,FALSE)</f>
        <v>#N/A</v>
      </c>
      <c r="C87" s="1" t="e">
        <f>VLOOKUP(A1,POsData!$A$1:$DZU$1000000,1466,FALSE)</f>
        <v>#N/A</v>
      </c>
      <c r="D87" s="1" t="e">
        <f>VLOOKUP(A1,POsData!$A$1:$DZU$1000000,1467,FALSE)</f>
        <v>#N/A</v>
      </c>
      <c r="E87" s="1" t="e">
        <f>VLOOKUP(A1,POsData!$A$1:$DZU$1000000,1468,FALSE)</f>
        <v>#N/A</v>
      </c>
      <c r="F87" s="1" t="e">
        <f>VLOOKUP(A1,POsData!$A$1:$DZU$1000000,1469,FALSE)</f>
        <v>#N/A</v>
      </c>
      <c r="G87" s="1" t="e">
        <f>VLOOKUP(A1,POsData!$A$1:$DZU$1000000,1470,FALSE)</f>
        <v>#N/A</v>
      </c>
      <c r="H87" s="1" t="e">
        <f>VLOOKUP(A1,POsData!$A$1:$DZU$1000000,1471,FALSE)</f>
        <v>#N/A</v>
      </c>
      <c r="I87" s="1" t="e">
        <f>VLOOKUP(A1,POsData!$A$1:$DZU$1000000,1472,FALSE)</f>
        <v>#N/A</v>
      </c>
      <c r="J87" s="1" t="e">
        <f>VLOOKUP(A1,POsData!$A$1:$DZU$1000000,1473,FALSE)</f>
        <v>#N/A</v>
      </c>
      <c r="K87" s="1" t="e">
        <f>VLOOKUP(A1,POsData!$A$1:$DZU$1000000,1474,FALSE)</f>
        <v>#N/A</v>
      </c>
      <c r="L87" s="1" t="e">
        <f>VLOOKUP(A1,POsData!$A$1:$DZU$1000000,1475,FALSE)</f>
        <v>#N/A</v>
      </c>
      <c r="M87" s="1" t="e">
        <f>VLOOKUP(A1,POsData!$A$1:$DZU$1000000,1476,FALSE)</f>
        <v>#N/A</v>
      </c>
      <c r="N87" s="1" t="e">
        <f>VLOOKUP(A1,POsData!$A$1:$DZU$1000000,1477,FALSE)</f>
        <v>#N/A</v>
      </c>
      <c r="O87" s="1" t="e">
        <f>VLOOKUP(A1,POsData!$A$1:$DZU$1000000,1478,FALSE)</f>
        <v>#N/A</v>
      </c>
      <c r="P87" s="1" t="e">
        <f>VLOOKUP(A1,POsData!$A$1:$DZU$1000000,1479,FALSE)</f>
        <v>#N/A</v>
      </c>
      <c r="Q87" s="101" t="e">
        <f>VLOOKUP(A1,POsData!$A$1:$DZU$1000000,1480,FALSE)</f>
        <v>#N/A</v>
      </c>
    </row>
    <row r="88" spans="1:17" x14ac:dyDescent="0.35">
      <c r="A88" s="113" t="e">
        <f>VLOOKUP(A1,POsData!$A$1:$DZU$1000000,1481,FALSE)</f>
        <v>#N/A</v>
      </c>
      <c r="B88" s="1" t="e">
        <f>VLOOKUP(A1,POsData!$A$1:$DZU$1000000,1482,FALSE)</f>
        <v>#N/A</v>
      </c>
      <c r="C88" s="1" t="e">
        <f>VLOOKUP(A1,POsData!$A$1:$DZU$1000000,1483,FALSE)</f>
        <v>#N/A</v>
      </c>
      <c r="D88" s="1" t="e">
        <f>VLOOKUP(A1,POsData!$A$1:$DZU$1000000,1484,FALSE)</f>
        <v>#N/A</v>
      </c>
      <c r="E88" s="1" t="e">
        <f>VLOOKUP(A1,POsData!$A$1:$DZU$1000000,1485,FALSE)</f>
        <v>#N/A</v>
      </c>
      <c r="F88" s="1" t="e">
        <f>VLOOKUP(A1,POsData!$A$1:$DZU$1000000,1486,FALSE)</f>
        <v>#N/A</v>
      </c>
      <c r="G88" s="1" t="e">
        <f>VLOOKUP(A1,POsData!$A$1:$DZU$1000000,1487,FALSE)</f>
        <v>#N/A</v>
      </c>
      <c r="H88" s="1" t="e">
        <f>VLOOKUP(A1,POsData!$A$1:$DZU$1000000,1488,FALSE)</f>
        <v>#N/A</v>
      </c>
      <c r="I88" s="1" t="e">
        <f>VLOOKUP(A1,POsData!$A$1:$DZU$1000000,1489,FALSE)</f>
        <v>#N/A</v>
      </c>
      <c r="J88" s="1" t="e">
        <f>VLOOKUP(A1,POsData!$A$1:$DZU$1000000,1490,FALSE)</f>
        <v>#N/A</v>
      </c>
      <c r="K88" s="1" t="e">
        <f>VLOOKUP(A1,POsData!$A$1:$DZU$1000000,1491,FALSE)</f>
        <v>#N/A</v>
      </c>
      <c r="L88" s="1" t="e">
        <f>VLOOKUP(A1,POsData!$A$1:$DZU$1000000,1492,FALSE)</f>
        <v>#N/A</v>
      </c>
      <c r="M88" s="1" t="e">
        <f>VLOOKUP(A1,POsData!$A$1:$DZU$1000000,1493,FALSE)</f>
        <v>#N/A</v>
      </c>
      <c r="N88" s="1" t="e">
        <f>VLOOKUP(A1,POsData!$A$1:$DZU$1000000,1494,FALSE)</f>
        <v>#N/A</v>
      </c>
      <c r="O88" s="1" t="e">
        <f>VLOOKUP(A1,POsData!$A$1:$DZU$1000000,1495,FALSE)</f>
        <v>#N/A</v>
      </c>
      <c r="P88" s="1" t="e">
        <f>VLOOKUP(A1,POsData!$A$1:$DZU$1000000,1496,FALSE)</f>
        <v>#N/A</v>
      </c>
      <c r="Q88" s="101" t="e">
        <f>VLOOKUP(A1,POsData!$A$1:$DZU$1000000,1497,FALSE)</f>
        <v>#N/A</v>
      </c>
    </row>
    <row r="89" spans="1:17" x14ac:dyDescent="0.35">
      <c r="A89" s="113" t="e">
        <f>VLOOKUP(A1,POsData!$A$1:$DZU$1000000,1498,FALSE)</f>
        <v>#N/A</v>
      </c>
      <c r="B89" s="1" t="e">
        <f>VLOOKUP(A1,POsData!$A$1:$DZU$1000000,1499,FALSE)</f>
        <v>#N/A</v>
      </c>
      <c r="C89" s="1" t="e">
        <f>VLOOKUP(A1,POsData!$A$1:$DZU$1000000,1500,FALSE)</f>
        <v>#N/A</v>
      </c>
      <c r="D89" s="1" t="e">
        <f>VLOOKUP(A1,POsData!$A$1:$DZU$1000000,1501,FALSE)</f>
        <v>#N/A</v>
      </c>
      <c r="E89" s="1" t="e">
        <f>VLOOKUP(A1,POsData!$A$1:$DZU$1000000,1502,FALSE)</f>
        <v>#N/A</v>
      </c>
      <c r="F89" s="1" t="e">
        <f>VLOOKUP(A1,POsData!$A$1:$DZU$1000000,1503,FALSE)</f>
        <v>#N/A</v>
      </c>
      <c r="G89" s="1" t="e">
        <f>VLOOKUP(A1,POsData!$A$1:$DZU$1000000,1504,FALSE)</f>
        <v>#N/A</v>
      </c>
      <c r="H89" s="1" t="e">
        <f>VLOOKUP(A1,POsData!$A$1:$DZU$1000000,1505,FALSE)</f>
        <v>#N/A</v>
      </c>
      <c r="I89" s="1" t="e">
        <f>VLOOKUP(A1,POsData!$A$1:$DZU$1000000,1506,FALSE)</f>
        <v>#N/A</v>
      </c>
      <c r="J89" s="1" t="e">
        <f>VLOOKUP(A1,POsData!$A$1:$DZU$1000000,1507,FALSE)</f>
        <v>#N/A</v>
      </c>
      <c r="K89" s="1" t="e">
        <f>VLOOKUP(A1,POsData!$A$1:$DZU$1000000,1508,FALSE)</f>
        <v>#N/A</v>
      </c>
      <c r="L89" s="1" t="e">
        <f>VLOOKUP(A1,POsData!$A$1:$DZU$1000000,1509,FALSE)</f>
        <v>#N/A</v>
      </c>
      <c r="M89" s="1" t="e">
        <f>VLOOKUP(A1,POsData!$A$1:$DZU$1000000,1510,FALSE)</f>
        <v>#N/A</v>
      </c>
      <c r="N89" s="1" t="e">
        <f>VLOOKUP(A1,POsData!$A$1:$DZU$1000000,1511,FALSE)</f>
        <v>#N/A</v>
      </c>
      <c r="O89" s="1" t="e">
        <f>VLOOKUP(A1,POsData!$A$1:$DZU$1000000,1512,FALSE)</f>
        <v>#N/A</v>
      </c>
      <c r="P89" s="1" t="e">
        <f>VLOOKUP(A1,POsData!$A$1:$DZU$1000000,1513,FALSE)</f>
        <v>#N/A</v>
      </c>
      <c r="Q89" s="101" t="e">
        <f>VLOOKUP(A1,POsData!$A$1:$DZU$1000000,1514,FALSE)</f>
        <v>#N/A</v>
      </c>
    </row>
    <row r="90" spans="1:17" x14ac:dyDescent="0.35">
      <c r="A90" s="113" t="e">
        <f>VLOOKUP(A1,POsData!$A$1:$DZU$1000000,1515,FALSE)</f>
        <v>#N/A</v>
      </c>
      <c r="B90" s="1" t="e">
        <f>VLOOKUP(A1,POsData!$A$1:$DZU$1000000,1516,FALSE)</f>
        <v>#N/A</v>
      </c>
      <c r="C90" s="1" t="e">
        <f>VLOOKUP(A1,POsData!$A$1:$DZU$1000000,1517,FALSE)</f>
        <v>#N/A</v>
      </c>
      <c r="D90" s="1" t="e">
        <f>VLOOKUP(A1,POsData!$A$1:$DZU$1000000,1518,FALSE)</f>
        <v>#N/A</v>
      </c>
      <c r="E90" s="1" t="e">
        <f>VLOOKUP(A1,POsData!$A$1:$DZU$1000000,1519,FALSE)</f>
        <v>#N/A</v>
      </c>
      <c r="F90" s="1" t="e">
        <f>VLOOKUP(A1,POsData!$A$1:$DZU$1000000,1520,FALSE)</f>
        <v>#N/A</v>
      </c>
      <c r="G90" s="1" t="e">
        <f>VLOOKUP(A1,POsData!$A$1:$DZU$1000000,1521,FALSE)</f>
        <v>#N/A</v>
      </c>
      <c r="H90" s="1" t="e">
        <f>VLOOKUP(A1,POsData!$A$1:$DZU$1000000,1522,FALSE)</f>
        <v>#N/A</v>
      </c>
      <c r="I90" s="1" t="e">
        <f>VLOOKUP(A1,POsData!$A$1:$DZU$1000000,1523,FALSE)</f>
        <v>#N/A</v>
      </c>
      <c r="J90" s="1" t="e">
        <f>VLOOKUP(A1,POsData!$A$1:$DZU$1000000,1524,FALSE)</f>
        <v>#N/A</v>
      </c>
      <c r="K90" s="1" t="e">
        <f>VLOOKUP(A1,POsData!$A$1:$DZU$1000000,1525,FALSE)</f>
        <v>#N/A</v>
      </c>
      <c r="L90" s="1" t="e">
        <f>VLOOKUP(A1,POsData!$A$1:$DZU$1000000,1526,FALSE)</f>
        <v>#N/A</v>
      </c>
      <c r="M90" s="1" t="e">
        <f>VLOOKUP(A1,POsData!$A$1:$DZU$1000000,1527,FALSE)</f>
        <v>#N/A</v>
      </c>
      <c r="N90" s="1" t="e">
        <f>VLOOKUP(A1,POsData!$A$1:$DZU$1000000,1528,FALSE)</f>
        <v>#N/A</v>
      </c>
      <c r="O90" s="1" t="e">
        <f>VLOOKUP(A1,POsData!$A$1:$DZU$1000000,1529,FALSE)</f>
        <v>#N/A</v>
      </c>
      <c r="P90" s="1" t="e">
        <f>VLOOKUP(A1,POsData!$A$1:$DZU$1000000,1530,FALSE)</f>
        <v>#N/A</v>
      </c>
      <c r="Q90" s="101" t="e">
        <f>VLOOKUP(A1,POsData!$A$1:$DZU$1000000,1531,FALSE)</f>
        <v>#N/A</v>
      </c>
    </row>
    <row r="91" spans="1:17" x14ac:dyDescent="0.35">
      <c r="A91" s="113" t="e">
        <f>VLOOKUP(A1,POsData!$A$1:$DZU$1000000,1532,FALSE)</f>
        <v>#N/A</v>
      </c>
      <c r="B91" s="1" t="e">
        <f>VLOOKUP(A1,POsData!$A$1:$DZU$1000000,1533,FALSE)</f>
        <v>#N/A</v>
      </c>
      <c r="C91" s="1" t="e">
        <f>VLOOKUP(A1,POsData!$A$1:$DZU$1000000,1534,FALSE)</f>
        <v>#N/A</v>
      </c>
      <c r="D91" s="1" t="e">
        <f>VLOOKUP(A1,POsData!$A$1:$DZU$1000000,1535,FALSE)</f>
        <v>#N/A</v>
      </c>
      <c r="E91" s="1" t="e">
        <f>VLOOKUP(A1,POsData!$A$1:$DZU$1000000,1536,FALSE)</f>
        <v>#N/A</v>
      </c>
      <c r="F91" s="1" t="e">
        <f>VLOOKUP(A1,POsData!$A$1:$DZU$1000000,1537,FALSE)</f>
        <v>#N/A</v>
      </c>
      <c r="G91" s="1" t="e">
        <f>VLOOKUP(A1,POsData!$A$1:$DZU$1000000,1538,FALSE)</f>
        <v>#N/A</v>
      </c>
      <c r="H91" s="1" t="e">
        <f>VLOOKUP(A1,POsData!$A$1:$DZU$1000000,1539,FALSE)</f>
        <v>#N/A</v>
      </c>
      <c r="I91" s="1" t="e">
        <f>VLOOKUP(A1,POsData!$A$1:$DZU$1000000,1540,FALSE)</f>
        <v>#N/A</v>
      </c>
      <c r="J91" s="1" t="e">
        <f>VLOOKUP(A1,POsData!$A$1:$DZU$1000000,1541,FALSE)</f>
        <v>#N/A</v>
      </c>
      <c r="K91" s="1" t="e">
        <f>VLOOKUP(A1,POsData!$A$1:$DZU$1000000,1542,FALSE)</f>
        <v>#N/A</v>
      </c>
      <c r="L91" s="1" t="e">
        <f>VLOOKUP(A1,POsData!$A$1:$DZU$1000000,1543,FALSE)</f>
        <v>#N/A</v>
      </c>
      <c r="M91" s="1" t="e">
        <f>VLOOKUP(A1,POsData!$A$1:$DZU$1000000,1544,FALSE)</f>
        <v>#N/A</v>
      </c>
      <c r="N91" s="1" t="e">
        <f>VLOOKUP(A1,POsData!$A$1:$DZU$1000000,1545,FALSE)</f>
        <v>#N/A</v>
      </c>
      <c r="O91" s="1" t="e">
        <f>VLOOKUP(A1,POsData!$A$1:$DZU$1000000,1546,FALSE)</f>
        <v>#N/A</v>
      </c>
      <c r="P91" s="1" t="e">
        <f>VLOOKUP(A1,POsData!$A$1:$DZU$1000000,1547,FALSE)</f>
        <v>#N/A</v>
      </c>
      <c r="Q91" s="101" t="e">
        <f>VLOOKUP(A1,POsData!$A$1:$DZU$1000000,1548,FALSE)</f>
        <v>#N/A</v>
      </c>
    </row>
    <row r="92" spans="1:17" x14ac:dyDescent="0.35">
      <c r="A92" s="113" t="e">
        <f>VLOOKUP(A1,POsData!$A$1:$DZU$1000000,1549,FALSE)</f>
        <v>#N/A</v>
      </c>
      <c r="B92" s="1" t="e">
        <f>VLOOKUP(A1,POsData!$A$1:$DZU$1000000,1550,FALSE)</f>
        <v>#N/A</v>
      </c>
      <c r="C92" s="1" t="e">
        <f>VLOOKUP(A1,POsData!$A$1:$DZU$1000000,1551,FALSE)</f>
        <v>#N/A</v>
      </c>
      <c r="D92" s="1" t="e">
        <f>VLOOKUP(A1,POsData!$A$1:$DZU$1000000,1552,FALSE)</f>
        <v>#N/A</v>
      </c>
      <c r="E92" s="1" t="e">
        <f>VLOOKUP(A1,POsData!$A$1:$DZU$1000000,1553,FALSE)</f>
        <v>#N/A</v>
      </c>
      <c r="F92" s="1" t="e">
        <f>VLOOKUP(A1,POsData!$A$1:$DZU$1000000,1554,FALSE)</f>
        <v>#N/A</v>
      </c>
      <c r="G92" s="1" t="e">
        <f>VLOOKUP(A1,POsData!$A$1:$DZU$1000000,1555,FALSE)</f>
        <v>#N/A</v>
      </c>
      <c r="H92" s="1" t="e">
        <f>VLOOKUP(A1,POsData!$A$1:$DZU$1000000,1556,FALSE)</f>
        <v>#N/A</v>
      </c>
      <c r="I92" s="1" t="e">
        <f>VLOOKUP(A1,POsData!$A$1:$DZU$1000000,1557,FALSE)</f>
        <v>#N/A</v>
      </c>
      <c r="J92" s="1" t="e">
        <f>VLOOKUP(A1,POsData!$A$1:$DZU$1000000,1558,FALSE)</f>
        <v>#N/A</v>
      </c>
      <c r="K92" s="1" t="e">
        <f>VLOOKUP(A1,POsData!$A$1:$DZU$1000000,1559,FALSE)</f>
        <v>#N/A</v>
      </c>
      <c r="L92" s="1" t="e">
        <f>VLOOKUP(A1,POsData!$A$1:$DZU$1000000,1560,FALSE)</f>
        <v>#N/A</v>
      </c>
      <c r="M92" s="1" t="e">
        <f>VLOOKUP(A1,POsData!$A$1:$DZU$1000000,1561,FALSE)</f>
        <v>#N/A</v>
      </c>
      <c r="N92" s="1" t="e">
        <f>VLOOKUP(A1,POsData!$A$1:$DZU$1000000,1562,FALSE)</f>
        <v>#N/A</v>
      </c>
      <c r="O92" s="1" t="e">
        <f>VLOOKUP(A1,POsData!$A$1:$DZU$1000000,1563,FALSE)</f>
        <v>#N/A</v>
      </c>
      <c r="P92" s="1" t="e">
        <f>VLOOKUP(A1,POsData!$A$1:$DZU$1000000,1564,FALSE)</f>
        <v>#N/A</v>
      </c>
      <c r="Q92" s="101" t="e">
        <f>VLOOKUP(A1,POsData!$A$1:$DZU$1000000,1565,FALSE)</f>
        <v>#N/A</v>
      </c>
    </row>
    <row r="93" spans="1:17" x14ac:dyDescent="0.35">
      <c r="A93" s="113" t="e">
        <f>VLOOKUP(A1,POsData!$A$1:$DZU$1000000,1566,FALSE)</f>
        <v>#N/A</v>
      </c>
      <c r="B93" s="1" t="e">
        <f>VLOOKUP(A1,POsData!$A$1:$DZU$1000000,1567,FALSE)</f>
        <v>#N/A</v>
      </c>
      <c r="C93" s="1" t="e">
        <f>VLOOKUP(A1,POsData!$A$1:$DZU$1000000,1568,FALSE)</f>
        <v>#N/A</v>
      </c>
      <c r="D93" s="1" t="e">
        <f>VLOOKUP(A1,POsData!$A$1:$DZU$1000000,1569,FALSE)</f>
        <v>#N/A</v>
      </c>
      <c r="E93" s="1" t="e">
        <f>VLOOKUP(A1,POsData!$A$1:$DZU$1000000,1570,FALSE)</f>
        <v>#N/A</v>
      </c>
      <c r="F93" s="1" t="e">
        <f>VLOOKUP(A1,POsData!$A$1:$DZU$1000000,1571,FALSE)</f>
        <v>#N/A</v>
      </c>
      <c r="G93" s="1" t="e">
        <f>VLOOKUP(A1,POsData!$A$1:$DZU$1000000,1572,FALSE)</f>
        <v>#N/A</v>
      </c>
      <c r="H93" s="1" t="e">
        <f>VLOOKUP(A1,POsData!$A$1:$DZU$1000000,1573,FALSE)</f>
        <v>#N/A</v>
      </c>
      <c r="I93" s="1" t="e">
        <f>VLOOKUP(A1,POsData!$A$1:$DZU$1000000,1574,FALSE)</f>
        <v>#N/A</v>
      </c>
      <c r="J93" s="1" t="e">
        <f>VLOOKUP(A1,POsData!$A$1:$DZU$1000000,1575,FALSE)</f>
        <v>#N/A</v>
      </c>
      <c r="K93" s="1" t="e">
        <f>VLOOKUP(A1,POsData!$A$1:$DZU$1000000,1576,FALSE)</f>
        <v>#N/A</v>
      </c>
      <c r="L93" s="1" t="e">
        <f>VLOOKUP(A1,POsData!$A$1:$DZU$1000000,1577,FALSE)</f>
        <v>#N/A</v>
      </c>
      <c r="M93" s="1" t="e">
        <f>VLOOKUP(A1,POsData!$A$1:$DZU$1000000,1578,FALSE)</f>
        <v>#N/A</v>
      </c>
      <c r="N93" s="1" t="e">
        <f>VLOOKUP(A1,POsData!$A$1:$DZU$1000000,1579,FALSE)</f>
        <v>#N/A</v>
      </c>
      <c r="O93" s="1" t="e">
        <f>VLOOKUP(A1,POsData!$A$1:$DZU$1000000,1580,FALSE)</f>
        <v>#N/A</v>
      </c>
      <c r="P93" s="1" t="e">
        <f>VLOOKUP(A1,POsData!$A$1:$DZU$1000000,1581,FALSE)</f>
        <v>#N/A</v>
      </c>
      <c r="Q93" s="101" t="e">
        <f>VLOOKUP(A1,POsData!$A$1:$DZU$1000000,1582,FALSE)</f>
        <v>#N/A</v>
      </c>
    </row>
    <row r="94" spans="1:17" x14ac:dyDescent="0.35">
      <c r="A94" s="113" t="e">
        <f>VLOOKUP(A1,POsData!$A$1:$DZU$1000000,1583,FALSE)</f>
        <v>#N/A</v>
      </c>
      <c r="B94" s="1" t="e">
        <f>VLOOKUP(A1,POsData!$A$1:$DZU$1000000,1584,FALSE)</f>
        <v>#N/A</v>
      </c>
      <c r="C94" s="1" t="e">
        <f>VLOOKUP(A1,POsData!$A$1:$DZU$1000000,1585,FALSE)</f>
        <v>#N/A</v>
      </c>
      <c r="D94" s="1" t="e">
        <f>VLOOKUP(A1,POsData!$A$1:$DZU$1000000,1586,FALSE)</f>
        <v>#N/A</v>
      </c>
      <c r="E94" s="1" t="e">
        <f>VLOOKUP(A1,POsData!$A$1:$DZU$1000000,1587,FALSE)</f>
        <v>#N/A</v>
      </c>
      <c r="F94" s="1" t="e">
        <f>VLOOKUP(A1,POsData!$A$1:$DZU$1000000,1588,FALSE)</f>
        <v>#N/A</v>
      </c>
      <c r="G94" s="1" t="e">
        <f>VLOOKUP(A1,POsData!$A$1:$DZU$1000000,1589,FALSE)</f>
        <v>#N/A</v>
      </c>
      <c r="H94" s="1" t="e">
        <f>VLOOKUP(A1,POsData!$A$1:$DZU$1000000,1590,FALSE)</f>
        <v>#N/A</v>
      </c>
      <c r="I94" s="1" t="e">
        <f>VLOOKUP(A1,POsData!$A$1:$DZU$1000000,1591,FALSE)</f>
        <v>#N/A</v>
      </c>
      <c r="J94" s="1" t="e">
        <f>VLOOKUP(A1,POsData!$A$1:$DZU$1000000,1592,FALSE)</f>
        <v>#N/A</v>
      </c>
      <c r="K94" s="1" t="e">
        <f>VLOOKUP(A1,POsData!$A$1:$DZU$1000000,1593,FALSE)</f>
        <v>#N/A</v>
      </c>
      <c r="L94" s="1" t="e">
        <f>VLOOKUP(A1,POsData!$A$1:$DZU$1000000,1594,FALSE)</f>
        <v>#N/A</v>
      </c>
      <c r="M94" s="1" t="e">
        <f>VLOOKUP(A1,POsData!$A$1:$DZU$1000000,1595,FALSE)</f>
        <v>#N/A</v>
      </c>
      <c r="N94" s="1" t="e">
        <f>VLOOKUP(A1,POsData!$A$1:$DZU$1000000,1596,FALSE)</f>
        <v>#N/A</v>
      </c>
      <c r="O94" s="1" t="e">
        <f>VLOOKUP(A1,POsData!$A$1:$DZU$1000000,1597,FALSE)</f>
        <v>#N/A</v>
      </c>
      <c r="P94" s="1" t="e">
        <f>VLOOKUP(A1,POsData!$A$1:$DZU$1000000,1598,FALSE)</f>
        <v>#N/A</v>
      </c>
      <c r="Q94" s="101" t="e">
        <f>VLOOKUP(A1,POsData!$A$1:$DZU$1000000,1599,FALSE)</f>
        <v>#N/A</v>
      </c>
    </row>
    <row r="95" spans="1:17" x14ac:dyDescent="0.35">
      <c r="A95" s="113" t="e">
        <f>VLOOKUP(A1,POsData!$A$1:$DZU$1000000,1600,FALSE)</f>
        <v>#N/A</v>
      </c>
      <c r="B95" s="1" t="e">
        <f>VLOOKUP(A1,POsData!$A$1:$DZU$1000000,1601,FALSE)</f>
        <v>#N/A</v>
      </c>
      <c r="C95" s="1" t="e">
        <f>VLOOKUP(A1,POsData!$A$1:$DZU$1000000,1602,FALSE)</f>
        <v>#N/A</v>
      </c>
      <c r="D95" s="1" t="e">
        <f>VLOOKUP(A1,POsData!$A$1:$DZU$1000000,1603,FALSE)</f>
        <v>#N/A</v>
      </c>
      <c r="E95" s="1" t="e">
        <f>VLOOKUP(A1,POsData!$A$1:$DZU$1000000,1604,FALSE)</f>
        <v>#N/A</v>
      </c>
      <c r="F95" s="1" t="e">
        <f>VLOOKUP(A1,POsData!$A$1:$DZU$1000000,1605,FALSE)</f>
        <v>#N/A</v>
      </c>
      <c r="G95" s="1" t="e">
        <f>VLOOKUP(A1,POsData!$A$1:$DZU$1000000,1606,FALSE)</f>
        <v>#N/A</v>
      </c>
      <c r="H95" s="1" t="e">
        <f>VLOOKUP(A1,POsData!$A$1:$DZU$1000000,1607,FALSE)</f>
        <v>#N/A</v>
      </c>
      <c r="I95" s="1" t="e">
        <f>VLOOKUP(A1,POsData!$A$1:$DZU$1000000,1608,FALSE)</f>
        <v>#N/A</v>
      </c>
      <c r="J95" s="1" t="e">
        <f>VLOOKUP(A1,POsData!$A$1:$DZU$1000000,1609,FALSE)</f>
        <v>#N/A</v>
      </c>
      <c r="K95" s="1" t="e">
        <f>VLOOKUP(A1,POsData!$A$1:$DZU$1000000,1610,FALSE)</f>
        <v>#N/A</v>
      </c>
      <c r="L95" s="1" t="e">
        <f>VLOOKUP(A1,POsData!$A$1:$DZU$1000000,1611,FALSE)</f>
        <v>#N/A</v>
      </c>
      <c r="M95" s="1" t="e">
        <f>VLOOKUP(A1,POsData!$A$1:$DZU$1000000,1612,FALSE)</f>
        <v>#N/A</v>
      </c>
      <c r="N95" s="1" t="e">
        <f>VLOOKUP(A1,POsData!$A$1:$DZU$1000000,1613,FALSE)</f>
        <v>#N/A</v>
      </c>
      <c r="O95" s="1" t="e">
        <f>VLOOKUP(A1,POsData!$A$1:$DZU$1000000,1614,FALSE)</f>
        <v>#N/A</v>
      </c>
      <c r="P95" s="1" t="e">
        <f>VLOOKUP(A1,POsData!$A$1:$DZU$1000000,1615,FALSE)</f>
        <v>#N/A</v>
      </c>
      <c r="Q95" s="101" t="e">
        <f>VLOOKUP(A1,POsData!$A$1:$DZU$1000000,1616,FALSE)</f>
        <v>#N/A</v>
      </c>
    </row>
    <row r="96" spans="1:17" x14ac:dyDescent="0.35">
      <c r="A96" s="113" t="e">
        <f>VLOOKUP(A1,POsData!$A$1:$DZU$1000000,1617,FALSE)</f>
        <v>#N/A</v>
      </c>
      <c r="B96" s="1" t="e">
        <f>VLOOKUP(A1,POsData!$A$1:$DZU$1000000,1618,FALSE)</f>
        <v>#N/A</v>
      </c>
      <c r="C96" s="1" t="e">
        <f>VLOOKUP(A1,POsData!$A$1:$DZU$1000000,1619,FALSE)</f>
        <v>#N/A</v>
      </c>
      <c r="D96" s="1" t="e">
        <f>VLOOKUP(A1,POsData!$A$1:$DZU$1000000,1620,FALSE)</f>
        <v>#N/A</v>
      </c>
      <c r="E96" s="1" t="e">
        <f>VLOOKUP(A1,POsData!$A$1:$DZU$1000000,1621,FALSE)</f>
        <v>#N/A</v>
      </c>
      <c r="F96" s="1" t="e">
        <f>VLOOKUP(A1,POsData!$A$1:$DZU$1000000,1622,FALSE)</f>
        <v>#N/A</v>
      </c>
      <c r="G96" s="1" t="e">
        <f>VLOOKUP(A1,POsData!$A$1:$DZU$1000000,1623,FALSE)</f>
        <v>#N/A</v>
      </c>
      <c r="H96" s="1" t="e">
        <f>VLOOKUP(A1,POsData!$A$1:$DZU$1000000,1624,FALSE)</f>
        <v>#N/A</v>
      </c>
      <c r="I96" s="1" t="e">
        <f>VLOOKUP(A1,POsData!$A$1:$DZU$1000000,1625,FALSE)</f>
        <v>#N/A</v>
      </c>
      <c r="J96" s="1" t="e">
        <f>VLOOKUP(A1,POsData!$A$1:$DZU$1000000,1626,FALSE)</f>
        <v>#N/A</v>
      </c>
      <c r="K96" s="1" t="e">
        <f>VLOOKUP(A1,POsData!$A$1:$DZU$1000000,1627,FALSE)</f>
        <v>#N/A</v>
      </c>
      <c r="L96" s="1" t="e">
        <f>VLOOKUP(A1,POsData!$A$1:$DZU$1000000,1628,FALSE)</f>
        <v>#N/A</v>
      </c>
      <c r="M96" s="1" t="e">
        <f>VLOOKUP(A1,POsData!$A$1:$DZU$1000000,1629,FALSE)</f>
        <v>#N/A</v>
      </c>
      <c r="N96" s="1" t="e">
        <f>VLOOKUP(A1,POsData!$A$1:$DZU$1000000,1630,FALSE)</f>
        <v>#N/A</v>
      </c>
      <c r="O96" s="1" t="e">
        <f>VLOOKUP(A1,POsData!$A$1:$DZU$1000000,1631,FALSE)</f>
        <v>#N/A</v>
      </c>
      <c r="P96" s="1" t="e">
        <f>VLOOKUP(A1,POsData!$A$1:$DZU$1000000,1632,FALSE)</f>
        <v>#N/A</v>
      </c>
      <c r="Q96" s="101" t="e">
        <f>VLOOKUP(A1,POsData!$A$1:$DZU$1000000,1633,FALSE)</f>
        <v>#N/A</v>
      </c>
    </row>
    <row r="97" spans="1:17" x14ac:dyDescent="0.35">
      <c r="A97" s="113" t="e">
        <f>VLOOKUP(A1,POsData!$A$1:$DZU$1000000,1634,FALSE)</f>
        <v>#N/A</v>
      </c>
      <c r="B97" s="1" t="e">
        <f>VLOOKUP(A1,POsData!$A$1:$DZU$1000000,1635,FALSE)</f>
        <v>#N/A</v>
      </c>
      <c r="C97" s="1" t="e">
        <f>VLOOKUP(A1,POsData!$A$1:$DZU$1000000,1636,FALSE)</f>
        <v>#N/A</v>
      </c>
      <c r="D97" s="1" t="e">
        <f>VLOOKUP(A1,POsData!$A$1:$DZU$1000000,1637,FALSE)</f>
        <v>#N/A</v>
      </c>
      <c r="E97" s="1" t="e">
        <f>VLOOKUP(A1,POsData!$A$1:$DZU$1000000,1638,FALSE)</f>
        <v>#N/A</v>
      </c>
      <c r="F97" s="1" t="e">
        <f>VLOOKUP(A1,POsData!$A$1:$DZU$1000000,1639,FALSE)</f>
        <v>#N/A</v>
      </c>
      <c r="G97" s="1" t="e">
        <f>VLOOKUP(A1,POsData!$A$1:$DZU$1000000,1640,FALSE)</f>
        <v>#N/A</v>
      </c>
      <c r="H97" s="1" t="e">
        <f>VLOOKUP(A1,POsData!$A$1:$DZU$1000000,1641,FALSE)</f>
        <v>#N/A</v>
      </c>
      <c r="I97" s="1" t="e">
        <f>VLOOKUP(A1,POsData!$A$1:$DZU$1000000,1642,FALSE)</f>
        <v>#N/A</v>
      </c>
      <c r="J97" s="1" t="e">
        <f>VLOOKUP(A1,POsData!$A$1:$DZU$1000000,1643,FALSE)</f>
        <v>#N/A</v>
      </c>
      <c r="K97" s="1" t="e">
        <f>VLOOKUP(A1,POsData!$A$1:$DZU$1000000,1644,FALSE)</f>
        <v>#N/A</v>
      </c>
      <c r="L97" s="1" t="e">
        <f>VLOOKUP(A1,POsData!$A$1:$DZU$1000000,1645,FALSE)</f>
        <v>#N/A</v>
      </c>
      <c r="M97" s="1" t="e">
        <f>VLOOKUP(A1,POsData!$A$1:$DZU$1000000,1646,FALSE)</f>
        <v>#N/A</v>
      </c>
      <c r="N97" s="1" t="e">
        <f>VLOOKUP(A1,POsData!$A$1:$DZU$1000000,1647,FALSE)</f>
        <v>#N/A</v>
      </c>
      <c r="O97" s="1" t="e">
        <f>VLOOKUP(A1,POsData!$A$1:$DZU$1000000,1648,FALSE)</f>
        <v>#N/A</v>
      </c>
      <c r="P97" s="1" t="e">
        <f>VLOOKUP(A1,POsData!$A$1:$DZU$1000000,1649,FALSE)</f>
        <v>#N/A</v>
      </c>
      <c r="Q97" s="101" t="e">
        <f>VLOOKUP(A1,POsData!$A$1:$DZU$1000000,1650,FALSE)</f>
        <v>#N/A</v>
      </c>
    </row>
    <row r="98" spans="1:17" x14ac:dyDescent="0.35">
      <c r="A98" s="113" t="e">
        <f>VLOOKUP(A1,POsData!$A$1:$DZU$1000000,1651,FALSE)</f>
        <v>#N/A</v>
      </c>
      <c r="B98" s="1" t="e">
        <f>VLOOKUP(A1,POsData!$A$1:$DZU$1000000,1652,FALSE)</f>
        <v>#N/A</v>
      </c>
      <c r="C98" s="1" t="e">
        <f>VLOOKUP(A1,POsData!$A$1:$DZU$1000000,1653,FALSE)</f>
        <v>#N/A</v>
      </c>
      <c r="D98" s="1" t="e">
        <f>VLOOKUP(A1,POsData!$A$1:$DZU$1000000,1654,FALSE)</f>
        <v>#N/A</v>
      </c>
      <c r="E98" s="1" t="e">
        <f>VLOOKUP(A1,POsData!$A$1:$DZU$1000000,1655,FALSE)</f>
        <v>#N/A</v>
      </c>
      <c r="F98" s="1" t="e">
        <f>VLOOKUP(A1,POsData!$A$1:$DZU$1000000,1656,FALSE)</f>
        <v>#N/A</v>
      </c>
      <c r="G98" s="1" t="e">
        <f>VLOOKUP(A1,POsData!$A$1:$DZU$1000000,1657,FALSE)</f>
        <v>#N/A</v>
      </c>
      <c r="H98" s="1" t="e">
        <f>VLOOKUP(A1,POsData!$A$1:$DZU$1000000,1658,FALSE)</f>
        <v>#N/A</v>
      </c>
      <c r="I98" s="1" t="e">
        <f>VLOOKUP(A1,POsData!$A$1:$DZU$1000000,1659,FALSE)</f>
        <v>#N/A</v>
      </c>
      <c r="J98" s="1" t="e">
        <f>VLOOKUP(A1,POsData!$A$1:$DZU$1000000,1660,FALSE)</f>
        <v>#N/A</v>
      </c>
      <c r="K98" s="1" t="e">
        <f>VLOOKUP(A1,POsData!$A$1:$DZU$1000000,1661,FALSE)</f>
        <v>#N/A</v>
      </c>
      <c r="L98" s="1" t="e">
        <f>VLOOKUP(A1,POsData!$A$1:$DZU$1000000,1662,FALSE)</f>
        <v>#N/A</v>
      </c>
      <c r="M98" s="1" t="e">
        <f>VLOOKUP(A1,POsData!$A$1:$DZU$1000000,1663,FALSE)</f>
        <v>#N/A</v>
      </c>
      <c r="N98" s="1" t="e">
        <f>VLOOKUP(A1,POsData!$A$1:$DZU$1000000,1664,FALSE)</f>
        <v>#N/A</v>
      </c>
      <c r="O98" s="1" t="e">
        <f>VLOOKUP(A1,POsData!$A$1:$DZU$1000000,1665,FALSE)</f>
        <v>#N/A</v>
      </c>
      <c r="P98" s="1" t="e">
        <f>VLOOKUP(A1,POsData!$A$1:$DZU$1000000,1666,FALSE)</f>
        <v>#N/A</v>
      </c>
      <c r="Q98" s="101" t="e">
        <f>VLOOKUP(A1,POsData!$A$1:$DZU$1000000,1667,FALSE)</f>
        <v>#N/A</v>
      </c>
    </row>
    <row r="99" spans="1:17" x14ac:dyDescent="0.35">
      <c r="A99" s="113" t="e">
        <f>VLOOKUP(A1,POsData!$A$1:$DZU$1000000,1668,FALSE)</f>
        <v>#N/A</v>
      </c>
      <c r="B99" s="1" t="e">
        <f>VLOOKUP(A1,POsData!$A$1:$DZU$1000000,1669,FALSE)</f>
        <v>#N/A</v>
      </c>
      <c r="C99" s="1" t="e">
        <f>VLOOKUP(A1,POsData!$A$1:$DZU$1000000,1670,FALSE)</f>
        <v>#N/A</v>
      </c>
      <c r="D99" s="1" t="e">
        <f>VLOOKUP(A1,POsData!$A$1:$DZU$1000000,1671,FALSE)</f>
        <v>#N/A</v>
      </c>
      <c r="E99" s="1" t="e">
        <f>VLOOKUP(A1,POsData!$A$1:$DZU$1000000,1672,FALSE)</f>
        <v>#N/A</v>
      </c>
      <c r="F99" s="1" t="e">
        <f>VLOOKUP(A1,POsData!$A$1:$DZU$1000000,1673,FALSE)</f>
        <v>#N/A</v>
      </c>
      <c r="G99" s="1" t="e">
        <f>VLOOKUP(A1,POsData!$A$1:$DZU$1000000,1674,FALSE)</f>
        <v>#N/A</v>
      </c>
      <c r="H99" s="1" t="e">
        <f>VLOOKUP(A1,POsData!$A$1:$DZU$1000000,1675,FALSE)</f>
        <v>#N/A</v>
      </c>
      <c r="I99" s="1" t="e">
        <f>VLOOKUP(A1,POsData!$A$1:$DZU$1000000,1676,FALSE)</f>
        <v>#N/A</v>
      </c>
      <c r="J99" s="1" t="e">
        <f>VLOOKUP(A1,POsData!$A$1:$DZU$1000000,1677,FALSE)</f>
        <v>#N/A</v>
      </c>
      <c r="K99" s="1" t="e">
        <f>VLOOKUP(A1,POsData!$A$1:$DZU$1000000,1678,FALSE)</f>
        <v>#N/A</v>
      </c>
      <c r="L99" s="1" t="e">
        <f>VLOOKUP(A1,POsData!$A$1:$DZU$1000000,1679,FALSE)</f>
        <v>#N/A</v>
      </c>
      <c r="M99" s="1" t="e">
        <f>VLOOKUP(A1,POsData!$A$1:$DZU$1000000,1680,FALSE)</f>
        <v>#N/A</v>
      </c>
      <c r="N99" s="1" t="e">
        <f>VLOOKUP(A1,POsData!$A$1:$DZU$1000000,1681,FALSE)</f>
        <v>#N/A</v>
      </c>
      <c r="O99" s="1" t="e">
        <f>VLOOKUP(A1,POsData!$A$1:$DZU$1000000,1682,FALSE)</f>
        <v>#N/A</v>
      </c>
      <c r="P99" s="1" t="e">
        <f>VLOOKUP(A1,POsData!$A$1:$DZU$1000000,1683,FALSE)</f>
        <v>#N/A</v>
      </c>
      <c r="Q99" s="101" t="e">
        <f>VLOOKUP(A1,POsData!$A$1:$DZU$1000000,1684,FALSE)</f>
        <v>#N/A</v>
      </c>
    </row>
    <row r="100" spans="1:17" x14ac:dyDescent="0.35">
      <c r="A100" s="113" t="e">
        <f>VLOOKUP(A1,POsData!$A$1:$DZU$1000000,1685,FALSE)</f>
        <v>#N/A</v>
      </c>
      <c r="B100" s="1" t="e">
        <f>VLOOKUP(A1,POsData!$A$1:$DZU$1000000,1686,FALSE)</f>
        <v>#N/A</v>
      </c>
      <c r="C100" s="1" t="e">
        <f>VLOOKUP(A1,POsData!$A$1:$DZU$1000000,1687,FALSE)</f>
        <v>#N/A</v>
      </c>
      <c r="D100" s="1" t="e">
        <f>VLOOKUP(A1,POsData!$A$1:$DZU$1000000,1688,FALSE)</f>
        <v>#N/A</v>
      </c>
      <c r="E100" s="1" t="e">
        <f>VLOOKUP(A1,POsData!$A$1:$DZU$1000000,1689,FALSE)</f>
        <v>#N/A</v>
      </c>
      <c r="F100" s="1" t="e">
        <f>VLOOKUP(A1,POsData!$A$1:$DZU$1000000,1690,FALSE)</f>
        <v>#N/A</v>
      </c>
      <c r="G100" s="1" t="e">
        <f>VLOOKUP(A1,POsData!$A$1:$DZU$1000000,1691,FALSE)</f>
        <v>#N/A</v>
      </c>
      <c r="H100" s="1" t="e">
        <f>VLOOKUP(A1,POsData!$A$1:$DZU$1000000,1692,FALSE)</f>
        <v>#N/A</v>
      </c>
      <c r="I100" s="1" t="e">
        <f>VLOOKUP(A1,POsData!$A$1:$DZU$1000000,1693,FALSE)</f>
        <v>#N/A</v>
      </c>
      <c r="J100" s="1" t="e">
        <f>VLOOKUP(A1,POsData!$A$1:$DZU$1000000,1694,FALSE)</f>
        <v>#N/A</v>
      </c>
      <c r="K100" s="1" t="e">
        <f>VLOOKUP(A1,POsData!$A$1:$DZU$1000000,1695,FALSE)</f>
        <v>#N/A</v>
      </c>
      <c r="L100" s="1" t="e">
        <f>VLOOKUP(A1,POsData!$A$1:$DZU$1000000,1696,FALSE)</f>
        <v>#N/A</v>
      </c>
      <c r="M100" s="1" t="e">
        <f>VLOOKUP(A1,POsData!$A$1:$DZU$1000000,1697,FALSE)</f>
        <v>#N/A</v>
      </c>
      <c r="N100" s="1" t="e">
        <f>VLOOKUP(A1,POsData!$A$1:$DZU$1000000,1698,FALSE)</f>
        <v>#N/A</v>
      </c>
      <c r="O100" s="1" t="e">
        <f>VLOOKUP(A1,POsData!$A$1:$DZU$1000000,1699,FALSE)</f>
        <v>#N/A</v>
      </c>
      <c r="P100" s="1" t="e">
        <f>VLOOKUP(A1,POsData!$A$1:$DZU$1000000,1700,FALSE)</f>
        <v>#N/A</v>
      </c>
      <c r="Q100" s="101" t="e">
        <f>VLOOKUP(A1,POsData!$A$1:$DZU$1000000,1701,FALSE)</f>
        <v>#N/A</v>
      </c>
    </row>
    <row r="101" spans="1:17" x14ac:dyDescent="0.35">
      <c r="A101" s="113" t="e">
        <f>VLOOKUP(A1,POsData!$A$1:$DZU$1000000,1702,FALSE)</f>
        <v>#N/A</v>
      </c>
      <c r="B101" s="1" t="e">
        <f>VLOOKUP(A1,POsData!$A$1:$DZU$1000000,1703,FALSE)</f>
        <v>#N/A</v>
      </c>
      <c r="C101" s="1" t="e">
        <f>VLOOKUP(A1,POsData!$A$1:$DZU$1000000,1704,FALSE)</f>
        <v>#N/A</v>
      </c>
      <c r="D101" s="1" t="e">
        <f>VLOOKUP(A1,POsData!$A$1:$DZU$1000000,1705,FALSE)</f>
        <v>#N/A</v>
      </c>
      <c r="E101" s="1" t="e">
        <f>VLOOKUP(A1,POsData!$A$1:$DZU$1000000,1706,FALSE)</f>
        <v>#N/A</v>
      </c>
      <c r="F101" s="1" t="e">
        <f>VLOOKUP(A1,POsData!$A$1:$DZU$1000000,1707,FALSE)</f>
        <v>#N/A</v>
      </c>
      <c r="G101" s="1" t="e">
        <f>VLOOKUP(A1,POsData!$A$1:$DZU$1000000,1708,FALSE)</f>
        <v>#N/A</v>
      </c>
      <c r="H101" s="1" t="e">
        <f>VLOOKUP(A1,POsData!$A$1:$DZU$1000000,1709,FALSE)</f>
        <v>#N/A</v>
      </c>
      <c r="I101" s="1" t="e">
        <f>VLOOKUP(A1,POsData!$A$1:$DZU$1000000,1710,FALSE)</f>
        <v>#N/A</v>
      </c>
      <c r="J101" s="1" t="e">
        <f>VLOOKUP(A1,POsData!$A$1:$DZU$1000000,1711,FALSE)</f>
        <v>#N/A</v>
      </c>
      <c r="K101" s="1" t="e">
        <f>VLOOKUP(A1,POsData!$A$1:$DZU$1000000,1712,FALSE)</f>
        <v>#N/A</v>
      </c>
      <c r="L101" s="1" t="e">
        <f>VLOOKUP(A1,POsData!$A$1:$DZU$1000000,1713,FALSE)</f>
        <v>#N/A</v>
      </c>
      <c r="M101" s="1" t="e">
        <f>VLOOKUP(A1,POsData!$A$1:$DZU$1000000,1714,FALSE)</f>
        <v>#N/A</v>
      </c>
      <c r="N101" s="1" t="e">
        <f>VLOOKUP(A1,POsData!$A$1:$DZU$1000000,1715,FALSE)</f>
        <v>#N/A</v>
      </c>
      <c r="O101" s="1" t="e">
        <f>VLOOKUP(A1,POsData!$A$1:$DZU$1000000,1716,FALSE)</f>
        <v>#N/A</v>
      </c>
      <c r="P101" s="1" t="e">
        <f>VLOOKUP(A1,POsData!$A$1:$DZU$1000000,1717,FALSE)</f>
        <v>#N/A</v>
      </c>
      <c r="Q101" s="101" t="e">
        <f>VLOOKUP(A1,POsData!$A$1:$DZU$1000000,1718,FALSE)</f>
        <v>#N/A</v>
      </c>
    </row>
    <row r="102" spans="1:17" x14ac:dyDescent="0.35">
      <c r="A102" s="113" t="e">
        <f>VLOOKUP(A1,POsData!$A$1:$DZU$1000000,1719,FALSE)</f>
        <v>#N/A</v>
      </c>
      <c r="B102" s="1" t="e">
        <f>VLOOKUP(A1,POsData!$A$1:$DZU$1000000,1720,FALSE)</f>
        <v>#N/A</v>
      </c>
      <c r="C102" s="1" t="e">
        <f>VLOOKUP(A1,POsData!$A$1:$DZU$1000000,1721,FALSE)</f>
        <v>#N/A</v>
      </c>
      <c r="D102" s="1" t="e">
        <f>VLOOKUP(A1,POsData!$A$1:$DZU$1000000,1722,FALSE)</f>
        <v>#N/A</v>
      </c>
      <c r="E102" s="1" t="e">
        <f>VLOOKUP(A1,POsData!$A$1:$DZU$1000000,1723,FALSE)</f>
        <v>#N/A</v>
      </c>
      <c r="F102" s="1" t="e">
        <f>VLOOKUP(A1,POsData!$A$1:$DZU$1000000,1724,FALSE)</f>
        <v>#N/A</v>
      </c>
      <c r="G102" s="1" t="e">
        <f>VLOOKUP(A1,POsData!$A$1:$DZU$1000000,1725,FALSE)</f>
        <v>#N/A</v>
      </c>
      <c r="H102" s="1" t="e">
        <f>VLOOKUP(A1,POsData!$A$1:$DZU$1000000,1726,FALSE)</f>
        <v>#N/A</v>
      </c>
      <c r="I102" s="1" t="e">
        <f>VLOOKUP(A1,POsData!$A$1:$DZU$1000000,1727,FALSE)</f>
        <v>#N/A</v>
      </c>
      <c r="J102" s="1" t="e">
        <f>VLOOKUP(A1,POsData!$A$1:$DZU$1000000,1728,FALSE)</f>
        <v>#N/A</v>
      </c>
      <c r="K102" s="1" t="e">
        <f>VLOOKUP(A1,POsData!$A$1:$DZU$1000000,1729,FALSE)</f>
        <v>#N/A</v>
      </c>
      <c r="L102" s="1" t="e">
        <f>VLOOKUP(A1,POsData!$A$1:$DZU$1000000,1730,FALSE)</f>
        <v>#N/A</v>
      </c>
      <c r="M102" s="1" t="e">
        <f>VLOOKUP(A1,POsData!$A$1:$DZU$1000000,1731,FALSE)</f>
        <v>#N/A</v>
      </c>
      <c r="N102" s="1" t="e">
        <f>VLOOKUP(A1,POsData!$A$1:$DZU$1000000,1732,FALSE)</f>
        <v>#N/A</v>
      </c>
      <c r="O102" s="1" t="e">
        <f>VLOOKUP(A1,POsData!$A$1:$DZU$1000000,1733,FALSE)</f>
        <v>#N/A</v>
      </c>
      <c r="P102" s="1" t="e">
        <f>VLOOKUP(A1,POsData!$A$1:$DZU$1000000,1734,FALSE)</f>
        <v>#N/A</v>
      </c>
      <c r="Q102" s="101" t="e">
        <f>VLOOKUP(A1,POsData!$A$1:$DZU$1000000,1735,FALSE)</f>
        <v>#N/A</v>
      </c>
    </row>
    <row r="103" spans="1:17" x14ac:dyDescent="0.35">
      <c r="A103" s="113" t="e">
        <f>VLOOKUP(A1,POsData!$A$1:$DZU$1000000,1736,FALSE)</f>
        <v>#N/A</v>
      </c>
      <c r="B103" s="1" t="e">
        <f>VLOOKUP(A1,POsData!$A$1:$DZU$1000000,1737,FALSE)</f>
        <v>#N/A</v>
      </c>
      <c r="C103" s="1" t="e">
        <f>VLOOKUP(A1,POsData!$A$1:$DZU$1000000,1738,FALSE)</f>
        <v>#N/A</v>
      </c>
      <c r="D103" s="1" t="e">
        <f>VLOOKUP(A1,POsData!$A$1:$DZU$1000000,1739,FALSE)</f>
        <v>#N/A</v>
      </c>
      <c r="E103" s="1" t="e">
        <f>VLOOKUP(A1,POsData!$A$1:$DZU$1000000,1740,FALSE)</f>
        <v>#N/A</v>
      </c>
      <c r="F103" s="1" t="e">
        <f>VLOOKUP(A1,POsData!$A$1:$DZU$1000000,1741,FALSE)</f>
        <v>#N/A</v>
      </c>
      <c r="G103" s="1" t="e">
        <f>VLOOKUP(A1,POsData!$A$1:$DZU$1000000,1742,FALSE)</f>
        <v>#N/A</v>
      </c>
      <c r="H103" s="1" t="e">
        <f>VLOOKUP(A1,POsData!$A$1:$DZU$1000000,1743,FALSE)</f>
        <v>#N/A</v>
      </c>
      <c r="I103" s="1" t="e">
        <f>VLOOKUP(A1,POsData!$A$1:$DZU$1000000,1744,FALSE)</f>
        <v>#N/A</v>
      </c>
      <c r="J103" s="1" t="e">
        <f>VLOOKUP(A1,POsData!$A$1:$DZU$1000000,1745,FALSE)</f>
        <v>#N/A</v>
      </c>
      <c r="K103" s="1" t="e">
        <f>VLOOKUP(A1,POsData!$A$1:$DZU$1000000,1746,FALSE)</f>
        <v>#N/A</v>
      </c>
      <c r="L103" s="1" t="e">
        <f>VLOOKUP(A1,POsData!$A$1:$DZU$1000000,1747,FALSE)</f>
        <v>#N/A</v>
      </c>
      <c r="M103" s="1" t="e">
        <f>VLOOKUP(A1,POsData!$A$1:$DZU$1000000,1748,FALSE)</f>
        <v>#N/A</v>
      </c>
      <c r="N103" s="1" t="e">
        <f>VLOOKUP(A1,POsData!$A$1:$DZU$1000000,1749,FALSE)</f>
        <v>#N/A</v>
      </c>
      <c r="O103" s="1" t="e">
        <f>VLOOKUP(A1,POsData!$A$1:$DZU$1000000,1750,FALSE)</f>
        <v>#N/A</v>
      </c>
      <c r="P103" s="1" t="e">
        <f>VLOOKUP(A1,POsData!$A$1:$DZU$1000000,1751,FALSE)</f>
        <v>#N/A</v>
      </c>
      <c r="Q103" s="101" t="e">
        <f>VLOOKUP(A1,POsData!$A$1:$DZU$1000000,1752,FALSE)</f>
        <v>#N/A</v>
      </c>
    </row>
    <row r="104" spans="1:17" x14ac:dyDescent="0.35">
      <c r="A104" s="113" t="e">
        <f>VLOOKUP(A1,POsData!$A$1:$DZU$1000000,1753,FALSE)</f>
        <v>#N/A</v>
      </c>
      <c r="B104" s="1" t="e">
        <f>VLOOKUP(A1,POsData!$A$1:$DZU$1000000,1754,FALSE)</f>
        <v>#N/A</v>
      </c>
      <c r="C104" s="1" t="e">
        <f>VLOOKUP(A1,POsData!$A$1:$DZU$1000000,1755,FALSE)</f>
        <v>#N/A</v>
      </c>
      <c r="D104" s="1" t="e">
        <f>VLOOKUP(A1,POsData!$A$1:$DZU$1000000,1756,FALSE)</f>
        <v>#N/A</v>
      </c>
      <c r="E104" s="1" t="e">
        <f>VLOOKUP(A1,POsData!$A$1:$DZU$1000000,1757,FALSE)</f>
        <v>#N/A</v>
      </c>
      <c r="F104" s="1" t="e">
        <f>VLOOKUP(A1,POsData!$A$1:$DZU$1000000,1758,FALSE)</f>
        <v>#N/A</v>
      </c>
      <c r="G104" s="1" t="e">
        <f>VLOOKUP(A1,POsData!$A$1:$DZU$1000000,1759,FALSE)</f>
        <v>#N/A</v>
      </c>
      <c r="H104" s="1" t="e">
        <f>VLOOKUP(A1,POsData!$A$1:$DZU$1000000,1760,FALSE)</f>
        <v>#N/A</v>
      </c>
      <c r="I104" s="1" t="e">
        <f>VLOOKUP(A1,POsData!$A$1:$DZU$1000000,1761,FALSE)</f>
        <v>#N/A</v>
      </c>
      <c r="J104" s="1" t="e">
        <f>VLOOKUP(A1,POsData!$A$1:$DZU$1000000,1762,FALSE)</f>
        <v>#N/A</v>
      </c>
      <c r="K104" s="1" t="e">
        <f>VLOOKUP(A1,POsData!$A$1:$DZU$1000000,1763,FALSE)</f>
        <v>#N/A</v>
      </c>
      <c r="L104" s="1" t="e">
        <f>VLOOKUP(A1,POsData!$A$1:$DZU$1000000,1764,FALSE)</f>
        <v>#N/A</v>
      </c>
      <c r="M104" s="1" t="e">
        <f>VLOOKUP(A1,POsData!$A$1:$DZU$1000000,1765,FALSE)</f>
        <v>#N/A</v>
      </c>
      <c r="N104" s="1" t="e">
        <f>VLOOKUP(A1,POsData!$A$1:$DZU$1000000,1766,FALSE)</f>
        <v>#N/A</v>
      </c>
      <c r="O104" s="1" t="e">
        <f>VLOOKUP(A1,POsData!$A$1:$DZU$1000000,1767,FALSE)</f>
        <v>#N/A</v>
      </c>
      <c r="P104" s="1" t="e">
        <f>VLOOKUP(A1,POsData!$A$1:$DZU$1000000,1768,FALSE)</f>
        <v>#N/A</v>
      </c>
      <c r="Q104" s="101" t="e">
        <f>VLOOKUP(A1,POsData!$A$1:$DZU$1000000,1769,FALSE)</f>
        <v>#N/A</v>
      </c>
    </row>
    <row r="105" spans="1:17" x14ac:dyDescent="0.35">
      <c r="A105" s="113" t="e">
        <f>VLOOKUP(A1,POsData!$A$1:$DZU$1000000,1770,FALSE)</f>
        <v>#N/A</v>
      </c>
      <c r="B105" s="1" t="e">
        <f>VLOOKUP(A1,POsData!$A$1:$DZU$1000000,1771,FALSE)</f>
        <v>#N/A</v>
      </c>
      <c r="C105" s="1" t="e">
        <f>VLOOKUP(A1,POsData!$A$1:$DZU$1000000,1772,FALSE)</f>
        <v>#N/A</v>
      </c>
      <c r="D105" s="1" t="e">
        <f>VLOOKUP(A1,POsData!$A$1:$DZU$1000000,1773,FALSE)</f>
        <v>#N/A</v>
      </c>
      <c r="E105" s="1" t="e">
        <f>VLOOKUP(A1,POsData!$A$1:$DZU$1000000,1774,FALSE)</f>
        <v>#N/A</v>
      </c>
      <c r="F105" s="1" t="e">
        <f>VLOOKUP(A1,POsData!$A$1:$DZU$1000000,1775,FALSE)</f>
        <v>#N/A</v>
      </c>
      <c r="G105" s="1" t="e">
        <f>VLOOKUP(A1,POsData!$A$1:$DZU$1000000,1776,FALSE)</f>
        <v>#N/A</v>
      </c>
      <c r="H105" s="1" t="e">
        <f>VLOOKUP(A1,POsData!$A$1:$DZU$1000000,1777,FALSE)</f>
        <v>#N/A</v>
      </c>
      <c r="I105" s="1" t="e">
        <f>VLOOKUP(A1,POsData!$A$1:$DZU$1000000,1778,FALSE)</f>
        <v>#N/A</v>
      </c>
      <c r="J105" s="1" t="e">
        <f>VLOOKUP(A1,POsData!$A$1:$DZU$1000000,1779,FALSE)</f>
        <v>#N/A</v>
      </c>
      <c r="K105" s="1" t="e">
        <f>VLOOKUP(A1,POsData!$A$1:$DZU$1000000,1780,FALSE)</f>
        <v>#N/A</v>
      </c>
      <c r="L105" s="1" t="e">
        <f>VLOOKUP(A1,POsData!$A$1:$DZU$1000000,1781,FALSE)</f>
        <v>#N/A</v>
      </c>
      <c r="M105" s="1" t="e">
        <f>VLOOKUP(A1,POsData!$A$1:$DZU$1000000,1782,FALSE)</f>
        <v>#N/A</v>
      </c>
      <c r="N105" s="1" t="e">
        <f>VLOOKUP(A1,POsData!$A$1:$DZU$1000000,1783,FALSE)</f>
        <v>#N/A</v>
      </c>
      <c r="O105" s="1" t="e">
        <f>VLOOKUP(A1,POsData!$A$1:$DZU$1000000,1784,FALSE)</f>
        <v>#N/A</v>
      </c>
      <c r="P105" s="1" t="e">
        <f>VLOOKUP(A1,POsData!$A$1:$DZU$1000000,1785,FALSE)</f>
        <v>#N/A</v>
      </c>
      <c r="Q105" s="101" t="e">
        <f>VLOOKUP(A1,POsData!$A$1:$DZU$1000000,1786,FALSE)</f>
        <v>#N/A</v>
      </c>
    </row>
    <row r="106" spans="1:17" x14ac:dyDescent="0.35">
      <c r="A106" s="113" t="e">
        <f>VLOOKUP(A1,POsData!$A$1:$DZU$1000000,1787,FALSE)</f>
        <v>#N/A</v>
      </c>
      <c r="B106" s="1" t="e">
        <f>VLOOKUP(A1,POsData!$A$1:$DZU$1000000,1788,FALSE)</f>
        <v>#N/A</v>
      </c>
      <c r="C106" s="1" t="e">
        <f>VLOOKUP(A1,POsData!$A$1:$DZU$1000000,1789,FALSE)</f>
        <v>#N/A</v>
      </c>
      <c r="D106" s="1" t="e">
        <f>VLOOKUP(A1,POsData!$A$1:$DZU$1000000,1790,FALSE)</f>
        <v>#N/A</v>
      </c>
      <c r="E106" s="1" t="e">
        <f>VLOOKUP(A1,POsData!$A$1:$DZU$1000000,1791,FALSE)</f>
        <v>#N/A</v>
      </c>
      <c r="F106" s="1" t="e">
        <f>VLOOKUP(A1,POsData!$A$1:$DZU$1000000,1792,FALSE)</f>
        <v>#N/A</v>
      </c>
      <c r="G106" s="1" t="e">
        <f>VLOOKUP(A1,POsData!$A$1:$DZU$1000000,1793,FALSE)</f>
        <v>#N/A</v>
      </c>
      <c r="H106" s="1" t="e">
        <f>VLOOKUP(A1,POsData!$A$1:$DZU$1000000,1794,FALSE)</f>
        <v>#N/A</v>
      </c>
      <c r="I106" s="1" t="e">
        <f>VLOOKUP(A1,POsData!$A$1:$DZU$1000000,1795,FALSE)</f>
        <v>#N/A</v>
      </c>
      <c r="J106" s="1" t="e">
        <f>VLOOKUP(A1,POsData!$A$1:$DZU$1000000,1796,FALSE)</f>
        <v>#N/A</v>
      </c>
      <c r="K106" s="1" t="e">
        <f>VLOOKUP(A1,POsData!$A$1:$DZU$1000000,1797,FALSE)</f>
        <v>#N/A</v>
      </c>
      <c r="L106" s="1" t="e">
        <f>VLOOKUP(A1,POsData!$A$1:$DZU$1000000,1798,FALSE)</f>
        <v>#N/A</v>
      </c>
      <c r="M106" s="1" t="e">
        <f>VLOOKUP(A1,POsData!$A$1:$DZU$1000000,1799,FALSE)</f>
        <v>#N/A</v>
      </c>
      <c r="N106" s="1" t="e">
        <f>VLOOKUP(A1,POsData!$A$1:$DZU$1000000,1800,FALSE)</f>
        <v>#N/A</v>
      </c>
      <c r="O106" s="1" t="e">
        <f>VLOOKUP(A1,POsData!$A$1:$DZU$1000000,1801,FALSE)</f>
        <v>#N/A</v>
      </c>
      <c r="P106" s="1" t="e">
        <f>VLOOKUP(A1,POsData!$A$1:$DZU$1000000,1802,FALSE)</f>
        <v>#N/A</v>
      </c>
      <c r="Q106" s="101" t="e">
        <f>VLOOKUP(A1,POsData!$A$1:$DZU$1000000,1803,FALSE)</f>
        <v>#N/A</v>
      </c>
    </row>
    <row r="107" spans="1:17" x14ac:dyDescent="0.35">
      <c r="A107" s="113" t="e">
        <f>VLOOKUP(A1,POsData!$A$1:$DZU$1000000,1804,FALSE)</f>
        <v>#N/A</v>
      </c>
      <c r="B107" s="1" t="e">
        <f>VLOOKUP(A1,POsData!$A$1:$DZU$1000000,1805,FALSE)</f>
        <v>#N/A</v>
      </c>
      <c r="C107" s="1" t="e">
        <f>VLOOKUP(A1,POsData!$A$1:$DZU$1000000,1806,FALSE)</f>
        <v>#N/A</v>
      </c>
      <c r="D107" s="1" t="e">
        <f>VLOOKUP(A1,POsData!$A$1:$DZU$1000000,1807,FALSE)</f>
        <v>#N/A</v>
      </c>
      <c r="E107" s="1" t="e">
        <f>VLOOKUP(A1,POsData!$A$1:$DZU$1000000,1808,FALSE)</f>
        <v>#N/A</v>
      </c>
      <c r="F107" s="1" t="e">
        <f>VLOOKUP(A1,POsData!$A$1:$DZU$1000000,1809,FALSE)</f>
        <v>#N/A</v>
      </c>
      <c r="G107" s="1" t="e">
        <f>VLOOKUP(A1,POsData!$A$1:$DZU$1000000,1810,FALSE)</f>
        <v>#N/A</v>
      </c>
      <c r="H107" s="1" t="e">
        <f>VLOOKUP(A1,POsData!$A$1:$DZU$1000000,1811,FALSE)</f>
        <v>#N/A</v>
      </c>
      <c r="I107" s="1" t="e">
        <f>VLOOKUP(A1,POsData!$A$1:$DZU$1000000,1812,FALSE)</f>
        <v>#N/A</v>
      </c>
      <c r="J107" s="1" t="e">
        <f>VLOOKUP(A1,POsData!$A$1:$DZU$1000000,1813,FALSE)</f>
        <v>#N/A</v>
      </c>
      <c r="K107" s="1" t="e">
        <f>VLOOKUP(A1,POsData!$A$1:$DZU$1000000,1814,FALSE)</f>
        <v>#N/A</v>
      </c>
      <c r="L107" s="1" t="e">
        <f>VLOOKUP(A1,POsData!$A$1:$DZU$1000000,1815,FALSE)</f>
        <v>#N/A</v>
      </c>
      <c r="M107" s="1" t="e">
        <f>VLOOKUP(A1,POsData!$A$1:$DZU$1000000,1816,FALSE)</f>
        <v>#N/A</v>
      </c>
      <c r="N107" s="1" t="e">
        <f>VLOOKUP(A1,POsData!$A$1:$DZU$1000000,1817,FALSE)</f>
        <v>#N/A</v>
      </c>
      <c r="O107" s="1" t="e">
        <f>VLOOKUP(A1,POsData!$A$1:$DZU$1000000,1818,FALSE)</f>
        <v>#N/A</v>
      </c>
      <c r="P107" s="1" t="e">
        <f>VLOOKUP(A1,POsData!$A$1:$DZU$1000000,1819,FALSE)</f>
        <v>#N/A</v>
      </c>
      <c r="Q107" s="101" t="e">
        <f>VLOOKUP(A1,POsData!$A$1:$DZU$1000000,1820,FALSE)</f>
        <v>#N/A</v>
      </c>
    </row>
    <row r="108" spans="1:17" x14ac:dyDescent="0.35">
      <c r="A108" s="113" t="e">
        <f>VLOOKUP(A1,POsData!$A$1:$DZU$1000000,1821,FALSE)</f>
        <v>#N/A</v>
      </c>
      <c r="B108" s="1" t="e">
        <f>VLOOKUP(A1,POsData!$A$1:$DZU$1000000,1822,FALSE)</f>
        <v>#N/A</v>
      </c>
      <c r="C108" s="1" t="e">
        <f>VLOOKUP(A1,POsData!$A$1:$DZU$1000000,1823,FALSE)</f>
        <v>#N/A</v>
      </c>
      <c r="D108" s="1" t="e">
        <f>VLOOKUP(A1,POsData!$A$1:$DZU$1000000,1824,FALSE)</f>
        <v>#N/A</v>
      </c>
      <c r="E108" s="1" t="e">
        <f>VLOOKUP(A1,POsData!$A$1:$DZU$1000000,1825,FALSE)</f>
        <v>#N/A</v>
      </c>
      <c r="F108" s="1" t="e">
        <f>VLOOKUP(A1,POsData!$A$1:$DZU$1000000,1826,FALSE)</f>
        <v>#N/A</v>
      </c>
      <c r="G108" s="1" t="e">
        <f>VLOOKUP(A1,POsData!$A$1:$DZU$1000000,1827,FALSE)</f>
        <v>#N/A</v>
      </c>
      <c r="H108" s="1" t="e">
        <f>VLOOKUP(A1,POsData!$A$1:$DZU$1000000,1828,FALSE)</f>
        <v>#N/A</v>
      </c>
      <c r="I108" s="1" t="e">
        <f>VLOOKUP(A1,POsData!$A$1:$DZU$1000000,1829,FALSE)</f>
        <v>#N/A</v>
      </c>
      <c r="J108" s="1" t="e">
        <f>VLOOKUP(A1,POsData!$A$1:$DZU$1000000,1830,FALSE)</f>
        <v>#N/A</v>
      </c>
      <c r="K108" s="1" t="e">
        <f>VLOOKUP(A1,POsData!$A$1:$DZU$1000000,1831,FALSE)</f>
        <v>#N/A</v>
      </c>
      <c r="L108" s="1" t="e">
        <f>VLOOKUP(A1,POsData!$A$1:$DZU$1000000,1832,FALSE)</f>
        <v>#N/A</v>
      </c>
      <c r="M108" s="1" t="e">
        <f>VLOOKUP(A1,POsData!$A$1:$DZU$1000000,1833,FALSE)</f>
        <v>#N/A</v>
      </c>
      <c r="N108" s="1" t="e">
        <f>VLOOKUP(A1,POsData!$A$1:$DZU$1000000,1834,FALSE)</f>
        <v>#N/A</v>
      </c>
      <c r="O108" s="1" t="e">
        <f>VLOOKUP(A1,POsData!$A$1:$DZU$1000000,1835,FALSE)</f>
        <v>#N/A</v>
      </c>
      <c r="P108" s="1" t="e">
        <f>VLOOKUP(A1,POsData!$A$1:$DZU$1000000,1836,FALSE)</f>
        <v>#N/A</v>
      </c>
      <c r="Q108" s="101" t="e">
        <f>VLOOKUP(A1,POsData!$A$1:$DZU$1000000,1837,FALSE)</f>
        <v>#N/A</v>
      </c>
    </row>
    <row r="109" spans="1:17" x14ac:dyDescent="0.35">
      <c r="A109" s="113" t="e">
        <f>VLOOKUP(A1,POsData!$A$1:$DZU$1000000,1838,FALSE)</f>
        <v>#N/A</v>
      </c>
      <c r="B109" s="1" t="e">
        <f>VLOOKUP(A1,POsData!$A$1:$DZU$1000000,1839,FALSE)</f>
        <v>#N/A</v>
      </c>
      <c r="C109" s="1" t="e">
        <f>VLOOKUP(A1,POsData!$A$1:$DZU$1000000,1840,FALSE)</f>
        <v>#N/A</v>
      </c>
      <c r="D109" s="1" t="e">
        <f>VLOOKUP(A1,POsData!$A$1:$DZU$1000000,1841,FALSE)</f>
        <v>#N/A</v>
      </c>
      <c r="E109" s="1" t="e">
        <f>VLOOKUP(A1,POsData!$A$1:$DZU$1000000,1842,FALSE)</f>
        <v>#N/A</v>
      </c>
      <c r="F109" s="1" t="e">
        <f>VLOOKUP(A1,POsData!$A$1:$DZU$1000000,1843,FALSE)</f>
        <v>#N/A</v>
      </c>
      <c r="G109" s="1" t="e">
        <f>VLOOKUP(A1,POsData!$A$1:$DZU$1000000,1844,FALSE)</f>
        <v>#N/A</v>
      </c>
      <c r="H109" s="1" t="e">
        <f>VLOOKUP(A1,POsData!$A$1:$DZU$1000000,1845,FALSE)</f>
        <v>#N/A</v>
      </c>
      <c r="I109" s="1" t="e">
        <f>VLOOKUP(A1,POsData!$A$1:$DZU$1000000,1846,FALSE)</f>
        <v>#N/A</v>
      </c>
      <c r="J109" s="1" t="e">
        <f>VLOOKUP(A1,POsData!$A$1:$DZU$1000000,1847,FALSE)</f>
        <v>#N/A</v>
      </c>
      <c r="K109" s="1" t="e">
        <f>VLOOKUP(A1,POsData!$A$1:$DZU$1000000,1848,FALSE)</f>
        <v>#N/A</v>
      </c>
      <c r="L109" s="1" t="e">
        <f>VLOOKUP(A1,POsData!$A$1:$DZU$1000000,1849,FALSE)</f>
        <v>#N/A</v>
      </c>
      <c r="M109" s="1" t="e">
        <f>VLOOKUP(A1,POsData!$A$1:$DZU$1000000,1850,FALSE)</f>
        <v>#N/A</v>
      </c>
      <c r="N109" s="1" t="e">
        <f>VLOOKUP(A1,POsData!$A$1:$DZU$1000000,1851,FALSE)</f>
        <v>#N/A</v>
      </c>
      <c r="O109" s="1" t="e">
        <f>VLOOKUP(A1,POsData!$A$1:$DZU$1000000,1852,FALSE)</f>
        <v>#N/A</v>
      </c>
      <c r="P109" s="1" t="e">
        <f>VLOOKUP(A1,POsData!$A$1:$DZU$1000000,1853,FALSE)</f>
        <v>#N/A</v>
      </c>
      <c r="Q109" s="101" t="e">
        <f>VLOOKUP(A1,POsData!$A$1:$DZU$1000000,1854,FALSE)</f>
        <v>#N/A</v>
      </c>
    </row>
    <row r="110" spans="1:17" x14ac:dyDescent="0.35">
      <c r="A110" s="113" t="e">
        <f>VLOOKUP(A1,POsData!$A$1:$DZU$1000000,1855,FALSE)</f>
        <v>#N/A</v>
      </c>
      <c r="B110" s="1" t="e">
        <f>VLOOKUP(A1,POsData!$A$1:$DZU$1000000,1856,FALSE)</f>
        <v>#N/A</v>
      </c>
      <c r="C110" s="1" t="e">
        <f>VLOOKUP(A1,POsData!$A$1:$DZU$1000000,1857,FALSE)</f>
        <v>#N/A</v>
      </c>
      <c r="D110" s="1" t="e">
        <f>VLOOKUP(A1,POsData!$A$1:$DZU$1000000,1858,FALSE)</f>
        <v>#N/A</v>
      </c>
      <c r="E110" s="1" t="e">
        <f>VLOOKUP(A1,POsData!$A$1:$DZU$1000000,1859,FALSE)</f>
        <v>#N/A</v>
      </c>
      <c r="F110" s="1" t="e">
        <f>VLOOKUP(A1,POsData!$A$1:$DZU$1000000,1860,FALSE)</f>
        <v>#N/A</v>
      </c>
      <c r="G110" s="1" t="e">
        <f>VLOOKUP(A1,POsData!$A$1:$DZU$1000000,1861,FALSE)</f>
        <v>#N/A</v>
      </c>
      <c r="H110" s="1" t="e">
        <f>VLOOKUP(A1,POsData!$A$1:$DZU$1000000,1862,FALSE)</f>
        <v>#N/A</v>
      </c>
      <c r="I110" s="1" t="e">
        <f>VLOOKUP(A1,POsData!$A$1:$DZU$1000000,1863,FALSE)</f>
        <v>#N/A</v>
      </c>
      <c r="J110" s="1" t="e">
        <f>VLOOKUP(A1,POsData!$A$1:$DZU$1000000,1864,FALSE)</f>
        <v>#N/A</v>
      </c>
      <c r="K110" s="1" t="e">
        <f>VLOOKUP(A1,POsData!$A$1:$DZU$1000000,1865,FALSE)</f>
        <v>#N/A</v>
      </c>
      <c r="L110" s="1" t="e">
        <f>VLOOKUP(A1,POsData!$A$1:$DZU$1000000,1866,FALSE)</f>
        <v>#N/A</v>
      </c>
      <c r="M110" s="1" t="e">
        <f>VLOOKUP(A1,POsData!$A$1:$DZU$1000000,1867,FALSE)</f>
        <v>#N/A</v>
      </c>
      <c r="N110" s="1" t="e">
        <f>VLOOKUP(A1,POsData!$A$1:$DZU$1000000,1868,FALSE)</f>
        <v>#N/A</v>
      </c>
      <c r="O110" s="1" t="e">
        <f>VLOOKUP(A1,POsData!$A$1:$DZU$1000000,1869,FALSE)</f>
        <v>#N/A</v>
      </c>
      <c r="P110" s="1" t="e">
        <f>VLOOKUP(A1,POsData!$A$1:$DZU$1000000,1870,FALSE)</f>
        <v>#N/A</v>
      </c>
      <c r="Q110" s="101" t="e">
        <f>VLOOKUP(A1,POsData!$A$1:$DZU$1000000,1871,FALSE)</f>
        <v>#N/A</v>
      </c>
    </row>
    <row r="111" spans="1:17" x14ac:dyDescent="0.35">
      <c r="A111" s="113" t="e">
        <f>VLOOKUP(A1,POsData!$A$1:$DZU$1000000,1872,FALSE)</f>
        <v>#N/A</v>
      </c>
      <c r="B111" s="1" t="e">
        <f>VLOOKUP(A1,POsData!$A$1:$DZU$1000000,1873,FALSE)</f>
        <v>#N/A</v>
      </c>
      <c r="C111" s="1" t="e">
        <f>VLOOKUP(A1,POsData!$A$1:$DZU$1000000,1874,FALSE)</f>
        <v>#N/A</v>
      </c>
      <c r="D111" s="1" t="e">
        <f>VLOOKUP(A1,POsData!$A$1:$DZU$1000000,1875,FALSE)</f>
        <v>#N/A</v>
      </c>
      <c r="E111" s="1" t="e">
        <f>VLOOKUP(A1,POsData!$A$1:$DZU$1000000,1876,FALSE)</f>
        <v>#N/A</v>
      </c>
      <c r="F111" s="1" t="e">
        <f>VLOOKUP(A1,POsData!$A$1:$DZU$1000000,1877,FALSE)</f>
        <v>#N/A</v>
      </c>
      <c r="G111" s="1" t="e">
        <f>VLOOKUP(A1,POsData!$A$1:$DZU$1000000,1878,FALSE)</f>
        <v>#N/A</v>
      </c>
      <c r="H111" s="1" t="e">
        <f>VLOOKUP(A1,POsData!$A$1:$DZU$1000000,1879,FALSE)</f>
        <v>#N/A</v>
      </c>
      <c r="I111" s="1" t="e">
        <f>VLOOKUP(A1,POsData!$A$1:$DZU$1000000,1880,FALSE)</f>
        <v>#N/A</v>
      </c>
      <c r="J111" s="1" t="e">
        <f>VLOOKUP(A1,POsData!$A$1:$DZU$1000000,1881,FALSE)</f>
        <v>#N/A</v>
      </c>
      <c r="K111" s="1" t="e">
        <f>VLOOKUP(A1,POsData!$A$1:$DZU$1000000,1882,FALSE)</f>
        <v>#N/A</v>
      </c>
      <c r="L111" s="1" t="e">
        <f>VLOOKUP(A1,POsData!$A$1:$DZU$1000000,1883,FALSE)</f>
        <v>#N/A</v>
      </c>
      <c r="M111" s="1" t="e">
        <f>VLOOKUP(A1,POsData!$A$1:$DZU$1000000,1884,FALSE)</f>
        <v>#N/A</v>
      </c>
      <c r="N111" s="1" t="e">
        <f>VLOOKUP(A1,POsData!$A$1:$DZU$1000000,1885,FALSE)</f>
        <v>#N/A</v>
      </c>
      <c r="O111" s="1" t="e">
        <f>VLOOKUP(A1,POsData!$A$1:$DZU$1000000,1886,FALSE)</f>
        <v>#N/A</v>
      </c>
      <c r="P111" s="1" t="e">
        <f>VLOOKUP(A1,POsData!$A$1:$DZU$1000000,1887,FALSE)</f>
        <v>#N/A</v>
      </c>
      <c r="Q111" s="101" t="e">
        <f>VLOOKUP(A1,POsData!$A$1:$DZU$1000000,1888,FALSE)</f>
        <v>#N/A</v>
      </c>
    </row>
    <row r="112" spans="1:17" x14ac:dyDescent="0.35">
      <c r="A112" s="113" t="e">
        <f>VLOOKUP(A1,POsData!$A$1:$DZU$1000000,1889,FALSE)</f>
        <v>#N/A</v>
      </c>
      <c r="B112" s="1" t="e">
        <f>VLOOKUP(A1,POsData!$A$1:$DZU$1000000,1890,FALSE)</f>
        <v>#N/A</v>
      </c>
      <c r="C112" s="1" t="e">
        <f>VLOOKUP(A1,POsData!$A$1:$DZU$1000000,1891,FALSE)</f>
        <v>#N/A</v>
      </c>
      <c r="D112" s="1" t="e">
        <f>VLOOKUP(A1,POsData!$A$1:$DZU$1000000,1892,FALSE)</f>
        <v>#N/A</v>
      </c>
      <c r="E112" s="1" t="e">
        <f>VLOOKUP(A1,POsData!$A$1:$DZU$1000000,1893,FALSE)</f>
        <v>#N/A</v>
      </c>
      <c r="F112" s="1" t="e">
        <f>VLOOKUP(A1,POsData!$A$1:$DZU$1000000,1894,FALSE)</f>
        <v>#N/A</v>
      </c>
      <c r="G112" s="1" t="e">
        <f>VLOOKUP(A1,POsData!$A$1:$DZU$1000000,1895,FALSE)</f>
        <v>#N/A</v>
      </c>
      <c r="H112" s="1" t="e">
        <f>VLOOKUP(A1,POsData!$A$1:$DZU$1000000,1896,FALSE)</f>
        <v>#N/A</v>
      </c>
      <c r="I112" s="1" t="e">
        <f>VLOOKUP(A1,POsData!$A$1:$DZU$1000000,1897,FALSE)</f>
        <v>#N/A</v>
      </c>
      <c r="J112" s="1" t="e">
        <f>VLOOKUP(A1,POsData!$A$1:$DZU$1000000,1898,FALSE)</f>
        <v>#N/A</v>
      </c>
      <c r="K112" s="1" t="e">
        <f>VLOOKUP(A1,POsData!$A$1:$DZU$1000000,1899,FALSE)</f>
        <v>#N/A</v>
      </c>
      <c r="L112" s="1" t="e">
        <f>VLOOKUP(A1,POsData!$A$1:$DZU$1000000,1900,FALSE)</f>
        <v>#N/A</v>
      </c>
      <c r="M112" s="1" t="e">
        <f>VLOOKUP(A1,POsData!$A$1:$DZU$1000000,1901,FALSE)</f>
        <v>#N/A</v>
      </c>
      <c r="N112" s="1" t="e">
        <f>VLOOKUP(A1,POsData!$A$1:$DZU$1000000,1902,FALSE)</f>
        <v>#N/A</v>
      </c>
      <c r="O112" s="1" t="e">
        <f>VLOOKUP(A1,POsData!$A$1:$DZU$1000000,1903,FALSE)</f>
        <v>#N/A</v>
      </c>
      <c r="P112" s="1" t="e">
        <f>VLOOKUP(A1,POsData!$A$1:$DZU$1000000,1904,FALSE)</f>
        <v>#N/A</v>
      </c>
      <c r="Q112" s="101" t="e">
        <f>VLOOKUP(A1,POsData!$A$1:$DZU$1000000,1905,FALSE)</f>
        <v>#N/A</v>
      </c>
    </row>
    <row r="113" spans="1:17" x14ac:dyDescent="0.35">
      <c r="A113" s="113" t="e">
        <f>VLOOKUP(A1,POsData!$A$1:$DZU$1000000,1906,FALSE)</f>
        <v>#N/A</v>
      </c>
      <c r="B113" s="1" t="e">
        <f>VLOOKUP(A1,POsData!$A$1:$DZU$1000000,1907,FALSE)</f>
        <v>#N/A</v>
      </c>
      <c r="C113" s="1" t="e">
        <f>VLOOKUP(A1,POsData!$A$1:$DZU$1000000,1908,FALSE)</f>
        <v>#N/A</v>
      </c>
      <c r="D113" s="1" t="e">
        <f>VLOOKUP(A1,POsData!$A$1:$DZU$1000000,1909,FALSE)</f>
        <v>#N/A</v>
      </c>
      <c r="E113" s="1" t="e">
        <f>VLOOKUP(A1,POsData!$A$1:$DZU$1000000,1910,FALSE)</f>
        <v>#N/A</v>
      </c>
      <c r="F113" s="1" t="e">
        <f>VLOOKUP(A1,POsData!$A$1:$DZU$1000000,1911,FALSE)</f>
        <v>#N/A</v>
      </c>
      <c r="G113" s="1" t="e">
        <f>VLOOKUP(A1,POsData!$A$1:$DZU$1000000,1912,FALSE)</f>
        <v>#N/A</v>
      </c>
      <c r="H113" s="1" t="e">
        <f>VLOOKUP(A1,POsData!$A$1:$DZU$1000000,1913,FALSE)</f>
        <v>#N/A</v>
      </c>
      <c r="I113" s="1" t="e">
        <f>VLOOKUP(A1,POsData!$A$1:$DZU$1000000,1914,FALSE)</f>
        <v>#N/A</v>
      </c>
      <c r="J113" s="1" t="e">
        <f>VLOOKUP(A1,POsData!$A$1:$DZU$1000000,1915,FALSE)</f>
        <v>#N/A</v>
      </c>
      <c r="K113" s="1" t="e">
        <f>VLOOKUP(A1,POsData!$A$1:$DZU$1000000,1916,FALSE)</f>
        <v>#N/A</v>
      </c>
      <c r="L113" s="1" t="e">
        <f>VLOOKUP(A1,POsData!$A$1:$DZU$1000000,1917,FALSE)</f>
        <v>#N/A</v>
      </c>
      <c r="M113" s="1" t="e">
        <f>VLOOKUP(A1,POsData!$A$1:$DZU$1000000,1918,FALSE)</f>
        <v>#N/A</v>
      </c>
      <c r="N113" s="1" t="e">
        <f>VLOOKUP(A1,POsData!$A$1:$DZU$1000000,1919,FALSE)</f>
        <v>#N/A</v>
      </c>
      <c r="O113" s="1" t="e">
        <f>VLOOKUP(A1,POsData!$A$1:$DZU$1000000,1920,FALSE)</f>
        <v>#N/A</v>
      </c>
      <c r="P113" s="1" t="e">
        <f>VLOOKUP(A1,POsData!$A$1:$DZU$1000000,1921,FALSE)</f>
        <v>#N/A</v>
      </c>
      <c r="Q113" s="101" t="e">
        <f>VLOOKUP(A1,POsData!$A$1:$DZU$1000000,1922,FALSE)</f>
        <v>#N/A</v>
      </c>
    </row>
    <row r="114" spans="1:17" x14ac:dyDescent="0.35">
      <c r="A114" s="113" t="e">
        <f>VLOOKUP(A1,POsData!$A$1:$DZU$1000000,1923,FALSE)</f>
        <v>#N/A</v>
      </c>
      <c r="B114" s="1" t="e">
        <f>VLOOKUP(A1,POsData!$A$1:$DZU$1000000,1924,FALSE)</f>
        <v>#N/A</v>
      </c>
      <c r="C114" s="1" t="e">
        <f>VLOOKUP(A1,POsData!$A$1:$DZU$1000000,1925,FALSE)</f>
        <v>#N/A</v>
      </c>
      <c r="D114" s="1" t="e">
        <f>VLOOKUP(A1,POsData!$A$1:$DZU$1000000,1926,FALSE)</f>
        <v>#N/A</v>
      </c>
      <c r="E114" s="1" t="e">
        <f>VLOOKUP(A1,POsData!$A$1:$DZU$1000000,1927,FALSE)</f>
        <v>#N/A</v>
      </c>
      <c r="F114" s="1" t="e">
        <f>VLOOKUP(A1,POsData!$A$1:$DZU$1000000,1928,FALSE)</f>
        <v>#N/A</v>
      </c>
      <c r="G114" s="1" t="e">
        <f>VLOOKUP(A1,POsData!$A$1:$DZU$1000000,1929,FALSE)</f>
        <v>#N/A</v>
      </c>
      <c r="H114" s="1" t="e">
        <f>VLOOKUP(A1,POsData!$A$1:$DZU$1000000,1930,FALSE)</f>
        <v>#N/A</v>
      </c>
      <c r="I114" s="1" t="e">
        <f>VLOOKUP(A1,POsData!$A$1:$DZU$1000000,1931,FALSE)</f>
        <v>#N/A</v>
      </c>
      <c r="J114" s="1" t="e">
        <f>VLOOKUP(A1,POsData!$A$1:$DZU$1000000,1932,FALSE)</f>
        <v>#N/A</v>
      </c>
      <c r="K114" s="1" t="e">
        <f>VLOOKUP(A1,POsData!$A$1:$DZU$1000000,1933,FALSE)</f>
        <v>#N/A</v>
      </c>
      <c r="L114" s="1" t="e">
        <f>VLOOKUP(A1,POsData!$A$1:$DZU$1000000,1934,FALSE)</f>
        <v>#N/A</v>
      </c>
      <c r="M114" s="1" t="e">
        <f>VLOOKUP(A1,POsData!$A$1:$DZU$1000000,1935,FALSE)</f>
        <v>#N/A</v>
      </c>
      <c r="N114" s="1" t="e">
        <f>VLOOKUP(A1,POsData!$A$1:$DZU$1000000,1936,FALSE)</f>
        <v>#N/A</v>
      </c>
      <c r="O114" s="1" t="e">
        <f>VLOOKUP(A1,POsData!$A$1:$DZU$1000000,1937,FALSE)</f>
        <v>#N/A</v>
      </c>
      <c r="P114" s="1" t="e">
        <f>VLOOKUP(A1,POsData!$A$1:$DZU$1000000,1938,FALSE)</f>
        <v>#N/A</v>
      </c>
      <c r="Q114" s="101" t="e">
        <f>VLOOKUP(A1,POsData!$A$1:$DZU$1000000,1939,FALSE)</f>
        <v>#N/A</v>
      </c>
    </row>
    <row r="115" spans="1:17" x14ac:dyDescent="0.35">
      <c r="A115" s="113" t="e">
        <f>VLOOKUP(A1,POsData!$A$1:$DZU$1000000,1940,FALSE)</f>
        <v>#N/A</v>
      </c>
      <c r="B115" s="1" t="e">
        <f>VLOOKUP(A1,POsData!$A$1:$DZU$1000000,1941,FALSE)</f>
        <v>#N/A</v>
      </c>
      <c r="C115" s="1" t="e">
        <f>VLOOKUP(A1,POsData!$A$1:$DZU$1000000,1942,FALSE)</f>
        <v>#N/A</v>
      </c>
      <c r="D115" s="1" t="e">
        <f>VLOOKUP(A1,POsData!$A$1:$DZU$1000000,1943,FALSE)</f>
        <v>#N/A</v>
      </c>
      <c r="E115" s="1" t="e">
        <f>VLOOKUP(A1,POsData!$A$1:$DZU$1000000,1944,FALSE)</f>
        <v>#N/A</v>
      </c>
      <c r="F115" s="1" t="e">
        <f>VLOOKUP(A1,POsData!$A$1:$DZU$1000000,1945,FALSE)</f>
        <v>#N/A</v>
      </c>
      <c r="G115" s="1" t="e">
        <f>VLOOKUP(A1,POsData!$A$1:$DZU$1000000,1946,FALSE)</f>
        <v>#N/A</v>
      </c>
      <c r="H115" s="1" t="e">
        <f>VLOOKUP(A1,POsData!$A$1:$DZU$1000000,1947,FALSE)</f>
        <v>#N/A</v>
      </c>
      <c r="I115" s="1" t="e">
        <f>VLOOKUP(A1,POsData!$A$1:$DZU$1000000,1948,FALSE)</f>
        <v>#N/A</v>
      </c>
      <c r="J115" s="1" t="e">
        <f>VLOOKUP(A1,POsData!$A$1:$DZU$1000000,1949,FALSE)</f>
        <v>#N/A</v>
      </c>
      <c r="K115" s="1" t="e">
        <f>VLOOKUP(A1,POsData!$A$1:$DZU$1000000,1950,FALSE)</f>
        <v>#N/A</v>
      </c>
      <c r="L115" s="1" t="e">
        <f>VLOOKUP(A1,POsData!$A$1:$DZU$1000000,1951,FALSE)</f>
        <v>#N/A</v>
      </c>
      <c r="M115" s="1" t="e">
        <f>VLOOKUP(A1,POsData!$A$1:$DZU$1000000,1952,FALSE)</f>
        <v>#N/A</v>
      </c>
      <c r="N115" s="1" t="e">
        <f>VLOOKUP(A1,POsData!$A$1:$DZU$1000000,1953,FALSE)</f>
        <v>#N/A</v>
      </c>
      <c r="O115" s="1" t="e">
        <f>VLOOKUP(A1,POsData!$A$1:$DZU$1000000,1954,FALSE)</f>
        <v>#N/A</v>
      </c>
      <c r="P115" s="1" t="e">
        <f>VLOOKUP(A1,POsData!$A$1:$DZU$1000000,1955,FALSE)</f>
        <v>#N/A</v>
      </c>
      <c r="Q115" s="101" t="e">
        <f>VLOOKUP(A1,POsData!$A$1:$DZU$1000000,1956,FALSE)</f>
        <v>#N/A</v>
      </c>
    </row>
    <row r="116" spans="1:17" x14ac:dyDescent="0.35">
      <c r="A116" s="113" t="e">
        <f>VLOOKUP(A1,POsData!$A$1:$DZU$1000000,1957,FALSE)</f>
        <v>#N/A</v>
      </c>
      <c r="B116" s="1" t="e">
        <f>VLOOKUP(A1,POsData!$A$1:$DZU$1000000,1958,FALSE)</f>
        <v>#N/A</v>
      </c>
      <c r="C116" s="1" t="e">
        <f>VLOOKUP(A1,POsData!$A$1:$DZU$1000000,1959,FALSE)</f>
        <v>#N/A</v>
      </c>
      <c r="D116" s="1" t="e">
        <f>VLOOKUP(A1,POsData!$A$1:$DZU$1000000,1960,FALSE)</f>
        <v>#N/A</v>
      </c>
      <c r="E116" s="1" t="e">
        <f>VLOOKUP(A1,POsData!$A$1:$DZU$1000000,1961,FALSE)</f>
        <v>#N/A</v>
      </c>
      <c r="F116" s="1" t="e">
        <f>VLOOKUP(A1,POsData!$A$1:$DZU$1000000,1962,FALSE)</f>
        <v>#N/A</v>
      </c>
      <c r="G116" s="1" t="e">
        <f>VLOOKUP(A1,POsData!$A$1:$DZU$1000000,1963,FALSE)</f>
        <v>#N/A</v>
      </c>
      <c r="H116" s="1" t="e">
        <f>VLOOKUP(A1,POsData!$A$1:$DZU$1000000,1964,FALSE)</f>
        <v>#N/A</v>
      </c>
      <c r="I116" s="1" t="e">
        <f>VLOOKUP(A1,POsData!$A$1:$DZU$1000000,1965,FALSE)</f>
        <v>#N/A</v>
      </c>
      <c r="J116" s="1" t="e">
        <f>VLOOKUP(A1,POsData!$A$1:$DZU$1000000,1966,FALSE)</f>
        <v>#N/A</v>
      </c>
      <c r="K116" s="1" t="e">
        <f>VLOOKUP(A1,POsData!$A$1:$DZU$1000000,1967,FALSE)</f>
        <v>#N/A</v>
      </c>
      <c r="L116" s="1" t="e">
        <f>VLOOKUP(A1,POsData!$A$1:$DZU$1000000,1968,FALSE)</f>
        <v>#N/A</v>
      </c>
      <c r="M116" s="1" t="e">
        <f>VLOOKUP(A1,POsData!$A$1:$DZU$1000000,1969,FALSE)</f>
        <v>#N/A</v>
      </c>
      <c r="N116" s="1" t="e">
        <f>VLOOKUP(A1,POsData!$A$1:$DZU$1000000,1970,FALSE)</f>
        <v>#N/A</v>
      </c>
      <c r="O116" s="1" t="e">
        <f>VLOOKUP(A1,POsData!$A$1:$DZU$1000000,1971,FALSE)</f>
        <v>#N/A</v>
      </c>
      <c r="P116" s="1" t="e">
        <f>VLOOKUP(A1,POsData!$A$1:$DZU$1000000,1972,FALSE)</f>
        <v>#N/A</v>
      </c>
      <c r="Q116" s="101" t="e">
        <f>VLOOKUP(A1,POsData!$A$1:$DZU$1000000,1973,FALSE)</f>
        <v>#N/A</v>
      </c>
    </row>
    <row r="117" spans="1:17" x14ac:dyDescent="0.35">
      <c r="A117" s="113" t="e">
        <f>VLOOKUP(A1,POsData!$A$1:$DZU$1000000,1974,FALSE)</f>
        <v>#N/A</v>
      </c>
      <c r="B117" s="1" t="e">
        <f>VLOOKUP(A1,POsData!$A$1:$DZU$1000000,1975,FALSE)</f>
        <v>#N/A</v>
      </c>
      <c r="C117" s="1" t="e">
        <f>VLOOKUP(A1,POsData!$A$1:$DZU$1000000,1976,FALSE)</f>
        <v>#N/A</v>
      </c>
      <c r="D117" s="1" t="e">
        <f>VLOOKUP(A1,POsData!$A$1:$DZU$1000000,1977,FALSE)</f>
        <v>#N/A</v>
      </c>
      <c r="E117" s="1" t="e">
        <f>VLOOKUP(A1,POsData!$A$1:$DZU$1000000,1978,FALSE)</f>
        <v>#N/A</v>
      </c>
      <c r="F117" s="1" t="e">
        <f>VLOOKUP(A1,POsData!$A$1:$DZU$1000000,1979,FALSE)</f>
        <v>#N/A</v>
      </c>
      <c r="G117" s="1" t="e">
        <f>VLOOKUP(A1,POsData!$A$1:$DZU$1000000,1980,FALSE)</f>
        <v>#N/A</v>
      </c>
      <c r="H117" s="1" t="e">
        <f>VLOOKUP(A1,POsData!$A$1:$DZU$1000000,1981,FALSE)</f>
        <v>#N/A</v>
      </c>
      <c r="I117" s="1" t="e">
        <f>VLOOKUP(A1,POsData!$A$1:$DZU$1000000,1982,FALSE)</f>
        <v>#N/A</v>
      </c>
      <c r="J117" s="1" t="e">
        <f>VLOOKUP(A1,POsData!$A$1:$DZU$1000000,1983,FALSE)</f>
        <v>#N/A</v>
      </c>
      <c r="K117" s="1" t="e">
        <f>VLOOKUP(A1,POsData!$A$1:$DZU$1000000,1984,FALSE)</f>
        <v>#N/A</v>
      </c>
      <c r="L117" s="1" t="e">
        <f>VLOOKUP(A1,POsData!$A$1:$DZU$1000000,1985,FALSE)</f>
        <v>#N/A</v>
      </c>
      <c r="M117" s="1" t="e">
        <f>VLOOKUP(A1,POsData!$A$1:$DZU$1000000,1986,FALSE)</f>
        <v>#N/A</v>
      </c>
      <c r="N117" s="1" t="e">
        <f>VLOOKUP(A1,POsData!$A$1:$DZU$1000000,1987,FALSE)</f>
        <v>#N/A</v>
      </c>
      <c r="O117" s="1" t="e">
        <f>VLOOKUP(A1,POsData!$A$1:$DZU$1000000,1988,FALSE)</f>
        <v>#N/A</v>
      </c>
      <c r="P117" s="1" t="e">
        <f>VLOOKUP(A1,POsData!$A$1:$DZU$1000000,1989,FALSE)</f>
        <v>#N/A</v>
      </c>
      <c r="Q117" s="101" t="e">
        <f>VLOOKUP(A1,POsData!$A$1:$DZU$1000000,1990,FALSE)</f>
        <v>#N/A</v>
      </c>
    </row>
    <row r="118" spans="1:17" x14ac:dyDescent="0.35">
      <c r="A118" s="113" t="e">
        <f>VLOOKUP(A1,POsData!$A$1:$DZU$1000000,1991,FALSE)</f>
        <v>#N/A</v>
      </c>
      <c r="B118" s="1" t="e">
        <f>VLOOKUP(A1,POsData!$A$1:$DZU$1000000,1992,FALSE)</f>
        <v>#N/A</v>
      </c>
      <c r="C118" s="1" t="e">
        <f>VLOOKUP(A1,POsData!$A$1:$DZU$1000000,1993,FALSE)</f>
        <v>#N/A</v>
      </c>
      <c r="D118" s="1" t="e">
        <f>VLOOKUP(A1,POsData!$A$1:$DZU$1000000,1994,FALSE)</f>
        <v>#N/A</v>
      </c>
      <c r="E118" s="1" t="e">
        <f>VLOOKUP(A1,POsData!$A$1:$DZU$1000000,1995,FALSE)</f>
        <v>#N/A</v>
      </c>
      <c r="F118" s="1" t="e">
        <f>VLOOKUP(A1,POsData!$A$1:$DZU$1000000,1996,FALSE)</f>
        <v>#N/A</v>
      </c>
      <c r="G118" s="1" t="e">
        <f>VLOOKUP(A1,POsData!$A$1:$DZU$1000000,1997,FALSE)</f>
        <v>#N/A</v>
      </c>
      <c r="H118" s="1" t="e">
        <f>VLOOKUP(A1,POsData!$A$1:$DZU$1000000,1998,FALSE)</f>
        <v>#N/A</v>
      </c>
      <c r="I118" s="1" t="e">
        <f>VLOOKUP(A1,POsData!$A$1:$DZU$1000000,1999,FALSE)</f>
        <v>#N/A</v>
      </c>
      <c r="J118" s="1" t="e">
        <f>VLOOKUP(A1,POsData!$A$1:$DZU$1000000,2000,FALSE)</f>
        <v>#N/A</v>
      </c>
      <c r="K118" s="1" t="e">
        <f>VLOOKUP(A1,POsData!$A$1:$DZU$1000000,2001,FALSE)</f>
        <v>#N/A</v>
      </c>
      <c r="L118" s="1" t="e">
        <f>VLOOKUP(A1,POsData!$A$1:$DZU$1000000,2002,FALSE)</f>
        <v>#N/A</v>
      </c>
      <c r="M118" s="1" t="e">
        <f>VLOOKUP(A1,POsData!$A$1:$DZU$1000000,2003,FALSE)</f>
        <v>#N/A</v>
      </c>
      <c r="N118" s="1" t="e">
        <f>VLOOKUP(A1,POsData!$A$1:$DZU$1000000,2004,FALSE)</f>
        <v>#N/A</v>
      </c>
      <c r="O118" s="1" t="e">
        <f>VLOOKUP(A1,POsData!$A$1:$DZU$1000000,2005,FALSE)</f>
        <v>#N/A</v>
      </c>
      <c r="P118" s="1" t="e">
        <f>VLOOKUP(A1,POsData!$A$1:$DZU$1000000,2006,FALSE)</f>
        <v>#N/A</v>
      </c>
      <c r="Q118" s="101" t="e">
        <f>VLOOKUP(A1,POsData!$A$1:$DZU$1000000,2007,FALSE)</f>
        <v>#N/A</v>
      </c>
    </row>
    <row r="119" spans="1:17" x14ac:dyDescent="0.35">
      <c r="A119" s="113" t="e">
        <f>VLOOKUP(A1,POsData!$A$1:$DZU$1000000,2008,FALSE)</f>
        <v>#N/A</v>
      </c>
      <c r="B119" s="1" t="e">
        <f>VLOOKUP(A1,POsData!$A$1:$DZU$1000000,2009,FALSE)</f>
        <v>#N/A</v>
      </c>
      <c r="C119" s="1" t="e">
        <f>VLOOKUP(A1,POsData!$A$1:$DZU$1000000,2010,FALSE)</f>
        <v>#N/A</v>
      </c>
      <c r="D119" s="1" t="e">
        <f>VLOOKUP(A1,POsData!$A$1:$DZU$1000000,2011,FALSE)</f>
        <v>#N/A</v>
      </c>
      <c r="E119" s="1" t="e">
        <f>VLOOKUP(A1,POsData!$A$1:$DZU$1000000,2012,FALSE)</f>
        <v>#N/A</v>
      </c>
      <c r="F119" s="1" t="e">
        <f>VLOOKUP(A1,POsData!$A$1:$DZU$1000000,2013,FALSE)</f>
        <v>#N/A</v>
      </c>
      <c r="G119" s="1" t="e">
        <f>VLOOKUP(A1,POsData!$A$1:$DZU$1000000,2014,FALSE)</f>
        <v>#N/A</v>
      </c>
      <c r="H119" s="1" t="e">
        <f>VLOOKUP(A1,POsData!$A$1:$DZU$1000000,2015,FALSE)</f>
        <v>#N/A</v>
      </c>
      <c r="I119" s="1" t="e">
        <f>VLOOKUP(A1,POsData!$A$1:$DZU$1000000,2016,FALSE)</f>
        <v>#N/A</v>
      </c>
      <c r="J119" s="1" t="e">
        <f>VLOOKUP(A1,POsData!$A$1:$DZU$1000000,2017,FALSE)</f>
        <v>#N/A</v>
      </c>
      <c r="K119" s="1" t="e">
        <f>VLOOKUP(A1,POsData!$A$1:$DZU$1000000,2018,FALSE)</f>
        <v>#N/A</v>
      </c>
      <c r="L119" s="1" t="e">
        <f>VLOOKUP(A1,POsData!$A$1:$DZU$1000000,2019,FALSE)</f>
        <v>#N/A</v>
      </c>
      <c r="M119" s="1" t="e">
        <f>VLOOKUP(A1,POsData!$A$1:$DZU$1000000,2020,FALSE)</f>
        <v>#N/A</v>
      </c>
      <c r="N119" s="1" t="e">
        <f>VLOOKUP(A1,POsData!$A$1:$DZU$1000000,2021,FALSE)</f>
        <v>#N/A</v>
      </c>
      <c r="O119" s="1" t="e">
        <f>VLOOKUP(A1,POsData!$A$1:$DZU$1000000,2022,FALSE)</f>
        <v>#N/A</v>
      </c>
      <c r="P119" s="1" t="e">
        <f>VLOOKUP(A1,POsData!$A$1:$DZU$1000000,2023,FALSE)</f>
        <v>#N/A</v>
      </c>
      <c r="Q119" s="101" t="e">
        <f>VLOOKUP(A1,POsData!$A$1:$DZU$1000000,2024,FALSE)</f>
        <v>#N/A</v>
      </c>
    </row>
    <row r="120" spans="1:17" x14ac:dyDescent="0.35">
      <c r="A120" s="113" t="e">
        <f>VLOOKUP(A1,POsData!$A$1:$DZU$1000000,2025,FALSE)</f>
        <v>#N/A</v>
      </c>
      <c r="B120" s="1" t="e">
        <f>VLOOKUP(A1,POsData!$A$1:$DZU$1000000,2026,FALSE)</f>
        <v>#N/A</v>
      </c>
      <c r="C120" s="1" t="e">
        <f>VLOOKUP(A1,POsData!$A$1:$DZU$1000000,2027,FALSE)</f>
        <v>#N/A</v>
      </c>
      <c r="D120" s="1" t="e">
        <f>VLOOKUP(A1,POsData!$A$1:$DZU$1000000,2028,FALSE)</f>
        <v>#N/A</v>
      </c>
      <c r="E120" s="1" t="e">
        <f>VLOOKUP(A1,POsData!$A$1:$DZU$1000000,2029,FALSE)</f>
        <v>#N/A</v>
      </c>
      <c r="F120" s="1" t="e">
        <f>VLOOKUP(A1,POsData!$A$1:$DZU$1000000,2030,FALSE)</f>
        <v>#N/A</v>
      </c>
      <c r="G120" s="1" t="e">
        <f>VLOOKUP(A1,POsData!$A$1:$DZU$1000000,2031,FALSE)</f>
        <v>#N/A</v>
      </c>
      <c r="H120" s="1" t="e">
        <f>VLOOKUP(A1,POsData!$A$1:$DZU$1000000,2032,FALSE)</f>
        <v>#N/A</v>
      </c>
      <c r="I120" s="1" t="e">
        <f>VLOOKUP(A1,POsData!$A$1:$DZU$1000000,2033,FALSE)</f>
        <v>#N/A</v>
      </c>
      <c r="J120" s="1" t="e">
        <f>VLOOKUP(A1,POsData!$A$1:$DZU$1000000,2034,FALSE)</f>
        <v>#N/A</v>
      </c>
      <c r="K120" s="1" t="e">
        <f>VLOOKUP(A1,POsData!$A$1:$DZU$1000000,2035,FALSE)</f>
        <v>#N/A</v>
      </c>
      <c r="L120" s="1" t="e">
        <f>VLOOKUP(A1,POsData!$A$1:$DZU$1000000,2036,FALSE)</f>
        <v>#N/A</v>
      </c>
      <c r="M120" s="1" t="e">
        <f>VLOOKUP(A1,POsData!$A$1:$DZU$1000000,2037,FALSE)</f>
        <v>#N/A</v>
      </c>
      <c r="N120" s="1" t="e">
        <f>VLOOKUP(A1,POsData!$A$1:$DZU$1000000,2038,FALSE)</f>
        <v>#N/A</v>
      </c>
      <c r="O120" s="1" t="e">
        <f>VLOOKUP(A1,POsData!$A$1:$DZU$1000000,2039,FALSE)</f>
        <v>#N/A</v>
      </c>
      <c r="P120" s="1" t="e">
        <f>VLOOKUP(A1,POsData!$A$1:$DZU$1000000,2040,FALSE)</f>
        <v>#N/A</v>
      </c>
      <c r="Q120" s="101" t="e">
        <f>VLOOKUP(A1,POsData!$A$1:$DZU$1000000,2041,FALSE)</f>
        <v>#N/A</v>
      </c>
    </row>
    <row r="121" spans="1:17" x14ac:dyDescent="0.35">
      <c r="A121" s="113" t="e">
        <f>VLOOKUP(A1,POsData!$A$1:$DZU$1000000,2042,FALSE)</f>
        <v>#N/A</v>
      </c>
      <c r="B121" s="1" t="e">
        <f>VLOOKUP(A1,POsData!$A$1:$DZU$1000000,2043,FALSE)</f>
        <v>#N/A</v>
      </c>
      <c r="C121" s="1" t="e">
        <f>VLOOKUP(A1,POsData!$A$1:$DZU$1000000,2044,FALSE)</f>
        <v>#N/A</v>
      </c>
      <c r="D121" s="1" t="e">
        <f>VLOOKUP(A1,POsData!$A$1:$DZU$1000000,2045,FALSE)</f>
        <v>#N/A</v>
      </c>
      <c r="E121" s="1" t="e">
        <f>VLOOKUP(A1,POsData!$A$1:$DZU$1000000,2046,FALSE)</f>
        <v>#N/A</v>
      </c>
      <c r="F121" s="1" t="e">
        <f>VLOOKUP(A1,POsData!$A$1:$DZU$1000000,2047,FALSE)</f>
        <v>#N/A</v>
      </c>
      <c r="G121" s="1" t="e">
        <f>VLOOKUP(A1,POsData!$A$1:$DZU$1000000,2048,FALSE)</f>
        <v>#N/A</v>
      </c>
      <c r="H121" s="1" t="e">
        <f>VLOOKUP(A1,POsData!$A$1:$DZU$1000000,2049,FALSE)</f>
        <v>#N/A</v>
      </c>
      <c r="I121" s="1" t="e">
        <f>VLOOKUP(A1,POsData!$A$1:$DZU$1000000,2050,FALSE)</f>
        <v>#N/A</v>
      </c>
      <c r="J121" s="1" t="e">
        <f>VLOOKUP(A1,POsData!$A$1:$DZU$1000000,2051,FALSE)</f>
        <v>#N/A</v>
      </c>
      <c r="K121" s="1" t="e">
        <f>VLOOKUP(A1,POsData!$A$1:$DZU$1000000,2052,FALSE)</f>
        <v>#N/A</v>
      </c>
      <c r="L121" s="1" t="e">
        <f>VLOOKUP(A1,POsData!$A$1:$DZU$1000000,2053,FALSE)</f>
        <v>#N/A</v>
      </c>
      <c r="M121" s="1" t="e">
        <f>VLOOKUP(A1,POsData!$A$1:$DZU$1000000,2054,FALSE)</f>
        <v>#N/A</v>
      </c>
      <c r="N121" s="1" t="e">
        <f>VLOOKUP(A1,POsData!$A$1:$DZU$1000000,2055,FALSE)</f>
        <v>#N/A</v>
      </c>
      <c r="O121" s="1" t="e">
        <f>VLOOKUP(A1,POsData!$A$1:$DZU$1000000,2056,FALSE)</f>
        <v>#N/A</v>
      </c>
      <c r="P121" s="1" t="e">
        <f>VLOOKUP(A1,POsData!$A$1:$DZU$1000000,2057,FALSE)</f>
        <v>#N/A</v>
      </c>
      <c r="Q121" s="101" t="e">
        <f>VLOOKUP(A1,POsData!$A$1:$DZU$1000000,2058,FALSE)</f>
        <v>#N/A</v>
      </c>
    </row>
    <row r="122" spans="1:17" x14ac:dyDescent="0.35">
      <c r="A122" s="113" t="e">
        <f>VLOOKUP(A1,POsData!$A$1:$DZU$1000000,2059,FALSE)</f>
        <v>#N/A</v>
      </c>
      <c r="B122" s="1" t="e">
        <f>VLOOKUP(A1,POsData!$A$1:$DZU$1000000,2060,FALSE)</f>
        <v>#N/A</v>
      </c>
      <c r="C122" s="1" t="e">
        <f>VLOOKUP(A1,POsData!$A$1:$DZU$1000000,2061,FALSE)</f>
        <v>#N/A</v>
      </c>
      <c r="D122" s="1" t="e">
        <f>VLOOKUP(A1,POsData!$A$1:$DZU$1000000,2062,FALSE)</f>
        <v>#N/A</v>
      </c>
      <c r="E122" s="1" t="e">
        <f>VLOOKUP(A1,POsData!$A$1:$DZU$1000000,2063,FALSE)</f>
        <v>#N/A</v>
      </c>
      <c r="F122" s="1" t="e">
        <f>VLOOKUP(A1,POsData!$A$1:$DZU$1000000,2064,FALSE)</f>
        <v>#N/A</v>
      </c>
      <c r="G122" s="1" t="e">
        <f>VLOOKUP(A1,POsData!$A$1:$DZU$1000000,2065,FALSE)</f>
        <v>#N/A</v>
      </c>
      <c r="H122" s="1" t="e">
        <f>VLOOKUP(A1,POsData!$A$1:$DZU$1000000,2066,FALSE)</f>
        <v>#N/A</v>
      </c>
      <c r="I122" s="1" t="e">
        <f>VLOOKUP(A1,POsData!$A$1:$DZU$1000000,2067,FALSE)</f>
        <v>#N/A</v>
      </c>
      <c r="J122" s="1" t="e">
        <f>VLOOKUP(A1,POsData!$A$1:$DZU$1000000,2068,FALSE)</f>
        <v>#N/A</v>
      </c>
      <c r="K122" s="1" t="e">
        <f>VLOOKUP(A1,POsData!$A$1:$DZU$1000000,2069,FALSE)</f>
        <v>#N/A</v>
      </c>
      <c r="L122" s="1" t="e">
        <f>VLOOKUP(A1,POsData!$A$1:$DZU$1000000,2070,FALSE)</f>
        <v>#N/A</v>
      </c>
      <c r="M122" s="1" t="e">
        <f>VLOOKUP(A1,POsData!$A$1:$DZU$1000000,2071,FALSE)</f>
        <v>#N/A</v>
      </c>
      <c r="N122" s="1" t="e">
        <f>VLOOKUP(A1,POsData!$A$1:$DZU$1000000,2072,FALSE)</f>
        <v>#N/A</v>
      </c>
      <c r="O122" s="1" t="e">
        <f>VLOOKUP(A1,POsData!$A$1:$DZU$1000000,2073,FALSE)</f>
        <v>#N/A</v>
      </c>
      <c r="P122" s="1" t="e">
        <f>VLOOKUP(A1,POsData!$A$1:$DZU$1000000,2074,FALSE)</f>
        <v>#N/A</v>
      </c>
      <c r="Q122" s="101" t="e">
        <f>VLOOKUP(A1,POsData!$A$1:$DZU$1000000,2075,FALSE)</f>
        <v>#N/A</v>
      </c>
    </row>
    <row r="123" spans="1:17" x14ac:dyDescent="0.35">
      <c r="A123" s="113" t="e">
        <f>VLOOKUP(A1,POsData!$A$1:$DZU$1000000,2076,FALSE)</f>
        <v>#N/A</v>
      </c>
      <c r="B123" s="1" t="e">
        <f>VLOOKUP(A1,POsData!$A$1:$DZU$1000000,2077,FALSE)</f>
        <v>#N/A</v>
      </c>
      <c r="C123" s="1" t="e">
        <f>VLOOKUP(A1,POsData!$A$1:$DZU$1000000,2078,FALSE)</f>
        <v>#N/A</v>
      </c>
      <c r="D123" s="1" t="e">
        <f>VLOOKUP(A1,POsData!$A$1:$DZU$1000000,2079,FALSE)</f>
        <v>#N/A</v>
      </c>
      <c r="E123" s="1" t="e">
        <f>VLOOKUP(A1,POsData!$A$1:$DZU$1000000,2080,FALSE)</f>
        <v>#N/A</v>
      </c>
      <c r="F123" s="1" t="e">
        <f>VLOOKUP(A1,POsData!$A$1:$DZU$1000000,2081,FALSE)</f>
        <v>#N/A</v>
      </c>
      <c r="G123" s="1" t="e">
        <f>VLOOKUP(A1,POsData!$A$1:$DZU$1000000,2082,FALSE)</f>
        <v>#N/A</v>
      </c>
      <c r="H123" s="1" t="e">
        <f>VLOOKUP(A1,POsData!$A$1:$DZU$1000000,2083,FALSE)</f>
        <v>#N/A</v>
      </c>
      <c r="I123" s="1" t="e">
        <f>VLOOKUP(A1,POsData!$A$1:$DZU$1000000,2084,FALSE)</f>
        <v>#N/A</v>
      </c>
      <c r="J123" s="1" t="e">
        <f>VLOOKUP(A1,POsData!$A$1:$DZU$1000000,2085,FALSE)</f>
        <v>#N/A</v>
      </c>
      <c r="K123" s="1" t="e">
        <f>VLOOKUP(A1,POsData!$A$1:$DZU$1000000,2086,FALSE)</f>
        <v>#N/A</v>
      </c>
      <c r="L123" s="1" t="e">
        <f>VLOOKUP(A1,POsData!$A$1:$DZU$1000000,2087,FALSE)</f>
        <v>#N/A</v>
      </c>
      <c r="M123" s="1" t="e">
        <f>VLOOKUP(A1,POsData!$A$1:$DZU$1000000,2088,FALSE)</f>
        <v>#N/A</v>
      </c>
      <c r="N123" s="1" t="e">
        <f>VLOOKUP(A1,POsData!$A$1:$DZU$1000000,2089,FALSE)</f>
        <v>#N/A</v>
      </c>
      <c r="O123" s="1" t="e">
        <f>VLOOKUP(A1,POsData!$A$1:$DZU$1000000,2090,FALSE)</f>
        <v>#N/A</v>
      </c>
      <c r="P123" s="1" t="e">
        <f>VLOOKUP(A1,POsData!$A$1:$DZU$1000000,2091,FALSE)</f>
        <v>#N/A</v>
      </c>
      <c r="Q123" s="101" t="e">
        <f>VLOOKUP(A1,POsData!$A$1:$DZU$1000000,2092,FALSE)</f>
        <v>#N/A</v>
      </c>
    </row>
    <row r="124" spans="1:17" x14ac:dyDescent="0.35">
      <c r="A124" s="113" t="e">
        <f>VLOOKUP(A1,POsData!$A$1:$DZU$1000000,2093,FALSE)</f>
        <v>#N/A</v>
      </c>
      <c r="B124" s="1" t="e">
        <f>VLOOKUP(A1,POsData!$A$1:$DZU$1000000,2094,FALSE)</f>
        <v>#N/A</v>
      </c>
      <c r="C124" s="1" t="e">
        <f>VLOOKUP(A1,POsData!$A$1:$DZU$1000000,2095,FALSE)</f>
        <v>#N/A</v>
      </c>
      <c r="D124" s="1" t="e">
        <f>VLOOKUP(A1,POsData!$A$1:$DZU$1000000,2096,FALSE)</f>
        <v>#N/A</v>
      </c>
      <c r="E124" s="1" t="e">
        <f>VLOOKUP(A1,POsData!$A$1:$DZU$1000000,2097,FALSE)</f>
        <v>#N/A</v>
      </c>
      <c r="F124" s="1" t="e">
        <f>VLOOKUP(A1,POsData!$A$1:$DZU$1000000,2098,FALSE)</f>
        <v>#N/A</v>
      </c>
      <c r="G124" s="1" t="e">
        <f>VLOOKUP(A1,POsData!$A$1:$DZU$1000000,2099,FALSE)</f>
        <v>#N/A</v>
      </c>
      <c r="H124" s="1" t="e">
        <f>VLOOKUP(A1,POsData!$A$1:$DZU$1000000,2100,FALSE)</f>
        <v>#N/A</v>
      </c>
      <c r="I124" s="1" t="e">
        <f>VLOOKUP(A1,POsData!$A$1:$DZU$1000000,2101,FALSE)</f>
        <v>#N/A</v>
      </c>
      <c r="J124" s="1" t="e">
        <f>VLOOKUP(A1,POsData!$A$1:$DZU$1000000,2102,FALSE)</f>
        <v>#N/A</v>
      </c>
      <c r="K124" s="1" t="e">
        <f>VLOOKUP(A1,POsData!$A$1:$DZU$1000000,2103,FALSE)</f>
        <v>#N/A</v>
      </c>
      <c r="L124" s="1" t="e">
        <f>VLOOKUP(A1,POsData!$A$1:$DZU$1000000,2104,FALSE)</f>
        <v>#N/A</v>
      </c>
      <c r="M124" s="1" t="e">
        <f>VLOOKUP(A1,POsData!$A$1:$DZU$1000000,2105,FALSE)</f>
        <v>#N/A</v>
      </c>
      <c r="N124" s="1" t="e">
        <f>VLOOKUP(A1,POsData!$A$1:$DZU$1000000,2106,FALSE)</f>
        <v>#N/A</v>
      </c>
      <c r="O124" s="1" t="e">
        <f>VLOOKUP(A1,POsData!$A$1:$DZU$1000000,2107,FALSE)</f>
        <v>#N/A</v>
      </c>
      <c r="P124" s="1" t="e">
        <f>VLOOKUP(A1,POsData!$A$1:$DZU$1000000,2108,FALSE)</f>
        <v>#N/A</v>
      </c>
      <c r="Q124" s="101" t="e">
        <f>VLOOKUP(A1,POsData!$A$1:$DZU$1000000,2109,FALSE)</f>
        <v>#N/A</v>
      </c>
    </row>
    <row r="125" spans="1:17" x14ac:dyDescent="0.35">
      <c r="A125" s="113" t="e">
        <f>VLOOKUP(A1,POsData!$A$1:$DZU$1000000,2110,FALSE)</f>
        <v>#N/A</v>
      </c>
      <c r="B125" s="1" t="e">
        <f>VLOOKUP(A1,POsData!$A$1:$DZU$1000000,2111,FALSE)</f>
        <v>#N/A</v>
      </c>
      <c r="C125" s="1" t="e">
        <f>VLOOKUP(A1,POsData!$A$1:$DZU$1000000,2112,FALSE)</f>
        <v>#N/A</v>
      </c>
      <c r="D125" s="1" t="e">
        <f>VLOOKUP(A1,POsData!$A$1:$DZU$1000000,2113,FALSE)</f>
        <v>#N/A</v>
      </c>
      <c r="E125" s="1" t="e">
        <f>VLOOKUP(A1,POsData!$A$1:$DZU$1000000,2114,FALSE)</f>
        <v>#N/A</v>
      </c>
      <c r="F125" s="1" t="e">
        <f>VLOOKUP(A1,POsData!$A$1:$DZU$1000000,2115,FALSE)</f>
        <v>#N/A</v>
      </c>
      <c r="G125" s="1" t="e">
        <f>VLOOKUP(A1,POsData!$A$1:$DZU$1000000,2116,FALSE)</f>
        <v>#N/A</v>
      </c>
      <c r="H125" s="1" t="e">
        <f>VLOOKUP(A1,POsData!$A$1:$DZU$1000000,2117,FALSE)</f>
        <v>#N/A</v>
      </c>
      <c r="I125" s="1" t="e">
        <f>VLOOKUP(A1,POsData!$A$1:$DZU$1000000,2118,FALSE)</f>
        <v>#N/A</v>
      </c>
      <c r="J125" s="1" t="e">
        <f>VLOOKUP(A1,POsData!$A$1:$DZU$1000000,2119,FALSE)</f>
        <v>#N/A</v>
      </c>
      <c r="K125" s="1" t="e">
        <f>VLOOKUP(A1,POsData!$A$1:$DZU$1000000,2120,FALSE)</f>
        <v>#N/A</v>
      </c>
      <c r="L125" s="1" t="e">
        <f>VLOOKUP(A1,POsData!$A$1:$DZU$1000000,2121,FALSE)</f>
        <v>#N/A</v>
      </c>
      <c r="M125" s="1" t="e">
        <f>VLOOKUP(A1,POsData!$A$1:$DZU$1000000,2122,FALSE)</f>
        <v>#N/A</v>
      </c>
      <c r="N125" s="1" t="e">
        <f>VLOOKUP(A1,POsData!$A$1:$DZU$1000000,2123,FALSE)</f>
        <v>#N/A</v>
      </c>
      <c r="O125" s="1" t="e">
        <f>VLOOKUP(A1,POsData!$A$1:$DZU$1000000,2124,FALSE)</f>
        <v>#N/A</v>
      </c>
      <c r="P125" s="1" t="e">
        <f>VLOOKUP(A1,POsData!$A$1:$DZU$1000000,2125,FALSE)</f>
        <v>#N/A</v>
      </c>
      <c r="Q125" s="101" t="e">
        <f>VLOOKUP(A1,POsData!$A$1:$DZU$1000000,2126,FALSE)</f>
        <v>#N/A</v>
      </c>
    </row>
    <row r="126" spans="1:17" x14ac:dyDescent="0.35">
      <c r="A126" s="113" t="e">
        <f>VLOOKUP(A1,POsData!$A$1:$DZU$1000000,2127,FALSE)</f>
        <v>#N/A</v>
      </c>
      <c r="B126" s="1" t="e">
        <f>VLOOKUP(A1,POsData!$A$1:$DZU$1000000,2128,FALSE)</f>
        <v>#N/A</v>
      </c>
      <c r="C126" s="1" t="e">
        <f>VLOOKUP(A1,POsData!$A$1:$DZU$1000000,2129,FALSE)</f>
        <v>#N/A</v>
      </c>
      <c r="D126" s="1" t="e">
        <f>VLOOKUP(A1,POsData!$A$1:$DZU$1000000,2130,FALSE)</f>
        <v>#N/A</v>
      </c>
      <c r="E126" s="1" t="e">
        <f>VLOOKUP(A1,POsData!$A$1:$DZU$1000000,2131,FALSE)</f>
        <v>#N/A</v>
      </c>
      <c r="F126" s="1" t="e">
        <f>VLOOKUP(A1,POsData!$A$1:$DZU$1000000,2132,FALSE)</f>
        <v>#N/A</v>
      </c>
      <c r="G126" s="1" t="e">
        <f>VLOOKUP(A1,POsData!$A$1:$DZU$1000000,2133,FALSE)</f>
        <v>#N/A</v>
      </c>
      <c r="H126" s="1" t="e">
        <f>VLOOKUP(A1,POsData!$A$1:$DZU$1000000,2134,FALSE)</f>
        <v>#N/A</v>
      </c>
      <c r="I126" s="1" t="e">
        <f>VLOOKUP(A1,POsData!$A$1:$DZU$1000000,2135,FALSE)</f>
        <v>#N/A</v>
      </c>
      <c r="J126" s="1" t="e">
        <f>VLOOKUP(A1,POsData!$A$1:$DZU$1000000,2136,FALSE)</f>
        <v>#N/A</v>
      </c>
      <c r="K126" s="1" t="e">
        <f>VLOOKUP(A1,POsData!$A$1:$DZU$1000000,2137,FALSE)</f>
        <v>#N/A</v>
      </c>
      <c r="L126" s="1" t="e">
        <f>VLOOKUP(A1,POsData!$A$1:$DZU$1000000,2138,FALSE)</f>
        <v>#N/A</v>
      </c>
      <c r="M126" s="1" t="e">
        <f>VLOOKUP(A1,POsData!$A$1:$DZU$1000000,2139,FALSE)</f>
        <v>#N/A</v>
      </c>
      <c r="N126" s="1" t="e">
        <f>VLOOKUP(A1,POsData!$A$1:$DZU$1000000,2140,FALSE)</f>
        <v>#N/A</v>
      </c>
      <c r="O126" s="1" t="e">
        <f>VLOOKUP(A1,POsData!$A$1:$DZU$1000000,2141,FALSE)</f>
        <v>#N/A</v>
      </c>
      <c r="P126" s="1" t="e">
        <f>VLOOKUP(A1,POsData!$A$1:$DZU$1000000,2142,FALSE)</f>
        <v>#N/A</v>
      </c>
      <c r="Q126" s="101" t="e">
        <f>VLOOKUP(A1,POsData!$A$1:$DZU$1000000,2143,FALSE)</f>
        <v>#N/A</v>
      </c>
    </row>
    <row r="127" spans="1:17" x14ac:dyDescent="0.35">
      <c r="A127" s="113" t="e">
        <f>VLOOKUP(A1,POsData!$A$1:$DZU$1000000,2144,FALSE)</f>
        <v>#N/A</v>
      </c>
      <c r="B127" s="1" t="e">
        <f>VLOOKUP(A1,POsData!$A$1:$DZU$1000000,2145,FALSE)</f>
        <v>#N/A</v>
      </c>
      <c r="C127" s="1" t="e">
        <f>VLOOKUP(A1,POsData!$A$1:$DZU$1000000,2146,FALSE)</f>
        <v>#N/A</v>
      </c>
      <c r="D127" s="1" t="e">
        <f>VLOOKUP(A1,POsData!$A$1:$DZU$1000000,2147,FALSE)</f>
        <v>#N/A</v>
      </c>
      <c r="E127" s="1" t="e">
        <f>VLOOKUP(A1,POsData!$A$1:$DZU$1000000,2148,FALSE)</f>
        <v>#N/A</v>
      </c>
      <c r="F127" s="1" t="e">
        <f>VLOOKUP(A1,POsData!$A$1:$DZU$1000000,2149,FALSE)</f>
        <v>#N/A</v>
      </c>
      <c r="G127" s="1" t="e">
        <f>VLOOKUP(A1,POsData!$A$1:$DZU$1000000,2150,FALSE)</f>
        <v>#N/A</v>
      </c>
      <c r="H127" s="1" t="e">
        <f>VLOOKUP(A1,POsData!$A$1:$DZU$1000000,2151,FALSE)</f>
        <v>#N/A</v>
      </c>
      <c r="I127" s="1" t="e">
        <f>VLOOKUP(A1,POsData!$A$1:$DZU$1000000,2152,FALSE)</f>
        <v>#N/A</v>
      </c>
      <c r="J127" s="1" t="e">
        <f>VLOOKUP(A1,POsData!$A$1:$DZU$1000000,2153,FALSE)</f>
        <v>#N/A</v>
      </c>
      <c r="K127" s="1" t="e">
        <f>VLOOKUP(A1,POsData!$A$1:$DZU$1000000,2154,FALSE)</f>
        <v>#N/A</v>
      </c>
      <c r="L127" s="1" t="e">
        <f>VLOOKUP(A1,POsData!$A$1:$DZU$1000000,2155,FALSE)</f>
        <v>#N/A</v>
      </c>
      <c r="M127" s="1" t="e">
        <f>VLOOKUP(A1,POsData!$A$1:$DZU$1000000,2156,FALSE)</f>
        <v>#N/A</v>
      </c>
      <c r="N127" s="1" t="e">
        <f>VLOOKUP(A1,POsData!$A$1:$DZU$1000000,2157,FALSE)</f>
        <v>#N/A</v>
      </c>
      <c r="O127" s="1" t="e">
        <f>VLOOKUP(A1,POsData!$A$1:$DZU$1000000,2158,FALSE)</f>
        <v>#N/A</v>
      </c>
      <c r="P127" s="1" t="e">
        <f>VLOOKUP(A1,POsData!$A$1:$DZU$1000000,2159,FALSE)</f>
        <v>#N/A</v>
      </c>
      <c r="Q127" s="101" t="e">
        <f>VLOOKUP(A1,POsData!$A$1:$DZU$1000000,2160,FALSE)</f>
        <v>#N/A</v>
      </c>
    </row>
    <row r="128" spans="1:17" x14ac:dyDescent="0.35">
      <c r="A128" s="113" t="e">
        <f>VLOOKUP(A1,POsData!$A$1:$DZU$1000000,2161,FALSE)</f>
        <v>#N/A</v>
      </c>
      <c r="B128" s="1" t="e">
        <f>VLOOKUP(A1,POsData!$A$1:$DZU$1000000,2162,FALSE)</f>
        <v>#N/A</v>
      </c>
      <c r="C128" s="1" t="e">
        <f>VLOOKUP(A1,POsData!$A$1:$DZU$1000000,2163,FALSE)</f>
        <v>#N/A</v>
      </c>
      <c r="D128" s="1" t="e">
        <f>VLOOKUP(A1,POsData!$A$1:$DZU$1000000,2164,FALSE)</f>
        <v>#N/A</v>
      </c>
      <c r="E128" s="1" t="e">
        <f>VLOOKUP(A1,POsData!$A$1:$DZU$1000000,2165,FALSE)</f>
        <v>#N/A</v>
      </c>
      <c r="F128" s="1" t="e">
        <f>VLOOKUP(A1,POsData!$A$1:$DZU$1000000,2166,FALSE)</f>
        <v>#N/A</v>
      </c>
      <c r="G128" s="1" t="e">
        <f>VLOOKUP(A1,POsData!$A$1:$DZU$1000000,2167,FALSE)</f>
        <v>#N/A</v>
      </c>
      <c r="H128" s="1" t="e">
        <f>VLOOKUP(A1,POsData!$A$1:$DZU$1000000,2168,FALSE)</f>
        <v>#N/A</v>
      </c>
      <c r="I128" s="1" t="e">
        <f>VLOOKUP(A1,POsData!$A$1:$DZU$1000000,2169,FALSE)</f>
        <v>#N/A</v>
      </c>
      <c r="J128" s="1" t="e">
        <f>VLOOKUP(A1,POsData!$A$1:$DZU$1000000,2170,FALSE)</f>
        <v>#N/A</v>
      </c>
      <c r="K128" s="1" t="e">
        <f>VLOOKUP(A1,POsData!$A$1:$DZU$1000000,2171,FALSE)</f>
        <v>#N/A</v>
      </c>
      <c r="L128" s="1" t="e">
        <f>VLOOKUP(A1,POsData!$A$1:$DZU$1000000,2172,FALSE)</f>
        <v>#N/A</v>
      </c>
      <c r="M128" s="1" t="e">
        <f>VLOOKUP(A1,POsData!$A$1:$DZU$1000000,2173,FALSE)</f>
        <v>#N/A</v>
      </c>
      <c r="N128" s="1" t="e">
        <f>VLOOKUP(A1,POsData!$A$1:$DZU$1000000,2174,FALSE)</f>
        <v>#N/A</v>
      </c>
      <c r="O128" s="1" t="e">
        <f>VLOOKUP(A1,POsData!$A$1:$DZU$1000000,2175,FALSE)</f>
        <v>#N/A</v>
      </c>
      <c r="P128" s="1" t="e">
        <f>VLOOKUP(A1,POsData!$A$1:$DZU$1000000,2176,FALSE)</f>
        <v>#N/A</v>
      </c>
      <c r="Q128" s="101" t="e">
        <f>VLOOKUP(A1,POsData!$A$1:$DZU$1000000,2177,FALSE)</f>
        <v>#N/A</v>
      </c>
    </row>
    <row r="129" spans="1:17" x14ac:dyDescent="0.35">
      <c r="A129" s="113" t="e">
        <f>VLOOKUP(A1,POsData!$A$1:$DZU$1000000,2178,FALSE)</f>
        <v>#N/A</v>
      </c>
      <c r="B129" s="1" t="e">
        <f>VLOOKUP(A1,POsData!$A$1:$DZU$1000000,2179,FALSE)</f>
        <v>#N/A</v>
      </c>
      <c r="C129" s="1" t="e">
        <f>VLOOKUP(A1,POsData!$A$1:$DZU$1000000,2180,FALSE)</f>
        <v>#N/A</v>
      </c>
      <c r="D129" s="1" t="e">
        <f>VLOOKUP(A1,POsData!$A$1:$DZU$1000000,2181,FALSE)</f>
        <v>#N/A</v>
      </c>
      <c r="E129" s="1" t="e">
        <f>VLOOKUP(A1,POsData!$A$1:$DZU$1000000,2182,FALSE)</f>
        <v>#N/A</v>
      </c>
      <c r="F129" s="1" t="e">
        <f>VLOOKUP(A1,POsData!$A$1:$DZU$1000000,2183,FALSE)</f>
        <v>#N/A</v>
      </c>
      <c r="G129" s="1" t="e">
        <f>VLOOKUP(A1,POsData!$A$1:$DZU$1000000,2184,FALSE)</f>
        <v>#N/A</v>
      </c>
      <c r="H129" s="1" t="e">
        <f>VLOOKUP(A1,POsData!$A$1:$DZU$1000000,2185,FALSE)</f>
        <v>#N/A</v>
      </c>
      <c r="I129" s="1" t="e">
        <f>VLOOKUP(A1,POsData!$A$1:$DZU$1000000,2186,FALSE)</f>
        <v>#N/A</v>
      </c>
      <c r="J129" s="1" t="e">
        <f>VLOOKUP(A1,POsData!$A$1:$DZU$1000000,2187,FALSE)</f>
        <v>#N/A</v>
      </c>
      <c r="K129" s="1" t="e">
        <f>VLOOKUP(A1,POsData!$A$1:$DZU$1000000,2188,FALSE)</f>
        <v>#N/A</v>
      </c>
      <c r="L129" s="1" t="e">
        <f>VLOOKUP(A1,POsData!$A$1:$DZU$1000000,2189,FALSE)</f>
        <v>#N/A</v>
      </c>
      <c r="M129" s="1" t="e">
        <f>VLOOKUP(A1,POsData!$A$1:$DZU$1000000,2190,FALSE)</f>
        <v>#N/A</v>
      </c>
      <c r="N129" s="1" t="e">
        <f>VLOOKUP(A1,POsData!$A$1:$DZU$1000000,2191,FALSE)</f>
        <v>#N/A</v>
      </c>
      <c r="O129" s="1" t="e">
        <f>VLOOKUP(A1,POsData!$A$1:$DZU$1000000,2192,FALSE)</f>
        <v>#N/A</v>
      </c>
      <c r="P129" s="1" t="e">
        <f>VLOOKUP(A1,POsData!$A$1:$DZU$1000000,2193,FALSE)</f>
        <v>#N/A</v>
      </c>
      <c r="Q129" s="101" t="e">
        <f>VLOOKUP(A1,POsData!$A$1:$DZU$1000000,2194,FALSE)</f>
        <v>#N/A</v>
      </c>
    </row>
    <row r="130" spans="1:17" x14ac:dyDescent="0.35">
      <c r="A130" s="113" t="e">
        <f>VLOOKUP(A1,POsData!$A$1:$DZU$1000000,2195,FALSE)</f>
        <v>#N/A</v>
      </c>
      <c r="B130" s="1" t="e">
        <f>VLOOKUP(A1,POsData!$A$1:$DZU$1000000,2196,FALSE)</f>
        <v>#N/A</v>
      </c>
      <c r="C130" s="1" t="e">
        <f>VLOOKUP(A1,POsData!$A$1:$DZU$1000000,2197,FALSE)</f>
        <v>#N/A</v>
      </c>
      <c r="D130" s="1" t="e">
        <f>VLOOKUP(A1,POsData!$A$1:$DZU$1000000,2198,FALSE)</f>
        <v>#N/A</v>
      </c>
      <c r="E130" s="1" t="e">
        <f>VLOOKUP(A1,POsData!$A$1:$DZU$1000000,2199,FALSE)</f>
        <v>#N/A</v>
      </c>
      <c r="F130" s="1" t="e">
        <f>VLOOKUP(A1,POsData!$A$1:$DZU$1000000,2200,FALSE)</f>
        <v>#N/A</v>
      </c>
      <c r="G130" s="1" t="e">
        <f>VLOOKUP(A1,POsData!$A$1:$DZU$1000000,2201,FALSE)</f>
        <v>#N/A</v>
      </c>
      <c r="H130" s="1" t="e">
        <f>VLOOKUP(A1,POsData!$A$1:$DZU$1000000,2202,FALSE)</f>
        <v>#N/A</v>
      </c>
      <c r="I130" s="1" t="e">
        <f>VLOOKUP(A1,POsData!$A$1:$DZU$1000000,2203,FALSE)</f>
        <v>#N/A</v>
      </c>
      <c r="J130" s="1" t="e">
        <f>VLOOKUP(A1,POsData!$A$1:$DZU$1000000,2204,FALSE)</f>
        <v>#N/A</v>
      </c>
      <c r="K130" s="1" t="e">
        <f>VLOOKUP(A1,POsData!$A$1:$DZU$1000000,2205,FALSE)</f>
        <v>#N/A</v>
      </c>
      <c r="L130" s="1" t="e">
        <f>VLOOKUP(A1,POsData!$A$1:$DZU$1000000,2206,FALSE)</f>
        <v>#N/A</v>
      </c>
      <c r="M130" s="1" t="e">
        <f>VLOOKUP(A1,POsData!$A$1:$DZU$1000000,2207,FALSE)</f>
        <v>#N/A</v>
      </c>
      <c r="N130" s="1" t="e">
        <f>VLOOKUP(A1,POsData!$A$1:$DZU$1000000,2208,FALSE)</f>
        <v>#N/A</v>
      </c>
      <c r="O130" s="1" t="e">
        <f>VLOOKUP(A1,POsData!$A$1:$DZU$1000000,2209,FALSE)</f>
        <v>#N/A</v>
      </c>
      <c r="P130" s="1" t="e">
        <f>VLOOKUP(A1,POsData!$A$1:$DZU$1000000,2210,FALSE)</f>
        <v>#N/A</v>
      </c>
      <c r="Q130" s="101" t="e">
        <f>VLOOKUP(A1,POsData!$A$1:$DZU$1000000,2211,FALSE)</f>
        <v>#N/A</v>
      </c>
    </row>
    <row r="131" spans="1:17" x14ac:dyDescent="0.35">
      <c r="A131" s="113" t="e">
        <f>VLOOKUP(A1,POsData!$A$1:$DZU$1000000,2212,FALSE)</f>
        <v>#N/A</v>
      </c>
      <c r="B131" s="1" t="e">
        <f>VLOOKUP(A1,POsData!$A$1:$DZU$1000000,2213,FALSE)</f>
        <v>#N/A</v>
      </c>
      <c r="C131" s="1" t="e">
        <f>VLOOKUP(A1,POsData!$A$1:$DZU$1000000,2214,FALSE)</f>
        <v>#N/A</v>
      </c>
      <c r="D131" s="1" t="e">
        <f>VLOOKUP(A1,POsData!$A$1:$DZU$1000000,2215,FALSE)</f>
        <v>#N/A</v>
      </c>
      <c r="E131" s="1" t="e">
        <f>VLOOKUP(A1,POsData!$A$1:$DZU$1000000,2216,FALSE)</f>
        <v>#N/A</v>
      </c>
      <c r="F131" s="1" t="e">
        <f>VLOOKUP(A1,POsData!$A$1:$DZU$1000000,2217,FALSE)</f>
        <v>#N/A</v>
      </c>
      <c r="G131" s="1" t="e">
        <f>VLOOKUP(A1,POsData!$A$1:$DZU$1000000,2218,FALSE)</f>
        <v>#N/A</v>
      </c>
      <c r="H131" s="1" t="e">
        <f>VLOOKUP(A1,POsData!$A$1:$DZU$1000000,2219,FALSE)</f>
        <v>#N/A</v>
      </c>
      <c r="I131" s="1" t="e">
        <f>VLOOKUP(A1,POsData!$A$1:$DZU$1000000,2220,FALSE)</f>
        <v>#N/A</v>
      </c>
      <c r="J131" s="1" t="e">
        <f>VLOOKUP(A1,POsData!$A$1:$DZU$1000000,2221,FALSE)</f>
        <v>#N/A</v>
      </c>
      <c r="K131" s="1" t="e">
        <f>VLOOKUP(A1,POsData!$A$1:$DZU$1000000,2222,FALSE)</f>
        <v>#N/A</v>
      </c>
      <c r="L131" s="1" t="e">
        <f>VLOOKUP(A1,POsData!$A$1:$DZU$1000000,2223,FALSE)</f>
        <v>#N/A</v>
      </c>
      <c r="M131" s="1" t="e">
        <f>VLOOKUP(A1,POsData!$A$1:$DZU$1000000,2224,FALSE)</f>
        <v>#N/A</v>
      </c>
      <c r="N131" s="1" t="e">
        <f>VLOOKUP(A1,POsData!$A$1:$DZU$1000000,2225,FALSE)</f>
        <v>#N/A</v>
      </c>
      <c r="O131" s="1" t="e">
        <f>VLOOKUP(A1,POsData!$A$1:$DZU$1000000,2226,FALSE)</f>
        <v>#N/A</v>
      </c>
      <c r="P131" s="1" t="e">
        <f>VLOOKUP(A1,POsData!$A$1:$DZU$1000000,2227,FALSE)</f>
        <v>#N/A</v>
      </c>
      <c r="Q131" s="101" t="e">
        <f>VLOOKUP(A1,POsData!$A$1:$DZU$1000000,2228,FALSE)</f>
        <v>#N/A</v>
      </c>
    </row>
    <row r="132" spans="1:17" x14ac:dyDescent="0.35">
      <c r="A132" s="113" t="e">
        <f>VLOOKUP(A1,POsData!$A$1:$DZU$1000000,2229,FALSE)</f>
        <v>#N/A</v>
      </c>
      <c r="B132" s="1" t="e">
        <f>VLOOKUP(A1,POsData!$A$1:$DZU$1000000,2230,FALSE)</f>
        <v>#N/A</v>
      </c>
      <c r="C132" s="1" t="e">
        <f>VLOOKUP(A1,POsData!$A$1:$DZU$1000000,2231,FALSE)</f>
        <v>#N/A</v>
      </c>
      <c r="D132" s="1" t="e">
        <f>VLOOKUP(A1,POsData!$A$1:$DZU$1000000,2232,FALSE)</f>
        <v>#N/A</v>
      </c>
      <c r="E132" s="1" t="e">
        <f>VLOOKUP(A1,POsData!$A$1:$DZU$1000000,2233,FALSE)</f>
        <v>#N/A</v>
      </c>
      <c r="F132" s="1" t="e">
        <f>VLOOKUP(A1,POsData!$A$1:$DZU$1000000,2234,FALSE)</f>
        <v>#N/A</v>
      </c>
      <c r="G132" s="1" t="e">
        <f>VLOOKUP(A1,POsData!$A$1:$DZU$1000000,2235,FALSE)</f>
        <v>#N/A</v>
      </c>
      <c r="H132" s="1" t="e">
        <f>VLOOKUP(A1,POsData!$A$1:$DZU$1000000,2236,FALSE)</f>
        <v>#N/A</v>
      </c>
      <c r="I132" s="1" t="e">
        <f>VLOOKUP(A1,POsData!$A$1:$DZU$1000000,2237,FALSE)</f>
        <v>#N/A</v>
      </c>
      <c r="J132" s="1" t="e">
        <f>VLOOKUP(A1,POsData!$A$1:$DZU$1000000,2238,FALSE)</f>
        <v>#N/A</v>
      </c>
      <c r="K132" s="1" t="e">
        <f>VLOOKUP(A1,POsData!$A$1:$DZU$1000000,2239,FALSE)</f>
        <v>#N/A</v>
      </c>
      <c r="L132" s="1" t="e">
        <f>VLOOKUP(A1,POsData!$A$1:$DZU$1000000,2240,FALSE)</f>
        <v>#N/A</v>
      </c>
      <c r="M132" s="1" t="e">
        <f>VLOOKUP(A1,POsData!$A$1:$DZU$1000000,2241,FALSE)</f>
        <v>#N/A</v>
      </c>
      <c r="N132" s="1" t="e">
        <f>VLOOKUP(A1,POsData!$A$1:$DZU$1000000,2242,FALSE)</f>
        <v>#N/A</v>
      </c>
      <c r="O132" s="1" t="e">
        <f>VLOOKUP(A1,POsData!$A$1:$DZU$1000000,2243,FALSE)</f>
        <v>#N/A</v>
      </c>
      <c r="P132" s="1" t="e">
        <f>VLOOKUP(A1,POsData!$A$1:$DZU$1000000,2244,FALSE)</f>
        <v>#N/A</v>
      </c>
      <c r="Q132" s="101" t="e">
        <f>VLOOKUP(A1,POsData!$A$1:$DZU$1000000,2245,FALSE)</f>
        <v>#N/A</v>
      </c>
    </row>
    <row r="133" spans="1:17" x14ac:dyDescent="0.35">
      <c r="A133" s="113" t="e">
        <f>VLOOKUP(A1,POsData!$A$1:$DZU$1000000,2246,FALSE)</f>
        <v>#N/A</v>
      </c>
      <c r="B133" s="1" t="e">
        <f>VLOOKUP(A1,POsData!$A$1:$DZU$1000000,2247,FALSE)</f>
        <v>#N/A</v>
      </c>
      <c r="C133" s="1" t="e">
        <f>VLOOKUP(A1,POsData!$A$1:$DZU$1000000,2248,FALSE)</f>
        <v>#N/A</v>
      </c>
      <c r="D133" s="1" t="e">
        <f>VLOOKUP(A1,POsData!$A$1:$DZU$1000000,2249,FALSE)</f>
        <v>#N/A</v>
      </c>
      <c r="E133" s="1" t="e">
        <f>VLOOKUP(A1,POsData!$A$1:$DZU$1000000,2250,FALSE)</f>
        <v>#N/A</v>
      </c>
      <c r="F133" s="1" t="e">
        <f>VLOOKUP(A1,POsData!$A$1:$DZU$1000000,2251,FALSE)</f>
        <v>#N/A</v>
      </c>
      <c r="G133" s="1" t="e">
        <f>VLOOKUP(A1,POsData!$A$1:$DZU$1000000,2252,FALSE)</f>
        <v>#N/A</v>
      </c>
      <c r="H133" s="1" t="e">
        <f>VLOOKUP(A1,POsData!$A$1:$DZU$1000000,2253,FALSE)</f>
        <v>#N/A</v>
      </c>
      <c r="I133" s="1" t="e">
        <f>VLOOKUP(A1,POsData!$A$1:$DZU$1000000,2254,FALSE)</f>
        <v>#N/A</v>
      </c>
      <c r="J133" s="1" t="e">
        <f>VLOOKUP(A1,POsData!$A$1:$DZU$1000000,2255,FALSE)</f>
        <v>#N/A</v>
      </c>
      <c r="K133" s="1" t="e">
        <f>VLOOKUP(A1,POsData!$A$1:$DZU$1000000,2256,FALSE)</f>
        <v>#N/A</v>
      </c>
      <c r="L133" s="1" t="e">
        <f>VLOOKUP(A1,POsData!$A$1:$DZU$1000000,2257,FALSE)</f>
        <v>#N/A</v>
      </c>
      <c r="M133" s="1" t="e">
        <f>VLOOKUP(A1,POsData!$A$1:$DZU$1000000,2258,FALSE)</f>
        <v>#N/A</v>
      </c>
      <c r="N133" s="1" t="e">
        <f>VLOOKUP(A1,POsData!$A$1:$DZU$1000000,2259,FALSE)</f>
        <v>#N/A</v>
      </c>
      <c r="O133" s="1" t="e">
        <f>VLOOKUP(A1,POsData!$A$1:$DZU$1000000,2260,FALSE)</f>
        <v>#N/A</v>
      </c>
      <c r="P133" s="1" t="e">
        <f>VLOOKUP(A1,POsData!$A$1:$DZU$1000000,2261,FALSE)</f>
        <v>#N/A</v>
      </c>
      <c r="Q133" s="101" t="e">
        <f>VLOOKUP(A1,POsData!$A$1:$DZU$1000000,2262,FALSE)</f>
        <v>#N/A</v>
      </c>
    </row>
    <row r="134" spans="1:17" x14ac:dyDescent="0.35">
      <c r="A134" s="113" t="e">
        <f>VLOOKUP(A1,POsData!$A$1:$DZU$1000000,2263,FALSE)</f>
        <v>#N/A</v>
      </c>
      <c r="B134" s="1" t="e">
        <f>VLOOKUP(A1,POsData!$A$1:$DZU$1000000,2264,FALSE)</f>
        <v>#N/A</v>
      </c>
      <c r="C134" s="1" t="e">
        <f>VLOOKUP(A1,POsData!$A$1:$DZU$1000000,2265,FALSE)</f>
        <v>#N/A</v>
      </c>
      <c r="D134" s="1" t="e">
        <f>VLOOKUP(A1,POsData!$A$1:$DZU$1000000,2266,FALSE)</f>
        <v>#N/A</v>
      </c>
      <c r="E134" s="1" t="e">
        <f>VLOOKUP(A1,POsData!$A$1:$DZU$1000000,2267,FALSE)</f>
        <v>#N/A</v>
      </c>
      <c r="F134" s="1" t="e">
        <f>VLOOKUP(A1,POsData!$A$1:$DZU$1000000,2268,FALSE)</f>
        <v>#N/A</v>
      </c>
      <c r="G134" s="1" t="e">
        <f>VLOOKUP(A1,POsData!$A$1:$DZU$1000000,2269,FALSE)</f>
        <v>#N/A</v>
      </c>
      <c r="H134" s="1" t="e">
        <f>VLOOKUP(A1,POsData!$A$1:$DZU$1000000,2270,FALSE)</f>
        <v>#N/A</v>
      </c>
      <c r="I134" s="1" t="e">
        <f>VLOOKUP(A1,POsData!$A$1:$DZU$1000000,2271,FALSE)</f>
        <v>#N/A</v>
      </c>
      <c r="J134" s="1" t="e">
        <f>VLOOKUP(A1,POsData!$A$1:$DZU$1000000,2272,FALSE)</f>
        <v>#N/A</v>
      </c>
      <c r="K134" s="1" t="e">
        <f>VLOOKUP(A1,POsData!$A$1:$DZU$1000000,2273,FALSE)</f>
        <v>#N/A</v>
      </c>
      <c r="L134" s="1" t="e">
        <f>VLOOKUP(A1,POsData!$A$1:$DZU$1000000,2274,FALSE)</f>
        <v>#N/A</v>
      </c>
      <c r="M134" s="1" t="e">
        <f>VLOOKUP(A1,POsData!$A$1:$DZU$1000000,2275,FALSE)</f>
        <v>#N/A</v>
      </c>
      <c r="N134" s="1" t="e">
        <f>VLOOKUP(A1,POsData!$A$1:$DZU$1000000,2276,FALSE)</f>
        <v>#N/A</v>
      </c>
      <c r="O134" s="1" t="e">
        <f>VLOOKUP(A1,POsData!$A$1:$DZU$1000000,2277,FALSE)</f>
        <v>#N/A</v>
      </c>
      <c r="P134" s="1" t="e">
        <f>VLOOKUP(A1,POsData!$A$1:$DZU$1000000,2278,FALSE)</f>
        <v>#N/A</v>
      </c>
      <c r="Q134" s="101" t="e">
        <f>VLOOKUP(A1,POsData!$A$1:$DZU$1000000,2279,FALSE)</f>
        <v>#N/A</v>
      </c>
    </row>
    <row r="135" spans="1:17" x14ac:dyDescent="0.35">
      <c r="A135" s="113" t="e">
        <f>VLOOKUP(A1,POsData!$A$1:$DZU$1000000,2280,FALSE)</f>
        <v>#N/A</v>
      </c>
      <c r="B135" s="1" t="e">
        <f>VLOOKUP(A1,POsData!$A$1:$DZU$1000000,2281,FALSE)</f>
        <v>#N/A</v>
      </c>
      <c r="C135" s="1" t="e">
        <f>VLOOKUP(A1,POsData!$A$1:$DZU$1000000,2282,FALSE)</f>
        <v>#N/A</v>
      </c>
      <c r="D135" s="1" t="e">
        <f>VLOOKUP(A1,POsData!$A$1:$DZU$1000000,2283,FALSE)</f>
        <v>#N/A</v>
      </c>
      <c r="E135" s="1" t="e">
        <f>VLOOKUP(A1,POsData!$A$1:$DZU$1000000,2284,FALSE)</f>
        <v>#N/A</v>
      </c>
      <c r="F135" s="1" t="e">
        <f>VLOOKUP(A1,POsData!$A$1:$DZU$1000000,2285,FALSE)</f>
        <v>#N/A</v>
      </c>
      <c r="G135" s="1" t="e">
        <f>VLOOKUP(A1,POsData!$A$1:$DZU$1000000,2286,FALSE)</f>
        <v>#N/A</v>
      </c>
      <c r="H135" s="1" t="e">
        <f>VLOOKUP(A1,POsData!$A$1:$DZU$1000000,2287,FALSE)</f>
        <v>#N/A</v>
      </c>
      <c r="I135" s="1" t="e">
        <f>VLOOKUP(A1,POsData!$A$1:$DZU$1000000,2288,FALSE)</f>
        <v>#N/A</v>
      </c>
      <c r="J135" s="1" t="e">
        <f>VLOOKUP(A1,POsData!$A$1:$DZU$1000000,2289,FALSE)</f>
        <v>#N/A</v>
      </c>
      <c r="K135" s="1" t="e">
        <f>VLOOKUP(A1,POsData!$A$1:$DZU$1000000,2290,FALSE)</f>
        <v>#N/A</v>
      </c>
      <c r="L135" s="1" t="e">
        <f>VLOOKUP(A1,POsData!$A$1:$DZU$1000000,2291,FALSE)</f>
        <v>#N/A</v>
      </c>
      <c r="M135" s="1" t="e">
        <f>VLOOKUP(A1,POsData!$A$1:$DZU$1000000,2292,FALSE)</f>
        <v>#N/A</v>
      </c>
      <c r="N135" s="1" t="e">
        <f>VLOOKUP(A1,POsData!$A$1:$DZU$1000000,2293,FALSE)</f>
        <v>#N/A</v>
      </c>
      <c r="O135" s="1" t="e">
        <f>VLOOKUP(A1,POsData!$A$1:$DZU$1000000,2294,FALSE)</f>
        <v>#N/A</v>
      </c>
      <c r="P135" s="1" t="e">
        <f>VLOOKUP(A1,POsData!$A$1:$DZU$1000000,2295,FALSE)</f>
        <v>#N/A</v>
      </c>
      <c r="Q135" s="101" t="e">
        <f>VLOOKUP(A1,POsData!$A$1:$DZU$1000000,2296,FALSE)</f>
        <v>#N/A</v>
      </c>
    </row>
    <row r="136" spans="1:17" x14ac:dyDescent="0.35">
      <c r="A136" s="113" t="e">
        <f>VLOOKUP(A1,POsData!$A$1:$DZU$1000000,2297,FALSE)</f>
        <v>#N/A</v>
      </c>
      <c r="B136" s="1" t="e">
        <f>VLOOKUP(A1,POsData!$A$1:$DZU$1000000,2298,FALSE)</f>
        <v>#N/A</v>
      </c>
      <c r="C136" s="1" t="e">
        <f>VLOOKUP(A1,POsData!$A$1:$DZU$1000000,2299,FALSE)</f>
        <v>#N/A</v>
      </c>
      <c r="D136" s="1" t="e">
        <f>VLOOKUP(A1,POsData!$A$1:$DZU$1000000,2300,FALSE)</f>
        <v>#N/A</v>
      </c>
      <c r="E136" s="1" t="e">
        <f>VLOOKUP(A1,POsData!$A$1:$DZU$1000000,2301,FALSE)</f>
        <v>#N/A</v>
      </c>
      <c r="F136" s="1" t="e">
        <f>VLOOKUP(A1,POsData!$A$1:$DZU$1000000,2302,FALSE)</f>
        <v>#N/A</v>
      </c>
      <c r="G136" s="1" t="e">
        <f>VLOOKUP(A1,POsData!$A$1:$DZU$1000000,2303,FALSE)</f>
        <v>#N/A</v>
      </c>
      <c r="H136" s="1" t="e">
        <f>VLOOKUP(A1,POsData!$A$1:$DZU$1000000,2304,FALSE)</f>
        <v>#N/A</v>
      </c>
      <c r="I136" s="1" t="e">
        <f>VLOOKUP(A1,POsData!$A$1:$DZU$1000000,2305,FALSE)</f>
        <v>#N/A</v>
      </c>
      <c r="J136" s="1" t="e">
        <f>VLOOKUP(A1,POsData!$A$1:$DZU$1000000,2306,FALSE)</f>
        <v>#N/A</v>
      </c>
      <c r="K136" s="1" t="e">
        <f>VLOOKUP(A1,POsData!$A$1:$DZU$1000000,2307,FALSE)</f>
        <v>#N/A</v>
      </c>
      <c r="L136" s="1" t="e">
        <f>VLOOKUP(A1,POsData!$A$1:$DZU$1000000,2308,FALSE)</f>
        <v>#N/A</v>
      </c>
      <c r="M136" s="1" t="e">
        <f>VLOOKUP(A1,POsData!$A$1:$DZU$1000000,2309,FALSE)</f>
        <v>#N/A</v>
      </c>
      <c r="N136" s="1" t="e">
        <f>VLOOKUP(A1,POsData!$A$1:$DZU$1000000,2310,FALSE)</f>
        <v>#N/A</v>
      </c>
      <c r="O136" s="1" t="e">
        <f>VLOOKUP(A1,POsData!$A$1:$DZU$1000000,2311,FALSE)</f>
        <v>#N/A</v>
      </c>
      <c r="P136" s="1" t="e">
        <f>VLOOKUP(A1,POsData!$A$1:$DZU$1000000,2312,FALSE)</f>
        <v>#N/A</v>
      </c>
      <c r="Q136" s="101" t="e">
        <f>VLOOKUP(A1,POsData!$A$1:$DZU$1000000,2313,FALSE)</f>
        <v>#N/A</v>
      </c>
    </row>
    <row r="137" spans="1:17" x14ac:dyDescent="0.35">
      <c r="A137" s="113" t="e">
        <f>VLOOKUP(A1,POsData!$A$1:$DZU$1000000,2314,FALSE)</f>
        <v>#N/A</v>
      </c>
      <c r="B137" s="1" t="e">
        <f>VLOOKUP(A1,POsData!$A$1:$DZU$1000000,2315,FALSE)</f>
        <v>#N/A</v>
      </c>
      <c r="C137" s="1" t="e">
        <f>VLOOKUP(A1,POsData!$A$1:$DZU$1000000,2316,FALSE)</f>
        <v>#N/A</v>
      </c>
      <c r="D137" s="1" t="e">
        <f>VLOOKUP(A1,POsData!$A$1:$DZU$1000000,2317,FALSE)</f>
        <v>#N/A</v>
      </c>
      <c r="E137" s="1" t="e">
        <f>VLOOKUP(A1,POsData!$A$1:$DZU$1000000,2318,FALSE)</f>
        <v>#N/A</v>
      </c>
      <c r="F137" s="1" t="e">
        <f>VLOOKUP(A1,POsData!$A$1:$DZU$1000000,2319,FALSE)</f>
        <v>#N/A</v>
      </c>
      <c r="G137" s="1" t="e">
        <f>VLOOKUP(A1,POsData!$A$1:$DZU$1000000,2320,FALSE)</f>
        <v>#N/A</v>
      </c>
      <c r="H137" s="1" t="e">
        <f>VLOOKUP(A1,POsData!$A$1:$DZU$1000000,2321,FALSE)</f>
        <v>#N/A</v>
      </c>
      <c r="I137" s="1" t="e">
        <f>VLOOKUP(A1,POsData!$A$1:$DZU$1000000,2322,FALSE)</f>
        <v>#N/A</v>
      </c>
      <c r="J137" s="1" t="e">
        <f>VLOOKUP(A1,POsData!$A$1:$DZU$1000000,2323,FALSE)</f>
        <v>#N/A</v>
      </c>
      <c r="K137" s="1" t="e">
        <f>VLOOKUP(A1,POsData!$A$1:$DZU$1000000,2324,FALSE)</f>
        <v>#N/A</v>
      </c>
      <c r="L137" s="1" t="e">
        <f>VLOOKUP(A1,POsData!$A$1:$DZU$1000000,2325,FALSE)</f>
        <v>#N/A</v>
      </c>
      <c r="M137" s="1" t="e">
        <f>VLOOKUP(A1,POsData!$A$1:$DZU$1000000,2326,FALSE)</f>
        <v>#N/A</v>
      </c>
      <c r="N137" s="1" t="e">
        <f>VLOOKUP(A1,POsData!$A$1:$DZU$1000000,2327,FALSE)</f>
        <v>#N/A</v>
      </c>
      <c r="O137" s="1" t="e">
        <f>VLOOKUP(A1,POsData!$A$1:$DZU$1000000,2328,FALSE)</f>
        <v>#N/A</v>
      </c>
      <c r="P137" s="1" t="e">
        <f>VLOOKUP(A1,POsData!$A$1:$DZU$1000000,2329,FALSE)</f>
        <v>#N/A</v>
      </c>
      <c r="Q137" s="101" t="e">
        <f>VLOOKUP(A1,POsData!$A$1:$DZU$1000000,2330,FALSE)</f>
        <v>#N/A</v>
      </c>
    </row>
    <row r="138" spans="1:17" x14ac:dyDescent="0.35">
      <c r="A138" s="113" t="e">
        <f>VLOOKUP(A1,POsData!$A$1:$DZU$1000000,2331,FALSE)</f>
        <v>#N/A</v>
      </c>
      <c r="B138" s="1" t="e">
        <f>VLOOKUP(A1,POsData!$A$1:$DZU$1000000,2332,FALSE)</f>
        <v>#N/A</v>
      </c>
      <c r="C138" s="1" t="e">
        <f>VLOOKUP(A1,POsData!$A$1:$DZU$1000000,2333,FALSE)</f>
        <v>#N/A</v>
      </c>
      <c r="D138" s="1" t="e">
        <f>VLOOKUP(A1,POsData!$A$1:$DZU$1000000,2334,FALSE)</f>
        <v>#N/A</v>
      </c>
      <c r="E138" s="1" t="e">
        <f>VLOOKUP(A1,POsData!$A$1:$DZU$1000000,2335,FALSE)</f>
        <v>#N/A</v>
      </c>
      <c r="F138" s="1" t="e">
        <f>VLOOKUP(A1,POsData!$A$1:$DZU$1000000,2336,FALSE)</f>
        <v>#N/A</v>
      </c>
      <c r="G138" s="1" t="e">
        <f>VLOOKUP(A1,POsData!$A$1:$DZU$1000000,2337,FALSE)</f>
        <v>#N/A</v>
      </c>
      <c r="H138" s="1" t="e">
        <f>VLOOKUP(A1,POsData!$A$1:$DZU$1000000,2338,FALSE)</f>
        <v>#N/A</v>
      </c>
      <c r="I138" s="1" t="e">
        <f>VLOOKUP(A1,POsData!$A$1:$DZU$1000000,2339,FALSE)</f>
        <v>#N/A</v>
      </c>
      <c r="J138" s="1" t="e">
        <f>VLOOKUP(A1,POsData!$A$1:$DZU$1000000,2340,FALSE)</f>
        <v>#N/A</v>
      </c>
      <c r="K138" s="1" t="e">
        <f>VLOOKUP(A1,POsData!$A$1:$DZU$1000000,2341,FALSE)</f>
        <v>#N/A</v>
      </c>
      <c r="L138" s="1" t="e">
        <f>VLOOKUP(A1,POsData!$A$1:$DZU$1000000,2342,FALSE)</f>
        <v>#N/A</v>
      </c>
      <c r="M138" s="1" t="e">
        <f>VLOOKUP(A1,POsData!$A$1:$DZU$1000000,2343,FALSE)</f>
        <v>#N/A</v>
      </c>
      <c r="N138" s="1" t="e">
        <f>VLOOKUP(A1,POsData!$A$1:$DZU$1000000,2344,FALSE)</f>
        <v>#N/A</v>
      </c>
      <c r="O138" s="1" t="e">
        <f>VLOOKUP(A1,POsData!$A$1:$DZU$1000000,2345,FALSE)</f>
        <v>#N/A</v>
      </c>
      <c r="P138" s="1" t="e">
        <f>VLOOKUP(A1,POsData!$A$1:$DZU$1000000,2346,FALSE)</f>
        <v>#N/A</v>
      </c>
      <c r="Q138" s="101" t="e">
        <f>VLOOKUP(A1,POsData!$A$1:$DZU$1000000,2347,FALSE)</f>
        <v>#N/A</v>
      </c>
    </row>
    <row r="139" spans="1:17" x14ac:dyDescent="0.35">
      <c r="A139" s="113" t="e">
        <f>VLOOKUP(A1,POsData!$A$1:$DZU$1000000,2348,FALSE)</f>
        <v>#N/A</v>
      </c>
      <c r="B139" s="1" t="e">
        <f>VLOOKUP(A1,POsData!$A$1:$DZU$1000000,2349,FALSE)</f>
        <v>#N/A</v>
      </c>
      <c r="C139" s="1" t="e">
        <f>VLOOKUP(A1,POsData!$A$1:$DZU$1000000,2350,FALSE)</f>
        <v>#N/A</v>
      </c>
      <c r="D139" s="1" t="e">
        <f>VLOOKUP(A1,POsData!$A$1:$DZU$1000000,2351,FALSE)</f>
        <v>#N/A</v>
      </c>
      <c r="E139" s="1" t="e">
        <f>VLOOKUP(A1,POsData!$A$1:$DZU$1000000,2352,FALSE)</f>
        <v>#N/A</v>
      </c>
      <c r="F139" s="1" t="e">
        <f>VLOOKUP(A1,POsData!$A$1:$DZU$1000000,2353,FALSE)</f>
        <v>#N/A</v>
      </c>
      <c r="G139" s="1" t="e">
        <f>VLOOKUP(A1,POsData!$A$1:$DZU$1000000,2354,FALSE)</f>
        <v>#N/A</v>
      </c>
      <c r="H139" s="1" t="e">
        <f>VLOOKUP(A1,POsData!$A$1:$DZU$1000000,2355,FALSE)</f>
        <v>#N/A</v>
      </c>
      <c r="I139" s="1" t="e">
        <f>VLOOKUP(A1,POsData!$A$1:$DZU$1000000,2356,FALSE)</f>
        <v>#N/A</v>
      </c>
      <c r="J139" s="1" t="e">
        <f>VLOOKUP(A1,POsData!$A$1:$DZU$1000000,2357,FALSE)</f>
        <v>#N/A</v>
      </c>
      <c r="K139" s="1" t="e">
        <f>VLOOKUP(A1,POsData!$A$1:$DZU$1000000,2358,FALSE)</f>
        <v>#N/A</v>
      </c>
      <c r="L139" s="1" t="e">
        <f>VLOOKUP(A1,POsData!$A$1:$DZU$1000000,2359,FALSE)</f>
        <v>#N/A</v>
      </c>
      <c r="M139" s="1" t="e">
        <f>VLOOKUP(A1,POsData!$A$1:$DZU$1000000,2360,FALSE)</f>
        <v>#N/A</v>
      </c>
      <c r="N139" s="1" t="e">
        <f>VLOOKUP(A1,POsData!$A$1:$DZU$1000000,2361,FALSE)</f>
        <v>#N/A</v>
      </c>
      <c r="O139" s="1" t="e">
        <f>VLOOKUP(A1,POsData!$A$1:$DZU$1000000,2362,FALSE)</f>
        <v>#N/A</v>
      </c>
      <c r="P139" s="1" t="e">
        <f>VLOOKUP(A1,POsData!$A$1:$DZU$1000000,2363,FALSE)</f>
        <v>#N/A</v>
      </c>
      <c r="Q139" s="101" t="e">
        <f>VLOOKUP(A1,POsData!$A$1:$DZU$1000000,2364,FALSE)</f>
        <v>#N/A</v>
      </c>
    </row>
    <row r="140" spans="1:17" x14ac:dyDescent="0.35">
      <c r="A140" s="113" t="e">
        <f>VLOOKUP(A1,POsData!$A$1:$DZU$1000000,2365,FALSE)</f>
        <v>#N/A</v>
      </c>
      <c r="B140" s="1" t="e">
        <f>VLOOKUP(A1,POsData!$A$1:$DZU$1000000,2366,FALSE)</f>
        <v>#N/A</v>
      </c>
      <c r="C140" s="1" t="e">
        <f>VLOOKUP(A1,POsData!$A$1:$DZU$1000000,2367,FALSE)</f>
        <v>#N/A</v>
      </c>
      <c r="D140" s="1" t="e">
        <f>VLOOKUP(A1,POsData!$A$1:$DZU$1000000,2368,FALSE)</f>
        <v>#N/A</v>
      </c>
      <c r="E140" s="1" t="e">
        <f>VLOOKUP(A1,POsData!$A$1:$DZU$1000000,2369,FALSE)</f>
        <v>#N/A</v>
      </c>
      <c r="F140" s="1" t="e">
        <f>VLOOKUP(A1,POsData!$A$1:$DZU$1000000,2370,FALSE)</f>
        <v>#N/A</v>
      </c>
      <c r="G140" s="1" t="e">
        <f>VLOOKUP(A1,POsData!$A$1:$DZU$1000000,2371,FALSE)</f>
        <v>#N/A</v>
      </c>
      <c r="H140" s="1" t="e">
        <f>VLOOKUP(A1,POsData!$A$1:$DZU$1000000,2372,FALSE)</f>
        <v>#N/A</v>
      </c>
      <c r="I140" s="1" t="e">
        <f>VLOOKUP(A1,POsData!$A$1:$DZU$1000000,2373,FALSE)</f>
        <v>#N/A</v>
      </c>
      <c r="J140" s="1" t="e">
        <f>VLOOKUP(A1,POsData!$A$1:$DZU$1000000,2374,FALSE)</f>
        <v>#N/A</v>
      </c>
      <c r="K140" s="1" t="e">
        <f>VLOOKUP(A1,POsData!$A$1:$DZU$1000000,2375,FALSE)</f>
        <v>#N/A</v>
      </c>
      <c r="L140" s="1" t="e">
        <f>VLOOKUP(A1,POsData!$A$1:$DZU$1000000,2376,FALSE)</f>
        <v>#N/A</v>
      </c>
      <c r="M140" s="1" t="e">
        <f>VLOOKUP(A1,POsData!$A$1:$DZU$1000000,2377,FALSE)</f>
        <v>#N/A</v>
      </c>
      <c r="N140" s="1" t="e">
        <f>VLOOKUP(A1,POsData!$A$1:$DZU$1000000,2378,FALSE)</f>
        <v>#N/A</v>
      </c>
      <c r="O140" s="1" t="e">
        <f>VLOOKUP(A1,POsData!$A$1:$DZU$1000000,2379,FALSE)</f>
        <v>#N/A</v>
      </c>
      <c r="P140" s="1" t="e">
        <f>VLOOKUP(A1,POsData!$A$1:$DZU$1000000,2380,FALSE)</f>
        <v>#N/A</v>
      </c>
      <c r="Q140" s="101" t="e">
        <f>VLOOKUP(A1,POsData!$A$1:$DZU$1000000,2381,FALSE)</f>
        <v>#N/A</v>
      </c>
    </row>
    <row r="141" spans="1:17" x14ac:dyDescent="0.35">
      <c r="A141" s="113" t="e">
        <f>VLOOKUP(A1,POsData!$A$1:$DZU$1000000,2382,FALSE)</f>
        <v>#N/A</v>
      </c>
      <c r="B141" s="1" t="e">
        <f>VLOOKUP(A1,POsData!$A$1:$DZU$1000000,2383,FALSE)</f>
        <v>#N/A</v>
      </c>
      <c r="C141" s="1" t="e">
        <f>VLOOKUP(A1,POsData!$A$1:$DZU$1000000,2384,FALSE)</f>
        <v>#N/A</v>
      </c>
      <c r="D141" s="1" t="e">
        <f>VLOOKUP(A1,POsData!$A$1:$DZU$1000000,2385,FALSE)</f>
        <v>#N/A</v>
      </c>
      <c r="E141" s="1" t="e">
        <f>VLOOKUP(A1,POsData!$A$1:$DZU$1000000,2386,FALSE)</f>
        <v>#N/A</v>
      </c>
      <c r="F141" s="1" t="e">
        <f>VLOOKUP(A1,POsData!$A$1:$DZU$1000000,2387,FALSE)</f>
        <v>#N/A</v>
      </c>
      <c r="G141" s="1" t="e">
        <f>VLOOKUP(A1,POsData!$A$1:$DZU$1000000,2388,FALSE)</f>
        <v>#N/A</v>
      </c>
      <c r="H141" s="1" t="e">
        <f>VLOOKUP(A1,POsData!$A$1:$DZU$1000000,2389,FALSE)</f>
        <v>#N/A</v>
      </c>
      <c r="I141" s="1" t="e">
        <f>VLOOKUP(A1,POsData!$A$1:$DZU$1000000,2390,FALSE)</f>
        <v>#N/A</v>
      </c>
      <c r="J141" s="1" t="e">
        <f>VLOOKUP(A1,POsData!$A$1:$DZU$1000000,2391,FALSE)</f>
        <v>#N/A</v>
      </c>
      <c r="K141" s="1" t="e">
        <f>VLOOKUP(A1,POsData!$A$1:$DZU$1000000,2392,FALSE)</f>
        <v>#N/A</v>
      </c>
      <c r="L141" s="1" t="e">
        <f>VLOOKUP(A1,POsData!$A$1:$DZU$1000000,2393,FALSE)</f>
        <v>#N/A</v>
      </c>
      <c r="M141" s="1" t="e">
        <f>VLOOKUP(A1,POsData!$A$1:$DZU$1000000,2394,FALSE)</f>
        <v>#N/A</v>
      </c>
      <c r="N141" s="1" t="e">
        <f>VLOOKUP(A1,POsData!$A$1:$DZU$1000000,2395,FALSE)</f>
        <v>#N/A</v>
      </c>
      <c r="O141" s="1" t="e">
        <f>VLOOKUP(A1,POsData!$A$1:$DZU$1000000,2396,FALSE)</f>
        <v>#N/A</v>
      </c>
      <c r="P141" s="1" t="e">
        <f>VLOOKUP(A1,POsData!$A$1:$DZU$1000000,2397,FALSE)</f>
        <v>#N/A</v>
      </c>
      <c r="Q141" s="101" t="e">
        <f>VLOOKUP(A1,POsData!$A$1:$DZU$1000000,2398,FALSE)</f>
        <v>#N/A</v>
      </c>
    </row>
    <row r="142" spans="1:17" x14ac:dyDescent="0.35">
      <c r="A142" s="113" t="e">
        <f>VLOOKUP(A1,POsData!$A$1:$DZU$1000000,2399,FALSE)</f>
        <v>#N/A</v>
      </c>
      <c r="B142" s="1" t="e">
        <f>VLOOKUP(A1,POsData!$A$1:$DZU$1000000,2400,FALSE)</f>
        <v>#N/A</v>
      </c>
      <c r="C142" s="1" t="e">
        <f>VLOOKUP(A1,POsData!$A$1:$DZU$1000000,2401,FALSE)</f>
        <v>#N/A</v>
      </c>
      <c r="D142" s="1" t="e">
        <f>VLOOKUP(A1,POsData!$A$1:$DZU$1000000,2402,FALSE)</f>
        <v>#N/A</v>
      </c>
      <c r="E142" s="1" t="e">
        <f>VLOOKUP(A1,POsData!$A$1:$DZU$1000000,2403,FALSE)</f>
        <v>#N/A</v>
      </c>
      <c r="F142" s="1" t="e">
        <f>VLOOKUP(A1,POsData!$A$1:$DZU$1000000,2404,FALSE)</f>
        <v>#N/A</v>
      </c>
      <c r="G142" s="1" t="e">
        <f>VLOOKUP(A1,POsData!$A$1:$DZU$1000000,2405,FALSE)</f>
        <v>#N/A</v>
      </c>
      <c r="H142" s="1" t="e">
        <f>VLOOKUP(A1,POsData!$A$1:$DZU$1000000,2406,FALSE)</f>
        <v>#N/A</v>
      </c>
      <c r="I142" s="1" t="e">
        <f>VLOOKUP(A1,POsData!$A$1:$DZU$1000000,2407,FALSE)</f>
        <v>#N/A</v>
      </c>
      <c r="J142" s="1" t="e">
        <f>VLOOKUP(A1,POsData!$A$1:$DZU$1000000,2408,FALSE)</f>
        <v>#N/A</v>
      </c>
      <c r="K142" s="1" t="e">
        <f>VLOOKUP(A1,POsData!$A$1:$DZU$1000000,2409,FALSE)</f>
        <v>#N/A</v>
      </c>
      <c r="L142" s="1" t="e">
        <f>VLOOKUP(A1,POsData!$A$1:$DZU$1000000,2410,FALSE)</f>
        <v>#N/A</v>
      </c>
      <c r="M142" s="1" t="e">
        <f>VLOOKUP(A1,POsData!$A$1:$DZU$1000000,2411,FALSE)</f>
        <v>#N/A</v>
      </c>
      <c r="N142" s="1" t="e">
        <f>VLOOKUP(A1,POsData!$A$1:$DZU$1000000,2412,FALSE)</f>
        <v>#N/A</v>
      </c>
      <c r="O142" s="1" t="e">
        <f>VLOOKUP(A1,POsData!$A$1:$DZU$1000000,2413,FALSE)</f>
        <v>#N/A</v>
      </c>
      <c r="P142" s="1" t="e">
        <f>VLOOKUP(A1,POsData!$A$1:$DZU$1000000,2414,FALSE)</f>
        <v>#N/A</v>
      </c>
      <c r="Q142" s="101" t="e">
        <f>VLOOKUP(A1,POsData!$A$1:$DZU$1000000,2415,FALSE)</f>
        <v>#N/A</v>
      </c>
    </row>
    <row r="143" spans="1:17" x14ac:dyDescent="0.35">
      <c r="A143" s="113" t="e">
        <f>VLOOKUP(A1,POsData!$A$1:$DZU$1000000,2416,FALSE)</f>
        <v>#N/A</v>
      </c>
      <c r="B143" s="1" t="e">
        <f>VLOOKUP(A1,POsData!$A$1:$DZU$1000000,2417,FALSE)</f>
        <v>#N/A</v>
      </c>
      <c r="C143" s="1" t="e">
        <f>VLOOKUP(A1,POsData!$A$1:$DZU$1000000,2418,FALSE)</f>
        <v>#N/A</v>
      </c>
      <c r="D143" s="1" t="e">
        <f>VLOOKUP(A1,POsData!$A$1:$DZU$1000000,2419,FALSE)</f>
        <v>#N/A</v>
      </c>
      <c r="E143" s="1" t="e">
        <f>VLOOKUP(A1,POsData!$A$1:$DZU$1000000,2420,FALSE)</f>
        <v>#N/A</v>
      </c>
      <c r="F143" s="1" t="e">
        <f>VLOOKUP(A1,POsData!$A$1:$DZU$1000000,2421,FALSE)</f>
        <v>#N/A</v>
      </c>
      <c r="G143" s="1" t="e">
        <f>VLOOKUP(A1,POsData!$A$1:$DZU$1000000,2422,FALSE)</f>
        <v>#N/A</v>
      </c>
      <c r="H143" s="1" t="e">
        <f>VLOOKUP(A1,POsData!$A$1:$DZU$1000000,2423,FALSE)</f>
        <v>#N/A</v>
      </c>
      <c r="I143" s="1" t="e">
        <f>VLOOKUP(A1,POsData!$A$1:$DZU$1000000,2424,FALSE)</f>
        <v>#N/A</v>
      </c>
      <c r="J143" s="1" t="e">
        <f>VLOOKUP(A1,POsData!$A$1:$DZU$1000000,2425,FALSE)</f>
        <v>#N/A</v>
      </c>
      <c r="K143" s="1" t="e">
        <f>VLOOKUP(A1,POsData!$A$1:$DZU$1000000,2426,FALSE)</f>
        <v>#N/A</v>
      </c>
      <c r="L143" s="1" t="e">
        <f>VLOOKUP(A1,POsData!$A$1:$DZU$1000000,2427,FALSE)</f>
        <v>#N/A</v>
      </c>
      <c r="M143" s="1" t="e">
        <f>VLOOKUP(A1,POsData!$A$1:$DZU$1000000,2428,FALSE)</f>
        <v>#N/A</v>
      </c>
      <c r="N143" s="1" t="e">
        <f>VLOOKUP(A1,POsData!$A$1:$DZU$1000000,2429,FALSE)</f>
        <v>#N/A</v>
      </c>
      <c r="O143" s="1" t="e">
        <f>VLOOKUP(A1,POsData!$A$1:$DZU$1000000,2430,FALSE)</f>
        <v>#N/A</v>
      </c>
      <c r="P143" s="1" t="e">
        <f>VLOOKUP(A1,POsData!$A$1:$DZU$1000000,2431,FALSE)</f>
        <v>#N/A</v>
      </c>
      <c r="Q143" s="101" t="e">
        <f>VLOOKUP(A1,POsData!$A$1:$DZU$1000000,2432,FALSE)</f>
        <v>#N/A</v>
      </c>
    </row>
    <row r="144" spans="1:17" x14ac:dyDescent="0.35">
      <c r="A144" s="113" t="e">
        <f>VLOOKUP(A1,POsData!$A$1:$DZU$1000000,2433,FALSE)</f>
        <v>#N/A</v>
      </c>
      <c r="B144" s="1" t="e">
        <f>VLOOKUP(A1,POsData!$A$1:$DZU$1000000,2434,FALSE)</f>
        <v>#N/A</v>
      </c>
      <c r="C144" s="1" t="e">
        <f>VLOOKUP(A1,POsData!$A$1:$DZU$1000000,2435,FALSE)</f>
        <v>#N/A</v>
      </c>
      <c r="D144" s="1" t="e">
        <f>VLOOKUP(A1,POsData!$A$1:$DZU$1000000,2436,FALSE)</f>
        <v>#N/A</v>
      </c>
      <c r="E144" s="1" t="e">
        <f>VLOOKUP(A1,POsData!$A$1:$DZU$1000000,2437,FALSE)</f>
        <v>#N/A</v>
      </c>
      <c r="F144" s="1" t="e">
        <f>VLOOKUP(A1,POsData!$A$1:$DZU$1000000,2438,FALSE)</f>
        <v>#N/A</v>
      </c>
      <c r="G144" s="1" t="e">
        <f>VLOOKUP(A1,POsData!$A$1:$DZU$1000000,2439,FALSE)</f>
        <v>#N/A</v>
      </c>
      <c r="H144" s="1" t="e">
        <f>VLOOKUP(A1,POsData!$A$1:$DZU$1000000,2440,FALSE)</f>
        <v>#N/A</v>
      </c>
      <c r="I144" s="1" t="e">
        <f>VLOOKUP(A1,POsData!$A$1:$DZU$1000000,2441,FALSE)</f>
        <v>#N/A</v>
      </c>
      <c r="J144" s="1" t="e">
        <f>VLOOKUP(A1,POsData!$A$1:$DZU$1000000,2442,FALSE)</f>
        <v>#N/A</v>
      </c>
      <c r="K144" s="1" t="e">
        <f>VLOOKUP(A1,POsData!$A$1:$DZU$1000000,2443,FALSE)</f>
        <v>#N/A</v>
      </c>
      <c r="L144" s="1" t="e">
        <f>VLOOKUP(A1,POsData!$A$1:$DZU$1000000,2444,FALSE)</f>
        <v>#N/A</v>
      </c>
      <c r="M144" s="1" t="e">
        <f>VLOOKUP(A1,POsData!$A$1:$DZU$1000000,2445,FALSE)</f>
        <v>#N/A</v>
      </c>
      <c r="N144" s="1" t="e">
        <f>VLOOKUP(A1,POsData!$A$1:$DZU$1000000,2446,FALSE)</f>
        <v>#N/A</v>
      </c>
      <c r="O144" s="1" t="e">
        <f>VLOOKUP(A1,POsData!$A$1:$DZU$1000000,2447,FALSE)</f>
        <v>#N/A</v>
      </c>
      <c r="P144" s="1" t="e">
        <f>VLOOKUP(A1,POsData!$A$1:$DZU$1000000,2448,FALSE)</f>
        <v>#N/A</v>
      </c>
      <c r="Q144" s="101" t="e">
        <f>VLOOKUP(A1,POsData!$A$1:$DZU$1000000,2449,FALSE)</f>
        <v>#N/A</v>
      </c>
    </row>
    <row r="145" spans="1:17" x14ac:dyDescent="0.35">
      <c r="A145" s="113" t="e">
        <f>VLOOKUP(A1,POsData!$A$1:$DZU$1000000,2450,FALSE)</f>
        <v>#N/A</v>
      </c>
      <c r="B145" s="1" t="e">
        <f>VLOOKUP(A1,POsData!$A$1:$DZU$1000000,2451,FALSE)</f>
        <v>#N/A</v>
      </c>
      <c r="C145" s="1" t="e">
        <f>VLOOKUP(A1,POsData!$A$1:$DZU$1000000,2452,FALSE)</f>
        <v>#N/A</v>
      </c>
      <c r="D145" s="1" t="e">
        <f>VLOOKUP(A1,POsData!$A$1:$DZU$1000000,2453,FALSE)</f>
        <v>#N/A</v>
      </c>
      <c r="E145" s="1" t="e">
        <f>VLOOKUP(A1,POsData!$A$1:$DZU$1000000,2454,FALSE)</f>
        <v>#N/A</v>
      </c>
      <c r="F145" s="1" t="e">
        <f>VLOOKUP(A1,POsData!$A$1:$DZU$1000000,2455,FALSE)</f>
        <v>#N/A</v>
      </c>
      <c r="G145" s="1" t="e">
        <f>VLOOKUP(A1,POsData!$A$1:$DZU$1000000,2456,FALSE)</f>
        <v>#N/A</v>
      </c>
      <c r="H145" s="1" t="e">
        <f>VLOOKUP(A1,POsData!$A$1:$DZU$1000000,2457,FALSE)</f>
        <v>#N/A</v>
      </c>
      <c r="I145" s="1" t="e">
        <f>VLOOKUP(A1,POsData!$A$1:$DZU$1000000,2458,FALSE)</f>
        <v>#N/A</v>
      </c>
      <c r="J145" s="1" t="e">
        <f>VLOOKUP(A1,POsData!$A$1:$DZU$1000000,2459,FALSE)</f>
        <v>#N/A</v>
      </c>
      <c r="K145" s="1" t="e">
        <f>VLOOKUP(A1,POsData!$A$1:$DZU$1000000,2460,FALSE)</f>
        <v>#N/A</v>
      </c>
      <c r="L145" s="1" t="e">
        <f>VLOOKUP(A1,POsData!$A$1:$DZU$1000000,2461,FALSE)</f>
        <v>#N/A</v>
      </c>
      <c r="M145" s="1" t="e">
        <f>VLOOKUP(A1,POsData!$A$1:$DZU$1000000,2462,FALSE)</f>
        <v>#N/A</v>
      </c>
      <c r="N145" s="1" t="e">
        <f>VLOOKUP(A1,POsData!$A$1:$DZU$1000000,2463,FALSE)</f>
        <v>#N/A</v>
      </c>
      <c r="O145" s="1" t="e">
        <f>VLOOKUP(A1,POsData!$A$1:$DZU$1000000,2464,FALSE)</f>
        <v>#N/A</v>
      </c>
      <c r="P145" s="1" t="e">
        <f>VLOOKUP(A1,POsData!$A$1:$DZU$1000000,2465,FALSE)</f>
        <v>#N/A</v>
      </c>
      <c r="Q145" s="101" t="e">
        <f>VLOOKUP(A1,POsData!$A$1:$DZU$1000000,2466,FALSE)</f>
        <v>#N/A</v>
      </c>
    </row>
    <row r="146" spans="1:17" x14ac:dyDescent="0.35">
      <c r="A146" s="113" t="e">
        <f>VLOOKUP(A1,POsData!$A$1:$DZU$1000000,2467,FALSE)</f>
        <v>#N/A</v>
      </c>
      <c r="B146" s="1" t="e">
        <f>VLOOKUP(A1,POsData!$A$1:$DZU$1000000,2468,FALSE)</f>
        <v>#N/A</v>
      </c>
      <c r="C146" s="1" t="e">
        <f>VLOOKUP(A1,POsData!$A$1:$DZU$1000000,2469,FALSE)</f>
        <v>#N/A</v>
      </c>
      <c r="D146" s="1" t="e">
        <f>VLOOKUP(A1,POsData!$A$1:$DZU$1000000,2470,FALSE)</f>
        <v>#N/A</v>
      </c>
      <c r="E146" s="1" t="e">
        <f>VLOOKUP(A1,POsData!$A$1:$DZU$1000000,2471,FALSE)</f>
        <v>#N/A</v>
      </c>
      <c r="F146" s="1" t="e">
        <f>VLOOKUP(A1,POsData!$A$1:$DZU$1000000,2472,FALSE)</f>
        <v>#N/A</v>
      </c>
      <c r="G146" s="1" t="e">
        <f>VLOOKUP(A1,POsData!$A$1:$DZU$1000000,2473,FALSE)</f>
        <v>#N/A</v>
      </c>
      <c r="H146" s="1" t="e">
        <f>VLOOKUP(A1,POsData!$A$1:$DZU$1000000,2474,FALSE)</f>
        <v>#N/A</v>
      </c>
      <c r="I146" s="1" t="e">
        <f>VLOOKUP(A1,POsData!$A$1:$DZU$1000000,2475,FALSE)</f>
        <v>#N/A</v>
      </c>
      <c r="J146" s="1" t="e">
        <f>VLOOKUP(A1,POsData!$A$1:$DZU$1000000,2476,FALSE)</f>
        <v>#N/A</v>
      </c>
      <c r="K146" s="1" t="e">
        <f>VLOOKUP(A1,POsData!$A$1:$DZU$1000000,2477,FALSE)</f>
        <v>#N/A</v>
      </c>
      <c r="L146" s="1" t="e">
        <f>VLOOKUP(A1,POsData!$A$1:$DZU$1000000,2478,FALSE)</f>
        <v>#N/A</v>
      </c>
      <c r="M146" s="1" t="e">
        <f>VLOOKUP(A1,POsData!$A$1:$DZU$1000000,2479,FALSE)</f>
        <v>#N/A</v>
      </c>
      <c r="N146" s="1" t="e">
        <f>VLOOKUP(A1,POsData!$A$1:$DZU$1000000,2480,FALSE)</f>
        <v>#N/A</v>
      </c>
      <c r="O146" s="1" t="e">
        <f>VLOOKUP(A1,POsData!$A$1:$DZU$1000000,2481,FALSE)</f>
        <v>#N/A</v>
      </c>
      <c r="P146" s="1" t="e">
        <f>VLOOKUP(A1,POsData!$A$1:$DZU$1000000,2482,FALSE)</f>
        <v>#N/A</v>
      </c>
      <c r="Q146" s="101" t="e">
        <f>VLOOKUP(A1,POsData!$A$1:$DZU$1000000,2483,FALSE)</f>
        <v>#N/A</v>
      </c>
    </row>
    <row r="147" spans="1:17" x14ac:dyDescent="0.35">
      <c r="A147" s="113" t="e">
        <f>VLOOKUP(A1,POsData!$A$1:$DZU$1000000,2484,FALSE)</f>
        <v>#N/A</v>
      </c>
      <c r="B147" s="1" t="e">
        <f>VLOOKUP(A1,POsData!$A$1:$DZU$1000000,2485,FALSE)</f>
        <v>#N/A</v>
      </c>
      <c r="C147" s="1" t="e">
        <f>VLOOKUP(A1,POsData!$A$1:$DZU$1000000,2486,FALSE)</f>
        <v>#N/A</v>
      </c>
      <c r="D147" s="1" t="e">
        <f>VLOOKUP(A1,POsData!$A$1:$DZU$1000000,2487,FALSE)</f>
        <v>#N/A</v>
      </c>
      <c r="E147" s="1" t="e">
        <f>VLOOKUP(A1,POsData!$A$1:$DZU$1000000,2488,FALSE)</f>
        <v>#N/A</v>
      </c>
      <c r="F147" s="1" t="e">
        <f>VLOOKUP(A1,POsData!$A$1:$DZU$1000000,2489,FALSE)</f>
        <v>#N/A</v>
      </c>
      <c r="G147" s="1" t="e">
        <f>VLOOKUP(A1,POsData!$A$1:$DZU$1000000,2490,FALSE)</f>
        <v>#N/A</v>
      </c>
      <c r="H147" s="1" t="e">
        <f>VLOOKUP(A1,POsData!$A$1:$DZU$1000000,2491,FALSE)</f>
        <v>#N/A</v>
      </c>
      <c r="I147" s="1" t="e">
        <f>VLOOKUP(A1,POsData!$A$1:$DZU$1000000,2492,FALSE)</f>
        <v>#N/A</v>
      </c>
      <c r="J147" s="1" t="e">
        <f>VLOOKUP(A1,POsData!$A$1:$DZU$1000000,2493,FALSE)</f>
        <v>#N/A</v>
      </c>
      <c r="K147" s="1" t="e">
        <f>VLOOKUP(A1,POsData!$A$1:$DZU$1000000,2494,FALSE)</f>
        <v>#N/A</v>
      </c>
      <c r="L147" s="1" t="e">
        <f>VLOOKUP(A1,POsData!$A$1:$DZU$1000000,2495,FALSE)</f>
        <v>#N/A</v>
      </c>
      <c r="M147" s="1" t="e">
        <f>VLOOKUP(A1,POsData!$A$1:$DZU$1000000,2496,FALSE)</f>
        <v>#N/A</v>
      </c>
      <c r="N147" s="1" t="e">
        <f>VLOOKUP(A1,POsData!$A$1:$DZU$1000000,2497,FALSE)</f>
        <v>#N/A</v>
      </c>
      <c r="O147" s="1" t="e">
        <f>VLOOKUP(A1,POsData!$A$1:$DZU$1000000,2498,FALSE)</f>
        <v>#N/A</v>
      </c>
      <c r="P147" s="1" t="e">
        <f>VLOOKUP(A1,POsData!$A$1:$DZU$1000000,2499,FALSE)</f>
        <v>#N/A</v>
      </c>
      <c r="Q147" s="101" t="e">
        <f>VLOOKUP(A1,POsData!$A$1:$DZU$1000000,2500,FALSE)</f>
        <v>#N/A</v>
      </c>
    </row>
    <row r="148" spans="1:17" x14ac:dyDescent="0.35">
      <c r="A148" s="113" t="e">
        <f>VLOOKUP(A1,POsData!$A$1:$DZU$1000000,2501,FALSE)</f>
        <v>#N/A</v>
      </c>
      <c r="B148" s="1" t="e">
        <f>VLOOKUP(A1,POsData!$A$1:$DZU$1000000,2502,FALSE)</f>
        <v>#N/A</v>
      </c>
      <c r="C148" s="1" t="e">
        <f>VLOOKUP(A1,POsData!$A$1:$DZU$1000000,2503,FALSE)</f>
        <v>#N/A</v>
      </c>
      <c r="D148" s="1" t="e">
        <f>VLOOKUP(A1,POsData!$A$1:$DZU$1000000,2504,FALSE)</f>
        <v>#N/A</v>
      </c>
      <c r="E148" s="1" t="e">
        <f>VLOOKUP(A1,POsData!$A$1:$DZU$1000000,2505,FALSE)</f>
        <v>#N/A</v>
      </c>
      <c r="F148" s="1" t="e">
        <f>VLOOKUP(A1,POsData!$A$1:$DZU$1000000,2506,FALSE)</f>
        <v>#N/A</v>
      </c>
      <c r="G148" s="1" t="e">
        <f>VLOOKUP(A1,POsData!$A$1:$DZU$1000000,2507,FALSE)</f>
        <v>#N/A</v>
      </c>
      <c r="H148" s="1" t="e">
        <f>VLOOKUP(A1,POsData!$A$1:$DZU$1000000,2508,FALSE)</f>
        <v>#N/A</v>
      </c>
      <c r="I148" s="1" t="e">
        <f>VLOOKUP(A1,POsData!$A$1:$DZU$1000000,2509,FALSE)</f>
        <v>#N/A</v>
      </c>
      <c r="J148" s="1" t="e">
        <f>VLOOKUP(A1,POsData!$A$1:$DZU$1000000,2510,FALSE)</f>
        <v>#N/A</v>
      </c>
      <c r="K148" s="1" t="e">
        <f>VLOOKUP(A1,POsData!$A$1:$DZU$1000000,2511,FALSE)</f>
        <v>#N/A</v>
      </c>
      <c r="L148" s="1" t="e">
        <f>VLOOKUP(A1,POsData!$A$1:$DZU$1000000,2512,FALSE)</f>
        <v>#N/A</v>
      </c>
      <c r="M148" s="1" t="e">
        <f>VLOOKUP(A1,POsData!$A$1:$DZU$1000000,2513,FALSE)</f>
        <v>#N/A</v>
      </c>
      <c r="N148" s="1" t="e">
        <f>VLOOKUP(A1,POsData!$A$1:$DZU$1000000,2514,FALSE)</f>
        <v>#N/A</v>
      </c>
      <c r="O148" s="1" t="e">
        <f>VLOOKUP(A1,POsData!$A$1:$DZU$1000000,2515,FALSE)</f>
        <v>#N/A</v>
      </c>
      <c r="P148" s="1" t="e">
        <f>VLOOKUP(A1,POsData!$A$1:$DZU$1000000,2516,FALSE)</f>
        <v>#N/A</v>
      </c>
      <c r="Q148" s="101" t="e">
        <f>VLOOKUP(A1,POsData!$A$1:$DZU$1000000,2517,FALSE)</f>
        <v>#N/A</v>
      </c>
    </row>
    <row r="149" spans="1:17" x14ac:dyDescent="0.35">
      <c r="A149" s="113" t="e">
        <f>VLOOKUP(A1,POsData!$A$1:$DZU$1000000,2518,FALSE)</f>
        <v>#N/A</v>
      </c>
      <c r="B149" s="1" t="e">
        <f>VLOOKUP(A1,POsData!$A$1:$DZU$1000000,2519,FALSE)</f>
        <v>#N/A</v>
      </c>
      <c r="C149" s="1" t="e">
        <f>VLOOKUP(A1,POsData!$A$1:$DZU$1000000,2520,FALSE)</f>
        <v>#N/A</v>
      </c>
      <c r="D149" s="1" t="e">
        <f>VLOOKUP(A1,POsData!$A$1:$DZU$1000000,2521,FALSE)</f>
        <v>#N/A</v>
      </c>
      <c r="E149" s="1" t="e">
        <f>VLOOKUP(A1,POsData!$A$1:$DZU$1000000,2522,FALSE)</f>
        <v>#N/A</v>
      </c>
      <c r="F149" s="1" t="e">
        <f>VLOOKUP(A1,POsData!$A$1:$DZU$1000000,2523,FALSE)</f>
        <v>#N/A</v>
      </c>
      <c r="G149" s="1" t="e">
        <f>VLOOKUP(A1,POsData!$A$1:$DZU$1000000,2524,FALSE)</f>
        <v>#N/A</v>
      </c>
      <c r="H149" s="1" t="e">
        <f>VLOOKUP(A1,POsData!$A$1:$DZU$1000000,2525,FALSE)</f>
        <v>#N/A</v>
      </c>
      <c r="I149" s="1" t="e">
        <f>VLOOKUP(A1,POsData!$A$1:$DZU$1000000,2526,FALSE)</f>
        <v>#N/A</v>
      </c>
      <c r="J149" s="1" t="e">
        <f>VLOOKUP(A1,POsData!$A$1:$DZU$1000000,2527,FALSE)</f>
        <v>#N/A</v>
      </c>
      <c r="K149" s="1" t="e">
        <f>VLOOKUP(A1,POsData!$A$1:$DZU$1000000,2528,FALSE)</f>
        <v>#N/A</v>
      </c>
      <c r="L149" s="1" t="e">
        <f>VLOOKUP(A1,POsData!$A$1:$DZU$1000000,2529,FALSE)</f>
        <v>#N/A</v>
      </c>
      <c r="M149" s="1" t="e">
        <f>VLOOKUP(A1,POsData!$A$1:$DZU$1000000,2530,FALSE)</f>
        <v>#N/A</v>
      </c>
      <c r="N149" s="1" t="e">
        <f>VLOOKUP(A1,POsData!$A$1:$DZU$1000000,2531,FALSE)</f>
        <v>#N/A</v>
      </c>
      <c r="O149" s="1" t="e">
        <f>VLOOKUP(A1,POsData!$A$1:$DZU$1000000,2532,FALSE)</f>
        <v>#N/A</v>
      </c>
      <c r="P149" s="1" t="e">
        <f>VLOOKUP(A1,POsData!$A$1:$DZU$1000000,2533,FALSE)</f>
        <v>#N/A</v>
      </c>
      <c r="Q149" s="101" t="e">
        <f>VLOOKUP(A1,POsData!$A$1:$DZU$1000000,2534,FALSE)</f>
        <v>#N/A</v>
      </c>
    </row>
    <row r="150" spans="1:17" x14ac:dyDescent="0.35">
      <c r="A150" s="113" t="e">
        <f>VLOOKUP(A1,POsData!$A$1:$DZU$1000000,2535,FALSE)</f>
        <v>#N/A</v>
      </c>
      <c r="B150" s="1" t="e">
        <f>VLOOKUP(A1,POsData!$A$1:$DZU$1000000,2536,FALSE)</f>
        <v>#N/A</v>
      </c>
      <c r="C150" s="1" t="e">
        <f>VLOOKUP(A1,POsData!$A$1:$DZU$1000000,2537,FALSE)</f>
        <v>#N/A</v>
      </c>
      <c r="D150" s="1" t="e">
        <f>VLOOKUP(A1,POsData!$A$1:$DZU$1000000,2538,FALSE)</f>
        <v>#N/A</v>
      </c>
      <c r="E150" s="1" t="e">
        <f>VLOOKUP(A1,POsData!$A$1:$DZU$1000000,2539,FALSE)</f>
        <v>#N/A</v>
      </c>
      <c r="F150" s="1" t="e">
        <f>VLOOKUP(A1,POsData!$A$1:$DZU$1000000,2540,FALSE)</f>
        <v>#N/A</v>
      </c>
      <c r="G150" s="1" t="e">
        <f>VLOOKUP(A1,POsData!$A$1:$DZU$1000000,2541,FALSE)</f>
        <v>#N/A</v>
      </c>
      <c r="H150" s="1" t="e">
        <f>VLOOKUP(A1,POsData!$A$1:$DZU$1000000,2542,FALSE)</f>
        <v>#N/A</v>
      </c>
      <c r="I150" s="1" t="e">
        <f>VLOOKUP(A1,POsData!$A$1:$DZU$1000000,2543,FALSE)</f>
        <v>#N/A</v>
      </c>
      <c r="J150" s="1" t="e">
        <f>VLOOKUP(A1,POsData!$A$1:$DZU$1000000,2544,FALSE)</f>
        <v>#N/A</v>
      </c>
      <c r="K150" s="1" t="e">
        <f>VLOOKUP(A1,POsData!$A$1:$DZU$1000000,2545,FALSE)</f>
        <v>#N/A</v>
      </c>
      <c r="L150" s="1" t="e">
        <f>VLOOKUP(A1,POsData!$A$1:$DZU$1000000,2546,FALSE)</f>
        <v>#N/A</v>
      </c>
      <c r="M150" s="1" t="e">
        <f>VLOOKUP(A1,POsData!$A$1:$DZU$1000000,2547,FALSE)</f>
        <v>#N/A</v>
      </c>
      <c r="N150" s="1" t="e">
        <f>VLOOKUP(A1,POsData!$A$1:$DZU$1000000,2548,FALSE)</f>
        <v>#N/A</v>
      </c>
      <c r="O150" s="1" t="e">
        <f>VLOOKUP(A1,POsData!$A$1:$DZU$1000000,2549,FALSE)</f>
        <v>#N/A</v>
      </c>
      <c r="P150" s="1" t="e">
        <f>VLOOKUP(A1,POsData!$A$1:$DZU$1000000,2550,FALSE)</f>
        <v>#N/A</v>
      </c>
      <c r="Q150" s="101" t="e">
        <f>VLOOKUP(A1,POsData!$A$1:$DZU$1000000,2551,FALSE)</f>
        <v>#N/A</v>
      </c>
    </row>
    <row r="151" spans="1:17" x14ac:dyDescent="0.35">
      <c r="A151" s="113" t="e">
        <f>VLOOKUP(A1,POsData!$A$1:$DZU$1000000,2552,FALSE)</f>
        <v>#N/A</v>
      </c>
      <c r="B151" s="1" t="e">
        <f>VLOOKUP(A1,POsData!$A$1:$DZU$1000000,2553,FALSE)</f>
        <v>#N/A</v>
      </c>
      <c r="C151" s="1" t="e">
        <f>VLOOKUP(A1,POsData!$A$1:$DZU$1000000,2554,FALSE)</f>
        <v>#N/A</v>
      </c>
      <c r="D151" s="1" t="e">
        <f>VLOOKUP(A1,POsData!$A$1:$DZU$1000000,2555,FALSE)</f>
        <v>#N/A</v>
      </c>
      <c r="E151" s="1" t="e">
        <f>VLOOKUP(A1,POsData!$A$1:$DZU$1000000,2556,FALSE)</f>
        <v>#N/A</v>
      </c>
      <c r="F151" s="1" t="e">
        <f>VLOOKUP(A1,POsData!$A$1:$DZU$1000000,2557,FALSE)</f>
        <v>#N/A</v>
      </c>
      <c r="G151" s="1" t="e">
        <f>VLOOKUP(A1,POsData!$A$1:$DZU$1000000,2558,FALSE)</f>
        <v>#N/A</v>
      </c>
      <c r="H151" s="1" t="e">
        <f>VLOOKUP(A1,POsData!$A$1:$DZU$1000000,2559,FALSE)</f>
        <v>#N/A</v>
      </c>
      <c r="I151" s="1" t="e">
        <f>VLOOKUP(A1,POsData!$A$1:$DZU$1000000,2560,FALSE)</f>
        <v>#N/A</v>
      </c>
      <c r="J151" s="1" t="e">
        <f>VLOOKUP(A1,POsData!$A$1:$DZU$1000000,2561,FALSE)</f>
        <v>#N/A</v>
      </c>
      <c r="K151" s="1" t="e">
        <f>VLOOKUP(A1,POsData!$A$1:$DZU$1000000,2562,FALSE)</f>
        <v>#N/A</v>
      </c>
      <c r="L151" s="1" t="e">
        <f>VLOOKUP(A1,POsData!$A$1:$DZU$1000000,2563,FALSE)</f>
        <v>#N/A</v>
      </c>
      <c r="M151" s="1" t="e">
        <f>VLOOKUP(A1,POsData!$A$1:$DZU$1000000,2564,FALSE)</f>
        <v>#N/A</v>
      </c>
      <c r="N151" s="1" t="e">
        <f>VLOOKUP(A1,POsData!$A$1:$DZU$1000000,2565,FALSE)</f>
        <v>#N/A</v>
      </c>
      <c r="O151" s="1" t="e">
        <f>VLOOKUP(A1,POsData!$A$1:$DZU$1000000,2566,FALSE)</f>
        <v>#N/A</v>
      </c>
      <c r="P151" s="1" t="e">
        <f>VLOOKUP(A1,POsData!$A$1:$DZU$1000000,2567,FALSE)</f>
        <v>#N/A</v>
      </c>
      <c r="Q151" s="101" t="e">
        <f>VLOOKUP(A1,POsData!$A$1:$DZU$1000000,2568,FALSE)</f>
        <v>#N/A</v>
      </c>
    </row>
    <row r="152" spans="1:17" x14ac:dyDescent="0.35">
      <c r="A152" s="113" t="e">
        <f>VLOOKUP(A1,POsData!$A$1:$DZU$1000000,2569,FALSE)</f>
        <v>#N/A</v>
      </c>
      <c r="B152" s="1" t="e">
        <f>VLOOKUP(A1,POsData!$A$1:$DZU$1000000,2570,FALSE)</f>
        <v>#N/A</v>
      </c>
      <c r="C152" s="1" t="e">
        <f>VLOOKUP(A1,POsData!$A$1:$DZU$1000000,2571,FALSE)</f>
        <v>#N/A</v>
      </c>
      <c r="D152" s="1" t="e">
        <f>VLOOKUP(A1,POsData!$A$1:$DZU$1000000,2572,FALSE)</f>
        <v>#N/A</v>
      </c>
      <c r="E152" s="1" t="e">
        <f>VLOOKUP(A1,POsData!$A$1:$DZU$1000000,2573,FALSE)</f>
        <v>#N/A</v>
      </c>
      <c r="F152" s="1" t="e">
        <f>VLOOKUP(A1,POsData!$A$1:$DZU$1000000,2574,FALSE)</f>
        <v>#N/A</v>
      </c>
      <c r="G152" s="1" t="e">
        <f>VLOOKUP(A1,POsData!$A$1:$DZU$1000000,2575,FALSE)</f>
        <v>#N/A</v>
      </c>
      <c r="H152" s="1" t="e">
        <f>VLOOKUP(A1,POsData!$A$1:$DZU$1000000,2576,FALSE)</f>
        <v>#N/A</v>
      </c>
      <c r="I152" s="1" t="e">
        <f>VLOOKUP(A1,POsData!$A$1:$DZU$1000000,2577,FALSE)</f>
        <v>#N/A</v>
      </c>
      <c r="J152" s="1" t="e">
        <f>VLOOKUP(A1,POsData!$A$1:$DZU$1000000,2578,FALSE)</f>
        <v>#N/A</v>
      </c>
      <c r="K152" s="1" t="e">
        <f>VLOOKUP(A1,POsData!$A$1:$DZU$1000000,2579,FALSE)</f>
        <v>#N/A</v>
      </c>
      <c r="L152" s="1" t="e">
        <f>VLOOKUP(A1,POsData!$A$1:$DZU$1000000,2580,FALSE)</f>
        <v>#N/A</v>
      </c>
      <c r="M152" s="1" t="e">
        <f>VLOOKUP(A1,POsData!$A$1:$DZU$1000000,2581,FALSE)</f>
        <v>#N/A</v>
      </c>
      <c r="N152" s="1" t="e">
        <f>VLOOKUP(A1,POsData!$A$1:$DZU$1000000,2582,FALSE)</f>
        <v>#N/A</v>
      </c>
      <c r="O152" s="1" t="e">
        <f>VLOOKUP(A1,POsData!$A$1:$DZU$1000000,2583,FALSE)</f>
        <v>#N/A</v>
      </c>
      <c r="P152" s="1" t="e">
        <f>VLOOKUP(A1,POsData!$A$1:$DZU$1000000,2584,FALSE)</f>
        <v>#N/A</v>
      </c>
      <c r="Q152" s="101" t="e">
        <f>VLOOKUP(A1,POsData!$A$1:$DZU$1000000,2585,FALSE)</f>
        <v>#N/A</v>
      </c>
    </row>
    <row r="153" spans="1:17" x14ac:dyDescent="0.35">
      <c r="A153" s="113" t="e">
        <f>VLOOKUP(A1,POsData!$A$1:$DZU$1000000,2586,FALSE)</f>
        <v>#N/A</v>
      </c>
      <c r="B153" s="1" t="e">
        <f>VLOOKUP(A1,POsData!$A$1:$DZU$1000000,2587,FALSE)</f>
        <v>#N/A</v>
      </c>
      <c r="C153" s="1" t="e">
        <f>VLOOKUP(A1,POsData!$A$1:$DZU$1000000,2588,FALSE)</f>
        <v>#N/A</v>
      </c>
      <c r="D153" s="1" t="e">
        <f>VLOOKUP(A1,POsData!$A$1:$DZU$1000000,2589,FALSE)</f>
        <v>#N/A</v>
      </c>
      <c r="E153" s="1" t="e">
        <f>VLOOKUP(A1,POsData!$A$1:$DZU$1000000,2590,FALSE)</f>
        <v>#N/A</v>
      </c>
      <c r="F153" s="1" t="e">
        <f>VLOOKUP(A1,POsData!$A$1:$DZU$1000000,2591,FALSE)</f>
        <v>#N/A</v>
      </c>
      <c r="G153" s="1" t="e">
        <f>VLOOKUP(A1,POsData!$A$1:$DZU$1000000,2592,FALSE)</f>
        <v>#N/A</v>
      </c>
      <c r="H153" s="1" t="e">
        <f>VLOOKUP(A1,POsData!$A$1:$DZU$1000000,2593,FALSE)</f>
        <v>#N/A</v>
      </c>
      <c r="I153" s="1" t="e">
        <f>VLOOKUP(A1,POsData!$A$1:$DZU$1000000,2594,FALSE)</f>
        <v>#N/A</v>
      </c>
      <c r="J153" s="1" t="e">
        <f>VLOOKUP(A1,POsData!$A$1:$DZU$1000000,2595,FALSE)</f>
        <v>#N/A</v>
      </c>
      <c r="K153" s="1" t="e">
        <f>VLOOKUP(A1,POsData!$A$1:$DZU$1000000,2596,FALSE)</f>
        <v>#N/A</v>
      </c>
      <c r="L153" s="1" t="e">
        <f>VLOOKUP(A1,POsData!$A$1:$DZU$1000000,2597,FALSE)</f>
        <v>#N/A</v>
      </c>
      <c r="M153" s="1" t="e">
        <f>VLOOKUP(A1,POsData!$A$1:$DZU$1000000,2598,FALSE)</f>
        <v>#N/A</v>
      </c>
      <c r="N153" s="1" t="e">
        <f>VLOOKUP(A1,POsData!$A$1:$DZU$1000000,2599,FALSE)</f>
        <v>#N/A</v>
      </c>
      <c r="O153" s="1" t="e">
        <f>VLOOKUP(A1,POsData!$A$1:$DZU$1000000,2600,FALSE)</f>
        <v>#N/A</v>
      </c>
      <c r="P153" s="1" t="e">
        <f>VLOOKUP(A1,POsData!$A$1:$DZU$1000000,2601,FALSE)</f>
        <v>#N/A</v>
      </c>
      <c r="Q153" s="101" t="e">
        <f>VLOOKUP(A1,POsData!$A$1:$DZU$1000000,2602,FALSE)</f>
        <v>#N/A</v>
      </c>
    </row>
    <row r="154" spans="1:17" x14ac:dyDescent="0.35">
      <c r="A154" s="113" t="e">
        <f>VLOOKUP(A1,POsData!$A$1:$DZU$1000000,2603,FALSE)</f>
        <v>#N/A</v>
      </c>
      <c r="B154" s="1" t="e">
        <f>VLOOKUP(A1,POsData!$A$1:$DZU$1000000,2604,FALSE)</f>
        <v>#N/A</v>
      </c>
      <c r="C154" s="1" t="e">
        <f>VLOOKUP(A1,POsData!$A$1:$DZU$1000000,2605,FALSE)</f>
        <v>#N/A</v>
      </c>
      <c r="D154" s="1" t="e">
        <f>VLOOKUP(A1,POsData!$A$1:$DZU$1000000,2606,FALSE)</f>
        <v>#N/A</v>
      </c>
      <c r="E154" s="1" t="e">
        <f>VLOOKUP(A1,POsData!$A$1:$DZU$1000000,2607,FALSE)</f>
        <v>#N/A</v>
      </c>
      <c r="F154" s="1" t="e">
        <f>VLOOKUP(A1,POsData!$A$1:$DZU$1000000,2608,FALSE)</f>
        <v>#N/A</v>
      </c>
      <c r="G154" s="1" t="e">
        <f>VLOOKUP(A1,POsData!$A$1:$DZU$1000000,2609,FALSE)</f>
        <v>#N/A</v>
      </c>
      <c r="H154" s="1" t="e">
        <f>VLOOKUP(A1,POsData!$A$1:$DZU$1000000,2610,FALSE)</f>
        <v>#N/A</v>
      </c>
      <c r="I154" s="1" t="e">
        <f>VLOOKUP(A1,POsData!$A$1:$DZU$1000000,2611,FALSE)</f>
        <v>#N/A</v>
      </c>
      <c r="J154" s="1" t="e">
        <f>VLOOKUP(A1,POsData!$A$1:$DZU$1000000,2612,FALSE)</f>
        <v>#N/A</v>
      </c>
      <c r="K154" s="1" t="e">
        <f>VLOOKUP(A1,POsData!$A$1:$DZU$1000000,2613,FALSE)</f>
        <v>#N/A</v>
      </c>
      <c r="L154" s="1" t="e">
        <f>VLOOKUP(A1,POsData!$A$1:$DZU$1000000,2614,FALSE)</f>
        <v>#N/A</v>
      </c>
      <c r="M154" s="1" t="e">
        <f>VLOOKUP(A1,POsData!$A$1:$DZU$1000000,2615,FALSE)</f>
        <v>#N/A</v>
      </c>
      <c r="N154" s="1" t="e">
        <f>VLOOKUP(A1,POsData!$A$1:$DZU$1000000,2616,FALSE)</f>
        <v>#N/A</v>
      </c>
      <c r="O154" s="1" t="e">
        <f>VLOOKUP(A1,POsData!$A$1:$DZU$1000000,2617,FALSE)</f>
        <v>#N/A</v>
      </c>
      <c r="P154" s="1" t="e">
        <f>VLOOKUP(A1,POsData!$A$1:$DZU$1000000,2618,FALSE)</f>
        <v>#N/A</v>
      </c>
      <c r="Q154" s="101" t="e">
        <f>VLOOKUP(A1,POsData!$A$1:$DZU$1000000,2619,FALSE)</f>
        <v>#N/A</v>
      </c>
    </row>
    <row r="155" spans="1:17" x14ac:dyDescent="0.35">
      <c r="A155" s="113" t="e">
        <f>VLOOKUP(A1,POsData!$A$1:$DZU$1000000,2620,FALSE)</f>
        <v>#N/A</v>
      </c>
      <c r="B155" s="1" t="e">
        <f>VLOOKUP(A1,POsData!$A$1:$DZU$1000000,2621,FALSE)</f>
        <v>#N/A</v>
      </c>
      <c r="C155" s="1" t="e">
        <f>VLOOKUP(A1,POsData!$A$1:$DZU$1000000,2622,FALSE)</f>
        <v>#N/A</v>
      </c>
      <c r="D155" s="1" t="e">
        <f>VLOOKUP(A1,POsData!$A$1:$DZU$1000000,2623,FALSE)</f>
        <v>#N/A</v>
      </c>
      <c r="E155" s="1" t="e">
        <f>VLOOKUP(A1,POsData!$A$1:$DZU$1000000,2624,FALSE)</f>
        <v>#N/A</v>
      </c>
      <c r="F155" s="1" t="e">
        <f>VLOOKUP(A1,POsData!$A$1:$DZU$1000000,2625,FALSE)</f>
        <v>#N/A</v>
      </c>
      <c r="G155" s="1" t="e">
        <f>VLOOKUP(A1,POsData!$A$1:$DZU$1000000,2626,FALSE)</f>
        <v>#N/A</v>
      </c>
      <c r="H155" s="1" t="e">
        <f>VLOOKUP(A1,POsData!$A$1:$DZU$1000000,2627,FALSE)</f>
        <v>#N/A</v>
      </c>
      <c r="I155" s="1" t="e">
        <f>VLOOKUP(A1,POsData!$A$1:$DZU$1000000,2628,FALSE)</f>
        <v>#N/A</v>
      </c>
      <c r="J155" s="1" t="e">
        <f>VLOOKUP(A1,POsData!$A$1:$DZU$1000000,2629,FALSE)</f>
        <v>#N/A</v>
      </c>
      <c r="K155" s="1" t="e">
        <f>VLOOKUP(A1,POsData!$A$1:$DZU$1000000,2630,FALSE)</f>
        <v>#N/A</v>
      </c>
      <c r="L155" s="1" t="e">
        <f>VLOOKUP(A1,POsData!$A$1:$DZU$1000000,2631,FALSE)</f>
        <v>#N/A</v>
      </c>
      <c r="M155" s="1" t="e">
        <f>VLOOKUP(A1,POsData!$A$1:$DZU$1000000,2632,FALSE)</f>
        <v>#N/A</v>
      </c>
      <c r="N155" s="1" t="e">
        <f>VLOOKUP(A1,POsData!$A$1:$DZU$1000000,2633,FALSE)</f>
        <v>#N/A</v>
      </c>
      <c r="O155" s="1" t="e">
        <f>VLOOKUP(A1,POsData!$A$1:$DZU$1000000,2634,FALSE)</f>
        <v>#N/A</v>
      </c>
      <c r="P155" s="1" t="e">
        <f>VLOOKUP(A1,POsData!$A$1:$DZU$1000000,2635,FALSE)</f>
        <v>#N/A</v>
      </c>
      <c r="Q155" s="101" t="e">
        <f>VLOOKUP(A1,POsData!$A$1:$DZU$1000000,2636,FALSE)</f>
        <v>#N/A</v>
      </c>
    </row>
    <row r="156" spans="1:17" x14ac:dyDescent="0.35">
      <c r="A156" s="113" t="e">
        <f>VLOOKUP(A1,POsData!$A$1:$DZU$1000000,2637,FALSE)</f>
        <v>#N/A</v>
      </c>
      <c r="B156" s="1" t="e">
        <f>VLOOKUP(A1,POsData!$A$1:$DZU$1000000,2638,FALSE)</f>
        <v>#N/A</v>
      </c>
      <c r="C156" s="1" t="e">
        <f>VLOOKUP(A1,POsData!$A$1:$DZU$1000000,2639,FALSE)</f>
        <v>#N/A</v>
      </c>
      <c r="D156" s="1" t="e">
        <f>VLOOKUP(A1,POsData!$A$1:$DZU$1000000,2640,FALSE)</f>
        <v>#N/A</v>
      </c>
      <c r="E156" s="1" t="e">
        <f>VLOOKUP(A1,POsData!$A$1:$DZU$1000000,2641,FALSE)</f>
        <v>#N/A</v>
      </c>
      <c r="F156" s="1" t="e">
        <f>VLOOKUP(A1,POsData!$A$1:$DZU$1000000,2642,FALSE)</f>
        <v>#N/A</v>
      </c>
      <c r="G156" s="1" t="e">
        <f>VLOOKUP(A1,POsData!$A$1:$DZU$1000000,2643,FALSE)</f>
        <v>#N/A</v>
      </c>
      <c r="H156" s="1" t="e">
        <f>VLOOKUP(A1,POsData!$A$1:$DZU$1000000,2644,FALSE)</f>
        <v>#N/A</v>
      </c>
      <c r="I156" s="1" t="e">
        <f>VLOOKUP(A1,POsData!$A$1:$DZU$1000000,2645,FALSE)</f>
        <v>#N/A</v>
      </c>
      <c r="J156" s="1" t="e">
        <f>VLOOKUP(A1,POsData!$A$1:$DZU$1000000,2646,FALSE)</f>
        <v>#N/A</v>
      </c>
      <c r="K156" s="1" t="e">
        <f>VLOOKUP(A1,POsData!$A$1:$DZU$1000000,2647,FALSE)</f>
        <v>#N/A</v>
      </c>
      <c r="L156" s="1" t="e">
        <f>VLOOKUP(A1,POsData!$A$1:$DZU$1000000,2648,FALSE)</f>
        <v>#N/A</v>
      </c>
      <c r="M156" s="1" t="e">
        <f>VLOOKUP(A1,POsData!$A$1:$DZU$1000000,2649,FALSE)</f>
        <v>#N/A</v>
      </c>
      <c r="N156" s="1" t="e">
        <f>VLOOKUP(A1,POsData!$A$1:$DZU$1000000,2650,FALSE)</f>
        <v>#N/A</v>
      </c>
      <c r="O156" s="1" t="e">
        <f>VLOOKUP(A1,POsData!$A$1:$DZU$1000000,2651,FALSE)</f>
        <v>#N/A</v>
      </c>
      <c r="P156" s="1" t="e">
        <f>VLOOKUP(A1,POsData!$A$1:$DZU$1000000,2652,FALSE)</f>
        <v>#N/A</v>
      </c>
      <c r="Q156" s="101" t="e">
        <f>VLOOKUP(A1,POsData!$A$1:$DZU$1000000,2653,FALSE)</f>
        <v>#N/A</v>
      </c>
    </row>
    <row r="157" spans="1:17" x14ac:dyDescent="0.35">
      <c r="A157" s="113" t="e">
        <f>VLOOKUP(A1,POsData!$A$1:$DZU$1000000,2654,FALSE)</f>
        <v>#N/A</v>
      </c>
      <c r="B157" s="1" t="e">
        <f>VLOOKUP(A1,POsData!$A$1:$DZU$1000000,2655,FALSE)</f>
        <v>#N/A</v>
      </c>
      <c r="C157" s="1" t="e">
        <f>VLOOKUP(A1,POsData!$A$1:$DZU$1000000,2656,FALSE)</f>
        <v>#N/A</v>
      </c>
      <c r="D157" s="1" t="e">
        <f>VLOOKUP(A1,POsData!$A$1:$DZU$1000000,2657,FALSE)</f>
        <v>#N/A</v>
      </c>
      <c r="E157" s="1" t="e">
        <f>VLOOKUP(A1,POsData!$A$1:$DZU$1000000,2658,FALSE)</f>
        <v>#N/A</v>
      </c>
      <c r="F157" s="1" t="e">
        <f>VLOOKUP(A1,POsData!$A$1:$DZU$1000000,2659,FALSE)</f>
        <v>#N/A</v>
      </c>
      <c r="G157" s="1" t="e">
        <f>VLOOKUP(A1,POsData!$A$1:$DZU$1000000,2660,FALSE)</f>
        <v>#N/A</v>
      </c>
      <c r="H157" s="1" t="e">
        <f>VLOOKUP(A1,POsData!$A$1:$DZU$1000000,2661,FALSE)</f>
        <v>#N/A</v>
      </c>
      <c r="I157" s="1" t="e">
        <f>VLOOKUP(A1,POsData!$A$1:$DZU$1000000,2662,FALSE)</f>
        <v>#N/A</v>
      </c>
      <c r="J157" s="1" t="e">
        <f>VLOOKUP(A1,POsData!$A$1:$DZU$1000000,2663,FALSE)</f>
        <v>#N/A</v>
      </c>
      <c r="K157" s="1" t="e">
        <f>VLOOKUP(A1,POsData!$A$1:$DZU$1000000,2664,FALSE)</f>
        <v>#N/A</v>
      </c>
      <c r="L157" s="1" t="e">
        <f>VLOOKUP(A1,POsData!$A$1:$DZU$1000000,2665,FALSE)</f>
        <v>#N/A</v>
      </c>
      <c r="M157" s="1" t="e">
        <f>VLOOKUP(A1,POsData!$A$1:$DZU$1000000,2666,FALSE)</f>
        <v>#N/A</v>
      </c>
      <c r="N157" s="1" t="e">
        <f>VLOOKUP(A1,POsData!$A$1:$DZU$1000000,2667,FALSE)</f>
        <v>#N/A</v>
      </c>
      <c r="O157" s="1" t="e">
        <f>VLOOKUP(A1,POsData!$A$1:$DZU$1000000,2668,FALSE)</f>
        <v>#N/A</v>
      </c>
      <c r="P157" s="1" t="e">
        <f>VLOOKUP(A1,POsData!$A$1:$DZU$1000000,2669,FALSE)</f>
        <v>#N/A</v>
      </c>
      <c r="Q157" s="101" t="e">
        <f>VLOOKUP(A1,POsData!$A$1:$DZU$1000000,2670,FALSE)</f>
        <v>#N/A</v>
      </c>
    </row>
    <row r="158" spans="1:17" x14ac:dyDescent="0.35">
      <c r="A158" s="113" t="e">
        <f>VLOOKUP(A1,POsData!$A$1:$DZU$1000000,2671,FALSE)</f>
        <v>#N/A</v>
      </c>
      <c r="B158" s="1" t="e">
        <f>VLOOKUP(A1,POsData!$A$1:$DZU$1000000,2672,FALSE)</f>
        <v>#N/A</v>
      </c>
      <c r="C158" s="1" t="e">
        <f>VLOOKUP(A1,POsData!$A$1:$DZU$1000000,2673,FALSE)</f>
        <v>#N/A</v>
      </c>
      <c r="D158" s="1" t="e">
        <f>VLOOKUP(A1,POsData!$A$1:$DZU$1000000,2674,FALSE)</f>
        <v>#N/A</v>
      </c>
      <c r="E158" s="1" t="e">
        <f>VLOOKUP(A1,POsData!$A$1:$DZU$1000000,2675,FALSE)</f>
        <v>#N/A</v>
      </c>
      <c r="F158" s="1" t="e">
        <f>VLOOKUP(A1,POsData!$A$1:$DZU$1000000,2676,FALSE)</f>
        <v>#N/A</v>
      </c>
      <c r="G158" s="1" t="e">
        <f>VLOOKUP(A1,POsData!$A$1:$DZU$1000000,2677,FALSE)</f>
        <v>#N/A</v>
      </c>
      <c r="H158" s="1" t="e">
        <f>VLOOKUP(A1,POsData!$A$1:$DZU$1000000,2678,FALSE)</f>
        <v>#N/A</v>
      </c>
      <c r="I158" s="1" t="e">
        <f>VLOOKUP(A1,POsData!$A$1:$DZU$1000000,2679,FALSE)</f>
        <v>#N/A</v>
      </c>
      <c r="J158" s="1" t="e">
        <f>VLOOKUP(A1,POsData!$A$1:$DZU$1000000,2680,FALSE)</f>
        <v>#N/A</v>
      </c>
      <c r="K158" s="1" t="e">
        <f>VLOOKUP(A1,POsData!$A$1:$DZU$1000000,2681,FALSE)</f>
        <v>#N/A</v>
      </c>
      <c r="L158" s="1" t="e">
        <f>VLOOKUP(A1,POsData!$A$1:$DZU$1000000,2682,FALSE)</f>
        <v>#N/A</v>
      </c>
      <c r="M158" s="1" t="e">
        <f>VLOOKUP(A1,POsData!$A$1:$DZU$1000000,2683,FALSE)</f>
        <v>#N/A</v>
      </c>
      <c r="N158" s="1" t="e">
        <f>VLOOKUP(A1,POsData!$A$1:$DZU$1000000,2684,FALSE)</f>
        <v>#N/A</v>
      </c>
      <c r="O158" s="1" t="e">
        <f>VLOOKUP(A1,POsData!$A$1:$DZU$1000000,2685,FALSE)</f>
        <v>#N/A</v>
      </c>
      <c r="P158" s="1" t="e">
        <f>VLOOKUP(A1,POsData!$A$1:$DZU$1000000,2686,FALSE)</f>
        <v>#N/A</v>
      </c>
      <c r="Q158" s="101" t="e">
        <f>VLOOKUP(A1,POsData!$A$1:$DZU$1000000,2687,FALSE)</f>
        <v>#N/A</v>
      </c>
    </row>
    <row r="159" spans="1:17" x14ac:dyDescent="0.35">
      <c r="A159" s="113" t="e">
        <f>VLOOKUP(A1,POsData!$A$1:$DZU$1000000,2688,FALSE)</f>
        <v>#N/A</v>
      </c>
      <c r="B159" s="1" t="e">
        <f>VLOOKUP(A1,POsData!$A$1:$DZU$1000000,2689,FALSE)</f>
        <v>#N/A</v>
      </c>
      <c r="C159" s="1" t="e">
        <f>VLOOKUP(A1,POsData!$A$1:$DZU$1000000,2690,FALSE)</f>
        <v>#N/A</v>
      </c>
      <c r="D159" s="1" t="e">
        <f>VLOOKUP(A1,POsData!$A$1:$DZU$1000000,2691,FALSE)</f>
        <v>#N/A</v>
      </c>
      <c r="E159" s="1" t="e">
        <f>VLOOKUP(A1,POsData!$A$1:$DZU$1000000,2692,FALSE)</f>
        <v>#N/A</v>
      </c>
      <c r="F159" s="1" t="e">
        <f>VLOOKUP(A1,POsData!$A$1:$DZU$1000000,2693,FALSE)</f>
        <v>#N/A</v>
      </c>
      <c r="G159" s="1" t="e">
        <f>VLOOKUP(A1,POsData!$A$1:$DZU$1000000,2694,FALSE)</f>
        <v>#N/A</v>
      </c>
      <c r="H159" s="1" t="e">
        <f>VLOOKUP(A1,POsData!$A$1:$DZU$1000000,2695,FALSE)</f>
        <v>#N/A</v>
      </c>
      <c r="I159" s="1" t="e">
        <f>VLOOKUP(A1,POsData!$A$1:$DZU$1000000,2696,FALSE)</f>
        <v>#N/A</v>
      </c>
      <c r="J159" s="1" t="e">
        <f>VLOOKUP(A1,POsData!$A$1:$DZU$1000000,2697,FALSE)</f>
        <v>#N/A</v>
      </c>
      <c r="K159" s="1" t="e">
        <f>VLOOKUP(A1,POsData!$A$1:$DZU$1000000,2698,FALSE)</f>
        <v>#N/A</v>
      </c>
      <c r="L159" s="1" t="e">
        <f>VLOOKUP(A1,POsData!$A$1:$DZU$1000000,2699,FALSE)</f>
        <v>#N/A</v>
      </c>
      <c r="M159" s="1" t="e">
        <f>VLOOKUP(A1,POsData!$A$1:$DZU$1000000,2700,FALSE)</f>
        <v>#N/A</v>
      </c>
      <c r="N159" s="1" t="e">
        <f>VLOOKUP(A1,POsData!$A$1:$DZU$1000000,2701,FALSE)</f>
        <v>#N/A</v>
      </c>
      <c r="O159" s="1" t="e">
        <f>VLOOKUP(A1,POsData!$A$1:$DZU$1000000,2702,FALSE)</f>
        <v>#N/A</v>
      </c>
      <c r="P159" s="1" t="e">
        <f>VLOOKUP(A1,POsData!$A$1:$DZU$1000000,2703,FALSE)</f>
        <v>#N/A</v>
      </c>
      <c r="Q159" s="101" t="e">
        <f>VLOOKUP(A1,POsData!$A$1:$DZU$1000000,2704,FALSE)</f>
        <v>#N/A</v>
      </c>
    </row>
    <row r="160" spans="1:17" x14ac:dyDescent="0.35">
      <c r="A160" s="113" t="e">
        <f>VLOOKUP(A1,POsData!$A$1:$DZU$1000000,2705,FALSE)</f>
        <v>#N/A</v>
      </c>
      <c r="B160" s="1" t="e">
        <f>VLOOKUP(A1,POsData!$A$1:$DZU$1000000,2706,FALSE)</f>
        <v>#N/A</v>
      </c>
      <c r="C160" s="1" t="e">
        <f>VLOOKUP(A1,POsData!$A$1:$DZU$1000000,2707,FALSE)</f>
        <v>#N/A</v>
      </c>
      <c r="D160" s="1" t="e">
        <f>VLOOKUP(A1,POsData!$A$1:$DZU$1000000,2708,FALSE)</f>
        <v>#N/A</v>
      </c>
      <c r="E160" s="1" t="e">
        <f>VLOOKUP(A1,POsData!$A$1:$DZU$1000000,2709,FALSE)</f>
        <v>#N/A</v>
      </c>
      <c r="F160" s="1" t="e">
        <f>VLOOKUP(A1,POsData!$A$1:$DZU$1000000,2710,FALSE)</f>
        <v>#N/A</v>
      </c>
      <c r="G160" s="1" t="e">
        <f>VLOOKUP(A1,POsData!$A$1:$DZU$1000000,2711,FALSE)</f>
        <v>#N/A</v>
      </c>
      <c r="H160" s="1" t="e">
        <f>VLOOKUP(A1,POsData!$A$1:$DZU$1000000,2712,FALSE)</f>
        <v>#N/A</v>
      </c>
      <c r="I160" s="1" t="e">
        <f>VLOOKUP(A1,POsData!$A$1:$DZU$1000000,2713,FALSE)</f>
        <v>#N/A</v>
      </c>
      <c r="J160" s="1" t="e">
        <f>VLOOKUP(A1,POsData!$A$1:$DZU$1000000,2714,FALSE)</f>
        <v>#N/A</v>
      </c>
      <c r="K160" s="1" t="e">
        <f>VLOOKUP(A1,POsData!$A$1:$DZU$1000000,2715,FALSE)</f>
        <v>#N/A</v>
      </c>
      <c r="L160" s="1" t="e">
        <f>VLOOKUP(A1,POsData!$A$1:$DZU$1000000,2716,FALSE)</f>
        <v>#N/A</v>
      </c>
      <c r="M160" s="1" t="e">
        <f>VLOOKUP(A1,POsData!$A$1:$DZU$1000000,2717,FALSE)</f>
        <v>#N/A</v>
      </c>
      <c r="N160" s="1" t="e">
        <f>VLOOKUP(A1,POsData!$A$1:$DZU$1000000,2718,FALSE)</f>
        <v>#N/A</v>
      </c>
      <c r="O160" s="1" t="e">
        <f>VLOOKUP(A1,POsData!$A$1:$DZU$1000000,2719,FALSE)</f>
        <v>#N/A</v>
      </c>
      <c r="P160" s="1" t="e">
        <f>VLOOKUP(A1,POsData!$A$1:$DZU$1000000,2720,FALSE)</f>
        <v>#N/A</v>
      </c>
      <c r="Q160" s="101" t="e">
        <f>VLOOKUP(A1,POsData!$A$1:$DZU$1000000,2721,FALSE)</f>
        <v>#N/A</v>
      </c>
    </row>
    <row r="161" spans="1:17" x14ac:dyDescent="0.35">
      <c r="A161" s="113" t="e">
        <f>VLOOKUP(A1,POsData!$A$1:$DZU$1000000,2722,FALSE)</f>
        <v>#N/A</v>
      </c>
      <c r="B161" s="1" t="e">
        <f>VLOOKUP(A1,POsData!$A$1:$DZU$1000000,2723,FALSE)</f>
        <v>#N/A</v>
      </c>
      <c r="C161" s="1" t="e">
        <f>VLOOKUP(A1,POsData!$A$1:$DZU$1000000,2724,FALSE)</f>
        <v>#N/A</v>
      </c>
      <c r="D161" s="1" t="e">
        <f>VLOOKUP(A1,POsData!$A$1:$DZU$1000000,2725,FALSE)</f>
        <v>#N/A</v>
      </c>
      <c r="E161" s="1" t="e">
        <f>VLOOKUP(A1,POsData!$A$1:$DZU$1000000,2726,FALSE)</f>
        <v>#N/A</v>
      </c>
      <c r="F161" s="1" t="e">
        <f>VLOOKUP(A1,POsData!$A$1:$DZU$1000000,2727,FALSE)</f>
        <v>#N/A</v>
      </c>
      <c r="G161" s="1" t="e">
        <f>VLOOKUP(A1,POsData!$A$1:$DZU$1000000,2728,FALSE)</f>
        <v>#N/A</v>
      </c>
      <c r="H161" s="1" t="e">
        <f>VLOOKUP(A1,POsData!$A$1:$DZU$1000000,2729,FALSE)</f>
        <v>#N/A</v>
      </c>
      <c r="I161" s="1" t="e">
        <f>VLOOKUP(A1,POsData!$A$1:$DZU$1000000,2730,FALSE)</f>
        <v>#N/A</v>
      </c>
      <c r="J161" s="1" t="e">
        <f>VLOOKUP(A1,POsData!$A$1:$DZU$1000000,2731,FALSE)</f>
        <v>#N/A</v>
      </c>
      <c r="K161" s="1" t="e">
        <f>VLOOKUP(A1,POsData!$A$1:$DZU$1000000,2732,FALSE)</f>
        <v>#N/A</v>
      </c>
      <c r="L161" s="1" t="e">
        <f>VLOOKUP(A1,POsData!$A$1:$DZU$1000000,2733,FALSE)</f>
        <v>#N/A</v>
      </c>
      <c r="M161" s="1" t="e">
        <f>VLOOKUP(A1,POsData!$A$1:$DZU$1000000,2734,FALSE)</f>
        <v>#N/A</v>
      </c>
      <c r="N161" s="1" t="e">
        <f>VLOOKUP(A1,POsData!$A$1:$DZU$1000000,2735,FALSE)</f>
        <v>#N/A</v>
      </c>
      <c r="O161" s="1" t="e">
        <f>VLOOKUP(A1,POsData!$A$1:$DZU$1000000,2736,FALSE)</f>
        <v>#N/A</v>
      </c>
      <c r="P161" s="1" t="e">
        <f>VLOOKUP(A1,POsData!$A$1:$DZU$1000000,2737,FALSE)</f>
        <v>#N/A</v>
      </c>
      <c r="Q161" s="101" t="e">
        <f>VLOOKUP(A1,POsData!$A$1:$DZU$1000000,2738,FALSE)</f>
        <v>#N/A</v>
      </c>
    </row>
    <row r="162" spans="1:17" x14ac:dyDescent="0.35">
      <c r="A162" s="113" t="e">
        <f>VLOOKUP(A1,POsData!$A$1:$DZU$1000000,2739,FALSE)</f>
        <v>#N/A</v>
      </c>
      <c r="B162" s="1" t="e">
        <f>VLOOKUP(A1,POsData!$A$1:$DZU$1000000,2740,FALSE)</f>
        <v>#N/A</v>
      </c>
      <c r="C162" s="1" t="e">
        <f>VLOOKUP(A1,POsData!$A$1:$DZU$1000000,2741,FALSE)</f>
        <v>#N/A</v>
      </c>
      <c r="D162" s="1" t="e">
        <f>VLOOKUP(A1,POsData!$A$1:$DZU$1000000,2742,FALSE)</f>
        <v>#N/A</v>
      </c>
      <c r="E162" s="1" t="e">
        <f>VLOOKUP(A1,POsData!$A$1:$DZU$1000000,2743,FALSE)</f>
        <v>#N/A</v>
      </c>
      <c r="F162" s="1" t="e">
        <f>VLOOKUP(A1,POsData!$A$1:$DZU$1000000,2744,FALSE)</f>
        <v>#N/A</v>
      </c>
      <c r="G162" s="1" t="e">
        <f>VLOOKUP(A1,POsData!$A$1:$DZU$1000000,2745,FALSE)</f>
        <v>#N/A</v>
      </c>
      <c r="H162" s="1" t="e">
        <f>VLOOKUP(A1,POsData!$A$1:$DZU$1000000,2746,FALSE)</f>
        <v>#N/A</v>
      </c>
      <c r="I162" s="1" t="e">
        <f>VLOOKUP(A1,POsData!$A$1:$DZU$1000000,2747,FALSE)</f>
        <v>#N/A</v>
      </c>
      <c r="J162" s="1" t="e">
        <f>VLOOKUP(A1,POsData!$A$1:$DZU$1000000,2748,FALSE)</f>
        <v>#N/A</v>
      </c>
      <c r="K162" s="1" t="e">
        <f>VLOOKUP(A1,POsData!$A$1:$DZU$1000000,2749,FALSE)</f>
        <v>#N/A</v>
      </c>
      <c r="L162" s="1" t="e">
        <f>VLOOKUP(A1,POsData!$A$1:$DZU$1000000,2750,FALSE)</f>
        <v>#N/A</v>
      </c>
      <c r="M162" s="1" t="e">
        <f>VLOOKUP(A1,POsData!$A$1:$DZU$1000000,2751,FALSE)</f>
        <v>#N/A</v>
      </c>
      <c r="N162" s="1" t="e">
        <f>VLOOKUP(A1,POsData!$A$1:$DZU$1000000,2752,FALSE)</f>
        <v>#N/A</v>
      </c>
      <c r="O162" s="1" t="e">
        <f>VLOOKUP(A1,POsData!$A$1:$DZU$1000000,2753,FALSE)</f>
        <v>#N/A</v>
      </c>
      <c r="P162" s="1" t="e">
        <f>VLOOKUP(A1,POsData!$A$1:$DZU$1000000,2754,FALSE)</f>
        <v>#N/A</v>
      </c>
      <c r="Q162" s="101" t="e">
        <f>VLOOKUP(A1,POsData!$A$1:$DZU$1000000,2755,FALSE)</f>
        <v>#N/A</v>
      </c>
    </row>
    <row r="163" spans="1:17" x14ac:dyDescent="0.35">
      <c r="A163" s="113" t="e">
        <f>VLOOKUP(A1,POsData!$A$1:$DZU$1000000,2756,FALSE)</f>
        <v>#N/A</v>
      </c>
      <c r="B163" s="1" t="e">
        <f>VLOOKUP(A1,POsData!$A$1:$DZU$1000000,2757,FALSE)</f>
        <v>#N/A</v>
      </c>
      <c r="C163" s="1" t="e">
        <f>VLOOKUP(A1,POsData!$A$1:$DZU$1000000,2758,FALSE)</f>
        <v>#N/A</v>
      </c>
      <c r="D163" s="1" t="e">
        <f>VLOOKUP(A1,POsData!$A$1:$DZU$1000000,2759,FALSE)</f>
        <v>#N/A</v>
      </c>
      <c r="E163" s="1" t="e">
        <f>VLOOKUP(A1,POsData!$A$1:$DZU$1000000,2760,FALSE)</f>
        <v>#N/A</v>
      </c>
      <c r="F163" s="1" t="e">
        <f>VLOOKUP(A1,POsData!$A$1:$DZU$1000000,2761,FALSE)</f>
        <v>#N/A</v>
      </c>
      <c r="G163" s="1" t="e">
        <f>VLOOKUP(A1,POsData!$A$1:$DZU$1000000,2762,FALSE)</f>
        <v>#N/A</v>
      </c>
      <c r="H163" s="1" t="e">
        <f>VLOOKUP(A1,POsData!$A$1:$DZU$1000000,2763,FALSE)</f>
        <v>#N/A</v>
      </c>
      <c r="I163" s="1" t="e">
        <f>VLOOKUP(A1,POsData!$A$1:$DZU$1000000,2764,FALSE)</f>
        <v>#N/A</v>
      </c>
      <c r="J163" s="1" t="e">
        <f>VLOOKUP(A1,POsData!$A$1:$DZU$1000000,2765,FALSE)</f>
        <v>#N/A</v>
      </c>
      <c r="K163" s="1" t="e">
        <f>VLOOKUP(A1,POsData!$A$1:$DZU$1000000,2766,FALSE)</f>
        <v>#N/A</v>
      </c>
      <c r="L163" s="1" t="e">
        <f>VLOOKUP(A1,POsData!$A$1:$DZU$1000000,2767,FALSE)</f>
        <v>#N/A</v>
      </c>
      <c r="M163" s="1" t="e">
        <f>VLOOKUP(A1,POsData!$A$1:$DZU$1000000,2768,FALSE)</f>
        <v>#N/A</v>
      </c>
      <c r="N163" s="1" t="e">
        <f>VLOOKUP(A1,POsData!$A$1:$DZU$1000000,2769,FALSE)</f>
        <v>#N/A</v>
      </c>
      <c r="O163" s="1" t="e">
        <f>VLOOKUP(A1,POsData!$A$1:$DZU$1000000,2770,FALSE)</f>
        <v>#N/A</v>
      </c>
      <c r="P163" s="1" t="e">
        <f>VLOOKUP(A1,POsData!$A$1:$DZU$1000000,2771,FALSE)</f>
        <v>#N/A</v>
      </c>
      <c r="Q163" s="101" t="e">
        <f>VLOOKUP(A1,POsData!$A$1:$DZU$1000000,2772,FALSE)</f>
        <v>#N/A</v>
      </c>
    </row>
    <row r="164" spans="1:17" x14ac:dyDescent="0.35">
      <c r="A164" s="113" t="e">
        <f>VLOOKUP(A1,POsData!$A$1:$DZU$1000000,2773,FALSE)</f>
        <v>#N/A</v>
      </c>
      <c r="B164" s="1" t="e">
        <f>VLOOKUP(A1,POsData!$A$1:$DZU$1000000,2774,FALSE)</f>
        <v>#N/A</v>
      </c>
      <c r="C164" s="1" t="e">
        <f>VLOOKUP(A1,POsData!$A$1:$DZU$1000000,2775,FALSE)</f>
        <v>#N/A</v>
      </c>
      <c r="D164" s="1" t="e">
        <f>VLOOKUP(A1,POsData!$A$1:$DZU$1000000,2776,FALSE)</f>
        <v>#N/A</v>
      </c>
      <c r="E164" s="1" t="e">
        <f>VLOOKUP(A1,POsData!$A$1:$DZU$1000000,2777,FALSE)</f>
        <v>#N/A</v>
      </c>
      <c r="F164" s="1" t="e">
        <f>VLOOKUP(A1,POsData!$A$1:$DZU$1000000,2778,FALSE)</f>
        <v>#N/A</v>
      </c>
      <c r="G164" s="1" t="e">
        <f>VLOOKUP(A1,POsData!$A$1:$DZU$1000000,2779,FALSE)</f>
        <v>#N/A</v>
      </c>
      <c r="H164" s="1" t="e">
        <f>VLOOKUP(A1,POsData!$A$1:$DZU$1000000,2780,FALSE)</f>
        <v>#N/A</v>
      </c>
      <c r="I164" s="1" t="e">
        <f>VLOOKUP(A1,POsData!$A$1:$DZU$1000000,2781,FALSE)</f>
        <v>#N/A</v>
      </c>
      <c r="J164" s="1" t="e">
        <f>VLOOKUP(A1,POsData!$A$1:$DZU$1000000,2782,FALSE)</f>
        <v>#N/A</v>
      </c>
      <c r="K164" s="1" t="e">
        <f>VLOOKUP(A1,POsData!$A$1:$DZU$1000000,2783,FALSE)</f>
        <v>#N/A</v>
      </c>
      <c r="L164" s="1" t="e">
        <f>VLOOKUP(A1,POsData!$A$1:$DZU$1000000,2784,FALSE)</f>
        <v>#N/A</v>
      </c>
      <c r="M164" s="1" t="e">
        <f>VLOOKUP(A1,POsData!$A$1:$DZU$1000000,2785,FALSE)</f>
        <v>#N/A</v>
      </c>
      <c r="N164" s="1" t="e">
        <f>VLOOKUP(A1,POsData!$A$1:$DZU$1000000,2786,FALSE)</f>
        <v>#N/A</v>
      </c>
      <c r="O164" s="1" t="e">
        <f>VLOOKUP(A1,POsData!$A$1:$DZU$1000000,2787,FALSE)</f>
        <v>#N/A</v>
      </c>
      <c r="P164" s="1" t="e">
        <f>VLOOKUP(A1,POsData!$A$1:$DZU$1000000,2788,FALSE)</f>
        <v>#N/A</v>
      </c>
      <c r="Q164" s="101" t="e">
        <f>VLOOKUP(A1,POsData!$A$1:$DZU$1000000,2789,FALSE)</f>
        <v>#N/A</v>
      </c>
    </row>
    <row r="165" spans="1:17" x14ac:dyDescent="0.35">
      <c r="A165" s="113" t="e">
        <f>VLOOKUP(A1,POsData!$A$1:$DZU$1000000,2790,FALSE)</f>
        <v>#N/A</v>
      </c>
      <c r="B165" s="1" t="e">
        <f>VLOOKUP(A1,POsData!$A$1:$DZU$1000000,2791,FALSE)</f>
        <v>#N/A</v>
      </c>
      <c r="C165" s="1" t="e">
        <f>VLOOKUP(A1,POsData!$A$1:$DZU$1000000,2792,FALSE)</f>
        <v>#N/A</v>
      </c>
      <c r="D165" s="1" t="e">
        <f>VLOOKUP(A1,POsData!$A$1:$DZU$1000000,2793,FALSE)</f>
        <v>#N/A</v>
      </c>
      <c r="E165" s="1" t="e">
        <f>VLOOKUP(A1,POsData!$A$1:$DZU$1000000,2794,FALSE)</f>
        <v>#N/A</v>
      </c>
      <c r="F165" s="1" t="e">
        <f>VLOOKUP(A1,POsData!$A$1:$DZU$1000000,2795,FALSE)</f>
        <v>#N/A</v>
      </c>
      <c r="G165" s="1" t="e">
        <f>VLOOKUP(A1,POsData!$A$1:$DZU$1000000,2796,FALSE)</f>
        <v>#N/A</v>
      </c>
      <c r="H165" s="1" t="e">
        <f>VLOOKUP(A1,POsData!$A$1:$DZU$1000000,2797,FALSE)</f>
        <v>#N/A</v>
      </c>
      <c r="I165" s="1" t="e">
        <f>VLOOKUP(A1,POsData!$A$1:$DZU$1000000,2798,FALSE)</f>
        <v>#N/A</v>
      </c>
      <c r="J165" s="1" t="e">
        <f>VLOOKUP(A1,POsData!$A$1:$DZU$1000000,2799,FALSE)</f>
        <v>#N/A</v>
      </c>
      <c r="K165" s="1" t="e">
        <f>VLOOKUP(A1,POsData!$A$1:$DZU$1000000,2800,FALSE)</f>
        <v>#N/A</v>
      </c>
      <c r="L165" s="1" t="e">
        <f>VLOOKUP(A1,POsData!$A$1:$DZU$1000000,2801,FALSE)</f>
        <v>#N/A</v>
      </c>
      <c r="M165" s="1" t="e">
        <f>VLOOKUP(A1,POsData!$A$1:$DZU$1000000,2802,FALSE)</f>
        <v>#N/A</v>
      </c>
      <c r="N165" s="1" t="e">
        <f>VLOOKUP(A1,POsData!$A$1:$DZU$1000000,2803,FALSE)</f>
        <v>#N/A</v>
      </c>
      <c r="O165" s="1" t="e">
        <f>VLOOKUP(A1,POsData!$A$1:$DZU$1000000,2804,FALSE)</f>
        <v>#N/A</v>
      </c>
      <c r="P165" s="1" t="e">
        <f>VLOOKUP(A1,POsData!$A$1:$DZU$1000000,2805,FALSE)</f>
        <v>#N/A</v>
      </c>
      <c r="Q165" s="101" t="e">
        <f>VLOOKUP(A1,POsData!$A$1:$DZU$1000000,2806,FALSE)</f>
        <v>#N/A</v>
      </c>
    </row>
    <row r="166" spans="1:17" x14ac:dyDescent="0.35">
      <c r="A166" s="113" t="e">
        <f>VLOOKUP(A1,POsData!$A$1:$DZU$1000000,2807,FALSE)</f>
        <v>#N/A</v>
      </c>
      <c r="B166" s="1" t="e">
        <f>VLOOKUP(A1,POsData!$A$1:$DZU$1000000,2808,FALSE)</f>
        <v>#N/A</v>
      </c>
      <c r="C166" s="1" t="e">
        <f>VLOOKUP(A1,POsData!$A$1:$DZU$1000000,2809,FALSE)</f>
        <v>#N/A</v>
      </c>
      <c r="D166" s="1" t="e">
        <f>VLOOKUP(A1,POsData!$A$1:$DZU$1000000,2810,FALSE)</f>
        <v>#N/A</v>
      </c>
      <c r="E166" s="1" t="e">
        <f>VLOOKUP(A1,POsData!$A$1:$DZU$1000000,2811,FALSE)</f>
        <v>#N/A</v>
      </c>
      <c r="F166" s="1" t="e">
        <f>VLOOKUP(A1,POsData!$A$1:$DZU$1000000,2812,FALSE)</f>
        <v>#N/A</v>
      </c>
      <c r="G166" s="1" t="e">
        <f>VLOOKUP(A1,POsData!$A$1:$DZU$1000000,2813,FALSE)</f>
        <v>#N/A</v>
      </c>
      <c r="H166" s="1" t="e">
        <f>VLOOKUP(A1,POsData!$A$1:$DZU$1000000,2814,FALSE)</f>
        <v>#N/A</v>
      </c>
      <c r="I166" s="1" t="e">
        <f>VLOOKUP(A1,POsData!$A$1:$DZU$1000000,2815,FALSE)</f>
        <v>#N/A</v>
      </c>
      <c r="J166" s="1" t="e">
        <f>VLOOKUP(A1,POsData!$A$1:$DZU$1000000,2816,FALSE)</f>
        <v>#N/A</v>
      </c>
      <c r="K166" s="1" t="e">
        <f>VLOOKUP(A1,POsData!$A$1:$DZU$1000000,2817,FALSE)</f>
        <v>#N/A</v>
      </c>
      <c r="L166" s="1" t="e">
        <f>VLOOKUP(A1,POsData!$A$1:$DZU$1000000,2818,FALSE)</f>
        <v>#N/A</v>
      </c>
      <c r="M166" s="1" t="e">
        <f>VLOOKUP(A1,POsData!$A$1:$DZU$1000000,2819,FALSE)</f>
        <v>#N/A</v>
      </c>
      <c r="N166" s="1" t="e">
        <f>VLOOKUP(A1,POsData!$A$1:$DZU$1000000,2820,FALSE)</f>
        <v>#N/A</v>
      </c>
      <c r="O166" s="1" t="e">
        <f>VLOOKUP(A1,POsData!$A$1:$DZU$1000000,2821,FALSE)</f>
        <v>#N/A</v>
      </c>
      <c r="P166" s="1" t="e">
        <f>VLOOKUP(A1,POsData!$A$1:$DZU$1000000,2822,FALSE)</f>
        <v>#N/A</v>
      </c>
      <c r="Q166" s="101" t="e">
        <f>VLOOKUP(A1,POsData!$A$1:$DZU$1000000,2823,FALSE)</f>
        <v>#N/A</v>
      </c>
    </row>
    <row r="167" spans="1:17" x14ac:dyDescent="0.35">
      <c r="A167" s="113" t="e">
        <f>VLOOKUP(A1,POsData!$A$1:$DZU$1000000,2824,FALSE)</f>
        <v>#N/A</v>
      </c>
      <c r="B167" s="1" t="e">
        <f>VLOOKUP(A1,POsData!$A$1:$DZU$1000000,2825,FALSE)</f>
        <v>#N/A</v>
      </c>
      <c r="C167" s="1" t="e">
        <f>VLOOKUP(A1,POsData!$A$1:$DZU$1000000,2826,FALSE)</f>
        <v>#N/A</v>
      </c>
      <c r="D167" s="1" t="e">
        <f>VLOOKUP(A1,POsData!$A$1:$DZU$1000000,2827,FALSE)</f>
        <v>#N/A</v>
      </c>
      <c r="E167" s="1" t="e">
        <f>VLOOKUP(A1,POsData!$A$1:$DZU$1000000,2828,FALSE)</f>
        <v>#N/A</v>
      </c>
      <c r="F167" s="1" t="e">
        <f>VLOOKUP(A1,POsData!$A$1:$DZU$1000000,2829,FALSE)</f>
        <v>#N/A</v>
      </c>
      <c r="G167" s="1" t="e">
        <f>VLOOKUP(A1,POsData!$A$1:$DZU$1000000,2830,FALSE)</f>
        <v>#N/A</v>
      </c>
      <c r="H167" s="1" t="e">
        <f>VLOOKUP(A1,POsData!$A$1:$DZU$1000000,2831,FALSE)</f>
        <v>#N/A</v>
      </c>
      <c r="I167" s="1" t="e">
        <f>VLOOKUP(A1,POsData!$A$1:$DZU$1000000,2832,FALSE)</f>
        <v>#N/A</v>
      </c>
      <c r="J167" s="1" t="e">
        <f>VLOOKUP(A1,POsData!$A$1:$DZU$1000000,2833,FALSE)</f>
        <v>#N/A</v>
      </c>
      <c r="K167" s="1" t="e">
        <f>VLOOKUP(A1,POsData!$A$1:$DZU$1000000,2834,FALSE)</f>
        <v>#N/A</v>
      </c>
      <c r="L167" s="1" t="e">
        <f>VLOOKUP(A1,POsData!$A$1:$DZU$1000000,2835,FALSE)</f>
        <v>#N/A</v>
      </c>
      <c r="M167" s="1" t="e">
        <f>VLOOKUP(A1,POsData!$A$1:$DZU$1000000,2836,FALSE)</f>
        <v>#N/A</v>
      </c>
      <c r="N167" s="1" t="e">
        <f>VLOOKUP(A1,POsData!$A$1:$DZU$1000000,2837,FALSE)</f>
        <v>#N/A</v>
      </c>
      <c r="O167" s="1" t="e">
        <f>VLOOKUP(A1,POsData!$A$1:$DZU$1000000,2838,FALSE)</f>
        <v>#N/A</v>
      </c>
      <c r="P167" s="1" t="e">
        <f>VLOOKUP(A1,POsData!$A$1:$DZU$1000000,2839,FALSE)</f>
        <v>#N/A</v>
      </c>
      <c r="Q167" s="101" t="e">
        <f>VLOOKUP(A1,POsData!$A$1:$DZU$1000000,2840,FALSE)</f>
        <v>#N/A</v>
      </c>
    </row>
    <row r="168" spans="1:17" x14ac:dyDescent="0.35">
      <c r="A168" s="113" t="e">
        <f>VLOOKUP(A1,POsData!$A$1:$DZU$1000000,2841,FALSE)</f>
        <v>#N/A</v>
      </c>
      <c r="B168" s="1" t="e">
        <f>VLOOKUP(A1,POsData!$A$1:$DZU$1000000,2842,FALSE)</f>
        <v>#N/A</v>
      </c>
      <c r="C168" s="1" t="e">
        <f>VLOOKUP(A1,POsData!$A$1:$DZU$1000000,2843,FALSE)</f>
        <v>#N/A</v>
      </c>
      <c r="D168" s="1" t="e">
        <f>VLOOKUP(A1,POsData!$A$1:$DZU$1000000,2844,FALSE)</f>
        <v>#N/A</v>
      </c>
      <c r="E168" s="1" t="e">
        <f>VLOOKUP(A1,POsData!$A$1:$DZU$1000000,2845,FALSE)</f>
        <v>#N/A</v>
      </c>
      <c r="F168" s="1" t="e">
        <f>VLOOKUP(A1,POsData!$A$1:$DZU$1000000,2846,FALSE)</f>
        <v>#N/A</v>
      </c>
      <c r="G168" s="1" t="e">
        <f>VLOOKUP(A1,POsData!$A$1:$DZU$1000000,2847,FALSE)</f>
        <v>#N/A</v>
      </c>
      <c r="H168" s="1" t="e">
        <f>VLOOKUP(A1,POsData!$A$1:$DZU$1000000,2848,FALSE)</f>
        <v>#N/A</v>
      </c>
      <c r="I168" s="1" t="e">
        <f>VLOOKUP(A1,POsData!$A$1:$DZU$1000000,2849,FALSE)</f>
        <v>#N/A</v>
      </c>
      <c r="J168" s="1" t="e">
        <f>VLOOKUP(A1,POsData!$A$1:$DZU$1000000,2850,FALSE)</f>
        <v>#N/A</v>
      </c>
      <c r="K168" s="1" t="e">
        <f>VLOOKUP(A1,POsData!$A$1:$DZU$1000000,2851,FALSE)</f>
        <v>#N/A</v>
      </c>
      <c r="L168" s="1" t="e">
        <f>VLOOKUP(A1,POsData!$A$1:$DZU$1000000,2852,FALSE)</f>
        <v>#N/A</v>
      </c>
      <c r="M168" s="1" t="e">
        <f>VLOOKUP(A1,POsData!$A$1:$DZU$1000000,2853,FALSE)</f>
        <v>#N/A</v>
      </c>
      <c r="N168" s="1" t="e">
        <f>VLOOKUP(A1,POsData!$A$1:$DZU$1000000,2854,FALSE)</f>
        <v>#N/A</v>
      </c>
      <c r="O168" s="1" t="e">
        <f>VLOOKUP(A1,POsData!$A$1:$DZU$1000000,2855,FALSE)</f>
        <v>#N/A</v>
      </c>
      <c r="P168" s="1" t="e">
        <f>VLOOKUP(A1,POsData!$A$1:$DZU$1000000,2856,FALSE)</f>
        <v>#N/A</v>
      </c>
      <c r="Q168" s="101" t="e">
        <f>VLOOKUP(A1,POsData!$A$1:$DZU$1000000,2857,FALSE)</f>
        <v>#N/A</v>
      </c>
    </row>
    <row r="169" spans="1:17" x14ac:dyDescent="0.35">
      <c r="A169" s="113" t="e">
        <f>VLOOKUP(A1,POsData!$A$1:$DZU$1000000,2858,FALSE)</f>
        <v>#N/A</v>
      </c>
      <c r="B169" s="1" t="e">
        <f>VLOOKUP(A1,POsData!$A$1:$DZU$1000000,2859,FALSE)</f>
        <v>#N/A</v>
      </c>
      <c r="C169" s="1" t="e">
        <f>VLOOKUP(A1,POsData!$A$1:$DZU$1000000,2860,FALSE)</f>
        <v>#N/A</v>
      </c>
      <c r="D169" s="1" t="e">
        <f>VLOOKUP(A1,POsData!$A$1:$DZU$1000000,2861,FALSE)</f>
        <v>#N/A</v>
      </c>
      <c r="E169" s="1" t="e">
        <f>VLOOKUP(A1,POsData!$A$1:$DZU$1000000,2862,FALSE)</f>
        <v>#N/A</v>
      </c>
      <c r="F169" s="1" t="e">
        <f>VLOOKUP(A1,POsData!$A$1:$DZU$1000000,2863,FALSE)</f>
        <v>#N/A</v>
      </c>
      <c r="G169" s="1" t="e">
        <f>VLOOKUP(A1,POsData!$A$1:$DZU$1000000,2864,FALSE)</f>
        <v>#N/A</v>
      </c>
      <c r="H169" s="1" t="e">
        <f>VLOOKUP(A1,POsData!$A$1:$DZU$1000000,2865,FALSE)</f>
        <v>#N/A</v>
      </c>
      <c r="I169" s="1" t="e">
        <f>VLOOKUP(A1,POsData!$A$1:$DZU$1000000,2866,FALSE)</f>
        <v>#N/A</v>
      </c>
      <c r="J169" s="1" t="e">
        <f>VLOOKUP(A1,POsData!$A$1:$DZU$1000000,2867,FALSE)</f>
        <v>#N/A</v>
      </c>
      <c r="K169" s="1" t="e">
        <f>VLOOKUP(A1,POsData!$A$1:$DZU$1000000,2868,FALSE)</f>
        <v>#N/A</v>
      </c>
      <c r="L169" s="1" t="e">
        <f>VLOOKUP(A1,POsData!$A$1:$DZU$1000000,2869,FALSE)</f>
        <v>#N/A</v>
      </c>
      <c r="M169" s="1" t="e">
        <f>VLOOKUP(A1,POsData!$A$1:$DZU$1000000,2870,FALSE)</f>
        <v>#N/A</v>
      </c>
      <c r="N169" s="1" t="e">
        <f>VLOOKUP(A1,POsData!$A$1:$DZU$1000000,2871,FALSE)</f>
        <v>#N/A</v>
      </c>
      <c r="O169" s="1" t="e">
        <f>VLOOKUP(A1,POsData!$A$1:$DZU$1000000,2872,FALSE)</f>
        <v>#N/A</v>
      </c>
      <c r="P169" s="1" t="e">
        <f>VLOOKUP(A1,POsData!$A$1:$DZU$1000000,2873,FALSE)</f>
        <v>#N/A</v>
      </c>
      <c r="Q169" s="101" t="e">
        <f>VLOOKUP(A1,POsData!$A$1:$DZU$1000000,2874,FALSE)</f>
        <v>#N/A</v>
      </c>
    </row>
    <row r="170" spans="1:17" x14ac:dyDescent="0.35">
      <c r="A170" s="113" t="e">
        <f>VLOOKUP(A1,POsData!$A$1:$DZU$1000000,2875,FALSE)</f>
        <v>#N/A</v>
      </c>
      <c r="B170" s="1" t="e">
        <f>VLOOKUP(A1,POsData!$A$1:$DZU$1000000,2876,FALSE)</f>
        <v>#N/A</v>
      </c>
      <c r="C170" s="1" t="e">
        <f>VLOOKUP(A1,POsData!$A$1:$DZU$1000000,2877,FALSE)</f>
        <v>#N/A</v>
      </c>
      <c r="D170" s="1" t="e">
        <f>VLOOKUP(A1,POsData!$A$1:$DZU$1000000,2878,FALSE)</f>
        <v>#N/A</v>
      </c>
      <c r="E170" s="1" t="e">
        <f>VLOOKUP(A1,POsData!$A$1:$DZU$1000000,2879,FALSE)</f>
        <v>#N/A</v>
      </c>
      <c r="F170" s="1" t="e">
        <f>VLOOKUP(A1,POsData!$A$1:$DZU$1000000,2880,FALSE)</f>
        <v>#N/A</v>
      </c>
      <c r="G170" s="1" t="e">
        <f>VLOOKUP(A1,POsData!$A$1:$DZU$1000000,2881,FALSE)</f>
        <v>#N/A</v>
      </c>
      <c r="H170" s="1" t="e">
        <f>VLOOKUP(A1,POsData!$A$1:$DZU$1000000,2882,FALSE)</f>
        <v>#N/A</v>
      </c>
      <c r="I170" s="1" t="e">
        <f>VLOOKUP(A1,POsData!$A$1:$DZU$1000000,2883,FALSE)</f>
        <v>#N/A</v>
      </c>
      <c r="J170" s="1" t="e">
        <f>VLOOKUP(A1,POsData!$A$1:$DZU$1000000,2884,FALSE)</f>
        <v>#N/A</v>
      </c>
      <c r="K170" s="1" t="e">
        <f>VLOOKUP(A1,POsData!$A$1:$DZU$1000000,2885,FALSE)</f>
        <v>#N/A</v>
      </c>
      <c r="L170" s="1" t="e">
        <f>VLOOKUP(A1,POsData!$A$1:$DZU$1000000,2886,FALSE)</f>
        <v>#N/A</v>
      </c>
      <c r="M170" s="1" t="e">
        <f>VLOOKUP(A1,POsData!$A$1:$DZU$1000000,2887,FALSE)</f>
        <v>#N/A</v>
      </c>
      <c r="N170" s="1" t="e">
        <f>VLOOKUP(A1,POsData!$A$1:$DZU$1000000,2888,FALSE)</f>
        <v>#N/A</v>
      </c>
      <c r="O170" s="1" t="e">
        <f>VLOOKUP(A1,POsData!$A$1:$DZU$1000000,2889,FALSE)</f>
        <v>#N/A</v>
      </c>
      <c r="P170" s="1" t="e">
        <f>VLOOKUP(A1,POsData!$A$1:$DZU$1000000,2890,FALSE)</f>
        <v>#N/A</v>
      </c>
      <c r="Q170" s="101" t="e">
        <f>VLOOKUP(A1,POsData!$A$1:$DZU$1000000,2891,FALSE)</f>
        <v>#N/A</v>
      </c>
    </row>
    <row r="171" spans="1:17" x14ac:dyDescent="0.35">
      <c r="A171" s="113" t="e">
        <f>VLOOKUP(A1,POsData!$A$1:$DZU$1000000,2892,FALSE)</f>
        <v>#N/A</v>
      </c>
      <c r="B171" s="1" t="e">
        <f>VLOOKUP(A1,POsData!$A$1:$DZU$1000000,2893,FALSE)</f>
        <v>#N/A</v>
      </c>
      <c r="C171" s="1" t="e">
        <f>VLOOKUP(A1,POsData!$A$1:$DZU$1000000,2894,FALSE)</f>
        <v>#N/A</v>
      </c>
      <c r="D171" s="1" t="e">
        <f>VLOOKUP(A1,POsData!$A$1:$DZU$1000000,2895,FALSE)</f>
        <v>#N/A</v>
      </c>
      <c r="E171" s="1" t="e">
        <f>VLOOKUP(A1,POsData!$A$1:$DZU$1000000,2896,FALSE)</f>
        <v>#N/A</v>
      </c>
      <c r="F171" s="1" t="e">
        <f>VLOOKUP(A1,POsData!$A$1:$DZU$1000000,2897,FALSE)</f>
        <v>#N/A</v>
      </c>
      <c r="G171" s="1" t="e">
        <f>VLOOKUP(A1,POsData!$A$1:$DZU$1000000,2898,FALSE)</f>
        <v>#N/A</v>
      </c>
      <c r="H171" s="1" t="e">
        <f>VLOOKUP(A1,POsData!$A$1:$DZU$1000000,2899,FALSE)</f>
        <v>#N/A</v>
      </c>
      <c r="I171" s="1" t="e">
        <f>VLOOKUP(A1,POsData!$A$1:$DZU$1000000,2900,FALSE)</f>
        <v>#N/A</v>
      </c>
      <c r="J171" s="1" t="e">
        <f>VLOOKUP(A1,POsData!$A$1:$DZU$1000000,2901,FALSE)</f>
        <v>#N/A</v>
      </c>
      <c r="K171" s="1" t="e">
        <f>VLOOKUP(A1,POsData!$A$1:$DZU$1000000,2902,FALSE)</f>
        <v>#N/A</v>
      </c>
      <c r="L171" s="1" t="e">
        <f>VLOOKUP(A1,POsData!$A$1:$DZU$1000000,2903,FALSE)</f>
        <v>#N/A</v>
      </c>
      <c r="M171" s="1" t="e">
        <f>VLOOKUP(A1,POsData!$A$1:$DZU$1000000,2904,FALSE)</f>
        <v>#N/A</v>
      </c>
      <c r="N171" s="1" t="e">
        <f>VLOOKUP(A1,POsData!$A$1:$DZU$1000000,2905,FALSE)</f>
        <v>#N/A</v>
      </c>
      <c r="O171" s="1" t="e">
        <f>VLOOKUP(A1,POsData!$A$1:$DZU$1000000,2906,FALSE)</f>
        <v>#N/A</v>
      </c>
      <c r="P171" s="1" t="e">
        <f>VLOOKUP(A1,POsData!$A$1:$DZU$1000000,2907,FALSE)</f>
        <v>#N/A</v>
      </c>
      <c r="Q171" s="101" t="e">
        <f>VLOOKUP(A1,POsData!$A$1:$DZU$1000000,2908,FALSE)</f>
        <v>#N/A</v>
      </c>
    </row>
    <row r="172" spans="1:17" x14ac:dyDescent="0.35">
      <c r="A172" s="113" t="e">
        <f>VLOOKUP(A1,POsData!$A$1:$DZU$1000000,2909,FALSE)</f>
        <v>#N/A</v>
      </c>
      <c r="B172" s="1" t="e">
        <f>VLOOKUP(A1,POsData!$A$1:$DZU$1000000,2910,FALSE)</f>
        <v>#N/A</v>
      </c>
      <c r="C172" s="1" t="e">
        <f>VLOOKUP(A1,POsData!$A$1:$DZU$1000000,2911,FALSE)</f>
        <v>#N/A</v>
      </c>
      <c r="D172" s="1" t="e">
        <f>VLOOKUP(A1,POsData!$A$1:$DZU$1000000,2912,FALSE)</f>
        <v>#N/A</v>
      </c>
      <c r="E172" s="1" t="e">
        <f>VLOOKUP(A1,POsData!$A$1:$DZU$1000000,2913,FALSE)</f>
        <v>#N/A</v>
      </c>
      <c r="F172" s="1" t="e">
        <f>VLOOKUP(A1,POsData!$A$1:$DZU$1000000,2914,FALSE)</f>
        <v>#N/A</v>
      </c>
      <c r="G172" s="1" t="e">
        <f>VLOOKUP(A1,POsData!$A$1:$DZU$1000000,2915,FALSE)</f>
        <v>#N/A</v>
      </c>
      <c r="H172" s="1" t="e">
        <f>VLOOKUP(A1,POsData!$A$1:$DZU$1000000,2916,FALSE)</f>
        <v>#N/A</v>
      </c>
      <c r="I172" s="1" t="e">
        <f>VLOOKUP(A1,POsData!$A$1:$DZU$1000000,2917,FALSE)</f>
        <v>#N/A</v>
      </c>
      <c r="J172" s="1" t="e">
        <f>VLOOKUP(A1,POsData!$A$1:$DZU$1000000,2918,FALSE)</f>
        <v>#N/A</v>
      </c>
      <c r="K172" s="1" t="e">
        <f>VLOOKUP(A1,POsData!$A$1:$DZU$1000000,2919,FALSE)</f>
        <v>#N/A</v>
      </c>
      <c r="L172" s="1" t="e">
        <f>VLOOKUP(A1,POsData!$A$1:$DZU$1000000,2920,FALSE)</f>
        <v>#N/A</v>
      </c>
      <c r="M172" s="1" t="e">
        <f>VLOOKUP(A1,POsData!$A$1:$DZU$1000000,2921,FALSE)</f>
        <v>#N/A</v>
      </c>
      <c r="N172" s="1" t="e">
        <f>VLOOKUP(A1,POsData!$A$1:$DZU$1000000,2922,FALSE)</f>
        <v>#N/A</v>
      </c>
      <c r="O172" s="1" t="e">
        <f>VLOOKUP(A1,POsData!$A$1:$DZU$1000000,2923,FALSE)</f>
        <v>#N/A</v>
      </c>
      <c r="P172" s="1" t="e">
        <f>VLOOKUP(A1,POsData!$A$1:$DZU$1000000,2924,FALSE)</f>
        <v>#N/A</v>
      </c>
      <c r="Q172" s="101" t="e">
        <f>VLOOKUP(A1,POsData!$A$1:$DZU$1000000,2925,FALSE)</f>
        <v>#N/A</v>
      </c>
    </row>
    <row r="173" spans="1:17" x14ac:dyDescent="0.35">
      <c r="A173" s="113" t="e">
        <f>VLOOKUP(A1,POsData!$A$1:$DZU$1000000,2926,FALSE)</f>
        <v>#N/A</v>
      </c>
      <c r="B173" s="1" t="e">
        <f>VLOOKUP(A1,POsData!$A$1:$DZU$1000000,2927,FALSE)</f>
        <v>#N/A</v>
      </c>
      <c r="C173" s="1" t="e">
        <f>VLOOKUP(A1,POsData!$A$1:$DZU$1000000,2928,FALSE)</f>
        <v>#N/A</v>
      </c>
      <c r="D173" s="1" t="e">
        <f>VLOOKUP(A1,POsData!$A$1:$DZU$1000000,2929,FALSE)</f>
        <v>#N/A</v>
      </c>
      <c r="E173" s="1" t="e">
        <f>VLOOKUP(A1,POsData!$A$1:$DZU$1000000,2930,FALSE)</f>
        <v>#N/A</v>
      </c>
      <c r="F173" s="1" t="e">
        <f>VLOOKUP(A1,POsData!$A$1:$DZU$1000000,2931,FALSE)</f>
        <v>#N/A</v>
      </c>
      <c r="G173" s="1" t="e">
        <f>VLOOKUP(A1,POsData!$A$1:$DZU$1000000,2932,FALSE)</f>
        <v>#N/A</v>
      </c>
      <c r="H173" s="1" t="e">
        <f>VLOOKUP(A1,POsData!$A$1:$DZU$1000000,2933,FALSE)</f>
        <v>#N/A</v>
      </c>
      <c r="I173" s="1" t="e">
        <f>VLOOKUP(A1,POsData!$A$1:$DZU$1000000,2934,FALSE)</f>
        <v>#N/A</v>
      </c>
      <c r="J173" s="1" t="e">
        <f>VLOOKUP(A1,POsData!$A$1:$DZU$1000000,2935,FALSE)</f>
        <v>#N/A</v>
      </c>
      <c r="K173" s="1" t="e">
        <f>VLOOKUP(A1,POsData!$A$1:$DZU$1000000,2936,FALSE)</f>
        <v>#N/A</v>
      </c>
      <c r="L173" s="1" t="e">
        <f>VLOOKUP(A1,POsData!$A$1:$DZU$1000000,2937,FALSE)</f>
        <v>#N/A</v>
      </c>
      <c r="M173" s="1" t="e">
        <f>VLOOKUP(A1,POsData!$A$1:$DZU$1000000,2938,FALSE)</f>
        <v>#N/A</v>
      </c>
      <c r="N173" s="1" t="e">
        <f>VLOOKUP(A1,POsData!$A$1:$DZU$1000000,2939,FALSE)</f>
        <v>#N/A</v>
      </c>
      <c r="O173" s="1" t="e">
        <f>VLOOKUP(A1,POsData!$A$1:$DZU$1000000,2940,FALSE)</f>
        <v>#N/A</v>
      </c>
      <c r="P173" s="1" t="e">
        <f>VLOOKUP(A1,POsData!$A$1:$DZU$1000000,2941,FALSE)</f>
        <v>#N/A</v>
      </c>
      <c r="Q173" s="101" t="e">
        <f>VLOOKUP(A1,POsData!$A$1:$DZU$1000000,2942,FALSE)</f>
        <v>#N/A</v>
      </c>
    </row>
    <row r="174" spans="1:17" x14ac:dyDescent="0.35">
      <c r="A174" s="113" t="e">
        <f>VLOOKUP(A1,POsData!$A$1:$DZU$1000000,2943,FALSE)</f>
        <v>#N/A</v>
      </c>
      <c r="B174" s="1" t="e">
        <f>VLOOKUP(A1,POsData!$A$1:$DZU$1000000,2944,FALSE)</f>
        <v>#N/A</v>
      </c>
      <c r="C174" s="1" t="e">
        <f>VLOOKUP(A1,POsData!$A$1:$DZU$1000000,2945,FALSE)</f>
        <v>#N/A</v>
      </c>
      <c r="D174" s="1" t="e">
        <f>VLOOKUP(A1,POsData!$A$1:$DZU$1000000,2946,FALSE)</f>
        <v>#N/A</v>
      </c>
      <c r="E174" s="1" t="e">
        <f>VLOOKUP(A1,POsData!$A$1:$DZU$1000000,2947,FALSE)</f>
        <v>#N/A</v>
      </c>
      <c r="F174" s="1" t="e">
        <f>VLOOKUP(A1,POsData!$A$1:$DZU$1000000,2948,FALSE)</f>
        <v>#N/A</v>
      </c>
      <c r="G174" s="1" t="e">
        <f>VLOOKUP(A1,POsData!$A$1:$DZU$1000000,2949,FALSE)</f>
        <v>#N/A</v>
      </c>
      <c r="H174" s="1" t="e">
        <f>VLOOKUP(A1,POsData!$A$1:$DZU$1000000,2950,FALSE)</f>
        <v>#N/A</v>
      </c>
      <c r="I174" s="1" t="e">
        <f>VLOOKUP(A1,POsData!$A$1:$DZU$1000000,2951,FALSE)</f>
        <v>#N/A</v>
      </c>
      <c r="J174" s="1" t="e">
        <f>VLOOKUP(A1,POsData!$A$1:$DZU$1000000,2952,FALSE)</f>
        <v>#N/A</v>
      </c>
      <c r="K174" s="1" t="e">
        <f>VLOOKUP(A1,POsData!$A$1:$DZU$1000000,2953,FALSE)</f>
        <v>#N/A</v>
      </c>
      <c r="L174" s="1" t="e">
        <f>VLOOKUP(A1,POsData!$A$1:$DZU$1000000,2954,FALSE)</f>
        <v>#N/A</v>
      </c>
      <c r="M174" s="1" t="e">
        <f>VLOOKUP(A1,POsData!$A$1:$DZU$1000000,2955,FALSE)</f>
        <v>#N/A</v>
      </c>
      <c r="N174" s="1" t="e">
        <f>VLOOKUP(A1,POsData!$A$1:$DZU$1000000,2956,FALSE)</f>
        <v>#N/A</v>
      </c>
      <c r="O174" s="1" t="e">
        <f>VLOOKUP(A1,POsData!$A$1:$DZU$1000000,2957,FALSE)</f>
        <v>#N/A</v>
      </c>
      <c r="P174" s="1" t="e">
        <f>VLOOKUP(A1,POsData!$A$1:$DZU$1000000,2958,FALSE)</f>
        <v>#N/A</v>
      </c>
      <c r="Q174" s="101" t="e">
        <f>VLOOKUP(A1,POsData!$A$1:$DZU$1000000,2959,FALSE)</f>
        <v>#N/A</v>
      </c>
    </row>
    <row r="175" spans="1:17" x14ac:dyDescent="0.35">
      <c r="A175" s="113" t="e">
        <f>VLOOKUP(A1,POsData!$A$1:$DZU$1000000,2960,FALSE)</f>
        <v>#N/A</v>
      </c>
      <c r="B175" s="1" t="e">
        <f>VLOOKUP(A1,POsData!$A$1:$DZU$1000000,2961,FALSE)</f>
        <v>#N/A</v>
      </c>
      <c r="C175" s="1" t="e">
        <f>VLOOKUP(A1,POsData!$A$1:$DZU$1000000,2962,FALSE)</f>
        <v>#N/A</v>
      </c>
      <c r="D175" s="1" t="e">
        <f>VLOOKUP(A1,POsData!$A$1:$DZU$1000000,2963,FALSE)</f>
        <v>#N/A</v>
      </c>
      <c r="E175" s="1" t="e">
        <f>VLOOKUP(A1,POsData!$A$1:$DZU$1000000,2964,FALSE)</f>
        <v>#N/A</v>
      </c>
      <c r="F175" s="1" t="e">
        <f>VLOOKUP(A1,POsData!$A$1:$DZU$1000000,2965,FALSE)</f>
        <v>#N/A</v>
      </c>
      <c r="G175" s="1" t="e">
        <f>VLOOKUP(A1,POsData!$A$1:$DZU$1000000,2966,FALSE)</f>
        <v>#N/A</v>
      </c>
      <c r="H175" s="1" t="e">
        <f>VLOOKUP(A1,POsData!$A$1:$DZU$1000000,2967,FALSE)</f>
        <v>#N/A</v>
      </c>
      <c r="I175" s="1" t="e">
        <f>VLOOKUP(A1,POsData!$A$1:$DZU$1000000,2968,FALSE)</f>
        <v>#N/A</v>
      </c>
      <c r="J175" s="1" t="e">
        <f>VLOOKUP(A1,POsData!$A$1:$DZU$1000000,2969,FALSE)</f>
        <v>#N/A</v>
      </c>
      <c r="K175" s="1" t="e">
        <f>VLOOKUP(A1,POsData!$A$1:$DZU$1000000,2970,FALSE)</f>
        <v>#N/A</v>
      </c>
      <c r="L175" s="1" t="e">
        <f>VLOOKUP(A1,POsData!$A$1:$DZU$1000000,2971,FALSE)</f>
        <v>#N/A</v>
      </c>
      <c r="M175" s="1" t="e">
        <f>VLOOKUP(A1,POsData!$A$1:$DZU$1000000,2972,FALSE)</f>
        <v>#N/A</v>
      </c>
      <c r="N175" s="1" t="e">
        <f>VLOOKUP(A1,POsData!$A$1:$DZU$1000000,2973,FALSE)</f>
        <v>#N/A</v>
      </c>
      <c r="O175" s="1" t="e">
        <f>VLOOKUP(A1,POsData!$A$1:$DZU$1000000,2974,FALSE)</f>
        <v>#N/A</v>
      </c>
      <c r="P175" s="1" t="e">
        <f>VLOOKUP(A1,POsData!$A$1:$DZU$1000000,2975,FALSE)</f>
        <v>#N/A</v>
      </c>
      <c r="Q175" s="101" t="e">
        <f>VLOOKUP(A1,POsData!$A$1:$DZU$1000000,2976,FALSE)</f>
        <v>#N/A</v>
      </c>
    </row>
    <row r="176" spans="1:17" x14ac:dyDescent="0.35">
      <c r="A176" s="113" t="e">
        <f>VLOOKUP(A1,POsData!$A$1:$DZU$1000000,2977,FALSE)</f>
        <v>#N/A</v>
      </c>
      <c r="B176" s="1" t="e">
        <f>VLOOKUP(A1,POsData!$A$1:$DZU$1000000,2978,FALSE)</f>
        <v>#N/A</v>
      </c>
      <c r="C176" s="1" t="e">
        <f>VLOOKUP(A1,POsData!$A$1:$DZU$1000000,2979,FALSE)</f>
        <v>#N/A</v>
      </c>
      <c r="D176" s="1" t="e">
        <f>VLOOKUP(A1,POsData!$A$1:$DZU$1000000,2980,FALSE)</f>
        <v>#N/A</v>
      </c>
      <c r="E176" s="1" t="e">
        <f>VLOOKUP(A1,POsData!$A$1:$DZU$1000000,2981,FALSE)</f>
        <v>#N/A</v>
      </c>
      <c r="F176" s="1" t="e">
        <f>VLOOKUP(A1,POsData!$A$1:$DZU$1000000,2982,FALSE)</f>
        <v>#N/A</v>
      </c>
      <c r="G176" s="1" t="e">
        <f>VLOOKUP(A1,POsData!$A$1:$DZU$1000000,2983,FALSE)</f>
        <v>#N/A</v>
      </c>
      <c r="H176" s="1" t="e">
        <f>VLOOKUP(A1,POsData!$A$1:$DZU$1000000,2984,FALSE)</f>
        <v>#N/A</v>
      </c>
      <c r="I176" s="1" t="e">
        <f>VLOOKUP(A1,POsData!$A$1:$DZU$1000000,2985,FALSE)</f>
        <v>#N/A</v>
      </c>
      <c r="J176" s="1" t="e">
        <f>VLOOKUP(A1,POsData!$A$1:$DZU$1000000,2986,FALSE)</f>
        <v>#N/A</v>
      </c>
      <c r="K176" s="1" t="e">
        <f>VLOOKUP(A1,POsData!$A$1:$DZU$1000000,2987,FALSE)</f>
        <v>#N/A</v>
      </c>
      <c r="L176" s="1" t="e">
        <f>VLOOKUP(A1,POsData!$A$1:$DZU$1000000,2988,FALSE)</f>
        <v>#N/A</v>
      </c>
      <c r="M176" s="1" t="e">
        <f>VLOOKUP(A1,POsData!$A$1:$DZU$1000000,2989,FALSE)</f>
        <v>#N/A</v>
      </c>
      <c r="N176" s="1" t="e">
        <f>VLOOKUP(A1,POsData!$A$1:$DZU$1000000,2990,FALSE)</f>
        <v>#N/A</v>
      </c>
      <c r="O176" s="1" t="e">
        <f>VLOOKUP(A1,POsData!$A$1:$DZU$1000000,2991,FALSE)</f>
        <v>#N/A</v>
      </c>
      <c r="P176" s="1" t="e">
        <f>VLOOKUP(A1,POsData!$A$1:$DZU$1000000,2992,FALSE)</f>
        <v>#N/A</v>
      </c>
      <c r="Q176" s="101" t="e">
        <f>VLOOKUP(A1,POsData!$A$1:$DZU$1000000,2993,FALSE)</f>
        <v>#N/A</v>
      </c>
    </row>
    <row r="177" spans="1:17" x14ac:dyDescent="0.35">
      <c r="A177" s="113" t="e">
        <f>VLOOKUP(A1,POsData!$A$1:$DZU$1000000,2994,FALSE)</f>
        <v>#N/A</v>
      </c>
      <c r="B177" s="1" t="e">
        <f>VLOOKUP(A1,POsData!$A$1:$DZU$1000000,2995,FALSE)</f>
        <v>#N/A</v>
      </c>
      <c r="C177" s="1" t="e">
        <f>VLOOKUP(A1,POsData!$A$1:$DZU$1000000,2996,FALSE)</f>
        <v>#N/A</v>
      </c>
      <c r="D177" s="1" t="e">
        <f>VLOOKUP(A1,POsData!$A$1:$DZU$1000000,2997,FALSE)</f>
        <v>#N/A</v>
      </c>
      <c r="E177" s="1" t="e">
        <f>VLOOKUP(A1,POsData!$A$1:$DZU$1000000,2998,FALSE)</f>
        <v>#N/A</v>
      </c>
      <c r="F177" s="1" t="e">
        <f>VLOOKUP(A1,POsData!$A$1:$DZU$1000000,2999,FALSE)</f>
        <v>#N/A</v>
      </c>
      <c r="G177" s="1" t="e">
        <f>VLOOKUP(A1,POsData!$A$1:$DZU$1000000,3000,FALSE)</f>
        <v>#N/A</v>
      </c>
      <c r="H177" s="1" t="e">
        <f>VLOOKUP(A1,POsData!$A$1:$DZU$1000000,3001,FALSE)</f>
        <v>#N/A</v>
      </c>
      <c r="I177" s="1" t="e">
        <f>VLOOKUP(A1,POsData!$A$1:$DZU$1000000,3002,FALSE)</f>
        <v>#N/A</v>
      </c>
      <c r="J177" s="1" t="e">
        <f>VLOOKUP(A1,POsData!$A$1:$DZU$1000000,3003,FALSE)</f>
        <v>#N/A</v>
      </c>
      <c r="K177" s="1" t="e">
        <f>VLOOKUP(A1,POsData!$A$1:$DZU$1000000,3004,FALSE)</f>
        <v>#N/A</v>
      </c>
      <c r="L177" s="1" t="e">
        <f>VLOOKUP(A1,POsData!$A$1:$DZU$1000000,3005,FALSE)</f>
        <v>#N/A</v>
      </c>
      <c r="M177" s="1" t="e">
        <f>VLOOKUP(A1,POsData!$A$1:$DZU$1000000,3006,FALSE)</f>
        <v>#N/A</v>
      </c>
      <c r="N177" s="1" t="e">
        <f>VLOOKUP(A1,POsData!$A$1:$DZU$1000000,3007,FALSE)</f>
        <v>#N/A</v>
      </c>
      <c r="O177" s="1" t="e">
        <f>VLOOKUP(A1,POsData!$A$1:$DZU$1000000,3008,FALSE)</f>
        <v>#N/A</v>
      </c>
      <c r="P177" s="1" t="e">
        <f>VLOOKUP(A1,POsData!$A$1:$DZU$1000000,3009,FALSE)</f>
        <v>#N/A</v>
      </c>
      <c r="Q177" s="101" t="e">
        <f>VLOOKUP(A1,POsData!$A$1:$DZU$1000000,3010,FALSE)</f>
        <v>#N/A</v>
      </c>
    </row>
    <row r="178" spans="1:17" x14ac:dyDescent="0.35">
      <c r="A178" s="113" t="e">
        <f>VLOOKUP(A1,POsData!$A$1:$DZU$1000000,3011,FALSE)</f>
        <v>#N/A</v>
      </c>
      <c r="B178" s="1" t="e">
        <f>VLOOKUP(A1,POsData!$A$1:$DZU$1000000,3012,FALSE)</f>
        <v>#N/A</v>
      </c>
      <c r="C178" s="1" t="e">
        <f>VLOOKUP(A1,POsData!$A$1:$DZU$1000000,3013,FALSE)</f>
        <v>#N/A</v>
      </c>
      <c r="D178" s="1" t="e">
        <f>VLOOKUP(A1,POsData!$A$1:$DZU$1000000,3014,FALSE)</f>
        <v>#N/A</v>
      </c>
      <c r="E178" s="1" t="e">
        <f>VLOOKUP(A1,POsData!$A$1:$DZU$1000000,3015,FALSE)</f>
        <v>#N/A</v>
      </c>
      <c r="F178" s="1" t="e">
        <f>VLOOKUP(A1,POsData!$A$1:$DZU$1000000,3016,FALSE)</f>
        <v>#N/A</v>
      </c>
      <c r="G178" s="1" t="e">
        <f>VLOOKUP(A1,POsData!$A$1:$DZU$1000000,3017,FALSE)</f>
        <v>#N/A</v>
      </c>
      <c r="H178" s="1" t="e">
        <f>VLOOKUP(A1,POsData!$A$1:$DZU$1000000,3018,FALSE)</f>
        <v>#N/A</v>
      </c>
      <c r="I178" s="1" t="e">
        <f>VLOOKUP(A1,POsData!$A$1:$DZU$1000000,3019,FALSE)</f>
        <v>#N/A</v>
      </c>
      <c r="J178" s="1" t="e">
        <f>VLOOKUP(A1,POsData!$A$1:$DZU$1000000,3020,FALSE)</f>
        <v>#N/A</v>
      </c>
      <c r="K178" s="1" t="e">
        <f>VLOOKUP(A1,POsData!$A$1:$DZU$1000000,3021,FALSE)</f>
        <v>#N/A</v>
      </c>
      <c r="L178" s="1" t="e">
        <f>VLOOKUP(A1,POsData!$A$1:$DZU$1000000,3022,FALSE)</f>
        <v>#N/A</v>
      </c>
      <c r="M178" s="1" t="e">
        <f>VLOOKUP(A1,POsData!$A$1:$DZU$1000000,3023,FALSE)</f>
        <v>#N/A</v>
      </c>
      <c r="N178" s="1" t="e">
        <f>VLOOKUP(A1,POsData!$A$1:$DZU$1000000,3024,FALSE)</f>
        <v>#N/A</v>
      </c>
      <c r="O178" s="1" t="e">
        <f>VLOOKUP(A1,POsData!$A$1:$DZU$1000000,3025,FALSE)</f>
        <v>#N/A</v>
      </c>
      <c r="P178" s="1" t="e">
        <f>VLOOKUP(A1,POsData!$A$1:$DZU$1000000,3026,FALSE)</f>
        <v>#N/A</v>
      </c>
      <c r="Q178" s="101" t="e">
        <f>VLOOKUP(A1,POsData!$A$1:$DZU$1000000,3027,FALSE)</f>
        <v>#N/A</v>
      </c>
    </row>
    <row r="179" spans="1:17" x14ac:dyDescent="0.35">
      <c r="A179" s="113" t="e">
        <f>VLOOKUP(A1,POsData!$A$1:$DZU$1000000,3028,FALSE)</f>
        <v>#N/A</v>
      </c>
      <c r="B179" s="1" t="e">
        <f>VLOOKUP(A1,POsData!$A$1:$DZU$1000000,3029,FALSE)</f>
        <v>#N/A</v>
      </c>
      <c r="C179" s="1" t="e">
        <f>VLOOKUP(A1,POsData!$A$1:$DZU$1000000,3030,FALSE)</f>
        <v>#N/A</v>
      </c>
      <c r="D179" s="1" t="e">
        <f>VLOOKUP(A1,POsData!$A$1:$DZU$1000000,3031,FALSE)</f>
        <v>#N/A</v>
      </c>
      <c r="E179" s="1" t="e">
        <f>VLOOKUP(A1,POsData!$A$1:$DZU$1000000,3032,FALSE)</f>
        <v>#N/A</v>
      </c>
      <c r="F179" s="1" t="e">
        <f>VLOOKUP(A1,POsData!$A$1:$DZU$1000000,3033,FALSE)</f>
        <v>#N/A</v>
      </c>
      <c r="G179" s="1" t="e">
        <f>VLOOKUP(A1,POsData!$A$1:$DZU$1000000,3034,FALSE)</f>
        <v>#N/A</v>
      </c>
      <c r="H179" s="1" t="e">
        <f>VLOOKUP(A1,POsData!$A$1:$DZU$1000000,3035,FALSE)</f>
        <v>#N/A</v>
      </c>
      <c r="I179" s="1" t="e">
        <f>VLOOKUP(A1,POsData!$A$1:$DZU$1000000,3036,FALSE)</f>
        <v>#N/A</v>
      </c>
      <c r="J179" s="1" t="e">
        <f>VLOOKUP(A1,POsData!$A$1:$DZU$1000000,3037,FALSE)</f>
        <v>#N/A</v>
      </c>
      <c r="K179" s="1" t="e">
        <f>VLOOKUP(A1,POsData!$A$1:$DZU$1000000,3038,FALSE)</f>
        <v>#N/A</v>
      </c>
      <c r="L179" s="1" t="e">
        <f>VLOOKUP(A1,POsData!$A$1:$DZU$1000000,3039,FALSE)</f>
        <v>#N/A</v>
      </c>
      <c r="M179" s="1" t="e">
        <f>VLOOKUP(A1,POsData!$A$1:$DZU$1000000,3040,FALSE)</f>
        <v>#N/A</v>
      </c>
      <c r="N179" s="1" t="e">
        <f>VLOOKUP(A1,POsData!$A$1:$DZU$1000000,3041,FALSE)</f>
        <v>#N/A</v>
      </c>
      <c r="O179" s="1" t="e">
        <f>VLOOKUP(A1,POsData!$A$1:$DZU$1000000,3042,FALSE)</f>
        <v>#N/A</v>
      </c>
      <c r="P179" s="1" t="e">
        <f>VLOOKUP(A1,POsData!$A$1:$DZU$1000000,3043,FALSE)</f>
        <v>#N/A</v>
      </c>
      <c r="Q179" s="101" t="e">
        <f>VLOOKUP(A1,POsData!$A$1:$DZU$1000000,3044,FALSE)</f>
        <v>#N/A</v>
      </c>
    </row>
    <row r="180" spans="1:17" x14ac:dyDescent="0.35">
      <c r="A180" s="113" t="e">
        <f>VLOOKUP(A1,POsData!$A$1:$DZU$1000000,3045,FALSE)</f>
        <v>#N/A</v>
      </c>
      <c r="B180" s="1" t="e">
        <f>VLOOKUP(A1,POsData!$A$1:$DZU$1000000,3046,FALSE)</f>
        <v>#N/A</v>
      </c>
      <c r="C180" s="1" t="e">
        <f>VLOOKUP(A1,POsData!$A$1:$DZU$1000000,3047,FALSE)</f>
        <v>#N/A</v>
      </c>
      <c r="D180" s="1" t="e">
        <f>VLOOKUP(A1,POsData!$A$1:$DZU$1000000,3048,FALSE)</f>
        <v>#N/A</v>
      </c>
      <c r="E180" s="1" t="e">
        <f>VLOOKUP(A1,POsData!$A$1:$DZU$1000000,3049,FALSE)</f>
        <v>#N/A</v>
      </c>
      <c r="F180" s="1" t="e">
        <f>VLOOKUP(A1,POsData!$A$1:$DZU$1000000,3050,FALSE)</f>
        <v>#N/A</v>
      </c>
      <c r="G180" s="1" t="e">
        <f>VLOOKUP(A1,POsData!$A$1:$DZU$1000000,3051,FALSE)</f>
        <v>#N/A</v>
      </c>
      <c r="H180" s="1" t="e">
        <f>VLOOKUP(A1,POsData!$A$1:$DZU$1000000,3052,FALSE)</f>
        <v>#N/A</v>
      </c>
      <c r="I180" s="1" t="e">
        <f>VLOOKUP(A1,POsData!$A$1:$DZU$1000000,3053,FALSE)</f>
        <v>#N/A</v>
      </c>
      <c r="J180" s="1" t="e">
        <f>VLOOKUP(A1,POsData!$A$1:$DZU$1000000,3054,FALSE)</f>
        <v>#N/A</v>
      </c>
      <c r="K180" s="1" t="e">
        <f>VLOOKUP(A1,POsData!$A$1:$DZU$1000000,3055,FALSE)</f>
        <v>#N/A</v>
      </c>
      <c r="L180" s="1" t="e">
        <f>VLOOKUP(A1,POsData!$A$1:$DZU$1000000,3056,FALSE)</f>
        <v>#N/A</v>
      </c>
      <c r="M180" s="1" t="e">
        <f>VLOOKUP(A1,POsData!$A$1:$DZU$1000000,3057,FALSE)</f>
        <v>#N/A</v>
      </c>
      <c r="N180" s="1" t="e">
        <f>VLOOKUP(A1,POsData!$A$1:$DZU$1000000,3058,FALSE)</f>
        <v>#N/A</v>
      </c>
      <c r="O180" s="1" t="e">
        <f>VLOOKUP(A1,POsData!$A$1:$DZU$1000000,3059,FALSE)</f>
        <v>#N/A</v>
      </c>
      <c r="P180" s="1" t="e">
        <f>VLOOKUP(A1,POsData!$A$1:$DZU$1000000,3060,FALSE)</f>
        <v>#N/A</v>
      </c>
      <c r="Q180" s="101" t="e">
        <f>VLOOKUP(A1,POsData!$A$1:$DZU$1000000,3061,FALSE)</f>
        <v>#N/A</v>
      </c>
    </row>
    <row r="181" spans="1:17" x14ac:dyDescent="0.35">
      <c r="A181" s="113" t="e">
        <f>VLOOKUP(A1,POsData!$A$1:$DZU$1000000,3062,FALSE)</f>
        <v>#N/A</v>
      </c>
      <c r="B181" s="1" t="e">
        <f>VLOOKUP(A1,POsData!$A$1:$DZU$1000000,3063,FALSE)</f>
        <v>#N/A</v>
      </c>
      <c r="C181" s="1" t="e">
        <f>VLOOKUP(A1,POsData!$A$1:$DZU$1000000,3064,FALSE)</f>
        <v>#N/A</v>
      </c>
      <c r="D181" s="1" t="e">
        <f>VLOOKUP(A1,POsData!$A$1:$DZU$1000000,3065,FALSE)</f>
        <v>#N/A</v>
      </c>
      <c r="E181" s="1" t="e">
        <f>VLOOKUP(A1,POsData!$A$1:$DZU$1000000,3066,FALSE)</f>
        <v>#N/A</v>
      </c>
      <c r="F181" s="1" t="e">
        <f>VLOOKUP(A1,POsData!$A$1:$DZU$1000000,3067,FALSE)</f>
        <v>#N/A</v>
      </c>
      <c r="G181" s="1" t="e">
        <f>VLOOKUP(A1,POsData!$A$1:$DZU$1000000,3068,FALSE)</f>
        <v>#N/A</v>
      </c>
      <c r="H181" s="1" t="e">
        <f>VLOOKUP(A1,POsData!$A$1:$DZU$1000000,3069,FALSE)</f>
        <v>#N/A</v>
      </c>
      <c r="I181" s="1" t="e">
        <f>VLOOKUP(A1,POsData!$A$1:$DZU$1000000,3070,FALSE)</f>
        <v>#N/A</v>
      </c>
      <c r="J181" s="1" t="e">
        <f>VLOOKUP(A1,POsData!$A$1:$DZU$1000000,3071,FALSE)</f>
        <v>#N/A</v>
      </c>
      <c r="K181" s="1" t="e">
        <f>VLOOKUP(A1,POsData!$A$1:$DZU$1000000,3072,FALSE)</f>
        <v>#N/A</v>
      </c>
      <c r="L181" s="1" t="e">
        <f>VLOOKUP(A1,POsData!$A$1:$DZU$1000000,3073,FALSE)</f>
        <v>#N/A</v>
      </c>
      <c r="M181" s="1" t="e">
        <f>VLOOKUP(A1,POsData!$A$1:$DZU$1000000,3074,FALSE)</f>
        <v>#N/A</v>
      </c>
      <c r="N181" s="1" t="e">
        <f>VLOOKUP(A1,POsData!$A$1:$DZU$1000000,3075,FALSE)</f>
        <v>#N/A</v>
      </c>
      <c r="O181" s="1" t="e">
        <f>VLOOKUP(A1,POsData!$A$1:$DZU$1000000,3076,FALSE)</f>
        <v>#N/A</v>
      </c>
      <c r="P181" s="1" t="e">
        <f>VLOOKUP(A1,POsData!$A$1:$DZU$1000000,3077,FALSE)</f>
        <v>#N/A</v>
      </c>
      <c r="Q181" s="101" t="e">
        <f>VLOOKUP(A1,POsData!$A$1:$DZU$1000000,3078,FALSE)</f>
        <v>#N/A</v>
      </c>
    </row>
    <row r="182" spans="1:17" x14ac:dyDescent="0.35">
      <c r="A182" s="113" t="e">
        <f>VLOOKUP(A1,POsData!$A$1:$DZU$1000000,3079,FALSE)</f>
        <v>#N/A</v>
      </c>
      <c r="B182" s="1" t="e">
        <f>VLOOKUP(A1,POsData!$A$1:$DZU$1000000,3080,FALSE)</f>
        <v>#N/A</v>
      </c>
      <c r="C182" s="1" t="e">
        <f>VLOOKUP(A1,POsData!$A$1:$DZU$1000000,3081,FALSE)</f>
        <v>#N/A</v>
      </c>
      <c r="D182" s="1" t="e">
        <f>VLOOKUP(A1,POsData!$A$1:$DZU$1000000,3082,FALSE)</f>
        <v>#N/A</v>
      </c>
      <c r="E182" s="1" t="e">
        <f>VLOOKUP(A1,POsData!$A$1:$DZU$1000000,3083,FALSE)</f>
        <v>#N/A</v>
      </c>
      <c r="F182" s="1" t="e">
        <f>VLOOKUP(A1,POsData!$A$1:$DZU$1000000,3084,FALSE)</f>
        <v>#N/A</v>
      </c>
      <c r="G182" s="1" t="e">
        <f>VLOOKUP(A1,POsData!$A$1:$DZU$1000000,3085,FALSE)</f>
        <v>#N/A</v>
      </c>
      <c r="H182" s="1" t="e">
        <f>VLOOKUP(A1,POsData!$A$1:$DZU$1000000,3086,FALSE)</f>
        <v>#N/A</v>
      </c>
      <c r="I182" s="1" t="e">
        <f>VLOOKUP(A1,POsData!$A$1:$DZU$1000000,3087,FALSE)</f>
        <v>#N/A</v>
      </c>
      <c r="J182" s="1" t="e">
        <f>VLOOKUP(A1,POsData!$A$1:$DZU$1000000,3088,FALSE)</f>
        <v>#N/A</v>
      </c>
      <c r="K182" s="1" t="e">
        <f>VLOOKUP(A1,POsData!$A$1:$DZU$1000000,3089,FALSE)</f>
        <v>#N/A</v>
      </c>
      <c r="L182" s="1" t="e">
        <f>VLOOKUP(A1,POsData!$A$1:$DZU$1000000,3090,FALSE)</f>
        <v>#N/A</v>
      </c>
      <c r="M182" s="1" t="e">
        <f>VLOOKUP(A1,POsData!$A$1:$DZU$1000000,3091,FALSE)</f>
        <v>#N/A</v>
      </c>
      <c r="N182" s="1" t="e">
        <f>VLOOKUP(A1,POsData!$A$1:$DZU$1000000,3092,FALSE)</f>
        <v>#N/A</v>
      </c>
      <c r="O182" s="1" t="e">
        <f>VLOOKUP(A1,POsData!$A$1:$DZU$1000000,3093,FALSE)</f>
        <v>#N/A</v>
      </c>
      <c r="P182" s="1" t="e">
        <f>VLOOKUP(A1,POsData!$A$1:$DZU$1000000,3094,FALSE)</f>
        <v>#N/A</v>
      </c>
      <c r="Q182" s="101" t="e">
        <f>VLOOKUP(A1,POsData!$A$1:$DZU$1000000,3095,FALSE)</f>
        <v>#N/A</v>
      </c>
    </row>
    <row r="183" spans="1:17" x14ac:dyDescent="0.35">
      <c r="A183" s="113" t="e">
        <f>VLOOKUP(A1,POsData!$A$1:$DZU$1000000,3096,FALSE)</f>
        <v>#N/A</v>
      </c>
      <c r="B183" s="1" t="e">
        <f>VLOOKUP(A1,POsData!$A$1:$DZU$1000000,3097,FALSE)</f>
        <v>#N/A</v>
      </c>
      <c r="C183" s="1" t="e">
        <f>VLOOKUP(A1,POsData!$A$1:$DZU$1000000,3098,FALSE)</f>
        <v>#N/A</v>
      </c>
      <c r="D183" s="1" t="e">
        <f>VLOOKUP(A1,POsData!$A$1:$DZU$1000000,3099,FALSE)</f>
        <v>#N/A</v>
      </c>
      <c r="E183" s="1" t="e">
        <f>VLOOKUP(A1,POsData!$A$1:$DZU$1000000,3100,FALSE)</f>
        <v>#N/A</v>
      </c>
      <c r="F183" s="1" t="e">
        <f>VLOOKUP(A1,POsData!$A$1:$DZU$1000000,3101,FALSE)</f>
        <v>#N/A</v>
      </c>
      <c r="G183" s="1" t="e">
        <f>VLOOKUP(A1,POsData!$A$1:$DZU$1000000,3102,FALSE)</f>
        <v>#N/A</v>
      </c>
      <c r="H183" s="1" t="e">
        <f>VLOOKUP(A1,POsData!$A$1:$DZU$1000000,3103,FALSE)</f>
        <v>#N/A</v>
      </c>
      <c r="I183" s="1" t="e">
        <f>VLOOKUP(A1,POsData!$A$1:$DZU$1000000,3104,FALSE)</f>
        <v>#N/A</v>
      </c>
      <c r="J183" s="1" t="e">
        <f>VLOOKUP(A1,POsData!$A$1:$DZU$1000000,3105,FALSE)</f>
        <v>#N/A</v>
      </c>
      <c r="K183" s="1" t="e">
        <f>VLOOKUP(A1,POsData!$A$1:$DZU$1000000,3106,FALSE)</f>
        <v>#N/A</v>
      </c>
      <c r="L183" s="1" t="e">
        <f>VLOOKUP(A1,POsData!$A$1:$DZU$1000000,3107,FALSE)</f>
        <v>#N/A</v>
      </c>
      <c r="M183" s="1" t="e">
        <f>VLOOKUP(A1,POsData!$A$1:$DZU$1000000,3108,FALSE)</f>
        <v>#N/A</v>
      </c>
      <c r="N183" s="1" t="e">
        <f>VLOOKUP(A1,POsData!$A$1:$DZU$1000000,3109,FALSE)</f>
        <v>#N/A</v>
      </c>
      <c r="O183" s="1" t="e">
        <f>VLOOKUP(A1,POsData!$A$1:$DZU$1000000,3110,FALSE)</f>
        <v>#N/A</v>
      </c>
      <c r="P183" s="1" t="e">
        <f>VLOOKUP(A1,POsData!$A$1:$DZU$1000000,3111,FALSE)</f>
        <v>#N/A</v>
      </c>
      <c r="Q183" s="101" t="e">
        <f>VLOOKUP(A1,POsData!$A$1:$DZU$1000000,3112,FALSE)</f>
        <v>#N/A</v>
      </c>
    </row>
    <row r="184" spans="1:17" x14ac:dyDescent="0.35">
      <c r="A184" s="113" t="e">
        <f>VLOOKUP(A1,POsData!$A$1:$DZU$1000000,3113,FALSE)</f>
        <v>#N/A</v>
      </c>
      <c r="B184" s="1" t="e">
        <f>VLOOKUP(A1,POsData!$A$1:$DZU$1000000,3114,FALSE)</f>
        <v>#N/A</v>
      </c>
      <c r="C184" s="1" t="e">
        <f>VLOOKUP(A1,POsData!$A$1:$DZU$1000000,3115,FALSE)</f>
        <v>#N/A</v>
      </c>
      <c r="D184" s="1" t="e">
        <f>VLOOKUP(A1,POsData!$A$1:$DZU$1000000,3116,FALSE)</f>
        <v>#N/A</v>
      </c>
      <c r="E184" s="1" t="e">
        <f>VLOOKUP(A1,POsData!$A$1:$DZU$1000000,3117,FALSE)</f>
        <v>#N/A</v>
      </c>
      <c r="F184" s="1" t="e">
        <f>VLOOKUP(A1,POsData!$A$1:$DZU$1000000,3118,FALSE)</f>
        <v>#N/A</v>
      </c>
      <c r="G184" s="1" t="e">
        <f>VLOOKUP(A1,POsData!$A$1:$DZU$1000000,3119,FALSE)</f>
        <v>#N/A</v>
      </c>
      <c r="H184" s="1" t="e">
        <f>VLOOKUP(A1,POsData!$A$1:$DZU$1000000,3120,FALSE)</f>
        <v>#N/A</v>
      </c>
      <c r="I184" s="1" t="e">
        <f>VLOOKUP(A1,POsData!$A$1:$DZU$1000000,3121,FALSE)</f>
        <v>#N/A</v>
      </c>
      <c r="J184" s="1" t="e">
        <f>VLOOKUP(A1,POsData!$A$1:$DZU$1000000,3122,FALSE)</f>
        <v>#N/A</v>
      </c>
      <c r="K184" s="1" t="e">
        <f>VLOOKUP(A1,POsData!$A$1:$DZU$1000000,3123,FALSE)</f>
        <v>#N/A</v>
      </c>
      <c r="L184" s="1" t="e">
        <f>VLOOKUP(A1,POsData!$A$1:$DZU$1000000,3124,FALSE)</f>
        <v>#N/A</v>
      </c>
      <c r="M184" s="1" t="e">
        <f>VLOOKUP(A1,POsData!$A$1:$DZU$1000000,3125,FALSE)</f>
        <v>#N/A</v>
      </c>
      <c r="N184" s="1" t="e">
        <f>VLOOKUP(A1,POsData!$A$1:$DZU$1000000,3126,FALSE)</f>
        <v>#N/A</v>
      </c>
      <c r="O184" s="1" t="e">
        <f>VLOOKUP(A1,POsData!$A$1:$DZU$1000000,3127,FALSE)</f>
        <v>#N/A</v>
      </c>
      <c r="P184" s="1" t="e">
        <f>VLOOKUP(A1,POsData!$A$1:$DZU$1000000,3128,FALSE)</f>
        <v>#N/A</v>
      </c>
      <c r="Q184" s="101" t="e">
        <f>VLOOKUP(A1,POsData!$A$1:$DZU$1000000,3129,FALSE)</f>
        <v>#N/A</v>
      </c>
    </row>
    <row r="185" spans="1:17" x14ac:dyDescent="0.35">
      <c r="A185" s="113" t="e">
        <f>VLOOKUP(A1,POsData!$A$1:$DZU$1000000,3130,FALSE)</f>
        <v>#N/A</v>
      </c>
      <c r="B185" s="1" t="e">
        <f>VLOOKUP(A1,POsData!$A$1:$DZU$1000000,3131,FALSE)</f>
        <v>#N/A</v>
      </c>
      <c r="C185" s="1" t="e">
        <f>VLOOKUP(A1,POsData!$A$1:$DZU$1000000,3132,FALSE)</f>
        <v>#N/A</v>
      </c>
      <c r="D185" s="1" t="e">
        <f>VLOOKUP(A1,POsData!$A$1:$DZU$1000000,3133,FALSE)</f>
        <v>#N/A</v>
      </c>
      <c r="E185" s="1" t="e">
        <f>VLOOKUP(A1,POsData!$A$1:$DZU$1000000,3134,FALSE)</f>
        <v>#N/A</v>
      </c>
      <c r="F185" s="1" t="e">
        <f>VLOOKUP(A1,POsData!$A$1:$DZU$1000000,3135,FALSE)</f>
        <v>#N/A</v>
      </c>
      <c r="G185" s="1" t="e">
        <f>VLOOKUP(A1,POsData!$A$1:$DZU$1000000,3136,FALSE)</f>
        <v>#N/A</v>
      </c>
      <c r="H185" s="1" t="e">
        <f>VLOOKUP(A1,POsData!$A$1:$DZU$1000000,3137,FALSE)</f>
        <v>#N/A</v>
      </c>
      <c r="I185" s="1" t="e">
        <f>VLOOKUP(A1,POsData!$A$1:$DZU$1000000,3138,FALSE)</f>
        <v>#N/A</v>
      </c>
      <c r="J185" s="1" t="e">
        <f>VLOOKUP(A1,POsData!$A$1:$DZU$1000000,3139,FALSE)</f>
        <v>#N/A</v>
      </c>
      <c r="K185" s="1" t="e">
        <f>VLOOKUP(A1,POsData!$A$1:$DZU$1000000,3140,FALSE)</f>
        <v>#N/A</v>
      </c>
      <c r="L185" s="1" t="e">
        <f>VLOOKUP(A1,POsData!$A$1:$DZU$1000000,3141,FALSE)</f>
        <v>#N/A</v>
      </c>
      <c r="M185" s="1" t="e">
        <f>VLOOKUP(A1,POsData!$A$1:$DZU$1000000,3142,FALSE)</f>
        <v>#N/A</v>
      </c>
      <c r="N185" s="1" t="e">
        <f>VLOOKUP(A1,POsData!$A$1:$DZU$1000000,3143,FALSE)</f>
        <v>#N/A</v>
      </c>
      <c r="O185" s="1" t="e">
        <f>VLOOKUP(A1,POsData!$A$1:$DZU$1000000,3144,FALSE)</f>
        <v>#N/A</v>
      </c>
      <c r="P185" s="1" t="e">
        <f>VLOOKUP(A1,POsData!$A$1:$DZU$1000000,3145,FALSE)</f>
        <v>#N/A</v>
      </c>
      <c r="Q185" s="101" t="e">
        <f>VLOOKUP(A1,POsData!$A$1:$DZU$1000000,3146,FALSE)</f>
        <v>#N/A</v>
      </c>
    </row>
    <row r="186" spans="1:17" x14ac:dyDescent="0.35">
      <c r="A186" s="113" t="e">
        <f>VLOOKUP(A1,POsData!$A$1:$DZU$1000000,3147,FALSE)</f>
        <v>#N/A</v>
      </c>
      <c r="B186" s="1" t="e">
        <f>VLOOKUP(A1,POsData!$A$1:$DZU$1000000,3148,FALSE)</f>
        <v>#N/A</v>
      </c>
      <c r="C186" s="1" t="e">
        <f>VLOOKUP(A1,POsData!$A$1:$DZU$1000000,3149,FALSE)</f>
        <v>#N/A</v>
      </c>
      <c r="D186" s="1" t="e">
        <f>VLOOKUP(A1,POsData!$A$1:$DZU$1000000,3150,FALSE)</f>
        <v>#N/A</v>
      </c>
      <c r="E186" s="1" t="e">
        <f>VLOOKUP(A1,POsData!$A$1:$DZU$1000000,3151,FALSE)</f>
        <v>#N/A</v>
      </c>
      <c r="F186" s="1" t="e">
        <f>VLOOKUP(A1,POsData!$A$1:$DZU$1000000,3152,FALSE)</f>
        <v>#N/A</v>
      </c>
      <c r="G186" s="1" t="e">
        <f>VLOOKUP(A1,POsData!$A$1:$DZU$1000000,3153,FALSE)</f>
        <v>#N/A</v>
      </c>
      <c r="H186" s="1" t="e">
        <f>VLOOKUP(A1,POsData!$A$1:$DZU$1000000,3154,FALSE)</f>
        <v>#N/A</v>
      </c>
      <c r="I186" s="1" t="e">
        <f>VLOOKUP(A1,POsData!$A$1:$DZU$1000000,3155,FALSE)</f>
        <v>#N/A</v>
      </c>
      <c r="J186" s="1" t="e">
        <f>VLOOKUP(A1,POsData!$A$1:$DZU$1000000,3156,FALSE)</f>
        <v>#N/A</v>
      </c>
      <c r="K186" s="1" t="e">
        <f>VLOOKUP(A1,POsData!$A$1:$DZU$1000000,3157,FALSE)</f>
        <v>#N/A</v>
      </c>
      <c r="L186" s="1" t="e">
        <f>VLOOKUP(A1,POsData!$A$1:$DZU$1000000,3158,FALSE)</f>
        <v>#N/A</v>
      </c>
      <c r="M186" s="1" t="e">
        <f>VLOOKUP(A1,POsData!$A$1:$DZU$1000000,3159,FALSE)</f>
        <v>#N/A</v>
      </c>
      <c r="N186" s="1" t="e">
        <f>VLOOKUP(A1,POsData!$A$1:$DZU$1000000,3160,FALSE)</f>
        <v>#N/A</v>
      </c>
      <c r="O186" s="1" t="e">
        <f>VLOOKUP(A1,POsData!$A$1:$DZU$1000000,3161,FALSE)</f>
        <v>#N/A</v>
      </c>
      <c r="P186" s="1" t="e">
        <f>VLOOKUP(A1,POsData!$A$1:$DZU$1000000,3162,FALSE)</f>
        <v>#N/A</v>
      </c>
      <c r="Q186" s="101" t="e">
        <f>VLOOKUP(A1,POsData!$A$1:$DZU$1000000,3163,FALSE)</f>
        <v>#N/A</v>
      </c>
    </row>
    <row r="187" spans="1:17" x14ac:dyDescent="0.35">
      <c r="A187" s="113" t="e">
        <f>VLOOKUP(A1,POsData!$A$1:$DZU$1000000,3164,FALSE)</f>
        <v>#N/A</v>
      </c>
      <c r="B187" s="1" t="e">
        <f>VLOOKUP(A1,POsData!$A$1:$DZU$1000000,3165,FALSE)</f>
        <v>#N/A</v>
      </c>
      <c r="C187" s="1" t="e">
        <f>VLOOKUP(A1,POsData!$A$1:$DZU$1000000,3166,FALSE)</f>
        <v>#N/A</v>
      </c>
      <c r="D187" s="1" t="e">
        <f>VLOOKUP(A1,POsData!$A$1:$DZU$1000000,3167,FALSE)</f>
        <v>#N/A</v>
      </c>
      <c r="E187" s="1" t="e">
        <f>VLOOKUP(A1,POsData!$A$1:$DZU$1000000,3168,FALSE)</f>
        <v>#N/A</v>
      </c>
      <c r="F187" s="1" t="e">
        <f>VLOOKUP(A1,POsData!$A$1:$DZU$1000000,3169,FALSE)</f>
        <v>#N/A</v>
      </c>
      <c r="G187" s="1" t="e">
        <f>VLOOKUP(A1,POsData!$A$1:$DZU$1000000,3170,FALSE)</f>
        <v>#N/A</v>
      </c>
      <c r="H187" s="1" t="e">
        <f>VLOOKUP(A1,POsData!$A$1:$DZU$1000000,3171,FALSE)</f>
        <v>#N/A</v>
      </c>
      <c r="I187" s="1" t="e">
        <f>VLOOKUP(A1,POsData!$A$1:$DZU$1000000,3172,FALSE)</f>
        <v>#N/A</v>
      </c>
      <c r="J187" s="1" t="e">
        <f>VLOOKUP(A1,POsData!$A$1:$DZU$1000000,3173,FALSE)</f>
        <v>#N/A</v>
      </c>
      <c r="K187" s="1" t="e">
        <f>VLOOKUP(A1,POsData!$A$1:$DZU$1000000,3174,FALSE)</f>
        <v>#N/A</v>
      </c>
      <c r="L187" s="1" t="e">
        <f>VLOOKUP(A1,POsData!$A$1:$DZU$1000000,3175,FALSE)</f>
        <v>#N/A</v>
      </c>
      <c r="M187" s="1" t="e">
        <f>VLOOKUP(A1,POsData!$A$1:$DZU$1000000,3176,FALSE)</f>
        <v>#N/A</v>
      </c>
      <c r="N187" s="1" t="e">
        <f>VLOOKUP(A1,POsData!$A$1:$DZU$1000000,3177,FALSE)</f>
        <v>#N/A</v>
      </c>
      <c r="O187" s="1" t="e">
        <f>VLOOKUP(A1,POsData!$A$1:$DZU$1000000,3178,FALSE)</f>
        <v>#N/A</v>
      </c>
      <c r="P187" s="1" t="e">
        <f>VLOOKUP(A1,POsData!$A$1:$DZU$1000000,3179,FALSE)</f>
        <v>#N/A</v>
      </c>
      <c r="Q187" s="101" t="e">
        <f>VLOOKUP(A1,POsData!$A$1:$DZU$1000000,3180,FALSE)</f>
        <v>#N/A</v>
      </c>
    </row>
    <row r="188" spans="1:17" x14ac:dyDescent="0.35">
      <c r="A188" s="113" t="e">
        <f>VLOOKUP(A1,POsData!$A$1:$DZU$1000000,3181,FALSE)</f>
        <v>#N/A</v>
      </c>
      <c r="B188" s="1" t="e">
        <f>VLOOKUP(A1,POsData!$A$1:$DZU$1000000,3182,FALSE)</f>
        <v>#N/A</v>
      </c>
      <c r="C188" s="1" t="e">
        <f>VLOOKUP(A1,POsData!$A$1:$DZU$1000000,3183,FALSE)</f>
        <v>#N/A</v>
      </c>
      <c r="D188" s="1" t="e">
        <f>VLOOKUP(A1,POsData!$A$1:$DZU$1000000,3184,FALSE)</f>
        <v>#N/A</v>
      </c>
      <c r="E188" s="1" t="e">
        <f>VLOOKUP(A1,POsData!$A$1:$DZU$1000000,3185,FALSE)</f>
        <v>#N/A</v>
      </c>
      <c r="F188" s="1" t="e">
        <f>VLOOKUP(A1,POsData!$A$1:$DZU$1000000,3186,FALSE)</f>
        <v>#N/A</v>
      </c>
      <c r="G188" s="1" t="e">
        <f>VLOOKUP(A1,POsData!$A$1:$DZU$1000000,3187,FALSE)</f>
        <v>#N/A</v>
      </c>
      <c r="H188" s="1" t="e">
        <f>VLOOKUP(A1,POsData!$A$1:$DZU$1000000,3188,FALSE)</f>
        <v>#N/A</v>
      </c>
      <c r="I188" s="1" t="e">
        <f>VLOOKUP(A1,POsData!$A$1:$DZU$1000000,3189,FALSE)</f>
        <v>#N/A</v>
      </c>
      <c r="J188" s="1" t="e">
        <f>VLOOKUP(A1,POsData!$A$1:$DZU$1000000,3190,FALSE)</f>
        <v>#N/A</v>
      </c>
      <c r="K188" s="1" t="e">
        <f>VLOOKUP(A1,POsData!$A$1:$DZU$1000000,3191,FALSE)</f>
        <v>#N/A</v>
      </c>
      <c r="L188" s="1" t="e">
        <f>VLOOKUP(A1,POsData!$A$1:$DZU$1000000,3192,FALSE)</f>
        <v>#N/A</v>
      </c>
      <c r="M188" s="1" t="e">
        <f>VLOOKUP(A1,POsData!$A$1:$DZU$1000000,3193,FALSE)</f>
        <v>#N/A</v>
      </c>
      <c r="N188" s="1" t="e">
        <f>VLOOKUP(A1,POsData!$A$1:$DZU$1000000,3194,FALSE)</f>
        <v>#N/A</v>
      </c>
      <c r="O188" s="1" t="e">
        <f>VLOOKUP(A1,POsData!$A$1:$DZU$1000000,3195,FALSE)</f>
        <v>#N/A</v>
      </c>
      <c r="P188" s="1" t="e">
        <f>VLOOKUP(A1,POsData!$A$1:$DZU$1000000,3196,FALSE)</f>
        <v>#N/A</v>
      </c>
      <c r="Q188" s="101" t="e">
        <f>VLOOKUP(A1,POsData!$A$1:$DZU$1000000,3197,FALSE)</f>
        <v>#N/A</v>
      </c>
    </row>
    <row r="189" spans="1:17" x14ac:dyDescent="0.35">
      <c r="A189" s="113" t="e">
        <f>VLOOKUP(A1,POsData!$A$1:$DZU$1000000,3198,FALSE)</f>
        <v>#N/A</v>
      </c>
      <c r="B189" s="1" t="e">
        <f>VLOOKUP(A1,POsData!$A$1:$DZU$1000000,3199,FALSE)</f>
        <v>#N/A</v>
      </c>
      <c r="C189" s="1" t="e">
        <f>VLOOKUP(A1,POsData!$A$1:$DZU$1000000,3200,FALSE)</f>
        <v>#N/A</v>
      </c>
      <c r="D189" s="1" t="e">
        <f>VLOOKUP(A1,POsData!$A$1:$DZU$1000000,3201,FALSE)</f>
        <v>#N/A</v>
      </c>
      <c r="E189" s="1" t="e">
        <f>VLOOKUP(A1,POsData!$A$1:$DZU$1000000,3202,FALSE)</f>
        <v>#N/A</v>
      </c>
      <c r="F189" s="1" t="e">
        <f>VLOOKUP(A1,POsData!$A$1:$DZU$1000000,3203,FALSE)</f>
        <v>#N/A</v>
      </c>
      <c r="G189" s="1" t="e">
        <f>VLOOKUP(A1,POsData!$A$1:$DZU$1000000,3204,FALSE)</f>
        <v>#N/A</v>
      </c>
      <c r="H189" s="1" t="e">
        <f>VLOOKUP(A1,POsData!$A$1:$DZU$1000000,3205,FALSE)</f>
        <v>#N/A</v>
      </c>
      <c r="I189" s="1" t="e">
        <f>VLOOKUP(A1,POsData!$A$1:$DZU$1000000,3206,FALSE)</f>
        <v>#N/A</v>
      </c>
      <c r="J189" s="1" t="e">
        <f>VLOOKUP(A1,POsData!$A$1:$DZU$1000000,3207,FALSE)</f>
        <v>#N/A</v>
      </c>
      <c r="K189" s="1" t="e">
        <f>VLOOKUP(A1,POsData!$A$1:$DZU$1000000,3208,FALSE)</f>
        <v>#N/A</v>
      </c>
      <c r="L189" s="1" t="e">
        <f>VLOOKUP(A1,POsData!$A$1:$DZU$1000000,3209,FALSE)</f>
        <v>#N/A</v>
      </c>
      <c r="M189" s="1" t="e">
        <f>VLOOKUP(A1,POsData!$A$1:$DZU$1000000,3210,FALSE)</f>
        <v>#N/A</v>
      </c>
      <c r="N189" s="1" t="e">
        <f>VLOOKUP(A1,POsData!$A$1:$DZU$1000000,3211,FALSE)</f>
        <v>#N/A</v>
      </c>
      <c r="O189" s="1" t="e">
        <f>VLOOKUP(A1,POsData!$A$1:$DZU$1000000,3212,FALSE)</f>
        <v>#N/A</v>
      </c>
      <c r="P189" s="1" t="e">
        <f>VLOOKUP(A1,POsData!$A$1:$DZU$1000000,3213,FALSE)</f>
        <v>#N/A</v>
      </c>
      <c r="Q189" s="101" t="e">
        <f>VLOOKUP(A1,POsData!$A$1:$DZU$1000000,3214,FALSE)</f>
        <v>#N/A</v>
      </c>
    </row>
    <row r="190" spans="1:17" x14ac:dyDescent="0.35">
      <c r="A190" s="113" t="e">
        <f>VLOOKUP(A1,POsData!$A$1:$DZU$1000000,3215,FALSE)</f>
        <v>#N/A</v>
      </c>
      <c r="B190" s="1" t="e">
        <f>VLOOKUP(A1,POsData!$A$1:$DZU$1000000,3216,FALSE)</f>
        <v>#N/A</v>
      </c>
      <c r="C190" s="1" t="e">
        <f>VLOOKUP(A1,POsData!$A$1:$DZU$1000000,3217,FALSE)</f>
        <v>#N/A</v>
      </c>
      <c r="D190" s="1" t="e">
        <f>VLOOKUP(A1,POsData!$A$1:$DZU$1000000,3218,FALSE)</f>
        <v>#N/A</v>
      </c>
      <c r="E190" s="1" t="e">
        <f>VLOOKUP(A1,POsData!$A$1:$DZU$1000000,3219,FALSE)</f>
        <v>#N/A</v>
      </c>
      <c r="F190" s="1" t="e">
        <f>VLOOKUP(A1,POsData!$A$1:$DZU$1000000,3220,FALSE)</f>
        <v>#N/A</v>
      </c>
      <c r="G190" s="1" t="e">
        <f>VLOOKUP(A1,POsData!$A$1:$DZU$1000000,3221,FALSE)</f>
        <v>#N/A</v>
      </c>
      <c r="H190" s="1" t="e">
        <f>VLOOKUP(A1,POsData!$A$1:$DZU$1000000,3222,FALSE)</f>
        <v>#N/A</v>
      </c>
      <c r="I190" s="1" t="e">
        <f>VLOOKUP(A1,POsData!$A$1:$DZU$1000000,3223,FALSE)</f>
        <v>#N/A</v>
      </c>
      <c r="J190" s="1" t="e">
        <f>VLOOKUP(A1,POsData!$A$1:$DZU$1000000,3224,FALSE)</f>
        <v>#N/A</v>
      </c>
      <c r="K190" s="1" t="e">
        <f>VLOOKUP(A1,POsData!$A$1:$DZU$1000000,3225,FALSE)</f>
        <v>#N/A</v>
      </c>
      <c r="L190" s="1" t="e">
        <f>VLOOKUP(A1,POsData!$A$1:$DZU$1000000,3226,FALSE)</f>
        <v>#N/A</v>
      </c>
      <c r="M190" s="1" t="e">
        <f>VLOOKUP(A1,POsData!$A$1:$DZU$1000000,3227,FALSE)</f>
        <v>#N/A</v>
      </c>
      <c r="N190" s="1" t="e">
        <f>VLOOKUP(A1,POsData!$A$1:$DZU$1000000,3228,FALSE)</f>
        <v>#N/A</v>
      </c>
      <c r="O190" s="1" t="e">
        <f>VLOOKUP(A1,POsData!$A$1:$DZU$1000000,3229,FALSE)</f>
        <v>#N/A</v>
      </c>
      <c r="P190" s="1" t="e">
        <f>VLOOKUP(A1,POsData!$A$1:$DZU$1000000,3230,FALSE)</f>
        <v>#N/A</v>
      </c>
      <c r="Q190" s="101" t="e">
        <f>VLOOKUP(A1,POsData!$A$1:$DZU$1000000,3231,FALSE)</f>
        <v>#N/A</v>
      </c>
    </row>
    <row r="191" spans="1:17" x14ac:dyDescent="0.35">
      <c r="A191" s="113" t="e">
        <f>VLOOKUP(A1,POsData!$A$1:$DZU$1000000,3232,FALSE)</f>
        <v>#N/A</v>
      </c>
      <c r="B191" s="1" t="e">
        <f>VLOOKUP(A1,POsData!$A$1:$DZU$1000000,3233,FALSE)</f>
        <v>#N/A</v>
      </c>
      <c r="C191" s="1" t="e">
        <f>VLOOKUP(A1,POsData!$A$1:$DZU$1000000,3234,FALSE)</f>
        <v>#N/A</v>
      </c>
      <c r="D191" s="1" t="e">
        <f>VLOOKUP(A1,POsData!$A$1:$DZU$1000000,3235,FALSE)</f>
        <v>#N/A</v>
      </c>
      <c r="E191" s="1" t="e">
        <f>VLOOKUP(A1,POsData!$A$1:$DZU$1000000,3236,FALSE)</f>
        <v>#N/A</v>
      </c>
      <c r="F191" s="1" t="e">
        <f>VLOOKUP(A1,POsData!$A$1:$DZU$1000000,3237,FALSE)</f>
        <v>#N/A</v>
      </c>
      <c r="G191" s="1" t="e">
        <f>VLOOKUP(A1,POsData!$A$1:$DZU$1000000,3238,FALSE)</f>
        <v>#N/A</v>
      </c>
      <c r="H191" s="1" t="e">
        <f>VLOOKUP(A1,POsData!$A$1:$DZU$1000000,3239,FALSE)</f>
        <v>#N/A</v>
      </c>
      <c r="I191" s="1" t="e">
        <f>VLOOKUP(A1,POsData!$A$1:$DZU$1000000,3240,FALSE)</f>
        <v>#N/A</v>
      </c>
      <c r="J191" s="1" t="e">
        <f>VLOOKUP(A1,POsData!$A$1:$DZU$1000000,3241,FALSE)</f>
        <v>#N/A</v>
      </c>
      <c r="K191" s="1" t="e">
        <f>VLOOKUP(A1,POsData!$A$1:$DZU$1000000,3242,FALSE)</f>
        <v>#N/A</v>
      </c>
      <c r="L191" s="1" t="e">
        <f>VLOOKUP(A1,POsData!$A$1:$DZU$1000000,3243,FALSE)</f>
        <v>#N/A</v>
      </c>
      <c r="M191" s="1" t="e">
        <f>VLOOKUP(A1,POsData!$A$1:$DZU$1000000,3244,FALSE)</f>
        <v>#N/A</v>
      </c>
      <c r="N191" s="1" t="e">
        <f>VLOOKUP(A1,POsData!$A$1:$DZU$1000000,3245,FALSE)</f>
        <v>#N/A</v>
      </c>
      <c r="O191" s="1" t="e">
        <f>VLOOKUP(A1,POsData!$A$1:$DZU$1000000,3246,FALSE)</f>
        <v>#N/A</v>
      </c>
      <c r="P191" s="1" t="e">
        <f>VLOOKUP(A1,POsData!$A$1:$DZU$1000000,3247,FALSE)</f>
        <v>#N/A</v>
      </c>
      <c r="Q191" s="101" t="e">
        <f>VLOOKUP(A1,POsData!$A$1:$DZU$1000000,3248,FALSE)</f>
        <v>#N/A</v>
      </c>
    </row>
    <row r="192" spans="1:17" x14ac:dyDescent="0.35">
      <c r="A192" s="113" t="e">
        <f>VLOOKUP(A1,POsData!$A$1:$DZU$1000000,3249,FALSE)</f>
        <v>#N/A</v>
      </c>
      <c r="B192" s="1" t="e">
        <f>VLOOKUP(A1,POsData!$A$1:$DZU$1000000,3250,FALSE)</f>
        <v>#N/A</v>
      </c>
      <c r="C192" s="1" t="e">
        <f>VLOOKUP(A1,POsData!$A$1:$DZU$1000000,3251,FALSE)</f>
        <v>#N/A</v>
      </c>
      <c r="D192" s="1" t="e">
        <f>VLOOKUP(A1,POsData!$A$1:$DZU$1000000,3252,FALSE)</f>
        <v>#N/A</v>
      </c>
      <c r="E192" s="1" t="e">
        <f>VLOOKUP(A1,POsData!$A$1:$DZU$1000000,3253,FALSE)</f>
        <v>#N/A</v>
      </c>
      <c r="F192" s="1" t="e">
        <f>VLOOKUP(A1,POsData!$A$1:$DZU$1000000,3254,FALSE)</f>
        <v>#N/A</v>
      </c>
      <c r="G192" s="1" t="e">
        <f>VLOOKUP(A1,POsData!$A$1:$DZU$1000000,3255,FALSE)</f>
        <v>#N/A</v>
      </c>
      <c r="H192" s="1" t="e">
        <f>VLOOKUP(A1,POsData!$A$1:$DZU$1000000,3256,FALSE)</f>
        <v>#N/A</v>
      </c>
      <c r="I192" s="1" t="e">
        <f>VLOOKUP(A1,POsData!$A$1:$DZU$1000000,3257,FALSE)</f>
        <v>#N/A</v>
      </c>
      <c r="J192" s="1" t="e">
        <f>VLOOKUP(A1,POsData!$A$1:$DZU$1000000,3258,FALSE)</f>
        <v>#N/A</v>
      </c>
      <c r="K192" s="1" t="e">
        <f>VLOOKUP(A1,POsData!$A$1:$DZU$1000000,3259,FALSE)</f>
        <v>#N/A</v>
      </c>
      <c r="L192" s="1" t="e">
        <f>VLOOKUP(A1,POsData!$A$1:$DZU$1000000,3260,FALSE)</f>
        <v>#N/A</v>
      </c>
      <c r="M192" s="1" t="e">
        <f>VLOOKUP(A1,POsData!$A$1:$DZU$1000000,3261,FALSE)</f>
        <v>#N/A</v>
      </c>
      <c r="N192" s="1" t="e">
        <f>VLOOKUP(A1,POsData!$A$1:$DZU$1000000,3262,FALSE)</f>
        <v>#N/A</v>
      </c>
      <c r="O192" s="1" t="e">
        <f>VLOOKUP(A1,POsData!$A$1:$DZU$1000000,3263,FALSE)</f>
        <v>#N/A</v>
      </c>
      <c r="P192" s="1" t="e">
        <f>VLOOKUP(A1,POsData!$A$1:$DZU$1000000,3264,FALSE)</f>
        <v>#N/A</v>
      </c>
      <c r="Q192" s="101" t="e">
        <f>VLOOKUP(A1,POsData!$A$1:$DZU$1000000,3265,FALSE)</f>
        <v>#N/A</v>
      </c>
    </row>
    <row r="193" spans="1:17" x14ac:dyDescent="0.35">
      <c r="A193" s="113" t="e">
        <f>VLOOKUP(A1,POsData!$A$1:$DZU$1000000,3266,FALSE)</f>
        <v>#N/A</v>
      </c>
      <c r="B193" s="1" t="e">
        <f>VLOOKUP(A1,POsData!$A$1:$DZU$1000000,3267,FALSE)</f>
        <v>#N/A</v>
      </c>
      <c r="C193" s="1" t="e">
        <f>VLOOKUP(A1,POsData!$A$1:$DZU$1000000,3268,FALSE)</f>
        <v>#N/A</v>
      </c>
      <c r="D193" s="1" t="e">
        <f>VLOOKUP(A1,POsData!$A$1:$DZU$1000000,3269,FALSE)</f>
        <v>#N/A</v>
      </c>
      <c r="E193" s="1" t="e">
        <f>VLOOKUP(A1,POsData!$A$1:$DZU$1000000,3270,FALSE)</f>
        <v>#N/A</v>
      </c>
      <c r="F193" s="1" t="e">
        <f>VLOOKUP(A1,POsData!$A$1:$DZU$1000000,3271,FALSE)</f>
        <v>#N/A</v>
      </c>
      <c r="G193" s="1" t="e">
        <f>VLOOKUP(A1,POsData!$A$1:$DZU$1000000,3272,FALSE)</f>
        <v>#N/A</v>
      </c>
      <c r="H193" s="1" t="e">
        <f>VLOOKUP(A1,POsData!$A$1:$DZU$1000000,3273,FALSE)</f>
        <v>#N/A</v>
      </c>
      <c r="I193" s="1" t="e">
        <f>VLOOKUP(A1,POsData!$A$1:$DZU$1000000,3274,FALSE)</f>
        <v>#N/A</v>
      </c>
      <c r="J193" s="1" t="e">
        <f>VLOOKUP(A1,POsData!$A$1:$DZU$1000000,3275,FALSE)</f>
        <v>#N/A</v>
      </c>
      <c r="K193" s="1" t="e">
        <f>VLOOKUP(A1,POsData!$A$1:$DZU$1000000,3276,FALSE)</f>
        <v>#N/A</v>
      </c>
      <c r="L193" s="1" t="e">
        <f>VLOOKUP(A1,POsData!$A$1:$DZU$1000000,3277,FALSE)</f>
        <v>#N/A</v>
      </c>
      <c r="M193" s="1" t="e">
        <f>VLOOKUP(A1,POsData!$A$1:$DZU$1000000,3278,FALSE)</f>
        <v>#N/A</v>
      </c>
      <c r="N193" s="1" t="e">
        <f>VLOOKUP(A1,POsData!$A$1:$DZU$1000000,3279,FALSE)</f>
        <v>#N/A</v>
      </c>
      <c r="O193" s="1" t="e">
        <f>VLOOKUP(A1,POsData!$A$1:$DZU$1000000,3280,FALSE)</f>
        <v>#N/A</v>
      </c>
      <c r="P193" s="1" t="e">
        <f>VLOOKUP(A1,POsData!$A$1:$DZU$1000000,3281,FALSE)</f>
        <v>#N/A</v>
      </c>
      <c r="Q193" s="101" t="e">
        <f>VLOOKUP(A1,POsData!$A$1:$DZU$1000000,3282,FALSE)</f>
        <v>#N/A</v>
      </c>
    </row>
    <row r="194" spans="1:17" x14ac:dyDescent="0.35">
      <c r="A194" s="113" t="e">
        <f>VLOOKUP(A1,POsData!$A$1:$DZU$1000000,3283,FALSE)</f>
        <v>#N/A</v>
      </c>
      <c r="B194" s="1" t="e">
        <f>VLOOKUP(A1,POsData!$A$1:$DZU$1000000,3284,FALSE)</f>
        <v>#N/A</v>
      </c>
      <c r="C194" s="1" t="e">
        <f>VLOOKUP(A1,POsData!$A$1:$DZU$1000000,3285,FALSE)</f>
        <v>#N/A</v>
      </c>
      <c r="D194" s="1" t="e">
        <f>VLOOKUP(A1,POsData!$A$1:$DZU$1000000,3286,FALSE)</f>
        <v>#N/A</v>
      </c>
      <c r="E194" s="1" t="e">
        <f>VLOOKUP(A1,POsData!$A$1:$DZU$1000000,3287,FALSE)</f>
        <v>#N/A</v>
      </c>
      <c r="F194" s="1" t="e">
        <f>VLOOKUP(A1,POsData!$A$1:$DZU$1000000,3288,FALSE)</f>
        <v>#N/A</v>
      </c>
      <c r="G194" s="1" t="e">
        <f>VLOOKUP(A1,POsData!$A$1:$DZU$1000000,3289,FALSE)</f>
        <v>#N/A</v>
      </c>
      <c r="H194" s="1" t="e">
        <f>VLOOKUP(A1,POsData!$A$1:$DZU$1000000,3290,FALSE)</f>
        <v>#N/A</v>
      </c>
      <c r="I194" s="1" t="e">
        <f>VLOOKUP(A1,POsData!$A$1:$DZU$1000000,3291,FALSE)</f>
        <v>#N/A</v>
      </c>
      <c r="J194" s="1" t="e">
        <f>VLOOKUP(A1,POsData!$A$1:$DZU$1000000,3292,FALSE)</f>
        <v>#N/A</v>
      </c>
      <c r="K194" s="1" t="e">
        <f>VLOOKUP(A1,POsData!$A$1:$DZU$1000000,3293,FALSE)</f>
        <v>#N/A</v>
      </c>
      <c r="L194" s="1" t="e">
        <f>VLOOKUP(A1,POsData!$A$1:$DZU$1000000,3294,FALSE)</f>
        <v>#N/A</v>
      </c>
      <c r="M194" s="1" t="e">
        <f>VLOOKUP(A1,POsData!$A$1:$DZU$1000000,3295,FALSE)</f>
        <v>#N/A</v>
      </c>
      <c r="N194" s="1" t="e">
        <f>VLOOKUP(A1,POsData!$A$1:$DZU$1000000,3296,FALSE)</f>
        <v>#N/A</v>
      </c>
      <c r="O194" s="1" t="e">
        <f>VLOOKUP(A1,POsData!$A$1:$DZU$1000000,3297,FALSE)</f>
        <v>#N/A</v>
      </c>
      <c r="P194" s="1" t="e">
        <f>VLOOKUP(A1,POsData!$A$1:$DZU$1000000,3298,FALSE)</f>
        <v>#N/A</v>
      </c>
      <c r="Q194" s="101" t="e">
        <f>VLOOKUP(A1,POsData!$A$1:$DZU$1000000,3299,FALSE)</f>
        <v>#N/A</v>
      </c>
    </row>
    <row r="195" spans="1:17" x14ac:dyDescent="0.35">
      <c r="A195" s="113" t="e">
        <f>VLOOKUP(A1,POsData!$A$1:$DZU$1000000,3300,FALSE)</f>
        <v>#N/A</v>
      </c>
      <c r="B195" s="1" t="e">
        <f>VLOOKUP(A1,POsData!$A$1:$DZU$1000000,3301,FALSE)</f>
        <v>#N/A</v>
      </c>
      <c r="C195" s="1" t="e">
        <f>VLOOKUP(A1,POsData!$A$1:$DZU$1000000,3302,FALSE)</f>
        <v>#N/A</v>
      </c>
      <c r="D195" s="1" t="e">
        <f>VLOOKUP(A1,POsData!$A$1:$DZU$1000000,3303,FALSE)</f>
        <v>#N/A</v>
      </c>
      <c r="E195" s="1" t="e">
        <f>VLOOKUP(A1,POsData!$A$1:$DZU$1000000,3304,FALSE)</f>
        <v>#N/A</v>
      </c>
      <c r="F195" s="1" t="e">
        <f>VLOOKUP(A1,POsData!$A$1:$DZU$1000000,3305,FALSE)</f>
        <v>#N/A</v>
      </c>
      <c r="G195" s="1" t="e">
        <f>VLOOKUP(A1,POsData!$A$1:$DZU$1000000,3306,FALSE)</f>
        <v>#N/A</v>
      </c>
      <c r="H195" s="1" t="e">
        <f>VLOOKUP(A1,POsData!$A$1:$DZU$1000000,3307,FALSE)</f>
        <v>#N/A</v>
      </c>
      <c r="I195" s="1" t="e">
        <f>VLOOKUP(A1,POsData!$A$1:$DZU$1000000,3308,FALSE)</f>
        <v>#N/A</v>
      </c>
      <c r="J195" s="1" t="e">
        <f>VLOOKUP(A1,POsData!$A$1:$DZU$1000000,3309,FALSE)</f>
        <v>#N/A</v>
      </c>
      <c r="K195" s="1" t="e">
        <f>VLOOKUP(A1,POsData!$A$1:$DZU$1000000,3310,FALSE)</f>
        <v>#N/A</v>
      </c>
      <c r="L195" s="1" t="e">
        <f>VLOOKUP(A1,POsData!$A$1:$DZU$1000000,3311,FALSE)</f>
        <v>#N/A</v>
      </c>
      <c r="M195" s="1" t="e">
        <f>VLOOKUP(A1,POsData!$A$1:$DZU$1000000,3312,FALSE)</f>
        <v>#N/A</v>
      </c>
      <c r="N195" s="1" t="e">
        <f>VLOOKUP(A1,POsData!$A$1:$DZU$1000000,3313,FALSE)</f>
        <v>#N/A</v>
      </c>
      <c r="O195" s="1" t="e">
        <f>VLOOKUP(A1,POsData!$A$1:$DZU$1000000,3314,FALSE)</f>
        <v>#N/A</v>
      </c>
      <c r="P195" s="1" t="e">
        <f>VLOOKUP(A1,POsData!$A$1:$DZU$1000000,3315,FALSE)</f>
        <v>#N/A</v>
      </c>
      <c r="Q195" s="101" t="e">
        <f>VLOOKUP(A1,POsData!$A$1:$DZU$1000000,3316,FALSE)</f>
        <v>#N/A</v>
      </c>
    </row>
    <row r="196" spans="1:17" x14ac:dyDescent="0.35">
      <c r="A196" s="113" t="e">
        <f>VLOOKUP(A1,POsData!$A$1:$DZU$1000000,3317,FALSE)</f>
        <v>#N/A</v>
      </c>
      <c r="B196" s="1" t="e">
        <f>VLOOKUP(A1,POsData!$A$1:$DZU$1000000,3318,FALSE)</f>
        <v>#N/A</v>
      </c>
      <c r="C196" s="1" t="e">
        <f>VLOOKUP(A1,POsData!$A$1:$DZU$1000000,3319,FALSE)</f>
        <v>#N/A</v>
      </c>
      <c r="D196" s="1" t="e">
        <f>VLOOKUP(A1,POsData!$A$1:$DZU$1000000,3320,FALSE)</f>
        <v>#N/A</v>
      </c>
      <c r="E196" s="1" t="e">
        <f>VLOOKUP(A1,POsData!$A$1:$DZU$1000000,3321,FALSE)</f>
        <v>#N/A</v>
      </c>
      <c r="F196" s="1" t="e">
        <f>VLOOKUP(A1,POsData!$A$1:$DZU$1000000,3322,FALSE)</f>
        <v>#N/A</v>
      </c>
      <c r="G196" s="1" t="e">
        <f>VLOOKUP(A1,POsData!$A$1:$DZU$1000000,3323,FALSE)</f>
        <v>#N/A</v>
      </c>
      <c r="H196" s="1" t="e">
        <f>VLOOKUP(A1,POsData!$A$1:$DZU$1000000,3324,FALSE)</f>
        <v>#N/A</v>
      </c>
      <c r="I196" s="1" t="e">
        <f>VLOOKUP(A1,POsData!$A$1:$DZU$1000000,3325,FALSE)</f>
        <v>#N/A</v>
      </c>
      <c r="J196" s="1" t="e">
        <f>VLOOKUP(A1,POsData!$A$1:$DZU$1000000,3326,FALSE)</f>
        <v>#N/A</v>
      </c>
      <c r="K196" s="1" t="e">
        <f>VLOOKUP(A1,POsData!$A$1:$DZU$1000000,3327,FALSE)</f>
        <v>#N/A</v>
      </c>
      <c r="L196" s="1" t="e">
        <f>VLOOKUP(A1,POsData!$A$1:$DZU$1000000,3328,FALSE)</f>
        <v>#N/A</v>
      </c>
      <c r="M196" s="1" t="e">
        <f>VLOOKUP(A1,POsData!$A$1:$DZU$1000000,3329,FALSE)</f>
        <v>#N/A</v>
      </c>
      <c r="N196" s="1" t="e">
        <f>VLOOKUP(A1,POsData!$A$1:$DZU$1000000,3330,FALSE)</f>
        <v>#N/A</v>
      </c>
      <c r="O196" s="1" t="e">
        <f>VLOOKUP(A1,POsData!$A$1:$DZU$1000000,3331,FALSE)</f>
        <v>#N/A</v>
      </c>
      <c r="P196" s="1" t="e">
        <f>VLOOKUP(A1,POsData!$A$1:$DZU$1000000,3332,FALSE)</f>
        <v>#N/A</v>
      </c>
      <c r="Q196" s="101" t="e">
        <f>VLOOKUP(A1,POsData!$A$1:$DZU$1000000,3333,FALSE)</f>
        <v>#N/A</v>
      </c>
    </row>
    <row r="197" spans="1:17" x14ac:dyDescent="0.35">
      <c r="A197" s="113" t="e">
        <f>VLOOKUP(A1,POsData!$A$1:$DZU$1000000,3334,FALSE)</f>
        <v>#N/A</v>
      </c>
      <c r="B197" s="1" t="e">
        <f>VLOOKUP(A1,POsData!$A$1:$DZU$1000000,3335,FALSE)</f>
        <v>#N/A</v>
      </c>
      <c r="C197" s="1" t="e">
        <f>VLOOKUP(A1,POsData!$A$1:$DZU$1000000,3336,FALSE)</f>
        <v>#N/A</v>
      </c>
      <c r="D197" s="1" t="e">
        <f>VLOOKUP(A1,POsData!$A$1:$DZU$1000000,3337,FALSE)</f>
        <v>#N/A</v>
      </c>
      <c r="E197" s="1" t="e">
        <f>VLOOKUP(A1,POsData!$A$1:$DZU$1000000,3338,FALSE)</f>
        <v>#N/A</v>
      </c>
      <c r="F197" s="1" t="e">
        <f>VLOOKUP(A1,POsData!$A$1:$DZU$1000000,3339,FALSE)</f>
        <v>#N/A</v>
      </c>
      <c r="G197" s="1" t="e">
        <f>VLOOKUP(A1,POsData!$A$1:$DZU$1000000,3340,FALSE)</f>
        <v>#N/A</v>
      </c>
      <c r="H197" s="1" t="e">
        <f>VLOOKUP(A1,POsData!$A$1:$DZU$1000000,3341,FALSE)</f>
        <v>#N/A</v>
      </c>
      <c r="I197" s="1" t="e">
        <f>VLOOKUP(A1,POsData!$A$1:$DZU$1000000,3342,FALSE)</f>
        <v>#N/A</v>
      </c>
      <c r="J197" s="1" t="e">
        <f>VLOOKUP(A1,POsData!$A$1:$DZU$1000000,3343,FALSE)</f>
        <v>#N/A</v>
      </c>
      <c r="K197" s="1" t="e">
        <f>VLOOKUP(A1,POsData!$A$1:$DZU$1000000,3344,FALSE)</f>
        <v>#N/A</v>
      </c>
      <c r="L197" s="1" t="e">
        <f>VLOOKUP(A1,POsData!$A$1:$DZU$1000000,3345,FALSE)</f>
        <v>#N/A</v>
      </c>
      <c r="M197" s="1" t="e">
        <f>VLOOKUP(A1,POsData!$A$1:$DZU$1000000,3346,FALSE)</f>
        <v>#N/A</v>
      </c>
      <c r="N197" s="1" t="e">
        <f>VLOOKUP(A1,POsData!$A$1:$DZU$1000000,3347,FALSE)</f>
        <v>#N/A</v>
      </c>
      <c r="O197" s="1" t="e">
        <f>VLOOKUP(A1,POsData!$A$1:$DZU$1000000,3348,FALSE)</f>
        <v>#N/A</v>
      </c>
      <c r="P197" s="1" t="e">
        <f>VLOOKUP(A1,POsData!$A$1:$DZU$1000000,3349,FALSE)</f>
        <v>#N/A</v>
      </c>
      <c r="Q197" s="101" t="e">
        <f>VLOOKUP(A1,POsData!$A$1:$DZU$1000000,3350,FALSE)</f>
        <v>#N/A</v>
      </c>
    </row>
    <row r="198" spans="1:17" x14ac:dyDescent="0.35">
      <c r="A198" s="113" t="e">
        <f>VLOOKUP(A1,POsData!$A$1:$DZU$1000000,3351,FALSE)</f>
        <v>#N/A</v>
      </c>
      <c r="B198" s="1" t="e">
        <f>VLOOKUP(A1,POsData!$A$1:$DZU$1000000,3352,FALSE)</f>
        <v>#N/A</v>
      </c>
      <c r="C198" s="1" t="e">
        <f>VLOOKUP(A1,POsData!$A$1:$DZU$1000000,3353,FALSE)</f>
        <v>#N/A</v>
      </c>
      <c r="D198" s="1" t="e">
        <f>VLOOKUP(A1,POsData!$A$1:$DZU$1000000,3354,FALSE)</f>
        <v>#N/A</v>
      </c>
      <c r="E198" s="1" t="e">
        <f>VLOOKUP(A1,POsData!$A$1:$DZU$1000000,3355,FALSE)</f>
        <v>#N/A</v>
      </c>
      <c r="F198" s="1" t="e">
        <f>VLOOKUP(A1,POsData!$A$1:$DZU$1000000,3356,FALSE)</f>
        <v>#N/A</v>
      </c>
      <c r="G198" s="1" t="e">
        <f>VLOOKUP(A1,POsData!$A$1:$DZU$1000000,3357,FALSE)</f>
        <v>#N/A</v>
      </c>
      <c r="H198" s="1" t="e">
        <f>VLOOKUP(A1,POsData!$A$1:$DZU$1000000,3358,FALSE)</f>
        <v>#N/A</v>
      </c>
      <c r="I198" s="1" t="e">
        <f>VLOOKUP(A1,POsData!$A$1:$DZU$1000000,3359,FALSE)</f>
        <v>#N/A</v>
      </c>
      <c r="J198" s="1" t="e">
        <f>VLOOKUP(A1,POsData!$A$1:$DZU$1000000,3360,FALSE)</f>
        <v>#N/A</v>
      </c>
      <c r="K198" s="1" t="e">
        <f>VLOOKUP(A1,POsData!$A$1:$DZU$1000000,3361,FALSE)</f>
        <v>#N/A</v>
      </c>
      <c r="L198" s="1" t="e">
        <f>VLOOKUP(A1,POsData!$A$1:$DZU$1000000,3362,FALSE)</f>
        <v>#N/A</v>
      </c>
      <c r="M198" s="1" t="e">
        <f>VLOOKUP(A1,POsData!$A$1:$DZU$1000000,3363,FALSE)</f>
        <v>#N/A</v>
      </c>
      <c r="N198" s="1" t="e">
        <f>VLOOKUP(A1,POsData!$A$1:$DZU$1000000,3364,FALSE)</f>
        <v>#N/A</v>
      </c>
      <c r="O198" s="1" t="e">
        <f>VLOOKUP(A1,POsData!$A$1:$DZU$1000000,3365,FALSE)</f>
        <v>#N/A</v>
      </c>
      <c r="P198" s="1" t="e">
        <f>VLOOKUP(A1,POsData!$A$1:$DZU$1000000,3366,FALSE)</f>
        <v>#N/A</v>
      </c>
      <c r="Q198" s="101" t="e">
        <f>VLOOKUP(A1,POsData!$A$1:$DZU$1000000,3367,FALSE)</f>
        <v>#N/A</v>
      </c>
    </row>
    <row r="199" spans="1:17" x14ac:dyDescent="0.35">
      <c r="A199" s="113" t="e">
        <f>VLOOKUP(A1,POsData!$A$1:$DZU$1000000,3368,FALSE)</f>
        <v>#N/A</v>
      </c>
      <c r="B199" s="1" t="e">
        <f>VLOOKUP(A1,POsData!$A$1:$DZU$1000000,3369,FALSE)</f>
        <v>#N/A</v>
      </c>
      <c r="C199" s="1" t="e">
        <f>VLOOKUP(A1,POsData!$A$1:$DZU$1000000,3370,FALSE)</f>
        <v>#N/A</v>
      </c>
      <c r="D199" s="1" t="e">
        <f>VLOOKUP(A1,POsData!$A$1:$DZU$1000000,3371,FALSE)</f>
        <v>#N/A</v>
      </c>
      <c r="E199" s="1" t="e">
        <f>VLOOKUP(A1,POsData!$A$1:$DZU$1000000,3372,FALSE)</f>
        <v>#N/A</v>
      </c>
      <c r="F199" s="1" t="e">
        <f>VLOOKUP(A1,POsData!$A$1:$DZU$1000000,3373,FALSE)</f>
        <v>#N/A</v>
      </c>
      <c r="G199" s="1" t="e">
        <f>VLOOKUP(A1,POsData!$A$1:$DZU$1000000,3374,FALSE)</f>
        <v>#N/A</v>
      </c>
      <c r="H199" s="1" t="e">
        <f>VLOOKUP(A1,POsData!$A$1:$DZU$1000000,3375,FALSE)</f>
        <v>#N/A</v>
      </c>
      <c r="I199" s="1" t="e">
        <f>VLOOKUP(A1,POsData!$A$1:$DZU$1000000,3376,FALSE)</f>
        <v>#N/A</v>
      </c>
      <c r="J199" s="1" t="e">
        <f>VLOOKUP(A1,POsData!$A$1:$DZU$1000000,3377,FALSE)</f>
        <v>#N/A</v>
      </c>
      <c r="K199" s="1" t="e">
        <f>VLOOKUP(A1,POsData!$A$1:$DZU$1000000,3378,FALSE)</f>
        <v>#N/A</v>
      </c>
      <c r="L199" s="1" t="e">
        <f>VLOOKUP(A1,POsData!$A$1:$DZU$1000000,3379,FALSE)</f>
        <v>#N/A</v>
      </c>
      <c r="M199" s="1" t="e">
        <f>VLOOKUP(A1,POsData!$A$1:$DZU$1000000,3380,FALSE)</f>
        <v>#N/A</v>
      </c>
      <c r="N199" s="1" t="e">
        <f>VLOOKUP(A1,POsData!$A$1:$DZU$1000000,3381,FALSE)</f>
        <v>#N/A</v>
      </c>
      <c r="O199" s="1" t="e">
        <f>VLOOKUP(A1,POsData!$A$1:$DZU$1000000,3382,FALSE)</f>
        <v>#N/A</v>
      </c>
      <c r="P199" s="1" t="e">
        <f>VLOOKUP(A1,POsData!$A$1:$DZU$1000000,3383,FALSE)</f>
        <v>#N/A</v>
      </c>
      <c r="Q199" s="101" t="e">
        <f>VLOOKUP(A1,POsData!$A$1:$DZU$1000000,3384,FALSE)</f>
        <v>#N/A</v>
      </c>
    </row>
    <row r="200" spans="1:17" x14ac:dyDescent="0.35">
      <c r="A200" s="58" t="e">
        <f>VLOOKUP(A1,POsData!$A$1:$DZU$1000000,3385,FALSE)</f>
        <v>#N/A</v>
      </c>
      <c r="B200" s="59" t="e">
        <f>VLOOKUP(A1,POsData!$A$1:$DZU$1000000,3386,FALSE)</f>
        <v>#N/A</v>
      </c>
      <c r="C200" s="59" t="e">
        <f>VLOOKUP(A1,POsData!$A$1:$DZU$1000000,3387,FALSE)</f>
        <v>#N/A</v>
      </c>
      <c r="D200" s="59" t="e">
        <f>VLOOKUP(A1,POsData!$A$1:$DZU$1000000,3388,FALSE)</f>
        <v>#N/A</v>
      </c>
      <c r="E200" s="59" t="e">
        <f>VLOOKUP(A1,POsData!$A$1:$DZU$1000000,3389,FALSE)</f>
        <v>#N/A</v>
      </c>
      <c r="F200" s="59" t="e">
        <f>VLOOKUP(A1,POsData!$A$1:$DZU$1000000,3390,FALSE)</f>
        <v>#N/A</v>
      </c>
      <c r="G200" s="59" t="e">
        <f>VLOOKUP(A1,POsData!$A$1:$DZU$1000000,3391,FALSE)</f>
        <v>#N/A</v>
      </c>
      <c r="H200" s="59" t="e">
        <f>VLOOKUP(A1,POsData!$A$1:$DZU$1000000,3392,FALSE)</f>
        <v>#N/A</v>
      </c>
      <c r="I200" s="59" t="e">
        <f>VLOOKUP(A1,POsData!$A$1:$DZU$1000000,3393,FALSE)</f>
        <v>#N/A</v>
      </c>
      <c r="J200" s="59" t="e">
        <f>VLOOKUP(A1,POsData!$A$1:$DZU$1000000,3394,FALSE)</f>
        <v>#N/A</v>
      </c>
      <c r="K200" s="59" t="e">
        <f>VLOOKUP(A1,POsData!$A$1:$DZU$1000000,3395,FALSE)</f>
        <v>#N/A</v>
      </c>
      <c r="L200" s="59" t="e">
        <f>VLOOKUP(A1,POsData!$A$1:$DZU$1000000,3396,FALSE)</f>
        <v>#N/A</v>
      </c>
      <c r="M200" s="59" t="e">
        <f>VLOOKUP(A1,POsData!$A$1:$DZU$1000000,3397,FALSE)</f>
        <v>#N/A</v>
      </c>
      <c r="N200" s="59" t="e">
        <f>VLOOKUP(A1,POsData!$A$1:$DZU$1000000,3398,FALSE)</f>
        <v>#N/A</v>
      </c>
      <c r="O200" s="59" t="e">
        <f>VLOOKUP(A1,POsData!$A$1:$DZU$1000000,3399,FALSE)</f>
        <v>#N/A</v>
      </c>
      <c r="P200" s="59" t="e">
        <f>VLOOKUP(A1,POsData!$A$1:$DZU$1000000,3400,FALSE)</f>
        <v>#N/A</v>
      </c>
      <c r="Q200" s="60" t="e">
        <f>VLOOKUP(A1,POsData!$A$1:$DZU$1000000,3401,FALSE)</f>
        <v>#N/A</v>
      </c>
    </row>
  </sheetData>
  <mergeCells count="29">
    <mergeCell ref="B2:L2"/>
    <mergeCell ref="A3:J3"/>
    <mergeCell ref="A6:C6"/>
    <mergeCell ref="F6:H6"/>
    <mergeCell ref="B8:D8"/>
    <mergeCell ref="G8:I8"/>
    <mergeCell ref="A32:G32"/>
    <mergeCell ref="B9:D9"/>
    <mergeCell ref="B15:C15"/>
    <mergeCell ref="B16:C16"/>
    <mergeCell ref="G16:I16"/>
    <mergeCell ref="B23:G23"/>
    <mergeCell ref="A25:C25"/>
    <mergeCell ref="A27:G27"/>
    <mergeCell ref="A28:G28"/>
    <mergeCell ref="A29:G29"/>
    <mergeCell ref="A30:G30"/>
    <mergeCell ref="A31:G31"/>
    <mergeCell ref="A33:G33"/>
    <mergeCell ref="A34:G34"/>
    <mergeCell ref="A41:J41"/>
    <mergeCell ref="I42:J42"/>
    <mergeCell ref="A43:D43"/>
    <mergeCell ref="E43:J43"/>
    <mergeCell ref="A44:J44"/>
    <mergeCell ref="A45:J45"/>
    <mergeCell ref="B48:E48"/>
    <mergeCell ref="H49:I49"/>
    <mergeCell ref="A52:J53"/>
  </mergeCells>
  <dataValidations count="3">
    <dataValidation allowBlank="1" showInputMessage="1" showErrorMessage="1" prompt="Select this cell and paste the URL of your attachment in the formula bar. File must be stored on One Drive or other web server and shareable." sqref="G42" xr:uid="{B34B2949-A8F3-4EC6-B893-28E7D95407E5}"/>
    <dataValidation allowBlank="1" showInputMessage="1" showErrorMessage="1" prompt="Enter a new purchase order number." sqref="D6" xr:uid="{CA3CB958-CA69-4FB0-8284-09EFDDA40849}"/>
    <dataValidation allowBlank="1" showInputMessage="1" showErrorMessage="1" prompt="Enter a Phase Number" sqref="I6" xr:uid="{ED193794-EFB4-45D7-A63D-24B832D37854}"/>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0881" r:id="rId3" name="Button 1">
              <controlPr defaultSize="0" print="0" autoFill="0" autoPict="0" macro="RefreshView">
                <anchor moveWithCells="1" sizeWithCells="1">
                  <from>
                    <xdr:col>15</xdr:col>
                    <xdr:colOff>127000</xdr:colOff>
                    <xdr:row>0</xdr:row>
                    <xdr:rowOff>0</xdr:rowOff>
                  </from>
                  <to>
                    <xdr:col>16</xdr:col>
                    <xdr:colOff>596900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E31BAE71-1F09-43F7-96BC-4C24EF7D7DE7}">
          <x14:formula1>
            <xm:f>POsData!$A:$A</xm:f>
          </x14:formula1>
          <xm:sqref>B2:L2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4AFBF-C1CF-4B99-B7E9-9250395DD65B}">
  <sheetPr codeName="Sheet56"/>
  <dimension ref="A1:O9"/>
  <sheetViews>
    <sheetView workbookViewId="0">
      <selection activeCell="D14" sqref="D14"/>
    </sheetView>
  </sheetViews>
  <sheetFormatPr defaultRowHeight="14.5" x14ac:dyDescent="0.35"/>
  <cols>
    <col min="1" max="1" width="18.7265625" style="1" customWidth="1"/>
    <col min="2" max="2" width="34.7265625" style="1" customWidth="1"/>
    <col min="3" max="6" width="18.7265625" style="1" customWidth="1"/>
    <col min="7" max="12" width="8.7265625" style="1"/>
    <col min="13" max="15" width="10.26953125" style="1" customWidth="1"/>
    <col min="16" max="16384" width="8.7265625" style="1"/>
  </cols>
  <sheetData>
    <row r="1" spans="1:15" ht="23" x14ac:dyDescent="0.5">
      <c r="A1" s="437" t="s">
        <v>21479</v>
      </c>
      <c r="B1" s="438"/>
      <c r="C1" s="439"/>
      <c r="D1" s="439"/>
      <c r="E1" s="439"/>
      <c r="F1" s="439"/>
    </row>
    <row r="2" spans="1:15" ht="16" x14ac:dyDescent="0.4">
      <c r="A2" s="188"/>
      <c r="B2" s="189"/>
      <c r="C2" s="131"/>
      <c r="D2" s="190"/>
      <c r="E2" s="191"/>
      <c r="F2" s="192"/>
    </row>
    <row r="3" spans="1:15" ht="18.5" thickBot="1" x14ac:dyDescent="0.45">
      <c r="A3" s="128" t="s">
        <v>21480</v>
      </c>
      <c r="B3" s="193" t="e">
        <v>#REF!</v>
      </c>
      <c r="C3" s="194"/>
      <c r="D3" s="195" t="e">
        <v>#REF!</v>
      </c>
      <c r="E3" s="191"/>
      <c r="F3" s="192"/>
    </row>
    <row r="4" spans="1:15" x14ac:dyDescent="0.35">
      <c r="A4" s="132"/>
      <c r="B4" s="189"/>
      <c r="C4" s="131"/>
      <c r="D4" s="190"/>
      <c r="E4" s="191"/>
      <c r="F4" s="192"/>
    </row>
    <row r="5" spans="1:15" ht="15" thickBot="1" x14ac:dyDescent="0.4">
      <c r="A5" s="128" t="s">
        <v>21481</v>
      </c>
      <c r="B5" s="196">
        <f ca="1">TODAY()</f>
        <v>45603</v>
      </c>
      <c r="C5" s="131"/>
      <c r="D5" s="190"/>
      <c r="E5" s="191"/>
      <c r="F5" s="192"/>
    </row>
    <row r="6" spans="1:15" x14ac:dyDescent="0.35">
      <c r="A6" s="132"/>
      <c r="B6" s="189"/>
      <c r="C6" s="131"/>
      <c r="D6" s="190"/>
      <c r="E6" s="191"/>
      <c r="F6" s="192"/>
    </row>
    <row r="7" spans="1:15" x14ac:dyDescent="0.35">
      <c r="D7" s="72"/>
    </row>
    <row r="9" spans="1:15" x14ac:dyDescent="0.35">
      <c r="A9" s="1" t="s">
        <v>21412</v>
      </c>
      <c r="B9" s="1" t="s">
        <v>21413</v>
      </c>
      <c r="C9" s="1" t="s">
        <v>21414</v>
      </c>
      <c r="D9" s="1" t="s">
        <v>21415</v>
      </c>
      <c r="E9" s="1" t="s">
        <v>21416</v>
      </c>
      <c r="F9" s="1" t="s">
        <v>21417</v>
      </c>
      <c r="G9" s="1" t="s">
        <v>21418</v>
      </c>
      <c r="H9" s="1" t="s">
        <v>21419</v>
      </c>
      <c r="I9" s="1" t="s">
        <v>21388</v>
      </c>
      <c r="J9" s="1" t="s">
        <v>21389</v>
      </c>
      <c r="K9" s="1" t="s">
        <v>21390</v>
      </c>
      <c r="L9" s="1" t="s">
        <v>21391</v>
      </c>
      <c r="M9" s="1" t="s">
        <v>21392</v>
      </c>
      <c r="N9" s="1" t="s">
        <v>21393</v>
      </c>
      <c r="O9" s="1" t="s">
        <v>21394</v>
      </c>
    </row>
  </sheetData>
  <mergeCells count="1">
    <mergeCell ref="A1:F1"/>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32284-16C2-456B-9F55-C51062A009E0}">
  <sheetPr codeName="Sheet57"/>
  <dimension ref="A1:P1"/>
  <sheetViews>
    <sheetView workbookViewId="0">
      <selection activeCell="D14" sqref="D14"/>
    </sheetView>
  </sheetViews>
  <sheetFormatPr defaultRowHeight="14.5" x14ac:dyDescent="0.35"/>
  <cols>
    <col min="1" max="1" width="8.7265625" style="76"/>
    <col min="2" max="4" width="8.7265625" style="1"/>
    <col min="5" max="5" width="20" style="76" customWidth="1"/>
    <col min="6" max="6" width="18.26953125" style="76" customWidth="1"/>
    <col min="7" max="16" width="8.7265625" style="76"/>
    <col min="17" max="16384" width="8.7265625" style="1"/>
  </cols>
  <sheetData>
    <row r="1" spans="2:16" x14ac:dyDescent="0.35">
      <c r="B1" s="73" t="s">
        <v>21475</v>
      </c>
      <c r="C1" s="73" t="s">
        <v>21471</v>
      </c>
      <c r="D1" s="73" t="s">
        <v>21394</v>
      </c>
      <c r="E1" s="74" t="s">
        <v>21434</v>
      </c>
      <c r="F1" s="74" t="s">
        <v>21436</v>
      </c>
      <c r="G1" s="74" t="s">
        <v>21451</v>
      </c>
      <c r="H1" s="74" t="s">
        <v>21464</v>
      </c>
      <c r="I1" s="74" t="s">
        <v>21477</v>
      </c>
      <c r="J1" s="74" t="s">
        <v>21468</v>
      </c>
      <c r="K1" s="74" t="s">
        <v>21467</v>
      </c>
      <c r="L1" s="74" t="s">
        <v>21419</v>
      </c>
      <c r="M1" s="74" t="s">
        <v>21388</v>
      </c>
      <c r="N1" s="74" t="s">
        <v>21389</v>
      </c>
      <c r="O1" s="74" t="s">
        <v>21390</v>
      </c>
      <c r="P1" s="75" t="s">
        <v>21391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C3BD2-3180-4A48-B5E9-4C70217650F6}">
  <sheetPr codeName="Sheet58"/>
  <dimension ref="A1:AG1"/>
  <sheetViews>
    <sheetView workbookViewId="0">
      <selection activeCell="D14" sqref="D14"/>
    </sheetView>
  </sheetViews>
  <sheetFormatPr defaultRowHeight="14.5" x14ac:dyDescent="0.35"/>
  <cols>
    <col min="1" max="16384" width="8.7265625" style="1"/>
  </cols>
  <sheetData>
    <row r="1" spans="1:33" x14ac:dyDescent="0.35">
      <c r="A1" s="1" t="str">
        <f>POsData!S1 &amp; "- " &amp; T1 &amp; "- " &amp; U1 &amp; "- " &amp; V1 &amp; "- " &amp; W1 &amp; "- " &amp; X1 &amp; "- " &amp; Y1 &amp; "- " &amp; Z1 &amp; "- " &amp; AA1 &amp; "- " &amp; AB1 &amp; "- " &amp; AC1 &amp; "- " &amp; AD1</f>
        <v>PURCHASE ORDER NUMBER:- To:- Delivery Required By:- GRAND TOTAL:- Date of Order:- Cost Code:- Attachments:- Log 8- Log 9- Log 10- Log 11- Log 12</v>
      </c>
      <c r="S1" s="1" t="str">
        <f>POsInput!A1</f>
        <v>PURCHASE ORDER NUMBER:</v>
      </c>
      <c r="T1" s="1" t="str">
        <f>POsInput!B1</f>
        <v>To:</v>
      </c>
      <c r="U1" s="1" t="str">
        <f>POsInput!C1</f>
        <v>Delivery Required By:</v>
      </c>
      <c r="V1" s="1" t="str">
        <f>POsInput!D1</f>
        <v>GRAND TOTAL:</v>
      </c>
      <c r="W1" s="1" t="str">
        <f>POsInput!E1</f>
        <v>Date of Order:</v>
      </c>
      <c r="X1" s="1" t="str">
        <f>POsInput!F1</f>
        <v>Cost Code:</v>
      </c>
      <c r="Y1" s="1" t="str">
        <f>POsInput!G1</f>
        <v>Attachments:</v>
      </c>
      <c r="Z1" s="1" t="str">
        <f>POsInput!H1</f>
        <v>Log 8</v>
      </c>
      <c r="AA1" s="1" t="str">
        <f>POsInput!I1</f>
        <v>Log 9</v>
      </c>
      <c r="AB1" s="1" t="str">
        <f>POsInput!J1</f>
        <v>Log 10</v>
      </c>
      <c r="AC1" s="1" t="str">
        <f>POsInput!K1</f>
        <v>Log 11</v>
      </c>
      <c r="AD1" s="1" t="str">
        <f>POsInput!L1</f>
        <v>Log 12</v>
      </c>
      <c r="AE1" s="1" t="str">
        <f>POsInput!M1</f>
        <v>Date Signed:</v>
      </c>
      <c r="AF1" s="1" t="str">
        <f>POsInput!N1</f>
        <v>Acknowledged By:</v>
      </c>
      <c r="AG1" s="1" t="str">
        <f>POsInput!O1</f>
        <v>Update 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F0E5A-589E-43FC-96AF-9E2B8805AC3B}">
  <sheetPr codeName="Sheet53"/>
  <dimension ref="A1:S2000"/>
  <sheetViews>
    <sheetView showGridLines="0" showZeros="0" zoomScale="90" zoomScaleNormal="100" workbookViewId="0">
      <selection activeCell="D14" sqref="D14"/>
    </sheetView>
  </sheetViews>
  <sheetFormatPr defaultColWidth="9" defaultRowHeight="14.5" x14ac:dyDescent="0.35"/>
  <cols>
    <col min="1" max="1" width="15.81640625" style="203" customWidth="1"/>
    <col min="2" max="2" width="11.453125" style="213" customWidth="1"/>
    <col min="3" max="3" width="11" style="205" customWidth="1"/>
    <col min="4" max="4" width="14.81640625" style="180" customWidth="1"/>
    <col min="5" max="5" width="13.81640625" style="218" customWidth="1"/>
    <col min="6" max="6" width="29" style="180" customWidth="1"/>
    <col min="7" max="7" width="16.26953125" style="218" customWidth="1"/>
    <col min="8" max="8" width="23.1796875" style="218" customWidth="1"/>
    <col min="9" max="9" width="14" style="218" customWidth="1"/>
    <col min="10" max="10" width="17.453125" style="218" bestFit="1" customWidth="1"/>
    <col min="11" max="11" width="14.54296875" style="218" bestFit="1" customWidth="1"/>
    <col min="12" max="12" width="25.81640625" style="218" bestFit="1" customWidth="1"/>
    <col min="13" max="13" width="21" style="218" customWidth="1"/>
    <col min="14" max="14" width="21.26953125" style="218" customWidth="1"/>
    <col min="15" max="15" width="26.81640625" style="218" customWidth="1"/>
    <col min="16" max="16" width="12.7265625" style="218" customWidth="1"/>
    <col min="17" max="17" width="13.54296875" style="218" customWidth="1"/>
    <col min="18" max="18" width="21.453125" style="218" customWidth="1"/>
    <col min="19" max="19" width="12.81640625" style="212" hidden="1" customWidth="1"/>
    <col min="20" max="16384" width="9" style="212"/>
  </cols>
  <sheetData>
    <row r="1" spans="1:19" s="202" customFormat="1" ht="45.5" thickBot="1" x14ac:dyDescent="0.4">
      <c r="A1" s="197"/>
      <c r="B1" s="198"/>
      <c r="C1" s="199"/>
      <c r="D1" s="440" t="e">
        <v>#REF!</v>
      </c>
      <c r="E1" s="440"/>
      <c r="F1" s="440"/>
      <c r="G1" s="440"/>
      <c r="H1" s="440"/>
      <c r="I1" s="440"/>
      <c r="J1" s="440"/>
      <c r="K1" s="440"/>
      <c r="L1" s="440"/>
      <c r="M1" s="440"/>
      <c r="N1" s="440"/>
      <c r="O1" s="200"/>
      <c r="P1" s="200"/>
      <c r="Q1" s="200"/>
      <c r="R1" s="200"/>
      <c r="S1" s="201"/>
    </row>
    <row r="2" spans="1:19" ht="21.4" customHeight="1" thickTop="1" x14ac:dyDescent="0.35">
      <c r="A2" s="203" t="str">
        <f>F2</f>
        <v>Company</v>
      </c>
      <c r="B2" s="204"/>
      <c r="C2" s="205" t="str">
        <f>F2</f>
        <v>Company</v>
      </c>
      <c r="D2" s="206" t="s">
        <v>21482</v>
      </c>
      <c r="E2" s="207" t="s">
        <v>21483</v>
      </c>
      <c r="F2" s="208" t="s">
        <v>21484</v>
      </c>
      <c r="G2" s="207" t="s">
        <v>21485</v>
      </c>
      <c r="H2" s="209" t="s">
        <v>21486</v>
      </c>
      <c r="I2" s="207" t="s">
        <v>21487</v>
      </c>
      <c r="J2" s="209" t="s">
        <v>21488</v>
      </c>
      <c r="K2" s="209" t="s">
        <v>21489</v>
      </c>
      <c r="L2" s="207" t="s">
        <v>21490</v>
      </c>
      <c r="M2" s="209" t="s">
        <v>21491</v>
      </c>
      <c r="N2" s="209" t="s">
        <v>21492</v>
      </c>
      <c r="O2" s="209" t="s">
        <v>21493</v>
      </c>
      <c r="P2" s="209" t="s">
        <v>21494</v>
      </c>
      <c r="Q2" s="209" t="s">
        <v>21495</v>
      </c>
      <c r="R2" s="210" t="s">
        <v>21448</v>
      </c>
      <c r="S2" s="211" t="s">
        <v>21496</v>
      </c>
    </row>
    <row r="3" spans="1:19" x14ac:dyDescent="0.35">
      <c r="A3" s="203" t="str">
        <f t="shared" ref="A3:A66" si="0">F3</f>
        <v>Your Company Name</v>
      </c>
      <c r="C3" s="205" t="str">
        <f t="shared" ref="C3:C66" si="1">F3</f>
        <v>Your Company Name</v>
      </c>
      <c r="D3" s="214" t="s">
        <v>21497</v>
      </c>
      <c r="E3" s="215"/>
      <c r="F3" s="214" t="s">
        <v>21447</v>
      </c>
      <c r="G3" s="216"/>
      <c r="H3" s="214"/>
      <c r="I3" s="215"/>
      <c r="J3" s="214" t="s">
        <v>21498</v>
      </c>
      <c r="K3" s="214" t="s">
        <v>21499</v>
      </c>
      <c r="L3" s="215" t="s">
        <v>21500</v>
      </c>
      <c r="M3" s="214" t="s">
        <v>21501</v>
      </c>
      <c r="N3" s="214" t="s">
        <v>21502</v>
      </c>
      <c r="O3" s="214">
        <v>62523</v>
      </c>
      <c r="P3" s="214"/>
      <c r="Q3" s="214"/>
      <c r="R3" s="214" t="s">
        <v>21503</v>
      </c>
    </row>
    <row r="4" spans="1:19" x14ac:dyDescent="0.35">
      <c r="A4" s="203" t="str">
        <f t="shared" si="0"/>
        <v>Example Project</v>
      </c>
      <c r="C4" s="217" t="str">
        <f t="shared" si="1"/>
        <v>Example Project</v>
      </c>
      <c r="D4" s="214"/>
      <c r="F4" s="180" t="s">
        <v>21439</v>
      </c>
      <c r="G4" s="216"/>
      <c r="L4" s="180" t="s">
        <v>21504</v>
      </c>
      <c r="M4" s="180" t="s">
        <v>21501</v>
      </c>
      <c r="N4" s="180" t="s">
        <v>21505</v>
      </c>
      <c r="O4" s="180">
        <v>62523</v>
      </c>
    </row>
    <row r="5" spans="1:19" x14ac:dyDescent="0.35">
      <c r="A5" s="203" t="str">
        <f t="shared" si="0"/>
        <v>Example A/E / Developer</v>
      </c>
      <c r="C5" s="205" t="str">
        <f t="shared" si="1"/>
        <v>Example A/E / Developer</v>
      </c>
      <c r="D5" s="214" t="s">
        <v>21506</v>
      </c>
      <c r="E5" s="219" t="s">
        <v>21507</v>
      </c>
      <c r="F5" s="220" t="s">
        <v>21508</v>
      </c>
      <c r="G5" s="219" t="s">
        <v>21507</v>
      </c>
      <c r="H5" s="220" t="s">
        <v>21507</v>
      </c>
      <c r="I5" s="220" t="s">
        <v>21507</v>
      </c>
      <c r="J5" s="220" t="s">
        <v>21509</v>
      </c>
      <c r="K5" s="220" t="s">
        <v>21510</v>
      </c>
      <c r="L5" s="220" t="s">
        <v>21511</v>
      </c>
      <c r="M5" s="220" t="s">
        <v>21501</v>
      </c>
      <c r="N5" s="220" t="s">
        <v>21502</v>
      </c>
      <c r="O5" s="220">
        <v>62523</v>
      </c>
      <c r="P5" s="220" t="s">
        <v>21507</v>
      </c>
      <c r="Q5" s="220" t="s">
        <v>21507</v>
      </c>
      <c r="R5" s="214" t="s">
        <v>21512</v>
      </c>
    </row>
    <row r="6" spans="1:19" x14ac:dyDescent="0.35">
      <c r="A6" s="203" t="str">
        <f t="shared" si="0"/>
        <v>Example Owner</v>
      </c>
      <c r="C6" s="205" t="str">
        <f t="shared" si="1"/>
        <v>Example Owner</v>
      </c>
      <c r="D6" s="214" t="s">
        <v>21513</v>
      </c>
      <c r="E6" s="206" t="s">
        <v>21507</v>
      </c>
      <c r="F6" s="206" t="s">
        <v>21514</v>
      </c>
      <c r="G6" s="206" t="s">
        <v>21507</v>
      </c>
      <c r="H6" s="206" t="s">
        <v>21507</v>
      </c>
      <c r="I6" s="206" t="s">
        <v>21507</v>
      </c>
      <c r="J6" s="206" t="s">
        <v>21515</v>
      </c>
      <c r="K6" s="206" t="s">
        <v>21516</v>
      </c>
      <c r="L6" s="206" t="s">
        <v>21517</v>
      </c>
      <c r="M6" s="206" t="s">
        <v>21501</v>
      </c>
      <c r="N6" s="206" t="s">
        <v>21502</v>
      </c>
      <c r="O6" s="206">
        <v>62523</v>
      </c>
      <c r="P6" s="206" t="s">
        <v>21507</v>
      </c>
      <c r="Q6" s="206" t="s">
        <v>21507</v>
      </c>
      <c r="R6" s="214" t="s">
        <v>21518</v>
      </c>
    </row>
    <row r="7" spans="1:19" x14ac:dyDescent="0.35">
      <c r="A7" s="203" t="str">
        <f t="shared" si="0"/>
        <v>Example Subcontractor</v>
      </c>
      <c r="C7" s="205" t="str">
        <f t="shared" si="1"/>
        <v>Example Subcontractor</v>
      </c>
      <c r="D7" s="214" t="s">
        <v>21519</v>
      </c>
      <c r="E7" s="206" t="s">
        <v>21507</v>
      </c>
      <c r="F7" s="206" t="s">
        <v>21520</v>
      </c>
      <c r="G7" s="206" t="s">
        <v>21507</v>
      </c>
      <c r="H7" s="206" t="s">
        <v>21507</v>
      </c>
      <c r="I7" s="206" t="s">
        <v>21507</v>
      </c>
      <c r="J7" s="206" t="s">
        <v>21521</v>
      </c>
      <c r="K7" s="206" t="s">
        <v>21522</v>
      </c>
      <c r="L7" s="206" t="s">
        <v>21523</v>
      </c>
      <c r="M7" s="206" t="s">
        <v>21501</v>
      </c>
      <c r="N7" s="206" t="s">
        <v>21502</v>
      </c>
      <c r="O7" s="206">
        <v>62523</v>
      </c>
      <c r="P7" s="206" t="s">
        <v>21507</v>
      </c>
      <c r="Q7" s="206" t="s">
        <v>21507</v>
      </c>
      <c r="R7" s="214" t="s">
        <v>21524</v>
      </c>
    </row>
    <row r="8" spans="1:19" x14ac:dyDescent="0.35">
      <c r="A8" s="203" t="str">
        <f t="shared" si="0"/>
        <v>Example Supplier/Vendor</v>
      </c>
      <c r="C8" s="205" t="str">
        <f t="shared" si="1"/>
        <v>Example Supplier/Vendor</v>
      </c>
      <c r="D8" s="214" t="s">
        <v>21525</v>
      </c>
      <c r="E8" s="206" t="s">
        <v>21507</v>
      </c>
      <c r="F8" s="206" t="s">
        <v>21437</v>
      </c>
      <c r="G8" s="206" t="s">
        <v>21507</v>
      </c>
      <c r="H8" s="206" t="s">
        <v>21507</v>
      </c>
      <c r="I8" s="206" t="s">
        <v>21507</v>
      </c>
      <c r="J8" s="206" t="s">
        <v>21526</v>
      </c>
      <c r="K8" s="206" t="s">
        <v>21527</v>
      </c>
      <c r="L8" s="206" t="s">
        <v>21528</v>
      </c>
      <c r="M8" s="206" t="s">
        <v>21501</v>
      </c>
      <c r="N8" s="206" t="s">
        <v>21502</v>
      </c>
      <c r="O8" s="206">
        <v>62523</v>
      </c>
      <c r="P8" s="206" t="s">
        <v>21507</v>
      </c>
      <c r="Q8" s="206" t="s">
        <v>21507</v>
      </c>
      <c r="R8" s="214" t="s">
        <v>21529</v>
      </c>
    </row>
    <row r="9" spans="1:19" x14ac:dyDescent="0.35">
      <c r="A9" s="203">
        <f t="shared" si="0"/>
        <v>0</v>
      </c>
      <c r="C9" s="205">
        <f t="shared" si="1"/>
        <v>0</v>
      </c>
      <c r="D9" s="214"/>
      <c r="E9" s="206"/>
      <c r="F9" s="206"/>
      <c r="G9" s="206"/>
      <c r="H9" s="206"/>
      <c r="I9" s="206"/>
      <c r="J9" s="206"/>
      <c r="K9" s="206"/>
      <c r="L9" s="206"/>
      <c r="M9" s="206"/>
      <c r="N9" s="206"/>
      <c r="O9" s="206"/>
      <c r="P9" s="206"/>
      <c r="Q9" s="206"/>
      <c r="R9" s="214"/>
    </row>
    <row r="10" spans="1:19" x14ac:dyDescent="0.35">
      <c r="A10" s="203">
        <f t="shared" si="0"/>
        <v>0</v>
      </c>
      <c r="C10" s="205">
        <f t="shared" si="1"/>
        <v>0</v>
      </c>
      <c r="D10" s="214"/>
      <c r="E10" s="221"/>
      <c r="F10" s="206"/>
      <c r="G10" s="221"/>
      <c r="H10" s="206"/>
      <c r="I10" s="221"/>
      <c r="J10" s="206"/>
      <c r="K10" s="206"/>
      <c r="L10" s="221"/>
      <c r="M10" s="206"/>
      <c r="N10" s="206"/>
      <c r="O10" s="206"/>
      <c r="P10" s="206"/>
      <c r="Q10" s="206"/>
      <c r="R10" s="214"/>
    </row>
    <row r="11" spans="1:19" x14ac:dyDescent="0.35">
      <c r="A11" s="203">
        <f t="shared" si="0"/>
        <v>0</v>
      </c>
      <c r="C11" s="205">
        <f t="shared" si="1"/>
        <v>0</v>
      </c>
      <c r="D11" s="220"/>
      <c r="F11" s="214"/>
      <c r="R11" s="222"/>
    </row>
    <row r="12" spans="1:19" x14ac:dyDescent="0.35">
      <c r="A12" s="203">
        <f t="shared" si="0"/>
        <v>0</v>
      </c>
      <c r="C12" s="205">
        <f t="shared" si="1"/>
        <v>0</v>
      </c>
      <c r="D12" s="220"/>
      <c r="F12" s="214"/>
      <c r="R12" s="222"/>
    </row>
    <row r="13" spans="1:19" x14ac:dyDescent="0.35">
      <c r="A13" s="203">
        <f t="shared" si="0"/>
        <v>0</v>
      </c>
      <c r="C13" s="205">
        <f t="shared" si="1"/>
        <v>0</v>
      </c>
      <c r="D13" s="220"/>
      <c r="F13" s="214"/>
      <c r="R13" s="222"/>
    </row>
    <row r="14" spans="1:19" x14ac:dyDescent="0.35">
      <c r="A14" s="203">
        <f t="shared" si="0"/>
        <v>0</v>
      </c>
      <c r="C14" s="205">
        <f t="shared" si="1"/>
        <v>0</v>
      </c>
      <c r="D14" s="220"/>
      <c r="F14" s="214"/>
      <c r="R14" s="222"/>
    </row>
    <row r="15" spans="1:19" x14ac:dyDescent="0.35">
      <c r="A15" s="203">
        <f t="shared" si="0"/>
        <v>0</v>
      </c>
      <c r="C15" s="205">
        <f t="shared" si="1"/>
        <v>0</v>
      </c>
      <c r="D15" s="220"/>
      <c r="F15" s="214"/>
      <c r="R15" s="222"/>
    </row>
    <row r="16" spans="1:19" x14ac:dyDescent="0.35">
      <c r="A16" s="203">
        <f t="shared" si="0"/>
        <v>0</v>
      </c>
      <c r="C16" s="205">
        <f t="shared" si="1"/>
        <v>0</v>
      </c>
      <c r="D16" s="220"/>
      <c r="F16" s="214"/>
      <c r="R16" s="222"/>
    </row>
    <row r="17" spans="1:18" x14ac:dyDescent="0.35">
      <c r="A17" s="203">
        <f t="shared" si="0"/>
        <v>0</v>
      </c>
      <c r="C17" s="205">
        <f t="shared" si="1"/>
        <v>0</v>
      </c>
      <c r="D17" s="220"/>
      <c r="F17" s="214"/>
      <c r="R17" s="222"/>
    </row>
    <row r="18" spans="1:18" x14ac:dyDescent="0.35">
      <c r="A18" s="203">
        <f t="shared" si="0"/>
        <v>0</v>
      </c>
      <c r="C18" s="205">
        <f t="shared" si="1"/>
        <v>0</v>
      </c>
      <c r="D18" s="220"/>
      <c r="F18" s="214"/>
      <c r="R18" s="222"/>
    </row>
    <row r="19" spans="1:18" x14ac:dyDescent="0.35">
      <c r="A19" s="203">
        <f t="shared" si="0"/>
        <v>0</v>
      </c>
      <c r="C19" s="205">
        <f t="shared" si="1"/>
        <v>0</v>
      </c>
      <c r="D19" s="220"/>
      <c r="F19" s="214"/>
      <c r="R19" s="222"/>
    </row>
    <row r="20" spans="1:18" x14ac:dyDescent="0.35">
      <c r="A20" s="203">
        <f t="shared" si="0"/>
        <v>0</v>
      </c>
      <c r="C20" s="205">
        <f t="shared" si="1"/>
        <v>0</v>
      </c>
      <c r="D20" s="220"/>
      <c r="F20" s="214"/>
      <c r="R20" s="222"/>
    </row>
    <row r="21" spans="1:18" x14ac:dyDescent="0.35">
      <c r="A21" s="203">
        <f t="shared" si="0"/>
        <v>0</v>
      </c>
      <c r="C21" s="205">
        <f t="shared" si="1"/>
        <v>0</v>
      </c>
      <c r="D21" s="220"/>
      <c r="F21" s="214"/>
      <c r="R21" s="222"/>
    </row>
    <row r="22" spans="1:18" x14ac:dyDescent="0.35">
      <c r="A22" s="203">
        <f t="shared" si="0"/>
        <v>0</v>
      </c>
      <c r="C22" s="205">
        <f t="shared" si="1"/>
        <v>0</v>
      </c>
      <c r="D22" s="220"/>
      <c r="F22" s="214"/>
      <c r="R22" s="222"/>
    </row>
    <row r="23" spans="1:18" x14ac:dyDescent="0.35">
      <c r="A23" s="203">
        <f t="shared" si="0"/>
        <v>0</v>
      </c>
      <c r="C23" s="205">
        <f t="shared" si="1"/>
        <v>0</v>
      </c>
      <c r="D23" s="220"/>
      <c r="F23" s="214"/>
      <c r="R23" s="222"/>
    </row>
    <row r="24" spans="1:18" x14ac:dyDescent="0.35">
      <c r="A24" s="203">
        <f t="shared" si="0"/>
        <v>0</v>
      </c>
      <c r="C24" s="205">
        <f t="shared" si="1"/>
        <v>0</v>
      </c>
      <c r="D24" s="220"/>
      <c r="F24" s="214"/>
      <c r="R24" s="222"/>
    </row>
    <row r="25" spans="1:18" x14ac:dyDescent="0.35">
      <c r="A25" s="203">
        <f t="shared" si="0"/>
        <v>0</v>
      </c>
      <c r="C25" s="205">
        <f t="shared" si="1"/>
        <v>0</v>
      </c>
      <c r="D25" s="220"/>
      <c r="F25" s="214"/>
      <c r="R25" s="222"/>
    </row>
    <row r="26" spans="1:18" x14ac:dyDescent="0.35">
      <c r="A26" s="203">
        <f t="shared" si="0"/>
        <v>0</v>
      </c>
      <c r="C26" s="205">
        <f t="shared" si="1"/>
        <v>0</v>
      </c>
      <c r="D26" s="220"/>
      <c r="F26" s="214"/>
      <c r="R26" s="222"/>
    </row>
    <row r="27" spans="1:18" x14ac:dyDescent="0.35">
      <c r="A27" s="203">
        <f t="shared" si="0"/>
        <v>0</v>
      </c>
      <c r="C27" s="205">
        <f t="shared" si="1"/>
        <v>0</v>
      </c>
      <c r="D27" s="220"/>
      <c r="F27" s="214"/>
      <c r="R27" s="222"/>
    </row>
    <row r="28" spans="1:18" x14ac:dyDescent="0.35">
      <c r="A28" s="203">
        <f t="shared" si="0"/>
        <v>0</v>
      </c>
      <c r="C28" s="205">
        <f t="shared" si="1"/>
        <v>0</v>
      </c>
      <c r="D28" s="220"/>
      <c r="F28" s="214"/>
      <c r="R28" s="222"/>
    </row>
    <row r="29" spans="1:18" x14ac:dyDescent="0.35">
      <c r="A29" s="203">
        <f t="shared" si="0"/>
        <v>0</v>
      </c>
      <c r="C29" s="205">
        <f t="shared" si="1"/>
        <v>0</v>
      </c>
      <c r="D29" s="220"/>
      <c r="F29" s="214"/>
      <c r="R29" s="222"/>
    </row>
    <row r="30" spans="1:18" x14ac:dyDescent="0.35">
      <c r="A30" s="203">
        <f t="shared" si="0"/>
        <v>0</v>
      </c>
      <c r="C30" s="205">
        <f t="shared" si="1"/>
        <v>0</v>
      </c>
      <c r="D30" s="220"/>
      <c r="F30" s="214"/>
      <c r="R30" s="222"/>
    </row>
    <row r="31" spans="1:18" x14ac:dyDescent="0.35">
      <c r="A31" s="203">
        <f t="shared" si="0"/>
        <v>0</v>
      </c>
      <c r="C31" s="205">
        <f t="shared" si="1"/>
        <v>0</v>
      </c>
      <c r="D31" s="220"/>
      <c r="F31" s="214"/>
      <c r="R31" s="222"/>
    </row>
    <row r="32" spans="1:18" x14ac:dyDescent="0.35">
      <c r="A32" s="203">
        <f t="shared" si="0"/>
        <v>0</v>
      </c>
      <c r="C32" s="205">
        <f t="shared" si="1"/>
        <v>0</v>
      </c>
      <c r="D32" s="220"/>
      <c r="F32" s="214"/>
      <c r="R32" s="222"/>
    </row>
    <row r="33" spans="1:18" x14ac:dyDescent="0.35">
      <c r="A33" s="203">
        <f t="shared" si="0"/>
        <v>0</v>
      </c>
      <c r="C33" s="205">
        <f t="shared" si="1"/>
        <v>0</v>
      </c>
      <c r="D33" s="220"/>
      <c r="F33" s="214"/>
      <c r="R33" s="222"/>
    </row>
    <row r="34" spans="1:18" x14ac:dyDescent="0.35">
      <c r="A34" s="203">
        <f t="shared" si="0"/>
        <v>0</v>
      </c>
      <c r="C34" s="205">
        <f t="shared" si="1"/>
        <v>0</v>
      </c>
      <c r="D34" s="220"/>
      <c r="F34" s="214"/>
      <c r="R34" s="222"/>
    </row>
    <row r="35" spans="1:18" x14ac:dyDescent="0.35">
      <c r="A35" s="203">
        <f t="shared" si="0"/>
        <v>0</v>
      </c>
      <c r="C35" s="205">
        <f t="shared" si="1"/>
        <v>0</v>
      </c>
      <c r="D35" s="220"/>
      <c r="F35" s="214"/>
      <c r="R35" s="222"/>
    </row>
    <row r="36" spans="1:18" x14ac:dyDescent="0.35">
      <c r="A36" s="203">
        <f t="shared" si="0"/>
        <v>0</v>
      </c>
      <c r="C36" s="205">
        <f t="shared" si="1"/>
        <v>0</v>
      </c>
      <c r="D36" s="220"/>
      <c r="F36" s="214"/>
      <c r="R36" s="222"/>
    </row>
    <row r="37" spans="1:18" x14ac:dyDescent="0.35">
      <c r="A37" s="203">
        <f t="shared" si="0"/>
        <v>0</v>
      </c>
      <c r="C37" s="205">
        <f t="shared" si="1"/>
        <v>0</v>
      </c>
      <c r="D37" s="220"/>
      <c r="F37" s="214"/>
      <c r="R37" s="222"/>
    </row>
    <row r="38" spans="1:18" x14ac:dyDescent="0.35">
      <c r="A38" s="203">
        <f t="shared" si="0"/>
        <v>0</v>
      </c>
      <c r="C38" s="205">
        <f t="shared" si="1"/>
        <v>0</v>
      </c>
      <c r="D38" s="220"/>
      <c r="F38" s="214"/>
      <c r="R38" s="222"/>
    </row>
    <row r="39" spans="1:18" x14ac:dyDescent="0.35">
      <c r="A39" s="203">
        <f t="shared" si="0"/>
        <v>0</v>
      </c>
      <c r="C39" s="205">
        <f t="shared" si="1"/>
        <v>0</v>
      </c>
      <c r="D39" s="220"/>
      <c r="F39" s="214"/>
      <c r="R39" s="222"/>
    </row>
    <row r="40" spans="1:18" x14ac:dyDescent="0.35">
      <c r="A40" s="203">
        <f t="shared" si="0"/>
        <v>0</v>
      </c>
      <c r="C40" s="205">
        <f t="shared" si="1"/>
        <v>0</v>
      </c>
      <c r="D40" s="220"/>
      <c r="F40" s="214"/>
      <c r="R40" s="222"/>
    </row>
    <row r="41" spans="1:18" x14ac:dyDescent="0.35">
      <c r="A41" s="203">
        <f t="shared" si="0"/>
        <v>0</v>
      </c>
      <c r="C41" s="205">
        <f t="shared" si="1"/>
        <v>0</v>
      </c>
      <c r="D41" s="220"/>
      <c r="F41" s="214"/>
      <c r="R41" s="222"/>
    </row>
    <row r="42" spans="1:18" x14ac:dyDescent="0.35">
      <c r="A42" s="203">
        <f t="shared" si="0"/>
        <v>0</v>
      </c>
      <c r="C42" s="205">
        <f t="shared" si="1"/>
        <v>0</v>
      </c>
      <c r="D42" s="220"/>
      <c r="F42" s="214"/>
      <c r="R42" s="222"/>
    </row>
    <row r="43" spans="1:18" x14ac:dyDescent="0.35">
      <c r="A43" s="203">
        <f t="shared" si="0"/>
        <v>0</v>
      </c>
      <c r="C43" s="205">
        <f t="shared" si="1"/>
        <v>0</v>
      </c>
      <c r="D43" s="220"/>
      <c r="F43" s="214"/>
      <c r="R43" s="222"/>
    </row>
    <row r="44" spans="1:18" x14ac:dyDescent="0.35">
      <c r="A44" s="203">
        <f t="shared" si="0"/>
        <v>0</v>
      </c>
      <c r="C44" s="205">
        <f t="shared" si="1"/>
        <v>0</v>
      </c>
      <c r="D44" s="220"/>
      <c r="F44" s="214"/>
      <c r="R44" s="222"/>
    </row>
    <row r="45" spans="1:18" x14ac:dyDescent="0.35">
      <c r="A45" s="203">
        <f t="shared" si="0"/>
        <v>0</v>
      </c>
      <c r="C45" s="205">
        <f t="shared" si="1"/>
        <v>0</v>
      </c>
      <c r="D45" s="220"/>
      <c r="F45" s="214"/>
      <c r="R45" s="222"/>
    </row>
    <row r="46" spans="1:18" x14ac:dyDescent="0.35">
      <c r="A46" s="203">
        <f t="shared" si="0"/>
        <v>0</v>
      </c>
      <c r="C46" s="205">
        <f t="shared" si="1"/>
        <v>0</v>
      </c>
      <c r="D46" s="220"/>
      <c r="F46" s="214"/>
      <c r="R46" s="222"/>
    </row>
    <row r="47" spans="1:18" x14ac:dyDescent="0.35">
      <c r="A47" s="203">
        <f t="shared" si="0"/>
        <v>0</v>
      </c>
      <c r="C47" s="205">
        <f t="shared" si="1"/>
        <v>0</v>
      </c>
      <c r="D47" s="220"/>
      <c r="F47" s="214"/>
      <c r="R47" s="222"/>
    </row>
    <row r="48" spans="1:18" x14ac:dyDescent="0.35">
      <c r="A48" s="203">
        <f t="shared" si="0"/>
        <v>0</v>
      </c>
      <c r="C48" s="205">
        <f t="shared" si="1"/>
        <v>0</v>
      </c>
      <c r="D48" s="220"/>
      <c r="F48" s="214"/>
      <c r="R48" s="222"/>
    </row>
    <row r="49" spans="1:18" x14ac:dyDescent="0.35">
      <c r="A49" s="203">
        <f t="shared" si="0"/>
        <v>0</v>
      </c>
      <c r="C49" s="205">
        <f t="shared" si="1"/>
        <v>0</v>
      </c>
      <c r="D49" s="220"/>
      <c r="F49" s="214"/>
      <c r="R49" s="222"/>
    </row>
    <row r="50" spans="1:18" x14ac:dyDescent="0.35">
      <c r="A50" s="203">
        <f t="shared" si="0"/>
        <v>0</v>
      </c>
      <c r="C50" s="205">
        <f t="shared" si="1"/>
        <v>0</v>
      </c>
      <c r="D50" s="220"/>
      <c r="F50" s="214"/>
      <c r="R50" s="222"/>
    </row>
    <row r="51" spans="1:18" x14ac:dyDescent="0.35">
      <c r="A51" s="203">
        <f t="shared" si="0"/>
        <v>0</v>
      </c>
      <c r="C51" s="205">
        <f t="shared" si="1"/>
        <v>0</v>
      </c>
      <c r="D51" s="220"/>
      <c r="F51" s="214"/>
      <c r="R51" s="222"/>
    </row>
    <row r="52" spans="1:18" x14ac:dyDescent="0.35">
      <c r="A52" s="203">
        <f t="shared" si="0"/>
        <v>0</v>
      </c>
      <c r="C52" s="205">
        <f t="shared" si="1"/>
        <v>0</v>
      </c>
      <c r="D52" s="220"/>
      <c r="F52" s="214"/>
      <c r="R52" s="222"/>
    </row>
    <row r="53" spans="1:18" x14ac:dyDescent="0.35">
      <c r="A53" s="203">
        <f t="shared" si="0"/>
        <v>0</v>
      </c>
      <c r="C53" s="205">
        <f t="shared" si="1"/>
        <v>0</v>
      </c>
      <c r="D53" s="220"/>
      <c r="F53" s="214"/>
      <c r="R53" s="222"/>
    </row>
    <row r="54" spans="1:18" x14ac:dyDescent="0.35">
      <c r="A54" s="203">
        <f t="shared" si="0"/>
        <v>0</v>
      </c>
      <c r="C54" s="205">
        <f t="shared" si="1"/>
        <v>0</v>
      </c>
      <c r="D54" s="220"/>
      <c r="F54" s="214"/>
      <c r="R54" s="222"/>
    </row>
    <row r="55" spans="1:18" x14ac:dyDescent="0.35">
      <c r="A55" s="203">
        <f t="shared" si="0"/>
        <v>0</v>
      </c>
      <c r="C55" s="205">
        <f t="shared" si="1"/>
        <v>0</v>
      </c>
      <c r="D55" s="220"/>
      <c r="F55" s="214"/>
      <c r="R55" s="222"/>
    </row>
    <row r="56" spans="1:18" x14ac:dyDescent="0.35">
      <c r="A56" s="203">
        <f t="shared" si="0"/>
        <v>0</v>
      </c>
      <c r="C56" s="205">
        <f t="shared" si="1"/>
        <v>0</v>
      </c>
      <c r="D56" s="220"/>
      <c r="F56" s="214"/>
      <c r="R56" s="222"/>
    </row>
    <row r="57" spans="1:18" x14ac:dyDescent="0.35">
      <c r="A57" s="203">
        <f t="shared" si="0"/>
        <v>0</v>
      </c>
      <c r="C57" s="205">
        <f t="shared" si="1"/>
        <v>0</v>
      </c>
      <c r="D57" s="220"/>
      <c r="F57" s="214"/>
      <c r="R57" s="222"/>
    </row>
    <row r="58" spans="1:18" x14ac:dyDescent="0.35">
      <c r="A58" s="203">
        <f t="shared" si="0"/>
        <v>0</v>
      </c>
      <c r="C58" s="205">
        <f t="shared" si="1"/>
        <v>0</v>
      </c>
      <c r="D58" s="220"/>
      <c r="F58" s="214"/>
      <c r="R58" s="222"/>
    </row>
    <row r="59" spans="1:18" x14ac:dyDescent="0.35">
      <c r="A59" s="203">
        <f t="shared" si="0"/>
        <v>0</v>
      </c>
      <c r="C59" s="205">
        <f t="shared" si="1"/>
        <v>0</v>
      </c>
      <c r="D59" s="220"/>
      <c r="F59" s="214"/>
      <c r="R59" s="222"/>
    </row>
    <row r="60" spans="1:18" x14ac:dyDescent="0.35">
      <c r="A60" s="203">
        <f t="shared" si="0"/>
        <v>0</v>
      </c>
      <c r="C60" s="205">
        <f t="shared" si="1"/>
        <v>0</v>
      </c>
      <c r="D60" s="220"/>
      <c r="F60" s="214"/>
      <c r="R60" s="222"/>
    </row>
    <row r="61" spans="1:18" x14ac:dyDescent="0.35">
      <c r="A61" s="203">
        <f t="shared" si="0"/>
        <v>0</v>
      </c>
      <c r="C61" s="205">
        <f t="shared" si="1"/>
        <v>0</v>
      </c>
      <c r="D61" s="220"/>
      <c r="F61" s="214"/>
      <c r="R61" s="222"/>
    </row>
    <row r="62" spans="1:18" x14ac:dyDescent="0.35">
      <c r="A62" s="203">
        <f t="shared" si="0"/>
        <v>0</v>
      </c>
      <c r="C62" s="205">
        <f t="shared" si="1"/>
        <v>0</v>
      </c>
      <c r="D62" s="220"/>
      <c r="F62" s="214"/>
      <c r="R62" s="222"/>
    </row>
    <row r="63" spans="1:18" x14ac:dyDescent="0.35">
      <c r="A63" s="203">
        <f t="shared" si="0"/>
        <v>0</v>
      </c>
      <c r="C63" s="205">
        <f t="shared" si="1"/>
        <v>0</v>
      </c>
      <c r="D63" s="220"/>
      <c r="F63" s="214"/>
      <c r="R63" s="222"/>
    </row>
    <row r="64" spans="1:18" x14ac:dyDescent="0.35">
      <c r="A64" s="203">
        <f t="shared" si="0"/>
        <v>0</v>
      </c>
      <c r="C64" s="205">
        <f t="shared" si="1"/>
        <v>0</v>
      </c>
      <c r="D64" s="220"/>
      <c r="F64" s="214"/>
      <c r="R64" s="222"/>
    </row>
    <row r="65" spans="1:18" x14ac:dyDescent="0.35">
      <c r="A65" s="203">
        <f t="shared" si="0"/>
        <v>0</v>
      </c>
      <c r="C65" s="205">
        <f t="shared" si="1"/>
        <v>0</v>
      </c>
      <c r="D65" s="220"/>
      <c r="F65" s="214"/>
      <c r="R65" s="222"/>
    </row>
    <row r="66" spans="1:18" x14ac:dyDescent="0.35">
      <c r="A66" s="203">
        <f t="shared" si="0"/>
        <v>0</v>
      </c>
      <c r="C66" s="205">
        <f t="shared" si="1"/>
        <v>0</v>
      </c>
      <c r="D66" s="220"/>
      <c r="F66" s="214"/>
      <c r="R66" s="222"/>
    </row>
    <row r="67" spans="1:18" x14ac:dyDescent="0.35">
      <c r="A67" s="203">
        <f t="shared" ref="A67:A130" si="2">F67</f>
        <v>0</v>
      </c>
      <c r="C67" s="205">
        <f t="shared" ref="C67:C130" si="3">F67</f>
        <v>0</v>
      </c>
      <c r="D67" s="220"/>
      <c r="F67" s="214"/>
      <c r="R67" s="222"/>
    </row>
    <row r="68" spans="1:18" x14ac:dyDescent="0.35">
      <c r="A68" s="203">
        <f t="shared" si="2"/>
        <v>0</v>
      </c>
      <c r="C68" s="205">
        <f t="shared" si="3"/>
        <v>0</v>
      </c>
      <c r="D68" s="220"/>
      <c r="F68" s="214"/>
      <c r="R68" s="222"/>
    </row>
    <row r="69" spans="1:18" x14ac:dyDescent="0.35">
      <c r="A69" s="203">
        <f t="shared" si="2"/>
        <v>0</v>
      </c>
      <c r="C69" s="205">
        <f t="shared" si="3"/>
        <v>0</v>
      </c>
      <c r="D69" s="220"/>
      <c r="F69" s="214"/>
      <c r="R69" s="222"/>
    </row>
    <row r="70" spans="1:18" x14ac:dyDescent="0.35">
      <c r="A70" s="203">
        <f t="shared" si="2"/>
        <v>0</v>
      </c>
      <c r="C70" s="205">
        <f t="shared" si="3"/>
        <v>0</v>
      </c>
      <c r="D70" s="220"/>
      <c r="F70" s="214"/>
      <c r="R70" s="222"/>
    </row>
    <row r="71" spans="1:18" x14ac:dyDescent="0.35">
      <c r="A71" s="203">
        <f t="shared" si="2"/>
        <v>0</v>
      </c>
      <c r="C71" s="205">
        <f t="shared" si="3"/>
        <v>0</v>
      </c>
      <c r="D71" s="220"/>
      <c r="F71" s="214"/>
      <c r="R71" s="222"/>
    </row>
    <row r="72" spans="1:18" x14ac:dyDescent="0.35">
      <c r="A72" s="203">
        <f t="shared" si="2"/>
        <v>0</v>
      </c>
      <c r="C72" s="205">
        <f t="shared" si="3"/>
        <v>0</v>
      </c>
      <c r="D72" s="220"/>
      <c r="F72" s="214"/>
      <c r="R72" s="222"/>
    </row>
    <row r="73" spans="1:18" x14ac:dyDescent="0.35">
      <c r="A73" s="203">
        <f t="shared" si="2"/>
        <v>0</v>
      </c>
      <c r="C73" s="205">
        <f t="shared" si="3"/>
        <v>0</v>
      </c>
      <c r="D73" s="223"/>
      <c r="R73" s="222"/>
    </row>
    <row r="74" spans="1:18" x14ac:dyDescent="0.35">
      <c r="A74" s="203">
        <f t="shared" si="2"/>
        <v>0</v>
      </c>
      <c r="C74" s="205">
        <f t="shared" si="3"/>
        <v>0</v>
      </c>
      <c r="D74" s="223"/>
      <c r="R74" s="222"/>
    </row>
    <row r="75" spans="1:18" x14ac:dyDescent="0.35">
      <c r="A75" s="203">
        <f t="shared" si="2"/>
        <v>0</v>
      </c>
      <c r="C75" s="205">
        <f t="shared" si="3"/>
        <v>0</v>
      </c>
      <c r="D75" s="223"/>
      <c r="R75" s="222"/>
    </row>
    <row r="76" spans="1:18" x14ac:dyDescent="0.35">
      <c r="A76" s="203">
        <f t="shared" si="2"/>
        <v>0</v>
      </c>
      <c r="C76" s="205">
        <f t="shared" si="3"/>
        <v>0</v>
      </c>
      <c r="D76" s="223"/>
      <c r="R76" s="222"/>
    </row>
    <row r="77" spans="1:18" x14ac:dyDescent="0.35">
      <c r="A77" s="203">
        <f t="shared" si="2"/>
        <v>0</v>
      </c>
      <c r="C77" s="205">
        <f t="shared" si="3"/>
        <v>0</v>
      </c>
      <c r="D77" s="223"/>
      <c r="R77" s="222"/>
    </row>
    <row r="78" spans="1:18" x14ac:dyDescent="0.35">
      <c r="A78" s="203">
        <f t="shared" si="2"/>
        <v>0</v>
      </c>
      <c r="C78" s="205">
        <f t="shared" si="3"/>
        <v>0</v>
      </c>
      <c r="D78" s="223"/>
      <c r="R78" s="222"/>
    </row>
    <row r="79" spans="1:18" x14ac:dyDescent="0.35">
      <c r="A79" s="203">
        <f t="shared" si="2"/>
        <v>0</v>
      </c>
      <c r="C79" s="205">
        <f t="shared" si="3"/>
        <v>0</v>
      </c>
      <c r="D79" s="223"/>
      <c r="R79" s="222"/>
    </row>
    <row r="80" spans="1:18" x14ac:dyDescent="0.35">
      <c r="A80" s="203">
        <f t="shared" si="2"/>
        <v>0</v>
      </c>
      <c r="C80" s="205">
        <f t="shared" si="3"/>
        <v>0</v>
      </c>
      <c r="D80" s="223"/>
      <c r="R80" s="222"/>
    </row>
    <row r="81" spans="1:18" x14ac:dyDescent="0.35">
      <c r="A81" s="203">
        <f t="shared" si="2"/>
        <v>0</v>
      </c>
      <c r="C81" s="205">
        <f t="shared" si="3"/>
        <v>0</v>
      </c>
      <c r="D81" s="223"/>
      <c r="R81" s="222"/>
    </row>
    <row r="82" spans="1:18" x14ac:dyDescent="0.35">
      <c r="A82" s="203">
        <f t="shared" si="2"/>
        <v>0</v>
      </c>
      <c r="C82" s="205">
        <f t="shared" si="3"/>
        <v>0</v>
      </c>
      <c r="D82" s="223"/>
      <c r="R82" s="222"/>
    </row>
    <row r="83" spans="1:18" x14ac:dyDescent="0.35">
      <c r="A83" s="203">
        <f t="shared" si="2"/>
        <v>0</v>
      </c>
      <c r="C83" s="205">
        <f t="shared" si="3"/>
        <v>0</v>
      </c>
      <c r="D83" s="223"/>
      <c r="R83" s="222"/>
    </row>
    <row r="84" spans="1:18" x14ac:dyDescent="0.35">
      <c r="A84" s="203">
        <f t="shared" si="2"/>
        <v>0</v>
      </c>
      <c r="C84" s="205">
        <f t="shared" si="3"/>
        <v>0</v>
      </c>
      <c r="D84" s="223"/>
      <c r="R84" s="222"/>
    </row>
    <row r="85" spans="1:18" x14ac:dyDescent="0.35">
      <c r="A85" s="203">
        <f t="shared" si="2"/>
        <v>0</v>
      </c>
      <c r="C85" s="205">
        <f t="shared" si="3"/>
        <v>0</v>
      </c>
      <c r="D85" s="223"/>
      <c r="R85" s="222"/>
    </row>
    <row r="86" spans="1:18" x14ac:dyDescent="0.35">
      <c r="A86" s="203">
        <f t="shared" si="2"/>
        <v>0</v>
      </c>
      <c r="C86" s="205">
        <f t="shared" si="3"/>
        <v>0</v>
      </c>
      <c r="D86" s="223"/>
      <c r="R86" s="222"/>
    </row>
    <row r="87" spans="1:18" x14ac:dyDescent="0.35">
      <c r="A87" s="203">
        <f t="shared" si="2"/>
        <v>0</v>
      </c>
      <c r="C87" s="205">
        <f t="shared" si="3"/>
        <v>0</v>
      </c>
      <c r="D87" s="223"/>
      <c r="R87" s="222"/>
    </row>
    <row r="88" spans="1:18" x14ac:dyDescent="0.35">
      <c r="A88" s="203">
        <f t="shared" si="2"/>
        <v>0</v>
      </c>
      <c r="C88" s="205">
        <f t="shared" si="3"/>
        <v>0</v>
      </c>
      <c r="D88" s="223"/>
      <c r="R88" s="222"/>
    </row>
    <row r="89" spans="1:18" x14ac:dyDescent="0.35">
      <c r="A89" s="203">
        <f t="shared" si="2"/>
        <v>0</v>
      </c>
      <c r="C89" s="205">
        <f t="shared" si="3"/>
        <v>0</v>
      </c>
      <c r="D89" s="223"/>
      <c r="R89" s="222"/>
    </row>
    <row r="90" spans="1:18" x14ac:dyDescent="0.35">
      <c r="A90" s="203">
        <f t="shared" si="2"/>
        <v>0</v>
      </c>
      <c r="C90" s="205">
        <f t="shared" si="3"/>
        <v>0</v>
      </c>
      <c r="D90" s="223"/>
      <c r="R90" s="222"/>
    </row>
    <row r="91" spans="1:18" x14ac:dyDescent="0.35">
      <c r="A91" s="203">
        <f t="shared" si="2"/>
        <v>0</v>
      </c>
      <c r="C91" s="205">
        <f t="shared" si="3"/>
        <v>0</v>
      </c>
      <c r="D91" s="223"/>
      <c r="R91" s="222"/>
    </row>
    <row r="92" spans="1:18" x14ac:dyDescent="0.35">
      <c r="A92" s="203">
        <f t="shared" si="2"/>
        <v>0</v>
      </c>
      <c r="C92" s="205">
        <f t="shared" si="3"/>
        <v>0</v>
      </c>
      <c r="D92" s="223"/>
      <c r="R92" s="222"/>
    </row>
    <row r="93" spans="1:18" x14ac:dyDescent="0.35">
      <c r="A93" s="203">
        <f t="shared" si="2"/>
        <v>0</v>
      </c>
      <c r="C93" s="205">
        <f t="shared" si="3"/>
        <v>0</v>
      </c>
      <c r="D93" s="223"/>
      <c r="R93" s="222"/>
    </row>
    <row r="94" spans="1:18" x14ac:dyDescent="0.35">
      <c r="A94" s="203">
        <f t="shared" si="2"/>
        <v>0</v>
      </c>
      <c r="C94" s="205">
        <f t="shared" si="3"/>
        <v>0</v>
      </c>
      <c r="D94" s="223"/>
      <c r="R94" s="222"/>
    </row>
    <row r="95" spans="1:18" x14ac:dyDescent="0.35">
      <c r="A95" s="203">
        <f t="shared" si="2"/>
        <v>0</v>
      </c>
      <c r="C95" s="205">
        <f t="shared" si="3"/>
        <v>0</v>
      </c>
      <c r="D95" s="223"/>
      <c r="R95" s="222"/>
    </row>
    <row r="96" spans="1:18" x14ac:dyDescent="0.35">
      <c r="A96" s="203">
        <f t="shared" si="2"/>
        <v>0</v>
      </c>
      <c r="C96" s="205">
        <f t="shared" si="3"/>
        <v>0</v>
      </c>
      <c r="D96" s="223"/>
      <c r="R96" s="222"/>
    </row>
    <row r="97" spans="1:18" x14ac:dyDescent="0.35">
      <c r="A97" s="203">
        <f t="shared" si="2"/>
        <v>0</v>
      </c>
      <c r="C97" s="205">
        <f t="shared" si="3"/>
        <v>0</v>
      </c>
      <c r="D97" s="223"/>
      <c r="R97" s="222"/>
    </row>
    <row r="98" spans="1:18" x14ac:dyDescent="0.35">
      <c r="A98" s="203">
        <f t="shared" si="2"/>
        <v>0</v>
      </c>
      <c r="C98" s="205">
        <f t="shared" si="3"/>
        <v>0</v>
      </c>
      <c r="D98" s="223"/>
      <c r="R98" s="222"/>
    </row>
    <row r="99" spans="1:18" x14ac:dyDescent="0.35">
      <c r="A99" s="203">
        <f t="shared" si="2"/>
        <v>0</v>
      </c>
      <c r="C99" s="205">
        <f t="shared" si="3"/>
        <v>0</v>
      </c>
      <c r="D99" s="223"/>
      <c r="R99" s="222"/>
    </row>
    <row r="100" spans="1:18" x14ac:dyDescent="0.35">
      <c r="A100" s="203">
        <f t="shared" si="2"/>
        <v>0</v>
      </c>
      <c r="C100" s="205">
        <f t="shared" si="3"/>
        <v>0</v>
      </c>
      <c r="D100" s="223"/>
      <c r="R100" s="222"/>
    </row>
    <row r="101" spans="1:18" x14ac:dyDescent="0.35">
      <c r="A101" s="203">
        <f t="shared" si="2"/>
        <v>0</v>
      </c>
      <c r="C101" s="205">
        <f t="shared" si="3"/>
        <v>0</v>
      </c>
      <c r="D101" s="223"/>
      <c r="R101" s="222"/>
    </row>
    <row r="102" spans="1:18" x14ac:dyDescent="0.35">
      <c r="A102" s="203">
        <f t="shared" si="2"/>
        <v>0</v>
      </c>
      <c r="C102" s="205">
        <f t="shared" si="3"/>
        <v>0</v>
      </c>
      <c r="D102" s="223"/>
      <c r="R102" s="222"/>
    </row>
    <row r="103" spans="1:18" x14ac:dyDescent="0.35">
      <c r="A103" s="203">
        <f t="shared" si="2"/>
        <v>0</v>
      </c>
      <c r="C103" s="205">
        <f t="shared" si="3"/>
        <v>0</v>
      </c>
      <c r="D103" s="223"/>
      <c r="R103" s="222"/>
    </row>
    <row r="104" spans="1:18" x14ac:dyDescent="0.35">
      <c r="A104" s="203">
        <f t="shared" si="2"/>
        <v>0</v>
      </c>
      <c r="C104" s="205">
        <f t="shared" si="3"/>
        <v>0</v>
      </c>
      <c r="D104" s="223"/>
      <c r="R104" s="222"/>
    </row>
    <row r="105" spans="1:18" x14ac:dyDescent="0.35">
      <c r="A105" s="203">
        <f t="shared" si="2"/>
        <v>0</v>
      </c>
      <c r="C105" s="205">
        <f t="shared" si="3"/>
        <v>0</v>
      </c>
      <c r="D105" s="223"/>
      <c r="R105" s="222"/>
    </row>
    <row r="106" spans="1:18" x14ac:dyDescent="0.35">
      <c r="A106" s="203">
        <f t="shared" si="2"/>
        <v>0</v>
      </c>
      <c r="C106" s="205">
        <f t="shared" si="3"/>
        <v>0</v>
      </c>
      <c r="D106" s="223"/>
      <c r="R106" s="222"/>
    </row>
    <row r="107" spans="1:18" x14ac:dyDescent="0.35">
      <c r="A107" s="203">
        <f t="shared" si="2"/>
        <v>0</v>
      </c>
      <c r="C107" s="205">
        <f t="shared" si="3"/>
        <v>0</v>
      </c>
      <c r="D107" s="223"/>
      <c r="R107" s="222"/>
    </row>
    <row r="108" spans="1:18" x14ac:dyDescent="0.35">
      <c r="A108" s="203">
        <f t="shared" si="2"/>
        <v>0</v>
      </c>
      <c r="C108" s="205">
        <f t="shared" si="3"/>
        <v>0</v>
      </c>
      <c r="D108" s="223"/>
      <c r="R108" s="222"/>
    </row>
    <row r="109" spans="1:18" x14ac:dyDescent="0.35">
      <c r="A109" s="203">
        <f t="shared" si="2"/>
        <v>0</v>
      </c>
      <c r="C109" s="205">
        <f t="shared" si="3"/>
        <v>0</v>
      </c>
      <c r="D109" s="223"/>
      <c r="R109" s="222"/>
    </row>
    <row r="110" spans="1:18" x14ac:dyDescent="0.35">
      <c r="A110" s="203">
        <f t="shared" si="2"/>
        <v>0</v>
      </c>
      <c r="C110" s="205">
        <f t="shared" si="3"/>
        <v>0</v>
      </c>
      <c r="D110" s="223"/>
      <c r="R110" s="222"/>
    </row>
    <row r="111" spans="1:18" x14ac:dyDescent="0.35">
      <c r="A111" s="203">
        <f t="shared" si="2"/>
        <v>0</v>
      </c>
      <c r="C111" s="205">
        <f t="shared" si="3"/>
        <v>0</v>
      </c>
      <c r="D111" s="223"/>
      <c r="R111" s="222"/>
    </row>
    <row r="112" spans="1:18" x14ac:dyDescent="0.35">
      <c r="A112" s="203">
        <f t="shared" si="2"/>
        <v>0</v>
      </c>
      <c r="C112" s="205">
        <f t="shared" si="3"/>
        <v>0</v>
      </c>
      <c r="D112" s="223"/>
      <c r="R112" s="222"/>
    </row>
    <row r="113" spans="1:18" x14ac:dyDescent="0.35">
      <c r="A113" s="203">
        <f t="shared" si="2"/>
        <v>0</v>
      </c>
      <c r="C113" s="205">
        <f t="shared" si="3"/>
        <v>0</v>
      </c>
      <c r="D113" s="223"/>
      <c r="R113" s="222"/>
    </row>
    <row r="114" spans="1:18" x14ac:dyDescent="0.35">
      <c r="A114" s="203">
        <f t="shared" si="2"/>
        <v>0</v>
      </c>
      <c r="C114" s="205">
        <f t="shared" si="3"/>
        <v>0</v>
      </c>
      <c r="D114" s="223"/>
      <c r="R114" s="222"/>
    </row>
    <row r="115" spans="1:18" x14ac:dyDescent="0.35">
      <c r="A115" s="203">
        <f t="shared" si="2"/>
        <v>0</v>
      </c>
      <c r="C115" s="205">
        <f t="shared" si="3"/>
        <v>0</v>
      </c>
      <c r="D115" s="223"/>
      <c r="R115" s="222"/>
    </row>
    <row r="116" spans="1:18" x14ac:dyDescent="0.35">
      <c r="A116" s="203">
        <f t="shared" si="2"/>
        <v>0</v>
      </c>
      <c r="C116" s="205">
        <f t="shared" si="3"/>
        <v>0</v>
      </c>
      <c r="D116" s="223"/>
      <c r="R116" s="222"/>
    </row>
    <row r="117" spans="1:18" x14ac:dyDescent="0.35">
      <c r="A117" s="203">
        <f t="shared" si="2"/>
        <v>0</v>
      </c>
      <c r="C117" s="205">
        <f t="shared" si="3"/>
        <v>0</v>
      </c>
      <c r="D117" s="223"/>
      <c r="R117" s="222"/>
    </row>
    <row r="118" spans="1:18" x14ac:dyDescent="0.35">
      <c r="A118" s="203">
        <f t="shared" si="2"/>
        <v>0</v>
      </c>
      <c r="C118" s="205">
        <f t="shared" si="3"/>
        <v>0</v>
      </c>
      <c r="D118" s="223"/>
      <c r="R118" s="222"/>
    </row>
    <row r="119" spans="1:18" x14ac:dyDescent="0.35">
      <c r="A119" s="203">
        <f t="shared" si="2"/>
        <v>0</v>
      </c>
      <c r="C119" s="205">
        <f t="shared" si="3"/>
        <v>0</v>
      </c>
      <c r="D119" s="223"/>
      <c r="R119" s="222"/>
    </row>
    <row r="120" spans="1:18" x14ac:dyDescent="0.35">
      <c r="A120" s="203">
        <f t="shared" si="2"/>
        <v>0</v>
      </c>
      <c r="C120" s="205">
        <f t="shared" si="3"/>
        <v>0</v>
      </c>
      <c r="D120" s="223"/>
      <c r="R120" s="222"/>
    </row>
    <row r="121" spans="1:18" x14ac:dyDescent="0.35">
      <c r="A121" s="203">
        <f t="shared" si="2"/>
        <v>0</v>
      </c>
      <c r="C121" s="205">
        <f t="shared" si="3"/>
        <v>0</v>
      </c>
      <c r="D121" s="223"/>
      <c r="R121" s="222"/>
    </row>
    <row r="122" spans="1:18" x14ac:dyDescent="0.35">
      <c r="A122" s="203">
        <f t="shared" si="2"/>
        <v>0</v>
      </c>
      <c r="C122" s="205">
        <f t="shared" si="3"/>
        <v>0</v>
      </c>
      <c r="D122" s="223"/>
      <c r="R122" s="222"/>
    </row>
    <row r="123" spans="1:18" x14ac:dyDescent="0.35">
      <c r="A123" s="203">
        <f t="shared" si="2"/>
        <v>0</v>
      </c>
      <c r="C123" s="205">
        <f t="shared" si="3"/>
        <v>0</v>
      </c>
      <c r="D123" s="223"/>
      <c r="R123" s="222"/>
    </row>
    <row r="124" spans="1:18" x14ac:dyDescent="0.35">
      <c r="A124" s="203">
        <f t="shared" si="2"/>
        <v>0</v>
      </c>
      <c r="C124" s="205">
        <f t="shared" si="3"/>
        <v>0</v>
      </c>
      <c r="D124" s="223"/>
      <c r="R124" s="222"/>
    </row>
    <row r="125" spans="1:18" x14ac:dyDescent="0.35">
      <c r="A125" s="203">
        <f t="shared" si="2"/>
        <v>0</v>
      </c>
      <c r="C125" s="205">
        <f t="shared" si="3"/>
        <v>0</v>
      </c>
      <c r="D125" s="223"/>
      <c r="R125" s="222"/>
    </row>
    <row r="126" spans="1:18" x14ac:dyDescent="0.35">
      <c r="A126" s="203">
        <f t="shared" si="2"/>
        <v>0</v>
      </c>
      <c r="C126" s="205">
        <f t="shared" si="3"/>
        <v>0</v>
      </c>
      <c r="D126" s="223"/>
      <c r="R126" s="222"/>
    </row>
    <row r="127" spans="1:18" x14ac:dyDescent="0.35">
      <c r="A127" s="203">
        <f t="shared" si="2"/>
        <v>0</v>
      </c>
      <c r="C127" s="205">
        <f t="shared" si="3"/>
        <v>0</v>
      </c>
      <c r="D127" s="223"/>
      <c r="R127" s="222"/>
    </row>
    <row r="128" spans="1:18" x14ac:dyDescent="0.35">
      <c r="A128" s="203">
        <f t="shared" si="2"/>
        <v>0</v>
      </c>
      <c r="C128" s="205">
        <f t="shared" si="3"/>
        <v>0</v>
      </c>
      <c r="D128" s="223"/>
      <c r="R128" s="222"/>
    </row>
    <row r="129" spans="1:18" x14ac:dyDescent="0.35">
      <c r="A129" s="203">
        <f t="shared" si="2"/>
        <v>0</v>
      </c>
      <c r="C129" s="205">
        <f t="shared" si="3"/>
        <v>0</v>
      </c>
      <c r="D129" s="223"/>
      <c r="R129" s="222"/>
    </row>
    <row r="130" spans="1:18" x14ac:dyDescent="0.35">
      <c r="A130" s="203">
        <f t="shared" si="2"/>
        <v>0</v>
      </c>
      <c r="C130" s="205">
        <f t="shared" si="3"/>
        <v>0</v>
      </c>
      <c r="D130" s="223"/>
      <c r="R130" s="222"/>
    </row>
    <row r="131" spans="1:18" x14ac:dyDescent="0.35">
      <c r="A131" s="203">
        <f t="shared" ref="A131:A194" si="4">F131</f>
        <v>0</v>
      </c>
      <c r="C131" s="205">
        <f t="shared" ref="C131:C194" si="5">F131</f>
        <v>0</v>
      </c>
      <c r="D131" s="223"/>
      <c r="R131" s="222"/>
    </row>
    <row r="132" spans="1:18" x14ac:dyDescent="0.35">
      <c r="A132" s="203">
        <f t="shared" si="4"/>
        <v>0</v>
      </c>
      <c r="C132" s="205">
        <f t="shared" si="5"/>
        <v>0</v>
      </c>
      <c r="D132" s="223"/>
      <c r="R132" s="222"/>
    </row>
    <row r="133" spans="1:18" x14ac:dyDescent="0.35">
      <c r="A133" s="203">
        <f t="shared" si="4"/>
        <v>0</v>
      </c>
      <c r="C133" s="205">
        <f t="shared" si="5"/>
        <v>0</v>
      </c>
      <c r="D133" s="223"/>
      <c r="R133" s="222"/>
    </row>
    <row r="134" spans="1:18" x14ac:dyDescent="0.35">
      <c r="A134" s="203">
        <f t="shared" si="4"/>
        <v>0</v>
      </c>
      <c r="C134" s="205">
        <f t="shared" si="5"/>
        <v>0</v>
      </c>
      <c r="D134" s="223"/>
      <c r="R134" s="222"/>
    </row>
    <row r="135" spans="1:18" x14ac:dyDescent="0.35">
      <c r="A135" s="203">
        <f t="shared" si="4"/>
        <v>0</v>
      </c>
      <c r="C135" s="205">
        <f t="shared" si="5"/>
        <v>0</v>
      </c>
      <c r="D135" s="223"/>
      <c r="R135" s="222"/>
    </row>
    <row r="136" spans="1:18" x14ac:dyDescent="0.35">
      <c r="A136" s="203">
        <f t="shared" si="4"/>
        <v>0</v>
      </c>
      <c r="C136" s="205">
        <f t="shared" si="5"/>
        <v>0</v>
      </c>
      <c r="D136" s="223"/>
      <c r="R136" s="222"/>
    </row>
    <row r="137" spans="1:18" x14ac:dyDescent="0.35">
      <c r="A137" s="203">
        <f t="shared" si="4"/>
        <v>0</v>
      </c>
      <c r="C137" s="205">
        <f t="shared" si="5"/>
        <v>0</v>
      </c>
      <c r="D137" s="223"/>
      <c r="R137" s="222"/>
    </row>
    <row r="138" spans="1:18" x14ac:dyDescent="0.35">
      <c r="A138" s="203">
        <f t="shared" si="4"/>
        <v>0</v>
      </c>
      <c r="C138" s="205">
        <f t="shared" si="5"/>
        <v>0</v>
      </c>
      <c r="D138" s="223"/>
      <c r="R138" s="222"/>
    </row>
    <row r="139" spans="1:18" x14ac:dyDescent="0.35">
      <c r="A139" s="203">
        <f t="shared" si="4"/>
        <v>0</v>
      </c>
      <c r="C139" s="205">
        <f t="shared" si="5"/>
        <v>0</v>
      </c>
      <c r="D139" s="223"/>
      <c r="R139" s="222"/>
    </row>
    <row r="140" spans="1:18" x14ac:dyDescent="0.35">
      <c r="A140" s="203">
        <f t="shared" si="4"/>
        <v>0</v>
      </c>
      <c r="C140" s="205">
        <f t="shared" si="5"/>
        <v>0</v>
      </c>
      <c r="D140" s="223"/>
      <c r="R140" s="222"/>
    </row>
    <row r="141" spans="1:18" x14ac:dyDescent="0.35">
      <c r="A141" s="203">
        <f t="shared" si="4"/>
        <v>0</v>
      </c>
      <c r="C141" s="205">
        <f t="shared" si="5"/>
        <v>0</v>
      </c>
      <c r="D141" s="223"/>
      <c r="R141" s="222"/>
    </row>
    <row r="142" spans="1:18" x14ac:dyDescent="0.35">
      <c r="A142" s="203">
        <f t="shared" si="4"/>
        <v>0</v>
      </c>
      <c r="C142" s="205">
        <f t="shared" si="5"/>
        <v>0</v>
      </c>
      <c r="D142" s="223"/>
      <c r="R142" s="222"/>
    </row>
    <row r="143" spans="1:18" x14ac:dyDescent="0.35">
      <c r="A143" s="203">
        <f t="shared" si="4"/>
        <v>0</v>
      </c>
      <c r="C143" s="205">
        <f t="shared" si="5"/>
        <v>0</v>
      </c>
      <c r="D143" s="223"/>
      <c r="R143" s="222"/>
    </row>
    <row r="144" spans="1:18" x14ac:dyDescent="0.35">
      <c r="A144" s="203">
        <f t="shared" si="4"/>
        <v>0</v>
      </c>
      <c r="C144" s="205">
        <f t="shared" si="5"/>
        <v>0</v>
      </c>
      <c r="D144" s="223"/>
      <c r="R144" s="222"/>
    </row>
    <row r="145" spans="1:18" x14ac:dyDescent="0.35">
      <c r="A145" s="203">
        <f t="shared" si="4"/>
        <v>0</v>
      </c>
      <c r="C145" s="205">
        <f t="shared" si="5"/>
        <v>0</v>
      </c>
      <c r="D145" s="223"/>
      <c r="R145" s="222"/>
    </row>
    <row r="146" spans="1:18" x14ac:dyDescent="0.35">
      <c r="A146" s="203">
        <f t="shared" si="4"/>
        <v>0</v>
      </c>
      <c r="C146" s="205">
        <f t="shared" si="5"/>
        <v>0</v>
      </c>
      <c r="D146" s="223"/>
      <c r="R146" s="222"/>
    </row>
    <row r="147" spans="1:18" x14ac:dyDescent="0.35">
      <c r="A147" s="203">
        <f t="shared" si="4"/>
        <v>0</v>
      </c>
      <c r="C147" s="205">
        <f t="shared" si="5"/>
        <v>0</v>
      </c>
      <c r="D147" s="223"/>
      <c r="R147" s="222"/>
    </row>
    <row r="148" spans="1:18" x14ac:dyDescent="0.35">
      <c r="A148" s="203">
        <f t="shared" si="4"/>
        <v>0</v>
      </c>
      <c r="C148" s="205">
        <f t="shared" si="5"/>
        <v>0</v>
      </c>
      <c r="D148" s="223"/>
      <c r="R148" s="222"/>
    </row>
    <row r="149" spans="1:18" x14ac:dyDescent="0.35">
      <c r="A149" s="203">
        <f t="shared" si="4"/>
        <v>0</v>
      </c>
      <c r="C149" s="205">
        <f t="shared" si="5"/>
        <v>0</v>
      </c>
      <c r="D149" s="223"/>
      <c r="R149" s="222"/>
    </row>
    <row r="150" spans="1:18" x14ac:dyDescent="0.35">
      <c r="A150" s="203">
        <f t="shared" si="4"/>
        <v>0</v>
      </c>
      <c r="C150" s="205">
        <f t="shared" si="5"/>
        <v>0</v>
      </c>
      <c r="D150" s="223"/>
      <c r="R150" s="222"/>
    </row>
    <row r="151" spans="1:18" x14ac:dyDescent="0.35">
      <c r="A151" s="203">
        <f t="shared" si="4"/>
        <v>0</v>
      </c>
      <c r="C151" s="205">
        <f t="shared" si="5"/>
        <v>0</v>
      </c>
      <c r="D151" s="223"/>
      <c r="R151" s="222"/>
    </row>
    <row r="152" spans="1:18" x14ac:dyDescent="0.35">
      <c r="A152" s="203">
        <f t="shared" si="4"/>
        <v>0</v>
      </c>
      <c r="C152" s="205">
        <f t="shared" si="5"/>
        <v>0</v>
      </c>
      <c r="D152" s="223"/>
      <c r="R152" s="222"/>
    </row>
    <row r="153" spans="1:18" x14ac:dyDescent="0.35">
      <c r="A153" s="203">
        <f t="shared" si="4"/>
        <v>0</v>
      </c>
      <c r="C153" s="205">
        <f t="shared" si="5"/>
        <v>0</v>
      </c>
      <c r="D153" s="223"/>
      <c r="R153" s="222"/>
    </row>
    <row r="154" spans="1:18" x14ac:dyDescent="0.35">
      <c r="A154" s="203">
        <f t="shared" si="4"/>
        <v>0</v>
      </c>
      <c r="C154" s="205">
        <f t="shared" si="5"/>
        <v>0</v>
      </c>
      <c r="D154" s="223"/>
      <c r="R154" s="222"/>
    </row>
    <row r="155" spans="1:18" x14ac:dyDescent="0.35">
      <c r="A155" s="203">
        <f t="shared" si="4"/>
        <v>0</v>
      </c>
      <c r="C155" s="205">
        <f t="shared" si="5"/>
        <v>0</v>
      </c>
      <c r="D155" s="223"/>
      <c r="R155" s="222"/>
    </row>
    <row r="156" spans="1:18" x14ac:dyDescent="0.35">
      <c r="A156" s="203">
        <f t="shared" si="4"/>
        <v>0</v>
      </c>
      <c r="C156" s="205">
        <f t="shared" si="5"/>
        <v>0</v>
      </c>
      <c r="D156" s="223"/>
      <c r="R156" s="222"/>
    </row>
    <row r="157" spans="1:18" x14ac:dyDescent="0.35">
      <c r="A157" s="203">
        <f t="shared" si="4"/>
        <v>0</v>
      </c>
      <c r="C157" s="205">
        <f t="shared" si="5"/>
        <v>0</v>
      </c>
      <c r="D157" s="223"/>
      <c r="R157" s="222"/>
    </row>
    <row r="158" spans="1:18" x14ac:dyDescent="0.35">
      <c r="A158" s="203">
        <f t="shared" si="4"/>
        <v>0</v>
      </c>
      <c r="C158" s="205">
        <f t="shared" si="5"/>
        <v>0</v>
      </c>
      <c r="D158" s="223"/>
      <c r="R158" s="222"/>
    </row>
    <row r="159" spans="1:18" x14ac:dyDescent="0.35">
      <c r="A159" s="203">
        <f t="shared" si="4"/>
        <v>0</v>
      </c>
      <c r="C159" s="205">
        <f t="shared" si="5"/>
        <v>0</v>
      </c>
      <c r="D159" s="223"/>
      <c r="R159" s="222"/>
    </row>
    <row r="160" spans="1:18" x14ac:dyDescent="0.35">
      <c r="A160" s="203">
        <f t="shared" si="4"/>
        <v>0</v>
      </c>
      <c r="C160" s="205">
        <f t="shared" si="5"/>
        <v>0</v>
      </c>
      <c r="D160" s="223"/>
      <c r="R160" s="222"/>
    </row>
    <row r="161" spans="1:18" x14ac:dyDescent="0.35">
      <c r="A161" s="203">
        <f t="shared" si="4"/>
        <v>0</v>
      </c>
      <c r="C161" s="205">
        <f t="shared" si="5"/>
        <v>0</v>
      </c>
      <c r="D161" s="223"/>
      <c r="R161" s="222"/>
    </row>
    <row r="162" spans="1:18" x14ac:dyDescent="0.35">
      <c r="A162" s="203">
        <f t="shared" si="4"/>
        <v>0</v>
      </c>
      <c r="C162" s="205">
        <f t="shared" si="5"/>
        <v>0</v>
      </c>
      <c r="D162" s="223"/>
      <c r="R162" s="222"/>
    </row>
    <row r="163" spans="1:18" x14ac:dyDescent="0.35">
      <c r="A163" s="203">
        <f t="shared" si="4"/>
        <v>0</v>
      </c>
      <c r="C163" s="205">
        <f t="shared" si="5"/>
        <v>0</v>
      </c>
      <c r="D163" s="223"/>
      <c r="R163" s="222"/>
    </row>
    <row r="164" spans="1:18" x14ac:dyDescent="0.35">
      <c r="A164" s="203">
        <f t="shared" si="4"/>
        <v>0</v>
      </c>
      <c r="C164" s="205">
        <f t="shared" si="5"/>
        <v>0</v>
      </c>
      <c r="D164" s="223"/>
      <c r="R164" s="222"/>
    </row>
    <row r="165" spans="1:18" x14ac:dyDescent="0.35">
      <c r="A165" s="203">
        <f t="shared" si="4"/>
        <v>0</v>
      </c>
      <c r="C165" s="205">
        <f t="shared" si="5"/>
        <v>0</v>
      </c>
      <c r="D165" s="223"/>
      <c r="R165" s="222"/>
    </row>
    <row r="166" spans="1:18" x14ac:dyDescent="0.35">
      <c r="A166" s="203">
        <f t="shared" si="4"/>
        <v>0</v>
      </c>
      <c r="C166" s="205">
        <f t="shared" si="5"/>
        <v>0</v>
      </c>
      <c r="D166" s="223"/>
      <c r="R166" s="222"/>
    </row>
    <row r="167" spans="1:18" x14ac:dyDescent="0.35">
      <c r="A167" s="203">
        <f t="shared" si="4"/>
        <v>0</v>
      </c>
      <c r="C167" s="205">
        <f t="shared" si="5"/>
        <v>0</v>
      </c>
      <c r="D167" s="223"/>
      <c r="R167" s="222"/>
    </row>
    <row r="168" spans="1:18" x14ac:dyDescent="0.35">
      <c r="A168" s="203">
        <f t="shared" si="4"/>
        <v>0</v>
      </c>
      <c r="C168" s="205">
        <f t="shared" si="5"/>
        <v>0</v>
      </c>
      <c r="D168" s="223"/>
      <c r="R168" s="222"/>
    </row>
    <row r="169" spans="1:18" x14ac:dyDescent="0.35">
      <c r="A169" s="203">
        <f t="shared" si="4"/>
        <v>0</v>
      </c>
      <c r="C169" s="205">
        <f t="shared" si="5"/>
        <v>0</v>
      </c>
      <c r="D169" s="223"/>
      <c r="R169" s="222"/>
    </row>
    <row r="170" spans="1:18" x14ac:dyDescent="0.35">
      <c r="A170" s="203">
        <f t="shared" si="4"/>
        <v>0</v>
      </c>
      <c r="C170" s="205">
        <f t="shared" si="5"/>
        <v>0</v>
      </c>
      <c r="D170" s="223"/>
      <c r="R170" s="222"/>
    </row>
    <row r="171" spans="1:18" x14ac:dyDescent="0.35">
      <c r="A171" s="203">
        <f t="shared" si="4"/>
        <v>0</v>
      </c>
      <c r="C171" s="205">
        <f t="shared" si="5"/>
        <v>0</v>
      </c>
      <c r="D171" s="223"/>
      <c r="R171" s="222"/>
    </row>
    <row r="172" spans="1:18" x14ac:dyDescent="0.35">
      <c r="A172" s="203">
        <f t="shared" si="4"/>
        <v>0</v>
      </c>
      <c r="C172" s="205">
        <f t="shared" si="5"/>
        <v>0</v>
      </c>
      <c r="D172" s="223"/>
      <c r="R172" s="222"/>
    </row>
    <row r="173" spans="1:18" x14ac:dyDescent="0.35">
      <c r="A173" s="203">
        <f t="shared" si="4"/>
        <v>0</v>
      </c>
      <c r="C173" s="205">
        <f t="shared" si="5"/>
        <v>0</v>
      </c>
      <c r="D173" s="223"/>
      <c r="R173" s="222"/>
    </row>
    <row r="174" spans="1:18" x14ac:dyDescent="0.35">
      <c r="A174" s="203">
        <f t="shared" si="4"/>
        <v>0</v>
      </c>
      <c r="C174" s="205">
        <f t="shared" si="5"/>
        <v>0</v>
      </c>
      <c r="D174" s="223"/>
      <c r="R174" s="222"/>
    </row>
    <row r="175" spans="1:18" x14ac:dyDescent="0.35">
      <c r="A175" s="203">
        <f t="shared" si="4"/>
        <v>0</v>
      </c>
      <c r="C175" s="205">
        <f t="shared" si="5"/>
        <v>0</v>
      </c>
      <c r="D175" s="223"/>
      <c r="R175" s="222"/>
    </row>
    <row r="176" spans="1:18" x14ac:dyDescent="0.35">
      <c r="A176" s="203">
        <f t="shared" si="4"/>
        <v>0</v>
      </c>
      <c r="C176" s="205">
        <f t="shared" si="5"/>
        <v>0</v>
      </c>
      <c r="D176" s="223"/>
      <c r="R176" s="222"/>
    </row>
    <row r="177" spans="1:18" x14ac:dyDescent="0.35">
      <c r="A177" s="203">
        <f t="shared" si="4"/>
        <v>0</v>
      </c>
      <c r="C177" s="205">
        <f t="shared" si="5"/>
        <v>0</v>
      </c>
      <c r="D177" s="223"/>
      <c r="R177" s="222"/>
    </row>
    <row r="178" spans="1:18" x14ac:dyDescent="0.35">
      <c r="A178" s="203">
        <f t="shared" si="4"/>
        <v>0</v>
      </c>
      <c r="C178" s="205">
        <f t="shared" si="5"/>
        <v>0</v>
      </c>
      <c r="D178" s="223"/>
      <c r="R178" s="222"/>
    </row>
    <row r="179" spans="1:18" x14ac:dyDescent="0.35">
      <c r="A179" s="203">
        <f t="shared" si="4"/>
        <v>0</v>
      </c>
      <c r="C179" s="205">
        <f t="shared" si="5"/>
        <v>0</v>
      </c>
      <c r="D179" s="223"/>
      <c r="R179" s="222"/>
    </row>
    <row r="180" spans="1:18" x14ac:dyDescent="0.35">
      <c r="A180" s="203">
        <f t="shared" si="4"/>
        <v>0</v>
      </c>
      <c r="C180" s="205">
        <f t="shared" si="5"/>
        <v>0</v>
      </c>
      <c r="D180" s="223"/>
      <c r="R180" s="222"/>
    </row>
    <row r="181" spans="1:18" x14ac:dyDescent="0.35">
      <c r="A181" s="203">
        <f t="shared" si="4"/>
        <v>0</v>
      </c>
      <c r="C181" s="205">
        <f t="shared" si="5"/>
        <v>0</v>
      </c>
      <c r="D181" s="223"/>
      <c r="R181" s="222"/>
    </row>
    <row r="182" spans="1:18" x14ac:dyDescent="0.35">
      <c r="A182" s="203">
        <f t="shared" si="4"/>
        <v>0</v>
      </c>
      <c r="C182" s="205">
        <f t="shared" si="5"/>
        <v>0</v>
      </c>
      <c r="D182" s="223"/>
      <c r="R182" s="222"/>
    </row>
    <row r="183" spans="1:18" x14ac:dyDescent="0.35">
      <c r="A183" s="203">
        <f t="shared" si="4"/>
        <v>0</v>
      </c>
      <c r="C183" s="205">
        <f t="shared" si="5"/>
        <v>0</v>
      </c>
      <c r="D183" s="223"/>
      <c r="R183" s="222"/>
    </row>
    <row r="184" spans="1:18" x14ac:dyDescent="0.35">
      <c r="A184" s="203">
        <f t="shared" si="4"/>
        <v>0</v>
      </c>
      <c r="C184" s="205">
        <f t="shared" si="5"/>
        <v>0</v>
      </c>
      <c r="D184" s="223"/>
      <c r="R184" s="222"/>
    </row>
    <row r="185" spans="1:18" x14ac:dyDescent="0.35">
      <c r="A185" s="203">
        <f t="shared" si="4"/>
        <v>0</v>
      </c>
      <c r="C185" s="205">
        <f t="shared" si="5"/>
        <v>0</v>
      </c>
      <c r="D185" s="223"/>
      <c r="R185" s="222"/>
    </row>
    <row r="186" spans="1:18" x14ac:dyDescent="0.35">
      <c r="A186" s="203">
        <f t="shared" si="4"/>
        <v>0</v>
      </c>
      <c r="C186" s="205">
        <f t="shared" si="5"/>
        <v>0</v>
      </c>
      <c r="D186" s="223"/>
      <c r="R186" s="222"/>
    </row>
    <row r="187" spans="1:18" x14ac:dyDescent="0.35">
      <c r="A187" s="203">
        <f t="shared" si="4"/>
        <v>0</v>
      </c>
      <c r="C187" s="205">
        <f t="shared" si="5"/>
        <v>0</v>
      </c>
      <c r="D187" s="223"/>
      <c r="R187" s="222"/>
    </row>
    <row r="188" spans="1:18" x14ac:dyDescent="0.35">
      <c r="A188" s="203">
        <f t="shared" si="4"/>
        <v>0</v>
      </c>
      <c r="C188" s="205">
        <f t="shared" si="5"/>
        <v>0</v>
      </c>
      <c r="D188" s="223"/>
      <c r="R188" s="222"/>
    </row>
    <row r="189" spans="1:18" x14ac:dyDescent="0.35">
      <c r="A189" s="203">
        <f t="shared" si="4"/>
        <v>0</v>
      </c>
      <c r="C189" s="205">
        <f t="shared" si="5"/>
        <v>0</v>
      </c>
      <c r="D189" s="223"/>
      <c r="R189" s="222"/>
    </row>
    <row r="190" spans="1:18" x14ac:dyDescent="0.35">
      <c r="A190" s="203">
        <f t="shared" si="4"/>
        <v>0</v>
      </c>
      <c r="C190" s="205">
        <f t="shared" si="5"/>
        <v>0</v>
      </c>
      <c r="D190" s="223"/>
      <c r="R190" s="222"/>
    </row>
    <row r="191" spans="1:18" x14ac:dyDescent="0.35">
      <c r="A191" s="203">
        <f t="shared" si="4"/>
        <v>0</v>
      </c>
      <c r="C191" s="205">
        <f t="shared" si="5"/>
        <v>0</v>
      </c>
      <c r="D191" s="223"/>
      <c r="R191" s="222"/>
    </row>
    <row r="192" spans="1:18" x14ac:dyDescent="0.35">
      <c r="A192" s="203">
        <f t="shared" si="4"/>
        <v>0</v>
      </c>
      <c r="C192" s="205">
        <f t="shared" si="5"/>
        <v>0</v>
      </c>
      <c r="D192" s="223"/>
      <c r="R192" s="222"/>
    </row>
    <row r="193" spans="1:18" x14ac:dyDescent="0.35">
      <c r="A193" s="203">
        <f t="shared" si="4"/>
        <v>0</v>
      </c>
      <c r="C193" s="205">
        <f t="shared" si="5"/>
        <v>0</v>
      </c>
      <c r="D193" s="223"/>
      <c r="R193" s="222"/>
    </row>
    <row r="194" spans="1:18" x14ac:dyDescent="0.35">
      <c r="A194" s="203">
        <f t="shared" si="4"/>
        <v>0</v>
      </c>
      <c r="C194" s="205">
        <f t="shared" si="5"/>
        <v>0</v>
      </c>
      <c r="D194" s="223"/>
      <c r="R194" s="222"/>
    </row>
    <row r="195" spans="1:18" x14ac:dyDescent="0.35">
      <c r="A195" s="203">
        <f t="shared" ref="A195:A258" si="6">F195</f>
        <v>0</v>
      </c>
      <c r="C195" s="205">
        <f t="shared" ref="C195:C258" si="7">F195</f>
        <v>0</v>
      </c>
      <c r="D195" s="223"/>
      <c r="R195" s="222"/>
    </row>
    <row r="196" spans="1:18" x14ac:dyDescent="0.35">
      <c r="A196" s="203">
        <f t="shared" si="6"/>
        <v>0</v>
      </c>
      <c r="C196" s="205">
        <f t="shared" si="7"/>
        <v>0</v>
      </c>
      <c r="D196" s="223"/>
      <c r="R196" s="222"/>
    </row>
    <row r="197" spans="1:18" x14ac:dyDescent="0.35">
      <c r="A197" s="203">
        <f t="shared" si="6"/>
        <v>0</v>
      </c>
      <c r="C197" s="205">
        <f t="shared" si="7"/>
        <v>0</v>
      </c>
      <c r="D197" s="223"/>
      <c r="R197" s="222"/>
    </row>
    <row r="198" spans="1:18" x14ac:dyDescent="0.35">
      <c r="A198" s="203">
        <f t="shared" si="6"/>
        <v>0</v>
      </c>
      <c r="C198" s="205">
        <f t="shared" si="7"/>
        <v>0</v>
      </c>
      <c r="D198" s="223"/>
      <c r="R198" s="222"/>
    </row>
    <row r="199" spans="1:18" x14ac:dyDescent="0.35">
      <c r="A199" s="203">
        <f t="shared" si="6"/>
        <v>0</v>
      </c>
      <c r="C199" s="205">
        <f t="shared" si="7"/>
        <v>0</v>
      </c>
      <c r="D199" s="223"/>
      <c r="R199" s="222"/>
    </row>
    <row r="200" spans="1:18" x14ac:dyDescent="0.35">
      <c r="A200" s="203">
        <f t="shared" si="6"/>
        <v>0</v>
      </c>
      <c r="C200" s="205">
        <f t="shared" si="7"/>
        <v>0</v>
      </c>
      <c r="D200" s="223"/>
      <c r="R200" s="222"/>
    </row>
    <row r="201" spans="1:18" x14ac:dyDescent="0.35">
      <c r="A201" s="203">
        <f t="shared" si="6"/>
        <v>0</v>
      </c>
      <c r="C201" s="205">
        <f t="shared" si="7"/>
        <v>0</v>
      </c>
      <c r="D201" s="223"/>
      <c r="R201" s="222"/>
    </row>
    <row r="202" spans="1:18" x14ac:dyDescent="0.35">
      <c r="A202" s="203">
        <f t="shared" si="6"/>
        <v>0</v>
      </c>
      <c r="C202" s="205">
        <f t="shared" si="7"/>
        <v>0</v>
      </c>
      <c r="D202" s="223"/>
      <c r="R202" s="222"/>
    </row>
    <row r="203" spans="1:18" x14ac:dyDescent="0.35">
      <c r="A203" s="203">
        <f t="shared" si="6"/>
        <v>0</v>
      </c>
      <c r="C203" s="205">
        <f t="shared" si="7"/>
        <v>0</v>
      </c>
      <c r="D203" s="223"/>
      <c r="R203" s="222"/>
    </row>
    <row r="204" spans="1:18" x14ac:dyDescent="0.35">
      <c r="A204" s="203">
        <f t="shared" si="6"/>
        <v>0</v>
      </c>
      <c r="C204" s="205">
        <f t="shared" si="7"/>
        <v>0</v>
      </c>
      <c r="D204" s="223"/>
      <c r="R204" s="222"/>
    </row>
    <row r="205" spans="1:18" x14ac:dyDescent="0.35">
      <c r="A205" s="203">
        <f t="shared" si="6"/>
        <v>0</v>
      </c>
      <c r="C205" s="205">
        <f t="shared" si="7"/>
        <v>0</v>
      </c>
      <c r="D205" s="223"/>
      <c r="R205" s="222"/>
    </row>
    <row r="206" spans="1:18" x14ac:dyDescent="0.35">
      <c r="A206" s="203">
        <f t="shared" si="6"/>
        <v>0</v>
      </c>
      <c r="C206" s="205">
        <f t="shared" si="7"/>
        <v>0</v>
      </c>
      <c r="D206" s="223"/>
      <c r="R206" s="222"/>
    </row>
    <row r="207" spans="1:18" x14ac:dyDescent="0.35">
      <c r="A207" s="203">
        <f t="shared" si="6"/>
        <v>0</v>
      </c>
      <c r="C207" s="205">
        <f t="shared" si="7"/>
        <v>0</v>
      </c>
      <c r="D207" s="223"/>
      <c r="R207" s="222"/>
    </row>
    <row r="208" spans="1:18" x14ac:dyDescent="0.35">
      <c r="A208" s="203">
        <f t="shared" si="6"/>
        <v>0</v>
      </c>
      <c r="C208" s="205">
        <f t="shared" si="7"/>
        <v>0</v>
      </c>
      <c r="D208" s="223"/>
      <c r="R208" s="222"/>
    </row>
    <row r="209" spans="1:18" x14ac:dyDescent="0.35">
      <c r="A209" s="203">
        <f t="shared" si="6"/>
        <v>0</v>
      </c>
      <c r="C209" s="205">
        <f t="shared" si="7"/>
        <v>0</v>
      </c>
      <c r="D209" s="223"/>
      <c r="R209" s="222"/>
    </row>
    <row r="210" spans="1:18" x14ac:dyDescent="0.35">
      <c r="A210" s="203">
        <f t="shared" si="6"/>
        <v>0</v>
      </c>
      <c r="C210" s="205">
        <f t="shared" si="7"/>
        <v>0</v>
      </c>
      <c r="D210" s="223"/>
      <c r="R210" s="222"/>
    </row>
    <row r="211" spans="1:18" x14ac:dyDescent="0.35">
      <c r="A211" s="203">
        <f t="shared" si="6"/>
        <v>0</v>
      </c>
      <c r="C211" s="205">
        <f t="shared" si="7"/>
        <v>0</v>
      </c>
      <c r="D211" s="223"/>
      <c r="R211" s="222"/>
    </row>
    <row r="212" spans="1:18" x14ac:dyDescent="0.35">
      <c r="A212" s="203">
        <f t="shared" si="6"/>
        <v>0</v>
      </c>
      <c r="C212" s="205">
        <f t="shared" si="7"/>
        <v>0</v>
      </c>
      <c r="D212" s="223"/>
      <c r="R212" s="222"/>
    </row>
    <row r="213" spans="1:18" x14ac:dyDescent="0.35">
      <c r="A213" s="203">
        <f t="shared" si="6"/>
        <v>0</v>
      </c>
      <c r="C213" s="205">
        <f t="shared" si="7"/>
        <v>0</v>
      </c>
      <c r="D213" s="223"/>
      <c r="R213" s="222"/>
    </row>
    <row r="214" spans="1:18" x14ac:dyDescent="0.35">
      <c r="A214" s="203">
        <f t="shared" si="6"/>
        <v>0</v>
      </c>
      <c r="C214" s="205">
        <f t="shared" si="7"/>
        <v>0</v>
      </c>
      <c r="D214" s="223"/>
      <c r="R214" s="222"/>
    </row>
    <row r="215" spans="1:18" x14ac:dyDescent="0.35">
      <c r="A215" s="203">
        <f t="shared" si="6"/>
        <v>0</v>
      </c>
      <c r="C215" s="205">
        <f t="shared" si="7"/>
        <v>0</v>
      </c>
      <c r="D215" s="223"/>
      <c r="R215" s="222"/>
    </row>
    <row r="216" spans="1:18" x14ac:dyDescent="0.35">
      <c r="A216" s="203">
        <f t="shared" si="6"/>
        <v>0</v>
      </c>
      <c r="C216" s="205">
        <f t="shared" si="7"/>
        <v>0</v>
      </c>
      <c r="D216" s="223"/>
      <c r="R216" s="222"/>
    </row>
    <row r="217" spans="1:18" x14ac:dyDescent="0.35">
      <c r="A217" s="203">
        <f t="shared" si="6"/>
        <v>0</v>
      </c>
      <c r="C217" s="205">
        <f t="shared" si="7"/>
        <v>0</v>
      </c>
      <c r="D217" s="223"/>
      <c r="R217" s="222"/>
    </row>
    <row r="218" spans="1:18" x14ac:dyDescent="0.35">
      <c r="A218" s="203">
        <f t="shared" si="6"/>
        <v>0</v>
      </c>
      <c r="C218" s="205">
        <f t="shared" si="7"/>
        <v>0</v>
      </c>
      <c r="D218" s="223"/>
      <c r="R218" s="222"/>
    </row>
    <row r="219" spans="1:18" x14ac:dyDescent="0.35">
      <c r="A219" s="203">
        <f t="shared" si="6"/>
        <v>0</v>
      </c>
      <c r="C219" s="205">
        <f t="shared" si="7"/>
        <v>0</v>
      </c>
      <c r="D219" s="223"/>
      <c r="R219" s="222"/>
    </row>
    <row r="220" spans="1:18" x14ac:dyDescent="0.35">
      <c r="A220" s="203">
        <f t="shared" si="6"/>
        <v>0</v>
      </c>
      <c r="C220" s="205">
        <f t="shared" si="7"/>
        <v>0</v>
      </c>
      <c r="D220" s="223"/>
      <c r="R220" s="222"/>
    </row>
    <row r="221" spans="1:18" x14ac:dyDescent="0.35">
      <c r="A221" s="203">
        <f t="shared" si="6"/>
        <v>0</v>
      </c>
      <c r="C221" s="205">
        <f t="shared" si="7"/>
        <v>0</v>
      </c>
      <c r="D221" s="223"/>
      <c r="R221" s="222"/>
    </row>
    <row r="222" spans="1:18" x14ac:dyDescent="0.35">
      <c r="A222" s="203">
        <f t="shared" si="6"/>
        <v>0</v>
      </c>
      <c r="C222" s="205">
        <f t="shared" si="7"/>
        <v>0</v>
      </c>
      <c r="D222" s="223"/>
      <c r="R222" s="222"/>
    </row>
    <row r="223" spans="1:18" x14ac:dyDescent="0.35">
      <c r="A223" s="203">
        <f t="shared" si="6"/>
        <v>0</v>
      </c>
      <c r="C223" s="205">
        <f t="shared" si="7"/>
        <v>0</v>
      </c>
      <c r="D223" s="223"/>
      <c r="R223" s="222"/>
    </row>
    <row r="224" spans="1:18" x14ac:dyDescent="0.35">
      <c r="A224" s="203">
        <f t="shared" si="6"/>
        <v>0</v>
      </c>
      <c r="C224" s="205">
        <f t="shared" si="7"/>
        <v>0</v>
      </c>
      <c r="D224" s="223"/>
      <c r="R224" s="222"/>
    </row>
    <row r="225" spans="1:18" x14ac:dyDescent="0.35">
      <c r="A225" s="203">
        <f t="shared" si="6"/>
        <v>0</v>
      </c>
      <c r="C225" s="205">
        <f t="shared" si="7"/>
        <v>0</v>
      </c>
      <c r="D225" s="223"/>
      <c r="R225" s="222"/>
    </row>
    <row r="226" spans="1:18" x14ac:dyDescent="0.35">
      <c r="A226" s="203">
        <f t="shared" si="6"/>
        <v>0</v>
      </c>
      <c r="C226" s="205">
        <f t="shared" si="7"/>
        <v>0</v>
      </c>
      <c r="D226" s="223"/>
      <c r="R226" s="222"/>
    </row>
    <row r="227" spans="1:18" x14ac:dyDescent="0.35">
      <c r="A227" s="203">
        <f t="shared" si="6"/>
        <v>0</v>
      </c>
      <c r="C227" s="205">
        <f t="shared" si="7"/>
        <v>0</v>
      </c>
      <c r="D227" s="223"/>
      <c r="R227" s="222"/>
    </row>
    <row r="228" spans="1:18" x14ac:dyDescent="0.35">
      <c r="A228" s="203">
        <f t="shared" si="6"/>
        <v>0</v>
      </c>
      <c r="C228" s="205">
        <f t="shared" si="7"/>
        <v>0</v>
      </c>
      <c r="D228" s="223"/>
      <c r="R228" s="222"/>
    </row>
    <row r="229" spans="1:18" x14ac:dyDescent="0.35">
      <c r="A229" s="203">
        <f t="shared" si="6"/>
        <v>0</v>
      </c>
      <c r="C229" s="205">
        <f t="shared" si="7"/>
        <v>0</v>
      </c>
      <c r="D229" s="223"/>
      <c r="R229" s="222"/>
    </row>
    <row r="230" spans="1:18" x14ac:dyDescent="0.35">
      <c r="A230" s="203">
        <f t="shared" si="6"/>
        <v>0</v>
      </c>
      <c r="C230" s="205">
        <f t="shared" si="7"/>
        <v>0</v>
      </c>
      <c r="D230" s="223"/>
      <c r="R230" s="222"/>
    </row>
    <row r="231" spans="1:18" x14ac:dyDescent="0.35">
      <c r="A231" s="203">
        <f t="shared" si="6"/>
        <v>0</v>
      </c>
      <c r="C231" s="205">
        <f t="shared" si="7"/>
        <v>0</v>
      </c>
      <c r="D231" s="223"/>
      <c r="R231" s="222"/>
    </row>
    <row r="232" spans="1:18" x14ac:dyDescent="0.35">
      <c r="A232" s="203">
        <f t="shared" si="6"/>
        <v>0</v>
      </c>
      <c r="C232" s="205">
        <f t="shared" si="7"/>
        <v>0</v>
      </c>
      <c r="D232" s="223"/>
      <c r="R232" s="222"/>
    </row>
    <row r="233" spans="1:18" x14ac:dyDescent="0.35">
      <c r="A233" s="203">
        <f t="shared" si="6"/>
        <v>0</v>
      </c>
      <c r="C233" s="205">
        <f t="shared" si="7"/>
        <v>0</v>
      </c>
      <c r="D233" s="223"/>
      <c r="R233" s="222"/>
    </row>
    <row r="234" spans="1:18" x14ac:dyDescent="0.35">
      <c r="A234" s="203">
        <f t="shared" si="6"/>
        <v>0</v>
      </c>
      <c r="C234" s="205">
        <f t="shared" si="7"/>
        <v>0</v>
      </c>
      <c r="D234" s="223"/>
      <c r="R234" s="222"/>
    </row>
    <row r="235" spans="1:18" x14ac:dyDescent="0.35">
      <c r="A235" s="203">
        <f t="shared" si="6"/>
        <v>0</v>
      </c>
      <c r="C235" s="205">
        <f t="shared" si="7"/>
        <v>0</v>
      </c>
      <c r="D235" s="223"/>
      <c r="R235" s="222"/>
    </row>
    <row r="236" spans="1:18" x14ac:dyDescent="0.35">
      <c r="A236" s="203">
        <f t="shared" si="6"/>
        <v>0</v>
      </c>
      <c r="C236" s="205">
        <f t="shared" si="7"/>
        <v>0</v>
      </c>
      <c r="D236" s="223"/>
      <c r="R236" s="222"/>
    </row>
    <row r="237" spans="1:18" x14ac:dyDescent="0.35">
      <c r="A237" s="203">
        <f t="shared" si="6"/>
        <v>0</v>
      </c>
      <c r="C237" s="205">
        <f t="shared" si="7"/>
        <v>0</v>
      </c>
      <c r="D237" s="223"/>
      <c r="R237" s="222"/>
    </row>
    <row r="238" spans="1:18" x14ac:dyDescent="0.35">
      <c r="A238" s="203">
        <f t="shared" si="6"/>
        <v>0</v>
      </c>
      <c r="C238" s="205">
        <f t="shared" si="7"/>
        <v>0</v>
      </c>
      <c r="D238" s="223"/>
      <c r="R238" s="222"/>
    </row>
    <row r="239" spans="1:18" x14ac:dyDescent="0.35">
      <c r="A239" s="203">
        <f t="shared" si="6"/>
        <v>0</v>
      </c>
      <c r="C239" s="205">
        <f t="shared" si="7"/>
        <v>0</v>
      </c>
      <c r="D239" s="223"/>
      <c r="R239" s="222"/>
    </row>
    <row r="240" spans="1:18" x14ac:dyDescent="0.35">
      <c r="A240" s="203">
        <f t="shared" si="6"/>
        <v>0</v>
      </c>
      <c r="C240" s="205">
        <f t="shared" si="7"/>
        <v>0</v>
      </c>
      <c r="D240" s="223"/>
      <c r="R240" s="222"/>
    </row>
    <row r="241" spans="1:18" x14ac:dyDescent="0.35">
      <c r="A241" s="203">
        <f t="shared" si="6"/>
        <v>0</v>
      </c>
      <c r="C241" s="205">
        <f t="shared" si="7"/>
        <v>0</v>
      </c>
      <c r="D241" s="223"/>
      <c r="R241" s="222"/>
    </row>
    <row r="242" spans="1:18" x14ac:dyDescent="0.35">
      <c r="A242" s="203">
        <f t="shared" si="6"/>
        <v>0</v>
      </c>
      <c r="C242" s="205">
        <f t="shared" si="7"/>
        <v>0</v>
      </c>
      <c r="D242" s="223"/>
      <c r="R242" s="222"/>
    </row>
    <row r="243" spans="1:18" x14ac:dyDescent="0.35">
      <c r="A243" s="203">
        <f t="shared" si="6"/>
        <v>0</v>
      </c>
      <c r="C243" s="205">
        <f t="shared" si="7"/>
        <v>0</v>
      </c>
      <c r="D243" s="223"/>
      <c r="R243" s="222"/>
    </row>
    <row r="244" spans="1:18" x14ac:dyDescent="0.35">
      <c r="A244" s="203">
        <f t="shared" si="6"/>
        <v>0</v>
      </c>
      <c r="C244" s="205">
        <f t="shared" si="7"/>
        <v>0</v>
      </c>
      <c r="D244" s="223"/>
      <c r="R244" s="222"/>
    </row>
    <row r="245" spans="1:18" x14ac:dyDescent="0.35">
      <c r="A245" s="203">
        <f t="shared" si="6"/>
        <v>0</v>
      </c>
      <c r="C245" s="205">
        <f t="shared" si="7"/>
        <v>0</v>
      </c>
      <c r="D245" s="223"/>
      <c r="R245" s="222"/>
    </row>
    <row r="246" spans="1:18" x14ac:dyDescent="0.35">
      <c r="A246" s="203">
        <f t="shared" si="6"/>
        <v>0</v>
      </c>
      <c r="C246" s="205">
        <f t="shared" si="7"/>
        <v>0</v>
      </c>
      <c r="D246" s="223"/>
      <c r="R246" s="222"/>
    </row>
    <row r="247" spans="1:18" x14ac:dyDescent="0.35">
      <c r="A247" s="203">
        <f t="shared" si="6"/>
        <v>0</v>
      </c>
      <c r="C247" s="205">
        <f t="shared" si="7"/>
        <v>0</v>
      </c>
      <c r="D247" s="223"/>
      <c r="R247" s="222"/>
    </row>
    <row r="248" spans="1:18" x14ac:dyDescent="0.35">
      <c r="A248" s="203">
        <f t="shared" si="6"/>
        <v>0</v>
      </c>
      <c r="C248" s="205">
        <f t="shared" si="7"/>
        <v>0</v>
      </c>
      <c r="D248" s="223"/>
      <c r="R248" s="222"/>
    </row>
    <row r="249" spans="1:18" x14ac:dyDescent="0.35">
      <c r="A249" s="203">
        <f t="shared" si="6"/>
        <v>0</v>
      </c>
      <c r="C249" s="205">
        <f t="shared" si="7"/>
        <v>0</v>
      </c>
      <c r="D249" s="223"/>
      <c r="R249" s="222"/>
    </row>
    <row r="250" spans="1:18" x14ac:dyDescent="0.35">
      <c r="A250" s="203">
        <f t="shared" si="6"/>
        <v>0</v>
      </c>
      <c r="C250" s="205">
        <f t="shared" si="7"/>
        <v>0</v>
      </c>
      <c r="D250" s="223"/>
      <c r="R250" s="222"/>
    </row>
    <row r="251" spans="1:18" x14ac:dyDescent="0.35">
      <c r="A251" s="203">
        <f t="shared" si="6"/>
        <v>0</v>
      </c>
      <c r="C251" s="205">
        <f t="shared" si="7"/>
        <v>0</v>
      </c>
      <c r="D251" s="223"/>
      <c r="R251" s="222"/>
    </row>
    <row r="252" spans="1:18" x14ac:dyDescent="0.35">
      <c r="A252" s="203">
        <f t="shared" si="6"/>
        <v>0</v>
      </c>
      <c r="C252" s="205">
        <f t="shared" si="7"/>
        <v>0</v>
      </c>
      <c r="D252" s="223"/>
      <c r="R252" s="222"/>
    </row>
    <row r="253" spans="1:18" x14ac:dyDescent="0.35">
      <c r="A253" s="203">
        <f t="shared" si="6"/>
        <v>0</v>
      </c>
      <c r="C253" s="205">
        <f t="shared" si="7"/>
        <v>0</v>
      </c>
      <c r="D253" s="223"/>
      <c r="R253" s="222"/>
    </row>
    <row r="254" spans="1:18" x14ac:dyDescent="0.35">
      <c r="A254" s="203">
        <f t="shared" si="6"/>
        <v>0</v>
      </c>
      <c r="C254" s="205">
        <f t="shared" si="7"/>
        <v>0</v>
      </c>
      <c r="D254" s="223"/>
      <c r="R254" s="222"/>
    </row>
    <row r="255" spans="1:18" x14ac:dyDescent="0.35">
      <c r="A255" s="203">
        <f t="shared" si="6"/>
        <v>0</v>
      </c>
      <c r="C255" s="205">
        <f t="shared" si="7"/>
        <v>0</v>
      </c>
      <c r="D255" s="223"/>
      <c r="R255" s="222"/>
    </row>
    <row r="256" spans="1:18" x14ac:dyDescent="0.35">
      <c r="A256" s="203">
        <f t="shared" si="6"/>
        <v>0</v>
      </c>
      <c r="C256" s="205">
        <f t="shared" si="7"/>
        <v>0</v>
      </c>
      <c r="D256" s="223"/>
      <c r="R256" s="222"/>
    </row>
    <row r="257" spans="1:18" x14ac:dyDescent="0.35">
      <c r="A257" s="203">
        <f t="shared" si="6"/>
        <v>0</v>
      </c>
      <c r="C257" s="205">
        <f t="shared" si="7"/>
        <v>0</v>
      </c>
      <c r="D257" s="223"/>
      <c r="R257" s="222"/>
    </row>
    <row r="258" spans="1:18" x14ac:dyDescent="0.35">
      <c r="A258" s="203">
        <f t="shared" si="6"/>
        <v>0</v>
      </c>
      <c r="C258" s="205">
        <f t="shared" si="7"/>
        <v>0</v>
      </c>
      <c r="D258" s="223"/>
      <c r="R258" s="222"/>
    </row>
    <row r="259" spans="1:18" x14ac:dyDescent="0.35">
      <c r="A259" s="203">
        <f t="shared" ref="A259:A322" si="8">F259</f>
        <v>0</v>
      </c>
      <c r="C259" s="205">
        <f t="shared" ref="C259:C322" si="9">F259</f>
        <v>0</v>
      </c>
      <c r="D259" s="223"/>
      <c r="R259" s="222"/>
    </row>
    <row r="260" spans="1:18" x14ac:dyDescent="0.35">
      <c r="A260" s="203">
        <f t="shared" si="8"/>
        <v>0</v>
      </c>
      <c r="C260" s="205">
        <f t="shared" si="9"/>
        <v>0</v>
      </c>
      <c r="D260" s="223"/>
      <c r="R260" s="222"/>
    </row>
    <row r="261" spans="1:18" x14ac:dyDescent="0.35">
      <c r="A261" s="203">
        <f t="shared" si="8"/>
        <v>0</v>
      </c>
      <c r="C261" s="205">
        <f t="shared" si="9"/>
        <v>0</v>
      </c>
      <c r="D261" s="223"/>
      <c r="R261" s="222"/>
    </row>
    <row r="262" spans="1:18" x14ac:dyDescent="0.35">
      <c r="A262" s="203">
        <f t="shared" si="8"/>
        <v>0</v>
      </c>
      <c r="C262" s="205">
        <f t="shared" si="9"/>
        <v>0</v>
      </c>
      <c r="D262" s="223"/>
      <c r="R262" s="222"/>
    </row>
    <row r="263" spans="1:18" x14ac:dyDescent="0.35">
      <c r="A263" s="203">
        <f t="shared" si="8"/>
        <v>0</v>
      </c>
      <c r="C263" s="205">
        <f t="shared" si="9"/>
        <v>0</v>
      </c>
      <c r="D263" s="223"/>
      <c r="R263" s="222"/>
    </row>
    <row r="264" spans="1:18" x14ac:dyDescent="0.35">
      <c r="A264" s="203">
        <f t="shared" si="8"/>
        <v>0</v>
      </c>
      <c r="C264" s="205">
        <f t="shared" si="9"/>
        <v>0</v>
      </c>
      <c r="D264" s="223"/>
      <c r="R264" s="222"/>
    </row>
    <row r="265" spans="1:18" x14ac:dyDescent="0.35">
      <c r="A265" s="203">
        <f t="shared" si="8"/>
        <v>0</v>
      </c>
      <c r="C265" s="205">
        <f t="shared" si="9"/>
        <v>0</v>
      </c>
      <c r="D265" s="223"/>
      <c r="R265" s="222"/>
    </row>
    <row r="266" spans="1:18" x14ac:dyDescent="0.35">
      <c r="A266" s="203">
        <f t="shared" si="8"/>
        <v>0</v>
      </c>
      <c r="C266" s="205">
        <f t="shared" si="9"/>
        <v>0</v>
      </c>
      <c r="D266" s="223"/>
      <c r="R266" s="222"/>
    </row>
    <row r="267" spans="1:18" x14ac:dyDescent="0.35">
      <c r="A267" s="203">
        <f t="shared" si="8"/>
        <v>0</v>
      </c>
      <c r="C267" s="205">
        <f t="shared" si="9"/>
        <v>0</v>
      </c>
      <c r="D267" s="223"/>
      <c r="R267" s="222"/>
    </row>
    <row r="268" spans="1:18" x14ac:dyDescent="0.35">
      <c r="A268" s="203">
        <f t="shared" si="8"/>
        <v>0</v>
      </c>
      <c r="C268" s="205">
        <f t="shared" si="9"/>
        <v>0</v>
      </c>
      <c r="D268" s="223"/>
      <c r="R268" s="222"/>
    </row>
    <row r="269" spans="1:18" x14ac:dyDescent="0.35">
      <c r="A269" s="203">
        <f t="shared" si="8"/>
        <v>0</v>
      </c>
      <c r="C269" s="205">
        <f t="shared" si="9"/>
        <v>0</v>
      </c>
      <c r="D269" s="223"/>
      <c r="R269" s="222"/>
    </row>
    <row r="270" spans="1:18" x14ac:dyDescent="0.35">
      <c r="A270" s="203">
        <f t="shared" si="8"/>
        <v>0</v>
      </c>
      <c r="C270" s="205">
        <f t="shared" si="9"/>
        <v>0</v>
      </c>
      <c r="D270" s="223"/>
      <c r="R270" s="222"/>
    </row>
    <row r="271" spans="1:18" x14ac:dyDescent="0.35">
      <c r="A271" s="203">
        <f t="shared" si="8"/>
        <v>0</v>
      </c>
      <c r="C271" s="205">
        <f t="shared" si="9"/>
        <v>0</v>
      </c>
      <c r="D271" s="223"/>
      <c r="R271" s="222"/>
    </row>
    <row r="272" spans="1:18" x14ac:dyDescent="0.35">
      <c r="A272" s="203">
        <f t="shared" si="8"/>
        <v>0</v>
      </c>
      <c r="C272" s="205">
        <f t="shared" si="9"/>
        <v>0</v>
      </c>
      <c r="D272" s="223"/>
      <c r="R272" s="222"/>
    </row>
    <row r="273" spans="1:18" x14ac:dyDescent="0.35">
      <c r="A273" s="203">
        <f t="shared" si="8"/>
        <v>0</v>
      </c>
      <c r="C273" s="205">
        <f t="shared" si="9"/>
        <v>0</v>
      </c>
      <c r="D273" s="223"/>
      <c r="R273" s="222"/>
    </row>
    <row r="274" spans="1:18" x14ac:dyDescent="0.35">
      <c r="A274" s="203">
        <f t="shared" si="8"/>
        <v>0</v>
      </c>
      <c r="C274" s="205">
        <f t="shared" si="9"/>
        <v>0</v>
      </c>
      <c r="D274" s="223"/>
      <c r="R274" s="222"/>
    </row>
    <row r="275" spans="1:18" x14ac:dyDescent="0.35">
      <c r="A275" s="203">
        <f t="shared" si="8"/>
        <v>0</v>
      </c>
      <c r="C275" s="205">
        <f t="shared" si="9"/>
        <v>0</v>
      </c>
      <c r="D275" s="223"/>
      <c r="R275" s="222"/>
    </row>
    <row r="276" spans="1:18" x14ac:dyDescent="0.35">
      <c r="A276" s="203">
        <f t="shared" si="8"/>
        <v>0</v>
      </c>
      <c r="C276" s="205">
        <f t="shared" si="9"/>
        <v>0</v>
      </c>
      <c r="D276" s="223"/>
      <c r="R276" s="222"/>
    </row>
    <row r="277" spans="1:18" x14ac:dyDescent="0.35">
      <c r="A277" s="203">
        <f t="shared" si="8"/>
        <v>0</v>
      </c>
      <c r="C277" s="205">
        <f t="shared" si="9"/>
        <v>0</v>
      </c>
      <c r="D277" s="223"/>
      <c r="R277" s="222"/>
    </row>
    <row r="278" spans="1:18" x14ac:dyDescent="0.35">
      <c r="A278" s="203">
        <f t="shared" si="8"/>
        <v>0</v>
      </c>
      <c r="C278" s="205">
        <f t="shared" si="9"/>
        <v>0</v>
      </c>
      <c r="D278" s="223"/>
      <c r="R278" s="222"/>
    </row>
    <row r="279" spans="1:18" x14ac:dyDescent="0.35">
      <c r="A279" s="203">
        <f t="shared" si="8"/>
        <v>0</v>
      </c>
      <c r="C279" s="205">
        <f t="shared" si="9"/>
        <v>0</v>
      </c>
      <c r="D279" s="223"/>
      <c r="R279" s="222"/>
    </row>
    <row r="280" spans="1:18" x14ac:dyDescent="0.35">
      <c r="A280" s="203">
        <f t="shared" si="8"/>
        <v>0</v>
      </c>
      <c r="C280" s="205">
        <f t="shared" si="9"/>
        <v>0</v>
      </c>
      <c r="D280" s="223"/>
      <c r="R280" s="222"/>
    </row>
    <row r="281" spans="1:18" x14ac:dyDescent="0.35">
      <c r="A281" s="203">
        <f t="shared" si="8"/>
        <v>0</v>
      </c>
      <c r="C281" s="205">
        <f t="shared" si="9"/>
        <v>0</v>
      </c>
      <c r="D281" s="223"/>
      <c r="R281" s="222"/>
    </row>
    <row r="282" spans="1:18" x14ac:dyDescent="0.35">
      <c r="A282" s="203">
        <f t="shared" si="8"/>
        <v>0</v>
      </c>
      <c r="C282" s="205">
        <f t="shared" si="9"/>
        <v>0</v>
      </c>
      <c r="D282" s="223"/>
      <c r="R282" s="222"/>
    </row>
    <row r="283" spans="1:18" x14ac:dyDescent="0.35">
      <c r="A283" s="203">
        <f t="shared" si="8"/>
        <v>0</v>
      </c>
      <c r="C283" s="205">
        <f t="shared" si="9"/>
        <v>0</v>
      </c>
      <c r="D283" s="223"/>
      <c r="R283" s="222"/>
    </row>
    <row r="284" spans="1:18" x14ac:dyDescent="0.35">
      <c r="A284" s="203">
        <f t="shared" si="8"/>
        <v>0</v>
      </c>
      <c r="C284" s="205">
        <f t="shared" si="9"/>
        <v>0</v>
      </c>
      <c r="D284" s="223"/>
      <c r="R284" s="222"/>
    </row>
    <row r="285" spans="1:18" x14ac:dyDescent="0.35">
      <c r="A285" s="203">
        <f t="shared" si="8"/>
        <v>0</v>
      </c>
      <c r="C285" s="205">
        <f t="shared" si="9"/>
        <v>0</v>
      </c>
      <c r="D285" s="223"/>
      <c r="R285" s="222"/>
    </row>
    <row r="286" spans="1:18" x14ac:dyDescent="0.35">
      <c r="A286" s="203">
        <f t="shared" si="8"/>
        <v>0</v>
      </c>
      <c r="C286" s="205">
        <f t="shared" si="9"/>
        <v>0</v>
      </c>
      <c r="D286" s="223"/>
      <c r="R286" s="222"/>
    </row>
    <row r="287" spans="1:18" x14ac:dyDescent="0.35">
      <c r="A287" s="203">
        <f t="shared" si="8"/>
        <v>0</v>
      </c>
      <c r="C287" s="205">
        <f t="shared" si="9"/>
        <v>0</v>
      </c>
      <c r="D287" s="223"/>
      <c r="R287" s="222"/>
    </row>
    <row r="288" spans="1:18" x14ac:dyDescent="0.35">
      <c r="A288" s="203">
        <f t="shared" si="8"/>
        <v>0</v>
      </c>
      <c r="C288" s="205">
        <f t="shared" si="9"/>
        <v>0</v>
      </c>
      <c r="D288" s="223"/>
      <c r="R288" s="222"/>
    </row>
    <row r="289" spans="1:18" x14ac:dyDescent="0.35">
      <c r="A289" s="203">
        <f t="shared" si="8"/>
        <v>0</v>
      </c>
      <c r="C289" s="205">
        <f t="shared" si="9"/>
        <v>0</v>
      </c>
      <c r="D289" s="223"/>
      <c r="R289" s="222"/>
    </row>
    <row r="290" spans="1:18" x14ac:dyDescent="0.35">
      <c r="A290" s="203">
        <f t="shared" si="8"/>
        <v>0</v>
      </c>
      <c r="C290" s="205">
        <f t="shared" si="9"/>
        <v>0</v>
      </c>
      <c r="D290" s="223"/>
      <c r="R290" s="222"/>
    </row>
    <row r="291" spans="1:18" x14ac:dyDescent="0.35">
      <c r="A291" s="203">
        <f t="shared" si="8"/>
        <v>0</v>
      </c>
      <c r="C291" s="205">
        <f t="shared" si="9"/>
        <v>0</v>
      </c>
      <c r="D291" s="223"/>
      <c r="R291" s="222"/>
    </row>
    <row r="292" spans="1:18" x14ac:dyDescent="0.35">
      <c r="A292" s="203">
        <f t="shared" si="8"/>
        <v>0</v>
      </c>
      <c r="C292" s="205">
        <f t="shared" si="9"/>
        <v>0</v>
      </c>
      <c r="D292" s="223"/>
      <c r="R292" s="222"/>
    </row>
    <row r="293" spans="1:18" x14ac:dyDescent="0.35">
      <c r="A293" s="203">
        <f t="shared" si="8"/>
        <v>0</v>
      </c>
      <c r="C293" s="205">
        <f t="shared" si="9"/>
        <v>0</v>
      </c>
      <c r="D293" s="223"/>
      <c r="R293" s="222"/>
    </row>
    <row r="294" spans="1:18" x14ac:dyDescent="0.35">
      <c r="A294" s="203">
        <f t="shared" si="8"/>
        <v>0</v>
      </c>
      <c r="C294" s="205">
        <f t="shared" si="9"/>
        <v>0</v>
      </c>
      <c r="D294" s="223"/>
      <c r="R294" s="222"/>
    </row>
    <row r="295" spans="1:18" x14ac:dyDescent="0.35">
      <c r="A295" s="203">
        <f t="shared" si="8"/>
        <v>0</v>
      </c>
      <c r="C295" s="205">
        <f t="shared" si="9"/>
        <v>0</v>
      </c>
      <c r="D295" s="223"/>
      <c r="R295" s="222"/>
    </row>
    <row r="296" spans="1:18" x14ac:dyDescent="0.35">
      <c r="A296" s="203">
        <f t="shared" si="8"/>
        <v>0</v>
      </c>
      <c r="C296" s="205">
        <f t="shared" si="9"/>
        <v>0</v>
      </c>
      <c r="D296" s="223"/>
      <c r="R296" s="222"/>
    </row>
    <row r="297" spans="1:18" x14ac:dyDescent="0.35">
      <c r="A297" s="203">
        <f t="shared" si="8"/>
        <v>0</v>
      </c>
      <c r="C297" s="205">
        <f t="shared" si="9"/>
        <v>0</v>
      </c>
      <c r="D297" s="223"/>
      <c r="R297" s="222"/>
    </row>
    <row r="298" spans="1:18" x14ac:dyDescent="0.35">
      <c r="A298" s="203">
        <f t="shared" si="8"/>
        <v>0</v>
      </c>
      <c r="C298" s="205">
        <f t="shared" si="9"/>
        <v>0</v>
      </c>
      <c r="D298" s="223"/>
      <c r="R298" s="222"/>
    </row>
    <row r="299" spans="1:18" x14ac:dyDescent="0.35">
      <c r="A299" s="203">
        <f t="shared" si="8"/>
        <v>0</v>
      </c>
      <c r="C299" s="205">
        <f t="shared" si="9"/>
        <v>0</v>
      </c>
      <c r="D299" s="223"/>
      <c r="R299" s="222"/>
    </row>
    <row r="300" spans="1:18" x14ac:dyDescent="0.35">
      <c r="A300" s="203">
        <f t="shared" si="8"/>
        <v>0</v>
      </c>
      <c r="C300" s="205">
        <f t="shared" si="9"/>
        <v>0</v>
      </c>
      <c r="D300" s="223"/>
      <c r="R300" s="222"/>
    </row>
    <row r="301" spans="1:18" x14ac:dyDescent="0.35">
      <c r="A301" s="203">
        <f t="shared" si="8"/>
        <v>0</v>
      </c>
      <c r="C301" s="205">
        <f t="shared" si="9"/>
        <v>0</v>
      </c>
      <c r="D301" s="223"/>
      <c r="R301" s="222"/>
    </row>
    <row r="302" spans="1:18" x14ac:dyDescent="0.35">
      <c r="A302" s="203">
        <f t="shared" si="8"/>
        <v>0</v>
      </c>
      <c r="C302" s="205">
        <f t="shared" si="9"/>
        <v>0</v>
      </c>
      <c r="D302" s="223"/>
      <c r="R302" s="222"/>
    </row>
    <row r="303" spans="1:18" x14ac:dyDescent="0.35">
      <c r="A303" s="203">
        <f t="shared" si="8"/>
        <v>0</v>
      </c>
      <c r="C303" s="205">
        <f t="shared" si="9"/>
        <v>0</v>
      </c>
      <c r="D303" s="223"/>
      <c r="R303" s="222"/>
    </row>
    <row r="304" spans="1:18" x14ac:dyDescent="0.35">
      <c r="A304" s="203">
        <f t="shared" si="8"/>
        <v>0</v>
      </c>
      <c r="C304" s="205">
        <f t="shared" si="9"/>
        <v>0</v>
      </c>
      <c r="D304" s="223"/>
      <c r="R304" s="222"/>
    </row>
    <row r="305" spans="1:18" x14ac:dyDescent="0.35">
      <c r="A305" s="203">
        <f t="shared" si="8"/>
        <v>0</v>
      </c>
      <c r="C305" s="205">
        <f t="shared" si="9"/>
        <v>0</v>
      </c>
      <c r="D305" s="223"/>
      <c r="R305" s="222"/>
    </row>
    <row r="306" spans="1:18" x14ac:dyDescent="0.35">
      <c r="A306" s="203">
        <f t="shared" si="8"/>
        <v>0</v>
      </c>
      <c r="C306" s="205">
        <f t="shared" si="9"/>
        <v>0</v>
      </c>
      <c r="D306" s="223"/>
      <c r="R306" s="222"/>
    </row>
    <row r="307" spans="1:18" x14ac:dyDescent="0.35">
      <c r="A307" s="203">
        <f t="shared" si="8"/>
        <v>0</v>
      </c>
      <c r="C307" s="205">
        <f t="shared" si="9"/>
        <v>0</v>
      </c>
      <c r="D307" s="223"/>
      <c r="R307" s="222"/>
    </row>
    <row r="308" spans="1:18" x14ac:dyDescent="0.35">
      <c r="A308" s="203">
        <f t="shared" si="8"/>
        <v>0</v>
      </c>
      <c r="C308" s="205">
        <f t="shared" si="9"/>
        <v>0</v>
      </c>
      <c r="D308" s="223"/>
      <c r="R308" s="222"/>
    </row>
    <row r="309" spans="1:18" x14ac:dyDescent="0.35">
      <c r="A309" s="203">
        <f t="shared" si="8"/>
        <v>0</v>
      </c>
      <c r="C309" s="205">
        <f t="shared" si="9"/>
        <v>0</v>
      </c>
      <c r="D309" s="223"/>
      <c r="R309" s="222"/>
    </row>
    <row r="310" spans="1:18" x14ac:dyDescent="0.35">
      <c r="A310" s="203">
        <f t="shared" si="8"/>
        <v>0</v>
      </c>
      <c r="C310" s="205">
        <f t="shared" si="9"/>
        <v>0</v>
      </c>
      <c r="D310" s="223"/>
      <c r="R310" s="222"/>
    </row>
    <row r="311" spans="1:18" x14ac:dyDescent="0.35">
      <c r="A311" s="203">
        <f t="shared" si="8"/>
        <v>0</v>
      </c>
      <c r="C311" s="205">
        <f t="shared" si="9"/>
        <v>0</v>
      </c>
      <c r="D311" s="223"/>
      <c r="R311" s="222"/>
    </row>
    <row r="312" spans="1:18" x14ac:dyDescent="0.35">
      <c r="A312" s="203">
        <f t="shared" si="8"/>
        <v>0</v>
      </c>
      <c r="C312" s="205">
        <f t="shared" si="9"/>
        <v>0</v>
      </c>
      <c r="D312" s="223"/>
      <c r="R312" s="222"/>
    </row>
    <row r="313" spans="1:18" x14ac:dyDescent="0.35">
      <c r="A313" s="203">
        <f t="shared" si="8"/>
        <v>0</v>
      </c>
      <c r="C313" s="205">
        <f t="shared" si="9"/>
        <v>0</v>
      </c>
      <c r="D313" s="223"/>
      <c r="R313" s="222"/>
    </row>
    <row r="314" spans="1:18" x14ac:dyDescent="0.35">
      <c r="A314" s="203">
        <f t="shared" si="8"/>
        <v>0</v>
      </c>
      <c r="C314" s="205">
        <f t="shared" si="9"/>
        <v>0</v>
      </c>
      <c r="D314" s="223"/>
      <c r="R314" s="222"/>
    </row>
    <row r="315" spans="1:18" x14ac:dyDescent="0.35">
      <c r="A315" s="203">
        <f t="shared" si="8"/>
        <v>0</v>
      </c>
      <c r="C315" s="205">
        <f t="shared" si="9"/>
        <v>0</v>
      </c>
      <c r="D315" s="223"/>
      <c r="R315" s="222"/>
    </row>
    <row r="316" spans="1:18" x14ac:dyDescent="0.35">
      <c r="A316" s="203">
        <f t="shared" si="8"/>
        <v>0</v>
      </c>
      <c r="C316" s="205">
        <f t="shared" si="9"/>
        <v>0</v>
      </c>
      <c r="D316" s="223"/>
      <c r="R316" s="222"/>
    </row>
    <row r="317" spans="1:18" x14ac:dyDescent="0.35">
      <c r="A317" s="203">
        <f t="shared" si="8"/>
        <v>0</v>
      </c>
      <c r="C317" s="205">
        <f t="shared" si="9"/>
        <v>0</v>
      </c>
      <c r="D317" s="223"/>
      <c r="R317" s="222"/>
    </row>
    <row r="318" spans="1:18" x14ac:dyDescent="0.35">
      <c r="A318" s="203">
        <f t="shared" si="8"/>
        <v>0</v>
      </c>
      <c r="C318" s="205">
        <f t="shared" si="9"/>
        <v>0</v>
      </c>
      <c r="D318" s="223"/>
      <c r="R318" s="222"/>
    </row>
    <row r="319" spans="1:18" x14ac:dyDescent="0.35">
      <c r="A319" s="203">
        <f t="shared" si="8"/>
        <v>0</v>
      </c>
      <c r="C319" s="205">
        <f t="shared" si="9"/>
        <v>0</v>
      </c>
      <c r="D319" s="223"/>
      <c r="R319" s="222"/>
    </row>
    <row r="320" spans="1:18" x14ac:dyDescent="0.35">
      <c r="A320" s="203">
        <f t="shared" si="8"/>
        <v>0</v>
      </c>
      <c r="C320" s="205">
        <f t="shared" si="9"/>
        <v>0</v>
      </c>
      <c r="D320" s="223"/>
      <c r="R320" s="222"/>
    </row>
    <row r="321" spans="1:18" x14ac:dyDescent="0.35">
      <c r="A321" s="203">
        <f t="shared" si="8"/>
        <v>0</v>
      </c>
      <c r="C321" s="205">
        <f t="shared" si="9"/>
        <v>0</v>
      </c>
      <c r="D321" s="223"/>
      <c r="R321" s="222"/>
    </row>
    <row r="322" spans="1:18" x14ac:dyDescent="0.35">
      <c r="A322" s="203">
        <f t="shared" si="8"/>
        <v>0</v>
      </c>
      <c r="C322" s="205">
        <f t="shared" si="9"/>
        <v>0</v>
      </c>
      <c r="D322" s="223"/>
      <c r="R322" s="222"/>
    </row>
    <row r="323" spans="1:18" x14ac:dyDescent="0.35">
      <c r="A323" s="203">
        <f t="shared" ref="A323:A386" si="10">F323</f>
        <v>0</v>
      </c>
      <c r="C323" s="205">
        <f t="shared" ref="C323:C386" si="11">F323</f>
        <v>0</v>
      </c>
      <c r="D323" s="223"/>
      <c r="R323" s="222"/>
    </row>
    <row r="324" spans="1:18" x14ac:dyDescent="0.35">
      <c r="A324" s="203">
        <f t="shared" si="10"/>
        <v>0</v>
      </c>
      <c r="C324" s="205">
        <f t="shared" si="11"/>
        <v>0</v>
      </c>
      <c r="D324" s="223"/>
      <c r="R324" s="222"/>
    </row>
    <row r="325" spans="1:18" x14ac:dyDescent="0.35">
      <c r="A325" s="203">
        <f t="shared" si="10"/>
        <v>0</v>
      </c>
      <c r="C325" s="205">
        <f t="shared" si="11"/>
        <v>0</v>
      </c>
      <c r="D325" s="223"/>
      <c r="R325" s="222"/>
    </row>
    <row r="326" spans="1:18" x14ac:dyDescent="0.35">
      <c r="A326" s="203">
        <f t="shared" si="10"/>
        <v>0</v>
      </c>
      <c r="C326" s="205">
        <f t="shared" si="11"/>
        <v>0</v>
      </c>
      <c r="D326" s="223"/>
      <c r="R326" s="222"/>
    </row>
    <row r="327" spans="1:18" x14ac:dyDescent="0.35">
      <c r="A327" s="203">
        <f t="shared" si="10"/>
        <v>0</v>
      </c>
      <c r="C327" s="205">
        <f t="shared" si="11"/>
        <v>0</v>
      </c>
      <c r="D327" s="223"/>
      <c r="R327" s="222"/>
    </row>
    <row r="328" spans="1:18" x14ac:dyDescent="0.35">
      <c r="A328" s="203">
        <f t="shared" si="10"/>
        <v>0</v>
      </c>
      <c r="C328" s="205">
        <f t="shared" si="11"/>
        <v>0</v>
      </c>
      <c r="D328" s="223"/>
      <c r="R328" s="222"/>
    </row>
    <row r="329" spans="1:18" x14ac:dyDescent="0.35">
      <c r="A329" s="203">
        <f t="shared" si="10"/>
        <v>0</v>
      </c>
      <c r="C329" s="205">
        <f t="shared" si="11"/>
        <v>0</v>
      </c>
      <c r="D329" s="223"/>
      <c r="R329" s="222"/>
    </row>
    <row r="330" spans="1:18" x14ac:dyDescent="0.35">
      <c r="A330" s="203">
        <f t="shared" si="10"/>
        <v>0</v>
      </c>
      <c r="C330" s="205">
        <f t="shared" si="11"/>
        <v>0</v>
      </c>
      <c r="D330" s="223"/>
      <c r="R330" s="222"/>
    </row>
    <row r="331" spans="1:18" x14ac:dyDescent="0.35">
      <c r="A331" s="203">
        <f t="shared" si="10"/>
        <v>0</v>
      </c>
      <c r="C331" s="205">
        <f t="shared" si="11"/>
        <v>0</v>
      </c>
      <c r="D331" s="223"/>
      <c r="R331" s="222"/>
    </row>
    <row r="332" spans="1:18" x14ac:dyDescent="0.35">
      <c r="A332" s="203">
        <f t="shared" si="10"/>
        <v>0</v>
      </c>
      <c r="C332" s="205">
        <f t="shared" si="11"/>
        <v>0</v>
      </c>
      <c r="D332" s="223"/>
      <c r="R332" s="222"/>
    </row>
    <row r="333" spans="1:18" x14ac:dyDescent="0.35">
      <c r="A333" s="203">
        <f t="shared" si="10"/>
        <v>0</v>
      </c>
      <c r="C333" s="205">
        <f t="shared" si="11"/>
        <v>0</v>
      </c>
      <c r="D333" s="223"/>
      <c r="R333" s="222"/>
    </row>
    <row r="334" spans="1:18" x14ac:dyDescent="0.35">
      <c r="A334" s="203">
        <f t="shared" si="10"/>
        <v>0</v>
      </c>
      <c r="C334" s="205">
        <f t="shared" si="11"/>
        <v>0</v>
      </c>
      <c r="D334" s="223"/>
      <c r="R334" s="222"/>
    </row>
    <row r="335" spans="1:18" x14ac:dyDescent="0.35">
      <c r="A335" s="203">
        <f t="shared" si="10"/>
        <v>0</v>
      </c>
      <c r="C335" s="205">
        <f t="shared" si="11"/>
        <v>0</v>
      </c>
      <c r="D335" s="223"/>
      <c r="R335" s="222"/>
    </row>
    <row r="336" spans="1:18" x14ac:dyDescent="0.35">
      <c r="A336" s="203">
        <f t="shared" si="10"/>
        <v>0</v>
      </c>
      <c r="C336" s="205">
        <f t="shared" si="11"/>
        <v>0</v>
      </c>
      <c r="D336" s="223"/>
      <c r="R336" s="222"/>
    </row>
    <row r="337" spans="1:18" x14ac:dyDescent="0.35">
      <c r="A337" s="203">
        <f t="shared" si="10"/>
        <v>0</v>
      </c>
      <c r="C337" s="205">
        <f t="shared" si="11"/>
        <v>0</v>
      </c>
      <c r="D337" s="223"/>
      <c r="R337" s="222"/>
    </row>
    <row r="338" spans="1:18" x14ac:dyDescent="0.35">
      <c r="A338" s="203">
        <f t="shared" si="10"/>
        <v>0</v>
      </c>
      <c r="C338" s="205">
        <f t="shared" si="11"/>
        <v>0</v>
      </c>
      <c r="D338" s="223"/>
      <c r="R338" s="222"/>
    </row>
    <row r="339" spans="1:18" x14ac:dyDescent="0.35">
      <c r="A339" s="203">
        <f t="shared" si="10"/>
        <v>0</v>
      </c>
      <c r="C339" s="205">
        <f t="shared" si="11"/>
        <v>0</v>
      </c>
      <c r="D339" s="223"/>
      <c r="R339" s="222"/>
    </row>
    <row r="340" spans="1:18" x14ac:dyDescent="0.35">
      <c r="A340" s="203">
        <f t="shared" si="10"/>
        <v>0</v>
      </c>
      <c r="C340" s="205">
        <f t="shared" si="11"/>
        <v>0</v>
      </c>
      <c r="D340" s="223"/>
      <c r="R340" s="222"/>
    </row>
    <row r="341" spans="1:18" x14ac:dyDescent="0.35">
      <c r="A341" s="203">
        <f t="shared" si="10"/>
        <v>0</v>
      </c>
      <c r="C341" s="205">
        <f t="shared" si="11"/>
        <v>0</v>
      </c>
      <c r="D341" s="223"/>
      <c r="R341" s="222"/>
    </row>
    <row r="342" spans="1:18" x14ac:dyDescent="0.35">
      <c r="A342" s="203">
        <f t="shared" si="10"/>
        <v>0</v>
      </c>
      <c r="C342" s="205">
        <f t="shared" si="11"/>
        <v>0</v>
      </c>
      <c r="D342" s="223"/>
      <c r="R342" s="222"/>
    </row>
    <row r="343" spans="1:18" x14ac:dyDescent="0.35">
      <c r="A343" s="203">
        <f t="shared" si="10"/>
        <v>0</v>
      </c>
      <c r="C343" s="205">
        <f t="shared" si="11"/>
        <v>0</v>
      </c>
      <c r="D343" s="223"/>
      <c r="R343" s="222"/>
    </row>
    <row r="344" spans="1:18" x14ac:dyDescent="0.35">
      <c r="A344" s="203">
        <f t="shared" si="10"/>
        <v>0</v>
      </c>
      <c r="C344" s="205">
        <f t="shared" si="11"/>
        <v>0</v>
      </c>
      <c r="D344" s="223"/>
      <c r="R344" s="222"/>
    </row>
    <row r="345" spans="1:18" x14ac:dyDescent="0.35">
      <c r="A345" s="203">
        <f t="shared" si="10"/>
        <v>0</v>
      </c>
      <c r="C345" s="205">
        <f t="shared" si="11"/>
        <v>0</v>
      </c>
      <c r="D345" s="223"/>
      <c r="R345" s="222"/>
    </row>
    <row r="346" spans="1:18" x14ac:dyDescent="0.35">
      <c r="A346" s="203">
        <f t="shared" si="10"/>
        <v>0</v>
      </c>
      <c r="C346" s="205">
        <f t="shared" si="11"/>
        <v>0</v>
      </c>
      <c r="D346" s="223"/>
      <c r="R346" s="222"/>
    </row>
    <row r="347" spans="1:18" x14ac:dyDescent="0.35">
      <c r="A347" s="203">
        <f t="shared" si="10"/>
        <v>0</v>
      </c>
      <c r="C347" s="205">
        <f t="shared" si="11"/>
        <v>0</v>
      </c>
      <c r="D347" s="223"/>
      <c r="R347" s="222"/>
    </row>
    <row r="348" spans="1:18" x14ac:dyDescent="0.35">
      <c r="A348" s="203">
        <f t="shared" si="10"/>
        <v>0</v>
      </c>
      <c r="C348" s="205">
        <f t="shared" si="11"/>
        <v>0</v>
      </c>
      <c r="D348" s="223"/>
      <c r="R348" s="222"/>
    </row>
    <row r="349" spans="1:18" x14ac:dyDescent="0.35">
      <c r="A349" s="203">
        <f t="shared" si="10"/>
        <v>0</v>
      </c>
      <c r="C349" s="205">
        <f t="shared" si="11"/>
        <v>0</v>
      </c>
      <c r="D349" s="223"/>
      <c r="R349" s="222"/>
    </row>
    <row r="350" spans="1:18" x14ac:dyDescent="0.35">
      <c r="A350" s="203">
        <f t="shared" si="10"/>
        <v>0</v>
      </c>
      <c r="C350" s="205">
        <f t="shared" si="11"/>
        <v>0</v>
      </c>
      <c r="D350" s="223"/>
      <c r="R350" s="222"/>
    </row>
    <row r="351" spans="1:18" x14ac:dyDescent="0.35">
      <c r="A351" s="203">
        <f t="shared" si="10"/>
        <v>0</v>
      </c>
      <c r="C351" s="205">
        <f t="shared" si="11"/>
        <v>0</v>
      </c>
      <c r="D351" s="223"/>
      <c r="R351" s="222"/>
    </row>
    <row r="352" spans="1:18" x14ac:dyDescent="0.35">
      <c r="A352" s="203">
        <f t="shared" si="10"/>
        <v>0</v>
      </c>
      <c r="C352" s="205">
        <f t="shared" si="11"/>
        <v>0</v>
      </c>
      <c r="D352" s="223"/>
      <c r="R352" s="222"/>
    </row>
    <row r="353" spans="1:18" x14ac:dyDescent="0.35">
      <c r="A353" s="203">
        <f t="shared" si="10"/>
        <v>0</v>
      </c>
      <c r="C353" s="205">
        <f t="shared" si="11"/>
        <v>0</v>
      </c>
      <c r="D353" s="223"/>
      <c r="R353" s="222"/>
    </row>
    <row r="354" spans="1:18" x14ac:dyDescent="0.35">
      <c r="A354" s="203">
        <f t="shared" si="10"/>
        <v>0</v>
      </c>
      <c r="C354" s="205">
        <f t="shared" si="11"/>
        <v>0</v>
      </c>
      <c r="D354" s="223"/>
      <c r="R354" s="222"/>
    </row>
    <row r="355" spans="1:18" x14ac:dyDescent="0.35">
      <c r="A355" s="203">
        <f t="shared" si="10"/>
        <v>0</v>
      </c>
      <c r="C355" s="205">
        <f t="shared" si="11"/>
        <v>0</v>
      </c>
      <c r="D355" s="223"/>
      <c r="R355" s="222"/>
    </row>
    <row r="356" spans="1:18" x14ac:dyDescent="0.35">
      <c r="A356" s="203">
        <f t="shared" si="10"/>
        <v>0</v>
      </c>
      <c r="C356" s="205">
        <f t="shared" si="11"/>
        <v>0</v>
      </c>
      <c r="D356" s="223"/>
      <c r="R356" s="222"/>
    </row>
    <row r="357" spans="1:18" x14ac:dyDescent="0.35">
      <c r="A357" s="203">
        <f t="shared" si="10"/>
        <v>0</v>
      </c>
      <c r="C357" s="205">
        <f t="shared" si="11"/>
        <v>0</v>
      </c>
      <c r="D357" s="223"/>
      <c r="R357" s="222"/>
    </row>
    <row r="358" spans="1:18" x14ac:dyDescent="0.35">
      <c r="A358" s="203">
        <f t="shared" si="10"/>
        <v>0</v>
      </c>
      <c r="C358" s="205">
        <f t="shared" si="11"/>
        <v>0</v>
      </c>
      <c r="D358" s="223"/>
      <c r="R358" s="222"/>
    </row>
    <row r="359" spans="1:18" x14ac:dyDescent="0.35">
      <c r="A359" s="203">
        <f t="shared" si="10"/>
        <v>0</v>
      </c>
      <c r="C359" s="205">
        <f t="shared" si="11"/>
        <v>0</v>
      </c>
      <c r="D359" s="223"/>
      <c r="R359" s="222"/>
    </row>
    <row r="360" spans="1:18" x14ac:dyDescent="0.35">
      <c r="A360" s="203">
        <f t="shared" si="10"/>
        <v>0</v>
      </c>
      <c r="C360" s="205">
        <f t="shared" si="11"/>
        <v>0</v>
      </c>
      <c r="D360" s="223"/>
      <c r="R360" s="222"/>
    </row>
    <row r="361" spans="1:18" x14ac:dyDescent="0.35">
      <c r="A361" s="203">
        <f t="shared" si="10"/>
        <v>0</v>
      </c>
      <c r="C361" s="205">
        <f t="shared" si="11"/>
        <v>0</v>
      </c>
      <c r="D361" s="223"/>
      <c r="R361" s="222"/>
    </row>
    <row r="362" spans="1:18" x14ac:dyDescent="0.35">
      <c r="A362" s="203">
        <f t="shared" si="10"/>
        <v>0</v>
      </c>
      <c r="C362" s="205">
        <f t="shared" si="11"/>
        <v>0</v>
      </c>
      <c r="D362" s="223"/>
      <c r="R362" s="222"/>
    </row>
    <row r="363" spans="1:18" x14ac:dyDescent="0.35">
      <c r="A363" s="203">
        <f t="shared" si="10"/>
        <v>0</v>
      </c>
      <c r="C363" s="205">
        <f t="shared" si="11"/>
        <v>0</v>
      </c>
      <c r="D363" s="223"/>
      <c r="R363" s="222"/>
    </row>
    <row r="364" spans="1:18" x14ac:dyDescent="0.35">
      <c r="A364" s="203">
        <f t="shared" si="10"/>
        <v>0</v>
      </c>
      <c r="C364" s="205">
        <f t="shared" si="11"/>
        <v>0</v>
      </c>
      <c r="D364" s="223"/>
      <c r="R364" s="222"/>
    </row>
    <row r="365" spans="1:18" x14ac:dyDescent="0.35">
      <c r="A365" s="203">
        <f t="shared" si="10"/>
        <v>0</v>
      </c>
      <c r="C365" s="205">
        <f t="shared" si="11"/>
        <v>0</v>
      </c>
      <c r="D365" s="223"/>
      <c r="R365" s="222"/>
    </row>
    <row r="366" spans="1:18" x14ac:dyDescent="0.35">
      <c r="A366" s="203">
        <f t="shared" si="10"/>
        <v>0</v>
      </c>
      <c r="C366" s="205">
        <f t="shared" si="11"/>
        <v>0</v>
      </c>
      <c r="D366" s="223"/>
      <c r="R366" s="222"/>
    </row>
    <row r="367" spans="1:18" x14ac:dyDescent="0.35">
      <c r="A367" s="203">
        <f t="shared" si="10"/>
        <v>0</v>
      </c>
      <c r="C367" s="205">
        <f t="shared" si="11"/>
        <v>0</v>
      </c>
      <c r="D367" s="223"/>
      <c r="R367" s="222"/>
    </row>
    <row r="368" spans="1:18" x14ac:dyDescent="0.35">
      <c r="A368" s="203">
        <f t="shared" si="10"/>
        <v>0</v>
      </c>
      <c r="C368" s="205">
        <f t="shared" si="11"/>
        <v>0</v>
      </c>
      <c r="D368" s="223"/>
      <c r="R368" s="222"/>
    </row>
    <row r="369" spans="1:18" x14ac:dyDescent="0.35">
      <c r="A369" s="203">
        <f t="shared" si="10"/>
        <v>0</v>
      </c>
      <c r="C369" s="205">
        <f t="shared" si="11"/>
        <v>0</v>
      </c>
      <c r="D369" s="223"/>
      <c r="R369" s="222"/>
    </row>
    <row r="370" spans="1:18" x14ac:dyDescent="0.35">
      <c r="A370" s="203">
        <f t="shared" si="10"/>
        <v>0</v>
      </c>
      <c r="C370" s="205">
        <f t="shared" si="11"/>
        <v>0</v>
      </c>
      <c r="D370" s="223"/>
      <c r="R370" s="222"/>
    </row>
    <row r="371" spans="1:18" x14ac:dyDescent="0.35">
      <c r="A371" s="203">
        <f t="shared" si="10"/>
        <v>0</v>
      </c>
      <c r="C371" s="205">
        <f t="shared" si="11"/>
        <v>0</v>
      </c>
      <c r="D371" s="223"/>
      <c r="R371" s="222"/>
    </row>
    <row r="372" spans="1:18" x14ac:dyDescent="0.35">
      <c r="A372" s="203">
        <f t="shared" si="10"/>
        <v>0</v>
      </c>
      <c r="C372" s="205">
        <f t="shared" si="11"/>
        <v>0</v>
      </c>
      <c r="D372" s="223"/>
      <c r="R372" s="222"/>
    </row>
    <row r="373" spans="1:18" x14ac:dyDescent="0.35">
      <c r="A373" s="203">
        <f t="shared" si="10"/>
        <v>0</v>
      </c>
      <c r="C373" s="205">
        <f t="shared" si="11"/>
        <v>0</v>
      </c>
      <c r="D373" s="223"/>
      <c r="R373" s="222"/>
    </row>
    <row r="374" spans="1:18" x14ac:dyDescent="0.35">
      <c r="A374" s="203">
        <f t="shared" si="10"/>
        <v>0</v>
      </c>
      <c r="C374" s="205">
        <f t="shared" si="11"/>
        <v>0</v>
      </c>
      <c r="D374" s="223"/>
      <c r="R374" s="222"/>
    </row>
    <row r="375" spans="1:18" x14ac:dyDescent="0.35">
      <c r="A375" s="203">
        <f t="shared" si="10"/>
        <v>0</v>
      </c>
      <c r="C375" s="205">
        <f t="shared" si="11"/>
        <v>0</v>
      </c>
      <c r="D375" s="223"/>
      <c r="R375" s="222"/>
    </row>
    <row r="376" spans="1:18" x14ac:dyDescent="0.35">
      <c r="A376" s="203">
        <f t="shared" si="10"/>
        <v>0</v>
      </c>
      <c r="C376" s="205">
        <f t="shared" si="11"/>
        <v>0</v>
      </c>
      <c r="D376" s="223"/>
      <c r="R376" s="222"/>
    </row>
    <row r="377" spans="1:18" x14ac:dyDescent="0.35">
      <c r="A377" s="203">
        <f t="shared" si="10"/>
        <v>0</v>
      </c>
      <c r="C377" s="205">
        <f t="shared" si="11"/>
        <v>0</v>
      </c>
      <c r="D377" s="223"/>
      <c r="R377" s="222"/>
    </row>
    <row r="378" spans="1:18" x14ac:dyDescent="0.35">
      <c r="A378" s="203">
        <f t="shared" si="10"/>
        <v>0</v>
      </c>
      <c r="C378" s="205">
        <f t="shared" si="11"/>
        <v>0</v>
      </c>
      <c r="D378" s="223"/>
      <c r="R378" s="222"/>
    </row>
    <row r="379" spans="1:18" x14ac:dyDescent="0.35">
      <c r="A379" s="203">
        <f t="shared" si="10"/>
        <v>0</v>
      </c>
      <c r="C379" s="205">
        <f t="shared" si="11"/>
        <v>0</v>
      </c>
      <c r="D379" s="223"/>
      <c r="R379" s="222"/>
    </row>
    <row r="380" spans="1:18" x14ac:dyDescent="0.35">
      <c r="A380" s="203">
        <f t="shared" si="10"/>
        <v>0</v>
      </c>
      <c r="C380" s="205">
        <f t="shared" si="11"/>
        <v>0</v>
      </c>
      <c r="D380" s="223"/>
      <c r="R380" s="222"/>
    </row>
    <row r="381" spans="1:18" x14ac:dyDescent="0.35">
      <c r="A381" s="203">
        <f t="shared" si="10"/>
        <v>0</v>
      </c>
      <c r="C381" s="205">
        <f t="shared" si="11"/>
        <v>0</v>
      </c>
      <c r="D381" s="223"/>
      <c r="R381" s="222"/>
    </row>
    <row r="382" spans="1:18" x14ac:dyDescent="0.35">
      <c r="A382" s="203">
        <f t="shared" si="10"/>
        <v>0</v>
      </c>
      <c r="C382" s="205">
        <f t="shared" si="11"/>
        <v>0</v>
      </c>
      <c r="D382" s="223"/>
      <c r="R382" s="222"/>
    </row>
    <row r="383" spans="1:18" x14ac:dyDescent="0.35">
      <c r="A383" s="203">
        <f t="shared" si="10"/>
        <v>0</v>
      </c>
      <c r="C383" s="205">
        <f t="shared" si="11"/>
        <v>0</v>
      </c>
      <c r="D383" s="223"/>
      <c r="R383" s="222"/>
    </row>
    <row r="384" spans="1:18" x14ac:dyDescent="0.35">
      <c r="A384" s="203">
        <f t="shared" si="10"/>
        <v>0</v>
      </c>
      <c r="C384" s="205">
        <f t="shared" si="11"/>
        <v>0</v>
      </c>
      <c r="D384" s="223"/>
      <c r="R384" s="222"/>
    </row>
    <row r="385" spans="1:18" x14ac:dyDescent="0.35">
      <c r="A385" s="203">
        <f t="shared" si="10"/>
        <v>0</v>
      </c>
      <c r="C385" s="205">
        <f t="shared" si="11"/>
        <v>0</v>
      </c>
      <c r="D385" s="223"/>
      <c r="R385" s="222"/>
    </row>
    <row r="386" spans="1:18" x14ac:dyDescent="0.35">
      <c r="A386" s="203">
        <f t="shared" si="10"/>
        <v>0</v>
      </c>
      <c r="C386" s="205">
        <f t="shared" si="11"/>
        <v>0</v>
      </c>
      <c r="D386" s="223"/>
      <c r="R386" s="222"/>
    </row>
    <row r="387" spans="1:18" x14ac:dyDescent="0.35">
      <c r="A387" s="203">
        <f t="shared" ref="A387:A450" si="12">F387</f>
        <v>0</v>
      </c>
      <c r="C387" s="205">
        <f t="shared" ref="C387:C450" si="13">F387</f>
        <v>0</v>
      </c>
      <c r="D387" s="223"/>
      <c r="R387" s="222"/>
    </row>
    <row r="388" spans="1:18" x14ac:dyDescent="0.35">
      <c r="A388" s="203">
        <f t="shared" si="12"/>
        <v>0</v>
      </c>
      <c r="C388" s="205">
        <f t="shared" si="13"/>
        <v>0</v>
      </c>
      <c r="D388" s="223"/>
      <c r="R388" s="222"/>
    </row>
    <row r="389" spans="1:18" x14ac:dyDescent="0.35">
      <c r="A389" s="203">
        <f t="shared" si="12"/>
        <v>0</v>
      </c>
      <c r="C389" s="205">
        <f t="shared" si="13"/>
        <v>0</v>
      </c>
      <c r="D389" s="223"/>
      <c r="R389" s="222"/>
    </row>
    <row r="390" spans="1:18" x14ac:dyDescent="0.35">
      <c r="A390" s="203">
        <f t="shared" si="12"/>
        <v>0</v>
      </c>
      <c r="C390" s="205">
        <f t="shared" si="13"/>
        <v>0</v>
      </c>
      <c r="D390" s="223"/>
      <c r="R390" s="222"/>
    </row>
    <row r="391" spans="1:18" x14ac:dyDescent="0.35">
      <c r="A391" s="203">
        <f t="shared" si="12"/>
        <v>0</v>
      </c>
      <c r="C391" s="205">
        <f t="shared" si="13"/>
        <v>0</v>
      </c>
      <c r="D391" s="223"/>
      <c r="R391" s="222"/>
    </row>
    <row r="392" spans="1:18" x14ac:dyDescent="0.35">
      <c r="A392" s="203">
        <f t="shared" si="12"/>
        <v>0</v>
      </c>
      <c r="C392" s="205">
        <f t="shared" si="13"/>
        <v>0</v>
      </c>
      <c r="D392" s="223"/>
      <c r="R392" s="222"/>
    </row>
    <row r="393" spans="1:18" x14ac:dyDescent="0.35">
      <c r="A393" s="203">
        <f t="shared" si="12"/>
        <v>0</v>
      </c>
      <c r="C393" s="205">
        <f t="shared" si="13"/>
        <v>0</v>
      </c>
      <c r="D393" s="223"/>
      <c r="R393" s="222"/>
    </row>
    <row r="394" spans="1:18" x14ac:dyDescent="0.35">
      <c r="A394" s="203">
        <f t="shared" si="12"/>
        <v>0</v>
      </c>
      <c r="C394" s="205">
        <f t="shared" si="13"/>
        <v>0</v>
      </c>
      <c r="D394" s="223"/>
      <c r="R394" s="222"/>
    </row>
    <row r="395" spans="1:18" x14ac:dyDescent="0.35">
      <c r="A395" s="203">
        <f t="shared" si="12"/>
        <v>0</v>
      </c>
      <c r="C395" s="205">
        <f t="shared" si="13"/>
        <v>0</v>
      </c>
      <c r="D395" s="223"/>
      <c r="R395" s="222"/>
    </row>
    <row r="396" spans="1:18" x14ac:dyDescent="0.35">
      <c r="A396" s="203">
        <f t="shared" si="12"/>
        <v>0</v>
      </c>
      <c r="C396" s="205">
        <f t="shared" si="13"/>
        <v>0</v>
      </c>
      <c r="D396" s="223"/>
      <c r="R396" s="222"/>
    </row>
    <row r="397" spans="1:18" x14ac:dyDescent="0.35">
      <c r="A397" s="203">
        <f t="shared" si="12"/>
        <v>0</v>
      </c>
      <c r="C397" s="205">
        <f t="shared" si="13"/>
        <v>0</v>
      </c>
      <c r="D397" s="223"/>
      <c r="R397" s="222"/>
    </row>
    <row r="398" spans="1:18" x14ac:dyDescent="0.35">
      <c r="A398" s="203">
        <f t="shared" si="12"/>
        <v>0</v>
      </c>
      <c r="C398" s="205">
        <f t="shared" si="13"/>
        <v>0</v>
      </c>
      <c r="D398" s="223"/>
      <c r="R398" s="222"/>
    </row>
    <row r="399" spans="1:18" x14ac:dyDescent="0.35">
      <c r="A399" s="203">
        <f t="shared" si="12"/>
        <v>0</v>
      </c>
      <c r="C399" s="205">
        <f t="shared" si="13"/>
        <v>0</v>
      </c>
      <c r="D399" s="223"/>
      <c r="R399" s="222"/>
    </row>
    <row r="400" spans="1:18" x14ac:dyDescent="0.35">
      <c r="A400" s="203">
        <f t="shared" si="12"/>
        <v>0</v>
      </c>
      <c r="C400" s="205">
        <f t="shared" si="13"/>
        <v>0</v>
      </c>
      <c r="D400" s="223"/>
      <c r="R400" s="222"/>
    </row>
    <row r="401" spans="1:18" x14ac:dyDescent="0.35">
      <c r="A401" s="203">
        <f t="shared" si="12"/>
        <v>0</v>
      </c>
      <c r="C401" s="205">
        <f t="shared" si="13"/>
        <v>0</v>
      </c>
      <c r="D401" s="223"/>
      <c r="R401" s="222"/>
    </row>
    <row r="402" spans="1:18" x14ac:dyDescent="0.35">
      <c r="A402" s="203">
        <f t="shared" si="12"/>
        <v>0</v>
      </c>
      <c r="C402" s="205">
        <f t="shared" si="13"/>
        <v>0</v>
      </c>
      <c r="D402" s="223"/>
      <c r="R402" s="222"/>
    </row>
    <row r="403" spans="1:18" x14ac:dyDescent="0.35">
      <c r="A403" s="203">
        <f t="shared" si="12"/>
        <v>0</v>
      </c>
      <c r="C403" s="205">
        <f t="shared" si="13"/>
        <v>0</v>
      </c>
      <c r="D403" s="223"/>
      <c r="R403" s="222"/>
    </row>
    <row r="404" spans="1:18" x14ac:dyDescent="0.35">
      <c r="A404" s="203">
        <f t="shared" si="12"/>
        <v>0</v>
      </c>
      <c r="C404" s="205">
        <f t="shared" si="13"/>
        <v>0</v>
      </c>
      <c r="D404" s="223"/>
      <c r="R404" s="222"/>
    </row>
    <row r="405" spans="1:18" x14ac:dyDescent="0.35">
      <c r="A405" s="203">
        <f t="shared" si="12"/>
        <v>0</v>
      </c>
      <c r="C405" s="205">
        <f t="shared" si="13"/>
        <v>0</v>
      </c>
      <c r="D405" s="223"/>
      <c r="R405" s="222"/>
    </row>
    <row r="406" spans="1:18" x14ac:dyDescent="0.35">
      <c r="A406" s="203">
        <f t="shared" si="12"/>
        <v>0</v>
      </c>
      <c r="C406" s="205">
        <f t="shared" si="13"/>
        <v>0</v>
      </c>
      <c r="D406" s="223"/>
      <c r="R406" s="222"/>
    </row>
    <row r="407" spans="1:18" x14ac:dyDescent="0.35">
      <c r="A407" s="203">
        <f t="shared" si="12"/>
        <v>0</v>
      </c>
      <c r="C407" s="205">
        <f t="shared" si="13"/>
        <v>0</v>
      </c>
      <c r="D407" s="223"/>
      <c r="R407" s="222"/>
    </row>
    <row r="408" spans="1:18" x14ac:dyDescent="0.35">
      <c r="A408" s="203">
        <f t="shared" si="12"/>
        <v>0</v>
      </c>
      <c r="C408" s="205">
        <f t="shared" si="13"/>
        <v>0</v>
      </c>
      <c r="D408" s="223"/>
      <c r="R408" s="222"/>
    </row>
    <row r="409" spans="1:18" x14ac:dyDescent="0.35">
      <c r="A409" s="203">
        <f t="shared" si="12"/>
        <v>0</v>
      </c>
      <c r="C409" s="205">
        <f t="shared" si="13"/>
        <v>0</v>
      </c>
      <c r="D409" s="223"/>
      <c r="R409" s="222"/>
    </row>
    <row r="410" spans="1:18" x14ac:dyDescent="0.35">
      <c r="A410" s="203">
        <f t="shared" si="12"/>
        <v>0</v>
      </c>
      <c r="C410" s="205">
        <f t="shared" si="13"/>
        <v>0</v>
      </c>
      <c r="D410" s="223"/>
      <c r="R410" s="222"/>
    </row>
    <row r="411" spans="1:18" x14ac:dyDescent="0.35">
      <c r="A411" s="203">
        <f t="shared" si="12"/>
        <v>0</v>
      </c>
      <c r="C411" s="205">
        <f t="shared" si="13"/>
        <v>0</v>
      </c>
      <c r="D411" s="223"/>
      <c r="R411" s="222"/>
    </row>
    <row r="412" spans="1:18" x14ac:dyDescent="0.35">
      <c r="A412" s="203">
        <f t="shared" si="12"/>
        <v>0</v>
      </c>
      <c r="C412" s="205">
        <f t="shared" si="13"/>
        <v>0</v>
      </c>
      <c r="D412" s="223"/>
      <c r="R412" s="222"/>
    </row>
    <row r="413" spans="1:18" x14ac:dyDescent="0.35">
      <c r="A413" s="203">
        <f t="shared" si="12"/>
        <v>0</v>
      </c>
      <c r="C413" s="205">
        <f t="shared" si="13"/>
        <v>0</v>
      </c>
      <c r="D413" s="223"/>
      <c r="R413" s="222"/>
    </row>
    <row r="414" spans="1:18" x14ac:dyDescent="0.35">
      <c r="A414" s="203">
        <f t="shared" si="12"/>
        <v>0</v>
      </c>
      <c r="C414" s="205">
        <f t="shared" si="13"/>
        <v>0</v>
      </c>
      <c r="D414" s="223"/>
      <c r="R414" s="222"/>
    </row>
    <row r="415" spans="1:18" x14ac:dyDescent="0.35">
      <c r="A415" s="203">
        <f t="shared" si="12"/>
        <v>0</v>
      </c>
      <c r="C415" s="205">
        <f t="shared" si="13"/>
        <v>0</v>
      </c>
      <c r="D415" s="223"/>
      <c r="R415" s="222"/>
    </row>
    <row r="416" spans="1:18" x14ac:dyDescent="0.35">
      <c r="A416" s="203">
        <f t="shared" si="12"/>
        <v>0</v>
      </c>
      <c r="C416" s="205">
        <f t="shared" si="13"/>
        <v>0</v>
      </c>
      <c r="D416" s="223"/>
      <c r="R416" s="222"/>
    </row>
    <row r="417" spans="1:18" x14ac:dyDescent="0.35">
      <c r="A417" s="203">
        <f t="shared" si="12"/>
        <v>0</v>
      </c>
      <c r="C417" s="205">
        <f t="shared" si="13"/>
        <v>0</v>
      </c>
      <c r="D417" s="223"/>
      <c r="R417" s="222"/>
    </row>
    <row r="418" spans="1:18" x14ac:dyDescent="0.35">
      <c r="A418" s="203">
        <f t="shared" si="12"/>
        <v>0</v>
      </c>
      <c r="C418" s="205">
        <f t="shared" si="13"/>
        <v>0</v>
      </c>
      <c r="D418" s="223"/>
      <c r="R418" s="222"/>
    </row>
    <row r="419" spans="1:18" x14ac:dyDescent="0.35">
      <c r="A419" s="203">
        <f t="shared" si="12"/>
        <v>0</v>
      </c>
      <c r="C419" s="205">
        <f t="shared" si="13"/>
        <v>0</v>
      </c>
      <c r="D419" s="223"/>
      <c r="R419" s="222"/>
    </row>
    <row r="420" spans="1:18" x14ac:dyDescent="0.35">
      <c r="A420" s="203">
        <f t="shared" si="12"/>
        <v>0</v>
      </c>
      <c r="C420" s="205">
        <f t="shared" si="13"/>
        <v>0</v>
      </c>
      <c r="D420" s="223"/>
      <c r="R420" s="222"/>
    </row>
    <row r="421" spans="1:18" x14ac:dyDescent="0.35">
      <c r="A421" s="203">
        <f t="shared" si="12"/>
        <v>0</v>
      </c>
      <c r="C421" s="205">
        <f t="shared" si="13"/>
        <v>0</v>
      </c>
      <c r="D421" s="223"/>
      <c r="R421" s="222"/>
    </row>
    <row r="422" spans="1:18" x14ac:dyDescent="0.35">
      <c r="A422" s="203">
        <f t="shared" si="12"/>
        <v>0</v>
      </c>
      <c r="C422" s="205">
        <f t="shared" si="13"/>
        <v>0</v>
      </c>
      <c r="D422" s="223"/>
      <c r="R422" s="222"/>
    </row>
    <row r="423" spans="1:18" x14ac:dyDescent="0.35">
      <c r="A423" s="203">
        <f t="shared" si="12"/>
        <v>0</v>
      </c>
      <c r="C423" s="205">
        <f t="shared" si="13"/>
        <v>0</v>
      </c>
      <c r="D423" s="223"/>
      <c r="R423" s="222"/>
    </row>
    <row r="424" spans="1:18" x14ac:dyDescent="0.35">
      <c r="A424" s="203">
        <f t="shared" si="12"/>
        <v>0</v>
      </c>
      <c r="C424" s="205">
        <f t="shared" si="13"/>
        <v>0</v>
      </c>
      <c r="D424" s="223"/>
      <c r="R424" s="222"/>
    </row>
    <row r="425" spans="1:18" x14ac:dyDescent="0.35">
      <c r="A425" s="203">
        <f t="shared" si="12"/>
        <v>0</v>
      </c>
      <c r="C425" s="205">
        <f t="shared" si="13"/>
        <v>0</v>
      </c>
      <c r="D425" s="223"/>
      <c r="R425" s="222"/>
    </row>
    <row r="426" spans="1:18" x14ac:dyDescent="0.35">
      <c r="A426" s="203">
        <f t="shared" si="12"/>
        <v>0</v>
      </c>
      <c r="C426" s="205">
        <f t="shared" si="13"/>
        <v>0</v>
      </c>
      <c r="D426" s="223"/>
      <c r="R426" s="222"/>
    </row>
    <row r="427" spans="1:18" x14ac:dyDescent="0.35">
      <c r="A427" s="203">
        <f t="shared" si="12"/>
        <v>0</v>
      </c>
      <c r="C427" s="205">
        <f t="shared" si="13"/>
        <v>0</v>
      </c>
      <c r="D427" s="223"/>
      <c r="R427" s="222"/>
    </row>
    <row r="428" spans="1:18" x14ac:dyDescent="0.35">
      <c r="A428" s="203">
        <f t="shared" si="12"/>
        <v>0</v>
      </c>
      <c r="C428" s="205">
        <f t="shared" si="13"/>
        <v>0</v>
      </c>
      <c r="D428" s="223"/>
      <c r="R428" s="222"/>
    </row>
    <row r="429" spans="1:18" x14ac:dyDescent="0.35">
      <c r="A429" s="203">
        <f t="shared" si="12"/>
        <v>0</v>
      </c>
      <c r="C429" s="205">
        <f t="shared" si="13"/>
        <v>0</v>
      </c>
      <c r="D429" s="223"/>
      <c r="R429" s="222"/>
    </row>
    <row r="430" spans="1:18" x14ac:dyDescent="0.35">
      <c r="A430" s="203">
        <f t="shared" si="12"/>
        <v>0</v>
      </c>
      <c r="C430" s="205">
        <f t="shared" si="13"/>
        <v>0</v>
      </c>
      <c r="D430" s="223"/>
      <c r="R430" s="222"/>
    </row>
    <row r="431" spans="1:18" x14ac:dyDescent="0.35">
      <c r="A431" s="203">
        <f t="shared" si="12"/>
        <v>0</v>
      </c>
      <c r="C431" s="205">
        <f t="shared" si="13"/>
        <v>0</v>
      </c>
      <c r="D431" s="223"/>
      <c r="R431" s="222"/>
    </row>
    <row r="432" spans="1:18" x14ac:dyDescent="0.35">
      <c r="A432" s="203">
        <f t="shared" si="12"/>
        <v>0</v>
      </c>
      <c r="C432" s="205">
        <f t="shared" si="13"/>
        <v>0</v>
      </c>
      <c r="D432" s="223"/>
      <c r="R432" s="222"/>
    </row>
    <row r="433" spans="1:18" x14ac:dyDescent="0.35">
      <c r="A433" s="203">
        <f t="shared" si="12"/>
        <v>0</v>
      </c>
      <c r="C433" s="205">
        <f t="shared" si="13"/>
        <v>0</v>
      </c>
      <c r="D433" s="223"/>
      <c r="R433" s="222"/>
    </row>
    <row r="434" spans="1:18" x14ac:dyDescent="0.35">
      <c r="A434" s="203">
        <f t="shared" si="12"/>
        <v>0</v>
      </c>
      <c r="C434" s="205">
        <f t="shared" si="13"/>
        <v>0</v>
      </c>
      <c r="D434" s="223"/>
      <c r="R434" s="222"/>
    </row>
    <row r="435" spans="1:18" x14ac:dyDescent="0.35">
      <c r="A435" s="203">
        <f t="shared" si="12"/>
        <v>0</v>
      </c>
      <c r="C435" s="205">
        <f t="shared" si="13"/>
        <v>0</v>
      </c>
      <c r="D435" s="223"/>
      <c r="R435" s="222"/>
    </row>
    <row r="436" spans="1:18" x14ac:dyDescent="0.35">
      <c r="A436" s="203">
        <f t="shared" si="12"/>
        <v>0</v>
      </c>
      <c r="C436" s="205">
        <f t="shared" si="13"/>
        <v>0</v>
      </c>
      <c r="D436" s="223"/>
      <c r="R436" s="222"/>
    </row>
    <row r="437" spans="1:18" x14ac:dyDescent="0.35">
      <c r="A437" s="203">
        <f t="shared" si="12"/>
        <v>0</v>
      </c>
      <c r="C437" s="205">
        <f t="shared" si="13"/>
        <v>0</v>
      </c>
      <c r="D437" s="223"/>
      <c r="R437" s="222"/>
    </row>
    <row r="438" spans="1:18" x14ac:dyDescent="0.35">
      <c r="A438" s="203">
        <f t="shared" si="12"/>
        <v>0</v>
      </c>
      <c r="C438" s="205">
        <f t="shared" si="13"/>
        <v>0</v>
      </c>
      <c r="D438" s="223"/>
      <c r="R438" s="222"/>
    </row>
    <row r="439" spans="1:18" x14ac:dyDescent="0.35">
      <c r="A439" s="203">
        <f t="shared" si="12"/>
        <v>0</v>
      </c>
      <c r="C439" s="205">
        <f t="shared" si="13"/>
        <v>0</v>
      </c>
      <c r="D439" s="223"/>
      <c r="R439" s="222"/>
    </row>
    <row r="440" spans="1:18" x14ac:dyDescent="0.35">
      <c r="A440" s="203">
        <f t="shared" si="12"/>
        <v>0</v>
      </c>
      <c r="C440" s="205">
        <f t="shared" si="13"/>
        <v>0</v>
      </c>
      <c r="D440" s="223"/>
      <c r="R440" s="222"/>
    </row>
    <row r="441" spans="1:18" x14ac:dyDescent="0.35">
      <c r="A441" s="203">
        <f t="shared" si="12"/>
        <v>0</v>
      </c>
      <c r="C441" s="205">
        <f t="shared" si="13"/>
        <v>0</v>
      </c>
      <c r="D441" s="223"/>
      <c r="R441" s="222"/>
    </row>
    <row r="442" spans="1:18" x14ac:dyDescent="0.35">
      <c r="A442" s="203">
        <f t="shared" si="12"/>
        <v>0</v>
      </c>
      <c r="C442" s="205">
        <f t="shared" si="13"/>
        <v>0</v>
      </c>
      <c r="D442" s="223"/>
      <c r="R442" s="222"/>
    </row>
    <row r="443" spans="1:18" x14ac:dyDescent="0.35">
      <c r="A443" s="203">
        <f t="shared" si="12"/>
        <v>0</v>
      </c>
      <c r="C443" s="205">
        <f t="shared" si="13"/>
        <v>0</v>
      </c>
      <c r="D443" s="223"/>
      <c r="R443" s="222"/>
    </row>
    <row r="444" spans="1:18" x14ac:dyDescent="0.35">
      <c r="A444" s="203">
        <f t="shared" si="12"/>
        <v>0</v>
      </c>
      <c r="C444" s="205">
        <f t="shared" si="13"/>
        <v>0</v>
      </c>
      <c r="D444" s="223"/>
      <c r="R444" s="222"/>
    </row>
    <row r="445" spans="1:18" x14ac:dyDescent="0.35">
      <c r="A445" s="203">
        <f t="shared" si="12"/>
        <v>0</v>
      </c>
      <c r="C445" s="205">
        <f t="shared" si="13"/>
        <v>0</v>
      </c>
      <c r="D445" s="223"/>
      <c r="R445" s="222"/>
    </row>
    <row r="446" spans="1:18" x14ac:dyDescent="0.35">
      <c r="A446" s="203">
        <f t="shared" si="12"/>
        <v>0</v>
      </c>
      <c r="C446" s="205">
        <f t="shared" si="13"/>
        <v>0</v>
      </c>
      <c r="D446" s="223"/>
      <c r="R446" s="222"/>
    </row>
    <row r="447" spans="1:18" x14ac:dyDescent="0.35">
      <c r="A447" s="203">
        <f t="shared" si="12"/>
        <v>0</v>
      </c>
      <c r="C447" s="205">
        <f t="shared" si="13"/>
        <v>0</v>
      </c>
      <c r="D447" s="223"/>
      <c r="R447" s="222"/>
    </row>
    <row r="448" spans="1:18" x14ac:dyDescent="0.35">
      <c r="A448" s="203">
        <f t="shared" si="12"/>
        <v>0</v>
      </c>
      <c r="C448" s="205">
        <f t="shared" si="13"/>
        <v>0</v>
      </c>
      <c r="D448" s="223"/>
      <c r="R448" s="222"/>
    </row>
    <row r="449" spans="1:18" x14ac:dyDescent="0.35">
      <c r="A449" s="203">
        <f t="shared" si="12"/>
        <v>0</v>
      </c>
      <c r="C449" s="205">
        <f t="shared" si="13"/>
        <v>0</v>
      </c>
      <c r="D449" s="223"/>
      <c r="R449" s="222"/>
    </row>
    <row r="450" spans="1:18" x14ac:dyDescent="0.35">
      <c r="A450" s="203">
        <f t="shared" si="12"/>
        <v>0</v>
      </c>
      <c r="C450" s="205">
        <f t="shared" si="13"/>
        <v>0</v>
      </c>
      <c r="D450" s="223"/>
      <c r="R450" s="222"/>
    </row>
    <row r="451" spans="1:18" x14ac:dyDescent="0.35">
      <c r="A451" s="203">
        <f t="shared" ref="A451:A514" si="14">F451</f>
        <v>0</v>
      </c>
      <c r="C451" s="205">
        <f t="shared" ref="C451:C514" si="15">F451</f>
        <v>0</v>
      </c>
      <c r="D451" s="223"/>
      <c r="R451" s="222"/>
    </row>
    <row r="452" spans="1:18" x14ac:dyDescent="0.35">
      <c r="A452" s="203">
        <f t="shared" si="14"/>
        <v>0</v>
      </c>
      <c r="C452" s="205">
        <f t="shared" si="15"/>
        <v>0</v>
      </c>
      <c r="D452" s="223"/>
      <c r="R452" s="222"/>
    </row>
    <row r="453" spans="1:18" x14ac:dyDescent="0.35">
      <c r="A453" s="203">
        <f t="shared" si="14"/>
        <v>0</v>
      </c>
      <c r="C453" s="205">
        <f t="shared" si="15"/>
        <v>0</v>
      </c>
      <c r="D453" s="223"/>
      <c r="R453" s="222"/>
    </row>
    <row r="454" spans="1:18" x14ac:dyDescent="0.35">
      <c r="A454" s="203">
        <f t="shared" si="14"/>
        <v>0</v>
      </c>
      <c r="C454" s="205">
        <f t="shared" si="15"/>
        <v>0</v>
      </c>
      <c r="D454" s="223"/>
      <c r="R454" s="222"/>
    </row>
    <row r="455" spans="1:18" x14ac:dyDescent="0.35">
      <c r="A455" s="203">
        <f t="shared" si="14"/>
        <v>0</v>
      </c>
      <c r="C455" s="205">
        <f t="shared" si="15"/>
        <v>0</v>
      </c>
      <c r="D455" s="223"/>
      <c r="R455" s="222"/>
    </row>
    <row r="456" spans="1:18" x14ac:dyDescent="0.35">
      <c r="A456" s="203">
        <f t="shared" si="14"/>
        <v>0</v>
      </c>
      <c r="C456" s="205">
        <f t="shared" si="15"/>
        <v>0</v>
      </c>
      <c r="D456" s="223"/>
      <c r="R456" s="222"/>
    </row>
    <row r="457" spans="1:18" x14ac:dyDescent="0.35">
      <c r="A457" s="203">
        <f t="shared" si="14"/>
        <v>0</v>
      </c>
      <c r="C457" s="205">
        <f t="shared" si="15"/>
        <v>0</v>
      </c>
      <c r="D457" s="223"/>
      <c r="R457" s="222"/>
    </row>
    <row r="458" spans="1:18" x14ac:dyDescent="0.35">
      <c r="A458" s="203">
        <f t="shared" si="14"/>
        <v>0</v>
      </c>
      <c r="C458" s="205">
        <f t="shared" si="15"/>
        <v>0</v>
      </c>
      <c r="D458" s="223"/>
      <c r="R458" s="222"/>
    </row>
    <row r="459" spans="1:18" x14ac:dyDescent="0.35">
      <c r="A459" s="203">
        <f t="shared" si="14"/>
        <v>0</v>
      </c>
      <c r="C459" s="205">
        <f t="shared" si="15"/>
        <v>0</v>
      </c>
      <c r="D459" s="223"/>
      <c r="R459" s="222"/>
    </row>
    <row r="460" spans="1:18" x14ac:dyDescent="0.35">
      <c r="A460" s="203">
        <f t="shared" si="14"/>
        <v>0</v>
      </c>
      <c r="C460" s="205">
        <f t="shared" si="15"/>
        <v>0</v>
      </c>
      <c r="D460" s="223"/>
      <c r="R460" s="222"/>
    </row>
    <row r="461" spans="1:18" x14ac:dyDescent="0.35">
      <c r="A461" s="203">
        <f t="shared" si="14"/>
        <v>0</v>
      </c>
      <c r="C461" s="205">
        <f t="shared" si="15"/>
        <v>0</v>
      </c>
      <c r="D461" s="223"/>
      <c r="R461" s="222"/>
    </row>
    <row r="462" spans="1:18" x14ac:dyDescent="0.35">
      <c r="A462" s="203">
        <f t="shared" si="14"/>
        <v>0</v>
      </c>
      <c r="C462" s="205">
        <f t="shared" si="15"/>
        <v>0</v>
      </c>
      <c r="D462" s="223"/>
      <c r="R462" s="222"/>
    </row>
    <row r="463" spans="1:18" x14ac:dyDescent="0.35">
      <c r="A463" s="203">
        <f t="shared" si="14"/>
        <v>0</v>
      </c>
      <c r="C463" s="205">
        <f t="shared" si="15"/>
        <v>0</v>
      </c>
      <c r="D463" s="223"/>
      <c r="R463" s="222"/>
    </row>
    <row r="464" spans="1:18" x14ac:dyDescent="0.35">
      <c r="A464" s="203">
        <f t="shared" si="14"/>
        <v>0</v>
      </c>
      <c r="C464" s="205">
        <f t="shared" si="15"/>
        <v>0</v>
      </c>
      <c r="D464" s="223"/>
      <c r="R464" s="222"/>
    </row>
    <row r="465" spans="1:18" x14ac:dyDescent="0.35">
      <c r="A465" s="203">
        <f t="shared" si="14"/>
        <v>0</v>
      </c>
      <c r="C465" s="205">
        <f t="shared" si="15"/>
        <v>0</v>
      </c>
      <c r="D465" s="223"/>
      <c r="R465" s="222"/>
    </row>
    <row r="466" spans="1:18" x14ac:dyDescent="0.35">
      <c r="A466" s="203">
        <f t="shared" si="14"/>
        <v>0</v>
      </c>
      <c r="C466" s="205">
        <f t="shared" si="15"/>
        <v>0</v>
      </c>
      <c r="D466" s="223"/>
      <c r="R466" s="222"/>
    </row>
    <row r="467" spans="1:18" x14ac:dyDescent="0.35">
      <c r="A467" s="203">
        <f t="shared" si="14"/>
        <v>0</v>
      </c>
      <c r="C467" s="205">
        <f t="shared" si="15"/>
        <v>0</v>
      </c>
      <c r="D467" s="223"/>
      <c r="R467" s="222"/>
    </row>
    <row r="468" spans="1:18" x14ac:dyDescent="0.35">
      <c r="A468" s="203">
        <f t="shared" si="14"/>
        <v>0</v>
      </c>
      <c r="C468" s="205">
        <f t="shared" si="15"/>
        <v>0</v>
      </c>
      <c r="D468" s="223"/>
      <c r="R468" s="222"/>
    </row>
    <row r="469" spans="1:18" x14ac:dyDescent="0.35">
      <c r="A469" s="203">
        <f t="shared" si="14"/>
        <v>0</v>
      </c>
      <c r="C469" s="205">
        <f t="shared" si="15"/>
        <v>0</v>
      </c>
      <c r="D469" s="223"/>
      <c r="R469" s="222"/>
    </row>
    <row r="470" spans="1:18" x14ac:dyDescent="0.35">
      <c r="A470" s="203">
        <f t="shared" si="14"/>
        <v>0</v>
      </c>
      <c r="C470" s="205">
        <f t="shared" si="15"/>
        <v>0</v>
      </c>
      <c r="D470" s="223"/>
      <c r="R470" s="222"/>
    </row>
    <row r="471" spans="1:18" x14ac:dyDescent="0.35">
      <c r="A471" s="203">
        <f t="shared" si="14"/>
        <v>0</v>
      </c>
      <c r="C471" s="205">
        <f t="shared" si="15"/>
        <v>0</v>
      </c>
      <c r="D471" s="223"/>
      <c r="R471" s="222"/>
    </row>
    <row r="472" spans="1:18" x14ac:dyDescent="0.35">
      <c r="A472" s="203">
        <f t="shared" si="14"/>
        <v>0</v>
      </c>
      <c r="C472" s="205">
        <f t="shared" si="15"/>
        <v>0</v>
      </c>
      <c r="D472" s="223"/>
      <c r="R472" s="222"/>
    </row>
    <row r="473" spans="1:18" x14ac:dyDescent="0.35">
      <c r="A473" s="203">
        <f t="shared" si="14"/>
        <v>0</v>
      </c>
      <c r="C473" s="205">
        <f t="shared" si="15"/>
        <v>0</v>
      </c>
      <c r="D473" s="223"/>
      <c r="R473" s="222"/>
    </row>
    <row r="474" spans="1:18" x14ac:dyDescent="0.35">
      <c r="A474" s="203">
        <f t="shared" si="14"/>
        <v>0</v>
      </c>
      <c r="C474" s="205">
        <f t="shared" si="15"/>
        <v>0</v>
      </c>
      <c r="D474" s="223"/>
      <c r="R474" s="222"/>
    </row>
    <row r="475" spans="1:18" x14ac:dyDescent="0.35">
      <c r="A475" s="203">
        <f t="shared" si="14"/>
        <v>0</v>
      </c>
      <c r="C475" s="205">
        <f t="shared" si="15"/>
        <v>0</v>
      </c>
      <c r="D475" s="223"/>
      <c r="R475" s="222"/>
    </row>
    <row r="476" spans="1:18" x14ac:dyDescent="0.35">
      <c r="A476" s="203">
        <f t="shared" si="14"/>
        <v>0</v>
      </c>
      <c r="C476" s="205">
        <f t="shared" si="15"/>
        <v>0</v>
      </c>
      <c r="D476" s="223"/>
      <c r="R476" s="222"/>
    </row>
    <row r="477" spans="1:18" x14ac:dyDescent="0.35">
      <c r="A477" s="203">
        <f t="shared" si="14"/>
        <v>0</v>
      </c>
      <c r="C477" s="205">
        <f t="shared" si="15"/>
        <v>0</v>
      </c>
      <c r="D477" s="223"/>
      <c r="R477" s="222"/>
    </row>
    <row r="478" spans="1:18" x14ac:dyDescent="0.35">
      <c r="A478" s="203">
        <f t="shared" si="14"/>
        <v>0</v>
      </c>
      <c r="C478" s="205">
        <f t="shared" si="15"/>
        <v>0</v>
      </c>
      <c r="D478" s="223"/>
      <c r="R478" s="222"/>
    </row>
    <row r="479" spans="1:18" x14ac:dyDescent="0.35">
      <c r="A479" s="203">
        <f t="shared" si="14"/>
        <v>0</v>
      </c>
      <c r="C479" s="205">
        <f t="shared" si="15"/>
        <v>0</v>
      </c>
      <c r="D479" s="223"/>
      <c r="R479" s="222"/>
    </row>
    <row r="480" spans="1:18" x14ac:dyDescent="0.35">
      <c r="A480" s="203">
        <f t="shared" si="14"/>
        <v>0</v>
      </c>
      <c r="C480" s="205">
        <f t="shared" si="15"/>
        <v>0</v>
      </c>
      <c r="D480" s="223"/>
      <c r="R480" s="222"/>
    </row>
    <row r="481" spans="1:18" x14ac:dyDescent="0.35">
      <c r="A481" s="203">
        <f t="shared" si="14"/>
        <v>0</v>
      </c>
      <c r="C481" s="205">
        <f t="shared" si="15"/>
        <v>0</v>
      </c>
      <c r="D481" s="223"/>
      <c r="R481" s="222"/>
    </row>
    <row r="482" spans="1:18" x14ac:dyDescent="0.35">
      <c r="A482" s="203">
        <f t="shared" si="14"/>
        <v>0</v>
      </c>
      <c r="C482" s="205">
        <f t="shared" si="15"/>
        <v>0</v>
      </c>
      <c r="D482" s="223"/>
      <c r="R482" s="222"/>
    </row>
    <row r="483" spans="1:18" x14ac:dyDescent="0.35">
      <c r="A483" s="203">
        <f t="shared" si="14"/>
        <v>0</v>
      </c>
      <c r="C483" s="205">
        <f t="shared" si="15"/>
        <v>0</v>
      </c>
      <c r="D483" s="223"/>
      <c r="R483" s="222"/>
    </row>
    <row r="484" spans="1:18" x14ac:dyDescent="0.35">
      <c r="A484" s="203">
        <f t="shared" si="14"/>
        <v>0</v>
      </c>
      <c r="C484" s="205">
        <f t="shared" si="15"/>
        <v>0</v>
      </c>
      <c r="D484" s="223"/>
      <c r="R484" s="222"/>
    </row>
    <row r="485" spans="1:18" x14ac:dyDescent="0.35">
      <c r="A485" s="203">
        <f t="shared" si="14"/>
        <v>0</v>
      </c>
      <c r="C485" s="205">
        <f t="shared" si="15"/>
        <v>0</v>
      </c>
      <c r="D485" s="223"/>
      <c r="R485" s="222"/>
    </row>
    <row r="486" spans="1:18" x14ac:dyDescent="0.35">
      <c r="A486" s="203">
        <f t="shared" si="14"/>
        <v>0</v>
      </c>
      <c r="C486" s="205">
        <f t="shared" si="15"/>
        <v>0</v>
      </c>
      <c r="D486" s="223"/>
      <c r="R486" s="222"/>
    </row>
    <row r="487" spans="1:18" x14ac:dyDescent="0.35">
      <c r="A487" s="203">
        <f t="shared" si="14"/>
        <v>0</v>
      </c>
      <c r="C487" s="205">
        <f t="shared" si="15"/>
        <v>0</v>
      </c>
      <c r="D487" s="223"/>
      <c r="R487" s="222"/>
    </row>
    <row r="488" spans="1:18" x14ac:dyDescent="0.35">
      <c r="A488" s="203">
        <f t="shared" si="14"/>
        <v>0</v>
      </c>
      <c r="C488" s="205">
        <f t="shared" si="15"/>
        <v>0</v>
      </c>
      <c r="D488" s="223"/>
      <c r="R488" s="222"/>
    </row>
    <row r="489" spans="1:18" x14ac:dyDescent="0.35">
      <c r="A489" s="203">
        <f t="shared" si="14"/>
        <v>0</v>
      </c>
      <c r="C489" s="205">
        <f t="shared" si="15"/>
        <v>0</v>
      </c>
      <c r="D489" s="223"/>
      <c r="R489" s="222"/>
    </row>
    <row r="490" spans="1:18" x14ac:dyDescent="0.35">
      <c r="A490" s="203">
        <f t="shared" si="14"/>
        <v>0</v>
      </c>
      <c r="C490" s="205">
        <f t="shared" si="15"/>
        <v>0</v>
      </c>
      <c r="D490" s="223"/>
      <c r="R490" s="222"/>
    </row>
    <row r="491" spans="1:18" x14ac:dyDescent="0.35">
      <c r="A491" s="203">
        <f t="shared" si="14"/>
        <v>0</v>
      </c>
      <c r="C491" s="205">
        <f t="shared" si="15"/>
        <v>0</v>
      </c>
      <c r="D491" s="223"/>
      <c r="R491" s="222"/>
    </row>
    <row r="492" spans="1:18" x14ac:dyDescent="0.35">
      <c r="A492" s="203">
        <f t="shared" si="14"/>
        <v>0</v>
      </c>
      <c r="C492" s="205">
        <f t="shared" si="15"/>
        <v>0</v>
      </c>
      <c r="D492" s="223"/>
      <c r="R492" s="222"/>
    </row>
    <row r="493" spans="1:18" x14ac:dyDescent="0.35">
      <c r="A493" s="203">
        <f t="shared" si="14"/>
        <v>0</v>
      </c>
      <c r="C493" s="205">
        <f t="shared" si="15"/>
        <v>0</v>
      </c>
      <c r="D493" s="223"/>
      <c r="R493" s="222"/>
    </row>
    <row r="494" spans="1:18" x14ac:dyDescent="0.35">
      <c r="A494" s="203">
        <f t="shared" si="14"/>
        <v>0</v>
      </c>
      <c r="C494" s="205">
        <f t="shared" si="15"/>
        <v>0</v>
      </c>
      <c r="D494" s="223"/>
      <c r="R494" s="222"/>
    </row>
    <row r="495" spans="1:18" x14ac:dyDescent="0.35">
      <c r="A495" s="203">
        <f t="shared" si="14"/>
        <v>0</v>
      </c>
      <c r="C495" s="205">
        <f t="shared" si="15"/>
        <v>0</v>
      </c>
      <c r="D495" s="223"/>
      <c r="R495" s="222"/>
    </row>
    <row r="496" spans="1:18" x14ac:dyDescent="0.35">
      <c r="A496" s="203">
        <f t="shared" si="14"/>
        <v>0</v>
      </c>
      <c r="C496" s="205">
        <f t="shared" si="15"/>
        <v>0</v>
      </c>
      <c r="D496" s="223"/>
      <c r="R496" s="222"/>
    </row>
    <row r="497" spans="1:18" x14ac:dyDescent="0.35">
      <c r="A497" s="203">
        <f t="shared" si="14"/>
        <v>0</v>
      </c>
      <c r="C497" s="205">
        <f t="shared" si="15"/>
        <v>0</v>
      </c>
      <c r="D497" s="223"/>
      <c r="R497" s="222"/>
    </row>
    <row r="498" spans="1:18" x14ac:dyDescent="0.35">
      <c r="A498" s="203">
        <f t="shared" si="14"/>
        <v>0</v>
      </c>
      <c r="C498" s="205">
        <f t="shared" si="15"/>
        <v>0</v>
      </c>
      <c r="D498" s="223"/>
      <c r="R498" s="222"/>
    </row>
    <row r="499" spans="1:18" x14ac:dyDescent="0.35">
      <c r="A499" s="203">
        <f t="shared" si="14"/>
        <v>0</v>
      </c>
      <c r="C499" s="205">
        <f t="shared" si="15"/>
        <v>0</v>
      </c>
      <c r="D499" s="223"/>
      <c r="R499" s="222"/>
    </row>
    <row r="500" spans="1:18" x14ac:dyDescent="0.35">
      <c r="A500" s="203">
        <f t="shared" si="14"/>
        <v>0</v>
      </c>
      <c r="C500" s="205">
        <f t="shared" si="15"/>
        <v>0</v>
      </c>
      <c r="D500" s="223"/>
      <c r="R500" s="222"/>
    </row>
    <row r="501" spans="1:18" x14ac:dyDescent="0.35">
      <c r="A501" s="203">
        <f t="shared" si="14"/>
        <v>0</v>
      </c>
      <c r="C501" s="205">
        <f t="shared" si="15"/>
        <v>0</v>
      </c>
      <c r="D501" s="223"/>
      <c r="R501" s="222"/>
    </row>
    <row r="502" spans="1:18" x14ac:dyDescent="0.35">
      <c r="A502" s="203">
        <f t="shared" si="14"/>
        <v>0</v>
      </c>
      <c r="C502" s="205">
        <f t="shared" si="15"/>
        <v>0</v>
      </c>
      <c r="D502" s="223"/>
      <c r="R502" s="222"/>
    </row>
    <row r="503" spans="1:18" x14ac:dyDescent="0.35">
      <c r="A503" s="203">
        <f t="shared" si="14"/>
        <v>0</v>
      </c>
      <c r="C503" s="205">
        <f t="shared" si="15"/>
        <v>0</v>
      </c>
      <c r="D503" s="223"/>
      <c r="R503" s="222"/>
    </row>
    <row r="504" spans="1:18" x14ac:dyDescent="0.35">
      <c r="A504" s="203">
        <f t="shared" si="14"/>
        <v>0</v>
      </c>
      <c r="C504" s="205">
        <f t="shared" si="15"/>
        <v>0</v>
      </c>
      <c r="D504" s="223"/>
      <c r="R504" s="222"/>
    </row>
    <row r="505" spans="1:18" x14ac:dyDescent="0.35">
      <c r="A505" s="203">
        <f t="shared" si="14"/>
        <v>0</v>
      </c>
      <c r="C505" s="205">
        <f t="shared" si="15"/>
        <v>0</v>
      </c>
      <c r="D505" s="223"/>
      <c r="R505" s="222"/>
    </row>
    <row r="506" spans="1:18" x14ac:dyDescent="0.35">
      <c r="A506" s="203">
        <f t="shared" si="14"/>
        <v>0</v>
      </c>
      <c r="C506" s="205">
        <f t="shared" si="15"/>
        <v>0</v>
      </c>
      <c r="D506" s="223"/>
      <c r="R506" s="222"/>
    </row>
    <row r="507" spans="1:18" x14ac:dyDescent="0.35">
      <c r="A507" s="203">
        <f t="shared" si="14"/>
        <v>0</v>
      </c>
      <c r="C507" s="205">
        <f t="shared" si="15"/>
        <v>0</v>
      </c>
      <c r="D507" s="223"/>
      <c r="R507" s="222"/>
    </row>
    <row r="508" spans="1:18" x14ac:dyDescent="0.35">
      <c r="A508" s="203">
        <f t="shared" si="14"/>
        <v>0</v>
      </c>
      <c r="C508" s="205">
        <f t="shared" si="15"/>
        <v>0</v>
      </c>
      <c r="D508" s="223"/>
      <c r="R508" s="222"/>
    </row>
    <row r="509" spans="1:18" x14ac:dyDescent="0.35">
      <c r="A509" s="203">
        <f t="shared" si="14"/>
        <v>0</v>
      </c>
      <c r="C509" s="205">
        <f t="shared" si="15"/>
        <v>0</v>
      </c>
      <c r="D509" s="223"/>
      <c r="R509" s="222"/>
    </row>
    <row r="510" spans="1:18" x14ac:dyDescent="0.35">
      <c r="A510" s="203">
        <f t="shared" si="14"/>
        <v>0</v>
      </c>
      <c r="C510" s="205">
        <f t="shared" si="15"/>
        <v>0</v>
      </c>
      <c r="D510" s="223"/>
      <c r="R510" s="222"/>
    </row>
    <row r="511" spans="1:18" x14ac:dyDescent="0.35">
      <c r="A511" s="203">
        <f t="shared" si="14"/>
        <v>0</v>
      </c>
      <c r="C511" s="205">
        <f t="shared" si="15"/>
        <v>0</v>
      </c>
      <c r="D511" s="223"/>
      <c r="R511" s="222"/>
    </row>
    <row r="512" spans="1:18" x14ac:dyDescent="0.35">
      <c r="A512" s="203">
        <f t="shared" si="14"/>
        <v>0</v>
      </c>
      <c r="C512" s="205">
        <f t="shared" si="15"/>
        <v>0</v>
      </c>
      <c r="D512" s="223"/>
      <c r="R512" s="222"/>
    </row>
    <row r="513" spans="1:18" x14ac:dyDescent="0.35">
      <c r="A513" s="203">
        <f t="shared" si="14"/>
        <v>0</v>
      </c>
      <c r="C513" s="205">
        <f t="shared" si="15"/>
        <v>0</v>
      </c>
      <c r="D513" s="223"/>
      <c r="R513" s="222"/>
    </row>
    <row r="514" spans="1:18" x14ac:dyDescent="0.35">
      <c r="A514" s="203">
        <f t="shared" si="14"/>
        <v>0</v>
      </c>
      <c r="C514" s="205">
        <f t="shared" si="15"/>
        <v>0</v>
      </c>
      <c r="D514" s="223"/>
      <c r="R514" s="222"/>
    </row>
    <row r="515" spans="1:18" x14ac:dyDescent="0.35">
      <c r="A515" s="203">
        <f t="shared" ref="A515:A578" si="16">F515</f>
        <v>0</v>
      </c>
      <c r="C515" s="205">
        <f t="shared" ref="C515:C578" si="17">F515</f>
        <v>0</v>
      </c>
      <c r="D515" s="223"/>
      <c r="R515" s="222"/>
    </row>
    <row r="516" spans="1:18" x14ac:dyDescent="0.35">
      <c r="A516" s="203">
        <f t="shared" si="16"/>
        <v>0</v>
      </c>
      <c r="C516" s="205">
        <f t="shared" si="17"/>
        <v>0</v>
      </c>
      <c r="D516" s="223"/>
      <c r="R516" s="222"/>
    </row>
    <row r="517" spans="1:18" x14ac:dyDescent="0.35">
      <c r="A517" s="203">
        <f t="shared" si="16"/>
        <v>0</v>
      </c>
      <c r="C517" s="205">
        <f t="shared" si="17"/>
        <v>0</v>
      </c>
      <c r="D517" s="223"/>
      <c r="R517" s="222"/>
    </row>
    <row r="518" spans="1:18" x14ac:dyDescent="0.35">
      <c r="A518" s="203">
        <f t="shared" si="16"/>
        <v>0</v>
      </c>
      <c r="C518" s="205">
        <f t="shared" si="17"/>
        <v>0</v>
      </c>
      <c r="D518" s="223"/>
      <c r="R518" s="222"/>
    </row>
    <row r="519" spans="1:18" x14ac:dyDescent="0.35">
      <c r="A519" s="203">
        <f t="shared" si="16"/>
        <v>0</v>
      </c>
      <c r="C519" s="205">
        <f t="shared" si="17"/>
        <v>0</v>
      </c>
      <c r="D519" s="223"/>
      <c r="R519" s="222"/>
    </row>
    <row r="520" spans="1:18" x14ac:dyDescent="0.35">
      <c r="A520" s="203">
        <f t="shared" si="16"/>
        <v>0</v>
      </c>
      <c r="C520" s="205">
        <f t="shared" si="17"/>
        <v>0</v>
      </c>
      <c r="D520" s="223"/>
      <c r="R520" s="222"/>
    </row>
    <row r="521" spans="1:18" x14ac:dyDescent="0.35">
      <c r="A521" s="203">
        <f t="shared" si="16"/>
        <v>0</v>
      </c>
      <c r="C521" s="205">
        <f t="shared" si="17"/>
        <v>0</v>
      </c>
      <c r="D521" s="223"/>
      <c r="R521" s="222"/>
    </row>
    <row r="522" spans="1:18" x14ac:dyDescent="0.35">
      <c r="A522" s="203">
        <f t="shared" si="16"/>
        <v>0</v>
      </c>
      <c r="C522" s="205">
        <f t="shared" si="17"/>
        <v>0</v>
      </c>
      <c r="D522" s="223"/>
      <c r="R522" s="222"/>
    </row>
    <row r="523" spans="1:18" x14ac:dyDescent="0.35">
      <c r="A523" s="203">
        <f t="shared" si="16"/>
        <v>0</v>
      </c>
      <c r="C523" s="205">
        <f t="shared" si="17"/>
        <v>0</v>
      </c>
      <c r="D523" s="223"/>
      <c r="R523" s="222"/>
    </row>
    <row r="524" spans="1:18" x14ac:dyDescent="0.35">
      <c r="A524" s="203">
        <f t="shared" si="16"/>
        <v>0</v>
      </c>
      <c r="C524" s="205">
        <f t="shared" si="17"/>
        <v>0</v>
      </c>
      <c r="D524" s="223"/>
      <c r="R524" s="222"/>
    </row>
    <row r="525" spans="1:18" x14ac:dyDescent="0.35">
      <c r="A525" s="203">
        <f t="shared" si="16"/>
        <v>0</v>
      </c>
      <c r="C525" s="205">
        <f t="shared" si="17"/>
        <v>0</v>
      </c>
      <c r="D525" s="223"/>
      <c r="R525" s="222"/>
    </row>
    <row r="526" spans="1:18" x14ac:dyDescent="0.35">
      <c r="A526" s="203">
        <f t="shared" si="16"/>
        <v>0</v>
      </c>
      <c r="C526" s="205">
        <f t="shared" si="17"/>
        <v>0</v>
      </c>
      <c r="D526" s="223"/>
      <c r="R526" s="222"/>
    </row>
    <row r="527" spans="1:18" x14ac:dyDescent="0.35">
      <c r="A527" s="203">
        <f t="shared" si="16"/>
        <v>0</v>
      </c>
      <c r="C527" s="205">
        <f t="shared" si="17"/>
        <v>0</v>
      </c>
      <c r="D527" s="223"/>
      <c r="R527" s="222"/>
    </row>
    <row r="528" spans="1:18" x14ac:dyDescent="0.35">
      <c r="A528" s="203">
        <f t="shared" si="16"/>
        <v>0</v>
      </c>
      <c r="C528" s="205">
        <f t="shared" si="17"/>
        <v>0</v>
      </c>
      <c r="D528" s="223"/>
      <c r="R528" s="222"/>
    </row>
    <row r="529" spans="1:18" x14ac:dyDescent="0.35">
      <c r="A529" s="203">
        <f t="shared" si="16"/>
        <v>0</v>
      </c>
      <c r="C529" s="205">
        <f t="shared" si="17"/>
        <v>0</v>
      </c>
      <c r="D529" s="223"/>
      <c r="R529" s="222"/>
    </row>
    <row r="530" spans="1:18" x14ac:dyDescent="0.35">
      <c r="A530" s="203">
        <f t="shared" si="16"/>
        <v>0</v>
      </c>
      <c r="C530" s="205">
        <f t="shared" si="17"/>
        <v>0</v>
      </c>
      <c r="D530" s="223"/>
      <c r="R530" s="222"/>
    </row>
    <row r="531" spans="1:18" x14ac:dyDescent="0.35">
      <c r="A531" s="203">
        <f t="shared" si="16"/>
        <v>0</v>
      </c>
      <c r="C531" s="205">
        <f t="shared" si="17"/>
        <v>0</v>
      </c>
      <c r="D531" s="223"/>
      <c r="R531" s="222"/>
    </row>
    <row r="532" spans="1:18" x14ac:dyDescent="0.35">
      <c r="A532" s="203">
        <f t="shared" si="16"/>
        <v>0</v>
      </c>
      <c r="C532" s="205">
        <f t="shared" si="17"/>
        <v>0</v>
      </c>
      <c r="D532" s="223"/>
      <c r="R532" s="222"/>
    </row>
    <row r="533" spans="1:18" x14ac:dyDescent="0.35">
      <c r="A533" s="203">
        <f t="shared" si="16"/>
        <v>0</v>
      </c>
      <c r="C533" s="205">
        <f t="shared" si="17"/>
        <v>0</v>
      </c>
      <c r="D533" s="223"/>
      <c r="R533" s="222"/>
    </row>
    <row r="534" spans="1:18" x14ac:dyDescent="0.35">
      <c r="A534" s="203">
        <f t="shared" si="16"/>
        <v>0</v>
      </c>
      <c r="C534" s="205">
        <f t="shared" si="17"/>
        <v>0</v>
      </c>
      <c r="D534" s="223"/>
      <c r="R534" s="222"/>
    </row>
    <row r="535" spans="1:18" x14ac:dyDescent="0.35">
      <c r="A535" s="203">
        <f t="shared" si="16"/>
        <v>0</v>
      </c>
      <c r="C535" s="205">
        <f t="shared" si="17"/>
        <v>0</v>
      </c>
      <c r="D535" s="223"/>
      <c r="R535" s="222"/>
    </row>
    <row r="536" spans="1:18" x14ac:dyDescent="0.35">
      <c r="A536" s="203">
        <f t="shared" si="16"/>
        <v>0</v>
      </c>
      <c r="C536" s="205">
        <f t="shared" si="17"/>
        <v>0</v>
      </c>
      <c r="D536" s="223"/>
      <c r="R536" s="222"/>
    </row>
    <row r="537" spans="1:18" x14ac:dyDescent="0.35">
      <c r="A537" s="203">
        <f t="shared" si="16"/>
        <v>0</v>
      </c>
      <c r="C537" s="205">
        <f t="shared" si="17"/>
        <v>0</v>
      </c>
      <c r="D537" s="223"/>
      <c r="R537" s="222"/>
    </row>
    <row r="538" spans="1:18" x14ac:dyDescent="0.35">
      <c r="A538" s="203">
        <f t="shared" si="16"/>
        <v>0</v>
      </c>
      <c r="C538" s="205">
        <f t="shared" si="17"/>
        <v>0</v>
      </c>
      <c r="D538" s="223"/>
      <c r="R538" s="222"/>
    </row>
    <row r="539" spans="1:18" x14ac:dyDescent="0.35">
      <c r="A539" s="203">
        <f t="shared" si="16"/>
        <v>0</v>
      </c>
      <c r="C539" s="205">
        <f t="shared" si="17"/>
        <v>0</v>
      </c>
      <c r="D539" s="223"/>
      <c r="R539" s="222"/>
    </row>
    <row r="540" spans="1:18" x14ac:dyDescent="0.35">
      <c r="A540" s="203">
        <f t="shared" si="16"/>
        <v>0</v>
      </c>
      <c r="C540" s="205">
        <f t="shared" si="17"/>
        <v>0</v>
      </c>
      <c r="D540" s="223"/>
      <c r="R540" s="222"/>
    </row>
    <row r="541" spans="1:18" x14ac:dyDescent="0.35">
      <c r="A541" s="203">
        <f t="shared" si="16"/>
        <v>0</v>
      </c>
      <c r="C541" s="205">
        <f t="shared" si="17"/>
        <v>0</v>
      </c>
      <c r="D541" s="223"/>
      <c r="R541" s="222"/>
    </row>
    <row r="542" spans="1:18" x14ac:dyDescent="0.35">
      <c r="A542" s="203">
        <f t="shared" si="16"/>
        <v>0</v>
      </c>
      <c r="C542" s="205">
        <f t="shared" si="17"/>
        <v>0</v>
      </c>
      <c r="D542" s="223"/>
      <c r="R542" s="222"/>
    </row>
    <row r="543" spans="1:18" x14ac:dyDescent="0.35">
      <c r="A543" s="203">
        <f t="shared" si="16"/>
        <v>0</v>
      </c>
      <c r="C543" s="205">
        <f t="shared" si="17"/>
        <v>0</v>
      </c>
      <c r="D543" s="223"/>
      <c r="R543" s="222"/>
    </row>
    <row r="544" spans="1:18" x14ac:dyDescent="0.35">
      <c r="A544" s="203">
        <f t="shared" si="16"/>
        <v>0</v>
      </c>
      <c r="C544" s="205">
        <f t="shared" si="17"/>
        <v>0</v>
      </c>
      <c r="D544" s="223"/>
      <c r="R544" s="222"/>
    </row>
    <row r="545" spans="1:18" x14ac:dyDescent="0.35">
      <c r="A545" s="203">
        <f t="shared" si="16"/>
        <v>0</v>
      </c>
      <c r="C545" s="205">
        <f t="shared" si="17"/>
        <v>0</v>
      </c>
      <c r="D545" s="223"/>
      <c r="R545" s="222"/>
    </row>
    <row r="546" spans="1:18" x14ac:dyDescent="0.35">
      <c r="A546" s="203">
        <f t="shared" si="16"/>
        <v>0</v>
      </c>
      <c r="C546" s="205">
        <f t="shared" si="17"/>
        <v>0</v>
      </c>
      <c r="D546" s="223"/>
      <c r="R546" s="222"/>
    </row>
    <row r="547" spans="1:18" x14ac:dyDescent="0.35">
      <c r="A547" s="203">
        <f t="shared" si="16"/>
        <v>0</v>
      </c>
      <c r="C547" s="205">
        <f t="shared" si="17"/>
        <v>0</v>
      </c>
      <c r="D547" s="223"/>
      <c r="R547" s="222"/>
    </row>
    <row r="548" spans="1:18" x14ac:dyDescent="0.35">
      <c r="A548" s="203">
        <f t="shared" si="16"/>
        <v>0</v>
      </c>
      <c r="C548" s="205">
        <f t="shared" si="17"/>
        <v>0</v>
      </c>
      <c r="D548" s="223"/>
      <c r="R548" s="222"/>
    </row>
    <row r="549" spans="1:18" x14ac:dyDescent="0.35">
      <c r="A549" s="203">
        <f t="shared" si="16"/>
        <v>0</v>
      </c>
      <c r="C549" s="205">
        <f t="shared" si="17"/>
        <v>0</v>
      </c>
      <c r="D549" s="223"/>
      <c r="R549" s="222"/>
    </row>
    <row r="550" spans="1:18" x14ac:dyDescent="0.35">
      <c r="A550" s="203">
        <f t="shared" si="16"/>
        <v>0</v>
      </c>
      <c r="C550" s="205">
        <f t="shared" si="17"/>
        <v>0</v>
      </c>
      <c r="D550" s="223"/>
      <c r="R550" s="222"/>
    </row>
    <row r="551" spans="1:18" x14ac:dyDescent="0.35">
      <c r="A551" s="203">
        <f t="shared" si="16"/>
        <v>0</v>
      </c>
      <c r="C551" s="205">
        <f t="shared" si="17"/>
        <v>0</v>
      </c>
      <c r="D551" s="223"/>
      <c r="R551" s="222"/>
    </row>
    <row r="552" spans="1:18" x14ac:dyDescent="0.35">
      <c r="A552" s="203">
        <f t="shared" si="16"/>
        <v>0</v>
      </c>
      <c r="C552" s="205">
        <f t="shared" si="17"/>
        <v>0</v>
      </c>
      <c r="D552" s="223"/>
      <c r="R552" s="222"/>
    </row>
    <row r="553" spans="1:18" x14ac:dyDescent="0.35">
      <c r="A553" s="203">
        <f t="shared" si="16"/>
        <v>0</v>
      </c>
      <c r="C553" s="205">
        <f t="shared" si="17"/>
        <v>0</v>
      </c>
      <c r="D553" s="223"/>
      <c r="R553" s="222"/>
    </row>
    <row r="554" spans="1:18" x14ac:dyDescent="0.35">
      <c r="A554" s="203">
        <f t="shared" si="16"/>
        <v>0</v>
      </c>
      <c r="C554" s="205">
        <f t="shared" si="17"/>
        <v>0</v>
      </c>
      <c r="D554" s="223"/>
      <c r="R554" s="222"/>
    </row>
    <row r="555" spans="1:18" x14ac:dyDescent="0.35">
      <c r="A555" s="203">
        <f t="shared" si="16"/>
        <v>0</v>
      </c>
      <c r="C555" s="205">
        <f t="shared" si="17"/>
        <v>0</v>
      </c>
      <c r="D555" s="223"/>
      <c r="R555" s="222"/>
    </row>
    <row r="556" spans="1:18" x14ac:dyDescent="0.35">
      <c r="A556" s="203">
        <f t="shared" si="16"/>
        <v>0</v>
      </c>
      <c r="C556" s="205">
        <f t="shared" si="17"/>
        <v>0</v>
      </c>
      <c r="D556" s="223"/>
      <c r="R556" s="222"/>
    </row>
    <row r="557" spans="1:18" x14ac:dyDescent="0.35">
      <c r="A557" s="203">
        <f t="shared" si="16"/>
        <v>0</v>
      </c>
      <c r="C557" s="205">
        <f t="shared" si="17"/>
        <v>0</v>
      </c>
      <c r="D557" s="223"/>
      <c r="R557" s="222"/>
    </row>
    <row r="558" spans="1:18" x14ac:dyDescent="0.35">
      <c r="A558" s="203">
        <f t="shared" si="16"/>
        <v>0</v>
      </c>
      <c r="C558" s="205">
        <f t="shared" si="17"/>
        <v>0</v>
      </c>
      <c r="D558" s="223"/>
      <c r="R558" s="222"/>
    </row>
    <row r="559" spans="1:18" x14ac:dyDescent="0.35">
      <c r="A559" s="203">
        <f t="shared" si="16"/>
        <v>0</v>
      </c>
      <c r="C559" s="205">
        <f t="shared" si="17"/>
        <v>0</v>
      </c>
      <c r="D559" s="223"/>
      <c r="R559" s="222"/>
    </row>
    <row r="560" spans="1:18" x14ac:dyDescent="0.35">
      <c r="A560" s="203">
        <f t="shared" si="16"/>
        <v>0</v>
      </c>
      <c r="C560" s="205">
        <f t="shared" si="17"/>
        <v>0</v>
      </c>
      <c r="D560" s="223"/>
      <c r="R560" s="222"/>
    </row>
    <row r="561" spans="1:18" x14ac:dyDescent="0.35">
      <c r="A561" s="203">
        <f t="shared" si="16"/>
        <v>0</v>
      </c>
      <c r="C561" s="205">
        <f t="shared" si="17"/>
        <v>0</v>
      </c>
      <c r="D561" s="223"/>
      <c r="R561" s="222"/>
    </row>
    <row r="562" spans="1:18" x14ac:dyDescent="0.35">
      <c r="A562" s="203">
        <f t="shared" si="16"/>
        <v>0</v>
      </c>
      <c r="C562" s="205">
        <f t="shared" si="17"/>
        <v>0</v>
      </c>
      <c r="D562" s="223"/>
      <c r="R562" s="222"/>
    </row>
    <row r="563" spans="1:18" x14ac:dyDescent="0.35">
      <c r="A563" s="203">
        <f t="shared" si="16"/>
        <v>0</v>
      </c>
      <c r="C563" s="205">
        <f t="shared" si="17"/>
        <v>0</v>
      </c>
      <c r="D563" s="223"/>
      <c r="R563" s="222"/>
    </row>
    <row r="564" spans="1:18" x14ac:dyDescent="0.35">
      <c r="A564" s="203">
        <f t="shared" si="16"/>
        <v>0</v>
      </c>
      <c r="C564" s="205">
        <f t="shared" si="17"/>
        <v>0</v>
      </c>
      <c r="D564" s="223"/>
      <c r="R564" s="222"/>
    </row>
    <row r="565" spans="1:18" x14ac:dyDescent="0.35">
      <c r="A565" s="203">
        <f t="shared" si="16"/>
        <v>0</v>
      </c>
      <c r="C565" s="205">
        <f t="shared" si="17"/>
        <v>0</v>
      </c>
      <c r="D565" s="223"/>
      <c r="R565" s="222"/>
    </row>
    <row r="566" spans="1:18" x14ac:dyDescent="0.35">
      <c r="A566" s="203">
        <f t="shared" si="16"/>
        <v>0</v>
      </c>
      <c r="C566" s="205">
        <f t="shared" si="17"/>
        <v>0</v>
      </c>
      <c r="D566" s="223"/>
      <c r="R566" s="222"/>
    </row>
    <row r="567" spans="1:18" x14ac:dyDescent="0.35">
      <c r="A567" s="203">
        <f t="shared" si="16"/>
        <v>0</v>
      </c>
      <c r="C567" s="205">
        <f t="shared" si="17"/>
        <v>0</v>
      </c>
      <c r="D567" s="223"/>
      <c r="R567" s="222"/>
    </row>
    <row r="568" spans="1:18" x14ac:dyDescent="0.35">
      <c r="A568" s="203">
        <f t="shared" si="16"/>
        <v>0</v>
      </c>
      <c r="C568" s="205">
        <f t="shared" si="17"/>
        <v>0</v>
      </c>
      <c r="D568" s="223"/>
      <c r="R568" s="222"/>
    </row>
    <row r="569" spans="1:18" x14ac:dyDescent="0.35">
      <c r="A569" s="203">
        <f t="shared" si="16"/>
        <v>0</v>
      </c>
      <c r="C569" s="205">
        <f t="shared" si="17"/>
        <v>0</v>
      </c>
      <c r="D569" s="223"/>
      <c r="R569" s="222"/>
    </row>
    <row r="570" spans="1:18" x14ac:dyDescent="0.35">
      <c r="A570" s="203">
        <f t="shared" si="16"/>
        <v>0</v>
      </c>
      <c r="C570" s="205">
        <f t="shared" si="17"/>
        <v>0</v>
      </c>
      <c r="D570" s="223"/>
      <c r="R570" s="222"/>
    </row>
    <row r="571" spans="1:18" x14ac:dyDescent="0.35">
      <c r="A571" s="203">
        <f t="shared" si="16"/>
        <v>0</v>
      </c>
      <c r="C571" s="205">
        <f t="shared" si="17"/>
        <v>0</v>
      </c>
      <c r="D571" s="223"/>
      <c r="R571" s="222"/>
    </row>
    <row r="572" spans="1:18" x14ac:dyDescent="0.35">
      <c r="A572" s="203">
        <f t="shared" si="16"/>
        <v>0</v>
      </c>
      <c r="C572" s="205">
        <f t="shared" si="17"/>
        <v>0</v>
      </c>
      <c r="D572" s="223"/>
      <c r="R572" s="222"/>
    </row>
    <row r="573" spans="1:18" x14ac:dyDescent="0.35">
      <c r="A573" s="203">
        <f t="shared" si="16"/>
        <v>0</v>
      </c>
      <c r="C573" s="205">
        <f t="shared" si="17"/>
        <v>0</v>
      </c>
      <c r="D573" s="223"/>
      <c r="R573" s="222"/>
    </row>
    <row r="574" spans="1:18" x14ac:dyDescent="0.35">
      <c r="A574" s="203">
        <f t="shared" si="16"/>
        <v>0</v>
      </c>
      <c r="C574" s="205">
        <f t="shared" si="17"/>
        <v>0</v>
      </c>
      <c r="D574" s="223"/>
      <c r="R574" s="222"/>
    </row>
    <row r="575" spans="1:18" x14ac:dyDescent="0.35">
      <c r="A575" s="203">
        <f t="shared" si="16"/>
        <v>0</v>
      </c>
      <c r="C575" s="205">
        <f t="shared" si="17"/>
        <v>0</v>
      </c>
      <c r="D575" s="223"/>
      <c r="R575" s="222"/>
    </row>
    <row r="576" spans="1:18" x14ac:dyDescent="0.35">
      <c r="A576" s="203">
        <f t="shared" si="16"/>
        <v>0</v>
      </c>
      <c r="C576" s="205">
        <f t="shared" si="17"/>
        <v>0</v>
      </c>
      <c r="D576" s="223"/>
      <c r="R576" s="222"/>
    </row>
    <row r="577" spans="1:18" x14ac:dyDescent="0.35">
      <c r="A577" s="203">
        <f t="shared" si="16"/>
        <v>0</v>
      </c>
      <c r="C577" s="205">
        <f t="shared" si="17"/>
        <v>0</v>
      </c>
      <c r="D577" s="223"/>
      <c r="R577" s="222"/>
    </row>
    <row r="578" spans="1:18" x14ac:dyDescent="0.35">
      <c r="A578" s="203">
        <f t="shared" si="16"/>
        <v>0</v>
      </c>
      <c r="C578" s="205">
        <f t="shared" si="17"/>
        <v>0</v>
      </c>
      <c r="D578" s="223"/>
      <c r="R578" s="222"/>
    </row>
    <row r="579" spans="1:18" x14ac:dyDescent="0.35">
      <c r="A579" s="203">
        <f t="shared" ref="A579:A642" si="18">F579</f>
        <v>0</v>
      </c>
      <c r="C579" s="205">
        <f t="shared" ref="C579:C642" si="19">F579</f>
        <v>0</v>
      </c>
      <c r="D579" s="223"/>
      <c r="R579" s="222"/>
    </row>
    <row r="580" spans="1:18" x14ac:dyDescent="0.35">
      <c r="A580" s="203">
        <f t="shared" si="18"/>
        <v>0</v>
      </c>
      <c r="C580" s="205">
        <f t="shared" si="19"/>
        <v>0</v>
      </c>
      <c r="D580" s="223"/>
      <c r="R580" s="222"/>
    </row>
    <row r="581" spans="1:18" x14ac:dyDescent="0.35">
      <c r="A581" s="203">
        <f t="shared" si="18"/>
        <v>0</v>
      </c>
      <c r="C581" s="205">
        <f t="shared" si="19"/>
        <v>0</v>
      </c>
      <c r="D581" s="223"/>
      <c r="R581" s="222"/>
    </row>
    <row r="582" spans="1:18" x14ac:dyDescent="0.35">
      <c r="A582" s="203">
        <f t="shared" si="18"/>
        <v>0</v>
      </c>
      <c r="C582" s="205">
        <f t="shared" si="19"/>
        <v>0</v>
      </c>
      <c r="D582" s="223"/>
      <c r="R582" s="222"/>
    </row>
    <row r="583" spans="1:18" x14ac:dyDescent="0.35">
      <c r="A583" s="203">
        <f t="shared" si="18"/>
        <v>0</v>
      </c>
      <c r="C583" s="205">
        <f t="shared" si="19"/>
        <v>0</v>
      </c>
      <c r="D583" s="223"/>
      <c r="R583" s="222"/>
    </row>
    <row r="584" spans="1:18" x14ac:dyDescent="0.35">
      <c r="A584" s="203">
        <f t="shared" si="18"/>
        <v>0</v>
      </c>
      <c r="C584" s="205">
        <f t="shared" si="19"/>
        <v>0</v>
      </c>
      <c r="D584" s="223"/>
      <c r="R584" s="222"/>
    </row>
    <row r="585" spans="1:18" x14ac:dyDescent="0.35">
      <c r="A585" s="203">
        <f t="shared" si="18"/>
        <v>0</v>
      </c>
      <c r="C585" s="205">
        <f t="shared" si="19"/>
        <v>0</v>
      </c>
      <c r="D585" s="223"/>
      <c r="R585" s="222"/>
    </row>
    <row r="586" spans="1:18" x14ac:dyDescent="0.35">
      <c r="A586" s="203">
        <f t="shared" si="18"/>
        <v>0</v>
      </c>
      <c r="C586" s="205">
        <f t="shared" si="19"/>
        <v>0</v>
      </c>
      <c r="D586" s="223"/>
      <c r="R586" s="222"/>
    </row>
    <row r="587" spans="1:18" x14ac:dyDescent="0.35">
      <c r="A587" s="203">
        <f t="shared" si="18"/>
        <v>0</v>
      </c>
      <c r="C587" s="205">
        <f t="shared" si="19"/>
        <v>0</v>
      </c>
      <c r="D587" s="223"/>
      <c r="R587" s="222"/>
    </row>
    <row r="588" spans="1:18" x14ac:dyDescent="0.35">
      <c r="A588" s="203">
        <f t="shared" si="18"/>
        <v>0</v>
      </c>
      <c r="C588" s="205">
        <f t="shared" si="19"/>
        <v>0</v>
      </c>
      <c r="D588" s="223"/>
      <c r="R588" s="222"/>
    </row>
    <row r="589" spans="1:18" x14ac:dyDescent="0.35">
      <c r="A589" s="203">
        <f t="shared" si="18"/>
        <v>0</v>
      </c>
      <c r="C589" s="205">
        <f t="shared" si="19"/>
        <v>0</v>
      </c>
      <c r="D589" s="223"/>
      <c r="R589" s="222"/>
    </row>
    <row r="590" spans="1:18" x14ac:dyDescent="0.35">
      <c r="A590" s="203">
        <f t="shared" si="18"/>
        <v>0</v>
      </c>
      <c r="C590" s="205">
        <f t="shared" si="19"/>
        <v>0</v>
      </c>
      <c r="D590" s="223"/>
      <c r="R590" s="222"/>
    </row>
    <row r="591" spans="1:18" x14ac:dyDescent="0.35">
      <c r="A591" s="203">
        <f t="shared" si="18"/>
        <v>0</v>
      </c>
      <c r="C591" s="205">
        <f t="shared" si="19"/>
        <v>0</v>
      </c>
      <c r="D591" s="223"/>
      <c r="R591" s="222"/>
    </row>
    <row r="592" spans="1:18" x14ac:dyDescent="0.35">
      <c r="A592" s="203">
        <f t="shared" si="18"/>
        <v>0</v>
      </c>
      <c r="C592" s="205">
        <f t="shared" si="19"/>
        <v>0</v>
      </c>
      <c r="D592" s="223"/>
      <c r="R592" s="222"/>
    </row>
    <row r="593" spans="1:18" x14ac:dyDescent="0.35">
      <c r="A593" s="203">
        <f t="shared" si="18"/>
        <v>0</v>
      </c>
      <c r="C593" s="205">
        <f t="shared" si="19"/>
        <v>0</v>
      </c>
      <c r="D593" s="223"/>
      <c r="R593" s="222"/>
    </row>
    <row r="594" spans="1:18" x14ac:dyDescent="0.35">
      <c r="A594" s="203">
        <f t="shared" si="18"/>
        <v>0</v>
      </c>
      <c r="C594" s="205">
        <f t="shared" si="19"/>
        <v>0</v>
      </c>
      <c r="D594" s="223"/>
      <c r="R594" s="222"/>
    </row>
    <row r="595" spans="1:18" x14ac:dyDescent="0.35">
      <c r="A595" s="203">
        <f t="shared" si="18"/>
        <v>0</v>
      </c>
      <c r="C595" s="205">
        <f t="shared" si="19"/>
        <v>0</v>
      </c>
      <c r="D595" s="223"/>
      <c r="R595" s="222"/>
    </row>
    <row r="596" spans="1:18" x14ac:dyDescent="0.35">
      <c r="A596" s="203">
        <f t="shared" si="18"/>
        <v>0</v>
      </c>
      <c r="C596" s="205">
        <f t="shared" si="19"/>
        <v>0</v>
      </c>
      <c r="D596" s="223"/>
      <c r="R596" s="222"/>
    </row>
    <row r="597" spans="1:18" x14ac:dyDescent="0.35">
      <c r="A597" s="203">
        <f t="shared" si="18"/>
        <v>0</v>
      </c>
      <c r="C597" s="205">
        <f t="shared" si="19"/>
        <v>0</v>
      </c>
      <c r="D597" s="223"/>
      <c r="R597" s="222"/>
    </row>
    <row r="598" spans="1:18" x14ac:dyDescent="0.35">
      <c r="A598" s="203">
        <f t="shared" si="18"/>
        <v>0</v>
      </c>
      <c r="C598" s="205">
        <f t="shared" si="19"/>
        <v>0</v>
      </c>
      <c r="D598" s="223"/>
      <c r="R598" s="222"/>
    </row>
    <row r="599" spans="1:18" x14ac:dyDescent="0.35">
      <c r="A599" s="203">
        <f t="shared" si="18"/>
        <v>0</v>
      </c>
      <c r="C599" s="205">
        <f t="shared" si="19"/>
        <v>0</v>
      </c>
      <c r="D599" s="223"/>
      <c r="R599" s="222"/>
    </row>
    <row r="600" spans="1:18" x14ac:dyDescent="0.35">
      <c r="A600" s="203">
        <f t="shared" si="18"/>
        <v>0</v>
      </c>
      <c r="C600" s="205">
        <f t="shared" si="19"/>
        <v>0</v>
      </c>
      <c r="D600" s="223"/>
      <c r="R600" s="222"/>
    </row>
    <row r="601" spans="1:18" x14ac:dyDescent="0.35">
      <c r="A601" s="203">
        <f t="shared" si="18"/>
        <v>0</v>
      </c>
      <c r="C601" s="205">
        <f t="shared" si="19"/>
        <v>0</v>
      </c>
      <c r="D601" s="223"/>
      <c r="R601" s="222"/>
    </row>
    <row r="602" spans="1:18" x14ac:dyDescent="0.35">
      <c r="A602" s="203">
        <f t="shared" si="18"/>
        <v>0</v>
      </c>
      <c r="C602" s="205">
        <f t="shared" si="19"/>
        <v>0</v>
      </c>
      <c r="D602" s="223"/>
      <c r="R602" s="222"/>
    </row>
    <row r="603" spans="1:18" x14ac:dyDescent="0.35">
      <c r="A603" s="203">
        <f t="shared" si="18"/>
        <v>0</v>
      </c>
      <c r="C603" s="205">
        <f t="shared" si="19"/>
        <v>0</v>
      </c>
      <c r="D603" s="223"/>
      <c r="R603" s="222"/>
    </row>
    <row r="604" spans="1:18" x14ac:dyDescent="0.35">
      <c r="A604" s="203">
        <f t="shared" si="18"/>
        <v>0</v>
      </c>
      <c r="C604" s="205">
        <f t="shared" si="19"/>
        <v>0</v>
      </c>
      <c r="D604" s="223"/>
      <c r="R604" s="222"/>
    </row>
    <row r="605" spans="1:18" x14ac:dyDescent="0.35">
      <c r="A605" s="203">
        <f t="shared" si="18"/>
        <v>0</v>
      </c>
      <c r="C605" s="205">
        <f t="shared" si="19"/>
        <v>0</v>
      </c>
      <c r="D605" s="223"/>
      <c r="R605" s="222"/>
    </row>
    <row r="606" spans="1:18" x14ac:dyDescent="0.35">
      <c r="A606" s="203">
        <f t="shared" si="18"/>
        <v>0</v>
      </c>
      <c r="C606" s="205">
        <f t="shared" si="19"/>
        <v>0</v>
      </c>
      <c r="D606" s="223"/>
      <c r="R606" s="222"/>
    </row>
    <row r="607" spans="1:18" x14ac:dyDescent="0.35">
      <c r="A607" s="203">
        <f t="shared" si="18"/>
        <v>0</v>
      </c>
      <c r="C607" s="205">
        <f t="shared" si="19"/>
        <v>0</v>
      </c>
      <c r="D607" s="223"/>
      <c r="R607" s="222"/>
    </row>
    <row r="608" spans="1:18" x14ac:dyDescent="0.35">
      <c r="A608" s="203">
        <f t="shared" si="18"/>
        <v>0</v>
      </c>
      <c r="C608" s="205">
        <f t="shared" si="19"/>
        <v>0</v>
      </c>
      <c r="D608" s="223"/>
      <c r="R608" s="222"/>
    </row>
    <row r="609" spans="1:18" x14ac:dyDescent="0.35">
      <c r="A609" s="203">
        <f t="shared" si="18"/>
        <v>0</v>
      </c>
      <c r="C609" s="205">
        <f t="shared" si="19"/>
        <v>0</v>
      </c>
      <c r="D609" s="223"/>
      <c r="R609" s="222"/>
    </row>
    <row r="610" spans="1:18" x14ac:dyDescent="0.35">
      <c r="A610" s="203">
        <f t="shared" si="18"/>
        <v>0</v>
      </c>
      <c r="C610" s="205">
        <f t="shared" si="19"/>
        <v>0</v>
      </c>
      <c r="D610" s="223"/>
      <c r="R610" s="222"/>
    </row>
    <row r="611" spans="1:18" x14ac:dyDescent="0.35">
      <c r="A611" s="203">
        <f t="shared" si="18"/>
        <v>0</v>
      </c>
      <c r="C611" s="205">
        <f t="shared" si="19"/>
        <v>0</v>
      </c>
      <c r="D611" s="223"/>
      <c r="R611" s="222"/>
    </row>
    <row r="612" spans="1:18" x14ac:dyDescent="0.35">
      <c r="A612" s="203">
        <f t="shared" si="18"/>
        <v>0</v>
      </c>
      <c r="C612" s="205">
        <f t="shared" si="19"/>
        <v>0</v>
      </c>
      <c r="D612" s="223"/>
      <c r="R612" s="222"/>
    </row>
    <row r="613" spans="1:18" x14ac:dyDescent="0.35">
      <c r="A613" s="203">
        <f t="shared" si="18"/>
        <v>0</v>
      </c>
      <c r="C613" s="205">
        <f t="shared" si="19"/>
        <v>0</v>
      </c>
      <c r="D613" s="223"/>
      <c r="R613" s="222"/>
    </row>
    <row r="614" spans="1:18" x14ac:dyDescent="0.35">
      <c r="A614" s="203">
        <f t="shared" si="18"/>
        <v>0</v>
      </c>
      <c r="C614" s="205">
        <f t="shared" si="19"/>
        <v>0</v>
      </c>
      <c r="D614" s="223"/>
      <c r="R614" s="222"/>
    </row>
    <row r="615" spans="1:18" x14ac:dyDescent="0.35">
      <c r="A615" s="203">
        <f t="shared" si="18"/>
        <v>0</v>
      </c>
      <c r="C615" s="205">
        <f t="shared" si="19"/>
        <v>0</v>
      </c>
      <c r="D615" s="223"/>
      <c r="R615" s="222"/>
    </row>
    <row r="616" spans="1:18" x14ac:dyDescent="0.35">
      <c r="A616" s="203">
        <f t="shared" si="18"/>
        <v>0</v>
      </c>
      <c r="C616" s="205">
        <f t="shared" si="19"/>
        <v>0</v>
      </c>
      <c r="D616" s="223"/>
      <c r="R616" s="222"/>
    </row>
    <row r="617" spans="1:18" x14ac:dyDescent="0.35">
      <c r="A617" s="203">
        <f t="shared" si="18"/>
        <v>0</v>
      </c>
      <c r="C617" s="205">
        <f t="shared" si="19"/>
        <v>0</v>
      </c>
      <c r="D617" s="223"/>
      <c r="R617" s="222"/>
    </row>
    <row r="618" spans="1:18" x14ac:dyDescent="0.35">
      <c r="A618" s="203">
        <f t="shared" si="18"/>
        <v>0</v>
      </c>
      <c r="C618" s="205">
        <f t="shared" si="19"/>
        <v>0</v>
      </c>
      <c r="D618" s="223"/>
      <c r="R618" s="222"/>
    </row>
    <row r="619" spans="1:18" x14ac:dyDescent="0.35">
      <c r="A619" s="203">
        <f t="shared" si="18"/>
        <v>0</v>
      </c>
      <c r="C619" s="205">
        <f t="shared" si="19"/>
        <v>0</v>
      </c>
      <c r="D619" s="223"/>
      <c r="R619" s="222"/>
    </row>
    <row r="620" spans="1:18" x14ac:dyDescent="0.35">
      <c r="A620" s="203">
        <f t="shared" si="18"/>
        <v>0</v>
      </c>
      <c r="C620" s="205">
        <f t="shared" si="19"/>
        <v>0</v>
      </c>
      <c r="D620" s="223"/>
      <c r="R620" s="222"/>
    </row>
    <row r="621" spans="1:18" x14ac:dyDescent="0.35">
      <c r="A621" s="203">
        <f t="shared" si="18"/>
        <v>0</v>
      </c>
      <c r="C621" s="205">
        <f t="shared" si="19"/>
        <v>0</v>
      </c>
      <c r="D621" s="223"/>
      <c r="R621" s="222"/>
    </row>
    <row r="622" spans="1:18" x14ac:dyDescent="0.35">
      <c r="A622" s="203">
        <f t="shared" si="18"/>
        <v>0</v>
      </c>
      <c r="C622" s="205">
        <f t="shared" si="19"/>
        <v>0</v>
      </c>
      <c r="D622" s="223"/>
      <c r="R622" s="222"/>
    </row>
    <row r="623" spans="1:18" x14ac:dyDescent="0.35">
      <c r="A623" s="203">
        <f t="shared" si="18"/>
        <v>0</v>
      </c>
      <c r="C623" s="205">
        <f t="shared" si="19"/>
        <v>0</v>
      </c>
      <c r="D623" s="223"/>
      <c r="R623" s="222"/>
    </row>
    <row r="624" spans="1:18" x14ac:dyDescent="0.35">
      <c r="A624" s="203">
        <f t="shared" si="18"/>
        <v>0</v>
      </c>
      <c r="C624" s="205">
        <f t="shared" si="19"/>
        <v>0</v>
      </c>
      <c r="D624" s="223"/>
      <c r="R624" s="222"/>
    </row>
    <row r="625" spans="1:18" x14ac:dyDescent="0.35">
      <c r="A625" s="203">
        <f t="shared" si="18"/>
        <v>0</v>
      </c>
      <c r="C625" s="205">
        <f t="shared" si="19"/>
        <v>0</v>
      </c>
      <c r="D625" s="223"/>
      <c r="R625" s="222"/>
    </row>
    <row r="626" spans="1:18" x14ac:dyDescent="0.35">
      <c r="A626" s="203">
        <f t="shared" si="18"/>
        <v>0</v>
      </c>
      <c r="C626" s="205">
        <f t="shared" si="19"/>
        <v>0</v>
      </c>
      <c r="D626" s="223"/>
      <c r="R626" s="222"/>
    </row>
    <row r="627" spans="1:18" x14ac:dyDescent="0.35">
      <c r="A627" s="203">
        <f t="shared" si="18"/>
        <v>0</v>
      </c>
      <c r="C627" s="205">
        <f t="shared" si="19"/>
        <v>0</v>
      </c>
      <c r="D627" s="223"/>
      <c r="R627" s="222"/>
    </row>
    <row r="628" spans="1:18" x14ac:dyDescent="0.35">
      <c r="A628" s="203">
        <f t="shared" si="18"/>
        <v>0</v>
      </c>
      <c r="C628" s="205">
        <f t="shared" si="19"/>
        <v>0</v>
      </c>
      <c r="D628" s="223"/>
      <c r="R628" s="222"/>
    </row>
    <row r="629" spans="1:18" x14ac:dyDescent="0.35">
      <c r="A629" s="203">
        <f t="shared" si="18"/>
        <v>0</v>
      </c>
      <c r="C629" s="205">
        <f t="shared" si="19"/>
        <v>0</v>
      </c>
      <c r="D629" s="223"/>
      <c r="R629" s="222"/>
    </row>
    <row r="630" spans="1:18" x14ac:dyDescent="0.35">
      <c r="A630" s="203">
        <f t="shared" si="18"/>
        <v>0</v>
      </c>
      <c r="C630" s="205">
        <f t="shared" si="19"/>
        <v>0</v>
      </c>
      <c r="D630" s="223"/>
      <c r="R630" s="222"/>
    </row>
    <row r="631" spans="1:18" x14ac:dyDescent="0.35">
      <c r="A631" s="203">
        <f t="shared" si="18"/>
        <v>0</v>
      </c>
      <c r="C631" s="205">
        <f t="shared" si="19"/>
        <v>0</v>
      </c>
      <c r="D631" s="223"/>
      <c r="R631" s="222"/>
    </row>
    <row r="632" spans="1:18" x14ac:dyDescent="0.35">
      <c r="A632" s="203">
        <f t="shared" si="18"/>
        <v>0</v>
      </c>
      <c r="C632" s="205">
        <f t="shared" si="19"/>
        <v>0</v>
      </c>
      <c r="D632" s="223"/>
      <c r="R632" s="222"/>
    </row>
    <row r="633" spans="1:18" x14ac:dyDescent="0.35">
      <c r="A633" s="203">
        <f t="shared" si="18"/>
        <v>0</v>
      </c>
      <c r="C633" s="205">
        <f t="shared" si="19"/>
        <v>0</v>
      </c>
      <c r="D633" s="223"/>
      <c r="R633" s="222"/>
    </row>
    <row r="634" spans="1:18" x14ac:dyDescent="0.35">
      <c r="A634" s="203">
        <f t="shared" si="18"/>
        <v>0</v>
      </c>
      <c r="C634" s="205">
        <f t="shared" si="19"/>
        <v>0</v>
      </c>
      <c r="D634" s="223"/>
      <c r="R634" s="222"/>
    </row>
    <row r="635" spans="1:18" x14ac:dyDescent="0.35">
      <c r="A635" s="203">
        <f t="shared" si="18"/>
        <v>0</v>
      </c>
      <c r="C635" s="205">
        <f t="shared" si="19"/>
        <v>0</v>
      </c>
      <c r="D635" s="223"/>
      <c r="R635" s="222"/>
    </row>
    <row r="636" spans="1:18" x14ac:dyDescent="0.35">
      <c r="A636" s="203">
        <f t="shared" si="18"/>
        <v>0</v>
      </c>
      <c r="C636" s="205">
        <f t="shared" si="19"/>
        <v>0</v>
      </c>
      <c r="D636" s="223"/>
      <c r="R636" s="222"/>
    </row>
    <row r="637" spans="1:18" x14ac:dyDescent="0.35">
      <c r="A637" s="203">
        <f t="shared" si="18"/>
        <v>0</v>
      </c>
      <c r="C637" s="205">
        <f t="shared" si="19"/>
        <v>0</v>
      </c>
      <c r="D637" s="223"/>
      <c r="R637" s="222"/>
    </row>
    <row r="638" spans="1:18" x14ac:dyDescent="0.35">
      <c r="A638" s="203">
        <f t="shared" si="18"/>
        <v>0</v>
      </c>
      <c r="C638" s="205">
        <f t="shared" si="19"/>
        <v>0</v>
      </c>
      <c r="D638" s="223"/>
      <c r="R638" s="222"/>
    </row>
    <row r="639" spans="1:18" x14ac:dyDescent="0.35">
      <c r="A639" s="203">
        <f t="shared" si="18"/>
        <v>0</v>
      </c>
      <c r="C639" s="205">
        <f t="shared" si="19"/>
        <v>0</v>
      </c>
      <c r="D639" s="223"/>
      <c r="R639" s="222"/>
    </row>
    <row r="640" spans="1:18" x14ac:dyDescent="0.35">
      <c r="A640" s="203">
        <f t="shared" si="18"/>
        <v>0</v>
      </c>
      <c r="C640" s="205">
        <f t="shared" si="19"/>
        <v>0</v>
      </c>
      <c r="D640" s="223"/>
      <c r="R640" s="222"/>
    </row>
    <row r="641" spans="1:18" x14ac:dyDescent="0.35">
      <c r="A641" s="203">
        <f t="shared" si="18"/>
        <v>0</v>
      </c>
      <c r="C641" s="205">
        <f t="shared" si="19"/>
        <v>0</v>
      </c>
      <c r="D641" s="223"/>
      <c r="R641" s="222"/>
    </row>
    <row r="642" spans="1:18" x14ac:dyDescent="0.35">
      <c r="A642" s="203">
        <f t="shared" si="18"/>
        <v>0</v>
      </c>
      <c r="C642" s="205">
        <f t="shared" si="19"/>
        <v>0</v>
      </c>
      <c r="D642" s="223"/>
      <c r="R642" s="222"/>
    </row>
    <row r="643" spans="1:18" x14ac:dyDescent="0.35">
      <c r="A643" s="203">
        <f t="shared" ref="A643:A706" si="20">F643</f>
        <v>0</v>
      </c>
      <c r="C643" s="205">
        <f t="shared" ref="C643:C706" si="21">F643</f>
        <v>0</v>
      </c>
      <c r="D643" s="223"/>
      <c r="R643" s="222"/>
    </row>
    <row r="644" spans="1:18" x14ac:dyDescent="0.35">
      <c r="A644" s="203">
        <f t="shared" si="20"/>
        <v>0</v>
      </c>
      <c r="C644" s="205">
        <f t="shared" si="21"/>
        <v>0</v>
      </c>
      <c r="D644" s="223"/>
      <c r="R644" s="222"/>
    </row>
    <row r="645" spans="1:18" x14ac:dyDescent="0.35">
      <c r="A645" s="203">
        <f t="shared" si="20"/>
        <v>0</v>
      </c>
      <c r="C645" s="205">
        <f t="shared" si="21"/>
        <v>0</v>
      </c>
      <c r="D645" s="223"/>
      <c r="R645" s="222"/>
    </row>
    <row r="646" spans="1:18" x14ac:dyDescent="0.35">
      <c r="A646" s="203">
        <f t="shared" si="20"/>
        <v>0</v>
      </c>
      <c r="C646" s="205">
        <f t="shared" si="21"/>
        <v>0</v>
      </c>
      <c r="D646" s="223"/>
      <c r="R646" s="222"/>
    </row>
    <row r="647" spans="1:18" x14ac:dyDescent="0.35">
      <c r="A647" s="203">
        <f t="shared" si="20"/>
        <v>0</v>
      </c>
      <c r="C647" s="205">
        <f t="shared" si="21"/>
        <v>0</v>
      </c>
      <c r="D647" s="223"/>
      <c r="R647" s="222"/>
    </row>
    <row r="648" spans="1:18" x14ac:dyDescent="0.35">
      <c r="A648" s="203">
        <f t="shared" si="20"/>
        <v>0</v>
      </c>
      <c r="C648" s="205">
        <f t="shared" si="21"/>
        <v>0</v>
      </c>
      <c r="D648" s="223"/>
      <c r="R648" s="222"/>
    </row>
    <row r="649" spans="1:18" x14ac:dyDescent="0.35">
      <c r="A649" s="203">
        <f t="shared" si="20"/>
        <v>0</v>
      </c>
      <c r="C649" s="205">
        <f t="shared" si="21"/>
        <v>0</v>
      </c>
      <c r="D649" s="223"/>
      <c r="R649" s="222"/>
    </row>
    <row r="650" spans="1:18" x14ac:dyDescent="0.35">
      <c r="A650" s="203">
        <f t="shared" si="20"/>
        <v>0</v>
      </c>
      <c r="C650" s="205">
        <f t="shared" si="21"/>
        <v>0</v>
      </c>
      <c r="D650" s="223"/>
      <c r="R650" s="222"/>
    </row>
    <row r="651" spans="1:18" x14ac:dyDescent="0.35">
      <c r="A651" s="203">
        <f t="shared" si="20"/>
        <v>0</v>
      </c>
      <c r="C651" s="205">
        <f t="shared" si="21"/>
        <v>0</v>
      </c>
      <c r="D651" s="223"/>
      <c r="R651" s="222"/>
    </row>
    <row r="652" spans="1:18" x14ac:dyDescent="0.35">
      <c r="A652" s="203">
        <f t="shared" si="20"/>
        <v>0</v>
      </c>
      <c r="C652" s="205">
        <f t="shared" si="21"/>
        <v>0</v>
      </c>
      <c r="D652" s="223"/>
      <c r="R652" s="222"/>
    </row>
    <row r="653" spans="1:18" x14ac:dyDescent="0.35">
      <c r="A653" s="203">
        <f t="shared" si="20"/>
        <v>0</v>
      </c>
      <c r="C653" s="205">
        <f t="shared" si="21"/>
        <v>0</v>
      </c>
      <c r="D653" s="223"/>
      <c r="R653" s="222"/>
    </row>
    <row r="654" spans="1:18" x14ac:dyDescent="0.35">
      <c r="A654" s="203">
        <f t="shared" si="20"/>
        <v>0</v>
      </c>
      <c r="C654" s="205">
        <f t="shared" si="21"/>
        <v>0</v>
      </c>
      <c r="D654" s="223"/>
      <c r="R654" s="222"/>
    </row>
    <row r="655" spans="1:18" x14ac:dyDescent="0.35">
      <c r="A655" s="203">
        <f t="shared" si="20"/>
        <v>0</v>
      </c>
      <c r="C655" s="205">
        <f t="shared" si="21"/>
        <v>0</v>
      </c>
      <c r="D655" s="223"/>
      <c r="R655" s="222"/>
    </row>
    <row r="656" spans="1:18" x14ac:dyDescent="0.35">
      <c r="A656" s="203">
        <f t="shared" si="20"/>
        <v>0</v>
      </c>
      <c r="C656" s="205">
        <f t="shared" si="21"/>
        <v>0</v>
      </c>
      <c r="D656" s="223"/>
      <c r="R656" s="222"/>
    </row>
    <row r="657" spans="1:18" x14ac:dyDescent="0.35">
      <c r="A657" s="203">
        <f t="shared" si="20"/>
        <v>0</v>
      </c>
      <c r="C657" s="205">
        <f t="shared" si="21"/>
        <v>0</v>
      </c>
      <c r="D657" s="223"/>
      <c r="R657" s="222"/>
    </row>
    <row r="658" spans="1:18" x14ac:dyDescent="0.35">
      <c r="A658" s="203">
        <f t="shared" si="20"/>
        <v>0</v>
      </c>
      <c r="C658" s="205">
        <f t="shared" si="21"/>
        <v>0</v>
      </c>
      <c r="D658" s="223"/>
      <c r="R658" s="222"/>
    </row>
    <row r="659" spans="1:18" x14ac:dyDescent="0.35">
      <c r="A659" s="203">
        <f t="shared" si="20"/>
        <v>0</v>
      </c>
      <c r="C659" s="205">
        <f t="shared" si="21"/>
        <v>0</v>
      </c>
      <c r="D659" s="223"/>
      <c r="R659" s="222"/>
    </row>
    <row r="660" spans="1:18" x14ac:dyDescent="0.35">
      <c r="A660" s="203">
        <f t="shared" si="20"/>
        <v>0</v>
      </c>
      <c r="C660" s="205">
        <f t="shared" si="21"/>
        <v>0</v>
      </c>
      <c r="D660" s="223"/>
      <c r="R660" s="222"/>
    </row>
    <row r="661" spans="1:18" x14ac:dyDescent="0.35">
      <c r="A661" s="203">
        <f t="shared" si="20"/>
        <v>0</v>
      </c>
      <c r="C661" s="205">
        <f t="shared" si="21"/>
        <v>0</v>
      </c>
      <c r="D661" s="223"/>
      <c r="R661" s="222"/>
    </row>
    <row r="662" spans="1:18" x14ac:dyDescent="0.35">
      <c r="A662" s="203">
        <f t="shared" si="20"/>
        <v>0</v>
      </c>
      <c r="C662" s="205">
        <f t="shared" si="21"/>
        <v>0</v>
      </c>
      <c r="D662" s="223"/>
      <c r="R662" s="222"/>
    </row>
    <row r="663" spans="1:18" x14ac:dyDescent="0.35">
      <c r="A663" s="203">
        <f t="shared" si="20"/>
        <v>0</v>
      </c>
      <c r="C663" s="205">
        <f t="shared" si="21"/>
        <v>0</v>
      </c>
      <c r="D663" s="223"/>
      <c r="R663" s="222"/>
    </row>
    <row r="664" spans="1:18" x14ac:dyDescent="0.35">
      <c r="A664" s="203">
        <f t="shared" si="20"/>
        <v>0</v>
      </c>
      <c r="C664" s="205">
        <f t="shared" si="21"/>
        <v>0</v>
      </c>
      <c r="D664" s="223"/>
      <c r="R664" s="222"/>
    </row>
    <row r="665" spans="1:18" x14ac:dyDescent="0.35">
      <c r="A665" s="203">
        <f t="shared" si="20"/>
        <v>0</v>
      </c>
      <c r="C665" s="205">
        <f t="shared" si="21"/>
        <v>0</v>
      </c>
      <c r="D665" s="223"/>
      <c r="R665" s="222"/>
    </row>
    <row r="666" spans="1:18" x14ac:dyDescent="0.35">
      <c r="A666" s="203">
        <f t="shared" si="20"/>
        <v>0</v>
      </c>
      <c r="C666" s="205">
        <f t="shared" si="21"/>
        <v>0</v>
      </c>
      <c r="D666" s="223"/>
      <c r="R666" s="222"/>
    </row>
    <row r="667" spans="1:18" x14ac:dyDescent="0.35">
      <c r="A667" s="203">
        <f t="shared" si="20"/>
        <v>0</v>
      </c>
      <c r="C667" s="205">
        <f t="shared" si="21"/>
        <v>0</v>
      </c>
      <c r="D667" s="223"/>
      <c r="R667" s="222"/>
    </row>
    <row r="668" spans="1:18" x14ac:dyDescent="0.35">
      <c r="A668" s="203">
        <f t="shared" si="20"/>
        <v>0</v>
      </c>
      <c r="C668" s="205">
        <f t="shared" si="21"/>
        <v>0</v>
      </c>
      <c r="D668" s="223"/>
      <c r="R668" s="222"/>
    </row>
    <row r="669" spans="1:18" x14ac:dyDescent="0.35">
      <c r="A669" s="203">
        <f t="shared" si="20"/>
        <v>0</v>
      </c>
      <c r="C669" s="205">
        <f t="shared" si="21"/>
        <v>0</v>
      </c>
      <c r="D669" s="223"/>
      <c r="R669" s="222"/>
    </row>
    <row r="670" spans="1:18" x14ac:dyDescent="0.35">
      <c r="A670" s="203">
        <f t="shared" si="20"/>
        <v>0</v>
      </c>
      <c r="C670" s="205">
        <f t="shared" si="21"/>
        <v>0</v>
      </c>
      <c r="D670" s="223"/>
      <c r="R670" s="222"/>
    </row>
    <row r="671" spans="1:18" x14ac:dyDescent="0.35">
      <c r="A671" s="203">
        <f t="shared" si="20"/>
        <v>0</v>
      </c>
      <c r="C671" s="205">
        <f t="shared" si="21"/>
        <v>0</v>
      </c>
      <c r="D671" s="223"/>
      <c r="R671" s="222"/>
    </row>
    <row r="672" spans="1:18" x14ac:dyDescent="0.35">
      <c r="A672" s="203">
        <f t="shared" si="20"/>
        <v>0</v>
      </c>
      <c r="C672" s="205">
        <f t="shared" si="21"/>
        <v>0</v>
      </c>
      <c r="D672" s="223"/>
      <c r="R672" s="222"/>
    </row>
    <row r="673" spans="1:18" x14ac:dyDescent="0.35">
      <c r="A673" s="203">
        <f t="shared" si="20"/>
        <v>0</v>
      </c>
      <c r="C673" s="205">
        <f t="shared" si="21"/>
        <v>0</v>
      </c>
      <c r="D673" s="223"/>
      <c r="R673" s="222"/>
    </row>
    <row r="674" spans="1:18" x14ac:dyDescent="0.35">
      <c r="A674" s="203">
        <f t="shared" si="20"/>
        <v>0</v>
      </c>
      <c r="C674" s="205">
        <f t="shared" si="21"/>
        <v>0</v>
      </c>
      <c r="D674" s="223"/>
      <c r="R674" s="222"/>
    </row>
    <row r="675" spans="1:18" x14ac:dyDescent="0.35">
      <c r="A675" s="203">
        <f t="shared" si="20"/>
        <v>0</v>
      </c>
      <c r="C675" s="205">
        <f t="shared" si="21"/>
        <v>0</v>
      </c>
      <c r="D675" s="223"/>
      <c r="R675" s="222"/>
    </row>
    <row r="676" spans="1:18" x14ac:dyDescent="0.35">
      <c r="A676" s="203">
        <f t="shared" si="20"/>
        <v>0</v>
      </c>
      <c r="C676" s="205">
        <f t="shared" si="21"/>
        <v>0</v>
      </c>
      <c r="D676" s="223"/>
      <c r="R676" s="222"/>
    </row>
    <row r="677" spans="1:18" x14ac:dyDescent="0.35">
      <c r="A677" s="203">
        <f t="shared" si="20"/>
        <v>0</v>
      </c>
      <c r="C677" s="205">
        <f t="shared" si="21"/>
        <v>0</v>
      </c>
      <c r="D677" s="223"/>
      <c r="R677" s="222"/>
    </row>
    <row r="678" spans="1:18" x14ac:dyDescent="0.35">
      <c r="A678" s="203">
        <f t="shared" si="20"/>
        <v>0</v>
      </c>
      <c r="C678" s="205">
        <f t="shared" si="21"/>
        <v>0</v>
      </c>
      <c r="D678" s="223"/>
      <c r="R678" s="222"/>
    </row>
    <row r="679" spans="1:18" x14ac:dyDescent="0.35">
      <c r="A679" s="203">
        <f t="shared" si="20"/>
        <v>0</v>
      </c>
      <c r="C679" s="205">
        <f t="shared" si="21"/>
        <v>0</v>
      </c>
      <c r="D679" s="223"/>
      <c r="R679" s="222"/>
    </row>
    <row r="680" spans="1:18" x14ac:dyDescent="0.35">
      <c r="A680" s="203">
        <f t="shared" si="20"/>
        <v>0</v>
      </c>
      <c r="C680" s="205">
        <f t="shared" si="21"/>
        <v>0</v>
      </c>
      <c r="D680" s="223"/>
      <c r="R680" s="222"/>
    </row>
    <row r="681" spans="1:18" x14ac:dyDescent="0.35">
      <c r="A681" s="203">
        <f t="shared" si="20"/>
        <v>0</v>
      </c>
      <c r="C681" s="205">
        <f t="shared" si="21"/>
        <v>0</v>
      </c>
      <c r="D681" s="223"/>
      <c r="R681" s="222"/>
    </row>
    <row r="682" spans="1:18" x14ac:dyDescent="0.35">
      <c r="A682" s="203">
        <f t="shared" si="20"/>
        <v>0</v>
      </c>
      <c r="C682" s="205">
        <f t="shared" si="21"/>
        <v>0</v>
      </c>
      <c r="D682" s="223"/>
      <c r="R682" s="222"/>
    </row>
    <row r="683" spans="1:18" x14ac:dyDescent="0.35">
      <c r="A683" s="203">
        <f t="shared" si="20"/>
        <v>0</v>
      </c>
      <c r="C683" s="205">
        <f t="shared" si="21"/>
        <v>0</v>
      </c>
      <c r="D683" s="223"/>
      <c r="R683" s="222"/>
    </row>
    <row r="684" spans="1:18" x14ac:dyDescent="0.35">
      <c r="A684" s="203">
        <f t="shared" si="20"/>
        <v>0</v>
      </c>
      <c r="C684" s="205">
        <f t="shared" si="21"/>
        <v>0</v>
      </c>
      <c r="D684" s="223"/>
      <c r="R684" s="222"/>
    </row>
    <row r="685" spans="1:18" x14ac:dyDescent="0.35">
      <c r="A685" s="203">
        <f t="shared" si="20"/>
        <v>0</v>
      </c>
      <c r="C685" s="205">
        <f t="shared" si="21"/>
        <v>0</v>
      </c>
      <c r="D685" s="223"/>
      <c r="R685" s="222"/>
    </row>
    <row r="686" spans="1:18" x14ac:dyDescent="0.35">
      <c r="A686" s="203">
        <f t="shared" si="20"/>
        <v>0</v>
      </c>
      <c r="C686" s="205">
        <f t="shared" si="21"/>
        <v>0</v>
      </c>
      <c r="D686" s="223"/>
      <c r="R686" s="222"/>
    </row>
    <row r="687" spans="1:18" x14ac:dyDescent="0.35">
      <c r="A687" s="203">
        <f t="shared" si="20"/>
        <v>0</v>
      </c>
      <c r="C687" s="205">
        <f t="shared" si="21"/>
        <v>0</v>
      </c>
      <c r="D687" s="223"/>
      <c r="R687" s="222"/>
    </row>
    <row r="688" spans="1:18" x14ac:dyDescent="0.35">
      <c r="A688" s="203">
        <f t="shared" si="20"/>
        <v>0</v>
      </c>
      <c r="C688" s="205">
        <f t="shared" si="21"/>
        <v>0</v>
      </c>
      <c r="D688" s="223"/>
      <c r="R688" s="222"/>
    </row>
    <row r="689" spans="1:18" x14ac:dyDescent="0.35">
      <c r="A689" s="203">
        <f t="shared" si="20"/>
        <v>0</v>
      </c>
      <c r="C689" s="205">
        <f t="shared" si="21"/>
        <v>0</v>
      </c>
      <c r="D689" s="223"/>
      <c r="R689" s="222"/>
    </row>
    <row r="690" spans="1:18" x14ac:dyDescent="0.35">
      <c r="A690" s="203">
        <f t="shared" si="20"/>
        <v>0</v>
      </c>
      <c r="C690" s="205">
        <f t="shared" si="21"/>
        <v>0</v>
      </c>
      <c r="D690" s="223"/>
      <c r="R690" s="222"/>
    </row>
    <row r="691" spans="1:18" x14ac:dyDescent="0.35">
      <c r="A691" s="203">
        <f t="shared" si="20"/>
        <v>0</v>
      </c>
      <c r="C691" s="205">
        <f t="shared" si="21"/>
        <v>0</v>
      </c>
      <c r="D691" s="223"/>
      <c r="R691" s="222"/>
    </row>
    <row r="692" spans="1:18" x14ac:dyDescent="0.35">
      <c r="A692" s="203">
        <f t="shared" si="20"/>
        <v>0</v>
      </c>
      <c r="C692" s="205">
        <f t="shared" si="21"/>
        <v>0</v>
      </c>
      <c r="D692" s="223"/>
      <c r="R692" s="222"/>
    </row>
    <row r="693" spans="1:18" x14ac:dyDescent="0.35">
      <c r="A693" s="203">
        <f t="shared" si="20"/>
        <v>0</v>
      </c>
      <c r="C693" s="205">
        <f t="shared" si="21"/>
        <v>0</v>
      </c>
      <c r="D693" s="223"/>
      <c r="R693" s="222"/>
    </row>
    <row r="694" spans="1:18" x14ac:dyDescent="0.35">
      <c r="A694" s="203">
        <f t="shared" si="20"/>
        <v>0</v>
      </c>
      <c r="C694" s="205">
        <f t="shared" si="21"/>
        <v>0</v>
      </c>
      <c r="D694" s="223"/>
      <c r="R694" s="222"/>
    </row>
    <row r="695" spans="1:18" x14ac:dyDescent="0.35">
      <c r="A695" s="203">
        <f t="shared" si="20"/>
        <v>0</v>
      </c>
      <c r="C695" s="205">
        <f t="shared" si="21"/>
        <v>0</v>
      </c>
      <c r="D695" s="223"/>
      <c r="R695" s="222"/>
    </row>
    <row r="696" spans="1:18" x14ac:dyDescent="0.35">
      <c r="A696" s="203">
        <f t="shared" si="20"/>
        <v>0</v>
      </c>
      <c r="C696" s="205">
        <f t="shared" si="21"/>
        <v>0</v>
      </c>
      <c r="D696" s="223"/>
      <c r="R696" s="222"/>
    </row>
    <row r="697" spans="1:18" x14ac:dyDescent="0.35">
      <c r="A697" s="203">
        <f t="shared" si="20"/>
        <v>0</v>
      </c>
      <c r="C697" s="205">
        <f t="shared" si="21"/>
        <v>0</v>
      </c>
      <c r="D697" s="223"/>
      <c r="R697" s="222"/>
    </row>
    <row r="698" spans="1:18" x14ac:dyDescent="0.35">
      <c r="A698" s="203">
        <f t="shared" si="20"/>
        <v>0</v>
      </c>
      <c r="C698" s="205">
        <f t="shared" si="21"/>
        <v>0</v>
      </c>
      <c r="D698" s="223"/>
      <c r="R698" s="222"/>
    </row>
    <row r="699" spans="1:18" x14ac:dyDescent="0.35">
      <c r="A699" s="203">
        <f t="shared" si="20"/>
        <v>0</v>
      </c>
      <c r="C699" s="205">
        <f t="shared" si="21"/>
        <v>0</v>
      </c>
      <c r="D699" s="223"/>
      <c r="R699" s="222"/>
    </row>
    <row r="700" spans="1:18" x14ac:dyDescent="0.35">
      <c r="A700" s="203">
        <f t="shared" si="20"/>
        <v>0</v>
      </c>
      <c r="C700" s="205">
        <f t="shared" si="21"/>
        <v>0</v>
      </c>
      <c r="D700" s="223"/>
      <c r="R700" s="222"/>
    </row>
    <row r="701" spans="1:18" x14ac:dyDescent="0.35">
      <c r="A701" s="203">
        <f t="shared" si="20"/>
        <v>0</v>
      </c>
      <c r="C701" s="205">
        <f t="shared" si="21"/>
        <v>0</v>
      </c>
      <c r="D701" s="223"/>
      <c r="R701" s="222"/>
    </row>
    <row r="702" spans="1:18" x14ac:dyDescent="0.35">
      <c r="A702" s="203">
        <f t="shared" si="20"/>
        <v>0</v>
      </c>
      <c r="C702" s="205">
        <f t="shared" si="21"/>
        <v>0</v>
      </c>
      <c r="D702" s="223"/>
      <c r="R702" s="222"/>
    </row>
    <row r="703" spans="1:18" x14ac:dyDescent="0.35">
      <c r="A703" s="203">
        <f t="shared" si="20"/>
        <v>0</v>
      </c>
      <c r="C703" s="205">
        <f t="shared" si="21"/>
        <v>0</v>
      </c>
      <c r="D703" s="223"/>
      <c r="R703" s="222"/>
    </row>
    <row r="704" spans="1:18" x14ac:dyDescent="0.35">
      <c r="A704" s="203">
        <f t="shared" si="20"/>
        <v>0</v>
      </c>
      <c r="C704" s="205">
        <f t="shared" si="21"/>
        <v>0</v>
      </c>
      <c r="D704" s="223"/>
      <c r="R704" s="222"/>
    </row>
    <row r="705" spans="1:18" x14ac:dyDescent="0.35">
      <c r="A705" s="203">
        <f t="shared" si="20"/>
        <v>0</v>
      </c>
      <c r="C705" s="205">
        <f t="shared" si="21"/>
        <v>0</v>
      </c>
      <c r="D705" s="223"/>
      <c r="R705" s="222"/>
    </row>
    <row r="706" spans="1:18" x14ac:dyDescent="0.35">
      <c r="A706" s="203">
        <f t="shared" si="20"/>
        <v>0</v>
      </c>
      <c r="C706" s="205">
        <f t="shared" si="21"/>
        <v>0</v>
      </c>
      <c r="D706" s="223"/>
      <c r="R706" s="222"/>
    </row>
    <row r="707" spans="1:18" x14ac:dyDescent="0.35">
      <c r="A707" s="203">
        <f t="shared" ref="A707:A770" si="22">F707</f>
        <v>0</v>
      </c>
      <c r="C707" s="205">
        <f t="shared" ref="C707:C770" si="23">F707</f>
        <v>0</v>
      </c>
      <c r="D707" s="223"/>
      <c r="R707" s="222"/>
    </row>
    <row r="708" spans="1:18" x14ac:dyDescent="0.35">
      <c r="A708" s="203">
        <f t="shared" si="22"/>
        <v>0</v>
      </c>
      <c r="C708" s="205">
        <f t="shared" si="23"/>
        <v>0</v>
      </c>
      <c r="D708" s="223"/>
      <c r="R708" s="222"/>
    </row>
    <row r="709" spans="1:18" x14ac:dyDescent="0.35">
      <c r="A709" s="203">
        <f t="shared" si="22"/>
        <v>0</v>
      </c>
      <c r="C709" s="205">
        <f t="shared" si="23"/>
        <v>0</v>
      </c>
      <c r="D709" s="223"/>
      <c r="R709" s="222"/>
    </row>
    <row r="710" spans="1:18" x14ac:dyDescent="0.35">
      <c r="A710" s="203">
        <f t="shared" si="22"/>
        <v>0</v>
      </c>
      <c r="C710" s="205">
        <f t="shared" si="23"/>
        <v>0</v>
      </c>
      <c r="D710" s="223"/>
      <c r="R710" s="222"/>
    </row>
    <row r="711" spans="1:18" x14ac:dyDescent="0.35">
      <c r="A711" s="203">
        <f t="shared" si="22"/>
        <v>0</v>
      </c>
      <c r="C711" s="205">
        <f t="shared" si="23"/>
        <v>0</v>
      </c>
      <c r="D711" s="223"/>
      <c r="R711" s="222"/>
    </row>
    <row r="712" spans="1:18" x14ac:dyDescent="0.35">
      <c r="A712" s="203">
        <f t="shared" si="22"/>
        <v>0</v>
      </c>
      <c r="C712" s="205">
        <f t="shared" si="23"/>
        <v>0</v>
      </c>
      <c r="D712" s="223"/>
      <c r="R712" s="222"/>
    </row>
    <row r="713" spans="1:18" x14ac:dyDescent="0.35">
      <c r="A713" s="203">
        <f t="shared" si="22"/>
        <v>0</v>
      </c>
      <c r="C713" s="205">
        <f t="shared" si="23"/>
        <v>0</v>
      </c>
      <c r="D713" s="223"/>
      <c r="R713" s="222"/>
    </row>
    <row r="714" spans="1:18" x14ac:dyDescent="0.35">
      <c r="A714" s="203">
        <f t="shared" si="22"/>
        <v>0</v>
      </c>
      <c r="C714" s="205">
        <f t="shared" si="23"/>
        <v>0</v>
      </c>
      <c r="D714" s="223"/>
      <c r="R714" s="222"/>
    </row>
    <row r="715" spans="1:18" x14ac:dyDescent="0.35">
      <c r="A715" s="203">
        <f t="shared" si="22"/>
        <v>0</v>
      </c>
      <c r="C715" s="205">
        <f t="shared" si="23"/>
        <v>0</v>
      </c>
      <c r="D715" s="223"/>
      <c r="R715" s="222"/>
    </row>
    <row r="716" spans="1:18" x14ac:dyDescent="0.35">
      <c r="A716" s="203">
        <f t="shared" si="22"/>
        <v>0</v>
      </c>
      <c r="C716" s="205">
        <f t="shared" si="23"/>
        <v>0</v>
      </c>
      <c r="D716" s="223"/>
      <c r="R716" s="222"/>
    </row>
    <row r="717" spans="1:18" x14ac:dyDescent="0.35">
      <c r="A717" s="203">
        <f t="shared" si="22"/>
        <v>0</v>
      </c>
      <c r="C717" s="205">
        <f t="shared" si="23"/>
        <v>0</v>
      </c>
      <c r="D717" s="223"/>
      <c r="R717" s="222"/>
    </row>
    <row r="718" spans="1:18" x14ac:dyDescent="0.35">
      <c r="A718" s="203">
        <f t="shared" si="22"/>
        <v>0</v>
      </c>
      <c r="C718" s="205">
        <f t="shared" si="23"/>
        <v>0</v>
      </c>
      <c r="D718" s="223"/>
      <c r="R718" s="222"/>
    </row>
    <row r="719" spans="1:18" x14ac:dyDescent="0.35">
      <c r="A719" s="203">
        <f t="shared" si="22"/>
        <v>0</v>
      </c>
      <c r="C719" s="205">
        <f t="shared" si="23"/>
        <v>0</v>
      </c>
      <c r="D719" s="223"/>
      <c r="R719" s="222"/>
    </row>
    <row r="720" spans="1:18" x14ac:dyDescent="0.35">
      <c r="A720" s="203">
        <f t="shared" si="22"/>
        <v>0</v>
      </c>
      <c r="C720" s="205">
        <f t="shared" si="23"/>
        <v>0</v>
      </c>
      <c r="D720" s="223"/>
      <c r="R720" s="222"/>
    </row>
    <row r="721" spans="1:18" x14ac:dyDescent="0.35">
      <c r="A721" s="203">
        <f t="shared" si="22"/>
        <v>0</v>
      </c>
      <c r="C721" s="205">
        <f t="shared" si="23"/>
        <v>0</v>
      </c>
      <c r="D721" s="223"/>
      <c r="R721" s="222"/>
    </row>
    <row r="722" spans="1:18" x14ac:dyDescent="0.35">
      <c r="A722" s="203">
        <f t="shared" si="22"/>
        <v>0</v>
      </c>
      <c r="C722" s="205">
        <f t="shared" si="23"/>
        <v>0</v>
      </c>
      <c r="D722" s="223"/>
      <c r="R722" s="222"/>
    </row>
    <row r="723" spans="1:18" x14ac:dyDescent="0.35">
      <c r="A723" s="203">
        <f t="shared" si="22"/>
        <v>0</v>
      </c>
      <c r="C723" s="205">
        <f t="shared" si="23"/>
        <v>0</v>
      </c>
      <c r="D723" s="223"/>
      <c r="R723" s="222"/>
    </row>
    <row r="724" spans="1:18" x14ac:dyDescent="0.35">
      <c r="A724" s="203">
        <f t="shared" si="22"/>
        <v>0</v>
      </c>
      <c r="C724" s="205">
        <f t="shared" si="23"/>
        <v>0</v>
      </c>
      <c r="D724" s="223"/>
      <c r="R724" s="222"/>
    </row>
    <row r="725" spans="1:18" x14ac:dyDescent="0.35">
      <c r="A725" s="203">
        <f t="shared" si="22"/>
        <v>0</v>
      </c>
      <c r="C725" s="205">
        <f t="shared" si="23"/>
        <v>0</v>
      </c>
      <c r="D725" s="223"/>
      <c r="R725" s="222"/>
    </row>
    <row r="726" spans="1:18" x14ac:dyDescent="0.35">
      <c r="A726" s="203">
        <f t="shared" si="22"/>
        <v>0</v>
      </c>
      <c r="C726" s="205">
        <f t="shared" si="23"/>
        <v>0</v>
      </c>
      <c r="D726" s="223"/>
      <c r="R726" s="222"/>
    </row>
    <row r="727" spans="1:18" x14ac:dyDescent="0.35">
      <c r="A727" s="203">
        <f t="shared" si="22"/>
        <v>0</v>
      </c>
      <c r="C727" s="205">
        <f t="shared" si="23"/>
        <v>0</v>
      </c>
      <c r="D727" s="223"/>
      <c r="R727" s="222"/>
    </row>
    <row r="728" spans="1:18" x14ac:dyDescent="0.35">
      <c r="A728" s="203">
        <f t="shared" si="22"/>
        <v>0</v>
      </c>
      <c r="C728" s="205">
        <f t="shared" si="23"/>
        <v>0</v>
      </c>
      <c r="D728" s="223"/>
      <c r="R728" s="222"/>
    </row>
    <row r="729" spans="1:18" x14ac:dyDescent="0.35">
      <c r="A729" s="203">
        <f t="shared" si="22"/>
        <v>0</v>
      </c>
      <c r="C729" s="205">
        <f t="shared" si="23"/>
        <v>0</v>
      </c>
      <c r="D729" s="223"/>
      <c r="R729" s="222"/>
    </row>
    <row r="730" spans="1:18" x14ac:dyDescent="0.35">
      <c r="A730" s="203">
        <f t="shared" si="22"/>
        <v>0</v>
      </c>
      <c r="C730" s="205">
        <f t="shared" si="23"/>
        <v>0</v>
      </c>
      <c r="D730" s="223"/>
      <c r="R730" s="222"/>
    </row>
    <row r="731" spans="1:18" x14ac:dyDescent="0.35">
      <c r="A731" s="203">
        <f t="shared" si="22"/>
        <v>0</v>
      </c>
      <c r="C731" s="205">
        <f t="shared" si="23"/>
        <v>0</v>
      </c>
      <c r="D731" s="223"/>
      <c r="R731" s="222"/>
    </row>
    <row r="732" spans="1:18" x14ac:dyDescent="0.35">
      <c r="A732" s="203">
        <f t="shared" si="22"/>
        <v>0</v>
      </c>
      <c r="C732" s="205">
        <f t="shared" si="23"/>
        <v>0</v>
      </c>
      <c r="D732" s="223"/>
      <c r="R732" s="222"/>
    </row>
    <row r="733" spans="1:18" x14ac:dyDescent="0.35">
      <c r="A733" s="203">
        <f t="shared" si="22"/>
        <v>0</v>
      </c>
      <c r="C733" s="205">
        <f t="shared" si="23"/>
        <v>0</v>
      </c>
      <c r="D733" s="223"/>
      <c r="R733" s="222"/>
    </row>
    <row r="734" spans="1:18" x14ac:dyDescent="0.35">
      <c r="A734" s="203">
        <f t="shared" si="22"/>
        <v>0</v>
      </c>
      <c r="C734" s="205">
        <f t="shared" si="23"/>
        <v>0</v>
      </c>
      <c r="D734" s="223"/>
      <c r="R734" s="222"/>
    </row>
    <row r="735" spans="1:18" x14ac:dyDescent="0.35">
      <c r="A735" s="203">
        <f t="shared" si="22"/>
        <v>0</v>
      </c>
      <c r="C735" s="205">
        <f t="shared" si="23"/>
        <v>0</v>
      </c>
      <c r="D735" s="223"/>
      <c r="R735" s="222"/>
    </row>
    <row r="736" spans="1:18" x14ac:dyDescent="0.35">
      <c r="A736" s="203">
        <f t="shared" si="22"/>
        <v>0</v>
      </c>
      <c r="C736" s="205">
        <f t="shared" si="23"/>
        <v>0</v>
      </c>
      <c r="D736" s="223"/>
      <c r="R736" s="222"/>
    </row>
    <row r="737" spans="1:18" x14ac:dyDescent="0.35">
      <c r="A737" s="203">
        <f t="shared" si="22"/>
        <v>0</v>
      </c>
      <c r="C737" s="205">
        <f t="shared" si="23"/>
        <v>0</v>
      </c>
      <c r="D737" s="223"/>
      <c r="R737" s="222"/>
    </row>
    <row r="738" spans="1:18" x14ac:dyDescent="0.35">
      <c r="A738" s="203">
        <f t="shared" si="22"/>
        <v>0</v>
      </c>
      <c r="C738" s="205">
        <f t="shared" si="23"/>
        <v>0</v>
      </c>
      <c r="D738" s="223"/>
      <c r="R738" s="222"/>
    </row>
    <row r="739" spans="1:18" x14ac:dyDescent="0.35">
      <c r="A739" s="203">
        <f t="shared" si="22"/>
        <v>0</v>
      </c>
      <c r="C739" s="205">
        <f t="shared" si="23"/>
        <v>0</v>
      </c>
      <c r="D739" s="223"/>
      <c r="R739" s="222"/>
    </row>
    <row r="740" spans="1:18" x14ac:dyDescent="0.35">
      <c r="A740" s="203">
        <f t="shared" si="22"/>
        <v>0</v>
      </c>
      <c r="C740" s="205">
        <f t="shared" si="23"/>
        <v>0</v>
      </c>
      <c r="D740" s="223"/>
      <c r="R740" s="222"/>
    </row>
    <row r="741" spans="1:18" x14ac:dyDescent="0.35">
      <c r="A741" s="203">
        <f t="shared" si="22"/>
        <v>0</v>
      </c>
      <c r="C741" s="205">
        <f t="shared" si="23"/>
        <v>0</v>
      </c>
      <c r="D741" s="223"/>
      <c r="R741" s="222"/>
    </row>
    <row r="742" spans="1:18" x14ac:dyDescent="0.35">
      <c r="A742" s="203">
        <f t="shared" si="22"/>
        <v>0</v>
      </c>
      <c r="C742" s="205">
        <f t="shared" si="23"/>
        <v>0</v>
      </c>
      <c r="D742" s="223"/>
      <c r="R742" s="222"/>
    </row>
    <row r="743" spans="1:18" x14ac:dyDescent="0.35">
      <c r="A743" s="203">
        <f t="shared" si="22"/>
        <v>0</v>
      </c>
      <c r="C743" s="205">
        <f t="shared" si="23"/>
        <v>0</v>
      </c>
      <c r="D743" s="223"/>
      <c r="R743" s="222"/>
    </row>
    <row r="744" spans="1:18" x14ac:dyDescent="0.35">
      <c r="A744" s="203">
        <f t="shared" si="22"/>
        <v>0</v>
      </c>
      <c r="C744" s="205">
        <f t="shared" si="23"/>
        <v>0</v>
      </c>
      <c r="D744" s="223"/>
      <c r="R744" s="222"/>
    </row>
    <row r="745" spans="1:18" x14ac:dyDescent="0.35">
      <c r="A745" s="203">
        <f t="shared" si="22"/>
        <v>0</v>
      </c>
      <c r="C745" s="205">
        <f t="shared" si="23"/>
        <v>0</v>
      </c>
      <c r="D745" s="223"/>
      <c r="R745" s="222"/>
    </row>
    <row r="746" spans="1:18" x14ac:dyDescent="0.35">
      <c r="A746" s="203">
        <f t="shared" si="22"/>
        <v>0</v>
      </c>
      <c r="C746" s="205">
        <f t="shared" si="23"/>
        <v>0</v>
      </c>
      <c r="D746" s="223"/>
      <c r="R746" s="222"/>
    </row>
    <row r="747" spans="1:18" x14ac:dyDescent="0.35">
      <c r="A747" s="203">
        <f t="shared" si="22"/>
        <v>0</v>
      </c>
      <c r="C747" s="205">
        <f t="shared" si="23"/>
        <v>0</v>
      </c>
      <c r="D747" s="223"/>
      <c r="R747" s="222"/>
    </row>
    <row r="748" spans="1:18" x14ac:dyDescent="0.35">
      <c r="A748" s="203">
        <f t="shared" si="22"/>
        <v>0</v>
      </c>
      <c r="C748" s="205">
        <f t="shared" si="23"/>
        <v>0</v>
      </c>
      <c r="D748" s="223"/>
      <c r="R748" s="222"/>
    </row>
    <row r="749" spans="1:18" x14ac:dyDescent="0.35">
      <c r="A749" s="203">
        <f t="shared" si="22"/>
        <v>0</v>
      </c>
      <c r="C749" s="205">
        <f t="shared" si="23"/>
        <v>0</v>
      </c>
      <c r="D749" s="223"/>
      <c r="R749" s="222"/>
    </row>
    <row r="750" spans="1:18" x14ac:dyDescent="0.35">
      <c r="A750" s="203">
        <f t="shared" si="22"/>
        <v>0</v>
      </c>
      <c r="C750" s="205">
        <f t="shared" si="23"/>
        <v>0</v>
      </c>
      <c r="D750" s="223"/>
      <c r="R750" s="222"/>
    </row>
    <row r="751" spans="1:18" x14ac:dyDescent="0.35">
      <c r="A751" s="203">
        <f t="shared" si="22"/>
        <v>0</v>
      </c>
      <c r="C751" s="205">
        <f t="shared" si="23"/>
        <v>0</v>
      </c>
      <c r="D751" s="223"/>
      <c r="R751" s="222"/>
    </row>
    <row r="752" spans="1:18" x14ac:dyDescent="0.35">
      <c r="A752" s="203">
        <f t="shared" si="22"/>
        <v>0</v>
      </c>
      <c r="C752" s="205">
        <f t="shared" si="23"/>
        <v>0</v>
      </c>
      <c r="D752" s="223"/>
      <c r="R752" s="222"/>
    </row>
    <row r="753" spans="1:18" x14ac:dyDescent="0.35">
      <c r="A753" s="203">
        <f t="shared" si="22"/>
        <v>0</v>
      </c>
      <c r="C753" s="205">
        <f t="shared" si="23"/>
        <v>0</v>
      </c>
      <c r="D753" s="223"/>
      <c r="R753" s="222"/>
    </row>
    <row r="754" spans="1:18" x14ac:dyDescent="0.35">
      <c r="A754" s="203">
        <f t="shared" si="22"/>
        <v>0</v>
      </c>
      <c r="C754" s="205">
        <f t="shared" si="23"/>
        <v>0</v>
      </c>
      <c r="D754" s="223"/>
      <c r="R754" s="222"/>
    </row>
    <row r="755" spans="1:18" x14ac:dyDescent="0.35">
      <c r="A755" s="203">
        <f t="shared" si="22"/>
        <v>0</v>
      </c>
      <c r="C755" s="205">
        <f t="shared" si="23"/>
        <v>0</v>
      </c>
      <c r="D755" s="223"/>
      <c r="R755" s="222"/>
    </row>
    <row r="756" spans="1:18" x14ac:dyDescent="0.35">
      <c r="A756" s="203">
        <f t="shared" si="22"/>
        <v>0</v>
      </c>
      <c r="C756" s="205">
        <f t="shared" si="23"/>
        <v>0</v>
      </c>
      <c r="D756" s="223"/>
      <c r="R756" s="222"/>
    </row>
    <row r="757" spans="1:18" x14ac:dyDescent="0.35">
      <c r="A757" s="203">
        <f t="shared" si="22"/>
        <v>0</v>
      </c>
      <c r="C757" s="205">
        <f t="shared" si="23"/>
        <v>0</v>
      </c>
      <c r="D757" s="223"/>
      <c r="R757" s="222"/>
    </row>
    <row r="758" spans="1:18" x14ac:dyDescent="0.35">
      <c r="A758" s="203">
        <f t="shared" si="22"/>
        <v>0</v>
      </c>
      <c r="C758" s="205">
        <f t="shared" si="23"/>
        <v>0</v>
      </c>
      <c r="D758" s="223"/>
      <c r="R758" s="222"/>
    </row>
    <row r="759" spans="1:18" x14ac:dyDescent="0.35">
      <c r="A759" s="203">
        <f t="shared" si="22"/>
        <v>0</v>
      </c>
      <c r="C759" s="205">
        <f t="shared" si="23"/>
        <v>0</v>
      </c>
      <c r="D759" s="223"/>
      <c r="R759" s="222"/>
    </row>
    <row r="760" spans="1:18" x14ac:dyDescent="0.35">
      <c r="A760" s="203">
        <f t="shared" si="22"/>
        <v>0</v>
      </c>
      <c r="C760" s="205">
        <f t="shared" si="23"/>
        <v>0</v>
      </c>
      <c r="D760" s="223"/>
      <c r="R760" s="222"/>
    </row>
    <row r="761" spans="1:18" x14ac:dyDescent="0.35">
      <c r="A761" s="203">
        <f t="shared" si="22"/>
        <v>0</v>
      </c>
      <c r="C761" s="205">
        <f t="shared" si="23"/>
        <v>0</v>
      </c>
      <c r="D761" s="223"/>
      <c r="R761" s="222"/>
    </row>
    <row r="762" spans="1:18" x14ac:dyDescent="0.35">
      <c r="A762" s="203">
        <f t="shared" si="22"/>
        <v>0</v>
      </c>
      <c r="C762" s="205">
        <f t="shared" si="23"/>
        <v>0</v>
      </c>
      <c r="D762" s="223"/>
      <c r="R762" s="222"/>
    </row>
    <row r="763" spans="1:18" x14ac:dyDescent="0.35">
      <c r="A763" s="203">
        <f t="shared" si="22"/>
        <v>0</v>
      </c>
      <c r="C763" s="205">
        <f t="shared" si="23"/>
        <v>0</v>
      </c>
      <c r="D763" s="223"/>
      <c r="R763" s="222"/>
    </row>
    <row r="764" spans="1:18" x14ac:dyDescent="0.35">
      <c r="A764" s="203">
        <f t="shared" si="22"/>
        <v>0</v>
      </c>
      <c r="C764" s="205">
        <f t="shared" si="23"/>
        <v>0</v>
      </c>
      <c r="D764" s="223"/>
      <c r="R764" s="222"/>
    </row>
    <row r="765" spans="1:18" x14ac:dyDescent="0.35">
      <c r="A765" s="203">
        <f t="shared" si="22"/>
        <v>0</v>
      </c>
      <c r="C765" s="205">
        <f t="shared" si="23"/>
        <v>0</v>
      </c>
      <c r="D765" s="223"/>
      <c r="R765" s="222"/>
    </row>
    <row r="766" spans="1:18" x14ac:dyDescent="0.35">
      <c r="A766" s="203">
        <f t="shared" si="22"/>
        <v>0</v>
      </c>
      <c r="C766" s="205">
        <f t="shared" si="23"/>
        <v>0</v>
      </c>
      <c r="D766" s="223"/>
      <c r="R766" s="222"/>
    </row>
    <row r="767" spans="1:18" x14ac:dyDescent="0.35">
      <c r="A767" s="203">
        <f t="shared" si="22"/>
        <v>0</v>
      </c>
      <c r="C767" s="205">
        <f t="shared" si="23"/>
        <v>0</v>
      </c>
      <c r="D767" s="223"/>
      <c r="R767" s="222"/>
    </row>
    <row r="768" spans="1:18" x14ac:dyDescent="0.35">
      <c r="A768" s="203">
        <f t="shared" si="22"/>
        <v>0</v>
      </c>
      <c r="C768" s="205">
        <f t="shared" si="23"/>
        <v>0</v>
      </c>
      <c r="D768" s="223"/>
      <c r="R768" s="222"/>
    </row>
    <row r="769" spans="1:18" x14ac:dyDescent="0.35">
      <c r="A769" s="203">
        <f t="shared" si="22"/>
        <v>0</v>
      </c>
      <c r="C769" s="205">
        <f t="shared" si="23"/>
        <v>0</v>
      </c>
      <c r="D769" s="223"/>
      <c r="R769" s="222"/>
    </row>
    <row r="770" spans="1:18" x14ac:dyDescent="0.35">
      <c r="A770" s="203">
        <f t="shared" si="22"/>
        <v>0</v>
      </c>
      <c r="C770" s="205">
        <f t="shared" si="23"/>
        <v>0</v>
      </c>
      <c r="D770" s="223"/>
      <c r="R770" s="222"/>
    </row>
    <row r="771" spans="1:18" x14ac:dyDescent="0.35">
      <c r="A771" s="203">
        <f t="shared" ref="A771:A834" si="24">F771</f>
        <v>0</v>
      </c>
      <c r="C771" s="205">
        <f t="shared" ref="C771:C834" si="25">F771</f>
        <v>0</v>
      </c>
      <c r="D771" s="223"/>
      <c r="R771" s="222"/>
    </row>
    <row r="772" spans="1:18" x14ac:dyDescent="0.35">
      <c r="A772" s="203">
        <f t="shared" si="24"/>
        <v>0</v>
      </c>
      <c r="C772" s="205">
        <f t="shared" si="25"/>
        <v>0</v>
      </c>
      <c r="D772" s="223"/>
      <c r="R772" s="222"/>
    </row>
    <row r="773" spans="1:18" x14ac:dyDescent="0.35">
      <c r="A773" s="203">
        <f t="shared" si="24"/>
        <v>0</v>
      </c>
      <c r="C773" s="205">
        <f t="shared" si="25"/>
        <v>0</v>
      </c>
      <c r="D773" s="223"/>
      <c r="R773" s="222"/>
    </row>
    <row r="774" spans="1:18" x14ac:dyDescent="0.35">
      <c r="A774" s="203">
        <f t="shared" si="24"/>
        <v>0</v>
      </c>
      <c r="C774" s="205">
        <f t="shared" si="25"/>
        <v>0</v>
      </c>
      <c r="D774" s="223"/>
      <c r="R774" s="222"/>
    </row>
    <row r="775" spans="1:18" x14ac:dyDescent="0.35">
      <c r="A775" s="203">
        <f t="shared" si="24"/>
        <v>0</v>
      </c>
      <c r="C775" s="205">
        <f t="shared" si="25"/>
        <v>0</v>
      </c>
      <c r="D775" s="223"/>
      <c r="R775" s="222"/>
    </row>
    <row r="776" spans="1:18" x14ac:dyDescent="0.35">
      <c r="A776" s="203">
        <f t="shared" si="24"/>
        <v>0</v>
      </c>
      <c r="C776" s="205">
        <f t="shared" si="25"/>
        <v>0</v>
      </c>
      <c r="D776" s="223"/>
      <c r="R776" s="222"/>
    </row>
    <row r="777" spans="1:18" x14ac:dyDescent="0.35">
      <c r="A777" s="203">
        <f t="shared" si="24"/>
        <v>0</v>
      </c>
      <c r="C777" s="205">
        <f t="shared" si="25"/>
        <v>0</v>
      </c>
      <c r="D777" s="223"/>
      <c r="R777" s="222"/>
    </row>
    <row r="778" spans="1:18" x14ac:dyDescent="0.35">
      <c r="A778" s="203">
        <f t="shared" si="24"/>
        <v>0</v>
      </c>
      <c r="C778" s="205">
        <f t="shared" si="25"/>
        <v>0</v>
      </c>
      <c r="D778" s="223"/>
      <c r="R778" s="222"/>
    </row>
    <row r="779" spans="1:18" x14ac:dyDescent="0.35">
      <c r="A779" s="203">
        <f t="shared" si="24"/>
        <v>0</v>
      </c>
      <c r="C779" s="205">
        <f t="shared" si="25"/>
        <v>0</v>
      </c>
      <c r="D779" s="223"/>
      <c r="R779" s="222"/>
    </row>
    <row r="780" spans="1:18" x14ac:dyDescent="0.35">
      <c r="A780" s="203">
        <f t="shared" si="24"/>
        <v>0</v>
      </c>
      <c r="C780" s="205">
        <f t="shared" si="25"/>
        <v>0</v>
      </c>
      <c r="D780" s="223"/>
      <c r="R780" s="222"/>
    </row>
    <row r="781" spans="1:18" x14ac:dyDescent="0.35">
      <c r="A781" s="203">
        <f t="shared" si="24"/>
        <v>0</v>
      </c>
      <c r="C781" s="205">
        <f t="shared" si="25"/>
        <v>0</v>
      </c>
      <c r="D781" s="223"/>
      <c r="R781" s="222"/>
    </row>
    <row r="782" spans="1:18" x14ac:dyDescent="0.35">
      <c r="A782" s="203">
        <f t="shared" si="24"/>
        <v>0</v>
      </c>
      <c r="C782" s="205">
        <f t="shared" si="25"/>
        <v>0</v>
      </c>
      <c r="D782" s="223"/>
      <c r="R782" s="222"/>
    </row>
    <row r="783" spans="1:18" x14ac:dyDescent="0.35">
      <c r="A783" s="203">
        <f t="shared" si="24"/>
        <v>0</v>
      </c>
      <c r="C783" s="205">
        <f t="shared" si="25"/>
        <v>0</v>
      </c>
      <c r="D783" s="223"/>
      <c r="R783" s="222"/>
    </row>
    <row r="784" spans="1:18" x14ac:dyDescent="0.35">
      <c r="A784" s="203">
        <f t="shared" si="24"/>
        <v>0</v>
      </c>
      <c r="C784" s="205">
        <f t="shared" si="25"/>
        <v>0</v>
      </c>
      <c r="D784" s="223"/>
      <c r="R784" s="222"/>
    </row>
    <row r="785" spans="1:18" x14ac:dyDescent="0.35">
      <c r="A785" s="203">
        <f t="shared" si="24"/>
        <v>0</v>
      </c>
      <c r="C785" s="205">
        <f t="shared" si="25"/>
        <v>0</v>
      </c>
      <c r="D785" s="223"/>
      <c r="R785" s="222"/>
    </row>
    <row r="786" spans="1:18" x14ac:dyDescent="0.35">
      <c r="A786" s="203">
        <f t="shared" si="24"/>
        <v>0</v>
      </c>
      <c r="C786" s="205">
        <f t="shared" si="25"/>
        <v>0</v>
      </c>
      <c r="D786" s="223"/>
      <c r="R786" s="222"/>
    </row>
    <row r="787" spans="1:18" x14ac:dyDescent="0.35">
      <c r="A787" s="203">
        <f t="shared" si="24"/>
        <v>0</v>
      </c>
      <c r="C787" s="205">
        <f t="shared" si="25"/>
        <v>0</v>
      </c>
      <c r="D787" s="223"/>
      <c r="R787" s="222"/>
    </row>
    <row r="788" spans="1:18" x14ac:dyDescent="0.35">
      <c r="A788" s="203">
        <f t="shared" si="24"/>
        <v>0</v>
      </c>
      <c r="C788" s="205">
        <f t="shared" si="25"/>
        <v>0</v>
      </c>
      <c r="D788" s="223"/>
      <c r="R788" s="222"/>
    </row>
    <row r="789" spans="1:18" x14ac:dyDescent="0.35">
      <c r="A789" s="203">
        <f t="shared" si="24"/>
        <v>0</v>
      </c>
      <c r="C789" s="205">
        <f t="shared" si="25"/>
        <v>0</v>
      </c>
      <c r="D789" s="223"/>
      <c r="R789" s="222"/>
    </row>
    <row r="790" spans="1:18" x14ac:dyDescent="0.35">
      <c r="A790" s="203">
        <f t="shared" si="24"/>
        <v>0</v>
      </c>
      <c r="C790" s="205">
        <f t="shared" si="25"/>
        <v>0</v>
      </c>
      <c r="D790" s="223"/>
      <c r="R790" s="222"/>
    </row>
    <row r="791" spans="1:18" x14ac:dyDescent="0.35">
      <c r="A791" s="203">
        <f t="shared" si="24"/>
        <v>0</v>
      </c>
      <c r="C791" s="205">
        <f t="shared" si="25"/>
        <v>0</v>
      </c>
      <c r="D791" s="223"/>
      <c r="R791" s="222"/>
    </row>
    <row r="792" spans="1:18" x14ac:dyDescent="0.35">
      <c r="A792" s="203">
        <f t="shared" si="24"/>
        <v>0</v>
      </c>
      <c r="C792" s="205">
        <f t="shared" si="25"/>
        <v>0</v>
      </c>
      <c r="D792" s="223"/>
      <c r="R792" s="222"/>
    </row>
    <row r="793" spans="1:18" x14ac:dyDescent="0.35">
      <c r="A793" s="203">
        <f t="shared" si="24"/>
        <v>0</v>
      </c>
      <c r="C793" s="205">
        <f t="shared" si="25"/>
        <v>0</v>
      </c>
      <c r="D793" s="223"/>
      <c r="R793" s="222"/>
    </row>
    <row r="794" spans="1:18" x14ac:dyDescent="0.35">
      <c r="A794" s="203">
        <f t="shared" si="24"/>
        <v>0</v>
      </c>
      <c r="C794" s="205">
        <f t="shared" si="25"/>
        <v>0</v>
      </c>
      <c r="D794" s="223"/>
      <c r="R794" s="222"/>
    </row>
    <row r="795" spans="1:18" x14ac:dyDescent="0.35">
      <c r="A795" s="203">
        <f t="shared" si="24"/>
        <v>0</v>
      </c>
      <c r="C795" s="205">
        <f t="shared" si="25"/>
        <v>0</v>
      </c>
      <c r="D795" s="223"/>
      <c r="R795" s="222"/>
    </row>
    <row r="796" spans="1:18" x14ac:dyDescent="0.35">
      <c r="A796" s="203">
        <f t="shared" si="24"/>
        <v>0</v>
      </c>
      <c r="C796" s="205">
        <f t="shared" si="25"/>
        <v>0</v>
      </c>
      <c r="D796" s="223"/>
      <c r="R796" s="222"/>
    </row>
    <row r="797" spans="1:18" x14ac:dyDescent="0.35">
      <c r="A797" s="203">
        <f t="shared" si="24"/>
        <v>0</v>
      </c>
      <c r="C797" s="205">
        <f t="shared" si="25"/>
        <v>0</v>
      </c>
      <c r="D797" s="223"/>
      <c r="R797" s="222"/>
    </row>
    <row r="798" spans="1:18" x14ac:dyDescent="0.35">
      <c r="A798" s="203">
        <f t="shared" si="24"/>
        <v>0</v>
      </c>
      <c r="C798" s="205">
        <f t="shared" si="25"/>
        <v>0</v>
      </c>
      <c r="D798" s="223"/>
      <c r="R798" s="222"/>
    </row>
    <row r="799" spans="1:18" x14ac:dyDescent="0.35">
      <c r="A799" s="203">
        <f t="shared" si="24"/>
        <v>0</v>
      </c>
      <c r="C799" s="205">
        <f t="shared" si="25"/>
        <v>0</v>
      </c>
      <c r="D799" s="223"/>
      <c r="R799" s="222"/>
    </row>
    <row r="800" spans="1:18" x14ac:dyDescent="0.35">
      <c r="A800" s="203">
        <f t="shared" si="24"/>
        <v>0</v>
      </c>
      <c r="C800" s="205">
        <f t="shared" si="25"/>
        <v>0</v>
      </c>
      <c r="D800" s="223"/>
      <c r="R800" s="222"/>
    </row>
    <row r="801" spans="1:18" x14ac:dyDescent="0.35">
      <c r="A801" s="203">
        <f t="shared" si="24"/>
        <v>0</v>
      </c>
      <c r="C801" s="205">
        <f t="shared" si="25"/>
        <v>0</v>
      </c>
      <c r="D801" s="223"/>
      <c r="R801" s="222"/>
    </row>
    <row r="802" spans="1:18" x14ac:dyDescent="0.35">
      <c r="A802" s="203">
        <f t="shared" si="24"/>
        <v>0</v>
      </c>
      <c r="C802" s="205">
        <f t="shared" si="25"/>
        <v>0</v>
      </c>
      <c r="D802" s="223"/>
      <c r="R802" s="222"/>
    </row>
    <row r="803" spans="1:18" x14ac:dyDescent="0.35">
      <c r="A803" s="203">
        <f t="shared" si="24"/>
        <v>0</v>
      </c>
      <c r="C803" s="205">
        <f t="shared" si="25"/>
        <v>0</v>
      </c>
      <c r="D803" s="223"/>
      <c r="R803" s="222"/>
    </row>
    <row r="804" spans="1:18" x14ac:dyDescent="0.35">
      <c r="A804" s="203">
        <f t="shared" si="24"/>
        <v>0</v>
      </c>
      <c r="C804" s="205">
        <f t="shared" si="25"/>
        <v>0</v>
      </c>
      <c r="D804" s="223"/>
      <c r="R804" s="222"/>
    </row>
    <row r="805" spans="1:18" x14ac:dyDescent="0.35">
      <c r="A805" s="203">
        <f t="shared" si="24"/>
        <v>0</v>
      </c>
      <c r="C805" s="205">
        <f t="shared" si="25"/>
        <v>0</v>
      </c>
      <c r="D805" s="223"/>
      <c r="R805" s="222"/>
    </row>
    <row r="806" spans="1:18" x14ac:dyDescent="0.35">
      <c r="A806" s="203">
        <f t="shared" si="24"/>
        <v>0</v>
      </c>
      <c r="C806" s="205">
        <f t="shared" si="25"/>
        <v>0</v>
      </c>
      <c r="D806" s="223"/>
      <c r="R806" s="222"/>
    </row>
    <row r="807" spans="1:18" x14ac:dyDescent="0.35">
      <c r="A807" s="203">
        <f t="shared" si="24"/>
        <v>0</v>
      </c>
      <c r="C807" s="205">
        <f t="shared" si="25"/>
        <v>0</v>
      </c>
      <c r="D807" s="223"/>
      <c r="R807" s="222"/>
    </row>
    <row r="808" spans="1:18" x14ac:dyDescent="0.35">
      <c r="A808" s="203">
        <f t="shared" si="24"/>
        <v>0</v>
      </c>
      <c r="C808" s="205">
        <f t="shared" si="25"/>
        <v>0</v>
      </c>
      <c r="D808" s="223"/>
      <c r="R808" s="222"/>
    </row>
    <row r="809" spans="1:18" x14ac:dyDescent="0.35">
      <c r="A809" s="203">
        <f t="shared" si="24"/>
        <v>0</v>
      </c>
      <c r="C809" s="205">
        <f t="shared" si="25"/>
        <v>0</v>
      </c>
      <c r="D809" s="223"/>
      <c r="R809" s="222"/>
    </row>
    <row r="810" spans="1:18" x14ac:dyDescent="0.35">
      <c r="A810" s="203">
        <f t="shared" si="24"/>
        <v>0</v>
      </c>
      <c r="C810" s="205">
        <f t="shared" si="25"/>
        <v>0</v>
      </c>
      <c r="D810" s="223"/>
      <c r="R810" s="222"/>
    </row>
    <row r="811" spans="1:18" x14ac:dyDescent="0.35">
      <c r="A811" s="203">
        <f t="shared" si="24"/>
        <v>0</v>
      </c>
      <c r="C811" s="205">
        <f t="shared" si="25"/>
        <v>0</v>
      </c>
      <c r="D811" s="223"/>
      <c r="R811" s="222"/>
    </row>
    <row r="812" spans="1:18" x14ac:dyDescent="0.35">
      <c r="A812" s="203">
        <f t="shared" si="24"/>
        <v>0</v>
      </c>
      <c r="C812" s="205">
        <f t="shared" si="25"/>
        <v>0</v>
      </c>
      <c r="D812" s="223"/>
      <c r="R812" s="222"/>
    </row>
    <row r="813" spans="1:18" x14ac:dyDescent="0.35">
      <c r="A813" s="203">
        <f t="shared" si="24"/>
        <v>0</v>
      </c>
      <c r="C813" s="205">
        <f t="shared" si="25"/>
        <v>0</v>
      </c>
      <c r="D813" s="223"/>
      <c r="R813" s="222"/>
    </row>
    <row r="814" spans="1:18" x14ac:dyDescent="0.35">
      <c r="A814" s="203">
        <f t="shared" si="24"/>
        <v>0</v>
      </c>
      <c r="C814" s="205">
        <f t="shared" si="25"/>
        <v>0</v>
      </c>
      <c r="D814" s="223"/>
      <c r="R814" s="222"/>
    </row>
    <row r="815" spans="1:18" x14ac:dyDescent="0.35">
      <c r="A815" s="203">
        <f t="shared" si="24"/>
        <v>0</v>
      </c>
      <c r="C815" s="205">
        <f t="shared" si="25"/>
        <v>0</v>
      </c>
      <c r="D815" s="223"/>
      <c r="R815" s="222"/>
    </row>
    <row r="816" spans="1:18" x14ac:dyDescent="0.35">
      <c r="A816" s="203">
        <f t="shared" si="24"/>
        <v>0</v>
      </c>
      <c r="C816" s="205">
        <f t="shared" si="25"/>
        <v>0</v>
      </c>
      <c r="D816" s="223"/>
      <c r="R816" s="222"/>
    </row>
    <row r="817" spans="1:18" x14ac:dyDescent="0.35">
      <c r="A817" s="203">
        <f t="shared" si="24"/>
        <v>0</v>
      </c>
      <c r="C817" s="205">
        <f t="shared" si="25"/>
        <v>0</v>
      </c>
      <c r="D817" s="223"/>
      <c r="R817" s="222"/>
    </row>
    <row r="818" spans="1:18" x14ac:dyDescent="0.35">
      <c r="A818" s="203">
        <f t="shared" si="24"/>
        <v>0</v>
      </c>
      <c r="C818" s="205">
        <f t="shared" si="25"/>
        <v>0</v>
      </c>
      <c r="D818" s="223"/>
      <c r="R818" s="222"/>
    </row>
    <row r="819" spans="1:18" x14ac:dyDescent="0.35">
      <c r="A819" s="203">
        <f t="shared" si="24"/>
        <v>0</v>
      </c>
      <c r="C819" s="205">
        <f t="shared" si="25"/>
        <v>0</v>
      </c>
      <c r="D819" s="223"/>
      <c r="R819" s="222"/>
    </row>
    <row r="820" spans="1:18" x14ac:dyDescent="0.35">
      <c r="A820" s="203">
        <f t="shared" si="24"/>
        <v>0</v>
      </c>
      <c r="C820" s="205">
        <f t="shared" si="25"/>
        <v>0</v>
      </c>
      <c r="D820" s="223"/>
      <c r="R820" s="222"/>
    </row>
    <row r="821" spans="1:18" x14ac:dyDescent="0.35">
      <c r="A821" s="203">
        <f t="shared" si="24"/>
        <v>0</v>
      </c>
      <c r="C821" s="205">
        <f t="shared" si="25"/>
        <v>0</v>
      </c>
      <c r="D821" s="223"/>
      <c r="R821" s="222"/>
    </row>
    <row r="822" spans="1:18" x14ac:dyDescent="0.35">
      <c r="A822" s="203">
        <f t="shared" si="24"/>
        <v>0</v>
      </c>
      <c r="C822" s="205">
        <f t="shared" si="25"/>
        <v>0</v>
      </c>
      <c r="D822" s="223"/>
      <c r="R822" s="222"/>
    </row>
    <row r="823" spans="1:18" x14ac:dyDescent="0.35">
      <c r="A823" s="203">
        <f t="shared" si="24"/>
        <v>0</v>
      </c>
      <c r="C823" s="205">
        <f t="shared" si="25"/>
        <v>0</v>
      </c>
      <c r="D823" s="223"/>
      <c r="R823" s="222"/>
    </row>
    <row r="824" spans="1:18" x14ac:dyDescent="0.35">
      <c r="A824" s="203">
        <f t="shared" si="24"/>
        <v>0</v>
      </c>
      <c r="C824" s="205">
        <f t="shared" si="25"/>
        <v>0</v>
      </c>
      <c r="D824" s="223"/>
      <c r="R824" s="222"/>
    </row>
    <row r="825" spans="1:18" x14ac:dyDescent="0.35">
      <c r="A825" s="203">
        <f t="shared" si="24"/>
        <v>0</v>
      </c>
      <c r="C825" s="205">
        <f t="shared" si="25"/>
        <v>0</v>
      </c>
      <c r="D825" s="223"/>
      <c r="R825" s="222"/>
    </row>
    <row r="826" spans="1:18" x14ac:dyDescent="0.35">
      <c r="A826" s="203">
        <f t="shared" si="24"/>
        <v>0</v>
      </c>
      <c r="C826" s="205">
        <f t="shared" si="25"/>
        <v>0</v>
      </c>
      <c r="D826" s="223"/>
      <c r="R826" s="222"/>
    </row>
    <row r="827" spans="1:18" x14ac:dyDescent="0.35">
      <c r="A827" s="203">
        <f t="shared" si="24"/>
        <v>0</v>
      </c>
      <c r="C827" s="205">
        <f t="shared" si="25"/>
        <v>0</v>
      </c>
      <c r="D827" s="223"/>
      <c r="R827" s="222"/>
    </row>
    <row r="828" spans="1:18" x14ac:dyDescent="0.35">
      <c r="A828" s="203">
        <f t="shared" si="24"/>
        <v>0</v>
      </c>
      <c r="C828" s="205">
        <f t="shared" si="25"/>
        <v>0</v>
      </c>
      <c r="D828" s="223"/>
      <c r="R828" s="222"/>
    </row>
    <row r="829" spans="1:18" x14ac:dyDescent="0.35">
      <c r="A829" s="203">
        <f t="shared" si="24"/>
        <v>0</v>
      </c>
      <c r="C829" s="205">
        <f t="shared" si="25"/>
        <v>0</v>
      </c>
      <c r="D829" s="223"/>
      <c r="R829" s="222"/>
    </row>
    <row r="830" spans="1:18" x14ac:dyDescent="0.35">
      <c r="A830" s="203">
        <f t="shared" si="24"/>
        <v>0</v>
      </c>
      <c r="C830" s="205">
        <f t="shared" si="25"/>
        <v>0</v>
      </c>
      <c r="D830" s="223"/>
      <c r="R830" s="222"/>
    </row>
    <row r="831" spans="1:18" x14ac:dyDescent="0.35">
      <c r="A831" s="203">
        <f t="shared" si="24"/>
        <v>0</v>
      </c>
      <c r="C831" s="205">
        <f t="shared" si="25"/>
        <v>0</v>
      </c>
      <c r="D831" s="223"/>
      <c r="R831" s="222"/>
    </row>
    <row r="832" spans="1:18" x14ac:dyDescent="0.35">
      <c r="A832" s="203">
        <f t="shared" si="24"/>
        <v>0</v>
      </c>
      <c r="C832" s="205">
        <f t="shared" si="25"/>
        <v>0</v>
      </c>
      <c r="D832" s="223"/>
      <c r="R832" s="222"/>
    </row>
    <row r="833" spans="1:18" x14ac:dyDescent="0.35">
      <c r="A833" s="203">
        <f t="shared" si="24"/>
        <v>0</v>
      </c>
      <c r="C833" s="205">
        <f t="shared" si="25"/>
        <v>0</v>
      </c>
      <c r="D833" s="223"/>
      <c r="R833" s="222"/>
    </row>
    <row r="834" spans="1:18" x14ac:dyDescent="0.35">
      <c r="A834" s="203">
        <f t="shared" si="24"/>
        <v>0</v>
      </c>
      <c r="C834" s="205">
        <f t="shared" si="25"/>
        <v>0</v>
      </c>
      <c r="D834" s="223"/>
      <c r="R834" s="222"/>
    </row>
    <row r="835" spans="1:18" x14ac:dyDescent="0.35">
      <c r="A835" s="203">
        <f t="shared" ref="A835:A898" si="26">F835</f>
        <v>0</v>
      </c>
      <c r="C835" s="205">
        <f t="shared" ref="C835:C898" si="27">F835</f>
        <v>0</v>
      </c>
      <c r="D835" s="223"/>
      <c r="R835" s="222"/>
    </row>
    <row r="836" spans="1:18" x14ac:dyDescent="0.35">
      <c r="A836" s="203">
        <f t="shared" si="26"/>
        <v>0</v>
      </c>
      <c r="C836" s="205">
        <f t="shared" si="27"/>
        <v>0</v>
      </c>
      <c r="D836" s="223"/>
      <c r="R836" s="222"/>
    </row>
    <row r="837" spans="1:18" x14ac:dyDescent="0.35">
      <c r="A837" s="203">
        <f t="shared" si="26"/>
        <v>0</v>
      </c>
      <c r="C837" s="205">
        <f t="shared" si="27"/>
        <v>0</v>
      </c>
      <c r="D837" s="223"/>
      <c r="R837" s="222"/>
    </row>
    <row r="838" spans="1:18" x14ac:dyDescent="0.35">
      <c r="A838" s="203">
        <f t="shared" si="26"/>
        <v>0</v>
      </c>
      <c r="C838" s="205">
        <f t="shared" si="27"/>
        <v>0</v>
      </c>
      <c r="D838" s="223"/>
      <c r="R838" s="222"/>
    </row>
    <row r="839" spans="1:18" x14ac:dyDescent="0.35">
      <c r="A839" s="203">
        <f t="shared" si="26"/>
        <v>0</v>
      </c>
      <c r="C839" s="205">
        <f t="shared" si="27"/>
        <v>0</v>
      </c>
      <c r="D839" s="223"/>
      <c r="R839" s="222"/>
    </row>
    <row r="840" spans="1:18" x14ac:dyDescent="0.35">
      <c r="A840" s="203">
        <f t="shared" si="26"/>
        <v>0</v>
      </c>
      <c r="C840" s="205">
        <f t="shared" si="27"/>
        <v>0</v>
      </c>
      <c r="D840" s="223"/>
      <c r="R840" s="222"/>
    </row>
    <row r="841" spans="1:18" x14ac:dyDescent="0.35">
      <c r="A841" s="203">
        <f t="shared" si="26"/>
        <v>0</v>
      </c>
      <c r="C841" s="205">
        <f t="shared" si="27"/>
        <v>0</v>
      </c>
      <c r="D841" s="223"/>
      <c r="R841" s="222"/>
    </row>
    <row r="842" spans="1:18" x14ac:dyDescent="0.35">
      <c r="A842" s="203">
        <f t="shared" si="26"/>
        <v>0</v>
      </c>
      <c r="C842" s="205">
        <f t="shared" si="27"/>
        <v>0</v>
      </c>
      <c r="D842" s="223"/>
      <c r="R842" s="222"/>
    </row>
    <row r="843" spans="1:18" x14ac:dyDescent="0.35">
      <c r="A843" s="203">
        <f t="shared" si="26"/>
        <v>0</v>
      </c>
      <c r="C843" s="205">
        <f t="shared" si="27"/>
        <v>0</v>
      </c>
      <c r="D843" s="223"/>
      <c r="R843" s="222"/>
    </row>
    <row r="844" spans="1:18" x14ac:dyDescent="0.35">
      <c r="A844" s="203">
        <f t="shared" si="26"/>
        <v>0</v>
      </c>
      <c r="C844" s="205">
        <f t="shared" si="27"/>
        <v>0</v>
      </c>
      <c r="D844" s="223"/>
      <c r="R844" s="222"/>
    </row>
    <row r="845" spans="1:18" x14ac:dyDescent="0.35">
      <c r="A845" s="203">
        <f t="shared" si="26"/>
        <v>0</v>
      </c>
      <c r="C845" s="205">
        <f t="shared" si="27"/>
        <v>0</v>
      </c>
      <c r="D845" s="223"/>
      <c r="R845" s="222"/>
    </row>
    <row r="846" spans="1:18" x14ac:dyDescent="0.35">
      <c r="A846" s="203">
        <f t="shared" si="26"/>
        <v>0</v>
      </c>
      <c r="C846" s="205">
        <f t="shared" si="27"/>
        <v>0</v>
      </c>
      <c r="D846" s="223"/>
      <c r="R846" s="222"/>
    </row>
    <row r="847" spans="1:18" x14ac:dyDescent="0.35">
      <c r="A847" s="203">
        <f t="shared" si="26"/>
        <v>0</v>
      </c>
      <c r="C847" s="205">
        <f t="shared" si="27"/>
        <v>0</v>
      </c>
      <c r="D847" s="223"/>
      <c r="R847" s="222"/>
    </row>
    <row r="848" spans="1:18" x14ac:dyDescent="0.35">
      <c r="A848" s="203">
        <f t="shared" si="26"/>
        <v>0</v>
      </c>
      <c r="C848" s="205">
        <f t="shared" si="27"/>
        <v>0</v>
      </c>
      <c r="D848" s="223"/>
      <c r="R848" s="222"/>
    </row>
    <row r="849" spans="1:18" x14ac:dyDescent="0.35">
      <c r="A849" s="203">
        <f t="shared" si="26"/>
        <v>0</v>
      </c>
      <c r="C849" s="205">
        <f t="shared" si="27"/>
        <v>0</v>
      </c>
      <c r="D849" s="223"/>
      <c r="R849" s="222"/>
    </row>
    <row r="850" spans="1:18" x14ac:dyDescent="0.35">
      <c r="A850" s="203">
        <f t="shared" si="26"/>
        <v>0</v>
      </c>
      <c r="C850" s="205">
        <f t="shared" si="27"/>
        <v>0</v>
      </c>
      <c r="D850" s="223"/>
      <c r="R850" s="222"/>
    </row>
    <row r="851" spans="1:18" x14ac:dyDescent="0.35">
      <c r="A851" s="203">
        <f t="shared" si="26"/>
        <v>0</v>
      </c>
      <c r="C851" s="205">
        <f t="shared" si="27"/>
        <v>0</v>
      </c>
      <c r="D851" s="223"/>
      <c r="R851" s="222"/>
    </row>
    <row r="852" spans="1:18" x14ac:dyDescent="0.35">
      <c r="A852" s="203">
        <f t="shared" si="26"/>
        <v>0</v>
      </c>
      <c r="C852" s="205">
        <f t="shared" si="27"/>
        <v>0</v>
      </c>
      <c r="D852" s="223"/>
      <c r="R852" s="222"/>
    </row>
    <row r="853" spans="1:18" x14ac:dyDescent="0.35">
      <c r="A853" s="203">
        <f t="shared" si="26"/>
        <v>0</v>
      </c>
      <c r="C853" s="205">
        <f t="shared" si="27"/>
        <v>0</v>
      </c>
      <c r="D853" s="223"/>
      <c r="R853" s="222"/>
    </row>
    <row r="854" spans="1:18" x14ac:dyDescent="0.35">
      <c r="A854" s="203">
        <f t="shared" si="26"/>
        <v>0</v>
      </c>
      <c r="C854" s="205">
        <f t="shared" si="27"/>
        <v>0</v>
      </c>
      <c r="D854" s="223"/>
      <c r="R854" s="222"/>
    </row>
    <row r="855" spans="1:18" x14ac:dyDescent="0.35">
      <c r="A855" s="203">
        <f t="shared" si="26"/>
        <v>0</v>
      </c>
      <c r="C855" s="205">
        <f t="shared" si="27"/>
        <v>0</v>
      </c>
      <c r="D855" s="223"/>
      <c r="R855" s="222"/>
    </row>
    <row r="856" spans="1:18" x14ac:dyDescent="0.35">
      <c r="A856" s="203">
        <f t="shared" si="26"/>
        <v>0</v>
      </c>
      <c r="C856" s="205">
        <f t="shared" si="27"/>
        <v>0</v>
      </c>
      <c r="D856" s="223"/>
      <c r="R856" s="222"/>
    </row>
    <row r="857" spans="1:18" x14ac:dyDescent="0.35">
      <c r="A857" s="203">
        <f t="shared" si="26"/>
        <v>0</v>
      </c>
      <c r="C857" s="205">
        <f t="shared" si="27"/>
        <v>0</v>
      </c>
      <c r="D857" s="223"/>
      <c r="R857" s="222"/>
    </row>
    <row r="858" spans="1:18" x14ac:dyDescent="0.35">
      <c r="A858" s="203">
        <f t="shared" si="26"/>
        <v>0</v>
      </c>
      <c r="C858" s="205">
        <f t="shared" si="27"/>
        <v>0</v>
      </c>
      <c r="D858" s="223"/>
      <c r="R858" s="222"/>
    </row>
    <row r="859" spans="1:18" x14ac:dyDescent="0.35">
      <c r="A859" s="203">
        <f t="shared" si="26"/>
        <v>0</v>
      </c>
      <c r="C859" s="205">
        <f t="shared" si="27"/>
        <v>0</v>
      </c>
      <c r="D859" s="223"/>
      <c r="R859" s="222"/>
    </row>
    <row r="860" spans="1:18" x14ac:dyDescent="0.35">
      <c r="A860" s="203">
        <f t="shared" si="26"/>
        <v>0</v>
      </c>
      <c r="C860" s="205">
        <f t="shared" si="27"/>
        <v>0</v>
      </c>
      <c r="D860" s="223"/>
      <c r="R860" s="222"/>
    </row>
    <row r="861" spans="1:18" x14ac:dyDescent="0.35">
      <c r="A861" s="203">
        <f t="shared" si="26"/>
        <v>0</v>
      </c>
      <c r="C861" s="205">
        <f t="shared" si="27"/>
        <v>0</v>
      </c>
      <c r="D861" s="223"/>
      <c r="R861" s="222"/>
    </row>
    <row r="862" spans="1:18" x14ac:dyDescent="0.35">
      <c r="A862" s="203">
        <f t="shared" si="26"/>
        <v>0</v>
      </c>
      <c r="C862" s="205">
        <f t="shared" si="27"/>
        <v>0</v>
      </c>
      <c r="D862" s="223"/>
      <c r="R862" s="222"/>
    </row>
    <row r="863" spans="1:18" x14ac:dyDescent="0.35">
      <c r="A863" s="203">
        <f t="shared" si="26"/>
        <v>0</v>
      </c>
      <c r="C863" s="205">
        <f t="shared" si="27"/>
        <v>0</v>
      </c>
      <c r="D863" s="223"/>
      <c r="R863" s="222"/>
    </row>
    <row r="864" spans="1:18" x14ac:dyDescent="0.35">
      <c r="A864" s="203">
        <f t="shared" si="26"/>
        <v>0</v>
      </c>
      <c r="C864" s="205">
        <f t="shared" si="27"/>
        <v>0</v>
      </c>
      <c r="D864" s="223"/>
      <c r="R864" s="222"/>
    </row>
    <row r="865" spans="1:18" x14ac:dyDescent="0.35">
      <c r="A865" s="203">
        <f t="shared" si="26"/>
        <v>0</v>
      </c>
      <c r="C865" s="205">
        <f t="shared" si="27"/>
        <v>0</v>
      </c>
      <c r="D865" s="223"/>
      <c r="R865" s="222"/>
    </row>
    <row r="866" spans="1:18" x14ac:dyDescent="0.35">
      <c r="A866" s="203">
        <f t="shared" si="26"/>
        <v>0</v>
      </c>
      <c r="C866" s="205">
        <f t="shared" si="27"/>
        <v>0</v>
      </c>
      <c r="D866" s="223"/>
      <c r="R866" s="222"/>
    </row>
    <row r="867" spans="1:18" x14ac:dyDescent="0.35">
      <c r="A867" s="203">
        <f t="shared" si="26"/>
        <v>0</v>
      </c>
      <c r="C867" s="205">
        <f t="shared" si="27"/>
        <v>0</v>
      </c>
      <c r="D867" s="223"/>
      <c r="R867" s="222"/>
    </row>
    <row r="868" spans="1:18" x14ac:dyDescent="0.35">
      <c r="A868" s="203">
        <f t="shared" si="26"/>
        <v>0</v>
      </c>
      <c r="C868" s="205">
        <f t="shared" si="27"/>
        <v>0</v>
      </c>
      <c r="D868" s="223"/>
      <c r="R868" s="222"/>
    </row>
    <row r="869" spans="1:18" x14ac:dyDescent="0.35">
      <c r="A869" s="203">
        <f t="shared" si="26"/>
        <v>0</v>
      </c>
      <c r="C869" s="205">
        <f t="shared" si="27"/>
        <v>0</v>
      </c>
      <c r="D869" s="223"/>
      <c r="R869" s="222"/>
    </row>
    <row r="870" spans="1:18" x14ac:dyDescent="0.35">
      <c r="A870" s="203">
        <f t="shared" si="26"/>
        <v>0</v>
      </c>
      <c r="C870" s="205">
        <f t="shared" si="27"/>
        <v>0</v>
      </c>
      <c r="D870" s="223"/>
      <c r="R870" s="222"/>
    </row>
    <row r="871" spans="1:18" x14ac:dyDescent="0.35">
      <c r="A871" s="203">
        <f t="shared" si="26"/>
        <v>0</v>
      </c>
      <c r="C871" s="205">
        <f t="shared" si="27"/>
        <v>0</v>
      </c>
      <c r="D871" s="223"/>
      <c r="R871" s="222"/>
    </row>
    <row r="872" spans="1:18" x14ac:dyDescent="0.35">
      <c r="A872" s="203">
        <f t="shared" si="26"/>
        <v>0</v>
      </c>
      <c r="C872" s="205">
        <f t="shared" si="27"/>
        <v>0</v>
      </c>
      <c r="D872" s="223"/>
      <c r="R872" s="222"/>
    </row>
    <row r="873" spans="1:18" x14ac:dyDescent="0.35">
      <c r="A873" s="203">
        <f t="shared" si="26"/>
        <v>0</v>
      </c>
      <c r="C873" s="205">
        <f t="shared" si="27"/>
        <v>0</v>
      </c>
      <c r="D873" s="223"/>
      <c r="R873" s="222"/>
    </row>
    <row r="874" spans="1:18" x14ac:dyDescent="0.35">
      <c r="A874" s="203">
        <f t="shared" si="26"/>
        <v>0</v>
      </c>
      <c r="C874" s="205">
        <f t="shared" si="27"/>
        <v>0</v>
      </c>
      <c r="D874" s="223"/>
      <c r="R874" s="222"/>
    </row>
    <row r="875" spans="1:18" x14ac:dyDescent="0.35">
      <c r="A875" s="203">
        <f t="shared" si="26"/>
        <v>0</v>
      </c>
      <c r="C875" s="205">
        <f t="shared" si="27"/>
        <v>0</v>
      </c>
      <c r="D875" s="223"/>
      <c r="R875" s="222"/>
    </row>
    <row r="876" spans="1:18" x14ac:dyDescent="0.35">
      <c r="A876" s="203">
        <f t="shared" si="26"/>
        <v>0</v>
      </c>
      <c r="C876" s="205">
        <f t="shared" si="27"/>
        <v>0</v>
      </c>
      <c r="D876" s="223"/>
      <c r="R876" s="222"/>
    </row>
    <row r="877" spans="1:18" x14ac:dyDescent="0.35">
      <c r="A877" s="203">
        <f t="shared" si="26"/>
        <v>0</v>
      </c>
      <c r="C877" s="205">
        <f t="shared" si="27"/>
        <v>0</v>
      </c>
      <c r="D877" s="223"/>
      <c r="R877" s="222"/>
    </row>
    <row r="878" spans="1:18" x14ac:dyDescent="0.35">
      <c r="A878" s="203">
        <f t="shared" si="26"/>
        <v>0</v>
      </c>
      <c r="C878" s="205">
        <f t="shared" si="27"/>
        <v>0</v>
      </c>
      <c r="D878" s="223"/>
      <c r="R878" s="222"/>
    </row>
    <row r="879" spans="1:18" x14ac:dyDescent="0.35">
      <c r="A879" s="203">
        <f t="shared" si="26"/>
        <v>0</v>
      </c>
      <c r="C879" s="205">
        <f t="shared" si="27"/>
        <v>0</v>
      </c>
      <c r="D879" s="223"/>
      <c r="R879" s="222"/>
    </row>
    <row r="880" spans="1:18" x14ac:dyDescent="0.35">
      <c r="A880" s="203">
        <f t="shared" si="26"/>
        <v>0</v>
      </c>
      <c r="C880" s="205">
        <f t="shared" si="27"/>
        <v>0</v>
      </c>
      <c r="D880" s="223"/>
      <c r="R880" s="222"/>
    </row>
    <row r="881" spans="1:18" x14ac:dyDescent="0.35">
      <c r="A881" s="203">
        <f t="shared" si="26"/>
        <v>0</v>
      </c>
      <c r="C881" s="205">
        <f t="shared" si="27"/>
        <v>0</v>
      </c>
      <c r="D881" s="223"/>
      <c r="R881" s="222"/>
    </row>
    <row r="882" spans="1:18" x14ac:dyDescent="0.35">
      <c r="A882" s="203">
        <f t="shared" si="26"/>
        <v>0</v>
      </c>
      <c r="C882" s="205">
        <f t="shared" si="27"/>
        <v>0</v>
      </c>
      <c r="D882" s="223"/>
      <c r="R882" s="222"/>
    </row>
    <row r="883" spans="1:18" x14ac:dyDescent="0.35">
      <c r="A883" s="203">
        <f t="shared" si="26"/>
        <v>0</v>
      </c>
      <c r="C883" s="205">
        <f t="shared" si="27"/>
        <v>0</v>
      </c>
      <c r="D883" s="223"/>
      <c r="R883" s="222"/>
    </row>
    <row r="884" spans="1:18" x14ac:dyDescent="0.35">
      <c r="A884" s="203">
        <f t="shared" si="26"/>
        <v>0</v>
      </c>
      <c r="C884" s="205">
        <f t="shared" si="27"/>
        <v>0</v>
      </c>
      <c r="D884" s="223"/>
      <c r="R884" s="222"/>
    </row>
    <row r="885" spans="1:18" x14ac:dyDescent="0.35">
      <c r="A885" s="203">
        <f t="shared" si="26"/>
        <v>0</v>
      </c>
      <c r="C885" s="205">
        <f t="shared" si="27"/>
        <v>0</v>
      </c>
      <c r="D885" s="223"/>
      <c r="R885" s="222"/>
    </row>
    <row r="886" spans="1:18" x14ac:dyDescent="0.35">
      <c r="A886" s="203">
        <f t="shared" si="26"/>
        <v>0</v>
      </c>
      <c r="C886" s="205">
        <f t="shared" si="27"/>
        <v>0</v>
      </c>
      <c r="D886" s="223"/>
      <c r="R886" s="222"/>
    </row>
    <row r="887" spans="1:18" x14ac:dyDescent="0.35">
      <c r="A887" s="203">
        <f t="shared" si="26"/>
        <v>0</v>
      </c>
      <c r="C887" s="205">
        <f t="shared" si="27"/>
        <v>0</v>
      </c>
      <c r="D887" s="223"/>
      <c r="R887" s="222"/>
    </row>
    <row r="888" spans="1:18" x14ac:dyDescent="0.35">
      <c r="A888" s="203">
        <f t="shared" si="26"/>
        <v>0</v>
      </c>
      <c r="C888" s="205">
        <f t="shared" si="27"/>
        <v>0</v>
      </c>
      <c r="D888" s="223"/>
      <c r="R888" s="222"/>
    </row>
    <row r="889" spans="1:18" x14ac:dyDescent="0.35">
      <c r="A889" s="203">
        <f t="shared" si="26"/>
        <v>0</v>
      </c>
      <c r="C889" s="205">
        <f t="shared" si="27"/>
        <v>0</v>
      </c>
      <c r="D889" s="223"/>
      <c r="R889" s="222"/>
    </row>
    <row r="890" spans="1:18" x14ac:dyDescent="0.35">
      <c r="A890" s="203">
        <f t="shared" si="26"/>
        <v>0</v>
      </c>
      <c r="C890" s="205">
        <f t="shared" si="27"/>
        <v>0</v>
      </c>
      <c r="D890" s="223"/>
      <c r="R890" s="222"/>
    </row>
    <row r="891" spans="1:18" x14ac:dyDescent="0.35">
      <c r="A891" s="203">
        <f t="shared" si="26"/>
        <v>0</v>
      </c>
      <c r="C891" s="205">
        <f t="shared" si="27"/>
        <v>0</v>
      </c>
      <c r="D891" s="223"/>
      <c r="R891" s="222"/>
    </row>
    <row r="892" spans="1:18" x14ac:dyDescent="0.35">
      <c r="A892" s="203">
        <f t="shared" si="26"/>
        <v>0</v>
      </c>
      <c r="C892" s="205">
        <f t="shared" si="27"/>
        <v>0</v>
      </c>
      <c r="D892" s="223"/>
      <c r="R892" s="222"/>
    </row>
    <row r="893" spans="1:18" x14ac:dyDescent="0.35">
      <c r="A893" s="203">
        <f t="shared" si="26"/>
        <v>0</v>
      </c>
      <c r="C893" s="205">
        <f t="shared" si="27"/>
        <v>0</v>
      </c>
      <c r="D893" s="223"/>
      <c r="R893" s="222"/>
    </row>
    <row r="894" spans="1:18" x14ac:dyDescent="0.35">
      <c r="A894" s="203">
        <f t="shared" si="26"/>
        <v>0</v>
      </c>
      <c r="C894" s="205">
        <f t="shared" si="27"/>
        <v>0</v>
      </c>
      <c r="D894" s="223"/>
      <c r="R894" s="222"/>
    </row>
    <row r="895" spans="1:18" x14ac:dyDescent="0.35">
      <c r="A895" s="203">
        <f t="shared" si="26"/>
        <v>0</v>
      </c>
      <c r="C895" s="205">
        <f t="shared" si="27"/>
        <v>0</v>
      </c>
      <c r="D895" s="223"/>
      <c r="R895" s="222"/>
    </row>
    <row r="896" spans="1:18" x14ac:dyDescent="0.35">
      <c r="A896" s="203">
        <f t="shared" si="26"/>
        <v>0</v>
      </c>
      <c r="C896" s="205">
        <f t="shared" si="27"/>
        <v>0</v>
      </c>
      <c r="D896" s="223"/>
      <c r="R896" s="222"/>
    </row>
    <row r="897" spans="1:18" x14ac:dyDescent="0.35">
      <c r="A897" s="203">
        <f t="shared" si="26"/>
        <v>0</v>
      </c>
      <c r="C897" s="205">
        <f t="shared" si="27"/>
        <v>0</v>
      </c>
      <c r="D897" s="223"/>
      <c r="R897" s="222"/>
    </row>
    <row r="898" spans="1:18" x14ac:dyDescent="0.35">
      <c r="A898" s="203">
        <f t="shared" si="26"/>
        <v>0</v>
      </c>
      <c r="C898" s="205">
        <f t="shared" si="27"/>
        <v>0</v>
      </c>
      <c r="D898" s="223"/>
      <c r="R898" s="222"/>
    </row>
    <row r="899" spans="1:18" x14ac:dyDescent="0.35">
      <c r="A899" s="203">
        <f t="shared" ref="A899:A962" si="28">F899</f>
        <v>0</v>
      </c>
      <c r="C899" s="205">
        <f t="shared" ref="C899:C962" si="29">F899</f>
        <v>0</v>
      </c>
      <c r="D899" s="223"/>
      <c r="R899" s="222"/>
    </row>
    <row r="900" spans="1:18" x14ac:dyDescent="0.35">
      <c r="A900" s="203">
        <f t="shared" si="28"/>
        <v>0</v>
      </c>
      <c r="C900" s="205">
        <f t="shared" si="29"/>
        <v>0</v>
      </c>
      <c r="D900" s="223"/>
      <c r="R900" s="222"/>
    </row>
    <row r="901" spans="1:18" x14ac:dyDescent="0.35">
      <c r="A901" s="203">
        <f t="shared" si="28"/>
        <v>0</v>
      </c>
      <c r="C901" s="205">
        <f t="shared" si="29"/>
        <v>0</v>
      </c>
      <c r="D901" s="223"/>
      <c r="R901" s="222"/>
    </row>
    <row r="902" spans="1:18" x14ac:dyDescent="0.35">
      <c r="A902" s="203">
        <f t="shared" si="28"/>
        <v>0</v>
      </c>
      <c r="C902" s="205">
        <f t="shared" si="29"/>
        <v>0</v>
      </c>
      <c r="D902" s="223"/>
      <c r="R902" s="222"/>
    </row>
    <row r="903" spans="1:18" x14ac:dyDescent="0.35">
      <c r="A903" s="203">
        <f t="shared" si="28"/>
        <v>0</v>
      </c>
      <c r="C903" s="205">
        <f t="shared" si="29"/>
        <v>0</v>
      </c>
      <c r="D903" s="223"/>
      <c r="R903" s="222"/>
    </row>
    <row r="904" spans="1:18" x14ac:dyDescent="0.35">
      <c r="A904" s="203">
        <f t="shared" si="28"/>
        <v>0</v>
      </c>
      <c r="C904" s="205">
        <f t="shared" si="29"/>
        <v>0</v>
      </c>
      <c r="D904" s="223"/>
      <c r="R904" s="222"/>
    </row>
    <row r="905" spans="1:18" x14ac:dyDescent="0.35">
      <c r="A905" s="203">
        <f t="shared" si="28"/>
        <v>0</v>
      </c>
      <c r="C905" s="205">
        <f t="shared" si="29"/>
        <v>0</v>
      </c>
      <c r="D905" s="223"/>
      <c r="R905" s="222"/>
    </row>
    <row r="906" spans="1:18" x14ac:dyDescent="0.35">
      <c r="A906" s="203">
        <f t="shared" si="28"/>
        <v>0</v>
      </c>
      <c r="C906" s="205">
        <f t="shared" si="29"/>
        <v>0</v>
      </c>
      <c r="D906" s="223"/>
      <c r="R906" s="222"/>
    </row>
    <row r="907" spans="1:18" x14ac:dyDescent="0.35">
      <c r="A907" s="203">
        <f t="shared" si="28"/>
        <v>0</v>
      </c>
      <c r="C907" s="205">
        <f t="shared" si="29"/>
        <v>0</v>
      </c>
      <c r="D907" s="223"/>
      <c r="R907" s="222"/>
    </row>
    <row r="908" spans="1:18" x14ac:dyDescent="0.35">
      <c r="A908" s="203">
        <f t="shared" si="28"/>
        <v>0</v>
      </c>
      <c r="C908" s="205">
        <f t="shared" si="29"/>
        <v>0</v>
      </c>
      <c r="D908" s="223"/>
      <c r="R908" s="222"/>
    </row>
    <row r="909" spans="1:18" x14ac:dyDescent="0.35">
      <c r="A909" s="203">
        <f t="shared" si="28"/>
        <v>0</v>
      </c>
      <c r="C909" s="205">
        <f t="shared" si="29"/>
        <v>0</v>
      </c>
      <c r="D909" s="223"/>
      <c r="R909" s="222"/>
    </row>
    <row r="910" spans="1:18" x14ac:dyDescent="0.35">
      <c r="A910" s="203">
        <f t="shared" si="28"/>
        <v>0</v>
      </c>
      <c r="C910" s="205">
        <f t="shared" si="29"/>
        <v>0</v>
      </c>
      <c r="D910" s="223"/>
      <c r="R910" s="222"/>
    </row>
    <row r="911" spans="1:18" x14ac:dyDescent="0.35">
      <c r="A911" s="203">
        <f t="shared" si="28"/>
        <v>0</v>
      </c>
      <c r="C911" s="205">
        <f t="shared" si="29"/>
        <v>0</v>
      </c>
      <c r="D911" s="223"/>
      <c r="R911" s="222"/>
    </row>
    <row r="912" spans="1:18" x14ac:dyDescent="0.35">
      <c r="A912" s="203">
        <f t="shared" si="28"/>
        <v>0</v>
      </c>
      <c r="C912" s="205">
        <f t="shared" si="29"/>
        <v>0</v>
      </c>
      <c r="D912" s="223"/>
      <c r="R912" s="222"/>
    </row>
    <row r="913" spans="1:18" x14ac:dyDescent="0.35">
      <c r="A913" s="203">
        <f t="shared" si="28"/>
        <v>0</v>
      </c>
      <c r="C913" s="205">
        <f t="shared" si="29"/>
        <v>0</v>
      </c>
      <c r="D913" s="223"/>
      <c r="R913" s="222"/>
    </row>
    <row r="914" spans="1:18" x14ac:dyDescent="0.35">
      <c r="A914" s="203">
        <f t="shared" si="28"/>
        <v>0</v>
      </c>
      <c r="C914" s="205">
        <f t="shared" si="29"/>
        <v>0</v>
      </c>
      <c r="D914" s="223"/>
      <c r="R914" s="222"/>
    </row>
    <row r="915" spans="1:18" x14ac:dyDescent="0.35">
      <c r="A915" s="203">
        <f t="shared" si="28"/>
        <v>0</v>
      </c>
      <c r="C915" s="205">
        <f t="shared" si="29"/>
        <v>0</v>
      </c>
      <c r="D915" s="223"/>
      <c r="R915" s="222"/>
    </row>
    <row r="916" spans="1:18" x14ac:dyDescent="0.35">
      <c r="A916" s="203">
        <f t="shared" si="28"/>
        <v>0</v>
      </c>
      <c r="C916" s="205">
        <f t="shared" si="29"/>
        <v>0</v>
      </c>
      <c r="D916" s="223"/>
      <c r="R916" s="222"/>
    </row>
    <row r="917" spans="1:18" x14ac:dyDescent="0.35">
      <c r="A917" s="203">
        <f t="shared" si="28"/>
        <v>0</v>
      </c>
      <c r="C917" s="205">
        <f t="shared" si="29"/>
        <v>0</v>
      </c>
      <c r="D917" s="223"/>
      <c r="R917" s="222"/>
    </row>
    <row r="918" spans="1:18" x14ac:dyDescent="0.35">
      <c r="A918" s="203">
        <f t="shared" si="28"/>
        <v>0</v>
      </c>
      <c r="C918" s="205">
        <f t="shared" si="29"/>
        <v>0</v>
      </c>
      <c r="D918" s="223"/>
      <c r="R918" s="222"/>
    </row>
    <row r="919" spans="1:18" x14ac:dyDescent="0.35">
      <c r="A919" s="203">
        <f t="shared" si="28"/>
        <v>0</v>
      </c>
      <c r="C919" s="205">
        <f t="shared" si="29"/>
        <v>0</v>
      </c>
      <c r="D919" s="223"/>
      <c r="R919" s="222"/>
    </row>
    <row r="920" spans="1:18" x14ac:dyDescent="0.35">
      <c r="A920" s="203">
        <f t="shared" si="28"/>
        <v>0</v>
      </c>
      <c r="C920" s="205">
        <f t="shared" si="29"/>
        <v>0</v>
      </c>
      <c r="D920" s="223"/>
      <c r="R920" s="222"/>
    </row>
    <row r="921" spans="1:18" x14ac:dyDescent="0.35">
      <c r="A921" s="203">
        <f t="shared" si="28"/>
        <v>0</v>
      </c>
      <c r="C921" s="205">
        <f t="shared" si="29"/>
        <v>0</v>
      </c>
      <c r="D921" s="223"/>
      <c r="R921" s="222"/>
    </row>
    <row r="922" spans="1:18" x14ac:dyDescent="0.35">
      <c r="A922" s="203">
        <f t="shared" si="28"/>
        <v>0</v>
      </c>
      <c r="C922" s="205">
        <f t="shared" si="29"/>
        <v>0</v>
      </c>
      <c r="D922" s="223"/>
      <c r="R922" s="222"/>
    </row>
    <row r="923" spans="1:18" x14ac:dyDescent="0.35">
      <c r="A923" s="203">
        <f t="shared" si="28"/>
        <v>0</v>
      </c>
      <c r="C923" s="205">
        <f t="shared" si="29"/>
        <v>0</v>
      </c>
      <c r="D923" s="223"/>
      <c r="R923" s="222"/>
    </row>
    <row r="924" spans="1:18" x14ac:dyDescent="0.35">
      <c r="A924" s="203">
        <f t="shared" si="28"/>
        <v>0</v>
      </c>
      <c r="C924" s="205">
        <f t="shared" si="29"/>
        <v>0</v>
      </c>
      <c r="D924" s="223"/>
      <c r="R924" s="222"/>
    </row>
    <row r="925" spans="1:18" x14ac:dyDescent="0.35">
      <c r="A925" s="203">
        <f t="shared" si="28"/>
        <v>0</v>
      </c>
      <c r="C925" s="205">
        <f t="shared" si="29"/>
        <v>0</v>
      </c>
      <c r="D925" s="223"/>
      <c r="R925" s="222"/>
    </row>
    <row r="926" spans="1:18" x14ac:dyDescent="0.35">
      <c r="A926" s="203">
        <f t="shared" si="28"/>
        <v>0</v>
      </c>
      <c r="C926" s="205">
        <f t="shared" si="29"/>
        <v>0</v>
      </c>
      <c r="D926" s="223"/>
      <c r="R926" s="222"/>
    </row>
    <row r="927" spans="1:18" x14ac:dyDescent="0.35">
      <c r="A927" s="203">
        <f t="shared" si="28"/>
        <v>0</v>
      </c>
      <c r="C927" s="205">
        <f t="shared" si="29"/>
        <v>0</v>
      </c>
      <c r="D927" s="223"/>
      <c r="R927" s="222"/>
    </row>
    <row r="928" spans="1:18" x14ac:dyDescent="0.35">
      <c r="A928" s="203">
        <f t="shared" si="28"/>
        <v>0</v>
      </c>
      <c r="C928" s="205">
        <f t="shared" si="29"/>
        <v>0</v>
      </c>
      <c r="D928" s="223"/>
      <c r="R928" s="222"/>
    </row>
    <row r="929" spans="1:18" x14ac:dyDescent="0.35">
      <c r="A929" s="203">
        <f t="shared" si="28"/>
        <v>0</v>
      </c>
      <c r="C929" s="205">
        <f t="shared" si="29"/>
        <v>0</v>
      </c>
      <c r="D929" s="223"/>
      <c r="R929" s="222"/>
    </row>
    <row r="930" spans="1:18" x14ac:dyDescent="0.35">
      <c r="A930" s="203">
        <f t="shared" si="28"/>
        <v>0</v>
      </c>
      <c r="C930" s="205">
        <f t="shared" si="29"/>
        <v>0</v>
      </c>
      <c r="D930" s="223"/>
      <c r="R930" s="222"/>
    </row>
    <row r="931" spans="1:18" x14ac:dyDescent="0.35">
      <c r="A931" s="203">
        <f t="shared" si="28"/>
        <v>0</v>
      </c>
      <c r="C931" s="205">
        <f t="shared" si="29"/>
        <v>0</v>
      </c>
      <c r="D931" s="223"/>
      <c r="R931" s="222"/>
    </row>
    <row r="932" spans="1:18" x14ac:dyDescent="0.35">
      <c r="A932" s="203">
        <f t="shared" si="28"/>
        <v>0</v>
      </c>
      <c r="C932" s="205">
        <f t="shared" si="29"/>
        <v>0</v>
      </c>
      <c r="D932" s="223"/>
      <c r="R932" s="222"/>
    </row>
    <row r="933" spans="1:18" x14ac:dyDescent="0.35">
      <c r="A933" s="203">
        <f t="shared" si="28"/>
        <v>0</v>
      </c>
      <c r="C933" s="205">
        <f t="shared" si="29"/>
        <v>0</v>
      </c>
      <c r="D933" s="223"/>
      <c r="R933" s="222"/>
    </row>
    <row r="934" spans="1:18" x14ac:dyDescent="0.35">
      <c r="A934" s="203">
        <f t="shared" si="28"/>
        <v>0</v>
      </c>
      <c r="C934" s="205">
        <f t="shared" si="29"/>
        <v>0</v>
      </c>
      <c r="D934" s="223"/>
      <c r="R934" s="222"/>
    </row>
    <row r="935" spans="1:18" x14ac:dyDescent="0.35">
      <c r="A935" s="203">
        <f t="shared" si="28"/>
        <v>0</v>
      </c>
      <c r="C935" s="205">
        <f t="shared" si="29"/>
        <v>0</v>
      </c>
      <c r="D935" s="223"/>
      <c r="R935" s="222"/>
    </row>
    <row r="936" spans="1:18" x14ac:dyDescent="0.35">
      <c r="A936" s="203">
        <f t="shared" si="28"/>
        <v>0</v>
      </c>
      <c r="C936" s="205">
        <f t="shared" si="29"/>
        <v>0</v>
      </c>
      <c r="D936" s="223"/>
      <c r="R936" s="222"/>
    </row>
    <row r="937" spans="1:18" x14ac:dyDescent="0.35">
      <c r="A937" s="203">
        <f t="shared" si="28"/>
        <v>0</v>
      </c>
      <c r="C937" s="205">
        <f t="shared" si="29"/>
        <v>0</v>
      </c>
      <c r="D937" s="223"/>
      <c r="R937" s="222"/>
    </row>
    <row r="938" spans="1:18" x14ac:dyDescent="0.35">
      <c r="A938" s="203">
        <f t="shared" si="28"/>
        <v>0</v>
      </c>
      <c r="C938" s="205">
        <f t="shared" si="29"/>
        <v>0</v>
      </c>
      <c r="D938" s="223"/>
      <c r="R938" s="222"/>
    </row>
    <row r="939" spans="1:18" x14ac:dyDescent="0.35">
      <c r="A939" s="203">
        <f t="shared" si="28"/>
        <v>0</v>
      </c>
      <c r="C939" s="205">
        <f t="shared" si="29"/>
        <v>0</v>
      </c>
      <c r="D939" s="223"/>
      <c r="R939" s="222"/>
    </row>
    <row r="940" spans="1:18" x14ac:dyDescent="0.35">
      <c r="A940" s="203">
        <f t="shared" si="28"/>
        <v>0</v>
      </c>
      <c r="C940" s="205">
        <f t="shared" si="29"/>
        <v>0</v>
      </c>
      <c r="D940" s="223"/>
      <c r="R940" s="222"/>
    </row>
    <row r="941" spans="1:18" x14ac:dyDescent="0.35">
      <c r="A941" s="203">
        <f t="shared" si="28"/>
        <v>0</v>
      </c>
      <c r="C941" s="205">
        <f t="shared" si="29"/>
        <v>0</v>
      </c>
      <c r="D941" s="223"/>
      <c r="R941" s="222"/>
    </row>
    <row r="942" spans="1:18" x14ac:dyDescent="0.35">
      <c r="A942" s="203">
        <f t="shared" si="28"/>
        <v>0</v>
      </c>
      <c r="C942" s="205">
        <f t="shared" si="29"/>
        <v>0</v>
      </c>
      <c r="D942" s="223"/>
      <c r="R942" s="222"/>
    </row>
    <row r="943" spans="1:18" x14ac:dyDescent="0.35">
      <c r="A943" s="203">
        <f t="shared" si="28"/>
        <v>0</v>
      </c>
      <c r="C943" s="205">
        <f t="shared" si="29"/>
        <v>0</v>
      </c>
      <c r="D943" s="223"/>
      <c r="R943" s="222"/>
    </row>
    <row r="944" spans="1:18" x14ac:dyDescent="0.35">
      <c r="A944" s="203">
        <f t="shared" si="28"/>
        <v>0</v>
      </c>
      <c r="C944" s="205">
        <f t="shared" si="29"/>
        <v>0</v>
      </c>
      <c r="D944" s="223"/>
      <c r="R944" s="222"/>
    </row>
    <row r="945" spans="1:18" x14ac:dyDescent="0.35">
      <c r="A945" s="203">
        <f t="shared" si="28"/>
        <v>0</v>
      </c>
      <c r="C945" s="205">
        <f t="shared" si="29"/>
        <v>0</v>
      </c>
      <c r="D945" s="223"/>
      <c r="R945" s="222"/>
    </row>
    <row r="946" spans="1:18" x14ac:dyDescent="0.35">
      <c r="A946" s="203">
        <f t="shared" si="28"/>
        <v>0</v>
      </c>
      <c r="C946" s="205">
        <f t="shared" si="29"/>
        <v>0</v>
      </c>
      <c r="D946" s="223"/>
      <c r="R946" s="222"/>
    </row>
    <row r="947" spans="1:18" x14ac:dyDescent="0.35">
      <c r="A947" s="203">
        <f t="shared" si="28"/>
        <v>0</v>
      </c>
      <c r="C947" s="205">
        <f t="shared" si="29"/>
        <v>0</v>
      </c>
      <c r="D947" s="223"/>
      <c r="R947" s="222"/>
    </row>
    <row r="948" spans="1:18" x14ac:dyDescent="0.35">
      <c r="A948" s="203">
        <f t="shared" si="28"/>
        <v>0</v>
      </c>
      <c r="C948" s="205">
        <f t="shared" si="29"/>
        <v>0</v>
      </c>
      <c r="D948" s="223"/>
      <c r="R948" s="222"/>
    </row>
    <row r="949" spans="1:18" x14ac:dyDescent="0.35">
      <c r="A949" s="203">
        <f t="shared" si="28"/>
        <v>0</v>
      </c>
      <c r="C949" s="205">
        <f t="shared" si="29"/>
        <v>0</v>
      </c>
      <c r="D949" s="223"/>
      <c r="R949" s="222"/>
    </row>
    <row r="950" spans="1:18" x14ac:dyDescent="0.35">
      <c r="A950" s="203">
        <f t="shared" si="28"/>
        <v>0</v>
      </c>
      <c r="C950" s="205">
        <f t="shared" si="29"/>
        <v>0</v>
      </c>
      <c r="D950" s="223"/>
      <c r="R950" s="222"/>
    </row>
    <row r="951" spans="1:18" x14ac:dyDescent="0.35">
      <c r="A951" s="203">
        <f t="shared" si="28"/>
        <v>0</v>
      </c>
      <c r="C951" s="205">
        <f t="shared" si="29"/>
        <v>0</v>
      </c>
      <c r="D951" s="223"/>
      <c r="R951" s="222"/>
    </row>
    <row r="952" spans="1:18" x14ac:dyDescent="0.35">
      <c r="A952" s="203">
        <f t="shared" si="28"/>
        <v>0</v>
      </c>
      <c r="C952" s="205">
        <f t="shared" si="29"/>
        <v>0</v>
      </c>
      <c r="D952" s="223"/>
      <c r="R952" s="222"/>
    </row>
    <row r="953" spans="1:18" x14ac:dyDescent="0.35">
      <c r="A953" s="203">
        <f t="shared" si="28"/>
        <v>0</v>
      </c>
      <c r="C953" s="205">
        <f t="shared" si="29"/>
        <v>0</v>
      </c>
      <c r="D953" s="223"/>
      <c r="R953" s="222"/>
    </row>
    <row r="954" spans="1:18" x14ac:dyDescent="0.35">
      <c r="A954" s="203">
        <f t="shared" si="28"/>
        <v>0</v>
      </c>
      <c r="C954" s="205">
        <f t="shared" si="29"/>
        <v>0</v>
      </c>
      <c r="D954" s="223"/>
      <c r="R954" s="222"/>
    </row>
    <row r="955" spans="1:18" x14ac:dyDescent="0.35">
      <c r="A955" s="203">
        <f t="shared" si="28"/>
        <v>0</v>
      </c>
      <c r="C955" s="205">
        <f t="shared" si="29"/>
        <v>0</v>
      </c>
      <c r="D955" s="223"/>
      <c r="R955" s="222"/>
    </row>
    <row r="956" spans="1:18" x14ac:dyDescent="0.35">
      <c r="A956" s="203">
        <f t="shared" si="28"/>
        <v>0</v>
      </c>
      <c r="C956" s="205">
        <f t="shared" si="29"/>
        <v>0</v>
      </c>
      <c r="D956" s="223"/>
      <c r="R956" s="222"/>
    </row>
    <row r="957" spans="1:18" x14ac:dyDescent="0.35">
      <c r="A957" s="203">
        <f t="shared" si="28"/>
        <v>0</v>
      </c>
      <c r="C957" s="205">
        <f t="shared" si="29"/>
        <v>0</v>
      </c>
      <c r="D957" s="223"/>
      <c r="R957" s="222"/>
    </row>
    <row r="958" spans="1:18" x14ac:dyDescent="0.35">
      <c r="A958" s="203">
        <f t="shared" si="28"/>
        <v>0</v>
      </c>
      <c r="C958" s="205">
        <f t="shared" si="29"/>
        <v>0</v>
      </c>
      <c r="D958" s="223"/>
      <c r="R958" s="222"/>
    </row>
    <row r="959" spans="1:18" x14ac:dyDescent="0.35">
      <c r="A959" s="203">
        <f t="shared" si="28"/>
        <v>0</v>
      </c>
      <c r="C959" s="205">
        <f t="shared" si="29"/>
        <v>0</v>
      </c>
      <c r="D959" s="223"/>
      <c r="R959" s="222"/>
    </row>
    <row r="960" spans="1:18" x14ac:dyDescent="0.35">
      <c r="A960" s="203">
        <f t="shared" si="28"/>
        <v>0</v>
      </c>
      <c r="C960" s="205">
        <f t="shared" si="29"/>
        <v>0</v>
      </c>
      <c r="D960" s="223"/>
      <c r="R960" s="222"/>
    </row>
    <row r="961" spans="1:18" x14ac:dyDescent="0.35">
      <c r="A961" s="203">
        <f t="shared" si="28"/>
        <v>0</v>
      </c>
      <c r="C961" s="205">
        <f t="shared" si="29"/>
        <v>0</v>
      </c>
      <c r="D961" s="223"/>
      <c r="R961" s="222"/>
    </row>
    <row r="962" spans="1:18" x14ac:dyDescent="0.35">
      <c r="A962" s="203">
        <f t="shared" si="28"/>
        <v>0</v>
      </c>
      <c r="C962" s="205">
        <f t="shared" si="29"/>
        <v>0</v>
      </c>
      <c r="D962" s="223"/>
      <c r="R962" s="222"/>
    </row>
    <row r="963" spans="1:18" x14ac:dyDescent="0.35">
      <c r="A963" s="203">
        <f t="shared" ref="A963:A1026" si="30">F963</f>
        <v>0</v>
      </c>
      <c r="C963" s="205">
        <f t="shared" ref="C963:C1026" si="31">F963</f>
        <v>0</v>
      </c>
      <c r="D963" s="223"/>
      <c r="R963" s="222"/>
    </row>
    <row r="964" spans="1:18" x14ac:dyDescent="0.35">
      <c r="A964" s="203">
        <f t="shared" si="30"/>
        <v>0</v>
      </c>
      <c r="C964" s="205">
        <f t="shared" si="31"/>
        <v>0</v>
      </c>
      <c r="D964" s="223"/>
      <c r="R964" s="222"/>
    </row>
    <row r="965" spans="1:18" x14ac:dyDescent="0.35">
      <c r="A965" s="203">
        <f t="shared" si="30"/>
        <v>0</v>
      </c>
      <c r="C965" s="205">
        <f t="shared" si="31"/>
        <v>0</v>
      </c>
      <c r="D965" s="223"/>
      <c r="R965" s="222"/>
    </row>
    <row r="966" spans="1:18" x14ac:dyDescent="0.35">
      <c r="A966" s="203">
        <f t="shared" si="30"/>
        <v>0</v>
      </c>
      <c r="C966" s="205">
        <f t="shared" si="31"/>
        <v>0</v>
      </c>
      <c r="D966" s="223"/>
      <c r="R966" s="222"/>
    </row>
    <row r="967" spans="1:18" x14ac:dyDescent="0.35">
      <c r="A967" s="203">
        <f t="shared" si="30"/>
        <v>0</v>
      </c>
      <c r="C967" s="205">
        <f t="shared" si="31"/>
        <v>0</v>
      </c>
      <c r="D967" s="223"/>
      <c r="R967" s="222"/>
    </row>
    <row r="968" spans="1:18" x14ac:dyDescent="0.35">
      <c r="A968" s="203">
        <f t="shared" si="30"/>
        <v>0</v>
      </c>
      <c r="C968" s="205">
        <f t="shared" si="31"/>
        <v>0</v>
      </c>
      <c r="D968" s="223"/>
      <c r="R968" s="222"/>
    </row>
    <row r="969" spans="1:18" x14ac:dyDescent="0.35">
      <c r="A969" s="203">
        <f t="shared" si="30"/>
        <v>0</v>
      </c>
      <c r="C969" s="205">
        <f t="shared" si="31"/>
        <v>0</v>
      </c>
      <c r="D969" s="223"/>
      <c r="R969" s="222"/>
    </row>
    <row r="970" spans="1:18" x14ac:dyDescent="0.35">
      <c r="A970" s="203">
        <f t="shared" si="30"/>
        <v>0</v>
      </c>
      <c r="C970" s="205">
        <f t="shared" si="31"/>
        <v>0</v>
      </c>
      <c r="D970" s="223"/>
      <c r="R970" s="222"/>
    </row>
    <row r="971" spans="1:18" x14ac:dyDescent="0.35">
      <c r="A971" s="203">
        <f t="shared" si="30"/>
        <v>0</v>
      </c>
      <c r="C971" s="205">
        <f t="shared" si="31"/>
        <v>0</v>
      </c>
      <c r="D971" s="223"/>
      <c r="R971" s="222"/>
    </row>
    <row r="972" spans="1:18" x14ac:dyDescent="0.35">
      <c r="A972" s="203">
        <f t="shared" si="30"/>
        <v>0</v>
      </c>
      <c r="C972" s="205">
        <f t="shared" si="31"/>
        <v>0</v>
      </c>
      <c r="D972" s="223"/>
      <c r="R972" s="222"/>
    </row>
    <row r="973" spans="1:18" x14ac:dyDescent="0.35">
      <c r="A973" s="203">
        <f t="shared" si="30"/>
        <v>0</v>
      </c>
      <c r="C973" s="205">
        <f t="shared" si="31"/>
        <v>0</v>
      </c>
      <c r="D973" s="223"/>
      <c r="R973" s="222"/>
    </row>
    <row r="974" spans="1:18" x14ac:dyDescent="0.35">
      <c r="A974" s="203">
        <f t="shared" si="30"/>
        <v>0</v>
      </c>
      <c r="C974" s="205">
        <f t="shared" si="31"/>
        <v>0</v>
      </c>
      <c r="D974" s="223"/>
      <c r="R974" s="222"/>
    </row>
    <row r="975" spans="1:18" x14ac:dyDescent="0.35">
      <c r="A975" s="203">
        <f t="shared" si="30"/>
        <v>0</v>
      </c>
      <c r="C975" s="205">
        <f t="shared" si="31"/>
        <v>0</v>
      </c>
      <c r="D975" s="223"/>
      <c r="R975" s="222"/>
    </row>
    <row r="976" spans="1:18" x14ac:dyDescent="0.35">
      <c r="A976" s="203">
        <f t="shared" si="30"/>
        <v>0</v>
      </c>
      <c r="C976" s="205">
        <f t="shared" si="31"/>
        <v>0</v>
      </c>
      <c r="D976" s="223"/>
      <c r="R976" s="222"/>
    </row>
    <row r="977" spans="1:18" x14ac:dyDescent="0.35">
      <c r="A977" s="203">
        <f t="shared" si="30"/>
        <v>0</v>
      </c>
      <c r="C977" s="205">
        <f t="shared" si="31"/>
        <v>0</v>
      </c>
      <c r="D977" s="223"/>
      <c r="R977" s="222"/>
    </row>
    <row r="978" spans="1:18" x14ac:dyDescent="0.35">
      <c r="A978" s="203">
        <f t="shared" si="30"/>
        <v>0</v>
      </c>
      <c r="C978" s="205">
        <f t="shared" si="31"/>
        <v>0</v>
      </c>
      <c r="D978" s="223"/>
      <c r="R978" s="222"/>
    </row>
    <row r="979" spans="1:18" x14ac:dyDescent="0.35">
      <c r="A979" s="203">
        <f t="shared" si="30"/>
        <v>0</v>
      </c>
      <c r="C979" s="205">
        <f t="shared" si="31"/>
        <v>0</v>
      </c>
      <c r="D979" s="223"/>
      <c r="R979" s="222"/>
    </row>
    <row r="980" spans="1:18" x14ac:dyDescent="0.35">
      <c r="A980" s="203">
        <f t="shared" si="30"/>
        <v>0</v>
      </c>
      <c r="C980" s="205">
        <f t="shared" si="31"/>
        <v>0</v>
      </c>
      <c r="D980" s="223"/>
      <c r="R980" s="222"/>
    </row>
    <row r="981" spans="1:18" x14ac:dyDescent="0.35">
      <c r="A981" s="203">
        <f t="shared" si="30"/>
        <v>0</v>
      </c>
      <c r="C981" s="205">
        <f t="shared" si="31"/>
        <v>0</v>
      </c>
      <c r="D981" s="223"/>
      <c r="R981" s="222"/>
    </row>
    <row r="982" spans="1:18" x14ac:dyDescent="0.35">
      <c r="A982" s="203">
        <f t="shared" si="30"/>
        <v>0</v>
      </c>
      <c r="C982" s="205">
        <f t="shared" si="31"/>
        <v>0</v>
      </c>
      <c r="D982" s="223"/>
      <c r="R982" s="222"/>
    </row>
    <row r="983" spans="1:18" x14ac:dyDescent="0.35">
      <c r="A983" s="203">
        <f t="shared" si="30"/>
        <v>0</v>
      </c>
      <c r="C983" s="205">
        <f t="shared" si="31"/>
        <v>0</v>
      </c>
      <c r="D983" s="223"/>
      <c r="R983" s="222"/>
    </row>
    <row r="984" spans="1:18" x14ac:dyDescent="0.35">
      <c r="A984" s="203">
        <f t="shared" si="30"/>
        <v>0</v>
      </c>
      <c r="C984" s="205">
        <f t="shared" si="31"/>
        <v>0</v>
      </c>
      <c r="D984" s="223"/>
      <c r="R984" s="222"/>
    </row>
    <row r="985" spans="1:18" x14ac:dyDescent="0.35">
      <c r="A985" s="203">
        <f t="shared" si="30"/>
        <v>0</v>
      </c>
      <c r="C985" s="205">
        <f t="shared" si="31"/>
        <v>0</v>
      </c>
      <c r="D985" s="223"/>
      <c r="R985" s="222"/>
    </row>
    <row r="986" spans="1:18" x14ac:dyDescent="0.35">
      <c r="A986" s="203">
        <f t="shared" si="30"/>
        <v>0</v>
      </c>
      <c r="C986" s="205">
        <f t="shared" si="31"/>
        <v>0</v>
      </c>
      <c r="D986" s="223"/>
      <c r="R986" s="222"/>
    </row>
    <row r="987" spans="1:18" x14ac:dyDescent="0.35">
      <c r="A987" s="203">
        <f t="shared" si="30"/>
        <v>0</v>
      </c>
      <c r="C987" s="205">
        <f t="shared" si="31"/>
        <v>0</v>
      </c>
      <c r="D987" s="223"/>
      <c r="R987" s="222"/>
    </row>
    <row r="988" spans="1:18" x14ac:dyDescent="0.35">
      <c r="A988" s="203">
        <f t="shared" si="30"/>
        <v>0</v>
      </c>
      <c r="C988" s="205">
        <f t="shared" si="31"/>
        <v>0</v>
      </c>
      <c r="D988" s="223"/>
      <c r="R988" s="222"/>
    </row>
    <row r="989" spans="1:18" x14ac:dyDescent="0.35">
      <c r="A989" s="203">
        <f t="shared" si="30"/>
        <v>0</v>
      </c>
      <c r="C989" s="205">
        <f t="shared" si="31"/>
        <v>0</v>
      </c>
      <c r="D989" s="223"/>
      <c r="R989" s="222"/>
    </row>
    <row r="990" spans="1:18" x14ac:dyDescent="0.35">
      <c r="A990" s="203">
        <f t="shared" si="30"/>
        <v>0</v>
      </c>
      <c r="C990" s="205">
        <f t="shared" si="31"/>
        <v>0</v>
      </c>
      <c r="D990" s="223"/>
      <c r="R990" s="222"/>
    </row>
    <row r="991" spans="1:18" x14ac:dyDescent="0.35">
      <c r="A991" s="203">
        <f t="shared" si="30"/>
        <v>0</v>
      </c>
      <c r="C991" s="205">
        <f t="shared" si="31"/>
        <v>0</v>
      </c>
      <c r="D991" s="223"/>
      <c r="R991" s="222"/>
    </row>
    <row r="992" spans="1:18" x14ac:dyDescent="0.35">
      <c r="A992" s="203">
        <f t="shared" si="30"/>
        <v>0</v>
      </c>
      <c r="C992" s="205">
        <f t="shared" si="31"/>
        <v>0</v>
      </c>
      <c r="D992" s="223"/>
      <c r="R992" s="222"/>
    </row>
    <row r="993" spans="1:18" x14ac:dyDescent="0.35">
      <c r="A993" s="203">
        <f t="shared" si="30"/>
        <v>0</v>
      </c>
      <c r="C993" s="205">
        <f t="shared" si="31"/>
        <v>0</v>
      </c>
      <c r="D993" s="223"/>
      <c r="R993" s="222"/>
    </row>
    <row r="994" spans="1:18" x14ac:dyDescent="0.35">
      <c r="A994" s="203">
        <f t="shared" si="30"/>
        <v>0</v>
      </c>
      <c r="C994" s="205">
        <f t="shared" si="31"/>
        <v>0</v>
      </c>
      <c r="D994" s="223"/>
      <c r="R994" s="222"/>
    </row>
    <row r="995" spans="1:18" x14ac:dyDescent="0.35">
      <c r="A995" s="203">
        <f t="shared" si="30"/>
        <v>0</v>
      </c>
      <c r="C995" s="205">
        <f t="shared" si="31"/>
        <v>0</v>
      </c>
      <c r="D995" s="223"/>
      <c r="R995" s="222"/>
    </row>
    <row r="996" spans="1:18" x14ac:dyDescent="0.35">
      <c r="A996" s="203">
        <f t="shared" si="30"/>
        <v>0</v>
      </c>
      <c r="C996" s="205">
        <f t="shared" si="31"/>
        <v>0</v>
      </c>
      <c r="D996" s="223"/>
      <c r="R996" s="222"/>
    </row>
    <row r="997" spans="1:18" x14ac:dyDescent="0.35">
      <c r="A997" s="203">
        <f t="shared" si="30"/>
        <v>0</v>
      </c>
      <c r="C997" s="205">
        <f t="shared" si="31"/>
        <v>0</v>
      </c>
      <c r="D997" s="223"/>
      <c r="R997" s="222"/>
    </row>
    <row r="998" spans="1:18" x14ac:dyDescent="0.35">
      <c r="A998" s="203">
        <f t="shared" si="30"/>
        <v>0</v>
      </c>
      <c r="C998" s="205">
        <f t="shared" si="31"/>
        <v>0</v>
      </c>
      <c r="D998" s="223"/>
      <c r="R998" s="222"/>
    </row>
    <row r="999" spans="1:18" x14ac:dyDescent="0.35">
      <c r="A999" s="203">
        <f t="shared" si="30"/>
        <v>0</v>
      </c>
      <c r="C999" s="205">
        <f t="shared" si="31"/>
        <v>0</v>
      </c>
      <c r="D999" s="223"/>
      <c r="R999" s="222"/>
    </row>
    <row r="1000" spans="1:18" x14ac:dyDescent="0.35">
      <c r="A1000" s="203">
        <f t="shared" si="30"/>
        <v>0</v>
      </c>
      <c r="C1000" s="205">
        <f t="shared" si="31"/>
        <v>0</v>
      </c>
      <c r="D1000" s="223"/>
      <c r="R1000" s="222"/>
    </row>
    <row r="1001" spans="1:18" x14ac:dyDescent="0.35">
      <c r="A1001" s="203">
        <f t="shared" si="30"/>
        <v>0</v>
      </c>
      <c r="C1001" s="205">
        <f t="shared" si="31"/>
        <v>0</v>
      </c>
      <c r="D1001" s="223"/>
      <c r="R1001" s="222"/>
    </row>
    <row r="1002" spans="1:18" x14ac:dyDescent="0.35">
      <c r="A1002" s="203">
        <f t="shared" si="30"/>
        <v>0</v>
      </c>
      <c r="C1002" s="205">
        <f t="shared" si="31"/>
        <v>0</v>
      </c>
      <c r="D1002" s="223"/>
      <c r="R1002" s="222"/>
    </row>
    <row r="1003" spans="1:18" x14ac:dyDescent="0.35">
      <c r="A1003" s="203">
        <f t="shared" si="30"/>
        <v>0</v>
      </c>
      <c r="C1003" s="205">
        <f t="shared" si="31"/>
        <v>0</v>
      </c>
      <c r="D1003" s="223"/>
      <c r="R1003" s="222"/>
    </row>
    <row r="1004" spans="1:18" x14ac:dyDescent="0.35">
      <c r="A1004" s="203">
        <f t="shared" si="30"/>
        <v>0</v>
      </c>
      <c r="C1004" s="205">
        <f t="shared" si="31"/>
        <v>0</v>
      </c>
      <c r="D1004" s="223"/>
      <c r="R1004" s="222"/>
    </row>
    <row r="1005" spans="1:18" x14ac:dyDescent="0.35">
      <c r="A1005" s="203">
        <f t="shared" si="30"/>
        <v>0</v>
      </c>
      <c r="C1005" s="205">
        <f t="shared" si="31"/>
        <v>0</v>
      </c>
      <c r="D1005" s="223"/>
      <c r="R1005" s="222"/>
    </row>
    <row r="1006" spans="1:18" x14ac:dyDescent="0.35">
      <c r="A1006" s="203">
        <f t="shared" si="30"/>
        <v>0</v>
      </c>
      <c r="C1006" s="205">
        <f t="shared" si="31"/>
        <v>0</v>
      </c>
      <c r="D1006" s="223"/>
      <c r="R1006" s="222"/>
    </row>
    <row r="1007" spans="1:18" x14ac:dyDescent="0.35">
      <c r="A1007" s="203">
        <f t="shared" si="30"/>
        <v>0</v>
      </c>
      <c r="C1007" s="205">
        <f t="shared" si="31"/>
        <v>0</v>
      </c>
      <c r="D1007" s="223"/>
      <c r="R1007" s="222"/>
    </row>
    <row r="1008" spans="1:18" x14ac:dyDescent="0.35">
      <c r="A1008" s="203">
        <f t="shared" si="30"/>
        <v>0</v>
      </c>
      <c r="C1008" s="205">
        <f t="shared" si="31"/>
        <v>0</v>
      </c>
      <c r="D1008" s="223"/>
      <c r="R1008" s="222"/>
    </row>
    <row r="1009" spans="1:18" x14ac:dyDescent="0.35">
      <c r="A1009" s="203">
        <f t="shared" si="30"/>
        <v>0</v>
      </c>
      <c r="C1009" s="205">
        <f t="shared" si="31"/>
        <v>0</v>
      </c>
      <c r="D1009" s="223"/>
      <c r="R1009" s="222"/>
    </row>
    <row r="1010" spans="1:18" x14ac:dyDescent="0.35">
      <c r="A1010" s="203">
        <f t="shared" si="30"/>
        <v>0</v>
      </c>
      <c r="C1010" s="205">
        <f t="shared" si="31"/>
        <v>0</v>
      </c>
      <c r="D1010" s="223"/>
      <c r="R1010" s="222"/>
    </row>
    <row r="1011" spans="1:18" x14ac:dyDescent="0.35">
      <c r="A1011" s="203">
        <f t="shared" si="30"/>
        <v>0</v>
      </c>
      <c r="C1011" s="205">
        <f t="shared" si="31"/>
        <v>0</v>
      </c>
      <c r="D1011" s="223"/>
      <c r="R1011" s="222"/>
    </row>
    <row r="1012" spans="1:18" x14ac:dyDescent="0.35">
      <c r="A1012" s="203">
        <f t="shared" si="30"/>
        <v>0</v>
      </c>
      <c r="C1012" s="205">
        <f t="shared" si="31"/>
        <v>0</v>
      </c>
      <c r="D1012" s="223"/>
      <c r="R1012" s="222"/>
    </row>
    <row r="1013" spans="1:18" x14ac:dyDescent="0.35">
      <c r="A1013" s="203">
        <f t="shared" si="30"/>
        <v>0</v>
      </c>
      <c r="C1013" s="205">
        <f t="shared" si="31"/>
        <v>0</v>
      </c>
      <c r="D1013" s="223"/>
      <c r="R1013" s="222"/>
    </row>
    <row r="1014" spans="1:18" x14ac:dyDescent="0.35">
      <c r="A1014" s="203">
        <f t="shared" si="30"/>
        <v>0</v>
      </c>
      <c r="C1014" s="205">
        <f t="shared" si="31"/>
        <v>0</v>
      </c>
      <c r="D1014" s="223"/>
      <c r="R1014" s="222"/>
    </row>
    <row r="1015" spans="1:18" x14ac:dyDescent="0.35">
      <c r="A1015" s="203">
        <f t="shared" si="30"/>
        <v>0</v>
      </c>
      <c r="C1015" s="205">
        <f t="shared" si="31"/>
        <v>0</v>
      </c>
      <c r="D1015" s="223"/>
      <c r="R1015" s="222"/>
    </row>
    <row r="1016" spans="1:18" x14ac:dyDescent="0.35">
      <c r="A1016" s="203">
        <f t="shared" si="30"/>
        <v>0</v>
      </c>
      <c r="C1016" s="205">
        <f t="shared" si="31"/>
        <v>0</v>
      </c>
      <c r="D1016" s="223"/>
      <c r="R1016" s="222"/>
    </row>
    <row r="1017" spans="1:18" x14ac:dyDescent="0.35">
      <c r="A1017" s="203">
        <f t="shared" si="30"/>
        <v>0</v>
      </c>
      <c r="C1017" s="205">
        <f t="shared" si="31"/>
        <v>0</v>
      </c>
      <c r="D1017" s="223"/>
      <c r="R1017" s="222"/>
    </row>
    <row r="1018" spans="1:18" x14ac:dyDescent="0.35">
      <c r="A1018" s="203">
        <f t="shared" si="30"/>
        <v>0</v>
      </c>
      <c r="C1018" s="205">
        <f t="shared" si="31"/>
        <v>0</v>
      </c>
      <c r="D1018" s="223"/>
      <c r="R1018" s="222"/>
    </row>
    <row r="1019" spans="1:18" x14ac:dyDescent="0.35">
      <c r="A1019" s="203">
        <f t="shared" si="30"/>
        <v>0</v>
      </c>
      <c r="C1019" s="205">
        <f t="shared" si="31"/>
        <v>0</v>
      </c>
      <c r="D1019" s="223"/>
      <c r="R1019" s="222"/>
    </row>
    <row r="1020" spans="1:18" x14ac:dyDescent="0.35">
      <c r="A1020" s="203">
        <f t="shared" si="30"/>
        <v>0</v>
      </c>
      <c r="C1020" s="205">
        <f t="shared" si="31"/>
        <v>0</v>
      </c>
      <c r="D1020" s="223"/>
      <c r="R1020" s="222"/>
    </row>
    <row r="1021" spans="1:18" x14ac:dyDescent="0.35">
      <c r="A1021" s="203">
        <f t="shared" si="30"/>
        <v>0</v>
      </c>
      <c r="C1021" s="205">
        <f t="shared" si="31"/>
        <v>0</v>
      </c>
      <c r="D1021" s="223"/>
      <c r="R1021" s="222"/>
    </row>
    <row r="1022" spans="1:18" x14ac:dyDescent="0.35">
      <c r="A1022" s="203">
        <f t="shared" si="30"/>
        <v>0</v>
      </c>
      <c r="C1022" s="205">
        <f t="shared" si="31"/>
        <v>0</v>
      </c>
      <c r="D1022" s="223"/>
      <c r="R1022" s="222"/>
    </row>
    <row r="1023" spans="1:18" x14ac:dyDescent="0.35">
      <c r="A1023" s="203">
        <f t="shared" si="30"/>
        <v>0</v>
      </c>
      <c r="C1023" s="205">
        <f t="shared" si="31"/>
        <v>0</v>
      </c>
      <c r="D1023" s="223"/>
      <c r="R1023" s="222"/>
    </row>
    <row r="1024" spans="1:18" x14ac:dyDescent="0.35">
      <c r="A1024" s="203">
        <f t="shared" si="30"/>
        <v>0</v>
      </c>
      <c r="C1024" s="205">
        <f t="shared" si="31"/>
        <v>0</v>
      </c>
      <c r="D1024" s="223"/>
      <c r="R1024" s="222"/>
    </row>
    <row r="1025" spans="1:18" x14ac:dyDescent="0.35">
      <c r="A1025" s="203">
        <f t="shared" si="30"/>
        <v>0</v>
      </c>
      <c r="C1025" s="205">
        <f t="shared" si="31"/>
        <v>0</v>
      </c>
      <c r="D1025" s="223"/>
      <c r="R1025" s="222"/>
    </row>
    <row r="1026" spans="1:18" x14ac:dyDescent="0.35">
      <c r="A1026" s="203">
        <f t="shared" si="30"/>
        <v>0</v>
      </c>
      <c r="C1026" s="205">
        <f t="shared" si="31"/>
        <v>0</v>
      </c>
      <c r="D1026" s="223"/>
      <c r="R1026" s="222"/>
    </row>
    <row r="1027" spans="1:18" x14ac:dyDescent="0.35">
      <c r="A1027" s="203">
        <f t="shared" ref="A1027:A1090" si="32">F1027</f>
        <v>0</v>
      </c>
      <c r="C1027" s="205">
        <f t="shared" ref="C1027:C1090" si="33">F1027</f>
        <v>0</v>
      </c>
      <c r="D1027" s="223"/>
      <c r="R1027" s="222"/>
    </row>
    <row r="1028" spans="1:18" x14ac:dyDescent="0.35">
      <c r="A1028" s="203">
        <f t="shared" si="32"/>
        <v>0</v>
      </c>
      <c r="C1028" s="205">
        <f t="shared" si="33"/>
        <v>0</v>
      </c>
      <c r="D1028" s="223"/>
      <c r="R1028" s="222"/>
    </row>
    <row r="1029" spans="1:18" x14ac:dyDescent="0.35">
      <c r="A1029" s="203">
        <f t="shared" si="32"/>
        <v>0</v>
      </c>
      <c r="C1029" s="205">
        <f t="shared" si="33"/>
        <v>0</v>
      </c>
      <c r="D1029" s="223"/>
      <c r="R1029" s="222"/>
    </row>
    <row r="1030" spans="1:18" x14ac:dyDescent="0.35">
      <c r="A1030" s="203">
        <f t="shared" si="32"/>
        <v>0</v>
      </c>
      <c r="C1030" s="205">
        <f t="shared" si="33"/>
        <v>0</v>
      </c>
      <c r="D1030" s="223"/>
      <c r="R1030" s="222"/>
    </row>
    <row r="1031" spans="1:18" x14ac:dyDescent="0.35">
      <c r="A1031" s="203">
        <f t="shared" si="32"/>
        <v>0</v>
      </c>
      <c r="C1031" s="205">
        <f t="shared" si="33"/>
        <v>0</v>
      </c>
      <c r="D1031" s="223"/>
      <c r="R1031" s="222"/>
    </row>
    <row r="1032" spans="1:18" x14ac:dyDescent="0.35">
      <c r="A1032" s="203">
        <f t="shared" si="32"/>
        <v>0</v>
      </c>
      <c r="C1032" s="205">
        <f t="shared" si="33"/>
        <v>0</v>
      </c>
      <c r="D1032" s="223"/>
      <c r="R1032" s="222"/>
    </row>
    <row r="1033" spans="1:18" x14ac:dyDescent="0.35">
      <c r="A1033" s="203">
        <f t="shared" si="32"/>
        <v>0</v>
      </c>
      <c r="C1033" s="205">
        <f t="shared" si="33"/>
        <v>0</v>
      </c>
      <c r="D1033" s="223"/>
      <c r="R1033" s="222"/>
    </row>
    <row r="1034" spans="1:18" x14ac:dyDescent="0.35">
      <c r="A1034" s="203">
        <f t="shared" si="32"/>
        <v>0</v>
      </c>
      <c r="C1034" s="205">
        <f t="shared" si="33"/>
        <v>0</v>
      </c>
      <c r="D1034" s="223"/>
      <c r="R1034" s="222"/>
    </row>
    <row r="1035" spans="1:18" x14ac:dyDescent="0.35">
      <c r="A1035" s="203">
        <f t="shared" si="32"/>
        <v>0</v>
      </c>
      <c r="C1035" s="205">
        <f t="shared" si="33"/>
        <v>0</v>
      </c>
      <c r="D1035" s="223"/>
      <c r="R1035" s="222"/>
    </row>
    <row r="1036" spans="1:18" x14ac:dyDescent="0.35">
      <c r="A1036" s="203">
        <f t="shared" si="32"/>
        <v>0</v>
      </c>
      <c r="C1036" s="205">
        <f t="shared" si="33"/>
        <v>0</v>
      </c>
      <c r="D1036" s="223"/>
      <c r="R1036" s="222"/>
    </row>
    <row r="1037" spans="1:18" x14ac:dyDescent="0.35">
      <c r="A1037" s="203">
        <f t="shared" si="32"/>
        <v>0</v>
      </c>
      <c r="C1037" s="205">
        <f t="shared" si="33"/>
        <v>0</v>
      </c>
      <c r="D1037" s="223"/>
      <c r="R1037" s="222"/>
    </row>
    <row r="1038" spans="1:18" x14ac:dyDescent="0.35">
      <c r="A1038" s="203">
        <f t="shared" si="32"/>
        <v>0</v>
      </c>
      <c r="C1038" s="205">
        <f t="shared" si="33"/>
        <v>0</v>
      </c>
      <c r="D1038" s="223"/>
      <c r="R1038" s="222"/>
    </row>
    <row r="1039" spans="1:18" x14ac:dyDescent="0.35">
      <c r="A1039" s="203">
        <f t="shared" si="32"/>
        <v>0</v>
      </c>
      <c r="C1039" s="205">
        <f t="shared" si="33"/>
        <v>0</v>
      </c>
      <c r="D1039" s="223"/>
      <c r="R1039" s="222"/>
    </row>
    <row r="1040" spans="1:18" x14ac:dyDescent="0.35">
      <c r="A1040" s="203">
        <f t="shared" si="32"/>
        <v>0</v>
      </c>
      <c r="C1040" s="205">
        <f t="shared" si="33"/>
        <v>0</v>
      </c>
      <c r="D1040" s="223"/>
      <c r="R1040" s="222"/>
    </row>
    <row r="1041" spans="1:18" x14ac:dyDescent="0.35">
      <c r="A1041" s="203">
        <f t="shared" si="32"/>
        <v>0</v>
      </c>
      <c r="C1041" s="205">
        <f t="shared" si="33"/>
        <v>0</v>
      </c>
      <c r="D1041" s="223"/>
      <c r="R1041" s="222"/>
    </row>
    <row r="1042" spans="1:18" x14ac:dyDescent="0.35">
      <c r="A1042" s="203">
        <f t="shared" si="32"/>
        <v>0</v>
      </c>
      <c r="C1042" s="205">
        <f t="shared" si="33"/>
        <v>0</v>
      </c>
      <c r="D1042" s="223"/>
      <c r="R1042" s="222"/>
    </row>
    <row r="1043" spans="1:18" x14ac:dyDescent="0.35">
      <c r="A1043" s="203">
        <f t="shared" si="32"/>
        <v>0</v>
      </c>
      <c r="C1043" s="205">
        <f t="shared" si="33"/>
        <v>0</v>
      </c>
      <c r="D1043" s="223"/>
      <c r="R1043" s="222"/>
    </row>
    <row r="1044" spans="1:18" x14ac:dyDescent="0.35">
      <c r="A1044" s="203">
        <f t="shared" si="32"/>
        <v>0</v>
      </c>
      <c r="C1044" s="205">
        <f t="shared" si="33"/>
        <v>0</v>
      </c>
      <c r="D1044" s="223"/>
      <c r="R1044" s="222"/>
    </row>
    <row r="1045" spans="1:18" x14ac:dyDescent="0.35">
      <c r="A1045" s="203">
        <f t="shared" si="32"/>
        <v>0</v>
      </c>
      <c r="C1045" s="205">
        <f t="shared" si="33"/>
        <v>0</v>
      </c>
      <c r="D1045" s="223"/>
      <c r="R1045" s="222"/>
    </row>
    <row r="1046" spans="1:18" x14ac:dyDescent="0.35">
      <c r="A1046" s="203">
        <f t="shared" si="32"/>
        <v>0</v>
      </c>
      <c r="C1046" s="205">
        <f t="shared" si="33"/>
        <v>0</v>
      </c>
      <c r="D1046" s="223"/>
      <c r="R1046" s="222"/>
    </row>
    <row r="1047" spans="1:18" x14ac:dyDescent="0.35">
      <c r="A1047" s="203">
        <f t="shared" si="32"/>
        <v>0</v>
      </c>
      <c r="C1047" s="205">
        <f t="shared" si="33"/>
        <v>0</v>
      </c>
      <c r="D1047" s="223"/>
      <c r="R1047" s="222"/>
    </row>
    <row r="1048" spans="1:18" x14ac:dyDescent="0.35">
      <c r="A1048" s="203">
        <f t="shared" si="32"/>
        <v>0</v>
      </c>
      <c r="C1048" s="205">
        <f t="shared" si="33"/>
        <v>0</v>
      </c>
      <c r="D1048" s="223"/>
      <c r="R1048" s="222"/>
    </row>
    <row r="1049" spans="1:18" x14ac:dyDescent="0.35">
      <c r="A1049" s="203">
        <f t="shared" si="32"/>
        <v>0</v>
      </c>
      <c r="C1049" s="205">
        <f t="shared" si="33"/>
        <v>0</v>
      </c>
      <c r="D1049" s="223"/>
      <c r="R1049" s="222"/>
    </row>
    <row r="1050" spans="1:18" x14ac:dyDescent="0.35">
      <c r="A1050" s="203">
        <f t="shared" si="32"/>
        <v>0</v>
      </c>
      <c r="C1050" s="205">
        <f t="shared" si="33"/>
        <v>0</v>
      </c>
      <c r="D1050" s="223"/>
      <c r="R1050" s="222"/>
    </row>
    <row r="1051" spans="1:18" x14ac:dyDescent="0.35">
      <c r="A1051" s="203">
        <f t="shared" si="32"/>
        <v>0</v>
      </c>
      <c r="C1051" s="205">
        <f t="shared" si="33"/>
        <v>0</v>
      </c>
      <c r="D1051" s="223"/>
      <c r="R1051" s="222"/>
    </row>
    <row r="1052" spans="1:18" x14ac:dyDescent="0.35">
      <c r="A1052" s="203">
        <f t="shared" si="32"/>
        <v>0</v>
      </c>
      <c r="C1052" s="205">
        <f t="shared" si="33"/>
        <v>0</v>
      </c>
      <c r="D1052" s="223"/>
      <c r="R1052" s="222"/>
    </row>
    <row r="1053" spans="1:18" x14ac:dyDescent="0.35">
      <c r="A1053" s="203">
        <f t="shared" si="32"/>
        <v>0</v>
      </c>
      <c r="C1053" s="205">
        <f t="shared" si="33"/>
        <v>0</v>
      </c>
      <c r="D1053" s="223"/>
      <c r="R1053" s="222"/>
    </row>
    <row r="1054" spans="1:18" x14ac:dyDescent="0.35">
      <c r="A1054" s="203">
        <f t="shared" si="32"/>
        <v>0</v>
      </c>
      <c r="C1054" s="205">
        <f t="shared" si="33"/>
        <v>0</v>
      </c>
      <c r="D1054" s="223"/>
      <c r="R1054" s="222"/>
    </row>
    <row r="1055" spans="1:18" x14ac:dyDescent="0.35">
      <c r="A1055" s="203">
        <f t="shared" si="32"/>
        <v>0</v>
      </c>
      <c r="C1055" s="205">
        <f t="shared" si="33"/>
        <v>0</v>
      </c>
      <c r="D1055" s="223"/>
      <c r="R1055" s="222"/>
    </row>
    <row r="1056" spans="1:18" x14ac:dyDescent="0.35">
      <c r="A1056" s="203">
        <f t="shared" si="32"/>
        <v>0</v>
      </c>
      <c r="C1056" s="205">
        <f t="shared" si="33"/>
        <v>0</v>
      </c>
      <c r="D1056" s="223"/>
      <c r="R1056" s="222"/>
    </row>
    <row r="1057" spans="1:18" x14ac:dyDescent="0.35">
      <c r="A1057" s="203">
        <f t="shared" si="32"/>
        <v>0</v>
      </c>
      <c r="C1057" s="205">
        <f t="shared" si="33"/>
        <v>0</v>
      </c>
      <c r="D1057" s="223"/>
      <c r="R1057" s="222"/>
    </row>
    <row r="1058" spans="1:18" x14ac:dyDescent="0.35">
      <c r="A1058" s="203">
        <f t="shared" si="32"/>
        <v>0</v>
      </c>
      <c r="C1058" s="205">
        <f t="shared" si="33"/>
        <v>0</v>
      </c>
      <c r="D1058" s="223"/>
      <c r="R1058" s="222"/>
    </row>
    <row r="1059" spans="1:18" x14ac:dyDescent="0.35">
      <c r="A1059" s="203">
        <f t="shared" si="32"/>
        <v>0</v>
      </c>
      <c r="C1059" s="205">
        <f t="shared" si="33"/>
        <v>0</v>
      </c>
      <c r="D1059" s="223"/>
      <c r="R1059" s="222"/>
    </row>
    <row r="1060" spans="1:18" x14ac:dyDescent="0.35">
      <c r="A1060" s="203">
        <f t="shared" si="32"/>
        <v>0</v>
      </c>
      <c r="C1060" s="205">
        <f t="shared" si="33"/>
        <v>0</v>
      </c>
      <c r="D1060" s="223"/>
      <c r="R1060" s="222"/>
    </row>
    <row r="1061" spans="1:18" x14ac:dyDescent="0.35">
      <c r="A1061" s="203">
        <f t="shared" si="32"/>
        <v>0</v>
      </c>
      <c r="C1061" s="205">
        <f t="shared" si="33"/>
        <v>0</v>
      </c>
      <c r="D1061" s="223"/>
      <c r="R1061" s="222"/>
    </row>
    <row r="1062" spans="1:18" x14ac:dyDescent="0.35">
      <c r="A1062" s="203">
        <f t="shared" si="32"/>
        <v>0</v>
      </c>
      <c r="C1062" s="205">
        <f t="shared" si="33"/>
        <v>0</v>
      </c>
      <c r="D1062" s="223"/>
      <c r="R1062" s="222"/>
    </row>
    <row r="1063" spans="1:18" x14ac:dyDescent="0.35">
      <c r="A1063" s="203">
        <f t="shared" si="32"/>
        <v>0</v>
      </c>
      <c r="C1063" s="205">
        <f t="shared" si="33"/>
        <v>0</v>
      </c>
      <c r="D1063" s="223"/>
      <c r="R1063" s="222"/>
    </row>
    <row r="1064" spans="1:18" x14ac:dyDescent="0.35">
      <c r="A1064" s="203">
        <f t="shared" si="32"/>
        <v>0</v>
      </c>
      <c r="C1064" s="205">
        <f t="shared" si="33"/>
        <v>0</v>
      </c>
      <c r="D1064" s="223"/>
      <c r="R1064" s="222"/>
    </row>
    <row r="1065" spans="1:18" x14ac:dyDescent="0.35">
      <c r="A1065" s="203">
        <f t="shared" si="32"/>
        <v>0</v>
      </c>
      <c r="C1065" s="205">
        <f t="shared" si="33"/>
        <v>0</v>
      </c>
      <c r="D1065" s="223"/>
      <c r="R1065" s="222"/>
    </row>
    <row r="1066" spans="1:18" x14ac:dyDescent="0.35">
      <c r="A1066" s="203">
        <f t="shared" si="32"/>
        <v>0</v>
      </c>
      <c r="C1066" s="205">
        <f t="shared" si="33"/>
        <v>0</v>
      </c>
      <c r="D1066" s="223"/>
      <c r="R1066" s="222"/>
    </row>
    <row r="1067" spans="1:18" x14ac:dyDescent="0.35">
      <c r="A1067" s="203">
        <f t="shared" si="32"/>
        <v>0</v>
      </c>
      <c r="C1067" s="205">
        <f t="shared" si="33"/>
        <v>0</v>
      </c>
      <c r="D1067" s="223"/>
      <c r="R1067" s="222"/>
    </row>
    <row r="1068" spans="1:18" x14ac:dyDescent="0.35">
      <c r="A1068" s="203">
        <f t="shared" si="32"/>
        <v>0</v>
      </c>
      <c r="C1068" s="205">
        <f t="shared" si="33"/>
        <v>0</v>
      </c>
      <c r="D1068" s="223"/>
      <c r="R1068" s="222"/>
    </row>
    <row r="1069" spans="1:18" x14ac:dyDescent="0.35">
      <c r="A1069" s="203">
        <f t="shared" si="32"/>
        <v>0</v>
      </c>
      <c r="C1069" s="205">
        <f t="shared" si="33"/>
        <v>0</v>
      </c>
      <c r="D1069" s="223"/>
      <c r="R1069" s="222"/>
    </row>
    <row r="1070" spans="1:18" x14ac:dyDescent="0.35">
      <c r="A1070" s="203">
        <f t="shared" si="32"/>
        <v>0</v>
      </c>
      <c r="C1070" s="205">
        <f t="shared" si="33"/>
        <v>0</v>
      </c>
      <c r="D1070" s="223"/>
      <c r="R1070" s="222"/>
    </row>
    <row r="1071" spans="1:18" x14ac:dyDescent="0.35">
      <c r="A1071" s="203">
        <f t="shared" si="32"/>
        <v>0</v>
      </c>
      <c r="C1071" s="205">
        <f t="shared" si="33"/>
        <v>0</v>
      </c>
      <c r="D1071" s="223"/>
      <c r="R1071" s="222"/>
    </row>
    <row r="1072" spans="1:18" x14ac:dyDescent="0.35">
      <c r="A1072" s="203">
        <f t="shared" si="32"/>
        <v>0</v>
      </c>
      <c r="C1072" s="205">
        <f t="shared" si="33"/>
        <v>0</v>
      </c>
      <c r="D1072" s="223"/>
      <c r="R1072" s="222"/>
    </row>
    <row r="1073" spans="1:18" x14ac:dyDescent="0.35">
      <c r="A1073" s="203">
        <f t="shared" si="32"/>
        <v>0</v>
      </c>
      <c r="C1073" s="205">
        <f t="shared" si="33"/>
        <v>0</v>
      </c>
      <c r="D1073" s="223"/>
      <c r="R1073" s="222"/>
    </row>
    <row r="1074" spans="1:18" x14ac:dyDescent="0.35">
      <c r="A1074" s="203">
        <f t="shared" si="32"/>
        <v>0</v>
      </c>
      <c r="C1074" s="205">
        <f t="shared" si="33"/>
        <v>0</v>
      </c>
      <c r="D1074" s="223"/>
      <c r="R1074" s="222"/>
    </row>
    <row r="1075" spans="1:18" x14ac:dyDescent="0.35">
      <c r="A1075" s="203">
        <f t="shared" si="32"/>
        <v>0</v>
      </c>
      <c r="C1075" s="205">
        <f t="shared" si="33"/>
        <v>0</v>
      </c>
      <c r="D1075" s="223"/>
      <c r="R1075" s="222"/>
    </row>
    <row r="1076" spans="1:18" x14ac:dyDescent="0.35">
      <c r="A1076" s="203">
        <f t="shared" si="32"/>
        <v>0</v>
      </c>
      <c r="C1076" s="205">
        <f t="shared" si="33"/>
        <v>0</v>
      </c>
      <c r="D1076" s="223"/>
      <c r="R1076" s="222"/>
    </row>
    <row r="1077" spans="1:18" x14ac:dyDescent="0.35">
      <c r="A1077" s="203">
        <f t="shared" si="32"/>
        <v>0</v>
      </c>
      <c r="C1077" s="205">
        <f t="shared" si="33"/>
        <v>0</v>
      </c>
      <c r="D1077" s="223"/>
      <c r="R1077" s="222"/>
    </row>
    <row r="1078" spans="1:18" x14ac:dyDescent="0.35">
      <c r="A1078" s="203">
        <f t="shared" si="32"/>
        <v>0</v>
      </c>
      <c r="C1078" s="205">
        <f t="shared" si="33"/>
        <v>0</v>
      </c>
      <c r="D1078" s="223"/>
      <c r="R1078" s="222"/>
    </row>
    <row r="1079" spans="1:18" x14ac:dyDescent="0.35">
      <c r="A1079" s="203">
        <f t="shared" si="32"/>
        <v>0</v>
      </c>
      <c r="C1079" s="205">
        <f t="shared" si="33"/>
        <v>0</v>
      </c>
      <c r="D1079" s="223"/>
      <c r="R1079" s="222"/>
    </row>
    <row r="1080" spans="1:18" x14ac:dyDescent="0.35">
      <c r="A1080" s="203">
        <f t="shared" si="32"/>
        <v>0</v>
      </c>
      <c r="C1080" s="205">
        <f t="shared" si="33"/>
        <v>0</v>
      </c>
      <c r="D1080" s="223"/>
      <c r="R1080" s="222"/>
    </row>
    <row r="1081" spans="1:18" x14ac:dyDescent="0.35">
      <c r="A1081" s="203">
        <f t="shared" si="32"/>
        <v>0</v>
      </c>
      <c r="C1081" s="205">
        <f t="shared" si="33"/>
        <v>0</v>
      </c>
      <c r="D1081" s="223"/>
      <c r="R1081" s="222"/>
    </row>
    <row r="1082" spans="1:18" x14ac:dyDescent="0.35">
      <c r="A1082" s="203">
        <f t="shared" si="32"/>
        <v>0</v>
      </c>
      <c r="C1082" s="205">
        <f t="shared" si="33"/>
        <v>0</v>
      </c>
      <c r="D1082" s="223"/>
      <c r="R1082" s="222"/>
    </row>
    <row r="1083" spans="1:18" x14ac:dyDescent="0.35">
      <c r="A1083" s="203">
        <f t="shared" si="32"/>
        <v>0</v>
      </c>
      <c r="C1083" s="205">
        <f t="shared" si="33"/>
        <v>0</v>
      </c>
      <c r="D1083" s="223"/>
      <c r="R1083" s="222"/>
    </row>
    <row r="1084" spans="1:18" x14ac:dyDescent="0.35">
      <c r="A1084" s="203">
        <f t="shared" si="32"/>
        <v>0</v>
      </c>
      <c r="C1084" s="205">
        <f t="shared" si="33"/>
        <v>0</v>
      </c>
      <c r="D1084" s="223"/>
      <c r="R1084" s="222"/>
    </row>
    <row r="1085" spans="1:18" x14ac:dyDescent="0.35">
      <c r="A1085" s="203">
        <f t="shared" si="32"/>
        <v>0</v>
      </c>
      <c r="C1085" s="205">
        <f t="shared" si="33"/>
        <v>0</v>
      </c>
      <c r="D1085" s="223"/>
      <c r="R1085" s="222"/>
    </row>
    <row r="1086" spans="1:18" x14ac:dyDescent="0.35">
      <c r="A1086" s="203">
        <f t="shared" si="32"/>
        <v>0</v>
      </c>
      <c r="C1086" s="205">
        <f t="shared" si="33"/>
        <v>0</v>
      </c>
      <c r="D1086" s="223"/>
      <c r="R1086" s="222"/>
    </row>
    <row r="1087" spans="1:18" x14ac:dyDescent="0.35">
      <c r="A1087" s="203">
        <f t="shared" si="32"/>
        <v>0</v>
      </c>
      <c r="C1087" s="205">
        <f t="shared" si="33"/>
        <v>0</v>
      </c>
      <c r="D1087" s="223"/>
      <c r="R1087" s="222"/>
    </row>
    <row r="1088" spans="1:18" x14ac:dyDescent="0.35">
      <c r="A1088" s="203">
        <f t="shared" si="32"/>
        <v>0</v>
      </c>
      <c r="C1088" s="205">
        <f t="shared" si="33"/>
        <v>0</v>
      </c>
      <c r="D1088" s="223"/>
      <c r="R1088" s="222"/>
    </row>
    <row r="1089" spans="1:18" x14ac:dyDescent="0.35">
      <c r="A1089" s="203">
        <f t="shared" si="32"/>
        <v>0</v>
      </c>
      <c r="C1089" s="205">
        <f t="shared" si="33"/>
        <v>0</v>
      </c>
      <c r="D1089" s="223"/>
      <c r="R1089" s="222"/>
    </row>
    <row r="1090" spans="1:18" x14ac:dyDescent="0.35">
      <c r="A1090" s="203">
        <f t="shared" si="32"/>
        <v>0</v>
      </c>
      <c r="C1090" s="205">
        <f t="shared" si="33"/>
        <v>0</v>
      </c>
      <c r="D1090" s="223"/>
      <c r="R1090" s="222"/>
    </row>
    <row r="1091" spans="1:18" x14ac:dyDescent="0.35">
      <c r="A1091" s="203">
        <f t="shared" ref="A1091:A1154" si="34">F1091</f>
        <v>0</v>
      </c>
      <c r="C1091" s="205">
        <f t="shared" ref="C1091:C1154" si="35">F1091</f>
        <v>0</v>
      </c>
      <c r="D1091" s="223"/>
      <c r="R1091" s="222"/>
    </row>
    <row r="1092" spans="1:18" x14ac:dyDescent="0.35">
      <c r="A1092" s="203">
        <f t="shared" si="34"/>
        <v>0</v>
      </c>
      <c r="C1092" s="205">
        <f t="shared" si="35"/>
        <v>0</v>
      </c>
      <c r="D1092" s="223"/>
      <c r="R1092" s="222"/>
    </row>
    <row r="1093" spans="1:18" x14ac:dyDescent="0.35">
      <c r="A1093" s="203">
        <f t="shared" si="34"/>
        <v>0</v>
      </c>
      <c r="C1093" s="205">
        <f t="shared" si="35"/>
        <v>0</v>
      </c>
      <c r="D1093" s="223"/>
      <c r="R1093" s="222"/>
    </row>
    <row r="1094" spans="1:18" x14ac:dyDescent="0.35">
      <c r="A1094" s="203">
        <f t="shared" si="34"/>
        <v>0</v>
      </c>
      <c r="C1094" s="205">
        <f t="shared" si="35"/>
        <v>0</v>
      </c>
      <c r="D1094" s="223"/>
      <c r="R1094" s="222"/>
    </row>
    <row r="1095" spans="1:18" x14ac:dyDescent="0.35">
      <c r="A1095" s="203">
        <f t="shared" si="34"/>
        <v>0</v>
      </c>
      <c r="C1095" s="205">
        <f t="shared" si="35"/>
        <v>0</v>
      </c>
      <c r="D1095" s="223"/>
      <c r="R1095" s="222"/>
    </row>
    <row r="1096" spans="1:18" x14ac:dyDescent="0.35">
      <c r="A1096" s="203">
        <f t="shared" si="34"/>
        <v>0</v>
      </c>
      <c r="C1096" s="205">
        <f t="shared" si="35"/>
        <v>0</v>
      </c>
      <c r="D1096" s="223"/>
      <c r="R1096" s="222"/>
    </row>
    <row r="1097" spans="1:18" x14ac:dyDescent="0.35">
      <c r="A1097" s="203">
        <f t="shared" si="34"/>
        <v>0</v>
      </c>
      <c r="C1097" s="205">
        <f t="shared" si="35"/>
        <v>0</v>
      </c>
      <c r="D1097" s="223"/>
      <c r="R1097" s="222"/>
    </row>
    <row r="1098" spans="1:18" x14ac:dyDescent="0.35">
      <c r="A1098" s="203">
        <f t="shared" si="34"/>
        <v>0</v>
      </c>
      <c r="C1098" s="205">
        <f t="shared" si="35"/>
        <v>0</v>
      </c>
      <c r="D1098" s="223"/>
      <c r="R1098" s="222"/>
    </row>
    <row r="1099" spans="1:18" x14ac:dyDescent="0.35">
      <c r="A1099" s="203">
        <f t="shared" si="34"/>
        <v>0</v>
      </c>
      <c r="C1099" s="205">
        <f t="shared" si="35"/>
        <v>0</v>
      </c>
      <c r="D1099" s="223"/>
      <c r="R1099" s="222"/>
    </row>
    <row r="1100" spans="1:18" x14ac:dyDescent="0.35">
      <c r="A1100" s="203">
        <f t="shared" si="34"/>
        <v>0</v>
      </c>
      <c r="C1100" s="205">
        <f t="shared" si="35"/>
        <v>0</v>
      </c>
      <c r="D1100" s="223"/>
      <c r="R1100" s="222"/>
    </row>
    <row r="1101" spans="1:18" x14ac:dyDescent="0.35">
      <c r="A1101" s="203">
        <f t="shared" si="34"/>
        <v>0</v>
      </c>
      <c r="C1101" s="205">
        <f t="shared" si="35"/>
        <v>0</v>
      </c>
      <c r="D1101" s="223"/>
      <c r="R1101" s="222"/>
    </row>
    <row r="1102" spans="1:18" x14ac:dyDescent="0.35">
      <c r="A1102" s="203">
        <f t="shared" si="34"/>
        <v>0</v>
      </c>
      <c r="C1102" s="205">
        <f t="shared" si="35"/>
        <v>0</v>
      </c>
      <c r="D1102" s="223"/>
      <c r="R1102" s="222"/>
    </row>
    <row r="1103" spans="1:18" x14ac:dyDescent="0.35">
      <c r="A1103" s="203">
        <f t="shared" si="34"/>
        <v>0</v>
      </c>
      <c r="C1103" s="205">
        <f t="shared" si="35"/>
        <v>0</v>
      </c>
      <c r="D1103" s="223"/>
      <c r="R1103" s="222"/>
    </row>
    <row r="1104" spans="1:18" x14ac:dyDescent="0.35">
      <c r="A1104" s="203">
        <f t="shared" si="34"/>
        <v>0</v>
      </c>
      <c r="C1104" s="205">
        <f t="shared" si="35"/>
        <v>0</v>
      </c>
      <c r="D1104" s="223"/>
      <c r="R1104" s="222"/>
    </row>
    <row r="1105" spans="1:18" x14ac:dyDescent="0.35">
      <c r="A1105" s="203">
        <f t="shared" si="34"/>
        <v>0</v>
      </c>
      <c r="C1105" s="205">
        <f t="shared" si="35"/>
        <v>0</v>
      </c>
      <c r="D1105" s="223"/>
      <c r="R1105" s="222"/>
    </row>
    <row r="1106" spans="1:18" x14ac:dyDescent="0.35">
      <c r="A1106" s="203">
        <f t="shared" si="34"/>
        <v>0</v>
      </c>
      <c r="C1106" s="205">
        <f t="shared" si="35"/>
        <v>0</v>
      </c>
      <c r="D1106" s="223"/>
      <c r="R1106" s="222"/>
    </row>
    <row r="1107" spans="1:18" x14ac:dyDescent="0.35">
      <c r="A1107" s="203">
        <f t="shared" si="34"/>
        <v>0</v>
      </c>
      <c r="C1107" s="205">
        <f t="shared" si="35"/>
        <v>0</v>
      </c>
      <c r="D1107" s="223"/>
      <c r="R1107" s="222"/>
    </row>
    <row r="1108" spans="1:18" x14ac:dyDescent="0.35">
      <c r="A1108" s="203">
        <f t="shared" si="34"/>
        <v>0</v>
      </c>
      <c r="C1108" s="205">
        <f t="shared" si="35"/>
        <v>0</v>
      </c>
      <c r="D1108" s="223"/>
      <c r="R1108" s="222"/>
    </row>
    <row r="1109" spans="1:18" x14ac:dyDescent="0.35">
      <c r="A1109" s="203">
        <f t="shared" si="34"/>
        <v>0</v>
      </c>
      <c r="C1109" s="205">
        <f t="shared" si="35"/>
        <v>0</v>
      </c>
      <c r="D1109" s="223"/>
      <c r="R1109" s="222"/>
    </row>
    <row r="1110" spans="1:18" x14ac:dyDescent="0.35">
      <c r="A1110" s="203">
        <f t="shared" si="34"/>
        <v>0</v>
      </c>
      <c r="C1110" s="205">
        <f t="shared" si="35"/>
        <v>0</v>
      </c>
      <c r="D1110" s="223"/>
      <c r="R1110" s="222"/>
    </row>
    <row r="1111" spans="1:18" x14ac:dyDescent="0.35">
      <c r="A1111" s="203">
        <f t="shared" si="34"/>
        <v>0</v>
      </c>
      <c r="C1111" s="205">
        <f t="shared" si="35"/>
        <v>0</v>
      </c>
      <c r="D1111" s="223"/>
      <c r="R1111" s="222"/>
    </row>
    <row r="1112" spans="1:18" x14ac:dyDescent="0.35">
      <c r="A1112" s="203">
        <f t="shared" si="34"/>
        <v>0</v>
      </c>
      <c r="C1112" s="205">
        <f t="shared" si="35"/>
        <v>0</v>
      </c>
      <c r="D1112" s="223"/>
      <c r="R1112" s="222"/>
    </row>
    <row r="1113" spans="1:18" x14ac:dyDescent="0.35">
      <c r="A1113" s="203">
        <f t="shared" si="34"/>
        <v>0</v>
      </c>
      <c r="C1113" s="205">
        <f t="shared" si="35"/>
        <v>0</v>
      </c>
      <c r="D1113" s="223"/>
      <c r="R1113" s="222"/>
    </row>
    <row r="1114" spans="1:18" x14ac:dyDescent="0.35">
      <c r="A1114" s="203">
        <f t="shared" si="34"/>
        <v>0</v>
      </c>
      <c r="C1114" s="205">
        <f t="shared" si="35"/>
        <v>0</v>
      </c>
      <c r="D1114" s="223"/>
      <c r="R1114" s="222"/>
    </row>
    <row r="1115" spans="1:18" x14ac:dyDescent="0.35">
      <c r="A1115" s="203">
        <f t="shared" si="34"/>
        <v>0</v>
      </c>
      <c r="C1115" s="205">
        <f t="shared" si="35"/>
        <v>0</v>
      </c>
      <c r="D1115" s="223"/>
      <c r="R1115" s="222"/>
    </row>
    <row r="1116" spans="1:18" x14ac:dyDescent="0.35">
      <c r="A1116" s="203">
        <f t="shared" si="34"/>
        <v>0</v>
      </c>
      <c r="C1116" s="205">
        <f t="shared" si="35"/>
        <v>0</v>
      </c>
      <c r="D1116" s="223"/>
      <c r="R1116" s="222"/>
    </row>
    <row r="1117" spans="1:18" x14ac:dyDescent="0.35">
      <c r="A1117" s="203">
        <f t="shared" si="34"/>
        <v>0</v>
      </c>
      <c r="C1117" s="205">
        <f t="shared" si="35"/>
        <v>0</v>
      </c>
      <c r="D1117" s="223"/>
      <c r="R1117" s="222"/>
    </row>
    <row r="1118" spans="1:18" x14ac:dyDescent="0.35">
      <c r="A1118" s="203">
        <f t="shared" si="34"/>
        <v>0</v>
      </c>
      <c r="C1118" s="205">
        <f t="shared" si="35"/>
        <v>0</v>
      </c>
      <c r="D1118" s="223"/>
      <c r="R1118" s="222"/>
    </row>
    <row r="1119" spans="1:18" x14ac:dyDescent="0.35">
      <c r="A1119" s="203">
        <f t="shared" si="34"/>
        <v>0</v>
      </c>
      <c r="C1119" s="205">
        <f t="shared" si="35"/>
        <v>0</v>
      </c>
      <c r="D1119" s="223"/>
      <c r="R1119" s="222"/>
    </row>
    <row r="1120" spans="1:18" x14ac:dyDescent="0.35">
      <c r="A1120" s="203">
        <f t="shared" si="34"/>
        <v>0</v>
      </c>
      <c r="C1120" s="205">
        <f t="shared" si="35"/>
        <v>0</v>
      </c>
      <c r="D1120" s="223"/>
      <c r="R1120" s="222"/>
    </row>
    <row r="1121" spans="1:18" x14ac:dyDescent="0.35">
      <c r="A1121" s="203">
        <f t="shared" si="34"/>
        <v>0</v>
      </c>
      <c r="C1121" s="205">
        <f t="shared" si="35"/>
        <v>0</v>
      </c>
      <c r="D1121" s="223"/>
      <c r="R1121" s="222"/>
    </row>
    <row r="1122" spans="1:18" x14ac:dyDescent="0.35">
      <c r="A1122" s="203">
        <f t="shared" si="34"/>
        <v>0</v>
      </c>
      <c r="C1122" s="205">
        <f t="shared" si="35"/>
        <v>0</v>
      </c>
      <c r="D1122" s="223"/>
      <c r="R1122" s="222"/>
    </row>
    <row r="1123" spans="1:18" x14ac:dyDescent="0.35">
      <c r="A1123" s="203">
        <f t="shared" si="34"/>
        <v>0</v>
      </c>
      <c r="C1123" s="205">
        <f t="shared" si="35"/>
        <v>0</v>
      </c>
      <c r="D1123" s="223"/>
      <c r="R1123" s="222"/>
    </row>
    <row r="1124" spans="1:18" x14ac:dyDescent="0.35">
      <c r="A1124" s="203">
        <f t="shared" si="34"/>
        <v>0</v>
      </c>
      <c r="C1124" s="205">
        <f t="shared" si="35"/>
        <v>0</v>
      </c>
      <c r="D1124" s="223"/>
      <c r="R1124" s="222"/>
    </row>
    <row r="1125" spans="1:18" x14ac:dyDescent="0.35">
      <c r="A1125" s="203">
        <f t="shared" si="34"/>
        <v>0</v>
      </c>
      <c r="C1125" s="205">
        <f t="shared" si="35"/>
        <v>0</v>
      </c>
      <c r="D1125" s="223"/>
      <c r="R1125" s="222"/>
    </row>
    <row r="1126" spans="1:18" x14ac:dyDescent="0.35">
      <c r="A1126" s="203">
        <f t="shared" si="34"/>
        <v>0</v>
      </c>
      <c r="C1126" s="205">
        <f t="shared" si="35"/>
        <v>0</v>
      </c>
      <c r="D1126" s="223"/>
      <c r="R1126" s="222"/>
    </row>
    <row r="1127" spans="1:18" x14ac:dyDescent="0.35">
      <c r="A1127" s="203">
        <f t="shared" si="34"/>
        <v>0</v>
      </c>
      <c r="C1127" s="205">
        <f t="shared" si="35"/>
        <v>0</v>
      </c>
      <c r="D1127" s="223"/>
      <c r="R1127" s="222"/>
    </row>
    <row r="1128" spans="1:18" x14ac:dyDescent="0.35">
      <c r="A1128" s="203">
        <f t="shared" si="34"/>
        <v>0</v>
      </c>
      <c r="C1128" s="205">
        <f t="shared" si="35"/>
        <v>0</v>
      </c>
      <c r="D1128" s="223"/>
      <c r="R1128" s="222"/>
    </row>
    <row r="1129" spans="1:18" x14ac:dyDescent="0.35">
      <c r="A1129" s="203">
        <f t="shared" si="34"/>
        <v>0</v>
      </c>
      <c r="C1129" s="205">
        <f t="shared" si="35"/>
        <v>0</v>
      </c>
      <c r="D1129" s="223"/>
      <c r="R1129" s="222"/>
    </row>
    <row r="1130" spans="1:18" x14ac:dyDescent="0.35">
      <c r="A1130" s="203">
        <f t="shared" si="34"/>
        <v>0</v>
      </c>
      <c r="C1130" s="205">
        <f t="shared" si="35"/>
        <v>0</v>
      </c>
      <c r="D1130" s="223"/>
      <c r="R1130" s="222"/>
    </row>
    <row r="1131" spans="1:18" x14ac:dyDescent="0.35">
      <c r="A1131" s="203">
        <f t="shared" si="34"/>
        <v>0</v>
      </c>
      <c r="C1131" s="205">
        <f t="shared" si="35"/>
        <v>0</v>
      </c>
      <c r="D1131" s="223"/>
      <c r="R1131" s="222"/>
    </row>
    <row r="1132" spans="1:18" x14ac:dyDescent="0.35">
      <c r="A1132" s="203">
        <f t="shared" si="34"/>
        <v>0</v>
      </c>
      <c r="C1132" s="205">
        <f t="shared" si="35"/>
        <v>0</v>
      </c>
      <c r="D1132" s="223"/>
      <c r="R1132" s="222"/>
    </row>
    <row r="1133" spans="1:18" x14ac:dyDescent="0.35">
      <c r="A1133" s="203">
        <f t="shared" si="34"/>
        <v>0</v>
      </c>
      <c r="C1133" s="205">
        <f t="shared" si="35"/>
        <v>0</v>
      </c>
      <c r="D1133" s="223"/>
      <c r="R1133" s="222"/>
    </row>
    <row r="1134" spans="1:18" x14ac:dyDescent="0.35">
      <c r="A1134" s="203">
        <f t="shared" si="34"/>
        <v>0</v>
      </c>
      <c r="C1134" s="205">
        <f t="shared" si="35"/>
        <v>0</v>
      </c>
      <c r="D1134" s="223"/>
      <c r="R1134" s="222"/>
    </row>
    <row r="1135" spans="1:18" x14ac:dyDescent="0.35">
      <c r="A1135" s="203">
        <f t="shared" si="34"/>
        <v>0</v>
      </c>
      <c r="C1135" s="205">
        <f t="shared" si="35"/>
        <v>0</v>
      </c>
      <c r="D1135" s="223"/>
      <c r="R1135" s="222"/>
    </row>
    <row r="1136" spans="1:18" x14ac:dyDescent="0.35">
      <c r="A1136" s="203">
        <f t="shared" si="34"/>
        <v>0</v>
      </c>
      <c r="C1136" s="205">
        <f t="shared" si="35"/>
        <v>0</v>
      </c>
      <c r="D1136" s="223"/>
      <c r="R1136" s="222"/>
    </row>
    <row r="1137" spans="1:18" x14ac:dyDescent="0.35">
      <c r="A1137" s="203">
        <f t="shared" si="34"/>
        <v>0</v>
      </c>
      <c r="C1137" s="205">
        <f t="shared" si="35"/>
        <v>0</v>
      </c>
      <c r="D1137" s="223"/>
      <c r="R1137" s="222"/>
    </row>
    <row r="1138" spans="1:18" x14ac:dyDescent="0.35">
      <c r="A1138" s="203">
        <f t="shared" si="34"/>
        <v>0</v>
      </c>
      <c r="C1138" s="205">
        <f t="shared" si="35"/>
        <v>0</v>
      </c>
      <c r="D1138" s="223"/>
      <c r="R1138" s="222"/>
    </row>
    <row r="1139" spans="1:18" x14ac:dyDescent="0.35">
      <c r="A1139" s="203">
        <f t="shared" si="34"/>
        <v>0</v>
      </c>
      <c r="C1139" s="205">
        <f t="shared" si="35"/>
        <v>0</v>
      </c>
      <c r="D1139" s="223"/>
      <c r="R1139" s="222"/>
    </row>
    <row r="1140" spans="1:18" x14ac:dyDescent="0.35">
      <c r="A1140" s="203">
        <f t="shared" si="34"/>
        <v>0</v>
      </c>
      <c r="C1140" s="205">
        <f t="shared" si="35"/>
        <v>0</v>
      </c>
      <c r="D1140" s="223"/>
      <c r="R1140" s="222"/>
    </row>
    <row r="1141" spans="1:18" x14ac:dyDescent="0.35">
      <c r="A1141" s="203">
        <f t="shared" si="34"/>
        <v>0</v>
      </c>
      <c r="C1141" s="205">
        <f t="shared" si="35"/>
        <v>0</v>
      </c>
      <c r="D1141" s="223"/>
      <c r="R1141" s="222"/>
    </row>
    <row r="1142" spans="1:18" x14ac:dyDescent="0.35">
      <c r="A1142" s="203">
        <f t="shared" si="34"/>
        <v>0</v>
      </c>
      <c r="C1142" s="205">
        <f t="shared" si="35"/>
        <v>0</v>
      </c>
      <c r="D1142" s="223"/>
      <c r="R1142" s="222"/>
    </row>
    <row r="1143" spans="1:18" x14ac:dyDescent="0.35">
      <c r="A1143" s="203">
        <f t="shared" si="34"/>
        <v>0</v>
      </c>
      <c r="C1143" s="205">
        <f t="shared" si="35"/>
        <v>0</v>
      </c>
      <c r="D1143" s="223"/>
      <c r="R1143" s="222"/>
    </row>
    <row r="1144" spans="1:18" x14ac:dyDescent="0.35">
      <c r="A1144" s="203">
        <f t="shared" si="34"/>
        <v>0</v>
      </c>
      <c r="C1144" s="205">
        <f t="shared" si="35"/>
        <v>0</v>
      </c>
      <c r="D1144" s="223"/>
      <c r="R1144" s="222"/>
    </row>
    <row r="1145" spans="1:18" x14ac:dyDescent="0.35">
      <c r="A1145" s="203">
        <f t="shared" si="34"/>
        <v>0</v>
      </c>
      <c r="C1145" s="205">
        <f t="shared" si="35"/>
        <v>0</v>
      </c>
      <c r="D1145" s="223"/>
      <c r="R1145" s="222"/>
    </row>
    <row r="1146" spans="1:18" x14ac:dyDescent="0.35">
      <c r="A1146" s="203">
        <f t="shared" si="34"/>
        <v>0</v>
      </c>
      <c r="C1146" s="205">
        <f t="shared" si="35"/>
        <v>0</v>
      </c>
      <c r="D1146" s="223"/>
      <c r="R1146" s="222"/>
    </row>
    <row r="1147" spans="1:18" x14ac:dyDescent="0.35">
      <c r="A1147" s="203">
        <f t="shared" si="34"/>
        <v>0</v>
      </c>
      <c r="C1147" s="205">
        <f t="shared" si="35"/>
        <v>0</v>
      </c>
      <c r="D1147" s="223"/>
      <c r="R1147" s="222"/>
    </row>
    <row r="1148" spans="1:18" x14ac:dyDescent="0.35">
      <c r="A1148" s="203">
        <f t="shared" si="34"/>
        <v>0</v>
      </c>
      <c r="C1148" s="205">
        <f t="shared" si="35"/>
        <v>0</v>
      </c>
      <c r="D1148" s="223"/>
      <c r="R1148" s="222"/>
    </row>
    <row r="1149" spans="1:18" x14ac:dyDescent="0.35">
      <c r="A1149" s="203">
        <f t="shared" si="34"/>
        <v>0</v>
      </c>
      <c r="C1149" s="205">
        <f t="shared" si="35"/>
        <v>0</v>
      </c>
      <c r="D1149" s="223"/>
      <c r="R1149" s="222"/>
    </row>
    <row r="1150" spans="1:18" x14ac:dyDescent="0.35">
      <c r="A1150" s="203">
        <f t="shared" si="34"/>
        <v>0</v>
      </c>
      <c r="C1150" s="205">
        <f t="shared" si="35"/>
        <v>0</v>
      </c>
      <c r="D1150" s="223"/>
      <c r="R1150" s="222"/>
    </row>
    <row r="1151" spans="1:18" x14ac:dyDescent="0.35">
      <c r="A1151" s="203">
        <f t="shared" si="34"/>
        <v>0</v>
      </c>
      <c r="C1151" s="205">
        <f t="shared" si="35"/>
        <v>0</v>
      </c>
      <c r="D1151" s="223"/>
      <c r="R1151" s="222"/>
    </row>
    <row r="1152" spans="1:18" x14ac:dyDescent="0.35">
      <c r="A1152" s="203">
        <f t="shared" si="34"/>
        <v>0</v>
      </c>
      <c r="C1152" s="205">
        <f t="shared" si="35"/>
        <v>0</v>
      </c>
      <c r="D1152" s="223"/>
      <c r="R1152" s="222"/>
    </row>
    <row r="1153" spans="1:18" x14ac:dyDescent="0.35">
      <c r="A1153" s="203">
        <f t="shared" si="34"/>
        <v>0</v>
      </c>
      <c r="C1153" s="205">
        <f t="shared" si="35"/>
        <v>0</v>
      </c>
      <c r="D1153" s="223"/>
      <c r="R1153" s="222"/>
    </row>
    <row r="1154" spans="1:18" x14ac:dyDescent="0.35">
      <c r="A1154" s="203">
        <f t="shared" si="34"/>
        <v>0</v>
      </c>
      <c r="C1154" s="205">
        <f t="shared" si="35"/>
        <v>0</v>
      </c>
      <c r="D1154" s="223"/>
      <c r="R1154" s="222"/>
    </row>
    <row r="1155" spans="1:18" x14ac:dyDescent="0.35">
      <c r="A1155" s="203">
        <f t="shared" ref="A1155:A1218" si="36">F1155</f>
        <v>0</v>
      </c>
      <c r="C1155" s="205">
        <f t="shared" ref="C1155:C1218" si="37">F1155</f>
        <v>0</v>
      </c>
      <c r="D1155" s="223"/>
      <c r="R1155" s="222"/>
    </row>
    <row r="1156" spans="1:18" x14ac:dyDescent="0.35">
      <c r="A1156" s="203">
        <f t="shared" si="36"/>
        <v>0</v>
      </c>
      <c r="C1156" s="205">
        <f t="shared" si="37"/>
        <v>0</v>
      </c>
      <c r="D1156" s="223"/>
      <c r="R1156" s="222"/>
    </row>
    <row r="1157" spans="1:18" x14ac:dyDescent="0.35">
      <c r="A1157" s="203">
        <f t="shared" si="36"/>
        <v>0</v>
      </c>
      <c r="C1157" s="205">
        <f t="shared" si="37"/>
        <v>0</v>
      </c>
      <c r="D1157" s="223"/>
      <c r="R1157" s="222"/>
    </row>
    <row r="1158" spans="1:18" x14ac:dyDescent="0.35">
      <c r="A1158" s="203">
        <f t="shared" si="36"/>
        <v>0</v>
      </c>
      <c r="C1158" s="205">
        <f t="shared" si="37"/>
        <v>0</v>
      </c>
      <c r="D1158" s="223"/>
      <c r="R1158" s="222"/>
    </row>
    <row r="1159" spans="1:18" x14ac:dyDescent="0.35">
      <c r="A1159" s="203">
        <f t="shared" si="36"/>
        <v>0</v>
      </c>
      <c r="C1159" s="205">
        <f t="shared" si="37"/>
        <v>0</v>
      </c>
      <c r="D1159" s="223"/>
      <c r="R1159" s="222"/>
    </row>
    <row r="1160" spans="1:18" x14ac:dyDescent="0.35">
      <c r="A1160" s="203">
        <f t="shared" si="36"/>
        <v>0</v>
      </c>
      <c r="C1160" s="205">
        <f t="shared" si="37"/>
        <v>0</v>
      </c>
      <c r="D1160" s="223"/>
      <c r="R1160" s="222"/>
    </row>
    <row r="1161" spans="1:18" x14ac:dyDescent="0.35">
      <c r="A1161" s="203">
        <f t="shared" si="36"/>
        <v>0</v>
      </c>
      <c r="C1161" s="205">
        <f t="shared" si="37"/>
        <v>0</v>
      </c>
      <c r="D1161" s="223"/>
      <c r="R1161" s="222"/>
    </row>
    <row r="1162" spans="1:18" x14ac:dyDescent="0.35">
      <c r="A1162" s="203">
        <f t="shared" si="36"/>
        <v>0</v>
      </c>
      <c r="C1162" s="205">
        <f t="shared" si="37"/>
        <v>0</v>
      </c>
      <c r="D1162" s="223"/>
      <c r="R1162" s="222"/>
    </row>
    <row r="1163" spans="1:18" x14ac:dyDescent="0.35">
      <c r="A1163" s="203">
        <f t="shared" si="36"/>
        <v>0</v>
      </c>
      <c r="C1163" s="205">
        <f t="shared" si="37"/>
        <v>0</v>
      </c>
      <c r="D1163" s="223"/>
      <c r="R1163" s="222"/>
    </row>
    <row r="1164" spans="1:18" x14ac:dyDescent="0.35">
      <c r="A1164" s="203">
        <f t="shared" si="36"/>
        <v>0</v>
      </c>
      <c r="C1164" s="205">
        <f t="shared" si="37"/>
        <v>0</v>
      </c>
      <c r="D1164" s="223"/>
      <c r="R1164" s="222"/>
    </row>
    <row r="1165" spans="1:18" x14ac:dyDescent="0.35">
      <c r="A1165" s="203">
        <f t="shared" si="36"/>
        <v>0</v>
      </c>
      <c r="C1165" s="205">
        <f t="shared" si="37"/>
        <v>0</v>
      </c>
      <c r="D1165" s="223"/>
      <c r="R1165" s="222"/>
    </row>
    <row r="1166" spans="1:18" x14ac:dyDescent="0.35">
      <c r="A1166" s="203">
        <f t="shared" si="36"/>
        <v>0</v>
      </c>
      <c r="C1166" s="205">
        <f t="shared" si="37"/>
        <v>0</v>
      </c>
      <c r="D1166" s="223"/>
      <c r="R1166" s="222"/>
    </row>
    <row r="1167" spans="1:18" x14ac:dyDescent="0.35">
      <c r="A1167" s="203">
        <f t="shared" si="36"/>
        <v>0</v>
      </c>
      <c r="C1167" s="205">
        <f t="shared" si="37"/>
        <v>0</v>
      </c>
      <c r="D1167" s="223"/>
      <c r="R1167" s="222"/>
    </row>
    <row r="1168" spans="1:18" x14ac:dyDescent="0.35">
      <c r="A1168" s="203">
        <f t="shared" si="36"/>
        <v>0</v>
      </c>
      <c r="C1168" s="205">
        <f t="shared" si="37"/>
        <v>0</v>
      </c>
      <c r="D1168" s="223"/>
      <c r="R1168" s="222"/>
    </row>
    <row r="1169" spans="1:18" x14ac:dyDescent="0.35">
      <c r="A1169" s="203">
        <f t="shared" si="36"/>
        <v>0</v>
      </c>
      <c r="C1169" s="205">
        <f t="shared" si="37"/>
        <v>0</v>
      </c>
      <c r="D1169" s="223"/>
      <c r="R1169" s="222"/>
    </row>
    <row r="1170" spans="1:18" x14ac:dyDescent="0.35">
      <c r="A1170" s="203">
        <f t="shared" si="36"/>
        <v>0</v>
      </c>
      <c r="C1170" s="205">
        <f t="shared" si="37"/>
        <v>0</v>
      </c>
      <c r="D1170" s="223"/>
      <c r="R1170" s="222"/>
    </row>
    <row r="1171" spans="1:18" x14ac:dyDescent="0.35">
      <c r="A1171" s="203">
        <f t="shared" si="36"/>
        <v>0</v>
      </c>
      <c r="C1171" s="205">
        <f t="shared" si="37"/>
        <v>0</v>
      </c>
      <c r="D1171" s="223"/>
      <c r="R1171" s="222"/>
    </row>
    <row r="1172" spans="1:18" x14ac:dyDescent="0.35">
      <c r="A1172" s="203">
        <f t="shared" si="36"/>
        <v>0</v>
      </c>
      <c r="C1172" s="205">
        <f t="shared" si="37"/>
        <v>0</v>
      </c>
      <c r="D1172" s="223"/>
      <c r="R1172" s="222"/>
    </row>
    <row r="1173" spans="1:18" x14ac:dyDescent="0.35">
      <c r="A1173" s="203">
        <f t="shared" si="36"/>
        <v>0</v>
      </c>
      <c r="C1173" s="205">
        <f t="shared" si="37"/>
        <v>0</v>
      </c>
      <c r="D1173" s="223"/>
      <c r="R1173" s="222"/>
    </row>
    <row r="1174" spans="1:18" x14ac:dyDescent="0.35">
      <c r="A1174" s="203">
        <f t="shared" si="36"/>
        <v>0</v>
      </c>
      <c r="C1174" s="205">
        <f t="shared" si="37"/>
        <v>0</v>
      </c>
      <c r="D1174" s="223"/>
      <c r="R1174" s="222"/>
    </row>
    <row r="1175" spans="1:18" x14ac:dyDescent="0.35">
      <c r="A1175" s="203">
        <f t="shared" si="36"/>
        <v>0</v>
      </c>
      <c r="C1175" s="205">
        <f t="shared" si="37"/>
        <v>0</v>
      </c>
      <c r="D1175" s="223"/>
      <c r="R1175" s="222"/>
    </row>
    <row r="1176" spans="1:18" x14ac:dyDescent="0.35">
      <c r="A1176" s="203">
        <f t="shared" si="36"/>
        <v>0</v>
      </c>
      <c r="C1176" s="205">
        <f t="shared" si="37"/>
        <v>0</v>
      </c>
      <c r="D1176" s="223"/>
      <c r="R1176" s="222"/>
    </row>
    <row r="1177" spans="1:18" x14ac:dyDescent="0.35">
      <c r="A1177" s="203">
        <f t="shared" si="36"/>
        <v>0</v>
      </c>
      <c r="C1177" s="205">
        <f t="shared" si="37"/>
        <v>0</v>
      </c>
      <c r="D1177" s="223"/>
      <c r="R1177" s="222"/>
    </row>
    <row r="1178" spans="1:18" x14ac:dyDescent="0.35">
      <c r="A1178" s="203">
        <f t="shared" si="36"/>
        <v>0</v>
      </c>
      <c r="C1178" s="205">
        <f t="shared" si="37"/>
        <v>0</v>
      </c>
      <c r="D1178" s="223"/>
      <c r="R1178" s="222"/>
    </row>
    <row r="1179" spans="1:18" x14ac:dyDescent="0.35">
      <c r="A1179" s="203">
        <f t="shared" si="36"/>
        <v>0</v>
      </c>
      <c r="C1179" s="205">
        <f t="shared" si="37"/>
        <v>0</v>
      </c>
      <c r="D1179" s="223"/>
      <c r="R1179" s="222"/>
    </row>
    <row r="1180" spans="1:18" x14ac:dyDescent="0.35">
      <c r="A1180" s="203">
        <f t="shared" si="36"/>
        <v>0</v>
      </c>
      <c r="C1180" s="205">
        <f t="shared" si="37"/>
        <v>0</v>
      </c>
      <c r="D1180" s="223"/>
      <c r="R1180" s="222"/>
    </row>
    <row r="1181" spans="1:18" x14ac:dyDescent="0.35">
      <c r="A1181" s="203">
        <f t="shared" si="36"/>
        <v>0</v>
      </c>
      <c r="C1181" s="205">
        <f t="shared" si="37"/>
        <v>0</v>
      </c>
      <c r="D1181" s="223"/>
      <c r="R1181" s="222"/>
    </row>
    <row r="1182" spans="1:18" x14ac:dyDescent="0.35">
      <c r="A1182" s="203">
        <f t="shared" si="36"/>
        <v>0</v>
      </c>
      <c r="C1182" s="205">
        <f t="shared" si="37"/>
        <v>0</v>
      </c>
      <c r="D1182" s="223"/>
      <c r="R1182" s="222"/>
    </row>
    <row r="1183" spans="1:18" x14ac:dyDescent="0.35">
      <c r="A1183" s="203">
        <f t="shared" si="36"/>
        <v>0</v>
      </c>
      <c r="C1183" s="205">
        <f t="shared" si="37"/>
        <v>0</v>
      </c>
      <c r="D1183" s="223"/>
      <c r="R1183" s="222"/>
    </row>
    <row r="1184" spans="1:18" x14ac:dyDescent="0.35">
      <c r="A1184" s="203">
        <f t="shared" si="36"/>
        <v>0</v>
      </c>
      <c r="C1184" s="205">
        <f t="shared" si="37"/>
        <v>0</v>
      </c>
      <c r="D1184" s="223"/>
      <c r="R1184" s="222"/>
    </row>
    <row r="1185" spans="1:18" x14ac:dyDescent="0.35">
      <c r="A1185" s="203">
        <f t="shared" si="36"/>
        <v>0</v>
      </c>
      <c r="C1185" s="205">
        <f t="shared" si="37"/>
        <v>0</v>
      </c>
      <c r="D1185" s="223"/>
      <c r="R1185" s="222"/>
    </row>
    <row r="1186" spans="1:18" x14ac:dyDescent="0.35">
      <c r="A1186" s="203">
        <f t="shared" si="36"/>
        <v>0</v>
      </c>
      <c r="C1186" s="205">
        <f t="shared" si="37"/>
        <v>0</v>
      </c>
      <c r="D1186" s="223"/>
      <c r="R1186" s="222"/>
    </row>
    <row r="1187" spans="1:18" x14ac:dyDescent="0.35">
      <c r="A1187" s="203">
        <f t="shared" si="36"/>
        <v>0</v>
      </c>
      <c r="C1187" s="205">
        <f t="shared" si="37"/>
        <v>0</v>
      </c>
      <c r="D1187" s="223"/>
      <c r="R1187" s="222"/>
    </row>
    <row r="1188" spans="1:18" x14ac:dyDescent="0.35">
      <c r="A1188" s="203">
        <f t="shared" si="36"/>
        <v>0</v>
      </c>
      <c r="C1188" s="205">
        <f t="shared" si="37"/>
        <v>0</v>
      </c>
      <c r="D1188" s="223"/>
      <c r="R1188" s="222"/>
    </row>
    <row r="1189" spans="1:18" x14ac:dyDescent="0.35">
      <c r="A1189" s="203">
        <f t="shared" si="36"/>
        <v>0</v>
      </c>
      <c r="C1189" s="205">
        <f t="shared" si="37"/>
        <v>0</v>
      </c>
      <c r="D1189" s="223"/>
      <c r="R1189" s="222"/>
    </row>
    <row r="1190" spans="1:18" x14ac:dyDescent="0.35">
      <c r="A1190" s="203">
        <f t="shared" si="36"/>
        <v>0</v>
      </c>
      <c r="C1190" s="205">
        <f t="shared" si="37"/>
        <v>0</v>
      </c>
      <c r="D1190" s="223"/>
      <c r="R1190" s="222"/>
    </row>
    <row r="1191" spans="1:18" x14ac:dyDescent="0.35">
      <c r="A1191" s="203">
        <f t="shared" si="36"/>
        <v>0</v>
      </c>
      <c r="C1191" s="205">
        <f t="shared" si="37"/>
        <v>0</v>
      </c>
      <c r="D1191" s="223"/>
      <c r="R1191" s="222"/>
    </row>
    <row r="1192" spans="1:18" x14ac:dyDescent="0.35">
      <c r="A1192" s="203">
        <f t="shared" si="36"/>
        <v>0</v>
      </c>
      <c r="C1192" s="205">
        <f t="shared" si="37"/>
        <v>0</v>
      </c>
      <c r="D1192" s="223"/>
      <c r="R1192" s="222"/>
    </row>
    <row r="1193" spans="1:18" x14ac:dyDescent="0.35">
      <c r="A1193" s="203">
        <f t="shared" si="36"/>
        <v>0</v>
      </c>
      <c r="C1193" s="205">
        <f t="shared" si="37"/>
        <v>0</v>
      </c>
      <c r="D1193" s="223"/>
      <c r="R1193" s="222"/>
    </row>
    <row r="1194" spans="1:18" x14ac:dyDescent="0.35">
      <c r="A1194" s="203">
        <f t="shared" si="36"/>
        <v>0</v>
      </c>
      <c r="C1194" s="205">
        <f t="shared" si="37"/>
        <v>0</v>
      </c>
      <c r="D1194" s="223"/>
      <c r="R1194" s="222"/>
    </row>
    <row r="1195" spans="1:18" x14ac:dyDescent="0.35">
      <c r="A1195" s="203">
        <f t="shared" si="36"/>
        <v>0</v>
      </c>
      <c r="C1195" s="205">
        <f t="shared" si="37"/>
        <v>0</v>
      </c>
      <c r="D1195" s="223"/>
      <c r="R1195" s="222"/>
    </row>
    <row r="1196" spans="1:18" x14ac:dyDescent="0.35">
      <c r="A1196" s="203">
        <f t="shared" si="36"/>
        <v>0</v>
      </c>
      <c r="C1196" s="205">
        <f t="shared" si="37"/>
        <v>0</v>
      </c>
      <c r="D1196" s="223"/>
      <c r="R1196" s="222"/>
    </row>
    <row r="1197" spans="1:18" x14ac:dyDescent="0.35">
      <c r="A1197" s="203">
        <f t="shared" si="36"/>
        <v>0</v>
      </c>
      <c r="C1197" s="205">
        <f t="shared" si="37"/>
        <v>0</v>
      </c>
      <c r="D1197" s="223"/>
      <c r="R1197" s="222"/>
    </row>
    <row r="1198" spans="1:18" x14ac:dyDescent="0.35">
      <c r="A1198" s="203">
        <f t="shared" si="36"/>
        <v>0</v>
      </c>
      <c r="C1198" s="205">
        <f t="shared" si="37"/>
        <v>0</v>
      </c>
      <c r="D1198" s="223"/>
      <c r="R1198" s="222"/>
    </row>
    <row r="1199" spans="1:18" x14ac:dyDescent="0.35">
      <c r="A1199" s="203">
        <f t="shared" si="36"/>
        <v>0</v>
      </c>
      <c r="C1199" s="205">
        <f t="shared" si="37"/>
        <v>0</v>
      </c>
      <c r="D1199" s="223"/>
      <c r="R1199" s="222"/>
    </row>
    <row r="1200" spans="1:18" x14ac:dyDescent="0.35">
      <c r="A1200" s="203">
        <f t="shared" si="36"/>
        <v>0</v>
      </c>
      <c r="C1200" s="205">
        <f t="shared" si="37"/>
        <v>0</v>
      </c>
      <c r="D1200" s="223"/>
      <c r="R1200" s="222"/>
    </row>
    <row r="1201" spans="1:18" x14ac:dyDescent="0.35">
      <c r="A1201" s="203">
        <f t="shared" si="36"/>
        <v>0</v>
      </c>
      <c r="C1201" s="205">
        <f t="shared" si="37"/>
        <v>0</v>
      </c>
      <c r="D1201" s="223"/>
      <c r="R1201" s="222"/>
    </row>
    <row r="1202" spans="1:18" x14ac:dyDescent="0.35">
      <c r="A1202" s="203">
        <f t="shared" si="36"/>
        <v>0</v>
      </c>
      <c r="C1202" s="205">
        <f t="shared" si="37"/>
        <v>0</v>
      </c>
      <c r="D1202" s="223"/>
      <c r="R1202" s="222"/>
    </row>
    <row r="1203" spans="1:18" x14ac:dyDescent="0.35">
      <c r="A1203" s="203">
        <f t="shared" si="36"/>
        <v>0</v>
      </c>
      <c r="C1203" s="205">
        <f t="shared" si="37"/>
        <v>0</v>
      </c>
      <c r="D1203" s="223"/>
      <c r="R1203" s="222"/>
    </row>
    <row r="1204" spans="1:18" x14ac:dyDescent="0.35">
      <c r="A1204" s="203">
        <f t="shared" si="36"/>
        <v>0</v>
      </c>
      <c r="C1204" s="205">
        <f t="shared" si="37"/>
        <v>0</v>
      </c>
      <c r="D1204" s="223"/>
      <c r="R1204" s="222"/>
    </row>
    <row r="1205" spans="1:18" x14ac:dyDescent="0.35">
      <c r="A1205" s="203">
        <f t="shared" si="36"/>
        <v>0</v>
      </c>
      <c r="C1205" s="205">
        <f t="shared" si="37"/>
        <v>0</v>
      </c>
      <c r="D1205" s="223"/>
      <c r="R1205" s="222"/>
    </row>
    <row r="1206" spans="1:18" x14ac:dyDescent="0.35">
      <c r="A1206" s="203">
        <f t="shared" si="36"/>
        <v>0</v>
      </c>
      <c r="C1206" s="205">
        <f t="shared" si="37"/>
        <v>0</v>
      </c>
      <c r="D1206" s="223"/>
      <c r="R1206" s="222"/>
    </row>
    <row r="1207" spans="1:18" x14ac:dyDescent="0.35">
      <c r="A1207" s="203">
        <f t="shared" si="36"/>
        <v>0</v>
      </c>
      <c r="C1207" s="205">
        <f t="shared" si="37"/>
        <v>0</v>
      </c>
      <c r="D1207" s="223"/>
      <c r="R1207" s="222"/>
    </row>
    <row r="1208" spans="1:18" x14ac:dyDescent="0.35">
      <c r="A1208" s="203">
        <f t="shared" si="36"/>
        <v>0</v>
      </c>
      <c r="C1208" s="205">
        <f t="shared" si="37"/>
        <v>0</v>
      </c>
      <c r="D1208" s="223"/>
      <c r="R1208" s="222"/>
    </row>
    <row r="1209" spans="1:18" x14ac:dyDescent="0.35">
      <c r="A1209" s="203">
        <f t="shared" si="36"/>
        <v>0</v>
      </c>
      <c r="C1209" s="205">
        <f t="shared" si="37"/>
        <v>0</v>
      </c>
      <c r="D1209" s="223"/>
      <c r="R1209" s="222"/>
    </row>
    <row r="1210" spans="1:18" x14ac:dyDescent="0.35">
      <c r="A1210" s="203">
        <f t="shared" si="36"/>
        <v>0</v>
      </c>
      <c r="C1210" s="205">
        <f t="shared" si="37"/>
        <v>0</v>
      </c>
      <c r="D1210" s="223"/>
      <c r="R1210" s="222"/>
    </row>
    <row r="1211" spans="1:18" x14ac:dyDescent="0.35">
      <c r="A1211" s="203">
        <f t="shared" si="36"/>
        <v>0</v>
      </c>
      <c r="C1211" s="205">
        <f t="shared" si="37"/>
        <v>0</v>
      </c>
      <c r="D1211" s="223"/>
      <c r="R1211" s="222"/>
    </row>
    <row r="1212" spans="1:18" x14ac:dyDescent="0.35">
      <c r="A1212" s="203">
        <f t="shared" si="36"/>
        <v>0</v>
      </c>
      <c r="C1212" s="205">
        <f t="shared" si="37"/>
        <v>0</v>
      </c>
      <c r="D1212" s="223"/>
      <c r="R1212" s="222"/>
    </row>
    <row r="1213" spans="1:18" x14ac:dyDescent="0.35">
      <c r="A1213" s="203">
        <f t="shared" si="36"/>
        <v>0</v>
      </c>
      <c r="C1213" s="205">
        <f t="shared" si="37"/>
        <v>0</v>
      </c>
      <c r="D1213" s="223"/>
      <c r="R1213" s="222"/>
    </row>
    <row r="1214" spans="1:18" x14ac:dyDescent="0.35">
      <c r="A1214" s="203">
        <f t="shared" si="36"/>
        <v>0</v>
      </c>
      <c r="C1214" s="205">
        <f t="shared" si="37"/>
        <v>0</v>
      </c>
      <c r="D1214" s="223"/>
      <c r="R1214" s="222"/>
    </row>
    <row r="1215" spans="1:18" x14ac:dyDescent="0.35">
      <c r="A1215" s="203">
        <f t="shared" si="36"/>
        <v>0</v>
      </c>
      <c r="C1215" s="205">
        <f t="shared" si="37"/>
        <v>0</v>
      </c>
      <c r="D1215" s="223"/>
      <c r="R1215" s="222"/>
    </row>
    <row r="1216" spans="1:18" x14ac:dyDescent="0.35">
      <c r="A1216" s="203">
        <f t="shared" si="36"/>
        <v>0</v>
      </c>
      <c r="C1216" s="205">
        <f t="shared" si="37"/>
        <v>0</v>
      </c>
      <c r="D1216" s="223"/>
      <c r="R1216" s="222"/>
    </row>
    <row r="1217" spans="1:18" x14ac:dyDescent="0.35">
      <c r="A1217" s="203">
        <f t="shared" si="36"/>
        <v>0</v>
      </c>
      <c r="C1217" s="205">
        <f t="shared" si="37"/>
        <v>0</v>
      </c>
      <c r="D1217" s="223"/>
      <c r="R1217" s="222"/>
    </row>
    <row r="1218" spans="1:18" x14ac:dyDescent="0.35">
      <c r="A1218" s="203">
        <f t="shared" si="36"/>
        <v>0</v>
      </c>
      <c r="C1218" s="205">
        <f t="shared" si="37"/>
        <v>0</v>
      </c>
      <c r="D1218" s="223"/>
      <c r="R1218" s="222"/>
    </row>
    <row r="1219" spans="1:18" x14ac:dyDescent="0.35">
      <c r="A1219" s="203">
        <f t="shared" ref="A1219:A1282" si="38">F1219</f>
        <v>0</v>
      </c>
      <c r="C1219" s="205">
        <f t="shared" ref="C1219:C1282" si="39">F1219</f>
        <v>0</v>
      </c>
      <c r="D1219" s="223"/>
      <c r="R1219" s="222"/>
    </row>
    <row r="1220" spans="1:18" x14ac:dyDescent="0.35">
      <c r="A1220" s="203">
        <f t="shared" si="38"/>
        <v>0</v>
      </c>
      <c r="C1220" s="205">
        <f t="shared" si="39"/>
        <v>0</v>
      </c>
      <c r="D1220" s="223"/>
      <c r="R1220" s="222"/>
    </row>
    <row r="1221" spans="1:18" x14ac:dyDescent="0.35">
      <c r="A1221" s="203">
        <f t="shared" si="38"/>
        <v>0</v>
      </c>
      <c r="C1221" s="205">
        <f t="shared" si="39"/>
        <v>0</v>
      </c>
      <c r="D1221" s="223"/>
      <c r="R1221" s="222"/>
    </row>
    <row r="1222" spans="1:18" x14ac:dyDescent="0.35">
      <c r="A1222" s="203">
        <f t="shared" si="38"/>
        <v>0</v>
      </c>
      <c r="C1222" s="205">
        <f t="shared" si="39"/>
        <v>0</v>
      </c>
      <c r="D1222" s="223"/>
      <c r="R1222" s="222"/>
    </row>
    <row r="1223" spans="1:18" x14ac:dyDescent="0.35">
      <c r="A1223" s="203">
        <f t="shared" si="38"/>
        <v>0</v>
      </c>
      <c r="C1223" s="205">
        <f t="shared" si="39"/>
        <v>0</v>
      </c>
      <c r="D1223" s="223"/>
      <c r="R1223" s="222"/>
    </row>
    <row r="1224" spans="1:18" x14ac:dyDescent="0.35">
      <c r="A1224" s="203">
        <f t="shared" si="38"/>
        <v>0</v>
      </c>
      <c r="C1224" s="205">
        <f t="shared" si="39"/>
        <v>0</v>
      </c>
      <c r="D1224" s="223"/>
      <c r="R1224" s="222"/>
    </row>
    <row r="1225" spans="1:18" x14ac:dyDescent="0.35">
      <c r="A1225" s="203">
        <f t="shared" si="38"/>
        <v>0</v>
      </c>
      <c r="C1225" s="205">
        <f t="shared" si="39"/>
        <v>0</v>
      </c>
      <c r="D1225" s="223"/>
      <c r="R1225" s="222"/>
    </row>
    <row r="1226" spans="1:18" x14ac:dyDescent="0.35">
      <c r="A1226" s="203">
        <f t="shared" si="38"/>
        <v>0</v>
      </c>
      <c r="C1226" s="205">
        <f t="shared" si="39"/>
        <v>0</v>
      </c>
      <c r="D1226" s="223"/>
      <c r="R1226" s="222"/>
    </row>
    <row r="1227" spans="1:18" x14ac:dyDescent="0.35">
      <c r="A1227" s="203">
        <f t="shared" si="38"/>
        <v>0</v>
      </c>
      <c r="C1227" s="205">
        <f t="shared" si="39"/>
        <v>0</v>
      </c>
      <c r="D1227" s="223"/>
      <c r="R1227" s="222"/>
    </row>
    <row r="1228" spans="1:18" x14ac:dyDescent="0.35">
      <c r="A1228" s="203">
        <f t="shared" si="38"/>
        <v>0</v>
      </c>
      <c r="C1228" s="205">
        <f t="shared" si="39"/>
        <v>0</v>
      </c>
      <c r="D1228" s="223"/>
      <c r="R1228" s="222"/>
    </row>
    <row r="1229" spans="1:18" x14ac:dyDescent="0.35">
      <c r="A1229" s="203">
        <f t="shared" si="38"/>
        <v>0</v>
      </c>
      <c r="C1229" s="205">
        <f t="shared" si="39"/>
        <v>0</v>
      </c>
      <c r="D1229" s="223"/>
      <c r="R1229" s="222"/>
    </row>
    <row r="1230" spans="1:18" x14ac:dyDescent="0.35">
      <c r="A1230" s="203">
        <f t="shared" si="38"/>
        <v>0</v>
      </c>
      <c r="C1230" s="205">
        <f t="shared" si="39"/>
        <v>0</v>
      </c>
      <c r="D1230" s="223"/>
      <c r="R1230" s="222"/>
    </row>
    <row r="1231" spans="1:18" x14ac:dyDescent="0.35">
      <c r="A1231" s="203">
        <f t="shared" si="38"/>
        <v>0</v>
      </c>
      <c r="C1231" s="205">
        <f t="shared" si="39"/>
        <v>0</v>
      </c>
      <c r="D1231" s="223"/>
      <c r="R1231" s="222"/>
    </row>
    <row r="1232" spans="1:18" x14ac:dyDescent="0.35">
      <c r="A1232" s="203">
        <f t="shared" si="38"/>
        <v>0</v>
      </c>
      <c r="C1232" s="205">
        <f t="shared" si="39"/>
        <v>0</v>
      </c>
      <c r="D1232" s="223"/>
      <c r="R1232" s="222"/>
    </row>
    <row r="1233" spans="1:18" x14ac:dyDescent="0.35">
      <c r="A1233" s="203">
        <f t="shared" si="38"/>
        <v>0</v>
      </c>
      <c r="C1233" s="205">
        <f t="shared" si="39"/>
        <v>0</v>
      </c>
      <c r="D1233" s="223"/>
      <c r="R1233" s="222"/>
    </row>
    <row r="1234" spans="1:18" x14ac:dyDescent="0.35">
      <c r="A1234" s="203">
        <f t="shared" si="38"/>
        <v>0</v>
      </c>
      <c r="C1234" s="205">
        <f t="shared" si="39"/>
        <v>0</v>
      </c>
      <c r="D1234" s="223"/>
      <c r="R1234" s="222"/>
    </row>
    <row r="1235" spans="1:18" x14ac:dyDescent="0.35">
      <c r="A1235" s="203">
        <f t="shared" si="38"/>
        <v>0</v>
      </c>
      <c r="C1235" s="205">
        <f t="shared" si="39"/>
        <v>0</v>
      </c>
      <c r="D1235" s="223"/>
      <c r="R1235" s="222"/>
    </row>
    <row r="1236" spans="1:18" x14ac:dyDescent="0.35">
      <c r="A1236" s="203">
        <f t="shared" si="38"/>
        <v>0</v>
      </c>
      <c r="C1236" s="205">
        <f t="shared" si="39"/>
        <v>0</v>
      </c>
      <c r="D1236" s="223"/>
      <c r="R1236" s="222"/>
    </row>
    <row r="1237" spans="1:18" x14ac:dyDescent="0.35">
      <c r="A1237" s="203">
        <f t="shared" si="38"/>
        <v>0</v>
      </c>
      <c r="C1237" s="205">
        <f t="shared" si="39"/>
        <v>0</v>
      </c>
      <c r="D1237" s="223"/>
      <c r="R1237" s="222"/>
    </row>
    <row r="1238" spans="1:18" x14ac:dyDescent="0.35">
      <c r="A1238" s="203">
        <f t="shared" si="38"/>
        <v>0</v>
      </c>
      <c r="C1238" s="205">
        <f t="shared" si="39"/>
        <v>0</v>
      </c>
      <c r="D1238" s="223"/>
      <c r="R1238" s="222"/>
    </row>
    <row r="1239" spans="1:18" x14ac:dyDescent="0.35">
      <c r="A1239" s="203">
        <f t="shared" si="38"/>
        <v>0</v>
      </c>
      <c r="C1239" s="205">
        <f t="shared" si="39"/>
        <v>0</v>
      </c>
      <c r="D1239" s="223"/>
      <c r="R1239" s="222"/>
    </row>
    <row r="1240" spans="1:18" x14ac:dyDescent="0.35">
      <c r="A1240" s="203">
        <f t="shared" si="38"/>
        <v>0</v>
      </c>
      <c r="C1240" s="205">
        <f t="shared" si="39"/>
        <v>0</v>
      </c>
      <c r="D1240" s="223"/>
      <c r="R1240" s="222"/>
    </row>
    <row r="1241" spans="1:18" x14ac:dyDescent="0.35">
      <c r="A1241" s="203">
        <f t="shared" si="38"/>
        <v>0</v>
      </c>
      <c r="C1241" s="205">
        <f t="shared" si="39"/>
        <v>0</v>
      </c>
      <c r="D1241" s="223"/>
      <c r="R1241" s="222"/>
    </row>
    <row r="1242" spans="1:18" x14ac:dyDescent="0.35">
      <c r="A1242" s="203">
        <f t="shared" si="38"/>
        <v>0</v>
      </c>
      <c r="C1242" s="205">
        <f t="shared" si="39"/>
        <v>0</v>
      </c>
      <c r="D1242" s="223"/>
      <c r="R1242" s="222"/>
    </row>
    <row r="1243" spans="1:18" x14ac:dyDescent="0.35">
      <c r="A1243" s="203">
        <f t="shared" si="38"/>
        <v>0</v>
      </c>
      <c r="C1243" s="205">
        <f t="shared" si="39"/>
        <v>0</v>
      </c>
      <c r="D1243" s="223"/>
      <c r="R1243" s="222"/>
    </row>
    <row r="1244" spans="1:18" x14ac:dyDescent="0.35">
      <c r="A1244" s="203">
        <f t="shared" si="38"/>
        <v>0</v>
      </c>
      <c r="C1244" s="205">
        <f t="shared" si="39"/>
        <v>0</v>
      </c>
      <c r="D1244" s="223"/>
      <c r="R1244" s="222"/>
    </row>
    <row r="1245" spans="1:18" x14ac:dyDescent="0.35">
      <c r="A1245" s="203">
        <f t="shared" si="38"/>
        <v>0</v>
      </c>
      <c r="C1245" s="205">
        <f t="shared" si="39"/>
        <v>0</v>
      </c>
      <c r="D1245" s="223"/>
      <c r="R1245" s="222"/>
    </row>
    <row r="1246" spans="1:18" x14ac:dyDescent="0.35">
      <c r="A1246" s="203">
        <f t="shared" si="38"/>
        <v>0</v>
      </c>
      <c r="C1246" s="205">
        <f t="shared" si="39"/>
        <v>0</v>
      </c>
      <c r="D1246" s="223"/>
      <c r="R1246" s="222"/>
    </row>
    <row r="1247" spans="1:18" x14ac:dyDescent="0.35">
      <c r="A1247" s="203">
        <f t="shared" si="38"/>
        <v>0</v>
      </c>
      <c r="C1247" s="205">
        <f t="shared" si="39"/>
        <v>0</v>
      </c>
      <c r="D1247" s="223"/>
      <c r="R1247" s="222"/>
    </row>
    <row r="1248" spans="1:18" x14ac:dyDescent="0.35">
      <c r="A1248" s="203">
        <f t="shared" si="38"/>
        <v>0</v>
      </c>
      <c r="C1248" s="205">
        <f t="shared" si="39"/>
        <v>0</v>
      </c>
      <c r="D1248" s="223"/>
      <c r="R1248" s="222"/>
    </row>
    <row r="1249" spans="1:18" x14ac:dyDescent="0.35">
      <c r="A1249" s="203">
        <f t="shared" si="38"/>
        <v>0</v>
      </c>
      <c r="C1249" s="205">
        <f t="shared" si="39"/>
        <v>0</v>
      </c>
      <c r="D1249" s="223"/>
      <c r="R1249" s="222"/>
    </row>
    <row r="1250" spans="1:18" x14ac:dyDescent="0.35">
      <c r="A1250" s="203">
        <f t="shared" si="38"/>
        <v>0</v>
      </c>
      <c r="C1250" s="205">
        <f t="shared" si="39"/>
        <v>0</v>
      </c>
      <c r="D1250" s="223"/>
      <c r="R1250" s="222"/>
    </row>
    <row r="1251" spans="1:18" x14ac:dyDescent="0.35">
      <c r="A1251" s="203">
        <f t="shared" si="38"/>
        <v>0</v>
      </c>
      <c r="C1251" s="205">
        <f t="shared" si="39"/>
        <v>0</v>
      </c>
      <c r="D1251" s="223"/>
      <c r="R1251" s="222"/>
    </row>
    <row r="1252" spans="1:18" x14ac:dyDescent="0.35">
      <c r="A1252" s="203">
        <f t="shared" si="38"/>
        <v>0</v>
      </c>
      <c r="C1252" s="205">
        <f t="shared" si="39"/>
        <v>0</v>
      </c>
      <c r="D1252" s="223"/>
      <c r="R1252" s="222"/>
    </row>
    <row r="1253" spans="1:18" x14ac:dyDescent="0.35">
      <c r="A1253" s="203">
        <f t="shared" si="38"/>
        <v>0</v>
      </c>
      <c r="C1253" s="205">
        <f t="shared" si="39"/>
        <v>0</v>
      </c>
      <c r="D1253" s="223"/>
      <c r="R1253" s="222"/>
    </row>
    <row r="1254" spans="1:18" x14ac:dyDescent="0.35">
      <c r="A1254" s="203">
        <f t="shared" si="38"/>
        <v>0</v>
      </c>
      <c r="C1254" s="205">
        <f t="shared" si="39"/>
        <v>0</v>
      </c>
      <c r="D1254" s="223"/>
      <c r="R1254" s="222"/>
    </row>
    <row r="1255" spans="1:18" x14ac:dyDescent="0.35">
      <c r="A1255" s="203">
        <f t="shared" si="38"/>
        <v>0</v>
      </c>
      <c r="C1255" s="205">
        <f t="shared" si="39"/>
        <v>0</v>
      </c>
      <c r="D1255" s="223"/>
      <c r="R1255" s="222"/>
    </row>
    <row r="1256" spans="1:18" x14ac:dyDescent="0.35">
      <c r="A1256" s="203">
        <f t="shared" si="38"/>
        <v>0</v>
      </c>
      <c r="C1256" s="205">
        <f t="shared" si="39"/>
        <v>0</v>
      </c>
      <c r="D1256" s="223"/>
      <c r="R1256" s="222"/>
    </row>
    <row r="1257" spans="1:18" x14ac:dyDescent="0.35">
      <c r="A1257" s="203">
        <f t="shared" si="38"/>
        <v>0</v>
      </c>
      <c r="C1257" s="205">
        <f t="shared" si="39"/>
        <v>0</v>
      </c>
      <c r="D1257" s="223"/>
      <c r="R1257" s="222"/>
    </row>
    <row r="1258" spans="1:18" x14ac:dyDescent="0.35">
      <c r="A1258" s="203">
        <f t="shared" si="38"/>
        <v>0</v>
      </c>
      <c r="C1258" s="205">
        <f t="shared" si="39"/>
        <v>0</v>
      </c>
      <c r="D1258" s="223"/>
      <c r="R1258" s="222"/>
    </row>
    <row r="1259" spans="1:18" x14ac:dyDescent="0.35">
      <c r="A1259" s="203">
        <f t="shared" si="38"/>
        <v>0</v>
      </c>
      <c r="C1259" s="205">
        <f t="shared" si="39"/>
        <v>0</v>
      </c>
      <c r="D1259" s="223"/>
      <c r="R1259" s="222"/>
    </row>
    <row r="1260" spans="1:18" x14ac:dyDescent="0.35">
      <c r="A1260" s="203">
        <f t="shared" si="38"/>
        <v>0</v>
      </c>
      <c r="C1260" s="205">
        <f t="shared" si="39"/>
        <v>0</v>
      </c>
      <c r="D1260" s="223"/>
      <c r="R1260" s="222"/>
    </row>
    <row r="1261" spans="1:18" x14ac:dyDescent="0.35">
      <c r="A1261" s="203">
        <f t="shared" si="38"/>
        <v>0</v>
      </c>
      <c r="C1261" s="205">
        <f t="shared" si="39"/>
        <v>0</v>
      </c>
      <c r="D1261" s="223"/>
      <c r="R1261" s="222"/>
    </row>
    <row r="1262" spans="1:18" x14ac:dyDescent="0.35">
      <c r="A1262" s="203">
        <f t="shared" si="38"/>
        <v>0</v>
      </c>
      <c r="C1262" s="205">
        <f t="shared" si="39"/>
        <v>0</v>
      </c>
      <c r="D1262" s="223"/>
      <c r="R1262" s="222"/>
    </row>
    <row r="1263" spans="1:18" x14ac:dyDescent="0.35">
      <c r="A1263" s="203">
        <f t="shared" si="38"/>
        <v>0</v>
      </c>
      <c r="C1263" s="205">
        <f t="shared" si="39"/>
        <v>0</v>
      </c>
      <c r="D1263" s="223"/>
      <c r="R1263" s="222"/>
    </row>
    <row r="1264" spans="1:18" x14ac:dyDescent="0.35">
      <c r="A1264" s="203">
        <f t="shared" si="38"/>
        <v>0</v>
      </c>
      <c r="C1264" s="205">
        <f t="shared" si="39"/>
        <v>0</v>
      </c>
      <c r="D1264" s="223"/>
      <c r="R1264" s="222"/>
    </row>
    <row r="1265" spans="1:18" x14ac:dyDescent="0.35">
      <c r="A1265" s="203">
        <f t="shared" si="38"/>
        <v>0</v>
      </c>
      <c r="C1265" s="205">
        <f t="shared" si="39"/>
        <v>0</v>
      </c>
      <c r="D1265" s="223"/>
      <c r="R1265" s="222"/>
    </row>
    <row r="1266" spans="1:18" x14ac:dyDescent="0.35">
      <c r="A1266" s="203">
        <f t="shared" si="38"/>
        <v>0</v>
      </c>
      <c r="C1266" s="205">
        <f t="shared" si="39"/>
        <v>0</v>
      </c>
      <c r="D1266" s="223"/>
      <c r="R1266" s="222"/>
    </row>
    <row r="1267" spans="1:18" x14ac:dyDescent="0.35">
      <c r="A1267" s="203">
        <f t="shared" si="38"/>
        <v>0</v>
      </c>
      <c r="C1267" s="205">
        <f t="shared" si="39"/>
        <v>0</v>
      </c>
      <c r="D1267" s="223"/>
      <c r="R1267" s="222"/>
    </row>
    <row r="1268" spans="1:18" x14ac:dyDescent="0.35">
      <c r="A1268" s="203">
        <f t="shared" si="38"/>
        <v>0</v>
      </c>
      <c r="C1268" s="205">
        <f t="shared" si="39"/>
        <v>0</v>
      </c>
      <c r="D1268" s="223"/>
      <c r="R1268" s="222"/>
    </row>
    <row r="1269" spans="1:18" x14ac:dyDescent="0.35">
      <c r="A1269" s="203">
        <f t="shared" si="38"/>
        <v>0</v>
      </c>
      <c r="C1269" s="205">
        <f t="shared" si="39"/>
        <v>0</v>
      </c>
      <c r="D1269" s="223"/>
      <c r="R1269" s="222"/>
    </row>
    <row r="1270" spans="1:18" x14ac:dyDescent="0.35">
      <c r="A1270" s="203">
        <f t="shared" si="38"/>
        <v>0</v>
      </c>
      <c r="C1270" s="205">
        <f t="shared" si="39"/>
        <v>0</v>
      </c>
      <c r="D1270" s="223"/>
      <c r="R1270" s="222"/>
    </row>
    <row r="1271" spans="1:18" x14ac:dyDescent="0.35">
      <c r="A1271" s="203">
        <f t="shared" si="38"/>
        <v>0</v>
      </c>
      <c r="C1271" s="205">
        <f t="shared" si="39"/>
        <v>0</v>
      </c>
      <c r="D1271" s="223"/>
      <c r="R1271" s="222"/>
    </row>
    <row r="1272" spans="1:18" x14ac:dyDescent="0.35">
      <c r="A1272" s="203">
        <f t="shared" si="38"/>
        <v>0</v>
      </c>
      <c r="C1272" s="205">
        <f t="shared" si="39"/>
        <v>0</v>
      </c>
      <c r="D1272" s="223"/>
      <c r="R1272" s="222"/>
    </row>
    <row r="1273" spans="1:18" x14ac:dyDescent="0.35">
      <c r="A1273" s="203">
        <f t="shared" si="38"/>
        <v>0</v>
      </c>
      <c r="C1273" s="205">
        <f t="shared" si="39"/>
        <v>0</v>
      </c>
      <c r="D1273" s="223"/>
      <c r="R1273" s="222"/>
    </row>
    <row r="1274" spans="1:18" x14ac:dyDescent="0.35">
      <c r="A1274" s="203">
        <f t="shared" si="38"/>
        <v>0</v>
      </c>
      <c r="C1274" s="205">
        <f t="shared" si="39"/>
        <v>0</v>
      </c>
      <c r="D1274" s="223"/>
      <c r="R1274" s="222"/>
    </row>
    <row r="1275" spans="1:18" x14ac:dyDescent="0.35">
      <c r="A1275" s="203">
        <f t="shared" si="38"/>
        <v>0</v>
      </c>
      <c r="C1275" s="205">
        <f t="shared" si="39"/>
        <v>0</v>
      </c>
      <c r="D1275" s="223"/>
      <c r="R1275" s="222"/>
    </row>
    <row r="1276" spans="1:18" x14ac:dyDescent="0.35">
      <c r="A1276" s="203">
        <f t="shared" si="38"/>
        <v>0</v>
      </c>
      <c r="C1276" s="205">
        <f t="shared" si="39"/>
        <v>0</v>
      </c>
      <c r="D1276" s="223"/>
      <c r="R1276" s="222"/>
    </row>
    <row r="1277" spans="1:18" x14ac:dyDescent="0.35">
      <c r="A1277" s="203">
        <f t="shared" si="38"/>
        <v>0</v>
      </c>
      <c r="C1277" s="205">
        <f t="shared" si="39"/>
        <v>0</v>
      </c>
      <c r="D1277" s="223"/>
      <c r="R1277" s="222"/>
    </row>
    <row r="1278" spans="1:18" x14ac:dyDescent="0.35">
      <c r="A1278" s="203">
        <f t="shared" si="38"/>
        <v>0</v>
      </c>
      <c r="C1278" s="205">
        <f t="shared" si="39"/>
        <v>0</v>
      </c>
      <c r="D1278" s="223"/>
      <c r="R1278" s="222"/>
    </row>
    <row r="1279" spans="1:18" x14ac:dyDescent="0.35">
      <c r="A1279" s="203">
        <f t="shared" si="38"/>
        <v>0</v>
      </c>
      <c r="C1279" s="205">
        <f t="shared" si="39"/>
        <v>0</v>
      </c>
      <c r="D1279" s="223"/>
      <c r="R1279" s="222"/>
    </row>
    <row r="1280" spans="1:18" x14ac:dyDescent="0.35">
      <c r="A1280" s="203">
        <f t="shared" si="38"/>
        <v>0</v>
      </c>
      <c r="C1280" s="205">
        <f t="shared" si="39"/>
        <v>0</v>
      </c>
      <c r="D1280" s="223"/>
      <c r="R1280" s="222"/>
    </row>
    <row r="1281" spans="1:18" x14ac:dyDescent="0.35">
      <c r="A1281" s="203">
        <f t="shared" si="38"/>
        <v>0</v>
      </c>
      <c r="C1281" s="205">
        <f t="shared" si="39"/>
        <v>0</v>
      </c>
      <c r="D1281" s="223"/>
      <c r="R1281" s="222"/>
    </row>
    <row r="1282" spans="1:18" x14ac:dyDescent="0.35">
      <c r="A1282" s="203">
        <f t="shared" si="38"/>
        <v>0</v>
      </c>
      <c r="C1282" s="205">
        <f t="shared" si="39"/>
        <v>0</v>
      </c>
      <c r="D1282" s="223"/>
      <c r="R1282" s="222"/>
    </row>
    <row r="1283" spans="1:18" x14ac:dyDescent="0.35">
      <c r="A1283" s="203">
        <f t="shared" ref="A1283:A1346" si="40">F1283</f>
        <v>0</v>
      </c>
      <c r="C1283" s="205">
        <f t="shared" ref="C1283:C1346" si="41">F1283</f>
        <v>0</v>
      </c>
      <c r="D1283" s="223"/>
      <c r="R1283" s="222"/>
    </row>
    <row r="1284" spans="1:18" x14ac:dyDescent="0.35">
      <c r="A1284" s="203">
        <f t="shared" si="40"/>
        <v>0</v>
      </c>
      <c r="C1284" s="205">
        <f t="shared" si="41"/>
        <v>0</v>
      </c>
      <c r="D1284" s="223"/>
      <c r="R1284" s="222"/>
    </row>
    <row r="1285" spans="1:18" x14ac:dyDescent="0.35">
      <c r="A1285" s="203">
        <f t="shared" si="40"/>
        <v>0</v>
      </c>
      <c r="C1285" s="205">
        <f t="shared" si="41"/>
        <v>0</v>
      </c>
      <c r="D1285" s="223"/>
      <c r="R1285" s="222"/>
    </row>
    <row r="1286" spans="1:18" x14ac:dyDescent="0.35">
      <c r="A1286" s="203">
        <f t="shared" si="40"/>
        <v>0</v>
      </c>
      <c r="C1286" s="205">
        <f t="shared" si="41"/>
        <v>0</v>
      </c>
      <c r="D1286" s="223"/>
      <c r="R1286" s="222"/>
    </row>
    <row r="1287" spans="1:18" x14ac:dyDescent="0.35">
      <c r="A1287" s="203">
        <f t="shared" si="40"/>
        <v>0</v>
      </c>
      <c r="C1287" s="205">
        <f t="shared" si="41"/>
        <v>0</v>
      </c>
      <c r="D1287" s="223"/>
      <c r="R1287" s="222"/>
    </row>
    <row r="1288" spans="1:18" x14ac:dyDescent="0.35">
      <c r="A1288" s="203">
        <f t="shared" si="40"/>
        <v>0</v>
      </c>
      <c r="C1288" s="205">
        <f t="shared" si="41"/>
        <v>0</v>
      </c>
      <c r="D1288" s="223"/>
      <c r="R1288" s="222"/>
    </row>
    <row r="1289" spans="1:18" x14ac:dyDescent="0.35">
      <c r="A1289" s="203">
        <f t="shared" si="40"/>
        <v>0</v>
      </c>
      <c r="C1289" s="205">
        <f t="shared" si="41"/>
        <v>0</v>
      </c>
      <c r="D1289" s="223"/>
      <c r="R1289" s="222"/>
    </row>
    <row r="1290" spans="1:18" x14ac:dyDescent="0.35">
      <c r="A1290" s="203">
        <f t="shared" si="40"/>
        <v>0</v>
      </c>
      <c r="C1290" s="205">
        <f t="shared" si="41"/>
        <v>0</v>
      </c>
      <c r="D1290" s="223"/>
      <c r="R1290" s="222"/>
    </row>
    <row r="1291" spans="1:18" x14ac:dyDescent="0.35">
      <c r="A1291" s="203">
        <f t="shared" si="40"/>
        <v>0</v>
      </c>
      <c r="C1291" s="205">
        <f t="shared" si="41"/>
        <v>0</v>
      </c>
      <c r="D1291" s="223"/>
      <c r="R1291" s="222"/>
    </row>
    <row r="1292" spans="1:18" x14ac:dyDescent="0.35">
      <c r="A1292" s="203">
        <f t="shared" si="40"/>
        <v>0</v>
      </c>
      <c r="C1292" s="205">
        <f t="shared" si="41"/>
        <v>0</v>
      </c>
      <c r="D1292" s="223"/>
      <c r="R1292" s="222"/>
    </row>
    <row r="1293" spans="1:18" x14ac:dyDescent="0.35">
      <c r="A1293" s="203">
        <f t="shared" si="40"/>
        <v>0</v>
      </c>
      <c r="C1293" s="205">
        <f t="shared" si="41"/>
        <v>0</v>
      </c>
      <c r="D1293" s="223"/>
      <c r="R1293" s="222"/>
    </row>
    <row r="1294" spans="1:18" x14ac:dyDescent="0.35">
      <c r="A1294" s="203">
        <f t="shared" si="40"/>
        <v>0</v>
      </c>
      <c r="C1294" s="205">
        <f t="shared" si="41"/>
        <v>0</v>
      </c>
      <c r="D1294" s="223"/>
      <c r="R1294" s="222"/>
    </row>
    <row r="1295" spans="1:18" x14ac:dyDescent="0.35">
      <c r="A1295" s="203">
        <f t="shared" si="40"/>
        <v>0</v>
      </c>
      <c r="C1295" s="205">
        <f t="shared" si="41"/>
        <v>0</v>
      </c>
      <c r="D1295" s="223"/>
      <c r="R1295" s="222"/>
    </row>
    <row r="1296" spans="1:18" x14ac:dyDescent="0.35">
      <c r="A1296" s="203">
        <f t="shared" si="40"/>
        <v>0</v>
      </c>
      <c r="C1296" s="205">
        <f t="shared" si="41"/>
        <v>0</v>
      </c>
      <c r="D1296" s="223"/>
      <c r="R1296" s="222"/>
    </row>
    <row r="1297" spans="1:18" x14ac:dyDescent="0.35">
      <c r="A1297" s="203">
        <f t="shared" si="40"/>
        <v>0</v>
      </c>
      <c r="C1297" s="205">
        <f t="shared" si="41"/>
        <v>0</v>
      </c>
      <c r="D1297" s="223"/>
      <c r="R1297" s="222"/>
    </row>
    <row r="1298" spans="1:18" x14ac:dyDescent="0.35">
      <c r="A1298" s="203">
        <f t="shared" si="40"/>
        <v>0</v>
      </c>
      <c r="C1298" s="205">
        <f t="shared" si="41"/>
        <v>0</v>
      </c>
      <c r="D1298" s="223"/>
      <c r="R1298" s="222"/>
    </row>
    <row r="1299" spans="1:18" x14ac:dyDescent="0.35">
      <c r="A1299" s="203">
        <f t="shared" si="40"/>
        <v>0</v>
      </c>
      <c r="C1299" s="205">
        <f t="shared" si="41"/>
        <v>0</v>
      </c>
      <c r="D1299" s="223"/>
      <c r="R1299" s="222"/>
    </row>
    <row r="1300" spans="1:18" x14ac:dyDescent="0.35">
      <c r="A1300" s="203">
        <f t="shared" si="40"/>
        <v>0</v>
      </c>
      <c r="C1300" s="205">
        <f t="shared" si="41"/>
        <v>0</v>
      </c>
      <c r="D1300" s="223"/>
      <c r="R1300" s="222"/>
    </row>
    <row r="1301" spans="1:18" x14ac:dyDescent="0.35">
      <c r="A1301" s="203">
        <f t="shared" si="40"/>
        <v>0</v>
      </c>
      <c r="C1301" s="205">
        <f t="shared" si="41"/>
        <v>0</v>
      </c>
      <c r="D1301" s="223"/>
      <c r="R1301" s="222"/>
    </row>
    <row r="1302" spans="1:18" x14ac:dyDescent="0.35">
      <c r="A1302" s="203">
        <f t="shared" si="40"/>
        <v>0</v>
      </c>
      <c r="C1302" s="205">
        <f t="shared" si="41"/>
        <v>0</v>
      </c>
      <c r="D1302" s="223"/>
      <c r="R1302" s="222"/>
    </row>
    <row r="1303" spans="1:18" x14ac:dyDescent="0.35">
      <c r="A1303" s="203">
        <f t="shared" si="40"/>
        <v>0</v>
      </c>
      <c r="C1303" s="205">
        <f t="shared" si="41"/>
        <v>0</v>
      </c>
      <c r="D1303" s="223"/>
      <c r="R1303" s="222"/>
    </row>
    <row r="1304" spans="1:18" x14ac:dyDescent="0.35">
      <c r="A1304" s="203">
        <f t="shared" si="40"/>
        <v>0</v>
      </c>
      <c r="C1304" s="205">
        <f t="shared" si="41"/>
        <v>0</v>
      </c>
      <c r="D1304" s="223"/>
      <c r="R1304" s="222"/>
    </row>
    <row r="1305" spans="1:18" x14ac:dyDescent="0.35">
      <c r="A1305" s="203">
        <f t="shared" si="40"/>
        <v>0</v>
      </c>
      <c r="C1305" s="205">
        <f t="shared" si="41"/>
        <v>0</v>
      </c>
      <c r="D1305" s="223"/>
      <c r="R1305" s="222"/>
    </row>
    <row r="1306" spans="1:18" x14ac:dyDescent="0.35">
      <c r="A1306" s="203">
        <f t="shared" si="40"/>
        <v>0</v>
      </c>
      <c r="C1306" s="205">
        <f t="shared" si="41"/>
        <v>0</v>
      </c>
      <c r="D1306" s="223"/>
      <c r="R1306" s="222"/>
    </row>
    <row r="1307" spans="1:18" x14ac:dyDescent="0.35">
      <c r="A1307" s="203">
        <f t="shared" si="40"/>
        <v>0</v>
      </c>
      <c r="C1307" s="205">
        <f t="shared" si="41"/>
        <v>0</v>
      </c>
      <c r="D1307" s="223"/>
      <c r="R1307" s="222"/>
    </row>
    <row r="1308" spans="1:18" x14ac:dyDescent="0.35">
      <c r="A1308" s="203">
        <f t="shared" si="40"/>
        <v>0</v>
      </c>
      <c r="C1308" s="205">
        <f t="shared" si="41"/>
        <v>0</v>
      </c>
      <c r="D1308" s="223"/>
      <c r="R1308" s="222"/>
    </row>
    <row r="1309" spans="1:18" x14ac:dyDescent="0.35">
      <c r="A1309" s="203">
        <f t="shared" si="40"/>
        <v>0</v>
      </c>
      <c r="C1309" s="205">
        <f t="shared" si="41"/>
        <v>0</v>
      </c>
      <c r="D1309" s="223"/>
      <c r="R1309" s="222"/>
    </row>
    <row r="1310" spans="1:18" x14ac:dyDescent="0.35">
      <c r="A1310" s="203">
        <f t="shared" si="40"/>
        <v>0</v>
      </c>
      <c r="C1310" s="205">
        <f t="shared" si="41"/>
        <v>0</v>
      </c>
      <c r="D1310" s="223"/>
      <c r="R1310" s="222"/>
    </row>
    <row r="1311" spans="1:18" x14ac:dyDescent="0.35">
      <c r="A1311" s="203">
        <f t="shared" si="40"/>
        <v>0</v>
      </c>
      <c r="C1311" s="205">
        <f t="shared" si="41"/>
        <v>0</v>
      </c>
      <c r="D1311" s="223"/>
      <c r="R1311" s="222"/>
    </row>
    <row r="1312" spans="1:18" x14ac:dyDescent="0.35">
      <c r="A1312" s="203">
        <f t="shared" si="40"/>
        <v>0</v>
      </c>
      <c r="C1312" s="205">
        <f t="shared" si="41"/>
        <v>0</v>
      </c>
      <c r="D1312" s="223"/>
      <c r="R1312" s="222"/>
    </row>
    <row r="1313" spans="1:18" x14ac:dyDescent="0.35">
      <c r="A1313" s="203">
        <f t="shared" si="40"/>
        <v>0</v>
      </c>
      <c r="C1313" s="205">
        <f t="shared" si="41"/>
        <v>0</v>
      </c>
      <c r="D1313" s="223"/>
      <c r="R1313" s="222"/>
    </row>
    <row r="1314" spans="1:18" x14ac:dyDescent="0.35">
      <c r="A1314" s="203">
        <f t="shared" si="40"/>
        <v>0</v>
      </c>
      <c r="C1314" s="205">
        <f t="shared" si="41"/>
        <v>0</v>
      </c>
      <c r="D1314" s="223"/>
      <c r="R1314" s="222"/>
    </row>
    <row r="1315" spans="1:18" x14ac:dyDescent="0.35">
      <c r="A1315" s="203">
        <f t="shared" si="40"/>
        <v>0</v>
      </c>
      <c r="C1315" s="205">
        <f t="shared" si="41"/>
        <v>0</v>
      </c>
      <c r="D1315" s="223"/>
      <c r="R1315" s="222"/>
    </row>
    <row r="1316" spans="1:18" x14ac:dyDescent="0.35">
      <c r="A1316" s="203">
        <f t="shared" si="40"/>
        <v>0</v>
      </c>
      <c r="C1316" s="205">
        <f t="shared" si="41"/>
        <v>0</v>
      </c>
      <c r="D1316" s="223"/>
      <c r="R1316" s="222"/>
    </row>
    <row r="1317" spans="1:18" x14ac:dyDescent="0.35">
      <c r="A1317" s="203">
        <f t="shared" si="40"/>
        <v>0</v>
      </c>
      <c r="C1317" s="205">
        <f t="shared" si="41"/>
        <v>0</v>
      </c>
      <c r="D1317" s="223"/>
      <c r="R1317" s="222"/>
    </row>
    <row r="1318" spans="1:18" x14ac:dyDescent="0.35">
      <c r="A1318" s="203">
        <f t="shared" si="40"/>
        <v>0</v>
      </c>
      <c r="C1318" s="205">
        <f t="shared" si="41"/>
        <v>0</v>
      </c>
      <c r="D1318" s="223"/>
      <c r="R1318" s="222"/>
    </row>
    <row r="1319" spans="1:18" x14ac:dyDescent="0.35">
      <c r="A1319" s="203">
        <f t="shared" si="40"/>
        <v>0</v>
      </c>
      <c r="C1319" s="205">
        <f t="shared" si="41"/>
        <v>0</v>
      </c>
      <c r="D1319" s="223"/>
      <c r="R1319" s="222"/>
    </row>
    <row r="1320" spans="1:18" x14ac:dyDescent="0.35">
      <c r="A1320" s="203">
        <f t="shared" si="40"/>
        <v>0</v>
      </c>
      <c r="C1320" s="205">
        <f t="shared" si="41"/>
        <v>0</v>
      </c>
      <c r="D1320" s="223"/>
      <c r="R1320" s="222"/>
    </row>
    <row r="1321" spans="1:18" x14ac:dyDescent="0.35">
      <c r="A1321" s="203">
        <f t="shared" si="40"/>
        <v>0</v>
      </c>
      <c r="C1321" s="205">
        <f t="shared" si="41"/>
        <v>0</v>
      </c>
      <c r="D1321" s="223"/>
      <c r="R1321" s="222"/>
    </row>
    <row r="1322" spans="1:18" x14ac:dyDescent="0.35">
      <c r="A1322" s="203">
        <f t="shared" si="40"/>
        <v>0</v>
      </c>
      <c r="C1322" s="205">
        <f t="shared" si="41"/>
        <v>0</v>
      </c>
      <c r="D1322" s="223"/>
      <c r="R1322" s="222"/>
    </row>
    <row r="1323" spans="1:18" x14ac:dyDescent="0.35">
      <c r="A1323" s="203">
        <f t="shared" si="40"/>
        <v>0</v>
      </c>
      <c r="C1323" s="205">
        <f t="shared" si="41"/>
        <v>0</v>
      </c>
      <c r="D1323" s="223"/>
      <c r="R1323" s="222"/>
    </row>
    <row r="1324" spans="1:18" x14ac:dyDescent="0.35">
      <c r="A1324" s="203">
        <f t="shared" si="40"/>
        <v>0</v>
      </c>
      <c r="C1324" s="205">
        <f t="shared" si="41"/>
        <v>0</v>
      </c>
      <c r="D1324" s="223"/>
      <c r="R1324" s="222"/>
    </row>
    <row r="1325" spans="1:18" x14ac:dyDescent="0.35">
      <c r="A1325" s="203">
        <f t="shared" si="40"/>
        <v>0</v>
      </c>
      <c r="C1325" s="205">
        <f t="shared" si="41"/>
        <v>0</v>
      </c>
      <c r="D1325" s="223"/>
      <c r="R1325" s="222"/>
    </row>
    <row r="1326" spans="1:18" x14ac:dyDescent="0.35">
      <c r="A1326" s="203">
        <f t="shared" si="40"/>
        <v>0</v>
      </c>
      <c r="C1326" s="205">
        <f t="shared" si="41"/>
        <v>0</v>
      </c>
      <c r="D1326" s="223"/>
      <c r="R1326" s="222"/>
    </row>
    <row r="1327" spans="1:18" x14ac:dyDescent="0.35">
      <c r="A1327" s="203">
        <f t="shared" si="40"/>
        <v>0</v>
      </c>
      <c r="C1327" s="205">
        <f t="shared" si="41"/>
        <v>0</v>
      </c>
      <c r="D1327" s="223"/>
      <c r="R1327" s="222"/>
    </row>
    <row r="1328" spans="1:18" x14ac:dyDescent="0.35">
      <c r="A1328" s="203">
        <f t="shared" si="40"/>
        <v>0</v>
      </c>
      <c r="C1328" s="205">
        <f t="shared" si="41"/>
        <v>0</v>
      </c>
      <c r="D1328" s="223"/>
      <c r="R1328" s="222"/>
    </row>
    <row r="1329" spans="1:18" x14ac:dyDescent="0.35">
      <c r="A1329" s="203">
        <f t="shared" si="40"/>
        <v>0</v>
      </c>
      <c r="C1329" s="205">
        <f t="shared" si="41"/>
        <v>0</v>
      </c>
      <c r="D1329" s="223"/>
      <c r="R1329" s="222"/>
    </row>
    <row r="1330" spans="1:18" x14ac:dyDescent="0.35">
      <c r="A1330" s="203">
        <f t="shared" si="40"/>
        <v>0</v>
      </c>
      <c r="C1330" s="205">
        <f t="shared" si="41"/>
        <v>0</v>
      </c>
      <c r="D1330" s="223"/>
      <c r="R1330" s="222"/>
    </row>
    <row r="1331" spans="1:18" x14ac:dyDescent="0.35">
      <c r="A1331" s="203">
        <f t="shared" si="40"/>
        <v>0</v>
      </c>
      <c r="C1331" s="205">
        <f t="shared" si="41"/>
        <v>0</v>
      </c>
      <c r="D1331" s="223"/>
      <c r="R1331" s="222"/>
    </row>
    <row r="1332" spans="1:18" x14ac:dyDescent="0.35">
      <c r="A1332" s="203">
        <f t="shared" si="40"/>
        <v>0</v>
      </c>
      <c r="C1332" s="205">
        <f t="shared" si="41"/>
        <v>0</v>
      </c>
      <c r="D1332" s="223"/>
      <c r="R1332" s="222"/>
    </row>
    <row r="1333" spans="1:18" x14ac:dyDescent="0.35">
      <c r="A1333" s="203">
        <f t="shared" si="40"/>
        <v>0</v>
      </c>
      <c r="C1333" s="205">
        <f t="shared" si="41"/>
        <v>0</v>
      </c>
      <c r="D1333" s="223"/>
      <c r="R1333" s="222"/>
    </row>
    <row r="1334" spans="1:18" x14ac:dyDescent="0.35">
      <c r="A1334" s="203">
        <f t="shared" si="40"/>
        <v>0</v>
      </c>
      <c r="C1334" s="205">
        <f t="shared" si="41"/>
        <v>0</v>
      </c>
      <c r="D1334" s="223"/>
      <c r="R1334" s="222"/>
    </row>
    <row r="1335" spans="1:18" x14ac:dyDescent="0.35">
      <c r="A1335" s="203">
        <f t="shared" si="40"/>
        <v>0</v>
      </c>
      <c r="C1335" s="205">
        <f t="shared" si="41"/>
        <v>0</v>
      </c>
      <c r="D1335" s="223"/>
      <c r="R1335" s="222"/>
    </row>
    <row r="1336" spans="1:18" x14ac:dyDescent="0.35">
      <c r="A1336" s="203">
        <f t="shared" si="40"/>
        <v>0</v>
      </c>
      <c r="C1336" s="205">
        <f t="shared" si="41"/>
        <v>0</v>
      </c>
      <c r="D1336" s="223"/>
      <c r="R1336" s="222"/>
    </row>
    <row r="1337" spans="1:18" x14ac:dyDescent="0.35">
      <c r="A1337" s="203">
        <f t="shared" si="40"/>
        <v>0</v>
      </c>
      <c r="C1337" s="205">
        <f t="shared" si="41"/>
        <v>0</v>
      </c>
      <c r="D1337" s="223"/>
      <c r="R1337" s="222"/>
    </row>
    <row r="1338" spans="1:18" x14ac:dyDescent="0.35">
      <c r="A1338" s="203">
        <f t="shared" si="40"/>
        <v>0</v>
      </c>
      <c r="C1338" s="205">
        <f t="shared" si="41"/>
        <v>0</v>
      </c>
      <c r="D1338" s="223"/>
      <c r="R1338" s="222"/>
    </row>
    <row r="1339" spans="1:18" x14ac:dyDescent="0.35">
      <c r="A1339" s="203">
        <f t="shared" si="40"/>
        <v>0</v>
      </c>
      <c r="C1339" s="205">
        <f t="shared" si="41"/>
        <v>0</v>
      </c>
      <c r="D1339" s="223"/>
      <c r="R1339" s="222"/>
    </row>
    <row r="1340" spans="1:18" x14ac:dyDescent="0.35">
      <c r="A1340" s="203">
        <f t="shared" si="40"/>
        <v>0</v>
      </c>
      <c r="C1340" s="205">
        <f t="shared" si="41"/>
        <v>0</v>
      </c>
      <c r="D1340" s="223"/>
      <c r="R1340" s="222"/>
    </row>
    <row r="1341" spans="1:18" x14ac:dyDescent="0.35">
      <c r="A1341" s="203">
        <f t="shared" si="40"/>
        <v>0</v>
      </c>
      <c r="C1341" s="205">
        <f t="shared" si="41"/>
        <v>0</v>
      </c>
      <c r="D1341" s="223"/>
      <c r="R1341" s="222"/>
    </row>
    <row r="1342" spans="1:18" x14ac:dyDescent="0.35">
      <c r="A1342" s="203">
        <f t="shared" si="40"/>
        <v>0</v>
      </c>
      <c r="C1342" s="205">
        <f t="shared" si="41"/>
        <v>0</v>
      </c>
      <c r="D1342" s="223"/>
      <c r="R1342" s="222"/>
    </row>
    <row r="1343" spans="1:18" x14ac:dyDescent="0.35">
      <c r="A1343" s="203">
        <f t="shared" si="40"/>
        <v>0</v>
      </c>
      <c r="C1343" s="205">
        <f t="shared" si="41"/>
        <v>0</v>
      </c>
      <c r="D1343" s="223"/>
      <c r="R1343" s="222"/>
    </row>
    <row r="1344" spans="1:18" x14ac:dyDescent="0.35">
      <c r="A1344" s="203">
        <f t="shared" si="40"/>
        <v>0</v>
      </c>
      <c r="C1344" s="205">
        <f t="shared" si="41"/>
        <v>0</v>
      </c>
      <c r="D1344" s="223"/>
      <c r="R1344" s="222"/>
    </row>
    <row r="1345" spans="1:18" x14ac:dyDescent="0.35">
      <c r="A1345" s="203">
        <f t="shared" si="40"/>
        <v>0</v>
      </c>
      <c r="C1345" s="205">
        <f t="shared" si="41"/>
        <v>0</v>
      </c>
      <c r="D1345" s="223"/>
      <c r="R1345" s="222"/>
    </row>
    <row r="1346" spans="1:18" x14ac:dyDescent="0.35">
      <c r="A1346" s="203">
        <f t="shared" si="40"/>
        <v>0</v>
      </c>
      <c r="C1346" s="205">
        <f t="shared" si="41"/>
        <v>0</v>
      </c>
      <c r="D1346" s="223"/>
      <c r="R1346" s="222"/>
    </row>
    <row r="1347" spans="1:18" x14ac:dyDescent="0.35">
      <c r="A1347" s="203">
        <f t="shared" ref="A1347:A1410" si="42">F1347</f>
        <v>0</v>
      </c>
      <c r="C1347" s="205">
        <f t="shared" ref="C1347:C1410" si="43">F1347</f>
        <v>0</v>
      </c>
      <c r="D1347" s="223"/>
      <c r="R1347" s="222"/>
    </row>
    <row r="1348" spans="1:18" x14ac:dyDescent="0.35">
      <c r="A1348" s="203">
        <f t="shared" si="42"/>
        <v>0</v>
      </c>
      <c r="C1348" s="205">
        <f t="shared" si="43"/>
        <v>0</v>
      </c>
      <c r="D1348" s="223"/>
      <c r="R1348" s="222"/>
    </row>
    <row r="1349" spans="1:18" x14ac:dyDescent="0.35">
      <c r="A1349" s="203">
        <f t="shared" si="42"/>
        <v>0</v>
      </c>
      <c r="C1349" s="205">
        <f t="shared" si="43"/>
        <v>0</v>
      </c>
      <c r="D1349" s="223"/>
      <c r="R1349" s="222"/>
    </row>
    <row r="1350" spans="1:18" x14ac:dyDescent="0.35">
      <c r="A1350" s="203">
        <f t="shared" si="42"/>
        <v>0</v>
      </c>
      <c r="C1350" s="205">
        <f t="shared" si="43"/>
        <v>0</v>
      </c>
      <c r="D1350" s="223"/>
      <c r="R1350" s="222"/>
    </row>
    <row r="1351" spans="1:18" x14ac:dyDescent="0.35">
      <c r="A1351" s="203">
        <f t="shared" si="42"/>
        <v>0</v>
      </c>
      <c r="C1351" s="205">
        <f t="shared" si="43"/>
        <v>0</v>
      </c>
      <c r="D1351" s="223"/>
      <c r="R1351" s="222"/>
    </row>
    <row r="1352" spans="1:18" x14ac:dyDescent="0.35">
      <c r="A1352" s="203">
        <f t="shared" si="42"/>
        <v>0</v>
      </c>
      <c r="C1352" s="205">
        <f t="shared" si="43"/>
        <v>0</v>
      </c>
      <c r="D1352" s="223"/>
      <c r="R1352" s="222"/>
    </row>
    <row r="1353" spans="1:18" x14ac:dyDescent="0.35">
      <c r="A1353" s="203">
        <f t="shared" si="42"/>
        <v>0</v>
      </c>
      <c r="C1353" s="205">
        <f t="shared" si="43"/>
        <v>0</v>
      </c>
      <c r="D1353" s="223"/>
      <c r="R1353" s="222"/>
    </row>
    <row r="1354" spans="1:18" x14ac:dyDescent="0.35">
      <c r="A1354" s="203">
        <f t="shared" si="42"/>
        <v>0</v>
      </c>
      <c r="C1354" s="205">
        <f t="shared" si="43"/>
        <v>0</v>
      </c>
      <c r="D1354" s="223"/>
      <c r="R1354" s="222"/>
    </row>
    <row r="1355" spans="1:18" x14ac:dyDescent="0.35">
      <c r="A1355" s="203">
        <f t="shared" si="42"/>
        <v>0</v>
      </c>
      <c r="C1355" s="205">
        <f t="shared" si="43"/>
        <v>0</v>
      </c>
      <c r="D1355" s="223"/>
      <c r="R1355" s="222"/>
    </row>
    <row r="1356" spans="1:18" x14ac:dyDescent="0.35">
      <c r="A1356" s="203">
        <f t="shared" si="42"/>
        <v>0</v>
      </c>
      <c r="C1356" s="205">
        <f t="shared" si="43"/>
        <v>0</v>
      </c>
      <c r="D1356" s="223"/>
      <c r="R1356" s="222"/>
    </row>
    <row r="1357" spans="1:18" x14ac:dyDescent="0.35">
      <c r="A1357" s="203">
        <f t="shared" si="42"/>
        <v>0</v>
      </c>
      <c r="C1357" s="205">
        <f t="shared" si="43"/>
        <v>0</v>
      </c>
      <c r="D1357" s="223"/>
      <c r="R1357" s="222"/>
    </row>
    <row r="1358" spans="1:18" x14ac:dyDescent="0.35">
      <c r="A1358" s="203">
        <f t="shared" si="42"/>
        <v>0</v>
      </c>
      <c r="C1358" s="205">
        <f t="shared" si="43"/>
        <v>0</v>
      </c>
      <c r="D1358" s="223"/>
      <c r="R1358" s="222"/>
    </row>
    <row r="1359" spans="1:18" x14ac:dyDescent="0.35">
      <c r="A1359" s="203">
        <f t="shared" si="42"/>
        <v>0</v>
      </c>
      <c r="C1359" s="205">
        <f t="shared" si="43"/>
        <v>0</v>
      </c>
      <c r="D1359" s="223"/>
      <c r="R1359" s="222"/>
    </row>
    <row r="1360" spans="1:18" x14ac:dyDescent="0.35">
      <c r="A1360" s="203">
        <f t="shared" si="42"/>
        <v>0</v>
      </c>
      <c r="C1360" s="205">
        <f t="shared" si="43"/>
        <v>0</v>
      </c>
      <c r="D1360" s="223"/>
      <c r="R1360" s="222"/>
    </row>
    <row r="1361" spans="1:18" x14ac:dyDescent="0.35">
      <c r="A1361" s="203">
        <f t="shared" si="42"/>
        <v>0</v>
      </c>
      <c r="C1361" s="205">
        <f t="shared" si="43"/>
        <v>0</v>
      </c>
      <c r="D1361" s="223"/>
      <c r="R1361" s="222"/>
    </row>
    <row r="1362" spans="1:18" x14ac:dyDescent="0.35">
      <c r="A1362" s="203">
        <f t="shared" si="42"/>
        <v>0</v>
      </c>
      <c r="C1362" s="205">
        <f t="shared" si="43"/>
        <v>0</v>
      </c>
      <c r="D1362" s="223"/>
      <c r="R1362" s="222"/>
    </row>
    <row r="1363" spans="1:18" x14ac:dyDescent="0.35">
      <c r="A1363" s="203">
        <f t="shared" si="42"/>
        <v>0</v>
      </c>
      <c r="C1363" s="205">
        <f t="shared" si="43"/>
        <v>0</v>
      </c>
      <c r="D1363" s="223"/>
      <c r="R1363" s="222"/>
    </row>
    <row r="1364" spans="1:18" x14ac:dyDescent="0.35">
      <c r="A1364" s="203">
        <f t="shared" si="42"/>
        <v>0</v>
      </c>
      <c r="C1364" s="205">
        <f t="shared" si="43"/>
        <v>0</v>
      </c>
      <c r="D1364" s="223"/>
      <c r="R1364" s="222"/>
    </row>
    <row r="1365" spans="1:18" x14ac:dyDescent="0.35">
      <c r="A1365" s="203">
        <f t="shared" si="42"/>
        <v>0</v>
      </c>
      <c r="C1365" s="205">
        <f t="shared" si="43"/>
        <v>0</v>
      </c>
      <c r="D1365" s="223"/>
      <c r="R1365" s="222"/>
    </row>
    <row r="1366" spans="1:18" x14ac:dyDescent="0.35">
      <c r="A1366" s="203">
        <f t="shared" si="42"/>
        <v>0</v>
      </c>
      <c r="C1366" s="205">
        <f t="shared" si="43"/>
        <v>0</v>
      </c>
      <c r="D1366" s="223"/>
      <c r="R1366" s="222"/>
    </row>
    <row r="1367" spans="1:18" x14ac:dyDescent="0.35">
      <c r="A1367" s="203">
        <f t="shared" si="42"/>
        <v>0</v>
      </c>
      <c r="C1367" s="205">
        <f t="shared" si="43"/>
        <v>0</v>
      </c>
      <c r="D1367" s="223"/>
      <c r="R1367" s="222"/>
    </row>
    <row r="1368" spans="1:18" x14ac:dyDescent="0.35">
      <c r="A1368" s="203">
        <f t="shared" si="42"/>
        <v>0</v>
      </c>
      <c r="C1368" s="205">
        <f t="shared" si="43"/>
        <v>0</v>
      </c>
      <c r="D1368" s="223"/>
      <c r="R1368" s="222"/>
    </row>
    <row r="1369" spans="1:18" x14ac:dyDescent="0.35">
      <c r="A1369" s="203">
        <f t="shared" si="42"/>
        <v>0</v>
      </c>
      <c r="C1369" s="205">
        <f t="shared" si="43"/>
        <v>0</v>
      </c>
      <c r="D1369" s="223"/>
      <c r="R1369" s="222"/>
    </row>
    <row r="1370" spans="1:18" x14ac:dyDescent="0.35">
      <c r="A1370" s="203">
        <f t="shared" si="42"/>
        <v>0</v>
      </c>
      <c r="C1370" s="205">
        <f t="shared" si="43"/>
        <v>0</v>
      </c>
      <c r="D1370" s="223"/>
      <c r="R1370" s="222"/>
    </row>
    <row r="1371" spans="1:18" x14ac:dyDescent="0.35">
      <c r="A1371" s="203">
        <f t="shared" si="42"/>
        <v>0</v>
      </c>
      <c r="C1371" s="205">
        <f t="shared" si="43"/>
        <v>0</v>
      </c>
      <c r="D1371" s="223"/>
      <c r="R1371" s="222"/>
    </row>
    <row r="1372" spans="1:18" x14ac:dyDescent="0.35">
      <c r="A1372" s="203">
        <f t="shared" si="42"/>
        <v>0</v>
      </c>
      <c r="C1372" s="205">
        <f t="shared" si="43"/>
        <v>0</v>
      </c>
      <c r="D1372" s="223"/>
      <c r="R1372" s="222"/>
    </row>
    <row r="1373" spans="1:18" x14ac:dyDescent="0.35">
      <c r="A1373" s="203">
        <f t="shared" si="42"/>
        <v>0</v>
      </c>
      <c r="C1373" s="205">
        <f t="shared" si="43"/>
        <v>0</v>
      </c>
      <c r="D1373" s="223"/>
      <c r="R1373" s="222"/>
    </row>
    <row r="1374" spans="1:18" x14ac:dyDescent="0.35">
      <c r="A1374" s="203">
        <f t="shared" si="42"/>
        <v>0</v>
      </c>
      <c r="C1374" s="205">
        <f t="shared" si="43"/>
        <v>0</v>
      </c>
      <c r="D1374" s="223"/>
      <c r="R1374" s="222"/>
    </row>
    <row r="1375" spans="1:18" x14ac:dyDescent="0.35">
      <c r="A1375" s="203">
        <f t="shared" si="42"/>
        <v>0</v>
      </c>
      <c r="C1375" s="205">
        <f t="shared" si="43"/>
        <v>0</v>
      </c>
      <c r="D1375" s="223"/>
      <c r="R1375" s="222"/>
    </row>
    <row r="1376" spans="1:18" x14ac:dyDescent="0.35">
      <c r="A1376" s="203">
        <f t="shared" si="42"/>
        <v>0</v>
      </c>
      <c r="C1376" s="205">
        <f t="shared" si="43"/>
        <v>0</v>
      </c>
      <c r="D1376" s="223"/>
      <c r="R1376" s="222"/>
    </row>
    <row r="1377" spans="1:18" x14ac:dyDescent="0.35">
      <c r="A1377" s="203">
        <f t="shared" si="42"/>
        <v>0</v>
      </c>
      <c r="C1377" s="205">
        <f t="shared" si="43"/>
        <v>0</v>
      </c>
      <c r="D1377" s="223"/>
      <c r="R1377" s="222"/>
    </row>
    <row r="1378" spans="1:18" x14ac:dyDescent="0.35">
      <c r="A1378" s="203">
        <f t="shared" si="42"/>
        <v>0</v>
      </c>
      <c r="C1378" s="205">
        <f t="shared" si="43"/>
        <v>0</v>
      </c>
      <c r="D1378" s="223"/>
      <c r="R1378" s="222"/>
    </row>
    <row r="1379" spans="1:18" x14ac:dyDescent="0.35">
      <c r="A1379" s="203">
        <f t="shared" si="42"/>
        <v>0</v>
      </c>
      <c r="C1379" s="205">
        <f t="shared" si="43"/>
        <v>0</v>
      </c>
      <c r="D1379" s="223"/>
      <c r="R1379" s="222"/>
    </row>
    <row r="1380" spans="1:18" x14ac:dyDescent="0.35">
      <c r="A1380" s="203">
        <f t="shared" si="42"/>
        <v>0</v>
      </c>
      <c r="C1380" s="205">
        <f t="shared" si="43"/>
        <v>0</v>
      </c>
      <c r="D1380" s="223"/>
      <c r="R1380" s="222"/>
    </row>
    <row r="1381" spans="1:18" x14ac:dyDescent="0.35">
      <c r="A1381" s="203">
        <f t="shared" si="42"/>
        <v>0</v>
      </c>
      <c r="C1381" s="205">
        <f t="shared" si="43"/>
        <v>0</v>
      </c>
      <c r="D1381" s="223"/>
      <c r="R1381" s="222"/>
    </row>
    <row r="1382" spans="1:18" x14ac:dyDescent="0.35">
      <c r="A1382" s="203">
        <f t="shared" si="42"/>
        <v>0</v>
      </c>
      <c r="C1382" s="205">
        <f t="shared" si="43"/>
        <v>0</v>
      </c>
      <c r="D1382" s="223"/>
      <c r="R1382" s="222"/>
    </row>
    <row r="1383" spans="1:18" x14ac:dyDescent="0.35">
      <c r="A1383" s="203">
        <f t="shared" si="42"/>
        <v>0</v>
      </c>
      <c r="C1383" s="205">
        <f t="shared" si="43"/>
        <v>0</v>
      </c>
      <c r="D1383" s="223"/>
      <c r="R1383" s="222"/>
    </row>
    <row r="1384" spans="1:18" x14ac:dyDescent="0.35">
      <c r="A1384" s="203">
        <f t="shared" si="42"/>
        <v>0</v>
      </c>
      <c r="C1384" s="205">
        <f t="shared" si="43"/>
        <v>0</v>
      </c>
      <c r="D1384" s="223"/>
      <c r="R1384" s="222"/>
    </row>
    <row r="1385" spans="1:18" x14ac:dyDescent="0.35">
      <c r="A1385" s="203">
        <f t="shared" si="42"/>
        <v>0</v>
      </c>
      <c r="C1385" s="205">
        <f t="shared" si="43"/>
        <v>0</v>
      </c>
      <c r="D1385" s="223"/>
      <c r="R1385" s="222"/>
    </row>
    <row r="1386" spans="1:18" x14ac:dyDescent="0.35">
      <c r="A1386" s="203">
        <f t="shared" si="42"/>
        <v>0</v>
      </c>
      <c r="C1386" s="205">
        <f t="shared" si="43"/>
        <v>0</v>
      </c>
      <c r="D1386" s="223"/>
      <c r="R1386" s="222"/>
    </row>
    <row r="1387" spans="1:18" x14ac:dyDescent="0.35">
      <c r="A1387" s="203">
        <f t="shared" si="42"/>
        <v>0</v>
      </c>
      <c r="C1387" s="205">
        <f t="shared" si="43"/>
        <v>0</v>
      </c>
      <c r="D1387" s="223"/>
      <c r="R1387" s="222"/>
    </row>
    <row r="1388" spans="1:18" x14ac:dyDescent="0.35">
      <c r="A1388" s="203">
        <f t="shared" si="42"/>
        <v>0</v>
      </c>
      <c r="C1388" s="205">
        <f t="shared" si="43"/>
        <v>0</v>
      </c>
      <c r="D1388" s="223"/>
      <c r="R1388" s="222"/>
    </row>
    <row r="1389" spans="1:18" x14ac:dyDescent="0.35">
      <c r="A1389" s="203">
        <f t="shared" si="42"/>
        <v>0</v>
      </c>
      <c r="C1389" s="205">
        <f t="shared" si="43"/>
        <v>0</v>
      </c>
      <c r="D1389" s="223"/>
      <c r="R1389" s="222"/>
    </row>
    <row r="1390" spans="1:18" x14ac:dyDescent="0.35">
      <c r="A1390" s="203">
        <f t="shared" si="42"/>
        <v>0</v>
      </c>
      <c r="C1390" s="205">
        <f t="shared" si="43"/>
        <v>0</v>
      </c>
      <c r="D1390" s="223"/>
      <c r="R1390" s="222"/>
    </row>
    <row r="1391" spans="1:18" x14ac:dyDescent="0.35">
      <c r="A1391" s="203">
        <f t="shared" si="42"/>
        <v>0</v>
      </c>
      <c r="C1391" s="205">
        <f t="shared" si="43"/>
        <v>0</v>
      </c>
      <c r="D1391" s="223"/>
      <c r="R1391" s="222"/>
    </row>
    <row r="1392" spans="1:18" x14ac:dyDescent="0.35">
      <c r="A1392" s="203">
        <f t="shared" si="42"/>
        <v>0</v>
      </c>
      <c r="C1392" s="205">
        <f t="shared" si="43"/>
        <v>0</v>
      </c>
      <c r="D1392" s="223"/>
      <c r="R1392" s="222"/>
    </row>
    <row r="1393" spans="1:18" x14ac:dyDescent="0.35">
      <c r="A1393" s="203">
        <f t="shared" si="42"/>
        <v>0</v>
      </c>
      <c r="C1393" s="205">
        <f t="shared" si="43"/>
        <v>0</v>
      </c>
      <c r="D1393" s="223"/>
      <c r="R1393" s="222"/>
    </row>
    <row r="1394" spans="1:18" x14ac:dyDescent="0.35">
      <c r="A1394" s="203">
        <f t="shared" si="42"/>
        <v>0</v>
      </c>
      <c r="C1394" s="205">
        <f t="shared" si="43"/>
        <v>0</v>
      </c>
      <c r="D1394" s="223"/>
      <c r="R1394" s="222"/>
    </row>
    <row r="1395" spans="1:18" x14ac:dyDescent="0.35">
      <c r="A1395" s="203">
        <f t="shared" si="42"/>
        <v>0</v>
      </c>
      <c r="C1395" s="205">
        <f t="shared" si="43"/>
        <v>0</v>
      </c>
      <c r="D1395" s="223"/>
      <c r="R1395" s="222"/>
    </row>
    <row r="1396" spans="1:18" x14ac:dyDescent="0.35">
      <c r="A1396" s="203">
        <f t="shared" si="42"/>
        <v>0</v>
      </c>
      <c r="C1396" s="205">
        <f t="shared" si="43"/>
        <v>0</v>
      </c>
      <c r="D1396" s="223"/>
      <c r="R1396" s="222"/>
    </row>
    <row r="1397" spans="1:18" x14ac:dyDescent="0.35">
      <c r="A1397" s="203">
        <f t="shared" si="42"/>
        <v>0</v>
      </c>
      <c r="C1397" s="205">
        <f t="shared" si="43"/>
        <v>0</v>
      </c>
      <c r="D1397" s="223"/>
      <c r="R1397" s="222"/>
    </row>
    <row r="1398" spans="1:18" x14ac:dyDescent="0.35">
      <c r="A1398" s="203">
        <f t="shared" si="42"/>
        <v>0</v>
      </c>
      <c r="C1398" s="205">
        <f t="shared" si="43"/>
        <v>0</v>
      </c>
      <c r="D1398" s="223"/>
      <c r="R1398" s="222"/>
    </row>
    <row r="1399" spans="1:18" x14ac:dyDescent="0.35">
      <c r="A1399" s="203">
        <f t="shared" si="42"/>
        <v>0</v>
      </c>
      <c r="C1399" s="205">
        <f t="shared" si="43"/>
        <v>0</v>
      </c>
      <c r="D1399" s="223"/>
      <c r="R1399" s="222"/>
    </row>
    <row r="1400" spans="1:18" x14ac:dyDescent="0.35">
      <c r="A1400" s="203">
        <f t="shared" si="42"/>
        <v>0</v>
      </c>
      <c r="C1400" s="205">
        <f t="shared" si="43"/>
        <v>0</v>
      </c>
      <c r="D1400" s="223"/>
      <c r="R1400" s="222"/>
    </row>
    <row r="1401" spans="1:18" x14ac:dyDescent="0.35">
      <c r="A1401" s="203">
        <f t="shared" si="42"/>
        <v>0</v>
      </c>
      <c r="C1401" s="205">
        <f t="shared" si="43"/>
        <v>0</v>
      </c>
      <c r="D1401" s="223"/>
      <c r="R1401" s="222"/>
    </row>
    <row r="1402" spans="1:18" x14ac:dyDescent="0.35">
      <c r="A1402" s="203">
        <f t="shared" si="42"/>
        <v>0</v>
      </c>
      <c r="C1402" s="205">
        <f t="shared" si="43"/>
        <v>0</v>
      </c>
      <c r="D1402" s="223"/>
      <c r="R1402" s="222"/>
    </row>
    <row r="1403" spans="1:18" x14ac:dyDescent="0.35">
      <c r="A1403" s="203">
        <f t="shared" si="42"/>
        <v>0</v>
      </c>
      <c r="C1403" s="205">
        <f t="shared" si="43"/>
        <v>0</v>
      </c>
      <c r="D1403" s="223"/>
      <c r="R1403" s="222"/>
    </row>
    <row r="1404" spans="1:18" x14ac:dyDescent="0.35">
      <c r="A1404" s="203">
        <f t="shared" si="42"/>
        <v>0</v>
      </c>
      <c r="C1404" s="205">
        <f t="shared" si="43"/>
        <v>0</v>
      </c>
      <c r="D1404" s="223"/>
      <c r="R1404" s="222"/>
    </row>
    <row r="1405" spans="1:18" x14ac:dyDescent="0.35">
      <c r="A1405" s="203">
        <f t="shared" si="42"/>
        <v>0</v>
      </c>
      <c r="C1405" s="205">
        <f t="shared" si="43"/>
        <v>0</v>
      </c>
      <c r="D1405" s="223"/>
      <c r="R1405" s="222"/>
    </row>
    <row r="1406" spans="1:18" x14ac:dyDescent="0.35">
      <c r="A1406" s="203">
        <f t="shared" si="42"/>
        <v>0</v>
      </c>
      <c r="C1406" s="205">
        <f t="shared" si="43"/>
        <v>0</v>
      </c>
      <c r="D1406" s="223"/>
      <c r="R1406" s="222"/>
    </row>
    <row r="1407" spans="1:18" x14ac:dyDescent="0.35">
      <c r="A1407" s="203">
        <f t="shared" si="42"/>
        <v>0</v>
      </c>
      <c r="C1407" s="205">
        <f t="shared" si="43"/>
        <v>0</v>
      </c>
      <c r="D1407" s="223"/>
      <c r="R1407" s="222"/>
    </row>
    <row r="1408" spans="1:18" x14ac:dyDescent="0.35">
      <c r="A1408" s="203">
        <f t="shared" si="42"/>
        <v>0</v>
      </c>
      <c r="C1408" s="205">
        <f t="shared" si="43"/>
        <v>0</v>
      </c>
      <c r="D1408" s="223"/>
      <c r="R1408" s="222"/>
    </row>
    <row r="1409" spans="1:18" x14ac:dyDescent="0.35">
      <c r="A1409" s="203">
        <f t="shared" si="42"/>
        <v>0</v>
      </c>
      <c r="C1409" s="205">
        <f t="shared" si="43"/>
        <v>0</v>
      </c>
      <c r="D1409" s="223"/>
      <c r="R1409" s="222"/>
    </row>
    <row r="1410" spans="1:18" x14ac:dyDescent="0.35">
      <c r="A1410" s="203">
        <f t="shared" si="42"/>
        <v>0</v>
      </c>
      <c r="C1410" s="205">
        <f t="shared" si="43"/>
        <v>0</v>
      </c>
      <c r="D1410" s="223"/>
      <c r="R1410" s="222"/>
    </row>
    <row r="1411" spans="1:18" x14ac:dyDescent="0.35">
      <c r="A1411" s="203">
        <f t="shared" ref="A1411:A1474" si="44">F1411</f>
        <v>0</v>
      </c>
      <c r="C1411" s="205">
        <f t="shared" ref="C1411:C1474" si="45">F1411</f>
        <v>0</v>
      </c>
      <c r="D1411" s="223"/>
      <c r="R1411" s="222"/>
    </row>
    <row r="1412" spans="1:18" x14ac:dyDescent="0.35">
      <c r="A1412" s="203">
        <f t="shared" si="44"/>
        <v>0</v>
      </c>
      <c r="C1412" s="205">
        <f t="shared" si="45"/>
        <v>0</v>
      </c>
      <c r="D1412" s="223"/>
      <c r="R1412" s="222"/>
    </row>
    <row r="1413" spans="1:18" x14ac:dyDescent="0.35">
      <c r="A1413" s="203">
        <f t="shared" si="44"/>
        <v>0</v>
      </c>
      <c r="C1413" s="205">
        <f t="shared" si="45"/>
        <v>0</v>
      </c>
      <c r="D1413" s="223"/>
      <c r="R1413" s="222"/>
    </row>
    <row r="1414" spans="1:18" x14ac:dyDescent="0.35">
      <c r="A1414" s="203">
        <f t="shared" si="44"/>
        <v>0</v>
      </c>
      <c r="C1414" s="205">
        <f t="shared" si="45"/>
        <v>0</v>
      </c>
      <c r="D1414" s="223"/>
      <c r="R1414" s="222"/>
    </row>
    <row r="1415" spans="1:18" x14ac:dyDescent="0.35">
      <c r="A1415" s="203">
        <f t="shared" si="44"/>
        <v>0</v>
      </c>
      <c r="C1415" s="205">
        <f t="shared" si="45"/>
        <v>0</v>
      </c>
      <c r="D1415" s="223"/>
      <c r="R1415" s="222"/>
    </row>
    <row r="1416" spans="1:18" x14ac:dyDescent="0.35">
      <c r="A1416" s="203">
        <f t="shared" si="44"/>
        <v>0</v>
      </c>
      <c r="C1416" s="205">
        <f t="shared" si="45"/>
        <v>0</v>
      </c>
      <c r="D1416" s="223"/>
      <c r="R1416" s="222"/>
    </row>
    <row r="1417" spans="1:18" x14ac:dyDescent="0.35">
      <c r="A1417" s="203">
        <f t="shared" si="44"/>
        <v>0</v>
      </c>
      <c r="C1417" s="205">
        <f t="shared" si="45"/>
        <v>0</v>
      </c>
      <c r="D1417" s="223"/>
      <c r="R1417" s="222"/>
    </row>
    <row r="1418" spans="1:18" x14ac:dyDescent="0.35">
      <c r="A1418" s="203">
        <f t="shared" si="44"/>
        <v>0</v>
      </c>
      <c r="C1418" s="205">
        <f t="shared" si="45"/>
        <v>0</v>
      </c>
      <c r="D1418" s="223"/>
      <c r="R1418" s="222"/>
    </row>
    <row r="1419" spans="1:18" x14ac:dyDescent="0.35">
      <c r="A1419" s="203">
        <f t="shared" si="44"/>
        <v>0</v>
      </c>
      <c r="C1419" s="205">
        <f t="shared" si="45"/>
        <v>0</v>
      </c>
      <c r="D1419" s="223"/>
      <c r="R1419" s="222"/>
    </row>
    <row r="1420" spans="1:18" x14ac:dyDescent="0.35">
      <c r="A1420" s="203">
        <f t="shared" si="44"/>
        <v>0</v>
      </c>
      <c r="C1420" s="205">
        <f t="shared" si="45"/>
        <v>0</v>
      </c>
      <c r="D1420" s="223"/>
      <c r="R1420" s="222"/>
    </row>
    <row r="1421" spans="1:18" x14ac:dyDescent="0.35">
      <c r="A1421" s="203">
        <f t="shared" si="44"/>
        <v>0</v>
      </c>
      <c r="C1421" s="205">
        <f t="shared" si="45"/>
        <v>0</v>
      </c>
      <c r="D1421" s="223"/>
      <c r="R1421" s="222"/>
    </row>
    <row r="1422" spans="1:18" x14ac:dyDescent="0.35">
      <c r="A1422" s="203">
        <f t="shared" si="44"/>
        <v>0</v>
      </c>
      <c r="C1422" s="205">
        <f t="shared" si="45"/>
        <v>0</v>
      </c>
      <c r="D1422" s="223"/>
      <c r="R1422" s="222"/>
    </row>
    <row r="1423" spans="1:18" x14ac:dyDescent="0.35">
      <c r="A1423" s="203">
        <f t="shared" si="44"/>
        <v>0</v>
      </c>
      <c r="C1423" s="205">
        <f t="shared" si="45"/>
        <v>0</v>
      </c>
      <c r="D1423" s="223"/>
      <c r="R1423" s="222"/>
    </row>
    <row r="1424" spans="1:18" x14ac:dyDescent="0.35">
      <c r="A1424" s="203">
        <f t="shared" si="44"/>
        <v>0</v>
      </c>
      <c r="C1424" s="205">
        <f t="shared" si="45"/>
        <v>0</v>
      </c>
      <c r="D1424" s="223"/>
      <c r="R1424" s="222"/>
    </row>
    <row r="1425" spans="1:18" x14ac:dyDescent="0.35">
      <c r="A1425" s="203">
        <f t="shared" si="44"/>
        <v>0</v>
      </c>
      <c r="C1425" s="205">
        <f t="shared" si="45"/>
        <v>0</v>
      </c>
      <c r="D1425" s="223"/>
      <c r="R1425" s="222"/>
    </row>
    <row r="1426" spans="1:18" x14ac:dyDescent="0.35">
      <c r="A1426" s="203">
        <f t="shared" si="44"/>
        <v>0</v>
      </c>
      <c r="C1426" s="205">
        <f t="shared" si="45"/>
        <v>0</v>
      </c>
      <c r="D1426" s="223"/>
      <c r="R1426" s="222"/>
    </row>
    <row r="1427" spans="1:18" x14ac:dyDescent="0.35">
      <c r="A1427" s="203">
        <f t="shared" si="44"/>
        <v>0</v>
      </c>
      <c r="C1427" s="205">
        <f t="shared" si="45"/>
        <v>0</v>
      </c>
      <c r="D1427" s="223"/>
      <c r="R1427" s="222"/>
    </row>
    <row r="1428" spans="1:18" x14ac:dyDescent="0.35">
      <c r="A1428" s="203">
        <f t="shared" si="44"/>
        <v>0</v>
      </c>
      <c r="C1428" s="205">
        <f t="shared" si="45"/>
        <v>0</v>
      </c>
      <c r="D1428" s="223"/>
      <c r="R1428" s="222"/>
    </row>
    <row r="1429" spans="1:18" x14ac:dyDescent="0.35">
      <c r="A1429" s="203">
        <f t="shared" si="44"/>
        <v>0</v>
      </c>
      <c r="C1429" s="205">
        <f t="shared" si="45"/>
        <v>0</v>
      </c>
      <c r="D1429" s="223"/>
      <c r="R1429" s="222"/>
    </row>
    <row r="1430" spans="1:18" x14ac:dyDescent="0.35">
      <c r="A1430" s="203">
        <f t="shared" si="44"/>
        <v>0</v>
      </c>
      <c r="C1430" s="205">
        <f t="shared" si="45"/>
        <v>0</v>
      </c>
      <c r="D1430" s="223"/>
      <c r="R1430" s="222"/>
    </row>
    <row r="1431" spans="1:18" x14ac:dyDescent="0.35">
      <c r="A1431" s="203">
        <f t="shared" si="44"/>
        <v>0</v>
      </c>
      <c r="C1431" s="205">
        <f t="shared" si="45"/>
        <v>0</v>
      </c>
      <c r="D1431" s="223"/>
      <c r="R1431" s="222"/>
    </row>
    <row r="1432" spans="1:18" x14ac:dyDescent="0.35">
      <c r="A1432" s="203">
        <f t="shared" si="44"/>
        <v>0</v>
      </c>
      <c r="C1432" s="205">
        <f t="shared" si="45"/>
        <v>0</v>
      </c>
      <c r="D1432" s="223"/>
      <c r="R1432" s="222"/>
    </row>
    <row r="1433" spans="1:18" x14ac:dyDescent="0.35">
      <c r="A1433" s="203">
        <f t="shared" si="44"/>
        <v>0</v>
      </c>
      <c r="C1433" s="205">
        <f t="shared" si="45"/>
        <v>0</v>
      </c>
      <c r="D1433" s="223"/>
      <c r="R1433" s="222"/>
    </row>
    <row r="1434" spans="1:18" x14ac:dyDescent="0.35">
      <c r="A1434" s="203">
        <f t="shared" si="44"/>
        <v>0</v>
      </c>
      <c r="C1434" s="205">
        <f t="shared" si="45"/>
        <v>0</v>
      </c>
      <c r="D1434" s="223"/>
      <c r="R1434" s="222"/>
    </row>
    <row r="1435" spans="1:18" x14ac:dyDescent="0.35">
      <c r="A1435" s="203">
        <f t="shared" si="44"/>
        <v>0</v>
      </c>
      <c r="C1435" s="205">
        <f t="shared" si="45"/>
        <v>0</v>
      </c>
      <c r="D1435" s="223"/>
      <c r="R1435" s="222"/>
    </row>
    <row r="1436" spans="1:18" x14ac:dyDescent="0.35">
      <c r="A1436" s="203">
        <f t="shared" si="44"/>
        <v>0</v>
      </c>
      <c r="C1436" s="205">
        <f t="shared" si="45"/>
        <v>0</v>
      </c>
      <c r="D1436" s="223"/>
      <c r="R1436" s="222"/>
    </row>
    <row r="1437" spans="1:18" x14ac:dyDescent="0.35">
      <c r="A1437" s="203">
        <f t="shared" si="44"/>
        <v>0</v>
      </c>
      <c r="C1437" s="205">
        <f t="shared" si="45"/>
        <v>0</v>
      </c>
      <c r="D1437" s="223"/>
      <c r="R1437" s="222"/>
    </row>
    <row r="1438" spans="1:18" x14ac:dyDescent="0.35">
      <c r="A1438" s="203">
        <f t="shared" si="44"/>
        <v>0</v>
      </c>
      <c r="C1438" s="205">
        <f t="shared" si="45"/>
        <v>0</v>
      </c>
      <c r="D1438" s="223"/>
      <c r="R1438" s="222"/>
    </row>
    <row r="1439" spans="1:18" x14ac:dyDescent="0.35">
      <c r="A1439" s="203">
        <f t="shared" si="44"/>
        <v>0</v>
      </c>
      <c r="C1439" s="205">
        <f t="shared" si="45"/>
        <v>0</v>
      </c>
      <c r="D1439" s="223"/>
      <c r="R1439" s="222"/>
    </row>
    <row r="1440" spans="1:18" x14ac:dyDescent="0.35">
      <c r="A1440" s="203">
        <f t="shared" si="44"/>
        <v>0</v>
      </c>
      <c r="C1440" s="205">
        <f t="shared" si="45"/>
        <v>0</v>
      </c>
      <c r="D1440" s="223"/>
      <c r="R1440" s="222"/>
    </row>
    <row r="1441" spans="1:18" x14ac:dyDescent="0.35">
      <c r="A1441" s="203">
        <f t="shared" si="44"/>
        <v>0</v>
      </c>
      <c r="C1441" s="205">
        <f t="shared" si="45"/>
        <v>0</v>
      </c>
      <c r="D1441" s="223"/>
      <c r="R1441" s="222"/>
    </row>
    <row r="1442" spans="1:18" x14ac:dyDescent="0.35">
      <c r="A1442" s="203">
        <f t="shared" si="44"/>
        <v>0</v>
      </c>
      <c r="C1442" s="205">
        <f t="shared" si="45"/>
        <v>0</v>
      </c>
      <c r="D1442" s="223"/>
      <c r="R1442" s="222"/>
    </row>
    <row r="1443" spans="1:18" x14ac:dyDescent="0.35">
      <c r="A1443" s="203">
        <f t="shared" si="44"/>
        <v>0</v>
      </c>
      <c r="C1443" s="205">
        <f t="shared" si="45"/>
        <v>0</v>
      </c>
      <c r="D1443" s="223"/>
      <c r="R1443" s="222"/>
    </row>
    <row r="1444" spans="1:18" x14ac:dyDescent="0.35">
      <c r="A1444" s="203">
        <f t="shared" si="44"/>
        <v>0</v>
      </c>
      <c r="C1444" s="205">
        <f t="shared" si="45"/>
        <v>0</v>
      </c>
      <c r="D1444" s="223"/>
      <c r="R1444" s="222"/>
    </row>
    <row r="1445" spans="1:18" x14ac:dyDescent="0.35">
      <c r="A1445" s="203">
        <f t="shared" si="44"/>
        <v>0</v>
      </c>
      <c r="C1445" s="205">
        <f t="shared" si="45"/>
        <v>0</v>
      </c>
      <c r="D1445" s="223"/>
      <c r="R1445" s="222"/>
    </row>
    <row r="1446" spans="1:18" x14ac:dyDescent="0.35">
      <c r="A1446" s="203">
        <f t="shared" si="44"/>
        <v>0</v>
      </c>
      <c r="C1446" s="205">
        <f t="shared" si="45"/>
        <v>0</v>
      </c>
      <c r="D1446" s="223"/>
      <c r="R1446" s="222"/>
    </row>
    <row r="1447" spans="1:18" x14ac:dyDescent="0.35">
      <c r="A1447" s="203">
        <f t="shared" si="44"/>
        <v>0</v>
      </c>
      <c r="C1447" s="205">
        <f t="shared" si="45"/>
        <v>0</v>
      </c>
      <c r="D1447" s="223"/>
      <c r="R1447" s="222"/>
    </row>
    <row r="1448" spans="1:18" x14ac:dyDescent="0.35">
      <c r="A1448" s="203">
        <f t="shared" si="44"/>
        <v>0</v>
      </c>
      <c r="C1448" s="205">
        <f t="shared" si="45"/>
        <v>0</v>
      </c>
      <c r="D1448" s="223"/>
      <c r="R1448" s="222"/>
    </row>
    <row r="1449" spans="1:18" x14ac:dyDescent="0.35">
      <c r="A1449" s="203">
        <f t="shared" si="44"/>
        <v>0</v>
      </c>
      <c r="C1449" s="205">
        <f t="shared" si="45"/>
        <v>0</v>
      </c>
      <c r="D1449" s="223"/>
      <c r="R1449" s="222"/>
    </row>
    <row r="1450" spans="1:18" x14ac:dyDescent="0.35">
      <c r="A1450" s="203">
        <f t="shared" si="44"/>
        <v>0</v>
      </c>
      <c r="C1450" s="205">
        <f t="shared" si="45"/>
        <v>0</v>
      </c>
      <c r="D1450" s="223"/>
      <c r="R1450" s="222"/>
    </row>
    <row r="1451" spans="1:18" x14ac:dyDescent="0.35">
      <c r="A1451" s="203">
        <f t="shared" si="44"/>
        <v>0</v>
      </c>
      <c r="C1451" s="205">
        <f t="shared" si="45"/>
        <v>0</v>
      </c>
      <c r="D1451" s="223"/>
      <c r="R1451" s="222"/>
    </row>
    <row r="1452" spans="1:18" x14ac:dyDescent="0.35">
      <c r="A1452" s="203">
        <f t="shared" si="44"/>
        <v>0</v>
      </c>
      <c r="C1452" s="205">
        <f t="shared" si="45"/>
        <v>0</v>
      </c>
      <c r="D1452" s="223"/>
      <c r="R1452" s="222"/>
    </row>
    <row r="1453" spans="1:18" x14ac:dyDescent="0.35">
      <c r="A1453" s="203">
        <f t="shared" si="44"/>
        <v>0</v>
      </c>
      <c r="C1453" s="205">
        <f t="shared" si="45"/>
        <v>0</v>
      </c>
      <c r="D1453" s="223"/>
      <c r="R1453" s="222"/>
    </row>
    <row r="1454" spans="1:18" x14ac:dyDescent="0.35">
      <c r="A1454" s="203">
        <f t="shared" si="44"/>
        <v>0</v>
      </c>
      <c r="C1454" s="205">
        <f t="shared" si="45"/>
        <v>0</v>
      </c>
      <c r="D1454" s="223"/>
      <c r="R1454" s="222"/>
    </row>
    <row r="1455" spans="1:18" x14ac:dyDescent="0.35">
      <c r="A1455" s="203">
        <f t="shared" si="44"/>
        <v>0</v>
      </c>
      <c r="C1455" s="205">
        <f t="shared" si="45"/>
        <v>0</v>
      </c>
      <c r="D1455" s="223"/>
      <c r="R1455" s="222"/>
    </row>
    <row r="1456" spans="1:18" x14ac:dyDescent="0.35">
      <c r="A1456" s="203">
        <f t="shared" si="44"/>
        <v>0</v>
      </c>
      <c r="C1456" s="205">
        <f t="shared" si="45"/>
        <v>0</v>
      </c>
      <c r="D1456" s="223"/>
      <c r="R1456" s="222"/>
    </row>
    <row r="1457" spans="1:18" x14ac:dyDescent="0.35">
      <c r="A1457" s="203">
        <f t="shared" si="44"/>
        <v>0</v>
      </c>
      <c r="C1457" s="205">
        <f t="shared" si="45"/>
        <v>0</v>
      </c>
      <c r="D1457" s="223"/>
      <c r="R1457" s="222"/>
    </row>
    <row r="1458" spans="1:18" x14ac:dyDescent="0.35">
      <c r="A1458" s="203">
        <f t="shared" si="44"/>
        <v>0</v>
      </c>
      <c r="C1458" s="205">
        <f t="shared" si="45"/>
        <v>0</v>
      </c>
      <c r="D1458" s="223"/>
      <c r="R1458" s="222"/>
    </row>
    <row r="1459" spans="1:18" x14ac:dyDescent="0.35">
      <c r="A1459" s="203">
        <f t="shared" si="44"/>
        <v>0</v>
      </c>
      <c r="C1459" s="205">
        <f t="shared" si="45"/>
        <v>0</v>
      </c>
      <c r="D1459" s="223"/>
      <c r="R1459" s="222"/>
    </row>
    <row r="1460" spans="1:18" x14ac:dyDescent="0.35">
      <c r="A1460" s="203">
        <f t="shared" si="44"/>
        <v>0</v>
      </c>
      <c r="C1460" s="205">
        <f t="shared" si="45"/>
        <v>0</v>
      </c>
      <c r="D1460" s="223"/>
      <c r="R1460" s="222"/>
    </row>
    <row r="1461" spans="1:18" x14ac:dyDescent="0.35">
      <c r="A1461" s="203">
        <f t="shared" si="44"/>
        <v>0</v>
      </c>
      <c r="C1461" s="205">
        <f t="shared" si="45"/>
        <v>0</v>
      </c>
      <c r="D1461" s="223"/>
      <c r="R1461" s="222"/>
    </row>
    <row r="1462" spans="1:18" x14ac:dyDescent="0.35">
      <c r="A1462" s="203">
        <f t="shared" si="44"/>
        <v>0</v>
      </c>
      <c r="C1462" s="205">
        <f t="shared" si="45"/>
        <v>0</v>
      </c>
      <c r="D1462" s="223"/>
      <c r="R1462" s="222"/>
    </row>
    <row r="1463" spans="1:18" x14ac:dyDescent="0.35">
      <c r="A1463" s="203">
        <f t="shared" si="44"/>
        <v>0</v>
      </c>
      <c r="C1463" s="205">
        <f t="shared" si="45"/>
        <v>0</v>
      </c>
      <c r="D1463" s="223"/>
      <c r="R1463" s="222"/>
    </row>
    <row r="1464" spans="1:18" x14ac:dyDescent="0.35">
      <c r="A1464" s="203">
        <f t="shared" si="44"/>
        <v>0</v>
      </c>
      <c r="C1464" s="205">
        <f t="shared" si="45"/>
        <v>0</v>
      </c>
      <c r="D1464" s="223"/>
      <c r="R1464" s="222"/>
    </row>
    <row r="1465" spans="1:18" x14ac:dyDescent="0.35">
      <c r="A1465" s="203">
        <f t="shared" si="44"/>
        <v>0</v>
      </c>
      <c r="C1465" s="205">
        <f t="shared" si="45"/>
        <v>0</v>
      </c>
      <c r="D1465" s="223"/>
      <c r="R1465" s="222"/>
    </row>
    <row r="1466" spans="1:18" x14ac:dyDescent="0.35">
      <c r="A1466" s="203">
        <f t="shared" si="44"/>
        <v>0</v>
      </c>
      <c r="C1466" s="205">
        <f t="shared" si="45"/>
        <v>0</v>
      </c>
      <c r="D1466" s="223"/>
      <c r="R1466" s="222"/>
    </row>
    <row r="1467" spans="1:18" x14ac:dyDescent="0.35">
      <c r="A1467" s="203">
        <f t="shared" si="44"/>
        <v>0</v>
      </c>
      <c r="C1467" s="205">
        <f t="shared" si="45"/>
        <v>0</v>
      </c>
      <c r="D1467" s="223"/>
      <c r="R1467" s="222"/>
    </row>
    <row r="1468" spans="1:18" x14ac:dyDescent="0.35">
      <c r="A1468" s="203">
        <f t="shared" si="44"/>
        <v>0</v>
      </c>
      <c r="C1468" s="205">
        <f t="shared" si="45"/>
        <v>0</v>
      </c>
      <c r="D1468" s="223"/>
      <c r="R1468" s="222"/>
    </row>
    <row r="1469" spans="1:18" x14ac:dyDescent="0.35">
      <c r="A1469" s="203">
        <f t="shared" si="44"/>
        <v>0</v>
      </c>
      <c r="C1469" s="205">
        <f t="shared" si="45"/>
        <v>0</v>
      </c>
      <c r="D1469" s="223"/>
      <c r="R1469" s="222"/>
    </row>
    <row r="1470" spans="1:18" x14ac:dyDescent="0.35">
      <c r="A1470" s="203">
        <f t="shared" si="44"/>
        <v>0</v>
      </c>
      <c r="C1470" s="205">
        <f t="shared" si="45"/>
        <v>0</v>
      </c>
      <c r="D1470" s="223"/>
      <c r="R1470" s="222"/>
    </row>
    <row r="1471" spans="1:18" x14ac:dyDescent="0.35">
      <c r="A1471" s="203">
        <f t="shared" si="44"/>
        <v>0</v>
      </c>
      <c r="C1471" s="205">
        <f t="shared" si="45"/>
        <v>0</v>
      </c>
      <c r="D1471" s="223"/>
      <c r="R1471" s="222"/>
    </row>
    <row r="1472" spans="1:18" x14ac:dyDescent="0.35">
      <c r="A1472" s="203">
        <f t="shared" si="44"/>
        <v>0</v>
      </c>
      <c r="C1472" s="205">
        <f t="shared" si="45"/>
        <v>0</v>
      </c>
      <c r="D1472" s="223"/>
      <c r="R1472" s="222"/>
    </row>
    <row r="1473" spans="1:18" x14ac:dyDescent="0.35">
      <c r="A1473" s="203">
        <f t="shared" si="44"/>
        <v>0</v>
      </c>
      <c r="C1473" s="205">
        <f t="shared" si="45"/>
        <v>0</v>
      </c>
      <c r="D1473" s="223"/>
      <c r="R1473" s="222"/>
    </row>
    <row r="1474" spans="1:18" x14ac:dyDescent="0.35">
      <c r="A1474" s="203">
        <f t="shared" si="44"/>
        <v>0</v>
      </c>
      <c r="C1474" s="205">
        <f t="shared" si="45"/>
        <v>0</v>
      </c>
      <c r="D1474" s="223"/>
      <c r="R1474" s="222"/>
    </row>
    <row r="1475" spans="1:18" x14ac:dyDescent="0.35">
      <c r="A1475" s="203">
        <f t="shared" ref="A1475:A1538" si="46">F1475</f>
        <v>0</v>
      </c>
      <c r="C1475" s="205">
        <f t="shared" ref="C1475:C1538" si="47">F1475</f>
        <v>0</v>
      </c>
      <c r="D1475" s="223"/>
      <c r="R1475" s="222"/>
    </row>
    <row r="1476" spans="1:18" x14ac:dyDescent="0.35">
      <c r="A1476" s="203">
        <f t="shared" si="46"/>
        <v>0</v>
      </c>
      <c r="C1476" s="205">
        <f t="shared" si="47"/>
        <v>0</v>
      </c>
      <c r="D1476" s="223"/>
      <c r="R1476" s="222"/>
    </row>
    <row r="1477" spans="1:18" x14ac:dyDescent="0.35">
      <c r="A1477" s="203">
        <f t="shared" si="46"/>
        <v>0</v>
      </c>
      <c r="C1477" s="205">
        <f t="shared" si="47"/>
        <v>0</v>
      </c>
      <c r="D1477" s="223"/>
      <c r="R1477" s="222"/>
    </row>
    <row r="1478" spans="1:18" x14ac:dyDescent="0.35">
      <c r="A1478" s="203">
        <f t="shared" si="46"/>
        <v>0</v>
      </c>
      <c r="C1478" s="205">
        <f t="shared" si="47"/>
        <v>0</v>
      </c>
      <c r="D1478" s="223"/>
      <c r="R1478" s="222"/>
    </row>
    <row r="1479" spans="1:18" x14ac:dyDescent="0.35">
      <c r="A1479" s="203">
        <f t="shared" si="46"/>
        <v>0</v>
      </c>
      <c r="C1479" s="205">
        <f t="shared" si="47"/>
        <v>0</v>
      </c>
      <c r="D1479" s="223"/>
      <c r="R1479" s="222"/>
    </row>
    <row r="1480" spans="1:18" x14ac:dyDescent="0.35">
      <c r="A1480" s="203">
        <f t="shared" si="46"/>
        <v>0</v>
      </c>
      <c r="C1480" s="205">
        <f t="shared" si="47"/>
        <v>0</v>
      </c>
      <c r="D1480" s="223"/>
      <c r="R1480" s="222"/>
    </row>
    <row r="1481" spans="1:18" x14ac:dyDescent="0.35">
      <c r="A1481" s="203">
        <f t="shared" si="46"/>
        <v>0</v>
      </c>
      <c r="C1481" s="205">
        <f t="shared" si="47"/>
        <v>0</v>
      </c>
      <c r="D1481" s="223"/>
      <c r="R1481" s="222"/>
    </row>
    <row r="1482" spans="1:18" x14ac:dyDescent="0.35">
      <c r="A1482" s="203">
        <f t="shared" si="46"/>
        <v>0</v>
      </c>
      <c r="C1482" s="205">
        <f t="shared" si="47"/>
        <v>0</v>
      </c>
      <c r="D1482" s="223"/>
      <c r="R1482" s="222"/>
    </row>
    <row r="1483" spans="1:18" x14ac:dyDescent="0.35">
      <c r="A1483" s="203">
        <f t="shared" si="46"/>
        <v>0</v>
      </c>
      <c r="C1483" s="205">
        <f t="shared" si="47"/>
        <v>0</v>
      </c>
      <c r="D1483" s="223"/>
      <c r="R1483" s="222"/>
    </row>
    <row r="1484" spans="1:18" x14ac:dyDescent="0.35">
      <c r="A1484" s="203">
        <f t="shared" si="46"/>
        <v>0</v>
      </c>
      <c r="C1484" s="205">
        <f t="shared" si="47"/>
        <v>0</v>
      </c>
      <c r="D1484" s="223"/>
      <c r="R1484" s="222"/>
    </row>
    <row r="1485" spans="1:18" x14ac:dyDescent="0.35">
      <c r="A1485" s="203">
        <f t="shared" si="46"/>
        <v>0</v>
      </c>
      <c r="C1485" s="205">
        <f t="shared" si="47"/>
        <v>0</v>
      </c>
      <c r="D1485" s="223"/>
      <c r="R1485" s="222"/>
    </row>
    <row r="1486" spans="1:18" x14ac:dyDescent="0.35">
      <c r="A1486" s="203">
        <f t="shared" si="46"/>
        <v>0</v>
      </c>
      <c r="C1486" s="205">
        <f t="shared" si="47"/>
        <v>0</v>
      </c>
      <c r="D1486" s="223"/>
      <c r="R1486" s="222"/>
    </row>
    <row r="1487" spans="1:18" x14ac:dyDescent="0.35">
      <c r="A1487" s="203">
        <f t="shared" si="46"/>
        <v>0</v>
      </c>
      <c r="C1487" s="205">
        <f t="shared" si="47"/>
        <v>0</v>
      </c>
      <c r="D1487" s="223"/>
      <c r="R1487" s="222"/>
    </row>
    <row r="1488" spans="1:18" x14ac:dyDescent="0.35">
      <c r="A1488" s="203">
        <f t="shared" si="46"/>
        <v>0</v>
      </c>
      <c r="C1488" s="205">
        <f t="shared" si="47"/>
        <v>0</v>
      </c>
      <c r="D1488" s="223"/>
      <c r="R1488" s="222"/>
    </row>
    <row r="1489" spans="1:18" x14ac:dyDescent="0.35">
      <c r="A1489" s="203">
        <f t="shared" si="46"/>
        <v>0</v>
      </c>
      <c r="C1489" s="205">
        <f t="shared" si="47"/>
        <v>0</v>
      </c>
      <c r="D1489" s="223"/>
      <c r="R1489" s="222"/>
    </row>
    <row r="1490" spans="1:18" x14ac:dyDescent="0.35">
      <c r="A1490" s="203">
        <f t="shared" si="46"/>
        <v>0</v>
      </c>
      <c r="C1490" s="205">
        <f t="shared" si="47"/>
        <v>0</v>
      </c>
      <c r="D1490" s="223"/>
      <c r="R1490" s="222"/>
    </row>
    <row r="1491" spans="1:18" x14ac:dyDescent="0.35">
      <c r="A1491" s="203">
        <f t="shared" si="46"/>
        <v>0</v>
      </c>
      <c r="C1491" s="205">
        <f t="shared" si="47"/>
        <v>0</v>
      </c>
      <c r="D1491" s="223"/>
      <c r="R1491" s="222"/>
    </row>
    <row r="1492" spans="1:18" x14ac:dyDescent="0.35">
      <c r="A1492" s="203">
        <f t="shared" si="46"/>
        <v>0</v>
      </c>
      <c r="C1492" s="205">
        <f t="shared" si="47"/>
        <v>0</v>
      </c>
      <c r="D1492" s="223"/>
      <c r="R1492" s="222"/>
    </row>
    <row r="1493" spans="1:18" x14ac:dyDescent="0.35">
      <c r="A1493" s="203">
        <f t="shared" si="46"/>
        <v>0</v>
      </c>
      <c r="C1493" s="205">
        <f t="shared" si="47"/>
        <v>0</v>
      </c>
      <c r="D1493" s="223"/>
      <c r="R1493" s="222"/>
    </row>
    <row r="1494" spans="1:18" x14ac:dyDescent="0.35">
      <c r="A1494" s="203">
        <f t="shared" si="46"/>
        <v>0</v>
      </c>
      <c r="C1494" s="205">
        <f t="shared" si="47"/>
        <v>0</v>
      </c>
      <c r="D1494" s="223"/>
      <c r="R1494" s="222"/>
    </row>
    <row r="1495" spans="1:18" x14ac:dyDescent="0.35">
      <c r="A1495" s="203">
        <f t="shared" si="46"/>
        <v>0</v>
      </c>
      <c r="C1495" s="205">
        <f t="shared" si="47"/>
        <v>0</v>
      </c>
      <c r="D1495" s="223"/>
      <c r="R1495" s="222"/>
    </row>
    <row r="1496" spans="1:18" x14ac:dyDescent="0.35">
      <c r="A1496" s="203">
        <f t="shared" si="46"/>
        <v>0</v>
      </c>
      <c r="C1496" s="205">
        <f t="shared" si="47"/>
        <v>0</v>
      </c>
      <c r="D1496" s="223"/>
      <c r="R1496" s="222"/>
    </row>
    <row r="1497" spans="1:18" x14ac:dyDescent="0.35">
      <c r="A1497" s="203">
        <f t="shared" si="46"/>
        <v>0</v>
      </c>
      <c r="C1497" s="205">
        <f t="shared" si="47"/>
        <v>0</v>
      </c>
      <c r="D1497" s="223"/>
      <c r="R1497" s="222"/>
    </row>
    <row r="1498" spans="1:18" x14ac:dyDescent="0.35">
      <c r="A1498" s="203">
        <f t="shared" si="46"/>
        <v>0</v>
      </c>
      <c r="C1498" s="205">
        <f t="shared" si="47"/>
        <v>0</v>
      </c>
      <c r="D1498" s="223"/>
      <c r="R1498" s="222"/>
    </row>
    <row r="1499" spans="1:18" x14ac:dyDescent="0.35">
      <c r="A1499" s="203">
        <f t="shared" si="46"/>
        <v>0</v>
      </c>
      <c r="C1499" s="205">
        <f t="shared" si="47"/>
        <v>0</v>
      </c>
      <c r="D1499" s="223"/>
      <c r="R1499" s="222"/>
    </row>
    <row r="1500" spans="1:18" x14ac:dyDescent="0.35">
      <c r="A1500" s="203">
        <f t="shared" si="46"/>
        <v>0</v>
      </c>
      <c r="C1500" s="205">
        <f t="shared" si="47"/>
        <v>0</v>
      </c>
      <c r="D1500" s="223"/>
      <c r="R1500" s="222"/>
    </row>
    <row r="1501" spans="1:18" x14ac:dyDescent="0.35">
      <c r="A1501" s="203">
        <f t="shared" si="46"/>
        <v>0</v>
      </c>
      <c r="C1501" s="205">
        <f t="shared" si="47"/>
        <v>0</v>
      </c>
      <c r="D1501" s="223"/>
      <c r="R1501" s="222"/>
    </row>
    <row r="1502" spans="1:18" x14ac:dyDescent="0.35">
      <c r="A1502" s="203">
        <f t="shared" si="46"/>
        <v>0</v>
      </c>
      <c r="C1502" s="205">
        <f t="shared" si="47"/>
        <v>0</v>
      </c>
      <c r="D1502" s="223"/>
      <c r="R1502" s="222"/>
    </row>
    <row r="1503" spans="1:18" x14ac:dyDescent="0.35">
      <c r="A1503" s="203">
        <f t="shared" si="46"/>
        <v>0</v>
      </c>
      <c r="C1503" s="205">
        <f t="shared" si="47"/>
        <v>0</v>
      </c>
      <c r="D1503" s="223"/>
      <c r="R1503" s="222"/>
    </row>
    <row r="1504" spans="1:18" x14ac:dyDescent="0.35">
      <c r="A1504" s="203">
        <f t="shared" si="46"/>
        <v>0</v>
      </c>
      <c r="C1504" s="205">
        <f t="shared" si="47"/>
        <v>0</v>
      </c>
      <c r="D1504" s="223"/>
      <c r="R1504" s="222"/>
    </row>
    <row r="1505" spans="1:18" x14ac:dyDescent="0.35">
      <c r="A1505" s="203">
        <f t="shared" si="46"/>
        <v>0</v>
      </c>
      <c r="C1505" s="205">
        <f t="shared" si="47"/>
        <v>0</v>
      </c>
      <c r="D1505" s="223"/>
      <c r="R1505" s="222"/>
    </row>
    <row r="1506" spans="1:18" x14ac:dyDescent="0.35">
      <c r="A1506" s="203">
        <f t="shared" si="46"/>
        <v>0</v>
      </c>
      <c r="C1506" s="205">
        <f t="shared" si="47"/>
        <v>0</v>
      </c>
      <c r="D1506" s="223"/>
      <c r="R1506" s="222"/>
    </row>
    <row r="1507" spans="1:18" x14ac:dyDescent="0.35">
      <c r="A1507" s="203">
        <f t="shared" si="46"/>
        <v>0</v>
      </c>
      <c r="C1507" s="205">
        <f t="shared" si="47"/>
        <v>0</v>
      </c>
      <c r="D1507" s="223"/>
      <c r="R1507" s="222"/>
    </row>
    <row r="1508" spans="1:18" x14ac:dyDescent="0.35">
      <c r="A1508" s="203">
        <f t="shared" si="46"/>
        <v>0</v>
      </c>
      <c r="C1508" s="205">
        <f t="shared" si="47"/>
        <v>0</v>
      </c>
      <c r="D1508" s="223"/>
      <c r="R1508" s="222"/>
    </row>
    <row r="1509" spans="1:18" x14ac:dyDescent="0.35">
      <c r="A1509" s="203">
        <f t="shared" si="46"/>
        <v>0</v>
      </c>
      <c r="C1509" s="205">
        <f t="shared" si="47"/>
        <v>0</v>
      </c>
      <c r="D1509" s="223"/>
      <c r="R1509" s="222"/>
    </row>
    <row r="1510" spans="1:18" x14ac:dyDescent="0.35">
      <c r="A1510" s="203">
        <f t="shared" si="46"/>
        <v>0</v>
      </c>
      <c r="C1510" s="205">
        <f t="shared" si="47"/>
        <v>0</v>
      </c>
      <c r="D1510" s="223"/>
      <c r="R1510" s="222"/>
    </row>
    <row r="1511" spans="1:18" x14ac:dyDescent="0.35">
      <c r="A1511" s="203">
        <f t="shared" si="46"/>
        <v>0</v>
      </c>
      <c r="C1511" s="205">
        <f t="shared" si="47"/>
        <v>0</v>
      </c>
      <c r="D1511" s="223"/>
      <c r="R1511" s="222"/>
    </row>
    <row r="1512" spans="1:18" x14ac:dyDescent="0.35">
      <c r="A1512" s="203">
        <f t="shared" si="46"/>
        <v>0</v>
      </c>
      <c r="C1512" s="205">
        <f t="shared" si="47"/>
        <v>0</v>
      </c>
      <c r="D1512" s="223"/>
      <c r="R1512" s="222"/>
    </row>
    <row r="1513" spans="1:18" x14ac:dyDescent="0.35">
      <c r="A1513" s="203">
        <f t="shared" si="46"/>
        <v>0</v>
      </c>
      <c r="C1513" s="205">
        <f t="shared" si="47"/>
        <v>0</v>
      </c>
      <c r="D1513" s="223"/>
      <c r="R1513" s="222"/>
    </row>
    <row r="1514" spans="1:18" x14ac:dyDescent="0.35">
      <c r="A1514" s="203">
        <f t="shared" si="46"/>
        <v>0</v>
      </c>
      <c r="C1514" s="205">
        <f t="shared" si="47"/>
        <v>0</v>
      </c>
      <c r="D1514" s="223"/>
      <c r="R1514" s="222"/>
    </row>
    <row r="1515" spans="1:18" x14ac:dyDescent="0.35">
      <c r="A1515" s="203">
        <f t="shared" si="46"/>
        <v>0</v>
      </c>
      <c r="C1515" s="205">
        <f t="shared" si="47"/>
        <v>0</v>
      </c>
      <c r="D1515" s="223"/>
      <c r="R1515" s="222"/>
    </row>
    <row r="1516" spans="1:18" x14ac:dyDescent="0.35">
      <c r="A1516" s="203">
        <f t="shared" si="46"/>
        <v>0</v>
      </c>
      <c r="C1516" s="205">
        <f t="shared" si="47"/>
        <v>0</v>
      </c>
      <c r="D1516" s="223"/>
      <c r="R1516" s="222"/>
    </row>
    <row r="1517" spans="1:18" x14ac:dyDescent="0.35">
      <c r="A1517" s="203">
        <f t="shared" si="46"/>
        <v>0</v>
      </c>
      <c r="C1517" s="205">
        <f t="shared" si="47"/>
        <v>0</v>
      </c>
      <c r="D1517" s="223"/>
      <c r="R1517" s="222"/>
    </row>
    <row r="1518" spans="1:18" x14ac:dyDescent="0.35">
      <c r="A1518" s="203">
        <f t="shared" si="46"/>
        <v>0</v>
      </c>
      <c r="C1518" s="205">
        <f t="shared" si="47"/>
        <v>0</v>
      </c>
      <c r="D1518" s="223"/>
      <c r="R1518" s="222"/>
    </row>
    <row r="1519" spans="1:18" x14ac:dyDescent="0.35">
      <c r="A1519" s="203">
        <f t="shared" si="46"/>
        <v>0</v>
      </c>
      <c r="C1519" s="205">
        <f t="shared" si="47"/>
        <v>0</v>
      </c>
      <c r="D1519" s="223"/>
      <c r="R1519" s="222"/>
    </row>
    <row r="1520" spans="1:18" x14ac:dyDescent="0.35">
      <c r="A1520" s="203">
        <f t="shared" si="46"/>
        <v>0</v>
      </c>
      <c r="C1520" s="205">
        <f t="shared" si="47"/>
        <v>0</v>
      </c>
      <c r="D1520" s="223"/>
      <c r="R1520" s="222"/>
    </row>
    <row r="1521" spans="1:18" x14ac:dyDescent="0.35">
      <c r="A1521" s="203">
        <f t="shared" si="46"/>
        <v>0</v>
      </c>
      <c r="C1521" s="205">
        <f t="shared" si="47"/>
        <v>0</v>
      </c>
      <c r="D1521" s="223"/>
      <c r="R1521" s="222"/>
    </row>
    <row r="1522" spans="1:18" x14ac:dyDescent="0.35">
      <c r="A1522" s="203">
        <f t="shared" si="46"/>
        <v>0</v>
      </c>
      <c r="C1522" s="205">
        <f t="shared" si="47"/>
        <v>0</v>
      </c>
      <c r="D1522" s="223"/>
      <c r="R1522" s="222"/>
    </row>
    <row r="1523" spans="1:18" x14ac:dyDescent="0.35">
      <c r="A1523" s="203">
        <f t="shared" si="46"/>
        <v>0</v>
      </c>
      <c r="C1523" s="205">
        <f t="shared" si="47"/>
        <v>0</v>
      </c>
      <c r="D1523" s="223"/>
      <c r="R1523" s="222"/>
    </row>
    <row r="1524" spans="1:18" x14ac:dyDescent="0.35">
      <c r="A1524" s="203">
        <f t="shared" si="46"/>
        <v>0</v>
      </c>
      <c r="C1524" s="205">
        <f t="shared" si="47"/>
        <v>0</v>
      </c>
      <c r="D1524" s="223"/>
      <c r="R1524" s="222"/>
    </row>
    <row r="1525" spans="1:18" x14ac:dyDescent="0.35">
      <c r="A1525" s="203">
        <f t="shared" si="46"/>
        <v>0</v>
      </c>
      <c r="C1525" s="205">
        <f t="shared" si="47"/>
        <v>0</v>
      </c>
      <c r="D1525" s="223"/>
      <c r="R1525" s="222"/>
    </row>
    <row r="1526" spans="1:18" x14ac:dyDescent="0.35">
      <c r="A1526" s="203">
        <f t="shared" si="46"/>
        <v>0</v>
      </c>
      <c r="C1526" s="205">
        <f t="shared" si="47"/>
        <v>0</v>
      </c>
      <c r="D1526" s="223"/>
      <c r="R1526" s="222"/>
    </row>
    <row r="1527" spans="1:18" x14ac:dyDescent="0.35">
      <c r="A1527" s="203">
        <f t="shared" si="46"/>
        <v>0</v>
      </c>
      <c r="C1527" s="205">
        <f t="shared" si="47"/>
        <v>0</v>
      </c>
      <c r="D1527" s="223"/>
      <c r="R1527" s="222"/>
    </row>
    <row r="1528" spans="1:18" x14ac:dyDescent="0.35">
      <c r="A1528" s="203">
        <f t="shared" si="46"/>
        <v>0</v>
      </c>
      <c r="C1528" s="205">
        <f t="shared" si="47"/>
        <v>0</v>
      </c>
      <c r="D1528" s="223"/>
      <c r="R1528" s="222"/>
    </row>
    <row r="1529" spans="1:18" x14ac:dyDescent="0.35">
      <c r="A1529" s="203">
        <f t="shared" si="46"/>
        <v>0</v>
      </c>
      <c r="C1529" s="205">
        <f t="shared" si="47"/>
        <v>0</v>
      </c>
      <c r="D1529" s="223"/>
      <c r="R1529" s="222"/>
    </row>
    <row r="1530" spans="1:18" x14ac:dyDescent="0.35">
      <c r="A1530" s="203">
        <f t="shared" si="46"/>
        <v>0</v>
      </c>
      <c r="C1530" s="205">
        <f t="shared" si="47"/>
        <v>0</v>
      </c>
      <c r="D1530" s="223"/>
      <c r="R1530" s="222"/>
    </row>
    <row r="1531" spans="1:18" x14ac:dyDescent="0.35">
      <c r="A1531" s="203">
        <f t="shared" si="46"/>
        <v>0</v>
      </c>
      <c r="C1531" s="205">
        <f t="shared" si="47"/>
        <v>0</v>
      </c>
      <c r="D1531" s="223"/>
      <c r="R1531" s="222"/>
    </row>
    <row r="1532" spans="1:18" x14ac:dyDescent="0.35">
      <c r="A1532" s="203">
        <f t="shared" si="46"/>
        <v>0</v>
      </c>
      <c r="C1532" s="205">
        <f t="shared" si="47"/>
        <v>0</v>
      </c>
      <c r="D1532" s="223"/>
      <c r="R1532" s="222"/>
    </row>
    <row r="1533" spans="1:18" x14ac:dyDescent="0.35">
      <c r="A1533" s="203">
        <f t="shared" si="46"/>
        <v>0</v>
      </c>
      <c r="C1533" s="205">
        <f t="shared" si="47"/>
        <v>0</v>
      </c>
      <c r="D1533" s="223"/>
      <c r="R1533" s="222"/>
    </row>
    <row r="1534" spans="1:18" x14ac:dyDescent="0.35">
      <c r="A1534" s="203">
        <f t="shared" si="46"/>
        <v>0</v>
      </c>
      <c r="C1534" s="205">
        <f t="shared" si="47"/>
        <v>0</v>
      </c>
      <c r="D1534" s="223"/>
      <c r="R1534" s="222"/>
    </row>
    <row r="1535" spans="1:18" x14ac:dyDescent="0.35">
      <c r="A1535" s="203">
        <f t="shared" si="46"/>
        <v>0</v>
      </c>
      <c r="C1535" s="205">
        <f t="shared" si="47"/>
        <v>0</v>
      </c>
      <c r="D1535" s="223"/>
      <c r="R1535" s="222"/>
    </row>
    <row r="1536" spans="1:18" x14ac:dyDescent="0.35">
      <c r="A1536" s="203">
        <f t="shared" si="46"/>
        <v>0</v>
      </c>
      <c r="C1536" s="205">
        <f t="shared" si="47"/>
        <v>0</v>
      </c>
      <c r="D1536" s="223"/>
      <c r="R1536" s="222"/>
    </row>
    <row r="1537" spans="1:18" x14ac:dyDescent="0.35">
      <c r="A1537" s="203">
        <f t="shared" si="46"/>
        <v>0</v>
      </c>
      <c r="C1537" s="205">
        <f t="shared" si="47"/>
        <v>0</v>
      </c>
      <c r="D1537" s="223"/>
      <c r="R1537" s="222"/>
    </row>
    <row r="1538" spans="1:18" x14ac:dyDescent="0.35">
      <c r="A1538" s="203">
        <f t="shared" si="46"/>
        <v>0</v>
      </c>
      <c r="C1538" s="205">
        <f t="shared" si="47"/>
        <v>0</v>
      </c>
      <c r="D1538" s="223"/>
      <c r="R1538" s="222"/>
    </row>
    <row r="1539" spans="1:18" x14ac:dyDescent="0.35">
      <c r="A1539" s="203">
        <f t="shared" ref="A1539:A1602" si="48">F1539</f>
        <v>0</v>
      </c>
      <c r="C1539" s="205">
        <f t="shared" ref="C1539:C1602" si="49">F1539</f>
        <v>0</v>
      </c>
      <c r="D1539" s="223"/>
      <c r="R1539" s="222"/>
    </row>
    <row r="1540" spans="1:18" x14ac:dyDescent="0.35">
      <c r="A1540" s="203">
        <f t="shared" si="48"/>
        <v>0</v>
      </c>
      <c r="C1540" s="205">
        <f t="shared" si="49"/>
        <v>0</v>
      </c>
      <c r="D1540" s="223"/>
      <c r="R1540" s="222"/>
    </row>
    <row r="1541" spans="1:18" x14ac:dyDescent="0.35">
      <c r="A1541" s="203">
        <f t="shared" si="48"/>
        <v>0</v>
      </c>
      <c r="C1541" s="205">
        <f t="shared" si="49"/>
        <v>0</v>
      </c>
      <c r="D1541" s="223"/>
      <c r="R1541" s="222"/>
    </row>
    <row r="1542" spans="1:18" x14ac:dyDescent="0.35">
      <c r="A1542" s="203">
        <f t="shared" si="48"/>
        <v>0</v>
      </c>
      <c r="C1542" s="205">
        <f t="shared" si="49"/>
        <v>0</v>
      </c>
      <c r="D1542" s="223"/>
      <c r="R1542" s="222"/>
    </row>
    <row r="1543" spans="1:18" x14ac:dyDescent="0.35">
      <c r="A1543" s="203">
        <f t="shared" si="48"/>
        <v>0</v>
      </c>
      <c r="C1543" s="205">
        <f t="shared" si="49"/>
        <v>0</v>
      </c>
      <c r="D1543" s="223"/>
      <c r="R1543" s="222"/>
    </row>
    <row r="1544" spans="1:18" x14ac:dyDescent="0.35">
      <c r="A1544" s="203">
        <f t="shared" si="48"/>
        <v>0</v>
      </c>
      <c r="C1544" s="205">
        <f t="shared" si="49"/>
        <v>0</v>
      </c>
      <c r="D1544" s="223"/>
      <c r="R1544" s="222"/>
    </row>
    <row r="1545" spans="1:18" x14ac:dyDescent="0.35">
      <c r="A1545" s="203">
        <f t="shared" si="48"/>
        <v>0</v>
      </c>
      <c r="C1545" s="205">
        <f t="shared" si="49"/>
        <v>0</v>
      </c>
      <c r="D1545" s="223"/>
      <c r="R1545" s="222"/>
    </row>
    <row r="1546" spans="1:18" x14ac:dyDescent="0.35">
      <c r="A1546" s="203">
        <f t="shared" si="48"/>
        <v>0</v>
      </c>
      <c r="C1546" s="205">
        <f t="shared" si="49"/>
        <v>0</v>
      </c>
      <c r="D1546" s="223"/>
      <c r="R1546" s="222"/>
    </row>
    <row r="1547" spans="1:18" x14ac:dyDescent="0.35">
      <c r="A1547" s="203">
        <f t="shared" si="48"/>
        <v>0</v>
      </c>
      <c r="C1547" s="205">
        <f t="shared" si="49"/>
        <v>0</v>
      </c>
      <c r="D1547" s="223"/>
      <c r="R1547" s="222"/>
    </row>
    <row r="1548" spans="1:18" x14ac:dyDescent="0.35">
      <c r="A1548" s="203">
        <f t="shared" si="48"/>
        <v>0</v>
      </c>
      <c r="C1548" s="205">
        <f t="shared" si="49"/>
        <v>0</v>
      </c>
      <c r="D1548" s="223"/>
      <c r="R1548" s="222"/>
    </row>
    <row r="1549" spans="1:18" x14ac:dyDescent="0.35">
      <c r="A1549" s="203">
        <f t="shared" si="48"/>
        <v>0</v>
      </c>
      <c r="C1549" s="205">
        <f t="shared" si="49"/>
        <v>0</v>
      </c>
      <c r="D1549" s="223"/>
      <c r="R1549" s="222"/>
    </row>
    <row r="1550" spans="1:18" x14ac:dyDescent="0.35">
      <c r="A1550" s="203">
        <f t="shared" si="48"/>
        <v>0</v>
      </c>
      <c r="C1550" s="205">
        <f t="shared" si="49"/>
        <v>0</v>
      </c>
      <c r="D1550" s="223"/>
      <c r="R1550" s="222"/>
    </row>
    <row r="1551" spans="1:18" x14ac:dyDescent="0.35">
      <c r="A1551" s="203">
        <f t="shared" si="48"/>
        <v>0</v>
      </c>
      <c r="C1551" s="205">
        <f t="shared" si="49"/>
        <v>0</v>
      </c>
      <c r="D1551" s="223"/>
      <c r="R1551" s="222"/>
    </row>
    <row r="1552" spans="1:18" x14ac:dyDescent="0.35">
      <c r="A1552" s="203">
        <f t="shared" si="48"/>
        <v>0</v>
      </c>
      <c r="C1552" s="205">
        <f t="shared" si="49"/>
        <v>0</v>
      </c>
      <c r="D1552" s="223"/>
      <c r="R1552" s="222"/>
    </row>
    <row r="1553" spans="1:18" x14ac:dyDescent="0.35">
      <c r="A1553" s="203">
        <f t="shared" si="48"/>
        <v>0</v>
      </c>
      <c r="C1553" s="205">
        <f t="shared" si="49"/>
        <v>0</v>
      </c>
      <c r="D1553" s="223"/>
      <c r="R1553" s="222"/>
    </row>
    <row r="1554" spans="1:18" x14ac:dyDescent="0.35">
      <c r="A1554" s="203">
        <f t="shared" si="48"/>
        <v>0</v>
      </c>
      <c r="C1554" s="205">
        <f t="shared" si="49"/>
        <v>0</v>
      </c>
      <c r="D1554" s="223"/>
      <c r="R1554" s="222"/>
    </row>
    <row r="1555" spans="1:18" x14ac:dyDescent="0.35">
      <c r="A1555" s="203">
        <f t="shared" si="48"/>
        <v>0</v>
      </c>
      <c r="C1555" s="205">
        <f t="shared" si="49"/>
        <v>0</v>
      </c>
      <c r="D1555" s="223"/>
      <c r="R1555" s="222"/>
    </row>
    <row r="1556" spans="1:18" x14ac:dyDescent="0.35">
      <c r="A1556" s="203">
        <f t="shared" si="48"/>
        <v>0</v>
      </c>
      <c r="C1556" s="205">
        <f t="shared" si="49"/>
        <v>0</v>
      </c>
      <c r="D1556" s="223"/>
      <c r="R1556" s="222"/>
    </row>
    <row r="1557" spans="1:18" x14ac:dyDescent="0.35">
      <c r="A1557" s="203">
        <f t="shared" si="48"/>
        <v>0</v>
      </c>
      <c r="C1557" s="205">
        <f t="shared" si="49"/>
        <v>0</v>
      </c>
      <c r="D1557" s="223"/>
      <c r="R1557" s="222"/>
    </row>
    <row r="1558" spans="1:18" x14ac:dyDescent="0.35">
      <c r="A1558" s="203">
        <f t="shared" si="48"/>
        <v>0</v>
      </c>
      <c r="C1558" s="205">
        <f t="shared" si="49"/>
        <v>0</v>
      </c>
      <c r="D1558" s="223"/>
      <c r="R1558" s="222"/>
    </row>
    <row r="1559" spans="1:18" x14ac:dyDescent="0.35">
      <c r="A1559" s="203">
        <f t="shared" si="48"/>
        <v>0</v>
      </c>
      <c r="C1559" s="205">
        <f t="shared" si="49"/>
        <v>0</v>
      </c>
      <c r="D1559" s="223"/>
      <c r="R1559" s="222"/>
    </row>
    <row r="1560" spans="1:18" x14ac:dyDescent="0.35">
      <c r="A1560" s="203">
        <f t="shared" si="48"/>
        <v>0</v>
      </c>
      <c r="C1560" s="205">
        <f t="shared" si="49"/>
        <v>0</v>
      </c>
      <c r="D1560" s="223"/>
      <c r="R1560" s="222"/>
    </row>
    <row r="1561" spans="1:18" x14ac:dyDescent="0.35">
      <c r="A1561" s="203">
        <f t="shared" si="48"/>
        <v>0</v>
      </c>
      <c r="C1561" s="205">
        <f t="shared" si="49"/>
        <v>0</v>
      </c>
      <c r="D1561" s="223"/>
      <c r="R1561" s="222"/>
    </row>
    <row r="1562" spans="1:18" x14ac:dyDescent="0.35">
      <c r="A1562" s="203">
        <f t="shared" si="48"/>
        <v>0</v>
      </c>
      <c r="C1562" s="205">
        <f t="shared" si="49"/>
        <v>0</v>
      </c>
      <c r="D1562" s="223"/>
      <c r="R1562" s="222"/>
    </row>
    <row r="1563" spans="1:18" x14ac:dyDescent="0.35">
      <c r="A1563" s="203">
        <f t="shared" si="48"/>
        <v>0</v>
      </c>
      <c r="C1563" s="205">
        <f t="shared" si="49"/>
        <v>0</v>
      </c>
      <c r="D1563" s="223"/>
      <c r="R1563" s="222"/>
    </row>
    <row r="1564" spans="1:18" x14ac:dyDescent="0.35">
      <c r="A1564" s="203">
        <f t="shared" si="48"/>
        <v>0</v>
      </c>
      <c r="C1564" s="205">
        <f t="shared" si="49"/>
        <v>0</v>
      </c>
      <c r="D1564" s="223"/>
      <c r="R1564" s="222"/>
    </row>
    <row r="1565" spans="1:18" x14ac:dyDescent="0.35">
      <c r="A1565" s="203">
        <f t="shared" si="48"/>
        <v>0</v>
      </c>
      <c r="C1565" s="205">
        <f t="shared" si="49"/>
        <v>0</v>
      </c>
      <c r="D1565" s="223"/>
      <c r="R1565" s="222"/>
    </row>
    <row r="1566" spans="1:18" x14ac:dyDescent="0.35">
      <c r="A1566" s="203">
        <f t="shared" si="48"/>
        <v>0</v>
      </c>
      <c r="C1566" s="205">
        <f t="shared" si="49"/>
        <v>0</v>
      </c>
      <c r="D1566" s="223"/>
      <c r="R1566" s="222"/>
    </row>
    <row r="1567" spans="1:18" x14ac:dyDescent="0.35">
      <c r="A1567" s="203">
        <f t="shared" si="48"/>
        <v>0</v>
      </c>
      <c r="C1567" s="205">
        <f t="shared" si="49"/>
        <v>0</v>
      </c>
      <c r="D1567" s="223"/>
      <c r="R1567" s="222"/>
    </row>
    <row r="1568" spans="1:18" x14ac:dyDescent="0.35">
      <c r="A1568" s="203">
        <f t="shared" si="48"/>
        <v>0</v>
      </c>
      <c r="C1568" s="205">
        <f t="shared" si="49"/>
        <v>0</v>
      </c>
      <c r="D1568" s="223"/>
      <c r="R1568" s="222"/>
    </row>
    <row r="1569" spans="1:18" x14ac:dyDescent="0.35">
      <c r="A1569" s="203">
        <f t="shared" si="48"/>
        <v>0</v>
      </c>
      <c r="C1569" s="205">
        <f t="shared" si="49"/>
        <v>0</v>
      </c>
      <c r="D1569" s="223"/>
      <c r="R1569" s="222"/>
    </row>
    <row r="1570" spans="1:18" x14ac:dyDescent="0.35">
      <c r="A1570" s="203">
        <f t="shared" si="48"/>
        <v>0</v>
      </c>
      <c r="C1570" s="205">
        <f t="shared" si="49"/>
        <v>0</v>
      </c>
      <c r="D1570" s="223"/>
      <c r="R1570" s="222"/>
    </row>
    <row r="1571" spans="1:18" x14ac:dyDescent="0.35">
      <c r="A1571" s="203">
        <f t="shared" si="48"/>
        <v>0</v>
      </c>
      <c r="C1571" s="205">
        <f t="shared" si="49"/>
        <v>0</v>
      </c>
      <c r="D1571" s="223"/>
      <c r="R1571" s="222"/>
    </row>
    <row r="1572" spans="1:18" x14ac:dyDescent="0.35">
      <c r="A1572" s="203">
        <f t="shared" si="48"/>
        <v>0</v>
      </c>
      <c r="C1572" s="205">
        <f t="shared" si="49"/>
        <v>0</v>
      </c>
      <c r="D1572" s="223"/>
      <c r="R1572" s="222"/>
    </row>
    <row r="1573" spans="1:18" x14ac:dyDescent="0.35">
      <c r="A1573" s="203">
        <f t="shared" si="48"/>
        <v>0</v>
      </c>
      <c r="C1573" s="205">
        <f t="shared" si="49"/>
        <v>0</v>
      </c>
      <c r="D1573" s="223"/>
      <c r="R1573" s="222"/>
    </row>
    <row r="1574" spans="1:18" x14ac:dyDescent="0.35">
      <c r="A1574" s="203">
        <f t="shared" si="48"/>
        <v>0</v>
      </c>
      <c r="C1574" s="205">
        <f t="shared" si="49"/>
        <v>0</v>
      </c>
      <c r="D1574" s="223"/>
      <c r="R1574" s="222"/>
    </row>
    <row r="1575" spans="1:18" x14ac:dyDescent="0.35">
      <c r="A1575" s="203">
        <f t="shared" si="48"/>
        <v>0</v>
      </c>
      <c r="C1575" s="205">
        <f t="shared" si="49"/>
        <v>0</v>
      </c>
      <c r="D1575" s="223"/>
      <c r="R1575" s="222"/>
    </row>
    <row r="1576" spans="1:18" x14ac:dyDescent="0.35">
      <c r="A1576" s="203">
        <f t="shared" si="48"/>
        <v>0</v>
      </c>
      <c r="C1576" s="205">
        <f t="shared" si="49"/>
        <v>0</v>
      </c>
      <c r="D1576" s="223"/>
      <c r="R1576" s="222"/>
    </row>
    <row r="1577" spans="1:18" x14ac:dyDescent="0.35">
      <c r="A1577" s="203">
        <f t="shared" si="48"/>
        <v>0</v>
      </c>
      <c r="C1577" s="205">
        <f t="shared" si="49"/>
        <v>0</v>
      </c>
      <c r="D1577" s="223"/>
      <c r="R1577" s="222"/>
    </row>
    <row r="1578" spans="1:18" x14ac:dyDescent="0.35">
      <c r="A1578" s="203">
        <f t="shared" si="48"/>
        <v>0</v>
      </c>
      <c r="C1578" s="205">
        <f t="shared" si="49"/>
        <v>0</v>
      </c>
      <c r="D1578" s="223"/>
      <c r="R1578" s="222"/>
    </row>
    <row r="1579" spans="1:18" x14ac:dyDescent="0.35">
      <c r="A1579" s="203">
        <f t="shared" si="48"/>
        <v>0</v>
      </c>
      <c r="C1579" s="205">
        <f t="shared" si="49"/>
        <v>0</v>
      </c>
      <c r="D1579" s="223"/>
      <c r="R1579" s="222"/>
    </row>
    <row r="1580" spans="1:18" x14ac:dyDescent="0.35">
      <c r="A1580" s="203">
        <f t="shared" si="48"/>
        <v>0</v>
      </c>
      <c r="C1580" s="205">
        <f t="shared" si="49"/>
        <v>0</v>
      </c>
      <c r="D1580" s="223"/>
      <c r="R1580" s="222"/>
    </row>
    <row r="1581" spans="1:18" x14ac:dyDescent="0.35">
      <c r="A1581" s="203">
        <f t="shared" si="48"/>
        <v>0</v>
      </c>
      <c r="C1581" s="205">
        <f t="shared" si="49"/>
        <v>0</v>
      </c>
      <c r="D1581" s="223"/>
      <c r="R1581" s="222"/>
    </row>
    <row r="1582" spans="1:18" x14ac:dyDescent="0.35">
      <c r="A1582" s="203">
        <f t="shared" si="48"/>
        <v>0</v>
      </c>
      <c r="C1582" s="205">
        <f t="shared" si="49"/>
        <v>0</v>
      </c>
      <c r="D1582" s="223"/>
      <c r="R1582" s="222"/>
    </row>
    <row r="1583" spans="1:18" x14ac:dyDescent="0.35">
      <c r="A1583" s="203">
        <f t="shared" si="48"/>
        <v>0</v>
      </c>
      <c r="C1583" s="205">
        <f t="shared" si="49"/>
        <v>0</v>
      </c>
      <c r="D1583" s="223"/>
      <c r="R1583" s="222"/>
    </row>
    <row r="1584" spans="1:18" x14ac:dyDescent="0.35">
      <c r="A1584" s="203">
        <f t="shared" si="48"/>
        <v>0</v>
      </c>
      <c r="C1584" s="205">
        <f t="shared" si="49"/>
        <v>0</v>
      </c>
      <c r="D1584" s="223"/>
      <c r="R1584" s="222"/>
    </row>
    <row r="1585" spans="1:18" x14ac:dyDescent="0.35">
      <c r="A1585" s="203">
        <f t="shared" si="48"/>
        <v>0</v>
      </c>
      <c r="C1585" s="205">
        <f t="shared" si="49"/>
        <v>0</v>
      </c>
      <c r="D1585" s="223"/>
      <c r="R1585" s="222"/>
    </row>
    <row r="1586" spans="1:18" x14ac:dyDescent="0.35">
      <c r="A1586" s="203">
        <f t="shared" si="48"/>
        <v>0</v>
      </c>
      <c r="C1586" s="205">
        <f t="shared" si="49"/>
        <v>0</v>
      </c>
      <c r="D1586" s="223"/>
      <c r="R1586" s="222"/>
    </row>
    <row r="1587" spans="1:18" x14ac:dyDescent="0.35">
      <c r="A1587" s="203">
        <f t="shared" si="48"/>
        <v>0</v>
      </c>
      <c r="C1587" s="205">
        <f t="shared" si="49"/>
        <v>0</v>
      </c>
      <c r="D1587" s="223"/>
      <c r="R1587" s="222"/>
    </row>
    <row r="1588" spans="1:18" x14ac:dyDescent="0.35">
      <c r="A1588" s="203">
        <f t="shared" si="48"/>
        <v>0</v>
      </c>
      <c r="C1588" s="205">
        <f t="shared" si="49"/>
        <v>0</v>
      </c>
      <c r="D1588" s="223"/>
      <c r="R1588" s="222"/>
    </row>
    <row r="1589" spans="1:18" x14ac:dyDescent="0.35">
      <c r="A1589" s="203">
        <f t="shared" si="48"/>
        <v>0</v>
      </c>
      <c r="C1589" s="205">
        <f t="shared" si="49"/>
        <v>0</v>
      </c>
      <c r="D1589" s="223"/>
      <c r="R1589" s="222"/>
    </row>
    <row r="1590" spans="1:18" x14ac:dyDescent="0.35">
      <c r="A1590" s="203">
        <f t="shared" si="48"/>
        <v>0</v>
      </c>
      <c r="C1590" s="205">
        <f t="shared" si="49"/>
        <v>0</v>
      </c>
      <c r="D1590" s="223"/>
      <c r="R1590" s="222"/>
    </row>
    <row r="1591" spans="1:18" x14ac:dyDescent="0.35">
      <c r="A1591" s="203">
        <f t="shared" si="48"/>
        <v>0</v>
      </c>
      <c r="C1591" s="205">
        <f t="shared" si="49"/>
        <v>0</v>
      </c>
      <c r="D1591" s="223"/>
      <c r="R1591" s="222"/>
    </row>
    <row r="1592" spans="1:18" x14ac:dyDescent="0.35">
      <c r="A1592" s="203">
        <f t="shared" si="48"/>
        <v>0</v>
      </c>
      <c r="C1592" s="205">
        <f t="shared" si="49"/>
        <v>0</v>
      </c>
      <c r="D1592" s="223"/>
      <c r="R1592" s="222"/>
    </row>
    <row r="1593" spans="1:18" x14ac:dyDescent="0.35">
      <c r="A1593" s="203">
        <f t="shared" si="48"/>
        <v>0</v>
      </c>
      <c r="C1593" s="205">
        <f t="shared" si="49"/>
        <v>0</v>
      </c>
      <c r="D1593" s="223"/>
      <c r="R1593" s="222"/>
    </row>
    <row r="1594" spans="1:18" x14ac:dyDescent="0.35">
      <c r="A1594" s="203">
        <f t="shared" si="48"/>
        <v>0</v>
      </c>
      <c r="C1594" s="205">
        <f t="shared" si="49"/>
        <v>0</v>
      </c>
      <c r="D1594" s="223"/>
      <c r="R1594" s="222"/>
    </row>
    <row r="1595" spans="1:18" x14ac:dyDescent="0.35">
      <c r="A1595" s="203">
        <f t="shared" si="48"/>
        <v>0</v>
      </c>
      <c r="C1595" s="205">
        <f t="shared" si="49"/>
        <v>0</v>
      </c>
      <c r="D1595" s="223"/>
      <c r="R1595" s="222"/>
    </row>
    <row r="1596" spans="1:18" x14ac:dyDescent="0.35">
      <c r="A1596" s="203">
        <f t="shared" si="48"/>
        <v>0</v>
      </c>
      <c r="C1596" s="205">
        <f t="shared" si="49"/>
        <v>0</v>
      </c>
      <c r="D1596" s="223"/>
      <c r="R1596" s="222"/>
    </row>
    <row r="1597" spans="1:18" x14ac:dyDescent="0.35">
      <c r="A1597" s="203">
        <f t="shared" si="48"/>
        <v>0</v>
      </c>
      <c r="C1597" s="205">
        <f t="shared" si="49"/>
        <v>0</v>
      </c>
      <c r="D1597" s="223"/>
      <c r="R1597" s="222"/>
    </row>
    <row r="1598" spans="1:18" x14ac:dyDescent="0.35">
      <c r="A1598" s="203">
        <f t="shared" si="48"/>
        <v>0</v>
      </c>
      <c r="C1598" s="205">
        <f t="shared" si="49"/>
        <v>0</v>
      </c>
      <c r="D1598" s="223"/>
      <c r="R1598" s="222"/>
    </row>
    <row r="1599" spans="1:18" x14ac:dyDescent="0.35">
      <c r="A1599" s="203">
        <f t="shared" si="48"/>
        <v>0</v>
      </c>
      <c r="C1599" s="205">
        <f t="shared" si="49"/>
        <v>0</v>
      </c>
      <c r="D1599" s="223"/>
      <c r="R1599" s="222"/>
    </row>
    <row r="1600" spans="1:18" x14ac:dyDescent="0.35">
      <c r="A1600" s="203">
        <f t="shared" si="48"/>
        <v>0</v>
      </c>
      <c r="C1600" s="205">
        <f t="shared" si="49"/>
        <v>0</v>
      </c>
      <c r="D1600" s="223"/>
      <c r="R1600" s="222"/>
    </row>
    <row r="1601" spans="1:18" x14ac:dyDescent="0.35">
      <c r="A1601" s="203">
        <f t="shared" si="48"/>
        <v>0</v>
      </c>
      <c r="C1601" s="205">
        <f t="shared" si="49"/>
        <v>0</v>
      </c>
      <c r="D1601" s="223"/>
      <c r="R1601" s="222"/>
    </row>
    <row r="1602" spans="1:18" x14ac:dyDescent="0.35">
      <c r="A1602" s="203">
        <f t="shared" si="48"/>
        <v>0</v>
      </c>
      <c r="C1602" s="205">
        <f t="shared" si="49"/>
        <v>0</v>
      </c>
      <c r="D1602" s="223"/>
      <c r="R1602" s="222"/>
    </row>
    <row r="1603" spans="1:18" x14ac:dyDescent="0.35">
      <c r="A1603" s="203">
        <f t="shared" ref="A1603:A1666" si="50">F1603</f>
        <v>0</v>
      </c>
      <c r="C1603" s="205">
        <f t="shared" ref="C1603:C1666" si="51">F1603</f>
        <v>0</v>
      </c>
      <c r="D1603" s="223"/>
      <c r="R1603" s="222"/>
    </row>
    <row r="1604" spans="1:18" x14ac:dyDescent="0.35">
      <c r="A1604" s="203">
        <f t="shared" si="50"/>
        <v>0</v>
      </c>
      <c r="C1604" s="205">
        <f t="shared" si="51"/>
        <v>0</v>
      </c>
      <c r="D1604" s="223"/>
      <c r="R1604" s="222"/>
    </row>
    <row r="1605" spans="1:18" x14ac:dyDescent="0.35">
      <c r="A1605" s="203">
        <f t="shared" si="50"/>
        <v>0</v>
      </c>
      <c r="C1605" s="205">
        <f t="shared" si="51"/>
        <v>0</v>
      </c>
      <c r="D1605" s="223"/>
      <c r="R1605" s="222"/>
    </row>
    <row r="1606" spans="1:18" x14ac:dyDescent="0.35">
      <c r="A1606" s="203">
        <f t="shared" si="50"/>
        <v>0</v>
      </c>
      <c r="C1606" s="205">
        <f t="shared" si="51"/>
        <v>0</v>
      </c>
      <c r="D1606" s="223"/>
      <c r="R1606" s="222"/>
    </row>
    <row r="1607" spans="1:18" x14ac:dyDescent="0.35">
      <c r="A1607" s="203">
        <f t="shared" si="50"/>
        <v>0</v>
      </c>
      <c r="C1607" s="205">
        <f t="shared" si="51"/>
        <v>0</v>
      </c>
      <c r="D1607" s="223"/>
      <c r="R1607" s="222"/>
    </row>
    <row r="1608" spans="1:18" x14ac:dyDescent="0.35">
      <c r="A1608" s="203">
        <f t="shared" si="50"/>
        <v>0</v>
      </c>
      <c r="C1608" s="205">
        <f t="shared" si="51"/>
        <v>0</v>
      </c>
      <c r="D1608" s="223"/>
      <c r="R1608" s="222"/>
    </row>
    <row r="1609" spans="1:18" x14ac:dyDescent="0.35">
      <c r="A1609" s="203">
        <f t="shared" si="50"/>
        <v>0</v>
      </c>
      <c r="C1609" s="205">
        <f t="shared" si="51"/>
        <v>0</v>
      </c>
      <c r="D1609" s="223"/>
      <c r="R1609" s="222"/>
    </row>
    <row r="1610" spans="1:18" x14ac:dyDescent="0.35">
      <c r="A1610" s="203">
        <f t="shared" si="50"/>
        <v>0</v>
      </c>
      <c r="C1610" s="205">
        <f t="shared" si="51"/>
        <v>0</v>
      </c>
      <c r="D1610" s="223"/>
      <c r="R1610" s="222"/>
    </row>
    <row r="1611" spans="1:18" x14ac:dyDescent="0.35">
      <c r="A1611" s="203">
        <f t="shared" si="50"/>
        <v>0</v>
      </c>
      <c r="C1611" s="205">
        <f t="shared" si="51"/>
        <v>0</v>
      </c>
      <c r="D1611" s="223"/>
      <c r="R1611" s="222"/>
    </row>
    <row r="1612" spans="1:18" x14ac:dyDescent="0.35">
      <c r="A1612" s="203">
        <f t="shared" si="50"/>
        <v>0</v>
      </c>
      <c r="C1612" s="205">
        <f t="shared" si="51"/>
        <v>0</v>
      </c>
      <c r="D1612" s="223"/>
      <c r="R1612" s="222"/>
    </row>
    <row r="1613" spans="1:18" x14ac:dyDescent="0.35">
      <c r="A1613" s="203">
        <f t="shared" si="50"/>
        <v>0</v>
      </c>
      <c r="C1613" s="205">
        <f t="shared" si="51"/>
        <v>0</v>
      </c>
      <c r="D1613" s="223"/>
      <c r="R1613" s="222"/>
    </row>
    <row r="1614" spans="1:18" x14ac:dyDescent="0.35">
      <c r="A1614" s="203">
        <f t="shared" si="50"/>
        <v>0</v>
      </c>
      <c r="C1614" s="205">
        <f t="shared" si="51"/>
        <v>0</v>
      </c>
      <c r="D1614" s="223"/>
      <c r="R1614" s="222"/>
    </row>
    <row r="1615" spans="1:18" x14ac:dyDescent="0.35">
      <c r="A1615" s="203">
        <f t="shared" si="50"/>
        <v>0</v>
      </c>
      <c r="C1615" s="205">
        <f t="shared" si="51"/>
        <v>0</v>
      </c>
      <c r="D1615" s="223"/>
      <c r="R1615" s="222"/>
    </row>
    <row r="1616" spans="1:18" x14ac:dyDescent="0.35">
      <c r="A1616" s="203">
        <f t="shared" si="50"/>
        <v>0</v>
      </c>
      <c r="C1616" s="205">
        <f t="shared" si="51"/>
        <v>0</v>
      </c>
      <c r="D1616" s="223"/>
      <c r="R1616" s="222"/>
    </row>
    <row r="1617" spans="1:18" x14ac:dyDescent="0.35">
      <c r="A1617" s="203">
        <f t="shared" si="50"/>
        <v>0</v>
      </c>
      <c r="C1617" s="205">
        <f t="shared" si="51"/>
        <v>0</v>
      </c>
      <c r="D1617" s="223"/>
      <c r="R1617" s="222"/>
    </row>
    <row r="1618" spans="1:18" x14ac:dyDescent="0.35">
      <c r="A1618" s="203">
        <f t="shared" si="50"/>
        <v>0</v>
      </c>
      <c r="C1618" s="205">
        <f t="shared" si="51"/>
        <v>0</v>
      </c>
      <c r="D1618" s="223"/>
      <c r="R1618" s="222"/>
    </row>
    <row r="1619" spans="1:18" x14ac:dyDescent="0.35">
      <c r="A1619" s="203">
        <f t="shared" si="50"/>
        <v>0</v>
      </c>
      <c r="C1619" s="205">
        <f t="shared" si="51"/>
        <v>0</v>
      </c>
      <c r="D1619" s="223"/>
      <c r="R1619" s="222"/>
    </row>
    <row r="1620" spans="1:18" x14ac:dyDescent="0.35">
      <c r="A1620" s="203">
        <f t="shared" si="50"/>
        <v>0</v>
      </c>
      <c r="C1620" s="205">
        <f t="shared" si="51"/>
        <v>0</v>
      </c>
      <c r="D1620" s="223"/>
      <c r="R1620" s="222"/>
    </row>
    <row r="1621" spans="1:18" x14ac:dyDescent="0.35">
      <c r="A1621" s="203">
        <f t="shared" si="50"/>
        <v>0</v>
      </c>
      <c r="C1621" s="205">
        <f t="shared" si="51"/>
        <v>0</v>
      </c>
      <c r="D1621" s="223"/>
      <c r="R1621" s="222"/>
    </row>
    <row r="1622" spans="1:18" x14ac:dyDescent="0.35">
      <c r="A1622" s="203">
        <f t="shared" si="50"/>
        <v>0</v>
      </c>
      <c r="C1622" s="205">
        <f t="shared" si="51"/>
        <v>0</v>
      </c>
      <c r="D1622" s="223"/>
      <c r="R1622" s="222"/>
    </row>
    <row r="1623" spans="1:18" x14ac:dyDescent="0.35">
      <c r="A1623" s="203">
        <f t="shared" si="50"/>
        <v>0</v>
      </c>
      <c r="C1623" s="205">
        <f t="shared" si="51"/>
        <v>0</v>
      </c>
      <c r="D1623" s="223"/>
      <c r="R1623" s="222"/>
    </row>
    <row r="1624" spans="1:18" x14ac:dyDescent="0.35">
      <c r="A1624" s="203">
        <f t="shared" si="50"/>
        <v>0</v>
      </c>
      <c r="C1624" s="205">
        <f t="shared" si="51"/>
        <v>0</v>
      </c>
      <c r="D1624" s="223"/>
      <c r="R1624" s="222"/>
    </row>
    <row r="1625" spans="1:18" x14ac:dyDescent="0.35">
      <c r="A1625" s="203">
        <f t="shared" si="50"/>
        <v>0</v>
      </c>
      <c r="C1625" s="205">
        <f t="shared" si="51"/>
        <v>0</v>
      </c>
      <c r="D1625" s="223"/>
      <c r="R1625" s="222"/>
    </row>
    <row r="1626" spans="1:18" x14ac:dyDescent="0.35">
      <c r="A1626" s="203">
        <f t="shared" si="50"/>
        <v>0</v>
      </c>
      <c r="C1626" s="205">
        <f t="shared" si="51"/>
        <v>0</v>
      </c>
      <c r="D1626" s="223"/>
      <c r="R1626" s="222"/>
    </row>
    <row r="1627" spans="1:18" x14ac:dyDescent="0.35">
      <c r="A1627" s="203">
        <f t="shared" si="50"/>
        <v>0</v>
      </c>
      <c r="C1627" s="205">
        <f t="shared" si="51"/>
        <v>0</v>
      </c>
      <c r="D1627" s="223"/>
      <c r="R1627" s="222"/>
    </row>
    <row r="1628" spans="1:18" x14ac:dyDescent="0.35">
      <c r="A1628" s="203">
        <f t="shared" si="50"/>
        <v>0</v>
      </c>
      <c r="C1628" s="205">
        <f t="shared" si="51"/>
        <v>0</v>
      </c>
      <c r="D1628" s="223"/>
      <c r="R1628" s="222"/>
    </row>
    <row r="1629" spans="1:18" x14ac:dyDescent="0.35">
      <c r="A1629" s="203">
        <f t="shared" si="50"/>
        <v>0</v>
      </c>
      <c r="C1629" s="205">
        <f t="shared" si="51"/>
        <v>0</v>
      </c>
      <c r="D1629" s="223"/>
      <c r="R1629" s="222"/>
    </row>
    <row r="1630" spans="1:18" x14ac:dyDescent="0.35">
      <c r="A1630" s="203">
        <f t="shared" si="50"/>
        <v>0</v>
      </c>
      <c r="C1630" s="205">
        <f t="shared" si="51"/>
        <v>0</v>
      </c>
      <c r="D1630" s="223"/>
      <c r="R1630" s="222"/>
    </row>
    <row r="1631" spans="1:18" x14ac:dyDescent="0.35">
      <c r="A1631" s="203">
        <f t="shared" si="50"/>
        <v>0</v>
      </c>
      <c r="C1631" s="205">
        <f t="shared" si="51"/>
        <v>0</v>
      </c>
      <c r="D1631" s="223"/>
      <c r="R1631" s="222"/>
    </row>
    <row r="1632" spans="1:18" x14ac:dyDescent="0.35">
      <c r="A1632" s="203">
        <f t="shared" si="50"/>
        <v>0</v>
      </c>
      <c r="C1632" s="205">
        <f t="shared" si="51"/>
        <v>0</v>
      </c>
      <c r="D1632" s="223"/>
      <c r="R1632" s="222"/>
    </row>
    <row r="1633" spans="1:18" x14ac:dyDescent="0.35">
      <c r="A1633" s="203">
        <f t="shared" si="50"/>
        <v>0</v>
      </c>
      <c r="C1633" s="205">
        <f t="shared" si="51"/>
        <v>0</v>
      </c>
      <c r="D1633" s="223"/>
      <c r="R1633" s="222"/>
    </row>
    <row r="1634" spans="1:18" x14ac:dyDescent="0.35">
      <c r="A1634" s="203">
        <f t="shared" si="50"/>
        <v>0</v>
      </c>
      <c r="C1634" s="205">
        <f t="shared" si="51"/>
        <v>0</v>
      </c>
      <c r="D1634" s="223"/>
      <c r="R1634" s="222"/>
    </row>
    <row r="1635" spans="1:18" x14ac:dyDescent="0.35">
      <c r="A1635" s="203">
        <f t="shared" si="50"/>
        <v>0</v>
      </c>
      <c r="C1635" s="205">
        <f t="shared" si="51"/>
        <v>0</v>
      </c>
      <c r="D1635" s="223"/>
      <c r="R1635" s="222"/>
    </row>
    <row r="1636" spans="1:18" x14ac:dyDescent="0.35">
      <c r="A1636" s="203">
        <f t="shared" si="50"/>
        <v>0</v>
      </c>
      <c r="C1636" s="205">
        <f t="shared" si="51"/>
        <v>0</v>
      </c>
      <c r="D1636" s="223"/>
      <c r="R1636" s="222"/>
    </row>
    <row r="1637" spans="1:18" x14ac:dyDescent="0.35">
      <c r="A1637" s="203">
        <f t="shared" si="50"/>
        <v>0</v>
      </c>
      <c r="C1637" s="205">
        <f t="shared" si="51"/>
        <v>0</v>
      </c>
      <c r="D1637" s="223"/>
      <c r="R1637" s="222"/>
    </row>
    <row r="1638" spans="1:18" x14ac:dyDescent="0.35">
      <c r="A1638" s="203">
        <f t="shared" si="50"/>
        <v>0</v>
      </c>
      <c r="C1638" s="205">
        <f t="shared" si="51"/>
        <v>0</v>
      </c>
      <c r="D1638" s="223"/>
      <c r="R1638" s="222"/>
    </row>
    <row r="1639" spans="1:18" x14ac:dyDescent="0.35">
      <c r="A1639" s="203">
        <f t="shared" si="50"/>
        <v>0</v>
      </c>
      <c r="C1639" s="205">
        <f t="shared" si="51"/>
        <v>0</v>
      </c>
      <c r="D1639" s="223"/>
      <c r="R1639" s="222"/>
    </row>
    <row r="1640" spans="1:18" x14ac:dyDescent="0.35">
      <c r="A1640" s="203">
        <f t="shared" si="50"/>
        <v>0</v>
      </c>
      <c r="C1640" s="205">
        <f t="shared" si="51"/>
        <v>0</v>
      </c>
      <c r="D1640" s="223"/>
      <c r="R1640" s="222"/>
    </row>
    <row r="1641" spans="1:18" x14ac:dyDescent="0.35">
      <c r="A1641" s="203">
        <f t="shared" si="50"/>
        <v>0</v>
      </c>
      <c r="C1641" s="205">
        <f t="shared" si="51"/>
        <v>0</v>
      </c>
      <c r="D1641" s="223"/>
      <c r="R1641" s="222"/>
    </row>
    <row r="1642" spans="1:18" x14ac:dyDescent="0.35">
      <c r="A1642" s="203">
        <f t="shared" si="50"/>
        <v>0</v>
      </c>
      <c r="C1642" s="205">
        <f t="shared" si="51"/>
        <v>0</v>
      </c>
      <c r="D1642" s="223"/>
      <c r="R1642" s="222"/>
    </row>
    <row r="1643" spans="1:18" x14ac:dyDescent="0.35">
      <c r="A1643" s="203">
        <f t="shared" si="50"/>
        <v>0</v>
      </c>
      <c r="C1643" s="205">
        <f t="shared" si="51"/>
        <v>0</v>
      </c>
      <c r="D1643" s="223"/>
      <c r="R1643" s="222"/>
    </row>
    <row r="1644" spans="1:18" x14ac:dyDescent="0.35">
      <c r="A1644" s="203">
        <f t="shared" si="50"/>
        <v>0</v>
      </c>
      <c r="C1644" s="205">
        <f t="shared" si="51"/>
        <v>0</v>
      </c>
      <c r="D1644" s="223"/>
      <c r="R1644" s="222"/>
    </row>
    <row r="1645" spans="1:18" x14ac:dyDescent="0.35">
      <c r="A1645" s="203">
        <f t="shared" si="50"/>
        <v>0</v>
      </c>
      <c r="C1645" s="205">
        <f t="shared" si="51"/>
        <v>0</v>
      </c>
      <c r="D1645" s="223"/>
      <c r="R1645" s="222"/>
    </row>
    <row r="1646" spans="1:18" x14ac:dyDescent="0.35">
      <c r="A1646" s="203">
        <f t="shared" si="50"/>
        <v>0</v>
      </c>
      <c r="C1646" s="205">
        <f t="shared" si="51"/>
        <v>0</v>
      </c>
      <c r="D1646" s="223"/>
      <c r="R1646" s="222"/>
    </row>
    <row r="1647" spans="1:18" x14ac:dyDescent="0.35">
      <c r="A1647" s="203">
        <f t="shared" si="50"/>
        <v>0</v>
      </c>
      <c r="C1647" s="205">
        <f t="shared" si="51"/>
        <v>0</v>
      </c>
      <c r="D1647" s="223"/>
      <c r="R1647" s="222"/>
    </row>
    <row r="1648" spans="1:18" x14ac:dyDescent="0.35">
      <c r="A1648" s="203">
        <f t="shared" si="50"/>
        <v>0</v>
      </c>
      <c r="C1648" s="205">
        <f t="shared" si="51"/>
        <v>0</v>
      </c>
      <c r="D1648" s="223"/>
      <c r="R1648" s="222"/>
    </row>
    <row r="1649" spans="1:18" x14ac:dyDescent="0.35">
      <c r="A1649" s="203">
        <f t="shared" si="50"/>
        <v>0</v>
      </c>
      <c r="C1649" s="205">
        <f t="shared" si="51"/>
        <v>0</v>
      </c>
      <c r="D1649" s="223"/>
      <c r="R1649" s="222"/>
    </row>
    <row r="1650" spans="1:18" x14ac:dyDescent="0.35">
      <c r="A1650" s="203">
        <f t="shared" si="50"/>
        <v>0</v>
      </c>
      <c r="C1650" s="205">
        <f t="shared" si="51"/>
        <v>0</v>
      </c>
      <c r="D1650" s="223"/>
      <c r="R1650" s="222"/>
    </row>
    <row r="1651" spans="1:18" x14ac:dyDescent="0.35">
      <c r="A1651" s="203">
        <f t="shared" si="50"/>
        <v>0</v>
      </c>
      <c r="C1651" s="205">
        <f t="shared" si="51"/>
        <v>0</v>
      </c>
      <c r="D1651" s="223"/>
      <c r="R1651" s="222"/>
    </row>
    <row r="1652" spans="1:18" x14ac:dyDescent="0.35">
      <c r="A1652" s="203">
        <f t="shared" si="50"/>
        <v>0</v>
      </c>
      <c r="C1652" s="205">
        <f t="shared" si="51"/>
        <v>0</v>
      </c>
      <c r="D1652" s="223"/>
      <c r="R1652" s="222"/>
    </row>
    <row r="1653" spans="1:18" x14ac:dyDescent="0.35">
      <c r="A1653" s="203">
        <f t="shared" si="50"/>
        <v>0</v>
      </c>
      <c r="C1653" s="205">
        <f t="shared" si="51"/>
        <v>0</v>
      </c>
      <c r="D1653" s="223"/>
      <c r="R1653" s="222"/>
    </row>
    <row r="1654" spans="1:18" x14ac:dyDescent="0.35">
      <c r="A1654" s="203">
        <f t="shared" si="50"/>
        <v>0</v>
      </c>
      <c r="C1654" s="205">
        <f t="shared" si="51"/>
        <v>0</v>
      </c>
      <c r="D1654" s="223"/>
      <c r="R1654" s="222"/>
    </row>
    <row r="1655" spans="1:18" x14ac:dyDescent="0.35">
      <c r="A1655" s="203">
        <f t="shared" si="50"/>
        <v>0</v>
      </c>
      <c r="C1655" s="205">
        <f t="shared" si="51"/>
        <v>0</v>
      </c>
      <c r="D1655" s="223"/>
      <c r="R1655" s="222"/>
    </row>
    <row r="1656" spans="1:18" x14ac:dyDescent="0.35">
      <c r="A1656" s="203">
        <f t="shared" si="50"/>
        <v>0</v>
      </c>
      <c r="C1656" s="205">
        <f t="shared" si="51"/>
        <v>0</v>
      </c>
      <c r="D1656" s="223"/>
      <c r="R1656" s="222"/>
    </row>
    <row r="1657" spans="1:18" x14ac:dyDescent="0.35">
      <c r="A1657" s="203">
        <f t="shared" si="50"/>
        <v>0</v>
      </c>
      <c r="C1657" s="205">
        <f t="shared" si="51"/>
        <v>0</v>
      </c>
      <c r="D1657" s="223"/>
      <c r="R1657" s="222"/>
    </row>
    <row r="1658" spans="1:18" x14ac:dyDescent="0.35">
      <c r="A1658" s="203">
        <f t="shared" si="50"/>
        <v>0</v>
      </c>
      <c r="C1658" s="205">
        <f t="shared" si="51"/>
        <v>0</v>
      </c>
      <c r="D1658" s="223"/>
      <c r="R1658" s="222"/>
    </row>
    <row r="1659" spans="1:18" x14ac:dyDescent="0.35">
      <c r="A1659" s="203">
        <f t="shared" si="50"/>
        <v>0</v>
      </c>
      <c r="C1659" s="205">
        <f t="shared" si="51"/>
        <v>0</v>
      </c>
      <c r="D1659" s="223"/>
      <c r="R1659" s="222"/>
    </row>
    <row r="1660" spans="1:18" x14ac:dyDescent="0.35">
      <c r="A1660" s="203">
        <f t="shared" si="50"/>
        <v>0</v>
      </c>
      <c r="C1660" s="205">
        <f t="shared" si="51"/>
        <v>0</v>
      </c>
      <c r="D1660" s="223"/>
      <c r="R1660" s="222"/>
    </row>
    <row r="1661" spans="1:18" x14ac:dyDescent="0.35">
      <c r="A1661" s="203">
        <f t="shared" si="50"/>
        <v>0</v>
      </c>
      <c r="C1661" s="205">
        <f t="shared" si="51"/>
        <v>0</v>
      </c>
      <c r="D1661" s="223"/>
      <c r="R1661" s="222"/>
    </row>
    <row r="1662" spans="1:18" x14ac:dyDescent="0.35">
      <c r="A1662" s="203">
        <f t="shared" si="50"/>
        <v>0</v>
      </c>
      <c r="C1662" s="205">
        <f t="shared" si="51"/>
        <v>0</v>
      </c>
      <c r="D1662" s="223"/>
      <c r="R1662" s="222"/>
    </row>
    <row r="1663" spans="1:18" x14ac:dyDescent="0.35">
      <c r="A1663" s="203">
        <f t="shared" si="50"/>
        <v>0</v>
      </c>
      <c r="C1663" s="205">
        <f t="shared" si="51"/>
        <v>0</v>
      </c>
      <c r="D1663" s="223"/>
      <c r="R1663" s="222"/>
    </row>
    <row r="1664" spans="1:18" x14ac:dyDescent="0.35">
      <c r="A1664" s="203">
        <f t="shared" si="50"/>
        <v>0</v>
      </c>
      <c r="C1664" s="205">
        <f t="shared" si="51"/>
        <v>0</v>
      </c>
      <c r="D1664" s="223"/>
      <c r="R1664" s="222"/>
    </row>
    <row r="1665" spans="1:18" x14ac:dyDescent="0.35">
      <c r="A1665" s="203">
        <f t="shared" si="50"/>
        <v>0</v>
      </c>
      <c r="C1665" s="205">
        <f t="shared" si="51"/>
        <v>0</v>
      </c>
      <c r="D1665" s="223"/>
      <c r="R1665" s="222"/>
    </row>
    <row r="1666" spans="1:18" x14ac:dyDescent="0.35">
      <c r="A1666" s="203">
        <f t="shared" si="50"/>
        <v>0</v>
      </c>
      <c r="C1666" s="205">
        <f t="shared" si="51"/>
        <v>0</v>
      </c>
      <c r="D1666" s="223"/>
      <c r="R1666" s="222"/>
    </row>
    <row r="1667" spans="1:18" x14ac:dyDescent="0.35">
      <c r="A1667" s="203">
        <f t="shared" ref="A1667:A1730" si="52">F1667</f>
        <v>0</v>
      </c>
      <c r="C1667" s="205">
        <f t="shared" ref="C1667:C1730" si="53">F1667</f>
        <v>0</v>
      </c>
      <c r="D1667" s="223"/>
      <c r="R1667" s="222"/>
    </row>
    <row r="1668" spans="1:18" x14ac:dyDescent="0.35">
      <c r="A1668" s="203">
        <f t="shared" si="52"/>
        <v>0</v>
      </c>
      <c r="C1668" s="205">
        <f t="shared" si="53"/>
        <v>0</v>
      </c>
      <c r="D1668" s="223"/>
      <c r="R1668" s="222"/>
    </row>
    <row r="1669" spans="1:18" x14ac:dyDescent="0.35">
      <c r="A1669" s="203">
        <f t="shared" si="52"/>
        <v>0</v>
      </c>
      <c r="C1669" s="205">
        <f t="shared" si="53"/>
        <v>0</v>
      </c>
      <c r="D1669" s="223"/>
      <c r="R1669" s="222"/>
    </row>
    <row r="1670" spans="1:18" x14ac:dyDescent="0.35">
      <c r="A1670" s="203">
        <f t="shared" si="52"/>
        <v>0</v>
      </c>
      <c r="C1670" s="205">
        <f t="shared" si="53"/>
        <v>0</v>
      </c>
      <c r="D1670" s="223"/>
      <c r="R1670" s="222"/>
    </row>
    <row r="1671" spans="1:18" x14ac:dyDescent="0.35">
      <c r="A1671" s="203">
        <f t="shared" si="52"/>
        <v>0</v>
      </c>
      <c r="C1671" s="205">
        <f t="shared" si="53"/>
        <v>0</v>
      </c>
      <c r="D1671" s="223"/>
      <c r="R1671" s="222"/>
    </row>
    <row r="1672" spans="1:18" x14ac:dyDescent="0.35">
      <c r="A1672" s="203">
        <f t="shared" si="52"/>
        <v>0</v>
      </c>
      <c r="C1672" s="205">
        <f t="shared" si="53"/>
        <v>0</v>
      </c>
      <c r="D1672" s="223"/>
      <c r="R1672" s="222"/>
    </row>
    <row r="1673" spans="1:18" x14ac:dyDescent="0.35">
      <c r="A1673" s="203">
        <f t="shared" si="52"/>
        <v>0</v>
      </c>
      <c r="C1673" s="205">
        <f t="shared" si="53"/>
        <v>0</v>
      </c>
      <c r="D1673" s="223"/>
      <c r="R1673" s="222"/>
    </row>
    <row r="1674" spans="1:18" x14ac:dyDescent="0.35">
      <c r="A1674" s="203">
        <f t="shared" si="52"/>
        <v>0</v>
      </c>
      <c r="C1674" s="205">
        <f t="shared" si="53"/>
        <v>0</v>
      </c>
      <c r="D1674" s="223"/>
      <c r="R1674" s="222"/>
    </row>
    <row r="1675" spans="1:18" x14ac:dyDescent="0.35">
      <c r="A1675" s="203">
        <f t="shared" si="52"/>
        <v>0</v>
      </c>
      <c r="C1675" s="205">
        <f t="shared" si="53"/>
        <v>0</v>
      </c>
      <c r="D1675" s="223"/>
      <c r="R1675" s="222"/>
    </row>
    <row r="1676" spans="1:18" x14ac:dyDescent="0.35">
      <c r="A1676" s="203">
        <f t="shared" si="52"/>
        <v>0</v>
      </c>
      <c r="C1676" s="205">
        <f t="shared" si="53"/>
        <v>0</v>
      </c>
      <c r="D1676" s="223"/>
      <c r="R1676" s="222"/>
    </row>
    <row r="1677" spans="1:18" x14ac:dyDescent="0.35">
      <c r="A1677" s="203">
        <f t="shared" si="52"/>
        <v>0</v>
      </c>
      <c r="C1677" s="205">
        <f t="shared" si="53"/>
        <v>0</v>
      </c>
      <c r="D1677" s="223"/>
      <c r="R1677" s="222"/>
    </row>
    <row r="1678" spans="1:18" x14ac:dyDescent="0.35">
      <c r="A1678" s="203">
        <f t="shared" si="52"/>
        <v>0</v>
      </c>
      <c r="C1678" s="205">
        <f t="shared" si="53"/>
        <v>0</v>
      </c>
      <c r="D1678" s="223"/>
      <c r="R1678" s="222"/>
    </row>
    <row r="1679" spans="1:18" x14ac:dyDescent="0.35">
      <c r="A1679" s="203">
        <f t="shared" si="52"/>
        <v>0</v>
      </c>
      <c r="C1679" s="205">
        <f t="shared" si="53"/>
        <v>0</v>
      </c>
      <c r="D1679" s="223"/>
      <c r="R1679" s="222"/>
    </row>
    <row r="1680" spans="1:18" x14ac:dyDescent="0.35">
      <c r="A1680" s="203">
        <f t="shared" si="52"/>
        <v>0</v>
      </c>
      <c r="C1680" s="205">
        <f t="shared" si="53"/>
        <v>0</v>
      </c>
      <c r="D1680" s="223"/>
      <c r="R1680" s="222"/>
    </row>
    <row r="1681" spans="1:18" x14ac:dyDescent="0.35">
      <c r="A1681" s="203">
        <f t="shared" si="52"/>
        <v>0</v>
      </c>
      <c r="C1681" s="205">
        <f t="shared" si="53"/>
        <v>0</v>
      </c>
      <c r="D1681" s="223"/>
      <c r="R1681" s="222"/>
    </row>
    <row r="1682" spans="1:18" x14ac:dyDescent="0.35">
      <c r="A1682" s="203">
        <f t="shared" si="52"/>
        <v>0</v>
      </c>
      <c r="C1682" s="205">
        <f t="shared" si="53"/>
        <v>0</v>
      </c>
      <c r="D1682" s="223"/>
      <c r="R1682" s="222"/>
    </row>
    <row r="1683" spans="1:18" x14ac:dyDescent="0.35">
      <c r="A1683" s="203">
        <f t="shared" si="52"/>
        <v>0</v>
      </c>
      <c r="C1683" s="205">
        <f t="shared" si="53"/>
        <v>0</v>
      </c>
      <c r="D1683" s="223"/>
      <c r="R1683" s="222"/>
    </row>
    <row r="1684" spans="1:18" x14ac:dyDescent="0.35">
      <c r="A1684" s="203">
        <f t="shared" si="52"/>
        <v>0</v>
      </c>
      <c r="C1684" s="205">
        <f t="shared" si="53"/>
        <v>0</v>
      </c>
      <c r="D1684" s="223"/>
      <c r="R1684" s="222"/>
    </row>
    <row r="1685" spans="1:18" x14ac:dyDescent="0.35">
      <c r="A1685" s="203">
        <f t="shared" si="52"/>
        <v>0</v>
      </c>
      <c r="C1685" s="205">
        <f t="shared" si="53"/>
        <v>0</v>
      </c>
      <c r="D1685" s="223"/>
      <c r="R1685" s="222"/>
    </row>
    <row r="1686" spans="1:18" x14ac:dyDescent="0.35">
      <c r="A1686" s="203">
        <f t="shared" si="52"/>
        <v>0</v>
      </c>
      <c r="C1686" s="205">
        <f t="shared" si="53"/>
        <v>0</v>
      </c>
      <c r="D1686" s="223"/>
      <c r="R1686" s="222"/>
    </row>
    <row r="1687" spans="1:18" x14ac:dyDescent="0.35">
      <c r="A1687" s="203">
        <f t="shared" si="52"/>
        <v>0</v>
      </c>
      <c r="C1687" s="205">
        <f t="shared" si="53"/>
        <v>0</v>
      </c>
      <c r="D1687" s="223"/>
      <c r="R1687" s="222"/>
    </row>
    <row r="1688" spans="1:18" x14ac:dyDescent="0.35">
      <c r="A1688" s="203">
        <f t="shared" si="52"/>
        <v>0</v>
      </c>
      <c r="C1688" s="205">
        <f t="shared" si="53"/>
        <v>0</v>
      </c>
      <c r="D1688" s="223"/>
      <c r="R1688" s="222"/>
    </row>
    <row r="1689" spans="1:18" x14ac:dyDescent="0.35">
      <c r="A1689" s="203">
        <f t="shared" si="52"/>
        <v>0</v>
      </c>
      <c r="C1689" s="205">
        <f t="shared" si="53"/>
        <v>0</v>
      </c>
      <c r="D1689" s="223"/>
      <c r="R1689" s="222"/>
    </row>
    <row r="1690" spans="1:18" x14ac:dyDescent="0.35">
      <c r="A1690" s="203">
        <f t="shared" si="52"/>
        <v>0</v>
      </c>
      <c r="C1690" s="205">
        <f t="shared" si="53"/>
        <v>0</v>
      </c>
      <c r="D1690" s="223"/>
      <c r="R1690" s="222"/>
    </row>
    <row r="1691" spans="1:18" x14ac:dyDescent="0.35">
      <c r="A1691" s="203">
        <f t="shared" si="52"/>
        <v>0</v>
      </c>
      <c r="C1691" s="205">
        <f t="shared" si="53"/>
        <v>0</v>
      </c>
      <c r="D1691" s="223"/>
      <c r="R1691" s="222"/>
    </row>
    <row r="1692" spans="1:18" x14ac:dyDescent="0.35">
      <c r="A1692" s="203">
        <f t="shared" si="52"/>
        <v>0</v>
      </c>
      <c r="C1692" s="205">
        <f t="shared" si="53"/>
        <v>0</v>
      </c>
      <c r="D1692" s="223"/>
      <c r="R1692" s="222"/>
    </row>
    <row r="1693" spans="1:18" x14ac:dyDescent="0.35">
      <c r="A1693" s="203">
        <f t="shared" si="52"/>
        <v>0</v>
      </c>
      <c r="C1693" s="205">
        <f t="shared" si="53"/>
        <v>0</v>
      </c>
      <c r="D1693" s="223"/>
      <c r="R1693" s="222"/>
    </row>
    <row r="1694" spans="1:18" x14ac:dyDescent="0.35">
      <c r="A1694" s="203">
        <f t="shared" si="52"/>
        <v>0</v>
      </c>
      <c r="C1694" s="205">
        <f t="shared" si="53"/>
        <v>0</v>
      </c>
      <c r="D1694" s="223"/>
      <c r="R1694" s="222"/>
    </row>
    <row r="1695" spans="1:18" x14ac:dyDescent="0.35">
      <c r="A1695" s="203">
        <f t="shared" si="52"/>
        <v>0</v>
      </c>
      <c r="C1695" s="205">
        <f t="shared" si="53"/>
        <v>0</v>
      </c>
      <c r="D1695" s="223"/>
      <c r="R1695" s="222"/>
    </row>
    <row r="1696" spans="1:18" x14ac:dyDescent="0.35">
      <c r="A1696" s="203">
        <f t="shared" si="52"/>
        <v>0</v>
      </c>
      <c r="C1696" s="205">
        <f t="shared" si="53"/>
        <v>0</v>
      </c>
      <c r="D1696" s="223"/>
      <c r="R1696" s="222"/>
    </row>
    <row r="1697" spans="1:18" x14ac:dyDescent="0.35">
      <c r="A1697" s="203">
        <f t="shared" si="52"/>
        <v>0</v>
      </c>
      <c r="C1697" s="205">
        <f t="shared" si="53"/>
        <v>0</v>
      </c>
      <c r="D1697" s="223"/>
      <c r="R1697" s="222"/>
    </row>
    <row r="1698" spans="1:18" x14ac:dyDescent="0.35">
      <c r="A1698" s="203">
        <f t="shared" si="52"/>
        <v>0</v>
      </c>
      <c r="C1698" s="205">
        <f t="shared" si="53"/>
        <v>0</v>
      </c>
      <c r="D1698" s="223"/>
      <c r="R1698" s="222"/>
    </row>
    <row r="1699" spans="1:18" x14ac:dyDescent="0.35">
      <c r="A1699" s="203">
        <f t="shared" si="52"/>
        <v>0</v>
      </c>
      <c r="C1699" s="205">
        <f t="shared" si="53"/>
        <v>0</v>
      </c>
      <c r="D1699" s="223"/>
      <c r="R1699" s="222"/>
    </row>
    <row r="1700" spans="1:18" x14ac:dyDescent="0.35">
      <c r="A1700" s="203">
        <f t="shared" si="52"/>
        <v>0</v>
      </c>
      <c r="C1700" s="205">
        <f t="shared" si="53"/>
        <v>0</v>
      </c>
      <c r="D1700" s="223"/>
      <c r="R1700" s="222"/>
    </row>
    <row r="1701" spans="1:18" x14ac:dyDescent="0.35">
      <c r="A1701" s="203">
        <f t="shared" si="52"/>
        <v>0</v>
      </c>
      <c r="C1701" s="205">
        <f t="shared" si="53"/>
        <v>0</v>
      </c>
      <c r="D1701" s="223"/>
      <c r="R1701" s="222"/>
    </row>
    <row r="1702" spans="1:18" x14ac:dyDescent="0.35">
      <c r="A1702" s="203">
        <f t="shared" si="52"/>
        <v>0</v>
      </c>
      <c r="C1702" s="205">
        <f t="shared" si="53"/>
        <v>0</v>
      </c>
      <c r="D1702" s="223"/>
      <c r="R1702" s="222"/>
    </row>
    <row r="1703" spans="1:18" x14ac:dyDescent="0.35">
      <c r="A1703" s="203">
        <f t="shared" si="52"/>
        <v>0</v>
      </c>
      <c r="C1703" s="205">
        <f t="shared" si="53"/>
        <v>0</v>
      </c>
      <c r="D1703" s="223"/>
      <c r="R1703" s="222"/>
    </row>
    <row r="1704" spans="1:18" x14ac:dyDescent="0.35">
      <c r="A1704" s="203">
        <f t="shared" si="52"/>
        <v>0</v>
      </c>
      <c r="C1704" s="205">
        <f t="shared" si="53"/>
        <v>0</v>
      </c>
      <c r="D1704" s="223"/>
      <c r="R1704" s="222"/>
    </row>
    <row r="1705" spans="1:18" x14ac:dyDescent="0.35">
      <c r="A1705" s="203">
        <f t="shared" si="52"/>
        <v>0</v>
      </c>
      <c r="C1705" s="205">
        <f t="shared" si="53"/>
        <v>0</v>
      </c>
      <c r="D1705" s="223"/>
      <c r="R1705" s="222"/>
    </row>
    <row r="1706" spans="1:18" x14ac:dyDescent="0.35">
      <c r="A1706" s="203">
        <f t="shared" si="52"/>
        <v>0</v>
      </c>
      <c r="C1706" s="205">
        <f t="shared" si="53"/>
        <v>0</v>
      </c>
      <c r="D1706" s="223"/>
      <c r="R1706" s="222"/>
    </row>
    <row r="1707" spans="1:18" x14ac:dyDescent="0.35">
      <c r="A1707" s="203">
        <f t="shared" si="52"/>
        <v>0</v>
      </c>
      <c r="C1707" s="205">
        <f t="shared" si="53"/>
        <v>0</v>
      </c>
      <c r="D1707" s="223"/>
      <c r="R1707" s="222"/>
    </row>
    <row r="1708" spans="1:18" x14ac:dyDescent="0.35">
      <c r="A1708" s="203">
        <f t="shared" si="52"/>
        <v>0</v>
      </c>
      <c r="C1708" s="205">
        <f t="shared" si="53"/>
        <v>0</v>
      </c>
      <c r="D1708" s="223"/>
      <c r="R1708" s="222"/>
    </row>
    <row r="1709" spans="1:18" x14ac:dyDescent="0.35">
      <c r="A1709" s="203">
        <f t="shared" si="52"/>
        <v>0</v>
      </c>
      <c r="C1709" s="205">
        <f t="shared" si="53"/>
        <v>0</v>
      </c>
      <c r="D1709" s="223"/>
      <c r="R1709" s="222"/>
    </row>
    <row r="1710" spans="1:18" x14ac:dyDescent="0.35">
      <c r="A1710" s="203">
        <f t="shared" si="52"/>
        <v>0</v>
      </c>
      <c r="C1710" s="205">
        <f t="shared" si="53"/>
        <v>0</v>
      </c>
      <c r="D1710" s="223"/>
      <c r="R1710" s="222"/>
    </row>
    <row r="1711" spans="1:18" x14ac:dyDescent="0.35">
      <c r="A1711" s="203">
        <f t="shared" si="52"/>
        <v>0</v>
      </c>
      <c r="C1711" s="205">
        <f t="shared" si="53"/>
        <v>0</v>
      </c>
      <c r="D1711" s="223"/>
      <c r="R1711" s="222"/>
    </row>
    <row r="1712" spans="1:18" x14ac:dyDescent="0.35">
      <c r="A1712" s="203">
        <f t="shared" si="52"/>
        <v>0</v>
      </c>
      <c r="C1712" s="205">
        <f t="shared" si="53"/>
        <v>0</v>
      </c>
      <c r="D1712" s="223"/>
      <c r="R1712" s="222"/>
    </row>
    <row r="1713" spans="1:18" x14ac:dyDescent="0.35">
      <c r="A1713" s="203">
        <f t="shared" si="52"/>
        <v>0</v>
      </c>
      <c r="C1713" s="205">
        <f t="shared" si="53"/>
        <v>0</v>
      </c>
      <c r="D1713" s="223"/>
      <c r="R1713" s="222"/>
    </row>
    <row r="1714" spans="1:18" x14ac:dyDescent="0.35">
      <c r="A1714" s="203">
        <f t="shared" si="52"/>
        <v>0</v>
      </c>
      <c r="C1714" s="205">
        <f t="shared" si="53"/>
        <v>0</v>
      </c>
      <c r="D1714" s="223"/>
      <c r="R1714" s="222"/>
    </row>
    <row r="1715" spans="1:18" x14ac:dyDescent="0.35">
      <c r="A1715" s="203">
        <f t="shared" si="52"/>
        <v>0</v>
      </c>
      <c r="C1715" s="205">
        <f t="shared" si="53"/>
        <v>0</v>
      </c>
      <c r="D1715" s="223"/>
      <c r="R1715" s="222"/>
    </row>
    <row r="1716" spans="1:18" x14ac:dyDescent="0.35">
      <c r="A1716" s="203">
        <f t="shared" si="52"/>
        <v>0</v>
      </c>
      <c r="C1716" s="205">
        <f t="shared" si="53"/>
        <v>0</v>
      </c>
      <c r="D1716" s="223"/>
      <c r="R1716" s="222"/>
    </row>
    <row r="1717" spans="1:18" x14ac:dyDescent="0.35">
      <c r="A1717" s="203">
        <f t="shared" si="52"/>
        <v>0</v>
      </c>
      <c r="C1717" s="205">
        <f t="shared" si="53"/>
        <v>0</v>
      </c>
      <c r="D1717" s="223"/>
      <c r="R1717" s="222"/>
    </row>
    <row r="1718" spans="1:18" x14ac:dyDescent="0.35">
      <c r="A1718" s="203">
        <f t="shared" si="52"/>
        <v>0</v>
      </c>
      <c r="C1718" s="205">
        <f t="shared" si="53"/>
        <v>0</v>
      </c>
      <c r="D1718" s="223"/>
      <c r="R1718" s="222"/>
    </row>
    <row r="1719" spans="1:18" x14ac:dyDescent="0.35">
      <c r="A1719" s="203">
        <f t="shared" si="52"/>
        <v>0</v>
      </c>
      <c r="C1719" s="205">
        <f t="shared" si="53"/>
        <v>0</v>
      </c>
      <c r="D1719" s="223"/>
      <c r="R1719" s="222"/>
    </row>
    <row r="1720" spans="1:18" x14ac:dyDescent="0.35">
      <c r="A1720" s="203">
        <f t="shared" si="52"/>
        <v>0</v>
      </c>
      <c r="C1720" s="205">
        <f t="shared" si="53"/>
        <v>0</v>
      </c>
      <c r="D1720" s="223"/>
      <c r="R1720" s="222"/>
    </row>
    <row r="1721" spans="1:18" x14ac:dyDescent="0.35">
      <c r="A1721" s="203">
        <f t="shared" si="52"/>
        <v>0</v>
      </c>
      <c r="C1721" s="205">
        <f t="shared" si="53"/>
        <v>0</v>
      </c>
      <c r="D1721" s="223"/>
      <c r="R1721" s="222"/>
    </row>
    <row r="1722" spans="1:18" x14ac:dyDescent="0.35">
      <c r="A1722" s="203">
        <f t="shared" si="52"/>
        <v>0</v>
      </c>
      <c r="C1722" s="205">
        <f t="shared" si="53"/>
        <v>0</v>
      </c>
      <c r="D1722" s="223"/>
      <c r="R1722" s="222"/>
    </row>
    <row r="1723" spans="1:18" x14ac:dyDescent="0.35">
      <c r="A1723" s="203">
        <f t="shared" si="52"/>
        <v>0</v>
      </c>
      <c r="C1723" s="205">
        <f t="shared" si="53"/>
        <v>0</v>
      </c>
      <c r="D1723" s="223"/>
      <c r="R1723" s="222"/>
    </row>
    <row r="1724" spans="1:18" x14ac:dyDescent="0.35">
      <c r="A1724" s="203">
        <f t="shared" si="52"/>
        <v>0</v>
      </c>
      <c r="C1724" s="205">
        <f t="shared" si="53"/>
        <v>0</v>
      </c>
      <c r="D1724" s="223"/>
      <c r="R1724" s="222"/>
    </row>
    <row r="1725" spans="1:18" x14ac:dyDescent="0.35">
      <c r="A1725" s="203">
        <f t="shared" si="52"/>
        <v>0</v>
      </c>
      <c r="C1725" s="205">
        <f t="shared" si="53"/>
        <v>0</v>
      </c>
      <c r="D1725" s="223"/>
      <c r="R1725" s="222"/>
    </row>
    <row r="1726" spans="1:18" x14ac:dyDescent="0.35">
      <c r="A1726" s="203">
        <f t="shared" si="52"/>
        <v>0</v>
      </c>
      <c r="C1726" s="205">
        <f t="shared" si="53"/>
        <v>0</v>
      </c>
      <c r="D1726" s="223"/>
      <c r="R1726" s="222"/>
    </row>
    <row r="1727" spans="1:18" x14ac:dyDescent="0.35">
      <c r="A1727" s="203">
        <f t="shared" si="52"/>
        <v>0</v>
      </c>
      <c r="C1727" s="205">
        <f t="shared" si="53"/>
        <v>0</v>
      </c>
      <c r="D1727" s="223"/>
      <c r="R1727" s="222"/>
    </row>
    <row r="1728" spans="1:18" x14ac:dyDescent="0.35">
      <c r="A1728" s="203">
        <f t="shared" si="52"/>
        <v>0</v>
      </c>
      <c r="C1728" s="205">
        <f t="shared" si="53"/>
        <v>0</v>
      </c>
      <c r="D1728" s="223"/>
      <c r="R1728" s="222"/>
    </row>
    <row r="1729" spans="1:18" x14ac:dyDescent="0.35">
      <c r="A1729" s="203">
        <f t="shared" si="52"/>
        <v>0</v>
      </c>
      <c r="C1729" s="205">
        <f t="shared" si="53"/>
        <v>0</v>
      </c>
      <c r="D1729" s="223"/>
      <c r="R1729" s="222"/>
    </row>
    <row r="1730" spans="1:18" x14ac:dyDescent="0.35">
      <c r="A1730" s="203">
        <f t="shared" si="52"/>
        <v>0</v>
      </c>
      <c r="C1730" s="205">
        <f t="shared" si="53"/>
        <v>0</v>
      </c>
      <c r="D1730" s="223"/>
      <c r="R1730" s="222"/>
    </row>
    <row r="1731" spans="1:18" x14ac:dyDescent="0.35">
      <c r="A1731" s="203">
        <f t="shared" ref="A1731:A1794" si="54">F1731</f>
        <v>0</v>
      </c>
      <c r="C1731" s="205">
        <f t="shared" ref="C1731:C1794" si="55">F1731</f>
        <v>0</v>
      </c>
      <c r="D1731" s="223"/>
      <c r="R1731" s="222"/>
    </row>
    <row r="1732" spans="1:18" x14ac:dyDescent="0.35">
      <c r="A1732" s="203">
        <f t="shared" si="54"/>
        <v>0</v>
      </c>
      <c r="C1732" s="205">
        <f t="shared" si="55"/>
        <v>0</v>
      </c>
      <c r="D1732" s="223"/>
      <c r="R1732" s="222"/>
    </row>
    <row r="1733" spans="1:18" x14ac:dyDescent="0.35">
      <c r="A1733" s="203">
        <f t="shared" si="54"/>
        <v>0</v>
      </c>
      <c r="C1733" s="205">
        <f t="shared" si="55"/>
        <v>0</v>
      </c>
      <c r="D1733" s="223"/>
      <c r="R1733" s="222"/>
    </row>
    <row r="1734" spans="1:18" x14ac:dyDescent="0.35">
      <c r="A1734" s="203">
        <f t="shared" si="54"/>
        <v>0</v>
      </c>
      <c r="C1734" s="205">
        <f t="shared" si="55"/>
        <v>0</v>
      </c>
      <c r="D1734" s="223"/>
      <c r="R1734" s="222"/>
    </row>
    <row r="1735" spans="1:18" x14ac:dyDescent="0.35">
      <c r="A1735" s="203">
        <f t="shared" si="54"/>
        <v>0</v>
      </c>
      <c r="C1735" s="205">
        <f t="shared" si="55"/>
        <v>0</v>
      </c>
      <c r="D1735" s="223"/>
      <c r="R1735" s="222"/>
    </row>
    <row r="1736" spans="1:18" x14ac:dyDescent="0.35">
      <c r="A1736" s="203">
        <f t="shared" si="54"/>
        <v>0</v>
      </c>
      <c r="C1736" s="205">
        <f t="shared" si="55"/>
        <v>0</v>
      </c>
      <c r="D1736" s="223"/>
      <c r="R1736" s="222"/>
    </row>
    <row r="1737" spans="1:18" x14ac:dyDescent="0.35">
      <c r="A1737" s="203">
        <f t="shared" si="54"/>
        <v>0</v>
      </c>
      <c r="C1737" s="205">
        <f t="shared" si="55"/>
        <v>0</v>
      </c>
      <c r="D1737" s="223"/>
      <c r="R1737" s="222"/>
    </row>
    <row r="1738" spans="1:18" x14ac:dyDescent="0.35">
      <c r="A1738" s="203">
        <f t="shared" si="54"/>
        <v>0</v>
      </c>
      <c r="C1738" s="205">
        <f t="shared" si="55"/>
        <v>0</v>
      </c>
      <c r="D1738" s="223"/>
      <c r="R1738" s="222"/>
    </row>
    <row r="1739" spans="1:18" x14ac:dyDescent="0.35">
      <c r="A1739" s="203">
        <f t="shared" si="54"/>
        <v>0</v>
      </c>
      <c r="C1739" s="205">
        <f t="shared" si="55"/>
        <v>0</v>
      </c>
      <c r="D1739" s="223"/>
      <c r="R1739" s="222"/>
    </row>
    <row r="1740" spans="1:18" x14ac:dyDescent="0.35">
      <c r="A1740" s="203">
        <f t="shared" si="54"/>
        <v>0</v>
      </c>
      <c r="C1740" s="205">
        <f t="shared" si="55"/>
        <v>0</v>
      </c>
      <c r="D1740" s="223"/>
      <c r="R1740" s="222"/>
    </row>
    <row r="1741" spans="1:18" x14ac:dyDescent="0.35">
      <c r="A1741" s="203">
        <f t="shared" si="54"/>
        <v>0</v>
      </c>
      <c r="C1741" s="205">
        <f t="shared" si="55"/>
        <v>0</v>
      </c>
      <c r="D1741" s="223"/>
      <c r="R1741" s="222"/>
    </row>
    <row r="1742" spans="1:18" x14ac:dyDescent="0.35">
      <c r="A1742" s="203">
        <f t="shared" si="54"/>
        <v>0</v>
      </c>
      <c r="C1742" s="205">
        <f t="shared" si="55"/>
        <v>0</v>
      </c>
      <c r="D1742" s="223"/>
      <c r="R1742" s="222"/>
    </row>
    <row r="1743" spans="1:18" x14ac:dyDescent="0.35">
      <c r="A1743" s="203">
        <f t="shared" si="54"/>
        <v>0</v>
      </c>
      <c r="C1743" s="205">
        <f t="shared" si="55"/>
        <v>0</v>
      </c>
      <c r="D1743" s="223"/>
      <c r="R1743" s="222"/>
    </row>
    <row r="1744" spans="1:18" x14ac:dyDescent="0.35">
      <c r="A1744" s="203">
        <f t="shared" si="54"/>
        <v>0</v>
      </c>
      <c r="C1744" s="205">
        <f t="shared" si="55"/>
        <v>0</v>
      </c>
      <c r="D1744" s="223"/>
      <c r="R1744" s="222"/>
    </row>
    <row r="1745" spans="1:18" x14ac:dyDescent="0.35">
      <c r="A1745" s="203">
        <f t="shared" si="54"/>
        <v>0</v>
      </c>
      <c r="C1745" s="205">
        <f t="shared" si="55"/>
        <v>0</v>
      </c>
      <c r="D1745" s="223"/>
      <c r="R1745" s="222"/>
    </row>
    <row r="1746" spans="1:18" x14ac:dyDescent="0.35">
      <c r="A1746" s="203">
        <f t="shared" si="54"/>
        <v>0</v>
      </c>
      <c r="C1746" s="205">
        <f t="shared" si="55"/>
        <v>0</v>
      </c>
      <c r="D1746" s="223"/>
      <c r="R1746" s="222"/>
    </row>
    <row r="1747" spans="1:18" x14ac:dyDescent="0.35">
      <c r="A1747" s="203">
        <f t="shared" si="54"/>
        <v>0</v>
      </c>
      <c r="C1747" s="205">
        <f t="shared" si="55"/>
        <v>0</v>
      </c>
      <c r="D1747" s="223"/>
      <c r="R1747" s="222"/>
    </row>
    <row r="1748" spans="1:18" x14ac:dyDescent="0.35">
      <c r="A1748" s="203">
        <f t="shared" si="54"/>
        <v>0</v>
      </c>
      <c r="C1748" s="205">
        <f t="shared" si="55"/>
        <v>0</v>
      </c>
      <c r="D1748" s="223"/>
      <c r="R1748" s="222"/>
    </row>
    <row r="1749" spans="1:18" x14ac:dyDescent="0.35">
      <c r="A1749" s="203">
        <f t="shared" si="54"/>
        <v>0</v>
      </c>
      <c r="C1749" s="205">
        <f t="shared" si="55"/>
        <v>0</v>
      </c>
      <c r="D1749" s="223"/>
      <c r="R1749" s="222"/>
    </row>
    <row r="1750" spans="1:18" x14ac:dyDescent="0.35">
      <c r="A1750" s="203">
        <f t="shared" si="54"/>
        <v>0</v>
      </c>
      <c r="C1750" s="205">
        <f t="shared" si="55"/>
        <v>0</v>
      </c>
      <c r="D1750" s="223"/>
      <c r="R1750" s="222"/>
    </row>
    <row r="1751" spans="1:18" x14ac:dyDescent="0.35">
      <c r="A1751" s="203">
        <f t="shared" si="54"/>
        <v>0</v>
      </c>
      <c r="C1751" s="205">
        <f t="shared" si="55"/>
        <v>0</v>
      </c>
      <c r="D1751" s="223"/>
      <c r="R1751" s="222"/>
    </row>
    <row r="1752" spans="1:18" x14ac:dyDescent="0.35">
      <c r="A1752" s="203">
        <f t="shared" si="54"/>
        <v>0</v>
      </c>
      <c r="C1752" s="205">
        <f t="shared" si="55"/>
        <v>0</v>
      </c>
      <c r="D1752" s="223"/>
      <c r="R1752" s="222"/>
    </row>
    <row r="1753" spans="1:18" x14ac:dyDescent="0.35">
      <c r="A1753" s="203">
        <f t="shared" si="54"/>
        <v>0</v>
      </c>
      <c r="C1753" s="205">
        <f t="shared" si="55"/>
        <v>0</v>
      </c>
      <c r="D1753" s="223"/>
      <c r="R1753" s="222"/>
    </row>
    <row r="1754" spans="1:18" x14ac:dyDescent="0.35">
      <c r="A1754" s="203">
        <f t="shared" si="54"/>
        <v>0</v>
      </c>
      <c r="C1754" s="205">
        <f t="shared" si="55"/>
        <v>0</v>
      </c>
      <c r="D1754" s="223"/>
      <c r="R1754" s="222"/>
    </row>
    <row r="1755" spans="1:18" x14ac:dyDescent="0.35">
      <c r="A1755" s="203">
        <f t="shared" si="54"/>
        <v>0</v>
      </c>
      <c r="C1755" s="205">
        <f t="shared" si="55"/>
        <v>0</v>
      </c>
      <c r="D1755" s="223"/>
      <c r="R1755" s="222"/>
    </row>
    <row r="1756" spans="1:18" x14ac:dyDescent="0.35">
      <c r="A1756" s="203">
        <f t="shared" si="54"/>
        <v>0</v>
      </c>
      <c r="C1756" s="205">
        <f t="shared" si="55"/>
        <v>0</v>
      </c>
      <c r="D1756" s="223"/>
      <c r="R1756" s="222"/>
    </row>
    <row r="1757" spans="1:18" x14ac:dyDescent="0.35">
      <c r="A1757" s="203">
        <f t="shared" si="54"/>
        <v>0</v>
      </c>
      <c r="C1757" s="205">
        <f t="shared" si="55"/>
        <v>0</v>
      </c>
      <c r="D1757" s="223"/>
      <c r="R1757" s="222"/>
    </row>
    <row r="1758" spans="1:18" x14ac:dyDescent="0.35">
      <c r="A1758" s="203">
        <f t="shared" si="54"/>
        <v>0</v>
      </c>
      <c r="C1758" s="205">
        <f t="shared" si="55"/>
        <v>0</v>
      </c>
      <c r="D1758" s="223"/>
      <c r="R1758" s="222"/>
    </row>
    <row r="1759" spans="1:18" x14ac:dyDescent="0.35">
      <c r="A1759" s="203">
        <f t="shared" si="54"/>
        <v>0</v>
      </c>
      <c r="C1759" s="205">
        <f t="shared" si="55"/>
        <v>0</v>
      </c>
      <c r="D1759" s="223"/>
      <c r="R1759" s="222"/>
    </row>
    <row r="1760" spans="1:18" x14ac:dyDescent="0.35">
      <c r="A1760" s="203">
        <f t="shared" si="54"/>
        <v>0</v>
      </c>
      <c r="C1760" s="205">
        <f t="shared" si="55"/>
        <v>0</v>
      </c>
      <c r="D1760" s="223"/>
      <c r="R1760" s="222"/>
    </row>
    <row r="1761" spans="1:18" x14ac:dyDescent="0.35">
      <c r="A1761" s="203">
        <f t="shared" si="54"/>
        <v>0</v>
      </c>
      <c r="C1761" s="205">
        <f t="shared" si="55"/>
        <v>0</v>
      </c>
      <c r="D1761" s="223"/>
      <c r="R1761" s="222"/>
    </row>
    <row r="1762" spans="1:18" x14ac:dyDescent="0.35">
      <c r="A1762" s="203">
        <f t="shared" si="54"/>
        <v>0</v>
      </c>
      <c r="C1762" s="205">
        <f t="shared" si="55"/>
        <v>0</v>
      </c>
      <c r="D1762" s="223"/>
      <c r="R1762" s="222"/>
    </row>
    <row r="1763" spans="1:18" x14ac:dyDescent="0.35">
      <c r="A1763" s="203">
        <f t="shared" si="54"/>
        <v>0</v>
      </c>
      <c r="C1763" s="205">
        <f t="shared" si="55"/>
        <v>0</v>
      </c>
      <c r="D1763" s="223"/>
      <c r="R1763" s="222"/>
    </row>
    <row r="1764" spans="1:18" x14ac:dyDescent="0.35">
      <c r="A1764" s="203">
        <f t="shared" si="54"/>
        <v>0</v>
      </c>
      <c r="C1764" s="205">
        <f t="shared" si="55"/>
        <v>0</v>
      </c>
      <c r="D1764" s="223"/>
      <c r="R1764" s="222"/>
    </row>
    <row r="1765" spans="1:18" x14ac:dyDescent="0.35">
      <c r="A1765" s="203">
        <f t="shared" si="54"/>
        <v>0</v>
      </c>
      <c r="C1765" s="205">
        <f t="shared" si="55"/>
        <v>0</v>
      </c>
      <c r="D1765" s="223"/>
      <c r="R1765" s="222"/>
    </row>
    <row r="1766" spans="1:18" x14ac:dyDescent="0.35">
      <c r="A1766" s="203">
        <f t="shared" si="54"/>
        <v>0</v>
      </c>
      <c r="C1766" s="205">
        <f t="shared" si="55"/>
        <v>0</v>
      </c>
      <c r="D1766" s="223"/>
      <c r="R1766" s="222"/>
    </row>
    <row r="1767" spans="1:18" x14ac:dyDescent="0.35">
      <c r="A1767" s="203">
        <f t="shared" si="54"/>
        <v>0</v>
      </c>
      <c r="C1767" s="205">
        <f t="shared" si="55"/>
        <v>0</v>
      </c>
      <c r="D1767" s="223"/>
      <c r="R1767" s="222"/>
    </row>
    <row r="1768" spans="1:18" x14ac:dyDescent="0.35">
      <c r="A1768" s="203">
        <f t="shared" si="54"/>
        <v>0</v>
      </c>
      <c r="C1768" s="205">
        <f t="shared" si="55"/>
        <v>0</v>
      </c>
      <c r="D1768" s="223"/>
      <c r="R1768" s="222"/>
    </row>
    <row r="1769" spans="1:18" x14ac:dyDescent="0.35">
      <c r="A1769" s="203">
        <f t="shared" si="54"/>
        <v>0</v>
      </c>
      <c r="C1769" s="205">
        <f t="shared" si="55"/>
        <v>0</v>
      </c>
      <c r="D1769" s="223"/>
      <c r="R1769" s="222"/>
    </row>
    <row r="1770" spans="1:18" x14ac:dyDescent="0.35">
      <c r="A1770" s="203">
        <f t="shared" si="54"/>
        <v>0</v>
      </c>
      <c r="C1770" s="205">
        <f t="shared" si="55"/>
        <v>0</v>
      </c>
      <c r="D1770" s="223"/>
      <c r="R1770" s="222"/>
    </row>
    <row r="1771" spans="1:18" x14ac:dyDescent="0.35">
      <c r="A1771" s="203">
        <f t="shared" si="54"/>
        <v>0</v>
      </c>
      <c r="C1771" s="205">
        <f t="shared" si="55"/>
        <v>0</v>
      </c>
      <c r="D1771" s="223"/>
      <c r="R1771" s="222"/>
    </row>
    <row r="1772" spans="1:18" x14ac:dyDescent="0.35">
      <c r="A1772" s="203">
        <f t="shared" si="54"/>
        <v>0</v>
      </c>
      <c r="C1772" s="205">
        <f t="shared" si="55"/>
        <v>0</v>
      </c>
      <c r="D1772" s="223"/>
      <c r="R1772" s="222"/>
    </row>
    <row r="1773" spans="1:18" x14ac:dyDescent="0.35">
      <c r="A1773" s="203">
        <f t="shared" si="54"/>
        <v>0</v>
      </c>
      <c r="C1773" s="205">
        <f t="shared" si="55"/>
        <v>0</v>
      </c>
      <c r="D1773" s="223"/>
      <c r="R1773" s="222"/>
    </row>
    <row r="1774" spans="1:18" x14ac:dyDescent="0.35">
      <c r="A1774" s="203">
        <f t="shared" si="54"/>
        <v>0</v>
      </c>
      <c r="C1774" s="205">
        <f t="shared" si="55"/>
        <v>0</v>
      </c>
      <c r="D1774" s="223"/>
      <c r="R1774" s="222"/>
    </row>
    <row r="1775" spans="1:18" x14ac:dyDescent="0.35">
      <c r="A1775" s="203">
        <f t="shared" si="54"/>
        <v>0</v>
      </c>
      <c r="C1775" s="205">
        <f t="shared" si="55"/>
        <v>0</v>
      </c>
      <c r="D1775" s="223"/>
      <c r="R1775" s="222"/>
    </row>
    <row r="1776" spans="1:18" x14ac:dyDescent="0.35">
      <c r="A1776" s="203">
        <f t="shared" si="54"/>
        <v>0</v>
      </c>
      <c r="C1776" s="205">
        <f t="shared" si="55"/>
        <v>0</v>
      </c>
      <c r="D1776" s="223"/>
      <c r="R1776" s="222"/>
    </row>
    <row r="1777" spans="1:18" x14ac:dyDescent="0.35">
      <c r="A1777" s="203">
        <f t="shared" si="54"/>
        <v>0</v>
      </c>
      <c r="C1777" s="205">
        <f t="shared" si="55"/>
        <v>0</v>
      </c>
      <c r="D1777" s="223"/>
      <c r="R1777" s="222"/>
    </row>
    <row r="1778" spans="1:18" x14ac:dyDescent="0.35">
      <c r="A1778" s="203">
        <f t="shared" si="54"/>
        <v>0</v>
      </c>
      <c r="C1778" s="205">
        <f t="shared" si="55"/>
        <v>0</v>
      </c>
      <c r="D1778" s="223"/>
      <c r="R1778" s="222"/>
    </row>
    <row r="1779" spans="1:18" x14ac:dyDescent="0.35">
      <c r="A1779" s="203">
        <f t="shared" si="54"/>
        <v>0</v>
      </c>
      <c r="C1779" s="205">
        <f t="shared" si="55"/>
        <v>0</v>
      </c>
      <c r="D1779" s="223"/>
      <c r="R1779" s="222"/>
    </row>
    <row r="1780" spans="1:18" x14ac:dyDescent="0.35">
      <c r="A1780" s="203">
        <f t="shared" si="54"/>
        <v>0</v>
      </c>
      <c r="C1780" s="205">
        <f t="shared" si="55"/>
        <v>0</v>
      </c>
      <c r="D1780" s="223"/>
      <c r="R1780" s="222"/>
    </row>
    <row r="1781" spans="1:18" x14ac:dyDescent="0.35">
      <c r="A1781" s="203">
        <f t="shared" si="54"/>
        <v>0</v>
      </c>
      <c r="C1781" s="205">
        <f t="shared" si="55"/>
        <v>0</v>
      </c>
      <c r="D1781" s="223"/>
      <c r="R1781" s="222"/>
    </row>
    <row r="1782" spans="1:18" x14ac:dyDescent="0.35">
      <c r="A1782" s="203">
        <f t="shared" si="54"/>
        <v>0</v>
      </c>
      <c r="C1782" s="205">
        <f t="shared" si="55"/>
        <v>0</v>
      </c>
      <c r="D1782" s="223"/>
      <c r="R1782" s="222"/>
    </row>
    <row r="1783" spans="1:18" x14ac:dyDescent="0.35">
      <c r="A1783" s="203">
        <f t="shared" si="54"/>
        <v>0</v>
      </c>
      <c r="C1783" s="205">
        <f t="shared" si="55"/>
        <v>0</v>
      </c>
      <c r="D1783" s="223"/>
      <c r="R1783" s="222"/>
    </row>
    <row r="1784" spans="1:18" x14ac:dyDescent="0.35">
      <c r="A1784" s="203">
        <f t="shared" si="54"/>
        <v>0</v>
      </c>
      <c r="C1784" s="205">
        <f t="shared" si="55"/>
        <v>0</v>
      </c>
      <c r="D1784" s="223"/>
      <c r="R1784" s="222"/>
    </row>
    <row r="1785" spans="1:18" x14ac:dyDescent="0.35">
      <c r="A1785" s="203">
        <f t="shared" si="54"/>
        <v>0</v>
      </c>
      <c r="C1785" s="205">
        <f t="shared" si="55"/>
        <v>0</v>
      </c>
      <c r="D1785" s="223"/>
      <c r="R1785" s="222"/>
    </row>
    <row r="1786" spans="1:18" x14ac:dyDescent="0.35">
      <c r="A1786" s="203">
        <f t="shared" si="54"/>
        <v>0</v>
      </c>
      <c r="C1786" s="205">
        <f t="shared" si="55"/>
        <v>0</v>
      </c>
      <c r="D1786" s="223"/>
      <c r="R1786" s="222"/>
    </row>
    <row r="1787" spans="1:18" x14ac:dyDescent="0.35">
      <c r="A1787" s="203">
        <f t="shared" si="54"/>
        <v>0</v>
      </c>
      <c r="C1787" s="205">
        <f t="shared" si="55"/>
        <v>0</v>
      </c>
      <c r="D1787" s="223"/>
      <c r="R1787" s="222"/>
    </row>
    <row r="1788" spans="1:18" x14ac:dyDescent="0.35">
      <c r="A1788" s="203">
        <f t="shared" si="54"/>
        <v>0</v>
      </c>
      <c r="C1788" s="205">
        <f t="shared" si="55"/>
        <v>0</v>
      </c>
      <c r="D1788" s="223"/>
      <c r="R1788" s="222"/>
    </row>
    <row r="1789" spans="1:18" x14ac:dyDescent="0.35">
      <c r="A1789" s="203">
        <f t="shared" si="54"/>
        <v>0</v>
      </c>
      <c r="C1789" s="205">
        <f t="shared" si="55"/>
        <v>0</v>
      </c>
      <c r="D1789" s="223"/>
      <c r="R1789" s="222"/>
    </row>
    <row r="1790" spans="1:18" x14ac:dyDescent="0.35">
      <c r="A1790" s="203">
        <f t="shared" si="54"/>
        <v>0</v>
      </c>
      <c r="C1790" s="205">
        <f t="shared" si="55"/>
        <v>0</v>
      </c>
      <c r="D1790" s="223"/>
      <c r="R1790" s="222"/>
    </row>
    <row r="1791" spans="1:18" x14ac:dyDescent="0.35">
      <c r="A1791" s="203">
        <f t="shared" si="54"/>
        <v>0</v>
      </c>
      <c r="C1791" s="205">
        <f t="shared" si="55"/>
        <v>0</v>
      </c>
      <c r="D1791" s="223"/>
      <c r="R1791" s="222"/>
    </row>
    <row r="1792" spans="1:18" x14ac:dyDescent="0.35">
      <c r="A1792" s="203">
        <f t="shared" si="54"/>
        <v>0</v>
      </c>
      <c r="C1792" s="205">
        <f t="shared" si="55"/>
        <v>0</v>
      </c>
      <c r="D1792" s="223"/>
      <c r="R1792" s="222"/>
    </row>
    <row r="1793" spans="1:18" x14ac:dyDescent="0.35">
      <c r="A1793" s="203">
        <f t="shared" si="54"/>
        <v>0</v>
      </c>
      <c r="C1793" s="205">
        <f t="shared" si="55"/>
        <v>0</v>
      </c>
      <c r="D1793" s="223"/>
      <c r="R1793" s="222"/>
    </row>
    <row r="1794" spans="1:18" x14ac:dyDescent="0.35">
      <c r="A1794" s="203">
        <f t="shared" si="54"/>
        <v>0</v>
      </c>
      <c r="C1794" s="205">
        <f t="shared" si="55"/>
        <v>0</v>
      </c>
      <c r="D1794" s="223"/>
      <c r="R1794" s="222"/>
    </row>
    <row r="1795" spans="1:18" x14ac:dyDescent="0.35">
      <c r="A1795" s="203">
        <f t="shared" ref="A1795:A1858" si="56">F1795</f>
        <v>0</v>
      </c>
      <c r="C1795" s="205">
        <f t="shared" ref="C1795:C1858" si="57">F1795</f>
        <v>0</v>
      </c>
      <c r="D1795" s="223"/>
      <c r="R1795" s="222"/>
    </row>
    <row r="1796" spans="1:18" x14ac:dyDescent="0.35">
      <c r="A1796" s="203">
        <f t="shared" si="56"/>
        <v>0</v>
      </c>
      <c r="C1796" s="205">
        <f t="shared" si="57"/>
        <v>0</v>
      </c>
      <c r="D1796" s="223"/>
      <c r="R1796" s="222"/>
    </row>
    <row r="1797" spans="1:18" x14ac:dyDescent="0.35">
      <c r="A1797" s="203">
        <f t="shared" si="56"/>
        <v>0</v>
      </c>
      <c r="C1797" s="205">
        <f t="shared" si="57"/>
        <v>0</v>
      </c>
      <c r="D1797" s="223"/>
      <c r="R1797" s="222"/>
    </row>
    <row r="1798" spans="1:18" x14ac:dyDescent="0.35">
      <c r="A1798" s="203">
        <f t="shared" si="56"/>
        <v>0</v>
      </c>
      <c r="C1798" s="205">
        <f t="shared" si="57"/>
        <v>0</v>
      </c>
      <c r="D1798" s="223"/>
      <c r="R1798" s="222"/>
    </row>
    <row r="1799" spans="1:18" x14ac:dyDescent="0.35">
      <c r="A1799" s="203">
        <f t="shared" si="56"/>
        <v>0</v>
      </c>
      <c r="C1799" s="205">
        <f t="shared" si="57"/>
        <v>0</v>
      </c>
      <c r="D1799" s="223"/>
      <c r="R1799" s="222"/>
    </row>
    <row r="1800" spans="1:18" x14ac:dyDescent="0.35">
      <c r="A1800" s="203">
        <f t="shared" si="56"/>
        <v>0</v>
      </c>
      <c r="C1800" s="205">
        <f t="shared" si="57"/>
        <v>0</v>
      </c>
      <c r="D1800" s="223"/>
      <c r="R1800" s="222"/>
    </row>
    <row r="1801" spans="1:18" x14ac:dyDescent="0.35">
      <c r="A1801" s="203">
        <f t="shared" si="56"/>
        <v>0</v>
      </c>
      <c r="C1801" s="205">
        <f t="shared" si="57"/>
        <v>0</v>
      </c>
      <c r="D1801" s="223"/>
      <c r="R1801" s="222"/>
    </row>
    <row r="1802" spans="1:18" x14ac:dyDescent="0.35">
      <c r="A1802" s="203">
        <f t="shared" si="56"/>
        <v>0</v>
      </c>
      <c r="C1802" s="205">
        <f t="shared" si="57"/>
        <v>0</v>
      </c>
      <c r="D1802" s="223"/>
      <c r="R1802" s="222"/>
    </row>
    <row r="1803" spans="1:18" x14ac:dyDescent="0.35">
      <c r="A1803" s="203">
        <f t="shared" si="56"/>
        <v>0</v>
      </c>
      <c r="C1803" s="205">
        <f t="shared" si="57"/>
        <v>0</v>
      </c>
      <c r="D1803" s="223"/>
      <c r="R1803" s="222"/>
    </row>
    <row r="1804" spans="1:18" x14ac:dyDescent="0.35">
      <c r="A1804" s="203">
        <f t="shared" si="56"/>
        <v>0</v>
      </c>
      <c r="C1804" s="205">
        <f t="shared" si="57"/>
        <v>0</v>
      </c>
      <c r="D1804" s="223"/>
      <c r="R1804" s="222"/>
    </row>
    <row r="1805" spans="1:18" x14ac:dyDescent="0.35">
      <c r="A1805" s="203">
        <f t="shared" si="56"/>
        <v>0</v>
      </c>
      <c r="C1805" s="205">
        <f t="shared" si="57"/>
        <v>0</v>
      </c>
      <c r="D1805" s="223"/>
      <c r="R1805" s="222"/>
    </row>
    <row r="1806" spans="1:18" x14ac:dyDescent="0.35">
      <c r="A1806" s="203">
        <f t="shared" si="56"/>
        <v>0</v>
      </c>
      <c r="C1806" s="205">
        <f t="shared" si="57"/>
        <v>0</v>
      </c>
      <c r="D1806" s="223"/>
      <c r="R1806" s="222"/>
    </row>
    <row r="1807" spans="1:18" x14ac:dyDescent="0.35">
      <c r="A1807" s="203">
        <f t="shared" si="56"/>
        <v>0</v>
      </c>
      <c r="C1807" s="205">
        <f t="shared" si="57"/>
        <v>0</v>
      </c>
      <c r="D1807" s="223"/>
      <c r="R1807" s="222"/>
    </row>
    <row r="1808" spans="1:18" x14ac:dyDescent="0.35">
      <c r="A1808" s="203">
        <f t="shared" si="56"/>
        <v>0</v>
      </c>
      <c r="C1808" s="205">
        <f t="shared" si="57"/>
        <v>0</v>
      </c>
      <c r="D1808" s="223"/>
      <c r="R1808" s="222"/>
    </row>
    <row r="1809" spans="1:18" x14ac:dyDescent="0.35">
      <c r="A1809" s="203">
        <f t="shared" si="56"/>
        <v>0</v>
      </c>
      <c r="C1809" s="205">
        <f t="shared" si="57"/>
        <v>0</v>
      </c>
      <c r="D1809" s="223"/>
      <c r="R1809" s="222"/>
    </row>
    <row r="1810" spans="1:18" x14ac:dyDescent="0.35">
      <c r="A1810" s="203">
        <f t="shared" si="56"/>
        <v>0</v>
      </c>
      <c r="C1810" s="205">
        <f t="shared" si="57"/>
        <v>0</v>
      </c>
      <c r="D1810" s="223"/>
      <c r="R1810" s="222"/>
    </row>
    <row r="1811" spans="1:18" x14ac:dyDescent="0.35">
      <c r="A1811" s="203">
        <f t="shared" si="56"/>
        <v>0</v>
      </c>
      <c r="C1811" s="205">
        <f t="shared" si="57"/>
        <v>0</v>
      </c>
      <c r="D1811" s="223"/>
      <c r="R1811" s="222"/>
    </row>
    <row r="1812" spans="1:18" x14ac:dyDescent="0.35">
      <c r="A1812" s="203">
        <f t="shared" si="56"/>
        <v>0</v>
      </c>
      <c r="C1812" s="205">
        <f t="shared" si="57"/>
        <v>0</v>
      </c>
      <c r="D1812" s="223"/>
      <c r="R1812" s="222"/>
    </row>
    <row r="1813" spans="1:18" x14ac:dyDescent="0.35">
      <c r="A1813" s="203">
        <f t="shared" si="56"/>
        <v>0</v>
      </c>
      <c r="C1813" s="205">
        <f t="shared" si="57"/>
        <v>0</v>
      </c>
      <c r="D1813" s="223"/>
      <c r="R1813" s="222"/>
    </row>
    <row r="1814" spans="1:18" x14ac:dyDescent="0.35">
      <c r="A1814" s="203">
        <f t="shared" si="56"/>
        <v>0</v>
      </c>
      <c r="C1814" s="205">
        <f t="shared" si="57"/>
        <v>0</v>
      </c>
      <c r="D1814" s="223"/>
      <c r="R1814" s="222"/>
    </row>
    <row r="1815" spans="1:18" x14ac:dyDescent="0.35">
      <c r="A1815" s="203">
        <f t="shared" si="56"/>
        <v>0</v>
      </c>
      <c r="C1815" s="205">
        <f t="shared" si="57"/>
        <v>0</v>
      </c>
      <c r="D1815" s="223"/>
      <c r="R1815" s="222"/>
    </row>
    <row r="1816" spans="1:18" x14ac:dyDescent="0.35">
      <c r="A1816" s="203">
        <f t="shared" si="56"/>
        <v>0</v>
      </c>
      <c r="C1816" s="205">
        <f t="shared" si="57"/>
        <v>0</v>
      </c>
      <c r="D1816" s="223"/>
      <c r="R1816" s="222"/>
    </row>
    <row r="1817" spans="1:18" x14ac:dyDescent="0.35">
      <c r="A1817" s="203">
        <f t="shared" si="56"/>
        <v>0</v>
      </c>
      <c r="C1817" s="205">
        <f t="shared" si="57"/>
        <v>0</v>
      </c>
      <c r="D1817" s="223"/>
      <c r="R1817" s="222"/>
    </row>
    <row r="1818" spans="1:18" x14ac:dyDescent="0.35">
      <c r="A1818" s="203">
        <f t="shared" si="56"/>
        <v>0</v>
      </c>
      <c r="C1818" s="205">
        <f t="shared" si="57"/>
        <v>0</v>
      </c>
      <c r="D1818" s="223"/>
      <c r="R1818" s="222"/>
    </row>
    <row r="1819" spans="1:18" x14ac:dyDescent="0.35">
      <c r="A1819" s="203">
        <f t="shared" si="56"/>
        <v>0</v>
      </c>
      <c r="C1819" s="205">
        <f t="shared" si="57"/>
        <v>0</v>
      </c>
      <c r="D1819" s="223"/>
      <c r="R1819" s="222"/>
    </row>
    <row r="1820" spans="1:18" x14ac:dyDescent="0.35">
      <c r="A1820" s="203">
        <f t="shared" si="56"/>
        <v>0</v>
      </c>
      <c r="C1820" s="205">
        <f t="shared" si="57"/>
        <v>0</v>
      </c>
      <c r="D1820" s="223"/>
      <c r="R1820" s="222"/>
    </row>
    <row r="1821" spans="1:18" x14ac:dyDescent="0.35">
      <c r="A1821" s="203">
        <f t="shared" si="56"/>
        <v>0</v>
      </c>
      <c r="C1821" s="205">
        <f t="shared" si="57"/>
        <v>0</v>
      </c>
      <c r="D1821" s="223"/>
      <c r="R1821" s="222"/>
    </row>
    <row r="1822" spans="1:18" x14ac:dyDescent="0.35">
      <c r="A1822" s="203">
        <f t="shared" si="56"/>
        <v>0</v>
      </c>
      <c r="C1822" s="205">
        <f t="shared" si="57"/>
        <v>0</v>
      </c>
      <c r="D1822" s="223"/>
      <c r="R1822" s="222"/>
    </row>
    <row r="1823" spans="1:18" x14ac:dyDescent="0.35">
      <c r="A1823" s="203">
        <f t="shared" si="56"/>
        <v>0</v>
      </c>
      <c r="C1823" s="205">
        <f t="shared" si="57"/>
        <v>0</v>
      </c>
      <c r="D1823" s="223"/>
      <c r="R1823" s="222"/>
    </row>
    <row r="1824" spans="1:18" x14ac:dyDescent="0.35">
      <c r="A1824" s="203">
        <f t="shared" si="56"/>
        <v>0</v>
      </c>
      <c r="C1824" s="205">
        <f t="shared" si="57"/>
        <v>0</v>
      </c>
      <c r="D1824" s="223"/>
      <c r="R1824" s="222"/>
    </row>
    <row r="1825" spans="1:18" x14ac:dyDescent="0.35">
      <c r="A1825" s="203">
        <f t="shared" si="56"/>
        <v>0</v>
      </c>
      <c r="C1825" s="205">
        <f t="shared" si="57"/>
        <v>0</v>
      </c>
      <c r="D1825" s="223"/>
      <c r="R1825" s="222"/>
    </row>
    <row r="1826" spans="1:18" x14ac:dyDescent="0.35">
      <c r="A1826" s="203">
        <f t="shared" si="56"/>
        <v>0</v>
      </c>
      <c r="C1826" s="205">
        <f t="shared" si="57"/>
        <v>0</v>
      </c>
      <c r="D1826" s="223"/>
      <c r="R1826" s="222"/>
    </row>
    <row r="1827" spans="1:18" x14ac:dyDescent="0.35">
      <c r="A1827" s="203">
        <f t="shared" si="56"/>
        <v>0</v>
      </c>
      <c r="C1827" s="205">
        <f t="shared" si="57"/>
        <v>0</v>
      </c>
      <c r="D1827" s="223"/>
      <c r="R1827" s="222"/>
    </row>
    <row r="1828" spans="1:18" x14ac:dyDescent="0.35">
      <c r="A1828" s="203">
        <f t="shared" si="56"/>
        <v>0</v>
      </c>
      <c r="C1828" s="205">
        <f t="shared" si="57"/>
        <v>0</v>
      </c>
      <c r="D1828" s="223"/>
      <c r="R1828" s="222"/>
    </row>
    <row r="1829" spans="1:18" x14ac:dyDescent="0.35">
      <c r="A1829" s="203">
        <f t="shared" si="56"/>
        <v>0</v>
      </c>
      <c r="C1829" s="205">
        <f t="shared" si="57"/>
        <v>0</v>
      </c>
      <c r="D1829" s="223"/>
      <c r="R1829" s="222"/>
    </row>
    <row r="1830" spans="1:18" x14ac:dyDescent="0.35">
      <c r="A1830" s="203">
        <f t="shared" si="56"/>
        <v>0</v>
      </c>
      <c r="C1830" s="205">
        <f t="shared" si="57"/>
        <v>0</v>
      </c>
      <c r="D1830" s="223"/>
      <c r="R1830" s="222"/>
    </row>
    <row r="1831" spans="1:18" x14ac:dyDescent="0.35">
      <c r="A1831" s="203">
        <f t="shared" si="56"/>
        <v>0</v>
      </c>
      <c r="C1831" s="205">
        <f t="shared" si="57"/>
        <v>0</v>
      </c>
      <c r="D1831" s="223"/>
      <c r="R1831" s="222"/>
    </row>
    <row r="1832" spans="1:18" x14ac:dyDescent="0.35">
      <c r="A1832" s="203">
        <f t="shared" si="56"/>
        <v>0</v>
      </c>
      <c r="C1832" s="205">
        <f t="shared" si="57"/>
        <v>0</v>
      </c>
      <c r="D1832" s="223"/>
      <c r="R1832" s="222"/>
    </row>
    <row r="1833" spans="1:18" x14ac:dyDescent="0.35">
      <c r="A1833" s="203">
        <f t="shared" si="56"/>
        <v>0</v>
      </c>
      <c r="C1833" s="205">
        <f t="shared" si="57"/>
        <v>0</v>
      </c>
      <c r="D1833" s="223"/>
      <c r="R1833" s="222"/>
    </row>
    <row r="1834" spans="1:18" x14ac:dyDescent="0.35">
      <c r="A1834" s="203">
        <f t="shared" si="56"/>
        <v>0</v>
      </c>
      <c r="C1834" s="205">
        <f t="shared" si="57"/>
        <v>0</v>
      </c>
      <c r="D1834" s="223"/>
      <c r="R1834" s="222"/>
    </row>
    <row r="1835" spans="1:18" x14ac:dyDescent="0.35">
      <c r="A1835" s="203">
        <f t="shared" si="56"/>
        <v>0</v>
      </c>
      <c r="C1835" s="205">
        <f t="shared" si="57"/>
        <v>0</v>
      </c>
      <c r="D1835" s="223"/>
      <c r="R1835" s="222"/>
    </row>
    <row r="1836" spans="1:18" x14ac:dyDescent="0.35">
      <c r="A1836" s="203">
        <f t="shared" si="56"/>
        <v>0</v>
      </c>
      <c r="C1836" s="205">
        <f t="shared" si="57"/>
        <v>0</v>
      </c>
      <c r="D1836" s="223"/>
      <c r="R1836" s="222"/>
    </row>
    <row r="1837" spans="1:18" x14ac:dyDescent="0.35">
      <c r="A1837" s="203">
        <f t="shared" si="56"/>
        <v>0</v>
      </c>
      <c r="C1837" s="205">
        <f t="shared" si="57"/>
        <v>0</v>
      </c>
      <c r="D1837" s="223"/>
      <c r="R1837" s="222"/>
    </row>
    <row r="1838" spans="1:18" x14ac:dyDescent="0.35">
      <c r="A1838" s="203">
        <f t="shared" si="56"/>
        <v>0</v>
      </c>
      <c r="C1838" s="205">
        <f t="shared" si="57"/>
        <v>0</v>
      </c>
      <c r="D1838" s="223"/>
      <c r="R1838" s="222"/>
    </row>
    <row r="1839" spans="1:18" x14ac:dyDescent="0.35">
      <c r="A1839" s="203">
        <f t="shared" si="56"/>
        <v>0</v>
      </c>
      <c r="C1839" s="205">
        <f t="shared" si="57"/>
        <v>0</v>
      </c>
      <c r="D1839" s="223"/>
      <c r="R1839" s="222"/>
    </row>
    <row r="1840" spans="1:18" x14ac:dyDescent="0.35">
      <c r="A1840" s="203">
        <f t="shared" si="56"/>
        <v>0</v>
      </c>
      <c r="C1840" s="205">
        <f t="shared" si="57"/>
        <v>0</v>
      </c>
      <c r="D1840" s="223"/>
      <c r="R1840" s="222"/>
    </row>
    <row r="1841" spans="1:18" x14ac:dyDescent="0.35">
      <c r="A1841" s="203">
        <f t="shared" si="56"/>
        <v>0</v>
      </c>
      <c r="C1841" s="205">
        <f t="shared" si="57"/>
        <v>0</v>
      </c>
      <c r="D1841" s="223"/>
      <c r="R1841" s="222"/>
    </row>
    <row r="1842" spans="1:18" x14ac:dyDescent="0.35">
      <c r="A1842" s="203">
        <f t="shared" si="56"/>
        <v>0</v>
      </c>
      <c r="C1842" s="205">
        <f t="shared" si="57"/>
        <v>0</v>
      </c>
      <c r="D1842" s="223"/>
      <c r="R1842" s="222"/>
    </row>
    <row r="1843" spans="1:18" x14ac:dyDescent="0.35">
      <c r="A1843" s="203">
        <f t="shared" si="56"/>
        <v>0</v>
      </c>
      <c r="C1843" s="205">
        <f t="shared" si="57"/>
        <v>0</v>
      </c>
      <c r="D1843" s="223"/>
      <c r="R1843" s="222"/>
    </row>
    <row r="1844" spans="1:18" x14ac:dyDescent="0.35">
      <c r="A1844" s="203">
        <f t="shared" si="56"/>
        <v>0</v>
      </c>
      <c r="C1844" s="205">
        <f t="shared" si="57"/>
        <v>0</v>
      </c>
      <c r="D1844" s="223"/>
      <c r="R1844" s="222"/>
    </row>
    <row r="1845" spans="1:18" x14ac:dyDescent="0.35">
      <c r="A1845" s="203">
        <f t="shared" si="56"/>
        <v>0</v>
      </c>
      <c r="C1845" s="205">
        <f t="shared" si="57"/>
        <v>0</v>
      </c>
      <c r="D1845" s="223"/>
      <c r="R1845" s="222"/>
    </row>
    <row r="1846" spans="1:18" x14ac:dyDescent="0.35">
      <c r="A1846" s="203">
        <f t="shared" si="56"/>
        <v>0</v>
      </c>
      <c r="C1846" s="205">
        <f t="shared" si="57"/>
        <v>0</v>
      </c>
      <c r="D1846" s="223"/>
      <c r="R1846" s="222"/>
    </row>
    <row r="1847" spans="1:18" x14ac:dyDescent="0.35">
      <c r="A1847" s="203">
        <f t="shared" si="56"/>
        <v>0</v>
      </c>
      <c r="C1847" s="205">
        <f t="shared" si="57"/>
        <v>0</v>
      </c>
      <c r="D1847" s="223"/>
      <c r="R1847" s="222"/>
    </row>
    <row r="1848" spans="1:18" x14ac:dyDescent="0.35">
      <c r="A1848" s="203">
        <f t="shared" si="56"/>
        <v>0</v>
      </c>
      <c r="C1848" s="205">
        <f t="shared" si="57"/>
        <v>0</v>
      </c>
      <c r="D1848" s="223"/>
      <c r="R1848" s="222"/>
    </row>
    <row r="1849" spans="1:18" x14ac:dyDescent="0.35">
      <c r="A1849" s="203">
        <f t="shared" si="56"/>
        <v>0</v>
      </c>
      <c r="C1849" s="205">
        <f t="shared" si="57"/>
        <v>0</v>
      </c>
      <c r="D1849" s="223"/>
      <c r="R1849" s="222"/>
    </row>
    <row r="1850" spans="1:18" x14ac:dyDescent="0.35">
      <c r="A1850" s="203">
        <f t="shared" si="56"/>
        <v>0</v>
      </c>
      <c r="C1850" s="205">
        <f t="shared" si="57"/>
        <v>0</v>
      </c>
      <c r="D1850" s="223"/>
      <c r="R1850" s="222"/>
    </row>
    <row r="1851" spans="1:18" x14ac:dyDescent="0.35">
      <c r="A1851" s="203">
        <f t="shared" si="56"/>
        <v>0</v>
      </c>
      <c r="C1851" s="205">
        <f t="shared" si="57"/>
        <v>0</v>
      </c>
      <c r="D1851" s="223"/>
      <c r="R1851" s="222"/>
    </row>
    <row r="1852" spans="1:18" x14ac:dyDescent="0.35">
      <c r="A1852" s="203">
        <f t="shared" si="56"/>
        <v>0</v>
      </c>
      <c r="C1852" s="205">
        <f t="shared" si="57"/>
        <v>0</v>
      </c>
      <c r="D1852" s="223"/>
      <c r="R1852" s="222"/>
    </row>
    <row r="1853" spans="1:18" x14ac:dyDescent="0.35">
      <c r="A1853" s="203">
        <f t="shared" si="56"/>
        <v>0</v>
      </c>
      <c r="C1853" s="205">
        <f t="shared" si="57"/>
        <v>0</v>
      </c>
      <c r="D1853" s="223"/>
      <c r="R1853" s="222"/>
    </row>
    <row r="1854" spans="1:18" x14ac:dyDescent="0.35">
      <c r="A1854" s="203">
        <f t="shared" si="56"/>
        <v>0</v>
      </c>
      <c r="C1854" s="205">
        <f t="shared" si="57"/>
        <v>0</v>
      </c>
      <c r="D1854" s="223"/>
      <c r="R1854" s="222"/>
    </row>
    <row r="1855" spans="1:18" x14ac:dyDescent="0.35">
      <c r="A1855" s="203">
        <f t="shared" si="56"/>
        <v>0</v>
      </c>
      <c r="C1855" s="205">
        <f t="shared" si="57"/>
        <v>0</v>
      </c>
      <c r="D1855" s="223"/>
      <c r="R1855" s="222"/>
    </row>
    <row r="1856" spans="1:18" x14ac:dyDescent="0.35">
      <c r="A1856" s="203">
        <f t="shared" si="56"/>
        <v>0</v>
      </c>
      <c r="C1856" s="205">
        <f t="shared" si="57"/>
        <v>0</v>
      </c>
      <c r="D1856" s="223"/>
      <c r="R1856" s="222"/>
    </row>
    <row r="1857" spans="1:18" x14ac:dyDescent="0.35">
      <c r="A1857" s="203">
        <f t="shared" si="56"/>
        <v>0</v>
      </c>
      <c r="C1857" s="205">
        <f t="shared" si="57"/>
        <v>0</v>
      </c>
      <c r="D1857" s="223"/>
      <c r="R1857" s="222"/>
    </row>
    <row r="1858" spans="1:18" x14ac:dyDescent="0.35">
      <c r="A1858" s="203">
        <f t="shared" si="56"/>
        <v>0</v>
      </c>
      <c r="C1858" s="205">
        <f t="shared" si="57"/>
        <v>0</v>
      </c>
      <c r="D1858" s="223"/>
      <c r="R1858" s="222"/>
    </row>
    <row r="1859" spans="1:18" x14ac:dyDescent="0.35">
      <c r="A1859" s="203">
        <f t="shared" ref="A1859:A1922" si="58">F1859</f>
        <v>0</v>
      </c>
      <c r="C1859" s="205">
        <f t="shared" ref="C1859:C1922" si="59">F1859</f>
        <v>0</v>
      </c>
      <c r="D1859" s="223"/>
      <c r="R1859" s="222"/>
    </row>
    <row r="1860" spans="1:18" x14ac:dyDescent="0.35">
      <c r="A1860" s="203">
        <f t="shared" si="58"/>
        <v>0</v>
      </c>
      <c r="C1860" s="205">
        <f t="shared" si="59"/>
        <v>0</v>
      </c>
      <c r="D1860" s="223"/>
      <c r="R1860" s="222"/>
    </row>
    <row r="1861" spans="1:18" x14ac:dyDescent="0.35">
      <c r="A1861" s="203">
        <f t="shared" si="58"/>
        <v>0</v>
      </c>
      <c r="C1861" s="205">
        <f t="shared" si="59"/>
        <v>0</v>
      </c>
      <c r="D1861" s="223"/>
      <c r="R1861" s="222"/>
    </row>
    <row r="1862" spans="1:18" x14ac:dyDescent="0.35">
      <c r="A1862" s="203">
        <f t="shared" si="58"/>
        <v>0</v>
      </c>
      <c r="C1862" s="205">
        <f t="shared" si="59"/>
        <v>0</v>
      </c>
      <c r="D1862" s="223"/>
      <c r="R1862" s="222"/>
    </row>
    <row r="1863" spans="1:18" x14ac:dyDescent="0.35">
      <c r="A1863" s="203">
        <f t="shared" si="58"/>
        <v>0</v>
      </c>
      <c r="C1863" s="205">
        <f t="shared" si="59"/>
        <v>0</v>
      </c>
      <c r="D1863" s="223"/>
      <c r="R1863" s="222"/>
    </row>
    <row r="1864" spans="1:18" x14ac:dyDescent="0.35">
      <c r="A1864" s="203">
        <f t="shared" si="58"/>
        <v>0</v>
      </c>
      <c r="C1864" s="205">
        <f t="shared" si="59"/>
        <v>0</v>
      </c>
      <c r="D1864" s="223"/>
      <c r="R1864" s="222"/>
    </row>
    <row r="1865" spans="1:18" x14ac:dyDescent="0.35">
      <c r="A1865" s="203">
        <f t="shared" si="58"/>
        <v>0</v>
      </c>
      <c r="C1865" s="205">
        <f t="shared" si="59"/>
        <v>0</v>
      </c>
      <c r="D1865" s="223"/>
      <c r="R1865" s="222"/>
    </row>
    <row r="1866" spans="1:18" x14ac:dyDescent="0.35">
      <c r="A1866" s="203">
        <f t="shared" si="58"/>
        <v>0</v>
      </c>
      <c r="C1866" s="205">
        <f t="shared" si="59"/>
        <v>0</v>
      </c>
      <c r="D1866" s="223"/>
      <c r="R1866" s="222"/>
    </row>
    <row r="1867" spans="1:18" x14ac:dyDescent="0.35">
      <c r="A1867" s="203">
        <f t="shared" si="58"/>
        <v>0</v>
      </c>
      <c r="C1867" s="205">
        <f t="shared" si="59"/>
        <v>0</v>
      </c>
      <c r="D1867" s="223"/>
      <c r="R1867" s="222"/>
    </row>
    <row r="1868" spans="1:18" x14ac:dyDescent="0.35">
      <c r="A1868" s="203">
        <f t="shared" si="58"/>
        <v>0</v>
      </c>
      <c r="C1868" s="205">
        <f t="shared" si="59"/>
        <v>0</v>
      </c>
      <c r="D1868" s="223"/>
      <c r="R1868" s="222"/>
    </row>
    <row r="1869" spans="1:18" x14ac:dyDescent="0.35">
      <c r="A1869" s="203">
        <f t="shared" si="58"/>
        <v>0</v>
      </c>
      <c r="C1869" s="205">
        <f t="shared" si="59"/>
        <v>0</v>
      </c>
      <c r="D1869" s="223"/>
      <c r="R1869" s="222"/>
    </row>
    <row r="1870" spans="1:18" x14ac:dyDescent="0.35">
      <c r="A1870" s="203">
        <f t="shared" si="58"/>
        <v>0</v>
      </c>
      <c r="C1870" s="205">
        <f t="shared" si="59"/>
        <v>0</v>
      </c>
      <c r="D1870" s="223"/>
      <c r="R1870" s="222"/>
    </row>
    <row r="1871" spans="1:18" x14ac:dyDescent="0.35">
      <c r="A1871" s="203">
        <f t="shared" si="58"/>
        <v>0</v>
      </c>
      <c r="C1871" s="205">
        <f t="shared" si="59"/>
        <v>0</v>
      </c>
      <c r="D1871" s="223"/>
      <c r="R1871" s="222"/>
    </row>
    <row r="1872" spans="1:18" x14ac:dyDescent="0.35">
      <c r="A1872" s="203">
        <f t="shared" si="58"/>
        <v>0</v>
      </c>
      <c r="C1872" s="205">
        <f t="shared" si="59"/>
        <v>0</v>
      </c>
      <c r="D1872" s="223"/>
      <c r="R1872" s="222"/>
    </row>
    <row r="1873" spans="1:18" x14ac:dyDescent="0.35">
      <c r="A1873" s="203">
        <f t="shared" si="58"/>
        <v>0</v>
      </c>
      <c r="C1873" s="205">
        <f t="shared" si="59"/>
        <v>0</v>
      </c>
      <c r="D1873" s="223"/>
      <c r="R1873" s="222"/>
    </row>
    <row r="1874" spans="1:18" x14ac:dyDescent="0.35">
      <c r="A1874" s="203">
        <f t="shared" si="58"/>
        <v>0</v>
      </c>
      <c r="C1874" s="205">
        <f t="shared" si="59"/>
        <v>0</v>
      </c>
      <c r="D1874" s="223"/>
      <c r="R1874" s="222"/>
    </row>
    <row r="1875" spans="1:18" x14ac:dyDescent="0.35">
      <c r="A1875" s="203">
        <f t="shared" si="58"/>
        <v>0</v>
      </c>
      <c r="C1875" s="205">
        <f t="shared" si="59"/>
        <v>0</v>
      </c>
      <c r="D1875" s="223"/>
      <c r="R1875" s="222"/>
    </row>
    <row r="1876" spans="1:18" x14ac:dyDescent="0.35">
      <c r="A1876" s="203">
        <f t="shared" si="58"/>
        <v>0</v>
      </c>
      <c r="C1876" s="205">
        <f t="shared" si="59"/>
        <v>0</v>
      </c>
      <c r="D1876" s="223"/>
      <c r="R1876" s="222"/>
    </row>
    <row r="1877" spans="1:18" x14ac:dyDescent="0.35">
      <c r="A1877" s="203">
        <f t="shared" si="58"/>
        <v>0</v>
      </c>
      <c r="C1877" s="205">
        <f t="shared" si="59"/>
        <v>0</v>
      </c>
      <c r="D1877" s="223"/>
      <c r="R1877" s="222"/>
    </row>
    <row r="1878" spans="1:18" x14ac:dyDescent="0.35">
      <c r="A1878" s="203">
        <f t="shared" si="58"/>
        <v>0</v>
      </c>
      <c r="C1878" s="205">
        <f t="shared" si="59"/>
        <v>0</v>
      </c>
      <c r="D1878" s="223"/>
      <c r="R1878" s="222"/>
    </row>
    <row r="1879" spans="1:18" x14ac:dyDescent="0.35">
      <c r="A1879" s="203">
        <f t="shared" si="58"/>
        <v>0</v>
      </c>
      <c r="C1879" s="205">
        <f t="shared" si="59"/>
        <v>0</v>
      </c>
      <c r="D1879" s="223"/>
      <c r="R1879" s="222"/>
    </row>
    <row r="1880" spans="1:18" x14ac:dyDescent="0.35">
      <c r="A1880" s="203">
        <f t="shared" si="58"/>
        <v>0</v>
      </c>
      <c r="C1880" s="205">
        <f t="shared" si="59"/>
        <v>0</v>
      </c>
      <c r="D1880" s="223"/>
      <c r="R1880" s="222"/>
    </row>
    <row r="1881" spans="1:18" x14ac:dyDescent="0.35">
      <c r="A1881" s="203">
        <f t="shared" si="58"/>
        <v>0</v>
      </c>
      <c r="C1881" s="205">
        <f t="shared" si="59"/>
        <v>0</v>
      </c>
      <c r="D1881" s="223"/>
      <c r="R1881" s="222"/>
    </row>
    <row r="1882" spans="1:18" x14ac:dyDescent="0.35">
      <c r="A1882" s="203">
        <f t="shared" si="58"/>
        <v>0</v>
      </c>
      <c r="C1882" s="205">
        <f t="shared" si="59"/>
        <v>0</v>
      </c>
      <c r="D1882" s="223"/>
      <c r="R1882" s="222"/>
    </row>
    <row r="1883" spans="1:18" x14ac:dyDescent="0.35">
      <c r="A1883" s="203">
        <f t="shared" si="58"/>
        <v>0</v>
      </c>
      <c r="C1883" s="205">
        <f t="shared" si="59"/>
        <v>0</v>
      </c>
      <c r="D1883" s="223"/>
      <c r="R1883" s="222"/>
    </row>
    <row r="1884" spans="1:18" x14ac:dyDescent="0.35">
      <c r="A1884" s="203">
        <f t="shared" si="58"/>
        <v>0</v>
      </c>
      <c r="C1884" s="205">
        <f t="shared" si="59"/>
        <v>0</v>
      </c>
      <c r="D1884" s="223"/>
      <c r="R1884" s="222"/>
    </row>
    <row r="1885" spans="1:18" x14ac:dyDescent="0.35">
      <c r="A1885" s="203">
        <f t="shared" si="58"/>
        <v>0</v>
      </c>
      <c r="C1885" s="205">
        <f t="shared" si="59"/>
        <v>0</v>
      </c>
      <c r="D1885" s="223"/>
      <c r="R1885" s="222"/>
    </row>
    <row r="1886" spans="1:18" x14ac:dyDescent="0.35">
      <c r="A1886" s="203">
        <f t="shared" si="58"/>
        <v>0</v>
      </c>
      <c r="C1886" s="205">
        <f t="shared" si="59"/>
        <v>0</v>
      </c>
      <c r="D1886" s="223"/>
      <c r="R1886" s="222"/>
    </row>
    <row r="1887" spans="1:18" x14ac:dyDescent="0.35">
      <c r="A1887" s="203">
        <f t="shared" si="58"/>
        <v>0</v>
      </c>
      <c r="C1887" s="205">
        <f t="shared" si="59"/>
        <v>0</v>
      </c>
      <c r="D1887" s="223"/>
      <c r="R1887" s="222"/>
    </row>
    <row r="1888" spans="1:18" x14ac:dyDescent="0.35">
      <c r="A1888" s="203">
        <f t="shared" si="58"/>
        <v>0</v>
      </c>
      <c r="C1888" s="205">
        <f t="shared" si="59"/>
        <v>0</v>
      </c>
      <c r="D1888" s="223"/>
      <c r="R1888" s="222"/>
    </row>
    <row r="1889" spans="1:18" x14ac:dyDescent="0.35">
      <c r="A1889" s="203">
        <f t="shared" si="58"/>
        <v>0</v>
      </c>
      <c r="C1889" s="205">
        <f t="shared" si="59"/>
        <v>0</v>
      </c>
      <c r="D1889" s="223"/>
      <c r="R1889" s="222"/>
    </row>
    <row r="1890" spans="1:18" x14ac:dyDescent="0.35">
      <c r="A1890" s="203">
        <f t="shared" si="58"/>
        <v>0</v>
      </c>
      <c r="C1890" s="205">
        <f t="shared" si="59"/>
        <v>0</v>
      </c>
      <c r="D1890" s="223"/>
      <c r="R1890" s="222"/>
    </row>
    <row r="1891" spans="1:18" x14ac:dyDescent="0.35">
      <c r="A1891" s="203">
        <f t="shared" si="58"/>
        <v>0</v>
      </c>
      <c r="C1891" s="205">
        <f t="shared" si="59"/>
        <v>0</v>
      </c>
      <c r="D1891" s="223"/>
      <c r="R1891" s="222"/>
    </row>
    <row r="1892" spans="1:18" x14ac:dyDescent="0.35">
      <c r="A1892" s="203">
        <f t="shared" si="58"/>
        <v>0</v>
      </c>
      <c r="C1892" s="205">
        <f t="shared" si="59"/>
        <v>0</v>
      </c>
      <c r="D1892" s="223"/>
      <c r="R1892" s="222"/>
    </row>
    <row r="1893" spans="1:18" x14ac:dyDescent="0.35">
      <c r="A1893" s="203">
        <f t="shared" si="58"/>
        <v>0</v>
      </c>
      <c r="C1893" s="205">
        <f t="shared" si="59"/>
        <v>0</v>
      </c>
      <c r="D1893" s="223"/>
      <c r="R1893" s="222"/>
    </row>
    <row r="1894" spans="1:18" x14ac:dyDescent="0.35">
      <c r="A1894" s="203">
        <f t="shared" si="58"/>
        <v>0</v>
      </c>
      <c r="C1894" s="205">
        <f t="shared" si="59"/>
        <v>0</v>
      </c>
      <c r="D1894" s="223"/>
      <c r="R1894" s="222"/>
    </row>
    <row r="1895" spans="1:18" x14ac:dyDescent="0.35">
      <c r="A1895" s="203">
        <f t="shared" si="58"/>
        <v>0</v>
      </c>
      <c r="C1895" s="205">
        <f t="shared" si="59"/>
        <v>0</v>
      </c>
      <c r="D1895" s="223"/>
      <c r="R1895" s="222"/>
    </row>
    <row r="1896" spans="1:18" x14ac:dyDescent="0.35">
      <c r="A1896" s="203">
        <f t="shared" si="58"/>
        <v>0</v>
      </c>
      <c r="C1896" s="205">
        <f t="shared" si="59"/>
        <v>0</v>
      </c>
      <c r="D1896" s="223"/>
      <c r="R1896" s="222"/>
    </row>
    <row r="1897" spans="1:18" x14ac:dyDescent="0.35">
      <c r="A1897" s="203">
        <f t="shared" si="58"/>
        <v>0</v>
      </c>
      <c r="C1897" s="205">
        <f t="shared" si="59"/>
        <v>0</v>
      </c>
      <c r="D1897" s="223"/>
      <c r="R1897" s="222"/>
    </row>
    <row r="1898" spans="1:18" x14ac:dyDescent="0.35">
      <c r="A1898" s="203">
        <f t="shared" si="58"/>
        <v>0</v>
      </c>
      <c r="C1898" s="205">
        <f t="shared" si="59"/>
        <v>0</v>
      </c>
      <c r="D1898" s="223"/>
      <c r="R1898" s="222"/>
    </row>
    <row r="1899" spans="1:18" x14ac:dyDescent="0.35">
      <c r="A1899" s="203">
        <f t="shared" si="58"/>
        <v>0</v>
      </c>
      <c r="C1899" s="205">
        <f t="shared" si="59"/>
        <v>0</v>
      </c>
      <c r="D1899" s="223"/>
      <c r="R1899" s="222"/>
    </row>
    <row r="1900" spans="1:18" x14ac:dyDescent="0.35">
      <c r="A1900" s="203">
        <f t="shared" si="58"/>
        <v>0</v>
      </c>
      <c r="C1900" s="205">
        <f t="shared" si="59"/>
        <v>0</v>
      </c>
      <c r="D1900" s="223"/>
      <c r="R1900" s="222"/>
    </row>
    <row r="1901" spans="1:18" x14ac:dyDescent="0.35">
      <c r="A1901" s="203">
        <f t="shared" si="58"/>
        <v>0</v>
      </c>
      <c r="C1901" s="205">
        <f t="shared" si="59"/>
        <v>0</v>
      </c>
      <c r="D1901" s="223"/>
      <c r="R1901" s="222"/>
    </row>
    <row r="1902" spans="1:18" x14ac:dyDescent="0.35">
      <c r="A1902" s="203">
        <f t="shared" si="58"/>
        <v>0</v>
      </c>
      <c r="C1902" s="205">
        <f t="shared" si="59"/>
        <v>0</v>
      </c>
      <c r="D1902" s="223"/>
      <c r="R1902" s="222"/>
    </row>
    <row r="1903" spans="1:18" x14ac:dyDescent="0.35">
      <c r="A1903" s="203">
        <f t="shared" si="58"/>
        <v>0</v>
      </c>
      <c r="C1903" s="205">
        <f t="shared" si="59"/>
        <v>0</v>
      </c>
      <c r="D1903" s="223"/>
      <c r="R1903" s="222"/>
    </row>
    <row r="1904" spans="1:18" x14ac:dyDescent="0.35">
      <c r="A1904" s="203">
        <f t="shared" si="58"/>
        <v>0</v>
      </c>
      <c r="C1904" s="205">
        <f t="shared" si="59"/>
        <v>0</v>
      </c>
      <c r="D1904" s="223"/>
      <c r="R1904" s="222"/>
    </row>
    <row r="1905" spans="1:18" x14ac:dyDescent="0.35">
      <c r="A1905" s="203">
        <f t="shared" si="58"/>
        <v>0</v>
      </c>
      <c r="C1905" s="205">
        <f t="shared" si="59"/>
        <v>0</v>
      </c>
      <c r="D1905" s="223"/>
      <c r="R1905" s="222"/>
    </row>
    <row r="1906" spans="1:18" x14ac:dyDescent="0.35">
      <c r="A1906" s="203">
        <f t="shared" si="58"/>
        <v>0</v>
      </c>
      <c r="C1906" s="205">
        <f t="shared" si="59"/>
        <v>0</v>
      </c>
      <c r="D1906" s="223"/>
      <c r="R1906" s="222"/>
    </row>
    <row r="1907" spans="1:18" x14ac:dyDescent="0.35">
      <c r="A1907" s="203">
        <f t="shared" si="58"/>
        <v>0</v>
      </c>
      <c r="C1907" s="205">
        <f t="shared" si="59"/>
        <v>0</v>
      </c>
      <c r="D1907" s="223"/>
      <c r="R1907" s="222"/>
    </row>
    <row r="1908" spans="1:18" x14ac:dyDescent="0.35">
      <c r="A1908" s="203">
        <f t="shared" si="58"/>
        <v>0</v>
      </c>
      <c r="C1908" s="205">
        <f t="shared" si="59"/>
        <v>0</v>
      </c>
      <c r="D1908" s="223"/>
      <c r="R1908" s="222"/>
    </row>
    <row r="1909" spans="1:18" x14ac:dyDescent="0.35">
      <c r="A1909" s="203">
        <f t="shared" si="58"/>
        <v>0</v>
      </c>
      <c r="C1909" s="205">
        <f t="shared" si="59"/>
        <v>0</v>
      </c>
      <c r="D1909" s="223"/>
      <c r="R1909" s="222"/>
    </row>
    <row r="1910" spans="1:18" x14ac:dyDescent="0.35">
      <c r="A1910" s="203">
        <f t="shared" si="58"/>
        <v>0</v>
      </c>
      <c r="C1910" s="205">
        <f t="shared" si="59"/>
        <v>0</v>
      </c>
      <c r="D1910" s="223"/>
      <c r="R1910" s="222"/>
    </row>
    <row r="1911" spans="1:18" x14ac:dyDescent="0.35">
      <c r="A1911" s="203">
        <f t="shared" si="58"/>
        <v>0</v>
      </c>
      <c r="C1911" s="205">
        <f t="shared" si="59"/>
        <v>0</v>
      </c>
      <c r="D1911" s="223"/>
      <c r="R1911" s="222"/>
    </row>
    <row r="1912" spans="1:18" x14ac:dyDescent="0.35">
      <c r="A1912" s="203">
        <f t="shared" si="58"/>
        <v>0</v>
      </c>
      <c r="C1912" s="205">
        <f t="shared" si="59"/>
        <v>0</v>
      </c>
      <c r="D1912" s="223"/>
      <c r="R1912" s="222"/>
    </row>
    <row r="1913" spans="1:18" x14ac:dyDescent="0.35">
      <c r="A1913" s="203">
        <f t="shared" si="58"/>
        <v>0</v>
      </c>
      <c r="C1913" s="205">
        <f t="shared" si="59"/>
        <v>0</v>
      </c>
      <c r="D1913" s="223"/>
      <c r="R1913" s="222"/>
    </row>
    <row r="1914" spans="1:18" x14ac:dyDescent="0.35">
      <c r="A1914" s="203">
        <f t="shared" si="58"/>
        <v>0</v>
      </c>
      <c r="C1914" s="205">
        <f t="shared" si="59"/>
        <v>0</v>
      </c>
      <c r="D1914" s="223"/>
      <c r="R1914" s="222"/>
    </row>
    <row r="1915" spans="1:18" x14ac:dyDescent="0.35">
      <c r="A1915" s="203">
        <f t="shared" si="58"/>
        <v>0</v>
      </c>
      <c r="C1915" s="205">
        <f t="shared" si="59"/>
        <v>0</v>
      </c>
      <c r="D1915" s="223"/>
      <c r="R1915" s="222"/>
    </row>
    <row r="1916" spans="1:18" x14ac:dyDescent="0.35">
      <c r="A1916" s="203">
        <f t="shared" si="58"/>
        <v>0</v>
      </c>
      <c r="C1916" s="205">
        <f t="shared" si="59"/>
        <v>0</v>
      </c>
      <c r="D1916" s="223"/>
      <c r="R1916" s="222"/>
    </row>
    <row r="1917" spans="1:18" x14ac:dyDescent="0.35">
      <c r="A1917" s="203">
        <f t="shared" si="58"/>
        <v>0</v>
      </c>
      <c r="C1917" s="205">
        <f t="shared" si="59"/>
        <v>0</v>
      </c>
      <c r="D1917" s="223"/>
      <c r="R1917" s="222"/>
    </row>
    <row r="1918" spans="1:18" x14ac:dyDescent="0.35">
      <c r="A1918" s="203">
        <f t="shared" si="58"/>
        <v>0</v>
      </c>
      <c r="C1918" s="205">
        <f t="shared" si="59"/>
        <v>0</v>
      </c>
      <c r="D1918" s="223"/>
      <c r="R1918" s="222"/>
    </row>
    <row r="1919" spans="1:18" x14ac:dyDescent="0.35">
      <c r="A1919" s="203">
        <f t="shared" si="58"/>
        <v>0</v>
      </c>
      <c r="C1919" s="205">
        <f t="shared" si="59"/>
        <v>0</v>
      </c>
      <c r="D1919" s="223"/>
      <c r="R1919" s="222"/>
    </row>
    <row r="1920" spans="1:18" x14ac:dyDescent="0.35">
      <c r="A1920" s="203">
        <f t="shared" si="58"/>
        <v>0</v>
      </c>
      <c r="C1920" s="205">
        <f t="shared" si="59"/>
        <v>0</v>
      </c>
      <c r="D1920" s="223"/>
      <c r="R1920" s="222"/>
    </row>
    <row r="1921" spans="1:18" x14ac:dyDescent="0.35">
      <c r="A1921" s="203">
        <f t="shared" si="58"/>
        <v>0</v>
      </c>
      <c r="C1921" s="205">
        <f t="shared" si="59"/>
        <v>0</v>
      </c>
      <c r="D1921" s="223"/>
      <c r="R1921" s="222"/>
    </row>
    <row r="1922" spans="1:18" x14ac:dyDescent="0.35">
      <c r="A1922" s="203">
        <f t="shared" si="58"/>
        <v>0</v>
      </c>
      <c r="C1922" s="205">
        <f t="shared" si="59"/>
        <v>0</v>
      </c>
      <c r="D1922" s="223"/>
      <c r="R1922" s="222"/>
    </row>
    <row r="1923" spans="1:18" x14ac:dyDescent="0.35">
      <c r="A1923" s="203">
        <f t="shared" ref="A1923:A1986" si="60">F1923</f>
        <v>0</v>
      </c>
      <c r="C1923" s="205">
        <f t="shared" ref="C1923:C1986" si="61">F1923</f>
        <v>0</v>
      </c>
      <c r="D1923" s="223"/>
      <c r="R1923" s="222"/>
    </row>
    <row r="1924" spans="1:18" x14ac:dyDescent="0.35">
      <c r="A1924" s="203">
        <f t="shared" si="60"/>
        <v>0</v>
      </c>
      <c r="C1924" s="205">
        <f t="shared" si="61"/>
        <v>0</v>
      </c>
      <c r="D1924" s="223"/>
      <c r="R1924" s="222"/>
    </row>
    <row r="1925" spans="1:18" x14ac:dyDescent="0.35">
      <c r="A1925" s="203">
        <f t="shared" si="60"/>
        <v>0</v>
      </c>
      <c r="C1925" s="205">
        <f t="shared" si="61"/>
        <v>0</v>
      </c>
      <c r="D1925" s="223"/>
      <c r="R1925" s="222"/>
    </row>
    <row r="1926" spans="1:18" x14ac:dyDescent="0.35">
      <c r="A1926" s="203">
        <f t="shared" si="60"/>
        <v>0</v>
      </c>
      <c r="C1926" s="205">
        <f t="shared" si="61"/>
        <v>0</v>
      </c>
      <c r="D1926" s="223"/>
      <c r="R1926" s="222"/>
    </row>
    <row r="1927" spans="1:18" x14ac:dyDescent="0.35">
      <c r="A1927" s="203">
        <f t="shared" si="60"/>
        <v>0</v>
      </c>
      <c r="C1927" s="205">
        <f t="shared" si="61"/>
        <v>0</v>
      </c>
      <c r="D1927" s="223"/>
      <c r="R1927" s="222"/>
    </row>
    <row r="1928" spans="1:18" x14ac:dyDescent="0.35">
      <c r="A1928" s="203">
        <f t="shared" si="60"/>
        <v>0</v>
      </c>
      <c r="C1928" s="205">
        <f t="shared" si="61"/>
        <v>0</v>
      </c>
      <c r="D1928" s="223"/>
      <c r="R1928" s="222"/>
    </row>
    <row r="1929" spans="1:18" x14ac:dyDescent="0.35">
      <c r="A1929" s="203">
        <f t="shared" si="60"/>
        <v>0</v>
      </c>
      <c r="C1929" s="205">
        <f t="shared" si="61"/>
        <v>0</v>
      </c>
      <c r="D1929" s="223"/>
      <c r="R1929" s="222"/>
    </row>
    <row r="1930" spans="1:18" x14ac:dyDescent="0.35">
      <c r="A1930" s="203">
        <f t="shared" si="60"/>
        <v>0</v>
      </c>
      <c r="C1930" s="205">
        <f t="shared" si="61"/>
        <v>0</v>
      </c>
      <c r="D1930" s="223"/>
      <c r="R1930" s="222"/>
    </row>
    <row r="1931" spans="1:18" x14ac:dyDescent="0.35">
      <c r="A1931" s="203">
        <f t="shared" si="60"/>
        <v>0</v>
      </c>
      <c r="C1931" s="205">
        <f t="shared" si="61"/>
        <v>0</v>
      </c>
      <c r="D1931" s="223"/>
      <c r="R1931" s="222"/>
    </row>
    <row r="1932" spans="1:18" x14ac:dyDescent="0.35">
      <c r="A1932" s="203">
        <f t="shared" si="60"/>
        <v>0</v>
      </c>
      <c r="C1932" s="205">
        <f t="shared" si="61"/>
        <v>0</v>
      </c>
      <c r="D1932" s="223"/>
      <c r="R1932" s="222"/>
    </row>
    <row r="1933" spans="1:18" x14ac:dyDescent="0.35">
      <c r="A1933" s="203">
        <f t="shared" si="60"/>
        <v>0</v>
      </c>
      <c r="C1933" s="205">
        <f t="shared" si="61"/>
        <v>0</v>
      </c>
      <c r="D1933" s="223"/>
      <c r="R1933" s="222"/>
    </row>
    <row r="1934" spans="1:18" x14ac:dyDescent="0.35">
      <c r="A1934" s="203">
        <f t="shared" si="60"/>
        <v>0</v>
      </c>
      <c r="C1934" s="205">
        <f t="shared" si="61"/>
        <v>0</v>
      </c>
      <c r="D1934" s="223"/>
      <c r="R1934" s="222"/>
    </row>
    <row r="1935" spans="1:18" x14ac:dyDescent="0.35">
      <c r="A1935" s="203">
        <f t="shared" si="60"/>
        <v>0</v>
      </c>
      <c r="C1935" s="205">
        <f t="shared" si="61"/>
        <v>0</v>
      </c>
      <c r="D1935" s="223"/>
      <c r="R1935" s="222"/>
    </row>
    <row r="1936" spans="1:18" x14ac:dyDescent="0.35">
      <c r="A1936" s="203">
        <f t="shared" si="60"/>
        <v>0</v>
      </c>
      <c r="C1936" s="205">
        <f t="shared" si="61"/>
        <v>0</v>
      </c>
      <c r="D1936" s="223"/>
      <c r="R1936" s="222"/>
    </row>
    <row r="1937" spans="1:18" x14ac:dyDescent="0.35">
      <c r="A1937" s="203">
        <f t="shared" si="60"/>
        <v>0</v>
      </c>
      <c r="C1937" s="205">
        <f t="shared" si="61"/>
        <v>0</v>
      </c>
      <c r="D1937" s="223"/>
      <c r="R1937" s="222"/>
    </row>
    <row r="1938" spans="1:18" x14ac:dyDescent="0.35">
      <c r="A1938" s="203">
        <f t="shared" si="60"/>
        <v>0</v>
      </c>
      <c r="C1938" s="205">
        <f t="shared" si="61"/>
        <v>0</v>
      </c>
      <c r="D1938" s="223"/>
      <c r="R1938" s="222"/>
    </row>
    <row r="1939" spans="1:18" x14ac:dyDescent="0.35">
      <c r="A1939" s="203">
        <f t="shared" si="60"/>
        <v>0</v>
      </c>
      <c r="C1939" s="205">
        <f t="shared" si="61"/>
        <v>0</v>
      </c>
      <c r="D1939" s="223"/>
      <c r="R1939" s="222"/>
    </row>
    <row r="1940" spans="1:18" x14ac:dyDescent="0.35">
      <c r="A1940" s="203">
        <f t="shared" si="60"/>
        <v>0</v>
      </c>
      <c r="C1940" s="205">
        <f t="shared" si="61"/>
        <v>0</v>
      </c>
      <c r="D1940" s="223"/>
      <c r="R1940" s="222"/>
    </row>
    <row r="1941" spans="1:18" x14ac:dyDescent="0.35">
      <c r="A1941" s="203">
        <f t="shared" si="60"/>
        <v>0</v>
      </c>
      <c r="C1941" s="205">
        <f t="shared" si="61"/>
        <v>0</v>
      </c>
      <c r="D1941" s="223"/>
      <c r="R1941" s="222"/>
    </row>
    <row r="1942" spans="1:18" x14ac:dyDescent="0.35">
      <c r="A1942" s="203">
        <f t="shared" si="60"/>
        <v>0</v>
      </c>
      <c r="C1942" s="205">
        <f t="shared" si="61"/>
        <v>0</v>
      </c>
      <c r="D1942" s="223"/>
      <c r="R1942" s="222"/>
    </row>
    <row r="1943" spans="1:18" x14ac:dyDescent="0.35">
      <c r="A1943" s="203">
        <f t="shared" si="60"/>
        <v>0</v>
      </c>
      <c r="C1943" s="205">
        <f t="shared" si="61"/>
        <v>0</v>
      </c>
      <c r="D1943" s="223"/>
      <c r="R1943" s="222"/>
    </row>
    <row r="1944" spans="1:18" x14ac:dyDescent="0.35">
      <c r="A1944" s="203">
        <f t="shared" si="60"/>
        <v>0</v>
      </c>
      <c r="C1944" s="205">
        <f t="shared" si="61"/>
        <v>0</v>
      </c>
      <c r="D1944" s="223"/>
      <c r="R1944" s="222"/>
    </row>
    <row r="1945" spans="1:18" x14ac:dyDescent="0.35">
      <c r="A1945" s="203">
        <f t="shared" si="60"/>
        <v>0</v>
      </c>
      <c r="C1945" s="205">
        <f t="shared" si="61"/>
        <v>0</v>
      </c>
      <c r="D1945" s="223"/>
      <c r="R1945" s="222"/>
    </row>
    <row r="1946" spans="1:18" x14ac:dyDescent="0.35">
      <c r="A1946" s="203">
        <f t="shared" si="60"/>
        <v>0</v>
      </c>
      <c r="C1946" s="205">
        <f t="shared" si="61"/>
        <v>0</v>
      </c>
      <c r="D1946" s="223"/>
      <c r="R1946" s="222"/>
    </row>
    <row r="1947" spans="1:18" x14ac:dyDescent="0.35">
      <c r="A1947" s="203">
        <f t="shared" si="60"/>
        <v>0</v>
      </c>
      <c r="C1947" s="205">
        <f t="shared" si="61"/>
        <v>0</v>
      </c>
      <c r="D1947" s="223"/>
      <c r="R1947" s="222"/>
    </row>
    <row r="1948" spans="1:18" x14ac:dyDescent="0.35">
      <c r="A1948" s="203">
        <f t="shared" si="60"/>
        <v>0</v>
      </c>
      <c r="C1948" s="205">
        <f t="shared" si="61"/>
        <v>0</v>
      </c>
      <c r="D1948" s="223"/>
      <c r="R1948" s="222"/>
    </row>
    <row r="1949" spans="1:18" x14ac:dyDescent="0.35">
      <c r="A1949" s="203">
        <f t="shared" si="60"/>
        <v>0</v>
      </c>
      <c r="C1949" s="205">
        <f t="shared" si="61"/>
        <v>0</v>
      </c>
      <c r="D1949" s="223"/>
      <c r="R1949" s="222"/>
    </row>
    <row r="1950" spans="1:18" x14ac:dyDescent="0.35">
      <c r="A1950" s="203">
        <f t="shared" si="60"/>
        <v>0</v>
      </c>
      <c r="C1950" s="205">
        <f t="shared" si="61"/>
        <v>0</v>
      </c>
      <c r="D1950" s="223"/>
      <c r="R1950" s="222"/>
    </row>
    <row r="1951" spans="1:18" x14ac:dyDescent="0.35">
      <c r="A1951" s="203">
        <f t="shared" si="60"/>
        <v>0</v>
      </c>
      <c r="C1951" s="205">
        <f t="shared" si="61"/>
        <v>0</v>
      </c>
      <c r="D1951" s="223"/>
      <c r="R1951" s="222"/>
    </row>
    <row r="1952" spans="1:18" x14ac:dyDescent="0.35">
      <c r="A1952" s="203">
        <f t="shared" si="60"/>
        <v>0</v>
      </c>
      <c r="C1952" s="205">
        <f t="shared" si="61"/>
        <v>0</v>
      </c>
      <c r="D1952" s="223"/>
      <c r="R1952" s="222"/>
    </row>
    <row r="1953" spans="1:18" x14ac:dyDescent="0.35">
      <c r="A1953" s="203">
        <f t="shared" si="60"/>
        <v>0</v>
      </c>
      <c r="C1953" s="205">
        <f t="shared" si="61"/>
        <v>0</v>
      </c>
      <c r="D1953" s="223"/>
      <c r="R1953" s="222"/>
    </row>
    <row r="1954" spans="1:18" x14ac:dyDescent="0.35">
      <c r="A1954" s="203">
        <f t="shared" si="60"/>
        <v>0</v>
      </c>
      <c r="C1954" s="205">
        <f t="shared" si="61"/>
        <v>0</v>
      </c>
      <c r="D1954" s="223"/>
      <c r="R1954" s="222"/>
    </row>
    <row r="1955" spans="1:18" x14ac:dyDescent="0.35">
      <c r="A1955" s="203">
        <f t="shared" si="60"/>
        <v>0</v>
      </c>
      <c r="C1955" s="205">
        <f t="shared" si="61"/>
        <v>0</v>
      </c>
      <c r="D1955" s="223"/>
      <c r="R1955" s="222"/>
    </row>
    <row r="1956" spans="1:18" x14ac:dyDescent="0.35">
      <c r="A1956" s="203">
        <f t="shared" si="60"/>
        <v>0</v>
      </c>
      <c r="C1956" s="205">
        <f t="shared" si="61"/>
        <v>0</v>
      </c>
      <c r="D1956" s="223"/>
      <c r="R1956" s="222"/>
    </row>
    <row r="1957" spans="1:18" x14ac:dyDescent="0.35">
      <c r="A1957" s="203">
        <f t="shared" si="60"/>
        <v>0</v>
      </c>
      <c r="C1957" s="205">
        <f t="shared" si="61"/>
        <v>0</v>
      </c>
      <c r="D1957" s="223"/>
      <c r="R1957" s="222"/>
    </row>
    <row r="1958" spans="1:18" x14ac:dyDescent="0.35">
      <c r="A1958" s="203">
        <f t="shared" si="60"/>
        <v>0</v>
      </c>
      <c r="C1958" s="205">
        <f t="shared" si="61"/>
        <v>0</v>
      </c>
      <c r="D1958" s="223"/>
      <c r="R1958" s="222"/>
    </row>
    <row r="1959" spans="1:18" x14ac:dyDescent="0.35">
      <c r="A1959" s="203">
        <f t="shared" si="60"/>
        <v>0</v>
      </c>
      <c r="C1959" s="205">
        <f t="shared" si="61"/>
        <v>0</v>
      </c>
      <c r="D1959" s="223"/>
      <c r="R1959" s="222"/>
    </row>
    <row r="1960" spans="1:18" x14ac:dyDescent="0.35">
      <c r="A1960" s="203">
        <f t="shared" si="60"/>
        <v>0</v>
      </c>
      <c r="C1960" s="205">
        <f t="shared" si="61"/>
        <v>0</v>
      </c>
      <c r="D1960" s="223"/>
      <c r="R1960" s="222"/>
    </row>
    <row r="1961" spans="1:18" x14ac:dyDescent="0.35">
      <c r="A1961" s="203">
        <f t="shared" si="60"/>
        <v>0</v>
      </c>
      <c r="C1961" s="205">
        <f t="shared" si="61"/>
        <v>0</v>
      </c>
      <c r="D1961" s="223"/>
      <c r="R1961" s="222"/>
    </row>
    <row r="1962" spans="1:18" x14ac:dyDescent="0.35">
      <c r="A1962" s="203">
        <f t="shared" si="60"/>
        <v>0</v>
      </c>
      <c r="C1962" s="205">
        <f t="shared" si="61"/>
        <v>0</v>
      </c>
      <c r="D1962" s="223"/>
      <c r="R1962" s="222"/>
    </row>
    <row r="1963" spans="1:18" x14ac:dyDescent="0.35">
      <c r="A1963" s="203">
        <f t="shared" si="60"/>
        <v>0</v>
      </c>
      <c r="C1963" s="205">
        <f t="shared" si="61"/>
        <v>0</v>
      </c>
      <c r="D1963" s="223"/>
      <c r="R1963" s="222"/>
    </row>
    <row r="1964" spans="1:18" x14ac:dyDescent="0.35">
      <c r="A1964" s="203">
        <f t="shared" si="60"/>
        <v>0</v>
      </c>
      <c r="C1964" s="205">
        <f t="shared" si="61"/>
        <v>0</v>
      </c>
      <c r="D1964" s="223"/>
      <c r="R1964" s="222"/>
    </row>
    <row r="1965" spans="1:18" x14ac:dyDescent="0.35">
      <c r="A1965" s="203">
        <f t="shared" si="60"/>
        <v>0</v>
      </c>
      <c r="C1965" s="205">
        <f t="shared" si="61"/>
        <v>0</v>
      </c>
      <c r="D1965" s="223"/>
      <c r="R1965" s="222"/>
    </row>
    <row r="1966" spans="1:18" x14ac:dyDescent="0.35">
      <c r="A1966" s="203">
        <f t="shared" si="60"/>
        <v>0</v>
      </c>
      <c r="C1966" s="205">
        <f t="shared" si="61"/>
        <v>0</v>
      </c>
      <c r="D1966" s="223"/>
      <c r="R1966" s="222"/>
    </row>
    <row r="1967" spans="1:18" x14ac:dyDescent="0.35">
      <c r="A1967" s="203">
        <f t="shared" si="60"/>
        <v>0</v>
      </c>
      <c r="C1967" s="205">
        <f t="shared" si="61"/>
        <v>0</v>
      </c>
      <c r="D1967" s="223"/>
      <c r="R1967" s="222"/>
    </row>
    <row r="1968" spans="1:18" x14ac:dyDescent="0.35">
      <c r="A1968" s="203">
        <f t="shared" si="60"/>
        <v>0</v>
      </c>
      <c r="C1968" s="205">
        <f t="shared" si="61"/>
        <v>0</v>
      </c>
      <c r="D1968" s="223"/>
      <c r="R1968" s="222"/>
    </row>
    <row r="1969" spans="1:18" x14ac:dyDescent="0.35">
      <c r="A1969" s="203">
        <f t="shared" si="60"/>
        <v>0</v>
      </c>
      <c r="C1969" s="205">
        <f t="shared" si="61"/>
        <v>0</v>
      </c>
      <c r="D1969" s="223"/>
      <c r="R1969" s="222"/>
    </row>
    <row r="1970" spans="1:18" x14ac:dyDescent="0.35">
      <c r="A1970" s="203">
        <f t="shared" si="60"/>
        <v>0</v>
      </c>
      <c r="C1970" s="205">
        <f t="shared" si="61"/>
        <v>0</v>
      </c>
      <c r="D1970" s="223"/>
      <c r="R1970" s="222"/>
    </row>
    <row r="1971" spans="1:18" x14ac:dyDescent="0.35">
      <c r="A1971" s="203">
        <f t="shared" si="60"/>
        <v>0</v>
      </c>
      <c r="C1971" s="205">
        <f t="shared" si="61"/>
        <v>0</v>
      </c>
      <c r="D1971" s="223"/>
      <c r="R1971" s="222"/>
    </row>
    <row r="1972" spans="1:18" x14ac:dyDescent="0.35">
      <c r="A1972" s="203">
        <f t="shared" si="60"/>
        <v>0</v>
      </c>
      <c r="C1972" s="205">
        <f t="shared" si="61"/>
        <v>0</v>
      </c>
      <c r="D1972" s="223"/>
      <c r="R1972" s="222"/>
    </row>
    <row r="1973" spans="1:18" x14ac:dyDescent="0.35">
      <c r="A1973" s="203">
        <f t="shared" si="60"/>
        <v>0</v>
      </c>
      <c r="C1973" s="205">
        <f t="shared" si="61"/>
        <v>0</v>
      </c>
      <c r="D1973" s="223"/>
      <c r="R1973" s="222"/>
    </row>
    <row r="1974" spans="1:18" x14ac:dyDescent="0.35">
      <c r="A1974" s="203">
        <f t="shared" si="60"/>
        <v>0</v>
      </c>
      <c r="C1974" s="205">
        <f t="shared" si="61"/>
        <v>0</v>
      </c>
      <c r="D1974" s="223"/>
      <c r="R1974" s="222"/>
    </row>
    <row r="1975" spans="1:18" x14ac:dyDescent="0.35">
      <c r="A1975" s="203">
        <f t="shared" si="60"/>
        <v>0</v>
      </c>
      <c r="C1975" s="205">
        <f t="shared" si="61"/>
        <v>0</v>
      </c>
      <c r="D1975" s="223"/>
      <c r="R1975" s="222"/>
    </row>
    <row r="1976" spans="1:18" x14ac:dyDescent="0.35">
      <c r="A1976" s="203">
        <f t="shared" si="60"/>
        <v>0</v>
      </c>
      <c r="C1976" s="205">
        <f t="shared" si="61"/>
        <v>0</v>
      </c>
      <c r="D1976" s="223"/>
      <c r="R1976" s="222"/>
    </row>
    <row r="1977" spans="1:18" x14ac:dyDescent="0.35">
      <c r="A1977" s="203">
        <f t="shared" si="60"/>
        <v>0</v>
      </c>
      <c r="C1977" s="205">
        <f t="shared" si="61"/>
        <v>0</v>
      </c>
      <c r="D1977" s="223"/>
      <c r="R1977" s="222"/>
    </row>
    <row r="1978" spans="1:18" x14ac:dyDescent="0.35">
      <c r="A1978" s="203">
        <f t="shared" si="60"/>
        <v>0</v>
      </c>
      <c r="C1978" s="205">
        <f t="shared" si="61"/>
        <v>0</v>
      </c>
      <c r="D1978" s="223"/>
      <c r="R1978" s="222"/>
    </row>
    <row r="1979" spans="1:18" x14ac:dyDescent="0.35">
      <c r="A1979" s="203">
        <f t="shared" si="60"/>
        <v>0</v>
      </c>
      <c r="C1979" s="205">
        <f t="shared" si="61"/>
        <v>0</v>
      </c>
      <c r="D1979" s="223"/>
      <c r="R1979" s="222"/>
    </row>
    <row r="1980" spans="1:18" x14ac:dyDescent="0.35">
      <c r="A1980" s="203">
        <f t="shared" si="60"/>
        <v>0</v>
      </c>
      <c r="C1980" s="205">
        <f t="shared" si="61"/>
        <v>0</v>
      </c>
      <c r="D1980" s="223"/>
      <c r="R1980" s="222"/>
    </row>
    <row r="1981" spans="1:18" x14ac:dyDescent="0.35">
      <c r="A1981" s="203">
        <f t="shared" si="60"/>
        <v>0</v>
      </c>
      <c r="C1981" s="205">
        <f t="shared" si="61"/>
        <v>0</v>
      </c>
      <c r="D1981" s="223"/>
      <c r="R1981" s="222"/>
    </row>
    <row r="1982" spans="1:18" x14ac:dyDescent="0.35">
      <c r="A1982" s="203">
        <f t="shared" si="60"/>
        <v>0</v>
      </c>
      <c r="C1982" s="205">
        <f t="shared" si="61"/>
        <v>0</v>
      </c>
      <c r="D1982" s="223"/>
      <c r="R1982" s="222"/>
    </row>
    <row r="1983" spans="1:18" x14ac:dyDescent="0.35">
      <c r="A1983" s="203">
        <f t="shared" si="60"/>
        <v>0</v>
      </c>
      <c r="C1983" s="205">
        <f t="shared" si="61"/>
        <v>0</v>
      </c>
      <c r="D1983" s="223"/>
      <c r="R1983" s="222"/>
    </row>
    <row r="1984" spans="1:18" x14ac:dyDescent="0.35">
      <c r="A1984" s="203">
        <f t="shared" si="60"/>
        <v>0</v>
      </c>
      <c r="C1984" s="205">
        <f t="shared" si="61"/>
        <v>0</v>
      </c>
      <c r="D1984" s="223"/>
      <c r="R1984" s="222"/>
    </row>
    <row r="1985" spans="1:18" x14ac:dyDescent="0.35">
      <c r="A1985" s="203">
        <f t="shared" si="60"/>
        <v>0</v>
      </c>
      <c r="C1985" s="205">
        <f t="shared" si="61"/>
        <v>0</v>
      </c>
      <c r="D1985" s="223"/>
      <c r="R1985" s="222"/>
    </row>
    <row r="1986" spans="1:18" x14ac:dyDescent="0.35">
      <c r="A1986" s="203">
        <f t="shared" si="60"/>
        <v>0</v>
      </c>
      <c r="C1986" s="205">
        <f t="shared" si="61"/>
        <v>0</v>
      </c>
      <c r="D1986" s="223"/>
      <c r="R1986" s="222"/>
    </row>
    <row r="1987" spans="1:18" x14ac:dyDescent="0.35">
      <c r="A1987" s="203">
        <f t="shared" ref="A1987:A2000" si="62">F1987</f>
        <v>0</v>
      </c>
      <c r="C1987" s="205">
        <f t="shared" ref="C1987:C2000" si="63">F1987</f>
        <v>0</v>
      </c>
      <c r="D1987" s="223"/>
      <c r="R1987" s="222"/>
    </row>
    <row r="1988" spans="1:18" x14ac:dyDescent="0.35">
      <c r="A1988" s="203">
        <f t="shared" si="62"/>
        <v>0</v>
      </c>
      <c r="C1988" s="205">
        <f t="shared" si="63"/>
        <v>0</v>
      </c>
      <c r="D1988" s="223"/>
      <c r="R1988" s="222"/>
    </row>
    <row r="1989" spans="1:18" x14ac:dyDescent="0.35">
      <c r="A1989" s="203">
        <f t="shared" si="62"/>
        <v>0</v>
      </c>
      <c r="C1989" s="205">
        <f t="shared" si="63"/>
        <v>0</v>
      </c>
      <c r="D1989" s="223"/>
      <c r="R1989" s="222"/>
    </row>
    <row r="1990" spans="1:18" x14ac:dyDescent="0.35">
      <c r="A1990" s="203">
        <f t="shared" si="62"/>
        <v>0</v>
      </c>
      <c r="C1990" s="205">
        <f t="shared" si="63"/>
        <v>0</v>
      </c>
      <c r="D1990" s="223"/>
      <c r="R1990" s="222"/>
    </row>
    <row r="1991" spans="1:18" x14ac:dyDescent="0.35">
      <c r="A1991" s="203">
        <f t="shared" si="62"/>
        <v>0</v>
      </c>
      <c r="C1991" s="205">
        <f t="shared" si="63"/>
        <v>0</v>
      </c>
      <c r="D1991" s="223"/>
      <c r="R1991" s="222"/>
    </row>
    <row r="1992" spans="1:18" x14ac:dyDescent="0.35">
      <c r="A1992" s="203">
        <f t="shared" si="62"/>
        <v>0</v>
      </c>
      <c r="C1992" s="205">
        <f t="shared" si="63"/>
        <v>0</v>
      </c>
      <c r="D1992" s="223"/>
      <c r="R1992" s="222"/>
    </row>
    <row r="1993" spans="1:18" x14ac:dyDescent="0.35">
      <c r="A1993" s="203">
        <f t="shared" si="62"/>
        <v>0</v>
      </c>
      <c r="C1993" s="205">
        <f t="shared" si="63"/>
        <v>0</v>
      </c>
      <c r="D1993" s="223"/>
      <c r="R1993" s="222"/>
    </row>
    <row r="1994" spans="1:18" x14ac:dyDescent="0.35">
      <c r="A1994" s="203">
        <f t="shared" si="62"/>
        <v>0</v>
      </c>
      <c r="C1994" s="205">
        <f t="shared" si="63"/>
        <v>0</v>
      </c>
      <c r="D1994" s="223"/>
      <c r="R1994" s="222"/>
    </row>
    <row r="1995" spans="1:18" x14ac:dyDescent="0.35">
      <c r="A1995" s="203">
        <f t="shared" si="62"/>
        <v>0</v>
      </c>
      <c r="C1995" s="205">
        <f t="shared" si="63"/>
        <v>0</v>
      </c>
      <c r="D1995" s="223"/>
      <c r="R1995" s="222"/>
    </row>
    <row r="1996" spans="1:18" x14ac:dyDescent="0.35">
      <c r="A1996" s="203">
        <f t="shared" si="62"/>
        <v>0</v>
      </c>
      <c r="C1996" s="205">
        <f t="shared" si="63"/>
        <v>0</v>
      </c>
      <c r="D1996" s="223"/>
      <c r="R1996" s="222"/>
    </row>
    <row r="1997" spans="1:18" x14ac:dyDescent="0.35">
      <c r="A1997" s="203">
        <f t="shared" si="62"/>
        <v>0</v>
      </c>
      <c r="C1997" s="205">
        <f t="shared" si="63"/>
        <v>0</v>
      </c>
      <c r="D1997" s="223"/>
      <c r="R1997" s="222"/>
    </row>
    <row r="1998" spans="1:18" x14ac:dyDescent="0.35">
      <c r="A1998" s="203">
        <f t="shared" si="62"/>
        <v>0</v>
      </c>
      <c r="C1998" s="205">
        <f t="shared" si="63"/>
        <v>0</v>
      </c>
      <c r="D1998" s="223"/>
      <c r="R1998" s="222"/>
    </row>
    <row r="1999" spans="1:18" x14ac:dyDescent="0.35">
      <c r="A1999" s="203">
        <f t="shared" si="62"/>
        <v>0</v>
      </c>
      <c r="C1999" s="205">
        <f t="shared" si="63"/>
        <v>0</v>
      </c>
      <c r="D1999" s="223"/>
      <c r="R1999" s="222"/>
    </row>
    <row r="2000" spans="1:18" x14ac:dyDescent="0.35">
      <c r="A2000" s="203">
        <f t="shared" si="62"/>
        <v>0</v>
      </c>
      <c r="C2000" s="205">
        <f t="shared" si="63"/>
        <v>0</v>
      </c>
      <c r="D2000" s="224"/>
      <c r="E2000" s="225"/>
      <c r="F2000" s="226"/>
      <c r="G2000" s="225"/>
      <c r="H2000" s="225"/>
      <c r="I2000" s="225"/>
      <c r="J2000" s="225"/>
      <c r="K2000" s="225"/>
      <c r="L2000" s="225"/>
      <c r="M2000" s="225"/>
      <c r="N2000" s="225"/>
      <c r="O2000" s="225"/>
      <c r="P2000" s="225"/>
      <c r="Q2000" s="225"/>
      <c r="R2000" s="227"/>
    </row>
  </sheetData>
  <sheetProtection formatCells="0" insertRows="0" deleteRows="0" selectLockedCells="1" sort="0" autoFilter="0"/>
  <mergeCells count="1">
    <mergeCell ref="D1:N1"/>
  </mergeCells>
  <dataValidations count="5">
    <dataValidation allowBlank="1" showInputMessage="1" showErrorMessage="1" prompt="Paste Outlook Contacts Here" sqref="D2" xr:uid="{8B674338-A14D-4405-A0D1-7493D701CB76}"/>
    <dataValidation allowBlank="1" showErrorMessage="1" prompt="Paste Outlook Contacts Here" sqref="D3:D4" xr:uid="{E0A795FA-DFE8-4327-981B-C4F316867A2F}"/>
    <dataValidation allowBlank="1" showInputMessage="1" showErrorMessage="1" promptTitle="THIS IS SAMPLE DATA!" prompt="Replace the data in this table with your project specific Contacts." sqref="D5" xr:uid="{B2F48805-D80C-4C7E-A0BB-CD3F5BAC8F4C}"/>
    <dataValidation allowBlank="1" showInputMessage="1" showErrorMessage="1" prompt="Back to dashboard" sqref="B2" xr:uid="{AD79373A-4F5F-4519-8A82-6DB2BE0EE45F}"/>
    <dataValidation allowBlank="1" showInputMessage="1" showErrorMessage="1" prompt="Help to paste your Outlook contacts" sqref="B1" xr:uid="{6BEC7098-021E-4438-90AC-1E9924461C80}"/>
  </dataValidations>
  <pageMargins left="0.7" right="0.7" top="0.75" bottom="0.75" header="0.3" footer="0.3"/>
  <pageSetup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1C8A3-F7D6-48A8-9FFE-86A609EBD6E4}">
  <sheetPr codeName="Sheet2"/>
  <dimension ref="A1:Q206"/>
  <sheetViews>
    <sheetView zoomScale="75" zoomScaleNormal="75" workbookViewId="0">
      <selection activeCell="C14" sqref="C14"/>
    </sheetView>
  </sheetViews>
  <sheetFormatPr defaultRowHeight="14.5" x14ac:dyDescent="0.35"/>
  <cols>
    <col min="1" max="1" width="4.54296875" style="1" customWidth="1"/>
    <col min="2" max="2" width="14" style="1" customWidth="1"/>
    <col min="3" max="3" width="77.1796875" style="1" bestFit="1" customWidth="1"/>
    <col min="4" max="4" width="10.7265625" style="1" customWidth="1"/>
    <col min="5" max="5" width="10.1796875" style="1" customWidth="1"/>
    <col min="6" max="6" width="13.26953125" style="1" customWidth="1"/>
    <col min="7" max="7" width="15.1796875" style="1" customWidth="1"/>
    <col min="8" max="8" width="13.26953125" style="1" customWidth="1"/>
    <col min="9" max="9" width="12.7265625" style="1" customWidth="1"/>
    <col min="10" max="10" width="12.26953125" style="1" customWidth="1"/>
    <col min="11" max="11" width="9" style="1" customWidth="1"/>
    <col min="12" max="12" width="13.26953125" style="1" customWidth="1"/>
    <col min="13" max="13" width="12.7265625" style="1" customWidth="1"/>
    <col min="14" max="14" width="13.26953125" style="1" customWidth="1"/>
    <col min="15" max="15" width="12.7265625" style="1" customWidth="1"/>
    <col min="16" max="16" width="13.26953125" style="1" customWidth="1"/>
    <col min="17" max="17" width="21.26953125" style="1" customWidth="1"/>
    <col min="18" max="22" width="8.7265625" style="1"/>
    <col min="23" max="23" width="4.54296875" style="1" customWidth="1"/>
    <col min="24" max="24" width="11.90625" style="1" customWidth="1"/>
    <col min="25" max="25" width="77.1796875" style="1" bestFit="1" customWidth="1"/>
    <col min="26" max="26" width="10.7265625" style="1" customWidth="1"/>
    <col min="27" max="27" width="10.1796875" style="1" customWidth="1"/>
    <col min="28" max="28" width="13.26953125" style="1" customWidth="1"/>
    <col min="29" max="29" width="15.1796875" style="1" customWidth="1"/>
    <col min="30" max="30" width="13.26953125" style="1" customWidth="1"/>
    <col min="31" max="31" width="12.7265625" style="1" customWidth="1"/>
    <col min="32" max="32" width="12.26953125" style="1" customWidth="1"/>
    <col min="33" max="33" width="9" style="1" customWidth="1"/>
    <col min="34" max="34" width="13.26953125" style="1" customWidth="1"/>
    <col min="35" max="35" width="12.7265625" style="1" customWidth="1"/>
    <col min="36" max="36" width="13.26953125" style="1" customWidth="1"/>
    <col min="37" max="37" width="12.7265625" style="1" customWidth="1"/>
    <col min="38" max="38" width="13.26953125" style="1" customWidth="1"/>
    <col min="39" max="39" width="21.26953125" style="1" customWidth="1"/>
    <col min="40" max="16384" width="8.7265625" style="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CSI Description</v>
      </c>
      <c r="J2" s="59"/>
      <c r="K2" s="59"/>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21593</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CSI Section</v>
      </c>
      <c r="C10" s="24" t="str">
        <f>C206</f>
        <v>CSI Description</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CSI Description</v>
      </c>
      <c r="D12" s="31"/>
      <c r="E12" s="32"/>
      <c r="F12" s="34"/>
      <c r="G12" s="33"/>
      <c r="H12" s="34"/>
      <c r="I12" s="33"/>
      <c r="J12" s="34"/>
      <c r="K12" s="34"/>
      <c r="L12" s="34"/>
      <c r="M12" s="33"/>
      <c r="N12" s="34"/>
      <c r="O12" s="35"/>
      <c r="P12" s="31"/>
      <c r="Q12" s="35"/>
    </row>
    <row r="13" spans="1:17" x14ac:dyDescent="0.35">
      <c r="A13" s="22"/>
      <c r="B13" s="37"/>
      <c r="C13" s="38" t="s">
        <v>27</v>
      </c>
      <c r="D13" s="39"/>
      <c r="E13" s="32" t="s">
        <v>28</v>
      </c>
      <c r="F13" s="40"/>
      <c r="G13" s="35">
        <f>$D13*F13</f>
        <v>0</v>
      </c>
      <c r="H13" s="40"/>
      <c r="I13" s="35">
        <f>$D13*H13</f>
        <v>0</v>
      </c>
      <c r="J13" s="41"/>
      <c r="K13" s="34">
        <f>IFERROR($D13/$J13,0)</f>
        <v>0</v>
      </c>
      <c r="L13" s="42">
        <f>$L$3</f>
        <v>0</v>
      </c>
      <c r="M13" s="35">
        <f>IFERROR(K13*L13,0)</f>
        <v>0</v>
      </c>
      <c r="N13" s="40"/>
      <c r="O13" s="35">
        <f>$D13*N13</f>
        <v>0</v>
      </c>
      <c r="P13" s="36">
        <f>F13+(H13*(1+$I$4))+IFERROR(L13/J13,0)+N13</f>
        <v>0</v>
      </c>
      <c r="Q13" s="35">
        <f>SUM(O13,M13,I13*(1+$I$4),G13)</f>
        <v>0</v>
      </c>
    </row>
    <row r="14" spans="1:17" x14ac:dyDescent="0.35">
      <c r="A14" s="22"/>
      <c r="B14" s="37"/>
      <c r="C14" s="38"/>
      <c r="D14" s="31"/>
      <c r="E14" s="32"/>
      <c r="F14" s="34"/>
      <c r="G14" s="33"/>
      <c r="H14" s="34"/>
      <c r="I14" s="33"/>
      <c r="J14" s="34"/>
      <c r="K14" s="34"/>
      <c r="L14" s="34"/>
      <c r="M14" s="33"/>
      <c r="N14" s="34"/>
      <c r="O14" s="33"/>
      <c r="P14" s="46"/>
      <c r="Q14" s="33"/>
    </row>
    <row r="15" spans="1:17" x14ac:dyDescent="0.35">
      <c r="A15" s="22"/>
      <c r="B15" s="37"/>
      <c r="C15" s="47" t="str">
        <f>C203</f>
        <v>Material Prices Current Q4 2024 from (Suppier Name)</v>
      </c>
      <c r="D15" s="39"/>
      <c r="E15" s="32"/>
      <c r="F15" s="41"/>
      <c r="G15" s="35"/>
      <c r="H15" s="41"/>
      <c r="I15" s="35"/>
      <c r="J15" s="41"/>
      <c r="K15" s="34"/>
      <c r="L15" s="34"/>
      <c r="M15" s="35"/>
      <c r="N15" s="41"/>
      <c r="O15" s="35"/>
      <c r="P15" s="31"/>
      <c r="Q15" s="35"/>
    </row>
    <row r="16" spans="1:17" x14ac:dyDescent="0.35">
      <c r="A16" s="22"/>
      <c r="B16" s="37" t="str">
        <f>IFERROR(VLOOKUP(C16, Input1!$C$206:$G$207, 3, FALSE), "")</f>
        <v/>
      </c>
      <c r="C16" s="38"/>
      <c r="D16" s="39"/>
      <c r="E16" s="32" t="str">
        <f>IFERROR(VLOOKUP(C16, Input1!$C$204:$G$2000, 2, FALSE), "")</f>
        <v/>
      </c>
      <c r="F16" s="41">
        <v>0</v>
      </c>
      <c r="G16" s="35" t="str">
        <f t="shared" ref="G16" si="0">IF(AND(ISNUMBER(D16), ISNUMBER(F16)), D16 * F16, "")</f>
        <v/>
      </c>
      <c r="H16" s="48" t="str">
        <f>IFERROR(VLOOKUP(C16, Input1!$C$204:$G$2000, 4, FALSE), "")</f>
        <v/>
      </c>
      <c r="I16" s="35" t="str">
        <f t="shared" ref="I16" si="1">IF(AND(ISNUMBER(D16), ISNUMBER(H16)), D16 * H16, "")</f>
        <v/>
      </c>
      <c r="J16" s="41" t="str">
        <f>IFERROR(VLOOKUP(C16, Input1!$C$204:$G$2000, 5, FALSE), "")</f>
        <v/>
      </c>
      <c r="K16" s="34">
        <f t="shared" ref="K16:K79" si="2">IFERROR($D16/$J16, 0)</f>
        <v>0</v>
      </c>
      <c r="L16" s="42">
        <f t="shared" ref="L16:L79" si="3">$L$5</f>
        <v>0</v>
      </c>
      <c r="M16" s="35">
        <f t="shared" ref="M16" si="4">IFERROR(K16*L16,0)</f>
        <v>0</v>
      </c>
      <c r="N16" s="41">
        <v>0</v>
      </c>
      <c r="O16" s="35">
        <f t="shared" ref="O16" si="5">$D16*N16</f>
        <v>0</v>
      </c>
      <c r="P16" s="36">
        <f t="shared" ref="P16" si="6">IF(ISNUMBER(F16),F16,0)+IF(ISNUMBER(H16),H16*(1+$I$4),0)+IF(AND(ISNUMBER(L16),ISNUMBER(J16),J16&lt;&gt;0),L16/J16,0)+IF(ISNUMBER(N16),N16)</f>
        <v>0</v>
      </c>
      <c r="Q16" s="35">
        <f t="shared" ref="Q16" si="7">SUM(IF(ISNUMBER(O16), O16, 0), IF(ISNUMBER(M16), M16, 0), IF(ISNUMBER(I16), I16 * (1 + $I$4), 0), IF(ISNUMBER(G16), G16, 0))</f>
        <v>0</v>
      </c>
    </row>
    <row r="17" spans="2:17" x14ac:dyDescent="0.35">
      <c r="B17" s="37" t="str">
        <f>IFERROR(VLOOKUP(C17, Input1!$C$206:$G$207, 3, FALSE), "")</f>
        <v/>
      </c>
      <c r="C17" s="38"/>
      <c r="D17" s="39"/>
      <c r="E17" s="32" t="str">
        <f>IFERROR(VLOOKUP(C17, Input1!$C$204:$G$2000, 2, FALSE), "")</f>
        <v/>
      </c>
      <c r="F17" s="41">
        <v>0</v>
      </c>
      <c r="G17" s="35" t="str">
        <f t="shared" ref="G17:G80" si="8">IF(AND(ISNUMBER(D17), ISNUMBER(F17)), D17 * F17, "")</f>
        <v/>
      </c>
      <c r="H17" s="48" t="str">
        <f>IFERROR(VLOOKUP(C17, Input1!$C$204:$G$2000, 4, FALSE), "")</f>
        <v/>
      </c>
      <c r="I17" s="35" t="str">
        <f t="shared" ref="I17:I80" si="9">IF(AND(ISNUMBER(D17), ISNUMBER(H17)), D17 * H17, "")</f>
        <v/>
      </c>
      <c r="J17" s="41" t="str">
        <f>IFERROR(VLOOKUP(C17, Input1!$C$204:$G$2000, 5, FALSE), "")</f>
        <v/>
      </c>
      <c r="K17" s="34">
        <f t="shared" si="2"/>
        <v>0</v>
      </c>
      <c r="L17" s="42">
        <f t="shared" si="3"/>
        <v>0</v>
      </c>
      <c r="M17" s="35">
        <f t="shared" ref="M17:M80" si="10">IFERROR(K17*L17,0)</f>
        <v>0</v>
      </c>
      <c r="N17" s="41">
        <v>0</v>
      </c>
      <c r="O17" s="35">
        <f t="shared" ref="O17:O80" si="11">$D17*N17</f>
        <v>0</v>
      </c>
      <c r="P17" s="36">
        <f t="shared" ref="P17:P80" si="12">IF(ISNUMBER(F17),F17,0)+IF(ISNUMBER(H17),H17*(1+$I$4),0)+IF(AND(ISNUMBER(L17),ISNUMBER(J17),J17&lt;&gt;0),L17/J17,0)+IF(ISNUMBER(N17),N17)</f>
        <v>0</v>
      </c>
      <c r="Q17" s="35">
        <f t="shared" ref="Q17:Q80" si="13">SUM(IF(ISNUMBER(O17), O17, 0), IF(ISNUMBER(M17), M17, 0), IF(ISNUMBER(I17), I17 * (1 + $I$4), 0), IF(ISNUMBER(G17), G17, 0))</f>
        <v>0</v>
      </c>
    </row>
    <row r="18" spans="2:17" x14ac:dyDescent="0.35">
      <c r="B18" s="37" t="str">
        <f>IFERROR(VLOOKUP(C18, Input1!$C$206:$G$207, 3, FALSE), "")</f>
        <v/>
      </c>
      <c r="C18" s="38"/>
      <c r="D18" s="39"/>
      <c r="E18" s="32" t="str">
        <f>IFERROR(VLOOKUP(C18, Input1!$C$204:$G$2000, 2, FALSE), "")</f>
        <v/>
      </c>
      <c r="F18" s="41">
        <v>0</v>
      </c>
      <c r="G18" s="35" t="str">
        <f t="shared" si="8"/>
        <v/>
      </c>
      <c r="H18" s="48" t="str">
        <f>IFERROR(VLOOKUP(C18, Input1!$C$204:$G$2000, 4, FALSE), "")</f>
        <v/>
      </c>
      <c r="I18" s="35" t="str">
        <f t="shared" si="9"/>
        <v/>
      </c>
      <c r="J18" s="41" t="str">
        <f>IFERROR(VLOOKUP(C18, Input1!$C$204:$G$2000, 5, FALSE), "")</f>
        <v/>
      </c>
      <c r="K18" s="34">
        <f t="shared" si="2"/>
        <v>0</v>
      </c>
      <c r="L18" s="42">
        <f t="shared" si="3"/>
        <v>0</v>
      </c>
      <c r="M18" s="35">
        <f t="shared" si="10"/>
        <v>0</v>
      </c>
      <c r="N18" s="41">
        <v>0</v>
      </c>
      <c r="O18" s="35">
        <f t="shared" si="11"/>
        <v>0</v>
      </c>
      <c r="P18" s="36">
        <f t="shared" si="12"/>
        <v>0</v>
      </c>
      <c r="Q18" s="35">
        <f t="shared" si="13"/>
        <v>0</v>
      </c>
    </row>
    <row r="19" spans="2:17" x14ac:dyDescent="0.35">
      <c r="B19" s="37" t="str">
        <f>IFERROR(VLOOKUP(C19, Input1!$C$206:$G$207, 3, FALSE), "")</f>
        <v/>
      </c>
      <c r="C19" s="38"/>
      <c r="D19" s="39"/>
      <c r="E19" s="32" t="str">
        <f>IFERROR(VLOOKUP(C19, Input1!$C$204:$G$2000, 2, FALSE), "")</f>
        <v/>
      </c>
      <c r="F19" s="41">
        <v>0</v>
      </c>
      <c r="G19" s="35" t="str">
        <f t="shared" si="8"/>
        <v/>
      </c>
      <c r="H19" s="48" t="str">
        <f>IFERROR(VLOOKUP(C19, Input1!$C$204:$G$2000, 4, FALSE), "")</f>
        <v/>
      </c>
      <c r="I19" s="35" t="str">
        <f t="shared" si="9"/>
        <v/>
      </c>
      <c r="J19" s="41" t="str">
        <f>IFERROR(VLOOKUP(C19, Input1!$C$204:$G$2000, 5, FALSE), "")</f>
        <v/>
      </c>
      <c r="K19" s="34">
        <f t="shared" si="2"/>
        <v>0</v>
      </c>
      <c r="L19" s="42">
        <f t="shared" si="3"/>
        <v>0</v>
      </c>
      <c r="M19" s="35">
        <f t="shared" si="10"/>
        <v>0</v>
      </c>
      <c r="N19" s="41">
        <v>0</v>
      </c>
      <c r="O19" s="35">
        <f t="shared" si="11"/>
        <v>0</v>
      </c>
      <c r="P19" s="36">
        <f t="shared" si="12"/>
        <v>0</v>
      </c>
      <c r="Q19" s="35">
        <f t="shared" si="13"/>
        <v>0</v>
      </c>
    </row>
    <row r="20" spans="2:17" x14ac:dyDescent="0.35">
      <c r="B20" s="37" t="str">
        <f>IFERROR(VLOOKUP(C20, Input1!$C$206:$G$207, 3, FALSE), "")</f>
        <v/>
      </c>
      <c r="C20" s="38"/>
      <c r="D20" s="39"/>
      <c r="E20" s="32" t="str">
        <f>IFERROR(VLOOKUP(C20, Input1!$C$204:$G$2000, 2, FALSE), "")</f>
        <v/>
      </c>
      <c r="F20" s="41">
        <v>0</v>
      </c>
      <c r="G20" s="35" t="str">
        <f t="shared" si="8"/>
        <v/>
      </c>
      <c r="H20" s="48" t="str">
        <f>IFERROR(VLOOKUP(C20, Input1!$C$204:$G$2000, 4, FALSE), "")</f>
        <v/>
      </c>
      <c r="I20" s="35" t="str">
        <f t="shared" si="9"/>
        <v/>
      </c>
      <c r="J20" s="41" t="str">
        <f>IFERROR(VLOOKUP(C20, Input1!$C$204:$G$2000, 5, FALSE), "")</f>
        <v/>
      </c>
      <c r="K20" s="34">
        <f t="shared" si="2"/>
        <v>0</v>
      </c>
      <c r="L20" s="42">
        <f t="shared" si="3"/>
        <v>0</v>
      </c>
      <c r="M20" s="35">
        <f t="shared" si="10"/>
        <v>0</v>
      </c>
      <c r="N20" s="41">
        <v>0</v>
      </c>
      <c r="O20" s="35">
        <f t="shared" si="11"/>
        <v>0</v>
      </c>
      <c r="P20" s="36">
        <f t="shared" si="12"/>
        <v>0</v>
      </c>
      <c r="Q20" s="35">
        <f t="shared" si="13"/>
        <v>0</v>
      </c>
    </row>
    <row r="21" spans="2:17" x14ac:dyDescent="0.35">
      <c r="B21" s="37" t="str">
        <f>IFERROR(VLOOKUP(C21, Input1!$C$206:$G$207, 3, FALSE), "")</f>
        <v/>
      </c>
      <c r="C21" s="38"/>
      <c r="D21" s="39"/>
      <c r="E21" s="32" t="str">
        <f>IFERROR(VLOOKUP(C21, Input1!$C$204:$G$2000, 2, FALSE), "")</f>
        <v/>
      </c>
      <c r="F21" s="41">
        <v>0</v>
      </c>
      <c r="G21" s="35" t="str">
        <f t="shared" si="8"/>
        <v/>
      </c>
      <c r="H21" s="48" t="str">
        <f>IFERROR(VLOOKUP(C21, Input1!$C$204:$G$2000, 4, FALSE), "")</f>
        <v/>
      </c>
      <c r="I21" s="35" t="str">
        <f t="shared" si="9"/>
        <v/>
      </c>
      <c r="J21" s="41" t="str">
        <f>IFERROR(VLOOKUP(C21, Input1!$C$204:$G$2000, 5, FALSE), "")</f>
        <v/>
      </c>
      <c r="K21" s="34">
        <f t="shared" si="2"/>
        <v>0</v>
      </c>
      <c r="L21" s="42">
        <f t="shared" si="3"/>
        <v>0</v>
      </c>
      <c r="M21" s="35">
        <f t="shared" si="10"/>
        <v>0</v>
      </c>
      <c r="N21" s="41">
        <v>0</v>
      </c>
      <c r="O21" s="35">
        <f t="shared" si="11"/>
        <v>0</v>
      </c>
      <c r="P21" s="36">
        <f t="shared" si="12"/>
        <v>0</v>
      </c>
      <c r="Q21" s="35">
        <f t="shared" si="13"/>
        <v>0</v>
      </c>
    </row>
    <row r="22" spans="2:17" x14ac:dyDescent="0.35">
      <c r="B22" s="37" t="str">
        <f>IFERROR(VLOOKUP(C22, Input1!$C$206:$G$207, 3, FALSE), "")</f>
        <v/>
      </c>
      <c r="C22" s="38"/>
      <c r="D22" s="39"/>
      <c r="E22" s="32" t="str">
        <f>IFERROR(VLOOKUP(C22, Input1!$C$204:$G$2000, 2, FALSE), "")</f>
        <v/>
      </c>
      <c r="F22" s="41">
        <v>0</v>
      </c>
      <c r="G22" s="35" t="str">
        <f t="shared" si="8"/>
        <v/>
      </c>
      <c r="H22" s="48" t="str">
        <f>IFERROR(VLOOKUP(C22, Input1!$C$204:$G$2000, 4, FALSE), "")</f>
        <v/>
      </c>
      <c r="I22" s="35" t="str">
        <f t="shared" si="9"/>
        <v/>
      </c>
      <c r="J22" s="41" t="str">
        <f>IFERROR(VLOOKUP(C22, Input1!$C$204:$G$2000, 5, FALSE), "")</f>
        <v/>
      </c>
      <c r="K22" s="34">
        <f t="shared" si="2"/>
        <v>0</v>
      </c>
      <c r="L22" s="42">
        <f t="shared" si="3"/>
        <v>0</v>
      </c>
      <c r="M22" s="35">
        <f t="shared" si="10"/>
        <v>0</v>
      </c>
      <c r="N22" s="41">
        <v>0</v>
      </c>
      <c r="O22" s="35">
        <f t="shared" si="11"/>
        <v>0</v>
      </c>
      <c r="P22" s="36">
        <f t="shared" si="12"/>
        <v>0</v>
      </c>
      <c r="Q22" s="35">
        <f t="shared" si="13"/>
        <v>0</v>
      </c>
    </row>
    <row r="23" spans="2:17" x14ac:dyDescent="0.35">
      <c r="B23" s="37" t="str">
        <f>IFERROR(VLOOKUP(C23, Input1!$C$206:$G$207, 3, FALSE), "")</f>
        <v/>
      </c>
      <c r="C23" s="38"/>
      <c r="D23" s="39"/>
      <c r="E23" s="32" t="str">
        <f>IFERROR(VLOOKUP(C23, Input1!$C$204:$G$2000, 2, FALSE), "")</f>
        <v/>
      </c>
      <c r="F23" s="41">
        <v>0</v>
      </c>
      <c r="G23" s="35" t="str">
        <f t="shared" si="8"/>
        <v/>
      </c>
      <c r="H23" s="48" t="str">
        <f>IFERROR(VLOOKUP(C23, Input1!$C$204:$G$2000, 4, FALSE), "")</f>
        <v/>
      </c>
      <c r="I23" s="35" t="str">
        <f t="shared" si="9"/>
        <v/>
      </c>
      <c r="J23" s="41" t="str">
        <f>IFERROR(VLOOKUP(C23, Input1!$C$204:$G$2000, 5, FALSE), "")</f>
        <v/>
      </c>
      <c r="K23" s="34">
        <f t="shared" si="2"/>
        <v>0</v>
      </c>
      <c r="L23" s="42">
        <f t="shared" si="3"/>
        <v>0</v>
      </c>
      <c r="M23" s="35">
        <f t="shared" si="10"/>
        <v>0</v>
      </c>
      <c r="N23" s="41">
        <v>0</v>
      </c>
      <c r="O23" s="35">
        <f t="shared" si="11"/>
        <v>0</v>
      </c>
      <c r="P23" s="36">
        <f t="shared" si="12"/>
        <v>0</v>
      </c>
      <c r="Q23" s="35">
        <f t="shared" si="13"/>
        <v>0</v>
      </c>
    </row>
    <row r="24" spans="2:17" x14ac:dyDescent="0.35">
      <c r="B24" s="37" t="str">
        <f>IFERROR(VLOOKUP(C24, Input1!$C$206:$G$207, 3, FALSE), "")</f>
        <v/>
      </c>
      <c r="C24" s="38"/>
      <c r="D24" s="39"/>
      <c r="E24" s="32" t="str">
        <f>IFERROR(VLOOKUP(C24, Input1!$C$204:$G$2000, 2, FALSE), "")</f>
        <v/>
      </c>
      <c r="F24" s="41">
        <v>0</v>
      </c>
      <c r="G24" s="35" t="str">
        <f t="shared" si="8"/>
        <v/>
      </c>
      <c r="H24" s="48" t="str">
        <f>IFERROR(VLOOKUP(C24, Input1!$C$204:$G$2000, 4, FALSE), "")</f>
        <v/>
      </c>
      <c r="I24" s="35" t="str">
        <f t="shared" si="9"/>
        <v/>
      </c>
      <c r="J24" s="41" t="str">
        <f>IFERROR(VLOOKUP(C24, Input1!$C$204:$G$2000, 5, FALSE), "")</f>
        <v/>
      </c>
      <c r="K24" s="34">
        <f t="shared" si="2"/>
        <v>0</v>
      </c>
      <c r="L24" s="42">
        <f t="shared" si="3"/>
        <v>0</v>
      </c>
      <c r="M24" s="35">
        <f t="shared" si="10"/>
        <v>0</v>
      </c>
      <c r="N24" s="41">
        <v>0</v>
      </c>
      <c r="O24" s="35">
        <f t="shared" si="11"/>
        <v>0</v>
      </c>
      <c r="P24" s="36">
        <f t="shared" si="12"/>
        <v>0</v>
      </c>
      <c r="Q24" s="35">
        <f t="shared" si="13"/>
        <v>0</v>
      </c>
    </row>
    <row r="25" spans="2:17" x14ac:dyDescent="0.35">
      <c r="B25" s="37" t="str">
        <f>IFERROR(VLOOKUP(C25, Input1!$C$206:$G$207, 3, FALSE), "")</f>
        <v/>
      </c>
      <c r="C25" s="38"/>
      <c r="D25" s="39"/>
      <c r="E25" s="32" t="str">
        <f>IFERROR(VLOOKUP(C25, Input1!$C$204:$G$2000, 2, FALSE), "")</f>
        <v/>
      </c>
      <c r="F25" s="41">
        <v>0</v>
      </c>
      <c r="G25" s="35" t="str">
        <f t="shared" si="8"/>
        <v/>
      </c>
      <c r="H25" s="48" t="str">
        <f>IFERROR(VLOOKUP(C25, Input1!$C$204:$G$2000, 4, FALSE), "")</f>
        <v/>
      </c>
      <c r="I25" s="35" t="str">
        <f t="shared" si="9"/>
        <v/>
      </c>
      <c r="J25" s="41" t="str">
        <f>IFERROR(VLOOKUP(C25, Input1!$C$204:$G$2000, 5, FALSE), "")</f>
        <v/>
      </c>
      <c r="K25" s="34">
        <f t="shared" si="2"/>
        <v>0</v>
      </c>
      <c r="L25" s="42">
        <f t="shared" si="3"/>
        <v>0</v>
      </c>
      <c r="M25" s="35">
        <f t="shared" si="10"/>
        <v>0</v>
      </c>
      <c r="N25" s="41">
        <v>0</v>
      </c>
      <c r="O25" s="35">
        <f t="shared" si="11"/>
        <v>0</v>
      </c>
      <c r="P25" s="36">
        <f t="shared" si="12"/>
        <v>0</v>
      </c>
      <c r="Q25" s="35">
        <f t="shared" si="13"/>
        <v>0</v>
      </c>
    </row>
    <row r="26" spans="2:17" x14ac:dyDescent="0.35">
      <c r="B26" s="37" t="str">
        <f>IFERROR(VLOOKUP(C26, Input1!$C$206:$G$207, 3, FALSE), "")</f>
        <v/>
      </c>
      <c r="C26" s="38"/>
      <c r="D26" s="39"/>
      <c r="E26" s="32" t="str">
        <f>IFERROR(VLOOKUP(C26, Input1!$C$204:$G$2000, 2, FALSE), "")</f>
        <v/>
      </c>
      <c r="F26" s="41">
        <v>0</v>
      </c>
      <c r="G26" s="35" t="str">
        <f t="shared" si="8"/>
        <v/>
      </c>
      <c r="H26" s="48" t="str">
        <f>IFERROR(VLOOKUP(C26, Input1!$C$204:$G$2000, 4, FALSE), "")</f>
        <v/>
      </c>
      <c r="I26" s="35" t="str">
        <f t="shared" si="9"/>
        <v/>
      </c>
      <c r="J26" s="41" t="str">
        <f>IFERROR(VLOOKUP(C26, Input1!$C$204:$G$2000, 5, FALSE), "")</f>
        <v/>
      </c>
      <c r="K26" s="34">
        <f t="shared" si="2"/>
        <v>0</v>
      </c>
      <c r="L26" s="42">
        <f t="shared" si="3"/>
        <v>0</v>
      </c>
      <c r="M26" s="35">
        <f t="shared" si="10"/>
        <v>0</v>
      </c>
      <c r="N26" s="41">
        <v>0</v>
      </c>
      <c r="O26" s="35">
        <f t="shared" si="11"/>
        <v>0</v>
      </c>
      <c r="P26" s="36">
        <f t="shared" si="12"/>
        <v>0</v>
      </c>
      <c r="Q26" s="35">
        <f t="shared" si="13"/>
        <v>0</v>
      </c>
    </row>
    <row r="27" spans="2:17" x14ac:dyDescent="0.35">
      <c r="B27" s="37" t="str">
        <f>IFERROR(VLOOKUP(C27, Input1!$C$206:$G$207, 3, FALSE), "")</f>
        <v/>
      </c>
      <c r="C27" s="38"/>
      <c r="D27" s="39"/>
      <c r="E27" s="32" t="str">
        <f>IFERROR(VLOOKUP(C27, Input1!$C$204:$G$2000, 2, FALSE), "")</f>
        <v/>
      </c>
      <c r="F27" s="41">
        <v>0</v>
      </c>
      <c r="G27" s="35" t="str">
        <f t="shared" si="8"/>
        <v/>
      </c>
      <c r="H27" s="48" t="str">
        <f>IFERROR(VLOOKUP(C27, Input1!$C$204:$G$2000, 4, FALSE), "")</f>
        <v/>
      </c>
      <c r="I27" s="35" t="str">
        <f t="shared" si="9"/>
        <v/>
      </c>
      <c r="J27" s="41" t="str">
        <f>IFERROR(VLOOKUP(C27, Input1!$C$204:$G$2000, 5, FALSE), "")</f>
        <v/>
      </c>
      <c r="K27" s="34">
        <f t="shared" si="2"/>
        <v>0</v>
      </c>
      <c r="L27" s="42">
        <f t="shared" si="3"/>
        <v>0</v>
      </c>
      <c r="M27" s="35">
        <f t="shared" si="10"/>
        <v>0</v>
      </c>
      <c r="N27" s="41">
        <v>0</v>
      </c>
      <c r="O27" s="35">
        <f t="shared" si="11"/>
        <v>0</v>
      </c>
      <c r="P27" s="36">
        <f t="shared" si="12"/>
        <v>0</v>
      </c>
      <c r="Q27" s="35">
        <f t="shared" si="13"/>
        <v>0</v>
      </c>
    </row>
    <row r="28" spans="2:17" x14ac:dyDescent="0.35">
      <c r="B28" s="37" t="str">
        <f>IFERROR(VLOOKUP(C28, Input1!$C$206:$G$207, 3, FALSE), "")</f>
        <v/>
      </c>
      <c r="C28" s="38"/>
      <c r="D28" s="39"/>
      <c r="E28" s="32" t="str">
        <f>IFERROR(VLOOKUP(C28, Input1!$C$204:$G$2000, 2, FALSE), "")</f>
        <v/>
      </c>
      <c r="F28" s="41">
        <v>0</v>
      </c>
      <c r="G28" s="35" t="str">
        <f t="shared" si="8"/>
        <v/>
      </c>
      <c r="H28" s="48" t="str">
        <f>IFERROR(VLOOKUP(C28, Input1!$C$204:$G$2000, 4, FALSE), "")</f>
        <v/>
      </c>
      <c r="I28" s="35" t="str">
        <f t="shared" si="9"/>
        <v/>
      </c>
      <c r="J28" s="41" t="str">
        <f>IFERROR(VLOOKUP(C28, Input1!$C$204:$G$2000, 5, FALSE), "")</f>
        <v/>
      </c>
      <c r="K28" s="34">
        <f t="shared" si="2"/>
        <v>0</v>
      </c>
      <c r="L28" s="42">
        <f t="shared" si="3"/>
        <v>0</v>
      </c>
      <c r="M28" s="35">
        <f t="shared" si="10"/>
        <v>0</v>
      </c>
      <c r="N28" s="41">
        <v>0</v>
      </c>
      <c r="O28" s="35">
        <f t="shared" si="11"/>
        <v>0</v>
      </c>
      <c r="P28" s="36">
        <f t="shared" si="12"/>
        <v>0</v>
      </c>
      <c r="Q28" s="35">
        <f t="shared" si="13"/>
        <v>0</v>
      </c>
    </row>
    <row r="29" spans="2:17" x14ac:dyDescent="0.35">
      <c r="B29" s="37" t="str">
        <f>IFERROR(VLOOKUP(C29, Input1!$C$206:$G$207, 3, FALSE), "")</f>
        <v/>
      </c>
      <c r="C29" s="38"/>
      <c r="D29" s="39"/>
      <c r="E29" s="32" t="str">
        <f>IFERROR(VLOOKUP(C29, Input1!$C$204:$G$2000, 2, FALSE), "")</f>
        <v/>
      </c>
      <c r="F29" s="41">
        <v>0</v>
      </c>
      <c r="G29" s="35" t="str">
        <f t="shared" si="8"/>
        <v/>
      </c>
      <c r="H29" s="48" t="str">
        <f>IFERROR(VLOOKUP(C29, Input1!$C$204:$G$2000, 4, FALSE), "")</f>
        <v/>
      </c>
      <c r="I29" s="35" t="str">
        <f t="shared" si="9"/>
        <v/>
      </c>
      <c r="J29" s="41" t="str">
        <f>IFERROR(VLOOKUP(C29, Input1!$C$204:$G$2000, 5, FALSE), "")</f>
        <v/>
      </c>
      <c r="K29" s="34">
        <f t="shared" si="2"/>
        <v>0</v>
      </c>
      <c r="L29" s="42">
        <f t="shared" si="3"/>
        <v>0</v>
      </c>
      <c r="M29" s="35">
        <f t="shared" si="10"/>
        <v>0</v>
      </c>
      <c r="N29" s="41">
        <v>0</v>
      </c>
      <c r="O29" s="35">
        <f t="shared" si="11"/>
        <v>0</v>
      </c>
      <c r="P29" s="36">
        <f t="shared" si="12"/>
        <v>0</v>
      </c>
      <c r="Q29" s="35">
        <f t="shared" si="13"/>
        <v>0</v>
      </c>
    </row>
    <row r="30" spans="2:17" x14ac:dyDescent="0.35">
      <c r="B30" s="37" t="str">
        <f>IFERROR(VLOOKUP(C30, Input1!$C$206:$G$207, 3, FALSE), "")</f>
        <v/>
      </c>
      <c r="C30" s="38"/>
      <c r="D30" s="39"/>
      <c r="E30" s="32" t="str">
        <f>IFERROR(VLOOKUP(C30, Input1!$C$204:$G$2000, 2, FALSE), "")</f>
        <v/>
      </c>
      <c r="F30" s="41">
        <v>0</v>
      </c>
      <c r="G30" s="35" t="str">
        <f t="shared" si="8"/>
        <v/>
      </c>
      <c r="H30" s="48" t="str">
        <f>IFERROR(VLOOKUP(C30, Input1!$C$204:$G$2000, 4, FALSE), "")</f>
        <v/>
      </c>
      <c r="I30" s="35" t="str">
        <f t="shared" si="9"/>
        <v/>
      </c>
      <c r="J30" s="41" t="str">
        <f>IFERROR(VLOOKUP(C30, Input1!$C$204:$G$2000, 5, FALSE), "")</f>
        <v/>
      </c>
      <c r="K30" s="34">
        <f t="shared" si="2"/>
        <v>0</v>
      </c>
      <c r="L30" s="42">
        <f t="shared" si="3"/>
        <v>0</v>
      </c>
      <c r="M30" s="35">
        <f t="shared" si="10"/>
        <v>0</v>
      </c>
      <c r="N30" s="41">
        <v>0</v>
      </c>
      <c r="O30" s="35">
        <f t="shared" si="11"/>
        <v>0</v>
      </c>
      <c r="P30" s="36">
        <f t="shared" si="12"/>
        <v>0</v>
      </c>
      <c r="Q30" s="35">
        <f t="shared" si="13"/>
        <v>0</v>
      </c>
    </row>
    <row r="31" spans="2:17" x14ac:dyDescent="0.35">
      <c r="B31" s="37" t="str">
        <f>IFERROR(VLOOKUP(C31, Input1!$C$206:$G$207, 3, FALSE), "")</f>
        <v/>
      </c>
      <c r="C31" s="38"/>
      <c r="D31" s="39"/>
      <c r="E31" s="32" t="str">
        <f>IFERROR(VLOOKUP(C31, Input1!$C$204:$G$2000, 2, FALSE), "")</f>
        <v/>
      </c>
      <c r="F31" s="41">
        <v>0</v>
      </c>
      <c r="G31" s="35" t="str">
        <f t="shared" si="8"/>
        <v/>
      </c>
      <c r="H31" s="48" t="str">
        <f>IFERROR(VLOOKUP(C31, Input1!$C$204:$G$2000, 4, FALSE), "")</f>
        <v/>
      </c>
      <c r="I31" s="35" t="str">
        <f t="shared" si="9"/>
        <v/>
      </c>
      <c r="J31" s="41" t="str">
        <f>IFERROR(VLOOKUP(C31, Input1!$C$204:$G$2000, 5, FALSE), "")</f>
        <v/>
      </c>
      <c r="K31" s="34">
        <f t="shared" si="2"/>
        <v>0</v>
      </c>
      <c r="L31" s="42">
        <f t="shared" si="3"/>
        <v>0</v>
      </c>
      <c r="M31" s="35">
        <f t="shared" si="10"/>
        <v>0</v>
      </c>
      <c r="N31" s="41">
        <v>0</v>
      </c>
      <c r="O31" s="35">
        <f t="shared" si="11"/>
        <v>0</v>
      </c>
      <c r="P31" s="36">
        <f t="shared" si="12"/>
        <v>0</v>
      </c>
      <c r="Q31" s="35">
        <f t="shared" si="13"/>
        <v>0</v>
      </c>
    </row>
    <row r="32" spans="2:17" x14ac:dyDescent="0.35">
      <c r="B32" s="37" t="str">
        <f>IFERROR(VLOOKUP(C32, Input1!$C$206:$G$207, 3, FALSE), "")</f>
        <v/>
      </c>
      <c r="C32" s="38"/>
      <c r="D32" s="39"/>
      <c r="E32" s="32" t="str">
        <f>IFERROR(VLOOKUP(C32, Input1!$C$204:$G$2000, 2, FALSE), "")</f>
        <v/>
      </c>
      <c r="F32" s="41">
        <v>0</v>
      </c>
      <c r="G32" s="35" t="str">
        <f t="shared" si="8"/>
        <v/>
      </c>
      <c r="H32" s="48" t="str">
        <f>IFERROR(VLOOKUP(C32, Input1!$C$204:$G$2000, 4, FALSE), "")</f>
        <v/>
      </c>
      <c r="I32" s="35" t="str">
        <f t="shared" si="9"/>
        <v/>
      </c>
      <c r="J32" s="41" t="str">
        <f>IFERROR(VLOOKUP(C32, Input1!$C$204:$G$2000, 5, FALSE), "")</f>
        <v/>
      </c>
      <c r="K32" s="34">
        <f t="shared" si="2"/>
        <v>0</v>
      </c>
      <c r="L32" s="42">
        <f t="shared" si="3"/>
        <v>0</v>
      </c>
      <c r="M32" s="35">
        <f t="shared" si="10"/>
        <v>0</v>
      </c>
      <c r="N32" s="41">
        <v>0</v>
      </c>
      <c r="O32" s="35">
        <f t="shared" si="11"/>
        <v>0</v>
      </c>
      <c r="P32" s="36">
        <f t="shared" si="12"/>
        <v>0</v>
      </c>
      <c r="Q32" s="35">
        <f t="shared" si="13"/>
        <v>0</v>
      </c>
    </row>
    <row r="33" spans="2:17" x14ac:dyDescent="0.35">
      <c r="B33" s="37" t="str">
        <f>IFERROR(VLOOKUP(C33, Input1!$C$206:$G$207, 3, FALSE), "")</f>
        <v/>
      </c>
      <c r="C33" s="38"/>
      <c r="D33" s="39"/>
      <c r="E33" s="32" t="str">
        <f>IFERROR(VLOOKUP(C33, Input1!$C$204:$G$2000, 2, FALSE), "")</f>
        <v/>
      </c>
      <c r="F33" s="41">
        <v>0</v>
      </c>
      <c r="G33" s="35" t="str">
        <f t="shared" si="8"/>
        <v/>
      </c>
      <c r="H33" s="48" t="str">
        <f>IFERROR(VLOOKUP(C33, Input1!$C$204:$G$2000, 4, FALSE), "")</f>
        <v/>
      </c>
      <c r="I33" s="35" t="str">
        <f t="shared" si="9"/>
        <v/>
      </c>
      <c r="J33" s="41" t="str">
        <f>IFERROR(VLOOKUP(C33, Input1!$C$204:$G$2000, 5, FALSE), "")</f>
        <v/>
      </c>
      <c r="K33" s="34">
        <f t="shared" si="2"/>
        <v>0</v>
      </c>
      <c r="L33" s="42">
        <f t="shared" si="3"/>
        <v>0</v>
      </c>
      <c r="M33" s="35">
        <f t="shared" si="10"/>
        <v>0</v>
      </c>
      <c r="N33" s="41">
        <v>0</v>
      </c>
      <c r="O33" s="35">
        <f t="shared" si="11"/>
        <v>0</v>
      </c>
      <c r="P33" s="36">
        <f t="shared" si="12"/>
        <v>0</v>
      </c>
      <c r="Q33" s="35">
        <f t="shared" si="13"/>
        <v>0</v>
      </c>
    </row>
    <row r="34" spans="2:17" x14ac:dyDescent="0.35">
      <c r="B34" s="37" t="str">
        <f>IFERROR(VLOOKUP(C34, Input1!$C$206:$G$207, 3, FALSE), "")</f>
        <v/>
      </c>
      <c r="C34" s="38"/>
      <c r="D34" s="39"/>
      <c r="E34" s="32" t="str">
        <f>IFERROR(VLOOKUP(C34, Input1!$C$204:$G$2000, 2, FALSE), "")</f>
        <v/>
      </c>
      <c r="F34" s="41">
        <v>0</v>
      </c>
      <c r="G34" s="35" t="str">
        <f t="shared" si="8"/>
        <v/>
      </c>
      <c r="H34" s="48" t="str">
        <f>IFERROR(VLOOKUP(C34, Input1!$C$204:$G$2000, 4, FALSE), "")</f>
        <v/>
      </c>
      <c r="I34" s="35" t="str">
        <f t="shared" si="9"/>
        <v/>
      </c>
      <c r="J34" s="41" t="str">
        <f>IFERROR(VLOOKUP(C34, Input1!$C$204:$G$2000, 5, FALSE), "")</f>
        <v/>
      </c>
      <c r="K34" s="34">
        <f t="shared" si="2"/>
        <v>0</v>
      </c>
      <c r="L34" s="42">
        <f t="shared" si="3"/>
        <v>0</v>
      </c>
      <c r="M34" s="35">
        <f t="shared" si="10"/>
        <v>0</v>
      </c>
      <c r="N34" s="41">
        <v>0</v>
      </c>
      <c r="O34" s="35">
        <f t="shared" si="11"/>
        <v>0</v>
      </c>
      <c r="P34" s="36">
        <f t="shared" si="12"/>
        <v>0</v>
      </c>
      <c r="Q34" s="35">
        <f t="shared" si="13"/>
        <v>0</v>
      </c>
    </row>
    <row r="35" spans="2:17" x14ac:dyDescent="0.35">
      <c r="B35" s="37" t="str">
        <f>IFERROR(VLOOKUP(C35, Input1!$C$206:$G$207, 3, FALSE), "")</f>
        <v/>
      </c>
      <c r="C35" s="38"/>
      <c r="D35" s="39"/>
      <c r="E35" s="32" t="str">
        <f>IFERROR(VLOOKUP(C35, Input1!$C$204:$G$2000, 2, FALSE), "")</f>
        <v/>
      </c>
      <c r="F35" s="41">
        <v>0</v>
      </c>
      <c r="G35" s="35" t="str">
        <f t="shared" si="8"/>
        <v/>
      </c>
      <c r="H35" s="48" t="str">
        <f>IFERROR(VLOOKUP(C35, Input1!$C$204:$G$2000, 4, FALSE), "")</f>
        <v/>
      </c>
      <c r="I35" s="35" t="str">
        <f t="shared" si="9"/>
        <v/>
      </c>
      <c r="J35" s="41" t="str">
        <f>IFERROR(VLOOKUP(C35, Input1!$C$204:$G$2000, 5, FALSE), "")</f>
        <v/>
      </c>
      <c r="K35" s="34">
        <f t="shared" si="2"/>
        <v>0</v>
      </c>
      <c r="L35" s="42">
        <f t="shared" si="3"/>
        <v>0</v>
      </c>
      <c r="M35" s="35">
        <f t="shared" si="10"/>
        <v>0</v>
      </c>
      <c r="N35" s="41">
        <v>0</v>
      </c>
      <c r="O35" s="35">
        <f t="shared" si="11"/>
        <v>0</v>
      </c>
      <c r="P35" s="36">
        <f t="shared" si="12"/>
        <v>0</v>
      </c>
      <c r="Q35" s="35">
        <f t="shared" si="13"/>
        <v>0</v>
      </c>
    </row>
    <row r="36" spans="2:17" x14ac:dyDescent="0.35">
      <c r="B36" s="37" t="str">
        <f>IFERROR(VLOOKUP(C36, Input1!$C$206:$G$207, 3, FALSE), "")</f>
        <v/>
      </c>
      <c r="C36" s="38"/>
      <c r="D36" s="39"/>
      <c r="E36" s="32" t="str">
        <f>IFERROR(VLOOKUP(C36, Input1!$C$204:$G$2000, 2, FALSE), "")</f>
        <v/>
      </c>
      <c r="F36" s="41">
        <v>0</v>
      </c>
      <c r="G36" s="35" t="str">
        <f t="shared" si="8"/>
        <v/>
      </c>
      <c r="H36" s="48" t="str">
        <f>IFERROR(VLOOKUP(C36, Input1!$C$204:$G$2000, 4, FALSE), "")</f>
        <v/>
      </c>
      <c r="I36" s="35" t="str">
        <f t="shared" si="9"/>
        <v/>
      </c>
      <c r="J36" s="41" t="str">
        <f>IFERROR(VLOOKUP(C36, Input1!$C$204:$G$2000, 5, FALSE), "")</f>
        <v/>
      </c>
      <c r="K36" s="34">
        <f t="shared" si="2"/>
        <v>0</v>
      </c>
      <c r="L36" s="42">
        <f t="shared" si="3"/>
        <v>0</v>
      </c>
      <c r="M36" s="35">
        <f t="shared" si="10"/>
        <v>0</v>
      </c>
      <c r="N36" s="41">
        <v>0</v>
      </c>
      <c r="O36" s="35">
        <f t="shared" si="11"/>
        <v>0</v>
      </c>
      <c r="P36" s="36">
        <f t="shared" si="12"/>
        <v>0</v>
      </c>
      <c r="Q36" s="35">
        <f t="shared" si="13"/>
        <v>0</v>
      </c>
    </row>
    <row r="37" spans="2:17" x14ac:dyDescent="0.35">
      <c r="B37" s="37" t="str">
        <f>IFERROR(VLOOKUP(C37, Input1!$C$206:$G$207, 3, FALSE), "")</f>
        <v/>
      </c>
      <c r="C37" s="38"/>
      <c r="D37" s="39"/>
      <c r="E37" s="32" t="str">
        <f>IFERROR(VLOOKUP(C37, Input1!$C$204:$G$2000, 2, FALSE), "")</f>
        <v/>
      </c>
      <c r="F37" s="41">
        <v>0</v>
      </c>
      <c r="G37" s="35" t="str">
        <f t="shared" si="8"/>
        <v/>
      </c>
      <c r="H37" s="48" t="str">
        <f>IFERROR(VLOOKUP(C37, Input1!$C$204:$G$2000, 4, FALSE), "")</f>
        <v/>
      </c>
      <c r="I37" s="35" t="str">
        <f t="shared" si="9"/>
        <v/>
      </c>
      <c r="J37" s="41" t="str">
        <f>IFERROR(VLOOKUP(C37, Input1!$C$204:$G$2000, 5, FALSE), "")</f>
        <v/>
      </c>
      <c r="K37" s="34">
        <f t="shared" si="2"/>
        <v>0</v>
      </c>
      <c r="L37" s="42">
        <f t="shared" si="3"/>
        <v>0</v>
      </c>
      <c r="M37" s="35">
        <f t="shared" si="10"/>
        <v>0</v>
      </c>
      <c r="N37" s="41">
        <v>0</v>
      </c>
      <c r="O37" s="35">
        <f t="shared" si="11"/>
        <v>0</v>
      </c>
      <c r="P37" s="36">
        <f t="shared" si="12"/>
        <v>0</v>
      </c>
      <c r="Q37" s="35">
        <f t="shared" si="13"/>
        <v>0</v>
      </c>
    </row>
    <row r="38" spans="2:17" x14ac:dyDescent="0.35">
      <c r="B38" s="37" t="str">
        <f>IFERROR(VLOOKUP(C38, Input1!$C$206:$G$207, 3, FALSE), "")</f>
        <v/>
      </c>
      <c r="C38" s="38"/>
      <c r="D38" s="39"/>
      <c r="E38" s="32" t="str">
        <f>IFERROR(VLOOKUP(C38, Input1!$C$204:$G$2000, 2, FALSE), "")</f>
        <v/>
      </c>
      <c r="F38" s="41">
        <v>0</v>
      </c>
      <c r="G38" s="35" t="str">
        <f t="shared" si="8"/>
        <v/>
      </c>
      <c r="H38" s="48" t="str">
        <f>IFERROR(VLOOKUP(C38, Input1!$C$204:$G$2000, 4, FALSE), "")</f>
        <v/>
      </c>
      <c r="I38" s="35" t="str">
        <f t="shared" si="9"/>
        <v/>
      </c>
      <c r="J38" s="41" t="str">
        <f>IFERROR(VLOOKUP(C38, Input1!$C$204:$G$2000, 5, FALSE), "")</f>
        <v/>
      </c>
      <c r="K38" s="34">
        <f t="shared" si="2"/>
        <v>0</v>
      </c>
      <c r="L38" s="42">
        <f t="shared" si="3"/>
        <v>0</v>
      </c>
      <c r="M38" s="35">
        <f t="shared" si="10"/>
        <v>0</v>
      </c>
      <c r="N38" s="41">
        <v>0</v>
      </c>
      <c r="O38" s="35">
        <f t="shared" si="11"/>
        <v>0</v>
      </c>
      <c r="P38" s="36">
        <f t="shared" si="12"/>
        <v>0</v>
      </c>
      <c r="Q38" s="35">
        <f t="shared" si="13"/>
        <v>0</v>
      </c>
    </row>
    <row r="39" spans="2:17" x14ac:dyDescent="0.35">
      <c r="B39" s="37" t="str">
        <f>IFERROR(VLOOKUP(C39, Input1!$C$206:$G$207, 3, FALSE), "")</f>
        <v/>
      </c>
      <c r="C39" s="38"/>
      <c r="D39" s="39"/>
      <c r="E39" s="32" t="str">
        <f>IFERROR(VLOOKUP(C39, Input1!$C$204:$G$2000, 2, FALSE), "")</f>
        <v/>
      </c>
      <c r="F39" s="41">
        <v>0</v>
      </c>
      <c r="G39" s="35" t="str">
        <f t="shared" si="8"/>
        <v/>
      </c>
      <c r="H39" s="48" t="str">
        <f>IFERROR(VLOOKUP(C39, Input1!$C$204:$G$2000, 4, FALSE), "")</f>
        <v/>
      </c>
      <c r="I39" s="35" t="str">
        <f t="shared" si="9"/>
        <v/>
      </c>
      <c r="J39" s="41" t="str">
        <f>IFERROR(VLOOKUP(C39, Input1!$C$204:$G$2000, 5, FALSE), "")</f>
        <v/>
      </c>
      <c r="K39" s="34">
        <f t="shared" si="2"/>
        <v>0</v>
      </c>
      <c r="L39" s="42">
        <f t="shared" si="3"/>
        <v>0</v>
      </c>
      <c r="M39" s="35">
        <f t="shared" si="10"/>
        <v>0</v>
      </c>
      <c r="N39" s="41">
        <v>0</v>
      </c>
      <c r="O39" s="35">
        <f t="shared" si="11"/>
        <v>0</v>
      </c>
      <c r="P39" s="36">
        <f t="shared" si="12"/>
        <v>0</v>
      </c>
      <c r="Q39" s="35">
        <f t="shared" si="13"/>
        <v>0</v>
      </c>
    </row>
    <row r="40" spans="2:17" x14ac:dyDescent="0.35">
      <c r="B40" s="37" t="str">
        <f>IFERROR(VLOOKUP(C40, Input1!$C$206:$G$207, 3, FALSE), "")</f>
        <v/>
      </c>
      <c r="C40" s="38"/>
      <c r="D40" s="39"/>
      <c r="E40" s="32" t="str">
        <f>IFERROR(VLOOKUP(C40, Input1!$C$204:$G$2000, 2, FALSE), "")</f>
        <v/>
      </c>
      <c r="F40" s="41">
        <v>0</v>
      </c>
      <c r="G40" s="35" t="str">
        <f t="shared" si="8"/>
        <v/>
      </c>
      <c r="H40" s="48" t="str">
        <f>IFERROR(VLOOKUP(C40, Input1!$C$204:$G$2000, 4, FALSE), "")</f>
        <v/>
      </c>
      <c r="I40" s="35" t="str">
        <f t="shared" si="9"/>
        <v/>
      </c>
      <c r="J40" s="41" t="str">
        <f>IFERROR(VLOOKUP(C40, Input1!$C$204:$G$2000, 5, FALSE), "")</f>
        <v/>
      </c>
      <c r="K40" s="34">
        <f t="shared" si="2"/>
        <v>0</v>
      </c>
      <c r="L40" s="42">
        <f t="shared" si="3"/>
        <v>0</v>
      </c>
      <c r="M40" s="35">
        <f t="shared" si="10"/>
        <v>0</v>
      </c>
      <c r="N40" s="41">
        <v>0</v>
      </c>
      <c r="O40" s="35">
        <f t="shared" si="11"/>
        <v>0</v>
      </c>
      <c r="P40" s="36">
        <f t="shared" si="12"/>
        <v>0</v>
      </c>
      <c r="Q40" s="35">
        <f t="shared" si="13"/>
        <v>0</v>
      </c>
    </row>
    <row r="41" spans="2:17" x14ac:dyDescent="0.35">
      <c r="B41" s="37" t="str">
        <f>IFERROR(VLOOKUP(C41, Input1!$C$206:$G$207, 3, FALSE), "")</f>
        <v/>
      </c>
      <c r="C41" s="38"/>
      <c r="D41" s="39"/>
      <c r="E41" s="32" t="str">
        <f>IFERROR(VLOOKUP(C41, Input1!$C$204:$G$2000, 2, FALSE), "")</f>
        <v/>
      </c>
      <c r="F41" s="41">
        <v>0</v>
      </c>
      <c r="G41" s="35" t="str">
        <f t="shared" si="8"/>
        <v/>
      </c>
      <c r="H41" s="48" t="str">
        <f>IFERROR(VLOOKUP(C41, Input1!$C$204:$G$2000, 4, FALSE), "")</f>
        <v/>
      </c>
      <c r="I41" s="35" t="str">
        <f t="shared" si="9"/>
        <v/>
      </c>
      <c r="J41" s="41" t="str">
        <f>IFERROR(VLOOKUP(C41, Input1!$C$204:$G$2000, 5, FALSE), "")</f>
        <v/>
      </c>
      <c r="K41" s="34">
        <f t="shared" si="2"/>
        <v>0</v>
      </c>
      <c r="L41" s="42">
        <f t="shared" si="3"/>
        <v>0</v>
      </c>
      <c r="M41" s="35">
        <f t="shared" si="10"/>
        <v>0</v>
      </c>
      <c r="N41" s="41">
        <v>0</v>
      </c>
      <c r="O41" s="35">
        <f t="shared" si="11"/>
        <v>0</v>
      </c>
      <c r="P41" s="36">
        <f t="shared" si="12"/>
        <v>0</v>
      </c>
      <c r="Q41" s="35">
        <f t="shared" si="13"/>
        <v>0</v>
      </c>
    </row>
    <row r="42" spans="2:17" x14ac:dyDescent="0.35">
      <c r="B42" s="37" t="str">
        <f>IFERROR(VLOOKUP(C42, Input1!$C$206:$G$207, 3, FALSE), "")</f>
        <v/>
      </c>
      <c r="C42" s="38"/>
      <c r="D42" s="39"/>
      <c r="E42" s="32" t="str">
        <f>IFERROR(VLOOKUP(C42, Input1!$C$204:$G$2000, 2, FALSE), "")</f>
        <v/>
      </c>
      <c r="F42" s="41">
        <v>0</v>
      </c>
      <c r="G42" s="35" t="str">
        <f t="shared" si="8"/>
        <v/>
      </c>
      <c r="H42" s="48" t="str">
        <f>IFERROR(VLOOKUP(C42, Input1!$C$204:$G$2000, 4, FALSE), "")</f>
        <v/>
      </c>
      <c r="I42" s="35" t="str">
        <f t="shared" si="9"/>
        <v/>
      </c>
      <c r="J42" s="41" t="str">
        <f>IFERROR(VLOOKUP(C42, Input1!$C$204:$G$2000, 5, FALSE), "")</f>
        <v/>
      </c>
      <c r="K42" s="34">
        <f t="shared" si="2"/>
        <v>0</v>
      </c>
      <c r="L42" s="42">
        <f t="shared" si="3"/>
        <v>0</v>
      </c>
      <c r="M42" s="35">
        <f t="shared" si="10"/>
        <v>0</v>
      </c>
      <c r="N42" s="41">
        <v>0</v>
      </c>
      <c r="O42" s="35">
        <f t="shared" si="11"/>
        <v>0</v>
      </c>
      <c r="P42" s="36">
        <f t="shared" si="12"/>
        <v>0</v>
      </c>
      <c r="Q42" s="35">
        <f t="shared" si="13"/>
        <v>0</v>
      </c>
    </row>
    <row r="43" spans="2:17" x14ac:dyDescent="0.35">
      <c r="B43" s="37" t="str">
        <f>IFERROR(VLOOKUP(C43, Input1!$C$206:$G$207, 3, FALSE), "")</f>
        <v/>
      </c>
      <c r="C43" s="38"/>
      <c r="D43" s="39"/>
      <c r="E43" s="32" t="str">
        <f>IFERROR(VLOOKUP(C43, Input1!$C$204:$G$2000, 2, FALSE), "")</f>
        <v/>
      </c>
      <c r="F43" s="41">
        <v>0</v>
      </c>
      <c r="G43" s="35" t="str">
        <f t="shared" si="8"/>
        <v/>
      </c>
      <c r="H43" s="48" t="str">
        <f>IFERROR(VLOOKUP(C43, Input1!$C$204:$G$2000, 4, FALSE), "")</f>
        <v/>
      </c>
      <c r="I43" s="35" t="str">
        <f t="shared" si="9"/>
        <v/>
      </c>
      <c r="J43" s="41" t="str">
        <f>IFERROR(VLOOKUP(C43, Input1!$C$204:$G$2000, 5, FALSE), "")</f>
        <v/>
      </c>
      <c r="K43" s="34">
        <f t="shared" si="2"/>
        <v>0</v>
      </c>
      <c r="L43" s="42">
        <f t="shared" si="3"/>
        <v>0</v>
      </c>
      <c r="M43" s="35">
        <f t="shared" si="10"/>
        <v>0</v>
      </c>
      <c r="N43" s="41">
        <v>0</v>
      </c>
      <c r="O43" s="35">
        <f t="shared" si="11"/>
        <v>0</v>
      </c>
      <c r="P43" s="36">
        <f t="shared" si="12"/>
        <v>0</v>
      </c>
      <c r="Q43" s="35">
        <f t="shared" si="13"/>
        <v>0</v>
      </c>
    </row>
    <row r="44" spans="2:17" x14ac:dyDescent="0.35">
      <c r="B44" s="37" t="str">
        <f>IFERROR(VLOOKUP(C44, Input1!$C$206:$G$207, 3, FALSE), "")</f>
        <v/>
      </c>
      <c r="C44" s="38"/>
      <c r="D44" s="39"/>
      <c r="E44" s="32" t="str">
        <f>IFERROR(VLOOKUP(C44, Input1!$C$204:$G$2000, 2, FALSE), "")</f>
        <v/>
      </c>
      <c r="F44" s="41">
        <v>0</v>
      </c>
      <c r="G44" s="35" t="str">
        <f t="shared" si="8"/>
        <v/>
      </c>
      <c r="H44" s="48" t="str">
        <f>IFERROR(VLOOKUP(C44, Input1!$C$204:$G$2000, 4, FALSE), "")</f>
        <v/>
      </c>
      <c r="I44" s="35" t="str">
        <f t="shared" si="9"/>
        <v/>
      </c>
      <c r="J44" s="41" t="str">
        <f>IFERROR(VLOOKUP(C44, Input1!$C$204:$G$2000, 5, FALSE), "")</f>
        <v/>
      </c>
      <c r="K44" s="34">
        <f t="shared" si="2"/>
        <v>0</v>
      </c>
      <c r="L44" s="42">
        <f t="shared" si="3"/>
        <v>0</v>
      </c>
      <c r="M44" s="35">
        <f t="shared" si="10"/>
        <v>0</v>
      </c>
      <c r="N44" s="41">
        <v>0</v>
      </c>
      <c r="O44" s="35">
        <f t="shared" si="11"/>
        <v>0</v>
      </c>
      <c r="P44" s="36">
        <f t="shared" si="12"/>
        <v>0</v>
      </c>
      <c r="Q44" s="35">
        <f t="shared" si="13"/>
        <v>0</v>
      </c>
    </row>
    <row r="45" spans="2:17" x14ac:dyDescent="0.35">
      <c r="B45" s="37" t="str">
        <f>IFERROR(VLOOKUP(C45, Input1!$C$206:$G$207, 3, FALSE), "")</f>
        <v/>
      </c>
      <c r="C45" s="38"/>
      <c r="D45" s="39"/>
      <c r="E45" s="32" t="str">
        <f>IFERROR(VLOOKUP(C45, Input1!$C$204:$G$2000, 2, FALSE), "")</f>
        <v/>
      </c>
      <c r="F45" s="41">
        <v>0</v>
      </c>
      <c r="G45" s="35" t="str">
        <f t="shared" si="8"/>
        <v/>
      </c>
      <c r="H45" s="48" t="str">
        <f>IFERROR(VLOOKUP(C45, Input1!$C$204:$G$2000, 4, FALSE), "")</f>
        <v/>
      </c>
      <c r="I45" s="35" t="str">
        <f t="shared" si="9"/>
        <v/>
      </c>
      <c r="J45" s="41" t="str">
        <f>IFERROR(VLOOKUP(C45, Input1!$C$204:$G$2000, 5, FALSE), "")</f>
        <v/>
      </c>
      <c r="K45" s="34">
        <f t="shared" si="2"/>
        <v>0</v>
      </c>
      <c r="L45" s="42">
        <f t="shared" si="3"/>
        <v>0</v>
      </c>
      <c r="M45" s="35">
        <f t="shared" si="10"/>
        <v>0</v>
      </c>
      <c r="N45" s="41">
        <v>0</v>
      </c>
      <c r="O45" s="35">
        <f t="shared" si="11"/>
        <v>0</v>
      </c>
      <c r="P45" s="36">
        <f t="shared" si="12"/>
        <v>0</v>
      </c>
      <c r="Q45" s="35">
        <f t="shared" si="13"/>
        <v>0</v>
      </c>
    </row>
    <row r="46" spans="2:17" x14ac:dyDescent="0.35">
      <c r="B46" s="37" t="str">
        <f>IFERROR(VLOOKUP(C46, Input1!$C$206:$G$207, 3, FALSE), "")</f>
        <v/>
      </c>
      <c r="C46" s="38"/>
      <c r="D46" s="39"/>
      <c r="E46" s="32" t="str">
        <f>IFERROR(VLOOKUP(C46, Input1!$C$204:$G$2000, 2, FALSE), "")</f>
        <v/>
      </c>
      <c r="F46" s="41">
        <v>0</v>
      </c>
      <c r="G46" s="35" t="str">
        <f t="shared" si="8"/>
        <v/>
      </c>
      <c r="H46" s="48" t="str">
        <f>IFERROR(VLOOKUP(C46, Input1!$C$204:$G$2000, 4, FALSE), "")</f>
        <v/>
      </c>
      <c r="I46" s="35" t="str">
        <f t="shared" si="9"/>
        <v/>
      </c>
      <c r="J46" s="41" t="str">
        <f>IFERROR(VLOOKUP(C46, Input1!$C$204:$G$2000, 5, FALSE), "")</f>
        <v/>
      </c>
      <c r="K46" s="34">
        <f t="shared" si="2"/>
        <v>0</v>
      </c>
      <c r="L46" s="42">
        <f t="shared" si="3"/>
        <v>0</v>
      </c>
      <c r="M46" s="35">
        <f t="shared" si="10"/>
        <v>0</v>
      </c>
      <c r="N46" s="41">
        <v>0</v>
      </c>
      <c r="O46" s="35">
        <f t="shared" si="11"/>
        <v>0</v>
      </c>
      <c r="P46" s="36">
        <f t="shared" si="12"/>
        <v>0</v>
      </c>
      <c r="Q46" s="35">
        <f t="shared" si="13"/>
        <v>0</v>
      </c>
    </row>
    <row r="47" spans="2:17" x14ac:dyDescent="0.35">
      <c r="B47" s="37" t="str">
        <f>IFERROR(VLOOKUP(C47, Input1!$C$206:$G$207, 3, FALSE), "")</f>
        <v/>
      </c>
      <c r="C47" s="38"/>
      <c r="D47" s="39"/>
      <c r="E47" s="32" t="str">
        <f>IFERROR(VLOOKUP(C47, Input1!$C$204:$G$2000, 2, FALSE), "")</f>
        <v/>
      </c>
      <c r="F47" s="41">
        <v>0</v>
      </c>
      <c r="G47" s="35" t="str">
        <f t="shared" si="8"/>
        <v/>
      </c>
      <c r="H47" s="48" t="str">
        <f>IFERROR(VLOOKUP(C47, Input1!$C$204:$G$2000, 4, FALSE), "")</f>
        <v/>
      </c>
      <c r="I47" s="35" t="str">
        <f t="shared" si="9"/>
        <v/>
      </c>
      <c r="J47" s="41" t="str">
        <f>IFERROR(VLOOKUP(C47, Input1!$C$204:$G$2000, 5, FALSE), "")</f>
        <v/>
      </c>
      <c r="K47" s="34">
        <f t="shared" si="2"/>
        <v>0</v>
      </c>
      <c r="L47" s="42">
        <f t="shared" si="3"/>
        <v>0</v>
      </c>
      <c r="M47" s="35">
        <f t="shared" si="10"/>
        <v>0</v>
      </c>
      <c r="N47" s="41">
        <v>0</v>
      </c>
      <c r="O47" s="35">
        <f t="shared" si="11"/>
        <v>0</v>
      </c>
      <c r="P47" s="36">
        <f t="shared" si="12"/>
        <v>0</v>
      </c>
      <c r="Q47" s="35">
        <f t="shared" si="13"/>
        <v>0</v>
      </c>
    </row>
    <row r="48" spans="2:17" x14ac:dyDescent="0.35">
      <c r="B48" s="37" t="str">
        <f>IFERROR(VLOOKUP(C48, Input1!$C$206:$G$207, 3, FALSE), "")</f>
        <v/>
      </c>
      <c r="C48" s="38"/>
      <c r="D48" s="39"/>
      <c r="E48" s="32" t="str">
        <f>IFERROR(VLOOKUP(C48, Input1!$C$204:$G$2000, 2, FALSE), "")</f>
        <v/>
      </c>
      <c r="F48" s="41">
        <v>0</v>
      </c>
      <c r="G48" s="35" t="str">
        <f t="shared" si="8"/>
        <v/>
      </c>
      <c r="H48" s="48" t="str">
        <f>IFERROR(VLOOKUP(C48, Input1!$C$204:$G$2000, 4, FALSE), "")</f>
        <v/>
      </c>
      <c r="I48" s="35" t="str">
        <f t="shared" si="9"/>
        <v/>
      </c>
      <c r="J48" s="41" t="str">
        <f>IFERROR(VLOOKUP(C48, Input1!$C$204:$G$2000, 5, FALSE), "")</f>
        <v/>
      </c>
      <c r="K48" s="34">
        <f t="shared" si="2"/>
        <v>0</v>
      </c>
      <c r="L48" s="42">
        <f t="shared" si="3"/>
        <v>0</v>
      </c>
      <c r="M48" s="35">
        <f t="shared" si="10"/>
        <v>0</v>
      </c>
      <c r="N48" s="41">
        <v>0</v>
      </c>
      <c r="O48" s="35">
        <f t="shared" si="11"/>
        <v>0</v>
      </c>
      <c r="P48" s="36">
        <f t="shared" si="12"/>
        <v>0</v>
      </c>
      <c r="Q48" s="35">
        <f t="shared" si="13"/>
        <v>0</v>
      </c>
    </row>
    <row r="49" spans="2:17" x14ac:dyDescent="0.35">
      <c r="B49" s="37" t="str">
        <f>IFERROR(VLOOKUP(C49, Input1!$C$206:$G$207, 3, FALSE), "")</f>
        <v/>
      </c>
      <c r="C49" s="38"/>
      <c r="D49" s="39"/>
      <c r="E49" s="32" t="str">
        <f>IFERROR(VLOOKUP(C49, Input1!$C$204:$G$2000, 2, FALSE), "")</f>
        <v/>
      </c>
      <c r="F49" s="41">
        <v>0</v>
      </c>
      <c r="G49" s="35" t="str">
        <f t="shared" si="8"/>
        <v/>
      </c>
      <c r="H49" s="48" t="str">
        <f>IFERROR(VLOOKUP(C49, Input1!$C$204:$G$2000, 4, FALSE), "")</f>
        <v/>
      </c>
      <c r="I49" s="35" t="str">
        <f t="shared" si="9"/>
        <v/>
      </c>
      <c r="J49" s="41" t="str">
        <f>IFERROR(VLOOKUP(C49, Input1!$C$204:$G$2000, 5, FALSE), "")</f>
        <v/>
      </c>
      <c r="K49" s="34">
        <f t="shared" si="2"/>
        <v>0</v>
      </c>
      <c r="L49" s="42">
        <f t="shared" si="3"/>
        <v>0</v>
      </c>
      <c r="M49" s="35">
        <f t="shared" si="10"/>
        <v>0</v>
      </c>
      <c r="N49" s="41">
        <v>0</v>
      </c>
      <c r="O49" s="35">
        <f t="shared" si="11"/>
        <v>0</v>
      </c>
      <c r="P49" s="36">
        <f t="shared" si="12"/>
        <v>0</v>
      </c>
      <c r="Q49" s="35">
        <f t="shared" si="13"/>
        <v>0</v>
      </c>
    </row>
    <row r="50" spans="2:17" x14ac:dyDescent="0.35">
      <c r="B50" s="37" t="str">
        <f>IFERROR(VLOOKUP(C50, Input1!$C$206:$G$207, 3, FALSE), "")</f>
        <v/>
      </c>
      <c r="C50" s="38"/>
      <c r="D50" s="39"/>
      <c r="E50" s="32" t="str">
        <f>IFERROR(VLOOKUP(C50, Input1!$C$204:$G$2000, 2, FALSE), "")</f>
        <v/>
      </c>
      <c r="F50" s="41">
        <v>0</v>
      </c>
      <c r="G50" s="35" t="str">
        <f t="shared" si="8"/>
        <v/>
      </c>
      <c r="H50" s="48" t="str">
        <f>IFERROR(VLOOKUP(C50, Input1!$C$204:$G$2000, 4, FALSE), "")</f>
        <v/>
      </c>
      <c r="I50" s="35" t="str">
        <f t="shared" si="9"/>
        <v/>
      </c>
      <c r="J50" s="41" t="str">
        <f>IFERROR(VLOOKUP(C50, Input1!$C$204:$G$2000, 5, FALSE), "")</f>
        <v/>
      </c>
      <c r="K50" s="34">
        <f t="shared" si="2"/>
        <v>0</v>
      </c>
      <c r="L50" s="42">
        <f t="shared" si="3"/>
        <v>0</v>
      </c>
      <c r="M50" s="35">
        <f t="shared" si="10"/>
        <v>0</v>
      </c>
      <c r="N50" s="41">
        <v>0</v>
      </c>
      <c r="O50" s="35">
        <f t="shared" si="11"/>
        <v>0</v>
      </c>
      <c r="P50" s="36">
        <f t="shared" si="12"/>
        <v>0</v>
      </c>
      <c r="Q50" s="35">
        <f t="shared" si="13"/>
        <v>0</v>
      </c>
    </row>
    <row r="51" spans="2:17" x14ac:dyDescent="0.35">
      <c r="B51" s="37" t="str">
        <f>IFERROR(VLOOKUP(C51, Input1!$C$206:$G$207, 3, FALSE), "")</f>
        <v/>
      </c>
      <c r="C51" s="38"/>
      <c r="D51" s="39"/>
      <c r="E51" s="32" t="str">
        <f>IFERROR(VLOOKUP(C51, Input1!$C$204:$G$2000, 2, FALSE), "")</f>
        <v/>
      </c>
      <c r="F51" s="41">
        <v>0</v>
      </c>
      <c r="G51" s="35" t="str">
        <f t="shared" si="8"/>
        <v/>
      </c>
      <c r="H51" s="48" t="str">
        <f>IFERROR(VLOOKUP(C51, Input1!$C$204:$G$2000, 4, FALSE), "")</f>
        <v/>
      </c>
      <c r="I51" s="35" t="str">
        <f t="shared" si="9"/>
        <v/>
      </c>
      <c r="J51" s="41" t="str">
        <f>IFERROR(VLOOKUP(C51, Input1!$C$204:$G$2000, 5, FALSE), "")</f>
        <v/>
      </c>
      <c r="K51" s="34">
        <f t="shared" si="2"/>
        <v>0</v>
      </c>
      <c r="L51" s="42">
        <f t="shared" si="3"/>
        <v>0</v>
      </c>
      <c r="M51" s="35">
        <f t="shared" si="10"/>
        <v>0</v>
      </c>
      <c r="N51" s="41">
        <v>0</v>
      </c>
      <c r="O51" s="35">
        <f t="shared" si="11"/>
        <v>0</v>
      </c>
      <c r="P51" s="36">
        <f t="shared" si="12"/>
        <v>0</v>
      </c>
      <c r="Q51" s="35">
        <f t="shared" si="13"/>
        <v>0</v>
      </c>
    </row>
    <row r="52" spans="2:17" x14ac:dyDescent="0.35">
      <c r="B52" s="37" t="str">
        <f>IFERROR(VLOOKUP(C52, Input1!$C$206:$G$207, 3, FALSE), "")</f>
        <v/>
      </c>
      <c r="C52" s="38"/>
      <c r="D52" s="39"/>
      <c r="E52" s="32" t="str">
        <f>IFERROR(VLOOKUP(C52, Input1!$C$204:$G$2000, 2, FALSE), "")</f>
        <v/>
      </c>
      <c r="F52" s="41">
        <v>0</v>
      </c>
      <c r="G52" s="35" t="str">
        <f t="shared" si="8"/>
        <v/>
      </c>
      <c r="H52" s="48" t="str">
        <f>IFERROR(VLOOKUP(C52, Input1!$C$204:$G$2000, 4, FALSE), "")</f>
        <v/>
      </c>
      <c r="I52" s="35" t="str">
        <f t="shared" si="9"/>
        <v/>
      </c>
      <c r="J52" s="41" t="str">
        <f>IFERROR(VLOOKUP(C52, Input1!$C$204:$G$2000, 5, FALSE), "")</f>
        <v/>
      </c>
      <c r="K52" s="34">
        <f t="shared" si="2"/>
        <v>0</v>
      </c>
      <c r="L52" s="42">
        <f t="shared" si="3"/>
        <v>0</v>
      </c>
      <c r="M52" s="35">
        <f t="shared" si="10"/>
        <v>0</v>
      </c>
      <c r="N52" s="41">
        <v>0</v>
      </c>
      <c r="O52" s="35">
        <f t="shared" si="11"/>
        <v>0</v>
      </c>
      <c r="P52" s="36">
        <f t="shared" si="12"/>
        <v>0</v>
      </c>
      <c r="Q52" s="35">
        <f t="shared" si="13"/>
        <v>0</v>
      </c>
    </row>
    <row r="53" spans="2:17" x14ac:dyDescent="0.35">
      <c r="B53" s="37" t="str">
        <f>IFERROR(VLOOKUP(C53, Input1!$C$206:$G$207, 3, FALSE), "")</f>
        <v/>
      </c>
      <c r="C53" s="38"/>
      <c r="D53" s="39"/>
      <c r="E53" s="32" t="str">
        <f>IFERROR(VLOOKUP(C53, Input1!$C$204:$G$2000, 2, FALSE), "")</f>
        <v/>
      </c>
      <c r="F53" s="41">
        <v>0</v>
      </c>
      <c r="G53" s="35" t="str">
        <f t="shared" si="8"/>
        <v/>
      </c>
      <c r="H53" s="48" t="str">
        <f>IFERROR(VLOOKUP(C53, Input1!$C$204:$G$2000, 4, FALSE), "")</f>
        <v/>
      </c>
      <c r="I53" s="35" t="str">
        <f t="shared" si="9"/>
        <v/>
      </c>
      <c r="J53" s="41" t="str">
        <f>IFERROR(VLOOKUP(C53, Input1!$C$204:$G$2000, 5, FALSE), "")</f>
        <v/>
      </c>
      <c r="K53" s="34">
        <f t="shared" si="2"/>
        <v>0</v>
      </c>
      <c r="L53" s="42">
        <f t="shared" si="3"/>
        <v>0</v>
      </c>
      <c r="M53" s="35">
        <f t="shared" si="10"/>
        <v>0</v>
      </c>
      <c r="N53" s="41">
        <v>0</v>
      </c>
      <c r="O53" s="35">
        <f t="shared" si="11"/>
        <v>0</v>
      </c>
      <c r="P53" s="36">
        <f t="shared" si="12"/>
        <v>0</v>
      </c>
      <c r="Q53" s="35">
        <f t="shared" si="13"/>
        <v>0</v>
      </c>
    </row>
    <row r="54" spans="2:17" x14ac:dyDescent="0.35">
      <c r="B54" s="37" t="str">
        <f>IFERROR(VLOOKUP(C54, Input1!$C$206:$G$207, 3, FALSE), "")</f>
        <v/>
      </c>
      <c r="C54" s="38"/>
      <c r="D54" s="39"/>
      <c r="E54" s="32" t="str">
        <f>IFERROR(VLOOKUP(C54, Input1!$C$204:$G$2000, 2, FALSE), "")</f>
        <v/>
      </c>
      <c r="F54" s="41">
        <v>0</v>
      </c>
      <c r="G54" s="35" t="str">
        <f t="shared" si="8"/>
        <v/>
      </c>
      <c r="H54" s="48" t="str">
        <f>IFERROR(VLOOKUP(C54, Input1!$C$204:$G$2000, 4, FALSE), "")</f>
        <v/>
      </c>
      <c r="I54" s="35" t="str">
        <f t="shared" si="9"/>
        <v/>
      </c>
      <c r="J54" s="41" t="str">
        <f>IFERROR(VLOOKUP(C54, Input1!$C$204:$G$2000, 5, FALSE), "")</f>
        <v/>
      </c>
      <c r="K54" s="34">
        <f t="shared" si="2"/>
        <v>0</v>
      </c>
      <c r="L54" s="42">
        <f t="shared" si="3"/>
        <v>0</v>
      </c>
      <c r="M54" s="35">
        <f t="shared" si="10"/>
        <v>0</v>
      </c>
      <c r="N54" s="41">
        <v>0</v>
      </c>
      <c r="O54" s="35">
        <f t="shared" si="11"/>
        <v>0</v>
      </c>
      <c r="P54" s="36">
        <f t="shared" si="12"/>
        <v>0</v>
      </c>
      <c r="Q54" s="35">
        <f t="shared" si="13"/>
        <v>0</v>
      </c>
    </row>
    <row r="55" spans="2:17" x14ac:dyDescent="0.35">
      <c r="B55" s="37" t="str">
        <f>IFERROR(VLOOKUP(C55, Input1!$C$206:$G$207, 3, FALSE), "")</f>
        <v/>
      </c>
      <c r="C55" s="38"/>
      <c r="D55" s="39"/>
      <c r="E55" s="32" t="str">
        <f>IFERROR(VLOOKUP(C55, Input1!$C$204:$G$2000, 2, FALSE), "")</f>
        <v/>
      </c>
      <c r="F55" s="41">
        <v>0</v>
      </c>
      <c r="G55" s="35" t="str">
        <f t="shared" si="8"/>
        <v/>
      </c>
      <c r="H55" s="48" t="str">
        <f>IFERROR(VLOOKUP(C55, Input1!$C$204:$G$2000, 4, FALSE), "")</f>
        <v/>
      </c>
      <c r="I55" s="35" t="str">
        <f t="shared" si="9"/>
        <v/>
      </c>
      <c r="J55" s="41" t="str">
        <f>IFERROR(VLOOKUP(C55, Input1!$C$204:$G$2000, 5, FALSE), "")</f>
        <v/>
      </c>
      <c r="K55" s="34">
        <f t="shared" si="2"/>
        <v>0</v>
      </c>
      <c r="L55" s="42">
        <f t="shared" si="3"/>
        <v>0</v>
      </c>
      <c r="M55" s="35">
        <f t="shared" si="10"/>
        <v>0</v>
      </c>
      <c r="N55" s="41">
        <v>0</v>
      </c>
      <c r="O55" s="35">
        <f t="shared" si="11"/>
        <v>0</v>
      </c>
      <c r="P55" s="36">
        <f t="shared" si="12"/>
        <v>0</v>
      </c>
      <c r="Q55" s="35">
        <f t="shared" si="13"/>
        <v>0</v>
      </c>
    </row>
    <row r="56" spans="2:17" x14ac:dyDescent="0.35">
      <c r="B56" s="37" t="str">
        <f>IFERROR(VLOOKUP(C56, Input1!$C$206:$G$207, 3, FALSE), "")</f>
        <v/>
      </c>
      <c r="C56" s="38"/>
      <c r="D56" s="39"/>
      <c r="E56" s="32" t="str">
        <f>IFERROR(VLOOKUP(C56, Input1!$C$204:$G$2000, 2, FALSE), "")</f>
        <v/>
      </c>
      <c r="F56" s="41">
        <v>0</v>
      </c>
      <c r="G56" s="35" t="str">
        <f t="shared" si="8"/>
        <v/>
      </c>
      <c r="H56" s="48" t="str">
        <f>IFERROR(VLOOKUP(C56, Input1!$C$204:$G$2000, 4, FALSE), "")</f>
        <v/>
      </c>
      <c r="I56" s="35" t="str">
        <f t="shared" si="9"/>
        <v/>
      </c>
      <c r="J56" s="41" t="str">
        <f>IFERROR(VLOOKUP(C56, Input1!$C$204:$G$2000, 5, FALSE), "")</f>
        <v/>
      </c>
      <c r="K56" s="34">
        <f t="shared" si="2"/>
        <v>0</v>
      </c>
      <c r="L56" s="42">
        <f t="shared" si="3"/>
        <v>0</v>
      </c>
      <c r="M56" s="35">
        <f t="shared" si="10"/>
        <v>0</v>
      </c>
      <c r="N56" s="41">
        <v>0</v>
      </c>
      <c r="O56" s="35">
        <f t="shared" si="11"/>
        <v>0</v>
      </c>
      <c r="P56" s="36">
        <f t="shared" si="12"/>
        <v>0</v>
      </c>
      <c r="Q56" s="35">
        <f t="shared" si="13"/>
        <v>0</v>
      </c>
    </row>
    <row r="57" spans="2:17" x14ac:dyDescent="0.35">
      <c r="B57" s="37" t="str">
        <f>IFERROR(VLOOKUP(C57, Input1!$C$206:$G$207, 3, FALSE), "")</f>
        <v/>
      </c>
      <c r="C57" s="38"/>
      <c r="D57" s="39"/>
      <c r="E57" s="32" t="str">
        <f>IFERROR(VLOOKUP(C57, Input1!$C$204:$G$2000, 2, FALSE), "")</f>
        <v/>
      </c>
      <c r="F57" s="41">
        <v>0</v>
      </c>
      <c r="G57" s="35" t="str">
        <f t="shared" si="8"/>
        <v/>
      </c>
      <c r="H57" s="48" t="str">
        <f>IFERROR(VLOOKUP(C57, Input1!$C$204:$G$2000, 4, FALSE), "")</f>
        <v/>
      </c>
      <c r="I57" s="35" t="str">
        <f t="shared" si="9"/>
        <v/>
      </c>
      <c r="J57" s="41" t="str">
        <f>IFERROR(VLOOKUP(C57, Input1!$C$204:$G$2000, 5, FALSE), "")</f>
        <v/>
      </c>
      <c r="K57" s="34">
        <f t="shared" si="2"/>
        <v>0</v>
      </c>
      <c r="L57" s="42">
        <f t="shared" si="3"/>
        <v>0</v>
      </c>
      <c r="M57" s="35">
        <f t="shared" si="10"/>
        <v>0</v>
      </c>
      <c r="N57" s="41">
        <v>0</v>
      </c>
      <c r="O57" s="35">
        <f t="shared" si="11"/>
        <v>0</v>
      </c>
      <c r="P57" s="36">
        <f t="shared" si="12"/>
        <v>0</v>
      </c>
      <c r="Q57" s="35">
        <f t="shared" si="13"/>
        <v>0</v>
      </c>
    </row>
    <row r="58" spans="2:17" x14ac:dyDescent="0.35">
      <c r="B58" s="37" t="str">
        <f>IFERROR(VLOOKUP(C58, Input1!$C$206:$G$207, 3, FALSE), "")</f>
        <v/>
      </c>
      <c r="C58" s="38"/>
      <c r="D58" s="39"/>
      <c r="E58" s="32" t="str">
        <f>IFERROR(VLOOKUP(C58, Input1!$C$204:$G$2000, 2, FALSE), "")</f>
        <v/>
      </c>
      <c r="F58" s="41">
        <v>0</v>
      </c>
      <c r="G58" s="35" t="str">
        <f t="shared" si="8"/>
        <v/>
      </c>
      <c r="H58" s="48" t="str">
        <f>IFERROR(VLOOKUP(C58, Input1!$C$204:$G$2000, 4, FALSE), "")</f>
        <v/>
      </c>
      <c r="I58" s="35" t="str">
        <f t="shared" si="9"/>
        <v/>
      </c>
      <c r="J58" s="41" t="str">
        <f>IFERROR(VLOOKUP(C58, Input1!$C$204:$G$2000, 5, FALSE), "")</f>
        <v/>
      </c>
      <c r="K58" s="34">
        <f t="shared" si="2"/>
        <v>0</v>
      </c>
      <c r="L58" s="42">
        <f t="shared" si="3"/>
        <v>0</v>
      </c>
      <c r="M58" s="35">
        <f t="shared" si="10"/>
        <v>0</v>
      </c>
      <c r="N58" s="41">
        <v>0</v>
      </c>
      <c r="O58" s="35">
        <f t="shared" si="11"/>
        <v>0</v>
      </c>
      <c r="P58" s="36">
        <f t="shared" si="12"/>
        <v>0</v>
      </c>
      <c r="Q58" s="35">
        <f t="shared" si="13"/>
        <v>0</v>
      </c>
    </row>
    <row r="59" spans="2:17" x14ac:dyDescent="0.35">
      <c r="B59" s="37" t="str">
        <f>IFERROR(VLOOKUP(C59, Input1!$C$206:$G$207, 3, FALSE), "")</f>
        <v/>
      </c>
      <c r="C59" s="38"/>
      <c r="D59" s="39"/>
      <c r="E59" s="32" t="str">
        <f>IFERROR(VLOOKUP(C59, Input1!$C$204:$G$2000, 2, FALSE), "")</f>
        <v/>
      </c>
      <c r="F59" s="41">
        <v>0</v>
      </c>
      <c r="G59" s="35" t="str">
        <f t="shared" si="8"/>
        <v/>
      </c>
      <c r="H59" s="48" t="str">
        <f>IFERROR(VLOOKUP(C59, Input1!$C$204:$G$2000, 4, FALSE), "")</f>
        <v/>
      </c>
      <c r="I59" s="35" t="str">
        <f t="shared" si="9"/>
        <v/>
      </c>
      <c r="J59" s="41" t="str">
        <f>IFERROR(VLOOKUP(C59, Input1!$C$204:$G$2000, 5, FALSE), "")</f>
        <v/>
      </c>
      <c r="K59" s="34">
        <f t="shared" si="2"/>
        <v>0</v>
      </c>
      <c r="L59" s="42">
        <f t="shared" si="3"/>
        <v>0</v>
      </c>
      <c r="M59" s="35">
        <f t="shared" si="10"/>
        <v>0</v>
      </c>
      <c r="N59" s="41">
        <v>0</v>
      </c>
      <c r="O59" s="35">
        <f t="shared" si="11"/>
        <v>0</v>
      </c>
      <c r="P59" s="36">
        <f t="shared" si="12"/>
        <v>0</v>
      </c>
      <c r="Q59" s="35">
        <f t="shared" si="13"/>
        <v>0</v>
      </c>
    </row>
    <row r="60" spans="2:17" x14ac:dyDescent="0.35">
      <c r="B60" s="37" t="str">
        <f>IFERROR(VLOOKUP(C60, Input1!$C$206:$G$207, 3, FALSE), "")</f>
        <v/>
      </c>
      <c r="C60" s="38"/>
      <c r="D60" s="39"/>
      <c r="E60" s="32" t="str">
        <f>IFERROR(VLOOKUP(C60, Input1!$C$204:$G$2000, 2, FALSE), "")</f>
        <v/>
      </c>
      <c r="F60" s="41">
        <v>0</v>
      </c>
      <c r="G60" s="35" t="str">
        <f t="shared" si="8"/>
        <v/>
      </c>
      <c r="H60" s="48" t="str">
        <f>IFERROR(VLOOKUP(C60, Input1!$C$204:$G$2000, 4, FALSE), "")</f>
        <v/>
      </c>
      <c r="I60" s="35" t="str">
        <f t="shared" si="9"/>
        <v/>
      </c>
      <c r="J60" s="41" t="str">
        <f>IFERROR(VLOOKUP(C60, Input1!$C$204:$G$2000, 5, FALSE), "")</f>
        <v/>
      </c>
      <c r="K60" s="34">
        <f t="shared" si="2"/>
        <v>0</v>
      </c>
      <c r="L60" s="42">
        <f t="shared" si="3"/>
        <v>0</v>
      </c>
      <c r="M60" s="35">
        <f t="shared" si="10"/>
        <v>0</v>
      </c>
      <c r="N60" s="41">
        <v>0</v>
      </c>
      <c r="O60" s="35">
        <f t="shared" si="11"/>
        <v>0</v>
      </c>
      <c r="P60" s="36">
        <f t="shared" si="12"/>
        <v>0</v>
      </c>
      <c r="Q60" s="35">
        <f t="shared" si="13"/>
        <v>0</v>
      </c>
    </row>
    <row r="61" spans="2:17" x14ac:dyDescent="0.35">
      <c r="B61" s="37" t="str">
        <f>IFERROR(VLOOKUP(C61, Input1!$C$206:$G$207, 3, FALSE), "")</f>
        <v/>
      </c>
      <c r="C61" s="38"/>
      <c r="D61" s="39"/>
      <c r="E61" s="32" t="str">
        <f>IFERROR(VLOOKUP(C61, Input1!$C$204:$G$2000, 2, FALSE), "")</f>
        <v/>
      </c>
      <c r="F61" s="41">
        <v>0</v>
      </c>
      <c r="G61" s="35" t="str">
        <f t="shared" si="8"/>
        <v/>
      </c>
      <c r="H61" s="48" t="str">
        <f>IFERROR(VLOOKUP(C61, Input1!$C$204:$G$2000, 4, FALSE), "")</f>
        <v/>
      </c>
      <c r="I61" s="35" t="str">
        <f t="shared" si="9"/>
        <v/>
      </c>
      <c r="J61" s="41" t="str">
        <f>IFERROR(VLOOKUP(C61, Input1!$C$204:$G$2000, 5, FALSE), "")</f>
        <v/>
      </c>
      <c r="K61" s="34">
        <f t="shared" si="2"/>
        <v>0</v>
      </c>
      <c r="L61" s="42">
        <f t="shared" si="3"/>
        <v>0</v>
      </c>
      <c r="M61" s="35">
        <f t="shared" si="10"/>
        <v>0</v>
      </c>
      <c r="N61" s="41">
        <v>0</v>
      </c>
      <c r="O61" s="35">
        <f t="shared" si="11"/>
        <v>0</v>
      </c>
      <c r="P61" s="36">
        <f t="shared" si="12"/>
        <v>0</v>
      </c>
      <c r="Q61" s="35">
        <f t="shared" si="13"/>
        <v>0</v>
      </c>
    </row>
    <row r="62" spans="2:17" x14ac:dyDescent="0.35">
      <c r="B62" s="37" t="str">
        <f>IFERROR(VLOOKUP(C62, Input1!$C$206:$G$207, 3, FALSE), "")</f>
        <v/>
      </c>
      <c r="C62" s="38"/>
      <c r="D62" s="39"/>
      <c r="E62" s="32" t="str">
        <f>IFERROR(VLOOKUP(C62, Input1!$C$204:$G$2000, 2, FALSE), "")</f>
        <v/>
      </c>
      <c r="F62" s="41">
        <v>0</v>
      </c>
      <c r="G62" s="35" t="str">
        <f t="shared" si="8"/>
        <v/>
      </c>
      <c r="H62" s="48" t="str">
        <f>IFERROR(VLOOKUP(C62, Input1!$C$204:$G$2000, 4, FALSE), "")</f>
        <v/>
      </c>
      <c r="I62" s="35" t="str">
        <f t="shared" si="9"/>
        <v/>
      </c>
      <c r="J62" s="41" t="str">
        <f>IFERROR(VLOOKUP(C62, Input1!$C$204:$G$2000, 5, FALSE), "")</f>
        <v/>
      </c>
      <c r="K62" s="34">
        <f t="shared" si="2"/>
        <v>0</v>
      </c>
      <c r="L62" s="42">
        <f t="shared" si="3"/>
        <v>0</v>
      </c>
      <c r="M62" s="35">
        <f t="shared" si="10"/>
        <v>0</v>
      </c>
      <c r="N62" s="41">
        <v>0</v>
      </c>
      <c r="O62" s="35">
        <f t="shared" si="11"/>
        <v>0</v>
      </c>
      <c r="P62" s="36">
        <f t="shared" si="12"/>
        <v>0</v>
      </c>
      <c r="Q62" s="35">
        <f t="shared" si="13"/>
        <v>0</v>
      </c>
    </row>
    <row r="63" spans="2:17" x14ac:dyDescent="0.35">
      <c r="B63" s="37" t="str">
        <f>IFERROR(VLOOKUP(C63, Input1!$C$206:$G$207, 3, FALSE), "")</f>
        <v/>
      </c>
      <c r="C63" s="38"/>
      <c r="D63" s="39"/>
      <c r="E63" s="32" t="str">
        <f>IFERROR(VLOOKUP(C63, Input1!$C$204:$G$2000, 2, FALSE), "")</f>
        <v/>
      </c>
      <c r="F63" s="41">
        <v>0</v>
      </c>
      <c r="G63" s="35" t="str">
        <f t="shared" si="8"/>
        <v/>
      </c>
      <c r="H63" s="48" t="str">
        <f>IFERROR(VLOOKUP(C63, Input1!$C$204:$G$2000, 4, FALSE), "")</f>
        <v/>
      </c>
      <c r="I63" s="35" t="str">
        <f t="shared" si="9"/>
        <v/>
      </c>
      <c r="J63" s="41" t="str">
        <f>IFERROR(VLOOKUP(C63, Input1!$C$204:$G$2000, 5, FALSE), "")</f>
        <v/>
      </c>
      <c r="K63" s="34">
        <f t="shared" si="2"/>
        <v>0</v>
      </c>
      <c r="L63" s="42">
        <f t="shared" si="3"/>
        <v>0</v>
      </c>
      <c r="M63" s="35">
        <f t="shared" si="10"/>
        <v>0</v>
      </c>
      <c r="N63" s="41">
        <v>0</v>
      </c>
      <c r="O63" s="35">
        <f t="shared" si="11"/>
        <v>0</v>
      </c>
      <c r="P63" s="36">
        <f t="shared" si="12"/>
        <v>0</v>
      </c>
      <c r="Q63" s="35">
        <f t="shared" si="13"/>
        <v>0</v>
      </c>
    </row>
    <row r="64" spans="2:17" x14ac:dyDescent="0.35">
      <c r="B64" s="37" t="str">
        <f>IFERROR(VLOOKUP(C64, Input1!$C$206:$G$207, 3, FALSE), "")</f>
        <v/>
      </c>
      <c r="C64" s="38"/>
      <c r="D64" s="39"/>
      <c r="E64" s="32" t="str">
        <f>IFERROR(VLOOKUP(C64, Input1!$C$204:$G$2000, 2, FALSE), "")</f>
        <v/>
      </c>
      <c r="F64" s="41">
        <v>0</v>
      </c>
      <c r="G64" s="35" t="str">
        <f t="shared" si="8"/>
        <v/>
      </c>
      <c r="H64" s="48" t="str">
        <f>IFERROR(VLOOKUP(C64, Input1!$C$204:$G$2000, 4, FALSE), "")</f>
        <v/>
      </c>
      <c r="I64" s="35" t="str">
        <f t="shared" si="9"/>
        <v/>
      </c>
      <c r="J64" s="41" t="str">
        <f>IFERROR(VLOOKUP(C64, Input1!$C$204:$G$2000, 5, FALSE), "")</f>
        <v/>
      </c>
      <c r="K64" s="34">
        <f t="shared" si="2"/>
        <v>0</v>
      </c>
      <c r="L64" s="42">
        <f t="shared" si="3"/>
        <v>0</v>
      </c>
      <c r="M64" s="35">
        <f t="shared" si="10"/>
        <v>0</v>
      </c>
      <c r="N64" s="41">
        <v>0</v>
      </c>
      <c r="O64" s="35">
        <f t="shared" si="11"/>
        <v>0</v>
      </c>
      <c r="P64" s="36">
        <f t="shared" si="12"/>
        <v>0</v>
      </c>
      <c r="Q64" s="35">
        <f t="shared" si="13"/>
        <v>0</v>
      </c>
    </row>
    <row r="65" spans="2:17" x14ac:dyDescent="0.35">
      <c r="B65" s="37" t="str">
        <f>IFERROR(VLOOKUP(C65, Input1!$C$206:$G$207, 3, FALSE), "")</f>
        <v/>
      </c>
      <c r="C65" s="38"/>
      <c r="D65" s="39"/>
      <c r="E65" s="32" t="str">
        <f>IFERROR(VLOOKUP(C65, Input1!$C$204:$G$2000, 2, FALSE), "")</f>
        <v/>
      </c>
      <c r="F65" s="41">
        <v>0</v>
      </c>
      <c r="G65" s="35" t="str">
        <f t="shared" si="8"/>
        <v/>
      </c>
      <c r="H65" s="48" t="str">
        <f>IFERROR(VLOOKUP(C65, Input1!$C$204:$G$2000, 4, FALSE), "")</f>
        <v/>
      </c>
      <c r="I65" s="35" t="str">
        <f t="shared" si="9"/>
        <v/>
      </c>
      <c r="J65" s="41" t="str">
        <f>IFERROR(VLOOKUP(C65, Input1!$C$204:$G$2000, 5, FALSE), "")</f>
        <v/>
      </c>
      <c r="K65" s="34">
        <f t="shared" si="2"/>
        <v>0</v>
      </c>
      <c r="L65" s="42">
        <f t="shared" si="3"/>
        <v>0</v>
      </c>
      <c r="M65" s="35">
        <f t="shared" si="10"/>
        <v>0</v>
      </c>
      <c r="N65" s="41">
        <v>0</v>
      </c>
      <c r="O65" s="35">
        <f t="shared" si="11"/>
        <v>0</v>
      </c>
      <c r="P65" s="36">
        <f t="shared" si="12"/>
        <v>0</v>
      </c>
      <c r="Q65" s="35">
        <f t="shared" si="13"/>
        <v>0</v>
      </c>
    </row>
    <row r="66" spans="2:17" x14ac:dyDescent="0.35">
      <c r="B66" s="37" t="str">
        <f>IFERROR(VLOOKUP(C66, Input1!$C$206:$G$207, 3, FALSE), "")</f>
        <v/>
      </c>
      <c r="C66" s="38"/>
      <c r="D66" s="39"/>
      <c r="E66" s="32" t="str">
        <f>IFERROR(VLOOKUP(C66, Input1!$C$204:$G$2000, 2, FALSE), "")</f>
        <v/>
      </c>
      <c r="F66" s="41">
        <v>0</v>
      </c>
      <c r="G66" s="35" t="str">
        <f t="shared" si="8"/>
        <v/>
      </c>
      <c r="H66" s="48" t="str">
        <f>IFERROR(VLOOKUP(C66, Input1!$C$204:$G$2000, 4, FALSE), "")</f>
        <v/>
      </c>
      <c r="I66" s="35" t="str">
        <f t="shared" si="9"/>
        <v/>
      </c>
      <c r="J66" s="41" t="str">
        <f>IFERROR(VLOOKUP(C66, Input1!$C$204:$G$2000, 5, FALSE), "")</f>
        <v/>
      </c>
      <c r="K66" s="34">
        <f t="shared" si="2"/>
        <v>0</v>
      </c>
      <c r="L66" s="42">
        <f t="shared" si="3"/>
        <v>0</v>
      </c>
      <c r="M66" s="35">
        <f t="shared" si="10"/>
        <v>0</v>
      </c>
      <c r="N66" s="41">
        <v>0</v>
      </c>
      <c r="O66" s="35">
        <f t="shared" si="11"/>
        <v>0</v>
      </c>
      <c r="P66" s="36">
        <f t="shared" si="12"/>
        <v>0</v>
      </c>
      <c r="Q66" s="35">
        <f t="shared" si="13"/>
        <v>0</v>
      </c>
    </row>
    <row r="67" spans="2:17" x14ac:dyDescent="0.35">
      <c r="B67" s="37" t="str">
        <f>IFERROR(VLOOKUP(C67, Input1!$C$206:$G$207, 3, FALSE), "")</f>
        <v/>
      </c>
      <c r="C67" s="38"/>
      <c r="D67" s="39"/>
      <c r="E67" s="32" t="str">
        <f>IFERROR(VLOOKUP(C67, Input1!$C$204:$G$2000, 2, FALSE), "")</f>
        <v/>
      </c>
      <c r="F67" s="41">
        <v>0</v>
      </c>
      <c r="G67" s="35" t="str">
        <f t="shared" si="8"/>
        <v/>
      </c>
      <c r="H67" s="48" t="str">
        <f>IFERROR(VLOOKUP(C67, Input1!$C$204:$G$2000, 4, FALSE), "")</f>
        <v/>
      </c>
      <c r="I67" s="35" t="str">
        <f t="shared" si="9"/>
        <v/>
      </c>
      <c r="J67" s="41" t="str">
        <f>IFERROR(VLOOKUP(C67, Input1!$C$204:$G$2000, 5, FALSE), "")</f>
        <v/>
      </c>
      <c r="K67" s="34">
        <f t="shared" si="2"/>
        <v>0</v>
      </c>
      <c r="L67" s="42">
        <f t="shared" si="3"/>
        <v>0</v>
      </c>
      <c r="M67" s="35">
        <f t="shared" si="10"/>
        <v>0</v>
      </c>
      <c r="N67" s="41">
        <v>0</v>
      </c>
      <c r="O67" s="35">
        <f t="shared" si="11"/>
        <v>0</v>
      </c>
      <c r="P67" s="36">
        <f t="shared" si="12"/>
        <v>0</v>
      </c>
      <c r="Q67" s="35">
        <f t="shared" si="13"/>
        <v>0</v>
      </c>
    </row>
    <row r="68" spans="2:17" x14ac:dyDescent="0.35">
      <c r="B68" s="37" t="str">
        <f>IFERROR(VLOOKUP(C68, Input1!$C$206:$G$207, 3, FALSE), "")</f>
        <v/>
      </c>
      <c r="C68" s="38"/>
      <c r="D68" s="39"/>
      <c r="E68" s="32" t="str">
        <f>IFERROR(VLOOKUP(C68, Input1!$C$204:$G$2000, 2, FALSE), "")</f>
        <v/>
      </c>
      <c r="F68" s="41">
        <v>0</v>
      </c>
      <c r="G68" s="35" t="str">
        <f t="shared" si="8"/>
        <v/>
      </c>
      <c r="H68" s="48" t="str">
        <f>IFERROR(VLOOKUP(C68, Input1!$C$204:$G$2000, 4, FALSE), "")</f>
        <v/>
      </c>
      <c r="I68" s="35" t="str">
        <f t="shared" si="9"/>
        <v/>
      </c>
      <c r="J68" s="41" t="str">
        <f>IFERROR(VLOOKUP(C68, Input1!$C$204:$G$2000, 5, FALSE), "")</f>
        <v/>
      </c>
      <c r="K68" s="34">
        <f t="shared" si="2"/>
        <v>0</v>
      </c>
      <c r="L68" s="42">
        <f t="shared" si="3"/>
        <v>0</v>
      </c>
      <c r="M68" s="35">
        <f t="shared" si="10"/>
        <v>0</v>
      </c>
      <c r="N68" s="41">
        <v>0</v>
      </c>
      <c r="O68" s="35">
        <f t="shared" si="11"/>
        <v>0</v>
      </c>
      <c r="P68" s="36">
        <f t="shared" si="12"/>
        <v>0</v>
      </c>
      <c r="Q68" s="35">
        <f t="shared" si="13"/>
        <v>0</v>
      </c>
    </row>
    <row r="69" spans="2:17" x14ac:dyDescent="0.35">
      <c r="B69" s="37" t="str">
        <f>IFERROR(VLOOKUP(C69, Input1!$C$206:$G$207, 3, FALSE), "")</f>
        <v/>
      </c>
      <c r="C69" s="38"/>
      <c r="D69" s="39"/>
      <c r="E69" s="32" t="str">
        <f>IFERROR(VLOOKUP(C69, Input1!$C$204:$G$2000, 2, FALSE), "")</f>
        <v/>
      </c>
      <c r="F69" s="41">
        <v>0</v>
      </c>
      <c r="G69" s="35" t="str">
        <f t="shared" si="8"/>
        <v/>
      </c>
      <c r="H69" s="48" t="str">
        <f>IFERROR(VLOOKUP(C69, Input1!$C$204:$G$2000, 4, FALSE), "")</f>
        <v/>
      </c>
      <c r="I69" s="35" t="str">
        <f t="shared" si="9"/>
        <v/>
      </c>
      <c r="J69" s="41" t="str">
        <f>IFERROR(VLOOKUP(C69, Input1!$C$204:$G$2000, 5, FALSE), "")</f>
        <v/>
      </c>
      <c r="K69" s="34">
        <f t="shared" si="2"/>
        <v>0</v>
      </c>
      <c r="L69" s="42">
        <f t="shared" si="3"/>
        <v>0</v>
      </c>
      <c r="M69" s="35">
        <f t="shared" si="10"/>
        <v>0</v>
      </c>
      <c r="N69" s="41">
        <v>0</v>
      </c>
      <c r="O69" s="35">
        <f t="shared" si="11"/>
        <v>0</v>
      </c>
      <c r="P69" s="36">
        <f t="shared" si="12"/>
        <v>0</v>
      </c>
      <c r="Q69" s="35">
        <f t="shared" si="13"/>
        <v>0</v>
      </c>
    </row>
    <row r="70" spans="2:17" x14ac:dyDescent="0.35">
      <c r="B70" s="37" t="str">
        <f>IFERROR(VLOOKUP(C70, Input1!$C$206:$G$207, 3, FALSE), "")</f>
        <v/>
      </c>
      <c r="C70" s="38"/>
      <c r="D70" s="39"/>
      <c r="E70" s="32" t="str">
        <f>IFERROR(VLOOKUP(C70, Input1!$C$204:$G$2000, 2, FALSE), "")</f>
        <v/>
      </c>
      <c r="F70" s="41">
        <v>0</v>
      </c>
      <c r="G70" s="35" t="str">
        <f t="shared" si="8"/>
        <v/>
      </c>
      <c r="H70" s="48" t="str">
        <f>IFERROR(VLOOKUP(C70, Input1!$C$204:$G$2000, 4, FALSE), "")</f>
        <v/>
      </c>
      <c r="I70" s="35" t="str">
        <f t="shared" si="9"/>
        <v/>
      </c>
      <c r="J70" s="41" t="str">
        <f>IFERROR(VLOOKUP(C70, Input1!$C$204:$G$2000, 5, FALSE), "")</f>
        <v/>
      </c>
      <c r="K70" s="34">
        <f t="shared" si="2"/>
        <v>0</v>
      </c>
      <c r="L70" s="42">
        <f t="shared" si="3"/>
        <v>0</v>
      </c>
      <c r="M70" s="35">
        <f t="shared" si="10"/>
        <v>0</v>
      </c>
      <c r="N70" s="41">
        <v>0</v>
      </c>
      <c r="O70" s="35">
        <f t="shared" si="11"/>
        <v>0</v>
      </c>
      <c r="P70" s="36">
        <f t="shared" si="12"/>
        <v>0</v>
      </c>
      <c r="Q70" s="35">
        <f t="shared" si="13"/>
        <v>0</v>
      </c>
    </row>
    <row r="71" spans="2:17" x14ac:dyDescent="0.35">
      <c r="B71" s="37" t="str">
        <f>IFERROR(VLOOKUP(C71, Input1!$C$206:$G$207, 3, FALSE), "")</f>
        <v/>
      </c>
      <c r="C71" s="38"/>
      <c r="D71" s="39"/>
      <c r="E71" s="32" t="str">
        <f>IFERROR(VLOOKUP(C71, Input1!$C$204:$G$2000, 2, FALSE), "")</f>
        <v/>
      </c>
      <c r="F71" s="41">
        <v>0</v>
      </c>
      <c r="G71" s="35" t="str">
        <f t="shared" si="8"/>
        <v/>
      </c>
      <c r="H71" s="48" t="str">
        <f>IFERROR(VLOOKUP(C71, Input1!$C$204:$G$2000, 4, FALSE), "")</f>
        <v/>
      </c>
      <c r="I71" s="35" t="str">
        <f t="shared" si="9"/>
        <v/>
      </c>
      <c r="J71" s="41" t="str">
        <f>IFERROR(VLOOKUP(C71, Input1!$C$204:$G$2000, 5, FALSE), "")</f>
        <v/>
      </c>
      <c r="K71" s="34">
        <f t="shared" si="2"/>
        <v>0</v>
      </c>
      <c r="L71" s="42">
        <f t="shared" si="3"/>
        <v>0</v>
      </c>
      <c r="M71" s="35">
        <f t="shared" si="10"/>
        <v>0</v>
      </c>
      <c r="N71" s="41">
        <v>0</v>
      </c>
      <c r="O71" s="35">
        <f t="shared" si="11"/>
        <v>0</v>
      </c>
      <c r="P71" s="36">
        <f t="shared" si="12"/>
        <v>0</v>
      </c>
      <c r="Q71" s="35">
        <f t="shared" si="13"/>
        <v>0</v>
      </c>
    </row>
    <row r="72" spans="2:17" x14ac:dyDescent="0.35">
      <c r="B72" s="37" t="str">
        <f>IFERROR(VLOOKUP(C72, Input1!$C$206:$G$207, 3, FALSE), "")</f>
        <v/>
      </c>
      <c r="C72" s="38"/>
      <c r="D72" s="39"/>
      <c r="E72" s="32" t="str">
        <f>IFERROR(VLOOKUP(C72, Input1!$C$204:$G$2000, 2, FALSE), "")</f>
        <v/>
      </c>
      <c r="F72" s="41">
        <v>0</v>
      </c>
      <c r="G72" s="35" t="str">
        <f t="shared" si="8"/>
        <v/>
      </c>
      <c r="H72" s="48" t="str">
        <f>IFERROR(VLOOKUP(C72, Input1!$C$204:$G$2000, 4, FALSE), "")</f>
        <v/>
      </c>
      <c r="I72" s="35" t="str">
        <f t="shared" si="9"/>
        <v/>
      </c>
      <c r="J72" s="41" t="str">
        <f>IFERROR(VLOOKUP(C72, Input1!$C$204:$G$2000, 5, FALSE), "")</f>
        <v/>
      </c>
      <c r="K72" s="34">
        <f t="shared" si="2"/>
        <v>0</v>
      </c>
      <c r="L72" s="42">
        <f t="shared" si="3"/>
        <v>0</v>
      </c>
      <c r="M72" s="35">
        <f t="shared" si="10"/>
        <v>0</v>
      </c>
      <c r="N72" s="41">
        <v>0</v>
      </c>
      <c r="O72" s="35">
        <f t="shared" si="11"/>
        <v>0</v>
      </c>
      <c r="P72" s="36">
        <f t="shared" si="12"/>
        <v>0</v>
      </c>
      <c r="Q72" s="35">
        <f t="shared" si="13"/>
        <v>0</v>
      </c>
    </row>
    <row r="73" spans="2:17" x14ac:dyDescent="0.35">
      <c r="B73" s="37" t="str">
        <f>IFERROR(VLOOKUP(C73, Input1!$C$206:$G$207, 3, FALSE), "")</f>
        <v/>
      </c>
      <c r="C73" s="38"/>
      <c r="D73" s="39"/>
      <c r="E73" s="32" t="str">
        <f>IFERROR(VLOOKUP(C73, Input1!$C$204:$G$2000, 2, FALSE), "")</f>
        <v/>
      </c>
      <c r="F73" s="41">
        <v>0</v>
      </c>
      <c r="G73" s="35" t="str">
        <f t="shared" si="8"/>
        <v/>
      </c>
      <c r="H73" s="48" t="str">
        <f>IFERROR(VLOOKUP(C73, Input1!$C$204:$G$2000, 4, FALSE), "")</f>
        <v/>
      </c>
      <c r="I73" s="35" t="str">
        <f t="shared" si="9"/>
        <v/>
      </c>
      <c r="J73" s="41" t="str">
        <f>IFERROR(VLOOKUP(C73, Input1!$C$204:$G$2000, 5, FALSE), "")</f>
        <v/>
      </c>
      <c r="K73" s="34">
        <f t="shared" si="2"/>
        <v>0</v>
      </c>
      <c r="L73" s="42">
        <f t="shared" si="3"/>
        <v>0</v>
      </c>
      <c r="M73" s="35">
        <f t="shared" si="10"/>
        <v>0</v>
      </c>
      <c r="N73" s="41">
        <v>0</v>
      </c>
      <c r="O73" s="35">
        <f t="shared" si="11"/>
        <v>0</v>
      </c>
      <c r="P73" s="36">
        <f t="shared" si="12"/>
        <v>0</v>
      </c>
      <c r="Q73" s="35">
        <f t="shared" si="13"/>
        <v>0</v>
      </c>
    </row>
    <row r="74" spans="2:17" x14ac:dyDescent="0.35">
      <c r="B74" s="37" t="str">
        <f>IFERROR(VLOOKUP(C74, Input1!$C$206:$G$207, 3, FALSE), "")</f>
        <v/>
      </c>
      <c r="C74" s="38"/>
      <c r="D74" s="39"/>
      <c r="E74" s="32" t="str">
        <f>IFERROR(VLOOKUP(C74, Input1!$C$204:$G$2000, 2, FALSE), "")</f>
        <v/>
      </c>
      <c r="F74" s="41">
        <v>0</v>
      </c>
      <c r="G74" s="35" t="str">
        <f t="shared" si="8"/>
        <v/>
      </c>
      <c r="H74" s="48" t="str">
        <f>IFERROR(VLOOKUP(C74, Input1!$C$204:$G$2000, 4, FALSE), "")</f>
        <v/>
      </c>
      <c r="I74" s="35" t="str">
        <f t="shared" si="9"/>
        <v/>
      </c>
      <c r="J74" s="41" t="str">
        <f>IFERROR(VLOOKUP(C74, Input1!$C$204:$G$2000, 5, FALSE), "")</f>
        <v/>
      </c>
      <c r="K74" s="34">
        <f t="shared" si="2"/>
        <v>0</v>
      </c>
      <c r="L74" s="42">
        <f t="shared" si="3"/>
        <v>0</v>
      </c>
      <c r="M74" s="35">
        <f t="shared" si="10"/>
        <v>0</v>
      </c>
      <c r="N74" s="41">
        <v>0</v>
      </c>
      <c r="O74" s="35">
        <f t="shared" si="11"/>
        <v>0</v>
      </c>
      <c r="P74" s="36">
        <f t="shared" si="12"/>
        <v>0</v>
      </c>
      <c r="Q74" s="35">
        <f t="shared" si="13"/>
        <v>0</v>
      </c>
    </row>
    <row r="75" spans="2:17" x14ac:dyDescent="0.35">
      <c r="B75" s="37" t="str">
        <f>IFERROR(VLOOKUP(C75, Input1!$C$206:$G$207, 3, FALSE), "")</f>
        <v/>
      </c>
      <c r="C75" s="38"/>
      <c r="D75" s="39"/>
      <c r="E75" s="32" t="str">
        <f>IFERROR(VLOOKUP(C75, Input1!$C$204:$G$2000, 2, FALSE), "")</f>
        <v/>
      </c>
      <c r="F75" s="41">
        <v>0</v>
      </c>
      <c r="G75" s="35" t="str">
        <f t="shared" si="8"/>
        <v/>
      </c>
      <c r="H75" s="48" t="str">
        <f>IFERROR(VLOOKUP(C75, Input1!$C$204:$G$2000, 4, FALSE), "")</f>
        <v/>
      </c>
      <c r="I75" s="35" t="str">
        <f t="shared" si="9"/>
        <v/>
      </c>
      <c r="J75" s="41" t="str">
        <f>IFERROR(VLOOKUP(C75, Input1!$C$204:$G$2000, 5, FALSE), "")</f>
        <v/>
      </c>
      <c r="K75" s="34">
        <f t="shared" si="2"/>
        <v>0</v>
      </c>
      <c r="L75" s="42">
        <f t="shared" si="3"/>
        <v>0</v>
      </c>
      <c r="M75" s="35">
        <f t="shared" si="10"/>
        <v>0</v>
      </c>
      <c r="N75" s="41">
        <v>0</v>
      </c>
      <c r="O75" s="35">
        <f t="shared" si="11"/>
        <v>0</v>
      </c>
      <c r="P75" s="36">
        <f t="shared" si="12"/>
        <v>0</v>
      </c>
      <c r="Q75" s="35">
        <f t="shared" si="13"/>
        <v>0</v>
      </c>
    </row>
    <row r="76" spans="2:17" x14ac:dyDescent="0.35">
      <c r="B76" s="37" t="str">
        <f>IFERROR(VLOOKUP(C76, Input1!$C$206:$G$207, 3, FALSE), "")</f>
        <v/>
      </c>
      <c r="C76" s="38"/>
      <c r="D76" s="39"/>
      <c r="E76" s="32" t="str">
        <f>IFERROR(VLOOKUP(C76, Input1!$C$204:$G$2000, 2, FALSE), "")</f>
        <v/>
      </c>
      <c r="F76" s="41">
        <v>0</v>
      </c>
      <c r="G76" s="35" t="str">
        <f t="shared" si="8"/>
        <v/>
      </c>
      <c r="H76" s="48" t="str">
        <f>IFERROR(VLOOKUP(C76, Input1!$C$204:$G$2000, 4, FALSE), "")</f>
        <v/>
      </c>
      <c r="I76" s="35" t="str">
        <f t="shared" si="9"/>
        <v/>
      </c>
      <c r="J76" s="41" t="str">
        <f>IFERROR(VLOOKUP(C76, Input1!$C$204:$G$2000, 5, FALSE), "")</f>
        <v/>
      </c>
      <c r="K76" s="34">
        <f t="shared" si="2"/>
        <v>0</v>
      </c>
      <c r="L76" s="42">
        <f t="shared" si="3"/>
        <v>0</v>
      </c>
      <c r="M76" s="35">
        <f t="shared" si="10"/>
        <v>0</v>
      </c>
      <c r="N76" s="41">
        <v>0</v>
      </c>
      <c r="O76" s="35">
        <f t="shared" si="11"/>
        <v>0</v>
      </c>
      <c r="P76" s="36">
        <f t="shared" si="12"/>
        <v>0</v>
      </c>
      <c r="Q76" s="35">
        <f t="shared" si="13"/>
        <v>0</v>
      </c>
    </row>
    <row r="77" spans="2:17" x14ac:dyDescent="0.35">
      <c r="B77" s="37" t="str">
        <f>IFERROR(VLOOKUP(C77, Input1!$C$206:$G$207, 3, FALSE), "")</f>
        <v/>
      </c>
      <c r="C77" s="38"/>
      <c r="D77" s="39"/>
      <c r="E77" s="32" t="str">
        <f>IFERROR(VLOOKUP(C77, Input1!$C$204:$G$2000, 2, FALSE), "")</f>
        <v/>
      </c>
      <c r="F77" s="41">
        <v>0</v>
      </c>
      <c r="G77" s="35" t="str">
        <f t="shared" si="8"/>
        <v/>
      </c>
      <c r="H77" s="48" t="str">
        <f>IFERROR(VLOOKUP(C77, Input1!$C$204:$G$2000, 4, FALSE), "")</f>
        <v/>
      </c>
      <c r="I77" s="35" t="str">
        <f t="shared" si="9"/>
        <v/>
      </c>
      <c r="J77" s="41" t="str">
        <f>IFERROR(VLOOKUP(C77, Input1!$C$204:$G$2000, 5, FALSE), "")</f>
        <v/>
      </c>
      <c r="K77" s="34">
        <f t="shared" si="2"/>
        <v>0</v>
      </c>
      <c r="L77" s="42">
        <f t="shared" si="3"/>
        <v>0</v>
      </c>
      <c r="M77" s="35">
        <f t="shared" si="10"/>
        <v>0</v>
      </c>
      <c r="N77" s="41">
        <v>0</v>
      </c>
      <c r="O77" s="35">
        <f t="shared" si="11"/>
        <v>0</v>
      </c>
      <c r="P77" s="36">
        <f t="shared" si="12"/>
        <v>0</v>
      </c>
      <c r="Q77" s="35">
        <f t="shared" si="13"/>
        <v>0</v>
      </c>
    </row>
    <row r="78" spans="2:17" x14ac:dyDescent="0.35">
      <c r="B78" s="37" t="str">
        <f>IFERROR(VLOOKUP(C78, Input1!$C$206:$G$207, 3, FALSE), "")</f>
        <v/>
      </c>
      <c r="C78" s="38"/>
      <c r="D78" s="39"/>
      <c r="E78" s="32" t="str">
        <f>IFERROR(VLOOKUP(C78, Input1!$C$204:$G$2000, 2, FALSE), "")</f>
        <v/>
      </c>
      <c r="F78" s="41">
        <v>0</v>
      </c>
      <c r="G78" s="35" t="str">
        <f t="shared" si="8"/>
        <v/>
      </c>
      <c r="H78" s="48" t="str">
        <f>IFERROR(VLOOKUP(C78, Input1!$C$204:$G$2000, 4, FALSE), "")</f>
        <v/>
      </c>
      <c r="I78" s="35" t="str">
        <f t="shared" si="9"/>
        <v/>
      </c>
      <c r="J78" s="41" t="str">
        <f>IFERROR(VLOOKUP(C78, Input1!$C$204:$G$2000, 5, FALSE), "")</f>
        <v/>
      </c>
      <c r="K78" s="34">
        <f t="shared" si="2"/>
        <v>0</v>
      </c>
      <c r="L78" s="42">
        <f t="shared" si="3"/>
        <v>0</v>
      </c>
      <c r="M78" s="35">
        <f t="shared" si="10"/>
        <v>0</v>
      </c>
      <c r="N78" s="41">
        <v>0</v>
      </c>
      <c r="O78" s="35">
        <f t="shared" si="11"/>
        <v>0</v>
      </c>
      <c r="P78" s="36">
        <f t="shared" si="12"/>
        <v>0</v>
      </c>
      <c r="Q78" s="35">
        <f t="shared" si="13"/>
        <v>0</v>
      </c>
    </row>
    <row r="79" spans="2:17" x14ac:dyDescent="0.35">
      <c r="B79" s="37" t="str">
        <f>IFERROR(VLOOKUP(C79, Input1!$C$206:$G$207, 3, FALSE), "")</f>
        <v/>
      </c>
      <c r="C79" s="38"/>
      <c r="D79" s="39"/>
      <c r="E79" s="32" t="str">
        <f>IFERROR(VLOOKUP(C79, Input1!$C$204:$G$2000, 2, FALSE), "")</f>
        <v/>
      </c>
      <c r="F79" s="41">
        <v>0</v>
      </c>
      <c r="G79" s="35" t="str">
        <f t="shared" si="8"/>
        <v/>
      </c>
      <c r="H79" s="48" t="str">
        <f>IFERROR(VLOOKUP(C79, Input1!$C$204:$G$2000, 4, FALSE), "")</f>
        <v/>
      </c>
      <c r="I79" s="35" t="str">
        <f t="shared" si="9"/>
        <v/>
      </c>
      <c r="J79" s="41" t="str">
        <f>IFERROR(VLOOKUP(C79, Input1!$C$204:$G$2000, 5, FALSE), "")</f>
        <v/>
      </c>
      <c r="K79" s="34">
        <f t="shared" si="2"/>
        <v>0</v>
      </c>
      <c r="L79" s="42">
        <f t="shared" si="3"/>
        <v>0</v>
      </c>
      <c r="M79" s="35">
        <f t="shared" si="10"/>
        <v>0</v>
      </c>
      <c r="N79" s="41">
        <v>0</v>
      </c>
      <c r="O79" s="35">
        <f t="shared" si="11"/>
        <v>0</v>
      </c>
      <c r="P79" s="36">
        <f t="shared" si="12"/>
        <v>0</v>
      </c>
      <c r="Q79" s="35">
        <f t="shared" si="13"/>
        <v>0</v>
      </c>
    </row>
    <row r="80" spans="2:17" x14ac:dyDescent="0.35">
      <c r="B80" s="37" t="str">
        <f>IFERROR(VLOOKUP(C80, Input1!$C$206:$G$207, 3, FALSE), "")</f>
        <v/>
      </c>
      <c r="C80" s="38"/>
      <c r="D80" s="39"/>
      <c r="E80" s="32" t="str">
        <f>IFERROR(VLOOKUP(C80, Input1!$C$204:$G$2000, 2, FALSE), "")</f>
        <v/>
      </c>
      <c r="F80" s="41">
        <v>0</v>
      </c>
      <c r="G80" s="35" t="str">
        <f t="shared" si="8"/>
        <v/>
      </c>
      <c r="H80" s="48" t="str">
        <f>IFERROR(VLOOKUP(C80, Input1!$C$204:$G$2000, 4, FALSE), "")</f>
        <v/>
      </c>
      <c r="I80" s="35" t="str">
        <f t="shared" si="9"/>
        <v/>
      </c>
      <c r="J80" s="41" t="str">
        <f>IFERROR(VLOOKUP(C80, Input1!$C$204:$G$2000, 5, FALSE), "")</f>
        <v/>
      </c>
      <c r="K80" s="34">
        <f t="shared" ref="K80:K143" si="14">IFERROR($D80/$J80, 0)</f>
        <v>0</v>
      </c>
      <c r="L80" s="42">
        <f t="shared" ref="L80:L143" si="15">$L$5</f>
        <v>0</v>
      </c>
      <c r="M80" s="35">
        <f t="shared" si="10"/>
        <v>0</v>
      </c>
      <c r="N80" s="41">
        <v>0</v>
      </c>
      <c r="O80" s="35">
        <f t="shared" si="11"/>
        <v>0</v>
      </c>
      <c r="P80" s="36">
        <f t="shared" si="12"/>
        <v>0</v>
      </c>
      <c r="Q80" s="35">
        <f t="shared" si="13"/>
        <v>0</v>
      </c>
    </row>
    <row r="81" spans="2:17" x14ac:dyDescent="0.35">
      <c r="B81" s="37" t="str">
        <f>IFERROR(VLOOKUP(C81, Input1!$C$206:$G$207, 3, FALSE), "")</f>
        <v/>
      </c>
      <c r="C81" s="38"/>
      <c r="D81" s="39"/>
      <c r="E81" s="32" t="str">
        <f>IFERROR(VLOOKUP(C81, Input1!$C$204:$G$2000, 2, FALSE), "")</f>
        <v/>
      </c>
      <c r="F81" s="41">
        <v>0</v>
      </c>
      <c r="G81" s="35" t="str">
        <f t="shared" ref="G81:G144" si="16">IF(AND(ISNUMBER(D81), ISNUMBER(F81)), D81 * F81, "")</f>
        <v/>
      </c>
      <c r="H81" s="48" t="str">
        <f>IFERROR(VLOOKUP(C81, Input1!$C$204:$G$2000, 4, FALSE), "")</f>
        <v/>
      </c>
      <c r="I81" s="35" t="str">
        <f t="shared" ref="I81:I144" si="17">IF(AND(ISNUMBER(D81), ISNUMBER(H81)), D81 * H81, "")</f>
        <v/>
      </c>
      <c r="J81" s="41" t="str">
        <f>IFERROR(VLOOKUP(C81, Input1!$C$204:$G$2000, 5, FALSE), "")</f>
        <v/>
      </c>
      <c r="K81" s="34">
        <f t="shared" si="14"/>
        <v>0</v>
      </c>
      <c r="L81" s="42">
        <f t="shared" si="15"/>
        <v>0</v>
      </c>
      <c r="M81" s="35">
        <f t="shared" ref="M81:M144" si="18">IFERROR(K81*L81,0)</f>
        <v>0</v>
      </c>
      <c r="N81" s="41">
        <v>0</v>
      </c>
      <c r="O81" s="35">
        <f t="shared" ref="O81:O144" si="19">$D81*N81</f>
        <v>0</v>
      </c>
      <c r="P81" s="36">
        <f t="shared" ref="P81:P144" si="20">IF(ISNUMBER(F81),F81,0)+IF(ISNUMBER(H81),H81*(1+$I$4),0)+IF(AND(ISNUMBER(L81),ISNUMBER(J81),J81&lt;&gt;0),L81/J81,0)+IF(ISNUMBER(N81),N81)</f>
        <v>0</v>
      </c>
      <c r="Q81" s="35">
        <f t="shared" ref="Q81:Q144" si="21">SUM(IF(ISNUMBER(O81), O81, 0), IF(ISNUMBER(M81), M81, 0), IF(ISNUMBER(I81), I81 * (1 + $I$4), 0), IF(ISNUMBER(G81), G81, 0))</f>
        <v>0</v>
      </c>
    </row>
    <row r="82" spans="2:17" x14ac:dyDescent="0.35">
      <c r="B82" s="37" t="str">
        <f>IFERROR(VLOOKUP(C82, Input1!$C$206:$G$207, 3, FALSE), "")</f>
        <v/>
      </c>
      <c r="C82" s="38"/>
      <c r="D82" s="39"/>
      <c r="E82" s="32" t="str">
        <f>IFERROR(VLOOKUP(C82, Input1!$C$204:$G$2000, 2, FALSE), "")</f>
        <v/>
      </c>
      <c r="F82" s="41">
        <v>0</v>
      </c>
      <c r="G82" s="35" t="str">
        <f t="shared" si="16"/>
        <v/>
      </c>
      <c r="H82" s="48" t="str">
        <f>IFERROR(VLOOKUP(C82, Input1!$C$204:$G$2000, 4, FALSE), "")</f>
        <v/>
      </c>
      <c r="I82" s="35" t="str">
        <f t="shared" si="17"/>
        <v/>
      </c>
      <c r="J82" s="41" t="str">
        <f>IFERROR(VLOOKUP(C82, Input1!$C$204:$G$2000, 5, FALSE), "")</f>
        <v/>
      </c>
      <c r="K82" s="34">
        <f t="shared" si="14"/>
        <v>0</v>
      </c>
      <c r="L82" s="42">
        <f t="shared" si="15"/>
        <v>0</v>
      </c>
      <c r="M82" s="35">
        <f t="shared" si="18"/>
        <v>0</v>
      </c>
      <c r="N82" s="41">
        <v>0</v>
      </c>
      <c r="O82" s="35">
        <f t="shared" si="19"/>
        <v>0</v>
      </c>
      <c r="P82" s="36">
        <f t="shared" si="20"/>
        <v>0</v>
      </c>
      <c r="Q82" s="35">
        <f t="shared" si="21"/>
        <v>0</v>
      </c>
    </row>
    <row r="83" spans="2:17" x14ac:dyDescent="0.35">
      <c r="B83" s="37" t="str">
        <f>IFERROR(VLOOKUP(C83, Input1!$C$206:$G$207, 3, FALSE), "")</f>
        <v/>
      </c>
      <c r="C83" s="38"/>
      <c r="D83" s="39"/>
      <c r="E83" s="32" t="str">
        <f>IFERROR(VLOOKUP(C83, Input1!$C$204:$G$2000, 2, FALSE), "")</f>
        <v/>
      </c>
      <c r="F83" s="41">
        <v>0</v>
      </c>
      <c r="G83" s="35" t="str">
        <f t="shared" si="16"/>
        <v/>
      </c>
      <c r="H83" s="48" t="str">
        <f>IFERROR(VLOOKUP(C83, Input1!$C$204:$G$2000, 4, FALSE), "")</f>
        <v/>
      </c>
      <c r="I83" s="35" t="str">
        <f t="shared" si="17"/>
        <v/>
      </c>
      <c r="J83" s="41" t="str">
        <f>IFERROR(VLOOKUP(C83, Input1!$C$204:$G$2000, 5, FALSE), "")</f>
        <v/>
      </c>
      <c r="K83" s="34">
        <f t="shared" si="14"/>
        <v>0</v>
      </c>
      <c r="L83" s="42">
        <f t="shared" si="15"/>
        <v>0</v>
      </c>
      <c r="M83" s="35">
        <f t="shared" si="18"/>
        <v>0</v>
      </c>
      <c r="N83" s="41">
        <v>0</v>
      </c>
      <c r="O83" s="35">
        <f t="shared" si="19"/>
        <v>0</v>
      </c>
      <c r="P83" s="36">
        <f t="shared" si="20"/>
        <v>0</v>
      </c>
      <c r="Q83" s="35">
        <f t="shared" si="21"/>
        <v>0</v>
      </c>
    </row>
    <row r="84" spans="2:17" x14ac:dyDescent="0.35">
      <c r="B84" s="37" t="str">
        <f>IFERROR(VLOOKUP(C84, Input1!$C$206:$G$207, 3, FALSE), "")</f>
        <v/>
      </c>
      <c r="C84" s="38"/>
      <c r="D84" s="39"/>
      <c r="E84" s="32" t="str">
        <f>IFERROR(VLOOKUP(C84, Input1!$C$204:$G$2000, 2, FALSE), "")</f>
        <v/>
      </c>
      <c r="F84" s="41">
        <v>0</v>
      </c>
      <c r="G84" s="35" t="str">
        <f t="shared" si="16"/>
        <v/>
      </c>
      <c r="H84" s="48" t="str">
        <f>IFERROR(VLOOKUP(C84, Input1!$C$204:$G$2000, 4, FALSE), "")</f>
        <v/>
      </c>
      <c r="I84" s="35" t="str">
        <f t="shared" si="17"/>
        <v/>
      </c>
      <c r="J84" s="41" t="str">
        <f>IFERROR(VLOOKUP(C84, Input1!$C$204:$G$2000, 5, FALSE), "")</f>
        <v/>
      </c>
      <c r="K84" s="34">
        <f t="shared" si="14"/>
        <v>0</v>
      </c>
      <c r="L84" s="42">
        <f t="shared" si="15"/>
        <v>0</v>
      </c>
      <c r="M84" s="35">
        <f t="shared" si="18"/>
        <v>0</v>
      </c>
      <c r="N84" s="41">
        <v>0</v>
      </c>
      <c r="O84" s="35">
        <f t="shared" si="19"/>
        <v>0</v>
      </c>
      <c r="P84" s="36">
        <f t="shared" si="20"/>
        <v>0</v>
      </c>
      <c r="Q84" s="35">
        <f t="shared" si="21"/>
        <v>0</v>
      </c>
    </row>
    <row r="85" spans="2:17" x14ac:dyDescent="0.35">
      <c r="B85" s="37" t="str">
        <f>IFERROR(VLOOKUP(C85, Input1!$C$206:$G$207, 3, FALSE), "")</f>
        <v/>
      </c>
      <c r="C85" s="38"/>
      <c r="D85" s="39"/>
      <c r="E85" s="32" t="str">
        <f>IFERROR(VLOOKUP(C85, Input1!$C$204:$G$2000, 2, FALSE), "")</f>
        <v/>
      </c>
      <c r="F85" s="41">
        <v>0</v>
      </c>
      <c r="G85" s="35" t="str">
        <f t="shared" si="16"/>
        <v/>
      </c>
      <c r="H85" s="48" t="str">
        <f>IFERROR(VLOOKUP(C85, Input1!$C$204:$G$2000, 4, FALSE), "")</f>
        <v/>
      </c>
      <c r="I85" s="35" t="str">
        <f t="shared" si="17"/>
        <v/>
      </c>
      <c r="J85" s="41" t="str">
        <f>IFERROR(VLOOKUP(C85, Input1!$C$204:$G$2000, 5, FALSE), "")</f>
        <v/>
      </c>
      <c r="K85" s="34">
        <f t="shared" si="14"/>
        <v>0</v>
      </c>
      <c r="L85" s="42">
        <f t="shared" si="15"/>
        <v>0</v>
      </c>
      <c r="M85" s="35">
        <f t="shared" si="18"/>
        <v>0</v>
      </c>
      <c r="N85" s="41">
        <v>0</v>
      </c>
      <c r="O85" s="35">
        <f t="shared" si="19"/>
        <v>0</v>
      </c>
      <c r="P85" s="36">
        <f t="shared" si="20"/>
        <v>0</v>
      </c>
      <c r="Q85" s="35">
        <f t="shared" si="21"/>
        <v>0</v>
      </c>
    </row>
    <row r="86" spans="2:17" x14ac:dyDescent="0.35">
      <c r="B86" s="37" t="str">
        <f>IFERROR(VLOOKUP(C86, Input1!$C$206:$G$207, 3, FALSE), "")</f>
        <v/>
      </c>
      <c r="C86" s="38"/>
      <c r="D86" s="39"/>
      <c r="E86" s="32" t="str">
        <f>IFERROR(VLOOKUP(C86, Input1!$C$204:$G$2000, 2, FALSE), "")</f>
        <v/>
      </c>
      <c r="F86" s="41">
        <v>0</v>
      </c>
      <c r="G86" s="35" t="str">
        <f t="shared" si="16"/>
        <v/>
      </c>
      <c r="H86" s="48" t="str">
        <f>IFERROR(VLOOKUP(C86, Input1!$C$204:$G$2000, 4, FALSE), "")</f>
        <v/>
      </c>
      <c r="I86" s="35" t="str">
        <f t="shared" si="17"/>
        <v/>
      </c>
      <c r="J86" s="41" t="str">
        <f>IFERROR(VLOOKUP(C86, Input1!$C$204:$G$2000, 5, FALSE), "")</f>
        <v/>
      </c>
      <c r="K86" s="34">
        <f t="shared" si="14"/>
        <v>0</v>
      </c>
      <c r="L86" s="42">
        <f t="shared" si="15"/>
        <v>0</v>
      </c>
      <c r="M86" s="35">
        <f t="shared" si="18"/>
        <v>0</v>
      </c>
      <c r="N86" s="41">
        <v>0</v>
      </c>
      <c r="O86" s="35">
        <f t="shared" si="19"/>
        <v>0</v>
      </c>
      <c r="P86" s="36">
        <f t="shared" si="20"/>
        <v>0</v>
      </c>
      <c r="Q86" s="35">
        <f t="shared" si="21"/>
        <v>0</v>
      </c>
    </row>
    <row r="87" spans="2:17" x14ac:dyDescent="0.35">
      <c r="B87" s="37" t="str">
        <f>IFERROR(VLOOKUP(C87, Input1!$C$206:$G$207, 3, FALSE), "")</f>
        <v/>
      </c>
      <c r="C87" s="38"/>
      <c r="D87" s="39"/>
      <c r="E87" s="32" t="str">
        <f>IFERROR(VLOOKUP(C87, Input1!$C$204:$G$2000, 2, FALSE), "")</f>
        <v/>
      </c>
      <c r="F87" s="41">
        <v>0</v>
      </c>
      <c r="G87" s="35" t="str">
        <f t="shared" si="16"/>
        <v/>
      </c>
      <c r="H87" s="48" t="str">
        <f>IFERROR(VLOOKUP(C87, Input1!$C$204:$G$2000, 4, FALSE), "")</f>
        <v/>
      </c>
      <c r="I87" s="35" t="str">
        <f t="shared" si="17"/>
        <v/>
      </c>
      <c r="J87" s="41" t="str">
        <f>IFERROR(VLOOKUP(C87, Input1!$C$204:$G$2000, 5, FALSE), "")</f>
        <v/>
      </c>
      <c r="K87" s="34">
        <f t="shared" si="14"/>
        <v>0</v>
      </c>
      <c r="L87" s="42">
        <f t="shared" si="15"/>
        <v>0</v>
      </c>
      <c r="M87" s="35">
        <f t="shared" si="18"/>
        <v>0</v>
      </c>
      <c r="N87" s="41">
        <v>0</v>
      </c>
      <c r="O87" s="35">
        <f t="shared" si="19"/>
        <v>0</v>
      </c>
      <c r="P87" s="36">
        <f t="shared" si="20"/>
        <v>0</v>
      </c>
      <c r="Q87" s="35">
        <f t="shared" si="21"/>
        <v>0</v>
      </c>
    </row>
    <row r="88" spans="2:17" x14ac:dyDescent="0.35">
      <c r="B88" s="37" t="str">
        <f>IFERROR(VLOOKUP(C88, Input1!$C$206:$G$207, 3, FALSE), "")</f>
        <v/>
      </c>
      <c r="C88" s="38"/>
      <c r="D88" s="39"/>
      <c r="E88" s="32" t="str">
        <f>IFERROR(VLOOKUP(C88, Input1!$C$204:$G$2000, 2, FALSE), "")</f>
        <v/>
      </c>
      <c r="F88" s="41">
        <v>0</v>
      </c>
      <c r="G88" s="35" t="str">
        <f t="shared" si="16"/>
        <v/>
      </c>
      <c r="H88" s="48" t="str">
        <f>IFERROR(VLOOKUP(C88, Input1!$C$204:$G$2000, 4, FALSE), "")</f>
        <v/>
      </c>
      <c r="I88" s="35" t="str">
        <f t="shared" si="17"/>
        <v/>
      </c>
      <c r="J88" s="41" t="str">
        <f>IFERROR(VLOOKUP(C88, Input1!$C$204:$G$2000, 5, FALSE), "")</f>
        <v/>
      </c>
      <c r="K88" s="34">
        <f t="shared" si="14"/>
        <v>0</v>
      </c>
      <c r="L88" s="42">
        <f t="shared" si="15"/>
        <v>0</v>
      </c>
      <c r="M88" s="35">
        <f t="shared" si="18"/>
        <v>0</v>
      </c>
      <c r="N88" s="41">
        <v>0</v>
      </c>
      <c r="O88" s="35">
        <f t="shared" si="19"/>
        <v>0</v>
      </c>
      <c r="P88" s="36">
        <f t="shared" si="20"/>
        <v>0</v>
      </c>
      <c r="Q88" s="35">
        <f t="shared" si="21"/>
        <v>0</v>
      </c>
    </row>
    <row r="89" spans="2:17" x14ac:dyDescent="0.35">
      <c r="B89" s="37" t="str">
        <f>IFERROR(VLOOKUP(C89, Input1!$C$206:$G$207, 3, FALSE), "")</f>
        <v/>
      </c>
      <c r="C89" s="38"/>
      <c r="D89" s="39"/>
      <c r="E89" s="32" t="str">
        <f>IFERROR(VLOOKUP(C89, Input1!$C$204:$G$2000, 2, FALSE), "")</f>
        <v/>
      </c>
      <c r="F89" s="41">
        <v>0</v>
      </c>
      <c r="G89" s="35" t="str">
        <f t="shared" si="16"/>
        <v/>
      </c>
      <c r="H89" s="48" t="str">
        <f>IFERROR(VLOOKUP(C89, Input1!$C$204:$G$2000, 4, FALSE), "")</f>
        <v/>
      </c>
      <c r="I89" s="35" t="str">
        <f t="shared" si="17"/>
        <v/>
      </c>
      <c r="J89" s="41" t="str">
        <f>IFERROR(VLOOKUP(C89, Input1!$C$204:$G$2000, 5, FALSE), "")</f>
        <v/>
      </c>
      <c r="K89" s="34">
        <f t="shared" si="14"/>
        <v>0</v>
      </c>
      <c r="L89" s="42">
        <f t="shared" si="15"/>
        <v>0</v>
      </c>
      <c r="M89" s="35">
        <f t="shared" si="18"/>
        <v>0</v>
      </c>
      <c r="N89" s="41">
        <v>0</v>
      </c>
      <c r="O89" s="35">
        <f t="shared" si="19"/>
        <v>0</v>
      </c>
      <c r="P89" s="36">
        <f t="shared" si="20"/>
        <v>0</v>
      </c>
      <c r="Q89" s="35">
        <f t="shared" si="21"/>
        <v>0</v>
      </c>
    </row>
    <row r="90" spans="2:17" x14ac:dyDescent="0.35">
      <c r="B90" s="37" t="str">
        <f>IFERROR(VLOOKUP(C90, Input1!$C$206:$G$207, 3, FALSE), "")</f>
        <v/>
      </c>
      <c r="C90" s="38"/>
      <c r="D90" s="39"/>
      <c r="E90" s="32" t="str">
        <f>IFERROR(VLOOKUP(C90, Input1!$C$204:$G$2000, 2, FALSE), "")</f>
        <v/>
      </c>
      <c r="F90" s="41">
        <v>0</v>
      </c>
      <c r="G90" s="35" t="str">
        <f t="shared" si="16"/>
        <v/>
      </c>
      <c r="H90" s="48" t="str">
        <f>IFERROR(VLOOKUP(C90, Input1!$C$204:$G$2000, 4, FALSE), "")</f>
        <v/>
      </c>
      <c r="I90" s="35" t="str">
        <f t="shared" si="17"/>
        <v/>
      </c>
      <c r="J90" s="41" t="str">
        <f>IFERROR(VLOOKUP(C90, Input1!$C$204:$G$2000, 5, FALSE), "")</f>
        <v/>
      </c>
      <c r="K90" s="34">
        <f t="shared" si="14"/>
        <v>0</v>
      </c>
      <c r="L90" s="42">
        <f t="shared" si="15"/>
        <v>0</v>
      </c>
      <c r="M90" s="35">
        <f t="shared" si="18"/>
        <v>0</v>
      </c>
      <c r="N90" s="41">
        <v>0</v>
      </c>
      <c r="O90" s="35">
        <f t="shared" si="19"/>
        <v>0</v>
      </c>
      <c r="P90" s="36">
        <f t="shared" si="20"/>
        <v>0</v>
      </c>
      <c r="Q90" s="35">
        <f t="shared" si="21"/>
        <v>0</v>
      </c>
    </row>
    <row r="91" spans="2:17" x14ac:dyDescent="0.35">
      <c r="B91" s="37" t="str">
        <f>IFERROR(VLOOKUP(C91, Input1!$C$206:$G$207, 3, FALSE), "")</f>
        <v/>
      </c>
      <c r="C91" s="38"/>
      <c r="D91" s="39"/>
      <c r="E91" s="32" t="str">
        <f>IFERROR(VLOOKUP(C91, Input1!$C$204:$G$2000, 2, FALSE), "")</f>
        <v/>
      </c>
      <c r="F91" s="41">
        <v>0</v>
      </c>
      <c r="G91" s="35" t="str">
        <f t="shared" si="16"/>
        <v/>
      </c>
      <c r="H91" s="48" t="str">
        <f>IFERROR(VLOOKUP(C91, Input1!$C$204:$G$2000, 4, FALSE), "")</f>
        <v/>
      </c>
      <c r="I91" s="35" t="str">
        <f t="shared" si="17"/>
        <v/>
      </c>
      <c r="J91" s="41" t="str">
        <f>IFERROR(VLOOKUP(C91, Input1!$C$204:$G$2000, 5, FALSE), "")</f>
        <v/>
      </c>
      <c r="K91" s="34">
        <f t="shared" si="14"/>
        <v>0</v>
      </c>
      <c r="L91" s="42">
        <f t="shared" si="15"/>
        <v>0</v>
      </c>
      <c r="M91" s="35">
        <f t="shared" si="18"/>
        <v>0</v>
      </c>
      <c r="N91" s="41">
        <v>0</v>
      </c>
      <c r="O91" s="35">
        <f t="shared" si="19"/>
        <v>0</v>
      </c>
      <c r="P91" s="36">
        <f t="shared" si="20"/>
        <v>0</v>
      </c>
      <c r="Q91" s="35">
        <f t="shared" si="21"/>
        <v>0</v>
      </c>
    </row>
    <row r="92" spans="2:17" x14ac:dyDescent="0.35">
      <c r="B92" s="37" t="str">
        <f>IFERROR(VLOOKUP(C92, Input1!$C$206:$G$207, 3, FALSE), "")</f>
        <v/>
      </c>
      <c r="C92" s="38"/>
      <c r="D92" s="39"/>
      <c r="E92" s="32" t="str">
        <f>IFERROR(VLOOKUP(C92, Input1!$C$204:$G$2000, 2, FALSE), "")</f>
        <v/>
      </c>
      <c r="F92" s="41">
        <v>0</v>
      </c>
      <c r="G92" s="35" t="str">
        <f t="shared" si="16"/>
        <v/>
      </c>
      <c r="H92" s="48" t="str">
        <f>IFERROR(VLOOKUP(C92, Input1!$C$204:$G$2000, 4, FALSE), "")</f>
        <v/>
      </c>
      <c r="I92" s="35" t="str">
        <f t="shared" si="17"/>
        <v/>
      </c>
      <c r="J92" s="41" t="str">
        <f>IFERROR(VLOOKUP(C92, Input1!$C$204:$G$2000, 5, FALSE), "")</f>
        <v/>
      </c>
      <c r="K92" s="34">
        <f t="shared" si="14"/>
        <v>0</v>
      </c>
      <c r="L92" s="42">
        <f t="shared" si="15"/>
        <v>0</v>
      </c>
      <c r="M92" s="35">
        <f t="shared" si="18"/>
        <v>0</v>
      </c>
      <c r="N92" s="41">
        <v>0</v>
      </c>
      <c r="O92" s="35">
        <f t="shared" si="19"/>
        <v>0</v>
      </c>
      <c r="P92" s="36">
        <f t="shared" si="20"/>
        <v>0</v>
      </c>
      <c r="Q92" s="35">
        <f t="shared" si="21"/>
        <v>0</v>
      </c>
    </row>
    <row r="93" spans="2:17" x14ac:dyDescent="0.35">
      <c r="B93" s="37" t="str">
        <f>IFERROR(VLOOKUP(C93, Input1!$C$206:$G$207, 3, FALSE), "")</f>
        <v/>
      </c>
      <c r="C93" s="38"/>
      <c r="D93" s="39"/>
      <c r="E93" s="32" t="str">
        <f>IFERROR(VLOOKUP(C93, Input1!$C$204:$G$2000, 2, FALSE), "")</f>
        <v/>
      </c>
      <c r="F93" s="41">
        <v>0</v>
      </c>
      <c r="G93" s="35" t="str">
        <f t="shared" si="16"/>
        <v/>
      </c>
      <c r="H93" s="48" t="str">
        <f>IFERROR(VLOOKUP(C93, Input1!$C$204:$G$2000, 4, FALSE), "")</f>
        <v/>
      </c>
      <c r="I93" s="35" t="str">
        <f t="shared" si="17"/>
        <v/>
      </c>
      <c r="J93" s="41" t="str">
        <f>IFERROR(VLOOKUP(C93, Input1!$C$204:$G$2000, 5, FALSE), "")</f>
        <v/>
      </c>
      <c r="K93" s="34">
        <f t="shared" si="14"/>
        <v>0</v>
      </c>
      <c r="L93" s="42">
        <f t="shared" si="15"/>
        <v>0</v>
      </c>
      <c r="M93" s="35">
        <f t="shared" si="18"/>
        <v>0</v>
      </c>
      <c r="N93" s="41">
        <v>0</v>
      </c>
      <c r="O93" s="35">
        <f t="shared" si="19"/>
        <v>0</v>
      </c>
      <c r="P93" s="36">
        <f t="shared" si="20"/>
        <v>0</v>
      </c>
      <c r="Q93" s="35">
        <f t="shared" si="21"/>
        <v>0</v>
      </c>
    </row>
    <row r="94" spans="2:17" x14ac:dyDescent="0.35">
      <c r="B94" s="37" t="str">
        <f>IFERROR(VLOOKUP(C94, Input1!$C$206:$G$207, 3, FALSE), "")</f>
        <v/>
      </c>
      <c r="C94" s="38"/>
      <c r="D94" s="39"/>
      <c r="E94" s="32" t="str">
        <f>IFERROR(VLOOKUP(C94, Input1!$C$204:$G$2000, 2, FALSE), "")</f>
        <v/>
      </c>
      <c r="F94" s="41">
        <v>0</v>
      </c>
      <c r="G94" s="35" t="str">
        <f t="shared" si="16"/>
        <v/>
      </c>
      <c r="H94" s="48" t="str">
        <f>IFERROR(VLOOKUP(C94, Input1!$C$204:$G$2000, 4, FALSE), "")</f>
        <v/>
      </c>
      <c r="I94" s="35" t="str">
        <f t="shared" si="17"/>
        <v/>
      </c>
      <c r="J94" s="41" t="str">
        <f>IFERROR(VLOOKUP(C94, Input1!$C$204:$G$2000, 5, FALSE), "")</f>
        <v/>
      </c>
      <c r="K94" s="34">
        <f t="shared" si="14"/>
        <v>0</v>
      </c>
      <c r="L94" s="42">
        <f t="shared" si="15"/>
        <v>0</v>
      </c>
      <c r="M94" s="35">
        <f t="shared" si="18"/>
        <v>0</v>
      </c>
      <c r="N94" s="41">
        <v>0</v>
      </c>
      <c r="O94" s="35">
        <f t="shared" si="19"/>
        <v>0</v>
      </c>
      <c r="P94" s="36">
        <f t="shared" si="20"/>
        <v>0</v>
      </c>
      <c r="Q94" s="35">
        <f t="shared" si="21"/>
        <v>0</v>
      </c>
    </row>
    <row r="95" spans="2:17" x14ac:dyDescent="0.35">
      <c r="B95" s="37" t="str">
        <f>IFERROR(VLOOKUP(C95, Input1!$C$206:$G$207, 3, FALSE), "")</f>
        <v/>
      </c>
      <c r="C95" s="38"/>
      <c r="D95" s="39"/>
      <c r="E95" s="32" t="str">
        <f>IFERROR(VLOOKUP(C95, Input1!$C$204:$G$2000, 2, FALSE), "")</f>
        <v/>
      </c>
      <c r="F95" s="41">
        <v>0</v>
      </c>
      <c r="G95" s="35" t="str">
        <f t="shared" si="16"/>
        <v/>
      </c>
      <c r="H95" s="48" t="str">
        <f>IFERROR(VLOOKUP(C95, Input1!$C$204:$G$2000, 4, FALSE), "")</f>
        <v/>
      </c>
      <c r="I95" s="35" t="str">
        <f t="shared" si="17"/>
        <v/>
      </c>
      <c r="J95" s="41" t="str">
        <f>IFERROR(VLOOKUP(C95, Input1!$C$204:$G$2000, 5, FALSE), "")</f>
        <v/>
      </c>
      <c r="K95" s="34">
        <f t="shared" si="14"/>
        <v>0</v>
      </c>
      <c r="L95" s="42">
        <f t="shared" si="15"/>
        <v>0</v>
      </c>
      <c r="M95" s="35">
        <f t="shared" si="18"/>
        <v>0</v>
      </c>
      <c r="N95" s="41">
        <v>0</v>
      </c>
      <c r="O95" s="35">
        <f t="shared" si="19"/>
        <v>0</v>
      </c>
      <c r="P95" s="36">
        <f t="shared" si="20"/>
        <v>0</v>
      </c>
      <c r="Q95" s="35">
        <f t="shared" si="21"/>
        <v>0</v>
      </c>
    </row>
    <row r="96" spans="2:17" x14ac:dyDescent="0.35">
      <c r="B96" s="37" t="str">
        <f>IFERROR(VLOOKUP(C96, Input1!$C$206:$G$207, 3, FALSE), "")</f>
        <v/>
      </c>
      <c r="C96" s="38"/>
      <c r="D96" s="39"/>
      <c r="E96" s="32" t="str">
        <f>IFERROR(VLOOKUP(C96, Input1!$C$204:$G$2000, 2, FALSE), "")</f>
        <v/>
      </c>
      <c r="F96" s="41">
        <v>0</v>
      </c>
      <c r="G96" s="35" t="str">
        <f t="shared" si="16"/>
        <v/>
      </c>
      <c r="H96" s="48" t="str">
        <f>IFERROR(VLOOKUP(C96, Input1!$C$204:$G$2000, 4, FALSE), "")</f>
        <v/>
      </c>
      <c r="I96" s="35" t="str">
        <f t="shared" si="17"/>
        <v/>
      </c>
      <c r="J96" s="41" t="str">
        <f>IFERROR(VLOOKUP(C96, Input1!$C$204:$G$2000, 5, FALSE), "")</f>
        <v/>
      </c>
      <c r="K96" s="34">
        <f t="shared" si="14"/>
        <v>0</v>
      </c>
      <c r="L96" s="42">
        <f t="shared" si="15"/>
        <v>0</v>
      </c>
      <c r="M96" s="35">
        <f t="shared" si="18"/>
        <v>0</v>
      </c>
      <c r="N96" s="41">
        <v>0</v>
      </c>
      <c r="O96" s="35">
        <f t="shared" si="19"/>
        <v>0</v>
      </c>
      <c r="P96" s="36">
        <f t="shared" si="20"/>
        <v>0</v>
      </c>
      <c r="Q96" s="35">
        <f t="shared" si="21"/>
        <v>0</v>
      </c>
    </row>
    <row r="97" spans="2:17" x14ac:dyDescent="0.35">
      <c r="B97" s="37" t="str">
        <f>IFERROR(VLOOKUP(C97, Input1!$C$206:$G$207, 3, FALSE), "")</f>
        <v/>
      </c>
      <c r="C97" s="38"/>
      <c r="D97" s="39"/>
      <c r="E97" s="32" t="str">
        <f>IFERROR(VLOOKUP(C97, Input1!$C$204:$G$2000, 2, FALSE), "")</f>
        <v/>
      </c>
      <c r="F97" s="41">
        <v>0</v>
      </c>
      <c r="G97" s="35" t="str">
        <f t="shared" si="16"/>
        <v/>
      </c>
      <c r="H97" s="48" t="str">
        <f>IFERROR(VLOOKUP(C97, Input1!$C$204:$G$2000, 4, FALSE), "")</f>
        <v/>
      </c>
      <c r="I97" s="35" t="str">
        <f t="shared" si="17"/>
        <v/>
      </c>
      <c r="J97" s="41" t="str">
        <f>IFERROR(VLOOKUP(C97, Input1!$C$204:$G$2000, 5, FALSE), "")</f>
        <v/>
      </c>
      <c r="K97" s="34">
        <f t="shared" si="14"/>
        <v>0</v>
      </c>
      <c r="L97" s="42">
        <f t="shared" si="15"/>
        <v>0</v>
      </c>
      <c r="M97" s="35">
        <f t="shared" si="18"/>
        <v>0</v>
      </c>
      <c r="N97" s="41">
        <v>0</v>
      </c>
      <c r="O97" s="35">
        <f t="shared" si="19"/>
        <v>0</v>
      </c>
      <c r="P97" s="36">
        <f t="shared" si="20"/>
        <v>0</v>
      </c>
      <c r="Q97" s="35">
        <f t="shared" si="21"/>
        <v>0</v>
      </c>
    </row>
    <row r="98" spans="2:17" x14ac:dyDescent="0.35">
      <c r="B98" s="37" t="str">
        <f>IFERROR(VLOOKUP(C98, Input1!$C$206:$G$207, 3, FALSE), "")</f>
        <v/>
      </c>
      <c r="C98" s="38"/>
      <c r="D98" s="39"/>
      <c r="E98" s="32" t="str">
        <f>IFERROR(VLOOKUP(C98, Input1!$C$204:$G$2000, 2, FALSE), "")</f>
        <v/>
      </c>
      <c r="F98" s="41">
        <v>0</v>
      </c>
      <c r="G98" s="35" t="str">
        <f t="shared" si="16"/>
        <v/>
      </c>
      <c r="H98" s="48" t="str">
        <f>IFERROR(VLOOKUP(C98, Input1!$C$204:$G$2000, 4, FALSE), "")</f>
        <v/>
      </c>
      <c r="I98" s="35" t="str">
        <f t="shared" si="17"/>
        <v/>
      </c>
      <c r="J98" s="41" t="str">
        <f>IFERROR(VLOOKUP(C98, Input1!$C$204:$G$2000, 5, FALSE), "")</f>
        <v/>
      </c>
      <c r="K98" s="34">
        <f t="shared" si="14"/>
        <v>0</v>
      </c>
      <c r="L98" s="42">
        <f t="shared" si="15"/>
        <v>0</v>
      </c>
      <c r="M98" s="35">
        <f t="shared" si="18"/>
        <v>0</v>
      </c>
      <c r="N98" s="41">
        <v>0</v>
      </c>
      <c r="O98" s="35">
        <f t="shared" si="19"/>
        <v>0</v>
      </c>
      <c r="P98" s="36">
        <f t="shared" si="20"/>
        <v>0</v>
      </c>
      <c r="Q98" s="35">
        <f t="shared" si="21"/>
        <v>0</v>
      </c>
    </row>
    <row r="99" spans="2:17" x14ac:dyDescent="0.35">
      <c r="B99" s="37" t="str">
        <f>IFERROR(VLOOKUP(C99, Input1!$C$206:$G$207, 3, FALSE), "")</f>
        <v/>
      </c>
      <c r="C99" s="38"/>
      <c r="D99" s="39"/>
      <c r="E99" s="32" t="str">
        <f>IFERROR(VLOOKUP(C99, Input1!$C$204:$G$2000, 2, FALSE), "")</f>
        <v/>
      </c>
      <c r="F99" s="41">
        <v>0</v>
      </c>
      <c r="G99" s="35" t="str">
        <f t="shared" si="16"/>
        <v/>
      </c>
      <c r="H99" s="48" t="str">
        <f>IFERROR(VLOOKUP(C99, Input1!$C$204:$G$2000, 4, FALSE), "")</f>
        <v/>
      </c>
      <c r="I99" s="35" t="str">
        <f t="shared" si="17"/>
        <v/>
      </c>
      <c r="J99" s="41" t="str">
        <f>IFERROR(VLOOKUP(C99, Input1!$C$204:$G$2000, 5, FALSE), "")</f>
        <v/>
      </c>
      <c r="K99" s="34">
        <f t="shared" si="14"/>
        <v>0</v>
      </c>
      <c r="L99" s="42">
        <f t="shared" si="15"/>
        <v>0</v>
      </c>
      <c r="M99" s="35">
        <f t="shared" si="18"/>
        <v>0</v>
      </c>
      <c r="N99" s="41">
        <v>0</v>
      </c>
      <c r="O99" s="35">
        <f t="shared" si="19"/>
        <v>0</v>
      </c>
      <c r="P99" s="36">
        <f t="shared" si="20"/>
        <v>0</v>
      </c>
      <c r="Q99" s="35">
        <f t="shared" si="21"/>
        <v>0</v>
      </c>
    </row>
    <row r="100" spans="2:17" x14ac:dyDescent="0.35">
      <c r="B100" s="37" t="str">
        <f>IFERROR(VLOOKUP(C100, Input1!$C$206:$G$207, 3, FALSE), "")</f>
        <v/>
      </c>
      <c r="C100" s="38"/>
      <c r="D100" s="39"/>
      <c r="E100" s="32" t="str">
        <f>IFERROR(VLOOKUP(C100, Input1!$C$204:$G$2000, 2, FALSE), "")</f>
        <v/>
      </c>
      <c r="F100" s="41">
        <v>0</v>
      </c>
      <c r="G100" s="35" t="str">
        <f t="shared" si="16"/>
        <v/>
      </c>
      <c r="H100" s="48" t="str">
        <f>IFERROR(VLOOKUP(C100, Input1!$C$204:$G$2000, 4, FALSE), "")</f>
        <v/>
      </c>
      <c r="I100" s="35" t="str">
        <f t="shared" si="17"/>
        <v/>
      </c>
      <c r="J100" s="41" t="str">
        <f>IFERROR(VLOOKUP(C100, Input1!$C$204:$G$2000, 5, FALSE), "")</f>
        <v/>
      </c>
      <c r="K100" s="34">
        <f t="shared" si="14"/>
        <v>0</v>
      </c>
      <c r="L100" s="42">
        <f t="shared" si="15"/>
        <v>0</v>
      </c>
      <c r="M100" s="35">
        <f t="shared" si="18"/>
        <v>0</v>
      </c>
      <c r="N100" s="41">
        <v>0</v>
      </c>
      <c r="O100" s="35">
        <f t="shared" si="19"/>
        <v>0</v>
      </c>
      <c r="P100" s="36">
        <f t="shared" si="20"/>
        <v>0</v>
      </c>
      <c r="Q100" s="35">
        <f t="shared" si="21"/>
        <v>0</v>
      </c>
    </row>
    <row r="101" spans="2:17" x14ac:dyDescent="0.35">
      <c r="B101" s="37" t="str">
        <f>IFERROR(VLOOKUP(C101, Input1!$C$206:$G$207, 3, FALSE), "")</f>
        <v/>
      </c>
      <c r="C101" s="38"/>
      <c r="D101" s="39"/>
      <c r="E101" s="32" t="str">
        <f>IFERROR(VLOOKUP(C101, Input1!$C$204:$G$2000, 2, FALSE), "")</f>
        <v/>
      </c>
      <c r="F101" s="41">
        <v>0</v>
      </c>
      <c r="G101" s="35" t="str">
        <f t="shared" si="16"/>
        <v/>
      </c>
      <c r="H101" s="48" t="str">
        <f>IFERROR(VLOOKUP(C101, Input1!$C$204:$G$2000, 4, FALSE), "")</f>
        <v/>
      </c>
      <c r="I101" s="35" t="str">
        <f t="shared" si="17"/>
        <v/>
      </c>
      <c r="J101" s="41" t="str">
        <f>IFERROR(VLOOKUP(C101, Input1!$C$204:$G$2000, 5, FALSE), "")</f>
        <v/>
      </c>
      <c r="K101" s="34">
        <f t="shared" si="14"/>
        <v>0</v>
      </c>
      <c r="L101" s="42">
        <f t="shared" si="15"/>
        <v>0</v>
      </c>
      <c r="M101" s="35">
        <f t="shared" si="18"/>
        <v>0</v>
      </c>
      <c r="N101" s="41">
        <v>0</v>
      </c>
      <c r="O101" s="35">
        <f t="shared" si="19"/>
        <v>0</v>
      </c>
      <c r="P101" s="36">
        <f t="shared" si="20"/>
        <v>0</v>
      </c>
      <c r="Q101" s="35">
        <f t="shared" si="21"/>
        <v>0</v>
      </c>
    </row>
    <row r="102" spans="2:17" x14ac:dyDescent="0.35">
      <c r="B102" s="37" t="str">
        <f>IFERROR(VLOOKUP(C102, Input1!$C$206:$G$207, 3, FALSE), "")</f>
        <v/>
      </c>
      <c r="C102" s="38"/>
      <c r="D102" s="39"/>
      <c r="E102" s="32" t="str">
        <f>IFERROR(VLOOKUP(C102, Input1!$C$204:$G$2000, 2, FALSE), "")</f>
        <v/>
      </c>
      <c r="F102" s="41">
        <v>0</v>
      </c>
      <c r="G102" s="35" t="str">
        <f t="shared" si="16"/>
        <v/>
      </c>
      <c r="H102" s="48" t="str">
        <f>IFERROR(VLOOKUP(C102, Input1!$C$204:$G$2000, 4, FALSE), "")</f>
        <v/>
      </c>
      <c r="I102" s="35" t="str">
        <f t="shared" si="17"/>
        <v/>
      </c>
      <c r="J102" s="41" t="str">
        <f>IFERROR(VLOOKUP(C102, Input1!$C$204:$G$2000, 5, FALSE), "")</f>
        <v/>
      </c>
      <c r="K102" s="34">
        <f t="shared" si="14"/>
        <v>0</v>
      </c>
      <c r="L102" s="42">
        <f t="shared" si="15"/>
        <v>0</v>
      </c>
      <c r="M102" s="35">
        <f t="shared" si="18"/>
        <v>0</v>
      </c>
      <c r="N102" s="41">
        <v>0</v>
      </c>
      <c r="O102" s="35">
        <f t="shared" si="19"/>
        <v>0</v>
      </c>
      <c r="P102" s="36">
        <f t="shared" si="20"/>
        <v>0</v>
      </c>
      <c r="Q102" s="35">
        <f t="shared" si="21"/>
        <v>0</v>
      </c>
    </row>
    <row r="103" spans="2:17" x14ac:dyDescent="0.35">
      <c r="B103" s="37" t="str">
        <f>IFERROR(VLOOKUP(C103, Input1!$C$206:$G$207, 3, FALSE), "")</f>
        <v/>
      </c>
      <c r="C103" s="38"/>
      <c r="D103" s="39"/>
      <c r="E103" s="32" t="str">
        <f>IFERROR(VLOOKUP(C103, Input1!$C$204:$G$2000, 2, FALSE), "")</f>
        <v/>
      </c>
      <c r="F103" s="41">
        <v>0</v>
      </c>
      <c r="G103" s="35" t="str">
        <f t="shared" si="16"/>
        <v/>
      </c>
      <c r="H103" s="48" t="str">
        <f>IFERROR(VLOOKUP(C103, Input1!$C$204:$G$2000, 4, FALSE), "")</f>
        <v/>
      </c>
      <c r="I103" s="35" t="str">
        <f t="shared" si="17"/>
        <v/>
      </c>
      <c r="J103" s="41" t="str">
        <f>IFERROR(VLOOKUP(C103, Input1!$C$204:$G$2000, 5, FALSE), "")</f>
        <v/>
      </c>
      <c r="K103" s="34">
        <f t="shared" si="14"/>
        <v>0</v>
      </c>
      <c r="L103" s="42">
        <f t="shared" si="15"/>
        <v>0</v>
      </c>
      <c r="M103" s="35">
        <f t="shared" si="18"/>
        <v>0</v>
      </c>
      <c r="N103" s="41">
        <v>0</v>
      </c>
      <c r="O103" s="35">
        <f t="shared" si="19"/>
        <v>0</v>
      </c>
      <c r="P103" s="36">
        <f t="shared" si="20"/>
        <v>0</v>
      </c>
      <c r="Q103" s="35">
        <f t="shared" si="21"/>
        <v>0</v>
      </c>
    </row>
    <row r="104" spans="2:17" x14ac:dyDescent="0.35">
      <c r="B104" s="37" t="str">
        <f>IFERROR(VLOOKUP(C104, Input1!$C$206:$G$207, 3, FALSE), "")</f>
        <v/>
      </c>
      <c r="C104" s="38"/>
      <c r="D104" s="39"/>
      <c r="E104" s="32" t="str">
        <f>IFERROR(VLOOKUP(C104, Input1!$C$204:$G$2000, 2, FALSE), "")</f>
        <v/>
      </c>
      <c r="F104" s="41">
        <v>0</v>
      </c>
      <c r="G104" s="35" t="str">
        <f t="shared" si="16"/>
        <v/>
      </c>
      <c r="H104" s="48" t="str">
        <f>IFERROR(VLOOKUP(C104, Input1!$C$204:$G$2000, 4, FALSE), "")</f>
        <v/>
      </c>
      <c r="I104" s="35" t="str">
        <f t="shared" si="17"/>
        <v/>
      </c>
      <c r="J104" s="41" t="str">
        <f>IFERROR(VLOOKUP(C104, Input1!$C$204:$G$2000, 5, FALSE), "")</f>
        <v/>
      </c>
      <c r="K104" s="34">
        <f t="shared" si="14"/>
        <v>0</v>
      </c>
      <c r="L104" s="42">
        <f t="shared" si="15"/>
        <v>0</v>
      </c>
      <c r="M104" s="35">
        <f t="shared" si="18"/>
        <v>0</v>
      </c>
      <c r="N104" s="41">
        <v>0</v>
      </c>
      <c r="O104" s="35">
        <f t="shared" si="19"/>
        <v>0</v>
      </c>
      <c r="P104" s="36">
        <f t="shared" si="20"/>
        <v>0</v>
      </c>
      <c r="Q104" s="35">
        <f t="shared" si="21"/>
        <v>0</v>
      </c>
    </row>
    <row r="105" spans="2:17" x14ac:dyDescent="0.35">
      <c r="B105" s="37" t="str">
        <f>IFERROR(VLOOKUP(C105, Input1!$C$206:$G$207, 3, FALSE), "")</f>
        <v/>
      </c>
      <c r="C105" s="38"/>
      <c r="D105" s="39"/>
      <c r="E105" s="32" t="str">
        <f>IFERROR(VLOOKUP(C105, Input1!$C$204:$G$2000, 2, FALSE), "")</f>
        <v/>
      </c>
      <c r="F105" s="41">
        <v>0</v>
      </c>
      <c r="G105" s="35" t="str">
        <f t="shared" si="16"/>
        <v/>
      </c>
      <c r="H105" s="48" t="str">
        <f>IFERROR(VLOOKUP(C105, Input1!$C$204:$G$2000, 4, FALSE), "")</f>
        <v/>
      </c>
      <c r="I105" s="35" t="str">
        <f t="shared" si="17"/>
        <v/>
      </c>
      <c r="J105" s="41" t="str">
        <f>IFERROR(VLOOKUP(C105, Input1!$C$204:$G$2000, 5, FALSE), "")</f>
        <v/>
      </c>
      <c r="K105" s="34">
        <f t="shared" si="14"/>
        <v>0</v>
      </c>
      <c r="L105" s="42">
        <f t="shared" si="15"/>
        <v>0</v>
      </c>
      <c r="M105" s="35">
        <f t="shared" si="18"/>
        <v>0</v>
      </c>
      <c r="N105" s="41">
        <v>0</v>
      </c>
      <c r="O105" s="35">
        <f t="shared" si="19"/>
        <v>0</v>
      </c>
      <c r="P105" s="36">
        <f t="shared" si="20"/>
        <v>0</v>
      </c>
      <c r="Q105" s="35">
        <f t="shared" si="21"/>
        <v>0</v>
      </c>
    </row>
    <row r="106" spans="2:17" x14ac:dyDescent="0.35">
      <c r="B106" s="37" t="str">
        <f>IFERROR(VLOOKUP(C106, Input1!$C$206:$G$207, 3, FALSE), "")</f>
        <v/>
      </c>
      <c r="C106" s="38"/>
      <c r="D106" s="39"/>
      <c r="E106" s="32" t="str">
        <f>IFERROR(VLOOKUP(C106, Input1!$C$204:$G$2000, 2, FALSE), "")</f>
        <v/>
      </c>
      <c r="F106" s="41">
        <v>0</v>
      </c>
      <c r="G106" s="35" t="str">
        <f t="shared" si="16"/>
        <v/>
      </c>
      <c r="H106" s="48" t="str">
        <f>IFERROR(VLOOKUP(C106, Input1!$C$204:$G$2000, 4, FALSE), "")</f>
        <v/>
      </c>
      <c r="I106" s="35" t="str">
        <f t="shared" si="17"/>
        <v/>
      </c>
      <c r="J106" s="41" t="str">
        <f>IFERROR(VLOOKUP(C106, Input1!$C$204:$G$2000, 5, FALSE), "")</f>
        <v/>
      </c>
      <c r="K106" s="34">
        <f t="shared" si="14"/>
        <v>0</v>
      </c>
      <c r="L106" s="42">
        <f t="shared" si="15"/>
        <v>0</v>
      </c>
      <c r="M106" s="35">
        <f t="shared" si="18"/>
        <v>0</v>
      </c>
      <c r="N106" s="41">
        <v>0</v>
      </c>
      <c r="O106" s="35">
        <f t="shared" si="19"/>
        <v>0</v>
      </c>
      <c r="P106" s="36">
        <f t="shared" si="20"/>
        <v>0</v>
      </c>
      <c r="Q106" s="35">
        <f t="shared" si="21"/>
        <v>0</v>
      </c>
    </row>
    <row r="107" spans="2:17" x14ac:dyDescent="0.35">
      <c r="B107" s="37" t="str">
        <f>IFERROR(VLOOKUP(C107, Input1!$C$206:$G$207, 3, FALSE), "")</f>
        <v/>
      </c>
      <c r="C107" s="38"/>
      <c r="D107" s="39"/>
      <c r="E107" s="32" t="str">
        <f>IFERROR(VLOOKUP(C107, Input1!$C$204:$G$2000, 2, FALSE), "")</f>
        <v/>
      </c>
      <c r="F107" s="41">
        <v>0</v>
      </c>
      <c r="G107" s="35" t="str">
        <f t="shared" si="16"/>
        <v/>
      </c>
      <c r="H107" s="48" t="str">
        <f>IFERROR(VLOOKUP(C107, Input1!$C$204:$G$2000, 4, FALSE), "")</f>
        <v/>
      </c>
      <c r="I107" s="35" t="str">
        <f t="shared" si="17"/>
        <v/>
      </c>
      <c r="J107" s="41" t="str">
        <f>IFERROR(VLOOKUP(C107, Input1!$C$204:$G$2000, 5, FALSE), "")</f>
        <v/>
      </c>
      <c r="K107" s="34">
        <f t="shared" si="14"/>
        <v>0</v>
      </c>
      <c r="L107" s="42">
        <f t="shared" si="15"/>
        <v>0</v>
      </c>
      <c r="M107" s="35">
        <f t="shared" si="18"/>
        <v>0</v>
      </c>
      <c r="N107" s="41">
        <v>0</v>
      </c>
      <c r="O107" s="35">
        <f t="shared" si="19"/>
        <v>0</v>
      </c>
      <c r="P107" s="36">
        <f t="shared" si="20"/>
        <v>0</v>
      </c>
      <c r="Q107" s="35">
        <f t="shared" si="21"/>
        <v>0</v>
      </c>
    </row>
    <row r="108" spans="2:17" x14ac:dyDescent="0.35">
      <c r="B108" s="37" t="str">
        <f>IFERROR(VLOOKUP(C108, Input1!$C$206:$G$207, 3, FALSE), "")</f>
        <v/>
      </c>
      <c r="C108" s="38"/>
      <c r="D108" s="39"/>
      <c r="E108" s="32" t="str">
        <f>IFERROR(VLOOKUP(C108, Input1!$C$204:$G$2000, 2, FALSE), "")</f>
        <v/>
      </c>
      <c r="F108" s="41">
        <v>0</v>
      </c>
      <c r="G108" s="35" t="str">
        <f t="shared" si="16"/>
        <v/>
      </c>
      <c r="H108" s="48" t="str">
        <f>IFERROR(VLOOKUP(C108, Input1!$C$204:$G$2000, 4, FALSE), "")</f>
        <v/>
      </c>
      <c r="I108" s="35" t="str">
        <f t="shared" si="17"/>
        <v/>
      </c>
      <c r="J108" s="41" t="str">
        <f>IFERROR(VLOOKUP(C108, Input1!$C$204:$G$2000, 5, FALSE), "")</f>
        <v/>
      </c>
      <c r="K108" s="34">
        <f t="shared" si="14"/>
        <v>0</v>
      </c>
      <c r="L108" s="42">
        <f t="shared" si="15"/>
        <v>0</v>
      </c>
      <c r="M108" s="35">
        <f t="shared" si="18"/>
        <v>0</v>
      </c>
      <c r="N108" s="41">
        <v>0</v>
      </c>
      <c r="O108" s="35">
        <f t="shared" si="19"/>
        <v>0</v>
      </c>
      <c r="P108" s="36">
        <f t="shared" si="20"/>
        <v>0</v>
      </c>
      <c r="Q108" s="35">
        <f t="shared" si="21"/>
        <v>0</v>
      </c>
    </row>
    <row r="109" spans="2:17" x14ac:dyDescent="0.35">
      <c r="B109" s="37" t="str">
        <f>IFERROR(VLOOKUP(C109, Input1!$C$206:$G$207, 3, FALSE), "")</f>
        <v/>
      </c>
      <c r="C109" s="38"/>
      <c r="D109" s="39"/>
      <c r="E109" s="32" t="str">
        <f>IFERROR(VLOOKUP(C109, Input1!$C$204:$G$2000, 2, FALSE), "")</f>
        <v/>
      </c>
      <c r="F109" s="41">
        <v>0</v>
      </c>
      <c r="G109" s="35" t="str">
        <f t="shared" si="16"/>
        <v/>
      </c>
      <c r="H109" s="48" t="str">
        <f>IFERROR(VLOOKUP(C109, Input1!$C$204:$G$2000, 4, FALSE), "")</f>
        <v/>
      </c>
      <c r="I109" s="35" t="str">
        <f t="shared" si="17"/>
        <v/>
      </c>
      <c r="J109" s="41" t="str">
        <f>IFERROR(VLOOKUP(C109, Input1!$C$204:$G$2000, 5, FALSE), "")</f>
        <v/>
      </c>
      <c r="K109" s="34">
        <f t="shared" si="14"/>
        <v>0</v>
      </c>
      <c r="L109" s="42">
        <f t="shared" si="15"/>
        <v>0</v>
      </c>
      <c r="M109" s="35">
        <f t="shared" si="18"/>
        <v>0</v>
      </c>
      <c r="N109" s="41">
        <v>0</v>
      </c>
      <c r="O109" s="35">
        <f t="shared" si="19"/>
        <v>0</v>
      </c>
      <c r="P109" s="36">
        <f t="shared" si="20"/>
        <v>0</v>
      </c>
      <c r="Q109" s="35">
        <f t="shared" si="21"/>
        <v>0</v>
      </c>
    </row>
    <row r="110" spans="2:17" x14ac:dyDescent="0.35">
      <c r="B110" s="37" t="str">
        <f>IFERROR(VLOOKUP(C110, Input1!$C$206:$G$207, 3, FALSE), "")</f>
        <v/>
      </c>
      <c r="C110" s="38"/>
      <c r="D110" s="39"/>
      <c r="E110" s="32" t="str">
        <f>IFERROR(VLOOKUP(C110, Input1!$C$204:$G$2000, 2, FALSE), "")</f>
        <v/>
      </c>
      <c r="F110" s="41">
        <v>0</v>
      </c>
      <c r="G110" s="35" t="str">
        <f t="shared" si="16"/>
        <v/>
      </c>
      <c r="H110" s="48" t="str">
        <f>IFERROR(VLOOKUP(C110, Input1!$C$204:$G$2000, 4, FALSE), "")</f>
        <v/>
      </c>
      <c r="I110" s="35" t="str">
        <f t="shared" si="17"/>
        <v/>
      </c>
      <c r="J110" s="41" t="str">
        <f>IFERROR(VLOOKUP(C110, Input1!$C$204:$G$2000, 5, FALSE), "")</f>
        <v/>
      </c>
      <c r="K110" s="34">
        <f t="shared" si="14"/>
        <v>0</v>
      </c>
      <c r="L110" s="42">
        <f t="shared" si="15"/>
        <v>0</v>
      </c>
      <c r="M110" s="35">
        <f t="shared" si="18"/>
        <v>0</v>
      </c>
      <c r="N110" s="41">
        <v>0</v>
      </c>
      <c r="O110" s="35">
        <f t="shared" si="19"/>
        <v>0</v>
      </c>
      <c r="P110" s="36">
        <f t="shared" si="20"/>
        <v>0</v>
      </c>
      <c r="Q110" s="35">
        <f t="shared" si="21"/>
        <v>0</v>
      </c>
    </row>
    <row r="111" spans="2:17" x14ac:dyDescent="0.35">
      <c r="B111" s="37" t="str">
        <f>IFERROR(VLOOKUP(C111, Input1!$C$206:$G$207, 3, FALSE), "")</f>
        <v/>
      </c>
      <c r="C111" s="38"/>
      <c r="D111" s="39"/>
      <c r="E111" s="32" t="str">
        <f>IFERROR(VLOOKUP(C111, Input1!$C$204:$G$2000, 2, FALSE), "")</f>
        <v/>
      </c>
      <c r="F111" s="41">
        <v>0</v>
      </c>
      <c r="G111" s="35" t="str">
        <f t="shared" si="16"/>
        <v/>
      </c>
      <c r="H111" s="48" t="str">
        <f>IFERROR(VLOOKUP(C111, Input1!$C$204:$G$2000, 4, FALSE), "")</f>
        <v/>
      </c>
      <c r="I111" s="35" t="str">
        <f t="shared" si="17"/>
        <v/>
      </c>
      <c r="J111" s="41" t="str">
        <f>IFERROR(VLOOKUP(C111, Input1!$C$204:$G$2000, 5, FALSE), "")</f>
        <v/>
      </c>
      <c r="K111" s="34">
        <f t="shared" si="14"/>
        <v>0</v>
      </c>
      <c r="L111" s="42">
        <f t="shared" si="15"/>
        <v>0</v>
      </c>
      <c r="M111" s="35">
        <f t="shared" si="18"/>
        <v>0</v>
      </c>
      <c r="N111" s="41">
        <v>0</v>
      </c>
      <c r="O111" s="35">
        <f t="shared" si="19"/>
        <v>0</v>
      </c>
      <c r="P111" s="36">
        <f t="shared" si="20"/>
        <v>0</v>
      </c>
      <c r="Q111" s="35">
        <f t="shared" si="21"/>
        <v>0</v>
      </c>
    </row>
    <row r="112" spans="2:17" x14ac:dyDescent="0.35">
      <c r="B112" s="37" t="str">
        <f>IFERROR(VLOOKUP(C112, Input1!$C$206:$G$207, 3, FALSE), "")</f>
        <v/>
      </c>
      <c r="C112" s="38"/>
      <c r="D112" s="39"/>
      <c r="E112" s="32" t="str">
        <f>IFERROR(VLOOKUP(C112, Input1!$C$204:$G$2000, 2, FALSE), "")</f>
        <v/>
      </c>
      <c r="F112" s="41">
        <v>0</v>
      </c>
      <c r="G112" s="35" t="str">
        <f t="shared" si="16"/>
        <v/>
      </c>
      <c r="H112" s="48" t="str">
        <f>IFERROR(VLOOKUP(C112, Input1!$C$204:$G$2000, 4, FALSE), "")</f>
        <v/>
      </c>
      <c r="I112" s="35" t="str">
        <f t="shared" si="17"/>
        <v/>
      </c>
      <c r="J112" s="41" t="str">
        <f>IFERROR(VLOOKUP(C112, Input1!$C$204:$G$2000, 5, FALSE), "")</f>
        <v/>
      </c>
      <c r="K112" s="34">
        <f t="shared" si="14"/>
        <v>0</v>
      </c>
      <c r="L112" s="42">
        <f t="shared" si="15"/>
        <v>0</v>
      </c>
      <c r="M112" s="35">
        <f t="shared" si="18"/>
        <v>0</v>
      </c>
      <c r="N112" s="41">
        <v>0</v>
      </c>
      <c r="O112" s="35">
        <f t="shared" si="19"/>
        <v>0</v>
      </c>
      <c r="P112" s="36">
        <f t="shared" si="20"/>
        <v>0</v>
      </c>
      <c r="Q112" s="35">
        <f t="shared" si="21"/>
        <v>0</v>
      </c>
    </row>
    <row r="113" spans="2:17" x14ac:dyDescent="0.35">
      <c r="B113" s="37" t="str">
        <f>IFERROR(VLOOKUP(C113, Input1!$C$206:$G$207, 3, FALSE), "")</f>
        <v/>
      </c>
      <c r="C113" s="38"/>
      <c r="D113" s="39"/>
      <c r="E113" s="32" t="str">
        <f>IFERROR(VLOOKUP(C113, Input1!$C$204:$G$2000, 2, FALSE), "")</f>
        <v/>
      </c>
      <c r="F113" s="41">
        <v>0</v>
      </c>
      <c r="G113" s="35" t="str">
        <f t="shared" si="16"/>
        <v/>
      </c>
      <c r="H113" s="48" t="str">
        <f>IFERROR(VLOOKUP(C113, Input1!$C$204:$G$2000, 4, FALSE), "")</f>
        <v/>
      </c>
      <c r="I113" s="35" t="str">
        <f t="shared" si="17"/>
        <v/>
      </c>
      <c r="J113" s="41" t="str">
        <f>IFERROR(VLOOKUP(C113, Input1!$C$204:$G$2000, 5, FALSE), "")</f>
        <v/>
      </c>
      <c r="K113" s="34">
        <f t="shared" si="14"/>
        <v>0</v>
      </c>
      <c r="L113" s="42">
        <f t="shared" si="15"/>
        <v>0</v>
      </c>
      <c r="M113" s="35">
        <f t="shared" si="18"/>
        <v>0</v>
      </c>
      <c r="N113" s="41">
        <v>0</v>
      </c>
      <c r="O113" s="35">
        <f t="shared" si="19"/>
        <v>0</v>
      </c>
      <c r="P113" s="36">
        <f t="shared" si="20"/>
        <v>0</v>
      </c>
      <c r="Q113" s="35">
        <f t="shared" si="21"/>
        <v>0</v>
      </c>
    </row>
    <row r="114" spans="2:17" x14ac:dyDescent="0.35">
      <c r="B114" s="37" t="str">
        <f>IFERROR(VLOOKUP(C114, Input1!$C$206:$G$207, 3, FALSE), "")</f>
        <v/>
      </c>
      <c r="C114" s="38"/>
      <c r="D114" s="39"/>
      <c r="E114" s="32" t="str">
        <f>IFERROR(VLOOKUP(C114, Input1!$C$204:$G$2000, 2, FALSE), "")</f>
        <v/>
      </c>
      <c r="F114" s="41">
        <v>0</v>
      </c>
      <c r="G114" s="35" t="str">
        <f t="shared" si="16"/>
        <v/>
      </c>
      <c r="H114" s="48" t="str">
        <f>IFERROR(VLOOKUP(C114, Input1!$C$204:$G$2000, 4, FALSE), "")</f>
        <v/>
      </c>
      <c r="I114" s="35" t="str">
        <f t="shared" si="17"/>
        <v/>
      </c>
      <c r="J114" s="41" t="str">
        <f>IFERROR(VLOOKUP(C114, Input1!$C$204:$G$2000, 5, FALSE), "")</f>
        <v/>
      </c>
      <c r="K114" s="34">
        <f t="shared" si="14"/>
        <v>0</v>
      </c>
      <c r="L114" s="42">
        <f t="shared" si="15"/>
        <v>0</v>
      </c>
      <c r="M114" s="35">
        <f t="shared" si="18"/>
        <v>0</v>
      </c>
      <c r="N114" s="41">
        <v>0</v>
      </c>
      <c r="O114" s="35">
        <f t="shared" si="19"/>
        <v>0</v>
      </c>
      <c r="P114" s="36">
        <f t="shared" si="20"/>
        <v>0</v>
      </c>
      <c r="Q114" s="35">
        <f t="shared" si="21"/>
        <v>0</v>
      </c>
    </row>
    <row r="115" spans="2:17" x14ac:dyDescent="0.35">
      <c r="B115" s="37" t="str">
        <f>IFERROR(VLOOKUP(C115, Input1!$C$206:$G$207, 3, FALSE), "")</f>
        <v/>
      </c>
      <c r="C115" s="38"/>
      <c r="D115" s="39"/>
      <c r="E115" s="32" t="str">
        <f>IFERROR(VLOOKUP(C115, Input1!$C$204:$G$2000, 2, FALSE), "")</f>
        <v/>
      </c>
      <c r="F115" s="41">
        <v>0</v>
      </c>
      <c r="G115" s="35" t="str">
        <f t="shared" si="16"/>
        <v/>
      </c>
      <c r="H115" s="48" t="str">
        <f>IFERROR(VLOOKUP(C115, Input1!$C$204:$G$2000, 4, FALSE), "")</f>
        <v/>
      </c>
      <c r="I115" s="35" t="str">
        <f t="shared" si="17"/>
        <v/>
      </c>
      <c r="J115" s="41" t="str">
        <f>IFERROR(VLOOKUP(C115, Input1!$C$204:$G$2000, 5, FALSE), "")</f>
        <v/>
      </c>
      <c r="K115" s="34">
        <f t="shared" si="14"/>
        <v>0</v>
      </c>
      <c r="L115" s="42">
        <f t="shared" si="15"/>
        <v>0</v>
      </c>
      <c r="M115" s="35">
        <f t="shared" si="18"/>
        <v>0</v>
      </c>
      <c r="N115" s="41">
        <v>0</v>
      </c>
      <c r="O115" s="35">
        <f t="shared" si="19"/>
        <v>0</v>
      </c>
      <c r="P115" s="36">
        <f t="shared" si="20"/>
        <v>0</v>
      </c>
      <c r="Q115" s="35">
        <f t="shared" si="21"/>
        <v>0</v>
      </c>
    </row>
    <row r="116" spans="2:17" x14ac:dyDescent="0.35">
      <c r="B116" s="37" t="str">
        <f>IFERROR(VLOOKUP(C116, Input1!$C$206:$G$207, 3, FALSE), "")</f>
        <v/>
      </c>
      <c r="C116" s="38"/>
      <c r="D116" s="39"/>
      <c r="E116" s="32" t="str">
        <f>IFERROR(VLOOKUP(C116, Input1!$C$204:$G$2000, 2, FALSE), "")</f>
        <v/>
      </c>
      <c r="F116" s="41">
        <v>0</v>
      </c>
      <c r="G116" s="35" t="str">
        <f t="shared" si="16"/>
        <v/>
      </c>
      <c r="H116" s="48" t="str">
        <f>IFERROR(VLOOKUP(C116, Input1!$C$204:$G$2000, 4, FALSE), "")</f>
        <v/>
      </c>
      <c r="I116" s="35" t="str">
        <f t="shared" si="17"/>
        <v/>
      </c>
      <c r="J116" s="41" t="str">
        <f>IFERROR(VLOOKUP(C116, Input1!$C$204:$G$2000, 5, FALSE), "")</f>
        <v/>
      </c>
      <c r="K116" s="34">
        <f t="shared" si="14"/>
        <v>0</v>
      </c>
      <c r="L116" s="42">
        <f t="shared" si="15"/>
        <v>0</v>
      </c>
      <c r="M116" s="35">
        <f t="shared" si="18"/>
        <v>0</v>
      </c>
      <c r="N116" s="41">
        <v>0</v>
      </c>
      <c r="O116" s="35">
        <f t="shared" si="19"/>
        <v>0</v>
      </c>
      <c r="P116" s="36">
        <f t="shared" si="20"/>
        <v>0</v>
      </c>
      <c r="Q116" s="35">
        <f t="shared" si="21"/>
        <v>0</v>
      </c>
    </row>
    <row r="117" spans="2:17" x14ac:dyDescent="0.35">
      <c r="B117" s="37" t="str">
        <f>IFERROR(VLOOKUP(C117, Input1!$C$206:$G$207, 3, FALSE), "")</f>
        <v/>
      </c>
      <c r="C117" s="38"/>
      <c r="D117" s="39"/>
      <c r="E117" s="32" t="str">
        <f>IFERROR(VLOOKUP(C117, Input1!$C$204:$G$2000, 2, FALSE), "")</f>
        <v/>
      </c>
      <c r="F117" s="41">
        <v>0</v>
      </c>
      <c r="G117" s="35" t="str">
        <f t="shared" si="16"/>
        <v/>
      </c>
      <c r="H117" s="48" t="str">
        <f>IFERROR(VLOOKUP(C117, Input1!$C$204:$G$2000, 4, FALSE), "")</f>
        <v/>
      </c>
      <c r="I117" s="35" t="str">
        <f t="shared" si="17"/>
        <v/>
      </c>
      <c r="J117" s="41" t="str">
        <f>IFERROR(VLOOKUP(C117, Input1!$C$204:$G$2000, 5, FALSE), "")</f>
        <v/>
      </c>
      <c r="K117" s="34">
        <f t="shared" si="14"/>
        <v>0</v>
      </c>
      <c r="L117" s="42">
        <f t="shared" si="15"/>
        <v>0</v>
      </c>
      <c r="M117" s="35">
        <f t="shared" si="18"/>
        <v>0</v>
      </c>
      <c r="N117" s="41">
        <v>0</v>
      </c>
      <c r="O117" s="35">
        <f t="shared" si="19"/>
        <v>0</v>
      </c>
      <c r="P117" s="36">
        <f t="shared" si="20"/>
        <v>0</v>
      </c>
      <c r="Q117" s="35">
        <f t="shared" si="21"/>
        <v>0</v>
      </c>
    </row>
    <row r="118" spans="2:17" x14ac:dyDescent="0.35">
      <c r="B118" s="37" t="str">
        <f>IFERROR(VLOOKUP(C118, Input1!$C$206:$G$207, 3, FALSE), "")</f>
        <v/>
      </c>
      <c r="C118" s="38"/>
      <c r="D118" s="39"/>
      <c r="E118" s="32" t="str">
        <f>IFERROR(VLOOKUP(C118, Input1!$C$204:$G$2000, 2, FALSE), "")</f>
        <v/>
      </c>
      <c r="F118" s="41">
        <v>0</v>
      </c>
      <c r="G118" s="35" t="str">
        <f t="shared" si="16"/>
        <v/>
      </c>
      <c r="H118" s="48" t="str">
        <f>IFERROR(VLOOKUP(C118, Input1!$C$204:$G$2000, 4, FALSE), "")</f>
        <v/>
      </c>
      <c r="I118" s="35" t="str">
        <f t="shared" si="17"/>
        <v/>
      </c>
      <c r="J118" s="41" t="str">
        <f>IFERROR(VLOOKUP(C118, Input1!$C$204:$G$2000, 5, FALSE), "")</f>
        <v/>
      </c>
      <c r="K118" s="34">
        <f t="shared" si="14"/>
        <v>0</v>
      </c>
      <c r="L118" s="42">
        <f t="shared" si="15"/>
        <v>0</v>
      </c>
      <c r="M118" s="35">
        <f t="shared" si="18"/>
        <v>0</v>
      </c>
      <c r="N118" s="41">
        <v>0</v>
      </c>
      <c r="O118" s="35">
        <f t="shared" si="19"/>
        <v>0</v>
      </c>
      <c r="P118" s="36">
        <f t="shared" si="20"/>
        <v>0</v>
      </c>
      <c r="Q118" s="35">
        <f t="shared" si="21"/>
        <v>0</v>
      </c>
    </row>
    <row r="119" spans="2:17" x14ac:dyDescent="0.35">
      <c r="B119" s="37" t="str">
        <f>IFERROR(VLOOKUP(C119, Input1!$C$206:$G$207, 3, FALSE), "")</f>
        <v/>
      </c>
      <c r="C119" s="38"/>
      <c r="D119" s="39"/>
      <c r="E119" s="32" t="str">
        <f>IFERROR(VLOOKUP(C119, Input1!$C$204:$G$2000, 2, FALSE), "")</f>
        <v/>
      </c>
      <c r="F119" s="41">
        <v>0</v>
      </c>
      <c r="G119" s="35" t="str">
        <f t="shared" si="16"/>
        <v/>
      </c>
      <c r="H119" s="48" t="str">
        <f>IFERROR(VLOOKUP(C119, Input1!$C$204:$G$2000, 4, FALSE), "")</f>
        <v/>
      </c>
      <c r="I119" s="35" t="str">
        <f t="shared" si="17"/>
        <v/>
      </c>
      <c r="J119" s="41" t="str">
        <f>IFERROR(VLOOKUP(C119, Input1!$C$204:$G$2000, 5, FALSE), "")</f>
        <v/>
      </c>
      <c r="K119" s="34">
        <f t="shared" si="14"/>
        <v>0</v>
      </c>
      <c r="L119" s="42">
        <f t="shared" si="15"/>
        <v>0</v>
      </c>
      <c r="M119" s="35">
        <f t="shared" si="18"/>
        <v>0</v>
      </c>
      <c r="N119" s="41">
        <v>0</v>
      </c>
      <c r="O119" s="35">
        <f t="shared" si="19"/>
        <v>0</v>
      </c>
      <c r="P119" s="36">
        <f t="shared" si="20"/>
        <v>0</v>
      </c>
      <c r="Q119" s="35">
        <f t="shared" si="21"/>
        <v>0</v>
      </c>
    </row>
    <row r="120" spans="2:17" x14ac:dyDescent="0.35">
      <c r="B120" s="37" t="str">
        <f>IFERROR(VLOOKUP(C120, Input1!$C$206:$G$207, 3, FALSE), "")</f>
        <v/>
      </c>
      <c r="C120" s="38"/>
      <c r="D120" s="39"/>
      <c r="E120" s="32" t="str">
        <f>IFERROR(VLOOKUP(C120, Input1!$C$204:$G$2000, 2, FALSE), "")</f>
        <v/>
      </c>
      <c r="F120" s="41">
        <v>0</v>
      </c>
      <c r="G120" s="35" t="str">
        <f t="shared" si="16"/>
        <v/>
      </c>
      <c r="H120" s="48" t="str">
        <f>IFERROR(VLOOKUP(C120, Input1!$C$204:$G$2000, 4, FALSE), "")</f>
        <v/>
      </c>
      <c r="I120" s="35" t="str">
        <f t="shared" si="17"/>
        <v/>
      </c>
      <c r="J120" s="41" t="str">
        <f>IFERROR(VLOOKUP(C120, Input1!$C$204:$G$2000, 5, FALSE), "")</f>
        <v/>
      </c>
      <c r="K120" s="34">
        <f t="shared" si="14"/>
        <v>0</v>
      </c>
      <c r="L120" s="42">
        <f t="shared" si="15"/>
        <v>0</v>
      </c>
      <c r="M120" s="35">
        <f t="shared" si="18"/>
        <v>0</v>
      </c>
      <c r="N120" s="41">
        <v>0</v>
      </c>
      <c r="O120" s="35">
        <f t="shared" si="19"/>
        <v>0</v>
      </c>
      <c r="P120" s="36">
        <f t="shared" si="20"/>
        <v>0</v>
      </c>
      <c r="Q120" s="35">
        <f t="shared" si="21"/>
        <v>0</v>
      </c>
    </row>
    <row r="121" spans="2:17" x14ac:dyDescent="0.35">
      <c r="B121" s="37" t="str">
        <f>IFERROR(VLOOKUP(C121, Input1!$C$206:$G$207, 3, FALSE), "")</f>
        <v/>
      </c>
      <c r="C121" s="38"/>
      <c r="D121" s="39"/>
      <c r="E121" s="32" t="str">
        <f>IFERROR(VLOOKUP(C121, Input1!$C$204:$G$2000, 2, FALSE), "")</f>
        <v/>
      </c>
      <c r="F121" s="41">
        <v>0</v>
      </c>
      <c r="G121" s="35" t="str">
        <f t="shared" si="16"/>
        <v/>
      </c>
      <c r="H121" s="48" t="str">
        <f>IFERROR(VLOOKUP(C121, Input1!$C$204:$G$2000, 4, FALSE), "")</f>
        <v/>
      </c>
      <c r="I121" s="35" t="str">
        <f t="shared" si="17"/>
        <v/>
      </c>
      <c r="J121" s="41" t="str">
        <f>IFERROR(VLOOKUP(C121, Input1!$C$204:$G$2000, 5, FALSE), "")</f>
        <v/>
      </c>
      <c r="K121" s="34">
        <f t="shared" si="14"/>
        <v>0</v>
      </c>
      <c r="L121" s="42">
        <f t="shared" si="15"/>
        <v>0</v>
      </c>
      <c r="M121" s="35">
        <f t="shared" si="18"/>
        <v>0</v>
      </c>
      <c r="N121" s="41">
        <v>0</v>
      </c>
      <c r="O121" s="35">
        <f t="shared" si="19"/>
        <v>0</v>
      </c>
      <c r="P121" s="36">
        <f t="shared" si="20"/>
        <v>0</v>
      </c>
      <c r="Q121" s="35">
        <f t="shared" si="21"/>
        <v>0</v>
      </c>
    </row>
    <row r="122" spans="2:17" x14ac:dyDescent="0.35">
      <c r="B122" s="37" t="str">
        <f>IFERROR(VLOOKUP(C122, Input1!$C$206:$G$207, 3, FALSE), "")</f>
        <v/>
      </c>
      <c r="C122" s="38"/>
      <c r="D122" s="39"/>
      <c r="E122" s="32" t="str">
        <f>IFERROR(VLOOKUP(C122, Input1!$C$204:$G$2000, 2, FALSE), "")</f>
        <v/>
      </c>
      <c r="F122" s="41">
        <v>0</v>
      </c>
      <c r="G122" s="35" t="str">
        <f t="shared" si="16"/>
        <v/>
      </c>
      <c r="H122" s="48" t="str">
        <f>IFERROR(VLOOKUP(C122, Input1!$C$204:$G$2000, 4, FALSE), "")</f>
        <v/>
      </c>
      <c r="I122" s="35" t="str">
        <f t="shared" si="17"/>
        <v/>
      </c>
      <c r="J122" s="41" t="str">
        <f>IFERROR(VLOOKUP(C122, Input1!$C$204:$G$2000, 5, FALSE), "")</f>
        <v/>
      </c>
      <c r="K122" s="34">
        <f t="shared" si="14"/>
        <v>0</v>
      </c>
      <c r="L122" s="42">
        <f t="shared" si="15"/>
        <v>0</v>
      </c>
      <c r="M122" s="35">
        <f t="shared" si="18"/>
        <v>0</v>
      </c>
      <c r="N122" s="41">
        <v>0</v>
      </c>
      <c r="O122" s="35">
        <f t="shared" si="19"/>
        <v>0</v>
      </c>
      <c r="P122" s="36">
        <f t="shared" si="20"/>
        <v>0</v>
      </c>
      <c r="Q122" s="35">
        <f t="shared" si="21"/>
        <v>0</v>
      </c>
    </row>
    <row r="123" spans="2:17" x14ac:dyDescent="0.35">
      <c r="B123" s="37" t="str">
        <f>IFERROR(VLOOKUP(C123, Input1!$C$206:$G$207, 3, FALSE), "")</f>
        <v/>
      </c>
      <c r="C123" s="38"/>
      <c r="D123" s="39"/>
      <c r="E123" s="32" t="str">
        <f>IFERROR(VLOOKUP(C123, Input1!$C$204:$G$2000, 2, FALSE), "")</f>
        <v/>
      </c>
      <c r="F123" s="41">
        <v>0</v>
      </c>
      <c r="G123" s="35" t="str">
        <f t="shared" si="16"/>
        <v/>
      </c>
      <c r="H123" s="48" t="str">
        <f>IFERROR(VLOOKUP(C123, Input1!$C$204:$G$2000, 4, FALSE), "")</f>
        <v/>
      </c>
      <c r="I123" s="35" t="str">
        <f t="shared" si="17"/>
        <v/>
      </c>
      <c r="J123" s="41" t="str">
        <f>IFERROR(VLOOKUP(C123, Input1!$C$204:$G$2000, 5, FALSE), "")</f>
        <v/>
      </c>
      <c r="K123" s="34">
        <f t="shared" si="14"/>
        <v>0</v>
      </c>
      <c r="L123" s="42">
        <f t="shared" si="15"/>
        <v>0</v>
      </c>
      <c r="M123" s="35">
        <f t="shared" si="18"/>
        <v>0</v>
      </c>
      <c r="N123" s="41">
        <v>0</v>
      </c>
      <c r="O123" s="35">
        <f t="shared" si="19"/>
        <v>0</v>
      </c>
      <c r="P123" s="36">
        <f t="shared" si="20"/>
        <v>0</v>
      </c>
      <c r="Q123" s="35">
        <f t="shared" si="21"/>
        <v>0</v>
      </c>
    </row>
    <row r="124" spans="2:17" x14ac:dyDescent="0.35">
      <c r="B124" s="37" t="str">
        <f>IFERROR(VLOOKUP(C124, Input1!$C$206:$G$207, 3, FALSE), "")</f>
        <v/>
      </c>
      <c r="C124" s="38"/>
      <c r="D124" s="39"/>
      <c r="E124" s="32" t="str">
        <f>IFERROR(VLOOKUP(C124, Input1!$C$204:$G$2000, 2, FALSE), "")</f>
        <v/>
      </c>
      <c r="F124" s="41">
        <v>0</v>
      </c>
      <c r="G124" s="35" t="str">
        <f t="shared" si="16"/>
        <v/>
      </c>
      <c r="H124" s="48" t="str">
        <f>IFERROR(VLOOKUP(C124, Input1!$C$204:$G$2000, 4, FALSE), "")</f>
        <v/>
      </c>
      <c r="I124" s="35" t="str">
        <f t="shared" si="17"/>
        <v/>
      </c>
      <c r="J124" s="41" t="str">
        <f>IFERROR(VLOOKUP(C124, Input1!$C$204:$G$2000, 5, FALSE), "")</f>
        <v/>
      </c>
      <c r="K124" s="34">
        <f t="shared" si="14"/>
        <v>0</v>
      </c>
      <c r="L124" s="42">
        <f t="shared" si="15"/>
        <v>0</v>
      </c>
      <c r="M124" s="35">
        <f t="shared" si="18"/>
        <v>0</v>
      </c>
      <c r="N124" s="41">
        <v>0</v>
      </c>
      <c r="O124" s="35">
        <f t="shared" si="19"/>
        <v>0</v>
      </c>
      <c r="P124" s="36">
        <f t="shared" si="20"/>
        <v>0</v>
      </c>
      <c r="Q124" s="35">
        <f t="shared" si="21"/>
        <v>0</v>
      </c>
    </row>
    <row r="125" spans="2:17" x14ac:dyDescent="0.35">
      <c r="B125" s="37" t="str">
        <f>IFERROR(VLOOKUP(C125, Input1!$C$206:$G$207, 3, FALSE), "")</f>
        <v/>
      </c>
      <c r="C125" s="38"/>
      <c r="D125" s="39"/>
      <c r="E125" s="32" t="str">
        <f>IFERROR(VLOOKUP(C125, Input1!$C$204:$G$2000, 2, FALSE), "")</f>
        <v/>
      </c>
      <c r="F125" s="41">
        <v>0</v>
      </c>
      <c r="G125" s="35" t="str">
        <f t="shared" si="16"/>
        <v/>
      </c>
      <c r="H125" s="48" t="str">
        <f>IFERROR(VLOOKUP(C125, Input1!$C$204:$G$2000, 4, FALSE), "")</f>
        <v/>
      </c>
      <c r="I125" s="35" t="str">
        <f t="shared" si="17"/>
        <v/>
      </c>
      <c r="J125" s="41" t="str">
        <f>IFERROR(VLOOKUP(C125, Input1!$C$204:$G$2000, 5, FALSE), "")</f>
        <v/>
      </c>
      <c r="K125" s="34">
        <f t="shared" si="14"/>
        <v>0</v>
      </c>
      <c r="L125" s="42">
        <f t="shared" si="15"/>
        <v>0</v>
      </c>
      <c r="M125" s="35">
        <f t="shared" si="18"/>
        <v>0</v>
      </c>
      <c r="N125" s="41">
        <v>0</v>
      </c>
      <c r="O125" s="35">
        <f t="shared" si="19"/>
        <v>0</v>
      </c>
      <c r="P125" s="36">
        <f t="shared" si="20"/>
        <v>0</v>
      </c>
      <c r="Q125" s="35">
        <f t="shared" si="21"/>
        <v>0</v>
      </c>
    </row>
    <row r="126" spans="2:17" x14ac:dyDescent="0.35">
      <c r="B126" s="37" t="str">
        <f>IFERROR(VLOOKUP(C126, Input1!$C$206:$G$207, 3, FALSE), "")</f>
        <v/>
      </c>
      <c r="C126" s="38"/>
      <c r="D126" s="39"/>
      <c r="E126" s="32" t="str">
        <f>IFERROR(VLOOKUP(C126, Input1!$C$204:$G$2000, 2, FALSE), "")</f>
        <v/>
      </c>
      <c r="F126" s="41">
        <v>0</v>
      </c>
      <c r="G126" s="35" t="str">
        <f t="shared" si="16"/>
        <v/>
      </c>
      <c r="H126" s="48" t="str">
        <f>IFERROR(VLOOKUP(C126, Input1!$C$204:$G$2000, 4, FALSE), "")</f>
        <v/>
      </c>
      <c r="I126" s="35" t="str">
        <f t="shared" si="17"/>
        <v/>
      </c>
      <c r="J126" s="41" t="str">
        <f>IFERROR(VLOOKUP(C126, Input1!$C$204:$G$2000, 5, FALSE), "")</f>
        <v/>
      </c>
      <c r="K126" s="34">
        <f t="shared" si="14"/>
        <v>0</v>
      </c>
      <c r="L126" s="42">
        <f t="shared" si="15"/>
        <v>0</v>
      </c>
      <c r="M126" s="35">
        <f t="shared" si="18"/>
        <v>0</v>
      </c>
      <c r="N126" s="41">
        <v>0</v>
      </c>
      <c r="O126" s="35">
        <f t="shared" si="19"/>
        <v>0</v>
      </c>
      <c r="P126" s="36">
        <f t="shared" si="20"/>
        <v>0</v>
      </c>
      <c r="Q126" s="35">
        <f t="shared" si="21"/>
        <v>0</v>
      </c>
    </row>
    <row r="127" spans="2:17" x14ac:dyDescent="0.35">
      <c r="B127" s="37" t="str">
        <f>IFERROR(VLOOKUP(C127, Input1!$C$206:$G$207, 3, FALSE), "")</f>
        <v/>
      </c>
      <c r="C127" s="38"/>
      <c r="D127" s="39"/>
      <c r="E127" s="32" t="str">
        <f>IFERROR(VLOOKUP(C127, Input1!$C$204:$G$2000, 2, FALSE), "")</f>
        <v/>
      </c>
      <c r="F127" s="41">
        <v>0</v>
      </c>
      <c r="G127" s="35" t="str">
        <f t="shared" si="16"/>
        <v/>
      </c>
      <c r="H127" s="48" t="str">
        <f>IFERROR(VLOOKUP(C127, Input1!$C$204:$G$2000, 4, FALSE), "")</f>
        <v/>
      </c>
      <c r="I127" s="35" t="str">
        <f t="shared" si="17"/>
        <v/>
      </c>
      <c r="J127" s="41" t="str">
        <f>IFERROR(VLOOKUP(C127, Input1!$C$204:$G$2000, 5, FALSE), "")</f>
        <v/>
      </c>
      <c r="K127" s="34">
        <f t="shared" si="14"/>
        <v>0</v>
      </c>
      <c r="L127" s="42">
        <f t="shared" si="15"/>
        <v>0</v>
      </c>
      <c r="M127" s="35">
        <f t="shared" si="18"/>
        <v>0</v>
      </c>
      <c r="N127" s="41">
        <v>0</v>
      </c>
      <c r="O127" s="35">
        <f t="shared" si="19"/>
        <v>0</v>
      </c>
      <c r="P127" s="36">
        <f t="shared" si="20"/>
        <v>0</v>
      </c>
      <c r="Q127" s="35">
        <f t="shared" si="21"/>
        <v>0</v>
      </c>
    </row>
    <row r="128" spans="2:17" x14ac:dyDescent="0.35">
      <c r="B128" s="37" t="str">
        <f>IFERROR(VLOOKUP(C128, Input1!$C$206:$G$207, 3, FALSE), "")</f>
        <v/>
      </c>
      <c r="C128" s="38"/>
      <c r="D128" s="39"/>
      <c r="E128" s="32" t="str">
        <f>IFERROR(VLOOKUP(C128, Input1!$C$204:$G$2000, 2, FALSE), "")</f>
        <v/>
      </c>
      <c r="F128" s="41">
        <v>0</v>
      </c>
      <c r="G128" s="35" t="str">
        <f t="shared" si="16"/>
        <v/>
      </c>
      <c r="H128" s="48" t="str">
        <f>IFERROR(VLOOKUP(C128, Input1!$C$204:$G$2000, 4, FALSE), "")</f>
        <v/>
      </c>
      <c r="I128" s="35" t="str">
        <f t="shared" si="17"/>
        <v/>
      </c>
      <c r="J128" s="41" t="str">
        <f>IFERROR(VLOOKUP(C128, Input1!$C$204:$G$2000, 5, FALSE), "")</f>
        <v/>
      </c>
      <c r="K128" s="34">
        <f t="shared" si="14"/>
        <v>0</v>
      </c>
      <c r="L128" s="42">
        <f t="shared" si="15"/>
        <v>0</v>
      </c>
      <c r="M128" s="35">
        <f t="shared" si="18"/>
        <v>0</v>
      </c>
      <c r="N128" s="41">
        <v>0</v>
      </c>
      <c r="O128" s="35">
        <f t="shared" si="19"/>
        <v>0</v>
      </c>
      <c r="P128" s="36">
        <f t="shared" si="20"/>
        <v>0</v>
      </c>
      <c r="Q128" s="35">
        <f t="shared" si="21"/>
        <v>0</v>
      </c>
    </row>
    <row r="129" spans="2:17" x14ac:dyDescent="0.35">
      <c r="B129" s="37" t="str">
        <f>IFERROR(VLOOKUP(C129, Input1!$C$206:$G$207, 3, FALSE), "")</f>
        <v/>
      </c>
      <c r="C129" s="38"/>
      <c r="D129" s="39"/>
      <c r="E129" s="32" t="str">
        <f>IFERROR(VLOOKUP(C129, Input1!$C$204:$G$2000, 2, FALSE), "")</f>
        <v/>
      </c>
      <c r="F129" s="41">
        <v>0</v>
      </c>
      <c r="G129" s="35" t="str">
        <f t="shared" si="16"/>
        <v/>
      </c>
      <c r="H129" s="48" t="str">
        <f>IFERROR(VLOOKUP(C129, Input1!$C$204:$G$2000, 4, FALSE), "")</f>
        <v/>
      </c>
      <c r="I129" s="35" t="str">
        <f t="shared" si="17"/>
        <v/>
      </c>
      <c r="J129" s="41" t="str">
        <f>IFERROR(VLOOKUP(C129, Input1!$C$204:$G$2000, 5, FALSE), "")</f>
        <v/>
      </c>
      <c r="K129" s="34">
        <f t="shared" si="14"/>
        <v>0</v>
      </c>
      <c r="L129" s="42">
        <f t="shared" si="15"/>
        <v>0</v>
      </c>
      <c r="M129" s="35">
        <f t="shared" si="18"/>
        <v>0</v>
      </c>
      <c r="N129" s="41">
        <v>0</v>
      </c>
      <c r="O129" s="35">
        <f t="shared" si="19"/>
        <v>0</v>
      </c>
      <c r="P129" s="36">
        <f t="shared" si="20"/>
        <v>0</v>
      </c>
      <c r="Q129" s="35">
        <f t="shared" si="21"/>
        <v>0</v>
      </c>
    </row>
    <row r="130" spans="2:17" x14ac:dyDescent="0.35">
      <c r="B130" s="37" t="str">
        <f>IFERROR(VLOOKUP(C130, Input1!$C$206:$G$207, 3, FALSE), "")</f>
        <v/>
      </c>
      <c r="C130" s="38"/>
      <c r="D130" s="39"/>
      <c r="E130" s="32" t="str">
        <f>IFERROR(VLOOKUP(C130, Input1!$C$204:$G$2000, 2, FALSE), "")</f>
        <v/>
      </c>
      <c r="F130" s="41">
        <v>0</v>
      </c>
      <c r="G130" s="35" t="str">
        <f t="shared" si="16"/>
        <v/>
      </c>
      <c r="H130" s="48" t="str">
        <f>IFERROR(VLOOKUP(C130, Input1!$C$204:$G$2000, 4, FALSE), "")</f>
        <v/>
      </c>
      <c r="I130" s="35" t="str">
        <f t="shared" si="17"/>
        <v/>
      </c>
      <c r="J130" s="41" t="str">
        <f>IFERROR(VLOOKUP(C130, Input1!$C$204:$G$2000, 5, FALSE), "")</f>
        <v/>
      </c>
      <c r="K130" s="34">
        <f t="shared" si="14"/>
        <v>0</v>
      </c>
      <c r="L130" s="42">
        <f t="shared" si="15"/>
        <v>0</v>
      </c>
      <c r="M130" s="35">
        <f t="shared" si="18"/>
        <v>0</v>
      </c>
      <c r="N130" s="41">
        <v>0</v>
      </c>
      <c r="O130" s="35">
        <f t="shared" si="19"/>
        <v>0</v>
      </c>
      <c r="P130" s="36">
        <f t="shared" si="20"/>
        <v>0</v>
      </c>
      <c r="Q130" s="35">
        <f t="shared" si="21"/>
        <v>0</v>
      </c>
    </row>
    <row r="131" spans="2:17" x14ac:dyDescent="0.35">
      <c r="B131" s="37" t="str">
        <f>IFERROR(VLOOKUP(C131, Input1!$C$206:$G$207, 3, FALSE), "")</f>
        <v/>
      </c>
      <c r="C131" s="38"/>
      <c r="D131" s="39"/>
      <c r="E131" s="32" t="str">
        <f>IFERROR(VLOOKUP(C131, Input1!$C$204:$G$2000, 2, FALSE), "")</f>
        <v/>
      </c>
      <c r="F131" s="41">
        <v>0</v>
      </c>
      <c r="G131" s="35" t="str">
        <f t="shared" si="16"/>
        <v/>
      </c>
      <c r="H131" s="48" t="str">
        <f>IFERROR(VLOOKUP(C131, Input1!$C$204:$G$2000, 4, FALSE), "")</f>
        <v/>
      </c>
      <c r="I131" s="35" t="str">
        <f t="shared" si="17"/>
        <v/>
      </c>
      <c r="J131" s="41" t="str">
        <f>IFERROR(VLOOKUP(C131, Input1!$C$204:$G$2000, 5, FALSE), "")</f>
        <v/>
      </c>
      <c r="K131" s="34">
        <f t="shared" si="14"/>
        <v>0</v>
      </c>
      <c r="L131" s="42">
        <f t="shared" si="15"/>
        <v>0</v>
      </c>
      <c r="M131" s="35">
        <f t="shared" si="18"/>
        <v>0</v>
      </c>
      <c r="N131" s="41">
        <v>0</v>
      </c>
      <c r="O131" s="35">
        <f t="shared" si="19"/>
        <v>0</v>
      </c>
      <c r="P131" s="36">
        <f t="shared" si="20"/>
        <v>0</v>
      </c>
      <c r="Q131" s="35">
        <f t="shared" si="21"/>
        <v>0</v>
      </c>
    </row>
    <row r="132" spans="2:17" x14ac:dyDescent="0.35">
      <c r="B132" s="37" t="str">
        <f>IFERROR(VLOOKUP(C132, Input1!$C$206:$G$207, 3, FALSE), "")</f>
        <v/>
      </c>
      <c r="C132" s="38"/>
      <c r="D132" s="39"/>
      <c r="E132" s="32" t="str">
        <f>IFERROR(VLOOKUP(C132, Input1!$C$204:$G$2000, 2, FALSE), "")</f>
        <v/>
      </c>
      <c r="F132" s="41">
        <v>0</v>
      </c>
      <c r="G132" s="35" t="str">
        <f t="shared" si="16"/>
        <v/>
      </c>
      <c r="H132" s="48" t="str">
        <f>IFERROR(VLOOKUP(C132, Input1!$C$204:$G$2000, 4, FALSE), "")</f>
        <v/>
      </c>
      <c r="I132" s="35" t="str">
        <f t="shared" si="17"/>
        <v/>
      </c>
      <c r="J132" s="41" t="str">
        <f>IFERROR(VLOOKUP(C132, Input1!$C$204:$G$2000, 5, FALSE), "")</f>
        <v/>
      </c>
      <c r="K132" s="34">
        <f t="shared" si="14"/>
        <v>0</v>
      </c>
      <c r="L132" s="42">
        <f t="shared" si="15"/>
        <v>0</v>
      </c>
      <c r="M132" s="35">
        <f t="shared" si="18"/>
        <v>0</v>
      </c>
      <c r="N132" s="41">
        <v>0</v>
      </c>
      <c r="O132" s="35">
        <f t="shared" si="19"/>
        <v>0</v>
      </c>
      <c r="P132" s="36">
        <f t="shared" si="20"/>
        <v>0</v>
      </c>
      <c r="Q132" s="35">
        <f t="shared" si="21"/>
        <v>0</v>
      </c>
    </row>
    <row r="133" spans="2:17" x14ac:dyDescent="0.35">
      <c r="B133" s="37" t="str">
        <f>IFERROR(VLOOKUP(C133, Input1!$C$206:$G$207, 3, FALSE), "")</f>
        <v/>
      </c>
      <c r="C133" s="38"/>
      <c r="D133" s="39"/>
      <c r="E133" s="32" t="str">
        <f>IFERROR(VLOOKUP(C133, Input1!$C$204:$G$2000, 2, FALSE), "")</f>
        <v/>
      </c>
      <c r="F133" s="41">
        <v>0</v>
      </c>
      <c r="G133" s="35" t="str">
        <f t="shared" si="16"/>
        <v/>
      </c>
      <c r="H133" s="48" t="str">
        <f>IFERROR(VLOOKUP(C133, Input1!$C$204:$G$2000, 4, FALSE), "")</f>
        <v/>
      </c>
      <c r="I133" s="35" t="str">
        <f t="shared" si="17"/>
        <v/>
      </c>
      <c r="J133" s="41" t="str">
        <f>IFERROR(VLOOKUP(C133, Input1!$C$204:$G$2000, 5, FALSE), "")</f>
        <v/>
      </c>
      <c r="K133" s="34">
        <f t="shared" si="14"/>
        <v>0</v>
      </c>
      <c r="L133" s="42">
        <f t="shared" si="15"/>
        <v>0</v>
      </c>
      <c r="M133" s="35">
        <f t="shared" si="18"/>
        <v>0</v>
      </c>
      <c r="N133" s="41">
        <v>0</v>
      </c>
      <c r="O133" s="35">
        <f t="shared" si="19"/>
        <v>0</v>
      </c>
      <c r="P133" s="36">
        <f t="shared" si="20"/>
        <v>0</v>
      </c>
      <c r="Q133" s="35">
        <f t="shared" si="21"/>
        <v>0</v>
      </c>
    </row>
    <row r="134" spans="2:17" x14ac:dyDescent="0.35">
      <c r="B134" s="37" t="str">
        <f>IFERROR(VLOOKUP(C134, Input1!$C$206:$G$207, 3, FALSE), "")</f>
        <v/>
      </c>
      <c r="C134" s="38"/>
      <c r="D134" s="39"/>
      <c r="E134" s="32" t="str">
        <f>IFERROR(VLOOKUP(C134, Input1!$C$204:$G$2000, 2, FALSE), "")</f>
        <v/>
      </c>
      <c r="F134" s="41">
        <v>0</v>
      </c>
      <c r="G134" s="35" t="str">
        <f t="shared" si="16"/>
        <v/>
      </c>
      <c r="H134" s="48" t="str">
        <f>IFERROR(VLOOKUP(C134, Input1!$C$204:$G$2000, 4, FALSE), "")</f>
        <v/>
      </c>
      <c r="I134" s="35" t="str">
        <f t="shared" si="17"/>
        <v/>
      </c>
      <c r="J134" s="41" t="str">
        <f>IFERROR(VLOOKUP(C134, Input1!$C$204:$G$2000, 5, FALSE), "")</f>
        <v/>
      </c>
      <c r="K134" s="34">
        <f t="shared" si="14"/>
        <v>0</v>
      </c>
      <c r="L134" s="42">
        <f t="shared" si="15"/>
        <v>0</v>
      </c>
      <c r="M134" s="35">
        <f t="shared" si="18"/>
        <v>0</v>
      </c>
      <c r="N134" s="41">
        <v>0</v>
      </c>
      <c r="O134" s="35">
        <f t="shared" si="19"/>
        <v>0</v>
      </c>
      <c r="P134" s="36">
        <f t="shared" si="20"/>
        <v>0</v>
      </c>
      <c r="Q134" s="35">
        <f t="shared" si="21"/>
        <v>0</v>
      </c>
    </row>
    <row r="135" spans="2:17" x14ac:dyDescent="0.35">
      <c r="B135" s="37" t="str">
        <f>IFERROR(VLOOKUP(C135, Input1!$C$206:$G$207, 3, FALSE), "")</f>
        <v/>
      </c>
      <c r="C135" s="38"/>
      <c r="D135" s="39"/>
      <c r="E135" s="32" t="str">
        <f>IFERROR(VLOOKUP(C135, Input1!$C$204:$G$2000, 2, FALSE), "")</f>
        <v/>
      </c>
      <c r="F135" s="41">
        <v>0</v>
      </c>
      <c r="G135" s="35" t="str">
        <f t="shared" si="16"/>
        <v/>
      </c>
      <c r="H135" s="48" t="str">
        <f>IFERROR(VLOOKUP(C135, Input1!$C$204:$G$2000, 4, FALSE), "")</f>
        <v/>
      </c>
      <c r="I135" s="35" t="str">
        <f t="shared" si="17"/>
        <v/>
      </c>
      <c r="J135" s="41" t="str">
        <f>IFERROR(VLOOKUP(C135, Input1!$C$204:$G$2000, 5, FALSE), "")</f>
        <v/>
      </c>
      <c r="K135" s="34">
        <f t="shared" si="14"/>
        <v>0</v>
      </c>
      <c r="L135" s="42">
        <f t="shared" si="15"/>
        <v>0</v>
      </c>
      <c r="M135" s="35">
        <f t="shared" si="18"/>
        <v>0</v>
      </c>
      <c r="N135" s="41">
        <v>0</v>
      </c>
      <c r="O135" s="35">
        <f t="shared" si="19"/>
        <v>0</v>
      </c>
      <c r="P135" s="36">
        <f t="shared" si="20"/>
        <v>0</v>
      </c>
      <c r="Q135" s="35">
        <f t="shared" si="21"/>
        <v>0</v>
      </c>
    </row>
    <row r="136" spans="2:17" x14ac:dyDescent="0.35">
      <c r="B136" s="37" t="str">
        <f>IFERROR(VLOOKUP(C136, Input1!$C$206:$G$207, 3, FALSE), "")</f>
        <v/>
      </c>
      <c r="C136" s="38"/>
      <c r="D136" s="39"/>
      <c r="E136" s="32" t="str">
        <f>IFERROR(VLOOKUP(C136, Input1!$C$204:$G$2000, 2, FALSE), "")</f>
        <v/>
      </c>
      <c r="F136" s="41">
        <v>0</v>
      </c>
      <c r="G136" s="35" t="str">
        <f t="shared" si="16"/>
        <v/>
      </c>
      <c r="H136" s="48" t="str">
        <f>IFERROR(VLOOKUP(C136, Input1!$C$204:$G$2000, 4, FALSE), "")</f>
        <v/>
      </c>
      <c r="I136" s="35" t="str">
        <f t="shared" si="17"/>
        <v/>
      </c>
      <c r="J136" s="41" t="str">
        <f>IFERROR(VLOOKUP(C136, Input1!$C$204:$G$2000, 5, FALSE), "")</f>
        <v/>
      </c>
      <c r="K136" s="34">
        <f t="shared" si="14"/>
        <v>0</v>
      </c>
      <c r="L136" s="42">
        <f t="shared" si="15"/>
        <v>0</v>
      </c>
      <c r="M136" s="35">
        <f t="shared" si="18"/>
        <v>0</v>
      </c>
      <c r="N136" s="41">
        <v>0</v>
      </c>
      <c r="O136" s="35">
        <f t="shared" si="19"/>
        <v>0</v>
      </c>
      <c r="P136" s="36">
        <f t="shared" si="20"/>
        <v>0</v>
      </c>
      <c r="Q136" s="35">
        <f t="shared" si="21"/>
        <v>0</v>
      </c>
    </row>
    <row r="137" spans="2:17" x14ac:dyDescent="0.35">
      <c r="B137" s="37" t="str">
        <f>IFERROR(VLOOKUP(C137, Input1!$C$206:$G$207, 3, FALSE), "")</f>
        <v/>
      </c>
      <c r="C137" s="38"/>
      <c r="D137" s="39"/>
      <c r="E137" s="32" t="str">
        <f>IFERROR(VLOOKUP(C137, Input1!$C$204:$G$2000, 2, FALSE), "")</f>
        <v/>
      </c>
      <c r="F137" s="41">
        <v>0</v>
      </c>
      <c r="G137" s="35" t="str">
        <f t="shared" si="16"/>
        <v/>
      </c>
      <c r="H137" s="48" t="str">
        <f>IFERROR(VLOOKUP(C137, Input1!$C$204:$G$2000, 4, FALSE), "")</f>
        <v/>
      </c>
      <c r="I137" s="35" t="str">
        <f t="shared" si="17"/>
        <v/>
      </c>
      <c r="J137" s="41" t="str">
        <f>IFERROR(VLOOKUP(C137, Input1!$C$204:$G$2000, 5, FALSE), "")</f>
        <v/>
      </c>
      <c r="K137" s="34">
        <f t="shared" si="14"/>
        <v>0</v>
      </c>
      <c r="L137" s="42">
        <f t="shared" si="15"/>
        <v>0</v>
      </c>
      <c r="M137" s="35">
        <f t="shared" si="18"/>
        <v>0</v>
      </c>
      <c r="N137" s="41">
        <v>0</v>
      </c>
      <c r="O137" s="35">
        <f t="shared" si="19"/>
        <v>0</v>
      </c>
      <c r="P137" s="36">
        <f t="shared" si="20"/>
        <v>0</v>
      </c>
      <c r="Q137" s="35">
        <f t="shared" si="21"/>
        <v>0</v>
      </c>
    </row>
    <row r="138" spans="2:17" x14ac:dyDescent="0.35">
      <c r="B138" s="37" t="str">
        <f>IFERROR(VLOOKUP(C138, Input1!$C$206:$G$207, 3, FALSE), "")</f>
        <v/>
      </c>
      <c r="C138" s="38"/>
      <c r="D138" s="39"/>
      <c r="E138" s="32" t="str">
        <f>IFERROR(VLOOKUP(C138, Input1!$C$204:$G$2000, 2, FALSE), "")</f>
        <v/>
      </c>
      <c r="F138" s="41">
        <v>0</v>
      </c>
      <c r="G138" s="35" t="str">
        <f t="shared" si="16"/>
        <v/>
      </c>
      <c r="H138" s="48" t="str">
        <f>IFERROR(VLOOKUP(C138, Input1!$C$204:$G$2000, 4, FALSE), "")</f>
        <v/>
      </c>
      <c r="I138" s="35" t="str">
        <f t="shared" si="17"/>
        <v/>
      </c>
      <c r="J138" s="41" t="str">
        <f>IFERROR(VLOOKUP(C138, Input1!$C$204:$G$2000, 5, FALSE), "")</f>
        <v/>
      </c>
      <c r="K138" s="34">
        <f t="shared" si="14"/>
        <v>0</v>
      </c>
      <c r="L138" s="42">
        <f t="shared" si="15"/>
        <v>0</v>
      </c>
      <c r="M138" s="35">
        <f t="shared" si="18"/>
        <v>0</v>
      </c>
      <c r="N138" s="41">
        <v>0</v>
      </c>
      <c r="O138" s="35">
        <f t="shared" si="19"/>
        <v>0</v>
      </c>
      <c r="P138" s="36">
        <f t="shared" si="20"/>
        <v>0</v>
      </c>
      <c r="Q138" s="35">
        <f t="shared" si="21"/>
        <v>0</v>
      </c>
    </row>
    <row r="139" spans="2:17" x14ac:dyDescent="0.35">
      <c r="B139" s="37" t="str">
        <f>IFERROR(VLOOKUP(C139, Input1!$C$206:$G$207, 3, FALSE), "")</f>
        <v/>
      </c>
      <c r="C139" s="38"/>
      <c r="D139" s="39"/>
      <c r="E139" s="32" t="str">
        <f>IFERROR(VLOOKUP(C139, Input1!$C$204:$G$2000, 2, FALSE), "")</f>
        <v/>
      </c>
      <c r="F139" s="41">
        <v>0</v>
      </c>
      <c r="G139" s="35" t="str">
        <f t="shared" si="16"/>
        <v/>
      </c>
      <c r="H139" s="48" t="str">
        <f>IFERROR(VLOOKUP(C139, Input1!$C$204:$G$2000, 4, FALSE), "")</f>
        <v/>
      </c>
      <c r="I139" s="35" t="str">
        <f t="shared" si="17"/>
        <v/>
      </c>
      <c r="J139" s="41" t="str">
        <f>IFERROR(VLOOKUP(C139, Input1!$C$204:$G$2000, 5, FALSE), "")</f>
        <v/>
      </c>
      <c r="K139" s="34">
        <f t="shared" si="14"/>
        <v>0</v>
      </c>
      <c r="L139" s="42">
        <f t="shared" si="15"/>
        <v>0</v>
      </c>
      <c r="M139" s="35">
        <f t="shared" si="18"/>
        <v>0</v>
      </c>
      <c r="N139" s="41">
        <v>0</v>
      </c>
      <c r="O139" s="35">
        <f t="shared" si="19"/>
        <v>0</v>
      </c>
      <c r="P139" s="36">
        <f t="shared" si="20"/>
        <v>0</v>
      </c>
      <c r="Q139" s="35">
        <f t="shared" si="21"/>
        <v>0</v>
      </c>
    </row>
    <row r="140" spans="2:17" x14ac:dyDescent="0.35">
      <c r="B140" s="37" t="str">
        <f>IFERROR(VLOOKUP(C140, Input1!$C$206:$G$207, 3, FALSE), "")</f>
        <v/>
      </c>
      <c r="C140" s="38"/>
      <c r="D140" s="39"/>
      <c r="E140" s="32" t="str">
        <f>IFERROR(VLOOKUP(C140, Input1!$C$204:$G$2000, 2, FALSE), "")</f>
        <v/>
      </c>
      <c r="F140" s="41">
        <v>0</v>
      </c>
      <c r="G140" s="35" t="str">
        <f t="shared" si="16"/>
        <v/>
      </c>
      <c r="H140" s="48" t="str">
        <f>IFERROR(VLOOKUP(C140, Input1!$C$204:$G$2000, 4, FALSE), "")</f>
        <v/>
      </c>
      <c r="I140" s="35" t="str">
        <f t="shared" si="17"/>
        <v/>
      </c>
      <c r="J140" s="41" t="str">
        <f>IFERROR(VLOOKUP(C140, Input1!$C$204:$G$2000, 5, FALSE), "")</f>
        <v/>
      </c>
      <c r="K140" s="34">
        <f t="shared" si="14"/>
        <v>0</v>
      </c>
      <c r="L140" s="42">
        <f t="shared" si="15"/>
        <v>0</v>
      </c>
      <c r="M140" s="35">
        <f t="shared" si="18"/>
        <v>0</v>
      </c>
      <c r="N140" s="41">
        <v>0</v>
      </c>
      <c r="O140" s="35">
        <f t="shared" si="19"/>
        <v>0</v>
      </c>
      <c r="P140" s="36">
        <f t="shared" si="20"/>
        <v>0</v>
      </c>
      <c r="Q140" s="35">
        <f t="shared" si="21"/>
        <v>0</v>
      </c>
    </row>
    <row r="141" spans="2:17" x14ac:dyDescent="0.35">
      <c r="B141" s="37" t="str">
        <f>IFERROR(VLOOKUP(C141, Input1!$C$206:$G$207, 3, FALSE), "")</f>
        <v/>
      </c>
      <c r="C141" s="38"/>
      <c r="D141" s="39"/>
      <c r="E141" s="32" t="str">
        <f>IFERROR(VLOOKUP(C141, Input1!$C$204:$G$2000, 2, FALSE), "")</f>
        <v/>
      </c>
      <c r="F141" s="41">
        <v>0</v>
      </c>
      <c r="G141" s="35" t="str">
        <f t="shared" si="16"/>
        <v/>
      </c>
      <c r="H141" s="48" t="str">
        <f>IFERROR(VLOOKUP(C141, Input1!$C$204:$G$2000, 4, FALSE), "")</f>
        <v/>
      </c>
      <c r="I141" s="35" t="str">
        <f t="shared" si="17"/>
        <v/>
      </c>
      <c r="J141" s="41" t="str">
        <f>IFERROR(VLOOKUP(C141, Input1!$C$204:$G$2000, 5, FALSE), "")</f>
        <v/>
      </c>
      <c r="K141" s="34">
        <f t="shared" si="14"/>
        <v>0</v>
      </c>
      <c r="L141" s="42">
        <f t="shared" si="15"/>
        <v>0</v>
      </c>
      <c r="M141" s="35">
        <f t="shared" si="18"/>
        <v>0</v>
      </c>
      <c r="N141" s="41">
        <v>0</v>
      </c>
      <c r="O141" s="35">
        <f t="shared" si="19"/>
        <v>0</v>
      </c>
      <c r="P141" s="36">
        <f t="shared" si="20"/>
        <v>0</v>
      </c>
      <c r="Q141" s="35">
        <f t="shared" si="21"/>
        <v>0</v>
      </c>
    </row>
    <row r="142" spans="2:17" x14ac:dyDescent="0.35">
      <c r="B142" s="37" t="str">
        <f>IFERROR(VLOOKUP(C142, Input1!$C$206:$G$207, 3, FALSE), "")</f>
        <v/>
      </c>
      <c r="C142" s="38"/>
      <c r="D142" s="39"/>
      <c r="E142" s="32" t="str">
        <f>IFERROR(VLOOKUP(C142, Input1!$C$204:$G$2000, 2, FALSE), "")</f>
        <v/>
      </c>
      <c r="F142" s="41">
        <v>0</v>
      </c>
      <c r="G142" s="35" t="str">
        <f t="shared" si="16"/>
        <v/>
      </c>
      <c r="H142" s="48" t="str">
        <f>IFERROR(VLOOKUP(C142, Input1!$C$204:$G$2000, 4, FALSE), "")</f>
        <v/>
      </c>
      <c r="I142" s="35" t="str">
        <f t="shared" si="17"/>
        <v/>
      </c>
      <c r="J142" s="41" t="str">
        <f>IFERROR(VLOOKUP(C142, Input1!$C$204:$G$2000, 5, FALSE), "")</f>
        <v/>
      </c>
      <c r="K142" s="34">
        <f t="shared" si="14"/>
        <v>0</v>
      </c>
      <c r="L142" s="42">
        <f t="shared" si="15"/>
        <v>0</v>
      </c>
      <c r="M142" s="35">
        <f t="shared" si="18"/>
        <v>0</v>
      </c>
      <c r="N142" s="41">
        <v>0</v>
      </c>
      <c r="O142" s="35">
        <f t="shared" si="19"/>
        <v>0</v>
      </c>
      <c r="P142" s="36">
        <f t="shared" si="20"/>
        <v>0</v>
      </c>
      <c r="Q142" s="35">
        <f t="shared" si="21"/>
        <v>0</v>
      </c>
    </row>
    <row r="143" spans="2:17" x14ac:dyDescent="0.35">
      <c r="B143" s="37" t="str">
        <f>IFERROR(VLOOKUP(C143, Input1!$C$206:$G$207, 3, FALSE), "")</f>
        <v/>
      </c>
      <c r="C143" s="38"/>
      <c r="D143" s="39"/>
      <c r="E143" s="32" t="str">
        <f>IFERROR(VLOOKUP(C143, Input1!$C$204:$G$2000, 2, FALSE), "")</f>
        <v/>
      </c>
      <c r="F143" s="41">
        <v>0</v>
      </c>
      <c r="G143" s="35" t="str">
        <f t="shared" si="16"/>
        <v/>
      </c>
      <c r="H143" s="48" t="str">
        <f>IFERROR(VLOOKUP(C143, Input1!$C$204:$G$2000, 4, FALSE), "")</f>
        <v/>
      </c>
      <c r="I143" s="35" t="str">
        <f t="shared" si="17"/>
        <v/>
      </c>
      <c r="J143" s="41" t="str">
        <f>IFERROR(VLOOKUP(C143, Input1!$C$204:$G$2000, 5, FALSE), "")</f>
        <v/>
      </c>
      <c r="K143" s="34">
        <f t="shared" si="14"/>
        <v>0</v>
      </c>
      <c r="L143" s="42">
        <f t="shared" si="15"/>
        <v>0</v>
      </c>
      <c r="M143" s="35">
        <f t="shared" si="18"/>
        <v>0</v>
      </c>
      <c r="N143" s="41">
        <v>0</v>
      </c>
      <c r="O143" s="35">
        <f t="shared" si="19"/>
        <v>0</v>
      </c>
      <c r="P143" s="36">
        <f t="shared" si="20"/>
        <v>0</v>
      </c>
      <c r="Q143" s="35">
        <f t="shared" si="21"/>
        <v>0</v>
      </c>
    </row>
    <row r="144" spans="2:17" x14ac:dyDescent="0.35">
      <c r="B144" s="37" t="str">
        <f>IFERROR(VLOOKUP(C144, Input1!$C$206:$G$207, 3, FALSE), "")</f>
        <v/>
      </c>
      <c r="C144" s="38"/>
      <c r="D144" s="39"/>
      <c r="E144" s="32" t="str">
        <f>IFERROR(VLOOKUP(C144, Input1!$C$204:$G$2000, 2, FALSE), "")</f>
        <v/>
      </c>
      <c r="F144" s="41">
        <v>0</v>
      </c>
      <c r="G144" s="35" t="str">
        <f t="shared" si="16"/>
        <v/>
      </c>
      <c r="H144" s="48" t="str">
        <f>IFERROR(VLOOKUP(C144, Input1!$C$204:$G$2000, 4, FALSE), "")</f>
        <v/>
      </c>
      <c r="I144" s="35" t="str">
        <f t="shared" si="17"/>
        <v/>
      </c>
      <c r="J144" s="41" t="str">
        <f>IFERROR(VLOOKUP(C144, Input1!$C$204:$G$2000, 5, FALSE), "")</f>
        <v/>
      </c>
      <c r="K144" s="34">
        <f t="shared" ref="K144:K190" si="22">IFERROR($D144/$J144, 0)</f>
        <v>0</v>
      </c>
      <c r="L144" s="42">
        <f t="shared" ref="L144:L190" si="23">$L$5</f>
        <v>0</v>
      </c>
      <c r="M144" s="35">
        <f t="shared" si="18"/>
        <v>0</v>
      </c>
      <c r="N144" s="41">
        <v>0</v>
      </c>
      <c r="O144" s="35">
        <f t="shared" si="19"/>
        <v>0</v>
      </c>
      <c r="P144" s="36">
        <f t="shared" si="20"/>
        <v>0</v>
      </c>
      <c r="Q144" s="35">
        <f t="shared" si="21"/>
        <v>0</v>
      </c>
    </row>
    <row r="145" spans="2:17" x14ac:dyDescent="0.35">
      <c r="B145" s="37" t="str">
        <f>IFERROR(VLOOKUP(C145, Input1!$C$206:$G$207, 3, FALSE), "")</f>
        <v/>
      </c>
      <c r="C145" s="38"/>
      <c r="D145" s="39"/>
      <c r="E145" s="32" t="str">
        <f>IFERROR(VLOOKUP(C145, Input1!$C$204:$G$2000, 2, FALSE), "")</f>
        <v/>
      </c>
      <c r="F145" s="41">
        <v>0</v>
      </c>
      <c r="G145" s="35" t="str">
        <f t="shared" ref="G145:G190" si="24">IF(AND(ISNUMBER(D145), ISNUMBER(F145)), D145 * F145, "")</f>
        <v/>
      </c>
      <c r="H145" s="48" t="str">
        <f>IFERROR(VLOOKUP(C145, Input1!$C$204:$G$2000, 4, FALSE), "")</f>
        <v/>
      </c>
      <c r="I145" s="35" t="str">
        <f t="shared" ref="I145:I190" si="25">IF(AND(ISNUMBER(D145), ISNUMBER(H145)), D145 * H145, "")</f>
        <v/>
      </c>
      <c r="J145" s="41" t="str">
        <f>IFERROR(VLOOKUP(C145, Input1!$C$204:$G$2000, 5, FALSE), "")</f>
        <v/>
      </c>
      <c r="K145" s="34">
        <f t="shared" si="22"/>
        <v>0</v>
      </c>
      <c r="L145" s="42">
        <f t="shared" si="23"/>
        <v>0</v>
      </c>
      <c r="M145" s="35">
        <f t="shared" ref="M145:M190" si="26">IFERROR(K145*L145,0)</f>
        <v>0</v>
      </c>
      <c r="N145" s="41">
        <v>0</v>
      </c>
      <c r="O145" s="35">
        <f t="shared" ref="O145:O190" si="27">$D145*N145</f>
        <v>0</v>
      </c>
      <c r="P145" s="36">
        <f t="shared" ref="P145:P190" si="28">IF(ISNUMBER(F145),F145,0)+IF(ISNUMBER(H145),H145*(1+$I$4),0)+IF(AND(ISNUMBER(L145),ISNUMBER(J145),J145&lt;&gt;0),L145/J145,0)+IF(ISNUMBER(N145),N145)</f>
        <v>0</v>
      </c>
      <c r="Q145" s="35">
        <f t="shared" ref="Q145:Q190" si="29">SUM(IF(ISNUMBER(O145), O145, 0), IF(ISNUMBER(M145), M145, 0), IF(ISNUMBER(I145), I145 * (1 + $I$4), 0), IF(ISNUMBER(G145), G145, 0))</f>
        <v>0</v>
      </c>
    </row>
    <row r="146" spans="2:17" x14ac:dyDescent="0.35">
      <c r="B146" s="37" t="str">
        <f>IFERROR(VLOOKUP(C146, Input1!$C$206:$G$207, 3, FALSE), "")</f>
        <v/>
      </c>
      <c r="C146" s="38"/>
      <c r="D146" s="39"/>
      <c r="E146" s="32" t="str">
        <f>IFERROR(VLOOKUP(C146, Input1!$C$204:$G$2000, 2, FALSE), "")</f>
        <v/>
      </c>
      <c r="F146" s="41">
        <v>0</v>
      </c>
      <c r="G146" s="35" t="str">
        <f t="shared" si="24"/>
        <v/>
      </c>
      <c r="H146" s="48" t="str">
        <f>IFERROR(VLOOKUP(C146, Input1!$C$204:$G$2000, 4, FALSE), "")</f>
        <v/>
      </c>
      <c r="I146" s="35" t="str">
        <f t="shared" si="25"/>
        <v/>
      </c>
      <c r="J146" s="41" t="str">
        <f>IFERROR(VLOOKUP(C146, Input1!$C$204:$G$2000, 5, FALSE), "")</f>
        <v/>
      </c>
      <c r="K146" s="34">
        <f t="shared" si="22"/>
        <v>0</v>
      </c>
      <c r="L146" s="42">
        <f t="shared" si="23"/>
        <v>0</v>
      </c>
      <c r="M146" s="35">
        <f t="shared" si="26"/>
        <v>0</v>
      </c>
      <c r="N146" s="41">
        <v>0</v>
      </c>
      <c r="O146" s="35">
        <f t="shared" si="27"/>
        <v>0</v>
      </c>
      <c r="P146" s="36">
        <f t="shared" si="28"/>
        <v>0</v>
      </c>
      <c r="Q146" s="35">
        <f t="shared" si="29"/>
        <v>0</v>
      </c>
    </row>
    <row r="147" spans="2:17" x14ac:dyDescent="0.35">
      <c r="B147" s="37" t="str">
        <f>IFERROR(VLOOKUP(C147, Input1!$C$206:$G$207, 3, FALSE), "")</f>
        <v/>
      </c>
      <c r="C147" s="38"/>
      <c r="D147" s="39"/>
      <c r="E147" s="32" t="str">
        <f>IFERROR(VLOOKUP(C147, Input1!$C$204:$G$2000, 2, FALSE), "")</f>
        <v/>
      </c>
      <c r="F147" s="41">
        <v>0</v>
      </c>
      <c r="G147" s="35" t="str">
        <f t="shared" si="24"/>
        <v/>
      </c>
      <c r="H147" s="48" t="str">
        <f>IFERROR(VLOOKUP(C147, Input1!$C$204:$G$2000, 4, FALSE), "")</f>
        <v/>
      </c>
      <c r="I147" s="35" t="str">
        <f t="shared" si="25"/>
        <v/>
      </c>
      <c r="J147" s="41" t="str">
        <f>IFERROR(VLOOKUP(C147, Input1!$C$204:$G$2000, 5, FALSE), "")</f>
        <v/>
      </c>
      <c r="K147" s="34">
        <f t="shared" si="22"/>
        <v>0</v>
      </c>
      <c r="L147" s="42">
        <f t="shared" si="23"/>
        <v>0</v>
      </c>
      <c r="M147" s="35">
        <f t="shared" si="26"/>
        <v>0</v>
      </c>
      <c r="N147" s="41">
        <v>0</v>
      </c>
      <c r="O147" s="35">
        <f t="shared" si="27"/>
        <v>0</v>
      </c>
      <c r="P147" s="36">
        <f t="shared" si="28"/>
        <v>0</v>
      </c>
      <c r="Q147" s="35">
        <f t="shared" si="29"/>
        <v>0</v>
      </c>
    </row>
    <row r="148" spans="2:17" x14ac:dyDescent="0.35">
      <c r="B148" s="37" t="str">
        <f>IFERROR(VLOOKUP(C148, Input1!$C$206:$G$207, 3, FALSE), "")</f>
        <v/>
      </c>
      <c r="C148" s="38"/>
      <c r="D148" s="39"/>
      <c r="E148" s="32" t="str">
        <f>IFERROR(VLOOKUP(C148, Input1!$C$204:$G$2000, 2, FALSE), "")</f>
        <v/>
      </c>
      <c r="F148" s="41">
        <v>0</v>
      </c>
      <c r="G148" s="35" t="str">
        <f t="shared" si="24"/>
        <v/>
      </c>
      <c r="H148" s="48" t="str">
        <f>IFERROR(VLOOKUP(C148, Input1!$C$204:$G$2000, 4, FALSE), "")</f>
        <v/>
      </c>
      <c r="I148" s="35" t="str">
        <f t="shared" si="25"/>
        <v/>
      </c>
      <c r="J148" s="41" t="str">
        <f>IFERROR(VLOOKUP(C148, Input1!$C$204:$G$2000, 5, FALSE), "")</f>
        <v/>
      </c>
      <c r="K148" s="34">
        <f t="shared" si="22"/>
        <v>0</v>
      </c>
      <c r="L148" s="42">
        <f t="shared" si="23"/>
        <v>0</v>
      </c>
      <c r="M148" s="35">
        <f t="shared" si="26"/>
        <v>0</v>
      </c>
      <c r="N148" s="41">
        <v>0</v>
      </c>
      <c r="O148" s="35">
        <f t="shared" si="27"/>
        <v>0</v>
      </c>
      <c r="P148" s="36">
        <f t="shared" si="28"/>
        <v>0</v>
      </c>
      <c r="Q148" s="35">
        <f t="shared" si="29"/>
        <v>0</v>
      </c>
    </row>
    <row r="149" spans="2:17" x14ac:dyDescent="0.35">
      <c r="B149" s="37" t="str">
        <f>IFERROR(VLOOKUP(C149, Input1!$C$206:$G$207, 3, FALSE), "")</f>
        <v/>
      </c>
      <c r="C149" s="38"/>
      <c r="D149" s="39"/>
      <c r="E149" s="32" t="str">
        <f>IFERROR(VLOOKUP(C149, Input1!$C$204:$G$2000, 2, FALSE), "")</f>
        <v/>
      </c>
      <c r="F149" s="41">
        <v>0</v>
      </c>
      <c r="G149" s="35" t="str">
        <f t="shared" si="24"/>
        <v/>
      </c>
      <c r="H149" s="48" t="str">
        <f>IFERROR(VLOOKUP(C149, Input1!$C$204:$G$2000, 4, FALSE), "")</f>
        <v/>
      </c>
      <c r="I149" s="35" t="str">
        <f t="shared" si="25"/>
        <v/>
      </c>
      <c r="J149" s="41" t="str">
        <f>IFERROR(VLOOKUP(C149, Input1!$C$204:$G$2000, 5, FALSE), "")</f>
        <v/>
      </c>
      <c r="K149" s="34">
        <f t="shared" si="22"/>
        <v>0</v>
      </c>
      <c r="L149" s="42">
        <f t="shared" si="23"/>
        <v>0</v>
      </c>
      <c r="M149" s="35">
        <f t="shared" si="26"/>
        <v>0</v>
      </c>
      <c r="N149" s="41">
        <v>0</v>
      </c>
      <c r="O149" s="35">
        <f t="shared" si="27"/>
        <v>0</v>
      </c>
      <c r="P149" s="36">
        <f t="shared" si="28"/>
        <v>0</v>
      </c>
      <c r="Q149" s="35">
        <f t="shared" si="29"/>
        <v>0</v>
      </c>
    </row>
    <row r="150" spans="2:17" x14ac:dyDescent="0.35">
      <c r="B150" s="37" t="str">
        <f>IFERROR(VLOOKUP(C150, Input1!$C$206:$G$207, 3, FALSE), "")</f>
        <v/>
      </c>
      <c r="C150" s="38"/>
      <c r="D150" s="39"/>
      <c r="E150" s="32" t="str">
        <f>IFERROR(VLOOKUP(C150, Input1!$C$204:$G$2000, 2, FALSE), "")</f>
        <v/>
      </c>
      <c r="F150" s="41">
        <v>0</v>
      </c>
      <c r="G150" s="35" t="str">
        <f t="shared" si="24"/>
        <v/>
      </c>
      <c r="H150" s="48" t="str">
        <f>IFERROR(VLOOKUP(C150, Input1!$C$204:$G$2000, 4, FALSE), "")</f>
        <v/>
      </c>
      <c r="I150" s="35" t="str">
        <f t="shared" si="25"/>
        <v/>
      </c>
      <c r="J150" s="41" t="str">
        <f>IFERROR(VLOOKUP(C150, Input1!$C$204:$G$2000, 5, FALSE), "")</f>
        <v/>
      </c>
      <c r="K150" s="34">
        <f t="shared" si="22"/>
        <v>0</v>
      </c>
      <c r="L150" s="42">
        <f t="shared" si="23"/>
        <v>0</v>
      </c>
      <c r="M150" s="35">
        <f t="shared" si="26"/>
        <v>0</v>
      </c>
      <c r="N150" s="41">
        <v>0</v>
      </c>
      <c r="O150" s="35">
        <f t="shared" si="27"/>
        <v>0</v>
      </c>
      <c r="P150" s="36">
        <f t="shared" si="28"/>
        <v>0</v>
      </c>
      <c r="Q150" s="35">
        <f t="shared" si="29"/>
        <v>0</v>
      </c>
    </row>
    <row r="151" spans="2:17" x14ac:dyDescent="0.35">
      <c r="B151" s="37" t="str">
        <f>IFERROR(VLOOKUP(C151, Input1!$C$206:$G$207, 3, FALSE), "")</f>
        <v/>
      </c>
      <c r="C151" s="38"/>
      <c r="D151" s="39"/>
      <c r="E151" s="32" t="str">
        <f>IFERROR(VLOOKUP(C151, Input1!$C$204:$G$2000, 2, FALSE), "")</f>
        <v/>
      </c>
      <c r="F151" s="41">
        <v>0</v>
      </c>
      <c r="G151" s="35" t="str">
        <f t="shared" si="24"/>
        <v/>
      </c>
      <c r="H151" s="48" t="str">
        <f>IFERROR(VLOOKUP(C151, Input1!$C$204:$G$2000, 4, FALSE), "")</f>
        <v/>
      </c>
      <c r="I151" s="35" t="str">
        <f t="shared" si="25"/>
        <v/>
      </c>
      <c r="J151" s="41" t="str">
        <f>IFERROR(VLOOKUP(C151, Input1!$C$204:$G$2000, 5, FALSE), "")</f>
        <v/>
      </c>
      <c r="K151" s="34">
        <f t="shared" si="22"/>
        <v>0</v>
      </c>
      <c r="L151" s="42">
        <f t="shared" si="23"/>
        <v>0</v>
      </c>
      <c r="M151" s="35">
        <f t="shared" si="26"/>
        <v>0</v>
      </c>
      <c r="N151" s="41">
        <v>0</v>
      </c>
      <c r="O151" s="35">
        <f t="shared" si="27"/>
        <v>0</v>
      </c>
      <c r="P151" s="36">
        <f t="shared" si="28"/>
        <v>0</v>
      </c>
      <c r="Q151" s="35">
        <f t="shared" si="29"/>
        <v>0</v>
      </c>
    </row>
    <row r="152" spans="2:17" x14ac:dyDescent="0.35">
      <c r="B152" s="37" t="str">
        <f>IFERROR(VLOOKUP(C152, Input1!$C$206:$G$207, 3, FALSE), "")</f>
        <v/>
      </c>
      <c r="C152" s="38"/>
      <c r="D152" s="39"/>
      <c r="E152" s="32" t="str">
        <f>IFERROR(VLOOKUP(C152, Input1!$C$204:$G$2000, 2, FALSE), "")</f>
        <v/>
      </c>
      <c r="F152" s="41">
        <v>0</v>
      </c>
      <c r="G152" s="35" t="str">
        <f t="shared" si="24"/>
        <v/>
      </c>
      <c r="H152" s="48" t="str">
        <f>IFERROR(VLOOKUP(C152, Input1!$C$204:$G$2000, 4, FALSE), "")</f>
        <v/>
      </c>
      <c r="I152" s="35" t="str">
        <f t="shared" si="25"/>
        <v/>
      </c>
      <c r="J152" s="41" t="str">
        <f>IFERROR(VLOOKUP(C152, Input1!$C$204:$G$2000, 5, FALSE), "")</f>
        <v/>
      </c>
      <c r="K152" s="34">
        <f t="shared" si="22"/>
        <v>0</v>
      </c>
      <c r="L152" s="42">
        <f t="shared" si="23"/>
        <v>0</v>
      </c>
      <c r="M152" s="35">
        <f t="shared" si="26"/>
        <v>0</v>
      </c>
      <c r="N152" s="41">
        <v>0</v>
      </c>
      <c r="O152" s="35">
        <f t="shared" si="27"/>
        <v>0</v>
      </c>
      <c r="P152" s="36">
        <f t="shared" si="28"/>
        <v>0</v>
      </c>
      <c r="Q152" s="35">
        <f t="shared" si="29"/>
        <v>0</v>
      </c>
    </row>
    <row r="153" spans="2:17" x14ac:dyDescent="0.35">
      <c r="B153" s="37" t="str">
        <f>IFERROR(VLOOKUP(C153, Input1!$C$206:$G$207, 3, FALSE), "")</f>
        <v/>
      </c>
      <c r="C153" s="38"/>
      <c r="D153" s="39"/>
      <c r="E153" s="32" t="str">
        <f>IFERROR(VLOOKUP(C153, Input1!$C$204:$G$2000, 2, FALSE), "")</f>
        <v/>
      </c>
      <c r="F153" s="41">
        <v>0</v>
      </c>
      <c r="G153" s="35" t="str">
        <f t="shared" si="24"/>
        <v/>
      </c>
      <c r="H153" s="48" t="str">
        <f>IFERROR(VLOOKUP(C153, Input1!$C$204:$G$2000, 4, FALSE), "")</f>
        <v/>
      </c>
      <c r="I153" s="35" t="str">
        <f t="shared" si="25"/>
        <v/>
      </c>
      <c r="J153" s="41" t="str">
        <f>IFERROR(VLOOKUP(C153, Input1!$C$204:$G$2000, 5, FALSE), "")</f>
        <v/>
      </c>
      <c r="K153" s="34">
        <f t="shared" si="22"/>
        <v>0</v>
      </c>
      <c r="L153" s="42">
        <f t="shared" si="23"/>
        <v>0</v>
      </c>
      <c r="M153" s="35">
        <f t="shared" si="26"/>
        <v>0</v>
      </c>
      <c r="N153" s="41">
        <v>0</v>
      </c>
      <c r="O153" s="35">
        <f t="shared" si="27"/>
        <v>0</v>
      </c>
      <c r="P153" s="36">
        <f t="shared" si="28"/>
        <v>0</v>
      </c>
      <c r="Q153" s="35">
        <f t="shared" si="29"/>
        <v>0</v>
      </c>
    </row>
    <row r="154" spans="2:17" x14ac:dyDescent="0.35">
      <c r="B154" s="37" t="str">
        <f>IFERROR(VLOOKUP(C154, Input1!$C$206:$G$207, 3, FALSE), "")</f>
        <v/>
      </c>
      <c r="C154" s="38"/>
      <c r="D154" s="39"/>
      <c r="E154" s="32" t="str">
        <f>IFERROR(VLOOKUP(C154, Input1!$C$204:$G$2000, 2, FALSE), "")</f>
        <v/>
      </c>
      <c r="F154" s="41">
        <v>0</v>
      </c>
      <c r="G154" s="35" t="str">
        <f t="shared" si="24"/>
        <v/>
      </c>
      <c r="H154" s="48" t="str">
        <f>IFERROR(VLOOKUP(C154, Input1!$C$204:$G$2000, 4, FALSE), "")</f>
        <v/>
      </c>
      <c r="I154" s="35" t="str">
        <f t="shared" si="25"/>
        <v/>
      </c>
      <c r="J154" s="41" t="str">
        <f>IFERROR(VLOOKUP(C154, Input1!$C$204:$G$2000, 5, FALSE), "")</f>
        <v/>
      </c>
      <c r="K154" s="34">
        <f t="shared" si="22"/>
        <v>0</v>
      </c>
      <c r="L154" s="42">
        <f t="shared" si="23"/>
        <v>0</v>
      </c>
      <c r="M154" s="35">
        <f t="shared" si="26"/>
        <v>0</v>
      </c>
      <c r="N154" s="41">
        <v>0</v>
      </c>
      <c r="O154" s="35">
        <f t="shared" si="27"/>
        <v>0</v>
      </c>
      <c r="P154" s="36">
        <f t="shared" si="28"/>
        <v>0</v>
      </c>
      <c r="Q154" s="35">
        <f t="shared" si="29"/>
        <v>0</v>
      </c>
    </row>
    <row r="155" spans="2:17" x14ac:dyDescent="0.35">
      <c r="B155" s="37" t="str">
        <f>IFERROR(VLOOKUP(C155, Input1!$C$206:$G$207, 3, FALSE), "")</f>
        <v/>
      </c>
      <c r="C155" s="38"/>
      <c r="D155" s="39"/>
      <c r="E155" s="32" t="str">
        <f>IFERROR(VLOOKUP(C155, Input1!$C$204:$G$2000, 2, FALSE), "")</f>
        <v/>
      </c>
      <c r="F155" s="41">
        <v>0</v>
      </c>
      <c r="G155" s="35" t="str">
        <f t="shared" si="24"/>
        <v/>
      </c>
      <c r="H155" s="48" t="str">
        <f>IFERROR(VLOOKUP(C155, Input1!$C$204:$G$2000, 4, FALSE), "")</f>
        <v/>
      </c>
      <c r="I155" s="35" t="str">
        <f t="shared" si="25"/>
        <v/>
      </c>
      <c r="J155" s="41" t="str">
        <f>IFERROR(VLOOKUP(C155, Input1!$C$204:$G$2000, 5, FALSE), "")</f>
        <v/>
      </c>
      <c r="K155" s="34">
        <f t="shared" si="22"/>
        <v>0</v>
      </c>
      <c r="L155" s="42">
        <f t="shared" si="23"/>
        <v>0</v>
      </c>
      <c r="M155" s="35">
        <f t="shared" si="26"/>
        <v>0</v>
      </c>
      <c r="N155" s="41">
        <v>0</v>
      </c>
      <c r="O155" s="35">
        <f t="shared" si="27"/>
        <v>0</v>
      </c>
      <c r="P155" s="36">
        <f t="shared" si="28"/>
        <v>0</v>
      </c>
      <c r="Q155" s="35">
        <f t="shared" si="29"/>
        <v>0</v>
      </c>
    </row>
    <row r="156" spans="2:17" x14ac:dyDescent="0.35">
      <c r="B156" s="37" t="str">
        <f>IFERROR(VLOOKUP(C156, Input1!$C$206:$G$207, 3, FALSE), "")</f>
        <v/>
      </c>
      <c r="C156" s="38"/>
      <c r="D156" s="39"/>
      <c r="E156" s="32" t="str">
        <f>IFERROR(VLOOKUP(C156, Input1!$C$204:$G$2000, 2, FALSE), "")</f>
        <v/>
      </c>
      <c r="F156" s="41">
        <v>0</v>
      </c>
      <c r="G156" s="35" t="str">
        <f t="shared" si="24"/>
        <v/>
      </c>
      <c r="H156" s="48" t="str">
        <f>IFERROR(VLOOKUP(C156, Input1!$C$204:$G$2000, 4, FALSE), "")</f>
        <v/>
      </c>
      <c r="I156" s="35" t="str">
        <f t="shared" si="25"/>
        <v/>
      </c>
      <c r="J156" s="41" t="str">
        <f>IFERROR(VLOOKUP(C156, Input1!$C$204:$G$2000, 5, FALSE), "")</f>
        <v/>
      </c>
      <c r="K156" s="34">
        <f t="shared" si="22"/>
        <v>0</v>
      </c>
      <c r="L156" s="42">
        <f t="shared" si="23"/>
        <v>0</v>
      </c>
      <c r="M156" s="35">
        <f t="shared" si="26"/>
        <v>0</v>
      </c>
      <c r="N156" s="41">
        <v>0</v>
      </c>
      <c r="O156" s="35">
        <f t="shared" si="27"/>
        <v>0</v>
      </c>
      <c r="P156" s="36">
        <f t="shared" si="28"/>
        <v>0</v>
      </c>
      <c r="Q156" s="35">
        <f t="shared" si="29"/>
        <v>0</v>
      </c>
    </row>
    <row r="157" spans="2:17" x14ac:dyDescent="0.35">
      <c r="B157" s="37" t="str">
        <f>IFERROR(VLOOKUP(C157, Input1!$C$206:$G$207, 3, FALSE), "")</f>
        <v/>
      </c>
      <c r="C157" s="38"/>
      <c r="D157" s="39"/>
      <c r="E157" s="32" t="str">
        <f>IFERROR(VLOOKUP(C157, Input1!$C$204:$G$2000, 2, FALSE), "")</f>
        <v/>
      </c>
      <c r="F157" s="41">
        <v>0</v>
      </c>
      <c r="G157" s="35" t="str">
        <f t="shared" si="24"/>
        <v/>
      </c>
      <c r="H157" s="48" t="str">
        <f>IFERROR(VLOOKUP(C157, Input1!$C$204:$G$2000, 4, FALSE), "")</f>
        <v/>
      </c>
      <c r="I157" s="35" t="str">
        <f t="shared" si="25"/>
        <v/>
      </c>
      <c r="J157" s="41" t="str">
        <f>IFERROR(VLOOKUP(C157, Input1!$C$204:$G$2000, 5, FALSE), "")</f>
        <v/>
      </c>
      <c r="K157" s="34">
        <f t="shared" si="22"/>
        <v>0</v>
      </c>
      <c r="L157" s="42">
        <f t="shared" si="23"/>
        <v>0</v>
      </c>
      <c r="M157" s="35">
        <f t="shared" si="26"/>
        <v>0</v>
      </c>
      <c r="N157" s="41">
        <v>0</v>
      </c>
      <c r="O157" s="35">
        <f t="shared" si="27"/>
        <v>0</v>
      </c>
      <c r="P157" s="36">
        <f t="shared" si="28"/>
        <v>0</v>
      </c>
      <c r="Q157" s="35">
        <f t="shared" si="29"/>
        <v>0</v>
      </c>
    </row>
    <row r="158" spans="2:17" x14ac:dyDescent="0.35">
      <c r="B158" s="37" t="str">
        <f>IFERROR(VLOOKUP(C158, Input1!$C$206:$G$207, 3, FALSE), "")</f>
        <v/>
      </c>
      <c r="C158" s="38"/>
      <c r="D158" s="39"/>
      <c r="E158" s="32" t="str">
        <f>IFERROR(VLOOKUP(C158, Input1!$C$204:$G$2000, 2, FALSE), "")</f>
        <v/>
      </c>
      <c r="F158" s="41">
        <v>0</v>
      </c>
      <c r="G158" s="35" t="str">
        <f t="shared" si="24"/>
        <v/>
      </c>
      <c r="H158" s="48" t="str">
        <f>IFERROR(VLOOKUP(C158, Input1!$C$204:$G$2000, 4, FALSE), "")</f>
        <v/>
      </c>
      <c r="I158" s="35" t="str">
        <f t="shared" si="25"/>
        <v/>
      </c>
      <c r="J158" s="41" t="str">
        <f>IFERROR(VLOOKUP(C158, Input1!$C$204:$G$2000, 5, FALSE), "")</f>
        <v/>
      </c>
      <c r="K158" s="34">
        <f t="shared" si="22"/>
        <v>0</v>
      </c>
      <c r="L158" s="42">
        <f t="shared" si="23"/>
        <v>0</v>
      </c>
      <c r="M158" s="35">
        <f t="shared" si="26"/>
        <v>0</v>
      </c>
      <c r="N158" s="41">
        <v>0</v>
      </c>
      <c r="O158" s="35">
        <f t="shared" si="27"/>
        <v>0</v>
      </c>
      <c r="P158" s="36">
        <f t="shared" si="28"/>
        <v>0</v>
      </c>
      <c r="Q158" s="35">
        <f t="shared" si="29"/>
        <v>0</v>
      </c>
    </row>
    <row r="159" spans="2:17" x14ac:dyDescent="0.35">
      <c r="B159" s="37" t="str">
        <f>IFERROR(VLOOKUP(C159, Input1!$C$206:$G$207, 3, FALSE), "")</f>
        <v/>
      </c>
      <c r="C159" s="38"/>
      <c r="D159" s="39"/>
      <c r="E159" s="32" t="str">
        <f>IFERROR(VLOOKUP(C159, Input1!$C$204:$G$2000, 2, FALSE), "")</f>
        <v/>
      </c>
      <c r="F159" s="41">
        <v>0</v>
      </c>
      <c r="G159" s="35" t="str">
        <f t="shared" si="24"/>
        <v/>
      </c>
      <c r="H159" s="48" t="str">
        <f>IFERROR(VLOOKUP(C159, Input1!$C$204:$G$2000, 4, FALSE), "")</f>
        <v/>
      </c>
      <c r="I159" s="35" t="str">
        <f t="shared" si="25"/>
        <v/>
      </c>
      <c r="J159" s="41" t="str">
        <f>IFERROR(VLOOKUP(C159, Input1!$C$204:$G$2000, 5, FALSE), "")</f>
        <v/>
      </c>
      <c r="K159" s="34">
        <f t="shared" si="22"/>
        <v>0</v>
      </c>
      <c r="L159" s="42">
        <f t="shared" si="23"/>
        <v>0</v>
      </c>
      <c r="M159" s="35">
        <f t="shared" si="26"/>
        <v>0</v>
      </c>
      <c r="N159" s="41">
        <v>0</v>
      </c>
      <c r="O159" s="35">
        <f t="shared" si="27"/>
        <v>0</v>
      </c>
      <c r="P159" s="36">
        <f t="shared" si="28"/>
        <v>0</v>
      </c>
      <c r="Q159" s="35">
        <f t="shared" si="29"/>
        <v>0</v>
      </c>
    </row>
    <row r="160" spans="2:17" x14ac:dyDescent="0.35">
      <c r="B160" s="37" t="str">
        <f>IFERROR(VLOOKUP(C160, Input1!$C$206:$G$207, 3, FALSE), "")</f>
        <v/>
      </c>
      <c r="C160" s="38"/>
      <c r="D160" s="39"/>
      <c r="E160" s="32" t="str">
        <f>IFERROR(VLOOKUP(C160, Input1!$C$204:$G$2000, 2, FALSE), "")</f>
        <v/>
      </c>
      <c r="F160" s="41">
        <v>0</v>
      </c>
      <c r="G160" s="35" t="str">
        <f t="shared" si="24"/>
        <v/>
      </c>
      <c r="H160" s="48" t="str">
        <f>IFERROR(VLOOKUP(C160, Input1!$C$204:$G$2000, 4, FALSE), "")</f>
        <v/>
      </c>
      <c r="I160" s="35" t="str">
        <f t="shared" si="25"/>
        <v/>
      </c>
      <c r="J160" s="41" t="str">
        <f>IFERROR(VLOOKUP(C160, Input1!$C$204:$G$2000, 5, FALSE), "")</f>
        <v/>
      </c>
      <c r="K160" s="34">
        <f t="shared" si="22"/>
        <v>0</v>
      </c>
      <c r="L160" s="42">
        <f t="shared" si="23"/>
        <v>0</v>
      </c>
      <c r="M160" s="35">
        <f t="shared" si="26"/>
        <v>0</v>
      </c>
      <c r="N160" s="41">
        <v>0</v>
      </c>
      <c r="O160" s="35">
        <f t="shared" si="27"/>
        <v>0</v>
      </c>
      <c r="P160" s="36">
        <f t="shared" si="28"/>
        <v>0</v>
      </c>
      <c r="Q160" s="35">
        <f t="shared" si="29"/>
        <v>0</v>
      </c>
    </row>
    <row r="161" spans="2:17" x14ac:dyDescent="0.35">
      <c r="B161" s="37" t="str">
        <f>IFERROR(VLOOKUP(C161, Input1!$C$206:$G$207, 3, FALSE), "")</f>
        <v/>
      </c>
      <c r="C161" s="38"/>
      <c r="D161" s="39"/>
      <c r="E161" s="32" t="str">
        <f>IFERROR(VLOOKUP(C161, Input1!$C$204:$G$2000, 2, FALSE), "")</f>
        <v/>
      </c>
      <c r="F161" s="41">
        <v>0</v>
      </c>
      <c r="G161" s="35" t="str">
        <f t="shared" si="24"/>
        <v/>
      </c>
      <c r="H161" s="48" t="str">
        <f>IFERROR(VLOOKUP(C161, Input1!$C$204:$G$2000, 4, FALSE), "")</f>
        <v/>
      </c>
      <c r="I161" s="35" t="str">
        <f t="shared" si="25"/>
        <v/>
      </c>
      <c r="J161" s="41" t="str">
        <f>IFERROR(VLOOKUP(C161, Input1!$C$204:$G$2000, 5, FALSE), "")</f>
        <v/>
      </c>
      <c r="K161" s="34">
        <f t="shared" si="22"/>
        <v>0</v>
      </c>
      <c r="L161" s="42">
        <f t="shared" si="23"/>
        <v>0</v>
      </c>
      <c r="M161" s="35">
        <f t="shared" si="26"/>
        <v>0</v>
      </c>
      <c r="N161" s="41">
        <v>0</v>
      </c>
      <c r="O161" s="35">
        <f t="shared" si="27"/>
        <v>0</v>
      </c>
      <c r="P161" s="36">
        <f t="shared" si="28"/>
        <v>0</v>
      </c>
      <c r="Q161" s="35">
        <f t="shared" si="29"/>
        <v>0</v>
      </c>
    </row>
    <row r="162" spans="2:17" x14ac:dyDescent="0.35">
      <c r="B162" s="37" t="str">
        <f>IFERROR(VLOOKUP(C162, Input1!$C$206:$G$207, 3, FALSE), "")</f>
        <v/>
      </c>
      <c r="C162" s="38"/>
      <c r="D162" s="39"/>
      <c r="E162" s="32" t="str">
        <f>IFERROR(VLOOKUP(C162, Input1!$C$204:$G$2000, 2, FALSE), "")</f>
        <v/>
      </c>
      <c r="F162" s="41">
        <v>0</v>
      </c>
      <c r="G162" s="35" t="str">
        <f t="shared" si="24"/>
        <v/>
      </c>
      <c r="H162" s="48" t="str">
        <f>IFERROR(VLOOKUP(C162, Input1!$C$204:$G$2000, 4, FALSE), "")</f>
        <v/>
      </c>
      <c r="I162" s="35" t="str">
        <f t="shared" si="25"/>
        <v/>
      </c>
      <c r="J162" s="41" t="str">
        <f>IFERROR(VLOOKUP(C162, Input1!$C$204:$G$2000, 5, FALSE), "")</f>
        <v/>
      </c>
      <c r="K162" s="34">
        <f t="shared" si="22"/>
        <v>0</v>
      </c>
      <c r="L162" s="42">
        <f t="shared" si="23"/>
        <v>0</v>
      </c>
      <c r="M162" s="35">
        <f t="shared" si="26"/>
        <v>0</v>
      </c>
      <c r="N162" s="41">
        <v>0</v>
      </c>
      <c r="O162" s="35">
        <f t="shared" si="27"/>
        <v>0</v>
      </c>
      <c r="P162" s="36">
        <f t="shared" si="28"/>
        <v>0</v>
      </c>
      <c r="Q162" s="35">
        <f t="shared" si="29"/>
        <v>0</v>
      </c>
    </row>
    <row r="163" spans="2:17" x14ac:dyDescent="0.35">
      <c r="B163" s="37" t="str">
        <f>IFERROR(VLOOKUP(C163, Input1!$C$206:$G$207, 3, FALSE), "")</f>
        <v/>
      </c>
      <c r="C163" s="38"/>
      <c r="D163" s="39"/>
      <c r="E163" s="32" t="str">
        <f>IFERROR(VLOOKUP(C163, Input1!$C$204:$G$2000, 2, FALSE), "")</f>
        <v/>
      </c>
      <c r="F163" s="41">
        <v>0</v>
      </c>
      <c r="G163" s="35" t="str">
        <f t="shared" si="24"/>
        <v/>
      </c>
      <c r="H163" s="48" t="str">
        <f>IFERROR(VLOOKUP(C163, Input1!$C$204:$G$2000, 4, FALSE), "")</f>
        <v/>
      </c>
      <c r="I163" s="35" t="str">
        <f t="shared" si="25"/>
        <v/>
      </c>
      <c r="J163" s="41" t="str">
        <f>IFERROR(VLOOKUP(C163, Input1!$C$204:$G$2000, 5, FALSE), "")</f>
        <v/>
      </c>
      <c r="K163" s="34">
        <f t="shared" si="22"/>
        <v>0</v>
      </c>
      <c r="L163" s="42">
        <f t="shared" si="23"/>
        <v>0</v>
      </c>
      <c r="M163" s="35">
        <f t="shared" si="26"/>
        <v>0</v>
      </c>
      <c r="N163" s="41">
        <v>0</v>
      </c>
      <c r="O163" s="35">
        <f t="shared" si="27"/>
        <v>0</v>
      </c>
      <c r="P163" s="36">
        <f t="shared" si="28"/>
        <v>0</v>
      </c>
      <c r="Q163" s="35">
        <f t="shared" si="29"/>
        <v>0</v>
      </c>
    </row>
    <row r="164" spans="2:17" x14ac:dyDescent="0.35">
      <c r="B164" s="37" t="str">
        <f>IFERROR(VLOOKUP(C164, Input1!$C$206:$G$207, 3, FALSE), "")</f>
        <v/>
      </c>
      <c r="C164" s="38"/>
      <c r="D164" s="39"/>
      <c r="E164" s="32" t="str">
        <f>IFERROR(VLOOKUP(C164, Input1!$C$204:$G$2000, 2, FALSE), "")</f>
        <v/>
      </c>
      <c r="F164" s="41">
        <v>0</v>
      </c>
      <c r="G164" s="35" t="str">
        <f t="shared" si="24"/>
        <v/>
      </c>
      <c r="H164" s="48" t="str">
        <f>IFERROR(VLOOKUP(C164, Input1!$C$204:$G$2000, 4, FALSE), "")</f>
        <v/>
      </c>
      <c r="I164" s="35" t="str">
        <f t="shared" si="25"/>
        <v/>
      </c>
      <c r="J164" s="41" t="str">
        <f>IFERROR(VLOOKUP(C164, Input1!$C$204:$G$2000, 5, FALSE), "")</f>
        <v/>
      </c>
      <c r="K164" s="34">
        <f t="shared" si="22"/>
        <v>0</v>
      </c>
      <c r="L164" s="42">
        <f t="shared" si="23"/>
        <v>0</v>
      </c>
      <c r="M164" s="35">
        <f t="shared" si="26"/>
        <v>0</v>
      </c>
      <c r="N164" s="41">
        <v>0</v>
      </c>
      <c r="O164" s="35">
        <f t="shared" si="27"/>
        <v>0</v>
      </c>
      <c r="P164" s="36">
        <f t="shared" si="28"/>
        <v>0</v>
      </c>
      <c r="Q164" s="35">
        <f t="shared" si="29"/>
        <v>0</v>
      </c>
    </row>
    <row r="165" spans="2:17" x14ac:dyDescent="0.35">
      <c r="B165" s="37" t="str">
        <f>IFERROR(VLOOKUP(C165, Input1!$C$206:$G$207, 3, FALSE), "")</f>
        <v/>
      </c>
      <c r="C165" s="38"/>
      <c r="D165" s="39"/>
      <c r="E165" s="32" t="str">
        <f>IFERROR(VLOOKUP(C165, Input1!$C$204:$G$2000, 2, FALSE), "")</f>
        <v/>
      </c>
      <c r="F165" s="41">
        <v>0</v>
      </c>
      <c r="G165" s="35" t="str">
        <f t="shared" si="24"/>
        <v/>
      </c>
      <c r="H165" s="48" t="str">
        <f>IFERROR(VLOOKUP(C165, Input1!$C$204:$G$2000, 4, FALSE), "")</f>
        <v/>
      </c>
      <c r="I165" s="35" t="str">
        <f t="shared" si="25"/>
        <v/>
      </c>
      <c r="J165" s="41" t="str">
        <f>IFERROR(VLOOKUP(C165, Input1!$C$204:$G$2000, 5, FALSE), "")</f>
        <v/>
      </c>
      <c r="K165" s="34">
        <f t="shared" si="22"/>
        <v>0</v>
      </c>
      <c r="L165" s="42">
        <f t="shared" si="23"/>
        <v>0</v>
      </c>
      <c r="M165" s="35">
        <f t="shared" si="26"/>
        <v>0</v>
      </c>
      <c r="N165" s="41">
        <v>0</v>
      </c>
      <c r="O165" s="35">
        <f t="shared" si="27"/>
        <v>0</v>
      </c>
      <c r="P165" s="36">
        <f t="shared" si="28"/>
        <v>0</v>
      </c>
      <c r="Q165" s="35">
        <f t="shared" si="29"/>
        <v>0</v>
      </c>
    </row>
    <row r="166" spans="2:17" x14ac:dyDescent="0.35">
      <c r="B166" s="37" t="str">
        <f>IFERROR(VLOOKUP(C166, Input1!$C$206:$G$207, 3, FALSE), "")</f>
        <v/>
      </c>
      <c r="C166" s="38"/>
      <c r="D166" s="39"/>
      <c r="E166" s="32" t="str">
        <f>IFERROR(VLOOKUP(C166, Input1!$C$204:$G$2000, 2, FALSE), "")</f>
        <v/>
      </c>
      <c r="F166" s="41">
        <v>0</v>
      </c>
      <c r="G166" s="35" t="str">
        <f t="shared" si="24"/>
        <v/>
      </c>
      <c r="H166" s="48" t="str">
        <f>IFERROR(VLOOKUP(C166, Input1!$C$204:$G$2000, 4, FALSE), "")</f>
        <v/>
      </c>
      <c r="I166" s="35" t="str">
        <f t="shared" si="25"/>
        <v/>
      </c>
      <c r="J166" s="41" t="str">
        <f>IFERROR(VLOOKUP(C166, Input1!$C$204:$G$2000, 5, FALSE), "")</f>
        <v/>
      </c>
      <c r="K166" s="34">
        <f t="shared" si="22"/>
        <v>0</v>
      </c>
      <c r="L166" s="42">
        <f t="shared" si="23"/>
        <v>0</v>
      </c>
      <c r="M166" s="35">
        <f t="shared" si="26"/>
        <v>0</v>
      </c>
      <c r="N166" s="41">
        <v>0</v>
      </c>
      <c r="O166" s="35">
        <f t="shared" si="27"/>
        <v>0</v>
      </c>
      <c r="P166" s="36">
        <f t="shared" si="28"/>
        <v>0</v>
      </c>
      <c r="Q166" s="35">
        <f t="shared" si="29"/>
        <v>0</v>
      </c>
    </row>
    <row r="167" spans="2:17" x14ac:dyDescent="0.35">
      <c r="B167" s="37" t="str">
        <f>IFERROR(VLOOKUP(C167, Input1!$C$206:$G$207, 3, FALSE), "")</f>
        <v/>
      </c>
      <c r="C167" s="38"/>
      <c r="D167" s="39"/>
      <c r="E167" s="32" t="str">
        <f>IFERROR(VLOOKUP(C167, Input1!$C$204:$G$2000, 2, FALSE), "")</f>
        <v/>
      </c>
      <c r="F167" s="41">
        <v>0</v>
      </c>
      <c r="G167" s="35" t="str">
        <f t="shared" si="24"/>
        <v/>
      </c>
      <c r="H167" s="48" t="str">
        <f>IFERROR(VLOOKUP(C167, Input1!$C$204:$G$2000, 4, FALSE), "")</f>
        <v/>
      </c>
      <c r="I167" s="35" t="str">
        <f t="shared" si="25"/>
        <v/>
      </c>
      <c r="J167" s="41" t="str">
        <f>IFERROR(VLOOKUP(C167, Input1!$C$204:$G$2000, 5, FALSE), "")</f>
        <v/>
      </c>
      <c r="K167" s="34">
        <f t="shared" si="22"/>
        <v>0</v>
      </c>
      <c r="L167" s="42">
        <f t="shared" si="23"/>
        <v>0</v>
      </c>
      <c r="M167" s="35">
        <f t="shared" si="26"/>
        <v>0</v>
      </c>
      <c r="N167" s="41">
        <v>0</v>
      </c>
      <c r="O167" s="35">
        <f t="shared" si="27"/>
        <v>0</v>
      </c>
      <c r="P167" s="36">
        <f t="shared" si="28"/>
        <v>0</v>
      </c>
      <c r="Q167" s="35">
        <f t="shared" si="29"/>
        <v>0</v>
      </c>
    </row>
    <row r="168" spans="2:17" x14ac:dyDescent="0.35">
      <c r="B168" s="37" t="str">
        <f>IFERROR(VLOOKUP(C168, Input1!$C$206:$G$207, 3, FALSE), "")</f>
        <v/>
      </c>
      <c r="C168" s="38"/>
      <c r="D168" s="39"/>
      <c r="E168" s="32" t="str">
        <f>IFERROR(VLOOKUP(C168, Input1!$C$204:$G$2000, 2, FALSE), "")</f>
        <v/>
      </c>
      <c r="F168" s="41">
        <v>0</v>
      </c>
      <c r="G168" s="35" t="str">
        <f t="shared" si="24"/>
        <v/>
      </c>
      <c r="H168" s="48" t="str">
        <f>IFERROR(VLOOKUP(C168, Input1!$C$204:$G$2000, 4, FALSE), "")</f>
        <v/>
      </c>
      <c r="I168" s="35" t="str">
        <f t="shared" si="25"/>
        <v/>
      </c>
      <c r="J168" s="41" t="str">
        <f>IFERROR(VLOOKUP(C168, Input1!$C$204:$G$2000, 5, FALSE), "")</f>
        <v/>
      </c>
      <c r="K168" s="34">
        <f t="shared" si="22"/>
        <v>0</v>
      </c>
      <c r="L168" s="42">
        <f t="shared" si="23"/>
        <v>0</v>
      </c>
      <c r="M168" s="35">
        <f t="shared" si="26"/>
        <v>0</v>
      </c>
      <c r="N168" s="41">
        <v>0</v>
      </c>
      <c r="O168" s="35">
        <f t="shared" si="27"/>
        <v>0</v>
      </c>
      <c r="P168" s="36">
        <f t="shared" si="28"/>
        <v>0</v>
      </c>
      <c r="Q168" s="35">
        <f t="shared" si="29"/>
        <v>0</v>
      </c>
    </row>
    <row r="169" spans="2:17" x14ac:dyDescent="0.35">
      <c r="B169" s="37" t="str">
        <f>IFERROR(VLOOKUP(C169, Input1!$C$206:$G$207, 3, FALSE), "")</f>
        <v/>
      </c>
      <c r="C169" s="38"/>
      <c r="D169" s="39"/>
      <c r="E169" s="32" t="str">
        <f>IFERROR(VLOOKUP(C169, Input1!$C$204:$G$2000, 2, FALSE), "")</f>
        <v/>
      </c>
      <c r="F169" s="41">
        <v>0</v>
      </c>
      <c r="G169" s="35" t="str">
        <f t="shared" si="24"/>
        <v/>
      </c>
      <c r="H169" s="48" t="str">
        <f>IFERROR(VLOOKUP(C169, Input1!$C$204:$G$2000, 4, FALSE), "")</f>
        <v/>
      </c>
      <c r="I169" s="35" t="str">
        <f t="shared" si="25"/>
        <v/>
      </c>
      <c r="J169" s="41" t="str">
        <f>IFERROR(VLOOKUP(C169, Input1!$C$204:$G$2000, 5, FALSE), "")</f>
        <v/>
      </c>
      <c r="K169" s="34">
        <f t="shared" si="22"/>
        <v>0</v>
      </c>
      <c r="L169" s="42">
        <f t="shared" si="23"/>
        <v>0</v>
      </c>
      <c r="M169" s="35">
        <f t="shared" si="26"/>
        <v>0</v>
      </c>
      <c r="N169" s="41">
        <v>0</v>
      </c>
      <c r="O169" s="35">
        <f t="shared" si="27"/>
        <v>0</v>
      </c>
      <c r="P169" s="36">
        <f t="shared" si="28"/>
        <v>0</v>
      </c>
      <c r="Q169" s="35">
        <f t="shared" si="29"/>
        <v>0</v>
      </c>
    </row>
    <row r="170" spans="2:17" x14ac:dyDescent="0.35">
      <c r="B170" s="37" t="str">
        <f>IFERROR(VLOOKUP(C170, Input1!$C$206:$G$207, 3, FALSE), "")</f>
        <v/>
      </c>
      <c r="C170" s="38"/>
      <c r="D170" s="39"/>
      <c r="E170" s="32" t="str">
        <f>IFERROR(VLOOKUP(C170, Input1!$C$204:$G$2000, 2, FALSE), "")</f>
        <v/>
      </c>
      <c r="F170" s="41">
        <v>0</v>
      </c>
      <c r="G170" s="35" t="str">
        <f t="shared" si="24"/>
        <v/>
      </c>
      <c r="H170" s="48" t="str">
        <f>IFERROR(VLOOKUP(C170, Input1!$C$204:$G$2000, 4, FALSE), "")</f>
        <v/>
      </c>
      <c r="I170" s="35" t="str">
        <f t="shared" si="25"/>
        <v/>
      </c>
      <c r="J170" s="41" t="str">
        <f>IFERROR(VLOOKUP(C170, Input1!$C$204:$G$2000, 5, FALSE), "")</f>
        <v/>
      </c>
      <c r="K170" s="34">
        <f t="shared" si="22"/>
        <v>0</v>
      </c>
      <c r="L170" s="42">
        <f t="shared" si="23"/>
        <v>0</v>
      </c>
      <c r="M170" s="35">
        <f t="shared" si="26"/>
        <v>0</v>
      </c>
      <c r="N170" s="41">
        <v>0</v>
      </c>
      <c r="O170" s="35">
        <f t="shared" si="27"/>
        <v>0</v>
      </c>
      <c r="P170" s="36">
        <f t="shared" si="28"/>
        <v>0</v>
      </c>
      <c r="Q170" s="35">
        <f t="shared" si="29"/>
        <v>0</v>
      </c>
    </row>
    <row r="171" spans="2:17" x14ac:dyDescent="0.35">
      <c r="B171" s="37" t="str">
        <f>IFERROR(VLOOKUP(C171, Input1!$C$206:$G$207, 3, FALSE), "")</f>
        <v/>
      </c>
      <c r="C171" s="38"/>
      <c r="D171" s="39"/>
      <c r="E171" s="32" t="str">
        <f>IFERROR(VLOOKUP(C171, Input1!$C$204:$G$2000, 2, FALSE), "")</f>
        <v/>
      </c>
      <c r="F171" s="41">
        <v>0</v>
      </c>
      <c r="G171" s="35" t="str">
        <f t="shared" si="24"/>
        <v/>
      </c>
      <c r="H171" s="48" t="str">
        <f>IFERROR(VLOOKUP(C171, Input1!$C$204:$G$2000, 4, FALSE), "")</f>
        <v/>
      </c>
      <c r="I171" s="35" t="str">
        <f t="shared" si="25"/>
        <v/>
      </c>
      <c r="J171" s="41" t="str">
        <f>IFERROR(VLOOKUP(C171, Input1!$C$204:$G$2000, 5, FALSE), "")</f>
        <v/>
      </c>
      <c r="K171" s="34">
        <f t="shared" si="22"/>
        <v>0</v>
      </c>
      <c r="L171" s="42">
        <f t="shared" si="23"/>
        <v>0</v>
      </c>
      <c r="M171" s="35">
        <f t="shared" si="26"/>
        <v>0</v>
      </c>
      <c r="N171" s="41">
        <v>0</v>
      </c>
      <c r="O171" s="35">
        <f t="shared" si="27"/>
        <v>0</v>
      </c>
      <c r="P171" s="36">
        <f t="shared" si="28"/>
        <v>0</v>
      </c>
      <c r="Q171" s="35">
        <f t="shared" si="29"/>
        <v>0</v>
      </c>
    </row>
    <row r="172" spans="2:17" x14ac:dyDescent="0.35">
      <c r="B172" s="37" t="str">
        <f>IFERROR(VLOOKUP(C172, Input1!$C$206:$G$207, 3, FALSE), "")</f>
        <v/>
      </c>
      <c r="C172" s="38"/>
      <c r="D172" s="39"/>
      <c r="E172" s="32" t="str">
        <f>IFERROR(VLOOKUP(C172, Input1!$C$204:$G$2000, 2, FALSE), "")</f>
        <v/>
      </c>
      <c r="F172" s="41">
        <v>0</v>
      </c>
      <c r="G172" s="35" t="str">
        <f t="shared" si="24"/>
        <v/>
      </c>
      <c r="H172" s="48" t="str">
        <f>IFERROR(VLOOKUP(C172, Input1!$C$204:$G$2000, 4, FALSE), "")</f>
        <v/>
      </c>
      <c r="I172" s="35" t="str">
        <f t="shared" si="25"/>
        <v/>
      </c>
      <c r="J172" s="41" t="str">
        <f>IFERROR(VLOOKUP(C172, Input1!$C$204:$G$2000, 5, FALSE), "")</f>
        <v/>
      </c>
      <c r="K172" s="34">
        <f t="shared" si="22"/>
        <v>0</v>
      </c>
      <c r="L172" s="42">
        <f t="shared" si="23"/>
        <v>0</v>
      </c>
      <c r="M172" s="35">
        <f t="shared" si="26"/>
        <v>0</v>
      </c>
      <c r="N172" s="41">
        <v>0</v>
      </c>
      <c r="O172" s="35">
        <f t="shared" si="27"/>
        <v>0</v>
      </c>
      <c r="P172" s="36">
        <f t="shared" si="28"/>
        <v>0</v>
      </c>
      <c r="Q172" s="35">
        <f t="shared" si="29"/>
        <v>0</v>
      </c>
    </row>
    <row r="173" spans="2:17" x14ac:dyDescent="0.35">
      <c r="B173" s="37" t="str">
        <f>IFERROR(VLOOKUP(C173, Input1!$C$206:$G$207, 3, FALSE), "")</f>
        <v/>
      </c>
      <c r="C173" s="38"/>
      <c r="D173" s="39"/>
      <c r="E173" s="32" t="str">
        <f>IFERROR(VLOOKUP(C173, Input1!$C$204:$G$2000, 2, FALSE), "")</f>
        <v/>
      </c>
      <c r="F173" s="41">
        <v>0</v>
      </c>
      <c r="G173" s="35" t="str">
        <f t="shared" si="24"/>
        <v/>
      </c>
      <c r="H173" s="48" t="str">
        <f>IFERROR(VLOOKUP(C173, Input1!$C$204:$G$2000, 4, FALSE), "")</f>
        <v/>
      </c>
      <c r="I173" s="35" t="str">
        <f t="shared" si="25"/>
        <v/>
      </c>
      <c r="J173" s="41" t="str">
        <f>IFERROR(VLOOKUP(C173, Input1!$C$204:$G$2000, 5, FALSE), "")</f>
        <v/>
      </c>
      <c r="K173" s="34">
        <f t="shared" si="22"/>
        <v>0</v>
      </c>
      <c r="L173" s="42">
        <f t="shared" si="23"/>
        <v>0</v>
      </c>
      <c r="M173" s="35">
        <f t="shared" si="26"/>
        <v>0</v>
      </c>
      <c r="N173" s="41">
        <v>0</v>
      </c>
      <c r="O173" s="35">
        <f t="shared" si="27"/>
        <v>0</v>
      </c>
      <c r="P173" s="36">
        <f t="shared" si="28"/>
        <v>0</v>
      </c>
      <c r="Q173" s="35">
        <f t="shared" si="29"/>
        <v>0</v>
      </c>
    </row>
    <row r="174" spans="2:17" x14ac:dyDescent="0.35">
      <c r="B174" s="37" t="str">
        <f>IFERROR(VLOOKUP(C174, Input1!$C$206:$G$207, 3, FALSE), "")</f>
        <v/>
      </c>
      <c r="C174" s="38"/>
      <c r="D174" s="39"/>
      <c r="E174" s="32" t="str">
        <f>IFERROR(VLOOKUP(C174, Input1!$C$204:$G$2000, 2, FALSE), "")</f>
        <v/>
      </c>
      <c r="F174" s="41">
        <v>0</v>
      </c>
      <c r="G174" s="35" t="str">
        <f t="shared" si="24"/>
        <v/>
      </c>
      <c r="H174" s="48" t="str">
        <f>IFERROR(VLOOKUP(C174, Input1!$C$204:$G$2000, 4, FALSE), "")</f>
        <v/>
      </c>
      <c r="I174" s="35" t="str">
        <f t="shared" si="25"/>
        <v/>
      </c>
      <c r="J174" s="41" t="str">
        <f>IFERROR(VLOOKUP(C174, Input1!$C$204:$G$2000, 5, FALSE), "")</f>
        <v/>
      </c>
      <c r="K174" s="34">
        <f t="shared" si="22"/>
        <v>0</v>
      </c>
      <c r="L174" s="42">
        <f t="shared" si="23"/>
        <v>0</v>
      </c>
      <c r="M174" s="35">
        <f t="shared" si="26"/>
        <v>0</v>
      </c>
      <c r="N174" s="41">
        <v>0</v>
      </c>
      <c r="O174" s="35">
        <f t="shared" si="27"/>
        <v>0</v>
      </c>
      <c r="P174" s="36">
        <f t="shared" si="28"/>
        <v>0</v>
      </c>
      <c r="Q174" s="35">
        <f t="shared" si="29"/>
        <v>0</v>
      </c>
    </row>
    <row r="175" spans="2:17" x14ac:dyDescent="0.35">
      <c r="B175" s="37" t="str">
        <f>IFERROR(VLOOKUP(C175, Input1!$C$206:$G$207, 3, FALSE), "")</f>
        <v/>
      </c>
      <c r="C175" s="38"/>
      <c r="D175" s="39"/>
      <c r="E175" s="32" t="str">
        <f>IFERROR(VLOOKUP(C175, Input1!$C$204:$G$2000, 2, FALSE), "")</f>
        <v/>
      </c>
      <c r="F175" s="41">
        <v>0</v>
      </c>
      <c r="G175" s="35" t="str">
        <f t="shared" si="24"/>
        <v/>
      </c>
      <c r="H175" s="48" t="str">
        <f>IFERROR(VLOOKUP(C175, Input1!$C$204:$G$2000, 4, FALSE), "")</f>
        <v/>
      </c>
      <c r="I175" s="35" t="str">
        <f t="shared" si="25"/>
        <v/>
      </c>
      <c r="J175" s="41" t="str">
        <f>IFERROR(VLOOKUP(C175, Input1!$C$204:$G$2000, 5, FALSE), "")</f>
        <v/>
      </c>
      <c r="K175" s="34">
        <f t="shared" si="22"/>
        <v>0</v>
      </c>
      <c r="L175" s="42">
        <f t="shared" si="23"/>
        <v>0</v>
      </c>
      <c r="M175" s="35">
        <f t="shared" si="26"/>
        <v>0</v>
      </c>
      <c r="N175" s="41">
        <v>0</v>
      </c>
      <c r="O175" s="35">
        <f t="shared" si="27"/>
        <v>0</v>
      </c>
      <c r="P175" s="36">
        <f t="shared" si="28"/>
        <v>0</v>
      </c>
      <c r="Q175" s="35">
        <f t="shared" si="29"/>
        <v>0</v>
      </c>
    </row>
    <row r="176" spans="2:17" x14ac:dyDescent="0.35">
      <c r="B176" s="37" t="str">
        <f>IFERROR(VLOOKUP(C176, Input1!$C$206:$G$207, 3, FALSE), "")</f>
        <v/>
      </c>
      <c r="C176" s="38"/>
      <c r="D176" s="39"/>
      <c r="E176" s="32" t="str">
        <f>IFERROR(VLOOKUP(C176, Input1!$C$204:$G$2000, 2, FALSE), "")</f>
        <v/>
      </c>
      <c r="F176" s="41">
        <v>0</v>
      </c>
      <c r="G176" s="35" t="str">
        <f t="shared" si="24"/>
        <v/>
      </c>
      <c r="H176" s="48" t="str">
        <f>IFERROR(VLOOKUP(C176, Input1!$C$204:$G$2000, 4, FALSE), "")</f>
        <v/>
      </c>
      <c r="I176" s="35" t="str">
        <f t="shared" si="25"/>
        <v/>
      </c>
      <c r="J176" s="41" t="str">
        <f>IFERROR(VLOOKUP(C176, Input1!$C$204:$G$2000, 5, FALSE), "")</f>
        <v/>
      </c>
      <c r="K176" s="34">
        <f t="shared" si="22"/>
        <v>0</v>
      </c>
      <c r="L176" s="42">
        <f t="shared" si="23"/>
        <v>0</v>
      </c>
      <c r="M176" s="35">
        <f t="shared" si="26"/>
        <v>0</v>
      </c>
      <c r="N176" s="41">
        <v>0</v>
      </c>
      <c r="O176" s="35">
        <f t="shared" si="27"/>
        <v>0</v>
      </c>
      <c r="P176" s="36">
        <f t="shared" si="28"/>
        <v>0</v>
      </c>
      <c r="Q176" s="35">
        <f t="shared" si="29"/>
        <v>0</v>
      </c>
    </row>
    <row r="177" spans="2:17" x14ac:dyDescent="0.35">
      <c r="B177" s="37" t="str">
        <f>IFERROR(VLOOKUP(C177, Input1!$C$206:$G$207, 3, FALSE), "")</f>
        <v/>
      </c>
      <c r="C177" s="38"/>
      <c r="D177" s="39"/>
      <c r="E177" s="32" t="str">
        <f>IFERROR(VLOOKUP(C177, Input1!$C$204:$G$2000, 2, FALSE), "")</f>
        <v/>
      </c>
      <c r="F177" s="41">
        <v>0</v>
      </c>
      <c r="G177" s="35" t="str">
        <f t="shared" si="24"/>
        <v/>
      </c>
      <c r="H177" s="48" t="str">
        <f>IFERROR(VLOOKUP(C177, Input1!$C$204:$G$2000, 4, FALSE), "")</f>
        <v/>
      </c>
      <c r="I177" s="35" t="str">
        <f t="shared" si="25"/>
        <v/>
      </c>
      <c r="J177" s="41" t="str">
        <f>IFERROR(VLOOKUP(C177, Input1!$C$204:$G$2000, 5, FALSE), "")</f>
        <v/>
      </c>
      <c r="K177" s="34">
        <f t="shared" si="22"/>
        <v>0</v>
      </c>
      <c r="L177" s="42">
        <f t="shared" si="23"/>
        <v>0</v>
      </c>
      <c r="M177" s="35">
        <f t="shared" si="26"/>
        <v>0</v>
      </c>
      <c r="N177" s="41">
        <v>0</v>
      </c>
      <c r="O177" s="35">
        <f t="shared" si="27"/>
        <v>0</v>
      </c>
      <c r="P177" s="36">
        <f t="shared" si="28"/>
        <v>0</v>
      </c>
      <c r="Q177" s="35">
        <f t="shared" si="29"/>
        <v>0</v>
      </c>
    </row>
    <row r="178" spans="2:17" x14ac:dyDescent="0.35">
      <c r="B178" s="37" t="str">
        <f>IFERROR(VLOOKUP(C178, Input1!$C$206:$G$207, 3, FALSE), "")</f>
        <v/>
      </c>
      <c r="C178" s="38"/>
      <c r="D178" s="39"/>
      <c r="E178" s="32" t="str">
        <f>IFERROR(VLOOKUP(C178, Input1!$C$204:$G$2000, 2, FALSE), "")</f>
        <v/>
      </c>
      <c r="F178" s="41">
        <v>0</v>
      </c>
      <c r="G178" s="35" t="str">
        <f t="shared" si="24"/>
        <v/>
      </c>
      <c r="H178" s="48" t="str">
        <f>IFERROR(VLOOKUP(C178, Input1!$C$204:$G$2000, 4, FALSE), "")</f>
        <v/>
      </c>
      <c r="I178" s="35" t="str">
        <f t="shared" si="25"/>
        <v/>
      </c>
      <c r="J178" s="41" t="str">
        <f>IFERROR(VLOOKUP(C178, Input1!$C$204:$G$2000, 5, FALSE), "")</f>
        <v/>
      </c>
      <c r="K178" s="34">
        <f t="shared" si="22"/>
        <v>0</v>
      </c>
      <c r="L178" s="42">
        <f t="shared" si="23"/>
        <v>0</v>
      </c>
      <c r="M178" s="35">
        <f t="shared" si="26"/>
        <v>0</v>
      </c>
      <c r="N178" s="41">
        <v>0</v>
      </c>
      <c r="O178" s="35">
        <f t="shared" si="27"/>
        <v>0</v>
      </c>
      <c r="P178" s="36">
        <f t="shared" si="28"/>
        <v>0</v>
      </c>
      <c r="Q178" s="35">
        <f t="shared" si="29"/>
        <v>0</v>
      </c>
    </row>
    <row r="179" spans="2:17" x14ac:dyDescent="0.35">
      <c r="B179" s="37" t="str">
        <f>IFERROR(VLOOKUP(C179, Input1!$C$206:$G$207, 3, FALSE), "")</f>
        <v/>
      </c>
      <c r="C179" s="38"/>
      <c r="D179" s="39"/>
      <c r="E179" s="32" t="str">
        <f>IFERROR(VLOOKUP(C179, Input1!$C$204:$G$2000, 2, FALSE), "")</f>
        <v/>
      </c>
      <c r="F179" s="41">
        <v>0</v>
      </c>
      <c r="G179" s="35" t="str">
        <f t="shared" si="24"/>
        <v/>
      </c>
      <c r="H179" s="48" t="str">
        <f>IFERROR(VLOOKUP(C179, Input1!$C$204:$G$2000, 4, FALSE), "")</f>
        <v/>
      </c>
      <c r="I179" s="35" t="str">
        <f t="shared" si="25"/>
        <v/>
      </c>
      <c r="J179" s="41" t="str">
        <f>IFERROR(VLOOKUP(C179, Input1!$C$204:$G$2000, 5, FALSE), "")</f>
        <v/>
      </c>
      <c r="K179" s="34">
        <f t="shared" si="22"/>
        <v>0</v>
      </c>
      <c r="L179" s="42">
        <f t="shared" si="23"/>
        <v>0</v>
      </c>
      <c r="M179" s="35">
        <f t="shared" si="26"/>
        <v>0</v>
      </c>
      <c r="N179" s="41">
        <v>0</v>
      </c>
      <c r="O179" s="35">
        <f t="shared" si="27"/>
        <v>0</v>
      </c>
      <c r="P179" s="36">
        <f t="shared" si="28"/>
        <v>0</v>
      </c>
      <c r="Q179" s="35">
        <f t="shared" si="29"/>
        <v>0</v>
      </c>
    </row>
    <row r="180" spans="2:17" x14ac:dyDescent="0.35">
      <c r="B180" s="37" t="str">
        <f>IFERROR(VLOOKUP(C180, Input1!$C$206:$G$207, 3, FALSE), "")</f>
        <v/>
      </c>
      <c r="C180" s="38"/>
      <c r="D180" s="39"/>
      <c r="E180" s="32" t="str">
        <f>IFERROR(VLOOKUP(C180, Input1!$C$204:$G$2000, 2, FALSE), "")</f>
        <v/>
      </c>
      <c r="F180" s="41">
        <v>0</v>
      </c>
      <c r="G180" s="35" t="str">
        <f t="shared" si="24"/>
        <v/>
      </c>
      <c r="H180" s="48" t="str">
        <f>IFERROR(VLOOKUP(C180, Input1!$C$204:$G$2000, 4, FALSE), "")</f>
        <v/>
      </c>
      <c r="I180" s="35" t="str">
        <f t="shared" si="25"/>
        <v/>
      </c>
      <c r="J180" s="41" t="str">
        <f>IFERROR(VLOOKUP(C180, Input1!$C$204:$G$2000, 5, FALSE), "")</f>
        <v/>
      </c>
      <c r="K180" s="34">
        <f t="shared" si="22"/>
        <v>0</v>
      </c>
      <c r="L180" s="42">
        <f t="shared" si="23"/>
        <v>0</v>
      </c>
      <c r="M180" s="35">
        <f t="shared" si="26"/>
        <v>0</v>
      </c>
      <c r="N180" s="41">
        <v>0</v>
      </c>
      <c r="O180" s="35">
        <f t="shared" si="27"/>
        <v>0</v>
      </c>
      <c r="P180" s="36">
        <f t="shared" si="28"/>
        <v>0</v>
      </c>
      <c r="Q180" s="35">
        <f t="shared" si="29"/>
        <v>0</v>
      </c>
    </row>
    <row r="181" spans="2:17" x14ac:dyDescent="0.35">
      <c r="B181" s="37" t="str">
        <f>IFERROR(VLOOKUP(C181, Input1!$C$206:$G$207, 3, FALSE), "")</f>
        <v/>
      </c>
      <c r="C181" s="38"/>
      <c r="D181" s="39"/>
      <c r="E181" s="32" t="str">
        <f>IFERROR(VLOOKUP(C181, Input1!$C$204:$G$2000, 2, FALSE), "")</f>
        <v/>
      </c>
      <c r="F181" s="41">
        <v>0</v>
      </c>
      <c r="G181" s="35" t="str">
        <f t="shared" si="24"/>
        <v/>
      </c>
      <c r="H181" s="48" t="str">
        <f>IFERROR(VLOOKUP(C181, Input1!$C$204:$G$2000, 4, FALSE), "")</f>
        <v/>
      </c>
      <c r="I181" s="35" t="str">
        <f t="shared" si="25"/>
        <v/>
      </c>
      <c r="J181" s="41" t="str">
        <f>IFERROR(VLOOKUP(C181, Input1!$C$204:$G$2000, 5, FALSE), "")</f>
        <v/>
      </c>
      <c r="K181" s="34">
        <f t="shared" si="22"/>
        <v>0</v>
      </c>
      <c r="L181" s="42">
        <f t="shared" si="23"/>
        <v>0</v>
      </c>
      <c r="M181" s="35">
        <f t="shared" si="26"/>
        <v>0</v>
      </c>
      <c r="N181" s="41">
        <v>0</v>
      </c>
      <c r="O181" s="35">
        <f t="shared" si="27"/>
        <v>0</v>
      </c>
      <c r="P181" s="36">
        <f t="shared" si="28"/>
        <v>0</v>
      </c>
      <c r="Q181" s="35">
        <f t="shared" si="29"/>
        <v>0</v>
      </c>
    </row>
    <row r="182" spans="2:17" x14ac:dyDescent="0.35">
      <c r="B182" s="37" t="str">
        <f>IFERROR(VLOOKUP(C182, Input1!$C$206:$G$207, 3, FALSE), "")</f>
        <v/>
      </c>
      <c r="C182" s="38"/>
      <c r="D182" s="39"/>
      <c r="E182" s="32" t="str">
        <f>IFERROR(VLOOKUP(C182, Input1!$C$204:$G$2000, 2, FALSE), "")</f>
        <v/>
      </c>
      <c r="F182" s="41">
        <v>0</v>
      </c>
      <c r="G182" s="35" t="str">
        <f t="shared" si="24"/>
        <v/>
      </c>
      <c r="H182" s="48" t="str">
        <f>IFERROR(VLOOKUP(C182, Input1!$C$204:$G$2000, 4, FALSE), "")</f>
        <v/>
      </c>
      <c r="I182" s="35" t="str">
        <f t="shared" si="25"/>
        <v/>
      </c>
      <c r="J182" s="41" t="str">
        <f>IFERROR(VLOOKUP(C182, Input1!$C$204:$G$2000, 5, FALSE), "")</f>
        <v/>
      </c>
      <c r="K182" s="34">
        <f t="shared" si="22"/>
        <v>0</v>
      </c>
      <c r="L182" s="42">
        <f t="shared" si="23"/>
        <v>0</v>
      </c>
      <c r="M182" s="35">
        <f t="shared" si="26"/>
        <v>0</v>
      </c>
      <c r="N182" s="41">
        <v>0</v>
      </c>
      <c r="O182" s="35">
        <f t="shared" si="27"/>
        <v>0</v>
      </c>
      <c r="P182" s="36">
        <f t="shared" si="28"/>
        <v>0</v>
      </c>
      <c r="Q182" s="35">
        <f t="shared" si="29"/>
        <v>0</v>
      </c>
    </row>
    <row r="183" spans="2:17" x14ac:dyDescent="0.35">
      <c r="B183" s="37" t="str">
        <f>IFERROR(VLOOKUP(C183, Input1!$C$206:$G$207, 3, FALSE), "")</f>
        <v/>
      </c>
      <c r="C183" s="38"/>
      <c r="D183" s="39"/>
      <c r="E183" s="32" t="str">
        <f>IFERROR(VLOOKUP(C183, Input1!$C$204:$G$2000, 2, FALSE), "")</f>
        <v/>
      </c>
      <c r="F183" s="41">
        <v>0</v>
      </c>
      <c r="G183" s="35" t="str">
        <f t="shared" si="24"/>
        <v/>
      </c>
      <c r="H183" s="48" t="str">
        <f>IFERROR(VLOOKUP(C183, Input1!$C$204:$G$2000, 4, FALSE), "")</f>
        <v/>
      </c>
      <c r="I183" s="35" t="str">
        <f t="shared" si="25"/>
        <v/>
      </c>
      <c r="J183" s="41" t="str">
        <f>IFERROR(VLOOKUP(C183, Input1!$C$204:$G$2000, 5, FALSE), "")</f>
        <v/>
      </c>
      <c r="K183" s="34">
        <f t="shared" si="22"/>
        <v>0</v>
      </c>
      <c r="L183" s="42">
        <f t="shared" si="23"/>
        <v>0</v>
      </c>
      <c r="M183" s="35">
        <f t="shared" si="26"/>
        <v>0</v>
      </c>
      <c r="N183" s="41">
        <v>0</v>
      </c>
      <c r="O183" s="35">
        <f t="shared" si="27"/>
        <v>0</v>
      </c>
      <c r="P183" s="36">
        <f t="shared" si="28"/>
        <v>0</v>
      </c>
      <c r="Q183" s="35">
        <f t="shared" si="29"/>
        <v>0</v>
      </c>
    </row>
    <row r="184" spans="2:17" x14ac:dyDescent="0.35">
      <c r="B184" s="37" t="str">
        <f>IFERROR(VLOOKUP(C184, Input1!$C$206:$G$207, 3, FALSE), "")</f>
        <v/>
      </c>
      <c r="C184" s="38"/>
      <c r="D184" s="39"/>
      <c r="E184" s="32" t="str">
        <f>IFERROR(VLOOKUP(C184, Input1!$C$204:$G$2000, 2, FALSE), "")</f>
        <v/>
      </c>
      <c r="F184" s="41">
        <v>0</v>
      </c>
      <c r="G184" s="35" t="str">
        <f t="shared" si="24"/>
        <v/>
      </c>
      <c r="H184" s="48" t="str">
        <f>IFERROR(VLOOKUP(C184, Input1!$C$204:$G$2000, 4, FALSE), "")</f>
        <v/>
      </c>
      <c r="I184" s="35" t="str">
        <f t="shared" si="25"/>
        <v/>
      </c>
      <c r="J184" s="41" t="str">
        <f>IFERROR(VLOOKUP(C184, Input1!$C$204:$G$2000, 5, FALSE), "")</f>
        <v/>
      </c>
      <c r="K184" s="34">
        <f t="shared" si="22"/>
        <v>0</v>
      </c>
      <c r="L184" s="42">
        <f t="shared" si="23"/>
        <v>0</v>
      </c>
      <c r="M184" s="35">
        <f t="shared" si="26"/>
        <v>0</v>
      </c>
      <c r="N184" s="41">
        <v>0</v>
      </c>
      <c r="O184" s="35">
        <f t="shared" si="27"/>
        <v>0</v>
      </c>
      <c r="P184" s="36">
        <f t="shared" si="28"/>
        <v>0</v>
      </c>
      <c r="Q184" s="35">
        <f t="shared" si="29"/>
        <v>0</v>
      </c>
    </row>
    <row r="185" spans="2:17" x14ac:dyDescent="0.35">
      <c r="B185" s="37" t="str">
        <f>IFERROR(VLOOKUP(C185, Input1!$C$206:$G$207, 3, FALSE), "")</f>
        <v/>
      </c>
      <c r="C185" s="38"/>
      <c r="D185" s="39"/>
      <c r="E185" s="32" t="str">
        <f>IFERROR(VLOOKUP(C185, Input1!$C$204:$G$2000, 2, FALSE), "")</f>
        <v/>
      </c>
      <c r="F185" s="41">
        <v>0</v>
      </c>
      <c r="G185" s="35" t="str">
        <f t="shared" si="24"/>
        <v/>
      </c>
      <c r="H185" s="48" t="str">
        <f>IFERROR(VLOOKUP(C185, Input1!$C$204:$G$2000, 4, FALSE), "")</f>
        <v/>
      </c>
      <c r="I185" s="35" t="str">
        <f t="shared" si="25"/>
        <v/>
      </c>
      <c r="J185" s="41" t="str">
        <f>IFERROR(VLOOKUP(C185, Input1!$C$204:$G$2000, 5, FALSE), "")</f>
        <v/>
      </c>
      <c r="K185" s="34">
        <f t="shared" si="22"/>
        <v>0</v>
      </c>
      <c r="L185" s="42">
        <f t="shared" si="23"/>
        <v>0</v>
      </c>
      <c r="M185" s="35">
        <f t="shared" si="26"/>
        <v>0</v>
      </c>
      <c r="N185" s="41">
        <v>0</v>
      </c>
      <c r="O185" s="35">
        <f t="shared" si="27"/>
        <v>0</v>
      </c>
      <c r="P185" s="36">
        <f t="shared" si="28"/>
        <v>0</v>
      </c>
      <c r="Q185" s="35">
        <f t="shared" si="29"/>
        <v>0</v>
      </c>
    </row>
    <row r="186" spans="2:17" x14ac:dyDescent="0.35">
      <c r="B186" s="37" t="str">
        <f>IFERROR(VLOOKUP(C186, Input1!$C$206:$G$207, 3, FALSE), "")</f>
        <v/>
      </c>
      <c r="C186" s="38"/>
      <c r="D186" s="39"/>
      <c r="E186" s="32" t="str">
        <f>IFERROR(VLOOKUP(C186, Input1!$C$204:$G$2000, 2, FALSE), "")</f>
        <v/>
      </c>
      <c r="F186" s="41">
        <v>0</v>
      </c>
      <c r="G186" s="35" t="str">
        <f t="shared" si="24"/>
        <v/>
      </c>
      <c r="H186" s="48" t="str">
        <f>IFERROR(VLOOKUP(C186, Input1!$C$204:$G$2000, 4, FALSE), "")</f>
        <v/>
      </c>
      <c r="I186" s="35" t="str">
        <f t="shared" si="25"/>
        <v/>
      </c>
      <c r="J186" s="41" t="str">
        <f>IFERROR(VLOOKUP(C186, Input1!$C$204:$G$2000, 5, FALSE), "")</f>
        <v/>
      </c>
      <c r="K186" s="34">
        <f t="shared" si="22"/>
        <v>0</v>
      </c>
      <c r="L186" s="42">
        <f t="shared" si="23"/>
        <v>0</v>
      </c>
      <c r="M186" s="35">
        <f t="shared" si="26"/>
        <v>0</v>
      </c>
      <c r="N186" s="41">
        <v>0</v>
      </c>
      <c r="O186" s="35">
        <f t="shared" si="27"/>
        <v>0</v>
      </c>
      <c r="P186" s="36">
        <f t="shared" si="28"/>
        <v>0</v>
      </c>
      <c r="Q186" s="35">
        <f t="shared" si="29"/>
        <v>0</v>
      </c>
    </row>
    <row r="187" spans="2:17" x14ac:dyDescent="0.35">
      <c r="B187" s="37" t="str">
        <f>IFERROR(VLOOKUP(C187, Input1!$C$206:$G$207, 3, FALSE), "")</f>
        <v/>
      </c>
      <c r="C187" s="38"/>
      <c r="D187" s="39"/>
      <c r="E187" s="32" t="str">
        <f>IFERROR(VLOOKUP(C187, Input1!$C$204:$G$2000, 2, FALSE), "")</f>
        <v/>
      </c>
      <c r="F187" s="41">
        <v>0</v>
      </c>
      <c r="G187" s="35" t="str">
        <f t="shared" si="24"/>
        <v/>
      </c>
      <c r="H187" s="48" t="str">
        <f>IFERROR(VLOOKUP(C187, Input1!$C$204:$G$2000, 4, FALSE), "")</f>
        <v/>
      </c>
      <c r="I187" s="35" t="str">
        <f t="shared" si="25"/>
        <v/>
      </c>
      <c r="J187" s="41" t="str">
        <f>IFERROR(VLOOKUP(C187, Input1!$C$204:$G$2000, 5, FALSE), "")</f>
        <v/>
      </c>
      <c r="K187" s="34">
        <f t="shared" si="22"/>
        <v>0</v>
      </c>
      <c r="L187" s="42">
        <f t="shared" si="23"/>
        <v>0</v>
      </c>
      <c r="M187" s="35">
        <f t="shared" si="26"/>
        <v>0</v>
      </c>
      <c r="N187" s="41">
        <v>0</v>
      </c>
      <c r="O187" s="35">
        <f t="shared" si="27"/>
        <v>0</v>
      </c>
      <c r="P187" s="36">
        <f t="shared" si="28"/>
        <v>0</v>
      </c>
      <c r="Q187" s="35">
        <f t="shared" si="29"/>
        <v>0</v>
      </c>
    </row>
    <row r="188" spans="2:17" x14ac:dyDescent="0.35">
      <c r="B188" s="37" t="str">
        <f>IFERROR(VLOOKUP(C188, Input1!$C$206:$G$207, 3, FALSE), "")</f>
        <v/>
      </c>
      <c r="C188" s="38"/>
      <c r="D188" s="39"/>
      <c r="E188" s="32" t="str">
        <f>IFERROR(VLOOKUP(C188, Input1!$C$204:$G$2000, 2, FALSE), "")</f>
        <v/>
      </c>
      <c r="F188" s="41">
        <v>0</v>
      </c>
      <c r="G188" s="35" t="str">
        <f t="shared" si="24"/>
        <v/>
      </c>
      <c r="H188" s="48" t="str">
        <f>IFERROR(VLOOKUP(C188, Input1!$C$204:$G$2000, 4, FALSE), "")</f>
        <v/>
      </c>
      <c r="I188" s="35" t="str">
        <f t="shared" si="25"/>
        <v/>
      </c>
      <c r="J188" s="41" t="str">
        <f>IFERROR(VLOOKUP(C188, Input1!$C$204:$G$2000, 5, FALSE), "")</f>
        <v/>
      </c>
      <c r="K188" s="34">
        <f t="shared" si="22"/>
        <v>0</v>
      </c>
      <c r="L188" s="42">
        <f t="shared" si="23"/>
        <v>0</v>
      </c>
      <c r="M188" s="35">
        <f t="shared" si="26"/>
        <v>0</v>
      </c>
      <c r="N188" s="41">
        <v>0</v>
      </c>
      <c r="O188" s="35">
        <f t="shared" si="27"/>
        <v>0</v>
      </c>
      <c r="P188" s="36">
        <f t="shared" si="28"/>
        <v>0</v>
      </c>
      <c r="Q188" s="35">
        <f t="shared" si="29"/>
        <v>0</v>
      </c>
    </row>
    <row r="189" spans="2:17" x14ac:dyDescent="0.35">
      <c r="B189" s="37" t="str">
        <f>IFERROR(VLOOKUP(C189, Input1!$C$206:$G$207, 3, FALSE), "")</f>
        <v/>
      </c>
      <c r="C189" s="38"/>
      <c r="D189" s="39"/>
      <c r="E189" s="32" t="str">
        <f>IFERROR(VLOOKUP(C189, Input1!$C$204:$G$2000, 2, FALSE), "")</f>
        <v/>
      </c>
      <c r="F189" s="41">
        <v>0</v>
      </c>
      <c r="G189" s="35" t="str">
        <f t="shared" si="24"/>
        <v/>
      </c>
      <c r="H189" s="48" t="str">
        <f>IFERROR(VLOOKUP(C189, Input1!$C$204:$G$2000, 4, FALSE), "")</f>
        <v/>
      </c>
      <c r="I189" s="35" t="str">
        <f t="shared" si="25"/>
        <v/>
      </c>
      <c r="J189" s="41" t="str">
        <f>IFERROR(VLOOKUP(C189, Input1!$C$204:$G$2000, 5, FALSE), "")</f>
        <v/>
      </c>
      <c r="K189" s="34">
        <f t="shared" si="22"/>
        <v>0</v>
      </c>
      <c r="L189" s="42">
        <f t="shared" si="23"/>
        <v>0</v>
      </c>
      <c r="M189" s="35">
        <f t="shared" si="26"/>
        <v>0</v>
      </c>
      <c r="N189" s="41">
        <v>0</v>
      </c>
      <c r="O189" s="35">
        <f t="shared" si="27"/>
        <v>0</v>
      </c>
      <c r="P189" s="36">
        <f t="shared" si="28"/>
        <v>0</v>
      </c>
      <c r="Q189" s="35">
        <f t="shared" si="29"/>
        <v>0</v>
      </c>
    </row>
    <row r="190" spans="2:17" x14ac:dyDescent="0.35">
      <c r="B190" s="37" t="str">
        <f>IFERROR(VLOOKUP(C190, Input1!$C$206:$G$207, 3, FALSE), "")</f>
        <v/>
      </c>
      <c r="C190" s="38"/>
      <c r="D190" s="39"/>
      <c r="E190" s="32" t="str">
        <f>IFERROR(VLOOKUP(C190, Input1!$C$204:$G$2000, 2, FALSE), "")</f>
        <v/>
      </c>
      <c r="F190" s="41">
        <v>0</v>
      </c>
      <c r="G190" s="35" t="str">
        <f t="shared" si="24"/>
        <v/>
      </c>
      <c r="H190" s="48" t="str">
        <f>IFERROR(VLOOKUP(C190, Input1!$C$204:$G$2000, 4, FALSE), "")</f>
        <v/>
      </c>
      <c r="I190" s="35" t="str">
        <f t="shared" si="25"/>
        <v/>
      </c>
      <c r="J190" s="41" t="str">
        <f>IFERROR(VLOOKUP(C190, Input1!$C$204:$G$2000, 5, FALSE), "")</f>
        <v/>
      </c>
      <c r="K190" s="34">
        <f t="shared" si="22"/>
        <v>0</v>
      </c>
      <c r="L190" s="42">
        <f t="shared" si="23"/>
        <v>0</v>
      </c>
      <c r="M190" s="35">
        <f t="shared" si="26"/>
        <v>0</v>
      </c>
      <c r="N190" s="41">
        <v>0</v>
      </c>
      <c r="O190" s="35">
        <f t="shared" si="27"/>
        <v>0</v>
      </c>
      <c r="P190" s="36">
        <f t="shared" si="28"/>
        <v>0</v>
      </c>
      <c r="Q190" s="35">
        <f t="shared" si="29"/>
        <v>0</v>
      </c>
    </row>
    <row r="191" spans="2:17" x14ac:dyDescent="0.35">
      <c r="B191" s="37"/>
      <c r="C191" s="43" t="str">
        <f>C162&amp;" Subtotal"</f>
        <v xml:space="preserve"> Subtotal</v>
      </c>
      <c r="D191" s="31"/>
      <c r="E191" s="32"/>
      <c r="F191" s="44"/>
      <c r="G191" s="45">
        <f>SUBTOTAL(9,G163:G190)</f>
        <v>0</v>
      </c>
      <c r="H191" s="44"/>
      <c r="I191" s="45">
        <f>SUBTOTAL(9,I163:I190)</f>
        <v>0</v>
      </c>
      <c r="J191" s="34"/>
      <c r="K191" s="43">
        <f>SUBTOTAL(9,K163:K190)</f>
        <v>0</v>
      </c>
      <c r="L191" s="44"/>
      <c r="M191" s="45">
        <f>SUBTOTAL(9,M163:M190)</f>
        <v>0</v>
      </c>
      <c r="N191" s="44"/>
      <c r="O191" s="45">
        <f>SUBTOTAL(9,O163:O190)</f>
        <v>0</v>
      </c>
      <c r="P191" s="36"/>
      <c r="Q191" s="45"/>
    </row>
    <row r="192" spans="2:17" x14ac:dyDescent="0.35">
      <c r="Q192" s="101"/>
    </row>
    <row r="193" spans="2:17" x14ac:dyDescent="0.35">
      <c r="B193" s="37"/>
      <c r="C193" s="30" t="s">
        <v>37</v>
      </c>
      <c r="D193" s="31"/>
      <c r="E193" s="32"/>
      <c r="F193" s="34"/>
      <c r="G193" s="33"/>
      <c r="H193" s="34"/>
      <c r="I193" s="33"/>
      <c r="J193" s="34"/>
      <c r="K193" s="34"/>
      <c r="L193" s="34"/>
      <c r="M193" s="33"/>
      <c r="N193" s="34"/>
      <c r="O193" s="35"/>
      <c r="P193" s="36"/>
      <c r="Q193" s="35"/>
    </row>
    <row r="194" spans="2:17" x14ac:dyDescent="0.35">
      <c r="B194" s="37"/>
      <c r="C194" s="38" t="s">
        <v>43</v>
      </c>
      <c r="D194" s="39">
        <f>SUM(K162:K193)*0.1</f>
        <v>0</v>
      </c>
      <c r="E194" s="32" t="s">
        <v>24</v>
      </c>
      <c r="F194" s="41">
        <v>0</v>
      </c>
      <c r="G194" s="35">
        <f>$D194*F194</f>
        <v>0</v>
      </c>
      <c r="H194" s="41">
        <v>0</v>
      </c>
      <c r="I194" s="35">
        <f>$D194*H194</f>
        <v>0</v>
      </c>
      <c r="J194" s="41"/>
      <c r="K194" s="34">
        <f>IFERROR($D194/$J194,0)</f>
        <v>0</v>
      </c>
      <c r="L194" s="42">
        <f>$L$3</f>
        <v>0</v>
      </c>
      <c r="M194" s="35">
        <f>IFERROR(K194*L194,0)</f>
        <v>0</v>
      </c>
      <c r="N194" s="41">
        <v>0</v>
      </c>
      <c r="O194" s="35">
        <f>$D194*N194</f>
        <v>0</v>
      </c>
      <c r="P194" s="36">
        <f>F194+(H194*(1+$I$4))+IFERROR(L194/J194,0)+N194</f>
        <v>0</v>
      </c>
      <c r="Q194" s="35">
        <f>SUM(O194,M194,I194*(1+$I$4),G194)</f>
        <v>0</v>
      </c>
    </row>
    <row r="195" spans="2:17" x14ac:dyDescent="0.35">
      <c r="B195" s="37"/>
      <c r="C195" s="38" t="s">
        <v>38</v>
      </c>
      <c r="D195" s="39"/>
      <c r="E195" s="32" t="s">
        <v>39</v>
      </c>
      <c r="F195" s="41">
        <v>0</v>
      </c>
      <c r="G195" s="35">
        <f>$D195*F195</f>
        <v>0</v>
      </c>
      <c r="H195" s="41">
        <v>0</v>
      </c>
      <c r="I195" s="35">
        <f>$D195*H195</f>
        <v>0</v>
      </c>
      <c r="J195" s="41"/>
      <c r="K195" s="34">
        <f>IFERROR($D195/$J195,0)</f>
        <v>0</v>
      </c>
      <c r="L195" s="42">
        <f>$L$3</f>
        <v>0</v>
      </c>
      <c r="M195" s="35">
        <f>IFERROR(K195*L195,0)</f>
        <v>0</v>
      </c>
      <c r="N195" s="41">
        <v>0</v>
      </c>
      <c r="O195" s="35">
        <f>$D195*N195</f>
        <v>0</v>
      </c>
      <c r="P195" s="36">
        <f>F195+(H195*(1+$I$4))+IFERROR(L195/J195,0)+N195</f>
        <v>0</v>
      </c>
      <c r="Q195" s="35">
        <f>SUM(O195,M195,I195*(1+$I$4),G195)</f>
        <v>0</v>
      </c>
    </row>
    <row r="196" spans="2:17" x14ac:dyDescent="0.35">
      <c r="B196" s="37"/>
      <c r="C196" s="38" t="s">
        <v>40</v>
      </c>
      <c r="D196" s="39"/>
      <c r="E196" s="32" t="s">
        <v>39</v>
      </c>
      <c r="F196" s="41">
        <v>0</v>
      </c>
      <c r="G196" s="35">
        <f>$D196*F196</f>
        <v>0</v>
      </c>
      <c r="H196" s="41">
        <v>0</v>
      </c>
      <c r="I196" s="35">
        <f>$D196*H196</f>
        <v>0</v>
      </c>
      <c r="J196" s="41"/>
      <c r="K196" s="34">
        <f>IFERROR($D196/$J196,0)</f>
        <v>0</v>
      </c>
      <c r="L196" s="42">
        <f>$L$3</f>
        <v>0</v>
      </c>
      <c r="M196" s="35">
        <f>IFERROR(K196*L196,0)</f>
        <v>0</v>
      </c>
      <c r="N196" s="41">
        <v>0</v>
      </c>
      <c r="O196" s="35">
        <f>$D196*N196</f>
        <v>0</v>
      </c>
      <c r="P196" s="36">
        <f>F196+(H196*(1+$I$4))+IFERROR(L196/J196,0)+N196</f>
        <v>0</v>
      </c>
      <c r="Q196" s="35">
        <f>SUM(O196,M196,I196*(1+$I$4),G196)</f>
        <v>0</v>
      </c>
    </row>
    <row r="197" spans="2:17" x14ac:dyDescent="0.35">
      <c r="B197" s="37"/>
      <c r="C197" s="43" t="str">
        <f>C193&amp;" Subtotal"</f>
        <v>General Labor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Q200" s="78" t="s">
        <v>21404</v>
      </c>
    </row>
    <row r="201" spans="2:17" x14ac:dyDescent="0.35">
      <c r="C201" s="78" t="s">
        <v>21592</v>
      </c>
    </row>
    <row r="203" spans="2:17" x14ac:dyDescent="0.35">
      <c r="C203" s="77" t="s">
        <v>21399</v>
      </c>
    </row>
    <row r="205" spans="2:17" x14ac:dyDescent="0.35">
      <c r="C205" s="1" t="s">
        <v>21398</v>
      </c>
      <c r="D205" s="1" t="s">
        <v>75</v>
      </c>
      <c r="E205" s="1" t="s">
        <v>13768</v>
      </c>
      <c r="F205" s="2" t="s">
        <v>21397</v>
      </c>
      <c r="G205" s="1" t="s">
        <v>9</v>
      </c>
    </row>
    <row r="206" spans="2:17" x14ac:dyDescent="0.35">
      <c r="B206" s="49" t="s">
        <v>21432</v>
      </c>
      <c r="C206" s="106" t="s">
        <v>21400</v>
      </c>
    </row>
  </sheetData>
  <mergeCells count="9">
    <mergeCell ref="P3:Q3"/>
    <mergeCell ref="J5:K5"/>
    <mergeCell ref="J6:K6"/>
    <mergeCell ref="J7:K7"/>
    <mergeCell ref="A3:B3"/>
    <mergeCell ref="D3:G3"/>
    <mergeCell ref="J3:K3"/>
    <mergeCell ref="A4:B4"/>
    <mergeCell ref="J4:K4"/>
  </mergeCells>
  <dataValidations count="2">
    <dataValidation type="list" allowBlank="1" showInputMessage="1" showErrorMessage="1" sqref="Y1" xr:uid="{D9188C24-9483-41F0-BFDF-06F4BEC8C16F}">
      <formula1>$C$205:$C207</formula1>
    </dataValidation>
    <dataValidation type="list" allowBlank="1" showInputMessage="1" showErrorMessage="1" sqref="C16:C190" xr:uid="{20C762B2-83BB-464F-9EE2-E2A8A591F294}">
      <formula1>$C$204:$C2000</formula1>
    </dataValidation>
  </dataValidations>
  <hyperlinks>
    <hyperlink ref="D3" r:id="rId1" display="datamateapp@gmail.com" xr:uid="{B28FDBA0-3EF6-4FBF-A684-523A7816125A}"/>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9569" r:id="rId4" name="Button 1">
              <controlPr defaultSize="0" print="0" autoFill="0" autoPict="0" macro="[1]!SaveData">
                <anchor moveWithCells="1" sizeWithCells="1">
                  <from>
                    <xdr:col>17</xdr:col>
                    <xdr:colOff>158750</xdr:colOff>
                    <xdr:row>0</xdr:row>
                    <xdr:rowOff>0</xdr:rowOff>
                  </from>
                  <to>
                    <xdr:col>19</xdr:col>
                    <xdr:colOff>209550</xdr:colOff>
                    <xdr:row>2</xdr:row>
                    <xdr:rowOff>12700</xdr:rowOff>
                  </to>
                </anchor>
              </controlPr>
            </control>
          </mc:Choice>
        </mc:AlternateContent>
        <mc:AlternateContent xmlns:mc="http://schemas.openxmlformats.org/markup-compatibility/2006">
          <mc:Choice Requires="x14">
            <control shapeId="109577" r:id="rId5" name="Button 9">
              <controlPr defaultSize="0" print="0" autoFill="0" autoPict="0" macro="[0]!ClearContentsAndDropdowns">
                <anchor moveWithCells="1" sizeWithCells="1">
                  <from>
                    <xdr:col>17</xdr:col>
                    <xdr:colOff>184150</xdr:colOff>
                    <xdr:row>3</xdr:row>
                    <xdr:rowOff>0</xdr:rowOff>
                  </from>
                  <to>
                    <xdr:col>19</xdr:col>
                    <xdr:colOff>234950</xdr:colOff>
                    <xdr:row>5</xdr:row>
                    <xdr:rowOff>0</xdr:rowOff>
                  </to>
                </anchor>
              </controlPr>
            </control>
          </mc:Choice>
        </mc:AlternateContent>
        <mc:AlternateContent xmlns:mc="http://schemas.openxmlformats.org/markup-compatibility/2006">
          <mc:Choice Requires="x14">
            <control shapeId="109578" r:id="rId6" name="Button 10">
              <controlPr defaultSize="0" print="0" autoFill="0" autoPict="0" macro="[0]!CopyInput1WithAdjustedReferencesAndButtonsInROriginalOrder">
                <anchor moveWithCells="1" sizeWithCells="1">
                  <from>
                    <xdr:col>17</xdr:col>
                    <xdr:colOff>222250</xdr:colOff>
                    <xdr:row>5</xdr:row>
                    <xdr:rowOff>190500</xdr:rowOff>
                  </from>
                  <to>
                    <xdr:col>19</xdr:col>
                    <xdr:colOff>273050</xdr:colOff>
                    <xdr:row>8</xdr:row>
                    <xdr:rowOff>0</xdr:rowOff>
                  </to>
                </anchor>
              </controlPr>
            </control>
          </mc:Choice>
        </mc:AlternateContent>
        <mc:AlternateContent xmlns:mc="http://schemas.openxmlformats.org/markup-compatibility/2006">
          <mc:Choice Requires="x14">
            <control shapeId="109579" r:id="rId7" name="Button 11">
              <controlPr defaultSize="0" print="0" autoFill="0" autoPict="0" macro="[0]!CopyInput2WithAdjustedReferencesAndButtonsInROriginalOrder">
                <anchor moveWithCells="1" sizeWithCells="1">
                  <from>
                    <xdr:col>17</xdr:col>
                    <xdr:colOff>247650</xdr:colOff>
                    <xdr:row>8</xdr:row>
                    <xdr:rowOff>177800</xdr:rowOff>
                  </from>
                  <to>
                    <xdr:col>19</xdr:col>
                    <xdr:colOff>298450</xdr:colOff>
                    <xdr:row>10</xdr:row>
                    <xdr:rowOff>19050</xdr:rowOff>
                  </to>
                </anchor>
              </controlPr>
            </control>
          </mc:Choice>
        </mc:AlternateContent>
        <mc:AlternateContent xmlns:mc="http://schemas.openxmlformats.org/markup-compatibility/2006">
          <mc:Choice Requires="x14">
            <control shapeId="109580" r:id="rId8" name="Button 12">
              <controlPr defaultSize="0" print="0" autoFill="0" autoPict="0" macro="[0]!Dashboard">
                <anchor moveWithCells="1" sizeWithCells="1">
                  <from>
                    <xdr:col>17</xdr:col>
                    <xdr:colOff>273050</xdr:colOff>
                    <xdr:row>13</xdr:row>
                    <xdr:rowOff>38100</xdr:rowOff>
                  </from>
                  <to>
                    <xdr:col>19</xdr:col>
                    <xdr:colOff>323850</xdr:colOff>
                    <xdr:row>15</xdr:row>
                    <xdr:rowOff>50800</xdr:rowOff>
                  </to>
                </anchor>
              </controlPr>
            </control>
          </mc:Choice>
        </mc:AlternateContent>
        <mc:AlternateContent xmlns:mc="http://schemas.openxmlformats.org/markup-compatibility/2006">
          <mc:Choice Requires="x14">
            <control shapeId="109581" r:id="rId9" name="Button 13">
              <controlPr defaultSize="0" print="0" autoFill="0" autoPict="0" macro="[0]!ViewLog">
                <anchor moveWithCells="1" sizeWithCells="1">
                  <from>
                    <xdr:col>17</xdr:col>
                    <xdr:colOff>273050</xdr:colOff>
                    <xdr:row>16</xdr:row>
                    <xdr:rowOff>31750</xdr:rowOff>
                  </from>
                  <to>
                    <xdr:col>19</xdr:col>
                    <xdr:colOff>323850</xdr:colOff>
                    <xdr:row>18</xdr:row>
                    <xdr:rowOff>44450</xdr:rowOff>
                  </to>
                </anchor>
              </controlPr>
            </control>
          </mc:Choice>
        </mc:AlternateContent>
        <mc:AlternateContent xmlns:mc="http://schemas.openxmlformats.org/markup-compatibility/2006">
          <mc:Choice Requires="x14">
            <control shapeId="109582" r:id="rId10" name="Button 14">
              <controlPr defaultSize="0" print="0" autoFill="0" autoPict="0" macro="[0]!CopyCustomInputWithAdjustedReferencesAndButtonsInROriginalOrder">
                <anchor moveWithCells="1" sizeWithCells="1">
                  <from>
                    <xdr:col>17</xdr:col>
                    <xdr:colOff>273050</xdr:colOff>
                    <xdr:row>10</xdr:row>
                    <xdr:rowOff>120650</xdr:rowOff>
                  </from>
                  <to>
                    <xdr:col>19</xdr:col>
                    <xdr:colOff>323850</xdr:colOff>
                    <xdr:row>12</xdr:row>
                    <xdr:rowOff>127000</xdr:rowOff>
                  </to>
                </anchor>
              </controlPr>
            </control>
          </mc:Choice>
        </mc:AlternateContent>
        <mc:AlternateContent xmlns:mc="http://schemas.openxmlformats.org/markup-compatibility/2006">
          <mc:Choice Requires="x14">
            <control shapeId="109583" r:id="rId11" name="Button 15">
              <controlPr defaultSize="0" print="0" autoFill="0" autoPict="0" macro="[0]!ViewView_Print">
                <anchor moveWithCells="1" sizeWithCells="1">
                  <from>
                    <xdr:col>17</xdr:col>
                    <xdr:colOff>273050</xdr:colOff>
                    <xdr:row>19</xdr:row>
                    <xdr:rowOff>31750</xdr:rowOff>
                  </from>
                  <to>
                    <xdr:col>19</xdr:col>
                    <xdr:colOff>323850</xdr:colOff>
                    <xdr:row>21</xdr:row>
                    <xdr:rowOff>44450</xdr:rowOff>
                  </to>
                </anchor>
              </controlPr>
            </control>
          </mc:Choice>
        </mc:AlternateContent>
        <mc:AlternateContent xmlns:mc="http://schemas.openxmlformats.org/markup-compatibility/2006">
          <mc:Choice Requires="x14">
            <control shapeId="109585" r:id="rId12" name="Button 17">
              <controlPr defaultSize="0" print="0" autoFill="0" autoPict="0" macro="[0]!OpenDataMateAppPage">
                <anchor moveWithCells="1" sizeWithCells="1">
                  <from>
                    <xdr:col>17</xdr:col>
                    <xdr:colOff>273050</xdr:colOff>
                    <xdr:row>22</xdr:row>
                    <xdr:rowOff>31750</xdr:rowOff>
                  </from>
                  <to>
                    <xdr:col>19</xdr:col>
                    <xdr:colOff>323850</xdr:colOff>
                    <xdr:row>24</xdr:row>
                    <xdr:rowOff>44450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EC7A9A-3551-4E37-81F1-8E1565F6C41C}">
  <sheetPr codeName="Sheet5"/>
  <dimension ref="A1:AM206"/>
  <sheetViews>
    <sheetView showZeros="0" zoomScale="75" zoomScaleNormal="75" workbookViewId="0">
      <selection activeCell="C4" sqref="C4"/>
    </sheetView>
  </sheetViews>
  <sheetFormatPr defaultRowHeight="14.5" x14ac:dyDescent="0.35"/>
  <cols>
    <col min="1" max="1" width="4.54296875" style="1" customWidth="1"/>
    <col min="2" max="2" width="14" style="1" customWidth="1"/>
    <col min="3" max="3" width="77.1796875" style="1" bestFit="1" customWidth="1"/>
    <col min="4" max="4" width="10.7265625" style="1" customWidth="1"/>
    <col min="5" max="5" width="10.1796875" style="1" customWidth="1"/>
    <col min="6" max="6" width="13.26953125" style="1" customWidth="1"/>
    <col min="7" max="7" width="15.1796875" style="1" customWidth="1"/>
    <col min="8" max="8" width="13.26953125" style="1" customWidth="1"/>
    <col min="9" max="9" width="12.7265625" style="1" customWidth="1"/>
    <col min="10" max="10" width="12.26953125" style="1" customWidth="1"/>
    <col min="11" max="11" width="9" style="1" customWidth="1"/>
    <col min="12" max="12" width="13.26953125" style="1" customWidth="1"/>
    <col min="13" max="13" width="12.7265625" style="1" customWidth="1"/>
    <col min="14" max="14" width="13.26953125" style="1" customWidth="1"/>
    <col min="15" max="15" width="12.7265625" style="1" customWidth="1"/>
    <col min="16" max="16" width="13.26953125" style="1" customWidth="1"/>
    <col min="17" max="17" width="21.26953125" style="1" customWidth="1"/>
    <col min="18" max="22" width="8.7265625" style="1"/>
    <col min="23" max="23" width="4.54296875" style="1" customWidth="1"/>
    <col min="24" max="24" width="11.90625" style="1" customWidth="1"/>
    <col min="25" max="25" width="77.1796875" style="1" bestFit="1" customWidth="1"/>
    <col min="26" max="26" width="10.7265625" style="1" customWidth="1"/>
    <col min="27" max="27" width="10.1796875" style="1" customWidth="1"/>
    <col min="28" max="28" width="13.26953125" style="1" customWidth="1"/>
    <col min="29" max="29" width="15.1796875" style="1" customWidth="1"/>
    <col min="30" max="30" width="13.26953125" style="1" customWidth="1"/>
    <col min="31" max="31" width="12.7265625" style="1" customWidth="1"/>
    <col min="32" max="32" width="12.26953125" style="1" customWidth="1"/>
    <col min="33" max="33" width="9" style="1" customWidth="1"/>
    <col min="34" max="34" width="13.26953125" style="1" customWidth="1"/>
    <col min="35" max="35" width="12.7265625" style="1" customWidth="1"/>
    <col min="36" max="36" width="13.26953125" style="1" customWidth="1"/>
    <col min="37" max="37" width="12.7265625" style="1" customWidth="1"/>
    <col min="38" max="38" width="13.26953125" style="1" customWidth="1"/>
    <col min="39" max="39" width="21.26953125" style="1" customWidth="1"/>
    <col min="40" max="16384" width="8.7265625" style="1"/>
  </cols>
  <sheetData>
    <row r="1" spans="1:39"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c r="U1" s="78"/>
      <c r="V1" s="78"/>
      <c r="W1" s="22"/>
      <c r="X1" s="115"/>
      <c r="Y1" s="32"/>
      <c r="Z1" s="31"/>
      <c r="AA1" s="32"/>
      <c r="AB1" s="31"/>
      <c r="AC1" s="116"/>
      <c r="AD1" s="31"/>
      <c r="AE1" s="116"/>
      <c r="AF1" s="31"/>
      <c r="AG1" s="31"/>
      <c r="AH1" s="114">
        <f>$L$5</f>
        <v>0</v>
      </c>
      <c r="AI1" s="35">
        <f>IFERROR(AG1*AH1,0)</f>
        <v>0</v>
      </c>
      <c r="AJ1" s="41">
        <v>0</v>
      </c>
      <c r="AK1" s="35" t="e">
        <f>$D1*AJ1</f>
        <v>#VALUE!</v>
      </c>
      <c r="AL1" s="36">
        <f>AB1+(AD1*(1+$I$4))+IFERROR(AH1/AF1,0)+AJ1</f>
        <v>0</v>
      </c>
      <c r="AM1" s="35" t="e">
        <f>SUM(AK1,AI1,AE1*(1+$I$4),AC1)</f>
        <v>#VALUE!</v>
      </c>
    </row>
    <row r="2" spans="1:39" x14ac:dyDescent="0.35">
      <c r="A2" s="58" t="str">
        <f>C4</f>
        <v>Entire Project</v>
      </c>
      <c r="B2" s="59">
        <f>F4</f>
        <v>1</v>
      </c>
      <c r="C2" s="59">
        <f>Q13</f>
        <v>0</v>
      </c>
      <c r="D2" s="59">
        <f>I10</f>
        <v>0</v>
      </c>
      <c r="E2" s="59">
        <f>M10</f>
        <v>0</v>
      </c>
      <c r="F2" s="59">
        <f>O10</f>
        <v>0</v>
      </c>
      <c r="G2" s="59">
        <f>Q199</f>
        <v>0</v>
      </c>
      <c r="H2" s="249">
        <f ca="1">C6</f>
        <v>45603</v>
      </c>
      <c r="I2" s="59" t="str">
        <f>C10</f>
        <v>CSI Description</v>
      </c>
      <c r="J2" s="59"/>
      <c r="K2" s="59"/>
      <c r="M2" s="59"/>
      <c r="N2" s="59"/>
      <c r="O2" s="101"/>
      <c r="P2" s="57"/>
      <c r="Q2" s="57"/>
      <c r="U2" s="78"/>
      <c r="V2" s="78"/>
    </row>
    <row r="3" spans="1:39"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104"/>
      <c r="K3" s="111"/>
      <c r="L3" s="100"/>
      <c r="M3" s="8"/>
      <c r="N3" s="32"/>
      <c r="O3" s="99"/>
      <c r="P3" s="441" t="s">
        <v>21594</v>
      </c>
      <c r="Q3" s="442"/>
    </row>
    <row r="4" spans="1:39" ht="15" thickBot="1" x14ac:dyDescent="0.4">
      <c r="A4" s="451" t="s">
        <v>21409</v>
      </c>
      <c r="B4" s="452"/>
      <c r="C4" s="79" t="s">
        <v>21410</v>
      </c>
      <c r="D4" s="6"/>
      <c r="E4" s="5" t="s">
        <v>21396</v>
      </c>
      <c r="F4" s="61">
        <v>1</v>
      </c>
      <c r="G4" s="8"/>
      <c r="H4" s="6"/>
      <c r="I4" s="6"/>
      <c r="J4" s="6"/>
      <c r="K4" s="6" t="s">
        <v>21406</v>
      </c>
      <c r="L4" s="11"/>
      <c r="M4" s="9"/>
      <c r="N4" s="31" t="s">
        <v>21430</v>
      </c>
      <c r="O4" s="98"/>
      <c r="P4" s="7"/>
      <c r="Q4" s="10"/>
    </row>
    <row r="5" spans="1:39" ht="15" thickBot="1" x14ac:dyDescent="0.4">
      <c r="A5" s="3"/>
      <c r="B5" s="4"/>
      <c r="C5" s="5"/>
      <c r="D5" s="6"/>
      <c r="E5" s="7"/>
      <c r="F5" s="6"/>
      <c r="G5" s="8"/>
      <c r="H5" s="6"/>
      <c r="I5" s="6"/>
      <c r="J5" s="6"/>
      <c r="K5" s="6" t="s">
        <v>21407</v>
      </c>
      <c r="L5" s="11"/>
      <c r="M5" s="91"/>
      <c r="N5" s="31" t="s">
        <v>21429</v>
      </c>
      <c r="O5" s="96"/>
      <c r="P5" s="86"/>
      <c r="Q5" s="8"/>
    </row>
    <row r="6" spans="1:39" ht="15" thickBot="1" x14ac:dyDescent="0.4">
      <c r="A6" s="3"/>
      <c r="B6" s="4" t="s">
        <v>21395</v>
      </c>
      <c r="C6" s="235">
        <f ca="1">TODAY()</f>
        <v>45603</v>
      </c>
      <c r="D6" s="6"/>
      <c r="E6" s="7"/>
      <c r="F6" s="6"/>
      <c r="G6" s="10"/>
      <c r="H6" s="12" t="s">
        <v>0</v>
      </c>
      <c r="I6" s="13">
        <v>7.0000000000000007E-2</v>
      </c>
      <c r="J6" s="109"/>
      <c r="K6" s="109" t="s">
        <v>21405</v>
      </c>
      <c r="L6" s="11"/>
      <c r="M6" s="9"/>
      <c r="N6" s="31" t="s">
        <v>21428</v>
      </c>
      <c r="O6" s="97"/>
      <c r="P6" s="7"/>
      <c r="Q6" s="8"/>
    </row>
    <row r="7" spans="1:39" x14ac:dyDescent="0.35">
      <c r="A7" s="3"/>
      <c r="B7" s="4"/>
      <c r="C7" s="84" t="s">
        <v>21433</v>
      </c>
      <c r="D7" s="6"/>
      <c r="E7" s="7"/>
      <c r="F7" s="6"/>
      <c r="G7" s="7"/>
      <c r="H7" s="14"/>
      <c r="I7" s="6"/>
      <c r="J7" s="6"/>
      <c r="K7" s="6" t="s">
        <v>21408</v>
      </c>
      <c r="L7" s="11"/>
      <c r="M7" s="6"/>
      <c r="N7" s="31" t="s">
        <v>21427</v>
      </c>
      <c r="O7" s="96"/>
      <c r="P7" s="90"/>
      <c r="Q7" s="90"/>
    </row>
    <row r="8" spans="1:39" ht="15" thickBot="1" x14ac:dyDescent="0.4">
      <c r="A8" s="3"/>
      <c r="B8" s="4"/>
      <c r="C8" s="86" t="s">
        <v>21403</v>
      </c>
      <c r="D8" s="6"/>
      <c r="E8" s="7"/>
      <c r="F8" s="6"/>
      <c r="G8" s="6"/>
      <c r="H8" s="6"/>
      <c r="I8" s="6"/>
      <c r="J8" s="6"/>
      <c r="K8" s="6" t="s">
        <v>21426</v>
      </c>
      <c r="L8" s="83" t="s">
        <v>1</v>
      </c>
      <c r="M8" s="6"/>
      <c r="N8" s="6" t="s">
        <v>21422</v>
      </c>
      <c r="O8" s="95" t="s">
        <v>21425</v>
      </c>
      <c r="P8" s="6"/>
      <c r="Q8" s="6"/>
    </row>
    <row r="9" spans="1:39" ht="27" thickBot="1" x14ac:dyDescent="0.4">
      <c r="A9" s="15"/>
      <c r="B9" s="16"/>
      <c r="C9" s="17" t="s">
        <v>2</v>
      </c>
      <c r="D9" s="18" t="s">
        <v>3</v>
      </c>
      <c r="E9" s="19" t="s">
        <v>4</v>
      </c>
      <c r="F9" s="16" t="s">
        <v>5</v>
      </c>
      <c r="G9" s="20" t="s">
        <v>6</v>
      </c>
      <c r="H9" s="16" t="s">
        <v>7</v>
      </c>
      <c r="I9" s="20" t="s">
        <v>8</v>
      </c>
      <c r="J9" s="21" t="s">
        <v>9</v>
      </c>
      <c r="K9" s="16" t="s">
        <v>10</v>
      </c>
      <c r="L9" s="21" t="s">
        <v>11</v>
      </c>
      <c r="M9" s="20" t="s">
        <v>12</v>
      </c>
      <c r="N9" s="16" t="s">
        <v>21425</v>
      </c>
      <c r="O9" s="94" t="s">
        <v>14</v>
      </c>
      <c r="P9" s="18" t="s">
        <v>15</v>
      </c>
      <c r="Q9" s="20" t="s">
        <v>16</v>
      </c>
    </row>
    <row r="10" spans="1:39" ht="15" thickBot="1" x14ac:dyDescent="0.4">
      <c r="A10" s="22"/>
      <c r="B10" s="23" t="str">
        <f>B206</f>
        <v>CSI Section</v>
      </c>
      <c r="C10" s="24" t="str">
        <f>C206</f>
        <v>CSI Description</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39" x14ac:dyDescent="0.35">
      <c r="A11" s="22"/>
      <c r="B11" s="29"/>
      <c r="C11" s="30"/>
      <c r="D11" s="31"/>
      <c r="E11" s="32"/>
      <c r="F11" s="34"/>
      <c r="G11" s="33"/>
      <c r="H11" s="34"/>
      <c r="I11" s="33"/>
      <c r="J11" s="34"/>
      <c r="K11" s="34"/>
      <c r="L11" s="34"/>
      <c r="M11" s="33"/>
      <c r="N11" s="34"/>
      <c r="O11" s="35"/>
      <c r="P11" s="31"/>
      <c r="Q11" s="35"/>
    </row>
    <row r="12" spans="1:39" x14ac:dyDescent="0.35">
      <c r="A12" s="22"/>
      <c r="B12" s="29"/>
      <c r="C12" s="30" t="str">
        <f>C10</f>
        <v>CSI Description</v>
      </c>
      <c r="D12" s="31"/>
      <c r="E12" s="32"/>
      <c r="F12" s="34"/>
      <c r="G12" s="33"/>
      <c r="H12" s="34"/>
      <c r="I12" s="33"/>
      <c r="J12" s="34"/>
      <c r="K12" s="34"/>
      <c r="L12" s="34"/>
      <c r="M12" s="33"/>
      <c r="N12" s="34"/>
      <c r="O12" s="35"/>
      <c r="P12" s="31"/>
      <c r="Q12" s="35"/>
    </row>
    <row r="13" spans="1:39" x14ac:dyDescent="0.35">
      <c r="A13" s="22"/>
      <c r="B13" s="37"/>
      <c r="C13" s="38" t="s">
        <v>27</v>
      </c>
      <c r="D13" s="39"/>
      <c r="E13" s="32" t="s">
        <v>28</v>
      </c>
      <c r="F13" s="40"/>
      <c r="G13" s="35">
        <f>$D13*F13</f>
        <v>0</v>
      </c>
      <c r="H13" s="40"/>
      <c r="I13" s="35">
        <f>$D13*H13</f>
        <v>0</v>
      </c>
      <c r="J13" s="41"/>
      <c r="K13" s="34">
        <f>IFERROR($D13/$J13,0)</f>
        <v>0</v>
      </c>
      <c r="L13" s="42"/>
      <c r="M13" s="35">
        <f>IFERROR(K13*L13,0)</f>
        <v>0</v>
      </c>
      <c r="N13" s="40"/>
      <c r="O13" s="35">
        <f>$D13*N13</f>
        <v>0</v>
      </c>
      <c r="P13" s="36">
        <f>F13+(H13*(1+$I$4))+IFERROR(L13/J13,0)+N13</f>
        <v>0</v>
      </c>
      <c r="Q13" s="35">
        <f>SUM(O13,M13,I13*(1+$I$4),G13)</f>
        <v>0</v>
      </c>
    </row>
    <row r="14" spans="1:39" x14ac:dyDescent="0.35">
      <c r="A14" s="22"/>
      <c r="B14" s="37"/>
      <c r="C14" s="47" t="str">
        <f>C203</f>
        <v>Material Prices Current Q4 2024 from (Suppier Name)</v>
      </c>
      <c r="D14" s="31"/>
      <c r="E14" s="32"/>
      <c r="F14" s="34"/>
      <c r="G14" s="33"/>
      <c r="H14" s="34"/>
      <c r="I14" s="33"/>
      <c r="J14" s="34"/>
      <c r="K14" s="34"/>
      <c r="L14" s="34"/>
      <c r="M14" s="33"/>
      <c r="N14" s="34"/>
      <c r="O14" s="33"/>
      <c r="P14" s="46"/>
      <c r="Q14" s="33"/>
    </row>
    <row r="15" spans="1:39" ht="15.5" x14ac:dyDescent="0.35">
      <c r="A15" s="22"/>
      <c r="B15" s="37"/>
      <c r="C15" s="105" t="s">
        <v>21431</v>
      </c>
      <c r="D15" s="39"/>
      <c r="E15" s="32"/>
      <c r="F15" s="41"/>
      <c r="G15" s="35"/>
      <c r="H15" s="34"/>
      <c r="I15" s="35"/>
      <c r="J15" s="41"/>
      <c r="K15" s="34"/>
      <c r="L15" s="34"/>
      <c r="M15" s="35"/>
      <c r="N15" s="41"/>
      <c r="O15" s="35"/>
      <c r="P15" s="31"/>
      <c r="Q15" s="35"/>
    </row>
    <row r="16" spans="1:39" x14ac:dyDescent="0.35">
      <c r="A16" s="22"/>
      <c r="B16" s="37"/>
      <c r="C16" s="30" t="s">
        <v>21424</v>
      </c>
      <c r="D16" s="39"/>
      <c r="E16" s="32"/>
      <c r="F16" s="41">
        <v>0</v>
      </c>
      <c r="G16" s="35">
        <f t="shared" ref="G16:G29" si="0">$D16*F16</f>
        <v>0</v>
      </c>
      <c r="H16" s="48"/>
      <c r="I16" s="35">
        <f>$D16*H16</f>
        <v>0</v>
      </c>
      <c r="J16" s="41"/>
      <c r="K16" s="34">
        <f t="shared" ref="K16:K24" si="1">IFERROR($D16/$J16,0)</f>
        <v>0</v>
      </c>
      <c r="L16" s="42"/>
      <c r="M16" s="35">
        <f t="shared" ref="M16:M29" si="2">IFERROR(K16*L16,0)</f>
        <v>0</v>
      </c>
      <c r="N16" s="41">
        <v>0</v>
      </c>
      <c r="O16" s="35">
        <f t="shared" ref="O16:O30" si="3">$D16*N16</f>
        <v>0</v>
      </c>
      <c r="P16" s="36">
        <f>F16+(H16*(1+$I$4))+IFERROR(L16/J16,0)+N16</f>
        <v>0</v>
      </c>
      <c r="Q16" s="35">
        <f>SUM(O16,M16,I16*(1+$I$4),G16)</f>
        <v>0</v>
      </c>
    </row>
    <row r="17" spans="2:17" x14ac:dyDescent="0.35">
      <c r="B17" s="37" t="str">
        <f>IFERROR(VLOOKUP(C17, Input2!$C$206:$G$207, 3, FALSE), "")</f>
        <v/>
      </c>
      <c r="C17" s="38"/>
      <c r="D17" s="39"/>
      <c r="E17" s="32" t="str">
        <f>IFERROR(VLOOKUP(C17, Input2!$C$204:$G$2000, 2, FALSE), "")</f>
        <v/>
      </c>
      <c r="F17" s="41">
        <v>0</v>
      </c>
      <c r="G17" s="35">
        <f t="shared" si="0"/>
        <v>0</v>
      </c>
      <c r="H17" s="48" t="str">
        <f>IFERROR(VLOOKUP(C17, Input2!$C$204:$G$2000, 4, FALSE), "")</f>
        <v/>
      </c>
      <c r="I17" s="35" t="str">
        <f t="shared" ref="I17" si="4">IF(AND(ISNUMBER(D17), ISNUMBER(H17)), D17 * H17, "")</f>
        <v/>
      </c>
      <c r="J17" s="41" t="str">
        <f>IFERROR(VLOOKUP(C17, Input2!$C$204:$G$2000, 5, FALSE), "")</f>
        <v/>
      </c>
      <c r="K17" s="34">
        <f t="shared" si="1"/>
        <v>0</v>
      </c>
      <c r="L17" s="42"/>
      <c r="M17" s="35">
        <f t="shared" si="2"/>
        <v>0</v>
      </c>
      <c r="N17" s="41">
        <v>0</v>
      </c>
      <c r="O17" s="35">
        <f t="shared" si="3"/>
        <v>0</v>
      </c>
      <c r="P17" s="36">
        <f t="shared" ref="P17" si="5">IF(ISNUMBER(F17), F17, 0) + IF(ISNUMBER(H17), H17 * (1 + $I$4), 0) + IF(AND(ISNUMBER(L17), ISNUMBER(J17), J17 &lt;&gt; 0), L17 / J17, 0) + IF(ISNUMBER(N17), N17, 0)</f>
        <v>0</v>
      </c>
      <c r="Q17" s="35">
        <f t="shared" ref="Q17" si="6">SUM(IF(ISNUMBER(O17), O17, 0), IF(ISNUMBER(M17), M17, 0), IF(ISNUMBER(I17), I17 * (1 + $I$4), 0), IF(ISNUMBER(G17), G17, 0))</f>
        <v>0</v>
      </c>
    </row>
    <row r="18" spans="2:17" x14ac:dyDescent="0.35">
      <c r="B18" s="37" t="str">
        <f>IFERROR(VLOOKUP(C18, Input2!$C$206:$G$207, 3, FALSE), "")</f>
        <v/>
      </c>
      <c r="C18" s="38"/>
      <c r="D18" s="39"/>
      <c r="E18" s="32" t="str">
        <f>IFERROR(VLOOKUP(C18, Input2!$C$204:$G$2000, 2, FALSE), "")</f>
        <v/>
      </c>
      <c r="F18" s="41">
        <v>0</v>
      </c>
      <c r="G18" s="35">
        <f t="shared" ref="G18:G24" si="7">$D18*F18</f>
        <v>0</v>
      </c>
      <c r="H18" s="48" t="str">
        <f>IFERROR(VLOOKUP(C18, Input2!$C$204:$G$2000, 4, FALSE), "")</f>
        <v/>
      </c>
      <c r="I18" s="35" t="str">
        <f t="shared" ref="I18:I24" si="8">IF(AND(ISNUMBER(D18), ISNUMBER(H18)), D18 * H18, "")</f>
        <v/>
      </c>
      <c r="J18" s="41" t="str">
        <f>IFERROR(VLOOKUP(C18, Input2!$C$204:$G$2000, 5, FALSE), "")</f>
        <v/>
      </c>
      <c r="K18" s="34">
        <f t="shared" si="1"/>
        <v>0</v>
      </c>
      <c r="L18" s="42"/>
      <c r="M18" s="35">
        <f t="shared" ref="M18:M24" si="9">IFERROR(K18*L18,0)</f>
        <v>0</v>
      </c>
      <c r="N18" s="41">
        <v>0</v>
      </c>
      <c r="O18" s="35">
        <f t="shared" ref="O18:O24" si="10">$D18*N18</f>
        <v>0</v>
      </c>
      <c r="P18" s="36">
        <f t="shared" ref="P18:P24" si="11">IF(ISNUMBER(F18), F18, 0) + IF(ISNUMBER(H18), H18 * (1 + $I$4), 0) + IF(AND(ISNUMBER(L18), ISNUMBER(J18), J18 &lt;&gt; 0), L18 / J18, 0) + IF(ISNUMBER(N18), N18, 0)</f>
        <v>0</v>
      </c>
      <c r="Q18" s="35">
        <f t="shared" ref="Q18:Q24" si="12">SUM(IF(ISNUMBER(O18), O18, 0), IF(ISNUMBER(M18), M18, 0), IF(ISNUMBER(I18), I18 * (1 + $I$4), 0), IF(ISNUMBER(G18), G18, 0))</f>
        <v>0</v>
      </c>
    </row>
    <row r="19" spans="2:17" x14ac:dyDescent="0.35">
      <c r="B19" s="37" t="str">
        <f>IFERROR(VLOOKUP(C19, Input2!$C$206:$G$207, 3, FALSE), "")</f>
        <v/>
      </c>
      <c r="C19" s="38"/>
      <c r="D19" s="39"/>
      <c r="E19" s="32" t="str">
        <f>IFERROR(VLOOKUP(C19, Input2!$C$204:$G$2000, 2, FALSE), "")</f>
        <v/>
      </c>
      <c r="F19" s="41">
        <v>0</v>
      </c>
      <c r="G19" s="35">
        <f t="shared" si="7"/>
        <v>0</v>
      </c>
      <c r="H19" s="48" t="str">
        <f>IFERROR(VLOOKUP(C19, Input2!$C$204:$G$2000, 4, FALSE), "")</f>
        <v/>
      </c>
      <c r="I19" s="35" t="str">
        <f t="shared" si="8"/>
        <v/>
      </c>
      <c r="J19" s="41" t="str">
        <f>IFERROR(VLOOKUP(C19, Input2!$C$204:$G$2000, 5, FALSE), "")</f>
        <v/>
      </c>
      <c r="K19" s="34">
        <f t="shared" si="1"/>
        <v>0</v>
      </c>
      <c r="L19" s="42"/>
      <c r="M19" s="35">
        <f t="shared" si="9"/>
        <v>0</v>
      </c>
      <c r="N19" s="41">
        <v>0</v>
      </c>
      <c r="O19" s="35">
        <f t="shared" si="10"/>
        <v>0</v>
      </c>
      <c r="P19" s="36">
        <f t="shared" si="11"/>
        <v>0</v>
      </c>
      <c r="Q19" s="35">
        <f t="shared" si="12"/>
        <v>0</v>
      </c>
    </row>
    <row r="20" spans="2:17" x14ac:dyDescent="0.35">
      <c r="B20" s="37" t="str">
        <f>IFERROR(VLOOKUP(C20, Input2!$C$206:$G$207, 3, FALSE), "")</f>
        <v/>
      </c>
      <c r="C20" s="38"/>
      <c r="D20" s="39"/>
      <c r="E20" s="32" t="str">
        <f>IFERROR(VLOOKUP(C20, Input2!$C$204:$G$2000, 2, FALSE), "")</f>
        <v/>
      </c>
      <c r="F20" s="41">
        <v>0</v>
      </c>
      <c r="G20" s="35">
        <f t="shared" si="7"/>
        <v>0</v>
      </c>
      <c r="H20" s="48" t="str">
        <f>IFERROR(VLOOKUP(C20, Input2!$C$204:$G$2000, 4, FALSE), "")</f>
        <v/>
      </c>
      <c r="I20" s="35" t="str">
        <f t="shared" si="8"/>
        <v/>
      </c>
      <c r="J20" s="41" t="str">
        <f>IFERROR(VLOOKUP(C20, Input2!$C$204:$G$2000, 5, FALSE), "")</f>
        <v/>
      </c>
      <c r="K20" s="34">
        <f t="shared" si="1"/>
        <v>0</v>
      </c>
      <c r="L20" s="42"/>
      <c r="M20" s="35">
        <f t="shared" si="9"/>
        <v>0</v>
      </c>
      <c r="N20" s="41">
        <v>0</v>
      </c>
      <c r="O20" s="35">
        <f t="shared" si="10"/>
        <v>0</v>
      </c>
      <c r="P20" s="36">
        <f t="shared" si="11"/>
        <v>0</v>
      </c>
      <c r="Q20" s="35">
        <f t="shared" si="12"/>
        <v>0</v>
      </c>
    </row>
    <row r="21" spans="2:17" x14ac:dyDescent="0.35">
      <c r="B21" s="37" t="str">
        <f>IFERROR(VLOOKUP(C21, Input2!$C$206:$G$207, 3, FALSE), "")</f>
        <v/>
      </c>
      <c r="C21" s="38"/>
      <c r="D21" s="39"/>
      <c r="E21" s="32" t="str">
        <f>IFERROR(VLOOKUP(C21, Input2!$C$204:$G$2000, 2, FALSE), "")</f>
        <v/>
      </c>
      <c r="F21" s="41">
        <v>0</v>
      </c>
      <c r="G21" s="35">
        <f t="shared" si="7"/>
        <v>0</v>
      </c>
      <c r="H21" s="48" t="str">
        <f>IFERROR(VLOOKUP(C21, Input2!$C$204:$G$2000, 4, FALSE), "")</f>
        <v/>
      </c>
      <c r="I21" s="35" t="str">
        <f t="shared" si="8"/>
        <v/>
      </c>
      <c r="J21" s="41" t="str">
        <f>IFERROR(VLOOKUP(C21, Input2!$C$204:$G$2000, 5, FALSE), "")</f>
        <v/>
      </c>
      <c r="K21" s="34">
        <f t="shared" si="1"/>
        <v>0</v>
      </c>
      <c r="L21" s="42"/>
      <c r="M21" s="35">
        <f t="shared" si="9"/>
        <v>0</v>
      </c>
      <c r="N21" s="41">
        <v>0</v>
      </c>
      <c r="O21" s="35">
        <f t="shared" si="10"/>
        <v>0</v>
      </c>
      <c r="P21" s="36">
        <f t="shared" si="11"/>
        <v>0</v>
      </c>
      <c r="Q21" s="35">
        <f t="shared" si="12"/>
        <v>0</v>
      </c>
    </row>
    <row r="22" spans="2:17" x14ac:dyDescent="0.35">
      <c r="B22" s="37" t="str">
        <f>IFERROR(VLOOKUP(C22, Input2!$C$206:$G$207, 3, FALSE), "")</f>
        <v/>
      </c>
      <c r="C22" s="38"/>
      <c r="D22" s="39"/>
      <c r="E22" s="32" t="str">
        <f>IFERROR(VLOOKUP(C22, Input2!$C$204:$G$2000, 2, FALSE), "")</f>
        <v/>
      </c>
      <c r="F22" s="41">
        <v>0</v>
      </c>
      <c r="G22" s="35">
        <f t="shared" si="7"/>
        <v>0</v>
      </c>
      <c r="H22" s="48" t="str">
        <f>IFERROR(VLOOKUP(C22, Input2!$C$204:$G$2000, 4, FALSE), "")</f>
        <v/>
      </c>
      <c r="I22" s="35" t="str">
        <f t="shared" si="8"/>
        <v/>
      </c>
      <c r="J22" s="41" t="str">
        <f>IFERROR(VLOOKUP(C22, Input2!$C$204:$G$2000, 5, FALSE), "")</f>
        <v/>
      </c>
      <c r="K22" s="34">
        <f t="shared" si="1"/>
        <v>0</v>
      </c>
      <c r="L22" s="42"/>
      <c r="M22" s="35">
        <f t="shared" si="9"/>
        <v>0</v>
      </c>
      <c r="N22" s="41">
        <v>0</v>
      </c>
      <c r="O22" s="35">
        <f t="shared" si="10"/>
        <v>0</v>
      </c>
      <c r="P22" s="36">
        <f t="shared" si="11"/>
        <v>0</v>
      </c>
      <c r="Q22" s="35">
        <f t="shared" si="12"/>
        <v>0</v>
      </c>
    </row>
    <row r="23" spans="2:17" x14ac:dyDescent="0.35">
      <c r="B23" s="37" t="str">
        <f>IFERROR(VLOOKUP(C23, Input2!$C$206:$G$207, 3, FALSE), "")</f>
        <v/>
      </c>
      <c r="C23" s="38"/>
      <c r="D23" s="39"/>
      <c r="E23" s="32" t="str">
        <f>IFERROR(VLOOKUP(C23, Input2!$C$204:$G$2000, 2, FALSE), "")</f>
        <v/>
      </c>
      <c r="F23" s="41">
        <v>0</v>
      </c>
      <c r="G23" s="35">
        <f t="shared" si="7"/>
        <v>0</v>
      </c>
      <c r="H23" s="48" t="str">
        <f>IFERROR(VLOOKUP(C23, Input2!$C$204:$G$2000, 4, FALSE), "")</f>
        <v/>
      </c>
      <c r="I23" s="35" t="str">
        <f t="shared" si="8"/>
        <v/>
      </c>
      <c r="J23" s="41" t="str">
        <f>IFERROR(VLOOKUP(C23, Input2!$C$204:$G$2000, 5, FALSE), "")</f>
        <v/>
      </c>
      <c r="K23" s="34">
        <f t="shared" si="1"/>
        <v>0</v>
      </c>
      <c r="L23" s="42"/>
      <c r="M23" s="35">
        <f t="shared" si="9"/>
        <v>0</v>
      </c>
      <c r="N23" s="41">
        <v>0</v>
      </c>
      <c r="O23" s="35">
        <f t="shared" si="10"/>
        <v>0</v>
      </c>
      <c r="P23" s="36">
        <f t="shared" si="11"/>
        <v>0</v>
      </c>
      <c r="Q23" s="35">
        <f t="shared" si="12"/>
        <v>0</v>
      </c>
    </row>
    <row r="24" spans="2:17" x14ac:dyDescent="0.35">
      <c r="B24" s="37" t="str">
        <f>IFERROR(VLOOKUP(C24, Input2!$C$206:$G$207, 3, FALSE), "")</f>
        <v/>
      </c>
      <c r="C24" s="38"/>
      <c r="D24" s="39"/>
      <c r="E24" s="32" t="str">
        <f>IFERROR(VLOOKUP(C24, Input2!$C$204:$G$2000, 2, FALSE), "")</f>
        <v/>
      </c>
      <c r="F24" s="41">
        <v>0</v>
      </c>
      <c r="G24" s="35">
        <f t="shared" si="7"/>
        <v>0</v>
      </c>
      <c r="H24" s="48" t="str">
        <f>IFERROR(VLOOKUP(C24, Input2!$C$204:$G$2000, 4, FALSE), "")</f>
        <v/>
      </c>
      <c r="I24" s="35" t="str">
        <f t="shared" si="8"/>
        <v/>
      </c>
      <c r="J24" s="41" t="str">
        <f>IFERROR(VLOOKUP(C24, Input2!$C$204:$G$2000, 5, FALSE), "")</f>
        <v/>
      </c>
      <c r="K24" s="34">
        <f t="shared" si="1"/>
        <v>0</v>
      </c>
      <c r="L24" s="42"/>
      <c r="M24" s="35">
        <f t="shared" si="9"/>
        <v>0</v>
      </c>
      <c r="N24" s="41">
        <v>0</v>
      </c>
      <c r="O24" s="35">
        <f t="shared" si="10"/>
        <v>0</v>
      </c>
      <c r="P24" s="36">
        <f t="shared" si="11"/>
        <v>0</v>
      </c>
      <c r="Q24" s="35">
        <f t="shared" si="12"/>
        <v>0</v>
      </c>
    </row>
    <row r="25" spans="2:17" x14ac:dyDescent="0.35">
      <c r="B25" s="37"/>
      <c r="C25" s="30" t="s">
        <v>21423</v>
      </c>
      <c r="D25" s="39"/>
      <c r="E25" s="32"/>
      <c r="F25" s="41">
        <v>0</v>
      </c>
      <c r="G25" s="35">
        <f t="shared" si="0"/>
        <v>0</v>
      </c>
      <c r="H25" s="48"/>
      <c r="I25" s="35">
        <f>$D25*H25</f>
        <v>0</v>
      </c>
      <c r="J25" s="41"/>
      <c r="K25" s="34"/>
      <c r="L25" s="42"/>
      <c r="M25" s="35">
        <f t="shared" si="2"/>
        <v>0</v>
      </c>
      <c r="N25" s="41">
        <v>0</v>
      </c>
      <c r="O25" s="35">
        <f t="shared" si="3"/>
        <v>0</v>
      </c>
      <c r="P25" s="36">
        <f t="shared" ref="P25:P30" si="13">F25+(H25*(1+$I$4))+IFERROR(L25/J25,0)+N25</f>
        <v>0</v>
      </c>
      <c r="Q25" s="35">
        <f t="shared" ref="Q25:Q36" si="14">SUM(O25,M25,I25*(1+$I$4),G25)</f>
        <v>0</v>
      </c>
    </row>
    <row r="26" spans="2:17" x14ac:dyDescent="0.35">
      <c r="B26" s="37"/>
      <c r="C26" s="38"/>
      <c r="D26" s="39"/>
      <c r="E26" s="32" t="s">
        <v>24</v>
      </c>
      <c r="F26" s="41">
        <v>0</v>
      </c>
      <c r="G26" s="35">
        <f t="shared" si="0"/>
        <v>0</v>
      </c>
      <c r="H26" s="48"/>
      <c r="I26" s="35">
        <f>$D26*H26</f>
        <v>0</v>
      </c>
      <c r="J26" s="41"/>
      <c r="K26" s="34"/>
      <c r="L26" s="42" t="str">
        <f>IFERROR(VLOOKUP(C26, Input2!K4:M9, 2, FALSE), "")</f>
        <v/>
      </c>
      <c r="M26" s="35">
        <f t="shared" si="2"/>
        <v>0</v>
      </c>
      <c r="N26" s="41">
        <v>0</v>
      </c>
      <c r="O26" s="35">
        <f t="shared" si="3"/>
        <v>0</v>
      </c>
      <c r="P26" s="36">
        <f t="shared" si="13"/>
        <v>0</v>
      </c>
      <c r="Q26" s="35">
        <f t="shared" si="14"/>
        <v>0</v>
      </c>
    </row>
    <row r="27" spans="2:17" x14ac:dyDescent="0.35">
      <c r="B27" s="37"/>
      <c r="C27" s="38"/>
      <c r="D27" s="39"/>
      <c r="E27" s="32" t="s">
        <v>24</v>
      </c>
      <c r="F27" s="41">
        <v>0</v>
      </c>
      <c r="G27" s="35">
        <f t="shared" si="0"/>
        <v>0</v>
      </c>
      <c r="H27" s="48"/>
      <c r="I27" s="35">
        <f>$D27*H27</f>
        <v>0</v>
      </c>
      <c r="J27" s="41"/>
      <c r="K27" s="34"/>
      <c r="L27" s="42">
        <f>IFERROR(VLOOKUP(C27, Input2!K5:M10, 2, FALSE), "")</f>
        <v>0</v>
      </c>
      <c r="M27" s="35">
        <f t="shared" si="2"/>
        <v>0</v>
      </c>
      <c r="N27" s="41">
        <v>0</v>
      </c>
      <c r="O27" s="35">
        <f t="shared" si="3"/>
        <v>0</v>
      </c>
      <c r="P27" s="36">
        <f t="shared" si="13"/>
        <v>0</v>
      </c>
      <c r="Q27" s="35">
        <f t="shared" si="14"/>
        <v>0</v>
      </c>
    </row>
    <row r="28" spans="2:17" x14ac:dyDescent="0.35">
      <c r="B28" s="37"/>
      <c r="C28" s="38"/>
      <c r="D28" s="39"/>
      <c r="E28" s="32" t="s">
        <v>24</v>
      </c>
      <c r="F28" s="41">
        <v>0</v>
      </c>
      <c r="G28" s="35">
        <f t="shared" si="0"/>
        <v>0</v>
      </c>
      <c r="H28" s="48"/>
      <c r="I28" s="35">
        <f>$D28*H28</f>
        <v>0</v>
      </c>
      <c r="J28" s="41"/>
      <c r="K28" s="34"/>
      <c r="L28" s="42">
        <f>IFERROR(VLOOKUP(C28, Input2!K6:M11, 2, FALSE), "")</f>
        <v>0</v>
      </c>
      <c r="M28" s="35">
        <f t="shared" si="2"/>
        <v>0</v>
      </c>
      <c r="N28" s="41">
        <v>0</v>
      </c>
      <c r="O28" s="35">
        <f t="shared" si="3"/>
        <v>0</v>
      </c>
      <c r="P28" s="36">
        <f t="shared" si="13"/>
        <v>0</v>
      </c>
      <c r="Q28" s="35">
        <f t="shared" si="14"/>
        <v>0</v>
      </c>
    </row>
    <row r="29" spans="2:17" x14ac:dyDescent="0.35">
      <c r="B29" s="37"/>
      <c r="C29" s="38"/>
      <c r="D29" s="39"/>
      <c r="E29" s="32" t="s">
        <v>24</v>
      </c>
      <c r="F29" s="41">
        <v>0</v>
      </c>
      <c r="G29" s="35">
        <f t="shared" si="0"/>
        <v>0</v>
      </c>
      <c r="H29" s="48"/>
      <c r="I29" s="35">
        <f>$D29*H29</f>
        <v>0</v>
      </c>
      <c r="J29" s="41"/>
      <c r="K29" s="34"/>
      <c r="L29" s="42">
        <f>IFERROR(VLOOKUP(C29, Input2!K7:M12, 2, FALSE), "")</f>
        <v>0</v>
      </c>
      <c r="M29" s="35">
        <f t="shared" si="2"/>
        <v>0</v>
      </c>
      <c r="N29" s="41">
        <v>0</v>
      </c>
      <c r="O29" s="35">
        <f t="shared" si="3"/>
        <v>0</v>
      </c>
      <c r="P29" s="36">
        <f t="shared" si="13"/>
        <v>0</v>
      </c>
      <c r="Q29" s="35">
        <f t="shared" si="14"/>
        <v>0</v>
      </c>
    </row>
    <row r="30" spans="2:17" x14ac:dyDescent="0.35">
      <c r="B30" s="37"/>
      <c r="C30" s="30" t="s">
        <v>21422</v>
      </c>
      <c r="D30" s="39"/>
      <c r="E30" s="32"/>
      <c r="F30" s="41"/>
      <c r="G30" s="35"/>
      <c r="H30" s="48"/>
      <c r="I30" s="35"/>
      <c r="J30" s="41"/>
      <c r="K30" s="34"/>
      <c r="L30" s="42"/>
      <c r="M30" s="35"/>
      <c r="N30" s="41">
        <v>0</v>
      </c>
      <c r="O30" s="35">
        <f t="shared" si="3"/>
        <v>0</v>
      </c>
      <c r="P30" s="36">
        <f t="shared" si="13"/>
        <v>0</v>
      </c>
      <c r="Q30" s="35">
        <f t="shared" si="14"/>
        <v>0</v>
      </c>
    </row>
    <row r="31" spans="2:17" x14ac:dyDescent="0.35">
      <c r="B31" s="37"/>
      <c r="C31" s="38"/>
      <c r="D31" s="39"/>
      <c r="E31" s="32" t="s">
        <v>24</v>
      </c>
      <c r="F31" s="41"/>
      <c r="G31" s="35"/>
      <c r="H31" s="48"/>
      <c r="I31" s="35"/>
      <c r="J31" s="41"/>
      <c r="K31" s="34"/>
      <c r="L31" s="42"/>
      <c r="M31" s="35"/>
      <c r="N31" s="41" t="str">
        <f>IFERROR(VLOOKUP(C31, Input2!N3:O8, 2, FALSE), "")</f>
        <v/>
      </c>
      <c r="O31" s="35" t="str">
        <f>IF(AND(ISNUMBER(D31), ISNUMBER(N31)), D31 * N31, "")</f>
        <v/>
      </c>
      <c r="P31" s="36">
        <f>IF(ISNUMBER(F31), F31, 0) + IF(ISNUMBER(H31), H31 * (1 + $I$4), 0) + IF(AND(ISNUMBER(L31), ISNUMBER(J31), J31&lt;&gt;0), L31 / J31, 0) + IF(ISNUMBER(N31), N31, 0)</f>
        <v>0</v>
      </c>
      <c r="Q31" s="35">
        <f t="shared" si="14"/>
        <v>0</v>
      </c>
    </row>
    <row r="32" spans="2:17" x14ac:dyDescent="0.35">
      <c r="B32" s="37"/>
      <c r="C32" s="38"/>
      <c r="D32" s="39"/>
      <c r="E32" s="32" t="s">
        <v>24</v>
      </c>
      <c r="F32" s="41"/>
      <c r="G32" s="35"/>
      <c r="H32" s="48"/>
      <c r="I32" s="35"/>
      <c r="J32" s="41"/>
      <c r="K32" s="34"/>
      <c r="L32" s="42"/>
      <c r="M32" s="35"/>
      <c r="N32" s="41" t="str">
        <f>IFERROR(VLOOKUP(C32, Input2!N4:O9, 2, FALSE), "")</f>
        <v/>
      </c>
      <c r="O32" s="35" t="str">
        <f>IF(AND(ISNUMBER(D32), ISNUMBER(N32)), D32 * N32, "")</f>
        <v/>
      </c>
      <c r="P32" s="36">
        <f>IF(ISNUMBER(F32), F32, 0) + IF(ISNUMBER(H32), H32 * (1 + $I$4), 0) + IF(AND(ISNUMBER(L32), ISNUMBER(J32), J32&lt;&gt;0), L32 / J32, 0) + IF(ISNUMBER(N32), N32, 0)</f>
        <v>0</v>
      </c>
      <c r="Q32" s="35">
        <f t="shared" si="14"/>
        <v>0</v>
      </c>
    </row>
    <row r="33" spans="2:17" x14ac:dyDescent="0.35">
      <c r="B33" s="37"/>
      <c r="C33" s="38"/>
      <c r="D33" s="39"/>
      <c r="E33" s="32" t="s">
        <v>24</v>
      </c>
      <c r="F33" s="41"/>
      <c r="G33" s="35"/>
      <c r="H33" s="48"/>
      <c r="I33" s="35"/>
      <c r="J33" s="41"/>
      <c r="K33" s="34"/>
      <c r="L33" s="42"/>
      <c r="M33" s="35"/>
      <c r="N33" s="41" t="str">
        <f>IFERROR(VLOOKUP(C33, Input2!N5:O10, 2, FALSE), "")</f>
        <v/>
      </c>
      <c r="O33" s="35" t="str">
        <f>IF(AND(ISNUMBER(D33), ISNUMBER(N33)), D33 * N33, "")</f>
        <v/>
      </c>
      <c r="P33" s="36">
        <f>IF(ISNUMBER(F33), F33, 0) + IF(ISNUMBER(H33), H33 * (1 + $I$4), 0) + IF(AND(ISNUMBER(L33), ISNUMBER(J33), J33&lt;&gt;0), L33 / J33, 0) + IF(ISNUMBER(N33), N33, 0)</f>
        <v>0</v>
      </c>
      <c r="Q33" s="35">
        <f t="shared" si="14"/>
        <v>0</v>
      </c>
    </row>
    <row r="34" spans="2:17" x14ac:dyDescent="0.35">
      <c r="B34" s="37"/>
      <c r="C34" s="38"/>
      <c r="D34" s="39"/>
      <c r="E34" s="32" t="s">
        <v>24</v>
      </c>
      <c r="F34" s="41"/>
      <c r="G34" s="35"/>
      <c r="H34" s="48"/>
      <c r="I34" s="35"/>
      <c r="J34" s="41"/>
      <c r="K34" s="34"/>
      <c r="L34" s="42"/>
      <c r="M34" s="35"/>
      <c r="N34" s="41" t="str">
        <f>IFERROR(VLOOKUP(C34, Input2!N6:O11, 2, FALSE), "")</f>
        <v/>
      </c>
      <c r="O34" s="35" t="str">
        <f>IF(AND(ISNUMBER(D34), ISNUMBER(N34)), D34 * N34, "")</f>
        <v/>
      </c>
      <c r="P34" s="36">
        <f>IF(ISNUMBER(F34), F34, 0) + IF(ISNUMBER(H34), H34 * (1 + $I$4), 0) + IF(AND(ISNUMBER(L34), ISNUMBER(J34), J34&lt;&gt;0), L34 / J34, 0) + IF(ISNUMBER(N34), N34, 0)</f>
        <v>0</v>
      </c>
      <c r="Q34" s="35">
        <f t="shared" si="14"/>
        <v>0</v>
      </c>
    </row>
    <row r="35" spans="2:17" x14ac:dyDescent="0.35">
      <c r="B35" s="37"/>
      <c r="C35" s="38"/>
      <c r="D35" s="39"/>
      <c r="E35" s="32"/>
      <c r="F35" s="41"/>
      <c r="G35" s="35"/>
      <c r="H35" s="48"/>
      <c r="I35" s="35"/>
      <c r="J35" s="41"/>
      <c r="K35" s="34"/>
      <c r="L35" s="42"/>
      <c r="M35" s="35"/>
      <c r="N35" s="41">
        <v>0</v>
      </c>
      <c r="O35" s="35">
        <f>$D35*N35</f>
        <v>0</v>
      </c>
      <c r="P35" s="36">
        <f>F35+(H35*(1+$I$4))+IFERROR(L35/J35,0)+N35</f>
        <v>0</v>
      </c>
      <c r="Q35" s="35">
        <f t="shared" si="14"/>
        <v>0</v>
      </c>
    </row>
    <row r="36" spans="2:17" x14ac:dyDescent="0.35">
      <c r="B36" s="37"/>
      <c r="C36" s="38"/>
      <c r="D36" s="39"/>
      <c r="E36" s="32"/>
      <c r="F36" s="41"/>
      <c r="G36" s="35"/>
      <c r="H36" s="48"/>
      <c r="I36" s="35"/>
      <c r="J36" s="41"/>
      <c r="K36" s="34"/>
      <c r="L36" s="42"/>
      <c r="M36" s="35"/>
      <c r="N36" s="41">
        <v>0</v>
      </c>
      <c r="O36" s="35">
        <f>$D36*N36</f>
        <v>0</v>
      </c>
      <c r="P36" s="36">
        <f>F36+(H36*(1+$I$4))+IFERROR(L36/J36,0)+N36</f>
        <v>0</v>
      </c>
      <c r="Q36" s="35">
        <f t="shared" si="14"/>
        <v>0</v>
      </c>
    </row>
    <row r="37" spans="2:17" ht="15.5" x14ac:dyDescent="0.35">
      <c r="B37" s="37"/>
      <c r="C37" s="105" t="s">
        <v>21431</v>
      </c>
      <c r="D37" s="39"/>
      <c r="E37" s="32"/>
      <c r="F37" s="41"/>
      <c r="G37" s="35"/>
      <c r="H37" s="34"/>
      <c r="I37" s="35"/>
      <c r="J37" s="41"/>
      <c r="K37" s="34"/>
      <c r="L37" s="34"/>
      <c r="M37" s="35"/>
      <c r="N37" s="41"/>
      <c r="O37" s="35"/>
      <c r="P37" s="31"/>
      <c r="Q37" s="35"/>
    </row>
    <row r="38" spans="2:17" x14ac:dyDescent="0.35">
      <c r="B38" s="37"/>
      <c r="C38" s="30" t="s">
        <v>21424</v>
      </c>
      <c r="D38" s="39"/>
      <c r="E38" s="32"/>
      <c r="F38" s="41">
        <v>0</v>
      </c>
      <c r="G38" s="35">
        <f t="shared" ref="G38:G51" si="15">$D38*F38</f>
        <v>0</v>
      </c>
      <c r="H38" s="48"/>
      <c r="I38" s="35">
        <f>$D38*H38</f>
        <v>0</v>
      </c>
      <c r="J38" s="41"/>
      <c r="K38" s="34">
        <f t="shared" ref="K38:K46" si="16">IFERROR($D38/$J38,0)</f>
        <v>0</v>
      </c>
      <c r="L38" s="42"/>
      <c r="M38" s="35">
        <f t="shared" ref="M38:M51" si="17">IFERROR(K38*L38,0)</f>
        <v>0</v>
      </c>
      <c r="N38" s="41">
        <v>0</v>
      </c>
      <c r="O38" s="35">
        <f t="shared" ref="O38:O52" si="18">$D38*N38</f>
        <v>0</v>
      </c>
      <c r="P38" s="36">
        <f>F38+(H38*(1+$I$4))+IFERROR(L38/J38,0)+N38</f>
        <v>0</v>
      </c>
      <c r="Q38" s="35">
        <f>SUM(O38,M38,I38*(1+$I$4),G38)</f>
        <v>0</v>
      </c>
    </row>
    <row r="39" spans="2:17" x14ac:dyDescent="0.35">
      <c r="B39" s="37" t="str">
        <f>IFERROR(VLOOKUP(C39, Input2!$C$206:$G$207, 3, FALSE), "")</f>
        <v/>
      </c>
      <c r="C39" s="38"/>
      <c r="D39" s="39"/>
      <c r="E39" s="32" t="str">
        <f>IFERROR(VLOOKUP(C39, Input2!$C$204:$G$2000, 2, FALSE), "")</f>
        <v/>
      </c>
      <c r="F39" s="41">
        <v>0</v>
      </c>
      <c r="G39" s="35">
        <f t="shared" si="15"/>
        <v>0</v>
      </c>
      <c r="H39" s="48" t="str">
        <f>IFERROR(VLOOKUP(C39, Input2!$C$204:$G$2000, 4, FALSE), "")</f>
        <v/>
      </c>
      <c r="I39" s="35" t="str">
        <f t="shared" ref="I39:I46" si="19">IF(AND(ISNUMBER(D39), ISNUMBER(H39)), D39 * H39, "")</f>
        <v/>
      </c>
      <c r="J39" s="41" t="str">
        <f>IFERROR(VLOOKUP(C39, Input2!$C$204:$G$2000, 5, FALSE), "")</f>
        <v/>
      </c>
      <c r="K39" s="34">
        <f t="shared" si="16"/>
        <v>0</v>
      </c>
      <c r="L39" s="42"/>
      <c r="M39" s="35">
        <f t="shared" si="17"/>
        <v>0</v>
      </c>
      <c r="N39" s="41">
        <v>0</v>
      </c>
      <c r="O39" s="35">
        <f t="shared" si="18"/>
        <v>0</v>
      </c>
      <c r="P39" s="36">
        <f t="shared" ref="P39:P46" si="20">IF(ISNUMBER(F39), F39, 0) + IF(ISNUMBER(H39), H39 * (1 + $I$4), 0) + IF(AND(ISNUMBER(L39), ISNUMBER(J39), J39 &lt;&gt; 0), L39 / J39, 0) + IF(ISNUMBER(N39), N39, 0)</f>
        <v>0</v>
      </c>
      <c r="Q39" s="35">
        <f t="shared" ref="Q39:Q46" si="21">SUM(IF(ISNUMBER(O39), O39, 0), IF(ISNUMBER(M39), M39, 0), IF(ISNUMBER(I39), I39 * (1 + $I$4), 0), IF(ISNUMBER(G39), G39, 0))</f>
        <v>0</v>
      </c>
    </row>
    <row r="40" spans="2:17" x14ac:dyDescent="0.35">
      <c r="B40" s="37" t="str">
        <f>IFERROR(VLOOKUP(C40, Input2!$C$206:$G$207, 3, FALSE), "")</f>
        <v/>
      </c>
      <c r="C40" s="38"/>
      <c r="D40" s="39"/>
      <c r="E40" s="32" t="str">
        <f>IFERROR(VLOOKUP(C40, Input2!$C$204:$G$2000, 2, FALSE), "")</f>
        <v/>
      </c>
      <c r="F40" s="41">
        <v>0</v>
      </c>
      <c r="G40" s="35">
        <f t="shared" si="15"/>
        <v>0</v>
      </c>
      <c r="H40" s="48" t="str">
        <f>IFERROR(VLOOKUP(C40, Input2!$C$204:$G$2000, 4, FALSE), "")</f>
        <v/>
      </c>
      <c r="I40" s="35" t="str">
        <f t="shared" si="19"/>
        <v/>
      </c>
      <c r="J40" s="41" t="str">
        <f>IFERROR(VLOOKUP(C40, Input2!$C$204:$G$2000, 5, FALSE), "")</f>
        <v/>
      </c>
      <c r="K40" s="34">
        <f t="shared" si="16"/>
        <v>0</v>
      </c>
      <c r="L40" s="42"/>
      <c r="M40" s="35">
        <f t="shared" si="17"/>
        <v>0</v>
      </c>
      <c r="N40" s="41">
        <v>0</v>
      </c>
      <c r="O40" s="35">
        <f t="shared" si="18"/>
        <v>0</v>
      </c>
      <c r="P40" s="36">
        <f t="shared" si="20"/>
        <v>0</v>
      </c>
      <c r="Q40" s="35">
        <f t="shared" si="21"/>
        <v>0</v>
      </c>
    </row>
    <row r="41" spans="2:17" x14ac:dyDescent="0.35">
      <c r="B41" s="37" t="str">
        <f>IFERROR(VLOOKUP(C41, Input2!$C$206:$G$207, 3, FALSE), "")</f>
        <v/>
      </c>
      <c r="C41" s="38"/>
      <c r="D41" s="39"/>
      <c r="E41" s="32" t="str">
        <f>IFERROR(VLOOKUP(C41, Input2!$C$204:$G$2000, 2, FALSE), "")</f>
        <v/>
      </c>
      <c r="F41" s="41">
        <v>0</v>
      </c>
      <c r="G41" s="35">
        <f t="shared" si="15"/>
        <v>0</v>
      </c>
      <c r="H41" s="48" t="str">
        <f>IFERROR(VLOOKUP(C41, Input2!$C$204:$G$2000, 4, FALSE), "")</f>
        <v/>
      </c>
      <c r="I41" s="35" t="str">
        <f t="shared" si="19"/>
        <v/>
      </c>
      <c r="J41" s="41" t="str">
        <f>IFERROR(VLOOKUP(C41, Input2!$C$204:$G$2000, 5, FALSE), "")</f>
        <v/>
      </c>
      <c r="K41" s="34">
        <f t="shared" si="16"/>
        <v>0</v>
      </c>
      <c r="L41" s="42"/>
      <c r="M41" s="35">
        <f t="shared" si="17"/>
        <v>0</v>
      </c>
      <c r="N41" s="41">
        <v>0</v>
      </c>
      <c r="O41" s="35">
        <f t="shared" si="18"/>
        <v>0</v>
      </c>
      <c r="P41" s="36">
        <f t="shared" si="20"/>
        <v>0</v>
      </c>
      <c r="Q41" s="35">
        <f t="shared" si="21"/>
        <v>0</v>
      </c>
    </row>
    <row r="42" spans="2:17" x14ac:dyDescent="0.35">
      <c r="B42" s="37" t="str">
        <f>IFERROR(VLOOKUP(C42, Input2!$C$206:$G$207, 3, FALSE), "")</f>
        <v/>
      </c>
      <c r="C42" s="38"/>
      <c r="D42" s="39"/>
      <c r="E42" s="32" t="str">
        <f>IFERROR(VLOOKUP(C42, Input2!$C$204:$G$2000, 2, FALSE), "")</f>
        <v/>
      </c>
      <c r="F42" s="41">
        <v>0</v>
      </c>
      <c r="G42" s="35">
        <f t="shared" si="15"/>
        <v>0</v>
      </c>
      <c r="H42" s="48" t="str">
        <f>IFERROR(VLOOKUP(C42, Input2!$C$204:$G$2000, 4, FALSE), "")</f>
        <v/>
      </c>
      <c r="I42" s="35" t="str">
        <f t="shared" si="19"/>
        <v/>
      </c>
      <c r="J42" s="41" t="str">
        <f>IFERROR(VLOOKUP(C42, Input2!$C$204:$G$2000, 5, FALSE), "")</f>
        <v/>
      </c>
      <c r="K42" s="34">
        <f t="shared" si="16"/>
        <v>0</v>
      </c>
      <c r="L42" s="42"/>
      <c r="M42" s="35">
        <f t="shared" si="17"/>
        <v>0</v>
      </c>
      <c r="N42" s="41">
        <v>0</v>
      </c>
      <c r="O42" s="35">
        <f t="shared" si="18"/>
        <v>0</v>
      </c>
      <c r="P42" s="36">
        <f t="shared" si="20"/>
        <v>0</v>
      </c>
      <c r="Q42" s="35">
        <f t="shared" si="21"/>
        <v>0</v>
      </c>
    </row>
    <row r="43" spans="2:17" x14ac:dyDescent="0.35">
      <c r="B43" s="37" t="str">
        <f>IFERROR(VLOOKUP(C43, Input2!$C$206:$G$207, 3, FALSE), "")</f>
        <v/>
      </c>
      <c r="C43" s="38"/>
      <c r="D43" s="39"/>
      <c r="E43" s="32" t="str">
        <f>IFERROR(VLOOKUP(C43, Input2!$C$204:$G$2000, 2, FALSE), "")</f>
        <v/>
      </c>
      <c r="F43" s="41">
        <v>0</v>
      </c>
      <c r="G43" s="35">
        <f t="shared" si="15"/>
        <v>0</v>
      </c>
      <c r="H43" s="48" t="str">
        <f>IFERROR(VLOOKUP(C43, Input2!$C$204:$G$2000, 4, FALSE), "")</f>
        <v/>
      </c>
      <c r="I43" s="35" t="str">
        <f t="shared" si="19"/>
        <v/>
      </c>
      <c r="J43" s="41" t="str">
        <f>IFERROR(VLOOKUP(C43, Input2!$C$204:$G$2000, 5, FALSE), "")</f>
        <v/>
      </c>
      <c r="K43" s="34">
        <f t="shared" si="16"/>
        <v>0</v>
      </c>
      <c r="L43" s="42"/>
      <c r="M43" s="35">
        <f t="shared" si="17"/>
        <v>0</v>
      </c>
      <c r="N43" s="41">
        <v>0</v>
      </c>
      <c r="O43" s="35">
        <f t="shared" si="18"/>
        <v>0</v>
      </c>
      <c r="P43" s="36">
        <f t="shared" si="20"/>
        <v>0</v>
      </c>
      <c r="Q43" s="35">
        <f t="shared" si="21"/>
        <v>0</v>
      </c>
    </row>
    <row r="44" spans="2:17" x14ac:dyDescent="0.35">
      <c r="B44" s="37" t="str">
        <f>IFERROR(VLOOKUP(C44, Input2!$C$206:$G$207, 3, FALSE), "")</f>
        <v/>
      </c>
      <c r="C44" s="38"/>
      <c r="D44" s="39"/>
      <c r="E44" s="32" t="str">
        <f>IFERROR(VLOOKUP(C44, Input2!$C$204:$G$2000, 2, FALSE), "")</f>
        <v/>
      </c>
      <c r="F44" s="41">
        <v>0</v>
      </c>
      <c r="G44" s="35">
        <f t="shared" si="15"/>
        <v>0</v>
      </c>
      <c r="H44" s="48" t="str">
        <f>IFERROR(VLOOKUP(C44, Input2!$C$204:$G$2000, 4, FALSE), "")</f>
        <v/>
      </c>
      <c r="I44" s="35" t="str">
        <f t="shared" si="19"/>
        <v/>
      </c>
      <c r="J44" s="41" t="str">
        <f>IFERROR(VLOOKUP(C44, Input2!$C$204:$G$2000, 5, FALSE), "")</f>
        <v/>
      </c>
      <c r="K44" s="34">
        <f t="shared" si="16"/>
        <v>0</v>
      </c>
      <c r="L44" s="42"/>
      <c r="M44" s="35">
        <f t="shared" si="17"/>
        <v>0</v>
      </c>
      <c r="N44" s="41">
        <v>0</v>
      </c>
      <c r="O44" s="35">
        <f t="shared" si="18"/>
        <v>0</v>
      </c>
      <c r="P44" s="36">
        <f t="shared" si="20"/>
        <v>0</v>
      </c>
      <c r="Q44" s="35">
        <f t="shared" si="21"/>
        <v>0</v>
      </c>
    </row>
    <row r="45" spans="2:17" x14ac:dyDescent="0.35">
      <c r="B45" s="37" t="str">
        <f>IFERROR(VLOOKUP(C45, Input2!$C$206:$G$207, 3, FALSE), "")</f>
        <v/>
      </c>
      <c r="C45" s="38"/>
      <c r="D45" s="39"/>
      <c r="E45" s="32" t="str">
        <f>IFERROR(VLOOKUP(C45, Input2!$C$204:$G$2000, 2, FALSE), "")</f>
        <v/>
      </c>
      <c r="F45" s="41">
        <v>0</v>
      </c>
      <c r="G45" s="35">
        <f t="shared" si="15"/>
        <v>0</v>
      </c>
      <c r="H45" s="48" t="str">
        <f>IFERROR(VLOOKUP(C45, Input2!$C$204:$G$2000, 4, FALSE), "")</f>
        <v/>
      </c>
      <c r="I45" s="35" t="str">
        <f t="shared" si="19"/>
        <v/>
      </c>
      <c r="J45" s="41" t="str">
        <f>IFERROR(VLOOKUP(C45, Input2!$C$204:$G$2000, 5, FALSE), "")</f>
        <v/>
      </c>
      <c r="K45" s="34">
        <f t="shared" si="16"/>
        <v>0</v>
      </c>
      <c r="L45" s="42"/>
      <c r="M45" s="35">
        <f t="shared" si="17"/>
        <v>0</v>
      </c>
      <c r="N45" s="41">
        <v>0</v>
      </c>
      <c r="O45" s="35">
        <f t="shared" si="18"/>
        <v>0</v>
      </c>
      <c r="P45" s="36">
        <f t="shared" si="20"/>
        <v>0</v>
      </c>
      <c r="Q45" s="35">
        <f t="shared" si="21"/>
        <v>0</v>
      </c>
    </row>
    <row r="46" spans="2:17" x14ac:dyDescent="0.35">
      <c r="B46" s="37" t="str">
        <f>IFERROR(VLOOKUP(C46, Input2!$C$206:$G$207, 3, FALSE), "")</f>
        <v/>
      </c>
      <c r="C46" s="38"/>
      <c r="D46" s="39"/>
      <c r="E46" s="32" t="str">
        <f>IFERROR(VLOOKUP(C46, Input2!$C$204:$G$2000, 2, FALSE), "")</f>
        <v/>
      </c>
      <c r="F46" s="41">
        <v>0</v>
      </c>
      <c r="G46" s="35">
        <f t="shared" si="15"/>
        <v>0</v>
      </c>
      <c r="H46" s="48" t="str">
        <f>IFERROR(VLOOKUP(C46, Input2!$C$204:$G$2000, 4, FALSE), "")</f>
        <v/>
      </c>
      <c r="I46" s="35" t="str">
        <f t="shared" si="19"/>
        <v/>
      </c>
      <c r="J46" s="41" t="str">
        <f>IFERROR(VLOOKUP(C46, Input2!$C$204:$G$2000, 5, FALSE), "")</f>
        <v/>
      </c>
      <c r="K46" s="34">
        <f t="shared" si="16"/>
        <v>0</v>
      </c>
      <c r="L46" s="42"/>
      <c r="M46" s="35">
        <f t="shared" si="17"/>
        <v>0</v>
      </c>
      <c r="N46" s="41">
        <v>0</v>
      </c>
      <c r="O46" s="35">
        <f t="shared" si="18"/>
        <v>0</v>
      </c>
      <c r="P46" s="36">
        <f t="shared" si="20"/>
        <v>0</v>
      </c>
      <c r="Q46" s="35">
        <f t="shared" si="21"/>
        <v>0</v>
      </c>
    </row>
    <row r="47" spans="2:17" x14ac:dyDescent="0.35">
      <c r="B47" s="37"/>
      <c r="C47" s="30" t="s">
        <v>21423</v>
      </c>
      <c r="D47" s="39"/>
      <c r="E47" s="32"/>
      <c r="F47" s="41">
        <v>0</v>
      </c>
      <c r="G47" s="35">
        <f t="shared" si="15"/>
        <v>0</v>
      </c>
      <c r="H47" s="48"/>
      <c r="I47" s="35">
        <f>$D47*H47</f>
        <v>0</v>
      </c>
      <c r="J47" s="41"/>
      <c r="K47" s="34"/>
      <c r="L47" s="42"/>
      <c r="M47" s="35">
        <f t="shared" si="17"/>
        <v>0</v>
      </c>
      <c r="N47" s="41">
        <v>0</v>
      </c>
      <c r="O47" s="35">
        <f t="shared" si="18"/>
        <v>0</v>
      </c>
      <c r="P47" s="36">
        <f t="shared" ref="P47:P52" si="22">F47+(H47*(1+$I$4))+IFERROR(L47/J47,0)+N47</f>
        <v>0</v>
      </c>
      <c r="Q47" s="35">
        <f t="shared" ref="Q47:Q58" si="23">SUM(O47,M47,I47*(1+$I$4),G47)</f>
        <v>0</v>
      </c>
    </row>
    <row r="48" spans="2:17" x14ac:dyDescent="0.35">
      <c r="B48" s="37"/>
      <c r="C48" s="38"/>
      <c r="D48" s="39"/>
      <c r="E48" s="32" t="s">
        <v>24</v>
      </c>
      <c r="F48" s="41">
        <v>0</v>
      </c>
      <c r="G48" s="35">
        <f t="shared" si="15"/>
        <v>0</v>
      </c>
      <c r="H48" s="48"/>
      <c r="I48" s="35">
        <f>$D48*H48</f>
        <v>0</v>
      </c>
      <c r="J48" s="41"/>
      <c r="K48" s="34"/>
      <c r="L48" s="42" t="str">
        <f>IFERROR(VLOOKUP(C48, Input2!K26:M31, 2, FALSE), "")</f>
        <v/>
      </c>
      <c r="M48" s="35">
        <f t="shared" si="17"/>
        <v>0</v>
      </c>
      <c r="N48" s="41">
        <v>0</v>
      </c>
      <c r="O48" s="35">
        <f t="shared" si="18"/>
        <v>0</v>
      </c>
      <c r="P48" s="36">
        <f t="shared" si="22"/>
        <v>0</v>
      </c>
      <c r="Q48" s="35">
        <f t="shared" si="23"/>
        <v>0</v>
      </c>
    </row>
    <row r="49" spans="2:17" x14ac:dyDescent="0.35">
      <c r="B49" s="37"/>
      <c r="C49" s="38"/>
      <c r="D49" s="39"/>
      <c r="E49" s="32" t="s">
        <v>24</v>
      </c>
      <c r="F49" s="41">
        <v>0</v>
      </c>
      <c r="G49" s="35">
        <f t="shared" si="15"/>
        <v>0</v>
      </c>
      <c r="H49" s="48"/>
      <c r="I49" s="35">
        <f>$D49*H49</f>
        <v>0</v>
      </c>
      <c r="J49" s="41"/>
      <c r="K49" s="34"/>
      <c r="L49" s="42" t="str">
        <f>IFERROR(VLOOKUP(C49, Input2!K27:M32, 2, FALSE), "")</f>
        <v/>
      </c>
      <c r="M49" s="35">
        <f t="shared" si="17"/>
        <v>0</v>
      </c>
      <c r="N49" s="41">
        <v>0</v>
      </c>
      <c r="O49" s="35">
        <f t="shared" si="18"/>
        <v>0</v>
      </c>
      <c r="P49" s="36">
        <f t="shared" si="22"/>
        <v>0</v>
      </c>
      <c r="Q49" s="35">
        <f t="shared" si="23"/>
        <v>0</v>
      </c>
    </row>
    <row r="50" spans="2:17" x14ac:dyDescent="0.35">
      <c r="B50" s="37"/>
      <c r="C50" s="38"/>
      <c r="D50" s="39"/>
      <c r="E50" s="32" t="s">
        <v>24</v>
      </c>
      <c r="F50" s="41">
        <v>0</v>
      </c>
      <c r="G50" s="35">
        <f t="shared" si="15"/>
        <v>0</v>
      </c>
      <c r="H50" s="48"/>
      <c r="I50" s="35">
        <f>$D50*H50</f>
        <v>0</v>
      </c>
      <c r="J50" s="41"/>
      <c r="K50" s="34"/>
      <c r="L50" s="42" t="str">
        <f>IFERROR(VLOOKUP(C50, Input2!K28:M33, 2, FALSE), "")</f>
        <v/>
      </c>
      <c r="M50" s="35">
        <f t="shared" si="17"/>
        <v>0</v>
      </c>
      <c r="N50" s="41">
        <v>0</v>
      </c>
      <c r="O50" s="35">
        <f t="shared" si="18"/>
        <v>0</v>
      </c>
      <c r="P50" s="36">
        <f t="shared" si="22"/>
        <v>0</v>
      </c>
      <c r="Q50" s="35">
        <f t="shared" si="23"/>
        <v>0</v>
      </c>
    </row>
    <row r="51" spans="2:17" x14ac:dyDescent="0.35">
      <c r="B51" s="37"/>
      <c r="C51" s="38"/>
      <c r="D51" s="39"/>
      <c r="E51" s="32" t="s">
        <v>24</v>
      </c>
      <c r="F51" s="41">
        <v>0</v>
      </c>
      <c r="G51" s="35">
        <f t="shared" si="15"/>
        <v>0</v>
      </c>
      <c r="H51" s="48"/>
      <c r="I51" s="35">
        <f>$D51*H51</f>
        <v>0</v>
      </c>
      <c r="J51" s="41"/>
      <c r="K51" s="34"/>
      <c r="L51" s="42" t="str">
        <f>IFERROR(VLOOKUP(C51, Input2!K29:M34, 2, FALSE), "")</f>
        <v/>
      </c>
      <c r="M51" s="35">
        <f t="shared" si="17"/>
        <v>0</v>
      </c>
      <c r="N51" s="41">
        <v>0</v>
      </c>
      <c r="O51" s="35">
        <f t="shared" si="18"/>
        <v>0</v>
      </c>
      <c r="P51" s="36">
        <f t="shared" si="22"/>
        <v>0</v>
      </c>
      <c r="Q51" s="35">
        <f t="shared" si="23"/>
        <v>0</v>
      </c>
    </row>
    <row r="52" spans="2:17" x14ac:dyDescent="0.35">
      <c r="B52" s="37"/>
      <c r="C52" s="30" t="s">
        <v>21422</v>
      </c>
      <c r="D52" s="39"/>
      <c r="E52" s="32"/>
      <c r="F52" s="41"/>
      <c r="G52" s="35"/>
      <c r="H52" s="48"/>
      <c r="I52" s="35"/>
      <c r="J52" s="41"/>
      <c r="K52" s="34"/>
      <c r="L52" s="42"/>
      <c r="M52" s="35"/>
      <c r="N52" s="41">
        <v>0</v>
      </c>
      <c r="O52" s="35">
        <f t="shared" si="18"/>
        <v>0</v>
      </c>
      <c r="P52" s="36">
        <f t="shared" si="22"/>
        <v>0</v>
      </c>
      <c r="Q52" s="35">
        <f t="shared" si="23"/>
        <v>0</v>
      </c>
    </row>
    <row r="53" spans="2:17" x14ac:dyDescent="0.35">
      <c r="B53" s="37"/>
      <c r="C53" s="38"/>
      <c r="D53" s="39"/>
      <c r="E53" s="32" t="s">
        <v>24</v>
      </c>
      <c r="F53" s="41"/>
      <c r="G53" s="35"/>
      <c r="H53" s="48"/>
      <c r="I53" s="35"/>
      <c r="J53" s="41"/>
      <c r="K53" s="34"/>
      <c r="L53" s="42"/>
      <c r="M53" s="35"/>
      <c r="N53" s="41">
        <f>IFERROR(VLOOKUP(C53, Input2!N25:O30, 2, FALSE), "")</f>
        <v>0</v>
      </c>
      <c r="O53" s="35" t="str">
        <f>IF(AND(ISNUMBER(D53), ISNUMBER(N53)), D53 * N53, "")</f>
        <v/>
      </c>
      <c r="P53" s="36">
        <f>IF(ISNUMBER(F53), F53, 0) + IF(ISNUMBER(H53), H53 * (1 + $I$4), 0) + IF(AND(ISNUMBER(L53), ISNUMBER(J53), J53&lt;&gt;0), L53 / J53, 0) + IF(ISNUMBER(N53), N53, 0)</f>
        <v>0</v>
      </c>
      <c r="Q53" s="35">
        <f t="shared" si="23"/>
        <v>0</v>
      </c>
    </row>
    <row r="54" spans="2:17" x14ac:dyDescent="0.35">
      <c r="B54" s="37"/>
      <c r="C54" s="38"/>
      <c r="D54" s="39"/>
      <c r="E54" s="32" t="s">
        <v>24</v>
      </c>
      <c r="F54" s="41"/>
      <c r="G54" s="35"/>
      <c r="H54" s="48"/>
      <c r="I54" s="35"/>
      <c r="J54" s="41"/>
      <c r="K54" s="34"/>
      <c r="L54" s="42"/>
      <c r="M54" s="35"/>
      <c r="N54" s="41">
        <f>IFERROR(VLOOKUP(C54, Input2!N26:O31, 2, FALSE), "")</f>
        <v>0</v>
      </c>
      <c r="O54" s="35" t="str">
        <f>IF(AND(ISNUMBER(D54), ISNUMBER(N54)), D54 * N54, "")</f>
        <v/>
      </c>
      <c r="P54" s="36">
        <f>IF(ISNUMBER(F54), F54, 0) + IF(ISNUMBER(H54), H54 * (1 + $I$4), 0) + IF(AND(ISNUMBER(L54), ISNUMBER(J54), J54&lt;&gt;0), L54 / J54, 0) + IF(ISNUMBER(N54), N54, 0)</f>
        <v>0</v>
      </c>
      <c r="Q54" s="35">
        <f t="shared" si="23"/>
        <v>0</v>
      </c>
    </row>
    <row r="55" spans="2:17" x14ac:dyDescent="0.35">
      <c r="B55" s="37"/>
      <c r="C55" s="38"/>
      <c r="D55" s="39"/>
      <c r="E55" s="32" t="s">
        <v>24</v>
      </c>
      <c r="F55" s="41"/>
      <c r="G55" s="35"/>
      <c r="H55" s="48"/>
      <c r="I55" s="35"/>
      <c r="J55" s="41"/>
      <c r="K55" s="34"/>
      <c r="L55" s="42"/>
      <c r="M55" s="35"/>
      <c r="N55" s="41">
        <f>IFERROR(VLOOKUP(C55, Input2!N27:O32, 2, FALSE), "")</f>
        <v>0</v>
      </c>
      <c r="O55" s="35" t="str">
        <f>IF(AND(ISNUMBER(D55), ISNUMBER(N55)), D55 * N55, "")</f>
        <v/>
      </c>
      <c r="P55" s="36">
        <f>IF(ISNUMBER(F55), F55, 0) + IF(ISNUMBER(H55), H55 * (1 + $I$4), 0) + IF(AND(ISNUMBER(L55), ISNUMBER(J55), J55&lt;&gt;0), L55 / J55, 0) + IF(ISNUMBER(N55), N55, 0)</f>
        <v>0</v>
      </c>
      <c r="Q55" s="35">
        <f t="shared" si="23"/>
        <v>0</v>
      </c>
    </row>
    <row r="56" spans="2:17" x14ac:dyDescent="0.35">
      <c r="B56" s="37"/>
      <c r="C56" s="38"/>
      <c r="D56" s="39"/>
      <c r="E56" s="32" t="s">
        <v>24</v>
      </c>
      <c r="F56" s="41"/>
      <c r="G56" s="35"/>
      <c r="H56" s="48"/>
      <c r="I56" s="35"/>
      <c r="J56" s="41"/>
      <c r="K56" s="34"/>
      <c r="L56" s="42"/>
      <c r="M56" s="35"/>
      <c r="N56" s="41">
        <f>IFERROR(VLOOKUP(C56, Input2!N28:O33, 2, FALSE), "")</f>
        <v>0</v>
      </c>
      <c r="O56" s="35" t="str">
        <f>IF(AND(ISNUMBER(D56), ISNUMBER(N56)), D56 * N56, "")</f>
        <v/>
      </c>
      <c r="P56" s="36">
        <f>IF(ISNUMBER(F56), F56, 0) + IF(ISNUMBER(H56), H56 * (1 + $I$4), 0) + IF(AND(ISNUMBER(L56), ISNUMBER(J56), J56&lt;&gt;0), L56 / J56, 0) + IF(ISNUMBER(N56), N56, 0)</f>
        <v>0</v>
      </c>
      <c r="Q56" s="35">
        <f t="shared" si="23"/>
        <v>0</v>
      </c>
    </row>
    <row r="57" spans="2:17" x14ac:dyDescent="0.35">
      <c r="B57" s="37"/>
      <c r="C57" s="38"/>
      <c r="D57" s="39"/>
      <c r="E57" s="32"/>
      <c r="F57" s="41"/>
      <c r="G57" s="35"/>
      <c r="H57" s="48"/>
      <c r="I57" s="35"/>
      <c r="J57" s="41"/>
      <c r="K57" s="34"/>
      <c r="L57" s="42"/>
      <c r="M57" s="35"/>
      <c r="N57" s="41">
        <v>0</v>
      </c>
      <c r="O57" s="35">
        <f>$D57*N57</f>
        <v>0</v>
      </c>
      <c r="P57" s="36">
        <f>F57+(H57*(1+$I$4))+IFERROR(L57/J57,0)+N57</f>
        <v>0</v>
      </c>
      <c r="Q57" s="35">
        <f t="shared" si="23"/>
        <v>0</v>
      </c>
    </row>
    <row r="58" spans="2:17" x14ac:dyDescent="0.35">
      <c r="B58" s="37"/>
      <c r="C58" s="38"/>
      <c r="D58" s="39"/>
      <c r="E58" s="32"/>
      <c r="F58" s="41"/>
      <c r="G58" s="35"/>
      <c r="H58" s="48"/>
      <c r="I58" s="35"/>
      <c r="J58" s="41"/>
      <c r="K58" s="34"/>
      <c r="L58" s="42"/>
      <c r="M58" s="35"/>
      <c r="N58" s="41">
        <v>0</v>
      </c>
      <c r="O58" s="35">
        <f>$D58*N58</f>
        <v>0</v>
      </c>
      <c r="P58" s="36">
        <f>F58+(H58*(1+$I$4))+IFERROR(L58/J58,0)+N58</f>
        <v>0</v>
      </c>
      <c r="Q58" s="35">
        <f t="shared" si="23"/>
        <v>0</v>
      </c>
    </row>
    <row r="59" spans="2:17" ht="15.5" x14ac:dyDescent="0.35">
      <c r="B59" s="37"/>
      <c r="C59" s="105" t="s">
        <v>21431</v>
      </c>
      <c r="D59" s="39"/>
      <c r="E59" s="32"/>
      <c r="F59" s="41"/>
      <c r="G59" s="35"/>
      <c r="H59" s="34"/>
      <c r="I59" s="35"/>
      <c r="J59" s="41"/>
      <c r="K59" s="34"/>
      <c r="L59" s="34"/>
      <c r="M59" s="35"/>
      <c r="N59" s="41"/>
      <c r="O59" s="35"/>
      <c r="P59" s="31"/>
      <c r="Q59" s="35"/>
    </row>
    <row r="60" spans="2:17" x14ac:dyDescent="0.35">
      <c r="B60" s="37" t="str">
        <f>IFERROR(VLOOKUP(C60, Input2!$C$206:$G$207, 3, FALSE), "")</f>
        <v/>
      </c>
      <c r="C60" s="30" t="s">
        <v>21424</v>
      </c>
      <c r="D60" s="39"/>
      <c r="E60" s="32"/>
      <c r="F60" s="41">
        <v>0</v>
      </c>
      <c r="G60" s="35">
        <f t="shared" ref="G60:G73" si="24">$D60*F60</f>
        <v>0</v>
      </c>
      <c r="H60" s="48"/>
      <c r="I60" s="35">
        <f>$D60*H60</f>
        <v>0</v>
      </c>
      <c r="J60" s="41"/>
      <c r="K60" s="34">
        <f t="shared" ref="K60:K68" si="25">IFERROR($D60/$J60,0)</f>
        <v>0</v>
      </c>
      <c r="L60" s="42"/>
      <c r="M60" s="35">
        <f t="shared" ref="M60:M73" si="26">IFERROR(K60*L60,0)</f>
        <v>0</v>
      </c>
      <c r="N60" s="41">
        <v>0</v>
      </c>
      <c r="O60" s="35">
        <f t="shared" ref="O60:O74" si="27">$D60*N60</f>
        <v>0</v>
      </c>
      <c r="P60" s="36">
        <f>F60+(H60*(1+$I$4))+IFERROR(L60/J60,0)+N60</f>
        <v>0</v>
      </c>
      <c r="Q60" s="35">
        <f>SUM(O60,M60,I60*(1+$I$4),G60)</f>
        <v>0</v>
      </c>
    </row>
    <row r="61" spans="2:17" x14ac:dyDescent="0.35">
      <c r="B61" s="37" t="str">
        <f>IFERROR(VLOOKUP(C61, Input2!$C$206:$G$207, 3, FALSE), "")</f>
        <v/>
      </c>
      <c r="C61" s="38"/>
      <c r="D61" s="39"/>
      <c r="E61" s="32" t="str">
        <f>IFERROR(VLOOKUP(C61, Input2!$C$204:$G$2000, 2, FALSE), "")</f>
        <v/>
      </c>
      <c r="F61" s="41">
        <v>0</v>
      </c>
      <c r="G61" s="35">
        <f t="shared" si="24"/>
        <v>0</v>
      </c>
      <c r="H61" s="48" t="str">
        <f>IFERROR(VLOOKUP(C61, Input2!$C$204:$G$2000, 4, FALSE), "")</f>
        <v/>
      </c>
      <c r="I61" s="35" t="str">
        <f t="shared" ref="I61:I68" si="28">IF(AND(ISNUMBER(D61), ISNUMBER(H61)), D61 * H61, "")</f>
        <v/>
      </c>
      <c r="J61" s="41" t="str">
        <f>IFERROR(VLOOKUP(C61, Input2!$C$204:$G$2000, 5, FALSE), "")</f>
        <v/>
      </c>
      <c r="K61" s="34">
        <f t="shared" si="25"/>
        <v>0</v>
      </c>
      <c r="L61" s="42"/>
      <c r="M61" s="35">
        <f t="shared" si="26"/>
        <v>0</v>
      </c>
      <c r="N61" s="41">
        <v>0</v>
      </c>
      <c r="O61" s="35">
        <f t="shared" si="27"/>
        <v>0</v>
      </c>
      <c r="P61" s="36">
        <f t="shared" ref="P61:P68" si="29">IF(ISNUMBER(F61), F61, 0) + IF(ISNUMBER(H61), H61 * (1 + $I$4), 0) + IF(AND(ISNUMBER(L61), ISNUMBER(J61), J61 &lt;&gt; 0), L61 / J61, 0) + IF(ISNUMBER(N61), N61, 0)</f>
        <v>0</v>
      </c>
      <c r="Q61" s="35">
        <f t="shared" ref="Q61:Q68" si="30">SUM(IF(ISNUMBER(O61), O61, 0), IF(ISNUMBER(M61), M61, 0), IF(ISNUMBER(I61), I61 * (1 + $I$4), 0), IF(ISNUMBER(G61), G61, 0))</f>
        <v>0</v>
      </c>
    </row>
    <row r="62" spans="2:17" x14ac:dyDescent="0.35">
      <c r="B62" s="37" t="str">
        <f>IFERROR(VLOOKUP(C62, Input2!$C$206:$G$207, 3, FALSE), "")</f>
        <v/>
      </c>
      <c r="C62" s="38"/>
      <c r="D62" s="39"/>
      <c r="E62" s="32" t="str">
        <f>IFERROR(VLOOKUP(C62, Input2!$C$204:$G$2000, 2, FALSE), "")</f>
        <v/>
      </c>
      <c r="F62" s="41">
        <v>0</v>
      </c>
      <c r="G62" s="35">
        <f t="shared" si="24"/>
        <v>0</v>
      </c>
      <c r="H62" s="48" t="str">
        <f>IFERROR(VLOOKUP(C62, Input2!$C$204:$G$2000, 4, FALSE), "")</f>
        <v/>
      </c>
      <c r="I62" s="35" t="str">
        <f t="shared" si="28"/>
        <v/>
      </c>
      <c r="J62" s="41" t="str">
        <f>IFERROR(VLOOKUP(C62, Input2!$C$204:$G$2000, 5, FALSE), "")</f>
        <v/>
      </c>
      <c r="K62" s="34">
        <f t="shared" si="25"/>
        <v>0</v>
      </c>
      <c r="L62" s="42"/>
      <c r="M62" s="35">
        <f t="shared" si="26"/>
        <v>0</v>
      </c>
      <c r="N62" s="41">
        <v>0</v>
      </c>
      <c r="O62" s="35">
        <f t="shared" si="27"/>
        <v>0</v>
      </c>
      <c r="P62" s="36">
        <f t="shared" si="29"/>
        <v>0</v>
      </c>
      <c r="Q62" s="35">
        <f t="shared" si="30"/>
        <v>0</v>
      </c>
    </row>
    <row r="63" spans="2:17" x14ac:dyDescent="0.35">
      <c r="B63" s="37" t="str">
        <f>IFERROR(VLOOKUP(C63, Input2!$C$206:$G$207, 3, FALSE), "")</f>
        <v/>
      </c>
      <c r="C63" s="38"/>
      <c r="D63" s="39"/>
      <c r="E63" s="32" t="str">
        <f>IFERROR(VLOOKUP(C63, Input2!$C$204:$G$2000, 2, FALSE), "")</f>
        <v/>
      </c>
      <c r="F63" s="41">
        <v>0</v>
      </c>
      <c r="G63" s="35">
        <f t="shared" si="24"/>
        <v>0</v>
      </c>
      <c r="H63" s="48" t="str">
        <f>IFERROR(VLOOKUP(C63, Input2!$C$204:$G$2000, 4, FALSE), "")</f>
        <v/>
      </c>
      <c r="I63" s="35" t="str">
        <f t="shared" si="28"/>
        <v/>
      </c>
      <c r="J63" s="41" t="str">
        <f>IFERROR(VLOOKUP(C63, Input2!$C$204:$G$2000, 5, FALSE), "")</f>
        <v/>
      </c>
      <c r="K63" s="34">
        <f t="shared" si="25"/>
        <v>0</v>
      </c>
      <c r="L63" s="42"/>
      <c r="M63" s="35">
        <f t="shared" si="26"/>
        <v>0</v>
      </c>
      <c r="N63" s="41">
        <v>0</v>
      </c>
      <c r="O63" s="35">
        <f t="shared" si="27"/>
        <v>0</v>
      </c>
      <c r="P63" s="36">
        <f t="shared" si="29"/>
        <v>0</v>
      </c>
      <c r="Q63" s="35">
        <f t="shared" si="30"/>
        <v>0</v>
      </c>
    </row>
    <row r="64" spans="2:17" x14ac:dyDescent="0.35">
      <c r="B64" s="37" t="str">
        <f>IFERROR(VLOOKUP(C64, Input2!$C$206:$G$207, 3, FALSE), "")</f>
        <v/>
      </c>
      <c r="C64" s="38"/>
      <c r="D64" s="39"/>
      <c r="E64" s="32" t="str">
        <f>IFERROR(VLOOKUP(C64, Input2!$C$204:$G$2000, 2, FALSE), "")</f>
        <v/>
      </c>
      <c r="F64" s="41">
        <v>0</v>
      </c>
      <c r="G64" s="35">
        <f t="shared" si="24"/>
        <v>0</v>
      </c>
      <c r="H64" s="48" t="str">
        <f>IFERROR(VLOOKUP(C64, Input2!$C$204:$G$2000, 4, FALSE), "")</f>
        <v/>
      </c>
      <c r="I64" s="35" t="str">
        <f t="shared" si="28"/>
        <v/>
      </c>
      <c r="J64" s="41" t="str">
        <f>IFERROR(VLOOKUP(C64, Input2!$C$204:$G$2000, 5, FALSE), "")</f>
        <v/>
      </c>
      <c r="K64" s="34">
        <f t="shared" si="25"/>
        <v>0</v>
      </c>
      <c r="L64" s="42"/>
      <c r="M64" s="35">
        <f t="shared" si="26"/>
        <v>0</v>
      </c>
      <c r="N64" s="41">
        <v>0</v>
      </c>
      <c r="O64" s="35">
        <f t="shared" si="27"/>
        <v>0</v>
      </c>
      <c r="P64" s="36">
        <f t="shared" si="29"/>
        <v>0</v>
      </c>
      <c r="Q64" s="35">
        <f t="shared" si="30"/>
        <v>0</v>
      </c>
    </row>
    <row r="65" spans="2:17" x14ac:dyDescent="0.35">
      <c r="B65" s="37" t="str">
        <f>IFERROR(VLOOKUP(C65, Input2!$C$206:$G$207, 3, FALSE), "")</f>
        <v/>
      </c>
      <c r="C65" s="38"/>
      <c r="D65" s="39"/>
      <c r="E65" s="32" t="str">
        <f>IFERROR(VLOOKUP(C65, Input2!$C$204:$G$2000, 2, FALSE), "")</f>
        <v/>
      </c>
      <c r="F65" s="41">
        <v>0</v>
      </c>
      <c r="G65" s="35">
        <f t="shared" si="24"/>
        <v>0</v>
      </c>
      <c r="H65" s="48" t="str">
        <f>IFERROR(VLOOKUP(C65, Input2!$C$204:$G$2000, 4, FALSE), "")</f>
        <v/>
      </c>
      <c r="I65" s="35" t="str">
        <f t="shared" si="28"/>
        <v/>
      </c>
      <c r="J65" s="41" t="str">
        <f>IFERROR(VLOOKUP(C65, Input2!$C$204:$G$2000, 5, FALSE), "")</f>
        <v/>
      </c>
      <c r="K65" s="34">
        <f t="shared" si="25"/>
        <v>0</v>
      </c>
      <c r="L65" s="42"/>
      <c r="M65" s="35">
        <f t="shared" si="26"/>
        <v>0</v>
      </c>
      <c r="N65" s="41">
        <v>0</v>
      </c>
      <c r="O65" s="35">
        <f t="shared" si="27"/>
        <v>0</v>
      </c>
      <c r="P65" s="36">
        <f t="shared" si="29"/>
        <v>0</v>
      </c>
      <c r="Q65" s="35">
        <f t="shared" si="30"/>
        <v>0</v>
      </c>
    </row>
    <row r="66" spans="2:17" x14ac:dyDescent="0.35">
      <c r="B66" s="37" t="str">
        <f>IFERROR(VLOOKUP(C66, Input2!$C$206:$G$207, 3, FALSE), "")</f>
        <v/>
      </c>
      <c r="C66" s="38"/>
      <c r="D66" s="39"/>
      <c r="E66" s="32" t="str">
        <f>IFERROR(VLOOKUP(C66, Input2!$C$204:$G$2000, 2, FALSE), "")</f>
        <v/>
      </c>
      <c r="F66" s="41">
        <v>0</v>
      </c>
      <c r="G66" s="35">
        <f t="shared" si="24"/>
        <v>0</v>
      </c>
      <c r="H66" s="48" t="str">
        <f>IFERROR(VLOOKUP(C66, Input2!$C$204:$G$2000, 4, FALSE), "")</f>
        <v/>
      </c>
      <c r="I66" s="35" t="str">
        <f t="shared" si="28"/>
        <v/>
      </c>
      <c r="J66" s="41" t="str">
        <f>IFERROR(VLOOKUP(C66, Input2!$C$204:$G$2000, 5, FALSE), "")</f>
        <v/>
      </c>
      <c r="K66" s="34">
        <f t="shared" si="25"/>
        <v>0</v>
      </c>
      <c r="L66" s="42"/>
      <c r="M66" s="35">
        <f t="shared" si="26"/>
        <v>0</v>
      </c>
      <c r="N66" s="41">
        <v>0</v>
      </c>
      <c r="O66" s="35">
        <f t="shared" si="27"/>
        <v>0</v>
      </c>
      <c r="P66" s="36">
        <f t="shared" si="29"/>
        <v>0</v>
      </c>
      <c r="Q66" s="35">
        <f t="shared" si="30"/>
        <v>0</v>
      </c>
    </row>
    <row r="67" spans="2:17" x14ac:dyDescent="0.35">
      <c r="B67" s="37" t="str">
        <f>IFERROR(VLOOKUP(C67, Input2!$C$206:$G$207, 3, FALSE), "")</f>
        <v/>
      </c>
      <c r="C67" s="38"/>
      <c r="D67" s="39"/>
      <c r="E67" s="32" t="str">
        <f>IFERROR(VLOOKUP(C67, Input2!$C$204:$G$2000, 2, FALSE), "")</f>
        <v/>
      </c>
      <c r="F67" s="41">
        <v>0</v>
      </c>
      <c r="G67" s="35">
        <f t="shared" si="24"/>
        <v>0</v>
      </c>
      <c r="H67" s="48" t="str">
        <f>IFERROR(VLOOKUP(C67, Input2!$C$204:$G$2000, 4, FALSE), "")</f>
        <v/>
      </c>
      <c r="I67" s="35" t="str">
        <f t="shared" si="28"/>
        <v/>
      </c>
      <c r="J67" s="41" t="str">
        <f>IFERROR(VLOOKUP(C67, Input2!$C$204:$G$2000, 5, FALSE), "")</f>
        <v/>
      </c>
      <c r="K67" s="34">
        <f t="shared" si="25"/>
        <v>0</v>
      </c>
      <c r="L67" s="42"/>
      <c r="M67" s="35">
        <f t="shared" si="26"/>
        <v>0</v>
      </c>
      <c r="N67" s="41">
        <v>0</v>
      </c>
      <c r="O67" s="35">
        <f t="shared" si="27"/>
        <v>0</v>
      </c>
      <c r="P67" s="36">
        <f t="shared" si="29"/>
        <v>0</v>
      </c>
      <c r="Q67" s="35">
        <f t="shared" si="30"/>
        <v>0</v>
      </c>
    </row>
    <row r="68" spans="2:17" x14ac:dyDescent="0.35">
      <c r="B68" s="37"/>
      <c r="C68" s="38"/>
      <c r="D68" s="39"/>
      <c r="E68" s="32" t="str">
        <f>IFERROR(VLOOKUP(C68, Input2!$C$204:$G$2000, 2, FALSE), "")</f>
        <v/>
      </c>
      <c r="F68" s="41">
        <v>0</v>
      </c>
      <c r="G68" s="35">
        <f t="shared" si="24"/>
        <v>0</v>
      </c>
      <c r="H68" s="48" t="str">
        <f>IFERROR(VLOOKUP(C68, Input2!$C$204:$G$2000, 4, FALSE), "")</f>
        <v/>
      </c>
      <c r="I68" s="35" t="str">
        <f t="shared" si="28"/>
        <v/>
      </c>
      <c r="J68" s="41" t="str">
        <f>IFERROR(VLOOKUP(C68, Input2!$C$204:$G$2000, 5, FALSE), "")</f>
        <v/>
      </c>
      <c r="K68" s="34">
        <f t="shared" si="25"/>
        <v>0</v>
      </c>
      <c r="L68" s="42"/>
      <c r="M68" s="35">
        <f t="shared" si="26"/>
        <v>0</v>
      </c>
      <c r="N68" s="41">
        <v>0</v>
      </c>
      <c r="O68" s="35">
        <f t="shared" si="27"/>
        <v>0</v>
      </c>
      <c r="P68" s="36">
        <f t="shared" si="29"/>
        <v>0</v>
      </c>
      <c r="Q68" s="35">
        <f t="shared" si="30"/>
        <v>0</v>
      </c>
    </row>
    <row r="69" spans="2:17" x14ac:dyDescent="0.35">
      <c r="B69" s="37"/>
      <c r="C69" s="30" t="s">
        <v>21423</v>
      </c>
      <c r="D69" s="39"/>
      <c r="E69" s="32"/>
      <c r="F69" s="41">
        <v>0</v>
      </c>
      <c r="G69" s="35">
        <f t="shared" si="24"/>
        <v>0</v>
      </c>
      <c r="H69" s="48"/>
      <c r="I69" s="35">
        <f>$D69*H69</f>
        <v>0</v>
      </c>
      <c r="J69" s="41"/>
      <c r="K69" s="34"/>
      <c r="L69" s="42"/>
      <c r="M69" s="35">
        <f t="shared" si="26"/>
        <v>0</v>
      </c>
      <c r="N69" s="41">
        <v>0</v>
      </c>
      <c r="O69" s="35">
        <f t="shared" si="27"/>
        <v>0</v>
      </c>
      <c r="P69" s="36">
        <f t="shared" ref="P69:P74" si="31">F69+(H69*(1+$I$4))+IFERROR(L69/J69,0)+N69</f>
        <v>0</v>
      </c>
      <c r="Q69" s="35">
        <f t="shared" ref="Q69:Q80" si="32">SUM(O69,M69,I69*(1+$I$4),G69)</f>
        <v>0</v>
      </c>
    </row>
    <row r="70" spans="2:17" x14ac:dyDescent="0.35">
      <c r="B70" s="37"/>
      <c r="C70" s="38"/>
      <c r="D70" s="39"/>
      <c r="E70" s="32" t="s">
        <v>24</v>
      </c>
      <c r="F70" s="41">
        <v>0</v>
      </c>
      <c r="G70" s="35">
        <f t="shared" si="24"/>
        <v>0</v>
      </c>
      <c r="H70" s="48"/>
      <c r="I70" s="35">
        <f>$D70*H70</f>
        <v>0</v>
      </c>
      <c r="J70" s="41"/>
      <c r="K70" s="34"/>
      <c r="L70" s="42" t="str">
        <f>IFERROR(VLOOKUP(C70, Input2!K48:M53, 2, FALSE), "")</f>
        <v/>
      </c>
      <c r="M70" s="35">
        <f t="shared" si="26"/>
        <v>0</v>
      </c>
      <c r="N70" s="41">
        <v>0</v>
      </c>
      <c r="O70" s="35">
        <f t="shared" si="27"/>
        <v>0</v>
      </c>
      <c r="P70" s="36">
        <f t="shared" si="31"/>
        <v>0</v>
      </c>
      <c r="Q70" s="35">
        <f t="shared" si="32"/>
        <v>0</v>
      </c>
    </row>
    <row r="71" spans="2:17" x14ac:dyDescent="0.35">
      <c r="B71" s="37"/>
      <c r="C71" s="38"/>
      <c r="D71" s="39"/>
      <c r="E71" s="32" t="s">
        <v>24</v>
      </c>
      <c r="F71" s="41">
        <v>0</v>
      </c>
      <c r="G71" s="35">
        <f t="shared" si="24"/>
        <v>0</v>
      </c>
      <c r="H71" s="48"/>
      <c r="I71" s="35">
        <f>$D71*H71</f>
        <v>0</v>
      </c>
      <c r="J71" s="41"/>
      <c r="K71" s="34"/>
      <c r="L71" s="42" t="str">
        <f>IFERROR(VLOOKUP(C71, Input2!K49:M54, 2, FALSE), "")</f>
        <v/>
      </c>
      <c r="M71" s="35">
        <f t="shared" si="26"/>
        <v>0</v>
      </c>
      <c r="N71" s="41">
        <v>0</v>
      </c>
      <c r="O71" s="35">
        <f t="shared" si="27"/>
        <v>0</v>
      </c>
      <c r="P71" s="36">
        <f t="shared" si="31"/>
        <v>0</v>
      </c>
      <c r="Q71" s="35">
        <f t="shared" si="32"/>
        <v>0</v>
      </c>
    </row>
    <row r="72" spans="2:17" x14ac:dyDescent="0.35">
      <c r="B72" s="37"/>
      <c r="C72" s="38"/>
      <c r="D72" s="39"/>
      <c r="E72" s="32" t="s">
        <v>24</v>
      </c>
      <c r="F72" s="41">
        <v>0</v>
      </c>
      <c r="G72" s="35">
        <f t="shared" si="24"/>
        <v>0</v>
      </c>
      <c r="H72" s="48"/>
      <c r="I72" s="35">
        <f>$D72*H72</f>
        <v>0</v>
      </c>
      <c r="J72" s="41"/>
      <c r="K72" s="34"/>
      <c r="L72" s="42" t="str">
        <f>IFERROR(VLOOKUP(C72, Input2!K50:M55, 2, FALSE), "")</f>
        <v/>
      </c>
      <c r="M72" s="35">
        <f t="shared" si="26"/>
        <v>0</v>
      </c>
      <c r="N72" s="41">
        <v>0</v>
      </c>
      <c r="O72" s="35">
        <f t="shared" si="27"/>
        <v>0</v>
      </c>
      <c r="P72" s="36">
        <f t="shared" si="31"/>
        <v>0</v>
      </c>
      <c r="Q72" s="35">
        <f t="shared" si="32"/>
        <v>0</v>
      </c>
    </row>
    <row r="73" spans="2:17" x14ac:dyDescent="0.35">
      <c r="B73" s="37"/>
      <c r="C73" s="38"/>
      <c r="D73" s="39"/>
      <c r="E73" s="32" t="s">
        <v>24</v>
      </c>
      <c r="F73" s="41">
        <v>0</v>
      </c>
      <c r="G73" s="35">
        <f t="shared" si="24"/>
        <v>0</v>
      </c>
      <c r="H73" s="48"/>
      <c r="I73" s="35">
        <f>$D73*H73</f>
        <v>0</v>
      </c>
      <c r="J73" s="41"/>
      <c r="K73" s="34"/>
      <c r="L73" s="42" t="str">
        <f>IFERROR(VLOOKUP(C73, Input2!K51:M56, 2, FALSE), "")</f>
        <v/>
      </c>
      <c r="M73" s="35">
        <f t="shared" si="26"/>
        <v>0</v>
      </c>
      <c r="N73" s="41">
        <v>0</v>
      </c>
      <c r="O73" s="35">
        <f t="shared" si="27"/>
        <v>0</v>
      </c>
      <c r="P73" s="36">
        <f t="shared" si="31"/>
        <v>0</v>
      </c>
      <c r="Q73" s="35">
        <f t="shared" si="32"/>
        <v>0</v>
      </c>
    </row>
    <row r="74" spans="2:17" x14ac:dyDescent="0.35">
      <c r="B74" s="37"/>
      <c r="C74" s="30" t="s">
        <v>21422</v>
      </c>
      <c r="D74" s="39"/>
      <c r="E74" s="32"/>
      <c r="F74" s="41"/>
      <c r="G74" s="35"/>
      <c r="H74" s="48"/>
      <c r="I74" s="35"/>
      <c r="J74" s="41"/>
      <c r="K74" s="34"/>
      <c r="L74" s="42"/>
      <c r="M74" s="35"/>
      <c r="N74" s="41">
        <v>0</v>
      </c>
      <c r="O74" s="35">
        <f t="shared" si="27"/>
        <v>0</v>
      </c>
      <c r="P74" s="36">
        <f t="shared" si="31"/>
        <v>0</v>
      </c>
      <c r="Q74" s="35">
        <f t="shared" si="32"/>
        <v>0</v>
      </c>
    </row>
    <row r="75" spans="2:17" x14ac:dyDescent="0.35">
      <c r="B75" s="37"/>
      <c r="C75" s="38"/>
      <c r="D75" s="39"/>
      <c r="E75" s="32" t="s">
        <v>24</v>
      </c>
      <c r="F75" s="41"/>
      <c r="G75" s="35"/>
      <c r="H75" s="48"/>
      <c r="I75" s="35"/>
      <c r="J75" s="41"/>
      <c r="K75" s="34"/>
      <c r="L75" s="42"/>
      <c r="M75" s="35"/>
      <c r="N75" s="41">
        <f>IFERROR(VLOOKUP(C75, Input2!N47:O52, 2, FALSE), "")</f>
        <v>0</v>
      </c>
      <c r="O75" s="35" t="str">
        <f>IF(AND(ISNUMBER(D75), ISNUMBER(N75)), D75 * N75, "")</f>
        <v/>
      </c>
      <c r="P75" s="36">
        <f>IF(ISNUMBER(F75), F75, 0) + IF(ISNUMBER(H75), H75 * (1 + $I$4), 0) + IF(AND(ISNUMBER(L75), ISNUMBER(J75), J75&lt;&gt;0), L75 / J75, 0) + IF(ISNUMBER(N75), N75, 0)</f>
        <v>0</v>
      </c>
      <c r="Q75" s="35">
        <f t="shared" si="32"/>
        <v>0</v>
      </c>
    </row>
    <row r="76" spans="2:17" x14ac:dyDescent="0.35">
      <c r="B76" s="37"/>
      <c r="C76" s="38"/>
      <c r="D76" s="39"/>
      <c r="E76" s="32" t="s">
        <v>24</v>
      </c>
      <c r="F76" s="41"/>
      <c r="G76" s="35"/>
      <c r="H76" s="48"/>
      <c r="I76" s="35"/>
      <c r="J76" s="41"/>
      <c r="K76" s="34"/>
      <c r="L76" s="42"/>
      <c r="M76" s="35"/>
      <c r="N76" s="41">
        <f>IFERROR(VLOOKUP(C76, Input2!N48:O53, 2, FALSE), "")</f>
        <v>0</v>
      </c>
      <c r="O76" s="35" t="str">
        <f>IF(AND(ISNUMBER(D76), ISNUMBER(N76)), D76 * N76, "")</f>
        <v/>
      </c>
      <c r="P76" s="36">
        <f>IF(ISNUMBER(F76), F76, 0) + IF(ISNUMBER(H76), H76 * (1 + $I$4), 0) + IF(AND(ISNUMBER(L76), ISNUMBER(J76), J76&lt;&gt;0), L76 / J76, 0) + IF(ISNUMBER(N76), N76, 0)</f>
        <v>0</v>
      </c>
      <c r="Q76" s="35">
        <f t="shared" si="32"/>
        <v>0</v>
      </c>
    </row>
    <row r="77" spans="2:17" x14ac:dyDescent="0.35">
      <c r="B77" s="37"/>
      <c r="C77" s="38"/>
      <c r="D77" s="39"/>
      <c r="E77" s="32" t="s">
        <v>24</v>
      </c>
      <c r="F77" s="41"/>
      <c r="G77" s="35"/>
      <c r="H77" s="48"/>
      <c r="I77" s="35"/>
      <c r="J77" s="41"/>
      <c r="K77" s="34"/>
      <c r="L77" s="42"/>
      <c r="M77" s="35"/>
      <c r="N77" s="41">
        <f>IFERROR(VLOOKUP(C77, Input2!N49:O54, 2, FALSE), "")</f>
        <v>0</v>
      </c>
      <c r="O77" s="35" t="str">
        <f>IF(AND(ISNUMBER(D77), ISNUMBER(N77)), D77 * N77, "")</f>
        <v/>
      </c>
      <c r="P77" s="36">
        <f>IF(ISNUMBER(F77), F77, 0) + IF(ISNUMBER(H77), H77 * (1 + $I$4), 0) + IF(AND(ISNUMBER(L77), ISNUMBER(J77), J77&lt;&gt;0), L77 / J77, 0) + IF(ISNUMBER(N77), N77, 0)</f>
        <v>0</v>
      </c>
      <c r="Q77" s="35">
        <f t="shared" si="32"/>
        <v>0</v>
      </c>
    </row>
    <row r="78" spans="2:17" x14ac:dyDescent="0.35">
      <c r="B78" s="37"/>
      <c r="C78" s="38"/>
      <c r="D78" s="39"/>
      <c r="E78" s="32" t="s">
        <v>24</v>
      </c>
      <c r="F78" s="41"/>
      <c r="G78" s="35"/>
      <c r="H78" s="48"/>
      <c r="I78" s="35"/>
      <c r="J78" s="41"/>
      <c r="K78" s="34"/>
      <c r="L78" s="42"/>
      <c r="M78" s="35"/>
      <c r="N78" s="41">
        <f>IFERROR(VLOOKUP(C78, Input2!N50:O55, 2, FALSE), "")</f>
        <v>0</v>
      </c>
      <c r="O78" s="35" t="str">
        <f>IF(AND(ISNUMBER(D78), ISNUMBER(N78)), D78 * N78, "")</f>
        <v/>
      </c>
      <c r="P78" s="36">
        <f>IF(ISNUMBER(F78), F78, 0) + IF(ISNUMBER(H78), H78 * (1 + $I$4), 0) + IF(AND(ISNUMBER(L78), ISNUMBER(J78), J78&lt;&gt;0), L78 / J78, 0) + IF(ISNUMBER(N78), N78, 0)</f>
        <v>0</v>
      </c>
      <c r="Q78" s="35">
        <f t="shared" si="32"/>
        <v>0</v>
      </c>
    </row>
    <row r="79" spans="2:17" x14ac:dyDescent="0.35">
      <c r="B79" s="37"/>
      <c r="C79" s="38"/>
      <c r="D79" s="39"/>
      <c r="E79" s="32"/>
      <c r="F79" s="41"/>
      <c r="G79" s="35"/>
      <c r="H79" s="48"/>
      <c r="I79" s="35"/>
      <c r="J79" s="41"/>
      <c r="K79" s="34"/>
      <c r="L79" s="42"/>
      <c r="M79" s="35"/>
      <c r="N79" s="41">
        <v>0</v>
      </c>
      <c r="O79" s="35">
        <f>$D79*N79</f>
        <v>0</v>
      </c>
      <c r="P79" s="36">
        <f>F79+(H79*(1+$I$4))+IFERROR(L79/J79,0)+N79</f>
        <v>0</v>
      </c>
      <c r="Q79" s="35">
        <f t="shared" si="32"/>
        <v>0</v>
      </c>
    </row>
    <row r="80" spans="2:17" x14ac:dyDescent="0.35">
      <c r="B80" s="37"/>
      <c r="C80" s="38"/>
      <c r="D80" s="39"/>
      <c r="E80" s="32"/>
      <c r="F80" s="41"/>
      <c r="G80" s="35"/>
      <c r="H80" s="48"/>
      <c r="I80" s="35"/>
      <c r="J80" s="41"/>
      <c r="K80" s="34"/>
      <c r="L80" s="42"/>
      <c r="M80" s="35"/>
      <c r="N80" s="41">
        <v>0</v>
      </c>
      <c r="O80" s="35">
        <f>$D80*N80</f>
        <v>0</v>
      </c>
      <c r="P80" s="36">
        <f>F80+(H80*(1+$I$4))+IFERROR(L80/J80,0)+N80</f>
        <v>0</v>
      </c>
      <c r="Q80" s="35">
        <f t="shared" si="32"/>
        <v>0</v>
      </c>
    </row>
    <row r="81" spans="2:17" ht="15.5" x14ac:dyDescent="0.35">
      <c r="B81" s="37" t="str">
        <f>IFERROR(VLOOKUP(C81, Input2!$C$206:$G$207, 3, FALSE), "")</f>
        <v/>
      </c>
      <c r="C81" s="105" t="s">
        <v>21431</v>
      </c>
      <c r="D81" s="39"/>
      <c r="E81" s="32"/>
      <c r="F81" s="41"/>
      <c r="G81" s="35"/>
      <c r="H81" s="34"/>
      <c r="I81" s="35"/>
      <c r="J81" s="41"/>
      <c r="K81" s="34"/>
      <c r="L81" s="34"/>
      <c r="M81" s="35"/>
      <c r="N81" s="41"/>
      <c r="O81" s="35"/>
      <c r="P81" s="31"/>
      <c r="Q81" s="35"/>
    </row>
    <row r="82" spans="2:17" x14ac:dyDescent="0.35">
      <c r="B82" s="37" t="str">
        <f>IFERROR(VLOOKUP(C82, Input2!$C$206:$G$207, 3, FALSE), "")</f>
        <v/>
      </c>
      <c r="C82" s="30" t="s">
        <v>21424</v>
      </c>
      <c r="D82" s="39"/>
      <c r="E82" s="32"/>
      <c r="F82" s="41">
        <v>0</v>
      </c>
      <c r="G82" s="35">
        <f t="shared" ref="G82:G95" si="33">$D82*F82</f>
        <v>0</v>
      </c>
      <c r="H82" s="48"/>
      <c r="I82" s="35">
        <f>$D82*H82</f>
        <v>0</v>
      </c>
      <c r="J82" s="41"/>
      <c r="K82" s="34">
        <f t="shared" ref="K82:K90" si="34">IFERROR($D82/$J82,0)</f>
        <v>0</v>
      </c>
      <c r="L82" s="42"/>
      <c r="M82" s="35">
        <f t="shared" ref="M82:M95" si="35">IFERROR(K82*L82,0)</f>
        <v>0</v>
      </c>
      <c r="N82" s="41">
        <v>0</v>
      </c>
      <c r="O82" s="35">
        <f t="shared" ref="O82:O96" si="36">$D82*N82</f>
        <v>0</v>
      </c>
      <c r="P82" s="36">
        <f>F82+(H82*(1+$I$4))+IFERROR(L82/J82,0)+N82</f>
        <v>0</v>
      </c>
      <c r="Q82" s="35">
        <f>SUM(O82,M82,I82*(1+$I$4),G82)</f>
        <v>0</v>
      </c>
    </row>
    <row r="83" spans="2:17" x14ac:dyDescent="0.35">
      <c r="B83" s="37" t="str">
        <f>IFERROR(VLOOKUP(C83, Input2!$C$206:$G$207, 3, FALSE), "")</f>
        <v/>
      </c>
      <c r="C83" s="38"/>
      <c r="D83" s="39"/>
      <c r="E83" s="32" t="str">
        <f>IFERROR(VLOOKUP(C83, Input2!$C$204:$G$2000, 2, FALSE), "")</f>
        <v/>
      </c>
      <c r="F83" s="41">
        <v>0</v>
      </c>
      <c r="G83" s="35">
        <f t="shared" si="33"/>
        <v>0</v>
      </c>
      <c r="H83" s="48" t="str">
        <f>IFERROR(VLOOKUP(C83, Input2!$C$204:$G$2000, 4, FALSE), "")</f>
        <v/>
      </c>
      <c r="I83" s="35" t="str">
        <f t="shared" ref="I83:I90" si="37">IF(AND(ISNUMBER(D83), ISNUMBER(H83)), D83 * H83, "")</f>
        <v/>
      </c>
      <c r="J83" s="41" t="str">
        <f>IFERROR(VLOOKUP(C83, Input2!$C$204:$G$2000, 5, FALSE), "")</f>
        <v/>
      </c>
      <c r="K83" s="34">
        <f t="shared" si="34"/>
        <v>0</v>
      </c>
      <c r="L83" s="42"/>
      <c r="M83" s="35">
        <f t="shared" si="35"/>
        <v>0</v>
      </c>
      <c r="N83" s="41">
        <v>0</v>
      </c>
      <c r="O83" s="35">
        <f t="shared" si="36"/>
        <v>0</v>
      </c>
      <c r="P83" s="36">
        <f t="shared" ref="P83:P90" si="38">IF(ISNUMBER(F83), F83, 0) + IF(ISNUMBER(H83), H83 * (1 + $I$4), 0) + IF(AND(ISNUMBER(L83), ISNUMBER(J83), J83 &lt;&gt; 0), L83 / J83, 0) + IF(ISNUMBER(N83), N83, 0)</f>
        <v>0</v>
      </c>
      <c r="Q83" s="35">
        <f t="shared" ref="Q83:Q90" si="39">SUM(IF(ISNUMBER(O83), O83, 0), IF(ISNUMBER(M83), M83, 0), IF(ISNUMBER(I83), I83 * (1 + $I$4), 0), IF(ISNUMBER(G83), G83, 0))</f>
        <v>0</v>
      </c>
    </row>
    <row r="84" spans="2:17" x14ac:dyDescent="0.35">
      <c r="B84" s="37" t="str">
        <f>IFERROR(VLOOKUP(C84, Input2!$C$206:$G$207, 3, FALSE), "")</f>
        <v/>
      </c>
      <c r="C84" s="38"/>
      <c r="D84" s="39"/>
      <c r="E84" s="32" t="str">
        <f>IFERROR(VLOOKUP(C84, Input2!$C$204:$G$2000, 2, FALSE), "")</f>
        <v/>
      </c>
      <c r="F84" s="41">
        <v>0</v>
      </c>
      <c r="G84" s="35">
        <f t="shared" si="33"/>
        <v>0</v>
      </c>
      <c r="H84" s="48" t="str">
        <f>IFERROR(VLOOKUP(C84, Input2!$C$204:$G$2000, 4, FALSE), "")</f>
        <v/>
      </c>
      <c r="I84" s="35" t="str">
        <f t="shared" si="37"/>
        <v/>
      </c>
      <c r="J84" s="41" t="str">
        <f>IFERROR(VLOOKUP(C84, Input2!$C$204:$G$2000, 5, FALSE), "")</f>
        <v/>
      </c>
      <c r="K84" s="34">
        <f t="shared" si="34"/>
        <v>0</v>
      </c>
      <c r="L84" s="42"/>
      <c r="M84" s="35">
        <f t="shared" si="35"/>
        <v>0</v>
      </c>
      <c r="N84" s="41">
        <v>0</v>
      </c>
      <c r="O84" s="35">
        <f t="shared" si="36"/>
        <v>0</v>
      </c>
      <c r="P84" s="36">
        <f t="shared" si="38"/>
        <v>0</v>
      </c>
      <c r="Q84" s="35">
        <f t="shared" si="39"/>
        <v>0</v>
      </c>
    </row>
    <row r="85" spans="2:17" x14ac:dyDescent="0.35">
      <c r="B85" s="37" t="str">
        <f>IFERROR(VLOOKUP(C85, Input2!$C$206:$G$207, 3, FALSE), "")</f>
        <v/>
      </c>
      <c r="C85" s="38"/>
      <c r="D85" s="39"/>
      <c r="E85" s="32" t="str">
        <f>IFERROR(VLOOKUP(C85, Input2!$C$204:$G$2000, 2, FALSE), "")</f>
        <v/>
      </c>
      <c r="F85" s="41">
        <v>0</v>
      </c>
      <c r="G85" s="35">
        <f t="shared" si="33"/>
        <v>0</v>
      </c>
      <c r="H85" s="48" t="str">
        <f>IFERROR(VLOOKUP(C85, Input2!$C$204:$G$2000, 4, FALSE), "")</f>
        <v/>
      </c>
      <c r="I85" s="35" t="str">
        <f t="shared" si="37"/>
        <v/>
      </c>
      <c r="J85" s="41" t="str">
        <f>IFERROR(VLOOKUP(C85, Input2!$C$204:$G$2000, 5, FALSE), "")</f>
        <v/>
      </c>
      <c r="K85" s="34">
        <f t="shared" si="34"/>
        <v>0</v>
      </c>
      <c r="L85" s="42"/>
      <c r="M85" s="35">
        <f t="shared" si="35"/>
        <v>0</v>
      </c>
      <c r="N85" s="41">
        <v>0</v>
      </c>
      <c r="O85" s="35">
        <f t="shared" si="36"/>
        <v>0</v>
      </c>
      <c r="P85" s="36">
        <f t="shared" si="38"/>
        <v>0</v>
      </c>
      <c r="Q85" s="35">
        <f t="shared" si="39"/>
        <v>0</v>
      </c>
    </row>
    <row r="86" spans="2:17" x14ac:dyDescent="0.35">
      <c r="B86" s="37" t="str">
        <f>IFERROR(VLOOKUP(C86, Input2!$C$206:$G$207, 3, FALSE), "")</f>
        <v/>
      </c>
      <c r="C86" s="38"/>
      <c r="D86" s="39"/>
      <c r="E86" s="32" t="str">
        <f>IFERROR(VLOOKUP(C86, Input2!$C$204:$G$2000, 2, FALSE), "")</f>
        <v/>
      </c>
      <c r="F86" s="41">
        <v>0</v>
      </c>
      <c r="G86" s="35">
        <f t="shared" si="33"/>
        <v>0</v>
      </c>
      <c r="H86" s="48" t="str">
        <f>IFERROR(VLOOKUP(C86, Input2!$C$204:$G$2000, 4, FALSE), "")</f>
        <v/>
      </c>
      <c r="I86" s="35" t="str">
        <f t="shared" si="37"/>
        <v/>
      </c>
      <c r="J86" s="41" t="str">
        <f>IFERROR(VLOOKUP(C86, Input2!$C$204:$G$2000, 5, FALSE), "")</f>
        <v/>
      </c>
      <c r="K86" s="34">
        <f t="shared" si="34"/>
        <v>0</v>
      </c>
      <c r="L86" s="42"/>
      <c r="M86" s="35">
        <f t="shared" si="35"/>
        <v>0</v>
      </c>
      <c r="N86" s="41">
        <v>0</v>
      </c>
      <c r="O86" s="35">
        <f t="shared" si="36"/>
        <v>0</v>
      </c>
      <c r="P86" s="36">
        <f t="shared" si="38"/>
        <v>0</v>
      </c>
      <c r="Q86" s="35">
        <f t="shared" si="39"/>
        <v>0</v>
      </c>
    </row>
    <row r="87" spans="2:17" x14ac:dyDescent="0.35">
      <c r="B87" s="37" t="str">
        <f>IFERROR(VLOOKUP(C87, Input2!$C$206:$G$207, 3, FALSE), "")</f>
        <v/>
      </c>
      <c r="C87" s="38"/>
      <c r="D87" s="39"/>
      <c r="E87" s="32" t="str">
        <f>IFERROR(VLOOKUP(C87, Input2!$C$204:$G$2000, 2, FALSE), "")</f>
        <v/>
      </c>
      <c r="F87" s="41">
        <v>0</v>
      </c>
      <c r="G87" s="35">
        <f t="shared" si="33"/>
        <v>0</v>
      </c>
      <c r="H87" s="48" t="str">
        <f>IFERROR(VLOOKUP(C87, Input2!$C$204:$G$2000, 4, FALSE), "")</f>
        <v/>
      </c>
      <c r="I87" s="35" t="str">
        <f t="shared" si="37"/>
        <v/>
      </c>
      <c r="J87" s="41" t="str">
        <f>IFERROR(VLOOKUP(C87, Input2!$C$204:$G$2000, 5, FALSE), "")</f>
        <v/>
      </c>
      <c r="K87" s="34">
        <f t="shared" si="34"/>
        <v>0</v>
      </c>
      <c r="L87" s="42"/>
      <c r="M87" s="35">
        <f t="shared" si="35"/>
        <v>0</v>
      </c>
      <c r="N87" s="41">
        <v>0</v>
      </c>
      <c r="O87" s="35">
        <f t="shared" si="36"/>
        <v>0</v>
      </c>
      <c r="P87" s="36">
        <f t="shared" si="38"/>
        <v>0</v>
      </c>
      <c r="Q87" s="35">
        <f t="shared" si="39"/>
        <v>0</v>
      </c>
    </row>
    <row r="88" spans="2:17" x14ac:dyDescent="0.35">
      <c r="B88" s="37" t="str">
        <f>IFERROR(VLOOKUP(C88, Input2!$C$206:$G$207, 3, FALSE), "")</f>
        <v/>
      </c>
      <c r="C88" s="38"/>
      <c r="D88" s="39"/>
      <c r="E88" s="32" t="str">
        <f>IFERROR(VLOOKUP(C88, Input2!$C$204:$G$2000, 2, FALSE), "")</f>
        <v/>
      </c>
      <c r="F88" s="41">
        <v>0</v>
      </c>
      <c r="G88" s="35">
        <f t="shared" si="33"/>
        <v>0</v>
      </c>
      <c r="H88" s="48" t="str">
        <f>IFERROR(VLOOKUP(C88, Input2!$C$204:$G$2000, 4, FALSE), "")</f>
        <v/>
      </c>
      <c r="I88" s="35" t="str">
        <f t="shared" si="37"/>
        <v/>
      </c>
      <c r="J88" s="41" t="str">
        <f>IFERROR(VLOOKUP(C88, Input2!$C$204:$G$2000, 5, FALSE), "")</f>
        <v/>
      </c>
      <c r="K88" s="34">
        <f t="shared" si="34"/>
        <v>0</v>
      </c>
      <c r="L88" s="42"/>
      <c r="M88" s="35">
        <f t="shared" si="35"/>
        <v>0</v>
      </c>
      <c r="N88" s="41">
        <v>0</v>
      </c>
      <c r="O88" s="35">
        <f t="shared" si="36"/>
        <v>0</v>
      </c>
      <c r="P88" s="36">
        <f t="shared" si="38"/>
        <v>0</v>
      </c>
      <c r="Q88" s="35">
        <f t="shared" si="39"/>
        <v>0</v>
      </c>
    </row>
    <row r="89" spans="2:17" x14ac:dyDescent="0.35">
      <c r="B89" s="37"/>
      <c r="C89" s="38"/>
      <c r="D89" s="39"/>
      <c r="E89" s="32" t="str">
        <f>IFERROR(VLOOKUP(C89, Input2!$C$204:$G$2000, 2, FALSE), "")</f>
        <v/>
      </c>
      <c r="F89" s="41">
        <v>0</v>
      </c>
      <c r="G89" s="35">
        <f t="shared" si="33"/>
        <v>0</v>
      </c>
      <c r="H89" s="48" t="str">
        <f>IFERROR(VLOOKUP(C89, Input2!$C$204:$G$2000, 4, FALSE), "")</f>
        <v/>
      </c>
      <c r="I89" s="35" t="str">
        <f t="shared" si="37"/>
        <v/>
      </c>
      <c r="J89" s="41" t="str">
        <f>IFERROR(VLOOKUP(C89, Input2!$C$204:$G$2000, 5, FALSE), "")</f>
        <v/>
      </c>
      <c r="K89" s="34">
        <f t="shared" si="34"/>
        <v>0</v>
      </c>
      <c r="L89" s="42"/>
      <c r="M89" s="35">
        <f t="shared" si="35"/>
        <v>0</v>
      </c>
      <c r="N89" s="41">
        <v>0</v>
      </c>
      <c r="O89" s="35">
        <f t="shared" si="36"/>
        <v>0</v>
      </c>
      <c r="P89" s="36">
        <f t="shared" si="38"/>
        <v>0</v>
      </c>
      <c r="Q89" s="35">
        <f t="shared" si="39"/>
        <v>0</v>
      </c>
    </row>
    <row r="90" spans="2:17" x14ac:dyDescent="0.35">
      <c r="B90" s="37"/>
      <c r="C90" s="38"/>
      <c r="D90" s="39"/>
      <c r="E90" s="32" t="str">
        <f>IFERROR(VLOOKUP(C90, Input2!$C$204:$G$2000, 2, FALSE), "")</f>
        <v/>
      </c>
      <c r="F90" s="41">
        <v>0</v>
      </c>
      <c r="G90" s="35">
        <f t="shared" si="33"/>
        <v>0</v>
      </c>
      <c r="H90" s="48" t="str">
        <f>IFERROR(VLOOKUP(C90, Input2!$C$204:$G$2000, 4, FALSE), "")</f>
        <v/>
      </c>
      <c r="I90" s="35" t="str">
        <f t="shared" si="37"/>
        <v/>
      </c>
      <c r="J90" s="41" t="str">
        <f>IFERROR(VLOOKUP(C90, Input2!$C$204:$G$2000, 5, FALSE), "")</f>
        <v/>
      </c>
      <c r="K90" s="34">
        <f t="shared" si="34"/>
        <v>0</v>
      </c>
      <c r="L90" s="42"/>
      <c r="M90" s="35">
        <f t="shared" si="35"/>
        <v>0</v>
      </c>
      <c r="N90" s="41">
        <v>0</v>
      </c>
      <c r="O90" s="35">
        <f t="shared" si="36"/>
        <v>0</v>
      </c>
      <c r="P90" s="36">
        <f t="shared" si="38"/>
        <v>0</v>
      </c>
      <c r="Q90" s="35">
        <f t="shared" si="39"/>
        <v>0</v>
      </c>
    </row>
    <row r="91" spans="2:17" x14ac:dyDescent="0.35">
      <c r="B91" s="37"/>
      <c r="C91" s="30" t="s">
        <v>21423</v>
      </c>
      <c r="D91" s="39"/>
      <c r="E91" s="32"/>
      <c r="F91" s="41">
        <v>0</v>
      </c>
      <c r="G91" s="35">
        <f t="shared" si="33"/>
        <v>0</v>
      </c>
      <c r="H91" s="48"/>
      <c r="I91" s="35">
        <f>$D91*H91</f>
        <v>0</v>
      </c>
      <c r="J91" s="41"/>
      <c r="K91" s="34"/>
      <c r="L91" s="42"/>
      <c r="M91" s="35">
        <f t="shared" si="35"/>
        <v>0</v>
      </c>
      <c r="N91" s="41">
        <v>0</v>
      </c>
      <c r="O91" s="35">
        <f t="shared" si="36"/>
        <v>0</v>
      </c>
      <c r="P91" s="36">
        <f t="shared" ref="P91:P96" si="40">F91+(H91*(1+$I$4))+IFERROR(L91/J91,0)+N91</f>
        <v>0</v>
      </c>
      <c r="Q91" s="35">
        <f t="shared" ref="Q91:Q102" si="41">SUM(O91,M91,I91*(1+$I$4),G91)</f>
        <v>0</v>
      </c>
    </row>
    <row r="92" spans="2:17" x14ac:dyDescent="0.35">
      <c r="B92" s="37"/>
      <c r="C92" s="38"/>
      <c r="D92" s="39"/>
      <c r="E92" s="32" t="s">
        <v>24</v>
      </c>
      <c r="F92" s="41">
        <v>0</v>
      </c>
      <c r="G92" s="35">
        <f t="shared" si="33"/>
        <v>0</v>
      </c>
      <c r="H92" s="48"/>
      <c r="I92" s="35">
        <f>$D92*H92</f>
        <v>0</v>
      </c>
      <c r="J92" s="41"/>
      <c r="K92" s="34"/>
      <c r="L92" s="42" t="str">
        <f>IFERROR(VLOOKUP(C92, Input2!K70:M75, 2, FALSE), "")</f>
        <v/>
      </c>
      <c r="M92" s="35">
        <f t="shared" si="35"/>
        <v>0</v>
      </c>
      <c r="N92" s="41">
        <v>0</v>
      </c>
      <c r="O92" s="35">
        <f t="shared" si="36"/>
        <v>0</v>
      </c>
      <c r="P92" s="36">
        <f t="shared" si="40"/>
        <v>0</v>
      </c>
      <c r="Q92" s="35">
        <f t="shared" si="41"/>
        <v>0</v>
      </c>
    </row>
    <row r="93" spans="2:17" x14ac:dyDescent="0.35">
      <c r="B93" s="37"/>
      <c r="C93" s="38"/>
      <c r="D93" s="39"/>
      <c r="E93" s="32" t="s">
        <v>24</v>
      </c>
      <c r="F93" s="41">
        <v>0</v>
      </c>
      <c r="G93" s="35">
        <f t="shared" si="33"/>
        <v>0</v>
      </c>
      <c r="H93" s="48"/>
      <c r="I93" s="35">
        <f>$D93*H93</f>
        <v>0</v>
      </c>
      <c r="J93" s="41"/>
      <c r="K93" s="34"/>
      <c r="L93" s="42" t="str">
        <f>IFERROR(VLOOKUP(C93, Input2!K71:M76, 2, FALSE), "")</f>
        <v/>
      </c>
      <c r="M93" s="35">
        <f t="shared" si="35"/>
        <v>0</v>
      </c>
      <c r="N93" s="41">
        <v>0</v>
      </c>
      <c r="O93" s="35">
        <f t="shared" si="36"/>
        <v>0</v>
      </c>
      <c r="P93" s="36">
        <f t="shared" si="40"/>
        <v>0</v>
      </c>
      <c r="Q93" s="35">
        <f t="shared" si="41"/>
        <v>0</v>
      </c>
    </row>
    <row r="94" spans="2:17" x14ac:dyDescent="0.35">
      <c r="B94" s="37"/>
      <c r="C94" s="38"/>
      <c r="D94" s="39"/>
      <c r="E94" s="32" t="s">
        <v>24</v>
      </c>
      <c r="F94" s="41">
        <v>0</v>
      </c>
      <c r="G94" s="35">
        <f t="shared" si="33"/>
        <v>0</v>
      </c>
      <c r="H94" s="48"/>
      <c r="I94" s="35">
        <f>$D94*H94</f>
        <v>0</v>
      </c>
      <c r="J94" s="41"/>
      <c r="K94" s="34"/>
      <c r="L94" s="42" t="str">
        <f>IFERROR(VLOOKUP(C94, Input2!K72:M77, 2, FALSE), "")</f>
        <v/>
      </c>
      <c r="M94" s="35">
        <f t="shared" si="35"/>
        <v>0</v>
      </c>
      <c r="N94" s="41">
        <v>0</v>
      </c>
      <c r="O94" s="35">
        <f t="shared" si="36"/>
        <v>0</v>
      </c>
      <c r="P94" s="36">
        <f t="shared" si="40"/>
        <v>0</v>
      </c>
      <c r="Q94" s="35">
        <f t="shared" si="41"/>
        <v>0</v>
      </c>
    </row>
    <row r="95" spans="2:17" x14ac:dyDescent="0.35">
      <c r="B95" s="37"/>
      <c r="C95" s="38"/>
      <c r="D95" s="39"/>
      <c r="E95" s="32" t="s">
        <v>24</v>
      </c>
      <c r="F95" s="41">
        <v>0</v>
      </c>
      <c r="G95" s="35">
        <f t="shared" si="33"/>
        <v>0</v>
      </c>
      <c r="H95" s="48"/>
      <c r="I95" s="35">
        <f>$D95*H95</f>
        <v>0</v>
      </c>
      <c r="J95" s="41"/>
      <c r="K95" s="34"/>
      <c r="L95" s="42" t="str">
        <f>IFERROR(VLOOKUP(C95, Input2!K73:M78, 2, FALSE), "")</f>
        <v/>
      </c>
      <c r="M95" s="35">
        <f t="shared" si="35"/>
        <v>0</v>
      </c>
      <c r="N95" s="41">
        <v>0</v>
      </c>
      <c r="O95" s="35">
        <f t="shared" si="36"/>
        <v>0</v>
      </c>
      <c r="P95" s="36">
        <f t="shared" si="40"/>
        <v>0</v>
      </c>
      <c r="Q95" s="35">
        <f t="shared" si="41"/>
        <v>0</v>
      </c>
    </row>
    <row r="96" spans="2:17" x14ac:dyDescent="0.35">
      <c r="B96" s="37"/>
      <c r="C96" s="30" t="s">
        <v>21422</v>
      </c>
      <c r="D96" s="39"/>
      <c r="E96" s="32"/>
      <c r="F96" s="41"/>
      <c r="G96" s="35"/>
      <c r="H96" s="48"/>
      <c r="I96" s="35"/>
      <c r="J96" s="41"/>
      <c r="K96" s="34"/>
      <c r="L96" s="42"/>
      <c r="M96" s="35"/>
      <c r="N96" s="41">
        <v>0</v>
      </c>
      <c r="O96" s="35">
        <f t="shared" si="36"/>
        <v>0</v>
      </c>
      <c r="P96" s="36">
        <f t="shared" si="40"/>
        <v>0</v>
      </c>
      <c r="Q96" s="35">
        <f t="shared" si="41"/>
        <v>0</v>
      </c>
    </row>
    <row r="97" spans="2:17" x14ac:dyDescent="0.35">
      <c r="B97" s="37"/>
      <c r="C97" s="38"/>
      <c r="D97" s="39"/>
      <c r="E97" s="32" t="s">
        <v>24</v>
      </c>
      <c r="F97" s="41"/>
      <c r="G97" s="35"/>
      <c r="H97" s="48"/>
      <c r="I97" s="35"/>
      <c r="J97" s="41"/>
      <c r="K97" s="34"/>
      <c r="L97" s="42"/>
      <c r="M97" s="35"/>
      <c r="N97" s="41">
        <f>IFERROR(VLOOKUP(C97, Input2!N69:O74, 2, FALSE), "")</f>
        <v>0</v>
      </c>
      <c r="O97" s="35" t="str">
        <f>IF(AND(ISNUMBER(D97), ISNUMBER(N97)), D97 * N97, "")</f>
        <v/>
      </c>
      <c r="P97" s="36">
        <f>IF(ISNUMBER(F97), F97, 0) + IF(ISNUMBER(H97), H97 * (1 + $I$4), 0) + IF(AND(ISNUMBER(L97), ISNUMBER(J97), J97&lt;&gt;0), L97 / J97, 0) + IF(ISNUMBER(N97), N97, 0)</f>
        <v>0</v>
      </c>
      <c r="Q97" s="35">
        <f t="shared" si="41"/>
        <v>0</v>
      </c>
    </row>
    <row r="98" spans="2:17" x14ac:dyDescent="0.35">
      <c r="B98" s="37"/>
      <c r="C98" s="38"/>
      <c r="D98" s="39"/>
      <c r="E98" s="32" t="s">
        <v>24</v>
      </c>
      <c r="F98" s="41"/>
      <c r="G98" s="35"/>
      <c r="H98" s="48"/>
      <c r="I98" s="35"/>
      <c r="J98" s="41"/>
      <c r="K98" s="34"/>
      <c r="L98" s="42"/>
      <c r="M98" s="35"/>
      <c r="N98" s="41">
        <f>IFERROR(VLOOKUP(C98, Input2!N70:O75, 2, FALSE), "")</f>
        <v>0</v>
      </c>
      <c r="O98" s="35" t="str">
        <f>IF(AND(ISNUMBER(D98), ISNUMBER(N98)), D98 * N98, "")</f>
        <v/>
      </c>
      <c r="P98" s="36">
        <f>IF(ISNUMBER(F98), F98, 0) + IF(ISNUMBER(H98), H98 * (1 + $I$4), 0) + IF(AND(ISNUMBER(L98), ISNUMBER(J98), J98&lt;&gt;0), L98 / J98, 0) + IF(ISNUMBER(N98), N98, 0)</f>
        <v>0</v>
      </c>
      <c r="Q98" s="35">
        <f t="shared" si="41"/>
        <v>0</v>
      </c>
    </row>
    <row r="99" spans="2:17" x14ac:dyDescent="0.35">
      <c r="B99" s="37"/>
      <c r="C99" s="38"/>
      <c r="D99" s="39"/>
      <c r="E99" s="32" t="s">
        <v>24</v>
      </c>
      <c r="F99" s="41"/>
      <c r="G99" s="35"/>
      <c r="H99" s="48"/>
      <c r="I99" s="35"/>
      <c r="J99" s="41"/>
      <c r="K99" s="34"/>
      <c r="L99" s="42"/>
      <c r="M99" s="35"/>
      <c r="N99" s="41">
        <f>IFERROR(VLOOKUP(C99, Input2!N71:O76, 2, FALSE), "")</f>
        <v>0</v>
      </c>
      <c r="O99" s="35" t="str">
        <f>IF(AND(ISNUMBER(D99), ISNUMBER(N99)), D99 * N99, "")</f>
        <v/>
      </c>
      <c r="P99" s="36">
        <f>IF(ISNUMBER(F99), F99, 0) + IF(ISNUMBER(H99), H99 * (1 + $I$4), 0) + IF(AND(ISNUMBER(L99), ISNUMBER(J99), J99&lt;&gt;0), L99 / J99, 0) + IF(ISNUMBER(N99), N99, 0)</f>
        <v>0</v>
      </c>
      <c r="Q99" s="35">
        <f t="shared" si="41"/>
        <v>0</v>
      </c>
    </row>
    <row r="100" spans="2:17" x14ac:dyDescent="0.35">
      <c r="B100" s="37"/>
      <c r="C100" s="38"/>
      <c r="D100" s="39"/>
      <c r="E100" s="32" t="s">
        <v>24</v>
      </c>
      <c r="F100" s="41"/>
      <c r="G100" s="35"/>
      <c r="H100" s="48"/>
      <c r="I100" s="35"/>
      <c r="J100" s="41"/>
      <c r="K100" s="34"/>
      <c r="L100" s="42"/>
      <c r="M100" s="35"/>
      <c r="N100" s="41">
        <f>IFERROR(VLOOKUP(C100, Input2!N72:O77, 2, FALSE), "")</f>
        <v>0</v>
      </c>
      <c r="O100" s="35" t="str">
        <f>IF(AND(ISNUMBER(D100), ISNUMBER(N100)), D100 * N100, "")</f>
        <v/>
      </c>
      <c r="P100" s="36">
        <f>IF(ISNUMBER(F100), F100, 0) + IF(ISNUMBER(H100), H100 * (1 + $I$4), 0) + IF(AND(ISNUMBER(L100), ISNUMBER(J100), J100&lt;&gt;0), L100 / J100, 0) + IF(ISNUMBER(N100), N100, 0)</f>
        <v>0</v>
      </c>
      <c r="Q100" s="35">
        <f t="shared" si="41"/>
        <v>0</v>
      </c>
    </row>
    <row r="101" spans="2:17" x14ac:dyDescent="0.35">
      <c r="B101" s="37"/>
      <c r="C101" s="38"/>
      <c r="D101" s="39"/>
      <c r="E101" s="32"/>
      <c r="F101" s="41"/>
      <c r="G101" s="35"/>
      <c r="H101" s="48"/>
      <c r="I101" s="35"/>
      <c r="J101" s="41"/>
      <c r="K101" s="34"/>
      <c r="L101" s="42"/>
      <c r="M101" s="35"/>
      <c r="N101" s="41">
        <v>0</v>
      </c>
      <c r="O101" s="35">
        <f>$D101*N101</f>
        <v>0</v>
      </c>
      <c r="P101" s="36">
        <f>F101+(H101*(1+$I$4))+IFERROR(L101/J101,0)+N101</f>
        <v>0</v>
      </c>
      <c r="Q101" s="35">
        <f t="shared" si="41"/>
        <v>0</v>
      </c>
    </row>
    <row r="102" spans="2:17" x14ac:dyDescent="0.35">
      <c r="B102" s="37" t="str">
        <f>IFERROR(VLOOKUP(C102, Input2!$C$206:$G$207, 3, FALSE), "")</f>
        <v/>
      </c>
      <c r="C102" s="38"/>
      <c r="D102" s="39"/>
      <c r="E102" s="32"/>
      <c r="F102" s="41"/>
      <c r="G102" s="35"/>
      <c r="H102" s="48"/>
      <c r="I102" s="35"/>
      <c r="J102" s="41"/>
      <c r="K102" s="34"/>
      <c r="L102" s="42"/>
      <c r="M102" s="35"/>
      <c r="N102" s="41">
        <v>0</v>
      </c>
      <c r="O102" s="35">
        <f>$D102*N102</f>
        <v>0</v>
      </c>
      <c r="P102" s="36">
        <f>F102+(H102*(1+$I$4))+IFERROR(L102/J102,0)+N102</f>
        <v>0</v>
      </c>
      <c r="Q102" s="35">
        <f t="shared" si="41"/>
        <v>0</v>
      </c>
    </row>
    <row r="103" spans="2:17" ht="15.5" x14ac:dyDescent="0.35">
      <c r="B103" s="37" t="str">
        <f>IFERROR(VLOOKUP(C103, Input2!$C$206:$G$207, 3, FALSE), "")</f>
        <v/>
      </c>
      <c r="C103" s="105" t="s">
        <v>21431</v>
      </c>
      <c r="D103" s="39"/>
      <c r="E103" s="32"/>
      <c r="F103" s="41"/>
      <c r="G103" s="35"/>
      <c r="H103" s="34"/>
      <c r="I103" s="35"/>
      <c r="J103" s="41"/>
      <c r="K103" s="34"/>
      <c r="L103" s="34"/>
      <c r="M103" s="35"/>
      <c r="N103" s="41"/>
      <c r="O103" s="35"/>
      <c r="P103" s="31"/>
      <c r="Q103" s="35"/>
    </row>
    <row r="104" spans="2:17" x14ac:dyDescent="0.35">
      <c r="B104" s="37" t="str">
        <f>IFERROR(VLOOKUP(C104, Input2!$C$206:$G$207, 3, FALSE), "")</f>
        <v/>
      </c>
      <c r="C104" s="30" t="s">
        <v>21424</v>
      </c>
      <c r="D104" s="39"/>
      <c r="E104" s="32"/>
      <c r="F104" s="41">
        <v>0</v>
      </c>
      <c r="G104" s="35">
        <f t="shared" ref="G104:G117" si="42">$D104*F104</f>
        <v>0</v>
      </c>
      <c r="H104" s="48"/>
      <c r="I104" s="35">
        <f>$D104*H104</f>
        <v>0</v>
      </c>
      <c r="J104" s="41"/>
      <c r="K104" s="34">
        <f t="shared" ref="K104:K112" si="43">IFERROR($D104/$J104,0)</f>
        <v>0</v>
      </c>
      <c r="L104" s="42"/>
      <c r="M104" s="35">
        <f t="shared" ref="M104:M117" si="44">IFERROR(K104*L104,0)</f>
        <v>0</v>
      </c>
      <c r="N104" s="41">
        <v>0</v>
      </c>
      <c r="O104" s="35">
        <f t="shared" ref="O104:O118" si="45">$D104*N104</f>
        <v>0</v>
      </c>
      <c r="P104" s="36">
        <f>F104+(H104*(1+$I$4))+IFERROR(L104/J104,0)+N104</f>
        <v>0</v>
      </c>
      <c r="Q104" s="35">
        <f>SUM(O104,M104,I104*(1+$I$4),G104)</f>
        <v>0</v>
      </c>
    </row>
    <row r="105" spans="2:17" x14ac:dyDescent="0.35">
      <c r="B105" s="37" t="str">
        <f>IFERROR(VLOOKUP(C105, Input2!$C$206:$G$207, 3, FALSE), "")</f>
        <v/>
      </c>
      <c r="C105" s="38"/>
      <c r="D105" s="39"/>
      <c r="E105" s="32" t="str">
        <f>IFERROR(VLOOKUP(C105, Input2!$C$204:$G$2000, 2, FALSE), "")</f>
        <v/>
      </c>
      <c r="F105" s="41">
        <v>0</v>
      </c>
      <c r="G105" s="35">
        <f t="shared" si="42"/>
        <v>0</v>
      </c>
      <c r="H105" s="48" t="str">
        <f>IFERROR(VLOOKUP(C105, Input2!$C$204:$G$2000, 4, FALSE), "")</f>
        <v/>
      </c>
      <c r="I105" s="35" t="str">
        <f t="shared" ref="I105:I112" si="46">IF(AND(ISNUMBER(D105), ISNUMBER(H105)), D105 * H105, "")</f>
        <v/>
      </c>
      <c r="J105" s="41" t="str">
        <f>IFERROR(VLOOKUP(C105, Input2!$C$204:$G$2000, 5, FALSE), "")</f>
        <v/>
      </c>
      <c r="K105" s="34">
        <f t="shared" si="43"/>
        <v>0</v>
      </c>
      <c r="L105" s="42"/>
      <c r="M105" s="35">
        <f t="shared" si="44"/>
        <v>0</v>
      </c>
      <c r="N105" s="41">
        <v>0</v>
      </c>
      <c r="O105" s="35">
        <f t="shared" si="45"/>
        <v>0</v>
      </c>
      <c r="P105" s="36">
        <f t="shared" ref="P105:P112" si="47">IF(ISNUMBER(F105), F105, 0) + IF(ISNUMBER(H105), H105 * (1 + $I$4), 0) + IF(AND(ISNUMBER(L105), ISNUMBER(J105), J105 &lt;&gt; 0), L105 / J105, 0) + IF(ISNUMBER(N105), N105, 0)</f>
        <v>0</v>
      </c>
      <c r="Q105" s="35">
        <f t="shared" ref="Q105:Q112" si="48">SUM(IF(ISNUMBER(O105), O105, 0), IF(ISNUMBER(M105), M105, 0), IF(ISNUMBER(I105), I105 * (1 + $I$4), 0), IF(ISNUMBER(G105), G105, 0))</f>
        <v>0</v>
      </c>
    </row>
    <row r="106" spans="2:17" x14ac:dyDescent="0.35">
      <c r="B106" s="37" t="str">
        <f>IFERROR(VLOOKUP(C106, Input2!$C$206:$G$207, 3, FALSE), "")</f>
        <v/>
      </c>
      <c r="C106" s="38"/>
      <c r="D106" s="39"/>
      <c r="E106" s="32" t="str">
        <f>IFERROR(VLOOKUP(C106, Input2!$C$204:$G$2000, 2, FALSE), "")</f>
        <v/>
      </c>
      <c r="F106" s="41">
        <v>0</v>
      </c>
      <c r="G106" s="35">
        <f t="shared" si="42"/>
        <v>0</v>
      </c>
      <c r="H106" s="48" t="str">
        <f>IFERROR(VLOOKUP(C106, Input2!$C$204:$G$2000, 4, FALSE), "")</f>
        <v/>
      </c>
      <c r="I106" s="35" t="str">
        <f t="shared" si="46"/>
        <v/>
      </c>
      <c r="J106" s="41" t="str">
        <f>IFERROR(VLOOKUP(C106, Input2!$C$204:$G$2000, 5, FALSE), "")</f>
        <v/>
      </c>
      <c r="K106" s="34">
        <f t="shared" si="43"/>
        <v>0</v>
      </c>
      <c r="L106" s="42"/>
      <c r="M106" s="35">
        <f t="shared" si="44"/>
        <v>0</v>
      </c>
      <c r="N106" s="41">
        <v>0</v>
      </c>
      <c r="O106" s="35">
        <f t="shared" si="45"/>
        <v>0</v>
      </c>
      <c r="P106" s="36">
        <f t="shared" si="47"/>
        <v>0</v>
      </c>
      <c r="Q106" s="35">
        <f t="shared" si="48"/>
        <v>0</v>
      </c>
    </row>
    <row r="107" spans="2:17" x14ac:dyDescent="0.35">
      <c r="B107" s="37" t="str">
        <f>IFERROR(VLOOKUP(C107, Input2!$C$206:$G$207, 3, FALSE), "")</f>
        <v/>
      </c>
      <c r="C107" s="38"/>
      <c r="D107" s="39"/>
      <c r="E107" s="32" t="str">
        <f>IFERROR(VLOOKUP(C107, Input2!$C$204:$G$2000, 2, FALSE), "")</f>
        <v/>
      </c>
      <c r="F107" s="41">
        <v>0</v>
      </c>
      <c r="G107" s="35">
        <f t="shared" si="42"/>
        <v>0</v>
      </c>
      <c r="H107" s="48" t="str">
        <f>IFERROR(VLOOKUP(C107, Input2!$C$204:$G$2000, 4, FALSE), "")</f>
        <v/>
      </c>
      <c r="I107" s="35" t="str">
        <f t="shared" si="46"/>
        <v/>
      </c>
      <c r="J107" s="41" t="str">
        <f>IFERROR(VLOOKUP(C107, Input2!$C$204:$G$2000, 5, FALSE), "")</f>
        <v/>
      </c>
      <c r="K107" s="34">
        <f t="shared" si="43"/>
        <v>0</v>
      </c>
      <c r="L107" s="42"/>
      <c r="M107" s="35">
        <f t="shared" si="44"/>
        <v>0</v>
      </c>
      <c r="N107" s="41">
        <v>0</v>
      </c>
      <c r="O107" s="35">
        <f t="shared" si="45"/>
        <v>0</v>
      </c>
      <c r="P107" s="36">
        <f t="shared" si="47"/>
        <v>0</v>
      </c>
      <c r="Q107" s="35">
        <f t="shared" si="48"/>
        <v>0</v>
      </c>
    </row>
    <row r="108" spans="2:17" x14ac:dyDescent="0.35">
      <c r="B108" s="37" t="str">
        <f>IFERROR(VLOOKUP(C108, Input2!$C$206:$G$207, 3, FALSE), "")</f>
        <v/>
      </c>
      <c r="C108" s="38"/>
      <c r="D108" s="39"/>
      <c r="E108" s="32" t="str">
        <f>IFERROR(VLOOKUP(C108, Input2!$C$204:$G$2000, 2, FALSE), "")</f>
        <v/>
      </c>
      <c r="F108" s="41">
        <v>0</v>
      </c>
      <c r="G108" s="35">
        <f t="shared" si="42"/>
        <v>0</v>
      </c>
      <c r="H108" s="48" t="str">
        <f>IFERROR(VLOOKUP(C108, Input2!$C$204:$G$2000, 4, FALSE), "")</f>
        <v/>
      </c>
      <c r="I108" s="35" t="str">
        <f t="shared" si="46"/>
        <v/>
      </c>
      <c r="J108" s="41" t="str">
        <f>IFERROR(VLOOKUP(C108, Input2!$C$204:$G$2000, 5, FALSE), "")</f>
        <v/>
      </c>
      <c r="K108" s="34">
        <f t="shared" si="43"/>
        <v>0</v>
      </c>
      <c r="L108" s="42"/>
      <c r="M108" s="35">
        <f t="shared" si="44"/>
        <v>0</v>
      </c>
      <c r="N108" s="41">
        <v>0</v>
      </c>
      <c r="O108" s="35">
        <f t="shared" si="45"/>
        <v>0</v>
      </c>
      <c r="P108" s="36">
        <f t="shared" si="47"/>
        <v>0</v>
      </c>
      <c r="Q108" s="35">
        <f t="shared" si="48"/>
        <v>0</v>
      </c>
    </row>
    <row r="109" spans="2:17" x14ac:dyDescent="0.35">
      <c r="B109" s="37" t="str">
        <f>IFERROR(VLOOKUP(C109, Input2!$C$206:$G$207, 3, FALSE), "")</f>
        <v/>
      </c>
      <c r="C109" s="38"/>
      <c r="D109" s="39"/>
      <c r="E109" s="32" t="str">
        <f>IFERROR(VLOOKUP(C109, Input2!$C$204:$G$2000, 2, FALSE), "")</f>
        <v/>
      </c>
      <c r="F109" s="41">
        <v>0</v>
      </c>
      <c r="G109" s="35">
        <f t="shared" si="42"/>
        <v>0</v>
      </c>
      <c r="H109" s="48" t="str">
        <f>IFERROR(VLOOKUP(C109, Input2!$C$204:$G$2000, 4, FALSE), "")</f>
        <v/>
      </c>
      <c r="I109" s="35" t="str">
        <f t="shared" si="46"/>
        <v/>
      </c>
      <c r="J109" s="41" t="str">
        <f>IFERROR(VLOOKUP(C109, Input2!$C$204:$G$2000, 5, FALSE), "")</f>
        <v/>
      </c>
      <c r="K109" s="34">
        <f t="shared" si="43"/>
        <v>0</v>
      </c>
      <c r="L109" s="42"/>
      <c r="M109" s="35">
        <f t="shared" si="44"/>
        <v>0</v>
      </c>
      <c r="N109" s="41">
        <v>0</v>
      </c>
      <c r="O109" s="35">
        <f t="shared" si="45"/>
        <v>0</v>
      </c>
      <c r="P109" s="36">
        <f t="shared" si="47"/>
        <v>0</v>
      </c>
      <c r="Q109" s="35">
        <f t="shared" si="48"/>
        <v>0</v>
      </c>
    </row>
    <row r="110" spans="2:17" x14ac:dyDescent="0.35">
      <c r="B110" s="37"/>
      <c r="C110" s="38"/>
      <c r="D110" s="39"/>
      <c r="E110" s="32" t="str">
        <f>IFERROR(VLOOKUP(C110, Input2!$C$204:$G$2000, 2, FALSE), "")</f>
        <v/>
      </c>
      <c r="F110" s="41">
        <v>0</v>
      </c>
      <c r="G110" s="35">
        <f t="shared" si="42"/>
        <v>0</v>
      </c>
      <c r="H110" s="48" t="str">
        <f>IFERROR(VLOOKUP(C110, Input2!$C$204:$G$2000, 4, FALSE), "")</f>
        <v/>
      </c>
      <c r="I110" s="35" t="str">
        <f t="shared" si="46"/>
        <v/>
      </c>
      <c r="J110" s="41" t="str">
        <f>IFERROR(VLOOKUP(C110, Input2!$C$204:$G$2000, 5, FALSE), "")</f>
        <v/>
      </c>
      <c r="K110" s="34">
        <f t="shared" si="43"/>
        <v>0</v>
      </c>
      <c r="L110" s="42"/>
      <c r="M110" s="35">
        <f t="shared" si="44"/>
        <v>0</v>
      </c>
      <c r="N110" s="41">
        <v>0</v>
      </c>
      <c r="O110" s="35">
        <f t="shared" si="45"/>
        <v>0</v>
      </c>
      <c r="P110" s="36">
        <f t="shared" si="47"/>
        <v>0</v>
      </c>
      <c r="Q110" s="35">
        <f t="shared" si="48"/>
        <v>0</v>
      </c>
    </row>
    <row r="111" spans="2:17" x14ac:dyDescent="0.35">
      <c r="B111" s="37"/>
      <c r="C111" s="38"/>
      <c r="D111" s="39"/>
      <c r="E111" s="32" t="str">
        <f>IFERROR(VLOOKUP(C111, Input2!$C$204:$G$2000, 2, FALSE), "")</f>
        <v/>
      </c>
      <c r="F111" s="41">
        <v>0</v>
      </c>
      <c r="G111" s="35">
        <f t="shared" si="42"/>
        <v>0</v>
      </c>
      <c r="H111" s="48" t="str">
        <f>IFERROR(VLOOKUP(C111, Input2!$C$204:$G$2000, 4, FALSE), "")</f>
        <v/>
      </c>
      <c r="I111" s="35" t="str">
        <f t="shared" si="46"/>
        <v/>
      </c>
      <c r="J111" s="41" t="str">
        <f>IFERROR(VLOOKUP(C111, Input2!$C$204:$G$2000, 5, FALSE), "")</f>
        <v/>
      </c>
      <c r="K111" s="34">
        <f t="shared" si="43"/>
        <v>0</v>
      </c>
      <c r="L111" s="42"/>
      <c r="M111" s="35">
        <f t="shared" si="44"/>
        <v>0</v>
      </c>
      <c r="N111" s="41">
        <v>0</v>
      </c>
      <c r="O111" s="35">
        <f t="shared" si="45"/>
        <v>0</v>
      </c>
      <c r="P111" s="36">
        <f t="shared" si="47"/>
        <v>0</v>
      </c>
      <c r="Q111" s="35">
        <f t="shared" si="48"/>
        <v>0</v>
      </c>
    </row>
    <row r="112" spans="2:17" x14ac:dyDescent="0.35">
      <c r="B112" s="37"/>
      <c r="C112" s="38"/>
      <c r="D112" s="39"/>
      <c r="E112" s="32" t="str">
        <f>IFERROR(VLOOKUP(C112, Input2!$C$204:$G$2000, 2, FALSE), "")</f>
        <v/>
      </c>
      <c r="F112" s="41">
        <v>0</v>
      </c>
      <c r="G112" s="35">
        <f t="shared" si="42"/>
        <v>0</v>
      </c>
      <c r="H112" s="48" t="str">
        <f>IFERROR(VLOOKUP(C112, Input2!$C$204:$G$2000, 4, FALSE), "")</f>
        <v/>
      </c>
      <c r="I112" s="35" t="str">
        <f t="shared" si="46"/>
        <v/>
      </c>
      <c r="J112" s="41" t="str">
        <f>IFERROR(VLOOKUP(C112, Input2!$C$204:$G$2000, 5, FALSE), "")</f>
        <v/>
      </c>
      <c r="K112" s="34">
        <f t="shared" si="43"/>
        <v>0</v>
      </c>
      <c r="L112" s="42"/>
      <c r="M112" s="35">
        <f t="shared" si="44"/>
        <v>0</v>
      </c>
      <c r="N112" s="41">
        <v>0</v>
      </c>
      <c r="O112" s="35">
        <f t="shared" si="45"/>
        <v>0</v>
      </c>
      <c r="P112" s="36">
        <f t="shared" si="47"/>
        <v>0</v>
      </c>
      <c r="Q112" s="35">
        <f t="shared" si="48"/>
        <v>0</v>
      </c>
    </row>
    <row r="113" spans="2:17" x14ac:dyDescent="0.35">
      <c r="B113" s="37"/>
      <c r="C113" s="30" t="s">
        <v>21423</v>
      </c>
      <c r="D113" s="39"/>
      <c r="E113" s="32"/>
      <c r="F113" s="41">
        <v>0</v>
      </c>
      <c r="G113" s="35">
        <f t="shared" si="42"/>
        <v>0</v>
      </c>
      <c r="H113" s="48"/>
      <c r="I113" s="35">
        <f>$D113*H113</f>
        <v>0</v>
      </c>
      <c r="J113" s="41"/>
      <c r="K113" s="34"/>
      <c r="L113" s="42"/>
      <c r="M113" s="35">
        <f t="shared" si="44"/>
        <v>0</v>
      </c>
      <c r="N113" s="41">
        <v>0</v>
      </c>
      <c r="O113" s="35">
        <f t="shared" si="45"/>
        <v>0</v>
      </c>
      <c r="P113" s="36">
        <f t="shared" ref="P113:P118" si="49">F113+(H113*(1+$I$4))+IFERROR(L113/J113,0)+N113</f>
        <v>0</v>
      </c>
      <c r="Q113" s="35">
        <f t="shared" ref="Q113:Q124" si="50">SUM(O113,M113,I113*(1+$I$4),G113)</f>
        <v>0</v>
      </c>
    </row>
    <row r="114" spans="2:17" x14ac:dyDescent="0.35">
      <c r="B114" s="37"/>
      <c r="C114" s="38"/>
      <c r="D114" s="39"/>
      <c r="E114" s="32" t="s">
        <v>24</v>
      </c>
      <c r="F114" s="41">
        <v>0</v>
      </c>
      <c r="G114" s="35">
        <f t="shared" si="42"/>
        <v>0</v>
      </c>
      <c r="H114" s="48"/>
      <c r="I114" s="35">
        <f>$D114*H114</f>
        <v>0</v>
      </c>
      <c r="J114" s="41"/>
      <c r="K114" s="34"/>
      <c r="L114" s="42" t="str">
        <f>IFERROR(VLOOKUP(C114, Input2!K92:M97, 2, FALSE), "")</f>
        <v/>
      </c>
      <c r="M114" s="35">
        <f t="shared" si="44"/>
        <v>0</v>
      </c>
      <c r="N114" s="41">
        <v>0</v>
      </c>
      <c r="O114" s="35">
        <f t="shared" si="45"/>
        <v>0</v>
      </c>
      <c r="P114" s="36">
        <f t="shared" si="49"/>
        <v>0</v>
      </c>
      <c r="Q114" s="35">
        <f t="shared" si="50"/>
        <v>0</v>
      </c>
    </row>
    <row r="115" spans="2:17" x14ac:dyDescent="0.35">
      <c r="B115" s="37"/>
      <c r="C115" s="38"/>
      <c r="D115" s="39"/>
      <c r="E115" s="32" t="s">
        <v>24</v>
      </c>
      <c r="F115" s="41">
        <v>0</v>
      </c>
      <c r="G115" s="35">
        <f t="shared" si="42"/>
        <v>0</v>
      </c>
      <c r="H115" s="48"/>
      <c r="I115" s="35">
        <f>$D115*H115</f>
        <v>0</v>
      </c>
      <c r="J115" s="41"/>
      <c r="K115" s="34"/>
      <c r="L115" s="42" t="str">
        <f>IFERROR(VLOOKUP(C115, Input2!K93:M98, 2, FALSE), "")</f>
        <v/>
      </c>
      <c r="M115" s="35">
        <f t="shared" si="44"/>
        <v>0</v>
      </c>
      <c r="N115" s="41">
        <v>0</v>
      </c>
      <c r="O115" s="35">
        <f t="shared" si="45"/>
        <v>0</v>
      </c>
      <c r="P115" s="36">
        <f t="shared" si="49"/>
        <v>0</v>
      </c>
      <c r="Q115" s="35">
        <f t="shared" si="50"/>
        <v>0</v>
      </c>
    </row>
    <row r="116" spans="2:17" x14ac:dyDescent="0.35">
      <c r="B116" s="37"/>
      <c r="C116" s="38"/>
      <c r="D116" s="39"/>
      <c r="E116" s="32" t="s">
        <v>24</v>
      </c>
      <c r="F116" s="41">
        <v>0</v>
      </c>
      <c r="G116" s="35">
        <f t="shared" si="42"/>
        <v>0</v>
      </c>
      <c r="H116" s="48"/>
      <c r="I116" s="35">
        <f>$D116*H116</f>
        <v>0</v>
      </c>
      <c r="J116" s="41"/>
      <c r="K116" s="34"/>
      <c r="L116" s="42" t="str">
        <f>IFERROR(VLOOKUP(C116, Input2!K94:M99, 2, FALSE), "")</f>
        <v/>
      </c>
      <c r="M116" s="35">
        <f t="shared" si="44"/>
        <v>0</v>
      </c>
      <c r="N116" s="41">
        <v>0</v>
      </c>
      <c r="O116" s="35">
        <f t="shared" si="45"/>
        <v>0</v>
      </c>
      <c r="P116" s="36">
        <f t="shared" si="49"/>
        <v>0</v>
      </c>
      <c r="Q116" s="35">
        <f t="shared" si="50"/>
        <v>0</v>
      </c>
    </row>
    <row r="117" spans="2:17" x14ac:dyDescent="0.35">
      <c r="B117" s="37"/>
      <c r="C117" s="38"/>
      <c r="D117" s="39"/>
      <c r="E117" s="32" t="s">
        <v>24</v>
      </c>
      <c r="F117" s="41">
        <v>0</v>
      </c>
      <c r="G117" s="35">
        <f t="shared" si="42"/>
        <v>0</v>
      </c>
      <c r="H117" s="48"/>
      <c r="I117" s="35">
        <f>$D117*H117</f>
        <v>0</v>
      </c>
      <c r="J117" s="41"/>
      <c r="K117" s="34"/>
      <c r="L117" s="42" t="str">
        <f>IFERROR(VLOOKUP(C117, Input2!K95:M100, 2, FALSE), "")</f>
        <v/>
      </c>
      <c r="M117" s="35">
        <f t="shared" si="44"/>
        <v>0</v>
      </c>
      <c r="N117" s="41">
        <v>0</v>
      </c>
      <c r="O117" s="35">
        <f t="shared" si="45"/>
        <v>0</v>
      </c>
      <c r="P117" s="36">
        <f t="shared" si="49"/>
        <v>0</v>
      </c>
      <c r="Q117" s="35">
        <f t="shared" si="50"/>
        <v>0</v>
      </c>
    </row>
    <row r="118" spans="2:17" x14ac:dyDescent="0.35">
      <c r="B118" s="37"/>
      <c r="C118" s="30" t="s">
        <v>21422</v>
      </c>
      <c r="D118" s="39"/>
      <c r="E118" s="32"/>
      <c r="F118" s="41"/>
      <c r="G118" s="35"/>
      <c r="H118" s="48"/>
      <c r="I118" s="35"/>
      <c r="J118" s="41"/>
      <c r="K118" s="34"/>
      <c r="L118" s="42"/>
      <c r="M118" s="35"/>
      <c r="N118" s="41">
        <v>0</v>
      </c>
      <c r="O118" s="35">
        <f t="shared" si="45"/>
        <v>0</v>
      </c>
      <c r="P118" s="36">
        <f t="shared" si="49"/>
        <v>0</v>
      </c>
      <c r="Q118" s="35">
        <f t="shared" si="50"/>
        <v>0</v>
      </c>
    </row>
    <row r="119" spans="2:17" x14ac:dyDescent="0.35">
      <c r="B119" s="37"/>
      <c r="C119" s="38"/>
      <c r="D119" s="39"/>
      <c r="E119" s="32" t="s">
        <v>24</v>
      </c>
      <c r="F119" s="41"/>
      <c r="G119" s="35"/>
      <c r="H119" s="48"/>
      <c r="I119" s="35"/>
      <c r="J119" s="41"/>
      <c r="K119" s="34"/>
      <c r="L119" s="42"/>
      <c r="M119" s="35"/>
      <c r="N119" s="41">
        <f>IFERROR(VLOOKUP(C119, Input2!N91:O96, 2, FALSE), "")</f>
        <v>0</v>
      </c>
      <c r="O119" s="35" t="str">
        <f>IF(AND(ISNUMBER(D119), ISNUMBER(N119)), D119 * N119, "")</f>
        <v/>
      </c>
      <c r="P119" s="36">
        <f>IF(ISNUMBER(F119), F119, 0) + IF(ISNUMBER(H119), H119 * (1 + $I$4), 0) + IF(AND(ISNUMBER(L119), ISNUMBER(J119), J119&lt;&gt;0), L119 / J119, 0) + IF(ISNUMBER(N119), N119, 0)</f>
        <v>0</v>
      </c>
      <c r="Q119" s="35">
        <f t="shared" si="50"/>
        <v>0</v>
      </c>
    </row>
    <row r="120" spans="2:17" x14ac:dyDescent="0.35">
      <c r="B120" s="37"/>
      <c r="C120" s="38"/>
      <c r="D120" s="39"/>
      <c r="E120" s="32" t="s">
        <v>24</v>
      </c>
      <c r="F120" s="41"/>
      <c r="G120" s="35"/>
      <c r="H120" s="48"/>
      <c r="I120" s="35"/>
      <c r="J120" s="41"/>
      <c r="K120" s="34"/>
      <c r="L120" s="42"/>
      <c r="M120" s="35"/>
      <c r="N120" s="41">
        <f>IFERROR(VLOOKUP(C120, Input2!N92:O97, 2, FALSE), "")</f>
        <v>0</v>
      </c>
      <c r="O120" s="35" t="str">
        <f>IF(AND(ISNUMBER(D120), ISNUMBER(N120)), D120 * N120, "")</f>
        <v/>
      </c>
      <c r="P120" s="36">
        <f>IF(ISNUMBER(F120), F120, 0) + IF(ISNUMBER(H120), H120 * (1 + $I$4), 0) + IF(AND(ISNUMBER(L120), ISNUMBER(J120), J120&lt;&gt;0), L120 / J120, 0) + IF(ISNUMBER(N120), N120, 0)</f>
        <v>0</v>
      </c>
      <c r="Q120" s="35">
        <f t="shared" si="50"/>
        <v>0</v>
      </c>
    </row>
    <row r="121" spans="2:17" x14ac:dyDescent="0.35">
      <c r="B121" s="37"/>
      <c r="C121" s="38"/>
      <c r="D121" s="39"/>
      <c r="E121" s="32" t="s">
        <v>24</v>
      </c>
      <c r="F121" s="41"/>
      <c r="G121" s="35"/>
      <c r="H121" s="48"/>
      <c r="I121" s="35"/>
      <c r="J121" s="41"/>
      <c r="K121" s="34"/>
      <c r="L121" s="42"/>
      <c r="M121" s="35"/>
      <c r="N121" s="41">
        <f>IFERROR(VLOOKUP(C121, Input2!N93:O98, 2, FALSE), "")</f>
        <v>0</v>
      </c>
      <c r="O121" s="35" t="str">
        <f>IF(AND(ISNUMBER(D121), ISNUMBER(N121)), D121 * N121, "")</f>
        <v/>
      </c>
      <c r="P121" s="36">
        <f>IF(ISNUMBER(F121), F121, 0) + IF(ISNUMBER(H121), H121 * (1 + $I$4), 0) + IF(AND(ISNUMBER(L121), ISNUMBER(J121), J121&lt;&gt;0), L121 / J121, 0) + IF(ISNUMBER(N121), N121, 0)</f>
        <v>0</v>
      </c>
      <c r="Q121" s="35">
        <f t="shared" si="50"/>
        <v>0</v>
      </c>
    </row>
    <row r="122" spans="2:17" x14ac:dyDescent="0.35">
      <c r="B122" s="37"/>
      <c r="C122" s="38"/>
      <c r="D122" s="39"/>
      <c r="E122" s="32" t="s">
        <v>24</v>
      </c>
      <c r="F122" s="41"/>
      <c r="G122" s="35"/>
      <c r="H122" s="48"/>
      <c r="I122" s="35"/>
      <c r="J122" s="41"/>
      <c r="K122" s="34"/>
      <c r="L122" s="42"/>
      <c r="M122" s="35"/>
      <c r="N122" s="41">
        <f>IFERROR(VLOOKUP(C122, Input2!N94:O99, 2, FALSE), "")</f>
        <v>0</v>
      </c>
      <c r="O122" s="35" t="str">
        <f>IF(AND(ISNUMBER(D122), ISNUMBER(N122)), D122 * N122, "")</f>
        <v/>
      </c>
      <c r="P122" s="36">
        <f>IF(ISNUMBER(F122), F122, 0) + IF(ISNUMBER(H122), H122 * (1 + $I$4), 0) + IF(AND(ISNUMBER(L122), ISNUMBER(J122), J122&lt;&gt;0), L122 / J122, 0) + IF(ISNUMBER(N122), N122, 0)</f>
        <v>0</v>
      </c>
      <c r="Q122" s="35">
        <f t="shared" si="50"/>
        <v>0</v>
      </c>
    </row>
    <row r="123" spans="2:17" x14ac:dyDescent="0.35">
      <c r="B123" s="37" t="str">
        <f>IFERROR(VLOOKUP(C123, Input2!$C$206:$G$207, 3, FALSE), "")</f>
        <v/>
      </c>
      <c r="C123" s="38"/>
      <c r="D123" s="39"/>
      <c r="E123" s="32"/>
      <c r="F123" s="41"/>
      <c r="G123" s="35"/>
      <c r="H123" s="48"/>
      <c r="I123" s="35"/>
      <c r="J123" s="41"/>
      <c r="K123" s="34"/>
      <c r="L123" s="42"/>
      <c r="M123" s="35"/>
      <c r="N123" s="41">
        <v>0</v>
      </c>
      <c r="O123" s="35">
        <f>$D123*N123</f>
        <v>0</v>
      </c>
      <c r="P123" s="36">
        <f>F123+(H123*(1+$I$4))+IFERROR(L123/J123,0)+N123</f>
        <v>0</v>
      </c>
      <c r="Q123" s="35">
        <f t="shared" si="50"/>
        <v>0</v>
      </c>
    </row>
    <row r="124" spans="2:17" x14ac:dyDescent="0.35">
      <c r="B124" s="37" t="str">
        <f>IFERROR(VLOOKUP(C124, Input2!$C$206:$G$207, 3, FALSE), "")</f>
        <v/>
      </c>
      <c r="C124" s="38"/>
      <c r="D124" s="39"/>
      <c r="E124" s="32"/>
      <c r="F124" s="41"/>
      <c r="G124" s="35"/>
      <c r="H124" s="48"/>
      <c r="I124" s="35"/>
      <c r="J124" s="41"/>
      <c r="K124" s="34"/>
      <c r="L124" s="42"/>
      <c r="M124" s="35"/>
      <c r="N124" s="41">
        <v>0</v>
      </c>
      <c r="O124" s="35">
        <f>$D124*N124</f>
        <v>0</v>
      </c>
      <c r="P124" s="36">
        <f>F124+(H124*(1+$I$4))+IFERROR(L124/J124,0)+N124</f>
        <v>0</v>
      </c>
      <c r="Q124" s="35">
        <f t="shared" si="50"/>
        <v>0</v>
      </c>
    </row>
    <row r="125" spans="2:17" ht="15.5" x14ac:dyDescent="0.35">
      <c r="B125" s="37" t="str">
        <f>IFERROR(VLOOKUP(C125, Input2!$C$206:$G$207, 3, FALSE), "")</f>
        <v/>
      </c>
      <c r="C125" s="105" t="s">
        <v>21431</v>
      </c>
      <c r="D125" s="39"/>
      <c r="E125" s="32"/>
      <c r="F125" s="41"/>
      <c r="G125" s="35"/>
      <c r="H125" s="34"/>
      <c r="I125" s="35"/>
      <c r="J125" s="41"/>
      <c r="K125" s="34"/>
      <c r="L125" s="34"/>
      <c r="M125" s="35"/>
      <c r="N125" s="41"/>
      <c r="O125" s="35"/>
      <c r="P125" s="31"/>
      <c r="Q125" s="35"/>
    </row>
    <row r="126" spans="2:17" x14ac:dyDescent="0.35">
      <c r="B126" s="37" t="str">
        <f>IFERROR(VLOOKUP(C126, Input2!$C$206:$G$207, 3, FALSE), "")</f>
        <v/>
      </c>
      <c r="C126" s="30" t="s">
        <v>21424</v>
      </c>
      <c r="D126" s="39"/>
      <c r="E126" s="32"/>
      <c r="F126" s="41">
        <v>0</v>
      </c>
      <c r="G126" s="35">
        <f t="shared" ref="G126:G139" si="51">$D126*F126</f>
        <v>0</v>
      </c>
      <c r="H126" s="48"/>
      <c r="I126" s="35">
        <f>$D126*H126</f>
        <v>0</v>
      </c>
      <c r="J126" s="41"/>
      <c r="K126" s="34">
        <f t="shared" ref="K126:K134" si="52">IFERROR($D126/$J126,0)</f>
        <v>0</v>
      </c>
      <c r="L126" s="42"/>
      <c r="M126" s="35">
        <f t="shared" ref="M126:M139" si="53">IFERROR(K126*L126,0)</f>
        <v>0</v>
      </c>
      <c r="N126" s="41">
        <v>0</v>
      </c>
      <c r="O126" s="35">
        <f t="shared" ref="O126:O140" si="54">$D126*N126</f>
        <v>0</v>
      </c>
      <c r="P126" s="36">
        <f>F126+(H126*(1+$I$4))+IFERROR(L126/J126,0)+N126</f>
        <v>0</v>
      </c>
      <c r="Q126" s="35">
        <f>SUM(O126,M126,I126*(1+$I$4),G126)</f>
        <v>0</v>
      </c>
    </row>
    <row r="127" spans="2:17" x14ac:dyDescent="0.35">
      <c r="B127" s="37" t="str">
        <f>IFERROR(VLOOKUP(C127, Input2!$C$206:$G$207, 3, FALSE), "")</f>
        <v/>
      </c>
      <c r="C127" s="38"/>
      <c r="D127" s="39"/>
      <c r="E127" s="32" t="str">
        <f>IFERROR(VLOOKUP(C127, Input2!$C$204:$G$2000, 2, FALSE), "")</f>
        <v/>
      </c>
      <c r="F127" s="41">
        <v>0</v>
      </c>
      <c r="G127" s="35">
        <f t="shared" si="51"/>
        <v>0</v>
      </c>
      <c r="H127" s="48" t="str">
        <f>IFERROR(VLOOKUP(C127, Input2!$C$204:$G$2000, 4, FALSE), "")</f>
        <v/>
      </c>
      <c r="I127" s="35" t="str">
        <f t="shared" ref="I127:I134" si="55">IF(AND(ISNUMBER(D127), ISNUMBER(H127)), D127 * H127, "")</f>
        <v/>
      </c>
      <c r="J127" s="41" t="str">
        <f>IFERROR(VLOOKUP(C127, Input2!$C$204:$G$2000, 5, FALSE), "")</f>
        <v/>
      </c>
      <c r="K127" s="34">
        <f t="shared" si="52"/>
        <v>0</v>
      </c>
      <c r="L127" s="42"/>
      <c r="M127" s="35">
        <f t="shared" si="53"/>
        <v>0</v>
      </c>
      <c r="N127" s="41">
        <v>0</v>
      </c>
      <c r="O127" s="35">
        <f t="shared" si="54"/>
        <v>0</v>
      </c>
      <c r="P127" s="36">
        <f t="shared" ref="P127:P134" si="56">IF(ISNUMBER(F127), F127, 0) + IF(ISNUMBER(H127), H127 * (1 + $I$4), 0) + IF(AND(ISNUMBER(L127), ISNUMBER(J127), J127 &lt;&gt; 0), L127 / J127, 0) + IF(ISNUMBER(N127), N127, 0)</f>
        <v>0</v>
      </c>
      <c r="Q127" s="35">
        <f t="shared" ref="Q127:Q134" si="57">SUM(IF(ISNUMBER(O127), O127, 0), IF(ISNUMBER(M127), M127, 0), IF(ISNUMBER(I127), I127 * (1 + $I$4), 0), IF(ISNUMBER(G127), G127, 0))</f>
        <v>0</v>
      </c>
    </row>
    <row r="128" spans="2:17" x14ac:dyDescent="0.35">
      <c r="B128" s="37" t="str">
        <f>IFERROR(VLOOKUP(C128, Input2!$C$206:$G$207, 3, FALSE), "")</f>
        <v/>
      </c>
      <c r="C128" s="38"/>
      <c r="D128" s="39"/>
      <c r="E128" s="32" t="str">
        <f>IFERROR(VLOOKUP(C128, Input2!$C$204:$G$2000, 2, FALSE), "")</f>
        <v/>
      </c>
      <c r="F128" s="41">
        <v>0</v>
      </c>
      <c r="G128" s="35">
        <f t="shared" si="51"/>
        <v>0</v>
      </c>
      <c r="H128" s="48" t="str">
        <f>IFERROR(VLOOKUP(C128, Input2!$C$204:$G$2000, 4, FALSE), "")</f>
        <v/>
      </c>
      <c r="I128" s="35" t="str">
        <f t="shared" si="55"/>
        <v/>
      </c>
      <c r="J128" s="41" t="str">
        <f>IFERROR(VLOOKUP(C128, Input2!$C$204:$G$2000, 5, FALSE), "")</f>
        <v/>
      </c>
      <c r="K128" s="34">
        <f t="shared" si="52"/>
        <v>0</v>
      </c>
      <c r="L128" s="42"/>
      <c r="M128" s="35">
        <f t="shared" si="53"/>
        <v>0</v>
      </c>
      <c r="N128" s="41">
        <v>0</v>
      </c>
      <c r="O128" s="35">
        <f t="shared" si="54"/>
        <v>0</v>
      </c>
      <c r="P128" s="36">
        <f t="shared" si="56"/>
        <v>0</v>
      </c>
      <c r="Q128" s="35">
        <f t="shared" si="57"/>
        <v>0</v>
      </c>
    </row>
    <row r="129" spans="2:17" x14ac:dyDescent="0.35">
      <c r="B129" s="37" t="str">
        <f>IFERROR(VLOOKUP(C129, Input2!$C$206:$G$207, 3, FALSE), "")</f>
        <v/>
      </c>
      <c r="C129" s="38"/>
      <c r="D129" s="39"/>
      <c r="E129" s="32" t="str">
        <f>IFERROR(VLOOKUP(C129, Input2!$C$204:$G$2000, 2, FALSE), "")</f>
        <v/>
      </c>
      <c r="F129" s="41">
        <v>0</v>
      </c>
      <c r="G129" s="35">
        <f t="shared" si="51"/>
        <v>0</v>
      </c>
      <c r="H129" s="48" t="str">
        <f>IFERROR(VLOOKUP(C129, Input2!$C$204:$G$2000, 4, FALSE), "")</f>
        <v/>
      </c>
      <c r="I129" s="35" t="str">
        <f t="shared" si="55"/>
        <v/>
      </c>
      <c r="J129" s="41" t="str">
        <f>IFERROR(VLOOKUP(C129, Input2!$C$204:$G$2000, 5, FALSE), "")</f>
        <v/>
      </c>
      <c r="K129" s="34">
        <f t="shared" si="52"/>
        <v>0</v>
      </c>
      <c r="L129" s="42"/>
      <c r="M129" s="35">
        <f t="shared" si="53"/>
        <v>0</v>
      </c>
      <c r="N129" s="41">
        <v>0</v>
      </c>
      <c r="O129" s="35">
        <f t="shared" si="54"/>
        <v>0</v>
      </c>
      <c r="P129" s="36">
        <f t="shared" si="56"/>
        <v>0</v>
      </c>
      <c r="Q129" s="35">
        <f t="shared" si="57"/>
        <v>0</v>
      </c>
    </row>
    <row r="130" spans="2:17" x14ac:dyDescent="0.35">
      <c r="B130" s="37" t="str">
        <f>IFERROR(VLOOKUP(C130, Input2!$C$206:$G$207, 3, FALSE), "")</f>
        <v/>
      </c>
      <c r="C130" s="38"/>
      <c r="D130" s="39"/>
      <c r="E130" s="32" t="str">
        <f>IFERROR(VLOOKUP(C130, Input2!$C$204:$G$2000, 2, FALSE), "")</f>
        <v/>
      </c>
      <c r="F130" s="41">
        <v>0</v>
      </c>
      <c r="G130" s="35">
        <f t="shared" si="51"/>
        <v>0</v>
      </c>
      <c r="H130" s="48" t="str">
        <f>IFERROR(VLOOKUP(C130, Input2!$C$204:$G$2000, 4, FALSE), "")</f>
        <v/>
      </c>
      <c r="I130" s="35" t="str">
        <f t="shared" si="55"/>
        <v/>
      </c>
      <c r="J130" s="41" t="str">
        <f>IFERROR(VLOOKUP(C130, Input2!$C$204:$G$2000, 5, FALSE), "")</f>
        <v/>
      </c>
      <c r="K130" s="34">
        <f t="shared" si="52"/>
        <v>0</v>
      </c>
      <c r="L130" s="42"/>
      <c r="M130" s="35">
        <f t="shared" si="53"/>
        <v>0</v>
      </c>
      <c r="N130" s="41">
        <v>0</v>
      </c>
      <c r="O130" s="35">
        <f t="shared" si="54"/>
        <v>0</v>
      </c>
      <c r="P130" s="36">
        <f t="shared" si="56"/>
        <v>0</v>
      </c>
      <c r="Q130" s="35">
        <f t="shared" si="57"/>
        <v>0</v>
      </c>
    </row>
    <row r="131" spans="2:17" x14ac:dyDescent="0.35">
      <c r="B131" s="37"/>
      <c r="C131" s="38"/>
      <c r="D131" s="39"/>
      <c r="E131" s="32" t="str">
        <f>IFERROR(VLOOKUP(C131, Input2!$C$204:$G$2000, 2, FALSE), "")</f>
        <v/>
      </c>
      <c r="F131" s="41">
        <v>0</v>
      </c>
      <c r="G131" s="35">
        <f t="shared" si="51"/>
        <v>0</v>
      </c>
      <c r="H131" s="48" t="str">
        <f>IFERROR(VLOOKUP(C131, Input2!$C$204:$G$2000, 4, FALSE), "")</f>
        <v/>
      </c>
      <c r="I131" s="35" t="str">
        <f t="shared" si="55"/>
        <v/>
      </c>
      <c r="J131" s="41" t="str">
        <f>IFERROR(VLOOKUP(C131, Input2!$C$204:$G$2000, 5, FALSE), "")</f>
        <v/>
      </c>
      <c r="K131" s="34">
        <f t="shared" si="52"/>
        <v>0</v>
      </c>
      <c r="L131" s="42"/>
      <c r="M131" s="35">
        <f t="shared" si="53"/>
        <v>0</v>
      </c>
      <c r="N131" s="41">
        <v>0</v>
      </c>
      <c r="O131" s="35">
        <f t="shared" si="54"/>
        <v>0</v>
      </c>
      <c r="P131" s="36">
        <f t="shared" si="56"/>
        <v>0</v>
      </c>
      <c r="Q131" s="35">
        <f t="shared" si="57"/>
        <v>0</v>
      </c>
    </row>
    <row r="132" spans="2:17" x14ac:dyDescent="0.35">
      <c r="B132" s="37"/>
      <c r="C132" s="38"/>
      <c r="D132" s="39"/>
      <c r="E132" s="32" t="str">
        <f>IFERROR(VLOOKUP(C132, Input2!$C$204:$G$2000, 2, FALSE), "")</f>
        <v/>
      </c>
      <c r="F132" s="41">
        <v>0</v>
      </c>
      <c r="G132" s="35">
        <f t="shared" si="51"/>
        <v>0</v>
      </c>
      <c r="H132" s="48" t="str">
        <f>IFERROR(VLOOKUP(C132, Input2!$C$204:$G$2000, 4, FALSE), "")</f>
        <v/>
      </c>
      <c r="I132" s="35" t="str">
        <f t="shared" si="55"/>
        <v/>
      </c>
      <c r="J132" s="41" t="str">
        <f>IFERROR(VLOOKUP(C132, Input2!$C$204:$G$2000, 5, FALSE), "")</f>
        <v/>
      </c>
      <c r="K132" s="34">
        <f t="shared" si="52"/>
        <v>0</v>
      </c>
      <c r="L132" s="42"/>
      <c r="M132" s="35">
        <f t="shared" si="53"/>
        <v>0</v>
      </c>
      <c r="N132" s="41">
        <v>0</v>
      </c>
      <c r="O132" s="35">
        <f t="shared" si="54"/>
        <v>0</v>
      </c>
      <c r="P132" s="36">
        <f t="shared" si="56"/>
        <v>0</v>
      </c>
      <c r="Q132" s="35">
        <f t="shared" si="57"/>
        <v>0</v>
      </c>
    </row>
    <row r="133" spans="2:17" x14ac:dyDescent="0.35">
      <c r="B133" s="37"/>
      <c r="C133" s="38"/>
      <c r="D133" s="39"/>
      <c r="E133" s="32" t="str">
        <f>IFERROR(VLOOKUP(C133, Input2!$C$204:$G$2000, 2, FALSE), "")</f>
        <v/>
      </c>
      <c r="F133" s="41">
        <v>0</v>
      </c>
      <c r="G133" s="35">
        <f t="shared" si="51"/>
        <v>0</v>
      </c>
      <c r="H133" s="48" t="str">
        <f>IFERROR(VLOOKUP(C133, Input2!$C$204:$G$2000, 4, FALSE), "")</f>
        <v/>
      </c>
      <c r="I133" s="35" t="str">
        <f t="shared" si="55"/>
        <v/>
      </c>
      <c r="J133" s="41" t="str">
        <f>IFERROR(VLOOKUP(C133, Input2!$C$204:$G$2000, 5, FALSE), "")</f>
        <v/>
      </c>
      <c r="K133" s="34">
        <f t="shared" si="52"/>
        <v>0</v>
      </c>
      <c r="L133" s="42"/>
      <c r="M133" s="35">
        <f t="shared" si="53"/>
        <v>0</v>
      </c>
      <c r="N133" s="41">
        <v>0</v>
      </c>
      <c r="O133" s="35">
        <f t="shared" si="54"/>
        <v>0</v>
      </c>
      <c r="P133" s="36">
        <f t="shared" si="56"/>
        <v>0</v>
      </c>
      <c r="Q133" s="35">
        <f t="shared" si="57"/>
        <v>0</v>
      </c>
    </row>
    <row r="134" spans="2:17" x14ac:dyDescent="0.35">
      <c r="B134" s="37"/>
      <c r="C134" s="38"/>
      <c r="D134" s="39"/>
      <c r="E134" s="32" t="str">
        <f>IFERROR(VLOOKUP(C134, Input2!$C$204:$G$2000, 2, FALSE), "")</f>
        <v/>
      </c>
      <c r="F134" s="41">
        <v>0</v>
      </c>
      <c r="G134" s="35">
        <f t="shared" si="51"/>
        <v>0</v>
      </c>
      <c r="H134" s="48" t="str">
        <f>IFERROR(VLOOKUP(C134, Input2!$C$204:$G$2000, 4, FALSE), "")</f>
        <v/>
      </c>
      <c r="I134" s="35" t="str">
        <f t="shared" si="55"/>
        <v/>
      </c>
      <c r="J134" s="41" t="str">
        <f>IFERROR(VLOOKUP(C134, Input2!$C$204:$G$2000, 5, FALSE), "")</f>
        <v/>
      </c>
      <c r="K134" s="34">
        <f t="shared" si="52"/>
        <v>0</v>
      </c>
      <c r="L134" s="42"/>
      <c r="M134" s="35">
        <f t="shared" si="53"/>
        <v>0</v>
      </c>
      <c r="N134" s="41">
        <v>0</v>
      </c>
      <c r="O134" s="35">
        <f t="shared" si="54"/>
        <v>0</v>
      </c>
      <c r="P134" s="36">
        <f t="shared" si="56"/>
        <v>0</v>
      </c>
      <c r="Q134" s="35">
        <f t="shared" si="57"/>
        <v>0</v>
      </c>
    </row>
    <row r="135" spans="2:17" x14ac:dyDescent="0.35">
      <c r="B135" s="37"/>
      <c r="C135" s="30" t="s">
        <v>21423</v>
      </c>
      <c r="D135" s="39"/>
      <c r="E135" s="32"/>
      <c r="F135" s="41">
        <v>0</v>
      </c>
      <c r="G135" s="35">
        <f t="shared" si="51"/>
        <v>0</v>
      </c>
      <c r="H135" s="48"/>
      <c r="I135" s="35">
        <f>$D135*H135</f>
        <v>0</v>
      </c>
      <c r="J135" s="41"/>
      <c r="K135" s="34"/>
      <c r="L135" s="42"/>
      <c r="M135" s="35">
        <f t="shared" si="53"/>
        <v>0</v>
      </c>
      <c r="N135" s="41">
        <v>0</v>
      </c>
      <c r="O135" s="35">
        <f t="shared" si="54"/>
        <v>0</v>
      </c>
      <c r="P135" s="36">
        <f t="shared" ref="P135:P140" si="58">F135+(H135*(1+$I$4))+IFERROR(L135/J135,0)+N135</f>
        <v>0</v>
      </c>
      <c r="Q135" s="35">
        <f t="shared" ref="Q135:Q146" si="59">SUM(O135,M135,I135*(1+$I$4),G135)</f>
        <v>0</v>
      </c>
    </row>
    <row r="136" spans="2:17" x14ac:dyDescent="0.35">
      <c r="B136" s="37"/>
      <c r="C136" s="38"/>
      <c r="D136" s="39"/>
      <c r="E136" s="32" t="s">
        <v>24</v>
      </c>
      <c r="F136" s="41">
        <v>0</v>
      </c>
      <c r="G136" s="35">
        <f t="shared" si="51"/>
        <v>0</v>
      </c>
      <c r="H136" s="48"/>
      <c r="I136" s="35">
        <f>$D136*H136</f>
        <v>0</v>
      </c>
      <c r="J136" s="41"/>
      <c r="K136" s="34"/>
      <c r="L136" s="42" t="str">
        <f>IFERROR(VLOOKUP(C136, Input2!K114:M119, 2, FALSE), "")</f>
        <v/>
      </c>
      <c r="M136" s="35">
        <f t="shared" si="53"/>
        <v>0</v>
      </c>
      <c r="N136" s="41">
        <v>0</v>
      </c>
      <c r="O136" s="35">
        <f t="shared" si="54"/>
        <v>0</v>
      </c>
      <c r="P136" s="36">
        <f t="shared" si="58"/>
        <v>0</v>
      </c>
      <c r="Q136" s="35">
        <f t="shared" si="59"/>
        <v>0</v>
      </c>
    </row>
    <row r="137" spans="2:17" x14ac:dyDescent="0.35">
      <c r="B137" s="37"/>
      <c r="C137" s="38"/>
      <c r="D137" s="39"/>
      <c r="E137" s="32" t="s">
        <v>24</v>
      </c>
      <c r="F137" s="41">
        <v>0</v>
      </c>
      <c r="G137" s="35">
        <f t="shared" si="51"/>
        <v>0</v>
      </c>
      <c r="H137" s="48"/>
      <c r="I137" s="35">
        <f>$D137*H137</f>
        <v>0</v>
      </c>
      <c r="J137" s="41"/>
      <c r="K137" s="34"/>
      <c r="L137" s="42" t="str">
        <f>IFERROR(VLOOKUP(C137, Input2!K115:M120, 2, FALSE), "")</f>
        <v/>
      </c>
      <c r="M137" s="35">
        <f t="shared" si="53"/>
        <v>0</v>
      </c>
      <c r="N137" s="41">
        <v>0</v>
      </c>
      <c r="O137" s="35">
        <f t="shared" si="54"/>
        <v>0</v>
      </c>
      <c r="P137" s="36">
        <f t="shared" si="58"/>
        <v>0</v>
      </c>
      <c r="Q137" s="35">
        <f t="shared" si="59"/>
        <v>0</v>
      </c>
    </row>
    <row r="138" spans="2:17" x14ac:dyDescent="0.35">
      <c r="B138" s="37"/>
      <c r="C138" s="38"/>
      <c r="D138" s="39"/>
      <c r="E138" s="32" t="s">
        <v>24</v>
      </c>
      <c r="F138" s="41">
        <v>0</v>
      </c>
      <c r="G138" s="35">
        <f t="shared" si="51"/>
        <v>0</v>
      </c>
      <c r="H138" s="48"/>
      <c r="I138" s="35">
        <f>$D138*H138</f>
        <v>0</v>
      </c>
      <c r="J138" s="41"/>
      <c r="K138" s="34"/>
      <c r="L138" s="42" t="str">
        <f>IFERROR(VLOOKUP(C138, Input2!K116:M121, 2, FALSE), "")</f>
        <v/>
      </c>
      <c r="M138" s="35">
        <f t="shared" si="53"/>
        <v>0</v>
      </c>
      <c r="N138" s="41">
        <v>0</v>
      </c>
      <c r="O138" s="35">
        <f t="shared" si="54"/>
        <v>0</v>
      </c>
      <c r="P138" s="36">
        <f t="shared" si="58"/>
        <v>0</v>
      </c>
      <c r="Q138" s="35">
        <f t="shared" si="59"/>
        <v>0</v>
      </c>
    </row>
    <row r="139" spans="2:17" x14ac:dyDescent="0.35">
      <c r="B139" s="37"/>
      <c r="C139" s="38"/>
      <c r="D139" s="39"/>
      <c r="E139" s="32" t="s">
        <v>24</v>
      </c>
      <c r="F139" s="41">
        <v>0</v>
      </c>
      <c r="G139" s="35">
        <f t="shared" si="51"/>
        <v>0</v>
      </c>
      <c r="H139" s="48"/>
      <c r="I139" s="35">
        <f>$D139*H139</f>
        <v>0</v>
      </c>
      <c r="J139" s="41"/>
      <c r="K139" s="34"/>
      <c r="L139" s="42" t="str">
        <f>IFERROR(VLOOKUP(C139, Input2!K117:M122, 2, FALSE), "")</f>
        <v/>
      </c>
      <c r="M139" s="35">
        <f t="shared" si="53"/>
        <v>0</v>
      </c>
      <c r="N139" s="41">
        <v>0</v>
      </c>
      <c r="O139" s="35">
        <f t="shared" si="54"/>
        <v>0</v>
      </c>
      <c r="P139" s="36">
        <f t="shared" si="58"/>
        <v>0</v>
      </c>
      <c r="Q139" s="35">
        <f t="shared" si="59"/>
        <v>0</v>
      </c>
    </row>
    <row r="140" spans="2:17" x14ac:dyDescent="0.35">
      <c r="B140" s="37"/>
      <c r="C140" s="30" t="s">
        <v>21422</v>
      </c>
      <c r="D140" s="39"/>
      <c r="E140" s="32"/>
      <c r="F140" s="41"/>
      <c r="G140" s="35"/>
      <c r="H140" s="48"/>
      <c r="I140" s="35"/>
      <c r="J140" s="41"/>
      <c r="K140" s="34"/>
      <c r="L140" s="42"/>
      <c r="M140" s="35"/>
      <c r="N140" s="41">
        <v>0</v>
      </c>
      <c r="O140" s="35">
        <f t="shared" si="54"/>
        <v>0</v>
      </c>
      <c r="P140" s="36">
        <f t="shared" si="58"/>
        <v>0</v>
      </c>
      <c r="Q140" s="35">
        <f t="shared" si="59"/>
        <v>0</v>
      </c>
    </row>
    <row r="141" spans="2:17" x14ac:dyDescent="0.35">
      <c r="B141" s="37"/>
      <c r="C141" s="38"/>
      <c r="D141" s="39"/>
      <c r="E141" s="32" t="s">
        <v>24</v>
      </c>
      <c r="F141" s="41"/>
      <c r="G141" s="35"/>
      <c r="H141" s="48"/>
      <c r="I141" s="35"/>
      <c r="J141" s="41"/>
      <c r="K141" s="34"/>
      <c r="L141" s="42"/>
      <c r="M141" s="35"/>
      <c r="N141" s="41">
        <f>IFERROR(VLOOKUP(C141, Input2!N113:O118, 2, FALSE), "")</f>
        <v>0</v>
      </c>
      <c r="O141" s="35" t="str">
        <f>IF(AND(ISNUMBER(D141), ISNUMBER(N141)), D141 * N141, "")</f>
        <v/>
      </c>
      <c r="P141" s="36">
        <f>IF(ISNUMBER(F141), F141, 0) + IF(ISNUMBER(H141), H141 * (1 + $I$4), 0) + IF(AND(ISNUMBER(L141), ISNUMBER(J141), J141&lt;&gt;0), L141 / J141, 0) + IF(ISNUMBER(N141), N141, 0)</f>
        <v>0</v>
      </c>
      <c r="Q141" s="35">
        <f t="shared" si="59"/>
        <v>0</v>
      </c>
    </row>
    <row r="142" spans="2:17" x14ac:dyDescent="0.35">
      <c r="B142" s="37"/>
      <c r="C142" s="38"/>
      <c r="D142" s="39"/>
      <c r="E142" s="32" t="s">
        <v>24</v>
      </c>
      <c r="F142" s="41"/>
      <c r="G142" s="35"/>
      <c r="H142" s="48"/>
      <c r="I142" s="35"/>
      <c r="J142" s="41"/>
      <c r="K142" s="34"/>
      <c r="L142" s="42"/>
      <c r="M142" s="35"/>
      <c r="N142" s="41">
        <f>IFERROR(VLOOKUP(C142, Input2!N114:O119, 2, FALSE), "")</f>
        <v>0</v>
      </c>
      <c r="O142" s="35" t="str">
        <f>IF(AND(ISNUMBER(D142), ISNUMBER(N142)), D142 * N142, "")</f>
        <v/>
      </c>
      <c r="P142" s="36">
        <f>IF(ISNUMBER(F142), F142, 0) + IF(ISNUMBER(H142), H142 * (1 + $I$4), 0) + IF(AND(ISNUMBER(L142), ISNUMBER(J142), J142&lt;&gt;0), L142 / J142, 0) + IF(ISNUMBER(N142), N142, 0)</f>
        <v>0</v>
      </c>
      <c r="Q142" s="35">
        <f t="shared" si="59"/>
        <v>0</v>
      </c>
    </row>
    <row r="143" spans="2:17" x14ac:dyDescent="0.35">
      <c r="B143" s="37"/>
      <c r="C143" s="38"/>
      <c r="D143" s="39"/>
      <c r="E143" s="32" t="s">
        <v>24</v>
      </c>
      <c r="F143" s="41"/>
      <c r="G143" s="35"/>
      <c r="H143" s="48"/>
      <c r="I143" s="35"/>
      <c r="J143" s="41"/>
      <c r="K143" s="34"/>
      <c r="L143" s="42"/>
      <c r="M143" s="35"/>
      <c r="N143" s="41">
        <f>IFERROR(VLOOKUP(C143, Input2!N115:O120, 2, FALSE), "")</f>
        <v>0</v>
      </c>
      <c r="O143" s="35" t="str">
        <f>IF(AND(ISNUMBER(D143), ISNUMBER(N143)), D143 * N143, "")</f>
        <v/>
      </c>
      <c r="P143" s="36">
        <f>IF(ISNUMBER(F143), F143, 0) + IF(ISNUMBER(H143), H143 * (1 + $I$4), 0) + IF(AND(ISNUMBER(L143), ISNUMBER(J143), J143&lt;&gt;0), L143 / J143, 0) + IF(ISNUMBER(N143), N143, 0)</f>
        <v>0</v>
      </c>
      <c r="Q143" s="35">
        <f t="shared" si="59"/>
        <v>0</v>
      </c>
    </row>
    <row r="144" spans="2:17" x14ac:dyDescent="0.35">
      <c r="B144" s="37" t="str">
        <f>IFERROR(VLOOKUP(C144, Input2!$C$206:$G$207, 3, FALSE), "")</f>
        <v/>
      </c>
      <c r="C144" s="38"/>
      <c r="D144" s="39"/>
      <c r="E144" s="32" t="s">
        <v>24</v>
      </c>
      <c r="F144" s="41"/>
      <c r="G144" s="35"/>
      <c r="H144" s="48"/>
      <c r="I144" s="35"/>
      <c r="J144" s="41"/>
      <c r="K144" s="34"/>
      <c r="L144" s="42"/>
      <c r="M144" s="35"/>
      <c r="N144" s="41">
        <f>IFERROR(VLOOKUP(C144, Input2!N116:O121, 2, FALSE), "")</f>
        <v>0</v>
      </c>
      <c r="O144" s="35" t="str">
        <f>IF(AND(ISNUMBER(D144), ISNUMBER(N144)), D144 * N144, "")</f>
        <v/>
      </c>
      <c r="P144" s="36">
        <f>IF(ISNUMBER(F144), F144, 0) + IF(ISNUMBER(H144), H144 * (1 + $I$4), 0) + IF(AND(ISNUMBER(L144), ISNUMBER(J144), J144&lt;&gt;0), L144 / J144, 0) + IF(ISNUMBER(N144), N144, 0)</f>
        <v>0</v>
      </c>
      <c r="Q144" s="35">
        <f t="shared" si="59"/>
        <v>0</v>
      </c>
    </row>
    <row r="145" spans="2:17" x14ac:dyDescent="0.35">
      <c r="B145" s="37" t="str">
        <f>IFERROR(VLOOKUP(C145, Input2!$C$206:$G$207, 3, FALSE), "")</f>
        <v/>
      </c>
      <c r="C145" s="38"/>
      <c r="D145" s="39"/>
      <c r="E145" s="32"/>
      <c r="F145" s="41"/>
      <c r="G145" s="35"/>
      <c r="H145" s="48"/>
      <c r="I145" s="35"/>
      <c r="J145" s="41"/>
      <c r="K145" s="34"/>
      <c r="L145" s="42"/>
      <c r="M145" s="35"/>
      <c r="N145" s="41">
        <v>0</v>
      </c>
      <c r="O145" s="35">
        <f>$D145*N145</f>
        <v>0</v>
      </c>
      <c r="P145" s="36">
        <f>F145+(H145*(1+$I$4))+IFERROR(L145/J145,0)+N145</f>
        <v>0</v>
      </c>
      <c r="Q145" s="35">
        <f t="shared" si="59"/>
        <v>0</v>
      </c>
    </row>
    <row r="146" spans="2:17" x14ac:dyDescent="0.35">
      <c r="B146" s="37" t="str">
        <f>IFERROR(VLOOKUP(C146, Input2!$C$206:$G$207, 3, FALSE), "")</f>
        <v/>
      </c>
      <c r="C146" s="38"/>
      <c r="D146" s="39"/>
      <c r="E146" s="32"/>
      <c r="F146" s="41"/>
      <c r="G146" s="35"/>
      <c r="H146" s="48"/>
      <c r="I146" s="35"/>
      <c r="J146" s="41"/>
      <c r="K146" s="34"/>
      <c r="L146" s="42"/>
      <c r="M146" s="35"/>
      <c r="N146" s="41">
        <v>0</v>
      </c>
      <c r="O146" s="35">
        <f>$D146*N146</f>
        <v>0</v>
      </c>
      <c r="P146" s="36">
        <f>F146+(H146*(1+$I$4))+IFERROR(L146/J146,0)+N146</f>
        <v>0</v>
      </c>
      <c r="Q146" s="35">
        <f t="shared" si="59"/>
        <v>0</v>
      </c>
    </row>
    <row r="147" spans="2:17" ht="15.5" x14ac:dyDescent="0.35">
      <c r="B147" s="37" t="str">
        <f>IFERROR(VLOOKUP(C147, Input2!$C$206:$G$207, 3, FALSE), "")</f>
        <v/>
      </c>
      <c r="C147" s="105" t="s">
        <v>21431</v>
      </c>
      <c r="D147" s="39"/>
      <c r="E147" s="32"/>
      <c r="F147" s="41"/>
      <c r="G147" s="35"/>
      <c r="H147" s="34"/>
      <c r="I147" s="35"/>
      <c r="J147" s="41"/>
      <c r="K147" s="34"/>
      <c r="L147" s="34"/>
      <c r="M147" s="35"/>
      <c r="N147" s="41"/>
      <c r="O147" s="35"/>
      <c r="P147" s="31"/>
      <c r="Q147" s="35"/>
    </row>
    <row r="148" spans="2:17" x14ac:dyDescent="0.35">
      <c r="B148" s="37" t="str">
        <f>IFERROR(VLOOKUP(C148, Input2!$C$206:$G$207, 3, FALSE), "")</f>
        <v/>
      </c>
      <c r="C148" s="30" t="s">
        <v>21424</v>
      </c>
      <c r="D148" s="39"/>
      <c r="E148" s="32"/>
      <c r="F148" s="41">
        <v>0</v>
      </c>
      <c r="G148" s="35">
        <f t="shared" ref="G148:G161" si="60">$D148*F148</f>
        <v>0</v>
      </c>
      <c r="H148" s="48"/>
      <c r="I148" s="35">
        <f>$D148*H148</f>
        <v>0</v>
      </c>
      <c r="J148" s="41"/>
      <c r="K148" s="34">
        <f t="shared" ref="K148:K156" si="61">IFERROR($D148/$J148,0)</f>
        <v>0</v>
      </c>
      <c r="L148" s="42"/>
      <c r="M148" s="35">
        <f t="shared" ref="M148:M161" si="62">IFERROR(K148*L148,0)</f>
        <v>0</v>
      </c>
      <c r="N148" s="41">
        <v>0</v>
      </c>
      <c r="O148" s="35">
        <f t="shared" ref="O148:O162" si="63">$D148*N148</f>
        <v>0</v>
      </c>
      <c r="P148" s="36">
        <f>F148+(H148*(1+$I$4))+IFERROR(L148/J148,0)+N148</f>
        <v>0</v>
      </c>
      <c r="Q148" s="35">
        <f>SUM(O148,M148,I148*(1+$I$4),G148)</f>
        <v>0</v>
      </c>
    </row>
    <row r="149" spans="2:17" x14ac:dyDescent="0.35">
      <c r="B149" s="37" t="str">
        <f>IFERROR(VLOOKUP(C149, Input2!$C$206:$G$207, 3, FALSE), "")</f>
        <v/>
      </c>
      <c r="C149" s="38"/>
      <c r="D149" s="39"/>
      <c r="E149" s="32" t="str">
        <f>IFERROR(VLOOKUP(C149, Input2!$C$204:$G$2000, 2, FALSE), "")</f>
        <v/>
      </c>
      <c r="F149" s="41">
        <v>0</v>
      </c>
      <c r="G149" s="35">
        <f t="shared" si="60"/>
        <v>0</v>
      </c>
      <c r="H149" s="48" t="str">
        <f>IFERROR(VLOOKUP(C149, Input2!$C$204:$G$2000, 4, FALSE), "")</f>
        <v/>
      </c>
      <c r="I149" s="35" t="str">
        <f t="shared" ref="I149:I156" si="64">IF(AND(ISNUMBER(D149), ISNUMBER(H149)), D149 * H149, "")</f>
        <v/>
      </c>
      <c r="J149" s="41" t="str">
        <f>IFERROR(VLOOKUP(C149, Input2!$C$204:$G$2000, 5, FALSE), "")</f>
        <v/>
      </c>
      <c r="K149" s="34">
        <f t="shared" si="61"/>
        <v>0</v>
      </c>
      <c r="L149" s="42"/>
      <c r="M149" s="35">
        <f t="shared" si="62"/>
        <v>0</v>
      </c>
      <c r="N149" s="41">
        <v>0</v>
      </c>
      <c r="O149" s="35">
        <f t="shared" si="63"/>
        <v>0</v>
      </c>
      <c r="P149" s="36">
        <f t="shared" ref="P149:P156" si="65">IF(ISNUMBER(F149), F149, 0) + IF(ISNUMBER(H149), H149 * (1 + $I$4), 0) + IF(AND(ISNUMBER(L149), ISNUMBER(J149), J149 &lt;&gt; 0), L149 / J149, 0) + IF(ISNUMBER(N149), N149, 0)</f>
        <v>0</v>
      </c>
      <c r="Q149" s="35">
        <f t="shared" ref="Q149:Q156" si="66">SUM(IF(ISNUMBER(O149), O149, 0), IF(ISNUMBER(M149), M149, 0), IF(ISNUMBER(I149), I149 * (1 + $I$4), 0), IF(ISNUMBER(G149), G149, 0))</f>
        <v>0</v>
      </c>
    </row>
    <row r="150" spans="2:17" x14ac:dyDescent="0.35">
      <c r="B150" s="37" t="str">
        <f>IFERROR(VLOOKUP(C150, Input2!$C$206:$G$207, 3, FALSE), "")</f>
        <v/>
      </c>
      <c r="C150" s="38"/>
      <c r="D150" s="39"/>
      <c r="E150" s="32" t="str">
        <f>IFERROR(VLOOKUP(C150, Input2!$C$204:$G$2000, 2, FALSE), "")</f>
        <v/>
      </c>
      <c r="F150" s="41">
        <v>0</v>
      </c>
      <c r="G150" s="35">
        <f t="shared" si="60"/>
        <v>0</v>
      </c>
      <c r="H150" s="48" t="str">
        <f>IFERROR(VLOOKUP(C150, Input2!$C$204:$G$2000, 4, FALSE), "")</f>
        <v/>
      </c>
      <c r="I150" s="35" t="str">
        <f t="shared" si="64"/>
        <v/>
      </c>
      <c r="J150" s="41" t="str">
        <f>IFERROR(VLOOKUP(C150, Input2!$C$204:$G$2000, 5, FALSE), "")</f>
        <v/>
      </c>
      <c r="K150" s="34">
        <f t="shared" si="61"/>
        <v>0</v>
      </c>
      <c r="L150" s="42"/>
      <c r="M150" s="35">
        <f t="shared" si="62"/>
        <v>0</v>
      </c>
      <c r="N150" s="41">
        <v>0</v>
      </c>
      <c r="O150" s="35">
        <f t="shared" si="63"/>
        <v>0</v>
      </c>
      <c r="P150" s="36">
        <f t="shared" si="65"/>
        <v>0</v>
      </c>
      <c r="Q150" s="35">
        <f t="shared" si="66"/>
        <v>0</v>
      </c>
    </row>
    <row r="151" spans="2:17" x14ac:dyDescent="0.35">
      <c r="B151" s="37" t="str">
        <f>IFERROR(VLOOKUP(C151, Input2!$C$206:$G$207, 3, FALSE), "")</f>
        <v/>
      </c>
      <c r="C151" s="38"/>
      <c r="D151" s="39"/>
      <c r="E151" s="32" t="str">
        <f>IFERROR(VLOOKUP(C151, Input2!$C$204:$G$2000, 2, FALSE), "")</f>
        <v/>
      </c>
      <c r="F151" s="41">
        <v>0</v>
      </c>
      <c r="G151" s="35">
        <f t="shared" si="60"/>
        <v>0</v>
      </c>
      <c r="H151" s="48" t="str">
        <f>IFERROR(VLOOKUP(C151, Input2!$C$204:$G$2000, 4, FALSE), "")</f>
        <v/>
      </c>
      <c r="I151" s="35" t="str">
        <f t="shared" si="64"/>
        <v/>
      </c>
      <c r="J151" s="41" t="str">
        <f>IFERROR(VLOOKUP(C151, Input2!$C$204:$G$2000, 5, FALSE), "")</f>
        <v/>
      </c>
      <c r="K151" s="34">
        <f t="shared" si="61"/>
        <v>0</v>
      </c>
      <c r="L151" s="42"/>
      <c r="M151" s="35">
        <f t="shared" si="62"/>
        <v>0</v>
      </c>
      <c r="N151" s="41">
        <v>0</v>
      </c>
      <c r="O151" s="35">
        <f t="shared" si="63"/>
        <v>0</v>
      </c>
      <c r="P151" s="36">
        <f t="shared" si="65"/>
        <v>0</v>
      </c>
      <c r="Q151" s="35">
        <f t="shared" si="66"/>
        <v>0</v>
      </c>
    </row>
    <row r="152" spans="2:17" x14ac:dyDescent="0.35">
      <c r="B152" s="37"/>
      <c r="C152" s="38"/>
      <c r="D152" s="39"/>
      <c r="E152" s="32" t="str">
        <f>IFERROR(VLOOKUP(C152, Input2!$C$204:$G$2000, 2, FALSE), "")</f>
        <v/>
      </c>
      <c r="F152" s="41">
        <v>0</v>
      </c>
      <c r="G152" s="35">
        <f t="shared" si="60"/>
        <v>0</v>
      </c>
      <c r="H152" s="48" t="str">
        <f>IFERROR(VLOOKUP(C152, Input2!$C$204:$G$2000, 4, FALSE), "")</f>
        <v/>
      </c>
      <c r="I152" s="35" t="str">
        <f t="shared" si="64"/>
        <v/>
      </c>
      <c r="J152" s="41" t="str">
        <f>IFERROR(VLOOKUP(C152, Input2!$C$204:$G$2000, 5, FALSE), "")</f>
        <v/>
      </c>
      <c r="K152" s="34">
        <f t="shared" si="61"/>
        <v>0</v>
      </c>
      <c r="L152" s="42"/>
      <c r="M152" s="35">
        <f t="shared" si="62"/>
        <v>0</v>
      </c>
      <c r="N152" s="41">
        <v>0</v>
      </c>
      <c r="O152" s="35">
        <f t="shared" si="63"/>
        <v>0</v>
      </c>
      <c r="P152" s="36">
        <f t="shared" si="65"/>
        <v>0</v>
      </c>
      <c r="Q152" s="35">
        <f t="shared" si="66"/>
        <v>0</v>
      </c>
    </row>
    <row r="153" spans="2:17" x14ac:dyDescent="0.35">
      <c r="B153" s="37"/>
      <c r="C153" s="38"/>
      <c r="D153" s="39"/>
      <c r="E153" s="32" t="str">
        <f>IFERROR(VLOOKUP(C153, Input2!$C$204:$G$2000, 2, FALSE), "")</f>
        <v/>
      </c>
      <c r="F153" s="41">
        <v>0</v>
      </c>
      <c r="G153" s="35">
        <f t="shared" si="60"/>
        <v>0</v>
      </c>
      <c r="H153" s="48" t="str">
        <f>IFERROR(VLOOKUP(C153, Input2!$C$204:$G$2000, 4, FALSE), "")</f>
        <v/>
      </c>
      <c r="I153" s="35" t="str">
        <f t="shared" si="64"/>
        <v/>
      </c>
      <c r="J153" s="41" t="str">
        <f>IFERROR(VLOOKUP(C153, Input2!$C$204:$G$2000, 5, FALSE), "")</f>
        <v/>
      </c>
      <c r="K153" s="34">
        <f t="shared" si="61"/>
        <v>0</v>
      </c>
      <c r="L153" s="42"/>
      <c r="M153" s="35">
        <f t="shared" si="62"/>
        <v>0</v>
      </c>
      <c r="N153" s="41">
        <v>0</v>
      </c>
      <c r="O153" s="35">
        <f t="shared" si="63"/>
        <v>0</v>
      </c>
      <c r="P153" s="36">
        <f t="shared" si="65"/>
        <v>0</v>
      </c>
      <c r="Q153" s="35">
        <f t="shared" si="66"/>
        <v>0</v>
      </c>
    </row>
    <row r="154" spans="2:17" x14ac:dyDescent="0.35">
      <c r="B154" s="37"/>
      <c r="C154" s="38"/>
      <c r="D154" s="39"/>
      <c r="E154" s="32" t="str">
        <f>IFERROR(VLOOKUP(C154, Input2!$C$204:$G$2000, 2, FALSE), "")</f>
        <v/>
      </c>
      <c r="F154" s="41">
        <v>0</v>
      </c>
      <c r="G154" s="35">
        <f t="shared" si="60"/>
        <v>0</v>
      </c>
      <c r="H154" s="48" t="str">
        <f>IFERROR(VLOOKUP(C154, Input2!$C$204:$G$2000, 4, FALSE), "")</f>
        <v/>
      </c>
      <c r="I154" s="35" t="str">
        <f t="shared" si="64"/>
        <v/>
      </c>
      <c r="J154" s="41" t="str">
        <f>IFERROR(VLOOKUP(C154, Input2!$C$204:$G$2000, 5, FALSE), "")</f>
        <v/>
      </c>
      <c r="K154" s="34">
        <f t="shared" si="61"/>
        <v>0</v>
      </c>
      <c r="L154" s="42"/>
      <c r="M154" s="35">
        <f t="shared" si="62"/>
        <v>0</v>
      </c>
      <c r="N154" s="41">
        <v>0</v>
      </c>
      <c r="O154" s="35">
        <f t="shared" si="63"/>
        <v>0</v>
      </c>
      <c r="P154" s="36">
        <f t="shared" si="65"/>
        <v>0</v>
      </c>
      <c r="Q154" s="35">
        <f t="shared" si="66"/>
        <v>0</v>
      </c>
    </row>
    <row r="155" spans="2:17" x14ac:dyDescent="0.35">
      <c r="B155" s="37"/>
      <c r="C155" s="38"/>
      <c r="D155" s="39"/>
      <c r="E155" s="32" t="str">
        <f>IFERROR(VLOOKUP(C155, Input2!$C$204:$G$2000, 2, FALSE), "")</f>
        <v/>
      </c>
      <c r="F155" s="41">
        <v>0</v>
      </c>
      <c r="G155" s="35">
        <f t="shared" si="60"/>
        <v>0</v>
      </c>
      <c r="H155" s="48" t="str">
        <f>IFERROR(VLOOKUP(C155, Input2!$C$204:$G$2000, 4, FALSE), "")</f>
        <v/>
      </c>
      <c r="I155" s="35" t="str">
        <f t="shared" si="64"/>
        <v/>
      </c>
      <c r="J155" s="41" t="str">
        <f>IFERROR(VLOOKUP(C155, Input2!$C$204:$G$2000, 5, FALSE), "")</f>
        <v/>
      </c>
      <c r="K155" s="34">
        <f t="shared" si="61"/>
        <v>0</v>
      </c>
      <c r="L155" s="42"/>
      <c r="M155" s="35">
        <f t="shared" si="62"/>
        <v>0</v>
      </c>
      <c r="N155" s="41">
        <v>0</v>
      </c>
      <c r="O155" s="35">
        <f t="shared" si="63"/>
        <v>0</v>
      </c>
      <c r="P155" s="36">
        <f t="shared" si="65"/>
        <v>0</v>
      </c>
      <c r="Q155" s="35">
        <f t="shared" si="66"/>
        <v>0</v>
      </c>
    </row>
    <row r="156" spans="2:17" x14ac:dyDescent="0.35">
      <c r="B156" s="37"/>
      <c r="C156" s="38"/>
      <c r="D156" s="39"/>
      <c r="E156" s="32" t="str">
        <f>IFERROR(VLOOKUP(C156, Input2!$C$204:$G$2000, 2, FALSE), "")</f>
        <v/>
      </c>
      <c r="F156" s="41">
        <v>0</v>
      </c>
      <c r="G156" s="35">
        <f t="shared" si="60"/>
        <v>0</v>
      </c>
      <c r="H156" s="48" t="str">
        <f>IFERROR(VLOOKUP(C156, Input2!$C$204:$G$2000, 4, FALSE), "")</f>
        <v/>
      </c>
      <c r="I156" s="35" t="str">
        <f t="shared" si="64"/>
        <v/>
      </c>
      <c r="J156" s="41" t="str">
        <f>IFERROR(VLOOKUP(C156, Input2!$C$204:$G$2000, 5, FALSE), "")</f>
        <v/>
      </c>
      <c r="K156" s="34">
        <f t="shared" si="61"/>
        <v>0</v>
      </c>
      <c r="L156" s="42"/>
      <c r="M156" s="35">
        <f t="shared" si="62"/>
        <v>0</v>
      </c>
      <c r="N156" s="41">
        <v>0</v>
      </c>
      <c r="O156" s="35">
        <f t="shared" si="63"/>
        <v>0</v>
      </c>
      <c r="P156" s="36">
        <f t="shared" si="65"/>
        <v>0</v>
      </c>
      <c r="Q156" s="35">
        <f t="shared" si="66"/>
        <v>0</v>
      </c>
    </row>
    <row r="157" spans="2:17" x14ac:dyDescent="0.35">
      <c r="B157" s="37"/>
      <c r="C157" s="30" t="s">
        <v>21423</v>
      </c>
      <c r="D157" s="39"/>
      <c r="E157" s="32"/>
      <c r="F157" s="41">
        <v>0</v>
      </c>
      <c r="G157" s="35">
        <f t="shared" si="60"/>
        <v>0</v>
      </c>
      <c r="H157" s="48"/>
      <c r="I157" s="35">
        <f>$D157*H157</f>
        <v>0</v>
      </c>
      <c r="J157" s="41"/>
      <c r="K157" s="34"/>
      <c r="L157" s="42"/>
      <c r="M157" s="35">
        <f t="shared" si="62"/>
        <v>0</v>
      </c>
      <c r="N157" s="41">
        <v>0</v>
      </c>
      <c r="O157" s="35">
        <f t="shared" si="63"/>
        <v>0</v>
      </c>
      <c r="P157" s="36">
        <f t="shared" ref="P157:P162" si="67">F157+(H157*(1+$I$4))+IFERROR(L157/J157,0)+N157</f>
        <v>0</v>
      </c>
      <c r="Q157" s="35">
        <f t="shared" ref="Q157:Q168" si="68">SUM(O157,M157,I157*(1+$I$4),G157)</f>
        <v>0</v>
      </c>
    </row>
    <row r="158" spans="2:17" x14ac:dyDescent="0.35">
      <c r="B158" s="37"/>
      <c r="C158" s="38"/>
      <c r="D158" s="39"/>
      <c r="E158" s="32" t="s">
        <v>24</v>
      </c>
      <c r="F158" s="41">
        <v>0</v>
      </c>
      <c r="G158" s="35">
        <f t="shared" si="60"/>
        <v>0</v>
      </c>
      <c r="H158" s="48"/>
      <c r="I158" s="35">
        <f>$D158*H158</f>
        <v>0</v>
      </c>
      <c r="J158" s="41"/>
      <c r="K158" s="34"/>
      <c r="L158" s="42" t="str">
        <f>IFERROR(VLOOKUP(C158, Input2!K136:M141, 2, FALSE), "")</f>
        <v/>
      </c>
      <c r="M158" s="35">
        <f t="shared" si="62"/>
        <v>0</v>
      </c>
      <c r="N158" s="41">
        <v>0</v>
      </c>
      <c r="O158" s="35">
        <f t="shared" si="63"/>
        <v>0</v>
      </c>
      <c r="P158" s="36">
        <f t="shared" si="67"/>
        <v>0</v>
      </c>
      <c r="Q158" s="35">
        <f t="shared" si="68"/>
        <v>0</v>
      </c>
    </row>
    <row r="159" spans="2:17" x14ac:dyDescent="0.35">
      <c r="B159" s="37"/>
      <c r="C159" s="38"/>
      <c r="D159" s="39"/>
      <c r="E159" s="32" t="s">
        <v>24</v>
      </c>
      <c r="F159" s="41">
        <v>0</v>
      </c>
      <c r="G159" s="35">
        <f t="shared" si="60"/>
        <v>0</v>
      </c>
      <c r="H159" s="48"/>
      <c r="I159" s="35">
        <f>$D159*H159</f>
        <v>0</v>
      </c>
      <c r="J159" s="41"/>
      <c r="K159" s="34"/>
      <c r="L159" s="42" t="str">
        <f>IFERROR(VLOOKUP(C159, Input2!K137:M142, 2, FALSE), "")</f>
        <v/>
      </c>
      <c r="M159" s="35">
        <f t="shared" si="62"/>
        <v>0</v>
      </c>
      <c r="N159" s="41">
        <v>0</v>
      </c>
      <c r="O159" s="35">
        <f t="shared" si="63"/>
        <v>0</v>
      </c>
      <c r="P159" s="36">
        <f t="shared" si="67"/>
        <v>0</v>
      </c>
      <c r="Q159" s="35">
        <f t="shared" si="68"/>
        <v>0</v>
      </c>
    </row>
    <row r="160" spans="2:17" x14ac:dyDescent="0.35">
      <c r="B160" s="37"/>
      <c r="C160" s="38"/>
      <c r="D160" s="39"/>
      <c r="E160" s="32" t="s">
        <v>24</v>
      </c>
      <c r="F160" s="41">
        <v>0</v>
      </c>
      <c r="G160" s="35">
        <f t="shared" si="60"/>
        <v>0</v>
      </c>
      <c r="H160" s="48"/>
      <c r="I160" s="35">
        <f>$D160*H160</f>
        <v>0</v>
      </c>
      <c r="J160" s="41"/>
      <c r="K160" s="34"/>
      <c r="L160" s="42" t="str">
        <f>IFERROR(VLOOKUP(C160, Input2!K138:M143, 2, FALSE), "")</f>
        <v/>
      </c>
      <c r="M160" s="35">
        <f t="shared" si="62"/>
        <v>0</v>
      </c>
      <c r="N160" s="41">
        <v>0</v>
      </c>
      <c r="O160" s="35">
        <f t="shared" si="63"/>
        <v>0</v>
      </c>
      <c r="P160" s="36">
        <f t="shared" si="67"/>
        <v>0</v>
      </c>
      <c r="Q160" s="35">
        <f t="shared" si="68"/>
        <v>0</v>
      </c>
    </row>
    <row r="161" spans="2:17" x14ac:dyDescent="0.35">
      <c r="B161" s="37"/>
      <c r="C161" s="38"/>
      <c r="D161" s="39"/>
      <c r="E161" s="32" t="s">
        <v>24</v>
      </c>
      <c r="F161" s="41">
        <v>0</v>
      </c>
      <c r="G161" s="35">
        <f t="shared" si="60"/>
        <v>0</v>
      </c>
      <c r="H161" s="48"/>
      <c r="I161" s="35">
        <f>$D161*H161</f>
        <v>0</v>
      </c>
      <c r="J161" s="41"/>
      <c r="K161" s="34"/>
      <c r="L161" s="42" t="str">
        <f>IFERROR(VLOOKUP(C161, Input2!K139:M144, 2, FALSE), "")</f>
        <v/>
      </c>
      <c r="M161" s="35">
        <f t="shared" si="62"/>
        <v>0</v>
      </c>
      <c r="N161" s="41">
        <v>0</v>
      </c>
      <c r="O161" s="35">
        <f t="shared" si="63"/>
        <v>0</v>
      </c>
      <c r="P161" s="36">
        <f t="shared" si="67"/>
        <v>0</v>
      </c>
      <c r="Q161" s="35">
        <f t="shared" si="68"/>
        <v>0</v>
      </c>
    </row>
    <row r="162" spans="2:17" x14ac:dyDescent="0.35">
      <c r="B162" s="37"/>
      <c r="C162" s="30" t="s">
        <v>21422</v>
      </c>
      <c r="D162" s="39"/>
      <c r="E162" s="32"/>
      <c r="F162" s="41"/>
      <c r="G162" s="35"/>
      <c r="H162" s="48"/>
      <c r="I162" s="35"/>
      <c r="J162" s="41"/>
      <c r="K162" s="34"/>
      <c r="L162" s="42"/>
      <c r="M162" s="35"/>
      <c r="N162" s="41">
        <v>0</v>
      </c>
      <c r="O162" s="35">
        <f t="shared" si="63"/>
        <v>0</v>
      </c>
      <c r="P162" s="36">
        <f t="shared" si="67"/>
        <v>0</v>
      </c>
      <c r="Q162" s="35">
        <f t="shared" si="68"/>
        <v>0</v>
      </c>
    </row>
    <row r="163" spans="2:17" x14ac:dyDescent="0.35">
      <c r="B163" s="37"/>
      <c r="C163" s="38"/>
      <c r="D163" s="39"/>
      <c r="E163" s="32" t="s">
        <v>24</v>
      </c>
      <c r="F163" s="41"/>
      <c r="G163" s="35"/>
      <c r="H163" s="48"/>
      <c r="I163" s="35"/>
      <c r="J163" s="41"/>
      <c r="K163" s="34"/>
      <c r="L163" s="42"/>
      <c r="M163" s="35"/>
      <c r="N163" s="41">
        <f>IFERROR(VLOOKUP(C163, Input2!N135:O140, 2, FALSE), "")</f>
        <v>0</v>
      </c>
      <c r="O163" s="35" t="str">
        <f>IF(AND(ISNUMBER(D163), ISNUMBER(N163)), D163 * N163, "")</f>
        <v/>
      </c>
      <c r="P163" s="36">
        <f>IF(ISNUMBER(F163), F163, 0) + IF(ISNUMBER(H163), H163 * (1 + $I$4), 0) + IF(AND(ISNUMBER(L163), ISNUMBER(J163), J163&lt;&gt;0), L163 / J163, 0) + IF(ISNUMBER(N163), N163, 0)</f>
        <v>0</v>
      </c>
      <c r="Q163" s="35">
        <f t="shared" si="68"/>
        <v>0</v>
      </c>
    </row>
    <row r="164" spans="2:17" x14ac:dyDescent="0.35">
      <c r="B164" s="37"/>
      <c r="C164" s="38"/>
      <c r="D164" s="39"/>
      <c r="E164" s="32" t="s">
        <v>24</v>
      </c>
      <c r="F164" s="41"/>
      <c r="G164" s="35"/>
      <c r="H164" s="48"/>
      <c r="I164" s="35"/>
      <c r="J164" s="41"/>
      <c r="K164" s="34"/>
      <c r="L164" s="42"/>
      <c r="M164" s="35"/>
      <c r="N164" s="41">
        <f>IFERROR(VLOOKUP(C164, Input2!N136:O141, 2, FALSE), "")</f>
        <v>0</v>
      </c>
      <c r="O164" s="35" t="str">
        <f>IF(AND(ISNUMBER(D164), ISNUMBER(N164)), D164 * N164, "")</f>
        <v/>
      </c>
      <c r="P164" s="36">
        <f>IF(ISNUMBER(F164), F164, 0) + IF(ISNUMBER(H164), H164 * (1 + $I$4), 0) + IF(AND(ISNUMBER(L164), ISNUMBER(J164), J164&lt;&gt;0), L164 / J164, 0) + IF(ISNUMBER(N164), N164, 0)</f>
        <v>0</v>
      </c>
      <c r="Q164" s="35">
        <f t="shared" si="68"/>
        <v>0</v>
      </c>
    </row>
    <row r="165" spans="2:17" x14ac:dyDescent="0.35">
      <c r="B165" s="37" t="str">
        <f>IFERROR(VLOOKUP(C165, Input2!$C$206:$G$207, 3, FALSE), "")</f>
        <v/>
      </c>
      <c r="C165" s="38"/>
      <c r="D165" s="39"/>
      <c r="E165" s="32" t="s">
        <v>24</v>
      </c>
      <c r="F165" s="41"/>
      <c r="G165" s="35"/>
      <c r="H165" s="48"/>
      <c r="I165" s="35"/>
      <c r="J165" s="41"/>
      <c r="K165" s="34"/>
      <c r="L165" s="42"/>
      <c r="M165" s="35"/>
      <c r="N165" s="41">
        <f>IFERROR(VLOOKUP(C165, Input2!N137:O142, 2, FALSE), "")</f>
        <v>0</v>
      </c>
      <c r="O165" s="35" t="str">
        <f>IF(AND(ISNUMBER(D165), ISNUMBER(N165)), D165 * N165, "")</f>
        <v/>
      </c>
      <c r="P165" s="36">
        <f>IF(ISNUMBER(F165), F165, 0) + IF(ISNUMBER(H165), H165 * (1 + $I$4), 0) + IF(AND(ISNUMBER(L165), ISNUMBER(J165), J165&lt;&gt;0), L165 / J165, 0) + IF(ISNUMBER(N165), N165, 0)</f>
        <v>0</v>
      </c>
      <c r="Q165" s="35">
        <f t="shared" si="68"/>
        <v>0</v>
      </c>
    </row>
    <row r="166" spans="2:17" x14ac:dyDescent="0.35">
      <c r="B166" s="37" t="str">
        <f>IFERROR(VLOOKUP(C166, Input2!$C$206:$G$207, 3, FALSE), "")</f>
        <v/>
      </c>
      <c r="C166" s="38"/>
      <c r="D166" s="39"/>
      <c r="E166" s="32" t="s">
        <v>24</v>
      </c>
      <c r="F166" s="41"/>
      <c r="G166" s="35"/>
      <c r="H166" s="48"/>
      <c r="I166" s="35"/>
      <c r="J166" s="41"/>
      <c r="K166" s="34"/>
      <c r="L166" s="42"/>
      <c r="M166" s="35"/>
      <c r="N166" s="41">
        <f>IFERROR(VLOOKUP(C166, Input2!N138:O143, 2, FALSE), "")</f>
        <v>0</v>
      </c>
      <c r="O166" s="35" t="str">
        <f>IF(AND(ISNUMBER(D166), ISNUMBER(N166)), D166 * N166, "")</f>
        <v/>
      </c>
      <c r="P166" s="36">
        <f>IF(ISNUMBER(F166), F166, 0) + IF(ISNUMBER(H166), H166 * (1 + $I$4), 0) + IF(AND(ISNUMBER(L166), ISNUMBER(J166), J166&lt;&gt;0), L166 / J166, 0) + IF(ISNUMBER(N166), N166, 0)</f>
        <v>0</v>
      </c>
      <c r="Q166" s="35">
        <f t="shared" si="68"/>
        <v>0</v>
      </c>
    </row>
    <row r="167" spans="2:17" x14ac:dyDescent="0.35">
      <c r="B167" s="37" t="str">
        <f>IFERROR(VLOOKUP(C167, Input2!$C$206:$G$207, 3, FALSE), "")</f>
        <v/>
      </c>
      <c r="C167" s="38"/>
      <c r="D167" s="39"/>
      <c r="E167" s="32"/>
      <c r="F167" s="41"/>
      <c r="G167" s="35"/>
      <c r="H167" s="48"/>
      <c r="I167" s="35"/>
      <c r="J167" s="41"/>
      <c r="K167" s="34"/>
      <c r="L167" s="42"/>
      <c r="M167" s="35"/>
      <c r="N167" s="41">
        <v>0</v>
      </c>
      <c r="O167" s="35">
        <f>$D167*N167</f>
        <v>0</v>
      </c>
      <c r="P167" s="36">
        <f>F167+(H167*(1+$I$4))+IFERROR(L167/J167,0)+N167</f>
        <v>0</v>
      </c>
      <c r="Q167" s="35">
        <f t="shared" si="68"/>
        <v>0</v>
      </c>
    </row>
    <row r="168" spans="2:17" x14ac:dyDescent="0.35">
      <c r="B168" s="37" t="str">
        <f>IFERROR(VLOOKUP(C168, Input2!$C$206:$G$207, 3, FALSE), "")</f>
        <v/>
      </c>
      <c r="C168" s="38"/>
      <c r="D168" s="39"/>
      <c r="E168" s="32"/>
      <c r="F168" s="41"/>
      <c r="G168" s="35"/>
      <c r="H168" s="48"/>
      <c r="I168" s="35"/>
      <c r="J168" s="41"/>
      <c r="K168" s="34"/>
      <c r="L168" s="42"/>
      <c r="M168" s="35"/>
      <c r="N168" s="41">
        <v>0</v>
      </c>
      <c r="O168" s="35">
        <f>$D168*N168</f>
        <v>0</v>
      </c>
      <c r="P168" s="36">
        <f>F168+(H168*(1+$I$4))+IFERROR(L168/J168,0)+N168</f>
        <v>0</v>
      </c>
      <c r="Q168" s="35">
        <f t="shared" si="68"/>
        <v>0</v>
      </c>
    </row>
    <row r="169" spans="2:17" ht="15.5" x14ac:dyDescent="0.35">
      <c r="B169" s="37" t="str">
        <f>IFERROR(VLOOKUP(C169, Input2!$C$206:$G$207, 3, FALSE), "")</f>
        <v/>
      </c>
      <c r="C169" s="105" t="s">
        <v>21431</v>
      </c>
      <c r="D169" s="39"/>
      <c r="E169" s="32"/>
      <c r="F169" s="41"/>
      <c r="G169" s="35"/>
      <c r="H169" s="34"/>
      <c r="I169" s="35"/>
      <c r="J169" s="41"/>
      <c r="K169" s="34"/>
      <c r="L169" s="34"/>
      <c r="M169" s="35"/>
      <c r="N169" s="41"/>
      <c r="O169" s="35"/>
      <c r="P169" s="31"/>
      <c r="Q169" s="35"/>
    </row>
    <row r="170" spans="2:17" x14ac:dyDescent="0.35">
      <c r="B170" s="37" t="str">
        <f>IFERROR(VLOOKUP(C170, Input2!$C$206:$G$207, 3, FALSE), "")</f>
        <v/>
      </c>
      <c r="C170" s="30" t="s">
        <v>21424</v>
      </c>
      <c r="D170" s="39"/>
      <c r="E170" s="32"/>
      <c r="F170" s="41">
        <v>0</v>
      </c>
      <c r="G170" s="35">
        <f t="shared" ref="G170:G183" si="69">$D170*F170</f>
        <v>0</v>
      </c>
      <c r="H170" s="48"/>
      <c r="I170" s="35">
        <f>$D170*H170</f>
        <v>0</v>
      </c>
      <c r="J170" s="41"/>
      <c r="K170" s="34">
        <f t="shared" ref="K170:K178" si="70">IFERROR($D170/$J170,0)</f>
        <v>0</v>
      </c>
      <c r="L170" s="42"/>
      <c r="M170" s="35">
        <f t="shared" ref="M170:M183" si="71">IFERROR(K170*L170,0)</f>
        <v>0</v>
      </c>
      <c r="N170" s="41">
        <v>0</v>
      </c>
      <c r="O170" s="35">
        <f t="shared" ref="O170:O184" si="72">$D170*N170</f>
        <v>0</v>
      </c>
      <c r="P170" s="36">
        <f>F170+(H170*(1+$I$4))+IFERROR(L170/J170,0)+N170</f>
        <v>0</v>
      </c>
      <c r="Q170" s="35">
        <f>SUM(O170,M170,I170*(1+$I$4),G170)</f>
        <v>0</v>
      </c>
    </row>
    <row r="171" spans="2:17" x14ac:dyDescent="0.35">
      <c r="B171" s="37" t="str">
        <f>IFERROR(VLOOKUP(C171, Input2!$C$206:$G$207, 3, FALSE), "")</f>
        <v/>
      </c>
      <c r="C171" s="38"/>
      <c r="D171" s="39"/>
      <c r="E171" s="32" t="str">
        <f>IFERROR(VLOOKUP(C171, Input2!$C$204:$G$2000, 2, FALSE), "")</f>
        <v/>
      </c>
      <c r="F171" s="41">
        <v>0</v>
      </c>
      <c r="G171" s="35">
        <f t="shared" si="69"/>
        <v>0</v>
      </c>
      <c r="H171" s="48" t="str">
        <f>IFERROR(VLOOKUP(C171, Input2!$C$204:$G$2000, 4, FALSE), "")</f>
        <v/>
      </c>
      <c r="I171" s="35" t="str">
        <f t="shared" ref="I171:I178" si="73">IF(AND(ISNUMBER(D171), ISNUMBER(H171)), D171 * H171, "")</f>
        <v/>
      </c>
      <c r="J171" s="41" t="str">
        <f>IFERROR(VLOOKUP(C171, Input2!$C$204:$G$2000, 5, FALSE), "")</f>
        <v/>
      </c>
      <c r="K171" s="34">
        <f t="shared" si="70"/>
        <v>0</v>
      </c>
      <c r="L171" s="42"/>
      <c r="M171" s="35">
        <f t="shared" si="71"/>
        <v>0</v>
      </c>
      <c r="N171" s="41">
        <v>0</v>
      </c>
      <c r="O171" s="35">
        <f t="shared" si="72"/>
        <v>0</v>
      </c>
      <c r="P171" s="36">
        <f t="shared" ref="P171:P178" si="74">IF(ISNUMBER(F171), F171, 0) + IF(ISNUMBER(H171), H171 * (1 + $I$4), 0) + IF(AND(ISNUMBER(L171), ISNUMBER(J171), J171 &lt;&gt; 0), L171 / J171, 0) + IF(ISNUMBER(N171), N171, 0)</f>
        <v>0</v>
      </c>
      <c r="Q171" s="35">
        <f t="shared" ref="Q171:Q178" si="75">SUM(IF(ISNUMBER(O171), O171, 0), IF(ISNUMBER(M171), M171, 0), IF(ISNUMBER(I171), I171 * (1 + $I$4), 0), IF(ISNUMBER(G171), G171, 0))</f>
        <v>0</v>
      </c>
    </row>
    <row r="172" spans="2:17" x14ac:dyDescent="0.35">
      <c r="B172" s="37" t="str">
        <f>IFERROR(VLOOKUP(C172, Input2!$C$206:$G$207, 3, FALSE), "")</f>
        <v/>
      </c>
      <c r="C172" s="38"/>
      <c r="D172" s="39"/>
      <c r="E172" s="32" t="str">
        <f>IFERROR(VLOOKUP(C172, Input2!$C$204:$G$2000, 2, FALSE), "")</f>
        <v/>
      </c>
      <c r="F172" s="41">
        <v>0</v>
      </c>
      <c r="G172" s="35">
        <f t="shared" si="69"/>
        <v>0</v>
      </c>
      <c r="H172" s="48" t="str">
        <f>IFERROR(VLOOKUP(C172, Input2!$C$204:$G$2000, 4, FALSE), "")</f>
        <v/>
      </c>
      <c r="I172" s="35" t="str">
        <f t="shared" si="73"/>
        <v/>
      </c>
      <c r="J172" s="41" t="str">
        <f>IFERROR(VLOOKUP(C172, Input2!$C$204:$G$2000, 5, FALSE), "")</f>
        <v/>
      </c>
      <c r="K172" s="34">
        <f t="shared" si="70"/>
        <v>0</v>
      </c>
      <c r="L172" s="42"/>
      <c r="M172" s="35">
        <f t="shared" si="71"/>
        <v>0</v>
      </c>
      <c r="N172" s="41">
        <v>0</v>
      </c>
      <c r="O172" s="35">
        <f t="shared" si="72"/>
        <v>0</v>
      </c>
      <c r="P172" s="36">
        <f t="shared" si="74"/>
        <v>0</v>
      </c>
      <c r="Q172" s="35">
        <f t="shared" si="75"/>
        <v>0</v>
      </c>
    </row>
    <row r="173" spans="2:17" x14ac:dyDescent="0.35">
      <c r="B173" s="37"/>
      <c r="C173" s="38"/>
      <c r="D173" s="39"/>
      <c r="E173" s="32" t="str">
        <f>IFERROR(VLOOKUP(C173, Input2!$C$204:$G$2000, 2, FALSE), "")</f>
        <v/>
      </c>
      <c r="F173" s="41">
        <v>0</v>
      </c>
      <c r="G173" s="35">
        <f t="shared" si="69"/>
        <v>0</v>
      </c>
      <c r="H173" s="48" t="str">
        <f>IFERROR(VLOOKUP(C173, Input2!$C$204:$G$2000, 4, FALSE), "")</f>
        <v/>
      </c>
      <c r="I173" s="35" t="str">
        <f t="shared" si="73"/>
        <v/>
      </c>
      <c r="J173" s="41" t="str">
        <f>IFERROR(VLOOKUP(C173, Input2!$C$204:$G$2000, 5, FALSE), "")</f>
        <v/>
      </c>
      <c r="K173" s="34">
        <f t="shared" si="70"/>
        <v>0</v>
      </c>
      <c r="L173" s="42"/>
      <c r="M173" s="35">
        <f t="shared" si="71"/>
        <v>0</v>
      </c>
      <c r="N173" s="41">
        <v>0</v>
      </c>
      <c r="O173" s="35">
        <f t="shared" si="72"/>
        <v>0</v>
      </c>
      <c r="P173" s="36">
        <f t="shared" si="74"/>
        <v>0</v>
      </c>
      <c r="Q173" s="35">
        <f t="shared" si="75"/>
        <v>0</v>
      </c>
    </row>
    <row r="174" spans="2:17" x14ac:dyDescent="0.35">
      <c r="B174" s="37"/>
      <c r="C174" s="38"/>
      <c r="D174" s="39"/>
      <c r="E174" s="32" t="str">
        <f>IFERROR(VLOOKUP(C174, Input2!$C$204:$G$2000, 2, FALSE), "")</f>
        <v/>
      </c>
      <c r="F174" s="41">
        <v>0</v>
      </c>
      <c r="G174" s="35">
        <f t="shared" si="69"/>
        <v>0</v>
      </c>
      <c r="H174" s="48" t="str">
        <f>IFERROR(VLOOKUP(C174, Input2!$C$204:$G$2000, 4, FALSE), "")</f>
        <v/>
      </c>
      <c r="I174" s="35" t="str">
        <f t="shared" si="73"/>
        <v/>
      </c>
      <c r="J174" s="41" t="str">
        <f>IFERROR(VLOOKUP(C174, Input2!$C$204:$G$2000, 5, FALSE), "")</f>
        <v/>
      </c>
      <c r="K174" s="34">
        <f t="shared" si="70"/>
        <v>0</v>
      </c>
      <c r="L174" s="42"/>
      <c r="M174" s="35">
        <f t="shared" si="71"/>
        <v>0</v>
      </c>
      <c r="N174" s="41">
        <v>0</v>
      </c>
      <c r="O174" s="35">
        <f t="shared" si="72"/>
        <v>0</v>
      </c>
      <c r="P174" s="36">
        <f t="shared" si="74"/>
        <v>0</v>
      </c>
      <c r="Q174" s="35">
        <f t="shared" si="75"/>
        <v>0</v>
      </c>
    </row>
    <row r="175" spans="2:17" x14ac:dyDescent="0.35">
      <c r="B175" s="37"/>
      <c r="C175" s="38"/>
      <c r="D175" s="39"/>
      <c r="E175" s="32" t="str">
        <f>IFERROR(VLOOKUP(C175, Input2!$C$204:$G$2000, 2, FALSE), "")</f>
        <v/>
      </c>
      <c r="F175" s="41">
        <v>0</v>
      </c>
      <c r="G175" s="35">
        <f t="shared" si="69"/>
        <v>0</v>
      </c>
      <c r="H175" s="48" t="str">
        <f>IFERROR(VLOOKUP(C175, Input2!$C$204:$G$2000, 4, FALSE), "")</f>
        <v/>
      </c>
      <c r="I175" s="35" t="str">
        <f t="shared" si="73"/>
        <v/>
      </c>
      <c r="J175" s="41" t="str">
        <f>IFERROR(VLOOKUP(C175, Input2!$C$204:$G$2000, 5, FALSE), "")</f>
        <v/>
      </c>
      <c r="K175" s="34">
        <f t="shared" si="70"/>
        <v>0</v>
      </c>
      <c r="L175" s="42"/>
      <c r="M175" s="35">
        <f t="shared" si="71"/>
        <v>0</v>
      </c>
      <c r="N175" s="41">
        <v>0</v>
      </c>
      <c r="O175" s="35">
        <f t="shared" si="72"/>
        <v>0</v>
      </c>
      <c r="P175" s="36">
        <f t="shared" si="74"/>
        <v>0</v>
      </c>
      <c r="Q175" s="35">
        <f t="shared" si="75"/>
        <v>0</v>
      </c>
    </row>
    <row r="176" spans="2:17" x14ac:dyDescent="0.35">
      <c r="B176" s="471"/>
      <c r="C176" s="38"/>
      <c r="D176" s="39"/>
      <c r="E176" s="32" t="str">
        <f>IFERROR(VLOOKUP(C176, Input2!$C$204:$G$2000, 2, FALSE), "")</f>
        <v/>
      </c>
      <c r="F176" s="41">
        <v>0</v>
      </c>
      <c r="G176" s="35">
        <f t="shared" si="69"/>
        <v>0</v>
      </c>
      <c r="H176" s="48" t="str">
        <f>IFERROR(VLOOKUP(C176, Input2!$C$204:$G$2000, 4, FALSE), "")</f>
        <v/>
      </c>
      <c r="I176" s="35" t="str">
        <f t="shared" si="73"/>
        <v/>
      </c>
      <c r="J176" s="41" t="str">
        <f>IFERROR(VLOOKUP(C176, Input2!$C$204:$G$2000, 5, FALSE), "")</f>
        <v/>
      </c>
      <c r="K176" s="34">
        <f t="shared" si="70"/>
        <v>0</v>
      </c>
      <c r="L176" s="42"/>
      <c r="M176" s="35">
        <f t="shared" si="71"/>
        <v>0</v>
      </c>
      <c r="N176" s="41">
        <v>0</v>
      </c>
      <c r="O176" s="35">
        <f t="shared" si="72"/>
        <v>0</v>
      </c>
      <c r="P176" s="36">
        <f t="shared" si="74"/>
        <v>0</v>
      </c>
      <c r="Q176" s="35">
        <f t="shared" si="75"/>
        <v>0</v>
      </c>
    </row>
    <row r="177" spans="2:17" x14ac:dyDescent="0.35">
      <c r="B177" s="113"/>
      <c r="C177" s="38"/>
      <c r="D177" s="39"/>
      <c r="E177" s="32" t="str">
        <f>IFERROR(VLOOKUP(C177, Input2!$C$204:$G$2000, 2, FALSE), "")</f>
        <v/>
      </c>
      <c r="F177" s="41">
        <v>0</v>
      </c>
      <c r="G177" s="35">
        <f t="shared" si="69"/>
        <v>0</v>
      </c>
      <c r="H177" s="48" t="str">
        <f>IFERROR(VLOOKUP(C177, Input2!$C$204:$G$2000, 4, FALSE), "")</f>
        <v/>
      </c>
      <c r="I177" s="35" t="str">
        <f t="shared" si="73"/>
        <v/>
      </c>
      <c r="J177" s="41" t="str">
        <f>IFERROR(VLOOKUP(C177, Input2!$C$204:$G$2000, 5, FALSE), "")</f>
        <v/>
      </c>
      <c r="K177" s="34">
        <f t="shared" si="70"/>
        <v>0</v>
      </c>
      <c r="L177" s="42"/>
      <c r="M177" s="35">
        <f t="shared" si="71"/>
        <v>0</v>
      </c>
      <c r="N177" s="41">
        <v>0</v>
      </c>
      <c r="O177" s="35">
        <f t="shared" si="72"/>
        <v>0</v>
      </c>
      <c r="P177" s="36">
        <f t="shared" si="74"/>
        <v>0</v>
      </c>
      <c r="Q177" s="35">
        <f t="shared" si="75"/>
        <v>0</v>
      </c>
    </row>
    <row r="178" spans="2:17" x14ac:dyDescent="0.35">
      <c r="B178" s="113"/>
      <c r="C178" s="38"/>
      <c r="D178" s="39"/>
      <c r="E178" s="32" t="str">
        <f>IFERROR(VLOOKUP(C178, Input2!$C$204:$G$2000, 2, FALSE), "")</f>
        <v/>
      </c>
      <c r="F178" s="41">
        <v>0</v>
      </c>
      <c r="G178" s="35">
        <f t="shared" si="69"/>
        <v>0</v>
      </c>
      <c r="H178" s="48" t="str">
        <f>IFERROR(VLOOKUP(C178, Input2!$C$204:$G$2000, 4, FALSE), "")</f>
        <v/>
      </c>
      <c r="I178" s="35" t="str">
        <f t="shared" si="73"/>
        <v/>
      </c>
      <c r="J178" s="41" t="str">
        <f>IFERROR(VLOOKUP(C178, Input2!$C$204:$G$2000, 5, FALSE), "")</f>
        <v/>
      </c>
      <c r="K178" s="34">
        <f t="shared" si="70"/>
        <v>0</v>
      </c>
      <c r="L178" s="42"/>
      <c r="M178" s="35">
        <f t="shared" si="71"/>
        <v>0</v>
      </c>
      <c r="N178" s="41">
        <v>0</v>
      </c>
      <c r="O178" s="35">
        <f t="shared" si="72"/>
        <v>0</v>
      </c>
      <c r="P178" s="36">
        <f t="shared" si="74"/>
        <v>0</v>
      </c>
      <c r="Q178" s="35">
        <f t="shared" si="75"/>
        <v>0</v>
      </c>
    </row>
    <row r="179" spans="2:17" x14ac:dyDescent="0.35">
      <c r="B179" s="113"/>
      <c r="C179" s="30" t="s">
        <v>21423</v>
      </c>
      <c r="D179" s="39"/>
      <c r="E179" s="32"/>
      <c r="F179" s="41">
        <v>0</v>
      </c>
      <c r="G179" s="35">
        <f t="shared" si="69"/>
        <v>0</v>
      </c>
      <c r="H179" s="48"/>
      <c r="I179" s="35">
        <f>$D179*H179</f>
        <v>0</v>
      </c>
      <c r="J179" s="41"/>
      <c r="K179" s="34"/>
      <c r="L179" s="42"/>
      <c r="M179" s="35">
        <f t="shared" si="71"/>
        <v>0</v>
      </c>
      <c r="N179" s="41">
        <v>0</v>
      </c>
      <c r="O179" s="35">
        <f t="shared" si="72"/>
        <v>0</v>
      </c>
      <c r="P179" s="36">
        <f t="shared" ref="P179:P184" si="76">F179+(H179*(1+$I$4))+IFERROR(L179/J179,0)+N179</f>
        <v>0</v>
      </c>
      <c r="Q179" s="35">
        <f t="shared" ref="Q179:Q190" si="77">SUM(O179,M179,I179*(1+$I$4),G179)</f>
        <v>0</v>
      </c>
    </row>
    <row r="180" spans="2:17" x14ac:dyDescent="0.35">
      <c r="B180" s="113"/>
      <c r="C180" s="38"/>
      <c r="D180" s="39"/>
      <c r="E180" s="32" t="s">
        <v>24</v>
      </c>
      <c r="F180" s="41">
        <v>0</v>
      </c>
      <c r="G180" s="35">
        <f t="shared" si="69"/>
        <v>0</v>
      </c>
      <c r="H180" s="48"/>
      <c r="I180" s="35">
        <f>$D180*H180</f>
        <v>0</v>
      </c>
      <c r="J180" s="41"/>
      <c r="K180" s="34"/>
      <c r="L180" s="42" t="str">
        <f>IFERROR(VLOOKUP(C180, Input2!K158:M163, 2, FALSE), "")</f>
        <v/>
      </c>
      <c r="M180" s="35">
        <f t="shared" si="71"/>
        <v>0</v>
      </c>
      <c r="N180" s="41">
        <v>0</v>
      </c>
      <c r="O180" s="35">
        <f t="shared" si="72"/>
        <v>0</v>
      </c>
      <c r="P180" s="36">
        <f t="shared" si="76"/>
        <v>0</v>
      </c>
      <c r="Q180" s="35">
        <f t="shared" si="77"/>
        <v>0</v>
      </c>
    </row>
    <row r="181" spans="2:17" x14ac:dyDescent="0.35">
      <c r="B181" s="113"/>
      <c r="C181" s="38"/>
      <c r="D181" s="39"/>
      <c r="E181" s="32" t="s">
        <v>24</v>
      </c>
      <c r="F181" s="41">
        <v>0</v>
      </c>
      <c r="G181" s="35">
        <f t="shared" si="69"/>
        <v>0</v>
      </c>
      <c r="H181" s="48"/>
      <c r="I181" s="35">
        <f>$D181*H181</f>
        <v>0</v>
      </c>
      <c r="J181" s="41"/>
      <c r="K181" s="34"/>
      <c r="L181" s="42" t="str">
        <f>IFERROR(VLOOKUP(C181, Input2!K159:M164, 2, FALSE), "")</f>
        <v/>
      </c>
      <c r="M181" s="35">
        <f t="shared" si="71"/>
        <v>0</v>
      </c>
      <c r="N181" s="41">
        <v>0</v>
      </c>
      <c r="O181" s="35">
        <f t="shared" si="72"/>
        <v>0</v>
      </c>
      <c r="P181" s="36">
        <f t="shared" si="76"/>
        <v>0</v>
      </c>
      <c r="Q181" s="35">
        <f t="shared" si="77"/>
        <v>0</v>
      </c>
    </row>
    <row r="182" spans="2:17" x14ac:dyDescent="0.35">
      <c r="B182" s="113"/>
      <c r="C182" s="38"/>
      <c r="D182" s="39"/>
      <c r="E182" s="32" t="s">
        <v>24</v>
      </c>
      <c r="F182" s="41">
        <v>0</v>
      </c>
      <c r="G182" s="35">
        <f t="shared" si="69"/>
        <v>0</v>
      </c>
      <c r="H182" s="48"/>
      <c r="I182" s="35">
        <f>$D182*H182</f>
        <v>0</v>
      </c>
      <c r="J182" s="41"/>
      <c r="K182" s="34"/>
      <c r="L182" s="42" t="str">
        <f>IFERROR(VLOOKUP(C182, Input2!K160:M165, 2, FALSE), "")</f>
        <v/>
      </c>
      <c r="M182" s="35">
        <f t="shared" si="71"/>
        <v>0</v>
      </c>
      <c r="N182" s="41">
        <v>0</v>
      </c>
      <c r="O182" s="35">
        <f t="shared" si="72"/>
        <v>0</v>
      </c>
      <c r="P182" s="36">
        <f t="shared" si="76"/>
        <v>0</v>
      </c>
      <c r="Q182" s="35">
        <f t="shared" si="77"/>
        <v>0</v>
      </c>
    </row>
    <row r="183" spans="2:17" x14ac:dyDescent="0.35">
      <c r="B183" s="113"/>
      <c r="C183" s="38"/>
      <c r="D183" s="39"/>
      <c r="E183" s="32" t="s">
        <v>24</v>
      </c>
      <c r="F183" s="41">
        <v>0</v>
      </c>
      <c r="G183" s="35">
        <f t="shared" si="69"/>
        <v>0</v>
      </c>
      <c r="H183" s="48"/>
      <c r="I183" s="35">
        <f>$D183*H183</f>
        <v>0</v>
      </c>
      <c r="J183" s="41"/>
      <c r="K183" s="34"/>
      <c r="L183" s="42" t="str">
        <f>IFERROR(VLOOKUP(C183, Input2!K161:M166, 2, FALSE), "")</f>
        <v/>
      </c>
      <c r="M183" s="35">
        <f t="shared" si="71"/>
        <v>0</v>
      </c>
      <c r="N183" s="41">
        <v>0</v>
      </c>
      <c r="O183" s="35">
        <f t="shared" si="72"/>
        <v>0</v>
      </c>
      <c r="P183" s="36">
        <f t="shared" si="76"/>
        <v>0</v>
      </c>
      <c r="Q183" s="35">
        <f t="shared" si="77"/>
        <v>0</v>
      </c>
    </row>
    <row r="184" spans="2:17" x14ac:dyDescent="0.35">
      <c r="B184" s="113"/>
      <c r="C184" s="30" t="s">
        <v>21422</v>
      </c>
      <c r="D184" s="39"/>
      <c r="E184" s="32"/>
      <c r="F184" s="41"/>
      <c r="G184" s="35"/>
      <c r="H184" s="48"/>
      <c r="I184" s="35"/>
      <c r="J184" s="41"/>
      <c r="K184" s="34"/>
      <c r="L184" s="42"/>
      <c r="M184" s="35"/>
      <c r="N184" s="41">
        <v>0</v>
      </c>
      <c r="O184" s="35">
        <f t="shared" si="72"/>
        <v>0</v>
      </c>
      <c r="P184" s="36">
        <f t="shared" si="76"/>
        <v>0</v>
      </c>
      <c r="Q184" s="35">
        <f t="shared" si="77"/>
        <v>0</v>
      </c>
    </row>
    <row r="185" spans="2:17" x14ac:dyDescent="0.35">
      <c r="B185" s="113"/>
      <c r="C185" s="38"/>
      <c r="D185" s="39"/>
      <c r="E185" s="32" t="s">
        <v>24</v>
      </c>
      <c r="F185" s="41"/>
      <c r="G185" s="35"/>
      <c r="H185" s="48"/>
      <c r="I185" s="35"/>
      <c r="J185" s="41"/>
      <c r="K185" s="34"/>
      <c r="L185" s="42"/>
      <c r="M185" s="35"/>
      <c r="N185" s="41">
        <f>IFERROR(VLOOKUP(C185, Input2!N157:O162, 2, FALSE), "")</f>
        <v>0</v>
      </c>
      <c r="O185" s="35" t="str">
        <f>IF(AND(ISNUMBER(D185), ISNUMBER(N185)), D185 * N185, "")</f>
        <v/>
      </c>
      <c r="P185" s="36">
        <f>IF(ISNUMBER(F185), F185, 0) + IF(ISNUMBER(H185), H185 * (1 + $I$4), 0) + IF(AND(ISNUMBER(L185), ISNUMBER(J185), J185&lt;&gt;0), L185 / J185, 0) + IF(ISNUMBER(N185), N185, 0)</f>
        <v>0</v>
      </c>
      <c r="Q185" s="35">
        <f t="shared" si="77"/>
        <v>0</v>
      </c>
    </row>
    <row r="186" spans="2:17" x14ac:dyDescent="0.35">
      <c r="B186" s="113"/>
      <c r="C186" s="38"/>
      <c r="D186" s="39"/>
      <c r="E186" s="32" t="s">
        <v>24</v>
      </c>
      <c r="F186" s="41"/>
      <c r="G186" s="35"/>
      <c r="H186" s="48"/>
      <c r="I186" s="35"/>
      <c r="J186" s="41"/>
      <c r="K186" s="34"/>
      <c r="L186" s="42"/>
      <c r="M186" s="35"/>
      <c r="N186" s="41">
        <f>IFERROR(VLOOKUP(C186, Input2!N158:O163, 2, FALSE), "")</f>
        <v>0</v>
      </c>
      <c r="O186" s="35" t="str">
        <f>IF(AND(ISNUMBER(D186), ISNUMBER(N186)), D186 * N186, "")</f>
        <v/>
      </c>
      <c r="P186" s="36">
        <f>IF(ISNUMBER(F186), F186, 0) + IF(ISNUMBER(H186), H186 * (1 + $I$4), 0) + IF(AND(ISNUMBER(L186), ISNUMBER(J186), J186&lt;&gt;0), L186 / J186, 0) + IF(ISNUMBER(N186), N186, 0)</f>
        <v>0</v>
      </c>
      <c r="Q186" s="35">
        <f t="shared" si="77"/>
        <v>0</v>
      </c>
    </row>
    <row r="187" spans="2:17" x14ac:dyDescent="0.35">
      <c r="B187" s="113"/>
      <c r="C187" s="38"/>
      <c r="D187" s="39"/>
      <c r="E187" s="32" t="s">
        <v>24</v>
      </c>
      <c r="F187" s="41"/>
      <c r="G187" s="35"/>
      <c r="H187" s="48"/>
      <c r="I187" s="35"/>
      <c r="J187" s="41"/>
      <c r="K187" s="34"/>
      <c r="L187" s="42"/>
      <c r="M187" s="35"/>
      <c r="N187" s="41">
        <f>IFERROR(VLOOKUP(C187, Input2!N159:O164, 2, FALSE), "")</f>
        <v>0</v>
      </c>
      <c r="O187" s="35" t="str">
        <f>IF(AND(ISNUMBER(D187), ISNUMBER(N187)), D187 * N187, "")</f>
        <v/>
      </c>
      <c r="P187" s="36">
        <f>IF(ISNUMBER(F187), F187, 0) + IF(ISNUMBER(H187), H187 * (1 + $I$4), 0) + IF(AND(ISNUMBER(L187), ISNUMBER(J187), J187&lt;&gt;0), L187 / J187, 0) + IF(ISNUMBER(N187), N187, 0)</f>
        <v>0</v>
      </c>
      <c r="Q187" s="35">
        <f t="shared" si="77"/>
        <v>0</v>
      </c>
    </row>
    <row r="188" spans="2:17" x14ac:dyDescent="0.35">
      <c r="B188" s="113"/>
      <c r="C188" s="38"/>
      <c r="D188" s="39"/>
      <c r="E188" s="32" t="s">
        <v>24</v>
      </c>
      <c r="F188" s="41"/>
      <c r="G188" s="35"/>
      <c r="H188" s="48"/>
      <c r="I188" s="35"/>
      <c r="J188" s="41"/>
      <c r="K188" s="34"/>
      <c r="L188" s="42"/>
      <c r="M188" s="35"/>
      <c r="N188" s="41">
        <f>IFERROR(VLOOKUP(C188, Input2!N160:O165, 2, FALSE), "")</f>
        <v>0</v>
      </c>
      <c r="O188" s="35" t="str">
        <f>IF(AND(ISNUMBER(D188), ISNUMBER(N188)), D188 * N188, "")</f>
        <v/>
      </c>
      <c r="P188" s="36">
        <f>IF(ISNUMBER(F188), F188, 0) + IF(ISNUMBER(H188), H188 * (1 + $I$4), 0) + IF(AND(ISNUMBER(L188), ISNUMBER(J188), J188&lt;&gt;0), L188 / J188, 0) + IF(ISNUMBER(N188), N188, 0)</f>
        <v>0</v>
      </c>
      <c r="Q188" s="35">
        <f t="shared" si="77"/>
        <v>0</v>
      </c>
    </row>
    <row r="189" spans="2:17" x14ac:dyDescent="0.35">
      <c r="B189" s="113"/>
      <c r="C189" s="38"/>
      <c r="D189" s="39"/>
      <c r="E189" s="32"/>
      <c r="F189" s="41"/>
      <c r="G189" s="35"/>
      <c r="H189" s="48"/>
      <c r="I189" s="35"/>
      <c r="J189" s="41"/>
      <c r="K189" s="34"/>
      <c r="L189" s="42"/>
      <c r="M189" s="35"/>
      <c r="N189" s="41">
        <v>0</v>
      </c>
      <c r="O189" s="35">
        <f>$D189*N189</f>
        <v>0</v>
      </c>
      <c r="P189" s="36">
        <f>F189+(H189*(1+$I$4))+IFERROR(L189/J189,0)+N189</f>
        <v>0</v>
      </c>
      <c r="Q189" s="35">
        <f t="shared" si="77"/>
        <v>0</v>
      </c>
    </row>
    <row r="190" spans="2:17" x14ac:dyDescent="0.35">
      <c r="B190" s="113"/>
      <c r="C190" s="38"/>
      <c r="D190" s="39"/>
      <c r="E190" s="32"/>
      <c r="F190" s="41"/>
      <c r="G190" s="35"/>
      <c r="H190" s="48"/>
      <c r="I190" s="35"/>
      <c r="J190" s="41"/>
      <c r="K190" s="34"/>
      <c r="L190" s="42"/>
      <c r="M190" s="35"/>
      <c r="N190" s="41">
        <v>0</v>
      </c>
      <c r="O190" s="35">
        <f>$D190*N190</f>
        <v>0</v>
      </c>
      <c r="P190" s="36">
        <f>F190+(H190*(1+$I$4))+IFERROR(L190/J190,0)+N190</f>
        <v>0</v>
      </c>
      <c r="Q190" s="35">
        <f t="shared" si="77"/>
        <v>0</v>
      </c>
    </row>
    <row r="191" spans="2:17" x14ac:dyDescent="0.35">
      <c r="B191" s="113"/>
      <c r="C191" s="43" t="str">
        <f>C162&amp;" Subtotal"</f>
        <v>Equipment Subtotal</v>
      </c>
      <c r="D191" s="31"/>
      <c r="E191" s="32"/>
      <c r="F191" s="44"/>
      <c r="G191" s="45">
        <f>SUBTOTAL(9,G163:G190)</f>
        <v>0</v>
      </c>
      <c r="H191" s="44"/>
      <c r="I191" s="45">
        <f>SUBTOTAL(9,I163:I190)</f>
        <v>0</v>
      </c>
      <c r="J191" s="34"/>
      <c r="K191" s="43">
        <f>SUBTOTAL(9,K163:K190)</f>
        <v>0</v>
      </c>
      <c r="L191" s="44"/>
      <c r="M191" s="45">
        <f>SUBTOTAL(9,M163:M190)</f>
        <v>0</v>
      </c>
      <c r="N191" s="44"/>
      <c r="O191" s="45">
        <f>SUBTOTAL(9,O163:O190)</f>
        <v>0</v>
      </c>
      <c r="P191" s="36"/>
      <c r="Q191" s="45"/>
    </row>
    <row r="192" spans="2:17" x14ac:dyDescent="0.35">
      <c r="B192" s="113"/>
    </row>
    <row r="193" spans="2:17" x14ac:dyDescent="0.35">
      <c r="B193" s="471"/>
      <c r="C193" s="30" t="s">
        <v>37</v>
      </c>
      <c r="D193" s="31"/>
      <c r="E193" s="32"/>
      <c r="F193" s="34"/>
      <c r="G193" s="33"/>
      <c r="H193" s="34"/>
      <c r="I193" s="33"/>
      <c r="J193" s="34"/>
      <c r="K193" s="34"/>
      <c r="L193" s="34"/>
      <c r="M193" s="33"/>
      <c r="N193" s="34"/>
      <c r="O193" s="35"/>
      <c r="P193" s="36"/>
      <c r="Q193" s="35"/>
    </row>
    <row r="194" spans="2:17" x14ac:dyDescent="0.35">
      <c r="B194" s="37"/>
      <c r="C194" s="38" t="s">
        <v>43</v>
      </c>
      <c r="D194" s="39">
        <f>SUM(K162:K193)*0.1</f>
        <v>0</v>
      </c>
      <c r="E194" s="32" t="s">
        <v>24</v>
      </c>
      <c r="F194" s="41">
        <v>0</v>
      </c>
      <c r="G194" s="35">
        <f>$D194*F194</f>
        <v>0</v>
      </c>
      <c r="H194" s="41">
        <v>0</v>
      </c>
      <c r="I194" s="35">
        <f>$D194*H194</f>
        <v>0</v>
      </c>
      <c r="J194" s="41"/>
      <c r="K194" s="34">
        <f>IFERROR($D194/$J194,0)</f>
        <v>0</v>
      </c>
      <c r="L194" s="42">
        <f>$L$3</f>
        <v>0</v>
      </c>
      <c r="M194" s="35">
        <f>IFERROR(K194*L194,0)</f>
        <v>0</v>
      </c>
      <c r="N194" s="41">
        <v>0</v>
      </c>
      <c r="O194" s="35">
        <f>$D194*N194</f>
        <v>0</v>
      </c>
      <c r="P194" s="36">
        <f>F194+(H194*(1+$I$4))+IFERROR(L194/J194,0)+N194</f>
        <v>0</v>
      </c>
      <c r="Q194" s="35">
        <f>SUM(O194,M194,I194*(1+$I$4),G194)</f>
        <v>0</v>
      </c>
    </row>
    <row r="195" spans="2:17" x14ac:dyDescent="0.35">
      <c r="B195" s="37"/>
      <c r="C195" s="38" t="s">
        <v>38</v>
      </c>
      <c r="D195" s="39"/>
      <c r="E195" s="32" t="s">
        <v>39</v>
      </c>
      <c r="F195" s="41">
        <v>0</v>
      </c>
      <c r="G195" s="35">
        <f>$D195*F195</f>
        <v>0</v>
      </c>
      <c r="H195" s="41">
        <v>0</v>
      </c>
      <c r="I195" s="35">
        <f>$D195*H195</f>
        <v>0</v>
      </c>
      <c r="J195" s="41"/>
      <c r="K195" s="34">
        <f>IFERROR($D195/$J195,0)</f>
        <v>0</v>
      </c>
      <c r="L195" s="42">
        <f>$L$3</f>
        <v>0</v>
      </c>
      <c r="M195" s="35">
        <f>IFERROR(K195*L195,0)</f>
        <v>0</v>
      </c>
      <c r="N195" s="41">
        <v>0</v>
      </c>
      <c r="O195" s="35">
        <f>$D195*N195</f>
        <v>0</v>
      </c>
      <c r="P195" s="36">
        <f>F195+(H195*(1+$I$4))+IFERROR(L195/J195,0)+N195</f>
        <v>0</v>
      </c>
      <c r="Q195" s="35">
        <f>SUM(O195,M195,I195*(1+$I$4),G195)</f>
        <v>0</v>
      </c>
    </row>
    <row r="196" spans="2:17" x14ac:dyDescent="0.35">
      <c r="B196" s="37"/>
      <c r="C196" s="38" t="s">
        <v>40</v>
      </c>
      <c r="D196" s="39"/>
      <c r="E196" s="32" t="s">
        <v>39</v>
      </c>
      <c r="F196" s="41">
        <v>0</v>
      </c>
      <c r="G196" s="35">
        <f>$D196*F196</f>
        <v>0</v>
      </c>
      <c r="H196" s="41">
        <v>0</v>
      </c>
      <c r="I196" s="35">
        <f>$D196*H196</f>
        <v>0</v>
      </c>
      <c r="J196" s="41"/>
      <c r="K196" s="34">
        <f>IFERROR($D196/$J196,0)</f>
        <v>0</v>
      </c>
      <c r="L196" s="42">
        <f>$L$3</f>
        <v>0</v>
      </c>
      <c r="M196" s="35">
        <f>IFERROR(K196*L196,0)</f>
        <v>0</v>
      </c>
      <c r="N196" s="41">
        <v>0</v>
      </c>
      <c r="O196" s="35">
        <f>$D196*N196</f>
        <v>0</v>
      </c>
      <c r="P196" s="36">
        <f>F196+(H196*(1+$I$4))+IFERROR(L196/J196,0)+N196</f>
        <v>0</v>
      </c>
      <c r="Q196" s="35">
        <f>SUM(O196,M196,I196*(1+$I$4),G196)</f>
        <v>0</v>
      </c>
    </row>
    <row r="197" spans="2:17" x14ac:dyDescent="0.35">
      <c r="B197" s="37"/>
      <c r="C197" s="43" t="str">
        <f>C193&amp;" Subtotal"</f>
        <v>General Labor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Q200" s="78" t="s">
        <v>21404</v>
      </c>
    </row>
    <row r="201" spans="2:17" x14ac:dyDescent="0.35">
      <c r="C201" s="78" t="s">
        <v>21592</v>
      </c>
    </row>
    <row r="203" spans="2:17" x14ac:dyDescent="0.35">
      <c r="C203" s="77" t="s">
        <v>21399</v>
      </c>
    </row>
    <row r="205" spans="2:17" x14ac:dyDescent="0.35">
      <c r="C205" s="107" t="s">
        <v>21398</v>
      </c>
      <c r="D205" s="107" t="s">
        <v>75</v>
      </c>
      <c r="E205" s="107" t="s">
        <v>13768</v>
      </c>
      <c r="F205" s="108" t="s">
        <v>21397</v>
      </c>
      <c r="G205" s="107" t="s">
        <v>9</v>
      </c>
    </row>
    <row r="206" spans="2:17" x14ac:dyDescent="0.35">
      <c r="B206" s="49" t="s">
        <v>21432</v>
      </c>
      <c r="C206" s="106" t="s">
        <v>21400</v>
      </c>
    </row>
  </sheetData>
  <mergeCells count="4">
    <mergeCell ref="A3:B3"/>
    <mergeCell ref="D3:G3"/>
    <mergeCell ref="A4:B4"/>
    <mergeCell ref="P3:Q3"/>
  </mergeCells>
  <dataValidations count="5">
    <dataValidation type="list" allowBlank="1" showInputMessage="1" showErrorMessage="1" sqref="C31:C35 C163:C167 C53:C57 C75:C79 C97:C101 C119:C123 C141:C145 C185:C189" xr:uid="{CDCF5D6F-A146-4FCA-93B5-2829E12D1BDF}">
      <formula1>$N$3:$N$8</formula1>
    </dataValidation>
    <dataValidation type="list" allowBlank="1" showInputMessage="1" showErrorMessage="1" sqref="C26:C29 C158:C161 C48:C51 C70:C73 C92:C95 C114:C117 C136:C139 C180:C183" xr:uid="{D8293EA6-4B10-4A98-AFB5-766E2803A1C6}">
      <formula1>$K$3:$K$8</formula1>
    </dataValidation>
    <dataValidation type="list" allowBlank="1" showInputMessage="1" showErrorMessage="1" sqref="Y1" xr:uid="{5452348C-D279-4ECD-8CC9-963E8D442DF5}">
      <formula1>$C$205:$C207</formula1>
    </dataValidation>
    <dataValidation type="list" allowBlank="1" showInputMessage="1" showErrorMessage="1" sqref="C36 C58 C80 C102 C124 C146 C168 C190" xr:uid="{0A09DB32-6F9F-487E-B3FA-4A93E2307604}">
      <formula1>$C$205:$C207</formula1>
    </dataValidation>
    <dataValidation type="list" allowBlank="1" showInputMessage="1" showErrorMessage="1" sqref="C17:C24 C39:C46 C61:C68 C83:C90 C105:C112 C127:C134 C149:C156 C171:C178" xr:uid="{D9B7B946-E8BF-4ABA-BE99-920CFC522A14}">
      <formula1>$C$204:$C2000</formula1>
    </dataValidation>
  </dataValidations>
  <hyperlinks>
    <hyperlink ref="D3" r:id="rId1" display="datamateapp@gmail.com" xr:uid="{BCA34248-8805-4323-819C-D76C137C3160}"/>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Button 1">
              <controlPr defaultSize="0" print="0" autoFill="0" autoPict="0" macro="[1]!SaveData">
                <anchor moveWithCells="1" sizeWithCells="1">
                  <from>
                    <xdr:col>17</xdr:col>
                    <xdr:colOff>69850</xdr:colOff>
                    <xdr:row>0</xdr:row>
                    <xdr:rowOff>50800</xdr:rowOff>
                  </from>
                  <to>
                    <xdr:col>19</xdr:col>
                    <xdr:colOff>120650</xdr:colOff>
                    <xdr:row>2</xdr:row>
                    <xdr:rowOff>63500</xdr:rowOff>
                  </to>
                </anchor>
              </controlPr>
            </control>
          </mc:Choice>
        </mc:AlternateContent>
        <mc:AlternateContent xmlns:mc="http://schemas.openxmlformats.org/markup-compatibility/2006">
          <mc:Choice Requires="x14">
            <control shapeId="110600" r:id="rId5" name="Button 8">
              <controlPr defaultSize="0" print="0" autoFill="0" autoPict="0" macro="[0]!ClearContentsAndDropdowns">
                <anchor moveWithCells="1" sizeWithCells="1">
                  <from>
                    <xdr:col>17</xdr:col>
                    <xdr:colOff>50800</xdr:colOff>
                    <xdr:row>3</xdr:row>
                    <xdr:rowOff>76200</xdr:rowOff>
                  </from>
                  <to>
                    <xdr:col>19</xdr:col>
                    <xdr:colOff>101600</xdr:colOff>
                    <xdr:row>5</xdr:row>
                    <xdr:rowOff>76200</xdr:rowOff>
                  </to>
                </anchor>
              </controlPr>
            </control>
          </mc:Choice>
        </mc:AlternateContent>
        <mc:AlternateContent xmlns:mc="http://schemas.openxmlformats.org/markup-compatibility/2006">
          <mc:Choice Requires="x14">
            <control shapeId="110601" r:id="rId6" name="Button 9">
              <controlPr defaultSize="0" print="0" autoFill="0" autoPict="0" macro="[0]!CopyInput1WithAdjustedReferencesAndButtonsInROriginalOrder">
                <anchor moveWithCells="1" sizeWithCells="1">
                  <from>
                    <xdr:col>17</xdr:col>
                    <xdr:colOff>95250</xdr:colOff>
                    <xdr:row>6</xdr:row>
                    <xdr:rowOff>69850</xdr:rowOff>
                  </from>
                  <to>
                    <xdr:col>19</xdr:col>
                    <xdr:colOff>146050</xdr:colOff>
                    <xdr:row>8</xdr:row>
                    <xdr:rowOff>69850</xdr:rowOff>
                  </to>
                </anchor>
              </controlPr>
            </control>
          </mc:Choice>
        </mc:AlternateContent>
        <mc:AlternateContent xmlns:mc="http://schemas.openxmlformats.org/markup-compatibility/2006">
          <mc:Choice Requires="x14">
            <control shapeId="110602" r:id="rId7" name="Button 10">
              <controlPr defaultSize="0" print="0" autoFill="0" autoPict="0" macro="[0]!CopyInput2WithAdjustedReferencesAndButtonsInROriginalOrder">
                <anchor moveWithCells="1" sizeWithCells="1">
                  <from>
                    <xdr:col>17</xdr:col>
                    <xdr:colOff>57150</xdr:colOff>
                    <xdr:row>8</xdr:row>
                    <xdr:rowOff>196850</xdr:rowOff>
                  </from>
                  <to>
                    <xdr:col>19</xdr:col>
                    <xdr:colOff>107950</xdr:colOff>
                    <xdr:row>10</xdr:row>
                    <xdr:rowOff>31750</xdr:rowOff>
                  </to>
                </anchor>
              </controlPr>
            </control>
          </mc:Choice>
        </mc:AlternateContent>
        <mc:AlternateContent xmlns:mc="http://schemas.openxmlformats.org/markup-compatibility/2006">
          <mc:Choice Requires="x14">
            <control shapeId="110603" r:id="rId8" name="Button 11">
              <controlPr defaultSize="0" print="0" autoFill="0" autoPict="0" macro="[0]!Dashboard">
                <anchor moveWithCells="1" sizeWithCells="1">
                  <from>
                    <xdr:col>17</xdr:col>
                    <xdr:colOff>50800</xdr:colOff>
                    <xdr:row>13</xdr:row>
                    <xdr:rowOff>184150</xdr:rowOff>
                  </from>
                  <to>
                    <xdr:col>19</xdr:col>
                    <xdr:colOff>101600</xdr:colOff>
                    <xdr:row>16</xdr:row>
                    <xdr:rowOff>12700</xdr:rowOff>
                  </to>
                </anchor>
              </controlPr>
            </control>
          </mc:Choice>
        </mc:AlternateContent>
        <mc:AlternateContent xmlns:mc="http://schemas.openxmlformats.org/markup-compatibility/2006">
          <mc:Choice Requires="x14">
            <control shapeId="110604" r:id="rId9" name="Button 12">
              <controlPr defaultSize="0" print="0" autoFill="0" autoPict="0" macro="[0]!ViewLog">
                <anchor moveWithCells="1" sizeWithCells="1">
                  <from>
                    <xdr:col>17</xdr:col>
                    <xdr:colOff>50800</xdr:colOff>
                    <xdr:row>17</xdr:row>
                    <xdr:rowOff>6350</xdr:rowOff>
                  </from>
                  <to>
                    <xdr:col>19</xdr:col>
                    <xdr:colOff>101600</xdr:colOff>
                    <xdr:row>19</xdr:row>
                    <xdr:rowOff>25400</xdr:rowOff>
                  </to>
                </anchor>
              </controlPr>
            </control>
          </mc:Choice>
        </mc:AlternateContent>
        <mc:AlternateContent xmlns:mc="http://schemas.openxmlformats.org/markup-compatibility/2006">
          <mc:Choice Requires="x14">
            <control shapeId="110605" r:id="rId10" name="Button 13">
              <controlPr defaultSize="0" print="0" autoFill="0" autoPict="0" macro="[0]!OpenDataMateAppPage">
                <anchor moveWithCells="1" sizeWithCells="1">
                  <from>
                    <xdr:col>17</xdr:col>
                    <xdr:colOff>38100</xdr:colOff>
                    <xdr:row>23</xdr:row>
                    <xdr:rowOff>19050</xdr:rowOff>
                  </from>
                  <to>
                    <xdr:col>19</xdr:col>
                    <xdr:colOff>88900</xdr:colOff>
                    <xdr:row>25</xdr:row>
                    <xdr:rowOff>31750</xdr:rowOff>
                  </to>
                </anchor>
              </controlPr>
            </control>
          </mc:Choice>
        </mc:AlternateContent>
        <mc:AlternateContent xmlns:mc="http://schemas.openxmlformats.org/markup-compatibility/2006">
          <mc:Choice Requires="x14">
            <control shapeId="110607" r:id="rId11" name="Button 15">
              <controlPr defaultSize="0" print="0" autoFill="0" autoPict="0" macro="[0]!ViewView_Print">
                <anchor moveWithCells="1" sizeWithCells="1">
                  <from>
                    <xdr:col>17</xdr:col>
                    <xdr:colOff>12700</xdr:colOff>
                    <xdr:row>20</xdr:row>
                    <xdr:rowOff>19050</xdr:rowOff>
                  </from>
                  <to>
                    <xdr:col>19</xdr:col>
                    <xdr:colOff>63500</xdr:colOff>
                    <xdr:row>22</xdr:row>
                    <xdr:rowOff>25400</xdr:rowOff>
                  </to>
                </anchor>
              </controlPr>
            </control>
          </mc:Choice>
        </mc:AlternateContent>
        <mc:AlternateContent xmlns:mc="http://schemas.openxmlformats.org/markup-compatibility/2006">
          <mc:Choice Requires="x14">
            <control shapeId="110608" r:id="rId12" name="Button 16">
              <controlPr defaultSize="0" print="0" autoFill="0" autoPict="0" macro="[0]!CopyCustomInputWithAdjustedReferencesAndButtonsInROriginalOrder">
                <anchor moveWithCells="1" sizeWithCells="1">
                  <from>
                    <xdr:col>17</xdr:col>
                    <xdr:colOff>63500</xdr:colOff>
                    <xdr:row>10</xdr:row>
                    <xdr:rowOff>177800</xdr:rowOff>
                  </from>
                  <to>
                    <xdr:col>19</xdr:col>
                    <xdr:colOff>114300</xdr:colOff>
                    <xdr:row>13</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C998C-7DD0-4323-86F8-9F7354B1049C}">
  <sheetPr codeName="Sheet8"/>
  <dimension ref="A1:Q206"/>
  <sheetViews>
    <sheetView zoomScale="75" zoomScaleNormal="75" workbookViewId="0">
      <selection activeCell="O23" sqref="O23"/>
    </sheetView>
  </sheetViews>
  <sheetFormatPr defaultRowHeight="14.5" x14ac:dyDescent="0.35"/>
  <cols>
    <col min="1" max="1" width="4.54296875" style="1" customWidth="1"/>
    <col min="2" max="2" width="14" style="1" customWidth="1"/>
    <col min="3" max="3" width="77.1796875" style="1" bestFit="1" customWidth="1"/>
    <col min="4" max="4" width="10.7265625" style="1" customWidth="1"/>
    <col min="5" max="5" width="10.1796875" style="1" customWidth="1"/>
    <col min="6" max="6" width="13.26953125" style="1" customWidth="1"/>
    <col min="7" max="7" width="15.1796875" style="1" customWidth="1"/>
    <col min="8" max="8" width="13.26953125" style="1" customWidth="1"/>
    <col min="9" max="9" width="12.7265625" style="1" customWidth="1"/>
    <col min="10" max="10" width="12.26953125" style="1" customWidth="1"/>
    <col min="11" max="11" width="9" style="1" customWidth="1"/>
    <col min="12" max="12" width="13.26953125" style="1" customWidth="1"/>
    <col min="13" max="13" width="12.7265625" style="1" customWidth="1"/>
    <col min="14" max="14" width="13.26953125" style="1" customWidth="1"/>
    <col min="15" max="15" width="12.7265625" style="1" customWidth="1"/>
    <col min="16" max="16" width="13.26953125" style="1" customWidth="1"/>
    <col min="17" max="17" width="21.26953125" style="1" customWidth="1"/>
    <col min="18" max="16384" width="8.7265625" style="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CSI Description</v>
      </c>
      <c r="J2" s="59"/>
      <c r="K2" s="59"/>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CSI Section</v>
      </c>
      <c r="C10" s="24" t="str">
        <f>C206</f>
        <v>CSI Description</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CSI Description</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Q200" s="78" t="s">
        <v>21404</v>
      </c>
    </row>
    <row r="201" spans="2:17" x14ac:dyDescent="0.35">
      <c r="C201" s="78" t="s">
        <v>21592</v>
      </c>
    </row>
    <row r="203" spans="2:17" x14ac:dyDescent="0.35">
      <c r="C203" s="77" t="s">
        <v>21399</v>
      </c>
    </row>
    <row r="205" spans="2:17" x14ac:dyDescent="0.35">
      <c r="C205" s="1" t="s">
        <v>21398</v>
      </c>
      <c r="D205" s="1" t="s">
        <v>75</v>
      </c>
      <c r="E205" s="1" t="s">
        <v>13768</v>
      </c>
      <c r="F205" s="2" t="s">
        <v>21397</v>
      </c>
      <c r="G205" s="1" t="s">
        <v>9</v>
      </c>
    </row>
    <row r="206" spans="2:17" x14ac:dyDescent="0.35">
      <c r="B206" s="49" t="s">
        <v>21432</v>
      </c>
      <c r="C206" s="106" t="s">
        <v>21400</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356B3DBC-7350-4C45-BEE2-24E77E237E1C}">
      <formula1>$C$205:$C207</formula1>
    </dataValidation>
  </dataValidations>
  <hyperlinks>
    <hyperlink ref="D3" r:id="rId1" display="datamateapp@gmail.com" xr:uid="{EA40C393-C616-49A1-8834-4131102F6559}"/>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55650" r:id="rId4" name="Button 2">
              <controlPr defaultSize="0" print="0" autoFill="0" autoPict="0" macro="[1]!SaveData">
                <anchor moveWithCells="1" sizeWithCells="1">
                  <from>
                    <xdr:col>17</xdr:col>
                    <xdr:colOff>88900</xdr:colOff>
                    <xdr:row>0</xdr:row>
                    <xdr:rowOff>0</xdr:rowOff>
                  </from>
                  <to>
                    <xdr:col>19</xdr:col>
                    <xdr:colOff>139700</xdr:colOff>
                    <xdr:row>2</xdr:row>
                    <xdr:rowOff>12700</xdr:rowOff>
                  </to>
                </anchor>
              </controlPr>
            </control>
          </mc:Choice>
        </mc:AlternateContent>
        <mc:AlternateContent xmlns:mc="http://schemas.openxmlformats.org/markup-compatibility/2006">
          <mc:Choice Requires="x14">
            <control shapeId="155651" r:id="rId5" name="Button 3">
              <controlPr defaultSize="0" print="0" autoFill="0" autoPict="0" macro="[0]!ClearContentsAndDropdowns">
                <anchor moveWithCells="1" sizeWithCells="1">
                  <from>
                    <xdr:col>17</xdr:col>
                    <xdr:colOff>107950</xdr:colOff>
                    <xdr:row>2</xdr:row>
                    <xdr:rowOff>177800</xdr:rowOff>
                  </from>
                  <to>
                    <xdr:col>19</xdr:col>
                    <xdr:colOff>158750</xdr:colOff>
                    <xdr:row>5</xdr:row>
                    <xdr:rowOff>6350</xdr:rowOff>
                  </to>
                </anchor>
              </controlPr>
            </control>
          </mc:Choice>
        </mc:AlternateContent>
        <mc:AlternateContent xmlns:mc="http://schemas.openxmlformats.org/markup-compatibility/2006">
          <mc:Choice Requires="x14">
            <control shapeId="155652" r:id="rId6" name="Button 4">
              <controlPr defaultSize="0" print="0" autoFill="0" autoPict="0" macro="[0]!CopyInput1WithAdjustedReferencesAndButtonsInROriginalOrder">
                <anchor moveWithCells="1" sizeWithCells="1">
                  <from>
                    <xdr:col>17</xdr:col>
                    <xdr:colOff>95250</xdr:colOff>
                    <xdr:row>6</xdr:row>
                    <xdr:rowOff>31750</xdr:rowOff>
                  </from>
                  <to>
                    <xdr:col>19</xdr:col>
                    <xdr:colOff>146050</xdr:colOff>
                    <xdr:row>8</xdr:row>
                    <xdr:rowOff>38100</xdr:rowOff>
                  </to>
                </anchor>
              </controlPr>
            </control>
          </mc:Choice>
        </mc:AlternateContent>
        <mc:AlternateContent xmlns:mc="http://schemas.openxmlformats.org/markup-compatibility/2006">
          <mc:Choice Requires="x14">
            <control shapeId="155653" r:id="rId7" name="Button 5">
              <controlPr defaultSize="0" print="0" autoFill="0" autoPict="0" macro="[0]!CopyInput2WithAdjustedReferencesAndButtonsInROriginalOrder">
                <anchor moveWithCells="1" sizeWithCells="1">
                  <from>
                    <xdr:col>17</xdr:col>
                    <xdr:colOff>146050</xdr:colOff>
                    <xdr:row>9</xdr:row>
                    <xdr:rowOff>12700</xdr:rowOff>
                  </from>
                  <to>
                    <xdr:col>19</xdr:col>
                    <xdr:colOff>196850</xdr:colOff>
                    <xdr:row>11</xdr:row>
                    <xdr:rowOff>19050</xdr:rowOff>
                  </to>
                </anchor>
              </controlPr>
            </control>
          </mc:Choice>
        </mc:AlternateContent>
        <mc:AlternateContent xmlns:mc="http://schemas.openxmlformats.org/markup-compatibility/2006">
          <mc:Choice Requires="x14">
            <control shapeId="155654" r:id="rId8" name="Button 6">
              <controlPr defaultSize="0" print="0" autoFill="0" autoPict="0" macro="[0]!Dashboard">
                <anchor moveWithCells="1" sizeWithCells="1">
                  <from>
                    <xdr:col>17</xdr:col>
                    <xdr:colOff>146050</xdr:colOff>
                    <xdr:row>11</xdr:row>
                    <xdr:rowOff>139700</xdr:rowOff>
                  </from>
                  <to>
                    <xdr:col>19</xdr:col>
                    <xdr:colOff>196850</xdr:colOff>
                    <xdr:row>13</xdr:row>
                    <xdr:rowOff>152400</xdr:rowOff>
                  </to>
                </anchor>
              </controlPr>
            </control>
          </mc:Choice>
        </mc:AlternateContent>
        <mc:AlternateContent xmlns:mc="http://schemas.openxmlformats.org/markup-compatibility/2006">
          <mc:Choice Requires="x14">
            <control shapeId="155655" r:id="rId9" name="Button 7">
              <controlPr defaultSize="0" print="0" autoFill="0" autoPict="0" macro="[0]!ViewLog">
                <anchor moveWithCells="1" sizeWithCells="1">
                  <from>
                    <xdr:col>17</xdr:col>
                    <xdr:colOff>146050</xdr:colOff>
                    <xdr:row>14</xdr:row>
                    <xdr:rowOff>133350</xdr:rowOff>
                  </from>
                  <to>
                    <xdr:col>19</xdr:col>
                    <xdr:colOff>196850</xdr:colOff>
                    <xdr:row>16</xdr:row>
                    <xdr:rowOff>146050</xdr:rowOff>
                  </to>
                </anchor>
              </controlPr>
            </control>
          </mc:Choice>
        </mc:AlternateContent>
        <mc:AlternateContent xmlns:mc="http://schemas.openxmlformats.org/markup-compatibility/2006">
          <mc:Choice Requires="x14">
            <control shapeId="155657" r:id="rId10" name="Button 9">
              <controlPr defaultSize="0" print="0" autoFill="0" autoPict="0" macro="[0]!ViewView_Print">
                <anchor moveWithCells="1" sizeWithCells="1">
                  <from>
                    <xdr:col>17</xdr:col>
                    <xdr:colOff>146050</xdr:colOff>
                    <xdr:row>17</xdr:row>
                    <xdr:rowOff>133350</xdr:rowOff>
                  </from>
                  <to>
                    <xdr:col>19</xdr:col>
                    <xdr:colOff>196850</xdr:colOff>
                    <xdr:row>19</xdr:row>
                    <xdr:rowOff>146050</xdr:rowOff>
                  </to>
                </anchor>
              </controlPr>
            </control>
          </mc:Choice>
        </mc:AlternateContent>
        <mc:AlternateContent xmlns:mc="http://schemas.openxmlformats.org/markup-compatibility/2006">
          <mc:Choice Requires="x14">
            <control shapeId="155658" r:id="rId11" name="Button 10">
              <controlPr defaultSize="0" print="0" autoFill="0" autoPict="0" macro="[0]!OpenDataMateAppPage">
                <anchor moveWithCells="1" sizeWithCells="1">
                  <from>
                    <xdr:col>17</xdr:col>
                    <xdr:colOff>146050</xdr:colOff>
                    <xdr:row>20</xdr:row>
                    <xdr:rowOff>133350</xdr:rowOff>
                  </from>
                  <to>
                    <xdr:col>19</xdr:col>
                    <xdr:colOff>196850</xdr:colOff>
                    <xdr:row>22</xdr:row>
                    <xdr:rowOff>146050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D2CBE-FBD8-4E77-A145-96CB9922FC11}">
  <sheetPr codeName="Sheet6"/>
  <dimension ref="A1:Q200"/>
  <sheetViews>
    <sheetView zoomScale="70" zoomScaleNormal="70" workbookViewId="0">
      <selection activeCell="C15" sqref="C15"/>
    </sheetView>
  </sheetViews>
  <sheetFormatPr defaultRowHeight="14.5" x14ac:dyDescent="0.35"/>
  <cols>
    <col min="1" max="1" width="4.54296875" style="1" customWidth="1"/>
    <col min="2" max="2" width="14" style="1" customWidth="1"/>
    <col min="3" max="3" width="77.1796875" style="1" bestFit="1" customWidth="1"/>
    <col min="4" max="4" width="10.7265625" style="1" customWidth="1"/>
    <col min="5" max="5" width="10.1796875" style="1" customWidth="1"/>
    <col min="6" max="6" width="13.26953125" style="1" customWidth="1"/>
    <col min="7" max="7" width="15.1796875" style="1" customWidth="1"/>
    <col min="8" max="8" width="13.26953125" style="1" customWidth="1"/>
    <col min="9" max="9" width="12.7265625" style="1" customWidth="1"/>
    <col min="10" max="10" width="12.26953125" style="1" customWidth="1"/>
    <col min="11" max="11" width="9" style="1" customWidth="1"/>
    <col min="12" max="12" width="13.26953125" style="1" customWidth="1"/>
    <col min="13" max="13" width="12.7265625" style="1" customWidth="1"/>
    <col min="14" max="14" width="13.26953125" style="1" customWidth="1"/>
    <col min="15" max="15" width="12.7265625" style="1" customWidth="1"/>
    <col min="16" max="16" width="13.26953125" style="1" customWidth="1"/>
    <col min="17" max="17" width="21.26953125" style="1" customWidth="1"/>
    <col min="18" max="16384" width="8.7265625" style="1"/>
  </cols>
  <sheetData>
    <row r="1" spans="1:17" x14ac:dyDescent="0.35">
      <c r="A1" s="57" t="str">
        <f>View_Print1!B2</f>
        <v>AREA/FLOOR/ZONE- Page- SUB COST- MAT COST- LAB COST- EQUIP COST- Total Cost- Date- Description- Log 10- Log 11- Log 12</v>
      </c>
      <c r="B1" s="57"/>
      <c r="C1" s="57"/>
      <c r="D1" s="57"/>
      <c r="E1" s="57"/>
      <c r="F1" s="57"/>
      <c r="G1" s="57"/>
      <c r="H1" s="57"/>
      <c r="I1" s="57"/>
      <c r="J1" s="57"/>
      <c r="K1" s="57"/>
      <c r="L1" s="57"/>
      <c r="M1" s="57" t="str">
        <f>DIV_02Input!M1</f>
        <v>Update 1</v>
      </c>
      <c r="N1" s="57" t="str">
        <f>DIV_02Input!N1</f>
        <v>Update 2</v>
      </c>
      <c r="O1" s="57" t="str">
        <f>DIV_02Input!O1</f>
        <v>Update 3</v>
      </c>
      <c r="P1" s="57"/>
      <c r="Q1" s="57"/>
    </row>
    <row r="2" spans="1:17" x14ac:dyDescent="0.35">
      <c r="A2" s="57"/>
      <c r="B2" s="436" t="s">
        <v>21420</v>
      </c>
      <c r="C2" s="436"/>
      <c r="D2" s="436"/>
      <c r="E2" s="436"/>
      <c r="F2" s="436"/>
      <c r="G2" s="436"/>
      <c r="H2" s="436"/>
      <c r="I2" s="436"/>
      <c r="J2" s="436"/>
      <c r="K2" s="436"/>
      <c r="L2" s="436"/>
      <c r="P2" s="57"/>
      <c r="Q2" s="57"/>
    </row>
    <row r="3" spans="1:17" ht="15" thickBot="1" x14ac:dyDescent="0.4">
      <c r="A3" s="446" t="e">
        <f>VLOOKUP(A1,Data1!$A$1:$DZU$1000000,36,FALSE)</f>
        <v>#N/A</v>
      </c>
      <c r="B3" s="425"/>
      <c r="C3" s="103" t="e">
        <f>VLOOKUP(A1,Data1!$A$1:$DZU$1000000,38,FALSE)</f>
        <v>#N/A</v>
      </c>
      <c r="D3" s="447" t="e">
        <f>VLOOKUP(A1,Data1!$A$1:$DZU$1000000,39,FALSE)</f>
        <v>#N/A</v>
      </c>
      <c r="E3" s="448"/>
      <c r="F3" s="448"/>
      <c r="G3" s="448"/>
      <c r="H3" s="6" t="e">
        <f>VLOOKUP(A1,Data1!$A$1:$DZU$1000000,43,FALSE)</f>
        <v>#N/A</v>
      </c>
      <c r="I3" s="6" t="e">
        <f>VLOOKUP(A1,Data1!$A$1:$DZU$1000000,44,FALSE)</f>
        <v>#N/A</v>
      </c>
      <c r="J3" s="449" t="e">
        <f>VLOOKUP(A1,Data1!$A$1:$DZU$1000000,45,FALSE)</f>
        <v>#N/A</v>
      </c>
      <c r="K3" s="450"/>
      <c r="L3" s="100" t="e">
        <f>VLOOKUP(A1,Data1!$A$1:$DZU$1000000,47,FALSE)</f>
        <v>#N/A</v>
      </c>
      <c r="M3" s="8" t="e">
        <f>VLOOKUP(A1,Data1!$A$1:$DZU$1000000,48,FALSE)</f>
        <v>#N/A</v>
      </c>
      <c r="N3" s="6" t="e">
        <f>VLOOKUP(A1,Data1!$A$1:$DZU$1000000,49,FALSE)</f>
        <v>#N/A</v>
      </c>
      <c r="O3" s="8" t="e">
        <f>VLOOKUP(A1,Data1!$A$1:$DZU$1000000,50,FALSE)</f>
        <v>#N/A</v>
      </c>
      <c r="P3" s="7" t="e">
        <f>VLOOKUP(A1,Data1!$A$1:$DZU$1000000,51,FALSE)</f>
        <v>#N/A</v>
      </c>
      <c r="Q3" s="8" t="e">
        <f>VLOOKUP(A1,Data1!$A$1:$DZU$1000000,52,FALSE)</f>
        <v>#N/A</v>
      </c>
    </row>
    <row r="4" spans="1:17" ht="15" thickBot="1" x14ac:dyDescent="0.4">
      <c r="A4" s="451" t="e">
        <f>VLOOKUP(A1,Data1!$A$1:$DZU$1000000,53,FALSE)</f>
        <v>#N/A</v>
      </c>
      <c r="B4" s="452"/>
      <c r="C4" s="79" t="e">
        <f>VLOOKUP(A1,Data1!$A$1:$DZU$1000000,55,FALSE)</f>
        <v>#N/A</v>
      </c>
      <c r="D4" s="6" t="e">
        <f>VLOOKUP(A1,Data1!$A$1:$DZU$1000000,56,FALSE)</f>
        <v>#N/A</v>
      </c>
      <c r="E4" s="5" t="e">
        <f>VLOOKUP(A1,Data1!$A$1:$DZU$1000000,57,FALSE)</f>
        <v>#N/A</v>
      </c>
      <c r="F4" s="61" t="e">
        <f>VLOOKUP(A1,Data1!$A$1:$DZU$1000000,58,FALSE)</f>
        <v>#N/A</v>
      </c>
      <c r="G4" s="8" t="e">
        <f>VLOOKUP(A1,Data1!$A$1:$DZU$1000000,59,FALSE)</f>
        <v>#N/A</v>
      </c>
      <c r="H4" s="6" t="e">
        <f>VLOOKUP(A1,Data1!$A$1:$DZU$1000000,60,FALSE)</f>
        <v>#N/A</v>
      </c>
      <c r="I4" s="6" t="e">
        <f>VLOOKUP(A1,Data1!$A$1:$DZU$1000000,61,FALSE)</f>
        <v>#N/A</v>
      </c>
      <c r="J4" s="443" t="e">
        <f>VLOOKUP(A1,Data1!$A$1:$DZU$1000000,62,FALSE)</f>
        <v>#N/A</v>
      </c>
      <c r="K4" s="444"/>
      <c r="L4" s="102" t="e">
        <f>VLOOKUP(A1,Data1!$A$1:$DZU$1000000,64,FALSE)</f>
        <v>#N/A</v>
      </c>
      <c r="M4" s="9" t="e">
        <f>VLOOKUP(A1,Data1!$A$1:$DZU$1000000,65,FALSE)</f>
        <v>#N/A</v>
      </c>
      <c r="N4" s="31" t="e">
        <f>VLOOKUP(A1,Data1!$A$1:$DZU$1000000,66,FALSE)</f>
        <v>#N/A</v>
      </c>
      <c r="O4" s="98" t="e">
        <f>VLOOKUP(A1,Data1!$A$1:$DZU$1000000,67,FALSE)</f>
        <v>#N/A</v>
      </c>
      <c r="P4" s="7" t="e">
        <f>VLOOKUP(A1,Data1!$A$1:$DZU$1000000,68,FALSE)</f>
        <v>#N/A</v>
      </c>
      <c r="Q4" s="10" t="e">
        <f>VLOOKUP(A1,Data1!$A$1:$DZU$1000000,69,FALSE)</f>
        <v>#N/A</v>
      </c>
    </row>
    <row r="5" spans="1:17" ht="15" thickBot="1" x14ac:dyDescent="0.4">
      <c r="A5" s="3" t="e">
        <f>VLOOKUP(A1,Data1!$A$1:$DZU$1000000,70,FALSE)</f>
        <v>#N/A</v>
      </c>
      <c r="B5" s="4" t="e">
        <f>VLOOKUP(A1,Data1!$A$1:$DZU$1000000,71,FALSE)</f>
        <v>#N/A</v>
      </c>
      <c r="C5" s="5" t="e">
        <f>VLOOKUP(A1,Data1!$A$1:$DZU$1000000,72,FALSE)</f>
        <v>#N/A</v>
      </c>
      <c r="D5" s="6" t="e">
        <f>VLOOKUP(A1,Data1!$A$1:$DZU$1000000,73,FALSE)</f>
        <v>#N/A</v>
      </c>
      <c r="E5" s="7" t="e">
        <f>VLOOKUP(A1,Data1!$A$1:$DZU$1000000,74,FALSE)</f>
        <v>#N/A</v>
      </c>
      <c r="F5" s="6" t="e">
        <f>VLOOKUP(A1,Data1!$A$1:$DZU$1000000,75,FALSE)</f>
        <v>#N/A</v>
      </c>
      <c r="G5" s="8" t="e">
        <f>VLOOKUP(A1,Data1!$A$1:$DZU$1000000,76,FALSE)</f>
        <v>#N/A</v>
      </c>
      <c r="H5" s="6" t="e">
        <f>VLOOKUP(A1,Data1!$A$1:$DZU$1000000,77,FALSE)</f>
        <v>#N/A</v>
      </c>
      <c r="I5" s="6" t="e">
        <f>VLOOKUP(A1,Data1!$A$1:$DZU$1000000,78,FALSE)</f>
        <v>#N/A</v>
      </c>
      <c r="J5" s="443" t="e">
        <f>VLOOKUP(A1,Data1!$A$1:$DZU$1000000,79,FALSE)</f>
        <v>#N/A</v>
      </c>
      <c r="K5" s="444"/>
      <c r="L5" s="11" t="e">
        <f>VLOOKUP(A1,Data1!$A$1:$DZU$1000000,81,FALSE)</f>
        <v>#N/A</v>
      </c>
      <c r="M5" s="91" t="e">
        <f>VLOOKUP(A1,Data1!$A$1:$DZU$1000000,82,FALSE)</f>
        <v>#N/A</v>
      </c>
      <c r="N5" s="31" t="e">
        <f>VLOOKUP(A1,Data1!$A$1:$DZU$1000000,83,FALSE)</f>
        <v>#N/A</v>
      </c>
      <c r="O5" s="96" t="e">
        <f>VLOOKUP(A1,Data1!$A$1:$DZU$1000000,84,FALSE)</f>
        <v>#N/A</v>
      </c>
      <c r="P5" s="86" t="e">
        <f>VLOOKUP(A1,Data1!$A$1:$DZU$1000000,85,FALSE)</f>
        <v>#N/A</v>
      </c>
      <c r="Q5" s="8" t="e">
        <f>VLOOKUP(A1,Data1!$A$1:$DZU$1000000,86,FALSE)</f>
        <v>#N/A</v>
      </c>
    </row>
    <row r="6" spans="1:17" ht="15" thickBot="1" x14ac:dyDescent="0.4">
      <c r="A6" s="3" t="e">
        <f>VLOOKUP(A1,Data1!$A$1:$DZU$1000000,87,FALSE)</f>
        <v>#N/A</v>
      </c>
      <c r="B6" s="4" t="e">
        <f>VLOOKUP(A1,Data1!$A$1:$DZU$1000000,88,FALSE)</f>
        <v>#N/A</v>
      </c>
      <c r="C6" s="5" t="e">
        <f>VLOOKUP(A1,Data1!$A$1:$DZU$1000000,89,FALSE)</f>
        <v>#N/A</v>
      </c>
      <c r="D6" s="6" t="e">
        <f>VLOOKUP(A1,Data1!$A$1:$DZU$1000000,90,FALSE)</f>
        <v>#N/A</v>
      </c>
      <c r="E6" s="7" t="e">
        <f>VLOOKUP(A1,Data1!$A$1:$DZU$1000000,91,FALSE)</f>
        <v>#N/A</v>
      </c>
      <c r="F6" s="6" t="e">
        <f>VLOOKUP(A1,Data1!$A$1:$DZU$1000000,92,FALSE)</f>
        <v>#N/A</v>
      </c>
      <c r="G6" s="10" t="e">
        <f>VLOOKUP(A1,Data1!$A$1:$DZU$1000000,93,FALSE)</f>
        <v>#N/A</v>
      </c>
      <c r="H6" s="12" t="e">
        <f>VLOOKUP(A1,Data1!$A$1:$DZU$1000000,94,FALSE)</f>
        <v>#N/A</v>
      </c>
      <c r="I6" s="13" t="e">
        <f>VLOOKUP(A1,Data1!$A$1:$DZU$1000000,95,FALSE)</f>
        <v>#N/A</v>
      </c>
      <c r="J6" s="445" t="e">
        <f>VLOOKUP(A1,Data1!$A$1:$DZU$1000000,96,FALSE)</f>
        <v>#N/A</v>
      </c>
      <c r="K6" s="444"/>
      <c r="L6" s="11" t="e">
        <f>VLOOKUP(A1,Data1!$A$1:$DZU$1000000,98,FALSE)</f>
        <v>#N/A</v>
      </c>
      <c r="M6" s="9" t="e">
        <f>VLOOKUP(A1,Data1!$A$1:$DZU$1000000,99,FALSE)</f>
        <v>#N/A</v>
      </c>
      <c r="N6" s="31" t="e">
        <f>VLOOKUP(A1,Data1!$A$1:$DZU$1000000,100,FALSE)</f>
        <v>#N/A</v>
      </c>
      <c r="O6" s="97" t="e">
        <f>VLOOKUP(A1,Data1!$A$1:$DZU$1000000,101,FALSE)</f>
        <v>#N/A</v>
      </c>
      <c r="P6" s="7" t="e">
        <f>VLOOKUP(A1,Data1!$A$1:$DZU$1000000,102,FALSE)</f>
        <v>#N/A</v>
      </c>
      <c r="Q6" s="8" t="e">
        <f>VLOOKUP(A1,Data1!$A$1:$DZU$1000000,103,FALSE)</f>
        <v>#N/A</v>
      </c>
    </row>
    <row r="7" spans="1:17" x14ac:dyDescent="0.35">
      <c r="A7" s="3" t="e">
        <f>VLOOKUP(A1,Data1!$A$1:$DZU$1000000,104,FALSE)</f>
        <v>#N/A</v>
      </c>
      <c r="B7" s="4" t="e">
        <f>VLOOKUP(A1,Data1!$A$1:$DZU$1000000,105,FALSE)</f>
        <v>#N/A</v>
      </c>
      <c r="C7" s="84" t="e">
        <f>VLOOKUP(A1,Data1!$A$1:$DZU$1000000,106,FALSE)</f>
        <v>#N/A</v>
      </c>
      <c r="D7" s="6" t="e">
        <f>VLOOKUP(A1,Data1!$A$1:$DZU$1000000,107,FALSE)</f>
        <v>#N/A</v>
      </c>
      <c r="E7" s="7" t="e">
        <f>VLOOKUP(A1,Data1!$A$1:$DZU$1000000,108,FALSE)</f>
        <v>#N/A</v>
      </c>
      <c r="F7" s="6" t="e">
        <f>VLOOKUP(A1,Data1!$A$1:$DZU$1000000,109,FALSE)</f>
        <v>#N/A</v>
      </c>
      <c r="G7" s="7" t="e">
        <f>VLOOKUP(A1,Data1!$A$1:$DZU$1000000,110,FALSE)</f>
        <v>#N/A</v>
      </c>
      <c r="H7" s="14" t="e">
        <f>VLOOKUP(A1,Data1!$A$1:$DZU$1000000,111,FALSE)</f>
        <v>#N/A</v>
      </c>
      <c r="I7" s="6" t="e">
        <f>VLOOKUP(A1,Data1!$A$1:$DZU$1000000,112,FALSE)</f>
        <v>#N/A</v>
      </c>
      <c r="J7" s="443" t="e">
        <f>VLOOKUP(A1,Data1!$A$1:$DZU$1000000,113,FALSE)</f>
        <v>#N/A</v>
      </c>
      <c r="K7" s="444"/>
      <c r="L7" s="11" t="e">
        <f>VLOOKUP(A1,Data1!$A$1:$DZU$1000000,115,FALSE)</f>
        <v>#N/A</v>
      </c>
      <c r="M7" s="6" t="e">
        <f>VLOOKUP(A1,Data1!$A$1:$DZU$1000000,116,FALSE)</f>
        <v>#N/A</v>
      </c>
      <c r="N7" s="31" t="e">
        <f>VLOOKUP(A1,Data1!$A$1:$DZU$1000000,117,FALSE)</f>
        <v>#N/A</v>
      </c>
      <c r="O7" s="96" t="e">
        <f>VLOOKUP(A1,Data1!$A$1:$DZU$1000000,118,FALSE)</f>
        <v>#N/A</v>
      </c>
      <c r="P7" s="90" t="e">
        <f>VLOOKUP(A1,Data1!$A$1:$DZU$1000000,119,FALSE)</f>
        <v>#N/A</v>
      </c>
      <c r="Q7" s="90" t="e">
        <f>VLOOKUP(A1,Data1!$A$1:$DZU$1000000,120,FALSE)</f>
        <v>#N/A</v>
      </c>
    </row>
    <row r="8" spans="1:17" ht="15" thickBot="1" x14ac:dyDescent="0.4">
      <c r="A8" s="3" t="e">
        <f>VLOOKUP(A1,Data1!$A$1:$DZU$1000000,121,FALSE)</f>
        <v>#N/A</v>
      </c>
      <c r="B8" s="4" t="e">
        <f>VLOOKUP(A1,Data1!$A$1:$DZU$1000000,122,FALSE)</f>
        <v>#N/A</v>
      </c>
      <c r="C8" s="86" t="e">
        <f>VLOOKUP(A1,Data1!$A$1:$DZU$1000000,123,FALSE)</f>
        <v>#N/A</v>
      </c>
      <c r="D8" s="6" t="e">
        <f>VLOOKUP(A1,Data1!$A$1:$DZU$1000000,124,FALSE)</f>
        <v>#N/A</v>
      </c>
      <c r="E8" s="7" t="e">
        <f>VLOOKUP(A1,Data1!$A$1:$DZU$1000000,125,FALSE)</f>
        <v>#N/A</v>
      </c>
      <c r="F8" s="6" t="e">
        <f>VLOOKUP(A1,Data1!$A$1:$DZU$1000000,126,FALSE)</f>
        <v>#N/A</v>
      </c>
      <c r="G8" s="6" t="e">
        <f>VLOOKUP(A1,Data1!$A$1:$DZU$1000000,127,FALSE)</f>
        <v>#N/A</v>
      </c>
      <c r="H8" s="6" t="e">
        <f>VLOOKUP(A1,Data1!$A$1:$DZU$1000000,128,FALSE)</f>
        <v>#N/A</v>
      </c>
      <c r="I8" s="6" t="e">
        <f>VLOOKUP(A1,Data1!$A$1:$DZU$1000000,129,FALSE)</f>
        <v>#N/A</v>
      </c>
      <c r="J8" s="6" t="e">
        <f>VLOOKUP(A1,Data1!$A$1:$DZU$1000000,130,FALSE)</f>
        <v>#N/A</v>
      </c>
      <c r="K8" s="6" t="e">
        <f>VLOOKUP(A1,Data1!$A$1:$DZU$1000000,131,FALSE)</f>
        <v>#N/A</v>
      </c>
      <c r="L8" s="83" t="e">
        <f>VLOOKUP(A1,Data1!$A$1:$DZU$1000000,132,FALSE)</f>
        <v>#N/A</v>
      </c>
      <c r="M8" s="6" t="e">
        <f>VLOOKUP(A1,Data1!$A$1:$DZU$1000000,133,FALSE)</f>
        <v>#N/A</v>
      </c>
      <c r="N8" s="6" t="e">
        <f>VLOOKUP(A1,Data1!$A$1:$DZU$1000000,134,FALSE)</f>
        <v>#N/A</v>
      </c>
      <c r="O8" s="95" t="e">
        <f>VLOOKUP(A1,Data1!$A$1:$DZU$1000000,135,FALSE)</f>
        <v>#N/A</v>
      </c>
      <c r="P8" s="6" t="e">
        <f>VLOOKUP(A1,Data1!$A$1:$DZU$1000000,136,FALSE)</f>
        <v>#N/A</v>
      </c>
      <c r="Q8" s="6" t="e">
        <f>VLOOKUP(A1,Data1!$A$1:$DZU$1000000,137,FALSE)</f>
        <v>#N/A</v>
      </c>
    </row>
    <row r="9" spans="1:17" ht="40" customHeight="1" thickBot="1" x14ac:dyDescent="0.4">
      <c r="A9" s="15" t="e">
        <f>VLOOKUP(A1,Data1!$A$1:$DZU$1000000,138,FALSE)</f>
        <v>#N/A</v>
      </c>
      <c r="B9" s="16" t="e">
        <f>VLOOKUP(A1,Data1!$A$1:$DZU$1000000,139,FALSE)</f>
        <v>#N/A</v>
      </c>
      <c r="C9" s="17" t="e">
        <f>VLOOKUP(A1,Data1!$A$1:$DZU$1000000,140,FALSE)</f>
        <v>#N/A</v>
      </c>
      <c r="D9" s="18" t="e">
        <f>VLOOKUP(A1,Data1!$A$1:$DZU$1000000,141,FALSE)</f>
        <v>#N/A</v>
      </c>
      <c r="E9" s="19" t="e">
        <f>VLOOKUP(A1,Data1!$A$1:$DZU$1000000,142,FALSE)</f>
        <v>#N/A</v>
      </c>
      <c r="F9" s="16" t="e">
        <f>VLOOKUP(A1,Data1!$A$1:$DZU$1000000,143,FALSE)</f>
        <v>#N/A</v>
      </c>
      <c r="G9" s="20" t="e">
        <f>VLOOKUP(A1,Data1!$A$1:$DZU$1000000,144,FALSE)</f>
        <v>#N/A</v>
      </c>
      <c r="H9" s="16" t="e">
        <f>VLOOKUP(A1,Data1!$A$1:$DZU$1000000,145,FALSE)</f>
        <v>#N/A</v>
      </c>
      <c r="I9" s="20" t="e">
        <f>VLOOKUP(A1,Data1!$A$1:$DZU$1000000,146,FALSE)</f>
        <v>#N/A</v>
      </c>
      <c r="J9" s="21" t="e">
        <f>VLOOKUP(A1,Data1!$A$1:$DZU$1000000,147,FALSE)</f>
        <v>#N/A</v>
      </c>
      <c r="K9" s="16" t="e">
        <f>VLOOKUP(A1,Data1!$A$1:$DZU$1000000,148,FALSE)</f>
        <v>#N/A</v>
      </c>
      <c r="L9" s="21" t="e">
        <f>VLOOKUP(A1,Data1!$A$1:$DZU$1000000,149,FALSE)</f>
        <v>#N/A</v>
      </c>
      <c r="M9" s="20" t="e">
        <f>VLOOKUP(A1,Data1!$A$1:$DZU$1000000,150,FALSE)</f>
        <v>#N/A</v>
      </c>
      <c r="N9" s="16" t="e">
        <f>VLOOKUP(A1,Data1!$A$1:$DZU$1000000,151,FALSE)</f>
        <v>#N/A</v>
      </c>
      <c r="O9" s="20" t="e">
        <f>VLOOKUP(A1,Data1!$A$1:$DZU$1000000,152,FALSE)</f>
        <v>#N/A</v>
      </c>
      <c r="P9" s="18" t="e">
        <f>VLOOKUP(A1,Data1!$A$1:$DZU$1000000,153,FALSE)</f>
        <v>#N/A</v>
      </c>
      <c r="Q9" s="20" t="e">
        <f>VLOOKUP(A1,Data1!$A$1:$DZU$1000000,154,FALSE)</f>
        <v>#N/A</v>
      </c>
    </row>
    <row r="10" spans="1:17" ht="15" thickBot="1" x14ac:dyDescent="0.4">
      <c r="A10" s="22" t="e">
        <f>VLOOKUP(A1,Data1!$A$1:$DZU$1000000,155,FALSE)</f>
        <v>#N/A</v>
      </c>
      <c r="B10" s="23" t="e">
        <f>VLOOKUP(A1,Data1!$A$1:$DZU$1000000,156,FALSE)</f>
        <v>#N/A</v>
      </c>
      <c r="C10" s="24" t="e">
        <f>VLOOKUP(A1,Data1!$A$1:$DZU$1000000,157,FALSE)</f>
        <v>#N/A</v>
      </c>
      <c r="D10" s="25" t="e">
        <f>VLOOKUP(A1,Data1!$A$1:$DZU$1000000,158,FALSE)</f>
        <v>#N/A</v>
      </c>
      <c r="E10" s="26" t="e">
        <f>VLOOKUP(A1,Data1!$A$1:$DZU$1000000,159,FALSE)</f>
        <v>#N/A</v>
      </c>
      <c r="F10" s="27" t="e">
        <f>VLOOKUP(A1,Data1!$A$1:$DZU$1000000,160,FALSE)</f>
        <v>#N/A</v>
      </c>
      <c r="G10" s="28" t="e">
        <f>VLOOKUP(A1,Data1!$A$1:$DZU$1000000,161,FALSE)</f>
        <v>#N/A</v>
      </c>
      <c r="H10" s="27" t="e">
        <f>VLOOKUP(A1,Data1!$A$1:$DZU$1000000,162,FALSE)</f>
        <v>#N/A</v>
      </c>
      <c r="I10" s="28" t="e">
        <f>VLOOKUP(A1,Data1!$A$1:$DZU$1000000,163,FALSE)</f>
        <v>#N/A</v>
      </c>
      <c r="J10" s="27" t="e">
        <f>VLOOKUP(A1,Data1!$A$1:$DZU$1000000,164,FALSE)</f>
        <v>#N/A</v>
      </c>
      <c r="K10" s="27" t="e">
        <f>VLOOKUP(A1,Data1!$A$1:$DZU$1000000,165,FALSE)</f>
        <v>#N/A</v>
      </c>
      <c r="L10" s="27" t="e">
        <f>VLOOKUP(A1,Data1!$A$1:$DZU$1000000,166,FALSE)</f>
        <v>#N/A</v>
      </c>
      <c r="M10" s="28" t="e">
        <f>VLOOKUP(A1,Data1!$A$1:$DZU$1000000,167,FALSE)</f>
        <v>#N/A</v>
      </c>
      <c r="N10" s="27" t="e">
        <f>VLOOKUP(A1,Data1!$A$1:$DZU$1000000,168,FALSE)</f>
        <v>#N/A</v>
      </c>
      <c r="O10" s="28" t="e">
        <f>VLOOKUP(A1,Data1!$A$1:$DZU$1000000,169,FALSE)</f>
        <v>#N/A</v>
      </c>
      <c r="P10" s="25" t="e">
        <f>VLOOKUP(A1,Data1!$A$1:$DZU$1000000,170,FALSE)</f>
        <v>#N/A</v>
      </c>
      <c r="Q10" s="28" t="e">
        <f>VLOOKUP(A1,Data1!$A$1:$DZU$1000000,171,FALSE)</f>
        <v>#N/A</v>
      </c>
    </row>
    <row r="11" spans="1:17" x14ac:dyDescent="0.35">
      <c r="A11" s="22" t="e">
        <f>VLOOKUP(A1,Data1!$A$1:$DZU$1000000,172,FALSE)</f>
        <v>#N/A</v>
      </c>
      <c r="B11" s="29" t="e">
        <f>VLOOKUP(A1,Data1!$A$1:$DZU$1000000,173,FALSE)</f>
        <v>#N/A</v>
      </c>
      <c r="C11" s="30" t="e">
        <f>VLOOKUP(A1,Data1!$A$1:$DZU$1000000,174,FALSE)</f>
        <v>#N/A</v>
      </c>
      <c r="D11" s="31" t="e">
        <f>VLOOKUP(A1,Data1!$A$1:$DZU$1000000,175,FALSE)</f>
        <v>#N/A</v>
      </c>
      <c r="E11" s="32" t="e">
        <f>VLOOKUP(A1,Data1!$A$1:$DZU$1000000,176,FALSE)</f>
        <v>#N/A</v>
      </c>
      <c r="F11" s="34" t="e">
        <f>VLOOKUP(A1,Data1!$A$1:$DZU$1000000,177,FALSE)</f>
        <v>#N/A</v>
      </c>
      <c r="G11" s="33" t="e">
        <f>VLOOKUP(A1,Data1!$A$1:$DZU$1000000,178,FALSE)</f>
        <v>#N/A</v>
      </c>
      <c r="H11" s="34" t="e">
        <f>VLOOKUP(A1,Data1!$A$1:$DZU$1000000,179,FALSE)</f>
        <v>#N/A</v>
      </c>
      <c r="I11" s="33" t="e">
        <f>VLOOKUP(A1,Data1!$A$1:$DZU$1000000,180,FALSE)</f>
        <v>#N/A</v>
      </c>
      <c r="J11" s="34" t="e">
        <f>VLOOKUP(A1,Data1!$A$1:$DZU$1000000,181,FALSE)</f>
        <v>#N/A</v>
      </c>
      <c r="K11" s="34" t="e">
        <f>VLOOKUP(A1,Data1!$A$1:$DZU$1000000,182,FALSE)</f>
        <v>#N/A</v>
      </c>
      <c r="L11" s="34" t="e">
        <f>VLOOKUP(A1,Data1!$A$1:$DZU$1000000,183,FALSE)</f>
        <v>#N/A</v>
      </c>
      <c r="M11" s="33" t="e">
        <f>VLOOKUP(A1,Data1!$A$1:$DZU$1000000,184,FALSE)</f>
        <v>#N/A</v>
      </c>
      <c r="N11" s="34" t="e">
        <f>VLOOKUP(A1,Data1!$A$1:$DZU$1000000,185,FALSE)</f>
        <v>#N/A</v>
      </c>
      <c r="O11" s="35" t="e">
        <f>VLOOKUP(A1,Data1!$A$1:$DZU$1000000,186,FALSE)</f>
        <v>#N/A</v>
      </c>
      <c r="P11" s="31" t="e">
        <f>VLOOKUP(A1,Data1!$A$1:$DZU$1000000,187,FALSE)</f>
        <v>#N/A</v>
      </c>
      <c r="Q11" s="35" t="e">
        <f>VLOOKUP(A1,Data1!$A$1:$DZU$1000000,188,FALSE)</f>
        <v>#N/A</v>
      </c>
    </row>
    <row r="12" spans="1:17" x14ac:dyDescent="0.35">
      <c r="A12" s="22" t="e">
        <f>VLOOKUP(A1,Data1!$A$1:$DZU$1000000,189,FALSE)</f>
        <v>#N/A</v>
      </c>
      <c r="B12" s="29" t="e">
        <f>VLOOKUP(A1,Data1!$A$1:$DZU$1000000,190,FALSE)</f>
        <v>#N/A</v>
      </c>
      <c r="C12" s="30" t="e">
        <f>VLOOKUP(A1,Data1!$A$1:$DZU$1000000,191,FALSE)</f>
        <v>#N/A</v>
      </c>
      <c r="D12" s="31" t="e">
        <f>VLOOKUP(A1,Data1!$A$1:$DZU$1000000,192,FALSE)</f>
        <v>#N/A</v>
      </c>
      <c r="E12" s="32" t="e">
        <f>VLOOKUP(A1,Data1!$A$1:$DZU$1000000,193,FALSE)</f>
        <v>#N/A</v>
      </c>
      <c r="F12" s="34" t="e">
        <f>VLOOKUP(A1,Data1!$A$1:$DZU$1000000,194,FALSE)</f>
        <v>#N/A</v>
      </c>
      <c r="G12" s="33" t="e">
        <f>VLOOKUP(A1,Data1!$A$1:$DZU$1000000,195,FALSE)</f>
        <v>#N/A</v>
      </c>
      <c r="H12" s="34" t="e">
        <f>VLOOKUP(A1,Data1!$A$1:$DZU$1000000,196,FALSE)</f>
        <v>#N/A</v>
      </c>
      <c r="I12" s="33" t="e">
        <f>VLOOKUP(A1,Data1!$A$1:$DZU$1000000,197,FALSE)</f>
        <v>#N/A</v>
      </c>
      <c r="J12" s="34" t="e">
        <f>VLOOKUP(A1,Data1!$A$1:$DZU$1000000,198,FALSE)</f>
        <v>#N/A</v>
      </c>
      <c r="K12" s="34" t="e">
        <f>VLOOKUP(A1,Data1!$A$1:$DZU$1000000,199,FALSE)</f>
        <v>#N/A</v>
      </c>
      <c r="L12" s="34" t="e">
        <f>VLOOKUP(A1,Data1!$A$1:$DZU$1000000,200,FALSE)</f>
        <v>#N/A</v>
      </c>
      <c r="M12" s="33" t="e">
        <f>VLOOKUP(A1,Data1!$A$1:$DZU$1000000,201,FALSE)</f>
        <v>#N/A</v>
      </c>
      <c r="N12" s="34" t="e">
        <f>VLOOKUP(A1,Data1!$A$1:$DZU$1000000,202,FALSE)</f>
        <v>#N/A</v>
      </c>
      <c r="O12" s="35" t="e">
        <f>VLOOKUP(A1,Data1!$A$1:$DZU$1000000,203,FALSE)</f>
        <v>#N/A</v>
      </c>
      <c r="P12" s="31" t="e">
        <f>VLOOKUP(A1,Data1!$A$1:$DZU$1000000,204,FALSE)</f>
        <v>#N/A</v>
      </c>
      <c r="Q12" s="35" t="e">
        <f>VLOOKUP(A1,Data1!$A$1:$DZU$1000000,205,FALSE)</f>
        <v>#N/A</v>
      </c>
    </row>
    <row r="13" spans="1:17" x14ac:dyDescent="0.35">
      <c r="A13" s="22" t="e">
        <f>VLOOKUP(A1,Data1!$A$1:$DZU$1000000,206,FALSE)</f>
        <v>#N/A</v>
      </c>
      <c r="B13" s="37" t="e">
        <f>VLOOKUP(A1,Data1!$A$1:$DZU$1000000,207,FALSE)</f>
        <v>#N/A</v>
      </c>
      <c r="C13" s="38" t="e">
        <f>VLOOKUP(A1,Data1!$A$1:$DZU$1000000,208,FALSE)</f>
        <v>#N/A</v>
      </c>
      <c r="D13" s="31" t="e">
        <f>VLOOKUP(A1,Data1!$A$1:$DZU$1000000,209,FALSE)</f>
        <v>#N/A</v>
      </c>
      <c r="E13" s="32" t="e">
        <f>VLOOKUP(A1,Data1!$A$1:$DZU$1000000,210,FALSE)</f>
        <v>#N/A</v>
      </c>
      <c r="F13" s="93" t="e">
        <f>VLOOKUP(A1,Data1!$A$1:$DZU$1000000,211,FALSE)</f>
        <v>#N/A</v>
      </c>
      <c r="G13" s="33" t="e">
        <f>VLOOKUP(A1,Data1!$A$1:$DZU$1000000,212,FALSE)</f>
        <v>#N/A</v>
      </c>
      <c r="H13" s="93" t="e">
        <f>VLOOKUP(A1,Data1!$A$1:$DZU$1000000,213,FALSE)</f>
        <v>#N/A</v>
      </c>
      <c r="I13" s="33" t="e">
        <f>VLOOKUP(A1,Data1!$A$1:$DZU$1000000,214,FALSE)</f>
        <v>#N/A</v>
      </c>
      <c r="J13" s="34" t="e">
        <f>VLOOKUP(A1,Data1!$A$1:$DZU$1000000,215,FALSE)</f>
        <v>#N/A</v>
      </c>
      <c r="K13" s="34" t="e">
        <f>VLOOKUP(A1,Data1!$A$1:$DZU$1000000,216,FALSE)</f>
        <v>#N/A</v>
      </c>
      <c r="L13" s="93" t="e">
        <f>VLOOKUP(A1,Data1!$A$1:$DZU$1000000,217,FALSE)</f>
        <v>#N/A</v>
      </c>
      <c r="M13" s="33" t="e">
        <f>VLOOKUP(A1,Data1!$A$1:$DZU$1000000,218,FALSE)</f>
        <v>#N/A</v>
      </c>
      <c r="N13" s="93" t="e">
        <f>VLOOKUP(A1,Data1!$A$1:$DZU$1000000,219,FALSE)</f>
        <v>#N/A</v>
      </c>
      <c r="O13" s="33" t="e">
        <f>VLOOKUP(A1,Data1!$A$1:$DZU$1000000,220,FALSE)</f>
        <v>#N/A</v>
      </c>
      <c r="P13" s="46" t="e">
        <f>VLOOKUP(A1,Data1!$A$1:$DZU$1000000,221,FALSE)</f>
        <v>#N/A</v>
      </c>
      <c r="Q13" s="33" t="e">
        <f>VLOOKUP(A1,Data1!$A$1:$DZU$1000000,222,FALSE)</f>
        <v>#N/A</v>
      </c>
    </row>
    <row r="14" spans="1:17" x14ac:dyDescent="0.35">
      <c r="A14" s="22" t="e">
        <f>VLOOKUP(A1,Data1!$A$1:$DZU$1000000,223,FALSE)</f>
        <v>#N/A</v>
      </c>
      <c r="B14" s="37" t="e">
        <f>VLOOKUP(A1,Data1!$A$1:$DZU$1000000,224,FALSE)</f>
        <v>#N/A</v>
      </c>
      <c r="C14" s="38" t="e">
        <f>VLOOKUP(A1,Data1!$A$1:$DZU$1000000,225,FALSE)</f>
        <v>#N/A</v>
      </c>
      <c r="D14" s="31" t="e">
        <f>VLOOKUP(A1,Data1!$A$1:$DZU$1000000,226,FALSE)</f>
        <v>#N/A</v>
      </c>
      <c r="E14" s="32" t="e">
        <f>VLOOKUP(A1,Data1!$A$1:$DZU$1000000,227,FALSE)</f>
        <v>#N/A</v>
      </c>
      <c r="F14" s="34" t="e">
        <f>VLOOKUP(A1,Data1!$A$1:$DZU$1000000,228,FALSE)</f>
        <v>#N/A</v>
      </c>
      <c r="G14" s="33" t="e">
        <f>VLOOKUP(A1,Data1!$A$1:$DZU$1000000,229,FALSE)</f>
        <v>#N/A</v>
      </c>
      <c r="H14" s="34" t="e">
        <f>VLOOKUP(A1,Data1!$A$1:$DZU$1000000,230,FALSE)</f>
        <v>#N/A</v>
      </c>
      <c r="I14" s="33" t="e">
        <f>VLOOKUP(A1,Data1!$A$1:$DZU$1000000,231,FALSE)</f>
        <v>#N/A</v>
      </c>
      <c r="J14" s="34" t="e">
        <f>VLOOKUP(A1,Data1!$A$1:$DZU$1000000,232,FALSE)</f>
        <v>#N/A</v>
      </c>
      <c r="K14" s="34" t="e">
        <f>VLOOKUP(A1,Data1!$A$1:$DZU$1000000,233,FALSE)</f>
        <v>#N/A</v>
      </c>
      <c r="L14" s="34" t="e">
        <f>VLOOKUP(A1,Data1!$A$1:$DZU$1000000,234,FALSE)</f>
        <v>#N/A</v>
      </c>
      <c r="M14" s="33" t="e">
        <f>VLOOKUP(A1,Data1!$A$1:$DZU$1000000,235,FALSE)</f>
        <v>#N/A</v>
      </c>
      <c r="N14" s="34" t="e">
        <f>VLOOKUP(A1,Data1!$A$1:$DZU$1000000,236,FALSE)</f>
        <v>#N/A</v>
      </c>
      <c r="O14" s="33" t="e">
        <f>VLOOKUP(A1,Data1!$A$1:$DZU$1000000,237,FALSE)</f>
        <v>#N/A</v>
      </c>
      <c r="P14" s="46" t="e">
        <f>VLOOKUP(A1,Data1!$A$1:$DZU$1000000,238,FALSE)</f>
        <v>#N/A</v>
      </c>
      <c r="Q14" s="33" t="e">
        <f>VLOOKUP(A1,Data1!$A$1:$DZU$1000000,239,FALSE)</f>
        <v>#N/A</v>
      </c>
    </row>
    <row r="15" spans="1:17" x14ac:dyDescent="0.35">
      <c r="A15" s="22" t="e">
        <f>VLOOKUP(A1,Data1!$A$1:$DZU$1000000,240,FALSE)</f>
        <v>#N/A</v>
      </c>
      <c r="B15" s="37" t="e">
        <f>VLOOKUP(A1,Data1!$A$1:$DZU$1000000,241,FALSE)</f>
        <v>#N/A</v>
      </c>
      <c r="C15" s="38" t="e">
        <f>VLOOKUP(A1,Data1!$A$1:$DZU$1000000,242,FALSE)</f>
        <v>#N/A</v>
      </c>
      <c r="D15" s="31" t="e">
        <f>VLOOKUP(A1,Data1!$A$1:$DZU$1000000,243,FALSE)</f>
        <v>#N/A</v>
      </c>
      <c r="E15" s="32" t="e">
        <f>VLOOKUP(A1,Data1!$A$1:$DZU$1000000,244,FALSE)</f>
        <v>#N/A</v>
      </c>
      <c r="F15" s="34" t="e">
        <f>VLOOKUP(A1,Data1!$A$1:$DZU$1000000,245,FALSE)</f>
        <v>#N/A</v>
      </c>
      <c r="G15" s="33" t="e">
        <f>VLOOKUP(A1,Data1!$A$1:$DZU$1000000,246,FALSE)</f>
        <v>#N/A</v>
      </c>
      <c r="H15" s="34" t="e">
        <f>VLOOKUP(A1,Data1!$A$1:$DZU$1000000,247,FALSE)</f>
        <v>#N/A</v>
      </c>
      <c r="I15" s="33" t="e">
        <f>VLOOKUP(A1,Data1!$A$1:$DZU$1000000,248,FALSE)</f>
        <v>#N/A</v>
      </c>
      <c r="J15" s="34" t="e">
        <f>VLOOKUP(A1,Data1!$A$1:$DZU$1000000,249,FALSE)</f>
        <v>#N/A</v>
      </c>
      <c r="K15" s="34" t="e">
        <f>VLOOKUP(A1,Data1!$A$1:$DZU$1000000,250,FALSE)</f>
        <v>#N/A</v>
      </c>
      <c r="L15" s="34" t="e">
        <f>VLOOKUP(A1,Data1!$A$1:$DZU$1000000,251,FALSE)</f>
        <v>#N/A</v>
      </c>
      <c r="M15" s="33" t="e">
        <f>VLOOKUP(A1,Data1!$A$1:$DZU$1000000,252,FALSE)</f>
        <v>#N/A</v>
      </c>
      <c r="N15" s="34" t="e">
        <f>VLOOKUP(A1,Data1!$A$1:$DZU$1000000,253,FALSE)</f>
        <v>#N/A</v>
      </c>
      <c r="O15" s="33" t="e">
        <f>VLOOKUP(A1,Data1!$A$1:$DZU$1000000,254,FALSE)</f>
        <v>#N/A</v>
      </c>
      <c r="P15" s="31" t="e">
        <f>VLOOKUP(A1,Data1!$A$1:$DZU$1000000,255,FALSE)</f>
        <v>#N/A</v>
      </c>
      <c r="Q15" s="33" t="e">
        <f>VLOOKUP(A1,Data1!$A$1:$DZU$1000000,256,FALSE)</f>
        <v>#N/A</v>
      </c>
    </row>
    <row r="16" spans="1:17" x14ac:dyDescent="0.35">
      <c r="A16" s="22" t="e">
        <f>VLOOKUP(A1,Data1!$A$1:$DZU$1000000,257,FALSE)</f>
        <v>#N/A</v>
      </c>
      <c r="B16" s="37" t="e">
        <f>VLOOKUP(A1,Data1!$A$1:$DZU$1000000,258,FALSE)</f>
        <v>#N/A</v>
      </c>
      <c r="C16" s="38" t="e">
        <f>VLOOKUP(A1,Data1!$A$1:$DZU$1000000,259,FALSE)</f>
        <v>#N/A</v>
      </c>
      <c r="D16" s="31" t="e">
        <f>VLOOKUP(A1,Data1!$A$1:$DZU$1000000,260,FALSE)</f>
        <v>#N/A</v>
      </c>
      <c r="E16" s="32" t="e">
        <f>VLOOKUP(A1,Data1!$A$1:$DZU$1000000,261,FALSE)</f>
        <v>#N/A</v>
      </c>
      <c r="F16" s="34" t="e">
        <f>VLOOKUP(A1,Data1!$A$1:$DZU$1000000,262,FALSE)</f>
        <v>#N/A</v>
      </c>
      <c r="G16" s="33" t="e">
        <f>VLOOKUP(A1,Data1!$A$1:$DZU$1000000,263,FALSE)</f>
        <v>#N/A</v>
      </c>
      <c r="H16" s="34" t="e">
        <f>VLOOKUP(A1,Data1!$A$1:$DZU$1000000,264,FALSE)</f>
        <v>#N/A</v>
      </c>
      <c r="I16" s="33" t="e">
        <f>VLOOKUP(A1,Data1!$A$1:$DZU$1000000,265,FALSE)</f>
        <v>#N/A</v>
      </c>
      <c r="J16" s="34" t="e">
        <f>VLOOKUP(A1,Data1!$A$1:$DZU$1000000,266,FALSE)</f>
        <v>#N/A</v>
      </c>
      <c r="K16" s="34" t="e">
        <f>VLOOKUP(A1,Data1!$A$1:$DZU$1000000,267,FALSE)</f>
        <v>#N/A</v>
      </c>
      <c r="L16" s="93" t="e">
        <f>VLOOKUP(A1,Data1!$A$1:$DZU$1000000,268,FALSE)</f>
        <v>#N/A</v>
      </c>
      <c r="M16" s="33" t="e">
        <f>VLOOKUP(A1,Data1!$A$1:$DZU$1000000,269,FALSE)</f>
        <v>#N/A</v>
      </c>
      <c r="N16" s="34" t="e">
        <f>VLOOKUP(A1,Data1!$A$1:$DZU$1000000,270,FALSE)</f>
        <v>#N/A</v>
      </c>
      <c r="O16" s="33" t="e">
        <f>VLOOKUP(A1,Data1!$A$1:$DZU$1000000,271,FALSE)</f>
        <v>#N/A</v>
      </c>
      <c r="P16" s="46" t="e">
        <f>VLOOKUP(A1,Data1!$A$1:$DZU$1000000,272,FALSE)</f>
        <v>#N/A</v>
      </c>
      <c r="Q16" s="33" t="e">
        <f>VLOOKUP(A1,Data1!$A$1:$DZU$1000000,273,FALSE)</f>
        <v>#N/A</v>
      </c>
    </row>
    <row r="17" spans="1:17" x14ac:dyDescent="0.35">
      <c r="A17" s="22" t="e">
        <f>VLOOKUP(A1,Data1!$A$1:$DZU$1000000,274,FALSE)</f>
        <v>#N/A</v>
      </c>
      <c r="B17" s="37" t="e">
        <f>VLOOKUP(A1,Data1!$A$1:$DZU$1000000,275,FALSE)</f>
        <v>#N/A</v>
      </c>
      <c r="C17" s="38" t="e">
        <f>VLOOKUP(A1,Data1!$A$1:$DZU$1000000,276,FALSE)</f>
        <v>#N/A</v>
      </c>
      <c r="D17" s="31" t="e">
        <f>VLOOKUP(A1,Data1!$A$1:$DZU$1000000,277,FALSE)</f>
        <v>#N/A</v>
      </c>
      <c r="E17" s="32" t="e">
        <f>VLOOKUP(A1,Data1!$A$1:$DZU$1000000,278,FALSE)</f>
        <v>#N/A</v>
      </c>
      <c r="F17" s="34" t="e">
        <f>VLOOKUP(A1,Data1!$A$1:$DZU$1000000,279,FALSE)</f>
        <v>#N/A</v>
      </c>
      <c r="G17" s="33" t="e">
        <f>VLOOKUP(A1,Data1!$A$1:$DZU$1000000,280,FALSE)</f>
        <v>#N/A</v>
      </c>
      <c r="H17" s="34" t="e">
        <f>VLOOKUP(A1,Data1!$A$1:$DZU$1000000,281,FALSE)</f>
        <v>#N/A</v>
      </c>
      <c r="I17" s="33" t="e">
        <f>VLOOKUP(A1,Data1!$A$1:$DZU$1000000,282,FALSE)</f>
        <v>#N/A</v>
      </c>
      <c r="J17" s="34" t="e">
        <f>VLOOKUP(A1,Data1!$A$1:$DZU$1000000,283,FALSE)</f>
        <v>#N/A</v>
      </c>
      <c r="K17" s="34" t="e">
        <f>VLOOKUP(A1,Data1!$A$1:$DZU$1000000,284,FALSE)</f>
        <v>#N/A</v>
      </c>
      <c r="L17" s="93" t="e">
        <f>VLOOKUP(A1,Data1!$A$1:$DZU$1000000,285,FALSE)</f>
        <v>#N/A</v>
      </c>
      <c r="M17" s="33" t="e">
        <f>VLOOKUP(A1,Data1!$A$1:$DZU$1000000,286,FALSE)</f>
        <v>#N/A</v>
      </c>
      <c r="N17" s="34" t="e">
        <f>VLOOKUP(A1,Data1!$A$1:$DZU$1000000,287,FALSE)</f>
        <v>#N/A</v>
      </c>
      <c r="O17" s="33" t="e">
        <f>VLOOKUP(A1,Data1!$A$1:$DZU$1000000,288,FALSE)</f>
        <v>#N/A</v>
      </c>
      <c r="P17" s="46" t="e">
        <f>VLOOKUP(A1,Data1!$A$1:$DZU$1000000,289,FALSE)</f>
        <v>#N/A</v>
      </c>
      <c r="Q17" s="33" t="e">
        <f>VLOOKUP(A1,Data1!$A$1:$DZU$1000000,290,FALSE)</f>
        <v>#N/A</v>
      </c>
    </row>
    <row r="18" spans="1:17" x14ac:dyDescent="0.35">
      <c r="A18" s="22" t="e">
        <f>VLOOKUP(A1,Data1!$A$1:$DZU$1000000,291,FALSE)</f>
        <v>#N/A</v>
      </c>
      <c r="B18" s="37" t="e">
        <f>VLOOKUP(A1,Data1!$A$1:$DZU$1000000,292,FALSE)</f>
        <v>#N/A</v>
      </c>
      <c r="C18" s="38" t="e">
        <f>VLOOKUP(A1,Data1!$A$1:$DZU$1000000,293,FALSE)</f>
        <v>#N/A</v>
      </c>
      <c r="D18" s="31" t="e">
        <f>VLOOKUP(A1,Data1!$A$1:$DZU$1000000,294,FALSE)</f>
        <v>#N/A</v>
      </c>
      <c r="E18" s="32" t="e">
        <f>VLOOKUP(A1,Data1!$A$1:$DZU$1000000,295,FALSE)</f>
        <v>#N/A</v>
      </c>
      <c r="F18" s="34" t="e">
        <f>VLOOKUP(A1,Data1!$A$1:$DZU$1000000,296,FALSE)</f>
        <v>#N/A</v>
      </c>
      <c r="G18" s="33" t="e">
        <f>VLOOKUP(A1,Data1!$A$1:$DZU$1000000,297,FALSE)</f>
        <v>#N/A</v>
      </c>
      <c r="H18" s="34" t="e">
        <f>VLOOKUP(A1,Data1!$A$1:$DZU$1000000,298,FALSE)</f>
        <v>#N/A</v>
      </c>
      <c r="I18" s="33" t="e">
        <f>VLOOKUP(A1,Data1!$A$1:$DZU$1000000,299,FALSE)</f>
        <v>#N/A</v>
      </c>
      <c r="J18" s="34" t="e">
        <f>VLOOKUP(A1,Data1!$A$1:$DZU$1000000,300,FALSE)</f>
        <v>#N/A</v>
      </c>
      <c r="K18" s="34" t="e">
        <f>VLOOKUP(A1,Data1!$A$1:$DZU$1000000,301,FALSE)</f>
        <v>#N/A</v>
      </c>
      <c r="L18" s="93" t="e">
        <f>VLOOKUP(A1,Data1!$A$1:$DZU$1000000,302,FALSE)</f>
        <v>#N/A</v>
      </c>
      <c r="M18" s="33" t="e">
        <f>VLOOKUP(A1,Data1!$A$1:$DZU$1000000,303,FALSE)</f>
        <v>#N/A</v>
      </c>
      <c r="N18" s="34" t="e">
        <f>VLOOKUP(A1,Data1!$A$1:$DZU$1000000,304,FALSE)</f>
        <v>#N/A</v>
      </c>
      <c r="O18" s="33" t="e">
        <f>VLOOKUP(A1,Data1!$A$1:$DZU$1000000,305,FALSE)</f>
        <v>#N/A</v>
      </c>
      <c r="P18" s="46" t="e">
        <f>VLOOKUP(A1,Data1!$A$1:$DZU$1000000,306,FALSE)</f>
        <v>#N/A</v>
      </c>
      <c r="Q18" s="33" t="e">
        <f>VLOOKUP(A1,Data1!$A$1:$DZU$1000000,307,FALSE)</f>
        <v>#N/A</v>
      </c>
    </row>
    <row r="19" spans="1:17" x14ac:dyDescent="0.35">
      <c r="A19" s="22" t="e">
        <f>VLOOKUP(A1,Data1!$A$1:$DZU$1000000,308,FALSE)</f>
        <v>#N/A</v>
      </c>
      <c r="B19" s="37" t="e">
        <f>VLOOKUP(A1,Data1!$A$1:$DZU$1000000,309,FALSE)</f>
        <v>#N/A</v>
      </c>
      <c r="C19" s="38" t="e">
        <f>VLOOKUP(A1,Data1!$A$1:$DZU$1000000,310,FALSE)</f>
        <v>#N/A</v>
      </c>
      <c r="D19" s="31" t="e">
        <f>VLOOKUP(A1,Data1!$A$1:$DZU$1000000,311,FALSE)</f>
        <v>#N/A</v>
      </c>
      <c r="E19" s="32" t="e">
        <f>VLOOKUP(A1,Data1!$A$1:$DZU$1000000,312,FALSE)</f>
        <v>#N/A</v>
      </c>
      <c r="F19" s="34" t="e">
        <f>VLOOKUP(A1,Data1!$A$1:$DZU$1000000,313,FALSE)</f>
        <v>#N/A</v>
      </c>
      <c r="G19" s="33" t="e">
        <f>VLOOKUP(A1,Data1!$A$1:$DZU$1000000,314,FALSE)</f>
        <v>#N/A</v>
      </c>
      <c r="H19" s="34" t="e">
        <f>VLOOKUP(A1,Data1!$A$1:$DZU$1000000,315,FALSE)</f>
        <v>#N/A</v>
      </c>
      <c r="I19" s="33" t="e">
        <f>VLOOKUP(A1,Data1!$A$1:$DZU$1000000,316,FALSE)</f>
        <v>#N/A</v>
      </c>
      <c r="J19" s="34" t="e">
        <f>VLOOKUP(A1,Data1!$A$1:$DZU$1000000,317,FALSE)</f>
        <v>#N/A</v>
      </c>
      <c r="K19" s="34" t="e">
        <f>VLOOKUP(A1,Data1!$A$1:$DZU$1000000,318,FALSE)</f>
        <v>#N/A</v>
      </c>
      <c r="L19" s="93" t="e">
        <f>VLOOKUP(A1,Data1!$A$1:$DZU$1000000,319,FALSE)</f>
        <v>#N/A</v>
      </c>
      <c r="M19" s="33" t="e">
        <f>VLOOKUP(A1,Data1!$A$1:$DZU$1000000,320,FALSE)</f>
        <v>#N/A</v>
      </c>
      <c r="N19" s="34" t="e">
        <f>VLOOKUP(A1,Data1!$A$1:$DZU$1000000,321,FALSE)</f>
        <v>#N/A</v>
      </c>
      <c r="O19" s="33" t="e">
        <f>VLOOKUP(A1,Data1!$A$1:$DZU$1000000,322,FALSE)</f>
        <v>#N/A</v>
      </c>
      <c r="P19" s="46" t="e">
        <f>VLOOKUP(A1,Data1!$A$1:$DZU$1000000,323,FALSE)</f>
        <v>#N/A</v>
      </c>
      <c r="Q19" s="33" t="e">
        <f>VLOOKUP(A1,Data1!$A$1:$DZU$1000000,324,FALSE)</f>
        <v>#N/A</v>
      </c>
    </row>
    <row r="20" spans="1:17" x14ac:dyDescent="0.35">
      <c r="A20" s="22" t="e">
        <f>VLOOKUP(A1,Data1!$A$1:$DZU$1000000,325,FALSE)</f>
        <v>#N/A</v>
      </c>
      <c r="B20" s="37" t="e">
        <f>VLOOKUP(A1,Data1!$A$1:$DZU$1000000,326,FALSE)</f>
        <v>#N/A</v>
      </c>
      <c r="C20" s="38" t="e">
        <f>VLOOKUP(A1,Data1!$A$1:$DZU$1000000,327,FALSE)</f>
        <v>#N/A</v>
      </c>
      <c r="D20" s="31" t="e">
        <f>VLOOKUP(A1,Data1!$A$1:$DZU$1000000,328,FALSE)</f>
        <v>#N/A</v>
      </c>
      <c r="E20" s="32" t="e">
        <f>VLOOKUP(A1,Data1!$A$1:$DZU$1000000,329,FALSE)</f>
        <v>#N/A</v>
      </c>
      <c r="F20" s="34" t="e">
        <f>VLOOKUP(A1,Data1!$A$1:$DZU$1000000,330,FALSE)</f>
        <v>#N/A</v>
      </c>
      <c r="G20" s="33" t="e">
        <f>VLOOKUP(A1,Data1!$A$1:$DZU$1000000,331,FALSE)</f>
        <v>#N/A</v>
      </c>
      <c r="H20" s="34" t="e">
        <f>VLOOKUP(A1,Data1!$A$1:$DZU$1000000,332,FALSE)</f>
        <v>#N/A</v>
      </c>
      <c r="I20" s="33" t="e">
        <f>VLOOKUP(A1,Data1!$A$1:$DZU$1000000,333,FALSE)</f>
        <v>#N/A</v>
      </c>
      <c r="J20" s="34" t="e">
        <f>VLOOKUP(A1,Data1!$A$1:$DZU$1000000,334,FALSE)</f>
        <v>#N/A</v>
      </c>
      <c r="K20" s="34" t="e">
        <f>VLOOKUP(A1,Data1!$A$1:$DZU$1000000,335,FALSE)</f>
        <v>#N/A</v>
      </c>
      <c r="L20" s="93" t="e">
        <f>VLOOKUP(A1,Data1!$A$1:$DZU$1000000,336,FALSE)</f>
        <v>#N/A</v>
      </c>
      <c r="M20" s="33" t="e">
        <f>VLOOKUP(A1,Data1!$A$1:$DZU$1000000,337,FALSE)</f>
        <v>#N/A</v>
      </c>
      <c r="N20" s="34" t="e">
        <f>VLOOKUP(A1,Data1!$A$1:$DZU$1000000,338,FALSE)</f>
        <v>#N/A</v>
      </c>
      <c r="O20" s="33" t="e">
        <f>VLOOKUP(A1,Data1!$A$1:$DZU$1000000,339,FALSE)</f>
        <v>#N/A</v>
      </c>
      <c r="P20" s="46" t="e">
        <f>VLOOKUP(A1,Data1!$A$1:$DZU$1000000,340,FALSE)</f>
        <v>#N/A</v>
      </c>
      <c r="Q20" s="33" t="e">
        <f>VLOOKUP(A1,Data1!$A$1:$DZU$1000000,341,FALSE)</f>
        <v>#N/A</v>
      </c>
    </row>
    <row r="21" spans="1:17" x14ac:dyDescent="0.35">
      <c r="A21" s="22" t="e">
        <f>VLOOKUP(A1,Data1!$A$1:$DZU$1000000,342,FALSE)</f>
        <v>#N/A</v>
      </c>
      <c r="B21" s="37" t="e">
        <f>VLOOKUP(A1,Data1!$A$1:$DZU$1000000,343,FALSE)</f>
        <v>#N/A</v>
      </c>
      <c r="C21" s="38" t="e">
        <f>VLOOKUP(A1,Data1!$A$1:$DZU$1000000,344,FALSE)</f>
        <v>#N/A</v>
      </c>
      <c r="D21" s="31" t="e">
        <f>VLOOKUP(A1,Data1!$A$1:$DZU$1000000,345,FALSE)</f>
        <v>#N/A</v>
      </c>
      <c r="E21" s="32" t="e">
        <f>VLOOKUP(A1,Data1!$A$1:$DZU$1000000,346,FALSE)</f>
        <v>#N/A</v>
      </c>
      <c r="F21" s="34" t="e">
        <f>VLOOKUP(A1,Data1!$A$1:$DZU$1000000,347,FALSE)</f>
        <v>#N/A</v>
      </c>
      <c r="G21" s="33" t="e">
        <f>VLOOKUP(A1,Data1!$A$1:$DZU$1000000,348,FALSE)</f>
        <v>#N/A</v>
      </c>
      <c r="H21" s="34" t="e">
        <f>VLOOKUP(A1,Data1!$A$1:$DZU$1000000,349,FALSE)</f>
        <v>#N/A</v>
      </c>
      <c r="I21" s="33" t="e">
        <f>VLOOKUP(A1,Data1!$A$1:$DZU$1000000,350,FALSE)</f>
        <v>#N/A</v>
      </c>
      <c r="J21" s="34" t="e">
        <f>VLOOKUP(A1,Data1!$A$1:$DZU$1000000,351,FALSE)</f>
        <v>#N/A</v>
      </c>
      <c r="K21" s="34" t="e">
        <f>VLOOKUP(A1,Data1!$A$1:$DZU$1000000,352,FALSE)</f>
        <v>#N/A</v>
      </c>
      <c r="L21" s="93" t="e">
        <f>VLOOKUP(A1,Data1!$A$1:$DZU$1000000,353,FALSE)</f>
        <v>#N/A</v>
      </c>
      <c r="M21" s="33" t="e">
        <f>VLOOKUP(A1,Data1!$A$1:$DZU$1000000,354,FALSE)</f>
        <v>#N/A</v>
      </c>
      <c r="N21" s="34" t="e">
        <f>VLOOKUP(A1,Data1!$A$1:$DZU$1000000,355,FALSE)</f>
        <v>#N/A</v>
      </c>
      <c r="O21" s="33" t="e">
        <f>VLOOKUP(A1,Data1!$A$1:$DZU$1000000,356,FALSE)</f>
        <v>#N/A</v>
      </c>
      <c r="P21" s="46" t="e">
        <f>VLOOKUP(A1,Data1!$A$1:$DZU$1000000,357,FALSE)</f>
        <v>#N/A</v>
      </c>
      <c r="Q21" s="33" t="e">
        <f>VLOOKUP(A1,Data1!$A$1:$DZU$1000000,358,FALSE)</f>
        <v>#N/A</v>
      </c>
    </row>
    <row r="22" spans="1:17" x14ac:dyDescent="0.35">
      <c r="A22" s="22" t="e">
        <f>VLOOKUP(A1,Data1!$A$1:$DZU$1000000,359,FALSE)</f>
        <v>#N/A</v>
      </c>
      <c r="B22" s="37" t="e">
        <f>VLOOKUP(A1,Data1!$A$1:$DZU$1000000,360,FALSE)</f>
        <v>#N/A</v>
      </c>
      <c r="C22" s="38" t="e">
        <f>VLOOKUP(A1,Data1!$A$1:$DZU$1000000,361,FALSE)</f>
        <v>#N/A</v>
      </c>
      <c r="D22" s="31" t="e">
        <f>VLOOKUP(A1,Data1!$A$1:$DZU$1000000,362,FALSE)</f>
        <v>#N/A</v>
      </c>
      <c r="E22" s="32" t="e">
        <f>VLOOKUP(A1,Data1!$A$1:$DZU$1000000,363,FALSE)</f>
        <v>#N/A</v>
      </c>
      <c r="F22" s="34" t="e">
        <f>VLOOKUP(A1,Data1!$A$1:$DZU$1000000,364,FALSE)</f>
        <v>#N/A</v>
      </c>
      <c r="G22" s="33" t="e">
        <f>VLOOKUP(A1,Data1!$A$1:$DZU$1000000,365,FALSE)</f>
        <v>#N/A</v>
      </c>
      <c r="H22" s="34" t="e">
        <f>VLOOKUP(A1,Data1!$A$1:$DZU$1000000,366,FALSE)</f>
        <v>#N/A</v>
      </c>
      <c r="I22" s="33" t="e">
        <f>VLOOKUP(A1,Data1!$A$1:$DZU$1000000,367,FALSE)</f>
        <v>#N/A</v>
      </c>
      <c r="J22" s="34" t="e">
        <f>VLOOKUP(A1,Data1!$A$1:$DZU$1000000,368,FALSE)</f>
        <v>#N/A</v>
      </c>
      <c r="K22" s="34" t="e">
        <f>VLOOKUP(A1,Data1!$A$1:$DZU$1000000,369,FALSE)</f>
        <v>#N/A</v>
      </c>
      <c r="L22" s="93" t="e">
        <f>VLOOKUP(A1,Data1!$A$1:$DZU$1000000,370,FALSE)</f>
        <v>#N/A</v>
      </c>
      <c r="M22" s="33" t="e">
        <f>VLOOKUP(A1,Data1!$A$1:$DZU$1000000,371,FALSE)</f>
        <v>#N/A</v>
      </c>
      <c r="N22" s="34" t="e">
        <f>VLOOKUP(A1,Data1!$A$1:$DZU$1000000,372,FALSE)</f>
        <v>#N/A</v>
      </c>
      <c r="O22" s="33" t="e">
        <f>VLOOKUP(A1,Data1!$A$1:$DZU$1000000,373,FALSE)</f>
        <v>#N/A</v>
      </c>
      <c r="P22" s="46" t="e">
        <f>VLOOKUP(A1,Data1!$A$1:$DZU$1000000,374,FALSE)</f>
        <v>#N/A</v>
      </c>
      <c r="Q22" s="33" t="e">
        <f>VLOOKUP(A1,Data1!$A$1:$DZU$1000000,375,FALSE)</f>
        <v>#N/A</v>
      </c>
    </row>
    <row r="23" spans="1:17" x14ac:dyDescent="0.35">
      <c r="A23" s="22" t="e">
        <f>VLOOKUP(A1,Data1!$A$1:$DZU$1000000,376,FALSE)</f>
        <v>#N/A</v>
      </c>
      <c r="B23" s="37" t="e">
        <f>VLOOKUP(A1,Data1!$A$1:$DZU$1000000,377,FALSE)</f>
        <v>#N/A</v>
      </c>
      <c r="C23" s="38" t="e">
        <f>VLOOKUP(A1,Data1!$A$1:$DZU$1000000,378,FALSE)</f>
        <v>#N/A</v>
      </c>
      <c r="D23" s="31" t="e">
        <f>VLOOKUP(A1,Data1!$A$1:$DZU$1000000,379,FALSE)</f>
        <v>#N/A</v>
      </c>
      <c r="E23" s="32" t="e">
        <f>VLOOKUP(A1,Data1!$A$1:$DZU$1000000,380,FALSE)</f>
        <v>#N/A</v>
      </c>
      <c r="F23" s="34" t="e">
        <f>VLOOKUP(A1,Data1!$A$1:$DZU$1000000,381,FALSE)</f>
        <v>#N/A</v>
      </c>
      <c r="G23" s="33" t="e">
        <f>VLOOKUP(A1,Data1!$A$1:$DZU$1000000,382,FALSE)</f>
        <v>#N/A</v>
      </c>
      <c r="H23" s="34" t="e">
        <f>VLOOKUP(A1,Data1!$A$1:$DZU$1000000,383,FALSE)</f>
        <v>#N/A</v>
      </c>
      <c r="I23" s="33" t="e">
        <f>VLOOKUP(A1,Data1!$A$1:$DZU$1000000,384,FALSE)</f>
        <v>#N/A</v>
      </c>
      <c r="J23" s="34" t="e">
        <f>VLOOKUP(A1,Data1!$A$1:$DZU$1000000,385,FALSE)</f>
        <v>#N/A</v>
      </c>
      <c r="K23" s="34" t="e">
        <f>VLOOKUP(A1,Data1!$A$1:$DZU$1000000,386,FALSE)</f>
        <v>#N/A</v>
      </c>
      <c r="L23" s="93" t="e">
        <f>VLOOKUP(A1,Data1!$A$1:$DZU$1000000,387,FALSE)</f>
        <v>#N/A</v>
      </c>
      <c r="M23" s="33" t="e">
        <f>VLOOKUP(A1,Data1!$A$1:$DZU$1000000,388,FALSE)</f>
        <v>#N/A</v>
      </c>
      <c r="N23" s="34" t="e">
        <f>VLOOKUP(A1,Data1!$A$1:$DZU$1000000,389,FALSE)</f>
        <v>#N/A</v>
      </c>
      <c r="O23" s="33" t="e">
        <f>VLOOKUP(A1,Data1!$A$1:$DZU$1000000,390,FALSE)</f>
        <v>#N/A</v>
      </c>
      <c r="P23" s="46" t="e">
        <f>VLOOKUP(A1,Data1!$A$1:$DZU$1000000,391,FALSE)</f>
        <v>#N/A</v>
      </c>
      <c r="Q23" s="33" t="e">
        <f>VLOOKUP(A1,Data1!$A$1:$DZU$1000000,392,FALSE)</f>
        <v>#N/A</v>
      </c>
    </row>
    <row r="24" spans="1:17" x14ac:dyDescent="0.35">
      <c r="A24" s="22" t="e">
        <f>VLOOKUP(A1,Data1!$A$1:$DZU$1000000,393,FALSE)</f>
        <v>#N/A</v>
      </c>
      <c r="B24" s="37" t="e">
        <f>VLOOKUP(A1,Data1!$A$1:$DZU$1000000,394,FALSE)</f>
        <v>#N/A</v>
      </c>
      <c r="C24" s="38" t="e">
        <f>VLOOKUP(A1,Data1!$A$1:$DZU$1000000,395,FALSE)</f>
        <v>#N/A</v>
      </c>
      <c r="D24" s="31" t="e">
        <f>VLOOKUP(A1,Data1!$A$1:$DZU$1000000,396,FALSE)</f>
        <v>#N/A</v>
      </c>
      <c r="E24" s="32" t="e">
        <f>VLOOKUP(A1,Data1!$A$1:$DZU$1000000,397,FALSE)</f>
        <v>#N/A</v>
      </c>
      <c r="F24" s="34" t="e">
        <f>VLOOKUP(A1,Data1!$A$1:$DZU$1000000,398,FALSE)</f>
        <v>#N/A</v>
      </c>
      <c r="G24" s="33" t="e">
        <f>VLOOKUP(A1,Data1!$A$1:$DZU$1000000,399,FALSE)</f>
        <v>#N/A</v>
      </c>
      <c r="H24" s="34" t="e">
        <f>VLOOKUP(A1,Data1!$A$1:$DZU$1000000,400,FALSE)</f>
        <v>#N/A</v>
      </c>
      <c r="I24" s="33" t="e">
        <f>VLOOKUP(A1,Data1!$A$1:$DZU$1000000,401,FALSE)</f>
        <v>#N/A</v>
      </c>
      <c r="J24" s="34" t="e">
        <f>VLOOKUP(A1,Data1!$A$1:$DZU$1000000,402,FALSE)</f>
        <v>#N/A</v>
      </c>
      <c r="K24" s="34" t="e">
        <f>VLOOKUP(A1,Data1!$A$1:$DZU$1000000,403,FALSE)</f>
        <v>#N/A</v>
      </c>
      <c r="L24" s="93" t="e">
        <f>VLOOKUP(A1,Data1!$A$1:$DZU$1000000,404,FALSE)</f>
        <v>#N/A</v>
      </c>
      <c r="M24" s="33" t="e">
        <f>VLOOKUP(A1,Data1!$A$1:$DZU$1000000,405,FALSE)</f>
        <v>#N/A</v>
      </c>
      <c r="N24" s="34" t="e">
        <f>VLOOKUP(A1,Data1!$A$1:$DZU$1000000,406,FALSE)</f>
        <v>#N/A</v>
      </c>
      <c r="O24" s="33" t="e">
        <f>VLOOKUP(A1,Data1!$A$1:$DZU$1000000,407,FALSE)</f>
        <v>#N/A</v>
      </c>
      <c r="P24" s="46" t="e">
        <f>VLOOKUP(A1,Data1!$A$1:$DZU$1000000,408,FALSE)</f>
        <v>#N/A</v>
      </c>
      <c r="Q24" s="33" t="e">
        <f>VLOOKUP(A1,Data1!$A$1:$DZU$1000000,409,FALSE)</f>
        <v>#N/A</v>
      </c>
    </row>
    <row r="25" spans="1:17" x14ac:dyDescent="0.35">
      <c r="A25" s="22" t="e">
        <f>VLOOKUP(A1,Data1!$A$1:$DZU$1000000,410,FALSE)</f>
        <v>#N/A</v>
      </c>
      <c r="B25" s="37" t="e">
        <f>VLOOKUP(A1,Data1!$A$1:$DZU$1000000,411,FALSE)</f>
        <v>#N/A</v>
      </c>
      <c r="C25" s="38" t="e">
        <f>VLOOKUP(A1,Data1!$A$1:$DZU$1000000,412,FALSE)</f>
        <v>#N/A</v>
      </c>
      <c r="D25" s="31" t="e">
        <f>VLOOKUP(A1,Data1!$A$1:$DZU$1000000,413,FALSE)</f>
        <v>#N/A</v>
      </c>
      <c r="E25" s="32" t="e">
        <f>VLOOKUP(A1,Data1!$A$1:$DZU$1000000,414,FALSE)</f>
        <v>#N/A</v>
      </c>
      <c r="F25" s="34" t="e">
        <f>VLOOKUP(A1,Data1!$A$1:$DZU$1000000,415,FALSE)</f>
        <v>#N/A</v>
      </c>
      <c r="G25" s="33" t="e">
        <f>VLOOKUP(A1,Data1!$A$1:$DZU$1000000,416,FALSE)</f>
        <v>#N/A</v>
      </c>
      <c r="H25" s="34" t="e">
        <f>VLOOKUP(A1,Data1!$A$1:$DZU$1000000,417,FALSE)</f>
        <v>#N/A</v>
      </c>
      <c r="I25" s="33" t="e">
        <f>VLOOKUP(A1,Data1!$A$1:$DZU$1000000,418,FALSE)</f>
        <v>#N/A</v>
      </c>
      <c r="J25" s="34" t="e">
        <f>VLOOKUP(A1,Data1!$A$1:$DZU$1000000,419,FALSE)</f>
        <v>#N/A</v>
      </c>
      <c r="K25" s="34" t="e">
        <f>VLOOKUP(A1,Data1!$A$1:$DZU$1000000,420,FALSE)</f>
        <v>#N/A</v>
      </c>
      <c r="L25" s="93" t="e">
        <f>VLOOKUP(A1,Data1!$A$1:$DZU$1000000,421,FALSE)</f>
        <v>#N/A</v>
      </c>
      <c r="M25" s="33" t="e">
        <f>VLOOKUP(A1,Data1!$A$1:$DZU$1000000,422,FALSE)</f>
        <v>#N/A</v>
      </c>
      <c r="N25" s="34" t="e">
        <f>VLOOKUP(A1,Data1!$A$1:$DZU$1000000,423,FALSE)</f>
        <v>#N/A</v>
      </c>
      <c r="O25" s="33" t="e">
        <f>VLOOKUP(A1,Data1!$A$1:$DZU$1000000,424,FALSE)</f>
        <v>#N/A</v>
      </c>
      <c r="P25" s="46" t="e">
        <f>VLOOKUP(A1,Data1!$A$1:$DZU$1000000,425,FALSE)</f>
        <v>#N/A</v>
      </c>
      <c r="Q25" s="33" t="e">
        <f>VLOOKUP(A1,Data1!$A$1:$DZU$1000000,426,FALSE)</f>
        <v>#N/A</v>
      </c>
    </row>
    <row r="26" spans="1:17" x14ac:dyDescent="0.35">
      <c r="A26" s="22" t="e">
        <f>VLOOKUP(A1,Data1!$A$1:$DZU$1000000,427,FALSE)</f>
        <v>#N/A</v>
      </c>
      <c r="B26" s="37" t="e">
        <f>VLOOKUP(A1,Data1!$A$1:$DZU$1000000,428,FALSE)</f>
        <v>#N/A</v>
      </c>
      <c r="C26" s="38" t="e">
        <f>VLOOKUP(A1,Data1!$A$1:$DZU$1000000,429,FALSE)</f>
        <v>#N/A</v>
      </c>
      <c r="D26" s="31" t="e">
        <f>VLOOKUP(A1,Data1!$A$1:$DZU$1000000,430,FALSE)</f>
        <v>#N/A</v>
      </c>
      <c r="E26" s="32" t="e">
        <f>VLOOKUP(A1,Data1!$A$1:$DZU$1000000,431,FALSE)</f>
        <v>#N/A</v>
      </c>
      <c r="F26" s="34" t="e">
        <f>VLOOKUP(A1,Data1!$A$1:$DZU$1000000,432,FALSE)</f>
        <v>#N/A</v>
      </c>
      <c r="G26" s="33" t="e">
        <f>VLOOKUP(A1,Data1!$A$1:$DZU$1000000,433,FALSE)</f>
        <v>#N/A</v>
      </c>
      <c r="H26" s="34" t="e">
        <f>VLOOKUP(A1,Data1!$A$1:$DZU$1000000,434,FALSE)</f>
        <v>#N/A</v>
      </c>
      <c r="I26" s="33" t="e">
        <f>VLOOKUP(A1,Data1!$A$1:$DZU$1000000,435,FALSE)</f>
        <v>#N/A</v>
      </c>
      <c r="J26" s="34" t="e">
        <f>VLOOKUP(A1,Data1!$A$1:$DZU$1000000,436,FALSE)</f>
        <v>#N/A</v>
      </c>
      <c r="K26" s="34" t="e">
        <f>VLOOKUP(A1,Data1!$A$1:$DZU$1000000,437,FALSE)</f>
        <v>#N/A</v>
      </c>
      <c r="L26" s="93" t="e">
        <f>VLOOKUP(A1,Data1!$A$1:$DZU$1000000,438,FALSE)</f>
        <v>#N/A</v>
      </c>
      <c r="M26" s="33" t="e">
        <f>VLOOKUP(A1,Data1!$A$1:$DZU$1000000,439,FALSE)</f>
        <v>#N/A</v>
      </c>
      <c r="N26" s="34" t="e">
        <f>VLOOKUP(A1,Data1!$A$1:$DZU$1000000,440,FALSE)</f>
        <v>#N/A</v>
      </c>
      <c r="O26" s="33" t="e">
        <f>VLOOKUP(A1,Data1!$A$1:$DZU$1000000,441,FALSE)</f>
        <v>#N/A</v>
      </c>
      <c r="P26" s="46" t="e">
        <f>VLOOKUP(A1,Data1!$A$1:$DZU$1000000,442,FALSE)</f>
        <v>#N/A</v>
      </c>
      <c r="Q26" s="33" t="e">
        <f>VLOOKUP(A1,Data1!$A$1:$DZU$1000000,443,FALSE)</f>
        <v>#N/A</v>
      </c>
    </row>
    <row r="27" spans="1:17" x14ac:dyDescent="0.35">
      <c r="A27" s="22" t="e">
        <f>VLOOKUP(A1,Data1!$A$1:$DZU$1000000,444,FALSE)</f>
        <v>#N/A</v>
      </c>
      <c r="B27" s="37" t="e">
        <f>VLOOKUP(A1,Data1!$A$1:$DZU$1000000,445,FALSE)</f>
        <v>#N/A</v>
      </c>
      <c r="C27" s="38" t="e">
        <f>VLOOKUP(A1,Data1!$A$1:$DZU$1000000,446,FALSE)</f>
        <v>#N/A</v>
      </c>
      <c r="D27" s="31" t="e">
        <f>VLOOKUP(A1,Data1!$A$1:$DZU$1000000,447,FALSE)</f>
        <v>#N/A</v>
      </c>
      <c r="E27" s="32" t="e">
        <f>VLOOKUP(A1,Data1!$A$1:$DZU$1000000,448,FALSE)</f>
        <v>#N/A</v>
      </c>
      <c r="F27" s="34" t="e">
        <f>VLOOKUP(A1,Data1!$A$1:$DZU$1000000,449,FALSE)</f>
        <v>#N/A</v>
      </c>
      <c r="G27" s="33" t="e">
        <f>VLOOKUP(A1,Data1!$A$1:$DZU$1000000,450,FALSE)</f>
        <v>#N/A</v>
      </c>
      <c r="H27" s="34" t="e">
        <f>VLOOKUP(A1,Data1!$A$1:$DZU$1000000,451,FALSE)</f>
        <v>#N/A</v>
      </c>
      <c r="I27" s="33" t="e">
        <f>VLOOKUP(A1,Data1!$A$1:$DZU$1000000,452,FALSE)</f>
        <v>#N/A</v>
      </c>
      <c r="J27" s="34" t="e">
        <f>VLOOKUP(A1,Data1!$A$1:$DZU$1000000,453,FALSE)</f>
        <v>#N/A</v>
      </c>
      <c r="K27" s="34" t="e">
        <f>VLOOKUP(A1,Data1!$A$1:$DZU$1000000,454,FALSE)</f>
        <v>#N/A</v>
      </c>
      <c r="L27" s="93" t="e">
        <f>VLOOKUP(A1,Data1!$A$1:$DZU$1000000,455,FALSE)</f>
        <v>#N/A</v>
      </c>
      <c r="M27" s="33" t="e">
        <f>VLOOKUP(A1,Data1!$A$1:$DZU$1000000,456,FALSE)</f>
        <v>#N/A</v>
      </c>
      <c r="N27" s="34" t="e">
        <f>VLOOKUP(A1,Data1!$A$1:$DZU$1000000,457,FALSE)</f>
        <v>#N/A</v>
      </c>
      <c r="O27" s="33" t="e">
        <f>VLOOKUP(A1,Data1!$A$1:$DZU$1000000,458,FALSE)</f>
        <v>#N/A</v>
      </c>
      <c r="P27" s="46" t="e">
        <f>VLOOKUP(A1,Data1!$A$1:$DZU$1000000,459,FALSE)</f>
        <v>#N/A</v>
      </c>
      <c r="Q27" s="33" t="e">
        <f>VLOOKUP(A1,Data1!$A$1:$DZU$1000000,460,FALSE)</f>
        <v>#N/A</v>
      </c>
    </row>
    <row r="28" spans="1:17" x14ac:dyDescent="0.35">
      <c r="A28" s="22" t="e">
        <f>VLOOKUP(A1,Data1!$A$1:$DZU$1000000,461,FALSE)</f>
        <v>#N/A</v>
      </c>
      <c r="B28" s="37" t="e">
        <f>VLOOKUP(A1,Data1!$A$1:$DZU$1000000,462,FALSE)</f>
        <v>#N/A</v>
      </c>
      <c r="C28" s="38" t="e">
        <f>VLOOKUP(A1,Data1!$A$1:$DZU$1000000,463,FALSE)</f>
        <v>#N/A</v>
      </c>
      <c r="D28" s="31" t="e">
        <f>VLOOKUP(A1,Data1!$A$1:$DZU$1000000,464,FALSE)</f>
        <v>#N/A</v>
      </c>
      <c r="E28" s="32" t="e">
        <f>VLOOKUP(A1,Data1!$A$1:$DZU$1000000,465,FALSE)</f>
        <v>#N/A</v>
      </c>
      <c r="F28" s="34" t="e">
        <f>VLOOKUP(A1,Data1!$A$1:$DZU$1000000,466,FALSE)</f>
        <v>#N/A</v>
      </c>
      <c r="G28" s="33" t="e">
        <f>VLOOKUP(A1,Data1!$A$1:$DZU$1000000,467,FALSE)</f>
        <v>#N/A</v>
      </c>
      <c r="H28" s="34" t="e">
        <f>VLOOKUP(A1,Data1!$A$1:$DZU$1000000,468,FALSE)</f>
        <v>#N/A</v>
      </c>
      <c r="I28" s="33" t="e">
        <f>VLOOKUP(A1,Data1!$A$1:$DZU$1000000,469,FALSE)</f>
        <v>#N/A</v>
      </c>
      <c r="J28" s="34" t="e">
        <f>VLOOKUP(A1,Data1!$A$1:$DZU$1000000,470,FALSE)</f>
        <v>#N/A</v>
      </c>
      <c r="K28" s="34" t="e">
        <f>VLOOKUP(A1,Data1!$A$1:$DZU$1000000,471,FALSE)</f>
        <v>#N/A</v>
      </c>
      <c r="L28" s="93" t="e">
        <f>VLOOKUP(A1,Data1!$A$1:$DZU$1000000,472,FALSE)</f>
        <v>#N/A</v>
      </c>
      <c r="M28" s="33" t="e">
        <f>VLOOKUP(A1,Data1!$A$1:$DZU$1000000,473,FALSE)</f>
        <v>#N/A</v>
      </c>
      <c r="N28" s="34" t="e">
        <f>VLOOKUP(A1,Data1!$A$1:$DZU$1000000,474,FALSE)</f>
        <v>#N/A</v>
      </c>
      <c r="O28" s="33" t="e">
        <f>VLOOKUP(A1,Data1!$A$1:$DZU$1000000,475,FALSE)</f>
        <v>#N/A</v>
      </c>
      <c r="P28" s="46" t="e">
        <f>VLOOKUP(A1,Data1!$A$1:$DZU$1000000,476,FALSE)</f>
        <v>#N/A</v>
      </c>
      <c r="Q28" s="33" t="e">
        <f>VLOOKUP(A1,Data1!$A$1:$DZU$1000000,477,FALSE)</f>
        <v>#N/A</v>
      </c>
    </row>
    <row r="29" spans="1:17" x14ac:dyDescent="0.35">
      <c r="A29" s="22" t="e">
        <f>VLOOKUP(A1,Data1!$A$1:$DZU$1000000,478,FALSE)</f>
        <v>#N/A</v>
      </c>
      <c r="B29" s="37" t="e">
        <f>VLOOKUP(A1,Data1!$A$1:$DZU$1000000,479,FALSE)</f>
        <v>#N/A</v>
      </c>
      <c r="C29" s="38" t="e">
        <f>VLOOKUP(A1,Data1!$A$1:$DZU$1000000,480,FALSE)</f>
        <v>#N/A</v>
      </c>
      <c r="D29" s="31" t="e">
        <f>VLOOKUP(A1,Data1!$A$1:$DZU$1000000,481,FALSE)</f>
        <v>#N/A</v>
      </c>
      <c r="E29" s="32" t="e">
        <f>VLOOKUP(A1,Data1!$A$1:$DZU$1000000,482,FALSE)</f>
        <v>#N/A</v>
      </c>
      <c r="F29" s="34" t="e">
        <f>VLOOKUP(A1,Data1!$A$1:$DZU$1000000,483,FALSE)</f>
        <v>#N/A</v>
      </c>
      <c r="G29" s="33" t="e">
        <f>VLOOKUP(A1,Data1!$A$1:$DZU$1000000,484,FALSE)</f>
        <v>#N/A</v>
      </c>
      <c r="H29" s="34" t="e">
        <f>VLOOKUP(A1,Data1!$A$1:$DZU$1000000,485,FALSE)</f>
        <v>#N/A</v>
      </c>
      <c r="I29" s="33" t="e">
        <f>VLOOKUP(A1,Data1!$A$1:$DZU$1000000,486,FALSE)</f>
        <v>#N/A</v>
      </c>
      <c r="J29" s="34" t="e">
        <f>VLOOKUP(A1,Data1!$A$1:$DZU$1000000,487,FALSE)</f>
        <v>#N/A</v>
      </c>
      <c r="K29" s="34" t="e">
        <f>VLOOKUP(A1,Data1!$A$1:$DZU$1000000,488,FALSE)</f>
        <v>#N/A</v>
      </c>
      <c r="L29" s="93" t="e">
        <f>VLOOKUP(A1,Data1!$A$1:$DZU$1000000,489,FALSE)</f>
        <v>#N/A</v>
      </c>
      <c r="M29" s="33" t="e">
        <f>VLOOKUP(A1,Data1!$A$1:$DZU$1000000,490,FALSE)</f>
        <v>#N/A</v>
      </c>
      <c r="N29" s="34" t="e">
        <f>VLOOKUP(A1,Data1!$A$1:$DZU$1000000,491,FALSE)</f>
        <v>#N/A</v>
      </c>
      <c r="O29" s="33" t="e">
        <f>VLOOKUP(A1,Data1!$A$1:$DZU$1000000,492,FALSE)</f>
        <v>#N/A</v>
      </c>
      <c r="P29" s="46" t="e">
        <f>VLOOKUP(A1,Data1!$A$1:$DZU$1000000,493,FALSE)</f>
        <v>#N/A</v>
      </c>
      <c r="Q29" s="33" t="e">
        <f>VLOOKUP(A1,Data1!$A$1:$DZU$1000000,494,FALSE)</f>
        <v>#N/A</v>
      </c>
    </row>
    <row r="30" spans="1:17" x14ac:dyDescent="0.35">
      <c r="A30" s="22" t="e">
        <f>VLOOKUP(A1,Data1!$A$1:$DZU$1000000,495,FALSE)</f>
        <v>#N/A</v>
      </c>
      <c r="B30" s="37" t="e">
        <f>VLOOKUP(A1,Data1!$A$1:$DZU$1000000,496,FALSE)</f>
        <v>#N/A</v>
      </c>
      <c r="C30" s="38" t="e">
        <f>VLOOKUP(A1,Data1!$A$1:$DZU$1000000,497,FALSE)</f>
        <v>#N/A</v>
      </c>
      <c r="D30" s="31" t="e">
        <f>VLOOKUP(A1,Data1!$A$1:$DZU$1000000,498,FALSE)</f>
        <v>#N/A</v>
      </c>
      <c r="E30" s="32" t="e">
        <f>VLOOKUP(A1,Data1!$A$1:$DZU$1000000,499,FALSE)</f>
        <v>#N/A</v>
      </c>
      <c r="F30" s="34" t="e">
        <f>VLOOKUP(A1,Data1!$A$1:$DZU$1000000,500,FALSE)</f>
        <v>#N/A</v>
      </c>
      <c r="G30" s="33" t="e">
        <f>VLOOKUP(A1,Data1!$A$1:$DZU$1000000,501,FALSE)</f>
        <v>#N/A</v>
      </c>
      <c r="H30" s="34" t="e">
        <f>VLOOKUP(A1,Data1!$A$1:$DZU$1000000,502,FALSE)</f>
        <v>#N/A</v>
      </c>
      <c r="I30" s="33" t="e">
        <f>VLOOKUP(A1,Data1!$A$1:$DZU$1000000,503,FALSE)</f>
        <v>#N/A</v>
      </c>
      <c r="J30" s="34" t="e">
        <f>VLOOKUP(A1,Data1!$A$1:$DZU$1000000,504,FALSE)</f>
        <v>#N/A</v>
      </c>
      <c r="K30" s="34" t="e">
        <f>VLOOKUP(A1,Data1!$A$1:$DZU$1000000,505,FALSE)</f>
        <v>#N/A</v>
      </c>
      <c r="L30" s="93" t="e">
        <f>VLOOKUP(A1,Data1!$A$1:$DZU$1000000,506,FALSE)</f>
        <v>#N/A</v>
      </c>
      <c r="M30" s="33" t="e">
        <f>VLOOKUP(A1,Data1!$A$1:$DZU$1000000,507,FALSE)</f>
        <v>#N/A</v>
      </c>
      <c r="N30" s="34" t="e">
        <f>VLOOKUP(A1,Data1!$A$1:$DZU$1000000,508,FALSE)</f>
        <v>#N/A</v>
      </c>
      <c r="O30" s="33" t="e">
        <f>VLOOKUP(A1,Data1!$A$1:$DZU$1000000,509,FALSE)</f>
        <v>#N/A</v>
      </c>
      <c r="P30" s="46" t="e">
        <f>VLOOKUP(A1,Data1!$A$1:$DZU$1000000,510,FALSE)</f>
        <v>#N/A</v>
      </c>
      <c r="Q30" s="33" t="e">
        <f>VLOOKUP(A1,Data1!$A$1:$DZU$1000000,511,FALSE)</f>
        <v>#N/A</v>
      </c>
    </row>
    <row r="31" spans="1:17" x14ac:dyDescent="0.35">
      <c r="A31" s="22" t="e">
        <f>VLOOKUP(A1,Data1!$A$1:$DZU$1000000,512,FALSE)</f>
        <v>#N/A</v>
      </c>
      <c r="B31" s="37" t="e">
        <f>VLOOKUP(A1,Data1!$A$1:$DZU$1000000,513,FALSE)</f>
        <v>#N/A</v>
      </c>
      <c r="C31" s="38" t="e">
        <f>VLOOKUP(A1,Data1!$A$1:$DZU$1000000,514,FALSE)</f>
        <v>#N/A</v>
      </c>
      <c r="D31" s="31" t="e">
        <f>VLOOKUP(A1,Data1!$A$1:$DZU$1000000,515,FALSE)</f>
        <v>#N/A</v>
      </c>
      <c r="E31" s="32" t="e">
        <f>VLOOKUP(A1,Data1!$A$1:$DZU$1000000,516,FALSE)</f>
        <v>#N/A</v>
      </c>
      <c r="F31" s="34" t="e">
        <f>VLOOKUP(A1,Data1!$A$1:$DZU$1000000,517,FALSE)</f>
        <v>#N/A</v>
      </c>
      <c r="G31" s="33" t="e">
        <f>VLOOKUP(A1,Data1!$A$1:$DZU$1000000,518,FALSE)</f>
        <v>#N/A</v>
      </c>
      <c r="H31" s="34" t="e">
        <f>VLOOKUP(A1,Data1!$A$1:$DZU$1000000,519,FALSE)</f>
        <v>#N/A</v>
      </c>
      <c r="I31" s="33" t="e">
        <f>VLOOKUP(A1,Data1!$A$1:$DZU$1000000,520,FALSE)</f>
        <v>#N/A</v>
      </c>
      <c r="J31" s="34" t="e">
        <f>VLOOKUP(A1,Data1!$A$1:$DZU$1000000,521,FALSE)</f>
        <v>#N/A</v>
      </c>
      <c r="K31" s="34" t="e">
        <f>VLOOKUP(A1,Data1!$A$1:$DZU$1000000,522,FALSE)</f>
        <v>#N/A</v>
      </c>
      <c r="L31" s="93" t="e">
        <f>VLOOKUP(A1,Data1!$A$1:$DZU$1000000,523,FALSE)</f>
        <v>#N/A</v>
      </c>
      <c r="M31" s="33" t="e">
        <f>VLOOKUP(A1,Data1!$A$1:$DZU$1000000,524,FALSE)</f>
        <v>#N/A</v>
      </c>
      <c r="N31" s="34" t="e">
        <f>VLOOKUP(A1,Data1!$A$1:$DZU$1000000,525,FALSE)</f>
        <v>#N/A</v>
      </c>
      <c r="O31" s="33" t="e">
        <f>VLOOKUP(A1,Data1!$A$1:$DZU$1000000,526,FALSE)</f>
        <v>#N/A</v>
      </c>
      <c r="P31" s="46" t="e">
        <f>VLOOKUP(A1,Data1!$A$1:$DZU$1000000,527,FALSE)</f>
        <v>#N/A</v>
      </c>
      <c r="Q31" s="33" t="e">
        <f>VLOOKUP(A1,Data1!$A$1:$DZU$1000000,528,FALSE)</f>
        <v>#N/A</v>
      </c>
    </row>
    <row r="32" spans="1:17" x14ac:dyDescent="0.35">
      <c r="A32" s="22" t="e">
        <f>VLOOKUP(A1,Data1!$A$1:$DZU$1000000,529,FALSE)</f>
        <v>#N/A</v>
      </c>
      <c r="B32" s="37" t="e">
        <f>VLOOKUP(A1,Data1!$A$1:$DZU$1000000,530,FALSE)</f>
        <v>#N/A</v>
      </c>
      <c r="C32" s="38" t="e">
        <f>VLOOKUP(A1,Data1!$A$1:$DZU$1000000,531,FALSE)</f>
        <v>#N/A</v>
      </c>
      <c r="D32" s="31" t="e">
        <f>VLOOKUP(A1,Data1!$A$1:$DZU$1000000,532,FALSE)</f>
        <v>#N/A</v>
      </c>
      <c r="E32" s="32" t="e">
        <f>VLOOKUP(A1,Data1!$A$1:$DZU$1000000,533,FALSE)</f>
        <v>#N/A</v>
      </c>
      <c r="F32" s="34" t="e">
        <f>VLOOKUP(A1,Data1!$A$1:$DZU$1000000,534,FALSE)</f>
        <v>#N/A</v>
      </c>
      <c r="G32" s="33" t="e">
        <f>VLOOKUP(A1,Data1!$A$1:$DZU$1000000,535,FALSE)</f>
        <v>#N/A</v>
      </c>
      <c r="H32" s="34" t="e">
        <f>VLOOKUP(A1,Data1!$A$1:$DZU$1000000,536,FALSE)</f>
        <v>#N/A</v>
      </c>
      <c r="I32" s="33" t="e">
        <f>VLOOKUP(A1,Data1!$A$1:$DZU$1000000,537,FALSE)</f>
        <v>#N/A</v>
      </c>
      <c r="J32" s="34" t="e">
        <f>VLOOKUP(A1,Data1!$A$1:$DZU$1000000,538,FALSE)</f>
        <v>#N/A</v>
      </c>
      <c r="K32" s="34" t="e">
        <f>VLOOKUP(A1,Data1!$A$1:$DZU$1000000,539,FALSE)</f>
        <v>#N/A</v>
      </c>
      <c r="L32" s="93" t="e">
        <f>VLOOKUP(A1,Data1!$A$1:$DZU$1000000,540,FALSE)</f>
        <v>#N/A</v>
      </c>
      <c r="M32" s="33" t="e">
        <f>VLOOKUP(A1,Data1!$A$1:$DZU$1000000,541,FALSE)</f>
        <v>#N/A</v>
      </c>
      <c r="N32" s="34" t="e">
        <f>VLOOKUP(A1,Data1!$A$1:$DZU$1000000,542,FALSE)</f>
        <v>#N/A</v>
      </c>
      <c r="O32" s="33" t="e">
        <f>VLOOKUP(A1,Data1!$A$1:$DZU$1000000,543,FALSE)</f>
        <v>#N/A</v>
      </c>
      <c r="P32" s="46" t="e">
        <f>VLOOKUP(A1,Data1!$A$1:$DZU$1000000,544,FALSE)</f>
        <v>#N/A</v>
      </c>
      <c r="Q32" s="33" t="e">
        <f>VLOOKUP(A1,Data1!$A$1:$DZU$1000000,545,FALSE)</f>
        <v>#N/A</v>
      </c>
    </row>
    <row r="33" spans="1:17" x14ac:dyDescent="0.35">
      <c r="A33" s="22" t="e">
        <f>VLOOKUP(A1,Data1!$A$1:$DZU$1000000,546,FALSE)</f>
        <v>#N/A</v>
      </c>
      <c r="B33" s="37" t="e">
        <f>VLOOKUP(A1,Data1!$A$1:$DZU$1000000,547,FALSE)</f>
        <v>#N/A</v>
      </c>
      <c r="C33" s="38" t="e">
        <f>VLOOKUP(A1,Data1!$A$1:$DZU$1000000,548,FALSE)</f>
        <v>#N/A</v>
      </c>
      <c r="D33" s="31" t="e">
        <f>VLOOKUP(A1,Data1!$A$1:$DZU$1000000,549,FALSE)</f>
        <v>#N/A</v>
      </c>
      <c r="E33" s="32" t="e">
        <f>VLOOKUP(A1,Data1!$A$1:$DZU$1000000,550,FALSE)</f>
        <v>#N/A</v>
      </c>
      <c r="F33" s="34" t="e">
        <f>VLOOKUP(A1,Data1!$A$1:$DZU$1000000,551,FALSE)</f>
        <v>#N/A</v>
      </c>
      <c r="G33" s="33" t="e">
        <f>VLOOKUP(A1,Data1!$A$1:$DZU$1000000,552,FALSE)</f>
        <v>#N/A</v>
      </c>
      <c r="H33" s="34" t="e">
        <f>VLOOKUP(A1,Data1!$A$1:$DZU$1000000,553,FALSE)</f>
        <v>#N/A</v>
      </c>
      <c r="I33" s="33" t="e">
        <f>VLOOKUP(A1,Data1!$A$1:$DZU$1000000,554,FALSE)</f>
        <v>#N/A</v>
      </c>
      <c r="J33" s="34" t="e">
        <f>VLOOKUP(A1,Data1!$A$1:$DZU$1000000,555,FALSE)</f>
        <v>#N/A</v>
      </c>
      <c r="K33" s="34" t="e">
        <f>VLOOKUP(A1,Data1!$A$1:$DZU$1000000,556,FALSE)</f>
        <v>#N/A</v>
      </c>
      <c r="L33" s="93" t="e">
        <f>VLOOKUP(A1,Data1!$A$1:$DZU$1000000,557,FALSE)</f>
        <v>#N/A</v>
      </c>
      <c r="M33" s="33" t="e">
        <f>VLOOKUP(A1,Data1!$A$1:$DZU$1000000,558,FALSE)</f>
        <v>#N/A</v>
      </c>
      <c r="N33" s="34" t="e">
        <f>VLOOKUP(A1,Data1!$A$1:$DZU$1000000,559,FALSE)</f>
        <v>#N/A</v>
      </c>
      <c r="O33" s="33" t="e">
        <f>VLOOKUP(A1,Data1!$A$1:$DZU$1000000,560,FALSE)</f>
        <v>#N/A</v>
      </c>
      <c r="P33" s="46" t="e">
        <f>VLOOKUP(A1,Data1!$A$1:$DZU$1000000,561,FALSE)</f>
        <v>#N/A</v>
      </c>
      <c r="Q33" s="33" t="e">
        <f>VLOOKUP(A1,Data1!$A$1:$DZU$1000000,562,FALSE)</f>
        <v>#N/A</v>
      </c>
    </row>
    <row r="34" spans="1:17" x14ac:dyDescent="0.35">
      <c r="A34" s="22" t="e">
        <f>VLOOKUP(A1,Data1!$A$1:$DZU$1000000,563,FALSE)</f>
        <v>#N/A</v>
      </c>
      <c r="B34" s="37" t="e">
        <f>VLOOKUP(A1,Data1!$A$1:$DZU$1000000,564,FALSE)</f>
        <v>#N/A</v>
      </c>
      <c r="C34" s="38" t="e">
        <f>VLOOKUP(A1,Data1!$A$1:$DZU$1000000,565,FALSE)</f>
        <v>#N/A</v>
      </c>
      <c r="D34" s="31" t="e">
        <f>VLOOKUP(A1,Data1!$A$1:$DZU$1000000,566,FALSE)</f>
        <v>#N/A</v>
      </c>
      <c r="E34" s="32" t="e">
        <f>VLOOKUP(A1,Data1!$A$1:$DZU$1000000,567,FALSE)</f>
        <v>#N/A</v>
      </c>
      <c r="F34" s="34" t="e">
        <f>VLOOKUP(A1,Data1!$A$1:$DZU$1000000,568,FALSE)</f>
        <v>#N/A</v>
      </c>
      <c r="G34" s="33" t="e">
        <f>VLOOKUP(A1,Data1!$A$1:$DZU$1000000,569,FALSE)</f>
        <v>#N/A</v>
      </c>
      <c r="H34" s="34" t="e">
        <f>VLOOKUP(A1,Data1!$A$1:$DZU$1000000,570,FALSE)</f>
        <v>#N/A</v>
      </c>
      <c r="I34" s="33" t="e">
        <f>VLOOKUP(A1,Data1!$A$1:$DZU$1000000,571,FALSE)</f>
        <v>#N/A</v>
      </c>
      <c r="J34" s="34" t="e">
        <f>VLOOKUP(A1,Data1!$A$1:$DZU$1000000,572,FALSE)</f>
        <v>#N/A</v>
      </c>
      <c r="K34" s="34" t="e">
        <f>VLOOKUP(A1,Data1!$A$1:$DZU$1000000,573,FALSE)</f>
        <v>#N/A</v>
      </c>
      <c r="L34" s="93" t="e">
        <f>VLOOKUP(A1,Data1!$A$1:$DZU$1000000,574,FALSE)</f>
        <v>#N/A</v>
      </c>
      <c r="M34" s="33" t="e">
        <f>VLOOKUP(A1,Data1!$A$1:$DZU$1000000,575,FALSE)</f>
        <v>#N/A</v>
      </c>
      <c r="N34" s="34" t="e">
        <f>VLOOKUP(A1,Data1!$A$1:$DZU$1000000,576,FALSE)</f>
        <v>#N/A</v>
      </c>
      <c r="O34" s="33" t="e">
        <f>VLOOKUP(A1,Data1!$A$1:$DZU$1000000,577,FALSE)</f>
        <v>#N/A</v>
      </c>
      <c r="P34" s="46" t="e">
        <f>VLOOKUP(A1,Data1!$A$1:$DZU$1000000,578,FALSE)</f>
        <v>#N/A</v>
      </c>
      <c r="Q34" s="33" t="e">
        <f>VLOOKUP(A1,Data1!$A$1:$DZU$1000000,579,FALSE)</f>
        <v>#N/A</v>
      </c>
    </row>
    <row r="35" spans="1:17" x14ac:dyDescent="0.35">
      <c r="A35" s="22" t="e">
        <f>VLOOKUP(A1,Data1!$A$1:$DZU$1000000,580,FALSE)</f>
        <v>#N/A</v>
      </c>
      <c r="B35" s="37" t="e">
        <f>VLOOKUP(A1,Data1!$A$1:$DZU$1000000,581,FALSE)</f>
        <v>#N/A</v>
      </c>
      <c r="C35" s="38" t="e">
        <f>VLOOKUP(A1,Data1!$A$1:$DZU$1000000,582,FALSE)</f>
        <v>#N/A</v>
      </c>
      <c r="D35" s="31" t="e">
        <f>VLOOKUP(A1,Data1!$A$1:$DZU$1000000,583,FALSE)</f>
        <v>#N/A</v>
      </c>
      <c r="E35" s="32" t="e">
        <f>VLOOKUP(A1,Data1!$A$1:$DZU$1000000,584,FALSE)</f>
        <v>#N/A</v>
      </c>
      <c r="F35" s="34" t="e">
        <f>VLOOKUP(A1,Data1!$A$1:$DZU$1000000,585,FALSE)</f>
        <v>#N/A</v>
      </c>
      <c r="G35" s="33" t="e">
        <f>VLOOKUP(A1,Data1!$A$1:$DZU$1000000,586,FALSE)</f>
        <v>#N/A</v>
      </c>
      <c r="H35" s="34" t="e">
        <f>VLOOKUP(A1,Data1!$A$1:$DZU$1000000,587,FALSE)</f>
        <v>#N/A</v>
      </c>
      <c r="I35" s="33" t="e">
        <f>VLOOKUP(A1,Data1!$A$1:$DZU$1000000,588,FALSE)</f>
        <v>#N/A</v>
      </c>
      <c r="J35" s="34" t="e">
        <f>VLOOKUP(A1,Data1!$A$1:$DZU$1000000,589,FALSE)</f>
        <v>#N/A</v>
      </c>
      <c r="K35" s="34" t="e">
        <f>VLOOKUP(A1,Data1!$A$1:$DZU$1000000,590,FALSE)</f>
        <v>#N/A</v>
      </c>
      <c r="L35" s="93" t="e">
        <f>VLOOKUP(A1,Data1!$A$1:$DZU$1000000,591,FALSE)</f>
        <v>#N/A</v>
      </c>
      <c r="M35" s="33" t="e">
        <f>VLOOKUP(A1,Data1!$A$1:$DZU$1000000,592,FALSE)</f>
        <v>#N/A</v>
      </c>
      <c r="N35" s="34" t="e">
        <f>VLOOKUP(A1,Data1!$A$1:$DZU$1000000,593,FALSE)</f>
        <v>#N/A</v>
      </c>
      <c r="O35" s="33" t="e">
        <f>VLOOKUP(A1,Data1!$A$1:$DZU$1000000,594,FALSE)</f>
        <v>#N/A</v>
      </c>
      <c r="P35" s="46" t="e">
        <f>VLOOKUP(A1,Data1!$A$1:$DZU$1000000,595,FALSE)</f>
        <v>#N/A</v>
      </c>
      <c r="Q35" s="33" t="e">
        <f>VLOOKUP(A1,Data1!$A$1:$DZU$1000000,596,FALSE)</f>
        <v>#N/A</v>
      </c>
    </row>
    <row r="36" spans="1:17" x14ac:dyDescent="0.35">
      <c r="A36" s="22" t="e">
        <f>VLOOKUP(A1,Data1!$A$1:$DZU$1000000,597,FALSE)</f>
        <v>#N/A</v>
      </c>
      <c r="B36" s="37" t="e">
        <f>VLOOKUP(A1,Data1!$A$1:$DZU$1000000,598,FALSE)</f>
        <v>#N/A</v>
      </c>
      <c r="C36" s="38" t="e">
        <f>VLOOKUP(A1,Data1!$A$1:$DZU$1000000,599,FALSE)</f>
        <v>#N/A</v>
      </c>
      <c r="D36" s="31" t="e">
        <f>VLOOKUP(A1,Data1!$A$1:$DZU$1000000,600,FALSE)</f>
        <v>#N/A</v>
      </c>
      <c r="E36" s="32" t="e">
        <f>VLOOKUP(A1,Data1!$A$1:$DZU$1000000,601,FALSE)</f>
        <v>#N/A</v>
      </c>
      <c r="F36" s="34" t="e">
        <f>VLOOKUP(A1,Data1!$A$1:$DZU$1000000,602,FALSE)</f>
        <v>#N/A</v>
      </c>
      <c r="G36" s="33" t="e">
        <f>VLOOKUP(A1,Data1!$A$1:$DZU$1000000,603,FALSE)</f>
        <v>#N/A</v>
      </c>
      <c r="H36" s="34" t="e">
        <f>VLOOKUP(A1,Data1!$A$1:$DZU$1000000,604,FALSE)</f>
        <v>#N/A</v>
      </c>
      <c r="I36" s="33" t="e">
        <f>VLOOKUP(A1,Data1!$A$1:$DZU$1000000,605,FALSE)</f>
        <v>#N/A</v>
      </c>
      <c r="J36" s="34" t="e">
        <f>VLOOKUP(A1,Data1!$A$1:$DZU$1000000,606,FALSE)</f>
        <v>#N/A</v>
      </c>
      <c r="K36" s="34" t="e">
        <f>VLOOKUP(A1,Data1!$A$1:$DZU$1000000,607,FALSE)</f>
        <v>#N/A</v>
      </c>
      <c r="L36" s="93" t="e">
        <f>VLOOKUP(A1,Data1!$A$1:$DZU$1000000,608,FALSE)</f>
        <v>#N/A</v>
      </c>
      <c r="M36" s="33" t="e">
        <f>VLOOKUP(A1,Data1!$A$1:$DZU$1000000,609,FALSE)</f>
        <v>#N/A</v>
      </c>
      <c r="N36" s="34" t="e">
        <f>VLOOKUP(A1,Data1!$A$1:$DZU$1000000,610,FALSE)</f>
        <v>#N/A</v>
      </c>
      <c r="O36" s="33" t="e">
        <f>VLOOKUP(A1,Data1!$A$1:$DZU$1000000,611,FALSE)</f>
        <v>#N/A</v>
      </c>
      <c r="P36" s="46" t="e">
        <f>VLOOKUP(A1,Data1!$A$1:$DZU$1000000,612,FALSE)</f>
        <v>#N/A</v>
      </c>
      <c r="Q36" s="33" t="e">
        <f>VLOOKUP(A1,Data1!$A$1:$DZU$1000000,613,FALSE)</f>
        <v>#N/A</v>
      </c>
    </row>
    <row r="37" spans="1:17" x14ac:dyDescent="0.35">
      <c r="A37" s="22" t="e">
        <f>VLOOKUP(A1,Data1!$A$1:$DZU$1000000,614,FALSE)</f>
        <v>#N/A</v>
      </c>
      <c r="B37" s="37" t="e">
        <f>VLOOKUP(A1,Data1!$A$1:$DZU$1000000,615,FALSE)</f>
        <v>#N/A</v>
      </c>
      <c r="C37" s="38" t="e">
        <f>VLOOKUP(A1,Data1!$A$1:$DZU$1000000,616,FALSE)</f>
        <v>#N/A</v>
      </c>
      <c r="D37" s="31" t="e">
        <f>VLOOKUP(A1,Data1!$A$1:$DZU$1000000,617,FALSE)</f>
        <v>#N/A</v>
      </c>
      <c r="E37" s="32" t="e">
        <f>VLOOKUP(A1,Data1!$A$1:$DZU$1000000,618,FALSE)</f>
        <v>#N/A</v>
      </c>
      <c r="F37" s="34" t="e">
        <f>VLOOKUP(A1,Data1!$A$1:$DZU$1000000,619,FALSE)</f>
        <v>#N/A</v>
      </c>
      <c r="G37" s="33" t="e">
        <f>VLOOKUP(A1,Data1!$A$1:$DZU$1000000,620,FALSE)</f>
        <v>#N/A</v>
      </c>
      <c r="H37" s="34" t="e">
        <f>VLOOKUP(A1,Data1!$A$1:$DZU$1000000,621,FALSE)</f>
        <v>#N/A</v>
      </c>
      <c r="I37" s="33" t="e">
        <f>VLOOKUP(A1,Data1!$A$1:$DZU$1000000,622,FALSE)</f>
        <v>#N/A</v>
      </c>
      <c r="J37" s="34" t="e">
        <f>VLOOKUP(A1,Data1!$A$1:$DZU$1000000,623,FALSE)</f>
        <v>#N/A</v>
      </c>
      <c r="K37" s="34" t="e">
        <f>VLOOKUP(A1,Data1!$A$1:$DZU$1000000,624,FALSE)</f>
        <v>#N/A</v>
      </c>
      <c r="L37" s="93" t="e">
        <f>VLOOKUP(A1,Data1!$A$1:$DZU$1000000,625,FALSE)</f>
        <v>#N/A</v>
      </c>
      <c r="M37" s="33" t="e">
        <f>VLOOKUP(A1,Data1!$A$1:$DZU$1000000,626,FALSE)</f>
        <v>#N/A</v>
      </c>
      <c r="N37" s="34" t="e">
        <f>VLOOKUP(A1,Data1!$A$1:$DZU$1000000,627,FALSE)</f>
        <v>#N/A</v>
      </c>
      <c r="O37" s="33" t="e">
        <f>VLOOKUP(A1,Data1!$A$1:$DZU$1000000,628,FALSE)</f>
        <v>#N/A</v>
      </c>
      <c r="P37" s="46" t="e">
        <f>VLOOKUP(A1,Data1!$A$1:$DZU$1000000,629,FALSE)</f>
        <v>#N/A</v>
      </c>
      <c r="Q37" s="33" t="e">
        <f>VLOOKUP(A1,Data1!$A$1:$DZU$1000000,630,FALSE)</f>
        <v>#N/A</v>
      </c>
    </row>
    <row r="38" spans="1:17" x14ac:dyDescent="0.35">
      <c r="A38" s="22" t="e">
        <f>VLOOKUP(A1,Data1!$A$1:$DZU$1000000,631,FALSE)</f>
        <v>#N/A</v>
      </c>
      <c r="B38" s="37" t="e">
        <f>VLOOKUP(A1,Data1!$A$1:$DZU$1000000,632,FALSE)</f>
        <v>#N/A</v>
      </c>
      <c r="C38" s="38" t="e">
        <f>VLOOKUP(A1,Data1!$A$1:$DZU$1000000,633,FALSE)</f>
        <v>#N/A</v>
      </c>
      <c r="D38" s="31" t="e">
        <f>VLOOKUP(A1,Data1!$A$1:$DZU$1000000,634,FALSE)</f>
        <v>#N/A</v>
      </c>
      <c r="E38" s="32" t="e">
        <f>VLOOKUP(A1,Data1!$A$1:$DZU$1000000,635,FALSE)</f>
        <v>#N/A</v>
      </c>
      <c r="F38" s="34" t="e">
        <f>VLOOKUP(A1,Data1!$A$1:$DZU$1000000,636,FALSE)</f>
        <v>#N/A</v>
      </c>
      <c r="G38" s="33" t="e">
        <f>VLOOKUP(A1,Data1!$A$1:$DZU$1000000,637,FALSE)</f>
        <v>#N/A</v>
      </c>
      <c r="H38" s="34" t="e">
        <f>VLOOKUP(A1,Data1!$A$1:$DZU$1000000,638,FALSE)</f>
        <v>#N/A</v>
      </c>
      <c r="I38" s="33" t="e">
        <f>VLOOKUP(A1,Data1!$A$1:$DZU$1000000,639,FALSE)</f>
        <v>#N/A</v>
      </c>
      <c r="J38" s="34" t="e">
        <f>VLOOKUP(A1,Data1!$A$1:$DZU$1000000,640,FALSE)</f>
        <v>#N/A</v>
      </c>
      <c r="K38" s="34" t="e">
        <f>VLOOKUP(A1,Data1!$A$1:$DZU$1000000,641,FALSE)</f>
        <v>#N/A</v>
      </c>
      <c r="L38" s="93" t="e">
        <f>VLOOKUP(A1,Data1!$A$1:$DZU$1000000,642,FALSE)</f>
        <v>#N/A</v>
      </c>
      <c r="M38" s="33" t="e">
        <f>VLOOKUP(A1,Data1!$A$1:$DZU$1000000,643,FALSE)</f>
        <v>#N/A</v>
      </c>
      <c r="N38" s="34" t="e">
        <f>VLOOKUP(A1,Data1!$A$1:$DZU$1000000,644,FALSE)</f>
        <v>#N/A</v>
      </c>
      <c r="O38" s="33" t="e">
        <f>VLOOKUP(A1,Data1!$A$1:$DZU$1000000,645,FALSE)</f>
        <v>#N/A</v>
      </c>
      <c r="P38" s="46" t="e">
        <f>VLOOKUP(A1,Data1!$A$1:$DZU$1000000,646,FALSE)</f>
        <v>#N/A</v>
      </c>
      <c r="Q38" s="33" t="e">
        <f>VLOOKUP(A1,Data1!$A$1:$DZU$1000000,647,FALSE)</f>
        <v>#N/A</v>
      </c>
    </row>
    <row r="39" spans="1:17" x14ac:dyDescent="0.35">
      <c r="A39" s="22" t="e">
        <f>VLOOKUP(A1,Data1!$A$1:$DZU$1000000,648,FALSE)</f>
        <v>#N/A</v>
      </c>
      <c r="B39" s="37" t="e">
        <f>VLOOKUP(A1,Data1!$A$1:$DZU$1000000,649,FALSE)</f>
        <v>#N/A</v>
      </c>
      <c r="C39" s="38" t="e">
        <f>VLOOKUP(A1,Data1!$A$1:$DZU$1000000,650,FALSE)</f>
        <v>#N/A</v>
      </c>
      <c r="D39" s="31" t="e">
        <f>VLOOKUP(A1,Data1!$A$1:$DZU$1000000,651,FALSE)</f>
        <v>#N/A</v>
      </c>
      <c r="E39" s="32" t="e">
        <f>VLOOKUP(A1,Data1!$A$1:$DZU$1000000,652,FALSE)</f>
        <v>#N/A</v>
      </c>
      <c r="F39" s="34" t="e">
        <f>VLOOKUP(A1,Data1!$A$1:$DZU$1000000,653,FALSE)</f>
        <v>#N/A</v>
      </c>
      <c r="G39" s="33" t="e">
        <f>VLOOKUP(A1,Data1!$A$1:$DZU$1000000,654,FALSE)</f>
        <v>#N/A</v>
      </c>
      <c r="H39" s="34" t="e">
        <f>VLOOKUP(A1,Data1!$A$1:$DZU$1000000,655,FALSE)</f>
        <v>#N/A</v>
      </c>
      <c r="I39" s="33" t="e">
        <f>VLOOKUP(A1,Data1!$A$1:$DZU$1000000,656,FALSE)</f>
        <v>#N/A</v>
      </c>
      <c r="J39" s="34" t="e">
        <f>VLOOKUP(A1,Data1!$A$1:$DZU$1000000,657,FALSE)</f>
        <v>#N/A</v>
      </c>
      <c r="K39" s="34" t="e">
        <f>VLOOKUP(A1,Data1!$A$1:$DZU$1000000,658,FALSE)</f>
        <v>#N/A</v>
      </c>
      <c r="L39" s="93" t="e">
        <f>VLOOKUP(A1,Data1!$A$1:$DZU$1000000,659,FALSE)</f>
        <v>#N/A</v>
      </c>
      <c r="M39" s="33" t="e">
        <f>VLOOKUP(A1,Data1!$A$1:$DZU$1000000,660,FALSE)</f>
        <v>#N/A</v>
      </c>
      <c r="N39" s="34" t="e">
        <f>VLOOKUP(A1,Data1!$A$1:$DZU$1000000,661,FALSE)</f>
        <v>#N/A</v>
      </c>
      <c r="O39" s="33" t="e">
        <f>VLOOKUP(A1,Data1!$A$1:$DZU$1000000,662,FALSE)</f>
        <v>#N/A</v>
      </c>
      <c r="P39" s="46" t="e">
        <f>VLOOKUP(A1,Data1!$A$1:$DZU$1000000,663,FALSE)</f>
        <v>#N/A</v>
      </c>
      <c r="Q39" s="33" t="e">
        <f>VLOOKUP(A1,Data1!$A$1:$DZU$1000000,664,FALSE)</f>
        <v>#N/A</v>
      </c>
    </row>
    <row r="40" spans="1:17" x14ac:dyDescent="0.35">
      <c r="A40" s="22" t="e">
        <f>VLOOKUP(A1,Data1!$A$1:$DZU$1000000,665,FALSE)</f>
        <v>#N/A</v>
      </c>
      <c r="B40" s="37" t="e">
        <f>VLOOKUP(A1,Data1!$A$1:$DZU$1000000,666,FALSE)</f>
        <v>#N/A</v>
      </c>
      <c r="C40" s="38" t="e">
        <f>VLOOKUP(A1,Data1!$A$1:$DZU$1000000,667,FALSE)</f>
        <v>#N/A</v>
      </c>
      <c r="D40" s="31" t="e">
        <f>VLOOKUP(A1,Data1!$A$1:$DZU$1000000,668,FALSE)</f>
        <v>#N/A</v>
      </c>
      <c r="E40" s="32" t="e">
        <f>VLOOKUP(A1,Data1!$A$1:$DZU$1000000,669,FALSE)</f>
        <v>#N/A</v>
      </c>
      <c r="F40" s="34" t="e">
        <f>VLOOKUP(A1,Data1!$A$1:$DZU$1000000,670,FALSE)</f>
        <v>#N/A</v>
      </c>
      <c r="G40" s="33" t="e">
        <f>VLOOKUP(A1,Data1!$A$1:$DZU$1000000,671,FALSE)</f>
        <v>#N/A</v>
      </c>
      <c r="H40" s="34" t="e">
        <f>VLOOKUP(A1,Data1!$A$1:$DZU$1000000,672,FALSE)</f>
        <v>#N/A</v>
      </c>
      <c r="I40" s="33" t="e">
        <f>VLOOKUP(A1,Data1!$A$1:$DZU$1000000,673,FALSE)</f>
        <v>#N/A</v>
      </c>
      <c r="J40" s="34" t="e">
        <f>VLOOKUP(A1,Data1!$A$1:$DZU$1000000,674,FALSE)</f>
        <v>#N/A</v>
      </c>
      <c r="K40" s="34" t="e">
        <f>VLOOKUP(A1,Data1!$A$1:$DZU$1000000,675,FALSE)</f>
        <v>#N/A</v>
      </c>
      <c r="L40" s="93" t="e">
        <f>VLOOKUP(A1,Data1!$A$1:$DZU$1000000,676,FALSE)</f>
        <v>#N/A</v>
      </c>
      <c r="M40" s="33" t="e">
        <f>VLOOKUP(A1,Data1!$A$1:$DZU$1000000,677,FALSE)</f>
        <v>#N/A</v>
      </c>
      <c r="N40" s="34" t="e">
        <f>VLOOKUP(A1,Data1!$A$1:$DZU$1000000,678,FALSE)</f>
        <v>#N/A</v>
      </c>
      <c r="O40" s="33" t="e">
        <f>VLOOKUP(A1,Data1!$A$1:$DZU$1000000,679,FALSE)</f>
        <v>#N/A</v>
      </c>
      <c r="P40" s="46" t="e">
        <f>VLOOKUP(A1,Data1!$A$1:$DZU$1000000,680,FALSE)</f>
        <v>#N/A</v>
      </c>
      <c r="Q40" s="33" t="e">
        <f>VLOOKUP(A1,Data1!$A$1:$DZU$1000000,681,FALSE)</f>
        <v>#N/A</v>
      </c>
    </row>
    <row r="41" spans="1:17" x14ac:dyDescent="0.35">
      <c r="A41" s="22" t="e">
        <f>VLOOKUP(A1,Data1!$A$1:$DZU$1000000,682,FALSE)</f>
        <v>#N/A</v>
      </c>
      <c r="B41" s="37" t="e">
        <f>VLOOKUP(A1,Data1!$A$1:$DZU$1000000,683,FALSE)</f>
        <v>#N/A</v>
      </c>
      <c r="C41" s="38" t="e">
        <f>VLOOKUP(A1,Data1!$A$1:$DZU$1000000,684,FALSE)</f>
        <v>#N/A</v>
      </c>
      <c r="D41" s="31" t="e">
        <f>VLOOKUP(A1,Data1!$A$1:$DZU$1000000,685,FALSE)</f>
        <v>#N/A</v>
      </c>
      <c r="E41" s="32" t="e">
        <f>VLOOKUP(A1,Data1!$A$1:$DZU$1000000,686,FALSE)</f>
        <v>#N/A</v>
      </c>
      <c r="F41" s="34" t="e">
        <f>VLOOKUP(A1,Data1!$A$1:$DZU$1000000,687,FALSE)</f>
        <v>#N/A</v>
      </c>
      <c r="G41" s="33" t="e">
        <f>VLOOKUP(A1,Data1!$A$1:$DZU$1000000,688,FALSE)</f>
        <v>#N/A</v>
      </c>
      <c r="H41" s="34" t="e">
        <f>VLOOKUP(A1,Data1!$A$1:$DZU$1000000,689,FALSE)</f>
        <v>#N/A</v>
      </c>
      <c r="I41" s="33" t="e">
        <f>VLOOKUP(A1,Data1!$A$1:$DZU$1000000,690,FALSE)</f>
        <v>#N/A</v>
      </c>
      <c r="J41" s="34" t="e">
        <f>VLOOKUP(A1,Data1!$A$1:$DZU$1000000,691,FALSE)</f>
        <v>#N/A</v>
      </c>
      <c r="K41" s="34" t="e">
        <f>VLOOKUP(A1,Data1!$A$1:$DZU$1000000,692,FALSE)</f>
        <v>#N/A</v>
      </c>
      <c r="L41" s="93" t="e">
        <f>VLOOKUP(A1,Data1!$A$1:$DZU$1000000,693,FALSE)</f>
        <v>#N/A</v>
      </c>
      <c r="M41" s="33" t="e">
        <f>VLOOKUP(A1,Data1!$A$1:$DZU$1000000,694,FALSE)</f>
        <v>#N/A</v>
      </c>
      <c r="N41" s="34" t="e">
        <f>VLOOKUP(A1,Data1!$A$1:$DZU$1000000,695,FALSE)</f>
        <v>#N/A</v>
      </c>
      <c r="O41" s="33" t="e">
        <f>VLOOKUP(A1,Data1!$A$1:$DZU$1000000,696,FALSE)</f>
        <v>#N/A</v>
      </c>
      <c r="P41" s="46" t="e">
        <f>VLOOKUP(A1,Data1!$A$1:$DZU$1000000,697,FALSE)</f>
        <v>#N/A</v>
      </c>
      <c r="Q41" s="33" t="e">
        <f>VLOOKUP(A1,Data1!$A$1:$DZU$1000000,698,FALSE)</f>
        <v>#N/A</v>
      </c>
    </row>
    <row r="42" spans="1:17" x14ac:dyDescent="0.35">
      <c r="A42" s="22" t="e">
        <f>VLOOKUP(A1,Data1!$A$1:$DZU$1000000,699,FALSE)</f>
        <v>#N/A</v>
      </c>
      <c r="B42" s="37" t="e">
        <f>VLOOKUP(A1,Data1!$A$1:$DZU$1000000,700,FALSE)</f>
        <v>#N/A</v>
      </c>
      <c r="C42" s="38" t="e">
        <f>VLOOKUP(A1,Data1!$A$1:$DZU$1000000,701,FALSE)</f>
        <v>#N/A</v>
      </c>
      <c r="D42" s="31" t="e">
        <f>VLOOKUP(A1,Data1!$A$1:$DZU$1000000,702,FALSE)</f>
        <v>#N/A</v>
      </c>
      <c r="E42" s="32" t="e">
        <f>VLOOKUP(A1,Data1!$A$1:$DZU$1000000,703,FALSE)</f>
        <v>#N/A</v>
      </c>
      <c r="F42" s="34" t="e">
        <f>VLOOKUP(A1,Data1!$A$1:$DZU$1000000,704,FALSE)</f>
        <v>#N/A</v>
      </c>
      <c r="G42" s="33" t="e">
        <f>VLOOKUP(A1,Data1!$A$1:$DZU$1000000,705,FALSE)</f>
        <v>#N/A</v>
      </c>
      <c r="H42" s="34" t="e">
        <f>VLOOKUP(A1,Data1!$A$1:$DZU$1000000,706,FALSE)</f>
        <v>#N/A</v>
      </c>
      <c r="I42" s="33" t="e">
        <f>VLOOKUP(A1,Data1!$A$1:$DZU$1000000,707,FALSE)</f>
        <v>#N/A</v>
      </c>
      <c r="J42" s="34" t="e">
        <f>VLOOKUP(A1,Data1!$A$1:$DZU$1000000,708,FALSE)</f>
        <v>#N/A</v>
      </c>
      <c r="K42" s="34" t="e">
        <f>VLOOKUP(A1,Data1!$A$1:$DZU$1000000,709,FALSE)</f>
        <v>#N/A</v>
      </c>
      <c r="L42" s="93" t="e">
        <f>VLOOKUP(A1,Data1!$A$1:$DZU$1000000,710,FALSE)</f>
        <v>#N/A</v>
      </c>
      <c r="M42" s="33" t="e">
        <f>VLOOKUP(A1,Data1!$A$1:$DZU$1000000,711,FALSE)</f>
        <v>#N/A</v>
      </c>
      <c r="N42" s="34" t="e">
        <f>VLOOKUP(A1,Data1!$A$1:$DZU$1000000,712,FALSE)</f>
        <v>#N/A</v>
      </c>
      <c r="O42" s="33" t="e">
        <f>VLOOKUP(A1,Data1!$A$1:$DZU$1000000,713,FALSE)</f>
        <v>#N/A</v>
      </c>
      <c r="P42" s="46" t="e">
        <f>VLOOKUP(A1,Data1!$A$1:$DZU$1000000,714,FALSE)</f>
        <v>#N/A</v>
      </c>
      <c r="Q42" s="33" t="e">
        <f>VLOOKUP(A1,Data1!$A$1:$DZU$1000000,715,FALSE)</f>
        <v>#N/A</v>
      </c>
    </row>
    <row r="43" spans="1:17" x14ac:dyDescent="0.35">
      <c r="A43" s="22" t="e">
        <f>VLOOKUP(A1,Data1!$A$1:$DZU$1000000,716,FALSE)</f>
        <v>#N/A</v>
      </c>
      <c r="B43" s="37" t="e">
        <f>VLOOKUP(A1,Data1!$A$1:$DZU$1000000,717,FALSE)</f>
        <v>#N/A</v>
      </c>
      <c r="C43" s="38" t="e">
        <f>VLOOKUP(A1,Data1!$A$1:$DZU$1000000,718,FALSE)</f>
        <v>#N/A</v>
      </c>
      <c r="D43" s="31" t="e">
        <f>VLOOKUP(A1,Data1!$A$1:$DZU$1000000,719,FALSE)</f>
        <v>#N/A</v>
      </c>
      <c r="E43" s="32" t="e">
        <f>VLOOKUP(A1,Data1!$A$1:$DZU$1000000,720,FALSE)</f>
        <v>#N/A</v>
      </c>
      <c r="F43" s="34" t="e">
        <f>VLOOKUP(A1,Data1!$A$1:$DZU$1000000,721,FALSE)</f>
        <v>#N/A</v>
      </c>
      <c r="G43" s="33" t="e">
        <f>VLOOKUP(A1,Data1!$A$1:$DZU$1000000,722,FALSE)</f>
        <v>#N/A</v>
      </c>
      <c r="H43" s="34" t="e">
        <f>VLOOKUP(A1,Data1!$A$1:$DZU$1000000,723,FALSE)</f>
        <v>#N/A</v>
      </c>
      <c r="I43" s="33" t="e">
        <f>VLOOKUP(A1,Data1!$A$1:$DZU$1000000,724,FALSE)</f>
        <v>#N/A</v>
      </c>
      <c r="J43" s="34" t="e">
        <f>VLOOKUP(A1,Data1!$A$1:$DZU$1000000,725,FALSE)</f>
        <v>#N/A</v>
      </c>
      <c r="K43" s="34" t="e">
        <f>VLOOKUP(A1,Data1!$A$1:$DZU$1000000,726,FALSE)</f>
        <v>#N/A</v>
      </c>
      <c r="L43" s="93" t="e">
        <f>VLOOKUP(A1,Data1!$A$1:$DZU$1000000,727,FALSE)</f>
        <v>#N/A</v>
      </c>
      <c r="M43" s="33" t="e">
        <f>VLOOKUP(A1,Data1!$A$1:$DZU$1000000,728,FALSE)</f>
        <v>#N/A</v>
      </c>
      <c r="N43" s="34" t="e">
        <f>VLOOKUP(A1,Data1!$A$1:$DZU$1000000,729,FALSE)</f>
        <v>#N/A</v>
      </c>
      <c r="O43" s="33" t="e">
        <f>VLOOKUP(A1,Data1!$A$1:$DZU$1000000,730,FALSE)</f>
        <v>#N/A</v>
      </c>
      <c r="P43" s="46" t="e">
        <f>VLOOKUP(A1,Data1!$A$1:$DZU$1000000,731,FALSE)</f>
        <v>#N/A</v>
      </c>
      <c r="Q43" s="33" t="e">
        <f>VLOOKUP(A1,Data1!$A$1:$DZU$1000000,732,FALSE)</f>
        <v>#N/A</v>
      </c>
    </row>
    <row r="44" spans="1:17" x14ac:dyDescent="0.35">
      <c r="A44" s="22" t="e">
        <f>VLOOKUP(A1,Data1!$A$1:$DZU$1000000,733,FALSE)</f>
        <v>#N/A</v>
      </c>
      <c r="B44" s="37" t="e">
        <f>VLOOKUP(A1,Data1!$A$1:$DZU$1000000,734,FALSE)</f>
        <v>#N/A</v>
      </c>
      <c r="C44" s="38" t="e">
        <f>VLOOKUP(A1,Data1!$A$1:$DZU$1000000,735,FALSE)</f>
        <v>#N/A</v>
      </c>
      <c r="D44" s="31" t="e">
        <f>VLOOKUP(A1,Data1!$A$1:$DZU$1000000,736,FALSE)</f>
        <v>#N/A</v>
      </c>
      <c r="E44" s="32" t="e">
        <f>VLOOKUP(A1,Data1!$A$1:$DZU$1000000,737,FALSE)</f>
        <v>#N/A</v>
      </c>
      <c r="F44" s="34" t="e">
        <f>VLOOKUP(A1,Data1!$A$1:$DZU$1000000,738,FALSE)</f>
        <v>#N/A</v>
      </c>
      <c r="G44" s="33" t="e">
        <f>VLOOKUP(A1,Data1!$A$1:$DZU$1000000,739,FALSE)</f>
        <v>#N/A</v>
      </c>
      <c r="H44" s="34" t="e">
        <f>VLOOKUP(A1,Data1!$A$1:$DZU$1000000,740,FALSE)</f>
        <v>#N/A</v>
      </c>
      <c r="I44" s="33" t="e">
        <f>VLOOKUP(A1,Data1!$A$1:$DZU$1000000,741,FALSE)</f>
        <v>#N/A</v>
      </c>
      <c r="J44" s="34" t="e">
        <f>VLOOKUP(A1,Data1!$A$1:$DZU$1000000,742,FALSE)</f>
        <v>#N/A</v>
      </c>
      <c r="K44" s="34" t="e">
        <f>VLOOKUP(A1,Data1!$A$1:$DZU$1000000,743,FALSE)</f>
        <v>#N/A</v>
      </c>
      <c r="L44" s="93" t="e">
        <f>VLOOKUP(A1,Data1!$A$1:$DZU$1000000,744,FALSE)</f>
        <v>#N/A</v>
      </c>
      <c r="M44" s="33" t="e">
        <f>VLOOKUP(A1,Data1!$A$1:$DZU$1000000,745,FALSE)</f>
        <v>#N/A</v>
      </c>
      <c r="N44" s="34" t="e">
        <f>VLOOKUP(A1,Data1!$A$1:$DZU$1000000,746,FALSE)</f>
        <v>#N/A</v>
      </c>
      <c r="O44" s="33" t="e">
        <f>VLOOKUP(A1,Data1!$A$1:$DZU$1000000,747,FALSE)</f>
        <v>#N/A</v>
      </c>
      <c r="P44" s="46" t="e">
        <f>VLOOKUP(A1,Data1!$A$1:$DZU$1000000,748,FALSE)</f>
        <v>#N/A</v>
      </c>
      <c r="Q44" s="33" t="e">
        <f>VLOOKUP(A1,Data1!$A$1:$DZU$1000000,749,FALSE)</f>
        <v>#N/A</v>
      </c>
    </row>
    <row r="45" spans="1:17" x14ac:dyDescent="0.35">
      <c r="A45" s="22" t="e">
        <f>VLOOKUP(A1,Data1!$A$1:$DZU$1000000,750,FALSE)</f>
        <v>#N/A</v>
      </c>
      <c r="B45" s="37" t="e">
        <f>VLOOKUP(A1,Data1!$A$1:$DZU$1000000,751,FALSE)</f>
        <v>#N/A</v>
      </c>
      <c r="C45" s="38" t="e">
        <f>VLOOKUP(A1,Data1!$A$1:$DZU$1000000,752,FALSE)</f>
        <v>#N/A</v>
      </c>
      <c r="D45" s="31" t="e">
        <f>VLOOKUP(A1,Data1!$A$1:$DZU$1000000,753,FALSE)</f>
        <v>#N/A</v>
      </c>
      <c r="E45" s="32" t="e">
        <f>VLOOKUP(A1,Data1!$A$1:$DZU$1000000,754,FALSE)</f>
        <v>#N/A</v>
      </c>
      <c r="F45" s="34" t="e">
        <f>VLOOKUP(A1,Data1!$A$1:$DZU$1000000,755,FALSE)</f>
        <v>#N/A</v>
      </c>
      <c r="G45" s="33" t="e">
        <f>VLOOKUP(A1,Data1!$A$1:$DZU$1000000,756,FALSE)</f>
        <v>#N/A</v>
      </c>
      <c r="H45" s="34" t="e">
        <f>VLOOKUP(A1,Data1!$A$1:$DZU$1000000,757,FALSE)</f>
        <v>#N/A</v>
      </c>
      <c r="I45" s="33" t="e">
        <f>VLOOKUP(A1,Data1!$A$1:$DZU$1000000,758,FALSE)</f>
        <v>#N/A</v>
      </c>
      <c r="J45" s="34" t="e">
        <f>VLOOKUP(A1,Data1!$A$1:$DZU$1000000,759,FALSE)</f>
        <v>#N/A</v>
      </c>
      <c r="K45" s="34" t="e">
        <f>VLOOKUP(A1,Data1!$A$1:$DZU$1000000,760,FALSE)</f>
        <v>#N/A</v>
      </c>
      <c r="L45" s="93" t="e">
        <f>VLOOKUP(A1,Data1!$A$1:$DZU$1000000,761,FALSE)</f>
        <v>#N/A</v>
      </c>
      <c r="M45" s="33" t="e">
        <f>VLOOKUP(A1,Data1!$A$1:$DZU$1000000,762,FALSE)</f>
        <v>#N/A</v>
      </c>
      <c r="N45" s="34" t="e">
        <f>VLOOKUP(A1,Data1!$A$1:$DZU$1000000,763,FALSE)</f>
        <v>#N/A</v>
      </c>
      <c r="O45" s="33" t="e">
        <f>VLOOKUP(A1,Data1!$A$1:$DZU$1000000,764,FALSE)</f>
        <v>#N/A</v>
      </c>
      <c r="P45" s="46" t="e">
        <f>VLOOKUP(A1,Data1!$A$1:$DZU$1000000,765,FALSE)</f>
        <v>#N/A</v>
      </c>
      <c r="Q45" s="33" t="e">
        <f>VLOOKUP(A1,Data1!$A$1:$DZU$1000000,766,FALSE)</f>
        <v>#N/A</v>
      </c>
    </row>
    <row r="46" spans="1:17" x14ac:dyDescent="0.35">
      <c r="A46" s="22" t="e">
        <f>VLOOKUP(A1,Data1!$A$1:$DZU$1000000,767,FALSE)</f>
        <v>#N/A</v>
      </c>
      <c r="B46" s="37" t="e">
        <f>VLOOKUP(A1,Data1!$A$1:$DZU$1000000,768,FALSE)</f>
        <v>#N/A</v>
      </c>
      <c r="C46" s="38" t="e">
        <f>VLOOKUP(A1,Data1!$A$1:$DZU$1000000,769,FALSE)</f>
        <v>#N/A</v>
      </c>
      <c r="D46" s="31" t="e">
        <f>VLOOKUP(A1,Data1!$A$1:$DZU$1000000,770,FALSE)</f>
        <v>#N/A</v>
      </c>
      <c r="E46" s="32" t="e">
        <f>VLOOKUP(A1,Data1!$A$1:$DZU$1000000,771,FALSE)</f>
        <v>#N/A</v>
      </c>
      <c r="F46" s="34" t="e">
        <f>VLOOKUP(A1,Data1!$A$1:$DZU$1000000,772,FALSE)</f>
        <v>#N/A</v>
      </c>
      <c r="G46" s="33" t="e">
        <f>VLOOKUP(A1,Data1!$A$1:$DZU$1000000,773,FALSE)</f>
        <v>#N/A</v>
      </c>
      <c r="H46" s="34" t="e">
        <f>VLOOKUP(A1,Data1!$A$1:$DZU$1000000,774,FALSE)</f>
        <v>#N/A</v>
      </c>
      <c r="I46" s="33" t="e">
        <f>VLOOKUP(A1,Data1!$A$1:$DZU$1000000,775,FALSE)</f>
        <v>#N/A</v>
      </c>
      <c r="J46" s="34" t="e">
        <f>VLOOKUP(A1,Data1!$A$1:$DZU$1000000,776,FALSE)</f>
        <v>#N/A</v>
      </c>
      <c r="K46" s="34" t="e">
        <f>VLOOKUP(A1,Data1!$A$1:$DZU$1000000,777,FALSE)</f>
        <v>#N/A</v>
      </c>
      <c r="L46" s="93" t="e">
        <f>VLOOKUP(A1,Data1!$A$1:$DZU$1000000,778,FALSE)</f>
        <v>#N/A</v>
      </c>
      <c r="M46" s="33" t="e">
        <f>VLOOKUP(A1,Data1!$A$1:$DZU$1000000,779,FALSE)</f>
        <v>#N/A</v>
      </c>
      <c r="N46" s="34" t="e">
        <f>VLOOKUP(A1,Data1!$A$1:$DZU$1000000,780,FALSE)</f>
        <v>#N/A</v>
      </c>
      <c r="O46" s="33" t="e">
        <f>VLOOKUP(A1,Data1!$A$1:$DZU$1000000,781,FALSE)</f>
        <v>#N/A</v>
      </c>
      <c r="P46" s="46" t="e">
        <f>VLOOKUP(A1,Data1!$A$1:$DZU$1000000,782,FALSE)</f>
        <v>#N/A</v>
      </c>
      <c r="Q46" s="33" t="e">
        <f>VLOOKUP(A1,Data1!$A$1:$DZU$1000000,783,FALSE)</f>
        <v>#N/A</v>
      </c>
    </row>
    <row r="47" spans="1:17" x14ac:dyDescent="0.35">
      <c r="A47" s="22" t="e">
        <f>VLOOKUP(A1,Data1!$A$1:$DZU$1000000,784,FALSE)</f>
        <v>#N/A</v>
      </c>
      <c r="B47" s="37" t="e">
        <f>VLOOKUP(A1,Data1!$A$1:$DZU$1000000,785,FALSE)</f>
        <v>#N/A</v>
      </c>
      <c r="C47" s="38" t="e">
        <f>VLOOKUP(A1,Data1!$A$1:$DZU$1000000,786,FALSE)</f>
        <v>#N/A</v>
      </c>
      <c r="D47" s="31" t="e">
        <f>VLOOKUP(A1,Data1!$A$1:$DZU$1000000,787,FALSE)</f>
        <v>#N/A</v>
      </c>
      <c r="E47" s="32" t="e">
        <f>VLOOKUP(A1,Data1!$A$1:$DZU$1000000,788,FALSE)</f>
        <v>#N/A</v>
      </c>
      <c r="F47" s="34" t="e">
        <f>VLOOKUP(A1,Data1!$A$1:$DZU$1000000,789,FALSE)</f>
        <v>#N/A</v>
      </c>
      <c r="G47" s="33" t="e">
        <f>VLOOKUP(A1,Data1!$A$1:$DZU$1000000,790,FALSE)</f>
        <v>#N/A</v>
      </c>
      <c r="H47" s="34" t="e">
        <f>VLOOKUP(A1,Data1!$A$1:$DZU$1000000,791,FALSE)</f>
        <v>#N/A</v>
      </c>
      <c r="I47" s="33" t="e">
        <f>VLOOKUP(A1,Data1!$A$1:$DZU$1000000,792,FALSE)</f>
        <v>#N/A</v>
      </c>
      <c r="J47" s="34" t="e">
        <f>VLOOKUP(A1,Data1!$A$1:$DZU$1000000,793,FALSE)</f>
        <v>#N/A</v>
      </c>
      <c r="K47" s="34" t="e">
        <f>VLOOKUP(A1,Data1!$A$1:$DZU$1000000,794,FALSE)</f>
        <v>#N/A</v>
      </c>
      <c r="L47" s="93" t="e">
        <f>VLOOKUP(A1,Data1!$A$1:$DZU$1000000,795,FALSE)</f>
        <v>#N/A</v>
      </c>
      <c r="M47" s="33" t="e">
        <f>VLOOKUP(A1,Data1!$A$1:$DZU$1000000,796,FALSE)</f>
        <v>#N/A</v>
      </c>
      <c r="N47" s="34" t="e">
        <f>VLOOKUP(A1,Data1!$A$1:$DZU$1000000,797,FALSE)</f>
        <v>#N/A</v>
      </c>
      <c r="O47" s="33" t="e">
        <f>VLOOKUP(A1,Data1!$A$1:$DZU$1000000,798,FALSE)</f>
        <v>#N/A</v>
      </c>
      <c r="P47" s="46" t="e">
        <f>VLOOKUP(A1,Data1!$A$1:$DZU$1000000,799,FALSE)</f>
        <v>#N/A</v>
      </c>
      <c r="Q47" s="33" t="e">
        <f>VLOOKUP(A1,Data1!$A$1:$DZU$1000000,800,FALSE)</f>
        <v>#N/A</v>
      </c>
    </row>
    <row r="48" spans="1:17" x14ac:dyDescent="0.35">
      <c r="A48" s="22" t="e">
        <f>VLOOKUP(A1,Data1!$A$1:$DZU$1000000,801,FALSE)</f>
        <v>#N/A</v>
      </c>
      <c r="B48" s="37" t="e">
        <f>VLOOKUP(A1,Data1!$A$1:$DZU$1000000,802,FALSE)</f>
        <v>#N/A</v>
      </c>
      <c r="C48" s="38" t="e">
        <f>VLOOKUP(A1,Data1!$A$1:$DZU$1000000,803,FALSE)</f>
        <v>#N/A</v>
      </c>
      <c r="D48" s="31" t="e">
        <f>VLOOKUP(A1,Data1!$A$1:$DZU$1000000,804,FALSE)</f>
        <v>#N/A</v>
      </c>
      <c r="E48" s="32" t="e">
        <f>VLOOKUP(A1,Data1!$A$1:$DZU$1000000,805,FALSE)</f>
        <v>#N/A</v>
      </c>
      <c r="F48" s="34" t="e">
        <f>VLOOKUP(A1,Data1!$A$1:$DZU$1000000,806,FALSE)</f>
        <v>#N/A</v>
      </c>
      <c r="G48" s="33" t="e">
        <f>VLOOKUP(A1,Data1!$A$1:$DZU$1000000,807,FALSE)</f>
        <v>#N/A</v>
      </c>
      <c r="H48" s="34" t="e">
        <f>VLOOKUP(A1,Data1!$A$1:$DZU$1000000,808,FALSE)</f>
        <v>#N/A</v>
      </c>
      <c r="I48" s="33" t="e">
        <f>VLOOKUP(A1,Data1!$A$1:$DZU$1000000,809,FALSE)</f>
        <v>#N/A</v>
      </c>
      <c r="J48" s="34" t="e">
        <f>VLOOKUP(A1,Data1!$A$1:$DZU$1000000,810,FALSE)</f>
        <v>#N/A</v>
      </c>
      <c r="K48" s="34" t="e">
        <f>VLOOKUP(A1,Data1!$A$1:$DZU$1000000,811,FALSE)</f>
        <v>#N/A</v>
      </c>
      <c r="L48" s="93" t="e">
        <f>VLOOKUP(A1,Data1!$A$1:$DZU$1000000,812,FALSE)</f>
        <v>#N/A</v>
      </c>
      <c r="M48" s="33" t="e">
        <f>VLOOKUP(A1,Data1!$A$1:$DZU$1000000,813,FALSE)</f>
        <v>#N/A</v>
      </c>
      <c r="N48" s="34" t="e">
        <f>VLOOKUP(A1,Data1!$A$1:$DZU$1000000,814,FALSE)</f>
        <v>#N/A</v>
      </c>
      <c r="O48" s="33" t="e">
        <f>VLOOKUP(A1,Data1!$A$1:$DZU$1000000,815,FALSE)</f>
        <v>#N/A</v>
      </c>
      <c r="P48" s="46" t="e">
        <f>VLOOKUP(A1,Data1!$A$1:$DZU$1000000,816,FALSE)</f>
        <v>#N/A</v>
      </c>
      <c r="Q48" s="33" t="e">
        <f>VLOOKUP(A1,Data1!$A$1:$DZU$1000000,817,FALSE)</f>
        <v>#N/A</v>
      </c>
    </row>
    <row r="49" spans="1:17" x14ac:dyDescent="0.35">
      <c r="A49" s="22" t="e">
        <f>VLOOKUP(A1,Data1!$A$1:$DZU$1000000,818,FALSE)</f>
        <v>#N/A</v>
      </c>
      <c r="B49" s="37" t="e">
        <f>VLOOKUP(A1,Data1!$A$1:$DZU$1000000,819,FALSE)</f>
        <v>#N/A</v>
      </c>
      <c r="C49" s="38" t="e">
        <f>VLOOKUP(A1,Data1!$A$1:$DZU$1000000,820,FALSE)</f>
        <v>#N/A</v>
      </c>
      <c r="D49" s="31" t="e">
        <f>VLOOKUP(A1,Data1!$A$1:$DZU$1000000,821,FALSE)</f>
        <v>#N/A</v>
      </c>
      <c r="E49" s="32" t="e">
        <f>VLOOKUP(A1,Data1!$A$1:$DZU$1000000,822,FALSE)</f>
        <v>#N/A</v>
      </c>
      <c r="F49" s="34" t="e">
        <f>VLOOKUP(A1,Data1!$A$1:$DZU$1000000,823,FALSE)</f>
        <v>#N/A</v>
      </c>
      <c r="G49" s="33" t="e">
        <f>VLOOKUP(A1,Data1!$A$1:$DZU$1000000,824,FALSE)</f>
        <v>#N/A</v>
      </c>
      <c r="H49" s="34" t="e">
        <f>VLOOKUP(A1,Data1!$A$1:$DZU$1000000,825,FALSE)</f>
        <v>#N/A</v>
      </c>
      <c r="I49" s="33" t="e">
        <f>VLOOKUP(A1,Data1!$A$1:$DZU$1000000,826,FALSE)</f>
        <v>#N/A</v>
      </c>
      <c r="J49" s="34" t="e">
        <f>VLOOKUP(A1,Data1!$A$1:$DZU$1000000,827,FALSE)</f>
        <v>#N/A</v>
      </c>
      <c r="K49" s="34" t="e">
        <f>VLOOKUP(A1,Data1!$A$1:$DZU$1000000,828,FALSE)</f>
        <v>#N/A</v>
      </c>
      <c r="L49" s="93" t="e">
        <f>VLOOKUP(A1,Data1!$A$1:$DZU$1000000,829,FALSE)</f>
        <v>#N/A</v>
      </c>
      <c r="M49" s="33" t="e">
        <f>VLOOKUP(A1,Data1!$A$1:$DZU$1000000,830,FALSE)</f>
        <v>#N/A</v>
      </c>
      <c r="N49" s="34" t="e">
        <f>VLOOKUP(A1,Data1!$A$1:$DZU$1000000,831,FALSE)</f>
        <v>#N/A</v>
      </c>
      <c r="O49" s="33" t="e">
        <f>VLOOKUP(A1,Data1!$A$1:$DZU$1000000,832,FALSE)</f>
        <v>#N/A</v>
      </c>
      <c r="P49" s="46" t="e">
        <f>VLOOKUP(A1,Data1!$A$1:$DZU$1000000,833,FALSE)</f>
        <v>#N/A</v>
      </c>
      <c r="Q49" s="33" t="e">
        <f>VLOOKUP(A1,Data1!$A$1:$DZU$1000000,834,FALSE)</f>
        <v>#N/A</v>
      </c>
    </row>
    <row r="50" spans="1:17" x14ac:dyDescent="0.35">
      <c r="A50" s="22" t="e">
        <f>VLOOKUP(A1,Data1!$A$1:$DZU$1000000,835,FALSE)</f>
        <v>#N/A</v>
      </c>
      <c r="B50" s="37" t="e">
        <f>VLOOKUP(A1,Data1!$A$1:$DZU$1000000,836,FALSE)</f>
        <v>#N/A</v>
      </c>
      <c r="C50" s="38" t="e">
        <f>VLOOKUP(A1,Data1!$A$1:$DZU$1000000,837,FALSE)</f>
        <v>#N/A</v>
      </c>
      <c r="D50" s="31" t="e">
        <f>VLOOKUP(A1,Data1!$A$1:$DZU$1000000,838,FALSE)</f>
        <v>#N/A</v>
      </c>
      <c r="E50" s="32" t="e">
        <f>VLOOKUP(A1,Data1!$A$1:$DZU$1000000,839,FALSE)</f>
        <v>#N/A</v>
      </c>
      <c r="F50" s="34" t="e">
        <f>VLOOKUP(A1,Data1!$A$1:$DZU$1000000,840,FALSE)</f>
        <v>#N/A</v>
      </c>
      <c r="G50" s="33" t="e">
        <f>VLOOKUP(A1,Data1!$A$1:$DZU$1000000,841,FALSE)</f>
        <v>#N/A</v>
      </c>
      <c r="H50" s="34" t="e">
        <f>VLOOKUP(A1,Data1!$A$1:$DZU$1000000,842,FALSE)</f>
        <v>#N/A</v>
      </c>
      <c r="I50" s="33" t="e">
        <f>VLOOKUP(A1,Data1!$A$1:$DZU$1000000,843,FALSE)</f>
        <v>#N/A</v>
      </c>
      <c r="J50" s="34" t="e">
        <f>VLOOKUP(A1,Data1!$A$1:$DZU$1000000,844,FALSE)</f>
        <v>#N/A</v>
      </c>
      <c r="K50" s="34" t="e">
        <f>VLOOKUP(A1,Data1!$A$1:$DZU$1000000,845,FALSE)</f>
        <v>#N/A</v>
      </c>
      <c r="L50" s="93" t="e">
        <f>VLOOKUP(A1,Data1!$A$1:$DZU$1000000,846,FALSE)</f>
        <v>#N/A</v>
      </c>
      <c r="M50" s="33" t="e">
        <f>VLOOKUP(A1,Data1!$A$1:$DZU$1000000,847,FALSE)</f>
        <v>#N/A</v>
      </c>
      <c r="N50" s="34" t="e">
        <f>VLOOKUP(A1,Data1!$A$1:$DZU$1000000,848,FALSE)</f>
        <v>#N/A</v>
      </c>
      <c r="O50" s="33" t="e">
        <f>VLOOKUP(A1,Data1!$A$1:$DZU$1000000,849,FALSE)</f>
        <v>#N/A</v>
      </c>
      <c r="P50" s="46" t="e">
        <f>VLOOKUP(A1,Data1!$A$1:$DZU$1000000,850,FALSE)</f>
        <v>#N/A</v>
      </c>
      <c r="Q50" s="33" t="e">
        <f>VLOOKUP(A1,Data1!$A$1:$DZU$1000000,851,FALSE)</f>
        <v>#N/A</v>
      </c>
    </row>
    <row r="51" spans="1:17" x14ac:dyDescent="0.35">
      <c r="A51" s="22" t="e">
        <f>VLOOKUP(A1,Data1!$A$1:$DZU$1000000,852,FALSE)</f>
        <v>#N/A</v>
      </c>
      <c r="B51" s="37" t="e">
        <f>VLOOKUP(A1,Data1!$A$1:$DZU$1000000,853,FALSE)</f>
        <v>#N/A</v>
      </c>
      <c r="C51" s="38" t="e">
        <f>VLOOKUP(A1,Data1!$A$1:$DZU$1000000,854,FALSE)</f>
        <v>#N/A</v>
      </c>
      <c r="D51" s="31" t="e">
        <f>VLOOKUP(A1,Data1!$A$1:$DZU$1000000,855,FALSE)</f>
        <v>#N/A</v>
      </c>
      <c r="E51" s="32" t="e">
        <f>VLOOKUP(A1,Data1!$A$1:$DZU$1000000,856,FALSE)</f>
        <v>#N/A</v>
      </c>
      <c r="F51" s="34" t="e">
        <f>VLOOKUP(A1,Data1!$A$1:$DZU$1000000,857,FALSE)</f>
        <v>#N/A</v>
      </c>
      <c r="G51" s="33" t="e">
        <f>VLOOKUP(A1,Data1!$A$1:$DZU$1000000,858,FALSE)</f>
        <v>#N/A</v>
      </c>
      <c r="H51" s="34" t="e">
        <f>VLOOKUP(A1,Data1!$A$1:$DZU$1000000,859,FALSE)</f>
        <v>#N/A</v>
      </c>
      <c r="I51" s="33" t="e">
        <f>VLOOKUP(A1,Data1!$A$1:$DZU$1000000,860,FALSE)</f>
        <v>#N/A</v>
      </c>
      <c r="J51" s="34" t="e">
        <f>VLOOKUP(A1,Data1!$A$1:$DZU$1000000,861,FALSE)</f>
        <v>#N/A</v>
      </c>
      <c r="K51" s="34" t="e">
        <f>VLOOKUP(A1,Data1!$A$1:$DZU$1000000,862,FALSE)</f>
        <v>#N/A</v>
      </c>
      <c r="L51" s="93" t="e">
        <f>VLOOKUP(A1,Data1!$A$1:$DZU$1000000,863,FALSE)</f>
        <v>#N/A</v>
      </c>
      <c r="M51" s="33" t="e">
        <f>VLOOKUP(A1,Data1!$A$1:$DZU$1000000,864,FALSE)</f>
        <v>#N/A</v>
      </c>
      <c r="N51" s="34" t="e">
        <f>VLOOKUP(A1,Data1!$A$1:$DZU$1000000,865,FALSE)</f>
        <v>#N/A</v>
      </c>
      <c r="O51" s="33" t="e">
        <f>VLOOKUP(A1,Data1!$A$1:$DZU$1000000,866,FALSE)</f>
        <v>#N/A</v>
      </c>
      <c r="P51" s="46" t="e">
        <f>VLOOKUP(A1,Data1!$A$1:$DZU$1000000,867,FALSE)</f>
        <v>#N/A</v>
      </c>
      <c r="Q51" s="33" t="e">
        <f>VLOOKUP(A1,Data1!$A$1:$DZU$1000000,868,FALSE)</f>
        <v>#N/A</v>
      </c>
    </row>
    <row r="52" spans="1:17" x14ac:dyDescent="0.35">
      <c r="A52" s="22" t="e">
        <f>VLOOKUP(A1,Data1!$A$1:$DZU$1000000,869,FALSE)</f>
        <v>#N/A</v>
      </c>
      <c r="B52" s="37" t="e">
        <f>VLOOKUP(A1,Data1!$A$1:$DZU$1000000,870,FALSE)</f>
        <v>#N/A</v>
      </c>
      <c r="C52" s="38" t="e">
        <f>VLOOKUP(A1,Data1!$A$1:$DZU$1000000,871,FALSE)</f>
        <v>#N/A</v>
      </c>
      <c r="D52" s="31" t="e">
        <f>VLOOKUP(A1,Data1!$A$1:$DZU$1000000,872,FALSE)</f>
        <v>#N/A</v>
      </c>
      <c r="E52" s="32" t="e">
        <f>VLOOKUP(A1,Data1!$A$1:$DZU$1000000,873,FALSE)</f>
        <v>#N/A</v>
      </c>
      <c r="F52" s="34" t="e">
        <f>VLOOKUP(A1,Data1!$A$1:$DZU$1000000,874,FALSE)</f>
        <v>#N/A</v>
      </c>
      <c r="G52" s="33" t="e">
        <f>VLOOKUP(A1,Data1!$A$1:$DZU$1000000,875,FALSE)</f>
        <v>#N/A</v>
      </c>
      <c r="H52" s="34" t="e">
        <f>VLOOKUP(A1,Data1!$A$1:$DZU$1000000,876,FALSE)</f>
        <v>#N/A</v>
      </c>
      <c r="I52" s="33" t="e">
        <f>VLOOKUP(A1,Data1!$A$1:$DZU$1000000,877,FALSE)</f>
        <v>#N/A</v>
      </c>
      <c r="J52" s="34" t="e">
        <f>VLOOKUP(A1,Data1!$A$1:$DZU$1000000,878,FALSE)</f>
        <v>#N/A</v>
      </c>
      <c r="K52" s="34" t="e">
        <f>VLOOKUP(A1,Data1!$A$1:$DZU$1000000,879,FALSE)</f>
        <v>#N/A</v>
      </c>
      <c r="L52" s="93" t="e">
        <f>VLOOKUP(A1,Data1!$A$1:$DZU$1000000,880,FALSE)</f>
        <v>#N/A</v>
      </c>
      <c r="M52" s="33" t="e">
        <f>VLOOKUP(A1,Data1!$A$1:$DZU$1000000,881,FALSE)</f>
        <v>#N/A</v>
      </c>
      <c r="N52" s="34" t="e">
        <f>VLOOKUP(A1,Data1!$A$1:$DZU$1000000,882,FALSE)</f>
        <v>#N/A</v>
      </c>
      <c r="O52" s="33" t="e">
        <f>VLOOKUP(A1,Data1!$A$1:$DZU$1000000,883,FALSE)</f>
        <v>#N/A</v>
      </c>
      <c r="P52" s="46" t="e">
        <f>VLOOKUP(A1,Data1!$A$1:$DZU$1000000,884,FALSE)</f>
        <v>#N/A</v>
      </c>
      <c r="Q52" s="33" t="e">
        <f>VLOOKUP(A1,Data1!$A$1:$DZU$1000000,885,FALSE)</f>
        <v>#N/A</v>
      </c>
    </row>
    <row r="53" spans="1:17" x14ac:dyDescent="0.35">
      <c r="A53" s="22" t="e">
        <f>VLOOKUP(A1,Data1!$A$1:$DZU$1000000,886,FALSE)</f>
        <v>#N/A</v>
      </c>
      <c r="B53" s="37" t="e">
        <f>VLOOKUP(A1,Data1!$A$1:$DZU$1000000,887,FALSE)</f>
        <v>#N/A</v>
      </c>
      <c r="C53" s="38" t="e">
        <f>VLOOKUP(A1,Data1!$A$1:$DZU$1000000,888,FALSE)</f>
        <v>#N/A</v>
      </c>
      <c r="D53" s="31" t="e">
        <f>VLOOKUP(A1,Data1!$A$1:$DZU$1000000,889,FALSE)</f>
        <v>#N/A</v>
      </c>
      <c r="E53" s="32" t="e">
        <f>VLOOKUP(A1,Data1!$A$1:$DZU$1000000,890,FALSE)</f>
        <v>#N/A</v>
      </c>
      <c r="F53" s="34" t="e">
        <f>VLOOKUP(A1,Data1!$A$1:$DZU$1000000,891,FALSE)</f>
        <v>#N/A</v>
      </c>
      <c r="G53" s="33" t="e">
        <f>VLOOKUP(A1,Data1!$A$1:$DZU$1000000,892,FALSE)</f>
        <v>#N/A</v>
      </c>
      <c r="H53" s="34" t="e">
        <f>VLOOKUP(A1,Data1!$A$1:$DZU$1000000,893,FALSE)</f>
        <v>#N/A</v>
      </c>
      <c r="I53" s="33" t="e">
        <f>VLOOKUP(A1,Data1!$A$1:$DZU$1000000,894,FALSE)</f>
        <v>#N/A</v>
      </c>
      <c r="J53" s="34" t="e">
        <f>VLOOKUP(A1,Data1!$A$1:$DZU$1000000,895,FALSE)</f>
        <v>#N/A</v>
      </c>
      <c r="K53" s="34" t="e">
        <f>VLOOKUP(A1,Data1!$A$1:$DZU$1000000,896,FALSE)</f>
        <v>#N/A</v>
      </c>
      <c r="L53" s="93" t="e">
        <f>VLOOKUP(A1,Data1!$A$1:$DZU$1000000,897,FALSE)</f>
        <v>#N/A</v>
      </c>
      <c r="M53" s="33" t="e">
        <f>VLOOKUP(A1,Data1!$A$1:$DZU$1000000,898,FALSE)</f>
        <v>#N/A</v>
      </c>
      <c r="N53" s="34" t="e">
        <f>VLOOKUP(A1,Data1!$A$1:$DZU$1000000,899,FALSE)</f>
        <v>#N/A</v>
      </c>
      <c r="O53" s="33" t="e">
        <f>VLOOKUP(A1,Data1!$A$1:$DZU$1000000,900,FALSE)</f>
        <v>#N/A</v>
      </c>
      <c r="P53" s="46" t="e">
        <f>VLOOKUP(A1,Data1!$A$1:$DZU$1000000,901,FALSE)</f>
        <v>#N/A</v>
      </c>
      <c r="Q53" s="33" t="e">
        <f>VLOOKUP(A1,Data1!$A$1:$DZU$1000000,902,FALSE)</f>
        <v>#N/A</v>
      </c>
    </row>
    <row r="54" spans="1:17" x14ac:dyDescent="0.35">
      <c r="A54" s="22" t="e">
        <f>VLOOKUP(A1,Data1!$A$1:$DZU$1000000,903,FALSE)</f>
        <v>#N/A</v>
      </c>
      <c r="B54" s="37" t="e">
        <f>VLOOKUP(A1,Data1!$A$1:$DZU$1000000,904,FALSE)</f>
        <v>#N/A</v>
      </c>
      <c r="C54" s="38" t="e">
        <f>VLOOKUP(A1,Data1!$A$1:$DZU$1000000,905,FALSE)</f>
        <v>#N/A</v>
      </c>
      <c r="D54" s="31" t="e">
        <f>VLOOKUP(A1,Data1!$A$1:$DZU$1000000,906,FALSE)</f>
        <v>#N/A</v>
      </c>
      <c r="E54" s="32" t="e">
        <f>VLOOKUP(A1,Data1!$A$1:$DZU$1000000,907,FALSE)</f>
        <v>#N/A</v>
      </c>
      <c r="F54" s="34" t="e">
        <f>VLOOKUP(A1,Data1!$A$1:$DZU$1000000,908,FALSE)</f>
        <v>#N/A</v>
      </c>
      <c r="G54" s="33" t="e">
        <f>VLOOKUP(A1,Data1!$A$1:$DZU$1000000,909,FALSE)</f>
        <v>#N/A</v>
      </c>
      <c r="H54" s="34" t="e">
        <f>VLOOKUP(A1,Data1!$A$1:$DZU$1000000,910,FALSE)</f>
        <v>#N/A</v>
      </c>
      <c r="I54" s="33" t="e">
        <f>VLOOKUP(A1,Data1!$A$1:$DZU$1000000,911,FALSE)</f>
        <v>#N/A</v>
      </c>
      <c r="J54" s="34" t="e">
        <f>VLOOKUP(A1,Data1!$A$1:$DZU$1000000,912,FALSE)</f>
        <v>#N/A</v>
      </c>
      <c r="K54" s="34" t="e">
        <f>VLOOKUP(A1,Data1!$A$1:$DZU$1000000,913,FALSE)</f>
        <v>#N/A</v>
      </c>
      <c r="L54" s="93" t="e">
        <f>VLOOKUP(A1,Data1!$A$1:$DZU$1000000,914,FALSE)</f>
        <v>#N/A</v>
      </c>
      <c r="M54" s="33" t="e">
        <f>VLOOKUP(A1,Data1!$A$1:$DZU$1000000,915,FALSE)</f>
        <v>#N/A</v>
      </c>
      <c r="N54" s="34" t="e">
        <f>VLOOKUP(A1,Data1!$A$1:$DZU$1000000,916,FALSE)</f>
        <v>#N/A</v>
      </c>
      <c r="O54" s="33" t="e">
        <f>VLOOKUP(A1,Data1!$A$1:$DZU$1000000,917,FALSE)</f>
        <v>#N/A</v>
      </c>
      <c r="P54" s="46" t="e">
        <f>VLOOKUP(A1,Data1!$A$1:$DZU$1000000,918,FALSE)</f>
        <v>#N/A</v>
      </c>
      <c r="Q54" s="33" t="e">
        <f>VLOOKUP(A1,Data1!$A$1:$DZU$1000000,919,FALSE)</f>
        <v>#N/A</v>
      </c>
    </row>
    <row r="55" spans="1:17" x14ac:dyDescent="0.35">
      <c r="A55" s="22" t="e">
        <f>VLOOKUP(A1,Data1!$A$1:$DZU$1000000,920,FALSE)</f>
        <v>#N/A</v>
      </c>
      <c r="B55" s="37" t="e">
        <f>VLOOKUP(A1,Data1!$A$1:$DZU$1000000,921,FALSE)</f>
        <v>#N/A</v>
      </c>
      <c r="C55" s="38" t="e">
        <f>VLOOKUP(A1,Data1!$A$1:$DZU$1000000,922,FALSE)</f>
        <v>#N/A</v>
      </c>
      <c r="D55" s="31" t="e">
        <f>VLOOKUP(A1,Data1!$A$1:$DZU$1000000,923,FALSE)</f>
        <v>#N/A</v>
      </c>
      <c r="E55" s="32" t="e">
        <f>VLOOKUP(A1,Data1!$A$1:$DZU$1000000,924,FALSE)</f>
        <v>#N/A</v>
      </c>
      <c r="F55" s="34" t="e">
        <f>VLOOKUP(A1,Data1!$A$1:$DZU$1000000,925,FALSE)</f>
        <v>#N/A</v>
      </c>
      <c r="G55" s="33" t="e">
        <f>VLOOKUP(A1,Data1!$A$1:$DZU$1000000,926,FALSE)</f>
        <v>#N/A</v>
      </c>
      <c r="H55" s="34" t="e">
        <f>VLOOKUP(A1,Data1!$A$1:$DZU$1000000,927,FALSE)</f>
        <v>#N/A</v>
      </c>
      <c r="I55" s="33" t="e">
        <f>VLOOKUP(A1,Data1!$A$1:$DZU$1000000,928,FALSE)</f>
        <v>#N/A</v>
      </c>
      <c r="J55" s="34" t="e">
        <f>VLOOKUP(A1,Data1!$A$1:$DZU$1000000,929,FALSE)</f>
        <v>#N/A</v>
      </c>
      <c r="K55" s="34" t="e">
        <f>VLOOKUP(A1,Data1!$A$1:$DZU$1000000,930,FALSE)</f>
        <v>#N/A</v>
      </c>
      <c r="L55" s="93" t="e">
        <f>VLOOKUP(A1,Data1!$A$1:$DZU$1000000,931,FALSE)</f>
        <v>#N/A</v>
      </c>
      <c r="M55" s="33" t="e">
        <f>VLOOKUP(A1,Data1!$A$1:$DZU$1000000,932,FALSE)</f>
        <v>#N/A</v>
      </c>
      <c r="N55" s="34" t="e">
        <f>VLOOKUP(A1,Data1!$A$1:$DZU$1000000,933,FALSE)</f>
        <v>#N/A</v>
      </c>
      <c r="O55" s="33" t="e">
        <f>VLOOKUP(A1,Data1!$A$1:$DZU$1000000,934,FALSE)</f>
        <v>#N/A</v>
      </c>
      <c r="P55" s="46" t="e">
        <f>VLOOKUP(A1,Data1!$A$1:$DZU$1000000,935,FALSE)</f>
        <v>#N/A</v>
      </c>
      <c r="Q55" s="33" t="e">
        <f>VLOOKUP(A1,Data1!$A$1:$DZU$1000000,936,FALSE)</f>
        <v>#N/A</v>
      </c>
    </row>
    <row r="56" spans="1:17" x14ac:dyDescent="0.35">
      <c r="A56" s="22" t="e">
        <f>VLOOKUP(A1,Data1!$A$1:$DZU$1000000,937,FALSE)</f>
        <v>#N/A</v>
      </c>
      <c r="B56" s="37" t="e">
        <f>VLOOKUP(A1,Data1!$A$1:$DZU$1000000,938,FALSE)</f>
        <v>#N/A</v>
      </c>
      <c r="C56" s="38" t="e">
        <f>VLOOKUP(A1,Data1!$A$1:$DZU$1000000,939,FALSE)</f>
        <v>#N/A</v>
      </c>
      <c r="D56" s="31" t="e">
        <f>VLOOKUP(A1,Data1!$A$1:$DZU$1000000,940,FALSE)</f>
        <v>#N/A</v>
      </c>
      <c r="E56" s="32" t="e">
        <f>VLOOKUP(A1,Data1!$A$1:$DZU$1000000,941,FALSE)</f>
        <v>#N/A</v>
      </c>
      <c r="F56" s="34" t="e">
        <f>VLOOKUP(A1,Data1!$A$1:$DZU$1000000,942,FALSE)</f>
        <v>#N/A</v>
      </c>
      <c r="G56" s="33" t="e">
        <f>VLOOKUP(A1,Data1!$A$1:$DZU$1000000,943,FALSE)</f>
        <v>#N/A</v>
      </c>
      <c r="H56" s="34" t="e">
        <f>VLOOKUP(A1,Data1!$A$1:$DZU$1000000,944,FALSE)</f>
        <v>#N/A</v>
      </c>
      <c r="I56" s="33" t="e">
        <f>VLOOKUP(A1,Data1!$A$1:$DZU$1000000,945,FALSE)</f>
        <v>#N/A</v>
      </c>
      <c r="J56" s="34" t="e">
        <f>VLOOKUP(A1,Data1!$A$1:$DZU$1000000,946,FALSE)</f>
        <v>#N/A</v>
      </c>
      <c r="K56" s="34" t="e">
        <f>VLOOKUP(A1,Data1!$A$1:$DZU$1000000,947,FALSE)</f>
        <v>#N/A</v>
      </c>
      <c r="L56" s="93" t="e">
        <f>VLOOKUP(A1,Data1!$A$1:$DZU$1000000,948,FALSE)</f>
        <v>#N/A</v>
      </c>
      <c r="M56" s="33" t="e">
        <f>VLOOKUP(A1,Data1!$A$1:$DZU$1000000,949,FALSE)</f>
        <v>#N/A</v>
      </c>
      <c r="N56" s="34" t="e">
        <f>VLOOKUP(A1,Data1!$A$1:$DZU$1000000,950,FALSE)</f>
        <v>#N/A</v>
      </c>
      <c r="O56" s="33" t="e">
        <f>VLOOKUP(A1,Data1!$A$1:$DZU$1000000,951,FALSE)</f>
        <v>#N/A</v>
      </c>
      <c r="P56" s="46" t="e">
        <f>VLOOKUP(A1,Data1!$A$1:$DZU$1000000,952,FALSE)</f>
        <v>#N/A</v>
      </c>
      <c r="Q56" s="33" t="e">
        <f>VLOOKUP(A1,Data1!$A$1:$DZU$1000000,953,FALSE)</f>
        <v>#N/A</v>
      </c>
    </row>
    <row r="57" spans="1:17" x14ac:dyDescent="0.35">
      <c r="A57" s="22" t="e">
        <f>VLOOKUP(A1,Data1!$A$1:$DZU$1000000,954,FALSE)</f>
        <v>#N/A</v>
      </c>
      <c r="B57" s="37" t="e">
        <f>VLOOKUP(A1,Data1!$A$1:$DZU$1000000,955,FALSE)</f>
        <v>#N/A</v>
      </c>
      <c r="C57" s="38" t="e">
        <f>VLOOKUP(A1,Data1!$A$1:$DZU$1000000,956,FALSE)</f>
        <v>#N/A</v>
      </c>
      <c r="D57" s="31" t="e">
        <f>VLOOKUP(A1,Data1!$A$1:$DZU$1000000,957,FALSE)</f>
        <v>#N/A</v>
      </c>
      <c r="E57" s="32" t="e">
        <f>VLOOKUP(A1,Data1!$A$1:$DZU$1000000,958,FALSE)</f>
        <v>#N/A</v>
      </c>
      <c r="F57" s="34" t="e">
        <f>VLOOKUP(A1,Data1!$A$1:$DZU$1000000,959,FALSE)</f>
        <v>#N/A</v>
      </c>
      <c r="G57" s="33" t="e">
        <f>VLOOKUP(A1,Data1!$A$1:$DZU$1000000,960,FALSE)</f>
        <v>#N/A</v>
      </c>
      <c r="H57" s="34" t="e">
        <f>VLOOKUP(A1,Data1!$A$1:$DZU$1000000,961,FALSE)</f>
        <v>#N/A</v>
      </c>
      <c r="I57" s="33" t="e">
        <f>VLOOKUP(A1,Data1!$A$1:$DZU$1000000,962,FALSE)</f>
        <v>#N/A</v>
      </c>
      <c r="J57" s="34" t="e">
        <f>VLOOKUP(A1,Data1!$A$1:$DZU$1000000,963,FALSE)</f>
        <v>#N/A</v>
      </c>
      <c r="K57" s="34" t="e">
        <f>VLOOKUP(A1,Data1!$A$1:$DZU$1000000,964,FALSE)</f>
        <v>#N/A</v>
      </c>
      <c r="L57" s="93" t="e">
        <f>VLOOKUP(A1,Data1!$A$1:$DZU$1000000,965,FALSE)</f>
        <v>#N/A</v>
      </c>
      <c r="M57" s="33" t="e">
        <f>VLOOKUP(A1,Data1!$A$1:$DZU$1000000,966,FALSE)</f>
        <v>#N/A</v>
      </c>
      <c r="N57" s="34" t="e">
        <f>VLOOKUP(A1,Data1!$A$1:$DZU$1000000,967,FALSE)</f>
        <v>#N/A</v>
      </c>
      <c r="O57" s="33" t="e">
        <f>VLOOKUP(A1,Data1!$A$1:$DZU$1000000,968,FALSE)</f>
        <v>#N/A</v>
      </c>
      <c r="P57" s="46" t="e">
        <f>VLOOKUP(A1,Data1!$A$1:$DZU$1000000,969,FALSE)</f>
        <v>#N/A</v>
      </c>
      <c r="Q57" s="33" t="e">
        <f>VLOOKUP(A1,Data1!$A$1:$DZU$1000000,970,FALSE)</f>
        <v>#N/A</v>
      </c>
    </row>
    <row r="58" spans="1:17" x14ac:dyDescent="0.35">
      <c r="A58" s="22" t="e">
        <f>VLOOKUP(A1,Data1!$A$1:$DZU$1000000,971,FALSE)</f>
        <v>#N/A</v>
      </c>
      <c r="B58" s="37" t="e">
        <f>VLOOKUP(A1,Data1!$A$1:$DZU$1000000,972,FALSE)</f>
        <v>#N/A</v>
      </c>
      <c r="C58" s="38" t="e">
        <f>VLOOKUP(A1,Data1!$A$1:$DZU$1000000,973,FALSE)</f>
        <v>#N/A</v>
      </c>
      <c r="D58" s="31" t="e">
        <f>VLOOKUP(A1,Data1!$A$1:$DZU$1000000,974,FALSE)</f>
        <v>#N/A</v>
      </c>
      <c r="E58" s="32" t="e">
        <f>VLOOKUP(A1,Data1!$A$1:$DZU$1000000,975,FALSE)</f>
        <v>#N/A</v>
      </c>
      <c r="F58" s="34" t="e">
        <f>VLOOKUP(A1,Data1!$A$1:$DZU$1000000,976,FALSE)</f>
        <v>#N/A</v>
      </c>
      <c r="G58" s="33" t="e">
        <f>VLOOKUP(A1,Data1!$A$1:$DZU$1000000,977,FALSE)</f>
        <v>#N/A</v>
      </c>
      <c r="H58" s="34" t="e">
        <f>VLOOKUP(A1,Data1!$A$1:$DZU$1000000,978,FALSE)</f>
        <v>#N/A</v>
      </c>
      <c r="I58" s="33" t="e">
        <f>VLOOKUP(A1,Data1!$A$1:$DZU$1000000,979,FALSE)</f>
        <v>#N/A</v>
      </c>
      <c r="J58" s="34" t="e">
        <f>VLOOKUP(A1,Data1!$A$1:$DZU$1000000,980,FALSE)</f>
        <v>#N/A</v>
      </c>
      <c r="K58" s="34" t="e">
        <f>VLOOKUP(A1,Data1!$A$1:$DZU$1000000,981,FALSE)</f>
        <v>#N/A</v>
      </c>
      <c r="L58" s="93" t="e">
        <f>VLOOKUP(A1,Data1!$A$1:$DZU$1000000,982,FALSE)</f>
        <v>#N/A</v>
      </c>
      <c r="M58" s="33" t="e">
        <f>VLOOKUP(A1,Data1!$A$1:$DZU$1000000,983,FALSE)</f>
        <v>#N/A</v>
      </c>
      <c r="N58" s="34" t="e">
        <f>VLOOKUP(A1,Data1!$A$1:$DZU$1000000,984,FALSE)</f>
        <v>#N/A</v>
      </c>
      <c r="O58" s="33" t="e">
        <f>VLOOKUP(A1,Data1!$A$1:$DZU$1000000,985,FALSE)</f>
        <v>#N/A</v>
      </c>
      <c r="P58" s="46" t="e">
        <f>VLOOKUP(A1,Data1!$A$1:$DZU$1000000,986,FALSE)</f>
        <v>#N/A</v>
      </c>
      <c r="Q58" s="33" t="e">
        <f>VLOOKUP(A1,Data1!$A$1:$DZU$1000000,987,FALSE)</f>
        <v>#N/A</v>
      </c>
    </row>
    <row r="59" spans="1:17" x14ac:dyDescent="0.35">
      <c r="A59" s="22" t="e">
        <f>VLOOKUP(A1,Data1!$A$1:$DZU$1000000,988,FALSE)</f>
        <v>#N/A</v>
      </c>
      <c r="B59" s="37" t="e">
        <f>VLOOKUP(A1,Data1!$A$1:$DZU$1000000,989,FALSE)</f>
        <v>#N/A</v>
      </c>
      <c r="C59" s="38" t="e">
        <f>VLOOKUP(A1,Data1!$A$1:$DZU$1000000,990,FALSE)</f>
        <v>#N/A</v>
      </c>
      <c r="D59" s="31" t="e">
        <f>VLOOKUP(A1,Data1!$A$1:$DZU$1000000,991,FALSE)</f>
        <v>#N/A</v>
      </c>
      <c r="E59" s="32" t="e">
        <f>VLOOKUP(A1,Data1!$A$1:$DZU$1000000,992,FALSE)</f>
        <v>#N/A</v>
      </c>
      <c r="F59" s="34" t="e">
        <f>VLOOKUP(A1,Data1!$A$1:$DZU$1000000,993,FALSE)</f>
        <v>#N/A</v>
      </c>
      <c r="G59" s="33" t="e">
        <f>VLOOKUP(A1,Data1!$A$1:$DZU$1000000,994,FALSE)</f>
        <v>#N/A</v>
      </c>
      <c r="H59" s="34" t="e">
        <f>VLOOKUP(A1,Data1!$A$1:$DZU$1000000,995,FALSE)</f>
        <v>#N/A</v>
      </c>
      <c r="I59" s="33" t="e">
        <f>VLOOKUP(A1,Data1!$A$1:$DZU$1000000,996,FALSE)</f>
        <v>#N/A</v>
      </c>
      <c r="J59" s="34" t="e">
        <f>VLOOKUP(A1,Data1!$A$1:$DZU$1000000,997,FALSE)</f>
        <v>#N/A</v>
      </c>
      <c r="K59" s="34" t="e">
        <f>VLOOKUP(A1,Data1!$A$1:$DZU$1000000,998,FALSE)</f>
        <v>#N/A</v>
      </c>
      <c r="L59" s="93" t="e">
        <f>VLOOKUP(A1,Data1!$A$1:$DZU$1000000,999,FALSE)</f>
        <v>#N/A</v>
      </c>
      <c r="M59" s="33" t="e">
        <f>VLOOKUP(A1,Data1!$A$1:$DZU$1000000,1000,FALSE)</f>
        <v>#N/A</v>
      </c>
      <c r="N59" s="34" t="e">
        <f>VLOOKUP(A1,Data1!$A$1:$DZU$1000000,1001,FALSE)</f>
        <v>#N/A</v>
      </c>
      <c r="O59" s="33" t="e">
        <f>VLOOKUP(A1,Data1!$A$1:$DZU$1000000,1002,FALSE)</f>
        <v>#N/A</v>
      </c>
      <c r="P59" s="46" t="e">
        <f>VLOOKUP(A1,Data1!$A$1:$DZU$1000000,1003,FALSE)</f>
        <v>#N/A</v>
      </c>
      <c r="Q59" s="33" t="e">
        <f>VLOOKUP(A1,Data1!$A$1:$DZU$1000000,1004,FALSE)</f>
        <v>#N/A</v>
      </c>
    </row>
    <row r="60" spans="1:17" x14ac:dyDescent="0.35">
      <c r="A60" s="22" t="e">
        <f>VLOOKUP(A1,Data1!$A$1:$DZU$1000000,1005,FALSE)</f>
        <v>#N/A</v>
      </c>
      <c r="B60" s="37" t="e">
        <f>VLOOKUP(A1,Data1!$A$1:$DZU$1000000,1006,FALSE)</f>
        <v>#N/A</v>
      </c>
      <c r="C60" s="38" t="e">
        <f>VLOOKUP(A1,Data1!$A$1:$DZU$1000000,1007,FALSE)</f>
        <v>#N/A</v>
      </c>
      <c r="D60" s="31" t="e">
        <f>VLOOKUP(A1,Data1!$A$1:$DZU$1000000,1008,FALSE)</f>
        <v>#N/A</v>
      </c>
      <c r="E60" s="32" t="e">
        <f>VLOOKUP(A1,Data1!$A$1:$DZU$1000000,1009,FALSE)</f>
        <v>#N/A</v>
      </c>
      <c r="F60" s="34" t="e">
        <f>VLOOKUP(A1,Data1!$A$1:$DZU$1000000,1010,FALSE)</f>
        <v>#N/A</v>
      </c>
      <c r="G60" s="33" t="e">
        <f>VLOOKUP(A1,Data1!$A$1:$DZU$1000000,1011,FALSE)</f>
        <v>#N/A</v>
      </c>
      <c r="H60" s="34" t="e">
        <f>VLOOKUP(A1,Data1!$A$1:$DZU$1000000,1012,FALSE)</f>
        <v>#N/A</v>
      </c>
      <c r="I60" s="33" t="e">
        <f>VLOOKUP(A1,Data1!$A$1:$DZU$1000000,1013,FALSE)</f>
        <v>#N/A</v>
      </c>
      <c r="J60" s="34" t="e">
        <f>VLOOKUP(A1,Data1!$A$1:$DZU$1000000,1014,FALSE)</f>
        <v>#N/A</v>
      </c>
      <c r="K60" s="34" t="e">
        <f>VLOOKUP(A1,Data1!$A$1:$DZU$1000000,1015,FALSE)</f>
        <v>#N/A</v>
      </c>
      <c r="L60" s="93" t="e">
        <f>VLOOKUP(A1,Data1!$A$1:$DZU$1000000,1016,FALSE)</f>
        <v>#N/A</v>
      </c>
      <c r="M60" s="33" t="e">
        <f>VLOOKUP(A1,Data1!$A$1:$DZU$1000000,1017,FALSE)</f>
        <v>#N/A</v>
      </c>
      <c r="N60" s="34" t="e">
        <f>VLOOKUP(A1,Data1!$A$1:$DZU$1000000,1018,FALSE)</f>
        <v>#N/A</v>
      </c>
      <c r="O60" s="33" t="e">
        <f>VLOOKUP(A1,Data1!$A$1:$DZU$1000000,1019,FALSE)</f>
        <v>#N/A</v>
      </c>
      <c r="P60" s="46" t="e">
        <f>VLOOKUP(A1,Data1!$A$1:$DZU$1000000,1020,FALSE)</f>
        <v>#N/A</v>
      </c>
      <c r="Q60" s="33" t="e">
        <f>VLOOKUP(A1,Data1!$A$1:$DZU$1000000,1021,FALSE)</f>
        <v>#N/A</v>
      </c>
    </row>
    <row r="61" spans="1:17" x14ac:dyDescent="0.35">
      <c r="A61" s="22" t="e">
        <f>VLOOKUP(A1,Data1!$A$1:$DZU$1000000,1022,FALSE)</f>
        <v>#N/A</v>
      </c>
      <c r="B61" s="37" t="e">
        <f>VLOOKUP(A1,Data1!$A$1:$DZU$1000000,1023,FALSE)</f>
        <v>#N/A</v>
      </c>
      <c r="C61" s="38" t="e">
        <f>VLOOKUP(A1,Data1!$A$1:$DZU$1000000,1024,FALSE)</f>
        <v>#N/A</v>
      </c>
      <c r="D61" s="31" t="e">
        <f>VLOOKUP(A1,Data1!$A$1:$DZU$1000000,1025,FALSE)</f>
        <v>#N/A</v>
      </c>
      <c r="E61" s="32" t="e">
        <f>VLOOKUP(A1,Data1!$A$1:$DZU$1000000,1026,FALSE)</f>
        <v>#N/A</v>
      </c>
      <c r="F61" s="34" t="e">
        <f>VLOOKUP(A1,Data1!$A$1:$DZU$1000000,1027,FALSE)</f>
        <v>#N/A</v>
      </c>
      <c r="G61" s="33" t="e">
        <f>VLOOKUP(A1,Data1!$A$1:$DZU$1000000,1028,FALSE)</f>
        <v>#N/A</v>
      </c>
      <c r="H61" s="34" t="e">
        <f>VLOOKUP(A1,Data1!$A$1:$DZU$1000000,1029,FALSE)</f>
        <v>#N/A</v>
      </c>
      <c r="I61" s="33" t="e">
        <f>VLOOKUP(A1,Data1!$A$1:$DZU$1000000,1030,FALSE)</f>
        <v>#N/A</v>
      </c>
      <c r="J61" s="34" t="e">
        <f>VLOOKUP(A1,Data1!$A$1:$DZU$1000000,1031,FALSE)</f>
        <v>#N/A</v>
      </c>
      <c r="K61" s="34" t="e">
        <f>VLOOKUP(A1,Data1!$A$1:$DZU$1000000,1032,FALSE)</f>
        <v>#N/A</v>
      </c>
      <c r="L61" s="93" t="e">
        <f>VLOOKUP(A1,Data1!$A$1:$DZU$1000000,1033,FALSE)</f>
        <v>#N/A</v>
      </c>
      <c r="M61" s="33" t="e">
        <f>VLOOKUP(A1,Data1!$A$1:$DZU$1000000,1034,FALSE)</f>
        <v>#N/A</v>
      </c>
      <c r="N61" s="34" t="e">
        <f>VLOOKUP(A1,Data1!$A$1:$DZU$1000000,1035,FALSE)</f>
        <v>#N/A</v>
      </c>
      <c r="O61" s="33" t="e">
        <f>VLOOKUP(A1,Data1!$A$1:$DZU$1000000,1036,FALSE)</f>
        <v>#N/A</v>
      </c>
      <c r="P61" s="46" t="e">
        <f>VLOOKUP(A1,Data1!$A$1:$DZU$1000000,1037,FALSE)</f>
        <v>#N/A</v>
      </c>
      <c r="Q61" s="33" t="e">
        <f>VLOOKUP(A1,Data1!$A$1:$DZU$1000000,1038,FALSE)</f>
        <v>#N/A</v>
      </c>
    </row>
    <row r="62" spans="1:17" x14ac:dyDescent="0.35">
      <c r="A62" s="22" t="e">
        <f>VLOOKUP(A1,Data1!$A$1:$DZU$1000000,1039,FALSE)</f>
        <v>#N/A</v>
      </c>
      <c r="B62" s="37" t="e">
        <f>VLOOKUP(A1,Data1!$A$1:$DZU$1000000,1040,FALSE)</f>
        <v>#N/A</v>
      </c>
      <c r="C62" s="38" t="e">
        <f>VLOOKUP(A1,Data1!$A$1:$DZU$1000000,1041,FALSE)</f>
        <v>#N/A</v>
      </c>
      <c r="D62" s="31" t="e">
        <f>VLOOKUP(A1,Data1!$A$1:$DZU$1000000,1042,FALSE)</f>
        <v>#N/A</v>
      </c>
      <c r="E62" s="32" t="e">
        <f>VLOOKUP(A1,Data1!$A$1:$DZU$1000000,1043,FALSE)</f>
        <v>#N/A</v>
      </c>
      <c r="F62" s="34" t="e">
        <f>VLOOKUP(A1,Data1!$A$1:$DZU$1000000,1044,FALSE)</f>
        <v>#N/A</v>
      </c>
      <c r="G62" s="33" t="e">
        <f>VLOOKUP(A1,Data1!$A$1:$DZU$1000000,1045,FALSE)</f>
        <v>#N/A</v>
      </c>
      <c r="H62" s="34" t="e">
        <f>VLOOKUP(A1,Data1!$A$1:$DZU$1000000,1046,FALSE)</f>
        <v>#N/A</v>
      </c>
      <c r="I62" s="33" t="e">
        <f>VLOOKUP(A1,Data1!$A$1:$DZU$1000000,1047,FALSE)</f>
        <v>#N/A</v>
      </c>
      <c r="J62" s="34" t="e">
        <f>VLOOKUP(A1,Data1!$A$1:$DZU$1000000,1048,FALSE)</f>
        <v>#N/A</v>
      </c>
      <c r="K62" s="34" t="e">
        <f>VLOOKUP(A1,Data1!$A$1:$DZU$1000000,1049,FALSE)</f>
        <v>#N/A</v>
      </c>
      <c r="L62" s="93" t="e">
        <f>VLOOKUP(A1,Data1!$A$1:$DZU$1000000,1050,FALSE)</f>
        <v>#N/A</v>
      </c>
      <c r="M62" s="33" t="e">
        <f>VLOOKUP(A1,Data1!$A$1:$DZU$1000000,1051,FALSE)</f>
        <v>#N/A</v>
      </c>
      <c r="N62" s="34" t="e">
        <f>VLOOKUP(A1,Data1!$A$1:$DZU$1000000,1052,FALSE)</f>
        <v>#N/A</v>
      </c>
      <c r="O62" s="33" t="e">
        <f>VLOOKUP(A1,Data1!$A$1:$DZU$1000000,1053,FALSE)</f>
        <v>#N/A</v>
      </c>
      <c r="P62" s="46" t="e">
        <f>VLOOKUP(A1,Data1!$A$1:$DZU$1000000,1054,FALSE)</f>
        <v>#N/A</v>
      </c>
      <c r="Q62" s="33" t="e">
        <f>VLOOKUP(A1,Data1!$A$1:$DZU$1000000,1055,FALSE)</f>
        <v>#N/A</v>
      </c>
    </row>
    <row r="63" spans="1:17" x14ac:dyDescent="0.35">
      <c r="A63" s="22" t="e">
        <f>VLOOKUP(A1,Data1!$A$1:$DZU$1000000,1056,FALSE)</f>
        <v>#N/A</v>
      </c>
      <c r="B63" s="37" t="e">
        <f>VLOOKUP(A1,Data1!$A$1:$DZU$1000000,1057,FALSE)</f>
        <v>#N/A</v>
      </c>
      <c r="C63" s="38" t="e">
        <f>VLOOKUP(A1,Data1!$A$1:$DZU$1000000,1058,FALSE)</f>
        <v>#N/A</v>
      </c>
      <c r="D63" s="31" t="e">
        <f>VLOOKUP(A1,Data1!$A$1:$DZU$1000000,1059,FALSE)</f>
        <v>#N/A</v>
      </c>
      <c r="E63" s="32" t="e">
        <f>VLOOKUP(A1,Data1!$A$1:$DZU$1000000,1060,FALSE)</f>
        <v>#N/A</v>
      </c>
      <c r="F63" s="34" t="e">
        <f>VLOOKUP(A1,Data1!$A$1:$DZU$1000000,1061,FALSE)</f>
        <v>#N/A</v>
      </c>
      <c r="G63" s="33" t="e">
        <f>VLOOKUP(A1,Data1!$A$1:$DZU$1000000,1062,FALSE)</f>
        <v>#N/A</v>
      </c>
      <c r="H63" s="34" t="e">
        <f>VLOOKUP(A1,Data1!$A$1:$DZU$1000000,1063,FALSE)</f>
        <v>#N/A</v>
      </c>
      <c r="I63" s="33" t="e">
        <f>VLOOKUP(A1,Data1!$A$1:$DZU$1000000,1064,FALSE)</f>
        <v>#N/A</v>
      </c>
      <c r="J63" s="34" t="e">
        <f>VLOOKUP(A1,Data1!$A$1:$DZU$1000000,1065,FALSE)</f>
        <v>#N/A</v>
      </c>
      <c r="K63" s="34" t="e">
        <f>VLOOKUP(A1,Data1!$A$1:$DZU$1000000,1066,FALSE)</f>
        <v>#N/A</v>
      </c>
      <c r="L63" s="93" t="e">
        <f>VLOOKUP(A1,Data1!$A$1:$DZU$1000000,1067,FALSE)</f>
        <v>#N/A</v>
      </c>
      <c r="M63" s="33" t="e">
        <f>VLOOKUP(A1,Data1!$A$1:$DZU$1000000,1068,FALSE)</f>
        <v>#N/A</v>
      </c>
      <c r="N63" s="34" t="e">
        <f>VLOOKUP(A1,Data1!$A$1:$DZU$1000000,1069,FALSE)</f>
        <v>#N/A</v>
      </c>
      <c r="O63" s="33" t="e">
        <f>VLOOKUP(A1,Data1!$A$1:$DZU$1000000,1070,FALSE)</f>
        <v>#N/A</v>
      </c>
      <c r="P63" s="46" t="e">
        <f>VLOOKUP(A1,Data1!$A$1:$DZU$1000000,1071,FALSE)</f>
        <v>#N/A</v>
      </c>
      <c r="Q63" s="33" t="e">
        <f>VLOOKUP(A1,Data1!$A$1:$DZU$1000000,1072,FALSE)</f>
        <v>#N/A</v>
      </c>
    </row>
    <row r="64" spans="1:17" x14ac:dyDescent="0.35">
      <c r="A64" s="22" t="e">
        <f>VLOOKUP(A1,Data1!$A$1:$DZU$1000000,1073,FALSE)</f>
        <v>#N/A</v>
      </c>
      <c r="B64" s="37" t="e">
        <f>VLOOKUP(A1,Data1!$A$1:$DZU$1000000,1074,FALSE)</f>
        <v>#N/A</v>
      </c>
      <c r="C64" s="38" t="e">
        <f>VLOOKUP(A1,Data1!$A$1:$DZU$1000000,1075,FALSE)</f>
        <v>#N/A</v>
      </c>
      <c r="D64" s="31" t="e">
        <f>VLOOKUP(A1,Data1!$A$1:$DZU$1000000,1076,FALSE)</f>
        <v>#N/A</v>
      </c>
      <c r="E64" s="32" t="e">
        <f>VLOOKUP(A1,Data1!$A$1:$DZU$1000000,1077,FALSE)</f>
        <v>#N/A</v>
      </c>
      <c r="F64" s="34" t="e">
        <f>VLOOKUP(A1,Data1!$A$1:$DZU$1000000,1078,FALSE)</f>
        <v>#N/A</v>
      </c>
      <c r="G64" s="33" t="e">
        <f>VLOOKUP(A1,Data1!$A$1:$DZU$1000000,1079,FALSE)</f>
        <v>#N/A</v>
      </c>
      <c r="H64" s="34" t="e">
        <f>VLOOKUP(A1,Data1!$A$1:$DZU$1000000,1080,FALSE)</f>
        <v>#N/A</v>
      </c>
      <c r="I64" s="33" t="e">
        <f>VLOOKUP(A1,Data1!$A$1:$DZU$1000000,1081,FALSE)</f>
        <v>#N/A</v>
      </c>
      <c r="J64" s="34" t="e">
        <f>VLOOKUP(A1,Data1!$A$1:$DZU$1000000,1082,FALSE)</f>
        <v>#N/A</v>
      </c>
      <c r="K64" s="34" t="e">
        <f>VLOOKUP(A1,Data1!$A$1:$DZU$1000000,1083,FALSE)</f>
        <v>#N/A</v>
      </c>
      <c r="L64" s="93" t="e">
        <f>VLOOKUP(A1,Data1!$A$1:$DZU$1000000,1084,FALSE)</f>
        <v>#N/A</v>
      </c>
      <c r="M64" s="33" t="e">
        <f>VLOOKUP(A1,Data1!$A$1:$DZU$1000000,1085,FALSE)</f>
        <v>#N/A</v>
      </c>
      <c r="N64" s="34" t="e">
        <f>VLOOKUP(A1,Data1!$A$1:$DZU$1000000,1086,FALSE)</f>
        <v>#N/A</v>
      </c>
      <c r="O64" s="33" t="e">
        <f>VLOOKUP(A1,Data1!$A$1:$DZU$1000000,1087,FALSE)</f>
        <v>#N/A</v>
      </c>
      <c r="P64" s="46" t="e">
        <f>VLOOKUP(A1,Data1!$A$1:$DZU$1000000,1088,FALSE)</f>
        <v>#N/A</v>
      </c>
      <c r="Q64" s="33" t="e">
        <f>VLOOKUP(A1,Data1!$A$1:$DZU$1000000,1089,FALSE)</f>
        <v>#N/A</v>
      </c>
    </row>
    <row r="65" spans="1:17" x14ac:dyDescent="0.35">
      <c r="A65" s="22" t="e">
        <f>VLOOKUP(A1,Data1!$A$1:$DZU$1000000,1090,FALSE)</f>
        <v>#N/A</v>
      </c>
      <c r="B65" s="37" t="e">
        <f>VLOOKUP(A1,Data1!$A$1:$DZU$1000000,1091,FALSE)</f>
        <v>#N/A</v>
      </c>
      <c r="C65" s="38" t="e">
        <f>VLOOKUP(A1,Data1!$A$1:$DZU$1000000,1092,FALSE)</f>
        <v>#N/A</v>
      </c>
      <c r="D65" s="31" t="e">
        <f>VLOOKUP(A1,Data1!$A$1:$DZU$1000000,1093,FALSE)</f>
        <v>#N/A</v>
      </c>
      <c r="E65" s="32" t="e">
        <f>VLOOKUP(A1,Data1!$A$1:$DZU$1000000,1094,FALSE)</f>
        <v>#N/A</v>
      </c>
      <c r="F65" s="34" t="e">
        <f>VLOOKUP(A1,Data1!$A$1:$DZU$1000000,1095,FALSE)</f>
        <v>#N/A</v>
      </c>
      <c r="G65" s="33" t="e">
        <f>VLOOKUP(A1,Data1!$A$1:$DZU$1000000,1096,FALSE)</f>
        <v>#N/A</v>
      </c>
      <c r="H65" s="34" t="e">
        <f>VLOOKUP(A1,Data1!$A$1:$DZU$1000000,1097,FALSE)</f>
        <v>#N/A</v>
      </c>
      <c r="I65" s="33" t="e">
        <f>VLOOKUP(A1,Data1!$A$1:$DZU$1000000,1098,FALSE)</f>
        <v>#N/A</v>
      </c>
      <c r="J65" s="34" t="e">
        <f>VLOOKUP(A1,Data1!$A$1:$DZU$1000000,1099,FALSE)</f>
        <v>#N/A</v>
      </c>
      <c r="K65" s="34" t="e">
        <f>VLOOKUP(A1,Data1!$A$1:$DZU$1000000,1100,FALSE)</f>
        <v>#N/A</v>
      </c>
      <c r="L65" s="93" t="e">
        <f>VLOOKUP(A1,Data1!$A$1:$DZU$1000000,1101,FALSE)</f>
        <v>#N/A</v>
      </c>
      <c r="M65" s="33" t="e">
        <f>VLOOKUP(A1,Data1!$A$1:$DZU$1000000,1102,FALSE)</f>
        <v>#N/A</v>
      </c>
      <c r="N65" s="34" t="e">
        <f>VLOOKUP(A1,Data1!$A$1:$DZU$1000000,1103,FALSE)</f>
        <v>#N/A</v>
      </c>
      <c r="O65" s="33" t="e">
        <f>VLOOKUP(A1,Data1!$A$1:$DZU$1000000,1104,FALSE)</f>
        <v>#N/A</v>
      </c>
      <c r="P65" s="46" t="e">
        <f>VLOOKUP(A1,Data1!$A$1:$DZU$1000000,1105,FALSE)</f>
        <v>#N/A</v>
      </c>
      <c r="Q65" s="33" t="e">
        <f>VLOOKUP(A1,Data1!$A$1:$DZU$1000000,1106,FALSE)</f>
        <v>#N/A</v>
      </c>
    </row>
    <row r="66" spans="1:17" x14ac:dyDescent="0.35">
      <c r="A66" s="22" t="e">
        <f>VLOOKUP(A1,Data1!$A$1:$DZU$1000000,1107,FALSE)</f>
        <v>#N/A</v>
      </c>
      <c r="B66" s="37" t="e">
        <f>VLOOKUP(A1,Data1!$A$1:$DZU$1000000,1108,FALSE)</f>
        <v>#N/A</v>
      </c>
      <c r="C66" s="38" t="e">
        <f>VLOOKUP(A1,Data1!$A$1:$DZU$1000000,1109,FALSE)</f>
        <v>#N/A</v>
      </c>
      <c r="D66" s="31" t="e">
        <f>VLOOKUP(A1,Data1!$A$1:$DZU$1000000,1110,FALSE)</f>
        <v>#N/A</v>
      </c>
      <c r="E66" s="32" t="e">
        <f>VLOOKUP(A1,Data1!$A$1:$DZU$1000000,1111,FALSE)</f>
        <v>#N/A</v>
      </c>
      <c r="F66" s="34" t="e">
        <f>VLOOKUP(A1,Data1!$A$1:$DZU$1000000,1112,FALSE)</f>
        <v>#N/A</v>
      </c>
      <c r="G66" s="33" t="e">
        <f>VLOOKUP(A1,Data1!$A$1:$DZU$1000000,1113,FALSE)</f>
        <v>#N/A</v>
      </c>
      <c r="H66" s="34" t="e">
        <f>VLOOKUP(A1,Data1!$A$1:$DZU$1000000,1114,FALSE)</f>
        <v>#N/A</v>
      </c>
      <c r="I66" s="33" t="e">
        <f>VLOOKUP(A1,Data1!$A$1:$DZU$1000000,1115,FALSE)</f>
        <v>#N/A</v>
      </c>
      <c r="J66" s="34" t="e">
        <f>VLOOKUP(A1,Data1!$A$1:$DZU$1000000,1116,FALSE)</f>
        <v>#N/A</v>
      </c>
      <c r="K66" s="34" t="e">
        <f>VLOOKUP(A1,Data1!$A$1:$DZU$1000000,1117,FALSE)</f>
        <v>#N/A</v>
      </c>
      <c r="L66" s="93" t="e">
        <f>VLOOKUP(A1,Data1!$A$1:$DZU$1000000,1118,FALSE)</f>
        <v>#N/A</v>
      </c>
      <c r="M66" s="33" t="e">
        <f>VLOOKUP(A1,Data1!$A$1:$DZU$1000000,1119,FALSE)</f>
        <v>#N/A</v>
      </c>
      <c r="N66" s="34" t="e">
        <f>VLOOKUP(A1,Data1!$A$1:$DZU$1000000,1120,FALSE)</f>
        <v>#N/A</v>
      </c>
      <c r="O66" s="33" t="e">
        <f>VLOOKUP(A1,Data1!$A$1:$DZU$1000000,1121,FALSE)</f>
        <v>#N/A</v>
      </c>
      <c r="P66" s="46" t="e">
        <f>VLOOKUP(A1,Data1!$A$1:$DZU$1000000,1122,FALSE)</f>
        <v>#N/A</v>
      </c>
      <c r="Q66" s="33" t="e">
        <f>VLOOKUP(A1,Data1!$A$1:$DZU$1000000,1123,FALSE)</f>
        <v>#N/A</v>
      </c>
    </row>
    <row r="67" spans="1:17" x14ac:dyDescent="0.35">
      <c r="A67" s="22" t="e">
        <f>VLOOKUP(A1,Data1!$A$1:$DZU$1000000,1124,FALSE)</f>
        <v>#N/A</v>
      </c>
      <c r="B67" s="37" t="e">
        <f>VLOOKUP(A1,Data1!$A$1:$DZU$1000000,1125,FALSE)</f>
        <v>#N/A</v>
      </c>
      <c r="C67" s="38" t="e">
        <f>VLOOKUP(A1,Data1!$A$1:$DZU$1000000,1126,FALSE)</f>
        <v>#N/A</v>
      </c>
      <c r="D67" s="31" t="e">
        <f>VLOOKUP(A1,Data1!$A$1:$DZU$1000000,1127,FALSE)</f>
        <v>#N/A</v>
      </c>
      <c r="E67" s="32" t="e">
        <f>VLOOKUP(A1,Data1!$A$1:$DZU$1000000,1128,FALSE)</f>
        <v>#N/A</v>
      </c>
      <c r="F67" s="34" t="e">
        <f>VLOOKUP(A1,Data1!$A$1:$DZU$1000000,1129,FALSE)</f>
        <v>#N/A</v>
      </c>
      <c r="G67" s="33" t="e">
        <f>VLOOKUP(A1,Data1!$A$1:$DZU$1000000,1130,FALSE)</f>
        <v>#N/A</v>
      </c>
      <c r="H67" s="34" t="e">
        <f>VLOOKUP(A1,Data1!$A$1:$DZU$1000000,1131,FALSE)</f>
        <v>#N/A</v>
      </c>
      <c r="I67" s="33" t="e">
        <f>VLOOKUP(A1,Data1!$A$1:$DZU$1000000,1132,FALSE)</f>
        <v>#N/A</v>
      </c>
      <c r="J67" s="34" t="e">
        <f>VLOOKUP(A1,Data1!$A$1:$DZU$1000000,1133,FALSE)</f>
        <v>#N/A</v>
      </c>
      <c r="K67" s="34" t="e">
        <f>VLOOKUP(A1,Data1!$A$1:$DZU$1000000,1134,FALSE)</f>
        <v>#N/A</v>
      </c>
      <c r="L67" s="93" t="e">
        <f>VLOOKUP(A1,Data1!$A$1:$DZU$1000000,1135,FALSE)</f>
        <v>#N/A</v>
      </c>
      <c r="M67" s="33" t="e">
        <f>VLOOKUP(A1,Data1!$A$1:$DZU$1000000,1136,FALSE)</f>
        <v>#N/A</v>
      </c>
      <c r="N67" s="34" t="e">
        <f>VLOOKUP(A1,Data1!$A$1:$DZU$1000000,1137,FALSE)</f>
        <v>#N/A</v>
      </c>
      <c r="O67" s="33" t="e">
        <f>VLOOKUP(A1,Data1!$A$1:$DZU$1000000,1138,FALSE)</f>
        <v>#N/A</v>
      </c>
      <c r="P67" s="46" t="e">
        <f>VLOOKUP(A1,Data1!$A$1:$DZU$1000000,1139,FALSE)</f>
        <v>#N/A</v>
      </c>
      <c r="Q67" s="33" t="e">
        <f>VLOOKUP(A1,Data1!$A$1:$DZU$1000000,1140,FALSE)</f>
        <v>#N/A</v>
      </c>
    </row>
    <row r="68" spans="1:17" x14ac:dyDescent="0.35">
      <c r="A68" s="22" t="e">
        <f>VLOOKUP(A1,Data1!$A$1:$DZU$1000000,1141,FALSE)</f>
        <v>#N/A</v>
      </c>
      <c r="B68" s="37" t="e">
        <f>VLOOKUP(A1,Data1!$A$1:$DZU$1000000,1142,FALSE)</f>
        <v>#N/A</v>
      </c>
      <c r="C68" s="38" t="e">
        <f>VLOOKUP(A1,Data1!$A$1:$DZU$1000000,1143,FALSE)</f>
        <v>#N/A</v>
      </c>
      <c r="D68" s="31" t="e">
        <f>VLOOKUP(A1,Data1!$A$1:$DZU$1000000,1144,FALSE)</f>
        <v>#N/A</v>
      </c>
      <c r="E68" s="32" t="e">
        <f>VLOOKUP(A1,Data1!$A$1:$DZU$1000000,1145,FALSE)</f>
        <v>#N/A</v>
      </c>
      <c r="F68" s="34" t="e">
        <f>VLOOKUP(A1,Data1!$A$1:$DZU$1000000,1146,FALSE)</f>
        <v>#N/A</v>
      </c>
      <c r="G68" s="33" t="e">
        <f>VLOOKUP(A1,Data1!$A$1:$DZU$1000000,1147,FALSE)</f>
        <v>#N/A</v>
      </c>
      <c r="H68" s="34" t="e">
        <f>VLOOKUP(A1,Data1!$A$1:$DZU$1000000,1148,FALSE)</f>
        <v>#N/A</v>
      </c>
      <c r="I68" s="33" t="e">
        <f>VLOOKUP(A1,Data1!$A$1:$DZU$1000000,1149,FALSE)</f>
        <v>#N/A</v>
      </c>
      <c r="J68" s="34" t="e">
        <f>VLOOKUP(A1,Data1!$A$1:$DZU$1000000,1150,FALSE)</f>
        <v>#N/A</v>
      </c>
      <c r="K68" s="34" t="e">
        <f>VLOOKUP(A1,Data1!$A$1:$DZU$1000000,1151,FALSE)</f>
        <v>#N/A</v>
      </c>
      <c r="L68" s="93" t="e">
        <f>VLOOKUP(A1,Data1!$A$1:$DZU$1000000,1152,FALSE)</f>
        <v>#N/A</v>
      </c>
      <c r="M68" s="33" t="e">
        <f>VLOOKUP(A1,Data1!$A$1:$DZU$1000000,1153,FALSE)</f>
        <v>#N/A</v>
      </c>
      <c r="N68" s="34" t="e">
        <f>VLOOKUP(A1,Data1!$A$1:$DZU$1000000,1154,FALSE)</f>
        <v>#N/A</v>
      </c>
      <c r="O68" s="33" t="e">
        <f>VLOOKUP(A1,Data1!$A$1:$DZU$1000000,1155,FALSE)</f>
        <v>#N/A</v>
      </c>
      <c r="P68" s="46" t="e">
        <f>VLOOKUP(A1,Data1!$A$1:$DZU$1000000,1156,FALSE)</f>
        <v>#N/A</v>
      </c>
      <c r="Q68" s="33" t="e">
        <f>VLOOKUP(A1,Data1!$A$1:$DZU$1000000,1157,FALSE)</f>
        <v>#N/A</v>
      </c>
    </row>
    <row r="69" spans="1:17" x14ac:dyDescent="0.35">
      <c r="A69" s="22" t="e">
        <f>VLOOKUP(A1,Data1!$A$1:$DZU$1000000,1158,FALSE)</f>
        <v>#N/A</v>
      </c>
      <c r="B69" s="37" t="e">
        <f>VLOOKUP(A1,Data1!$A$1:$DZU$1000000,1159,FALSE)</f>
        <v>#N/A</v>
      </c>
      <c r="C69" s="38" t="e">
        <f>VLOOKUP(A1,Data1!$A$1:$DZU$1000000,1160,FALSE)</f>
        <v>#N/A</v>
      </c>
      <c r="D69" s="31" t="e">
        <f>VLOOKUP(A1,Data1!$A$1:$DZU$1000000,1161,FALSE)</f>
        <v>#N/A</v>
      </c>
      <c r="E69" s="32" t="e">
        <f>VLOOKUP(A1,Data1!$A$1:$DZU$1000000,1162,FALSE)</f>
        <v>#N/A</v>
      </c>
      <c r="F69" s="34" t="e">
        <f>VLOOKUP(A1,Data1!$A$1:$DZU$1000000,1163,FALSE)</f>
        <v>#N/A</v>
      </c>
      <c r="G69" s="33" t="e">
        <f>VLOOKUP(A1,Data1!$A$1:$DZU$1000000,1164,FALSE)</f>
        <v>#N/A</v>
      </c>
      <c r="H69" s="34" t="e">
        <f>VLOOKUP(A1,Data1!$A$1:$DZU$1000000,1165,FALSE)</f>
        <v>#N/A</v>
      </c>
      <c r="I69" s="33" t="e">
        <f>VLOOKUP(A1,Data1!$A$1:$DZU$1000000,1166,FALSE)</f>
        <v>#N/A</v>
      </c>
      <c r="J69" s="34" t="e">
        <f>VLOOKUP(A1,Data1!$A$1:$DZU$1000000,1167,FALSE)</f>
        <v>#N/A</v>
      </c>
      <c r="K69" s="34" t="e">
        <f>VLOOKUP(A1,Data1!$A$1:$DZU$1000000,1168,FALSE)</f>
        <v>#N/A</v>
      </c>
      <c r="L69" s="93" t="e">
        <f>VLOOKUP(A1,Data1!$A$1:$DZU$1000000,1169,FALSE)</f>
        <v>#N/A</v>
      </c>
      <c r="M69" s="33" t="e">
        <f>VLOOKUP(A1,Data1!$A$1:$DZU$1000000,1170,FALSE)</f>
        <v>#N/A</v>
      </c>
      <c r="N69" s="34" t="e">
        <f>VLOOKUP(A1,Data1!$A$1:$DZU$1000000,1171,FALSE)</f>
        <v>#N/A</v>
      </c>
      <c r="O69" s="33" t="e">
        <f>VLOOKUP(A1,Data1!$A$1:$DZU$1000000,1172,FALSE)</f>
        <v>#N/A</v>
      </c>
      <c r="P69" s="46" t="e">
        <f>VLOOKUP(A1,Data1!$A$1:$DZU$1000000,1173,FALSE)</f>
        <v>#N/A</v>
      </c>
      <c r="Q69" s="33" t="e">
        <f>VLOOKUP(A1,Data1!$A$1:$DZU$1000000,1174,FALSE)</f>
        <v>#N/A</v>
      </c>
    </row>
    <row r="70" spans="1:17" x14ac:dyDescent="0.35">
      <c r="A70" s="22" t="e">
        <f>VLOOKUP(A1,Data1!$A$1:$DZU$1000000,1175,FALSE)</f>
        <v>#N/A</v>
      </c>
      <c r="B70" s="37" t="e">
        <f>VLOOKUP(A1,Data1!$A$1:$DZU$1000000,1176,FALSE)</f>
        <v>#N/A</v>
      </c>
      <c r="C70" s="38" t="e">
        <f>VLOOKUP(A1,Data1!$A$1:$DZU$1000000,1177,FALSE)</f>
        <v>#N/A</v>
      </c>
      <c r="D70" s="31" t="e">
        <f>VLOOKUP(A1,Data1!$A$1:$DZU$1000000,1178,FALSE)</f>
        <v>#N/A</v>
      </c>
      <c r="E70" s="32" t="e">
        <f>VLOOKUP(A1,Data1!$A$1:$DZU$1000000,1179,FALSE)</f>
        <v>#N/A</v>
      </c>
      <c r="F70" s="34" t="e">
        <f>VLOOKUP(A1,Data1!$A$1:$DZU$1000000,1180,FALSE)</f>
        <v>#N/A</v>
      </c>
      <c r="G70" s="33" t="e">
        <f>VLOOKUP(A1,Data1!$A$1:$DZU$1000000,1181,FALSE)</f>
        <v>#N/A</v>
      </c>
      <c r="H70" s="34" t="e">
        <f>VLOOKUP(A1,Data1!$A$1:$DZU$1000000,1182,FALSE)</f>
        <v>#N/A</v>
      </c>
      <c r="I70" s="33" t="e">
        <f>VLOOKUP(A1,Data1!$A$1:$DZU$1000000,1183,FALSE)</f>
        <v>#N/A</v>
      </c>
      <c r="J70" s="34" t="e">
        <f>VLOOKUP(A1,Data1!$A$1:$DZU$1000000,1184,FALSE)</f>
        <v>#N/A</v>
      </c>
      <c r="K70" s="34" t="e">
        <f>VLOOKUP(A1,Data1!$A$1:$DZU$1000000,1185,FALSE)</f>
        <v>#N/A</v>
      </c>
      <c r="L70" s="93" t="e">
        <f>VLOOKUP(A1,Data1!$A$1:$DZU$1000000,1186,FALSE)</f>
        <v>#N/A</v>
      </c>
      <c r="M70" s="33" t="e">
        <f>VLOOKUP(A1,Data1!$A$1:$DZU$1000000,1187,FALSE)</f>
        <v>#N/A</v>
      </c>
      <c r="N70" s="34" t="e">
        <f>VLOOKUP(A1,Data1!$A$1:$DZU$1000000,1188,FALSE)</f>
        <v>#N/A</v>
      </c>
      <c r="O70" s="33" t="e">
        <f>VLOOKUP(A1,Data1!$A$1:$DZU$1000000,1189,FALSE)</f>
        <v>#N/A</v>
      </c>
      <c r="P70" s="46" t="e">
        <f>VLOOKUP(A1,Data1!$A$1:$DZU$1000000,1190,FALSE)</f>
        <v>#N/A</v>
      </c>
      <c r="Q70" s="33" t="e">
        <f>VLOOKUP(A1,Data1!$A$1:$DZU$1000000,1191,FALSE)</f>
        <v>#N/A</v>
      </c>
    </row>
    <row r="71" spans="1:17" x14ac:dyDescent="0.35">
      <c r="A71" s="22" t="e">
        <f>VLOOKUP(A1,Data1!$A$1:$DZU$1000000,1192,FALSE)</f>
        <v>#N/A</v>
      </c>
      <c r="B71" s="37" t="e">
        <f>VLOOKUP(A1,Data1!$A$1:$DZU$1000000,1193,FALSE)</f>
        <v>#N/A</v>
      </c>
      <c r="C71" s="38" t="e">
        <f>VLOOKUP(A1,Data1!$A$1:$DZU$1000000,1194,FALSE)</f>
        <v>#N/A</v>
      </c>
      <c r="D71" s="31" t="e">
        <f>VLOOKUP(A1,Data1!$A$1:$DZU$1000000,1195,FALSE)</f>
        <v>#N/A</v>
      </c>
      <c r="E71" s="32" t="e">
        <f>VLOOKUP(A1,Data1!$A$1:$DZU$1000000,1196,FALSE)</f>
        <v>#N/A</v>
      </c>
      <c r="F71" s="34" t="e">
        <f>VLOOKUP(A1,Data1!$A$1:$DZU$1000000,1197,FALSE)</f>
        <v>#N/A</v>
      </c>
      <c r="G71" s="33" t="e">
        <f>VLOOKUP(A1,Data1!$A$1:$DZU$1000000,1198,FALSE)</f>
        <v>#N/A</v>
      </c>
      <c r="H71" s="34" t="e">
        <f>VLOOKUP(A1,Data1!$A$1:$DZU$1000000,1199,FALSE)</f>
        <v>#N/A</v>
      </c>
      <c r="I71" s="33" t="e">
        <f>VLOOKUP(A1,Data1!$A$1:$DZU$1000000,1200,FALSE)</f>
        <v>#N/A</v>
      </c>
      <c r="J71" s="34" t="e">
        <f>VLOOKUP(A1,Data1!$A$1:$DZU$1000000,1201,FALSE)</f>
        <v>#N/A</v>
      </c>
      <c r="K71" s="34" t="e">
        <f>VLOOKUP(A1,Data1!$A$1:$DZU$1000000,1202,FALSE)</f>
        <v>#N/A</v>
      </c>
      <c r="L71" s="93" t="e">
        <f>VLOOKUP(A1,Data1!$A$1:$DZU$1000000,1203,FALSE)</f>
        <v>#N/A</v>
      </c>
      <c r="M71" s="33" t="e">
        <f>VLOOKUP(A1,Data1!$A$1:$DZU$1000000,1204,FALSE)</f>
        <v>#N/A</v>
      </c>
      <c r="N71" s="34" t="e">
        <f>VLOOKUP(A1,Data1!$A$1:$DZU$1000000,1205,FALSE)</f>
        <v>#N/A</v>
      </c>
      <c r="O71" s="33" t="e">
        <f>VLOOKUP(A1,Data1!$A$1:$DZU$1000000,1206,FALSE)</f>
        <v>#N/A</v>
      </c>
      <c r="P71" s="46" t="e">
        <f>VLOOKUP(A1,Data1!$A$1:$DZU$1000000,1207,FALSE)</f>
        <v>#N/A</v>
      </c>
      <c r="Q71" s="33" t="e">
        <f>VLOOKUP(A1,Data1!$A$1:$DZU$1000000,1208,FALSE)</f>
        <v>#N/A</v>
      </c>
    </row>
    <row r="72" spans="1:17" x14ac:dyDescent="0.35">
      <c r="A72" s="22" t="e">
        <f>VLOOKUP(A1,Data1!$A$1:$DZU$1000000,1209,FALSE)</f>
        <v>#N/A</v>
      </c>
      <c r="B72" s="37" t="e">
        <f>VLOOKUP(A1,Data1!$A$1:$DZU$1000000,1210,FALSE)</f>
        <v>#N/A</v>
      </c>
      <c r="C72" s="38" t="e">
        <f>VLOOKUP(A1,Data1!$A$1:$DZU$1000000,1211,FALSE)</f>
        <v>#N/A</v>
      </c>
      <c r="D72" s="31" t="e">
        <f>VLOOKUP(A1,Data1!$A$1:$DZU$1000000,1212,FALSE)</f>
        <v>#N/A</v>
      </c>
      <c r="E72" s="32" t="e">
        <f>VLOOKUP(A1,Data1!$A$1:$DZU$1000000,1213,FALSE)</f>
        <v>#N/A</v>
      </c>
      <c r="F72" s="34" t="e">
        <f>VLOOKUP(A1,Data1!$A$1:$DZU$1000000,1214,FALSE)</f>
        <v>#N/A</v>
      </c>
      <c r="G72" s="33" t="e">
        <f>VLOOKUP(A1,Data1!$A$1:$DZU$1000000,1215,FALSE)</f>
        <v>#N/A</v>
      </c>
      <c r="H72" s="34" t="e">
        <f>VLOOKUP(A1,Data1!$A$1:$DZU$1000000,1216,FALSE)</f>
        <v>#N/A</v>
      </c>
      <c r="I72" s="33" t="e">
        <f>VLOOKUP(A1,Data1!$A$1:$DZU$1000000,1217,FALSE)</f>
        <v>#N/A</v>
      </c>
      <c r="J72" s="34" t="e">
        <f>VLOOKUP(A1,Data1!$A$1:$DZU$1000000,1218,FALSE)</f>
        <v>#N/A</v>
      </c>
      <c r="K72" s="34" t="e">
        <f>VLOOKUP(A1,Data1!$A$1:$DZU$1000000,1219,FALSE)</f>
        <v>#N/A</v>
      </c>
      <c r="L72" s="93" t="e">
        <f>VLOOKUP(A1,Data1!$A$1:$DZU$1000000,1220,FALSE)</f>
        <v>#N/A</v>
      </c>
      <c r="M72" s="33" t="e">
        <f>VLOOKUP(A1,Data1!$A$1:$DZU$1000000,1221,FALSE)</f>
        <v>#N/A</v>
      </c>
      <c r="N72" s="34" t="e">
        <f>VLOOKUP(A1,Data1!$A$1:$DZU$1000000,1222,FALSE)</f>
        <v>#N/A</v>
      </c>
      <c r="O72" s="33" t="e">
        <f>VLOOKUP(A1,Data1!$A$1:$DZU$1000000,1223,FALSE)</f>
        <v>#N/A</v>
      </c>
      <c r="P72" s="46" t="e">
        <f>VLOOKUP(A1,Data1!$A$1:$DZU$1000000,1224,FALSE)</f>
        <v>#N/A</v>
      </c>
      <c r="Q72" s="33" t="e">
        <f>VLOOKUP(A1,Data1!$A$1:$DZU$1000000,1225,FALSE)</f>
        <v>#N/A</v>
      </c>
    </row>
    <row r="73" spans="1:17" x14ac:dyDescent="0.35">
      <c r="A73" s="22" t="e">
        <f>VLOOKUP(A1,Data1!$A$1:$DZU$1000000,1226,FALSE)</f>
        <v>#N/A</v>
      </c>
      <c r="B73" s="37" t="e">
        <f>VLOOKUP(A1,Data1!$A$1:$DZU$1000000,1227,FALSE)</f>
        <v>#N/A</v>
      </c>
      <c r="C73" s="38" t="e">
        <f>VLOOKUP(A1,Data1!$A$1:$DZU$1000000,1228,FALSE)</f>
        <v>#N/A</v>
      </c>
      <c r="D73" s="31" t="e">
        <f>VLOOKUP(A1,Data1!$A$1:$DZU$1000000,1229,FALSE)</f>
        <v>#N/A</v>
      </c>
      <c r="E73" s="32" t="e">
        <f>VLOOKUP(A1,Data1!$A$1:$DZU$1000000,1230,FALSE)</f>
        <v>#N/A</v>
      </c>
      <c r="F73" s="34" t="e">
        <f>VLOOKUP(A1,Data1!$A$1:$DZU$1000000,1231,FALSE)</f>
        <v>#N/A</v>
      </c>
      <c r="G73" s="33" t="e">
        <f>VLOOKUP(A1,Data1!$A$1:$DZU$1000000,1232,FALSE)</f>
        <v>#N/A</v>
      </c>
      <c r="H73" s="34" t="e">
        <f>VLOOKUP(A1,Data1!$A$1:$DZU$1000000,1233,FALSE)</f>
        <v>#N/A</v>
      </c>
      <c r="I73" s="33" t="e">
        <f>VLOOKUP(A1,Data1!$A$1:$DZU$1000000,1234,FALSE)</f>
        <v>#N/A</v>
      </c>
      <c r="J73" s="34" t="e">
        <f>VLOOKUP(A1,Data1!$A$1:$DZU$1000000,1235,FALSE)</f>
        <v>#N/A</v>
      </c>
      <c r="K73" s="34" t="e">
        <f>VLOOKUP(A1,Data1!$A$1:$DZU$1000000,1236,FALSE)</f>
        <v>#N/A</v>
      </c>
      <c r="L73" s="93" t="e">
        <f>VLOOKUP(A1,Data1!$A$1:$DZU$1000000,1237,FALSE)</f>
        <v>#N/A</v>
      </c>
      <c r="M73" s="33" t="e">
        <f>VLOOKUP(A1,Data1!$A$1:$DZU$1000000,1238,FALSE)</f>
        <v>#N/A</v>
      </c>
      <c r="N73" s="34" t="e">
        <f>VLOOKUP(A1,Data1!$A$1:$DZU$1000000,1239,FALSE)</f>
        <v>#N/A</v>
      </c>
      <c r="O73" s="33" t="e">
        <f>VLOOKUP(A1,Data1!$A$1:$DZU$1000000,1240,FALSE)</f>
        <v>#N/A</v>
      </c>
      <c r="P73" s="46" t="e">
        <f>VLOOKUP(A1,Data1!$A$1:$DZU$1000000,1241,FALSE)</f>
        <v>#N/A</v>
      </c>
      <c r="Q73" s="33" t="e">
        <f>VLOOKUP(A1,Data1!$A$1:$DZU$1000000,1242,FALSE)</f>
        <v>#N/A</v>
      </c>
    </row>
    <row r="74" spans="1:17" x14ac:dyDescent="0.35">
      <c r="A74" s="22" t="e">
        <f>VLOOKUP(A1,Data1!$A$1:$DZU$1000000,1243,FALSE)</f>
        <v>#N/A</v>
      </c>
      <c r="B74" s="37" t="e">
        <f>VLOOKUP(A1,Data1!$A$1:$DZU$1000000,1244,FALSE)</f>
        <v>#N/A</v>
      </c>
      <c r="C74" s="38" t="e">
        <f>VLOOKUP(A1,Data1!$A$1:$DZU$1000000,1245,FALSE)</f>
        <v>#N/A</v>
      </c>
      <c r="D74" s="31" t="e">
        <f>VLOOKUP(A1,Data1!$A$1:$DZU$1000000,1246,FALSE)</f>
        <v>#N/A</v>
      </c>
      <c r="E74" s="32" t="e">
        <f>VLOOKUP(A1,Data1!$A$1:$DZU$1000000,1247,FALSE)</f>
        <v>#N/A</v>
      </c>
      <c r="F74" s="34" t="e">
        <f>VLOOKUP(A1,Data1!$A$1:$DZU$1000000,1248,FALSE)</f>
        <v>#N/A</v>
      </c>
      <c r="G74" s="33" t="e">
        <f>VLOOKUP(A1,Data1!$A$1:$DZU$1000000,1249,FALSE)</f>
        <v>#N/A</v>
      </c>
      <c r="H74" s="34" t="e">
        <f>VLOOKUP(A1,Data1!$A$1:$DZU$1000000,1250,FALSE)</f>
        <v>#N/A</v>
      </c>
      <c r="I74" s="33" t="e">
        <f>VLOOKUP(A1,Data1!$A$1:$DZU$1000000,1251,FALSE)</f>
        <v>#N/A</v>
      </c>
      <c r="J74" s="34" t="e">
        <f>VLOOKUP(A1,Data1!$A$1:$DZU$1000000,1252,FALSE)</f>
        <v>#N/A</v>
      </c>
      <c r="K74" s="34" t="e">
        <f>VLOOKUP(A1,Data1!$A$1:$DZU$1000000,1253,FALSE)</f>
        <v>#N/A</v>
      </c>
      <c r="L74" s="93" t="e">
        <f>VLOOKUP(A1,Data1!$A$1:$DZU$1000000,1254,FALSE)</f>
        <v>#N/A</v>
      </c>
      <c r="M74" s="33" t="e">
        <f>VLOOKUP(A1,Data1!$A$1:$DZU$1000000,1255,FALSE)</f>
        <v>#N/A</v>
      </c>
      <c r="N74" s="34" t="e">
        <f>VLOOKUP(A1,Data1!$A$1:$DZU$1000000,1256,FALSE)</f>
        <v>#N/A</v>
      </c>
      <c r="O74" s="33" t="e">
        <f>VLOOKUP(A1,Data1!$A$1:$DZU$1000000,1257,FALSE)</f>
        <v>#N/A</v>
      </c>
      <c r="P74" s="46" t="e">
        <f>VLOOKUP(A1,Data1!$A$1:$DZU$1000000,1258,FALSE)</f>
        <v>#N/A</v>
      </c>
      <c r="Q74" s="33" t="e">
        <f>VLOOKUP(A1,Data1!$A$1:$DZU$1000000,1259,FALSE)</f>
        <v>#N/A</v>
      </c>
    </row>
    <row r="75" spans="1:17" x14ac:dyDescent="0.35">
      <c r="A75" s="22" t="e">
        <f>VLOOKUP(A1,Data1!$A$1:$DZU$1000000,1260,FALSE)</f>
        <v>#N/A</v>
      </c>
      <c r="B75" s="37" t="e">
        <f>VLOOKUP(A1,Data1!$A$1:$DZU$1000000,1261,FALSE)</f>
        <v>#N/A</v>
      </c>
      <c r="C75" s="38" t="e">
        <f>VLOOKUP(A1,Data1!$A$1:$DZU$1000000,1262,FALSE)</f>
        <v>#N/A</v>
      </c>
      <c r="D75" s="31" t="e">
        <f>VLOOKUP(A1,Data1!$A$1:$DZU$1000000,1263,FALSE)</f>
        <v>#N/A</v>
      </c>
      <c r="E75" s="32" t="e">
        <f>VLOOKUP(A1,Data1!$A$1:$DZU$1000000,1264,FALSE)</f>
        <v>#N/A</v>
      </c>
      <c r="F75" s="34" t="e">
        <f>VLOOKUP(A1,Data1!$A$1:$DZU$1000000,1265,FALSE)</f>
        <v>#N/A</v>
      </c>
      <c r="G75" s="33" t="e">
        <f>VLOOKUP(A1,Data1!$A$1:$DZU$1000000,1266,FALSE)</f>
        <v>#N/A</v>
      </c>
      <c r="H75" s="34" t="e">
        <f>VLOOKUP(A1,Data1!$A$1:$DZU$1000000,1267,FALSE)</f>
        <v>#N/A</v>
      </c>
      <c r="I75" s="33" t="e">
        <f>VLOOKUP(A1,Data1!$A$1:$DZU$1000000,1268,FALSE)</f>
        <v>#N/A</v>
      </c>
      <c r="J75" s="34" t="e">
        <f>VLOOKUP(A1,Data1!$A$1:$DZU$1000000,1269,FALSE)</f>
        <v>#N/A</v>
      </c>
      <c r="K75" s="34" t="e">
        <f>VLOOKUP(A1,Data1!$A$1:$DZU$1000000,1270,FALSE)</f>
        <v>#N/A</v>
      </c>
      <c r="L75" s="93" t="e">
        <f>VLOOKUP(A1,Data1!$A$1:$DZU$1000000,1271,FALSE)</f>
        <v>#N/A</v>
      </c>
      <c r="M75" s="33" t="e">
        <f>VLOOKUP(A1,Data1!$A$1:$DZU$1000000,1272,FALSE)</f>
        <v>#N/A</v>
      </c>
      <c r="N75" s="34" t="e">
        <f>VLOOKUP(A1,Data1!$A$1:$DZU$1000000,1273,FALSE)</f>
        <v>#N/A</v>
      </c>
      <c r="O75" s="33" t="e">
        <f>VLOOKUP(A1,Data1!$A$1:$DZU$1000000,1274,FALSE)</f>
        <v>#N/A</v>
      </c>
      <c r="P75" s="46" t="e">
        <f>VLOOKUP(A1,Data1!$A$1:$DZU$1000000,1275,FALSE)</f>
        <v>#N/A</v>
      </c>
      <c r="Q75" s="33" t="e">
        <f>VLOOKUP(A1,Data1!$A$1:$DZU$1000000,1276,FALSE)</f>
        <v>#N/A</v>
      </c>
    </row>
    <row r="76" spans="1:17" x14ac:dyDescent="0.35">
      <c r="A76" s="22" t="e">
        <f>VLOOKUP(A1,Data1!$A$1:$DZU$1000000,1277,FALSE)</f>
        <v>#N/A</v>
      </c>
      <c r="B76" s="37" t="e">
        <f>VLOOKUP(A1,Data1!$A$1:$DZU$1000000,1278,FALSE)</f>
        <v>#N/A</v>
      </c>
      <c r="C76" s="38" t="e">
        <f>VLOOKUP(A1,Data1!$A$1:$DZU$1000000,1279,FALSE)</f>
        <v>#N/A</v>
      </c>
      <c r="D76" s="31" t="e">
        <f>VLOOKUP(A1,Data1!$A$1:$DZU$1000000,1280,FALSE)</f>
        <v>#N/A</v>
      </c>
      <c r="E76" s="32" t="e">
        <f>VLOOKUP(A1,Data1!$A$1:$DZU$1000000,1281,FALSE)</f>
        <v>#N/A</v>
      </c>
      <c r="F76" s="34" t="e">
        <f>VLOOKUP(A1,Data1!$A$1:$DZU$1000000,1282,FALSE)</f>
        <v>#N/A</v>
      </c>
      <c r="G76" s="33" t="e">
        <f>VLOOKUP(A1,Data1!$A$1:$DZU$1000000,1283,FALSE)</f>
        <v>#N/A</v>
      </c>
      <c r="H76" s="34" t="e">
        <f>VLOOKUP(A1,Data1!$A$1:$DZU$1000000,1284,FALSE)</f>
        <v>#N/A</v>
      </c>
      <c r="I76" s="33" t="e">
        <f>VLOOKUP(A1,Data1!$A$1:$DZU$1000000,1285,FALSE)</f>
        <v>#N/A</v>
      </c>
      <c r="J76" s="34" t="e">
        <f>VLOOKUP(A1,Data1!$A$1:$DZU$1000000,1286,FALSE)</f>
        <v>#N/A</v>
      </c>
      <c r="K76" s="34" t="e">
        <f>VLOOKUP(A1,Data1!$A$1:$DZU$1000000,1287,FALSE)</f>
        <v>#N/A</v>
      </c>
      <c r="L76" s="93" t="e">
        <f>VLOOKUP(A1,Data1!$A$1:$DZU$1000000,1288,FALSE)</f>
        <v>#N/A</v>
      </c>
      <c r="M76" s="33" t="e">
        <f>VLOOKUP(A1,Data1!$A$1:$DZU$1000000,1289,FALSE)</f>
        <v>#N/A</v>
      </c>
      <c r="N76" s="34" t="e">
        <f>VLOOKUP(A1,Data1!$A$1:$DZU$1000000,1290,FALSE)</f>
        <v>#N/A</v>
      </c>
      <c r="O76" s="33" t="e">
        <f>VLOOKUP(A1,Data1!$A$1:$DZU$1000000,1291,FALSE)</f>
        <v>#N/A</v>
      </c>
      <c r="P76" s="46" t="e">
        <f>VLOOKUP(A1,Data1!$A$1:$DZU$1000000,1292,FALSE)</f>
        <v>#N/A</v>
      </c>
      <c r="Q76" s="33" t="e">
        <f>VLOOKUP(A1,Data1!$A$1:$DZU$1000000,1293,FALSE)</f>
        <v>#N/A</v>
      </c>
    </row>
    <row r="77" spans="1:17" x14ac:dyDescent="0.35">
      <c r="A77" s="22" t="e">
        <f>VLOOKUP(A1,Data1!$A$1:$DZU$1000000,1294,FALSE)</f>
        <v>#N/A</v>
      </c>
      <c r="B77" s="37" t="e">
        <f>VLOOKUP(A1,Data1!$A$1:$DZU$1000000,1295,FALSE)</f>
        <v>#N/A</v>
      </c>
      <c r="C77" s="38" t="e">
        <f>VLOOKUP(A1,Data1!$A$1:$DZU$1000000,1296,FALSE)</f>
        <v>#N/A</v>
      </c>
      <c r="D77" s="31" t="e">
        <f>VLOOKUP(A1,Data1!$A$1:$DZU$1000000,1297,FALSE)</f>
        <v>#N/A</v>
      </c>
      <c r="E77" s="32" t="e">
        <f>VLOOKUP(A1,Data1!$A$1:$DZU$1000000,1298,FALSE)</f>
        <v>#N/A</v>
      </c>
      <c r="F77" s="34" t="e">
        <f>VLOOKUP(A1,Data1!$A$1:$DZU$1000000,1299,FALSE)</f>
        <v>#N/A</v>
      </c>
      <c r="G77" s="33" t="e">
        <f>VLOOKUP(A1,Data1!$A$1:$DZU$1000000,1300,FALSE)</f>
        <v>#N/A</v>
      </c>
      <c r="H77" s="34" t="e">
        <f>VLOOKUP(A1,Data1!$A$1:$DZU$1000000,1301,FALSE)</f>
        <v>#N/A</v>
      </c>
      <c r="I77" s="33" t="e">
        <f>VLOOKUP(A1,Data1!$A$1:$DZU$1000000,1302,FALSE)</f>
        <v>#N/A</v>
      </c>
      <c r="J77" s="34" t="e">
        <f>VLOOKUP(A1,Data1!$A$1:$DZU$1000000,1303,FALSE)</f>
        <v>#N/A</v>
      </c>
      <c r="K77" s="34" t="e">
        <f>VLOOKUP(A1,Data1!$A$1:$DZU$1000000,1304,FALSE)</f>
        <v>#N/A</v>
      </c>
      <c r="L77" s="93" t="e">
        <f>VLOOKUP(A1,Data1!$A$1:$DZU$1000000,1305,FALSE)</f>
        <v>#N/A</v>
      </c>
      <c r="M77" s="33" t="e">
        <f>VLOOKUP(A1,Data1!$A$1:$DZU$1000000,1306,FALSE)</f>
        <v>#N/A</v>
      </c>
      <c r="N77" s="34" t="e">
        <f>VLOOKUP(A1,Data1!$A$1:$DZU$1000000,1307,FALSE)</f>
        <v>#N/A</v>
      </c>
      <c r="O77" s="33" t="e">
        <f>VLOOKUP(A1,Data1!$A$1:$DZU$1000000,1308,FALSE)</f>
        <v>#N/A</v>
      </c>
      <c r="P77" s="46" t="e">
        <f>VLOOKUP(A1,Data1!$A$1:$DZU$1000000,1309,FALSE)</f>
        <v>#N/A</v>
      </c>
      <c r="Q77" s="33" t="e">
        <f>VLOOKUP(A1,Data1!$A$1:$DZU$1000000,1310,FALSE)</f>
        <v>#N/A</v>
      </c>
    </row>
    <row r="78" spans="1:17" x14ac:dyDescent="0.35">
      <c r="A78" s="22" t="e">
        <f>VLOOKUP(A1,Data1!$A$1:$DZU$1000000,1311,FALSE)</f>
        <v>#N/A</v>
      </c>
      <c r="B78" s="37" t="e">
        <f>VLOOKUP(A1,Data1!$A$1:$DZU$1000000,1312,FALSE)</f>
        <v>#N/A</v>
      </c>
      <c r="C78" s="38" t="e">
        <f>VLOOKUP(A1,Data1!$A$1:$DZU$1000000,1313,FALSE)</f>
        <v>#N/A</v>
      </c>
      <c r="D78" s="31" t="e">
        <f>VLOOKUP(A1,Data1!$A$1:$DZU$1000000,1314,FALSE)</f>
        <v>#N/A</v>
      </c>
      <c r="E78" s="32" t="e">
        <f>VLOOKUP(A1,Data1!$A$1:$DZU$1000000,1315,FALSE)</f>
        <v>#N/A</v>
      </c>
      <c r="F78" s="34" t="e">
        <f>VLOOKUP(A1,Data1!$A$1:$DZU$1000000,1316,FALSE)</f>
        <v>#N/A</v>
      </c>
      <c r="G78" s="33" t="e">
        <f>VLOOKUP(A1,Data1!$A$1:$DZU$1000000,1317,FALSE)</f>
        <v>#N/A</v>
      </c>
      <c r="H78" s="34" t="e">
        <f>VLOOKUP(A1,Data1!$A$1:$DZU$1000000,1318,FALSE)</f>
        <v>#N/A</v>
      </c>
      <c r="I78" s="33" t="e">
        <f>VLOOKUP(A1,Data1!$A$1:$DZU$1000000,1319,FALSE)</f>
        <v>#N/A</v>
      </c>
      <c r="J78" s="34" t="e">
        <f>VLOOKUP(A1,Data1!$A$1:$DZU$1000000,1320,FALSE)</f>
        <v>#N/A</v>
      </c>
      <c r="K78" s="34" t="e">
        <f>VLOOKUP(A1,Data1!$A$1:$DZU$1000000,1321,FALSE)</f>
        <v>#N/A</v>
      </c>
      <c r="L78" s="93" t="e">
        <f>VLOOKUP(A1,Data1!$A$1:$DZU$1000000,1322,FALSE)</f>
        <v>#N/A</v>
      </c>
      <c r="M78" s="33" t="e">
        <f>VLOOKUP(A1,Data1!$A$1:$DZU$1000000,1323,FALSE)</f>
        <v>#N/A</v>
      </c>
      <c r="N78" s="34" t="e">
        <f>VLOOKUP(A1,Data1!$A$1:$DZU$1000000,1324,FALSE)</f>
        <v>#N/A</v>
      </c>
      <c r="O78" s="33" t="e">
        <f>VLOOKUP(A1,Data1!$A$1:$DZU$1000000,1325,FALSE)</f>
        <v>#N/A</v>
      </c>
      <c r="P78" s="46" t="e">
        <f>VLOOKUP(A1,Data1!$A$1:$DZU$1000000,1326,FALSE)</f>
        <v>#N/A</v>
      </c>
      <c r="Q78" s="33" t="e">
        <f>VLOOKUP(A1,Data1!$A$1:$DZU$1000000,1327,FALSE)</f>
        <v>#N/A</v>
      </c>
    </row>
    <row r="79" spans="1:17" x14ac:dyDescent="0.35">
      <c r="A79" s="22" t="e">
        <f>VLOOKUP(A1,Data1!$A$1:$DZU$1000000,1328,FALSE)</f>
        <v>#N/A</v>
      </c>
      <c r="B79" s="37" t="e">
        <f>VLOOKUP(A1,Data1!$A$1:$DZU$1000000,1329,FALSE)</f>
        <v>#N/A</v>
      </c>
      <c r="C79" s="38" t="e">
        <f>VLOOKUP(A1,Data1!$A$1:$DZU$1000000,1330,FALSE)</f>
        <v>#N/A</v>
      </c>
      <c r="D79" s="31" t="e">
        <f>VLOOKUP(A1,Data1!$A$1:$DZU$1000000,1331,FALSE)</f>
        <v>#N/A</v>
      </c>
      <c r="E79" s="32" t="e">
        <f>VLOOKUP(A1,Data1!$A$1:$DZU$1000000,1332,FALSE)</f>
        <v>#N/A</v>
      </c>
      <c r="F79" s="34" t="e">
        <f>VLOOKUP(A1,Data1!$A$1:$DZU$1000000,1333,FALSE)</f>
        <v>#N/A</v>
      </c>
      <c r="G79" s="33" t="e">
        <f>VLOOKUP(A1,Data1!$A$1:$DZU$1000000,1334,FALSE)</f>
        <v>#N/A</v>
      </c>
      <c r="H79" s="34" t="e">
        <f>VLOOKUP(A1,Data1!$A$1:$DZU$1000000,1335,FALSE)</f>
        <v>#N/A</v>
      </c>
      <c r="I79" s="33" t="e">
        <f>VLOOKUP(A1,Data1!$A$1:$DZU$1000000,1336,FALSE)</f>
        <v>#N/A</v>
      </c>
      <c r="J79" s="34" t="e">
        <f>VLOOKUP(A1,Data1!$A$1:$DZU$1000000,1337,FALSE)</f>
        <v>#N/A</v>
      </c>
      <c r="K79" s="34" t="e">
        <f>VLOOKUP(A1,Data1!$A$1:$DZU$1000000,1338,FALSE)</f>
        <v>#N/A</v>
      </c>
      <c r="L79" s="93" t="e">
        <f>VLOOKUP(A1,Data1!$A$1:$DZU$1000000,1339,FALSE)</f>
        <v>#N/A</v>
      </c>
      <c r="M79" s="33" t="e">
        <f>VLOOKUP(A1,Data1!$A$1:$DZU$1000000,1340,FALSE)</f>
        <v>#N/A</v>
      </c>
      <c r="N79" s="34" t="e">
        <f>VLOOKUP(A1,Data1!$A$1:$DZU$1000000,1341,FALSE)</f>
        <v>#N/A</v>
      </c>
      <c r="O79" s="33" t="e">
        <f>VLOOKUP(A1,Data1!$A$1:$DZU$1000000,1342,FALSE)</f>
        <v>#N/A</v>
      </c>
      <c r="P79" s="46" t="e">
        <f>VLOOKUP(A1,Data1!$A$1:$DZU$1000000,1343,FALSE)</f>
        <v>#N/A</v>
      </c>
      <c r="Q79" s="33" t="e">
        <f>VLOOKUP(A1,Data1!$A$1:$DZU$1000000,1344,FALSE)</f>
        <v>#N/A</v>
      </c>
    </row>
    <row r="80" spans="1:17" x14ac:dyDescent="0.35">
      <c r="A80" s="22" t="e">
        <f>VLOOKUP(A1,Data1!$A$1:$DZU$1000000,1345,FALSE)</f>
        <v>#N/A</v>
      </c>
      <c r="B80" s="37" t="e">
        <f>VLOOKUP(A1,Data1!$A$1:$DZU$1000000,1346,FALSE)</f>
        <v>#N/A</v>
      </c>
      <c r="C80" s="38" t="e">
        <f>VLOOKUP(A1,Data1!$A$1:$DZU$1000000,1347,FALSE)</f>
        <v>#N/A</v>
      </c>
      <c r="D80" s="31" t="e">
        <f>VLOOKUP(A1,Data1!$A$1:$DZU$1000000,1348,FALSE)</f>
        <v>#N/A</v>
      </c>
      <c r="E80" s="32" t="e">
        <f>VLOOKUP(A1,Data1!$A$1:$DZU$1000000,1349,FALSE)</f>
        <v>#N/A</v>
      </c>
      <c r="F80" s="34" t="e">
        <f>VLOOKUP(A1,Data1!$A$1:$DZU$1000000,1350,FALSE)</f>
        <v>#N/A</v>
      </c>
      <c r="G80" s="33" t="e">
        <f>VLOOKUP(A1,Data1!$A$1:$DZU$1000000,1351,FALSE)</f>
        <v>#N/A</v>
      </c>
      <c r="H80" s="34" t="e">
        <f>VLOOKUP(A1,Data1!$A$1:$DZU$1000000,1352,FALSE)</f>
        <v>#N/A</v>
      </c>
      <c r="I80" s="33" t="e">
        <f>VLOOKUP(A1,Data1!$A$1:$DZU$1000000,1353,FALSE)</f>
        <v>#N/A</v>
      </c>
      <c r="J80" s="34" t="e">
        <f>VLOOKUP(A1,Data1!$A$1:$DZU$1000000,1354,FALSE)</f>
        <v>#N/A</v>
      </c>
      <c r="K80" s="34" t="e">
        <f>VLOOKUP(A1,Data1!$A$1:$DZU$1000000,1355,FALSE)</f>
        <v>#N/A</v>
      </c>
      <c r="L80" s="93" t="e">
        <f>VLOOKUP(A1,Data1!$A$1:$DZU$1000000,1356,FALSE)</f>
        <v>#N/A</v>
      </c>
      <c r="M80" s="33" t="e">
        <f>VLOOKUP(A1,Data1!$A$1:$DZU$1000000,1357,FALSE)</f>
        <v>#N/A</v>
      </c>
      <c r="N80" s="34" t="e">
        <f>VLOOKUP(A1,Data1!$A$1:$DZU$1000000,1358,FALSE)</f>
        <v>#N/A</v>
      </c>
      <c r="O80" s="33" t="e">
        <f>VLOOKUP(A1,Data1!$A$1:$DZU$1000000,1359,FALSE)</f>
        <v>#N/A</v>
      </c>
      <c r="P80" s="46" t="e">
        <f>VLOOKUP(A1,Data1!$A$1:$DZU$1000000,1360,FALSE)</f>
        <v>#N/A</v>
      </c>
      <c r="Q80" s="33" t="e">
        <f>VLOOKUP(A1,Data1!$A$1:$DZU$1000000,1361,FALSE)</f>
        <v>#N/A</v>
      </c>
    </row>
    <row r="81" spans="1:17" x14ac:dyDescent="0.35">
      <c r="A81" s="22" t="e">
        <f>VLOOKUP(A1,Data1!$A$1:$DZU$1000000,1362,FALSE)</f>
        <v>#N/A</v>
      </c>
      <c r="B81" s="37" t="e">
        <f>VLOOKUP(A1,Data1!$A$1:$DZU$1000000,1363,FALSE)</f>
        <v>#N/A</v>
      </c>
      <c r="C81" s="38" t="e">
        <f>VLOOKUP(A1,Data1!$A$1:$DZU$1000000,1364,FALSE)</f>
        <v>#N/A</v>
      </c>
      <c r="D81" s="31" t="e">
        <f>VLOOKUP(A1,Data1!$A$1:$DZU$1000000,1365,FALSE)</f>
        <v>#N/A</v>
      </c>
      <c r="E81" s="32" t="e">
        <f>VLOOKUP(A1,Data1!$A$1:$DZU$1000000,1366,FALSE)</f>
        <v>#N/A</v>
      </c>
      <c r="F81" s="34" t="e">
        <f>VLOOKUP(A1,Data1!$A$1:$DZU$1000000,1367,FALSE)</f>
        <v>#N/A</v>
      </c>
      <c r="G81" s="33" t="e">
        <f>VLOOKUP(A1,Data1!$A$1:$DZU$1000000,1368,FALSE)</f>
        <v>#N/A</v>
      </c>
      <c r="H81" s="34" t="e">
        <f>VLOOKUP(A1,Data1!$A$1:$DZU$1000000,1369,FALSE)</f>
        <v>#N/A</v>
      </c>
      <c r="I81" s="33" t="e">
        <f>VLOOKUP(A1,Data1!$A$1:$DZU$1000000,1370,FALSE)</f>
        <v>#N/A</v>
      </c>
      <c r="J81" s="34" t="e">
        <f>VLOOKUP(A1,Data1!$A$1:$DZU$1000000,1371,FALSE)</f>
        <v>#N/A</v>
      </c>
      <c r="K81" s="34" t="e">
        <f>VLOOKUP(A1,Data1!$A$1:$DZU$1000000,1372,FALSE)</f>
        <v>#N/A</v>
      </c>
      <c r="L81" s="93" t="e">
        <f>VLOOKUP(A1,Data1!$A$1:$DZU$1000000,1373,FALSE)</f>
        <v>#N/A</v>
      </c>
      <c r="M81" s="33" t="e">
        <f>VLOOKUP(A1,Data1!$A$1:$DZU$1000000,1374,FALSE)</f>
        <v>#N/A</v>
      </c>
      <c r="N81" s="34" t="e">
        <f>VLOOKUP(A1,Data1!$A$1:$DZU$1000000,1375,FALSE)</f>
        <v>#N/A</v>
      </c>
      <c r="O81" s="33" t="e">
        <f>VLOOKUP(A1,Data1!$A$1:$DZU$1000000,1376,FALSE)</f>
        <v>#N/A</v>
      </c>
      <c r="P81" s="46" t="e">
        <f>VLOOKUP(A1,Data1!$A$1:$DZU$1000000,1377,FALSE)</f>
        <v>#N/A</v>
      </c>
      <c r="Q81" s="33" t="e">
        <f>VLOOKUP(A1,Data1!$A$1:$DZU$1000000,1378,FALSE)</f>
        <v>#N/A</v>
      </c>
    </row>
    <row r="82" spans="1:17" x14ac:dyDescent="0.35">
      <c r="A82" s="22" t="e">
        <f>VLOOKUP(A1,Data1!$A$1:$DZU$1000000,1379,FALSE)</f>
        <v>#N/A</v>
      </c>
      <c r="B82" s="37" t="e">
        <f>VLOOKUP(A1,Data1!$A$1:$DZU$1000000,1380,FALSE)</f>
        <v>#N/A</v>
      </c>
      <c r="C82" s="38" t="e">
        <f>VLOOKUP(A1,Data1!$A$1:$DZU$1000000,1381,FALSE)</f>
        <v>#N/A</v>
      </c>
      <c r="D82" s="31" t="e">
        <f>VLOOKUP(A1,Data1!$A$1:$DZU$1000000,1382,FALSE)</f>
        <v>#N/A</v>
      </c>
      <c r="E82" s="32" t="e">
        <f>VLOOKUP(A1,Data1!$A$1:$DZU$1000000,1383,FALSE)</f>
        <v>#N/A</v>
      </c>
      <c r="F82" s="34" t="e">
        <f>VLOOKUP(A1,Data1!$A$1:$DZU$1000000,1384,FALSE)</f>
        <v>#N/A</v>
      </c>
      <c r="G82" s="33" t="e">
        <f>VLOOKUP(A1,Data1!$A$1:$DZU$1000000,1385,FALSE)</f>
        <v>#N/A</v>
      </c>
      <c r="H82" s="34" t="e">
        <f>VLOOKUP(A1,Data1!$A$1:$DZU$1000000,1386,FALSE)</f>
        <v>#N/A</v>
      </c>
      <c r="I82" s="33" t="e">
        <f>VLOOKUP(A1,Data1!$A$1:$DZU$1000000,1387,FALSE)</f>
        <v>#N/A</v>
      </c>
      <c r="J82" s="34" t="e">
        <f>VLOOKUP(A1,Data1!$A$1:$DZU$1000000,1388,FALSE)</f>
        <v>#N/A</v>
      </c>
      <c r="K82" s="34" t="e">
        <f>VLOOKUP(A1,Data1!$A$1:$DZU$1000000,1389,FALSE)</f>
        <v>#N/A</v>
      </c>
      <c r="L82" s="93" t="e">
        <f>VLOOKUP(A1,Data1!$A$1:$DZU$1000000,1390,FALSE)</f>
        <v>#N/A</v>
      </c>
      <c r="M82" s="33" t="e">
        <f>VLOOKUP(A1,Data1!$A$1:$DZU$1000000,1391,FALSE)</f>
        <v>#N/A</v>
      </c>
      <c r="N82" s="34" t="e">
        <f>VLOOKUP(A1,Data1!$A$1:$DZU$1000000,1392,FALSE)</f>
        <v>#N/A</v>
      </c>
      <c r="O82" s="33" t="e">
        <f>VLOOKUP(A1,Data1!$A$1:$DZU$1000000,1393,FALSE)</f>
        <v>#N/A</v>
      </c>
      <c r="P82" s="46" t="e">
        <f>VLOOKUP(A1,Data1!$A$1:$DZU$1000000,1394,FALSE)</f>
        <v>#N/A</v>
      </c>
      <c r="Q82" s="33" t="e">
        <f>VLOOKUP(A1,Data1!$A$1:$DZU$1000000,1395,FALSE)</f>
        <v>#N/A</v>
      </c>
    </row>
    <row r="83" spans="1:17" x14ac:dyDescent="0.35">
      <c r="A83" s="22" t="e">
        <f>VLOOKUP(A1,Data1!$A$1:$DZU$1000000,1396,FALSE)</f>
        <v>#N/A</v>
      </c>
      <c r="B83" s="37" t="e">
        <f>VLOOKUP(A1,Data1!$A$1:$DZU$1000000,1397,FALSE)</f>
        <v>#N/A</v>
      </c>
      <c r="C83" s="38" t="e">
        <f>VLOOKUP(A1,Data1!$A$1:$DZU$1000000,1398,FALSE)</f>
        <v>#N/A</v>
      </c>
      <c r="D83" s="31" t="e">
        <f>VLOOKUP(A1,Data1!$A$1:$DZU$1000000,1399,FALSE)</f>
        <v>#N/A</v>
      </c>
      <c r="E83" s="32" t="e">
        <f>VLOOKUP(A1,Data1!$A$1:$DZU$1000000,1400,FALSE)</f>
        <v>#N/A</v>
      </c>
      <c r="F83" s="34" t="e">
        <f>VLOOKUP(A1,Data1!$A$1:$DZU$1000000,1401,FALSE)</f>
        <v>#N/A</v>
      </c>
      <c r="G83" s="33" t="e">
        <f>VLOOKUP(A1,Data1!$A$1:$DZU$1000000,1402,FALSE)</f>
        <v>#N/A</v>
      </c>
      <c r="H83" s="34" t="e">
        <f>VLOOKUP(A1,Data1!$A$1:$DZU$1000000,1403,FALSE)</f>
        <v>#N/A</v>
      </c>
      <c r="I83" s="33" t="e">
        <f>VLOOKUP(A1,Data1!$A$1:$DZU$1000000,1404,FALSE)</f>
        <v>#N/A</v>
      </c>
      <c r="J83" s="34" t="e">
        <f>VLOOKUP(A1,Data1!$A$1:$DZU$1000000,1405,FALSE)</f>
        <v>#N/A</v>
      </c>
      <c r="K83" s="34" t="e">
        <f>VLOOKUP(A1,Data1!$A$1:$DZU$1000000,1406,FALSE)</f>
        <v>#N/A</v>
      </c>
      <c r="L83" s="93" t="e">
        <f>VLOOKUP(A1,Data1!$A$1:$DZU$1000000,1407,FALSE)</f>
        <v>#N/A</v>
      </c>
      <c r="M83" s="33" t="e">
        <f>VLOOKUP(A1,Data1!$A$1:$DZU$1000000,1408,FALSE)</f>
        <v>#N/A</v>
      </c>
      <c r="N83" s="34" t="e">
        <f>VLOOKUP(A1,Data1!$A$1:$DZU$1000000,1409,FALSE)</f>
        <v>#N/A</v>
      </c>
      <c r="O83" s="33" t="e">
        <f>VLOOKUP(A1,Data1!$A$1:$DZU$1000000,1410,FALSE)</f>
        <v>#N/A</v>
      </c>
      <c r="P83" s="46" t="e">
        <f>VLOOKUP(A1,Data1!$A$1:$DZU$1000000,1411,FALSE)</f>
        <v>#N/A</v>
      </c>
      <c r="Q83" s="33" t="e">
        <f>VLOOKUP(A1,Data1!$A$1:$DZU$1000000,1412,FALSE)</f>
        <v>#N/A</v>
      </c>
    </row>
    <row r="84" spans="1:17" x14ac:dyDescent="0.35">
      <c r="A84" s="22" t="e">
        <f>VLOOKUP(A1,Data1!$A$1:$DZU$1000000,1413,FALSE)</f>
        <v>#N/A</v>
      </c>
      <c r="B84" s="37" t="e">
        <f>VLOOKUP(A1,Data1!$A$1:$DZU$1000000,1414,FALSE)</f>
        <v>#N/A</v>
      </c>
      <c r="C84" s="38" t="e">
        <f>VLOOKUP(A1,Data1!$A$1:$DZU$1000000,1415,FALSE)</f>
        <v>#N/A</v>
      </c>
      <c r="D84" s="31" t="e">
        <f>VLOOKUP(A1,Data1!$A$1:$DZU$1000000,1416,FALSE)</f>
        <v>#N/A</v>
      </c>
      <c r="E84" s="32" t="e">
        <f>VLOOKUP(A1,Data1!$A$1:$DZU$1000000,1417,FALSE)</f>
        <v>#N/A</v>
      </c>
      <c r="F84" s="34" t="e">
        <f>VLOOKUP(A1,Data1!$A$1:$DZU$1000000,1418,FALSE)</f>
        <v>#N/A</v>
      </c>
      <c r="G84" s="33" t="e">
        <f>VLOOKUP(A1,Data1!$A$1:$DZU$1000000,1419,FALSE)</f>
        <v>#N/A</v>
      </c>
      <c r="H84" s="34" t="e">
        <f>VLOOKUP(A1,Data1!$A$1:$DZU$1000000,1420,FALSE)</f>
        <v>#N/A</v>
      </c>
      <c r="I84" s="33" t="e">
        <f>VLOOKUP(A1,Data1!$A$1:$DZU$1000000,1421,FALSE)</f>
        <v>#N/A</v>
      </c>
      <c r="J84" s="34" t="e">
        <f>VLOOKUP(A1,Data1!$A$1:$DZU$1000000,1422,FALSE)</f>
        <v>#N/A</v>
      </c>
      <c r="K84" s="34" t="e">
        <f>VLOOKUP(A1,Data1!$A$1:$DZU$1000000,1423,FALSE)</f>
        <v>#N/A</v>
      </c>
      <c r="L84" s="93" t="e">
        <f>VLOOKUP(A1,Data1!$A$1:$DZU$1000000,1424,FALSE)</f>
        <v>#N/A</v>
      </c>
      <c r="M84" s="33" t="e">
        <f>VLOOKUP(A1,Data1!$A$1:$DZU$1000000,1425,FALSE)</f>
        <v>#N/A</v>
      </c>
      <c r="N84" s="34" t="e">
        <f>VLOOKUP(A1,Data1!$A$1:$DZU$1000000,1426,FALSE)</f>
        <v>#N/A</v>
      </c>
      <c r="O84" s="33" t="e">
        <f>VLOOKUP(A1,Data1!$A$1:$DZU$1000000,1427,FALSE)</f>
        <v>#N/A</v>
      </c>
      <c r="P84" s="46" t="e">
        <f>VLOOKUP(A1,Data1!$A$1:$DZU$1000000,1428,FALSE)</f>
        <v>#N/A</v>
      </c>
      <c r="Q84" s="33" t="e">
        <f>VLOOKUP(A1,Data1!$A$1:$DZU$1000000,1429,FALSE)</f>
        <v>#N/A</v>
      </c>
    </row>
    <row r="85" spans="1:17" x14ac:dyDescent="0.35">
      <c r="A85" s="22" t="e">
        <f>VLOOKUP(A1,Data1!$A$1:$DZU$1000000,1430,FALSE)</f>
        <v>#N/A</v>
      </c>
      <c r="B85" s="37" t="e">
        <f>VLOOKUP(A1,Data1!$A$1:$DZU$1000000,1431,FALSE)</f>
        <v>#N/A</v>
      </c>
      <c r="C85" s="38" t="e">
        <f>VLOOKUP(A1,Data1!$A$1:$DZU$1000000,1432,FALSE)</f>
        <v>#N/A</v>
      </c>
      <c r="D85" s="31" t="e">
        <f>VLOOKUP(A1,Data1!$A$1:$DZU$1000000,1433,FALSE)</f>
        <v>#N/A</v>
      </c>
      <c r="E85" s="32" t="e">
        <f>VLOOKUP(A1,Data1!$A$1:$DZU$1000000,1434,FALSE)</f>
        <v>#N/A</v>
      </c>
      <c r="F85" s="34" t="e">
        <f>VLOOKUP(A1,Data1!$A$1:$DZU$1000000,1435,FALSE)</f>
        <v>#N/A</v>
      </c>
      <c r="G85" s="33" t="e">
        <f>VLOOKUP(A1,Data1!$A$1:$DZU$1000000,1436,FALSE)</f>
        <v>#N/A</v>
      </c>
      <c r="H85" s="34" t="e">
        <f>VLOOKUP(A1,Data1!$A$1:$DZU$1000000,1437,FALSE)</f>
        <v>#N/A</v>
      </c>
      <c r="I85" s="33" t="e">
        <f>VLOOKUP(A1,Data1!$A$1:$DZU$1000000,1438,FALSE)</f>
        <v>#N/A</v>
      </c>
      <c r="J85" s="34" t="e">
        <f>VLOOKUP(A1,Data1!$A$1:$DZU$1000000,1439,FALSE)</f>
        <v>#N/A</v>
      </c>
      <c r="K85" s="34" t="e">
        <f>VLOOKUP(A1,Data1!$A$1:$DZU$1000000,1440,FALSE)</f>
        <v>#N/A</v>
      </c>
      <c r="L85" s="93" t="e">
        <f>VLOOKUP(A1,Data1!$A$1:$DZU$1000000,1441,FALSE)</f>
        <v>#N/A</v>
      </c>
      <c r="M85" s="33" t="e">
        <f>VLOOKUP(A1,Data1!$A$1:$DZU$1000000,1442,FALSE)</f>
        <v>#N/A</v>
      </c>
      <c r="N85" s="34" t="e">
        <f>VLOOKUP(A1,Data1!$A$1:$DZU$1000000,1443,FALSE)</f>
        <v>#N/A</v>
      </c>
      <c r="O85" s="33" t="e">
        <f>VLOOKUP(A1,Data1!$A$1:$DZU$1000000,1444,FALSE)</f>
        <v>#N/A</v>
      </c>
      <c r="P85" s="46" t="e">
        <f>VLOOKUP(A1,Data1!$A$1:$DZU$1000000,1445,FALSE)</f>
        <v>#N/A</v>
      </c>
      <c r="Q85" s="33" t="e">
        <f>VLOOKUP(A1,Data1!$A$1:$DZU$1000000,1446,FALSE)</f>
        <v>#N/A</v>
      </c>
    </row>
    <row r="86" spans="1:17" x14ac:dyDescent="0.35">
      <c r="A86" s="22" t="e">
        <f>VLOOKUP(A1,Data1!$A$1:$DZU$1000000,1447,FALSE)</f>
        <v>#N/A</v>
      </c>
      <c r="B86" s="37" t="e">
        <f>VLOOKUP(A1,Data1!$A$1:$DZU$1000000,1448,FALSE)</f>
        <v>#N/A</v>
      </c>
      <c r="C86" s="38" t="e">
        <f>VLOOKUP(A1,Data1!$A$1:$DZU$1000000,1449,FALSE)</f>
        <v>#N/A</v>
      </c>
      <c r="D86" s="31" t="e">
        <f>VLOOKUP(A1,Data1!$A$1:$DZU$1000000,1450,FALSE)</f>
        <v>#N/A</v>
      </c>
      <c r="E86" s="32" t="e">
        <f>VLOOKUP(A1,Data1!$A$1:$DZU$1000000,1451,FALSE)</f>
        <v>#N/A</v>
      </c>
      <c r="F86" s="34" t="e">
        <f>VLOOKUP(A1,Data1!$A$1:$DZU$1000000,1452,FALSE)</f>
        <v>#N/A</v>
      </c>
      <c r="G86" s="33" t="e">
        <f>VLOOKUP(A1,Data1!$A$1:$DZU$1000000,1453,FALSE)</f>
        <v>#N/A</v>
      </c>
      <c r="H86" s="34" t="e">
        <f>VLOOKUP(A1,Data1!$A$1:$DZU$1000000,1454,FALSE)</f>
        <v>#N/A</v>
      </c>
      <c r="I86" s="33" t="e">
        <f>VLOOKUP(A1,Data1!$A$1:$DZU$1000000,1455,FALSE)</f>
        <v>#N/A</v>
      </c>
      <c r="J86" s="34" t="e">
        <f>VLOOKUP(A1,Data1!$A$1:$DZU$1000000,1456,FALSE)</f>
        <v>#N/A</v>
      </c>
      <c r="K86" s="34" t="e">
        <f>VLOOKUP(A1,Data1!$A$1:$DZU$1000000,1457,FALSE)</f>
        <v>#N/A</v>
      </c>
      <c r="L86" s="93" t="e">
        <f>VLOOKUP(A1,Data1!$A$1:$DZU$1000000,1458,FALSE)</f>
        <v>#N/A</v>
      </c>
      <c r="M86" s="33" t="e">
        <f>VLOOKUP(A1,Data1!$A$1:$DZU$1000000,1459,FALSE)</f>
        <v>#N/A</v>
      </c>
      <c r="N86" s="34" t="e">
        <f>VLOOKUP(A1,Data1!$A$1:$DZU$1000000,1460,FALSE)</f>
        <v>#N/A</v>
      </c>
      <c r="O86" s="33" t="e">
        <f>VLOOKUP(A1,Data1!$A$1:$DZU$1000000,1461,FALSE)</f>
        <v>#N/A</v>
      </c>
      <c r="P86" s="46" t="e">
        <f>VLOOKUP(A1,Data1!$A$1:$DZU$1000000,1462,FALSE)</f>
        <v>#N/A</v>
      </c>
      <c r="Q86" s="33" t="e">
        <f>VLOOKUP(A1,Data1!$A$1:$DZU$1000000,1463,FALSE)</f>
        <v>#N/A</v>
      </c>
    </row>
    <row r="87" spans="1:17" x14ac:dyDescent="0.35">
      <c r="A87" s="22" t="e">
        <f>VLOOKUP(A1,Data1!$A$1:$DZU$1000000,1464,FALSE)</f>
        <v>#N/A</v>
      </c>
      <c r="B87" s="37" t="e">
        <f>VLOOKUP(A1,Data1!$A$1:$DZU$1000000,1465,FALSE)</f>
        <v>#N/A</v>
      </c>
      <c r="C87" s="38" t="e">
        <f>VLOOKUP(A1,Data1!$A$1:$DZU$1000000,1466,FALSE)</f>
        <v>#N/A</v>
      </c>
      <c r="D87" s="31" t="e">
        <f>VLOOKUP(A1,Data1!$A$1:$DZU$1000000,1467,FALSE)</f>
        <v>#N/A</v>
      </c>
      <c r="E87" s="32" t="e">
        <f>VLOOKUP(A1,Data1!$A$1:$DZU$1000000,1468,FALSE)</f>
        <v>#N/A</v>
      </c>
      <c r="F87" s="34" t="e">
        <f>VLOOKUP(A1,Data1!$A$1:$DZU$1000000,1469,FALSE)</f>
        <v>#N/A</v>
      </c>
      <c r="G87" s="33" t="e">
        <f>VLOOKUP(A1,Data1!$A$1:$DZU$1000000,1470,FALSE)</f>
        <v>#N/A</v>
      </c>
      <c r="H87" s="34" t="e">
        <f>VLOOKUP(A1,Data1!$A$1:$DZU$1000000,1471,FALSE)</f>
        <v>#N/A</v>
      </c>
      <c r="I87" s="33" t="e">
        <f>VLOOKUP(A1,Data1!$A$1:$DZU$1000000,1472,FALSE)</f>
        <v>#N/A</v>
      </c>
      <c r="J87" s="34" t="e">
        <f>VLOOKUP(A1,Data1!$A$1:$DZU$1000000,1473,FALSE)</f>
        <v>#N/A</v>
      </c>
      <c r="K87" s="34" t="e">
        <f>VLOOKUP(A1,Data1!$A$1:$DZU$1000000,1474,FALSE)</f>
        <v>#N/A</v>
      </c>
      <c r="L87" s="93" t="e">
        <f>VLOOKUP(A1,Data1!$A$1:$DZU$1000000,1475,FALSE)</f>
        <v>#N/A</v>
      </c>
      <c r="M87" s="33" t="e">
        <f>VLOOKUP(A1,Data1!$A$1:$DZU$1000000,1476,FALSE)</f>
        <v>#N/A</v>
      </c>
      <c r="N87" s="34" t="e">
        <f>VLOOKUP(A1,Data1!$A$1:$DZU$1000000,1477,FALSE)</f>
        <v>#N/A</v>
      </c>
      <c r="O87" s="33" t="e">
        <f>VLOOKUP(A1,Data1!$A$1:$DZU$1000000,1478,FALSE)</f>
        <v>#N/A</v>
      </c>
      <c r="P87" s="46" t="e">
        <f>VLOOKUP(A1,Data1!$A$1:$DZU$1000000,1479,FALSE)</f>
        <v>#N/A</v>
      </c>
      <c r="Q87" s="33" t="e">
        <f>VLOOKUP(A1,Data1!$A$1:$DZU$1000000,1480,FALSE)</f>
        <v>#N/A</v>
      </c>
    </row>
    <row r="88" spans="1:17" x14ac:dyDescent="0.35">
      <c r="A88" s="22" t="e">
        <f>VLOOKUP(A1,Data1!$A$1:$DZU$1000000,1481,FALSE)</f>
        <v>#N/A</v>
      </c>
      <c r="B88" s="37" t="e">
        <f>VLOOKUP(A1,Data1!$A$1:$DZU$1000000,1482,FALSE)</f>
        <v>#N/A</v>
      </c>
      <c r="C88" s="38" t="e">
        <f>VLOOKUP(A1,Data1!$A$1:$DZU$1000000,1483,FALSE)</f>
        <v>#N/A</v>
      </c>
      <c r="D88" s="31" t="e">
        <f>VLOOKUP(A1,Data1!$A$1:$DZU$1000000,1484,FALSE)</f>
        <v>#N/A</v>
      </c>
      <c r="E88" s="32" t="e">
        <f>VLOOKUP(A1,Data1!$A$1:$DZU$1000000,1485,FALSE)</f>
        <v>#N/A</v>
      </c>
      <c r="F88" s="34" t="e">
        <f>VLOOKUP(A1,Data1!$A$1:$DZU$1000000,1486,FALSE)</f>
        <v>#N/A</v>
      </c>
      <c r="G88" s="33" t="e">
        <f>VLOOKUP(A1,Data1!$A$1:$DZU$1000000,1487,FALSE)</f>
        <v>#N/A</v>
      </c>
      <c r="H88" s="34" t="e">
        <f>VLOOKUP(A1,Data1!$A$1:$DZU$1000000,1488,FALSE)</f>
        <v>#N/A</v>
      </c>
      <c r="I88" s="33" t="e">
        <f>VLOOKUP(A1,Data1!$A$1:$DZU$1000000,1489,FALSE)</f>
        <v>#N/A</v>
      </c>
      <c r="J88" s="34" t="e">
        <f>VLOOKUP(A1,Data1!$A$1:$DZU$1000000,1490,FALSE)</f>
        <v>#N/A</v>
      </c>
      <c r="K88" s="34" t="e">
        <f>VLOOKUP(A1,Data1!$A$1:$DZU$1000000,1491,FALSE)</f>
        <v>#N/A</v>
      </c>
      <c r="L88" s="93" t="e">
        <f>VLOOKUP(A1,Data1!$A$1:$DZU$1000000,1492,FALSE)</f>
        <v>#N/A</v>
      </c>
      <c r="M88" s="33" t="e">
        <f>VLOOKUP(A1,Data1!$A$1:$DZU$1000000,1493,FALSE)</f>
        <v>#N/A</v>
      </c>
      <c r="N88" s="34" t="e">
        <f>VLOOKUP(A1,Data1!$A$1:$DZU$1000000,1494,FALSE)</f>
        <v>#N/A</v>
      </c>
      <c r="O88" s="33" t="e">
        <f>VLOOKUP(A1,Data1!$A$1:$DZU$1000000,1495,FALSE)</f>
        <v>#N/A</v>
      </c>
      <c r="P88" s="46" t="e">
        <f>VLOOKUP(A1,Data1!$A$1:$DZU$1000000,1496,FALSE)</f>
        <v>#N/A</v>
      </c>
      <c r="Q88" s="33" t="e">
        <f>VLOOKUP(A1,Data1!$A$1:$DZU$1000000,1497,FALSE)</f>
        <v>#N/A</v>
      </c>
    </row>
    <row r="89" spans="1:17" x14ac:dyDescent="0.35">
      <c r="A89" s="22" t="e">
        <f>VLOOKUP(A1,Data1!$A$1:$DZU$1000000,1498,FALSE)</f>
        <v>#N/A</v>
      </c>
      <c r="B89" s="37" t="e">
        <f>VLOOKUP(A1,Data1!$A$1:$DZU$1000000,1499,FALSE)</f>
        <v>#N/A</v>
      </c>
      <c r="C89" s="38" t="e">
        <f>VLOOKUP(A1,Data1!$A$1:$DZU$1000000,1500,FALSE)</f>
        <v>#N/A</v>
      </c>
      <c r="D89" s="31" t="e">
        <f>VLOOKUP(A1,Data1!$A$1:$DZU$1000000,1501,FALSE)</f>
        <v>#N/A</v>
      </c>
      <c r="E89" s="32" t="e">
        <f>VLOOKUP(A1,Data1!$A$1:$DZU$1000000,1502,FALSE)</f>
        <v>#N/A</v>
      </c>
      <c r="F89" s="34" t="e">
        <f>VLOOKUP(A1,Data1!$A$1:$DZU$1000000,1503,FALSE)</f>
        <v>#N/A</v>
      </c>
      <c r="G89" s="33" t="e">
        <f>VLOOKUP(A1,Data1!$A$1:$DZU$1000000,1504,FALSE)</f>
        <v>#N/A</v>
      </c>
      <c r="H89" s="34" t="e">
        <f>VLOOKUP(A1,Data1!$A$1:$DZU$1000000,1505,FALSE)</f>
        <v>#N/A</v>
      </c>
      <c r="I89" s="33" t="e">
        <f>VLOOKUP(A1,Data1!$A$1:$DZU$1000000,1506,FALSE)</f>
        <v>#N/A</v>
      </c>
      <c r="J89" s="34" t="e">
        <f>VLOOKUP(A1,Data1!$A$1:$DZU$1000000,1507,FALSE)</f>
        <v>#N/A</v>
      </c>
      <c r="K89" s="34" t="e">
        <f>VLOOKUP(A1,Data1!$A$1:$DZU$1000000,1508,FALSE)</f>
        <v>#N/A</v>
      </c>
      <c r="L89" s="93" t="e">
        <f>VLOOKUP(A1,Data1!$A$1:$DZU$1000000,1509,FALSE)</f>
        <v>#N/A</v>
      </c>
      <c r="M89" s="33" t="e">
        <f>VLOOKUP(A1,Data1!$A$1:$DZU$1000000,1510,FALSE)</f>
        <v>#N/A</v>
      </c>
      <c r="N89" s="34" t="e">
        <f>VLOOKUP(A1,Data1!$A$1:$DZU$1000000,1511,FALSE)</f>
        <v>#N/A</v>
      </c>
      <c r="O89" s="33" t="e">
        <f>VLOOKUP(A1,Data1!$A$1:$DZU$1000000,1512,FALSE)</f>
        <v>#N/A</v>
      </c>
      <c r="P89" s="46" t="e">
        <f>VLOOKUP(A1,Data1!$A$1:$DZU$1000000,1513,FALSE)</f>
        <v>#N/A</v>
      </c>
      <c r="Q89" s="33" t="e">
        <f>VLOOKUP(A1,Data1!$A$1:$DZU$1000000,1514,FALSE)</f>
        <v>#N/A</v>
      </c>
    </row>
    <row r="90" spans="1:17" x14ac:dyDescent="0.35">
      <c r="A90" s="22" t="e">
        <f>VLOOKUP(A1,Data1!$A$1:$DZU$1000000,1515,FALSE)</f>
        <v>#N/A</v>
      </c>
      <c r="B90" s="37" t="e">
        <f>VLOOKUP(A1,Data1!$A$1:$DZU$1000000,1516,FALSE)</f>
        <v>#N/A</v>
      </c>
      <c r="C90" s="38" t="e">
        <f>VLOOKUP(A1,Data1!$A$1:$DZU$1000000,1517,FALSE)</f>
        <v>#N/A</v>
      </c>
      <c r="D90" s="31" t="e">
        <f>VLOOKUP(A1,Data1!$A$1:$DZU$1000000,1518,FALSE)</f>
        <v>#N/A</v>
      </c>
      <c r="E90" s="32" t="e">
        <f>VLOOKUP(A1,Data1!$A$1:$DZU$1000000,1519,FALSE)</f>
        <v>#N/A</v>
      </c>
      <c r="F90" s="34" t="e">
        <f>VLOOKUP(A1,Data1!$A$1:$DZU$1000000,1520,FALSE)</f>
        <v>#N/A</v>
      </c>
      <c r="G90" s="33" t="e">
        <f>VLOOKUP(A1,Data1!$A$1:$DZU$1000000,1521,FALSE)</f>
        <v>#N/A</v>
      </c>
      <c r="H90" s="34" t="e">
        <f>VLOOKUP(A1,Data1!$A$1:$DZU$1000000,1522,FALSE)</f>
        <v>#N/A</v>
      </c>
      <c r="I90" s="33" t="e">
        <f>VLOOKUP(A1,Data1!$A$1:$DZU$1000000,1523,FALSE)</f>
        <v>#N/A</v>
      </c>
      <c r="J90" s="34" t="e">
        <f>VLOOKUP(A1,Data1!$A$1:$DZU$1000000,1524,FALSE)</f>
        <v>#N/A</v>
      </c>
      <c r="K90" s="34" t="e">
        <f>VLOOKUP(A1,Data1!$A$1:$DZU$1000000,1525,FALSE)</f>
        <v>#N/A</v>
      </c>
      <c r="L90" s="93" t="e">
        <f>VLOOKUP(A1,Data1!$A$1:$DZU$1000000,1526,FALSE)</f>
        <v>#N/A</v>
      </c>
      <c r="M90" s="33" t="e">
        <f>VLOOKUP(A1,Data1!$A$1:$DZU$1000000,1527,FALSE)</f>
        <v>#N/A</v>
      </c>
      <c r="N90" s="34" t="e">
        <f>VLOOKUP(A1,Data1!$A$1:$DZU$1000000,1528,FALSE)</f>
        <v>#N/A</v>
      </c>
      <c r="O90" s="33" t="e">
        <f>VLOOKUP(A1,Data1!$A$1:$DZU$1000000,1529,FALSE)</f>
        <v>#N/A</v>
      </c>
      <c r="P90" s="46" t="e">
        <f>VLOOKUP(A1,Data1!$A$1:$DZU$1000000,1530,FALSE)</f>
        <v>#N/A</v>
      </c>
      <c r="Q90" s="33" t="e">
        <f>VLOOKUP(A1,Data1!$A$1:$DZU$1000000,1531,FALSE)</f>
        <v>#N/A</v>
      </c>
    </row>
    <row r="91" spans="1:17" x14ac:dyDescent="0.35">
      <c r="A91" s="22" t="e">
        <f>VLOOKUP(A1,Data1!$A$1:$DZU$1000000,1532,FALSE)</f>
        <v>#N/A</v>
      </c>
      <c r="B91" s="37" t="e">
        <f>VLOOKUP(A1,Data1!$A$1:$DZU$1000000,1533,FALSE)</f>
        <v>#N/A</v>
      </c>
      <c r="C91" s="38" t="e">
        <f>VLOOKUP(A1,Data1!$A$1:$DZU$1000000,1534,FALSE)</f>
        <v>#N/A</v>
      </c>
      <c r="D91" s="31" t="e">
        <f>VLOOKUP(A1,Data1!$A$1:$DZU$1000000,1535,FALSE)</f>
        <v>#N/A</v>
      </c>
      <c r="E91" s="32" t="e">
        <f>VLOOKUP(A1,Data1!$A$1:$DZU$1000000,1536,FALSE)</f>
        <v>#N/A</v>
      </c>
      <c r="F91" s="34" t="e">
        <f>VLOOKUP(A1,Data1!$A$1:$DZU$1000000,1537,FALSE)</f>
        <v>#N/A</v>
      </c>
      <c r="G91" s="33" t="e">
        <f>VLOOKUP(A1,Data1!$A$1:$DZU$1000000,1538,FALSE)</f>
        <v>#N/A</v>
      </c>
      <c r="H91" s="34" t="e">
        <f>VLOOKUP(A1,Data1!$A$1:$DZU$1000000,1539,FALSE)</f>
        <v>#N/A</v>
      </c>
      <c r="I91" s="33" t="e">
        <f>VLOOKUP(A1,Data1!$A$1:$DZU$1000000,1540,FALSE)</f>
        <v>#N/A</v>
      </c>
      <c r="J91" s="34" t="e">
        <f>VLOOKUP(A1,Data1!$A$1:$DZU$1000000,1541,FALSE)</f>
        <v>#N/A</v>
      </c>
      <c r="K91" s="34" t="e">
        <f>VLOOKUP(A1,Data1!$A$1:$DZU$1000000,1542,FALSE)</f>
        <v>#N/A</v>
      </c>
      <c r="L91" s="93" t="e">
        <f>VLOOKUP(A1,Data1!$A$1:$DZU$1000000,1543,FALSE)</f>
        <v>#N/A</v>
      </c>
      <c r="M91" s="33" t="e">
        <f>VLOOKUP(A1,Data1!$A$1:$DZU$1000000,1544,FALSE)</f>
        <v>#N/A</v>
      </c>
      <c r="N91" s="34" t="e">
        <f>VLOOKUP(A1,Data1!$A$1:$DZU$1000000,1545,FALSE)</f>
        <v>#N/A</v>
      </c>
      <c r="O91" s="33" t="e">
        <f>VLOOKUP(A1,Data1!$A$1:$DZU$1000000,1546,FALSE)</f>
        <v>#N/A</v>
      </c>
      <c r="P91" s="46" t="e">
        <f>VLOOKUP(A1,Data1!$A$1:$DZU$1000000,1547,FALSE)</f>
        <v>#N/A</v>
      </c>
      <c r="Q91" s="33" t="e">
        <f>VLOOKUP(A1,Data1!$A$1:$DZU$1000000,1548,FALSE)</f>
        <v>#N/A</v>
      </c>
    </row>
    <row r="92" spans="1:17" x14ac:dyDescent="0.35">
      <c r="A92" s="22" t="e">
        <f>VLOOKUP(A1,Data1!$A$1:$DZU$1000000,1549,FALSE)</f>
        <v>#N/A</v>
      </c>
      <c r="B92" s="37" t="e">
        <f>VLOOKUP(A1,Data1!$A$1:$DZU$1000000,1550,FALSE)</f>
        <v>#N/A</v>
      </c>
      <c r="C92" s="38" t="e">
        <f>VLOOKUP(A1,Data1!$A$1:$DZU$1000000,1551,FALSE)</f>
        <v>#N/A</v>
      </c>
      <c r="D92" s="31" t="e">
        <f>VLOOKUP(A1,Data1!$A$1:$DZU$1000000,1552,FALSE)</f>
        <v>#N/A</v>
      </c>
      <c r="E92" s="32" t="e">
        <f>VLOOKUP(A1,Data1!$A$1:$DZU$1000000,1553,FALSE)</f>
        <v>#N/A</v>
      </c>
      <c r="F92" s="34" t="e">
        <f>VLOOKUP(A1,Data1!$A$1:$DZU$1000000,1554,FALSE)</f>
        <v>#N/A</v>
      </c>
      <c r="G92" s="33" t="e">
        <f>VLOOKUP(A1,Data1!$A$1:$DZU$1000000,1555,FALSE)</f>
        <v>#N/A</v>
      </c>
      <c r="H92" s="34" t="e">
        <f>VLOOKUP(A1,Data1!$A$1:$DZU$1000000,1556,FALSE)</f>
        <v>#N/A</v>
      </c>
      <c r="I92" s="33" t="e">
        <f>VLOOKUP(A1,Data1!$A$1:$DZU$1000000,1557,FALSE)</f>
        <v>#N/A</v>
      </c>
      <c r="J92" s="34" t="e">
        <f>VLOOKUP(A1,Data1!$A$1:$DZU$1000000,1558,FALSE)</f>
        <v>#N/A</v>
      </c>
      <c r="K92" s="34" t="e">
        <f>VLOOKUP(A1,Data1!$A$1:$DZU$1000000,1559,FALSE)</f>
        <v>#N/A</v>
      </c>
      <c r="L92" s="93" t="e">
        <f>VLOOKUP(A1,Data1!$A$1:$DZU$1000000,1560,FALSE)</f>
        <v>#N/A</v>
      </c>
      <c r="M92" s="33" t="e">
        <f>VLOOKUP(A1,Data1!$A$1:$DZU$1000000,1561,FALSE)</f>
        <v>#N/A</v>
      </c>
      <c r="N92" s="34" t="e">
        <f>VLOOKUP(A1,Data1!$A$1:$DZU$1000000,1562,FALSE)</f>
        <v>#N/A</v>
      </c>
      <c r="O92" s="33" t="e">
        <f>VLOOKUP(A1,Data1!$A$1:$DZU$1000000,1563,FALSE)</f>
        <v>#N/A</v>
      </c>
      <c r="P92" s="46" t="e">
        <f>VLOOKUP(A1,Data1!$A$1:$DZU$1000000,1564,FALSE)</f>
        <v>#N/A</v>
      </c>
      <c r="Q92" s="33" t="e">
        <f>VLOOKUP(A1,Data1!$A$1:$DZU$1000000,1565,FALSE)</f>
        <v>#N/A</v>
      </c>
    </row>
    <row r="93" spans="1:17" x14ac:dyDescent="0.35">
      <c r="A93" s="22" t="e">
        <f>VLOOKUP(A1,Data1!$A$1:$DZU$1000000,1566,FALSE)</f>
        <v>#N/A</v>
      </c>
      <c r="B93" s="37" t="e">
        <f>VLOOKUP(A1,Data1!$A$1:$DZU$1000000,1567,FALSE)</f>
        <v>#N/A</v>
      </c>
      <c r="C93" s="38" t="e">
        <f>VLOOKUP(A1,Data1!$A$1:$DZU$1000000,1568,FALSE)</f>
        <v>#N/A</v>
      </c>
      <c r="D93" s="31" t="e">
        <f>VLOOKUP(A1,Data1!$A$1:$DZU$1000000,1569,FALSE)</f>
        <v>#N/A</v>
      </c>
      <c r="E93" s="32" t="e">
        <f>VLOOKUP(A1,Data1!$A$1:$DZU$1000000,1570,FALSE)</f>
        <v>#N/A</v>
      </c>
      <c r="F93" s="34" t="e">
        <f>VLOOKUP(A1,Data1!$A$1:$DZU$1000000,1571,FALSE)</f>
        <v>#N/A</v>
      </c>
      <c r="G93" s="33" t="e">
        <f>VLOOKUP(A1,Data1!$A$1:$DZU$1000000,1572,FALSE)</f>
        <v>#N/A</v>
      </c>
      <c r="H93" s="34" t="e">
        <f>VLOOKUP(A1,Data1!$A$1:$DZU$1000000,1573,FALSE)</f>
        <v>#N/A</v>
      </c>
      <c r="I93" s="33" t="e">
        <f>VLOOKUP(A1,Data1!$A$1:$DZU$1000000,1574,FALSE)</f>
        <v>#N/A</v>
      </c>
      <c r="J93" s="34" t="e">
        <f>VLOOKUP(A1,Data1!$A$1:$DZU$1000000,1575,FALSE)</f>
        <v>#N/A</v>
      </c>
      <c r="K93" s="34" t="e">
        <f>VLOOKUP(A1,Data1!$A$1:$DZU$1000000,1576,FALSE)</f>
        <v>#N/A</v>
      </c>
      <c r="L93" s="93" t="e">
        <f>VLOOKUP(A1,Data1!$A$1:$DZU$1000000,1577,FALSE)</f>
        <v>#N/A</v>
      </c>
      <c r="M93" s="33" t="e">
        <f>VLOOKUP(A1,Data1!$A$1:$DZU$1000000,1578,FALSE)</f>
        <v>#N/A</v>
      </c>
      <c r="N93" s="34" t="e">
        <f>VLOOKUP(A1,Data1!$A$1:$DZU$1000000,1579,FALSE)</f>
        <v>#N/A</v>
      </c>
      <c r="O93" s="33" t="e">
        <f>VLOOKUP(A1,Data1!$A$1:$DZU$1000000,1580,FALSE)</f>
        <v>#N/A</v>
      </c>
      <c r="P93" s="46" t="e">
        <f>VLOOKUP(A1,Data1!$A$1:$DZU$1000000,1581,FALSE)</f>
        <v>#N/A</v>
      </c>
      <c r="Q93" s="33" t="e">
        <f>VLOOKUP(A1,Data1!$A$1:$DZU$1000000,1582,FALSE)</f>
        <v>#N/A</v>
      </c>
    </row>
    <row r="94" spans="1:17" x14ac:dyDescent="0.35">
      <c r="A94" s="22" t="e">
        <f>VLOOKUP(A1,Data1!$A$1:$DZU$1000000,1583,FALSE)</f>
        <v>#N/A</v>
      </c>
      <c r="B94" s="37" t="e">
        <f>VLOOKUP(A1,Data1!$A$1:$DZU$1000000,1584,FALSE)</f>
        <v>#N/A</v>
      </c>
      <c r="C94" s="38" t="e">
        <f>VLOOKUP(A1,Data1!$A$1:$DZU$1000000,1585,FALSE)</f>
        <v>#N/A</v>
      </c>
      <c r="D94" s="31" t="e">
        <f>VLOOKUP(A1,Data1!$A$1:$DZU$1000000,1586,FALSE)</f>
        <v>#N/A</v>
      </c>
      <c r="E94" s="32" t="e">
        <f>VLOOKUP(A1,Data1!$A$1:$DZU$1000000,1587,FALSE)</f>
        <v>#N/A</v>
      </c>
      <c r="F94" s="34" t="e">
        <f>VLOOKUP(A1,Data1!$A$1:$DZU$1000000,1588,FALSE)</f>
        <v>#N/A</v>
      </c>
      <c r="G94" s="33" t="e">
        <f>VLOOKUP(A1,Data1!$A$1:$DZU$1000000,1589,FALSE)</f>
        <v>#N/A</v>
      </c>
      <c r="H94" s="34" t="e">
        <f>VLOOKUP(A1,Data1!$A$1:$DZU$1000000,1590,FALSE)</f>
        <v>#N/A</v>
      </c>
      <c r="I94" s="33" t="e">
        <f>VLOOKUP(A1,Data1!$A$1:$DZU$1000000,1591,FALSE)</f>
        <v>#N/A</v>
      </c>
      <c r="J94" s="34" t="e">
        <f>VLOOKUP(A1,Data1!$A$1:$DZU$1000000,1592,FALSE)</f>
        <v>#N/A</v>
      </c>
      <c r="K94" s="34" t="e">
        <f>VLOOKUP(A1,Data1!$A$1:$DZU$1000000,1593,FALSE)</f>
        <v>#N/A</v>
      </c>
      <c r="L94" s="93" t="e">
        <f>VLOOKUP(A1,Data1!$A$1:$DZU$1000000,1594,FALSE)</f>
        <v>#N/A</v>
      </c>
      <c r="M94" s="33" t="e">
        <f>VLOOKUP(A1,Data1!$A$1:$DZU$1000000,1595,FALSE)</f>
        <v>#N/A</v>
      </c>
      <c r="N94" s="34" t="e">
        <f>VLOOKUP(A1,Data1!$A$1:$DZU$1000000,1596,FALSE)</f>
        <v>#N/A</v>
      </c>
      <c r="O94" s="33" t="e">
        <f>VLOOKUP(A1,Data1!$A$1:$DZU$1000000,1597,FALSE)</f>
        <v>#N/A</v>
      </c>
      <c r="P94" s="46" t="e">
        <f>VLOOKUP(A1,Data1!$A$1:$DZU$1000000,1598,FALSE)</f>
        <v>#N/A</v>
      </c>
      <c r="Q94" s="33" t="e">
        <f>VLOOKUP(A1,Data1!$A$1:$DZU$1000000,1599,FALSE)</f>
        <v>#N/A</v>
      </c>
    </row>
    <row r="95" spans="1:17" x14ac:dyDescent="0.35">
      <c r="A95" s="22" t="e">
        <f>VLOOKUP(A1,Data1!$A$1:$DZU$1000000,1600,FALSE)</f>
        <v>#N/A</v>
      </c>
      <c r="B95" s="37" t="e">
        <f>VLOOKUP(A1,Data1!$A$1:$DZU$1000000,1601,FALSE)</f>
        <v>#N/A</v>
      </c>
      <c r="C95" s="38" t="e">
        <f>VLOOKUP(A1,Data1!$A$1:$DZU$1000000,1602,FALSE)</f>
        <v>#N/A</v>
      </c>
      <c r="D95" s="31" t="e">
        <f>VLOOKUP(A1,Data1!$A$1:$DZU$1000000,1603,FALSE)</f>
        <v>#N/A</v>
      </c>
      <c r="E95" s="32" t="e">
        <f>VLOOKUP(A1,Data1!$A$1:$DZU$1000000,1604,FALSE)</f>
        <v>#N/A</v>
      </c>
      <c r="F95" s="34" t="e">
        <f>VLOOKUP(A1,Data1!$A$1:$DZU$1000000,1605,FALSE)</f>
        <v>#N/A</v>
      </c>
      <c r="G95" s="33" t="e">
        <f>VLOOKUP(A1,Data1!$A$1:$DZU$1000000,1606,FALSE)</f>
        <v>#N/A</v>
      </c>
      <c r="H95" s="34" t="e">
        <f>VLOOKUP(A1,Data1!$A$1:$DZU$1000000,1607,FALSE)</f>
        <v>#N/A</v>
      </c>
      <c r="I95" s="33" t="e">
        <f>VLOOKUP(A1,Data1!$A$1:$DZU$1000000,1608,FALSE)</f>
        <v>#N/A</v>
      </c>
      <c r="J95" s="34" t="e">
        <f>VLOOKUP(A1,Data1!$A$1:$DZU$1000000,1609,FALSE)</f>
        <v>#N/A</v>
      </c>
      <c r="K95" s="34" t="e">
        <f>VLOOKUP(A1,Data1!$A$1:$DZU$1000000,1610,FALSE)</f>
        <v>#N/A</v>
      </c>
      <c r="L95" s="93" t="e">
        <f>VLOOKUP(A1,Data1!$A$1:$DZU$1000000,1611,FALSE)</f>
        <v>#N/A</v>
      </c>
      <c r="M95" s="33" t="e">
        <f>VLOOKUP(A1,Data1!$A$1:$DZU$1000000,1612,FALSE)</f>
        <v>#N/A</v>
      </c>
      <c r="N95" s="34" t="e">
        <f>VLOOKUP(A1,Data1!$A$1:$DZU$1000000,1613,FALSE)</f>
        <v>#N/A</v>
      </c>
      <c r="O95" s="33" t="e">
        <f>VLOOKUP(A1,Data1!$A$1:$DZU$1000000,1614,FALSE)</f>
        <v>#N/A</v>
      </c>
      <c r="P95" s="46" t="e">
        <f>VLOOKUP(A1,Data1!$A$1:$DZU$1000000,1615,FALSE)</f>
        <v>#N/A</v>
      </c>
      <c r="Q95" s="33" t="e">
        <f>VLOOKUP(A1,Data1!$A$1:$DZU$1000000,1616,FALSE)</f>
        <v>#N/A</v>
      </c>
    </row>
    <row r="96" spans="1:17" x14ac:dyDescent="0.35">
      <c r="A96" s="22" t="e">
        <f>VLOOKUP(A1,Data1!$A$1:$DZU$1000000,1617,FALSE)</f>
        <v>#N/A</v>
      </c>
      <c r="B96" s="37" t="e">
        <f>VLOOKUP(A1,Data1!$A$1:$DZU$1000000,1618,FALSE)</f>
        <v>#N/A</v>
      </c>
      <c r="C96" s="38" t="e">
        <f>VLOOKUP(A1,Data1!$A$1:$DZU$1000000,1619,FALSE)</f>
        <v>#N/A</v>
      </c>
      <c r="D96" s="31" t="e">
        <f>VLOOKUP(A1,Data1!$A$1:$DZU$1000000,1620,FALSE)</f>
        <v>#N/A</v>
      </c>
      <c r="E96" s="32" t="e">
        <f>VLOOKUP(A1,Data1!$A$1:$DZU$1000000,1621,FALSE)</f>
        <v>#N/A</v>
      </c>
      <c r="F96" s="34" t="e">
        <f>VLOOKUP(A1,Data1!$A$1:$DZU$1000000,1622,FALSE)</f>
        <v>#N/A</v>
      </c>
      <c r="G96" s="33" t="e">
        <f>VLOOKUP(A1,Data1!$A$1:$DZU$1000000,1623,FALSE)</f>
        <v>#N/A</v>
      </c>
      <c r="H96" s="34" t="e">
        <f>VLOOKUP(A1,Data1!$A$1:$DZU$1000000,1624,FALSE)</f>
        <v>#N/A</v>
      </c>
      <c r="I96" s="33" t="e">
        <f>VLOOKUP(A1,Data1!$A$1:$DZU$1000000,1625,FALSE)</f>
        <v>#N/A</v>
      </c>
      <c r="J96" s="34" t="e">
        <f>VLOOKUP(A1,Data1!$A$1:$DZU$1000000,1626,FALSE)</f>
        <v>#N/A</v>
      </c>
      <c r="K96" s="34" t="e">
        <f>VLOOKUP(A1,Data1!$A$1:$DZU$1000000,1627,FALSE)</f>
        <v>#N/A</v>
      </c>
      <c r="L96" s="93" t="e">
        <f>VLOOKUP(A1,Data1!$A$1:$DZU$1000000,1628,FALSE)</f>
        <v>#N/A</v>
      </c>
      <c r="M96" s="33" t="e">
        <f>VLOOKUP(A1,Data1!$A$1:$DZU$1000000,1629,FALSE)</f>
        <v>#N/A</v>
      </c>
      <c r="N96" s="34" t="e">
        <f>VLOOKUP(A1,Data1!$A$1:$DZU$1000000,1630,FALSE)</f>
        <v>#N/A</v>
      </c>
      <c r="O96" s="33" t="e">
        <f>VLOOKUP(A1,Data1!$A$1:$DZU$1000000,1631,FALSE)</f>
        <v>#N/A</v>
      </c>
      <c r="P96" s="46" t="e">
        <f>VLOOKUP(A1,Data1!$A$1:$DZU$1000000,1632,FALSE)</f>
        <v>#N/A</v>
      </c>
      <c r="Q96" s="33" t="e">
        <f>VLOOKUP(A1,Data1!$A$1:$DZU$1000000,1633,FALSE)</f>
        <v>#N/A</v>
      </c>
    </row>
    <row r="97" spans="1:17" x14ac:dyDescent="0.35">
      <c r="A97" s="22" t="e">
        <f>VLOOKUP(A1,Data1!$A$1:$DZU$1000000,1634,FALSE)</f>
        <v>#N/A</v>
      </c>
      <c r="B97" s="37" t="e">
        <f>VLOOKUP(A1,Data1!$A$1:$DZU$1000000,1635,FALSE)</f>
        <v>#N/A</v>
      </c>
      <c r="C97" s="38" t="e">
        <f>VLOOKUP(A1,Data1!$A$1:$DZU$1000000,1636,FALSE)</f>
        <v>#N/A</v>
      </c>
      <c r="D97" s="31" t="e">
        <f>VLOOKUP(A1,Data1!$A$1:$DZU$1000000,1637,FALSE)</f>
        <v>#N/A</v>
      </c>
      <c r="E97" s="32" t="e">
        <f>VLOOKUP(A1,Data1!$A$1:$DZU$1000000,1638,FALSE)</f>
        <v>#N/A</v>
      </c>
      <c r="F97" s="34" t="e">
        <f>VLOOKUP(A1,Data1!$A$1:$DZU$1000000,1639,FALSE)</f>
        <v>#N/A</v>
      </c>
      <c r="G97" s="33" t="e">
        <f>VLOOKUP(A1,Data1!$A$1:$DZU$1000000,1640,FALSE)</f>
        <v>#N/A</v>
      </c>
      <c r="H97" s="34" t="e">
        <f>VLOOKUP(A1,Data1!$A$1:$DZU$1000000,1641,FALSE)</f>
        <v>#N/A</v>
      </c>
      <c r="I97" s="33" t="e">
        <f>VLOOKUP(A1,Data1!$A$1:$DZU$1000000,1642,FALSE)</f>
        <v>#N/A</v>
      </c>
      <c r="J97" s="34" t="e">
        <f>VLOOKUP(A1,Data1!$A$1:$DZU$1000000,1643,FALSE)</f>
        <v>#N/A</v>
      </c>
      <c r="K97" s="34" t="e">
        <f>VLOOKUP(A1,Data1!$A$1:$DZU$1000000,1644,FALSE)</f>
        <v>#N/A</v>
      </c>
      <c r="L97" s="93" t="e">
        <f>VLOOKUP(A1,Data1!$A$1:$DZU$1000000,1645,FALSE)</f>
        <v>#N/A</v>
      </c>
      <c r="M97" s="33" t="e">
        <f>VLOOKUP(A1,Data1!$A$1:$DZU$1000000,1646,FALSE)</f>
        <v>#N/A</v>
      </c>
      <c r="N97" s="34" t="e">
        <f>VLOOKUP(A1,Data1!$A$1:$DZU$1000000,1647,FALSE)</f>
        <v>#N/A</v>
      </c>
      <c r="O97" s="33" t="e">
        <f>VLOOKUP(A1,Data1!$A$1:$DZU$1000000,1648,FALSE)</f>
        <v>#N/A</v>
      </c>
      <c r="P97" s="46" t="e">
        <f>VLOOKUP(A1,Data1!$A$1:$DZU$1000000,1649,FALSE)</f>
        <v>#N/A</v>
      </c>
      <c r="Q97" s="33" t="e">
        <f>VLOOKUP(A1,Data1!$A$1:$DZU$1000000,1650,FALSE)</f>
        <v>#N/A</v>
      </c>
    </row>
    <row r="98" spans="1:17" x14ac:dyDescent="0.35">
      <c r="A98" s="22" t="e">
        <f>VLOOKUP(A1,Data1!$A$1:$DZU$1000000,1651,FALSE)</f>
        <v>#N/A</v>
      </c>
      <c r="B98" s="37" t="e">
        <f>VLOOKUP(A1,Data1!$A$1:$DZU$1000000,1652,FALSE)</f>
        <v>#N/A</v>
      </c>
      <c r="C98" s="38" t="e">
        <f>VLOOKUP(A1,Data1!$A$1:$DZU$1000000,1653,FALSE)</f>
        <v>#N/A</v>
      </c>
      <c r="D98" s="31" t="e">
        <f>VLOOKUP(A1,Data1!$A$1:$DZU$1000000,1654,FALSE)</f>
        <v>#N/A</v>
      </c>
      <c r="E98" s="32" t="e">
        <f>VLOOKUP(A1,Data1!$A$1:$DZU$1000000,1655,FALSE)</f>
        <v>#N/A</v>
      </c>
      <c r="F98" s="34" t="e">
        <f>VLOOKUP(A1,Data1!$A$1:$DZU$1000000,1656,FALSE)</f>
        <v>#N/A</v>
      </c>
      <c r="G98" s="33" t="e">
        <f>VLOOKUP(A1,Data1!$A$1:$DZU$1000000,1657,FALSE)</f>
        <v>#N/A</v>
      </c>
      <c r="H98" s="34" t="e">
        <f>VLOOKUP(A1,Data1!$A$1:$DZU$1000000,1658,FALSE)</f>
        <v>#N/A</v>
      </c>
      <c r="I98" s="33" t="e">
        <f>VLOOKUP(A1,Data1!$A$1:$DZU$1000000,1659,FALSE)</f>
        <v>#N/A</v>
      </c>
      <c r="J98" s="34" t="e">
        <f>VLOOKUP(A1,Data1!$A$1:$DZU$1000000,1660,FALSE)</f>
        <v>#N/A</v>
      </c>
      <c r="K98" s="34" t="e">
        <f>VLOOKUP(A1,Data1!$A$1:$DZU$1000000,1661,FALSE)</f>
        <v>#N/A</v>
      </c>
      <c r="L98" s="93" t="e">
        <f>VLOOKUP(A1,Data1!$A$1:$DZU$1000000,1662,FALSE)</f>
        <v>#N/A</v>
      </c>
      <c r="M98" s="33" t="e">
        <f>VLOOKUP(A1,Data1!$A$1:$DZU$1000000,1663,FALSE)</f>
        <v>#N/A</v>
      </c>
      <c r="N98" s="34" t="e">
        <f>VLOOKUP(A1,Data1!$A$1:$DZU$1000000,1664,FALSE)</f>
        <v>#N/A</v>
      </c>
      <c r="O98" s="33" t="e">
        <f>VLOOKUP(A1,Data1!$A$1:$DZU$1000000,1665,FALSE)</f>
        <v>#N/A</v>
      </c>
      <c r="P98" s="46" t="e">
        <f>VLOOKUP(A1,Data1!$A$1:$DZU$1000000,1666,FALSE)</f>
        <v>#N/A</v>
      </c>
      <c r="Q98" s="33" t="e">
        <f>VLOOKUP(A1,Data1!$A$1:$DZU$1000000,1667,FALSE)</f>
        <v>#N/A</v>
      </c>
    </row>
    <row r="99" spans="1:17" x14ac:dyDescent="0.35">
      <c r="A99" s="22" t="e">
        <f>VLOOKUP(A1,Data1!$A$1:$DZU$1000000,1668,FALSE)</f>
        <v>#N/A</v>
      </c>
      <c r="B99" s="37" t="e">
        <f>VLOOKUP(A1,Data1!$A$1:$DZU$1000000,1669,FALSE)</f>
        <v>#N/A</v>
      </c>
      <c r="C99" s="38" t="e">
        <f>VLOOKUP(A1,Data1!$A$1:$DZU$1000000,1670,FALSE)</f>
        <v>#N/A</v>
      </c>
      <c r="D99" s="31" t="e">
        <f>VLOOKUP(A1,Data1!$A$1:$DZU$1000000,1671,FALSE)</f>
        <v>#N/A</v>
      </c>
      <c r="E99" s="32" t="e">
        <f>VLOOKUP(A1,Data1!$A$1:$DZU$1000000,1672,FALSE)</f>
        <v>#N/A</v>
      </c>
      <c r="F99" s="34" t="e">
        <f>VLOOKUP(A1,Data1!$A$1:$DZU$1000000,1673,FALSE)</f>
        <v>#N/A</v>
      </c>
      <c r="G99" s="33" t="e">
        <f>VLOOKUP(A1,Data1!$A$1:$DZU$1000000,1674,FALSE)</f>
        <v>#N/A</v>
      </c>
      <c r="H99" s="34" t="e">
        <f>VLOOKUP(A1,Data1!$A$1:$DZU$1000000,1675,FALSE)</f>
        <v>#N/A</v>
      </c>
      <c r="I99" s="33" t="e">
        <f>VLOOKUP(A1,Data1!$A$1:$DZU$1000000,1676,FALSE)</f>
        <v>#N/A</v>
      </c>
      <c r="J99" s="34" t="e">
        <f>VLOOKUP(A1,Data1!$A$1:$DZU$1000000,1677,FALSE)</f>
        <v>#N/A</v>
      </c>
      <c r="K99" s="34" t="e">
        <f>VLOOKUP(A1,Data1!$A$1:$DZU$1000000,1678,FALSE)</f>
        <v>#N/A</v>
      </c>
      <c r="L99" s="93" t="e">
        <f>VLOOKUP(A1,Data1!$A$1:$DZU$1000000,1679,FALSE)</f>
        <v>#N/A</v>
      </c>
      <c r="M99" s="33" t="e">
        <f>VLOOKUP(A1,Data1!$A$1:$DZU$1000000,1680,FALSE)</f>
        <v>#N/A</v>
      </c>
      <c r="N99" s="34" t="e">
        <f>VLOOKUP(A1,Data1!$A$1:$DZU$1000000,1681,FALSE)</f>
        <v>#N/A</v>
      </c>
      <c r="O99" s="33" t="e">
        <f>VLOOKUP(A1,Data1!$A$1:$DZU$1000000,1682,FALSE)</f>
        <v>#N/A</v>
      </c>
      <c r="P99" s="46" t="e">
        <f>VLOOKUP(A1,Data1!$A$1:$DZU$1000000,1683,FALSE)</f>
        <v>#N/A</v>
      </c>
      <c r="Q99" s="33" t="e">
        <f>VLOOKUP(A1,Data1!$A$1:$DZU$1000000,1684,FALSE)</f>
        <v>#N/A</v>
      </c>
    </row>
    <row r="100" spans="1:17" x14ac:dyDescent="0.35">
      <c r="A100" s="22" t="e">
        <f>VLOOKUP(A1,Data1!$A$1:$DZU$1000000,1685,FALSE)</f>
        <v>#N/A</v>
      </c>
      <c r="B100" s="37" t="e">
        <f>VLOOKUP(A1,Data1!$A$1:$DZU$1000000,1686,FALSE)</f>
        <v>#N/A</v>
      </c>
      <c r="C100" s="38" t="e">
        <f>VLOOKUP(A1,Data1!$A$1:$DZU$1000000,1687,FALSE)</f>
        <v>#N/A</v>
      </c>
      <c r="D100" s="31" t="e">
        <f>VLOOKUP(A1,Data1!$A$1:$DZU$1000000,1688,FALSE)</f>
        <v>#N/A</v>
      </c>
      <c r="E100" s="32" t="e">
        <f>VLOOKUP(A1,Data1!$A$1:$DZU$1000000,1689,FALSE)</f>
        <v>#N/A</v>
      </c>
      <c r="F100" s="34" t="e">
        <f>VLOOKUP(A1,Data1!$A$1:$DZU$1000000,1690,FALSE)</f>
        <v>#N/A</v>
      </c>
      <c r="G100" s="33" t="e">
        <f>VLOOKUP(A1,Data1!$A$1:$DZU$1000000,1691,FALSE)</f>
        <v>#N/A</v>
      </c>
      <c r="H100" s="34" t="e">
        <f>VLOOKUP(A1,Data1!$A$1:$DZU$1000000,1692,FALSE)</f>
        <v>#N/A</v>
      </c>
      <c r="I100" s="33" t="e">
        <f>VLOOKUP(A1,Data1!$A$1:$DZU$1000000,1693,FALSE)</f>
        <v>#N/A</v>
      </c>
      <c r="J100" s="34" t="e">
        <f>VLOOKUP(A1,Data1!$A$1:$DZU$1000000,1694,FALSE)</f>
        <v>#N/A</v>
      </c>
      <c r="K100" s="34" t="e">
        <f>VLOOKUP(A1,Data1!$A$1:$DZU$1000000,1695,FALSE)</f>
        <v>#N/A</v>
      </c>
      <c r="L100" s="93" t="e">
        <f>VLOOKUP(A1,Data1!$A$1:$DZU$1000000,1696,FALSE)</f>
        <v>#N/A</v>
      </c>
      <c r="M100" s="33" t="e">
        <f>VLOOKUP(A1,Data1!$A$1:$DZU$1000000,1697,FALSE)</f>
        <v>#N/A</v>
      </c>
      <c r="N100" s="34" t="e">
        <f>VLOOKUP(A1,Data1!$A$1:$DZU$1000000,1698,FALSE)</f>
        <v>#N/A</v>
      </c>
      <c r="O100" s="33" t="e">
        <f>VLOOKUP(A1,Data1!$A$1:$DZU$1000000,1699,FALSE)</f>
        <v>#N/A</v>
      </c>
      <c r="P100" s="46" t="e">
        <f>VLOOKUP(A1,Data1!$A$1:$DZU$1000000,1700,FALSE)</f>
        <v>#N/A</v>
      </c>
      <c r="Q100" s="33" t="e">
        <f>VLOOKUP(A1,Data1!$A$1:$DZU$1000000,1701,FALSE)</f>
        <v>#N/A</v>
      </c>
    </row>
    <row r="101" spans="1:17" x14ac:dyDescent="0.35">
      <c r="A101" s="22" t="e">
        <f>VLOOKUP(A1,Data1!$A$1:$DZU$1000000,1702,FALSE)</f>
        <v>#N/A</v>
      </c>
      <c r="B101" s="37" t="e">
        <f>VLOOKUP(A1,Data1!$A$1:$DZU$1000000,1703,FALSE)</f>
        <v>#N/A</v>
      </c>
      <c r="C101" s="38" t="e">
        <f>VLOOKUP(A1,Data1!$A$1:$DZU$1000000,1704,FALSE)</f>
        <v>#N/A</v>
      </c>
      <c r="D101" s="31" t="e">
        <f>VLOOKUP(A1,Data1!$A$1:$DZU$1000000,1705,FALSE)</f>
        <v>#N/A</v>
      </c>
      <c r="E101" s="32" t="e">
        <f>VLOOKUP(A1,Data1!$A$1:$DZU$1000000,1706,FALSE)</f>
        <v>#N/A</v>
      </c>
      <c r="F101" s="34" t="e">
        <f>VLOOKUP(A1,Data1!$A$1:$DZU$1000000,1707,FALSE)</f>
        <v>#N/A</v>
      </c>
      <c r="G101" s="33" t="e">
        <f>VLOOKUP(A1,Data1!$A$1:$DZU$1000000,1708,FALSE)</f>
        <v>#N/A</v>
      </c>
      <c r="H101" s="34" t="e">
        <f>VLOOKUP(A1,Data1!$A$1:$DZU$1000000,1709,FALSE)</f>
        <v>#N/A</v>
      </c>
      <c r="I101" s="33" t="e">
        <f>VLOOKUP(A1,Data1!$A$1:$DZU$1000000,1710,FALSE)</f>
        <v>#N/A</v>
      </c>
      <c r="J101" s="34" t="e">
        <f>VLOOKUP(A1,Data1!$A$1:$DZU$1000000,1711,FALSE)</f>
        <v>#N/A</v>
      </c>
      <c r="K101" s="34" t="e">
        <f>VLOOKUP(A1,Data1!$A$1:$DZU$1000000,1712,FALSE)</f>
        <v>#N/A</v>
      </c>
      <c r="L101" s="93" t="e">
        <f>VLOOKUP(A1,Data1!$A$1:$DZU$1000000,1713,FALSE)</f>
        <v>#N/A</v>
      </c>
      <c r="M101" s="33" t="e">
        <f>VLOOKUP(A1,Data1!$A$1:$DZU$1000000,1714,FALSE)</f>
        <v>#N/A</v>
      </c>
      <c r="N101" s="34" t="e">
        <f>VLOOKUP(A1,Data1!$A$1:$DZU$1000000,1715,FALSE)</f>
        <v>#N/A</v>
      </c>
      <c r="O101" s="33" t="e">
        <f>VLOOKUP(A1,Data1!$A$1:$DZU$1000000,1716,FALSE)</f>
        <v>#N/A</v>
      </c>
      <c r="P101" s="46" t="e">
        <f>VLOOKUP(A1,Data1!$A$1:$DZU$1000000,1717,FALSE)</f>
        <v>#N/A</v>
      </c>
      <c r="Q101" s="33" t="e">
        <f>VLOOKUP(A1,Data1!$A$1:$DZU$1000000,1718,FALSE)</f>
        <v>#N/A</v>
      </c>
    </row>
    <row r="102" spans="1:17" x14ac:dyDescent="0.35">
      <c r="A102" s="22" t="e">
        <f>VLOOKUP(A1,Data1!$A$1:$DZU$1000000,1719,FALSE)</f>
        <v>#N/A</v>
      </c>
      <c r="B102" s="37" t="e">
        <f>VLOOKUP(A1,Data1!$A$1:$DZU$1000000,1720,FALSE)</f>
        <v>#N/A</v>
      </c>
      <c r="C102" s="38" t="e">
        <f>VLOOKUP(A1,Data1!$A$1:$DZU$1000000,1721,FALSE)</f>
        <v>#N/A</v>
      </c>
      <c r="D102" s="31" t="e">
        <f>VLOOKUP(A1,Data1!$A$1:$DZU$1000000,1722,FALSE)</f>
        <v>#N/A</v>
      </c>
      <c r="E102" s="32" t="e">
        <f>VLOOKUP(A1,Data1!$A$1:$DZU$1000000,1723,FALSE)</f>
        <v>#N/A</v>
      </c>
      <c r="F102" s="34" t="e">
        <f>VLOOKUP(A1,Data1!$A$1:$DZU$1000000,1724,FALSE)</f>
        <v>#N/A</v>
      </c>
      <c r="G102" s="33" t="e">
        <f>VLOOKUP(A1,Data1!$A$1:$DZU$1000000,1725,FALSE)</f>
        <v>#N/A</v>
      </c>
      <c r="H102" s="34" t="e">
        <f>VLOOKUP(A1,Data1!$A$1:$DZU$1000000,1726,FALSE)</f>
        <v>#N/A</v>
      </c>
      <c r="I102" s="33" t="e">
        <f>VLOOKUP(A1,Data1!$A$1:$DZU$1000000,1727,FALSE)</f>
        <v>#N/A</v>
      </c>
      <c r="J102" s="34" t="e">
        <f>VLOOKUP(A1,Data1!$A$1:$DZU$1000000,1728,FALSE)</f>
        <v>#N/A</v>
      </c>
      <c r="K102" s="34" t="e">
        <f>VLOOKUP(A1,Data1!$A$1:$DZU$1000000,1729,FALSE)</f>
        <v>#N/A</v>
      </c>
      <c r="L102" s="93" t="e">
        <f>VLOOKUP(A1,Data1!$A$1:$DZU$1000000,1730,FALSE)</f>
        <v>#N/A</v>
      </c>
      <c r="M102" s="33" t="e">
        <f>VLOOKUP(A1,Data1!$A$1:$DZU$1000000,1731,FALSE)</f>
        <v>#N/A</v>
      </c>
      <c r="N102" s="34" t="e">
        <f>VLOOKUP(A1,Data1!$A$1:$DZU$1000000,1732,FALSE)</f>
        <v>#N/A</v>
      </c>
      <c r="O102" s="33" t="e">
        <f>VLOOKUP(A1,Data1!$A$1:$DZU$1000000,1733,FALSE)</f>
        <v>#N/A</v>
      </c>
      <c r="P102" s="46" t="e">
        <f>VLOOKUP(A1,Data1!$A$1:$DZU$1000000,1734,FALSE)</f>
        <v>#N/A</v>
      </c>
      <c r="Q102" s="33" t="e">
        <f>VLOOKUP(A1,Data1!$A$1:$DZU$1000000,1735,FALSE)</f>
        <v>#N/A</v>
      </c>
    </row>
    <row r="103" spans="1:17" x14ac:dyDescent="0.35">
      <c r="A103" s="22" t="e">
        <f>VLOOKUP(A1,Data1!$A$1:$DZU$1000000,1736,FALSE)</f>
        <v>#N/A</v>
      </c>
      <c r="B103" s="37" t="e">
        <f>VLOOKUP(A1,Data1!$A$1:$DZU$1000000,1737,FALSE)</f>
        <v>#N/A</v>
      </c>
      <c r="C103" s="38" t="e">
        <f>VLOOKUP(A1,Data1!$A$1:$DZU$1000000,1738,FALSE)</f>
        <v>#N/A</v>
      </c>
      <c r="D103" s="31" t="e">
        <f>VLOOKUP(A1,Data1!$A$1:$DZU$1000000,1739,FALSE)</f>
        <v>#N/A</v>
      </c>
      <c r="E103" s="32" t="e">
        <f>VLOOKUP(A1,Data1!$A$1:$DZU$1000000,1740,FALSE)</f>
        <v>#N/A</v>
      </c>
      <c r="F103" s="34" t="e">
        <f>VLOOKUP(A1,Data1!$A$1:$DZU$1000000,1741,FALSE)</f>
        <v>#N/A</v>
      </c>
      <c r="G103" s="33" t="e">
        <f>VLOOKUP(A1,Data1!$A$1:$DZU$1000000,1742,FALSE)</f>
        <v>#N/A</v>
      </c>
      <c r="H103" s="34" t="e">
        <f>VLOOKUP(A1,Data1!$A$1:$DZU$1000000,1743,FALSE)</f>
        <v>#N/A</v>
      </c>
      <c r="I103" s="33" t="e">
        <f>VLOOKUP(A1,Data1!$A$1:$DZU$1000000,1744,FALSE)</f>
        <v>#N/A</v>
      </c>
      <c r="J103" s="34" t="e">
        <f>VLOOKUP(A1,Data1!$A$1:$DZU$1000000,1745,FALSE)</f>
        <v>#N/A</v>
      </c>
      <c r="K103" s="34" t="e">
        <f>VLOOKUP(A1,Data1!$A$1:$DZU$1000000,1746,FALSE)</f>
        <v>#N/A</v>
      </c>
      <c r="L103" s="93" t="e">
        <f>VLOOKUP(A1,Data1!$A$1:$DZU$1000000,1747,FALSE)</f>
        <v>#N/A</v>
      </c>
      <c r="M103" s="33" t="e">
        <f>VLOOKUP(A1,Data1!$A$1:$DZU$1000000,1748,FALSE)</f>
        <v>#N/A</v>
      </c>
      <c r="N103" s="34" t="e">
        <f>VLOOKUP(A1,Data1!$A$1:$DZU$1000000,1749,FALSE)</f>
        <v>#N/A</v>
      </c>
      <c r="O103" s="33" t="e">
        <f>VLOOKUP(A1,Data1!$A$1:$DZU$1000000,1750,FALSE)</f>
        <v>#N/A</v>
      </c>
      <c r="P103" s="46" t="e">
        <f>VLOOKUP(A1,Data1!$A$1:$DZU$1000000,1751,FALSE)</f>
        <v>#N/A</v>
      </c>
      <c r="Q103" s="33" t="e">
        <f>VLOOKUP(A1,Data1!$A$1:$DZU$1000000,1752,FALSE)</f>
        <v>#N/A</v>
      </c>
    </row>
    <row r="104" spans="1:17" x14ac:dyDescent="0.35">
      <c r="A104" s="22" t="e">
        <f>VLOOKUP(A1,Data1!$A$1:$DZU$1000000,1753,FALSE)</f>
        <v>#N/A</v>
      </c>
      <c r="B104" s="37" t="e">
        <f>VLOOKUP(A1,Data1!$A$1:$DZU$1000000,1754,FALSE)</f>
        <v>#N/A</v>
      </c>
      <c r="C104" s="38" t="e">
        <f>VLOOKUP(A1,Data1!$A$1:$DZU$1000000,1755,FALSE)</f>
        <v>#N/A</v>
      </c>
      <c r="D104" s="31" t="e">
        <f>VLOOKUP(A1,Data1!$A$1:$DZU$1000000,1756,FALSE)</f>
        <v>#N/A</v>
      </c>
      <c r="E104" s="32" t="e">
        <f>VLOOKUP(A1,Data1!$A$1:$DZU$1000000,1757,FALSE)</f>
        <v>#N/A</v>
      </c>
      <c r="F104" s="34" t="e">
        <f>VLOOKUP(A1,Data1!$A$1:$DZU$1000000,1758,FALSE)</f>
        <v>#N/A</v>
      </c>
      <c r="G104" s="33" t="e">
        <f>VLOOKUP(A1,Data1!$A$1:$DZU$1000000,1759,FALSE)</f>
        <v>#N/A</v>
      </c>
      <c r="H104" s="34" t="e">
        <f>VLOOKUP(A1,Data1!$A$1:$DZU$1000000,1760,FALSE)</f>
        <v>#N/A</v>
      </c>
      <c r="I104" s="33" t="e">
        <f>VLOOKUP(A1,Data1!$A$1:$DZU$1000000,1761,FALSE)</f>
        <v>#N/A</v>
      </c>
      <c r="J104" s="34" t="e">
        <f>VLOOKUP(A1,Data1!$A$1:$DZU$1000000,1762,FALSE)</f>
        <v>#N/A</v>
      </c>
      <c r="K104" s="34" t="e">
        <f>VLOOKUP(A1,Data1!$A$1:$DZU$1000000,1763,FALSE)</f>
        <v>#N/A</v>
      </c>
      <c r="L104" s="93" t="e">
        <f>VLOOKUP(A1,Data1!$A$1:$DZU$1000000,1764,FALSE)</f>
        <v>#N/A</v>
      </c>
      <c r="M104" s="33" t="e">
        <f>VLOOKUP(A1,Data1!$A$1:$DZU$1000000,1765,FALSE)</f>
        <v>#N/A</v>
      </c>
      <c r="N104" s="34" t="e">
        <f>VLOOKUP(A1,Data1!$A$1:$DZU$1000000,1766,FALSE)</f>
        <v>#N/A</v>
      </c>
      <c r="O104" s="33" t="e">
        <f>VLOOKUP(A1,Data1!$A$1:$DZU$1000000,1767,FALSE)</f>
        <v>#N/A</v>
      </c>
      <c r="P104" s="46" t="e">
        <f>VLOOKUP(A1,Data1!$A$1:$DZU$1000000,1768,FALSE)</f>
        <v>#N/A</v>
      </c>
      <c r="Q104" s="33" t="e">
        <f>VLOOKUP(A1,Data1!$A$1:$DZU$1000000,1769,FALSE)</f>
        <v>#N/A</v>
      </c>
    </row>
    <row r="105" spans="1:17" x14ac:dyDescent="0.35">
      <c r="A105" s="22" t="e">
        <f>VLOOKUP(A1,Data1!$A$1:$DZU$1000000,1770,FALSE)</f>
        <v>#N/A</v>
      </c>
      <c r="B105" s="37" t="e">
        <f>VLOOKUP(A1,Data1!$A$1:$DZU$1000000,1771,FALSE)</f>
        <v>#N/A</v>
      </c>
      <c r="C105" s="38" t="e">
        <f>VLOOKUP(A1,Data1!$A$1:$DZU$1000000,1772,FALSE)</f>
        <v>#N/A</v>
      </c>
      <c r="D105" s="31" t="e">
        <f>VLOOKUP(A1,Data1!$A$1:$DZU$1000000,1773,FALSE)</f>
        <v>#N/A</v>
      </c>
      <c r="E105" s="32" t="e">
        <f>VLOOKUP(A1,Data1!$A$1:$DZU$1000000,1774,FALSE)</f>
        <v>#N/A</v>
      </c>
      <c r="F105" s="34" t="e">
        <f>VLOOKUP(A1,Data1!$A$1:$DZU$1000000,1775,FALSE)</f>
        <v>#N/A</v>
      </c>
      <c r="G105" s="33" t="e">
        <f>VLOOKUP(A1,Data1!$A$1:$DZU$1000000,1776,FALSE)</f>
        <v>#N/A</v>
      </c>
      <c r="H105" s="34" t="e">
        <f>VLOOKUP(A1,Data1!$A$1:$DZU$1000000,1777,FALSE)</f>
        <v>#N/A</v>
      </c>
      <c r="I105" s="33" t="e">
        <f>VLOOKUP(A1,Data1!$A$1:$DZU$1000000,1778,FALSE)</f>
        <v>#N/A</v>
      </c>
      <c r="J105" s="34" t="e">
        <f>VLOOKUP(A1,Data1!$A$1:$DZU$1000000,1779,FALSE)</f>
        <v>#N/A</v>
      </c>
      <c r="K105" s="34" t="e">
        <f>VLOOKUP(A1,Data1!$A$1:$DZU$1000000,1780,FALSE)</f>
        <v>#N/A</v>
      </c>
      <c r="L105" s="93" t="e">
        <f>VLOOKUP(A1,Data1!$A$1:$DZU$1000000,1781,FALSE)</f>
        <v>#N/A</v>
      </c>
      <c r="M105" s="33" t="e">
        <f>VLOOKUP(A1,Data1!$A$1:$DZU$1000000,1782,FALSE)</f>
        <v>#N/A</v>
      </c>
      <c r="N105" s="34" t="e">
        <f>VLOOKUP(A1,Data1!$A$1:$DZU$1000000,1783,FALSE)</f>
        <v>#N/A</v>
      </c>
      <c r="O105" s="33" t="e">
        <f>VLOOKUP(A1,Data1!$A$1:$DZU$1000000,1784,FALSE)</f>
        <v>#N/A</v>
      </c>
      <c r="P105" s="46" t="e">
        <f>VLOOKUP(A1,Data1!$A$1:$DZU$1000000,1785,FALSE)</f>
        <v>#N/A</v>
      </c>
      <c r="Q105" s="33" t="e">
        <f>VLOOKUP(A1,Data1!$A$1:$DZU$1000000,1786,FALSE)</f>
        <v>#N/A</v>
      </c>
    </row>
    <row r="106" spans="1:17" x14ac:dyDescent="0.35">
      <c r="A106" s="22" t="e">
        <f>VLOOKUP(A1,Data1!$A$1:$DZU$1000000,1787,FALSE)</f>
        <v>#N/A</v>
      </c>
      <c r="B106" s="37" t="e">
        <f>VLOOKUP(A1,Data1!$A$1:$DZU$1000000,1788,FALSE)</f>
        <v>#N/A</v>
      </c>
      <c r="C106" s="38" t="e">
        <f>VLOOKUP(A1,Data1!$A$1:$DZU$1000000,1789,FALSE)</f>
        <v>#N/A</v>
      </c>
      <c r="D106" s="31" t="e">
        <f>VLOOKUP(A1,Data1!$A$1:$DZU$1000000,1790,FALSE)</f>
        <v>#N/A</v>
      </c>
      <c r="E106" s="32" t="e">
        <f>VLOOKUP(A1,Data1!$A$1:$DZU$1000000,1791,FALSE)</f>
        <v>#N/A</v>
      </c>
      <c r="F106" s="34" t="e">
        <f>VLOOKUP(A1,Data1!$A$1:$DZU$1000000,1792,FALSE)</f>
        <v>#N/A</v>
      </c>
      <c r="G106" s="33" t="e">
        <f>VLOOKUP(A1,Data1!$A$1:$DZU$1000000,1793,FALSE)</f>
        <v>#N/A</v>
      </c>
      <c r="H106" s="34" t="e">
        <f>VLOOKUP(A1,Data1!$A$1:$DZU$1000000,1794,FALSE)</f>
        <v>#N/A</v>
      </c>
      <c r="I106" s="33" t="e">
        <f>VLOOKUP(A1,Data1!$A$1:$DZU$1000000,1795,FALSE)</f>
        <v>#N/A</v>
      </c>
      <c r="J106" s="34" t="e">
        <f>VLOOKUP(A1,Data1!$A$1:$DZU$1000000,1796,FALSE)</f>
        <v>#N/A</v>
      </c>
      <c r="K106" s="34" t="e">
        <f>VLOOKUP(A1,Data1!$A$1:$DZU$1000000,1797,FALSE)</f>
        <v>#N/A</v>
      </c>
      <c r="L106" s="93" t="e">
        <f>VLOOKUP(A1,Data1!$A$1:$DZU$1000000,1798,FALSE)</f>
        <v>#N/A</v>
      </c>
      <c r="M106" s="33" t="e">
        <f>VLOOKUP(A1,Data1!$A$1:$DZU$1000000,1799,FALSE)</f>
        <v>#N/A</v>
      </c>
      <c r="N106" s="34" t="e">
        <f>VLOOKUP(A1,Data1!$A$1:$DZU$1000000,1800,FALSE)</f>
        <v>#N/A</v>
      </c>
      <c r="O106" s="33" t="e">
        <f>VLOOKUP(A1,Data1!$A$1:$DZU$1000000,1801,FALSE)</f>
        <v>#N/A</v>
      </c>
      <c r="P106" s="46" t="e">
        <f>VLOOKUP(A1,Data1!$A$1:$DZU$1000000,1802,FALSE)</f>
        <v>#N/A</v>
      </c>
      <c r="Q106" s="33" t="e">
        <f>VLOOKUP(A1,Data1!$A$1:$DZU$1000000,1803,FALSE)</f>
        <v>#N/A</v>
      </c>
    </row>
    <row r="107" spans="1:17" x14ac:dyDescent="0.35">
      <c r="A107" s="22" t="e">
        <f>VLOOKUP(A1,Data1!$A$1:$DZU$1000000,1804,FALSE)</f>
        <v>#N/A</v>
      </c>
      <c r="B107" s="37" t="e">
        <f>VLOOKUP(A1,Data1!$A$1:$DZU$1000000,1805,FALSE)</f>
        <v>#N/A</v>
      </c>
      <c r="C107" s="38" t="e">
        <f>VLOOKUP(A1,Data1!$A$1:$DZU$1000000,1806,FALSE)</f>
        <v>#N/A</v>
      </c>
      <c r="D107" s="31" t="e">
        <f>VLOOKUP(A1,Data1!$A$1:$DZU$1000000,1807,FALSE)</f>
        <v>#N/A</v>
      </c>
      <c r="E107" s="32" t="e">
        <f>VLOOKUP(A1,Data1!$A$1:$DZU$1000000,1808,FALSE)</f>
        <v>#N/A</v>
      </c>
      <c r="F107" s="34" t="e">
        <f>VLOOKUP(A1,Data1!$A$1:$DZU$1000000,1809,FALSE)</f>
        <v>#N/A</v>
      </c>
      <c r="G107" s="33" t="e">
        <f>VLOOKUP(A1,Data1!$A$1:$DZU$1000000,1810,FALSE)</f>
        <v>#N/A</v>
      </c>
      <c r="H107" s="34" t="e">
        <f>VLOOKUP(A1,Data1!$A$1:$DZU$1000000,1811,FALSE)</f>
        <v>#N/A</v>
      </c>
      <c r="I107" s="33" t="e">
        <f>VLOOKUP(A1,Data1!$A$1:$DZU$1000000,1812,FALSE)</f>
        <v>#N/A</v>
      </c>
      <c r="J107" s="34" t="e">
        <f>VLOOKUP(A1,Data1!$A$1:$DZU$1000000,1813,FALSE)</f>
        <v>#N/A</v>
      </c>
      <c r="K107" s="34" t="e">
        <f>VLOOKUP(A1,Data1!$A$1:$DZU$1000000,1814,FALSE)</f>
        <v>#N/A</v>
      </c>
      <c r="L107" s="93" t="e">
        <f>VLOOKUP(A1,Data1!$A$1:$DZU$1000000,1815,FALSE)</f>
        <v>#N/A</v>
      </c>
      <c r="M107" s="33" t="e">
        <f>VLOOKUP(A1,Data1!$A$1:$DZU$1000000,1816,FALSE)</f>
        <v>#N/A</v>
      </c>
      <c r="N107" s="34" t="e">
        <f>VLOOKUP(A1,Data1!$A$1:$DZU$1000000,1817,FALSE)</f>
        <v>#N/A</v>
      </c>
      <c r="O107" s="33" t="e">
        <f>VLOOKUP(A1,Data1!$A$1:$DZU$1000000,1818,FALSE)</f>
        <v>#N/A</v>
      </c>
      <c r="P107" s="46" t="e">
        <f>VLOOKUP(A1,Data1!$A$1:$DZU$1000000,1819,FALSE)</f>
        <v>#N/A</v>
      </c>
      <c r="Q107" s="33" t="e">
        <f>VLOOKUP(A1,Data1!$A$1:$DZU$1000000,1820,FALSE)</f>
        <v>#N/A</v>
      </c>
    </row>
    <row r="108" spans="1:17" x14ac:dyDescent="0.35">
      <c r="A108" s="22" t="e">
        <f>VLOOKUP(A1,Data1!$A$1:$DZU$1000000,1821,FALSE)</f>
        <v>#N/A</v>
      </c>
      <c r="B108" s="37" t="e">
        <f>VLOOKUP(A1,Data1!$A$1:$DZU$1000000,1822,FALSE)</f>
        <v>#N/A</v>
      </c>
      <c r="C108" s="38" t="e">
        <f>VLOOKUP(A1,Data1!$A$1:$DZU$1000000,1823,FALSE)</f>
        <v>#N/A</v>
      </c>
      <c r="D108" s="31" t="e">
        <f>VLOOKUP(A1,Data1!$A$1:$DZU$1000000,1824,FALSE)</f>
        <v>#N/A</v>
      </c>
      <c r="E108" s="32" t="e">
        <f>VLOOKUP(A1,Data1!$A$1:$DZU$1000000,1825,FALSE)</f>
        <v>#N/A</v>
      </c>
      <c r="F108" s="34" t="e">
        <f>VLOOKUP(A1,Data1!$A$1:$DZU$1000000,1826,FALSE)</f>
        <v>#N/A</v>
      </c>
      <c r="G108" s="33" t="e">
        <f>VLOOKUP(A1,Data1!$A$1:$DZU$1000000,1827,FALSE)</f>
        <v>#N/A</v>
      </c>
      <c r="H108" s="34" t="e">
        <f>VLOOKUP(A1,Data1!$A$1:$DZU$1000000,1828,FALSE)</f>
        <v>#N/A</v>
      </c>
      <c r="I108" s="33" t="e">
        <f>VLOOKUP(A1,Data1!$A$1:$DZU$1000000,1829,FALSE)</f>
        <v>#N/A</v>
      </c>
      <c r="J108" s="34" t="e">
        <f>VLOOKUP(A1,Data1!$A$1:$DZU$1000000,1830,FALSE)</f>
        <v>#N/A</v>
      </c>
      <c r="K108" s="34" t="e">
        <f>VLOOKUP(A1,Data1!$A$1:$DZU$1000000,1831,FALSE)</f>
        <v>#N/A</v>
      </c>
      <c r="L108" s="93" t="e">
        <f>VLOOKUP(A1,Data1!$A$1:$DZU$1000000,1832,FALSE)</f>
        <v>#N/A</v>
      </c>
      <c r="M108" s="33" t="e">
        <f>VLOOKUP(A1,Data1!$A$1:$DZU$1000000,1833,FALSE)</f>
        <v>#N/A</v>
      </c>
      <c r="N108" s="34" t="e">
        <f>VLOOKUP(A1,Data1!$A$1:$DZU$1000000,1834,FALSE)</f>
        <v>#N/A</v>
      </c>
      <c r="O108" s="33" t="e">
        <f>VLOOKUP(A1,Data1!$A$1:$DZU$1000000,1835,FALSE)</f>
        <v>#N/A</v>
      </c>
      <c r="P108" s="46" t="e">
        <f>VLOOKUP(A1,Data1!$A$1:$DZU$1000000,1836,FALSE)</f>
        <v>#N/A</v>
      </c>
      <c r="Q108" s="33" t="e">
        <f>VLOOKUP(A1,Data1!$A$1:$DZU$1000000,1837,FALSE)</f>
        <v>#N/A</v>
      </c>
    </row>
    <row r="109" spans="1:17" x14ac:dyDescent="0.35">
      <c r="A109" s="22" t="e">
        <f>VLOOKUP(A1,Data1!$A$1:$DZU$1000000,1838,FALSE)</f>
        <v>#N/A</v>
      </c>
      <c r="B109" s="37" t="e">
        <f>VLOOKUP(A1,Data1!$A$1:$DZU$1000000,1839,FALSE)</f>
        <v>#N/A</v>
      </c>
      <c r="C109" s="38" t="e">
        <f>VLOOKUP(A1,Data1!$A$1:$DZU$1000000,1840,FALSE)</f>
        <v>#N/A</v>
      </c>
      <c r="D109" s="31" t="e">
        <f>VLOOKUP(A1,Data1!$A$1:$DZU$1000000,1841,FALSE)</f>
        <v>#N/A</v>
      </c>
      <c r="E109" s="32" t="e">
        <f>VLOOKUP(A1,Data1!$A$1:$DZU$1000000,1842,FALSE)</f>
        <v>#N/A</v>
      </c>
      <c r="F109" s="34" t="e">
        <f>VLOOKUP(A1,Data1!$A$1:$DZU$1000000,1843,FALSE)</f>
        <v>#N/A</v>
      </c>
      <c r="G109" s="33" t="e">
        <f>VLOOKUP(A1,Data1!$A$1:$DZU$1000000,1844,FALSE)</f>
        <v>#N/A</v>
      </c>
      <c r="H109" s="34" t="e">
        <f>VLOOKUP(A1,Data1!$A$1:$DZU$1000000,1845,FALSE)</f>
        <v>#N/A</v>
      </c>
      <c r="I109" s="33" t="e">
        <f>VLOOKUP(A1,Data1!$A$1:$DZU$1000000,1846,FALSE)</f>
        <v>#N/A</v>
      </c>
      <c r="J109" s="34" t="e">
        <f>VLOOKUP(A1,Data1!$A$1:$DZU$1000000,1847,FALSE)</f>
        <v>#N/A</v>
      </c>
      <c r="K109" s="34" t="e">
        <f>VLOOKUP(A1,Data1!$A$1:$DZU$1000000,1848,FALSE)</f>
        <v>#N/A</v>
      </c>
      <c r="L109" s="93" t="e">
        <f>VLOOKUP(A1,Data1!$A$1:$DZU$1000000,1849,FALSE)</f>
        <v>#N/A</v>
      </c>
      <c r="M109" s="33" t="e">
        <f>VLOOKUP(A1,Data1!$A$1:$DZU$1000000,1850,FALSE)</f>
        <v>#N/A</v>
      </c>
      <c r="N109" s="34" t="e">
        <f>VLOOKUP(A1,Data1!$A$1:$DZU$1000000,1851,FALSE)</f>
        <v>#N/A</v>
      </c>
      <c r="O109" s="33" t="e">
        <f>VLOOKUP(A1,Data1!$A$1:$DZU$1000000,1852,FALSE)</f>
        <v>#N/A</v>
      </c>
      <c r="P109" s="46" t="e">
        <f>VLOOKUP(A1,Data1!$A$1:$DZU$1000000,1853,FALSE)</f>
        <v>#N/A</v>
      </c>
      <c r="Q109" s="33" t="e">
        <f>VLOOKUP(A1,Data1!$A$1:$DZU$1000000,1854,FALSE)</f>
        <v>#N/A</v>
      </c>
    </row>
    <row r="110" spans="1:17" x14ac:dyDescent="0.35">
      <c r="A110" s="22" t="e">
        <f>VLOOKUP(A1,Data1!$A$1:$DZU$1000000,1855,FALSE)</f>
        <v>#N/A</v>
      </c>
      <c r="B110" s="37" t="e">
        <f>VLOOKUP(A1,Data1!$A$1:$DZU$1000000,1856,FALSE)</f>
        <v>#N/A</v>
      </c>
      <c r="C110" s="38" t="e">
        <f>VLOOKUP(A1,Data1!$A$1:$DZU$1000000,1857,FALSE)</f>
        <v>#N/A</v>
      </c>
      <c r="D110" s="31" t="e">
        <f>VLOOKUP(A1,Data1!$A$1:$DZU$1000000,1858,FALSE)</f>
        <v>#N/A</v>
      </c>
      <c r="E110" s="32" t="e">
        <f>VLOOKUP(A1,Data1!$A$1:$DZU$1000000,1859,FALSE)</f>
        <v>#N/A</v>
      </c>
      <c r="F110" s="34" t="e">
        <f>VLOOKUP(A1,Data1!$A$1:$DZU$1000000,1860,FALSE)</f>
        <v>#N/A</v>
      </c>
      <c r="G110" s="33" t="e">
        <f>VLOOKUP(A1,Data1!$A$1:$DZU$1000000,1861,FALSE)</f>
        <v>#N/A</v>
      </c>
      <c r="H110" s="34" t="e">
        <f>VLOOKUP(A1,Data1!$A$1:$DZU$1000000,1862,FALSE)</f>
        <v>#N/A</v>
      </c>
      <c r="I110" s="33" t="e">
        <f>VLOOKUP(A1,Data1!$A$1:$DZU$1000000,1863,FALSE)</f>
        <v>#N/A</v>
      </c>
      <c r="J110" s="34" t="e">
        <f>VLOOKUP(A1,Data1!$A$1:$DZU$1000000,1864,FALSE)</f>
        <v>#N/A</v>
      </c>
      <c r="K110" s="34" t="e">
        <f>VLOOKUP(A1,Data1!$A$1:$DZU$1000000,1865,FALSE)</f>
        <v>#N/A</v>
      </c>
      <c r="L110" s="93" t="e">
        <f>VLOOKUP(A1,Data1!$A$1:$DZU$1000000,1866,FALSE)</f>
        <v>#N/A</v>
      </c>
      <c r="M110" s="33" t="e">
        <f>VLOOKUP(A1,Data1!$A$1:$DZU$1000000,1867,FALSE)</f>
        <v>#N/A</v>
      </c>
      <c r="N110" s="34" t="e">
        <f>VLOOKUP(A1,Data1!$A$1:$DZU$1000000,1868,FALSE)</f>
        <v>#N/A</v>
      </c>
      <c r="O110" s="33" t="e">
        <f>VLOOKUP(A1,Data1!$A$1:$DZU$1000000,1869,FALSE)</f>
        <v>#N/A</v>
      </c>
      <c r="P110" s="46" t="e">
        <f>VLOOKUP(A1,Data1!$A$1:$DZU$1000000,1870,FALSE)</f>
        <v>#N/A</v>
      </c>
      <c r="Q110" s="33" t="e">
        <f>VLOOKUP(A1,Data1!$A$1:$DZU$1000000,1871,FALSE)</f>
        <v>#N/A</v>
      </c>
    </row>
    <row r="111" spans="1:17" x14ac:dyDescent="0.35">
      <c r="A111" s="22" t="e">
        <f>VLOOKUP(A1,Data1!$A$1:$DZU$1000000,1872,FALSE)</f>
        <v>#N/A</v>
      </c>
      <c r="B111" s="37" t="e">
        <f>VLOOKUP(A1,Data1!$A$1:$DZU$1000000,1873,FALSE)</f>
        <v>#N/A</v>
      </c>
      <c r="C111" s="38" t="e">
        <f>VLOOKUP(A1,Data1!$A$1:$DZU$1000000,1874,FALSE)</f>
        <v>#N/A</v>
      </c>
      <c r="D111" s="31" t="e">
        <f>VLOOKUP(A1,Data1!$A$1:$DZU$1000000,1875,FALSE)</f>
        <v>#N/A</v>
      </c>
      <c r="E111" s="32" t="e">
        <f>VLOOKUP(A1,Data1!$A$1:$DZU$1000000,1876,FALSE)</f>
        <v>#N/A</v>
      </c>
      <c r="F111" s="34" t="e">
        <f>VLOOKUP(A1,Data1!$A$1:$DZU$1000000,1877,FALSE)</f>
        <v>#N/A</v>
      </c>
      <c r="G111" s="33" t="e">
        <f>VLOOKUP(A1,Data1!$A$1:$DZU$1000000,1878,FALSE)</f>
        <v>#N/A</v>
      </c>
      <c r="H111" s="34" t="e">
        <f>VLOOKUP(A1,Data1!$A$1:$DZU$1000000,1879,FALSE)</f>
        <v>#N/A</v>
      </c>
      <c r="I111" s="33" t="e">
        <f>VLOOKUP(A1,Data1!$A$1:$DZU$1000000,1880,FALSE)</f>
        <v>#N/A</v>
      </c>
      <c r="J111" s="34" t="e">
        <f>VLOOKUP(A1,Data1!$A$1:$DZU$1000000,1881,FALSE)</f>
        <v>#N/A</v>
      </c>
      <c r="K111" s="34" t="e">
        <f>VLOOKUP(A1,Data1!$A$1:$DZU$1000000,1882,FALSE)</f>
        <v>#N/A</v>
      </c>
      <c r="L111" s="93" t="e">
        <f>VLOOKUP(A1,Data1!$A$1:$DZU$1000000,1883,FALSE)</f>
        <v>#N/A</v>
      </c>
      <c r="M111" s="33" t="e">
        <f>VLOOKUP(A1,Data1!$A$1:$DZU$1000000,1884,FALSE)</f>
        <v>#N/A</v>
      </c>
      <c r="N111" s="34" t="e">
        <f>VLOOKUP(A1,Data1!$A$1:$DZU$1000000,1885,FALSE)</f>
        <v>#N/A</v>
      </c>
      <c r="O111" s="33" t="e">
        <f>VLOOKUP(A1,Data1!$A$1:$DZU$1000000,1886,FALSE)</f>
        <v>#N/A</v>
      </c>
      <c r="P111" s="46" t="e">
        <f>VLOOKUP(A1,Data1!$A$1:$DZU$1000000,1887,FALSE)</f>
        <v>#N/A</v>
      </c>
      <c r="Q111" s="33" t="e">
        <f>VLOOKUP(A1,Data1!$A$1:$DZU$1000000,1888,FALSE)</f>
        <v>#N/A</v>
      </c>
    </row>
    <row r="112" spans="1:17" x14ac:dyDescent="0.35">
      <c r="A112" s="22" t="e">
        <f>VLOOKUP(A1,Data1!$A$1:$DZU$1000000,1889,FALSE)</f>
        <v>#N/A</v>
      </c>
      <c r="B112" s="37" t="e">
        <f>VLOOKUP(A1,Data1!$A$1:$DZU$1000000,1890,FALSE)</f>
        <v>#N/A</v>
      </c>
      <c r="C112" s="38" t="e">
        <f>VLOOKUP(A1,Data1!$A$1:$DZU$1000000,1891,FALSE)</f>
        <v>#N/A</v>
      </c>
      <c r="D112" s="31" t="e">
        <f>VLOOKUP(A1,Data1!$A$1:$DZU$1000000,1892,FALSE)</f>
        <v>#N/A</v>
      </c>
      <c r="E112" s="32" t="e">
        <f>VLOOKUP(A1,Data1!$A$1:$DZU$1000000,1893,FALSE)</f>
        <v>#N/A</v>
      </c>
      <c r="F112" s="34" t="e">
        <f>VLOOKUP(A1,Data1!$A$1:$DZU$1000000,1894,FALSE)</f>
        <v>#N/A</v>
      </c>
      <c r="G112" s="33" t="e">
        <f>VLOOKUP(A1,Data1!$A$1:$DZU$1000000,1895,FALSE)</f>
        <v>#N/A</v>
      </c>
      <c r="H112" s="34" t="e">
        <f>VLOOKUP(A1,Data1!$A$1:$DZU$1000000,1896,FALSE)</f>
        <v>#N/A</v>
      </c>
      <c r="I112" s="33" t="e">
        <f>VLOOKUP(A1,Data1!$A$1:$DZU$1000000,1897,FALSE)</f>
        <v>#N/A</v>
      </c>
      <c r="J112" s="34" t="e">
        <f>VLOOKUP(A1,Data1!$A$1:$DZU$1000000,1898,FALSE)</f>
        <v>#N/A</v>
      </c>
      <c r="K112" s="34" t="e">
        <f>VLOOKUP(A1,Data1!$A$1:$DZU$1000000,1899,FALSE)</f>
        <v>#N/A</v>
      </c>
      <c r="L112" s="93" t="e">
        <f>VLOOKUP(A1,Data1!$A$1:$DZU$1000000,1900,FALSE)</f>
        <v>#N/A</v>
      </c>
      <c r="M112" s="33" t="e">
        <f>VLOOKUP(A1,Data1!$A$1:$DZU$1000000,1901,FALSE)</f>
        <v>#N/A</v>
      </c>
      <c r="N112" s="34" t="e">
        <f>VLOOKUP(A1,Data1!$A$1:$DZU$1000000,1902,FALSE)</f>
        <v>#N/A</v>
      </c>
      <c r="O112" s="33" t="e">
        <f>VLOOKUP(A1,Data1!$A$1:$DZU$1000000,1903,FALSE)</f>
        <v>#N/A</v>
      </c>
      <c r="P112" s="46" t="e">
        <f>VLOOKUP(A1,Data1!$A$1:$DZU$1000000,1904,FALSE)</f>
        <v>#N/A</v>
      </c>
      <c r="Q112" s="33" t="e">
        <f>VLOOKUP(A1,Data1!$A$1:$DZU$1000000,1905,FALSE)</f>
        <v>#N/A</v>
      </c>
    </row>
    <row r="113" spans="1:17" x14ac:dyDescent="0.35">
      <c r="A113" s="22" t="e">
        <f>VLOOKUP(A1,Data1!$A$1:$DZU$1000000,1906,FALSE)</f>
        <v>#N/A</v>
      </c>
      <c r="B113" s="37" t="e">
        <f>VLOOKUP(A1,Data1!$A$1:$DZU$1000000,1907,FALSE)</f>
        <v>#N/A</v>
      </c>
      <c r="C113" s="38" t="e">
        <f>VLOOKUP(A1,Data1!$A$1:$DZU$1000000,1908,FALSE)</f>
        <v>#N/A</v>
      </c>
      <c r="D113" s="31" t="e">
        <f>VLOOKUP(A1,Data1!$A$1:$DZU$1000000,1909,FALSE)</f>
        <v>#N/A</v>
      </c>
      <c r="E113" s="32" t="e">
        <f>VLOOKUP(A1,Data1!$A$1:$DZU$1000000,1910,FALSE)</f>
        <v>#N/A</v>
      </c>
      <c r="F113" s="34" t="e">
        <f>VLOOKUP(A1,Data1!$A$1:$DZU$1000000,1911,FALSE)</f>
        <v>#N/A</v>
      </c>
      <c r="G113" s="33" t="e">
        <f>VLOOKUP(A1,Data1!$A$1:$DZU$1000000,1912,FALSE)</f>
        <v>#N/A</v>
      </c>
      <c r="H113" s="34" t="e">
        <f>VLOOKUP(A1,Data1!$A$1:$DZU$1000000,1913,FALSE)</f>
        <v>#N/A</v>
      </c>
      <c r="I113" s="33" t="e">
        <f>VLOOKUP(A1,Data1!$A$1:$DZU$1000000,1914,FALSE)</f>
        <v>#N/A</v>
      </c>
      <c r="J113" s="34" t="e">
        <f>VLOOKUP(A1,Data1!$A$1:$DZU$1000000,1915,FALSE)</f>
        <v>#N/A</v>
      </c>
      <c r="K113" s="34" t="e">
        <f>VLOOKUP(A1,Data1!$A$1:$DZU$1000000,1916,FALSE)</f>
        <v>#N/A</v>
      </c>
      <c r="L113" s="93" t="e">
        <f>VLOOKUP(A1,Data1!$A$1:$DZU$1000000,1917,FALSE)</f>
        <v>#N/A</v>
      </c>
      <c r="M113" s="33" t="e">
        <f>VLOOKUP(A1,Data1!$A$1:$DZU$1000000,1918,FALSE)</f>
        <v>#N/A</v>
      </c>
      <c r="N113" s="34" t="e">
        <f>VLOOKUP(A1,Data1!$A$1:$DZU$1000000,1919,FALSE)</f>
        <v>#N/A</v>
      </c>
      <c r="O113" s="33" t="e">
        <f>VLOOKUP(A1,Data1!$A$1:$DZU$1000000,1920,FALSE)</f>
        <v>#N/A</v>
      </c>
      <c r="P113" s="46" t="e">
        <f>VLOOKUP(A1,Data1!$A$1:$DZU$1000000,1921,FALSE)</f>
        <v>#N/A</v>
      </c>
      <c r="Q113" s="33" t="e">
        <f>VLOOKUP(A1,Data1!$A$1:$DZU$1000000,1922,FALSE)</f>
        <v>#N/A</v>
      </c>
    </row>
    <row r="114" spans="1:17" x14ac:dyDescent="0.35">
      <c r="A114" s="22" t="e">
        <f>VLOOKUP(A1,Data1!$A$1:$DZU$1000000,1923,FALSE)</f>
        <v>#N/A</v>
      </c>
      <c r="B114" s="37" t="e">
        <f>VLOOKUP(A1,Data1!$A$1:$DZU$1000000,1924,FALSE)</f>
        <v>#N/A</v>
      </c>
      <c r="C114" s="38" t="e">
        <f>VLOOKUP(A1,Data1!$A$1:$DZU$1000000,1925,FALSE)</f>
        <v>#N/A</v>
      </c>
      <c r="D114" s="31" t="e">
        <f>VLOOKUP(A1,Data1!$A$1:$DZU$1000000,1926,FALSE)</f>
        <v>#N/A</v>
      </c>
      <c r="E114" s="32" t="e">
        <f>VLOOKUP(A1,Data1!$A$1:$DZU$1000000,1927,FALSE)</f>
        <v>#N/A</v>
      </c>
      <c r="F114" s="34" t="e">
        <f>VLOOKUP(A1,Data1!$A$1:$DZU$1000000,1928,FALSE)</f>
        <v>#N/A</v>
      </c>
      <c r="G114" s="33" t="e">
        <f>VLOOKUP(A1,Data1!$A$1:$DZU$1000000,1929,FALSE)</f>
        <v>#N/A</v>
      </c>
      <c r="H114" s="34" t="e">
        <f>VLOOKUP(A1,Data1!$A$1:$DZU$1000000,1930,FALSE)</f>
        <v>#N/A</v>
      </c>
      <c r="I114" s="33" t="e">
        <f>VLOOKUP(A1,Data1!$A$1:$DZU$1000000,1931,FALSE)</f>
        <v>#N/A</v>
      </c>
      <c r="J114" s="34" t="e">
        <f>VLOOKUP(A1,Data1!$A$1:$DZU$1000000,1932,FALSE)</f>
        <v>#N/A</v>
      </c>
      <c r="K114" s="34" t="e">
        <f>VLOOKUP(A1,Data1!$A$1:$DZU$1000000,1933,FALSE)</f>
        <v>#N/A</v>
      </c>
      <c r="L114" s="93" t="e">
        <f>VLOOKUP(A1,Data1!$A$1:$DZU$1000000,1934,FALSE)</f>
        <v>#N/A</v>
      </c>
      <c r="M114" s="33" t="e">
        <f>VLOOKUP(A1,Data1!$A$1:$DZU$1000000,1935,FALSE)</f>
        <v>#N/A</v>
      </c>
      <c r="N114" s="34" t="e">
        <f>VLOOKUP(A1,Data1!$A$1:$DZU$1000000,1936,FALSE)</f>
        <v>#N/A</v>
      </c>
      <c r="O114" s="33" t="e">
        <f>VLOOKUP(A1,Data1!$A$1:$DZU$1000000,1937,FALSE)</f>
        <v>#N/A</v>
      </c>
      <c r="P114" s="46" t="e">
        <f>VLOOKUP(A1,Data1!$A$1:$DZU$1000000,1938,FALSE)</f>
        <v>#N/A</v>
      </c>
      <c r="Q114" s="33" t="e">
        <f>VLOOKUP(A1,Data1!$A$1:$DZU$1000000,1939,FALSE)</f>
        <v>#N/A</v>
      </c>
    </row>
    <row r="115" spans="1:17" x14ac:dyDescent="0.35">
      <c r="A115" s="22" t="e">
        <f>VLOOKUP(A1,Data1!$A$1:$DZU$1000000,1940,FALSE)</f>
        <v>#N/A</v>
      </c>
      <c r="B115" s="37" t="e">
        <f>VLOOKUP(A1,Data1!$A$1:$DZU$1000000,1941,FALSE)</f>
        <v>#N/A</v>
      </c>
      <c r="C115" s="38" t="e">
        <f>VLOOKUP(A1,Data1!$A$1:$DZU$1000000,1942,FALSE)</f>
        <v>#N/A</v>
      </c>
      <c r="D115" s="31" t="e">
        <f>VLOOKUP(A1,Data1!$A$1:$DZU$1000000,1943,FALSE)</f>
        <v>#N/A</v>
      </c>
      <c r="E115" s="32" t="e">
        <f>VLOOKUP(A1,Data1!$A$1:$DZU$1000000,1944,FALSE)</f>
        <v>#N/A</v>
      </c>
      <c r="F115" s="34" t="e">
        <f>VLOOKUP(A1,Data1!$A$1:$DZU$1000000,1945,FALSE)</f>
        <v>#N/A</v>
      </c>
      <c r="G115" s="33" t="e">
        <f>VLOOKUP(A1,Data1!$A$1:$DZU$1000000,1946,FALSE)</f>
        <v>#N/A</v>
      </c>
      <c r="H115" s="34" t="e">
        <f>VLOOKUP(A1,Data1!$A$1:$DZU$1000000,1947,FALSE)</f>
        <v>#N/A</v>
      </c>
      <c r="I115" s="33" t="e">
        <f>VLOOKUP(A1,Data1!$A$1:$DZU$1000000,1948,FALSE)</f>
        <v>#N/A</v>
      </c>
      <c r="J115" s="34" t="e">
        <f>VLOOKUP(A1,Data1!$A$1:$DZU$1000000,1949,FALSE)</f>
        <v>#N/A</v>
      </c>
      <c r="K115" s="34" t="e">
        <f>VLOOKUP(A1,Data1!$A$1:$DZU$1000000,1950,FALSE)</f>
        <v>#N/A</v>
      </c>
      <c r="L115" s="93" t="e">
        <f>VLOOKUP(A1,Data1!$A$1:$DZU$1000000,1951,FALSE)</f>
        <v>#N/A</v>
      </c>
      <c r="M115" s="33" t="e">
        <f>VLOOKUP(A1,Data1!$A$1:$DZU$1000000,1952,FALSE)</f>
        <v>#N/A</v>
      </c>
      <c r="N115" s="34" t="e">
        <f>VLOOKUP(A1,Data1!$A$1:$DZU$1000000,1953,FALSE)</f>
        <v>#N/A</v>
      </c>
      <c r="O115" s="33" t="e">
        <f>VLOOKUP(A1,Data1!$A$1:$DZU$1000000,1954,FALSE)</f>
        <v>#N/A</v>
      </c>
      <c r="P115" s="46" t="e">
        <f>VLOOKUP(A1,Data1!$A$1:$DZU$1000000,1955,FALSE)</f>
        <v>#N/A</v>
      </c>
      <c r="Q115" s="33" t="e">
        <f>VLOOKUP(A1,Data1!$A$1:$DZU$1000000,1956,FALSE)</f>
        <v>#N/A</v>
      </c>
    </row>
    <row r="116" spans="1:17" x14ac:dyDescent="0.35">
      <c r="A116" s="22" t="e">
        <f>VLOOKUP(A1,Data1!$A$1:$DZU$1000000,1957,FALSE)</f>
        <v>#N/A</v>
      </c>
      <c r="B116" s="37" t="e">
        <f>VLOOKUP(A1,Data1!$A$1:$DZU$1000000,1958,FALSE)</f>
        <v>#N/A</v>
      </c>
      <c r="C116" s="38" t="e">
        <f>VLOOKUP(A1,Data1!$A$1:$DZU$1000000,1959,FALSE)</f>
        <v>#N/A</v>
      </c>
      <c r="D116" s="31" t="e">
        <f>VLOOKUP(A1,Data1!$A$1:$DZU$1000000,1960,FALSE)</f>
        <v>#N/A</v>
      </c>
      <c r="E116" s="32" t="e">
        <f>VLOOKUP(A1,Data1!$A$1:$DZU$1000000,1961,FALSE)</f>
        <v>#N/A</v>
      </c>
      <c r="F116" s="34" t="e">
        <f>VLOOKUP(A1,Data1!$A$1:$DZU$1000000,1962,FALSE)</f>
        <v>#N/A</v>
      </c>
      <c r="G116" s="33" t="e">
        <f>VLOOKUP(A1,Data1!$A$1:$DZU$1000000,1963,FALSE)</f>
        <v>#N/A</v>
      </c>
      <c r="H116" s="34" t="e">
        <f>VLOOKUP(A1,Data1!$A$1:$DZU$1000000,1964,FALSE)</f>
        <v>#N/A</v>
      </c>
      <c r="I116" s="33" t="e">
        <f>VLOOKUP(A1,Data1!$A$1:$DZU$1000000,1965,FALSE)</f>
        <v>#N/A</v>
      </c>
      <c r="J116" s="34" t="e">
        <f>VLOOKUP(A1,Data1!$A$1:$DZU$1000000,1966,FALSE)</f>
        <v>#N/A</v>
      </c>
      <c r="K116" s="34" t="e">
        <f>VLOOKUP(A1,Data1!$A$1:$DZU$1000000,1967,FALSE)</f>
        <v>#N/A</v>
      </c>
      <c r="L116" s="93" t="e">
        <f>VLOOKUP(A1,Data1!$A$1:$DZU$1000000,1968,FALSE)</f>
        <v>#N/A</v>
      </c>
      <c r="M116" s="33" t="e">
        <f>VLOOKUP(A1,Data1!$A$1:$DZU$1000000,1969,FALSE)</f>
        <v>#N/A</v>
      </c>
      <c r="N116" s="34" t="e">
        <f>VLOOKUP(A1,Data1!$A$1:$DZU$1000000,1970,FALSE)</f>
        <v>#N/A</v>
      </c>
      <c r="O116" s="33" t="e">
        <f>VLOOKUP(A1,Data1!$A$1:$DZU$1000000,1971,FALSE)</f>
        <v>#N/A</v>
      </c>
      <c r="P116" s="46" t="e">
        <f>VLOOKUP(A1,Data1!$A$1:$DZU$1000000,1972,FALSE)</f>
        <v>#N/A</v>
      </c>
      <c r="Q116" s="33" t="e">
        <f>VLOOKUP(A1,Data1!$A$1:$DZU$1000000,1973,FALSE)</f>
        <v>#N/A</v>
      </c>
    </row>
    <row r="117" spans="1:17" x14ac:dyDescent="0.35">
      <c r="A117" s="22" t="e">
        <f>VLOOKUP(A1,Data1!$A$1:$DZU$1000000,1974,FALSE)</f>
        <v>#N/A</v>
      </c>
      <c r="B117" s="37" t="e">
        <f>VLOOKUP(A1,Data1!$A$1:$DZU$1000000,1975,FALSE)</f>
        <v>#N/A</v>
      </c>
      <c r="C117" s="38" t="e">
        <f>VLOOKUP(A1,Data1!$A$1:$DZU$1000000,1976,FALSE)</f>
        <v>#N/A</v>
      </c>
      <c r="D117" s="31" t="e">
        <f>VLOOKUP(A1,Data1!$A$1:$DZU$1000000,1977,FALSE)</f>
        <v>#N/A</v>
      </c>
      <c r="E117" s="32" t="e">
        <f>VLOOKUP(A1,Data1!$A$1:$DZU$1000000,1978,FALSE)</f>
        <v>#N/A</v>
      </c>
      <c r="F117" s="34" t="e">
        <f>VLOOKUP(A1,Data1!$A$1:$DZU$1000000,1979,FALSE)</f>
        <v>#N/A</v>
      </c>
      <c r="G117" s="33" t="e">
        <f>VLOOKUP(A1,Data1!$A$1:$DZU$1000000,1980,FALSE)</f>
        <v>#N/A</v>
      </c>
      <c r="H117" s="34" t="e">
        <f>VLOOKUP(A1,Data1!$A$1:$DZU$1000000,1981,FALSE)</f>
        <v>#N/A</v>
      </c>
      <c r="I117" s="33" t="e">
        <f>VLOOKUP(A1,Data1!$A$1:$DZU$1000000,1982,FALSE)</f>
        <v>#N/A</v>
      </c>
      <c r="J117" s="34" t="e">
        <f>VLOOKUP(A1,Data1!$A$1:$DZU$1000000,1983,FALSE)</f>
        <v>#N/A</v>
      </c>
      <c r="K117" s="34" t="e">
        <f>VLOOKUP(A1,Data1!$A$1:$DZU$1000000,1984,FALSE)</f>
        <v>#N/A</v>
      </c>
      <c r="L117" s="93" t="e">
        <f>VLOOKUP(A1,Data1!$A$1:$DZU$1000000,1985,FALSE)</f>
        <v>#N/A</v>
      </c>
      <c r="M117" s="33" t="e">
        <f>VLOOKUP(A1,Data1!$A$1:$DZU$1000000,1986,FALSE)</f>
        <v>#N/A</v>
      </c>
      <c r="N117" s="34" t="e">
        <f>VLOOKUP(A1,Data1!$A$1:$DZU$1000000,1987,FALSE)</f>
        <v>#N/A</v>
      </c>
      <c r="O117" s="33" t="e">
        <f>VLOOKUP(A1,Data1!$A$1:$DZU$1000000,1988,FALSE)</f>
        <v>#N/A</v>
      </c>
      <c r="P117" s="46" t="e">
        <f>VLOOKUP(A1,Data1!$A$1:$DZU$1000000,1989,FALSE)</f>
        <v>#N/A</v>
      </c>
      <c r="Q117" s="33" t="e">
        <f>VLOOKUP(A1,Data1!$A$1:$DZU$1000000,1990,FALSE)</f>
        <v>#N/A</v>
      </c>
    </row>
    <row r="118" spans="1:17" x14ac:dyDescent="0.35">
      <c r="A118" s="22" t="e">
        <f>VLOOKUP(A1,Data1!$A$1:$DZU$1000000,1991,FALSE)</f>
        <v>#N/A</v>
      </c>
      <c r="B118" s="37" t="e">
        <f>VLOOKUP(A1,Data1!$A$1:$DZU$1000000,1992,FALSE)</f>
        <v>#N/A</v>
      </c>
      <c r="C118" s="38" t="e">
        <f>VLOOKUP(A1,Data1!$A$1:$DZU$1000000,1993,FALSE)</f>
        <v>#N/A</v>
      </c>
      <c r="D118" s="31" t="e">
        <f>VLOOKUP(A1,Data1!$A$1:$DZU$1000000,1994,FALSE)</f>
        <v>#N/A</v>
      </c>
      <c r="E118" s="32" t="e">
        <f>VLOOKUP(A1,Data1!$A$1:$DZU$1000000,1995,FALSE)</f>
        <v>#N/A</v>
      </c>
      <c r="F118" s="34" t="e">
        <f>VLOOKUP(A1,Data1!$A$1:$DZU$1000000,1996,FALSE)</f>
        <v>#N/A</v>
      </c>
      <c r="G118" s="33" t="e">
        <f>VLOOKUP(A1,Data1!$A$1:$DZU$1000000,1997,FALSE)</f>
        <v>#N/A</v>
      </c>
      <c r="H118" s="34" t="e">
        <f>VLOOKUP(A1,Data1!$A$1:$DZU$1000000,1998,FALSE)</f>
        <v>#N/A</v>
      </c>
      <c r="I118" s="33" t="e">
        <f>VLOOKUP(A1,Data1!$A$1:$DZU$1000000,1999,FALSE)</f>
        <v>#N/A</v>
      </c>
      <c r="J118" s="34" t="e">
        <f>VLOOKUP(A1,Data1!$A$1:$DZU$1000000,2000,FALSE)</f>
        <v>#N/A</v>
      </c>
      <c r="K118" s="34" t="e">
        <f>VLOOKUP(A1,Data1!$A$1:$DZU$1000000,2001,FALSE)</f>
        <v>#N/A</v>
      </c>
      <c r="L118" s="93" t="e">
        <f>VLOOKUP(A1,Data1!$A$1:$DZU$1000000,2002,FALSE)</f>
        <v>#N/A</v>
      </c>
      <c r="M118" s="33" t="e">
        <f>VLOOKUP(A1,Data1!$A$1:$DZU$1000000,2003,FALSE)</f>
        <v>#N/A</v>
      </c>
      <c r="N118" s="34" t="e">
        <f>VLOOKUP(A1,Data1!$A$1:$DZU$1000000,2004,FALSE)</f>
        <v>#N/A</v>
      </c>
      <c r="O118" s="33" t="e">
        <f>VLOOKUP(A1,Data1!$A$1:$DZU$1000000,2005,FALSE)</f>
        <v>#N/A</v>
      </c>
      <c r="P118" s="46" t="e">
        <f>VLOOKUP(A1,Data1!$A$1:$DZU$1000000,2006,FALSE)</f>
        <v>#N/A</v>
      </c>
      <c r="Q118" s="33" t="e">
        <f>VLOOKUP(A1,Data1!$A$1:$DZU$1000000,2007,FALSE)</f>
        <v>#N/A</v>
      </c>
    </row>
    <row r="119" spans="1:17" x14ac:dyDescent="0.35">
      <c r="A119" s="22" t="e">
        <f>VLOOKUP(A1,Data1!$A$1:$DZU$1000000,2008,FALSE)</f>
        <v>#N/A</v>
      </c>
      <c r="B119" s="37" t="e">
        <f>VLOOKUP(A1,Data1!$A$1:$DZU$1000000,2009,FALSE)</f>
        <v>#N/A</v>
      </c>
      <c r="C119" s="38" t="e">
        <f>VLOOKUP(A1,Data1!$A$1:$DZU$1000000,2010,FALSE)</f>
        <v>#N/A</v>
      </c>
      <c r="D119" s="31" t="e">
        <f>VLOOKUP(A1,Data1!$A$1:$DZU$1000000,2011,FALSE)</f>
        <v>#N/A</v>
      </c>
      <c r="E119" s="32" t="e">
        <f>VLOOKUP(A1,Data1!$A$1:$DZU$1000000,2012,FALSE)</f>
        <v>#N/A</v>
      </c>
      <c r="F119" s="34" t="e">
        <f>VLOOKUP(A1,Data1!$A$1:$DZU$1000000,2013,FALSE)</f>
        <v>#N/A</v>
      </c>
      <c r="G119" s="33" t="e">
        <f>VLOOKUP(A1,Data1!$A$1:$DZU$1000000,2014,FALSE)</f>
        <v>#N/A</v>
      </c>
      <c r="H119" s="34" t="e">
        <f>VLOOKUP(A1,Data1!$A$1:$DZU$1000000,2015,FALSE)</f>
        <v>#N/A</v>
      </c>
      <c r="I119" s="33" t="e">
        <f>VLOOKUP(A1,Data1!$A$1:$DZU$1000000,2016,FALSE)</f>
        <v>#N/A</v>
      </c>
      <c r="J119" s="34" t="e">
        <f>VLOOKUP(A1,Data1!$A$1:$DZU$1000000,2017,FALSE)</f>
        <v>#N/A</v>
      </c>
      <c r="K119" s="34" t="e">
        <f>VLOOKUP(A1,Data1!$A$1:$DZU$1000000,2018,FALSE)</f>
        <v>#N/A</v>
      </c>
      <c r="L119" s="93" t="e">
        <f>VLOOKUP(A1,Data1!$A$1:$DZU$1000000,2019,FALSE)</f>
        <v>#N/A</v>
      </c>
      <c r="M119" s="33" t="e">
        <f>VLOOKUP(A1,Data1!$A$1:$DZU$1000000,2020,FALSE)</f>
        <v>#N/A</v>
      </c>
      <c r="N119" s="34" t="e">
        <f>VLOOKUP(A1,Data1!$A$1:$DZU$1000000,2021,FALSE)</f>
        <v>#N/A</v>
      </c>
      <c r="O119" s="33" t="e">
        <f>VLOOKUP(A1,Data1!$A$1:$DZU$1000000,2022,FALSE)</f>
        <v>#N/A</v>
      </c>
      <c r="P119" s="46" t="e">
        <f>VLOOKUP(A1,Data1!$A$1:$DZU$1000000,2023,FALSE)</f>
        <v>#N/A</v>
      </c>
      <c r="Q119" s="33" t="e">
        <f>VLOOKUP(A1,Data1!$A$1:$DZU$1000000,2024,FALSE)</f>
        <v>#N/A</v>
      </c>
    </row>
    <row r="120" spans="1:17" x14ac:dyDescent="0.35">
      <c r="A120" s="22" t="e">
        <f>VLOOKUP(A1,Data1!$A$1:$DZU$1000000,2025,FALSE)</f>
        <v>#N/A</v>
      </c>
      <c r="B120" s="37" t="e">
        <f>VLOOKUP(A1,Data1!$A$1:$DZU$1000000,2026,FALSE)</f>
        <v>#N/A</v>
      </c>
      <c r="C120" s="38" t="e">
        <f>VLOOKUP(A1,Data1!$A$1:$DZU$1000000,2027,FALSE)</f>
        <v>#N/A</v>
      </c>
      <c r="D120" s="31" t="e">
        <f>VLOOKUP(A1,Data1!$A$1:$DZU$1000000,2028,FALSE)</f>
        <v>#N/A</v>
      </c>
      <c r="E120" s="32" t="e">
        <f>VLOOKUP(A1,Data1!$A$1:$DZU$1000000,2029,FALSE)</f>
        <v>#N/A</v>
      </c>
      <c r="F120" s="34" t="e">
        <f>VLOOKUP(A1,Data1!$A$1:$DZU$1000000,2030,FALSE)</f>
        <v>#N/A</v>
      </c>
      <c r="G120" s="33" t="e">
        <f>VLOOKUP(A1,Data1!$A$1:$DZU$1000000,2031,FALSE)</f>
        <v>#N/A</v>
      </c>
      <c r="H120" s="34" t="e">
        <f>VLOOKUP(A1,Data1!$A$1:$DZU$1000000,2032,FALSE)</f>
        <v>#N/A</v>
      </c>
      <c r="I120" s="33" t="e">
        <f>VLOOKUP(A1,Data1!$A$1:$DZU$1000000,2033,FALSE)</f>
        <v>#N/A</v>
      </c>
      <c r="J120" s="34" t="e">
        <f>VLOOKUP(A1,Data1!$A$1:$DZU$1000000,2034,FALSE)</f>
        <v>#N/A</v>
      </c>
      <c r="K120" s="34" t="e">
        <f>VLOOKUP(A1,Data1!$A$1:$DZU$1000000,2035,FALSE)</f>
        <v>#N/A</v>
      </c>
      <c r="L120" s="93" t="e">
        <f>VLOOKUP(A1,Data1!$A$1:$DZU$1000000,2036,FALSE)</f>
        <v>#N/A</v>
      </c>
      <c r="M120" s="33" t="e">
        <f>VLOOKUP(A1,Data1!$A$1:$DZU$1000000,2037,FALSE)</f>
        <v>#N/A</v>
      </c>
      <c r="N120" s="34" t="e">
        <f>VLOOKUP(A1,Data1!$A$1:$DZU$1000000,2038,FALSE)</f>
        <v>#N/A</v>
      </c>
      <c r="O120" s="33" t="e">
        <f>VLOOKUP(A1,Data1!$A$1:$DZU$1000000,2039,FALSE)</f>
        <v>#N/A</v>
      </c>
      <c r="P120" s="46" t="e">
        <f>VLOOKUP(A1,Data1!$A$1:$DZU$1000000,2040,FALSE)</f>
        <v>#N/A</v>
      </c>
      <c r="Q120" s="33" t="e">
        <f>VLOOKUP(A1,Data1!$A$1:$DZU$1000000,2041,FALSE)</f>
        <v>#N/A</v>
      </c>
    </row>
    <row r="121" spans="1:17" x14ac:dyDescent="0.35">
      <c r="A121" s="22" t="e">
        <f>VLOOKUP(A1,Data1!$A$1:$DZU$1000000,2042,FALSE)</f>
        <v>#N/A</v>
      </c>
      <c r="B121" s="37" t="e">
        <f>VLOOKUP(A1,Data1!$A$1:$DZU$1000000,2043,FALSE)</f>
        <v>#N/A</v>
      </c>
      <c r="C121" s="38" t="e">
        <f>VLOOKUP(A1,Data1!$A$1:$DZU$1000000,2044,FALSE)</f>
        <v>#N/A</v>
      </c>
      <c r="D121" s="31" t="e">
        <f>VLOOKUP(A1,Data1!$A$1:$DZU$1000000,2045,FALSE)</f>
        <v>#N/A</v>
      </c>
      <c r="E121" s="32" t="e">
        <f>VLOOKUP(A1,Data1!$A$1:$DZU$1000000,2046,FALSE)</f>
        <v>#N/A</v>
      </c>
      <c r="F121" s="34" t="e">
        <f>VLOOKUP(A1,Data1!$A$1:$DZU$1000000,2047,FALSE)</f>
        <v>#N/A</v>
      </c>
      <c r="G121" s="33" t="e">
        <f>VLOOKUP(A1,Data1!$A$1:$DZU$1000000,2048,FALSE)</f>
        <v>#N/A</v>
      </c>
      <c r="H121" s="34" t="e">
        <f>VLOOKUP(A1,Data1!$A$1:$DZU$1000000,2049,FALSE)</f>
        <v>#N/A</v>
      </c>
      <c r="I121" s="33" t="e">
        <f>VLOOKUP(A1,Data1!$A$1:$DZU$1000000,2050,FALSE)</f>
        <v>#N/A</v>
      </c>
      <c r="J121" s="34" t="e">
        <f>VLOOKUP(A1,Data1!$A$1:$DZU$1000000,2051,FALSE)</f>
        <v>#N/A</v>
      </c>
      <c r="K121" s="34" t="e">
        <f>VLOOKUP(A1,Data1!$A$1:$DZU$1000000,2052,FALSE)</f>
        <v>#N/A</v>
      </c>
      <c r="L121" s="93" t="e">
        <f>VLOOKUP(A1,Data1!$A$1:$DZU$1000000,2053,FALSE)</f>
        <v>#N/A</v>
      </c>
      <c r="M121" s="33" t="e">
        <f>VLOOKUP(A1,Data1!$A$1:$DZU$1000000,2054,FALSE)</f>
        <v>#N/A</v>
      </c>
      <c r="N121" s="34" t="e">
        <f>VLOOKUP(A1,Data1!$A$1:$DZU$1000000,2055,FALSE)</f>
        <v>#N/A</v>
      </c>
      <c r="O121" s="33" t="e">
        <f>VLOOKUP(A1,Data1!$A$1:$DZU$1000000,2056,FALSE)</f>
        <v>#N/A</v>
      </c>
      <c r="P121" s="46" t="e">
        <f>VLOOKUP(A1,Data1!$A$1:$DZU$1000000,2057,FALSE)</f>
        <v>#N/A</v>
      </c>
      <c r="Q121" s="33" t="e">
        <f>VLOOKUP(A1,Data1!$A$1:$DZU$1000000,2058,FALSE)</f>
        <v>#N/A</v>
      </c>
    </row>
    <row r="122" spans="1:17" x14ac:dyDescent="0.35">
      <c r="A122" s="22" t="e">
        <f>VLOOKUP(A1,Data1!$A$1:$DZU$1000000,2059,FALSE)</f>
        <v>#N/A</v>
      </c>
      <c r="B122" s="37" t="e">
        <f>VLOOKUP(A1,Data1!$A$1:$DZU$1000000,2060,FALSE)</f>
        <v>#N/A</v>
      </c>
      <c r="C122" s="38" t="e">
        <f>VLOOKUP(A1,Data1!$A$1:$DZU$1000000,2061,FALSE)</f>
        <v>#N/A</v>
      </c>
      <c r="D122" s="31" t="e">
        <f>VLOOKUP(A1,Data1!$A$1:$DZU$1000000,2062,FALSE)</f>
        <v>#N/A</v>
      </c>
      <c r="E122" s="32" t="e">
        <f>VLOOKUP(A1,Data1!$A$1:$DZU$1000000,2063,FALSE)</f>
        <v>#N/A</v>
      </c>
      <c r="F122" s="34" t="e">
        <f>VLOOKUP(A1,Data1!$A$1:$DZU$1000000,2064,FALSE)</f>
        <v>#N/A</v>
      </c>
      <c r="G122" s="33" t="e">
        <f>VLOOKUP(A1,Data1!$A$1:$DZU$1000000,2065,FALSE)</f>
        <v>#N/A</v>
      </c>
      <c r="H122" s="34" t="e">
        <f>VLOOKUP(A1,Data1!$A$1:$DZU$1000000,2066,FALSE)</f>
        <v>#N/A</v>
      </c>
      <c r="I122" s="33" t="e">
        <f>VLOOKUP(A1,Data1!$A$1:$DZU$1000000,2067,FALSE)</f>
        <v>#N/A</v>
      </c>
      <c r="J122" s="34" t="e">
        <f>VLOOKUP(A1,Data1!$A$1:$DZU$1000000,2068,FALSE)</f>
        <v>#N/A</v>
      </c>
      <c r="K122" s="34" t="e">
        <f>VLOOKUP(A1,Data1!$A$1:$DZU$1000000,2069,FALSE)</f>
        <v>#N/A</v>
      </c>
      <c r="L122" s="93" t="e">
        <f>VLOOKUP(A1,Data1!$A$1:$DZU$1000000,2070,FALSE)</f>
        <v>#N/A</v>
      </c>
      <c r="M122" s="33" t="e">
        <f>VLOOKUP(A1,Data1!$A$1:$DZU$1000000,2071,FALSE)</f>
        <v>#N/A</v>
      </c>
      <c r="N122" s="34" t="e">
        <f>VLOOKUP(A1,Data1!$A$1:$DZU$1000000,2072,FALSE)</f>
        <v>#N/A</v>
      </c>
      <c r="O122" s="33" t="e">
        <f>VLOOKUP(A1,Data1!$A$1:$DZU$1000000,2073,FALSE)</f>
        <v>#N/A</v>
      </c>
      <c r="P122" s="46" t="e">
        <f>VLOOKUP(A1,Data1!$A$1:$DZU$1000000,2074,FALSE)</f>
        <v>#N/A</v>
      </c>
      <c r="Q122" s="33" t="e">
        <f>VLOOKUP(A1,Data1!$A$1:$DZU$1000000,2075,FALSE)</f>
        <v>#N/A</v>
      </c>
    </row>
    <row r="123" spans="1:17" x14ac:dyDescent="0.35">
      <c r="A123" s="22" t="e">
        <f>VLOOKUP(A1,Data1!$A$1:$DZU$1000000,2076,FALSE)</f>
        <v>#N/A</v>
      </c>
      <c r="B123" s="37" t="e">
        <f>VLOOKUP(A1,Data1!$A$1:$DZU$1000000,2077,FALSE)</f>
        <v>#N/A</v>
      </c>
      <c r="C123" s="38" t="e">
        <f>VLOOKUP(A1,Data1!$A$1:$DZU$1000000,2078,FALSE)</f>
        <v>#N/A</v>
      </c>
      <c r="D123" s="31" t="e">
        <f>VLOOKUP(A1,Data1!$A$1:$DZU$1000000,2079,FALSE)</f>
        <v>#N/A</v>
      </c>
      <c r="E123" s="32" t="e">
        <f>VLOOKUP(A1,Data1!$A$1:$DZU$1000000,2080,FALSE)</f>
        <v>#N/A</v>
      </c>
      <c r="F123" s="34" t="e">
        <f>VLOOKUP(A1,Data1!$A$1:$DZU$1000000,2081,FALSE)</f>
        <v>#N/A</v>
      </c>
      <c r="G123" s="33" t="e">
        <f>VLOOKUP(A1,Data1!$A$1:$DZU$1000000,2082,FALSE)</f>
        <v>#N/A</v>
      </c>
      <c r="H123" s="34" t="e">
        <f>VLOOKUP(A1,Data1!$A$1:$DZU$1000000,2083,FALSE)</f>
        <v>#N/A</v>
      </c>
      <c r="I123" s="33" t="e">
        <f>VLOOKUP(A1,Data1!$A$1:$DZU$1000000,2084,FALSE)</f>
        <v>#N/A</v>
      </c>
      <c r="J123" s="34" t="e">
        <f>VLOOKUP(A1,Data1!$A$1:$DZU$1000000,2085,FALSE)</f>
        <v>#N/A</v>
      </c>
      <c r="K123" s="34" t="e">
        <f>VLOOKUP(A1,Data1!$A$1:$DZU$1000000,2086,FALSE)</f>
        <v>#N/A</v>
      </c>
      <c r="L123" s="93" t="e">
        <f>VLOOKUP(A1,Data1!$A$1:$DZU$1000000,2087,FALSE)</f>
        <v>#N/A</v>
      </c>
      <c r="M123" s="33" t="e">
        <f>VLOOKUP(A1,Data1!$A$1:$DZU$1000000,2088,FALSE)</f>
        <v>#N/A</v>
      </c>
      <c r="N123" s="34" t="e">
        <f>VLOOKUP(A1,Data1!$A$1:$DZU$1000000,2089,FALSE)</f>
        <v>#N/A</v>
      </c>
      <c r="O123" s="33" t="e">
        <f>VLOOKUP(A1,Data1!$A$1:$DZU$1000000,2090,FALSE)</f>
        <v>#N/A</v>
      </c>
      <c r="P123" s="46" t="e">
        <f>VLOOKUP(A1,Data1!$A$1:$DZU$1000000,2091,FALSE)</f>
        <v>#N/A</v>
      </c>
      <c r="Q123" s="33" t="e">
        <f>VLOOKUP(A1,Data1!$A$1:$DZU$1000000,2092,FALSE)</f>
        <v>#N/A</v>
      </c>
    </row>
    <row r="124" spans="1:17" x14ac:dyDescent="0.35">
      <c r="A124" s="22" t="e">
        <f>VLOOKUP(A1,Data1!$A$1:$DZU$1000000,2093,FALSE)</f>
        <v>#N/A</v>
      </c>
      <c r="B124" s="37" t="e">
        <f>VLOOKUP(A1,Data1!$A$1:$DZU$1000000,2094,FALSE)</f>
        <v>#N/A</v>
      </c>
      <c r="C124" s="38" t="e">
        <f>VLOOKUP(A1,Data1!$A$1:$DZU$1000000,2095,FALSE)</f>
        <v>#N/A</v>
      </c>
      <c r="D124" s="31" t="e">
        <f>VLOOKUP(A1,Data1!$A$1:$DZU$1000000,2096,FALSE)</f>
        <v>#N/A</v>
      </c>
      <c r="E124" s="32" t="e">
        <f>VLOOKUP(A1,Data1!$A$1:$DZU$1000000,2097,FALSE)</f>
        <v>#N/A</v>
      </c>
      <c r="F124" s="34" t="e">
        <f>VLOOKUP(A1,Data1!$A$1:$DZU$1000000,2098,FALSE)</f>
        <v>#N/A</v>
      </c>
      <c r="G124" s="33" t="e">
        <f>VLOOKUP(A1,Data1!$A$1:$DZU$1000000,2099,FALSE)</f>
        <v>#N/A</v>
      </c>
      <c r="H124" s="34" t="e">
        <f>VLOOKUP(A1,Data1!$A$1:$DZU$1000000,2100,FALSE)</f>
        <v>#N/A</v>
      </c>
      <c r="I124" s="33" t="e">
        <f>VLOOKUP(A1,Data1!$A$1:$DZU$1000000,2101,FALSE)</f>
        <v>#N/A</v>
      </c>
      <c r="J124" s="34" t="e">
        <f>VLOOKUP(A1,Data1!$A$1:$DZU$1000000,2102,FALSE)</f>
        <v>#N/A</v>
      </c>
      <c r="K124" s="34" t="e">
        <f>VLOOKUP(A1,Data1!$A$1:$DZU$1000000,2103,FALSE)</f>
        <v>#N/A</v>
      </c>
      <c r="L124" s="93" t="e">
        <f>VLOOKUP(A1,Data1!$A$1:$DZU$1000000,2104,FALSE)</f>
        <v>#N/A</v>
      </c>
      <c r="M124" s="33" t="e">
        <f>VLOOKUP(A1,Data1!$A$1:$DZU$1000000,2105,FALSE)</f>
        <v>#N/A</v>
      </c>
      <c r="N124" s="34" t="e">
        <f>VLOOKUP(A1,Data1!$A$1:$DZU$1000000,2106,FALSE)</f>
        <v>#N/A</v>
      </c>
      <c r="O124" s="33" t="e">
        <f>VLOOKUP(A1,Data1!$A$1:$DZU$1000000,2107,FALSE)</f>
        <v>#N/A</v>
      </c>
      <c r="P124" s="46" t="e">
        <f>VLOOKUP(A1,Data1!$A$1:$DZU$1000000,2108,FALSE)</f>
        <v>#N/A</v>
      </c>
      <c r="Q124" s="33" t="e">
        <f>VLOOKUP(A1,Data1!$A$1:$DZU$1000000,2109,FALSE)</f>
        <v>#N/A</v>
      </c>
    </row>
    <row r="125" spans="1:17" x14ac:dyDescent="0.35">
      <c r="A125" s="22" t="e">
        <f>VLOOKUP(A1,Data1!$A$1:$DZU$1000000,2110,FALSE)</f>
        <v>#N/A</v>
      </c>
      <c r="B125" s="37" t="e">
        <f>VLOOKUP(A1,Data1!$A$1:$DZU$1000000,2111,FALSE)</f>
        <v>#N/A</v>
      </c>
      <c r="C125" s="38" t="e">
        <f>VLOOKUP(A1,Data1!$A$1:$DZU$1000000,2112,FALSE)</f>
        <v>#N/A</v>
      </c>
      <c r="D125" s="31" t="e">
        <f>VLOOKUP(A1,Data1!$A$1:$DZU$1000000,2113,FALSE)</f>
        <v>#N/A</v>
      </c>
      <c r="E125" s="32" t="e">
        <f>VLOOKUP(A1,Data1!$A$1:$DZU$1000000,2114,FALSE)</f>
        <v>#N/A</v>
      </c>
      <c r="F125" s="34" t="e">
        <f>VLOOKUP(A1,Data1!$A$1:$DZU$1000000,2115,FALSE)</f>
        <v>#N/A</v>
      </c>
      <c r="G125" s="33" t="e">
        <f>VLOOKUP(A1,Data1!$A$1:$DZU$1000000,2116,FALSE)</f>
        <v>#N/A</v>
      </c>
      <c r="H125" s="34" t="e">
        <f>VLOOKUP(A1,Data1!$A$1:$DZU$1000000,2117,FALSE)</f>
        <v>#N/A</v>
      </c>
      <c r="I125" s="33" t="e">
        <f>VLOOKUP(A1,Data1!$A$1:$DZU$1000000,2118,FALSE)</f>
        <v>#N/A</v>
      </c>
      <c r="J125" s="34" t="e">
        <f>VLOOKUP(A1,Data1!$A$1:$DZU$1000000,2119,FALSE)</f>
        <v>#N/A</v>
      </c>
      <c r="K125" s="34" t="e">
        <f>VLOOKUP(A1,Data1!$A$1:$DZU$1000000,2120,FALSE)</f>
        <v>#N/A</v>
      </c>
      <c r="L125" s="93" t="e">
        <f>VLOOKUP(A1,Data1!$A$1:$DZU$1000000,2121,FALSE)</f>
        <v>#N/A</v>
      </c>
      <c r="M125" s="33" t="e">
        <f>VLOOKUP(A1,Data1!$A$1:$DZU$1000000,2122,FALSE)</f>
        <v>#N/A</v>
      </c>
      <c r="N125" s="34" t="e">
        <f>VLOOKUP(A1,Data1!$A$1:$DZU$1000000,2123,FALSE)</f>
        <v>#N/A</v>
      </c>
      <c r="O125" s="33" t="e">
        <f>VLOOKUP(A1,Data1!$A$1:$DZU$1000000,2124,FALSE)</f>
        <v>#N/A</v>
      </c>
      <c r="P125" s="46" t="e">
        <f>VLOOKUP(A1,Data1!$A$1:$DZU$1000000,2125,FALSE)</f>
        <v>#N/A</v>
      </c>
      <c r="Q125" s="33" t="e">
        <f>VLOOKUP(A1,Data1!$A$1:$DZU$1000000,2126,FALSE)</f>
        <v>#N/A</v>
      </c>
    </row>
    <row r="126" spans="1:17" x14ac:dyDescent="0.35">
      <c r="A126" s="22" t="e">
        <f>VLOOKUP(A1,Data1!$A$1:$DZU$1000000,2127,FALSE)</f>
        <v>#N/A</v>
      </c>
      <c r="B126" s="37" t="e">
        <f>VLOOKUP(A1,Data1!$A$1:$DZU$1000000,2128,FALSE)</f>
        <v>#N/A</v>
      </c>
      <c r="C126" s="38" t="e">
        <f>VLOOKUP(A1,Data1!$A$1:$DZU$1000000,2129,FALSE)</f>
        <v>#N/A</v>
      </c>
      <c r="D126" s="31" t="e">
        <f>VLOOKUP(A1,Data1!$A$1:$DZU$1000000,2130,FALSE)</f>
        <v>#N/A</v>
      </c>
      <c r="E126" s="32" t="e">
        <f>VLOOKUP(A1,Data1!$A$1:$DZU$1000000,2131,FALSE)</f>
        <v>#N/A</v>
      </c>
      <c r="F126" s="34" t="e">
        <f>VLOOKUP(A1,Data1!$A$1:$DZU$1000000,2132,FALSE)</f>
        <v>#N/A</v>
      </c>
      <c r="G126" s="33" t="e">
        <f>VLOOKUP(A1,Data1!$A$1:$DZU$1000000,2133,FALSE)</f>
        <v>#N/A</v>
      </c>
      <c r="H126" s="34" t="e">
        <f>VLOOKUP(A1,Data1!$A$1:$DZU$1000000,2134,FALSE)</f>
        <v>#N/A</v>
      </c>
      <c r="I126" s="33" t="e">
        <f>VLOOKUP(A1,Data1!$A$1:$DZU$1000000,2135,FALSE)</f>
        <v>#N/A</v>
      </c>
      <c r="J126" s="34" t="e">
        <f>VLOOKUP(A1,Data1!$A$1:$DZU$1000000,2136,FALSE)</f>
        <v>#N/A</v>
      </c>
      <c r="K126" s="34" t="e">
        <f>VLOOKUP(A1,Data1!$A$1:$DZU$1000000,2137,FALSE)</f>
        <v>#N/A</v>
      </c>
      <c r="L126" s="93" t="e">
        <f>VLOOKUP(A1,Data1!$A$1:$DZU$1000000,2138,FALSE)</f>
        <v>#N/A</v>
      </c>
      <c r="M126" s="33" t="e">
        <f>VLOOKUP(A1,Data1!$A$1:$DZU$1000000,2139,FALSE)</f>
        <v>#N/A</v>
      </c>
      <c r="N126" s="34" t="e">
        <f>VLOOKUP(A1,Data1!$A$1:$DZU$1000000,2140,FALSE)</f>
        <v>#N/A</v>
      </c>
      <c r="O126" s="33" t="e">
        <f>VLOOKUP(A1,Data1!$A$1:$DZU$1000000,2141,FALSE)</f>
        <v>#N/A</v>
      </c>
      <c r="P126" s="46" t="e">
        <f>VLOOKUP(A1,Data1!$A$1:$DZU$1000000,2142,FALSE)</f>
        <v>#N/A</v>
      </c>
      <c r="Q126" s="33" t="e">
        <f>VLOOKUP(A1,Data1!$A$1:$DZU$1000000,2143,FALSE)</f>
        <v>#N/A</v>
      </c>
    </row>
    <row r="127" spans="1:17" x14ac:dyDescent="0.35">
      <c r="A127" s="22" t="e">
        <f>VLOOKUP(A1,Data1!$A$1:$DZU$1000000,2144,FALSE)</f>
        <v>#N/A</v>
      </c>
      <c r="B127" s="37" t="e">
        <f>VLOOKUP(A1,Data1!$A$1:$DZU$1000000,2145,FALSE)</f>
        <v>#N/A</v>
      </c>
      <c r="C127" s="38" t="e">
        <f>VLOOKUP(A1,Data1!$A$1:$DZU$1000000,2146,FALSE)</f>
        <v>#N/A</v>
      </c>
      <c r="D127" s="31" t="e">
        <f>VLOOKUP(A1,Data1!$A$1:$DZU$1000000,2147,FALSE)</f>
        <v>#N/A</v>
      </c>
      <c r="E127" s="32" t="e">
        <f>VLOOKUP(A1,Data1!$A$1:$DZU$1000000,2148,FALSE)</f>
        <v>#N/A</v>
      </c>
      <c r="F127" s="34" t="e">
        <f>VLOOKUP(A1,Data1!$A$1:$DZU$1000000,2149,FALSE)</f>
        <v>#N/A</v>
      </c>
      <c r="G127" s="33" t="e">
        <f>VLOOKUP(A1,Data1!$A$1:$DZU$1000000,2150,FALSE)</f>
        <v>#N/A</v>
      </c>
      <c r="H127" s="34" t="e">
        <f>VLOOKUP(A1,Data1!$A$1:$DZU$1000000,2151,FALSE)</f>
        <v>#N/A</v>
      </c>
      <c r="I127" s="33" t="e">
        <f>VLOOKUP(A1,Data1!$A$1:$DZU$1000000,2152,FALSE)</f>
        <v>#N/A</v>
      </c>
      <c r="J127" s="34" t="e">
        <f>VLOOKUP(A1,Data1!$A$1:$DZU$1000000,2153,FALSE)</f>
        <v>#N/A</v>
      </c>
      <c r="K127" s="34" t="e">
        <f>VLOOKUP(A1,Data1!$A$1:$DZU$1000000,2154,FALSE)</f>
        <v>#N/A</v>
      </c>
      <c r="L127" s="93" t="e">
        <f>VLOOKUP(A1,Data1!$A$1:$DZU$1000000,2155,FALSE)</f>
        <v>#N/A</v>
      </c>
      <c r="M127" s="33" t="e">
        <f>VLOOKUP(A1,Data1!$A$1:$DZU$1000000,2156,FALSE)</f>
        <v>#N/A</v>
      </c>
      <c r="N127" s="34" t="e">
        <f>VLOOKUP(A1,Data1!$A$1:$DZU$1000000,2157,FALSE)</f>
        <v>#N/A</v>
      </c>
      <c r="O127" s="33" t="e">
        <f>VLOOKUP(A1,Data1!$A$1:$DZU$1000000,2158,FALSE)</f>
        <v>#N/A</v>
      </c>
      <c r="P127" s="46" t="e">
        <f>VLOOKUP(A1,Data1!$A$1:$DZU$1000000,2159,FALSE)</f>
        <v>#N/A</v>
      </c>
      <c r="Q127" s="33" t="e">
        <f>VLOOKUP(A1,Data1!$A$1:$DZU$1000000,2160,FALSE)</f>
        <v>#N/A</v>
      </c>
    </row>
    <row r="128" spans="1:17" x14ac:dyDescent="0.35">
      <c r="A128" s="22" t="e">
        <f>VLOOKUP(A1,Data1!$A$1:$DZU$1000000,2161,FALSE)</f>
        <v>#N/A</v>
      </c>
      <c r="B128" s="37" t="e">
        <f>VLOOKUP(A1,Data1!$A$1:$DZU$1000000,2162,FALSE)</f>
        <v>#N/A</v>
      </c>
      <c r="C128" s="38" t="e">
        <f>VLOOKUP(A1,Data1!$A$1:$DZU$1000000,2163,FALSE)</f>
        <v>#N/A</v>
      </c>
      <c r="D128" s="31" t="e">
        <f>VLOOKUP(A1,Data1!$A$1:$DZU$1000000,2164,FALSE)</f>
        <v>#N/A</v>
      </c>
      <c r="E128" s="32" t="e">
        <f>VLOOKUP(A1,Data1!$A$1:$DZU$1000000,2165,FALSE)</f>
        <v>#N/A</v>
      </c>
      <c r="F128" s="34" t="e">
        <f>VLOOKUP(A1,Data1!$A$1:$DZU$1000000,2166,FALSE)</f>
        <v>#N/A</v>
      </c>
      <c r="G128" s="33" t="e">
        <f>VLOOKUP(A1,Data1!$A$1:$DZU$1000000,2167,FALSE)</f>
        <v>#N/A</v>
      </c>
      <c r="H128" s="34" t="e">
        <f>VLOOKUP(A1,Data1!$A$1:$DZU$1000000,2168,FALSE)</f>
        <v>#N/A</v>
      </c>
      <c r="I128" s="33" t="e">
        <f>VLOOKUP(A1,Data1!$A$1:$DZU$1000000,2169,FALSE)</f>
        <v>#N/A</v>
      </c>
      <c r="J128" s="34" t="e">
        <f>VLOOKUP(A1,Data1!$A$1:$DZU$1000000,2170,FALSE)</f>
        <v>#N/A</v>
      </c>
      <c r="K128" s="34" t="e">
        <f>VLOOKUP(A1,Data1!$A$1:$DZU$1000000,2171,FALSE)</f>
        <v>#N/A</v>
      </c>
      <c r="L128" s="93" t="e">
        <f>VLOOKUP(A1,Data1!$A$1:$DZU$1000000,2172,FALSE)</f>
        <v>#N/A</v>
      </c>
      <c r="M128" s="33" t="e">
        <f>VLOOKUP(A1,Data1!$A$1:$DZU$1000000,2173,FALSE)</f>
        <v>#N/A</v>
      </c>
      <c r="N128" s="34" t="e">
        <f>VLOOKUP(A1,Data1!$A$1:$DZU$1000000,2174,FALSE)</f>
        <v>#N/A</v>
      </c>
      <c r="O128" s="33" t="e">
        <f>VLOOKUP(A1,Data1!$A$1:$DZU$1000000,2175,FALSE)</f>
        <v>#N/A</v>
      </c>
      <c r="P128" s="46" t="e">
        <f>VLOOKUP(A1,Data1!$A$1:$DZU$1000000,2176,FALSE)</f>
        <v>#N/A</v>
      </c>
      <c r="Q128" s="33" t="e">
        <f>VLOOKUP(A1,Data1!$A$1:$DZU$1000000,2177,FALSE)</f>
        <v>#N/A</v>
      </c>
    </row>
    <row r="129" spans="1:17" x14ac:dyDescent="0.35">
      <c r="A129" s="22" t="e">
        <f>VLOOKUP(A1,Data1!$A$1:$DZU$1000000,2178,FALSE)</f>
        <v>#N/A</v>
      </c>
      <c r="B129" s="37" t="e">
        <f>VLOOKUP(A1,Data1!$A$1:$DZU$1000000,2179,FALSE)</f>
        <v>#N/A</v>
      </c>
      <c r="C129" s="38" t="e">
        <f>VLOOKUP(A1,Data1!$A$1:$DZU$1000000,2180,FALSE)</f>
        <v>#N/A</v>
      </c>
      <c r="D129" s="31" t="e">
        <f>VLOOKUP(A1,Data1!$A$1:$DZU$1000000,2181,FALSE)</f>
        <v>#N/A</v>
      </c>
      <c r="E129" s="32" t="e">
        <f>VLOOKUP(A1,Data1!$A$1:$DZU$1000000,2182,FALSE)</f>
        <v>#N/A</v>
      </c>
      <c r="F129" s="34" t="e">
        <f>VLOOKUP(A1,Data1!$A$1:$DZU$1000000,2183,FALSE)</f>
        <v>#N/A</v>
      </c>
      <c r="G129" s="33" t="e">
        <f>VLOOKUP(A1,Data1!$A$1:$DZU$1000000,2184,FALSE)</f>
        <v>#N/A</v>
      </c>
      <c r="H129" s="34" t="e">
        <f>VLOOKUP(A1,Data1!$A$1:$DZU$1000000,2185,FALSE)</f>
        <v>#N/A</v>
      </c>
      <c r="I129" s="33" t="e">
        <f>VLOOKUP(A1,Data1!$A$1:$DZU$1000000,2186,FALSE)</f>
        <v>#N/A</v>
      </c>
      <c r="J129" s="34" t="e">
        <f>VLOOKUP(A1,Data1!$A$1:$DZU$1000000,2187,FALSE)</f>
        <v>#N/A</v>
      </c>
      <c r="K129" s="34" t="e">
        <f>VLOOKUP(A1,Data1!$A$1:$DZU$1000000,2188,FALSE)</f>
        <v>#N/A</v>
      </c>
      <c r="L129" s="93" t="e">
        <f>VLOOKUP(A1,Data1!$A$1:$DZU$1000000,2189,FALSE)</f>
        <v>#N/A</v>
      </c>
      <c r="M129" s="33" t="e">
        <f>VLOOKUP(A1,Data1!$A$1:$DZU$1000000,2190,FALSE)</f>
        <v>#N/A</v>
      </c>
      <c r="N129" s="34" t="e">
        <f>VLOOKUP(A1,Data1!$A$1:$DZU$1000000,2191,FALSE)</f>
        <v>#N/A</v>
      </c>
      <c r="O129" s="33" t="e">
        <f>VLOOKUP(A1,Data1!$A$1:$DZU$1000000,2192,FALSE)</f>
        <v>#N/A</v>
      </c>
      <c r="P129" s="46" t="e">
        <f>VLOOKUP(A1,Data1!$A$1:$DZU$1000000,2193,FALSE)</f>
        <v>#N/A</v>
      </c>
      <c r="Q129" s="33" t="e">
        <f>VLOOKUP(A1,Data1!$A$1:$DZU$1000000,2194,FALSE)</f>
        <v>#N/A</v>
      </c>
    </row>
    <row r="130" spans="1:17" x14ac:dyDescent="0.35">
      <c r="A130" s="22" t="e">
        <f>VLOOKUP(A1,Data1!$A$1:$DZU$1000000,2195,FALSE)</f>
        <v>#N/A</v>
      </c>
      <c r="B130" s="37" t="e">
        <f>VLOOKUP(A1,Data1!$A$1:$DZU$1000000,2196,FALSE)</f>
        <v>#N/A</v>
      </c>
      <c r="C130" s="38" t="e">
        <f>VLOOKUP(A1,Data1!$A$1:$DZU$1000000,2197,FALSE)</f>
        <v>#N/A</v>
      </c>
      <c r="D130" s="31" t="e">
        <f>VLOOKUP(A1,Data1!$A$1:$DZU$1000000,2198,FALSE)</f>
        <v>#N/A</v>
      </c>
      <c r="E130" s="32" t="e">
        <f>VLOOKUP(A1,Data1!$A$1:$DZU$1000000,2199,FALSE)</f>
        <v>#N/A</v>
      </c>
      <c r="F130" s="34" t="e">
        <f>VLOOKUP(A1,Data1!$A$1:$DZU$1000000,2200,FALSE)</f>
        <v>#N/A</v>
      </c>
      <c r="G130" s="33" t="e">
        <f>VLOOKUP(A1,Data1!$A$1:$DZU$1000000,2201,FALSE)</f>
        <v>#N/A</v>
      </c>
      <c r="H130" s="34" t="e">
        <f>VLOOKUP(A1,Data1!$A$1:$DZU$1000000,2202,FALSE)</f>
        <v>#N/A</v>
      </c>
      <c r="I130" s="33" t="e">
        <f>VLOOKUP(A1,Data1!$A$1:$DZU$1000000,2203,FALSE)</f>
        <v>#N/A</v>
      </c>
      <c r="J130" s="34" t="e">
        <f>VLOOKUP(A1,Data1!$A$1:$DZU$1000000,2204,FALSE)</f>
        <v>#N/A</v>
      </c>
      <c r="K130" s="34" t="e">
        <f>VLOOKUP(A1,Data1!$A$1:$DZU$1000000,2205,FALSE)</f>
        <v>#N/A</v>
      </c>
      <c r="L130" s="93" t="e">
        <f>VLOOKUP(A1,Data1!$A$1:$DZU$1000000,2206,FALSE)</f>
        <v>#N/A</v>
      </c>
      <c r="M130" s="33" t="e">
        <f>VLOOKUP(A1,Data1!$A$1:$DZU$1000000,2207,FALSE)</f>
        <v>#N/A</v>
      </c>
      <c r="N130" s="34" t="e">
        <f>VLOOKUP(A1,Data1!$A$1:$DZU$1000000,2208,FALSE)</f>
        <v>#N/A</v>
      </c>
      <c r="O130" s="33" t="e">
        <f>VLOOKUP(A1,Data1!$A$1:$DZU$1000000,2209,FALSE)</f>
        <v>#N/A</v>
      </c>
      <c r="P130" s="46" t="e">
        <f>VLOOKUP(A1,Data1!$A$1:$DZU$1000000,2210,FALSE)</f>
        <v>#N/A</v>
      </c>
      <c r="Q130" s="33" t="e">
        <f>VLOOKUP(A1,Data1!$A$1:$DZU$1000000,2211,FALSE)</f>
        <v>#N/A</v>
      </c>
    </row>
    <row r="131" spans="1:17" x14ac:dyDescent="0.35">
      <c r="A131" s="22" t="e">
        <f>VLOOKUP(A1,Data1!$A$1:$DZU$1000000,2212,FALSE)</f>
        <v>#N/A</v>
      </c>
      <c r="B131" s="37" t="e">
        <f>VLOOKUP(A1,Data1!$A$1:$DZU$1000000,2213,FALSE)</f>
        <v>#N/A</v>
      </c>
      <c r="C131" s="38" t="e">
        <f>VLOOKUP(A1,Data1!$A$1:$DZU$1000000,2214,FALSE)</f>
        <v>#N/A</v>
      </c>
      <c r="D131" s="31" t="e">
        <f>VLOOKUP(A1,Data1!$A$1:$DZU$1000000,2215,FALSE)</f>
        <v>#N/A</v>
      </c>
      <c r="E131" s="32" t="e">
        <f>VLOOKUP(A1,Data1!$A$1:$DZU$1000000,2216,FALSE)</f>
        <v>#N/A</v>
      </c>
      <c r="F131" s="34" t="e">
        <f>VLOOKUP(A1,Data1!$A$1:$DZU$1000000,2217,FALSE)</f>
        <v>#N/A</v>
      </c>
      <c r="G131" s="33" t="e">
        <f>VLOOKUP(A1,Data1!$A$1:$DZU$1000000,2218,FALSE)</f>
        <v>#N/A</v>
      </c>
      <c r="H131" s="34" t="e">
        <f>VLOOKUP(A1,Data1!$A$1:$DZU$1000000,2219,FALSE)</f>
        <v>#N/A</v>
      </c>
      <c r="I131" s="33" t="e">
        <f>VLOOKUP(A1,Data1!$A$1:$DZU$1000000,2220,FALSE)</f>
        <v>#N/A</v>
      </c>
      <c r="J131" s="34" t="e">
        <f>VLOOKUP(A1,Data1!$A$1:$DZU$1000000,2221,FALSE)</f>
        <v>#N/A</v>
      </c>
      <c r="K131" s="34" t="e">
        <f>VLOOKUP(A1,Data1!$A$1:$DZU$1000000,2222,FALSE)</f>
        <v>#N/A</v>
      </c>
      <c r="L131" s="93" t="e">
        <f>VLOOKUP(A1,Data1!$A$1:$DZU$1000000,2223,FALSE)</f>
        <v>#N/A</v>
      </c>
      <c r="M131" s="33" t="e">
        <f>VLOOKUP(A1,Data1!$A$1:$DZU$1000000,2224,FALSE)</f>
        <v>#N/A</v>
      </c>
      <c r="N131" s="34" t="e">
        <f>VLOOKUP(A1,Data1!$A$1:$DZU$1000000,2225,FALSE)</f>
        <v>#N/A</v>
      </c>
      <c r="O131" s="33" t="e">
        <f>VLOOKUP(A1,Data1!$A$1:$DZU$1000000,2226,FALSE)</f>
        <v>#N/A</v>
      </c>
      <c r="P131" s="46" t="e">
        <f>VLOOKUP(A1,Data1!$A$1:$DZU$1000000,2227,FALSE)</f>
        <v>#N/A</v>
      </c>
      <c r="Q131" s="33" t="e">
        <f>VLOOKUP(A1,Data1!$A$1:$DZU$1000000,2228,FALSE)</f>
        <v>#N/A</v>
      </c>
    </row>
    <row r="132" spans="1:17" x14ac:dyDescent="0.35">
      <c r="A132" s="22" t="e">
        <f>VLOOKUP(A1,Data1!$A$1:$DZU$1000000,2229,FALSE)</f>
        <v>#N/A</v>
      </c>
      <c r="B132" s="37" t="e">
        <f>VLOOKUP(A1,Data1!$A$1:$DZU$1000000,2230,FALSE)</f>
        <v>#N/A</v>
      </c>
      <c r="C132" s="38" t="e">
        <f>VLOOKUP(A1,Data1!$A$1:$DZU$1000000,2231,FALSE)</f>
        <v>#N/A</v>
      </c>
      <c r="D132" s="31" t="e">
        <f>VLOOKUP(A1,Data1!$A$1:$DZU$1000000,2232,FALSE)</f>
        <v>#N/A</v>
      </c>
      <c r="E132" s="32" t="e">
        <f>VLOOKUP(A1,Data1!$A$1:$DZU$1000000,2233,FALSE)</f>
        <v>#N/A</v>
      </c>
      <c r="F132" s="34" t="e">
        <f>VLOOKUP(A1,Data1!$A$1:$DZU$1000000,2234,FALSE)</f>
        <v>#N/A</v>
      </c>
      <c r="G132" s="33" t="e">
        <f>VLOOKUP(A1,Data1!$A$1:$DZU$1000000,2235,FALSE)</f>
        <v>#N/A</v>
      </c>
      <c r="H132" s="34" t="e">
        <f>VLOOKUP(A1,Data1!$A$1:$DZU$1000000,2236,FALSE)</f>
        <v>#N/A</v>
      </c>
      <c r="I132" s="33" t="e">
        <f>VLOOKUP(A1,Data1!$A$1:$DZU$1000000,2237,FALSE)</f>
        <v>#N/A</v>
      </c>
      <c r="J132" s="34" t="e">
        <f>VLOOKUP(A1,Data1!$A$1:$DZU$1000000,2238,FALSE)</f>
        <v>#N/A</v>
      </c>
      <c r="K132" s="34" t="e">
        <f>VLOOKUP(A1,Data1!$A$1:$DZU$1000000,2239,FALSE)</f>
        <v>#N/A</v>
      </c>
      <c r="L132" s="93" t="e">
        <f>VLOOKUP(A1,Data1!$A$1:$DZU$1000000,2240,FALSE)</f>
        <v>#N/A</v>
      </c>
      <c r="M132" s="33" t="e">
        <f>VLOOKUP(A1,Data1!$A$1:$DZU$1000000,2241,FALSE)</f>
        <v>#N/A</v>
      </c>
      <c r="N132" s="34" t="e">
        <f>VLOOKUP(A1,Data1!$A$1:$DZU$1000000,2242,FALSE)</f>
        <v>#N/A</v>
      </c>
      <c r="O132" s="33" t="e">
        <f>VLOOKUP(A1,Data1!$A$1:$DZU$1000000,2243,FALSE)</f>
        <v>#N/A</v>
      </c>
      <c r="P132" s="46" t="e">
        <f>VLOOKUP(A1,Data1!$A$1:$DZU$1000000,2244,FALSE)</f>
        <v>#N/A</v>
      </c>
      <c r="Q132" s="33" t="e">
        <f>VLOOKUP(A1,Data1!$A$1:$DZU$1000000,2245,FALSE)</f>
        <v>#N/A</v>
      </c>
    </row>
    <row r="133" spans="1:17" x14ac:dyDescent="0.35">
      <c r="A133" s="22" t="e">
        <f>VLOOKUP(A1,Data1!$A$1:$DZU$1000000,2246,FALSE)</f>
        <v>#N/A</v>
      </c>
      <c r="B133" s="37" t="e">
        <f>VLOOKUP(A1,Data1!$A$1:$DZU$1000000,2247,FALSE)</f>
        <v>#N/A</v>
      </c>
      <c r="C133" s="38" t="e">
        <f>VLOOKUP(A1,Data1!$A$1:$DZU$1000000,2248,FALSE)</f>
        <v>#N/A</v>
      </c>
      <c r="D133" s="31" t="e">
        <f>VLOOKUP(A1,Data1!$A$1:$DZU$1000000,2249,FALSE)</f>
        <v>#N/A</v>
      </c>
      <c r="E133" s="32" t="e">
        <f>VLOOKUP(A1,Data1!$A$1:$DZU$1000000,2250,FALSE)</f>
        <v>#N/A</v>
      </c>
      <c r="F133" s="34" t="e">
        <f>VLOOKUP(A1,Data1!$A$1:$DZU$1000000,2251,FALSE)</f>
        <v>#N/A</v>
      </c>
      <c r="G133" s="33" t="e">
        <f>VLOOKUP(A1,Data1!$A$1:$DZU$1000000,2252,FALSE)</f>
        <v>#N/A</v>
      </c>
      <c r="H133" s="34" t="e">
        <f>VLOOKUP(A1,Data1!$A$1:$DZU$1000000,2253,FALSE)</f>
        <v>#N/A</v>
      </c>
      <c r="I133" s="33" t="e">
        <f>VLOOKUP(A1,Data1!$A$1:$DZU$1000000,2254,FALSE)</f>
        <v>#N/A</v>
      </c>
      <c r="J133" s="34" t="e">
        <f>VLOOKUP(A1,Data1!$A$1:$DZU$1000000,2255,FALSE)</f>
        <v>#N/A</v>
      </c>
      <c r="K133" s="34" t="e">
        <f>VLOOKUP(A1,Data1!$A$1:$DZU$1000000,2256,FALSE)</f>
        <v>#N/A</v>
      </c>
      <c r="L133" s="93" t="e">
        <f>VLOOKUP(A1,Data1!$A$1:$DZU$1000000,2257,FALSE)</f>
        <v>#N/A</v>
      </c>
      <c r="M133" s="33" t="e">
        <f>VLOOKUP(A1,Data1!$A$1:$DZU$1000000,2258,FALSE)</f>
        <v>#N/A</v>
      </c>
      <c r="N133" s="34" t="e">
        <f>VLOOKUP(A1,Data1!$A$1:$DZU$1000000,2259,FALSE)</f>
        <v>#N/A</v>
      </c>
      <c r="O133" s="33" t="e">
        <f>VLOOKUP(A1,Data1!$A$1:$DZU$1000000,2260,FALSE)</f>
        <v>#N/A</v>
      </c>
      <c r="P133" s="46" t="e">
        <f>VLOOKUP(A1,Data1!$A$1:$DZU$1000000,2261,FALSE)</f>
        <v>#N/A</v>
      </c>
      <c r="Q133" s="33" t="e">
        <f>VLOOKUP(A1,Data1!$A$1:$DZU$1000000,2262,FALSE)</f>
        <v>#N/A</v>
      </c>
    </row>
    <row r="134" spans="1:17" x14ac:dyDescent="0.35">
      <c r="A134" s="22" t="e">
        <f>VLOOKUP(A1,Data1!$A$1:$DZU$1000000,2263,FALSE)</f>
        <v>#N/A</v>
      </c>
      <c r="B134" s="37" t="e">
        <f>VLOOKUP(A1,Data1!$A$1:$DZU$1000000,2264,FALSE)</f>
        <v>#N/A</v>
      </c>
      <c r="C134" s="38" t="e">
        <f>VLOOKUP(A1,Data1!$A$1:$DZU$1000000,2265,FALSE)</f>
        <v>#N/A</v>
      </c>
      <c r="D134" s="31" t="e">
        <f>VLOOKUP(A1,Data1!$A$1:$DZU$1000000,2266,FALSE)</f>
        <v>#N/A</v>
      </c>
      <c r="E134" s="32" t="e">
        <f>VLOOKUP(A1,Data1!$A$1:$DZU$1000000,2267,FALSE)</f>
        <v>#N/A</v>
      </c>
      <c r="F134" s="34" t="e">
        <f>VLOOKUP(A1,Data1!$A$1:$DZU$1000000,2268,FALSE)</f>
        <v>#N/A</v>
      </c>
      <c r="G134" s="33" t="e">
        <f>VLOOKUP(A1,Data1!$A$1:$DZU$1000000,2269,FALSE)</f>
        <v>#N/A</v>
      </c>
      <c r="H134" s="34" t="e">
        <f>VLOOKUP(A1,Data1!$A$1:$DZU$1000000,2270,FALSE)</f>
        <v>#N/A</v>
      </c>
      <c r="I134" s="33" t="e">
        <f>VLOOKUP(A1,Data1!$A$1:$DZU$1000000,2271,FALSE)</f>
        <v>#N/A</v>
      </c>
      <c r="J134" s="34" t="e">
        <f>VLOOKUP(A1,Data1!$A$1:$DZU$1000000,2272,FALSE)</f>
        <v>#N/A</v>
      </c>
      <c r="K134" s="34" t="e">
        <f>VLOOKUP(A1,Data1!$A$1:$DZU$1000000,2273,FALSE)</f>
        <v>#N/A</v>
      </c>
      <c r="L134" s="93" t="e">
        <f>VLOOKUP(A1,Data1!$A$1:$DZU$1000000,2274,FALSE)</f>
        <v>#N/A</v>
      </c>
      <c r="M134" s="33" t="e">
        <f>VLOOKUP(A1,Data1!$A$1:$DZU$1000000,2275,FALSE)</f>
        <v>#N/A</v>
      </c>
      <c r="N134" s="34" t="e">
        <f>VLOOKUP(A1,Data1!$A$1:$DZU$1000000,2276,FALSE)</f>
        <v>#N/A</v>
      </c>
      <c r="O134" s="33" t="e">
        <f>VLOOKUP(A1,Data1!$A$1:$DZU$1000000,2277,FALSE)</f>
        <v>#N/A</v>
      </c>
      <c r="P134" s="46" t="e">
        <f>VLOOKUP(A1,Data1!$A$1:$DZU$1000000,2278,FALSE)</f>
        <v>#N/A</v>
      </c>
      <c r="Q134" s="33" t="e">
        <f>VLOOKUP(A1,Data1!$A$1:$DZU$1000000,2279,FALSE)</f>
        <v>#N/A</v>
      </c>
    </row>
    <row r="135" spans="1:17" x14ac:dyDescent="0.35">
      <c r="A135" s="22" t="e">
        <f>VLOOKUP(A1,Data1!$A$1:$DZU$1000000,2280,FALSE)</f>
        <v>#N/A</v>
      </c>
      <c r="B135" s="37" t="e">
        <f>VLOOKUP(A1,Data1!$A$1:$DZU$1000000,2281,FALSE)</f>
        <v>#N/A</v>
      </c>
      <c r="C135" s="38" t="e">
        <f>VLOOKUP(A1,Data1!$A$1:$DZU$1000000,2282,FALSE)</f>
        <v>#N/A</v>
      </c>
      <c r="D135" s="31" t="e">
        <f>VLOOKUP(A1,Data1!$A$1:$DZU$1000000,2283,FALSE)</f>
        <v>#N/A</v>
      </c>
      <c r="E135" s="32" t="e">
        <f>VLOOKUP(A1,Data1!$A$1:$DZU$1000000,2284,FALSE)</f>
        <v>#N/A</v>
      </c>
      <c r="F135" s="34" t="e">
        <f>VLOOKUP(A1,Data1!$A$1:$DZU$1000000,2285,FALSE)</f>
        <v>#N/A</v>
      </c>
      <c r="G135" s="33" t="e">
        <f>VLOOKUP(A1,Data1!$A$1:$DZU$1000000,2286,FALSE)</f>
        <v>#N/A</v>
      </c>
      <c r="H135" s="34" t="e">
        <f>VLOOKUP(A1,Data1!$A$1:$DZU$1000000,2287,FALSE)</f>
        <v>#N/A</v>
      </c>
      <c r="I135" s="33" t="e">
        <f>VLOOKUP(A1,Data1!$A$1:$DZU$1000000,2288,FALSE)</f>
        <v>#N/A</v>
      </c>
      <c r="J135" s="34" t="e">
        <f>VLOOKUP(A1,Data1!$A$1:$DZU$1000000,2289,FALSE)</f>
        <v>#N/A</v>
      </c>
      <c r="K135" s="34" t="e">
        <f>VLOOKUP(A1,Data1!$A$1:$DZU$1000000,2290,FALSE)</f>
        <v>#N/A</v>
      </c>
      <c r="L135" s="93" t="e">
        <f>VLOOKUP(A1,Data1!$A$1:$DZU$1000000,2291,FALSE)</f>
        <v>#N/A</v>
      </c>
      <c r="M135" s="33" t="e">
        <f>VLOOKUP(A1,Data1!$A$1:$DZU$1000000,2292,FALSE)</f>
        <v>#N/A</v>
      </c>
      <c r="N135" s="34" t="e">
        <f>VLOOKUP(A1,Data1!$A$1:$DZU$1000000,2293,FALSE)</f>
        <v>#N/A</v>
      </c>
      <c r="O135" s="33" t="e">
        <f>VLOOKUP(A1,Data1!$A$1:$DZU$1000000,2294,FALSE)</f>
        <v>#N/A</v>
      </c>
      <c r="P135" s="46" t="e">
        <f>VLOOKUP(A1,Data1!$A$1:$DZU$1000000,2295,FALSE)</f>
        <v>#N/A</v>
      </c>
      <c r="Q135" s="33" t="e">
        <f>VLOOKUP(A1,Data1!$A$1:$DZU$1000000,2296,FALSE)</f>
        <v>#N/A</v>
      </c>
    </row>
    <row r="136" spans="1:17" x14ac:dyDescent="0.35">
      <c r="A136" s="22" t="e">
        <f>VLOOKUP(A1,Data1!$A$1:$DZU$1000000,2297,FALSE)</f>
        <v>#N/A</v>
      </c>
      <c r="B136" s="37" t="e">
        <f>VLOOKUP(A1,Data1!$A$1:$DZU$1000000,2298,FALSE)</f>
        <v>#N/A</v>
      </c>
      <c r="C136" s="38" t="e">
        <f>VLOOKUP(A1,Data1!$A$1:$DZU$1000000,2299,FALSE)</f>
        <v>#N/A</v>
      </c>
      <c r="D136" s="31" t="e">
        <f>VLOOKUP(A1,Data1!$A$1:$DZU$1000000,2300,FALSE)</f>
        <v>#N/A</v>
      </c>
      <c r="E136" s="32" t="e">
        <f>VLOOKUP(A1,Data1!$A$1:$DZU$1000000,2301,FALSE)</f>
        <v>#N/A</v>
      </c>
      <c r="F136" s="34" t="e">
        <f>VLOOKUP(A1,Data1!$A$1:$DZU$1000000,2302,FALSE)</f>
        <v>#N/A</v>
      </c>
      <c r="G136" s="33" t="e">
        <f>VLOOKUP(A1,Data1!$A$1:$DZU$1000000,2303,FALSE)</f>
        <v>#N/A</v>
      </c>
      <c r="H136" s="34" t="e">
        <f>VLOOKUP(A1,Data1!$A$1:$DZU$1000000,2304,FALSE)</f>
        <v>#N/A</v>
      </c>
      <c r="I136" s="33" t="e">
        <f>VLOOKUP(A1,Data1!$A$1:$DZU$1000000,2305,FALSE)</f>
        <v>#N/A</v>
      </c>
      <c r="J136" s="34" t="e">
        <f>VLOOKUP(A1,Data1!$A$1:$DZU$1000000,2306,FALSE)</f>
        <v>#N/A</v>
      </c>
      <c r="K136" s="34" t="e">
        <f>VLOOKUP(A1,Data1!$A$1:$DZU$1000000,2307,FALSE)</f>
        <v>#N/A</v>
      </c>
      <c r="L136" s="93" t="e">
        <f>VLOOKUP(A1,Data1!$A$1:$DZU$1000000,2308,FALSE)</f>
        <v>#N/A</v>
      </c>
      <c r="M136" s="33" t="e">
        <f>VLOOKUP(A1,Data1!$A$1:$DZU$1000000,2309,FALSE)</f>
        <v>#N/A</v>
      </c>
      <c r="N136" s="34" t="e">
        <f>VLOOKUP(A1,Data1!$A$1:$DZU$1000000,2310,FALSE)</f>
        <v>#N/A</v>
      </c>
      <c r="O136" s="33" t="e">
        <f>VLOOKUP(A1,Data1!$A$1:$DZU$1000000,2311,FALSE)</f>
        <v>#N/A</v>
      </c>
      <c r="P136" s="46" t="e">
        <f>VLOOKUP(A1,Data1!$A$1:$DZU$1000000,2312,FALSE)</f>
        <v>#N/A</v>
      </c>
      <c r="Q136" s="33" t="e">
        <f>VLOOKUP(A1,Data1!$A$1:$DZU$1000000,2313,FALSE)</f>
        <v>#N/A</v>
      </c>
    </row>
    <row r="137" spans="1:17" x14ac:dyDescent="0.35">
      <c r="A137" s="22" t="e">
        <f>VLOOKUP(A1,Data1!$A$1:$DZU$1000000,2314,FALSE)</f>
        <v>#N/A</v>
      </c>
      <c r="B137" s="37" t="e">
        <f>VLOOKUP(A1,Data1!$A$1:$DZU$1000000,2315,FALSE)</f>
        <v>#N/A</v>
      </c>
      <c r="C137" s="38" t="e">
        <f>VLOOKUP(A1,Data1!$A$1:$DZU$1000000,2316,FALSE)</f>
        <v>#N/A</v>
      </c>
      <c r="D137" s="31" t="e">
        <f>VLOOKUP(A1,Data1!$A$1:$DZU$1000000,2317,FALSE)</f>
        <v>#N/A</v>
      </c>
      <c r="E137" s="32" t="e">
        <f>VLOOKUP(A1,Data1!$A$1:$DZU$1000000,2318,FALSE)</f>
        <v>#N/A</v>
      </c>
      <c r="F137" s="34" t="e">
        <f>VLOOKUP(A1,Data1!$A$1:$DZU$1000000,2319,FALSE)</f>
        <v>#N/A</v>
      </c>
      <c r="G137" s="33" t="e">
        <f>VLOOKUP(A1,Data1!$A$1:$DZU$1000000,2320,FALSE)</f>
        <v>#N/A</v>
      </c>
      <c r="H137" s="34" t="e">
        <f>VLOOKUP(A1,Data1!$A$1:$DZU$1000000,2321,FALSE)</f>
        <v>#N/A</v>
      </c>
      <c r="I137" s="33" t="e">
        <f>VLOOKUP(A1,Data1!$A$1:$DZU$1000000,2322,FALSE)</f>
        <v>#N/A</v>
      </c>
      <c r="J137" s="34" t="e">
        <f>VLOOKUP(A1,Data1!$A$1:$DZU$1000000,2323,FALSE)</f>
        <v>#N/A</v>
      </c>
      <c r="K137" s="34" t="e">
        <f>VLOOKUP(A1,Data1!$A$1:$DZU$1000000,2324,FALSE)</f>
        <v>#N/A</v>
      </c>
      <c r="L137" s="93" t="e">
        <f>VLOOKUP(A1,Data1!$A$1:$DZU$1000000,2325,FALSE)</f>
        <v>#N/A</v>
      </c>
      <c r="M137" s="33" t="e">
        <f>VLOOKUP(A1,Data1!$A$1:$DZU$1000000,2326,FALSE)</f>
        <v>#N/A</v>
      </c>
      <c r="N137" s="34" t="e">
        <f>VLOOKUP(A1,Data1!$A$1:$DZU$1000000,2327,FALSE)</f>
        <v>#N/A</v>
      </c>
      <c r="O137" s="33" t="e">
        <f>VLOOKUP(A1,Data1!$A$1:$DZU$1000000,2328,FALSE)</f>
        <v>#N/A</v>
      </c>
      <c r="P137" s="46" t="e">
        <f>VLOOKUP(A1,Data1!$A$1:$DZU$1000000,2329,FALSE)</f>
        <v>#N/A</v>
      </c>
      <c r="Q137" s="33" t="e">
        <f>VLOOKUP(A1,Data1!$A$1:$DZU$1000000,2330,FALSE)</f>
        <v>#N/A</v>
      </c>
    </row>
    <row r="138" spans="1:17" x14ac:dyDescent="0.35">
      <c r="A138" s="22" t="e">
        <f>VLOOKUP(A1,Data1!$A$1:$DZU$1000000,2331,FALSE)</f>
        <v>#N/A</v>
      </c>
      <c r="B138" s="37" t="e">
        <f>VLOOKUP(A1,Data1!$A$1:$DZU$1000000,2332,FALSE)</f>
        <v>#N/A</v>
      </c>
      <c r="C138" s="38" t="e">
        <f>VLOOKUP(A1,Data1!$A$1:$DZU$1000000,2333,FALSE)</f>
        <v>#N/A</v>
      </c>
      <c r="D138" s="31" t="e">
        <f>VLOOKUP(A1,Data1!$A$1:$DZU$1000000,2334,FALSE)</f>
        <v>#N/A</v>
      </c>
      <c r="E138" s="32" t="e">
        <f>VLOOKUP(A1,Data1!$A$1:$DZU$1000000,2335,FALSE)</f>
        <v>#N/A</v>
      </c>
      <c r="F138" s="34" t="e">
        <f>VLOOKUP(A1,Data1!$A$1:$DZU$1000000,2336,FALSE)</f>
        <v>#N/A</v>
      </c>
      <c r="G138" s="33" t="e">
        <f>VLOOKUP(A1,Data1!$A$1:$DZU$1000000,2337,FALSE)</f>
        <v>#N/A</v>
      </c>
      <c r="H138" s="34" t="e">
        <f>VLOOKUP(A1,Data1!$A$1:$DZU$1000000,2338,FALSE)</f>
        <v>#N/A</v>
      </c>
      <c r="I138" s="33" t="e">
        <f>VLOOKUP(A1,Data1!$A$1:$DZU$1000000,2339,FALSE)</f>
        <v>#N/A</v>
      </c>
      <c r="J138" s="34" t="e">
        <f>VLOOKUP(A1,Data1!$A$1:$DZU$1000000,2340,FALSE)</f>
        <v>#N/A</v>
      </c>
      <c r="K138" s="34" t="e">
        <f>VLOOKUP(A1,Data1!$A$1:$DZU$1000000,2341,FALSE)</f>
        <v>#N/A</v>
      </c>
      <c r="L138" s="93" t="e">
        <f>VLOOKUP(A1,Data1!$A$1:$DZU$1000000,2342,FALSE)</f>
        <v>#N/A</v>
      </c>
      <c r="M138" s="33" t="e">
        <f>VLOOKUP(A1,Data1!$A$1:$DZU$1000000,2343,FALSE)</f>
        <v>#N/A</v>
      </c>
      <c r="N138" s="34" t="e">
        <f>VLOOKUP(A1,Data1!$A$1:$DZU$1000000,2344,FALSE)</f>
        <v>#N/A</v>
      </c>
      <c r="O138" s="33" t="e">
        <f>VLOOKUP(A1,Data1!$A$1:$DZU$1000000,2345,FALSE)</f>
        <v>#N/A</v>
      </c>
      <c r="P138" s="46" t="e">
        <f>VLOOKUP(A1,Data1!$A$1:$DZU$1000000,2346,FALSE)</f>
        <v>#N/A</v>
      </c>
      <c r="Q138" s="33" t="e">
        <f>VLOOKUP(A1,Data1!$A$1:$DZU$1000000,2347,FALSE)</f>
        <v>#N/A</v>
      </c>
    </row>
    <row r="139" spans="1:17" x14ac:dyDescent="0.35">
      <c r="A139" s="22" t="e">
        <f>VLOOKUP(A1,Data1!$A$1:$DZU$1000000,2348,FALSE)</f>
        <v>#N/A</v>
      </c>
      <c r="B139" s="37" t="e">
        <f>VLOOKUP(A1,Data1!$A$1:$DZU$1000000,2349,FALSE)</f>
        <v>#N/A</v>
      </c>
      <c r="C139" s="38" t="e">
        <f>VLOOKUP(A1,Data1!$A$1:$DZU$1000000,2350,FALSE)</f>
        <v>#N/A</v>
      </c>
      <c r="D139" s="31" t="e">
        <f>VLOOKUP(A1,Data1!$A$1:$DZU$1000000,2351,FALSE)</f>
        <v>#N/A</v>
      </c>
      <c r="E139" s="32" t="e">
        <f>VLOOKUP(A1,Data1!$A$1:$DZU$1000000,2352,FALSE)</f>
        <v>#N/A</v>
      </c>
      <c r="F139" s="34" t="e">
        <f>VLOOKUP(A1,Data1!$A$1:$DZU$1000000,2353,FALSE)</f>
        <v>#N/A</v>
      </c>
      <c r="G139" s="33" t="e">
        <f>VLOOKUP(A1,Data1!$A$1:$DZU$1000000,2354,FALSE)</f>
        <v>#N/A</v>
      </c>
      <c r="H139" s="34" t="e">
        <f>VLOOKUP(A1,Data1!$A$1:$DZU$1000000,2355,FALSE)</f>
        <v>#N/A</v>
      </c>
      <c r="I139" s="33" t="e">
        <f>VLOOKUP(A1,Data1!$A$1:$DZU$1000000,2356,FALSE)</f>
        <v>#N/A</v>
      </c>
      <c r="J139" s="34" t="e">
        <f>VLOOKUP(A1,Data1!$A$1:$DZU$1000000,2357,FALSE)</f>
        <v>#N/A</v>
      </c>
      <c r="K139" s="34" t="e">
        <f>VLOOKUP(A1,Data1!$A$1:$DZU$1000000,2358,FALSE)</f>
        <v>#N/A</v>
      </c>
      <c r="L139" s="93" t="e">
        <f>VLOOKUP(A1,Data1!$A$1:$DZU$1000000,2359,FALSE)</f>
        <v>#N/A</v>
      </c>
      <c r="M139" s="33" t="e">
        <f>VLOOKUP(A1,Data1!$A$1:$DZU$1000000,2360,FALSE)</f>
        <v>#N/A</v>
      </c>
      <c r="N139" s="34" t="e">
        <f>VLOOKUP(A1,Data1!$A$1:$DZU$1000000,2361,FALSE)</f>
        <v>#N/A</v>
      </c>
      <c r="O139" s="33" t="e">
        <f>VLOOKUP(A1,Data1!$A$1:$DZU$1000000,2362,FALSE)</f>
        <v>#N/A</v>
      </c>
      <c r="P139" s="46" t="e">
        <f>VLOOKUP(A1,Data1!$A$1:$DZU$1000000,2363,FALSE)</f>
        <v>#N/A</v>
      </c>
      <c r="Q139" s="33" t="e">
        <f>VLOOKUP(A1,Data1!$A$1:$DZU$1000000,2364,FALSE)</f>
        <v>#N/A</v>
      </c>
    </row>
    <row r="140" spans="1:17" x14ac:dyDescent="0.35">
      <c r="A140" s="22" t="e">
        <f>VLOOKUP(A1,Data1!$A$1:$DZU$1000000,2365,FALSE)</f>
        <v>#N/A</v>
      </c>
      <c r="B140" s="37" t="e">
        <f>VLOOKUP(A1,Data1!$A$1:$DZU$1000000,2366,FALSE)</f>
        <v>#N/A</v>
      </c>
      <c r="C140" s="38" t="e">
        <f>VLOOKUP(A1,Data1!$A$1:$DZU$1000000,2367,FALSE)</f>
        <v>#N/A</v>
      </c>
      <c r="D140" s="31" t="e">
        <f>VLOOKUP(A1,Data1!$A$1:$DZU$1000000,2368,FALSE)</f>
        <v>#N/A</v>
      </c>
      <c r="E140" s="32" t="e">
        <f>VLOOKUP(A1,Data1!$A$1:$DZU$1000000,2369,FALSE)</f>
        <v>#N/A</v>
      </c>
      <c r="F140" s="34" t="e">
        <f>VLOOKUP(A1,Data1!$A$1:$DZU$1000000,2370,FALSE)</f>
        <v>#N/A</v>
      </c>
      <c r="G140" s="33" t="e">
        <f>VLOOKUP(A1,Data1!$A$1:$DZU$1000000,2371,FALSE)</f>
        <v>#N/A</v>
      </c>
      <c r="H140" s="34" t="e">
        <f>VLOOKUP(A1,Data1!$A$1:$DZU$1000000,2372,FALSE)</f>
        <v>#N/A</v>
      </c>
      <c r="I140" s="33" t="e">
        <f>VLOOKUP(A1,Data1!$A$1:$DZU$1000000,2373,FALSE)</f>
        <v>#N/A</v>
      </c>
      <c r="J140" s="34" t="e">
        <f>VLOOKUP(A1,Data1!$A$1:$DZU$1000000,2374,FALSE)</f>
        <v>#N/A</v>
      </c>
      <c r="K140" s="34" t="e">
        <f>VLOOKUP(A1,Data1!$A$1:$DZU$1000000,2375,FALSE)</f>
        <v>#N/A</v>
      </c>
      <c r="L140" s="93" t="e">
        <f>VLOOKUP(A1,Data1!$A$1:$DZU$1000000,2376,FALSE)</f>
        <v>#N/A</v>
      </c>
      <c r="M140" s="33" t="e">
        <f>VLOOKUP(A1,Data1!$A$1:$DZU$1000000,2377,FALSE)</f>
        <v>#N/A</v>
      </c>
      <c r="N140" s="34" t="e">
        <f>VLOOKUP(A1,Data1!$A$1:$DZU$1000000,2378,FALSE)</f>
        <v>#N/A</v>
      </c>
      <c r="O140" s="33" t="e">
        <f>VLOOKUP(A1,Data1!$A$1:$DZU$1000000,2379,FALSE)</f>
        <v>#N/A</v>
      </c>
      <c r="P140" s="46" t="e">
        <f>VLOOKUP(A1,Data1!$A$1:$DZU$1000000,2380,FALSE)</f>
        <v>#N/A</v>
      </c>
      <c r="Q140" s="33" t="e">
        <f>VLOOKUP(A1,Data1!$A$1:$DZU$1000000,2381,FALSE)</f>
        <v>#N/A</v>
      </c>
    </row>
    <row r="141" spans="1:17" x14ac:dyDescent="0.35">
      <c r="A141" s="22" t="e">
        <f>VLOOKUP(A1,Data1!$A$1:$DZU$1000000,2382,FALSE)</f>
        <v>#N/A</v>
      </c>
      <c r="B141" s="37" t="e">
        <f>VLOOKUP(A1,Data1!$A$1:$DZU$1000000,2383,FALSE)</f>
        <v>#N/A</v>
      </c>
      <c r="C141" s="38" t="e">
        <f>VLOOKUP(A1,Data1!$A$1:$DZU$1000000,2384,FALSE)</f>
        <v>#N/A</v>
      </c>
      <c r="D141" s="31" t="e">
        <f>VLOOKUP(A1,Data1!$A$1:$DZU$1000000,2385,FALSE)</f>
        <v>#N/A</v>
      </c>
      <c r="E141" s="32" t="e">
        <f>VLOOKUP(A1,Data1!$A$1:$DZU$1000000,2386,FALSE)</f>
        <v>#N/A</v>
      </c>
      <c r="F141" s="34" t="e">
        <f>VLOOKUP(A1,Data1!$A$1:$DZU$1000000,2387,FALSE)</f>
        <v>#N/A</v>
      </c>
      <c r="G141" s="33" t="e">
        <f>VLOOKUP(A1,Data1!$A$1:$DZU$1000000,2388,FALSE)</f>
        <v>#N/A</v>
      </c>
      <c r="H141" s="34" t="e">
        <f>VLOOKUP(A1,Data1!$A$1:$DZU$1000000,2389,FALSE)</f>
        <v>#N/A</v>
      </c>
      <c r="I141" s="33" t="e">
        <f>VLOOKUP(A1,Data1!$A$1:$DZU$1000000,2390,FALSE)</f>
        <v>#N/A</v>
      </c>
      <c r="J141" s="34" t="e">
        <f>VLOOKUP(A1,Data1!$A$1:$DZU$1000000,2391,FALSE)</f>
        <v>#N/A</v>
      </c>
      <c r="K141" s="34" t="e">
        <f>VLOOKUP(A1,Data1!$A$1:$DZU$1000000,2392,FALSE)</f>
        <v>#N/A</v>
      </c>
      <c r="L141" s="93" t="e">
        <f>VLOOKUP(A1,Data1!$A$1:$DZU$1000000,2393,FALSE)</f>
        <v>#N/A</v>
      </c>
      <c r="M141" s="33" t="e">
        <f>VLOOKUP(A1,Data1!$A$1:$DZU$1000000,2394,FALSE)</f>
        <v>#N/A</v>
      </c>
      <c r="N141" s="34" t="e">
        <f>VLOOKUP(A1,Data1!$A$1:$DZU$1000000,2395,FALSE)</f>
        <v>#N/A</v>
      </c>
      <c r="O141" s="33" t="e">
        <f>VLOOKUP(A1,Data1!$A$1:$DZU$1000000,2396,FALSE)</f>
        <v>#N/A</v>
      </c>
      <c r="P141" s="46" t="e">
        <f>VLOOKUP(A1,Data1!$A$1:$DZU$1000000,2397,FALSE)</f>
        <v>#N/A</v>
      </c>
      <c r="Q141" s="33" t="e">
        <f>VLOOKUP(A1,Data1!$A$1:$DZU$1000000,2398,FALSE)</f>
        <v>#N/A</v>
      </c>
    </row>
    <row r="142" spans="1:17" x14ac:dyDescent="0.35">
      <c r="A142" s="22" t="e">
        <f>VLOOKUP(A1,Data1!$A$1:$DZU$1000000,2399,FALSE)</f>
        <v>#N/A</v>
      </c>
      <c r="B142" s="37" t="e">
        <f>VLOOKUP(A1,Data1!$A$1:$DZU$1000000,2400,FALSE)</f>
        <v>#N/A</v>
      </c>
      <c r="C142" s="38" t="e">
        <f>VLOOKUP(A1,Data1!$A$1:$DZU$1000000,2401,FALSE)</f>
        <v>#N/A</v>
      </c>
      <c r="D142" s="31" t="e">
        <f>VLOOKUP(A1,Data1!$A$1:$DZU$1000000,2402,FALSE)</f>
        <v>#N/A</v>
      </c>
      <c r="E142" s="32" t="e">
        <f>VLOOKUP(A1,Data1!$A$1:$DZU$1000000,2403,FALSE)</f>
        <v>#N/A</v>
      </c>
      <c r="F142" s="34" t="e">
        <f>VLOOKUP(A1,Data1!$A$1:$DZU$1000000,2404,FALSE)</f>
        <v>#N/A</v>
      </c>
      <c r="G142" s="33" t="e">
        <f>VLOOKUP(A1,Data1!$A$1:$DZU$1000000,2405,FALSE)</f>
        <v>#N/A</v>
      </c>
      <c r="H142" s="34" t="e">
        <f>VLOOKUP(A1,Data1!$A$1:$DZU$1000000,2406,FALSE)</f>
        <v>#N/A</v>
      </c>
      <c r="I142" s="33" t="e">
        <f>VLOOKUP(A1,Data1!$A$1:$DZU$1000000,2407,FALSE)</f>
        <v>#N/A</v>
      </c>
      <c r="J142" s="34" t="e">
        <f>VLOOKUP(A1,Data1!$A$1:$DZU$1000000,2408,FALSE)</f>
        <v>#N/A</v>
      </c>
      <c r="K142" s="34" t="e">
        <f>VLOOKUP(A1,Data1!$A$1:$DZU$1000000,2409,FALSE)</f>
        <v>#N/A</v>
      </c>
      <c r="L142" s="93" t="e">
        <f>VLOOKUP(A1,Data1!$A$1:$DZU$1000000,2410,FALSE)</f>
        <v>#N/A</v>
      </c>
      <c r="M142" s="33" t="e">
        <f>VLOOKUP(A1,Data1!$A$1:$DZU$1000000,2411,FALSE)</f>
        <v>#N/A</v>
      </c>
      <c r="N142" s="34" t="e">
        <f>VLOOKUP(A1,Data1!$A$1:$DZU$1000000,2412,FALSE)</f>
        <v>#N/A</v>
      </c>
      <c r="O142" s="33" t="e">
        <f>VLOOKUP(A1,Data1!$A$1:$DZU$1000000,2413,FALSE)</f>
        <v>#N/A</v>
      </c>
      <c r="P142" s="46" t="e">
        <f>VLOOKUP(A1,Data1!$A$1:$DZU$1000000,2414,FALSE)</f>
        <v>#N/A</v>
      </c>
      <c r="Q142" s="33" t="e">
        <f>VLOOKUP(A1,Data1!$A$1:$DZU$1000000,2415,FALSE)</f>
        <v>#N/A</v>
      </c>
    </row>
    <row r="143" spans="1:17" x14ac:dyDescent="0.35">
      <c r="A143" s="22" t="e">
        <f>VLOOKUP(A1,Data1!$A$1:$DZU$1000000,2416,FALSE)</f>
        <v>#N/A</v>
      </c>
      <c r="B143" s="37" t="e">
        <f>VLOOKUP(A1,Data1!$A$1:$DZU$1000000,2417,FALSE)</f>
        <v>#N/A</v>
      </c>
      <c r="C143" s="38" t="e">
        <f>VLOOKUP(A1,Data1!$A$1:$DZU$1000000,2418,FALSE)</f>
        <v>#N/A</v>
      </c>
      <c r="D143" s="31" t="e">
        <f>VLOOKUP(A1,Data1!$A$1:$DZU$1000000,2419,FALSE)</f>
        <v>#N/A</v>
      </c>
      <c r="E143" s="32" t="e">
        <f>VLOOKUP(A1,Data1!$A$1:$DZU$1000000,2420,FALSE)</f>
        <v>#N/A</v>
      </c>
      <c r="F143" s="34" t="e">
        <f>VLOOKUP(A1,Data1!$A$1:$DZU$1000000,2421,FALSE)</f>
        <v>#N/A</v>
      </c>
      <c r="G143" s="33" t="e">
        <f>VLOOKUP(A1,Data1!$A$1:$DZU$1000000,2422,FALSE)</f>
        <v>#N/A</v>
      </c>
      <c r="H143" s="34" t="e">
        <f>VLOOKUP(A1,Data1!$A$1:$DZU$1000000,2423,FALSE)</f>
        <v>#N/A</v>
      </c>
      <c r="I143" s="33" t="e">
        <f>VLOOKUP(A1,Data1!$A$1:$DZU$1000000,2424,FALSE)</f>
        <v>#N/A</v>
      </c>
      <c r="J143" s="34" t="e">
        <f>VLOOKUP(A1,Data1!$A$1:$DZU$1000000,2425,FALSE)</f>
        <v>#N/A</v>
      </c>
      <c r="K143" s="34" t="e">
        <f>VLOOKUP(A1,Data1!$A$1:$DZU$1000000,2426,FALSE)</f>
        <v>#N/A</v>
      </c>
      <c r="L143" s="93" t="e">
        <f>VLOOKUP(A1,Data1!$A$1:$DZU$1000000,2427,FALSE)</f>
        <v>#N/A</v>
      </c>
      <c r="M143" s="33" t="e">
        <f>VLOOKUP(A1,Data1!$A$1:$DZU$1000000,2428,FALSE)</f>
        <v>#N/A</v>
      </c>
      <c r="N143" s="34" t="e">
        <f>VLOOKUP(A1,Data1!$A$1:$DZU$1000000,2429,FALSE)</f>
        <v>#N/A</v>
      </c>
      <c r="O143" s="33" t="e">
        <f>VLOOKUP(A1,Data1!$A$1:$DZU$1000000,2430,FALSE)</f>
        <v>#N/A</v>
      </c>
      <c r="P143" s="46" t="e">
        <f>VLOOKUP(A1,Data1!$A$1:$DZU$1000000,2431,FALSE)</f>
        <v>#N/A</v>
      </c>
      <c r="Q143" s="33" t="e">
        <f>VLOOKUP(A1,Data1!$A$1:$DZU$1000000,2432,FALSE)</f>
        <v>#N/A</v>
      </c>
    </row>
    <row r="144" spans="1:17" x14ac:dyDescent="0.35">
      <c r="A144" s="22" t="e">
        <f>VLOOKUP(A1,Data1!$A$1:$DZU$1000000,2433,FALSE)</f>
        <v>#N/A</v>
      </c>
      <c r="B144" s="37" t="e">
        <f>VLOOKUP(A1,Data1!$A$1:$DZU$1000000,2434,FALSE)</f>
        <v>#N/A</v>
      </c>
      <c r="C144" s="38" t="e">
        <f>VLOOKUP(A1,Data1!$A$1:$DZU$1000000,2435,FALSE)</f>
        <v>#N/A</v>
      </c>
      <c r="D144" s="31" t="e">
        <f>VLOOKUP(A1,Data1!$A$1:$DZU$1000000,2436,FALSE)</f>
        <v>#N/A</v>
      </c>
      <c r="E144" s="32" t="e">
        <f>VLOOKUP(A1,Data1!$A$1:$DZU$1000000,2437,FALSE)</f>
        <v>#N/A</v>
      </c>
      <c r="F144" s="34" t="e">
        <f>VLOOKUP(A1,Data1!$A$1:$DZU$1000000,2438,FALSE)</f>
        <v>#N/A</v>
      </c>
      <c r="G144" s="33" t="e">
        <f>VLOOKUP(A1,Data1!$A$1:$DZU$1000000,2439,FALSE)</f>
        <v>#N/A</v>
      </c>
      <c r="H144" s="34" t="e">
        <f>VLOOKUP(A1,Data1!$A$1:$DZU$1000000,2440,FALSE)</f>
        <v>#N/A</v>
      </c>
      <c r="I144" s="33" t="e">
        <f>VLOOKUP(A1,Data1!$A$1:$DZU$1000000,2441,FALSE)</f>
        <v>#N/A</v>
      </c>
      <c r="J144" s="34" t="e">
        <f>VLOOKUP(A1,Data1!$A$1:$DZU$1000000,2442,FALSE)</f>
        <v>#N/A</v>
      </c>
      <c r="K144" s="34" t="e">
        <f>VLOOKUP(A1,Data1!$A$1:$DZU$1000000,2443,FALSE)</f>
        <v>#N/A</v>
      </c>
      <c r="L144" s="93" t="e">
        <f>VLOOKUP(A1,Data1!$A$1:$DZU$1000000,2444,FALSE)</f>
        <v>#N/A</v>
      </c>
      <c r="M144" s="33" t="e">
        <f>VLOOKUP(A1,Data1!$A$1:$DZU$1000000,2445,FALSE)</f>
        <v>#N/A</v>
      </c>
      <c r="N144" s="34" t="e">
        <f>VLOOKUP(A1,Data1!$A$1:$DZU$1000000,2446,FALSE)</f>
        <v>#N/A</v>
      </c>
      <c r="O144" s="33" t="e">
        <f>VLOOKUP(A1,Data1!$A$1:$DZU$1000000,2447,FALSE)</f>
        <v>#N/A</v>
      </c>
      <c r="P144" s="46" t="e">
        <f>VLOOKUP(A1,Data1!$A$1:$DZU$1000000,2448,FALSE)</f>
        <v>#N/A</v>
      </c>
      <c r="Q144" s="33" t="e">
        <f>VLOOKUP(A1,Data1!$A$1:$DZU$1000000,2449,FALSE)</f>
        <v>#N/A</v>
      </c>
    </row>
    <row r="145" spans="1:17" x14ac:dyDescent="0.35">
      <c r="A145" s="22" t="e">
        <f>VLOOKUP(A1,Data1!$A$1:$DZU$1000000,2450,FALSE)</f>
        <v>#N/A</v>
      </c>
      <c r="B145" s="37" t="e">
        <f>VLOOKUP(A1,Data1!$A$1:$DZU$1000000,2451,FALSE)</f>
        <v>#N/A</v>
      </c>
      <c r="C145" s="38" t="e">
        <f>VLOOKUP(A1,Data1!$A$1:$DZU$1000000,2452,FALSE)</f>
        <v>#N/A</v>
      </c>
      <c r="D145" s="31" t="e">
        <f>VLOOKUP(A1,Data1!$A$1:$DZU$1000000,2453,FALSE)</f>
        <v>#N/A</v>
      </c>
      <c r="E145" s="32" t="e">
        <f>VLOOKUP(A1,Data1!$A$1:$DZU$1000000,2454,FALSE)</f>
        <v>#N/A</v>
      </c>
      <c r="F145" s="34" t="e">
        <f>VLOOKUP(A1,Data1!$A$1:$DZU$1000000,2455,FALSE)</f>
        <v>#N/A</v>
      </c>
      <c r="G145" s="33" t="e">
        <f>VLOOKUP(A1,Data1!$A$1:$DZU$1000000,2456,FALSE)</f>
        <v>#N/A</v>
      </c>
      <c r="H145" s="34" t="e">
        <f>VLOOKUP(A1,Data1!$A$1:$DZU$1000000,2457,FALSE)</f>
        <v>#N/A</v>
      </c>
      <c r="I145" s="33" t="e">
        <f>VLOOKUP(A1,Data1!$A$1:$DZU$1000000,2458,FALSE)</f>
        <v>#N/A</v>
      </c>
      <c r="J145" s="34" t="e">
        <f>VLOOKUP(A1,Data1!$A$1:$DZU$1000000,2459,FALSE)</f>
        <v>#N/A</v>
      </c>
      <c r="K145" s="34" t="e">
        <f>VLOOKUP(A1,Data1!$A$1:$DZU$1000000,2460,FALSE)</f>
        <v>#N/A</v>
      </c>
      <c r="L145" s="93" t="e">
        <f>VLOOKUP(A1,Data1!$A$1:$DZU$1000000,2461,FALSE)</f>
        <v>#N/A</v>
      </c>
      <c r="M145" s="33" t="e">
        <f>VLOOKUP(A1,Data1!$A$1:$DZU$1000000,2462,FALSE)</f>
        <v>#N/A</v>
      </c>
      <c r="N145" s="34" t="e">
        <f>VLOOKUP(A1,Data1!$A$1:$DZU$1000000,2463,FALSE)</f>
        <v>#N/A</v>
      </c>
      <c r="O145" s="33" t="e">
        <f>VLOOKUP(A1,Data1!$A$1:$DZU$1000000,2464,FALSE)</f>
        <v>#N/A</v>
      </c>
      <c r="P145" s="46" t="e">
        <f>VLOOKUP(A1,Data1!$A$1:$DZU$1000000,2465,FALSE)</f>
        <v>#N/A</v>
      </c>
      <c r="Q145" s="33" t="e">
        <f>VLOOKUP(A1,Data1!$A$1:$DZU$1000000,2466,FALSE)</f>
        <v>#N/A</v>
      </c>
    </row>
    <row r="146" spans="1:17" x14ac:dyDescent="0.35">
      <c r="A146" s="22" t="e">
        <f>VLOOKUP(A1,Data1!$A$1:$DZU$1000000,2467,FALSE)</f>
        <v>#N/A</v>
      </c>
      <c r="B146" s="37" t="e">
        <f>VLOOKUP(A1,Data1!$A$1:$DZU$1000000,2468,FALSE)</f>
        <v>#N/A</v>
      </c>
      <c r="C146" s="38" t="e">
        <f>VLOOKUP(A1,Data1!$A$1:$DZU$1000000,2469,FALSE)</f>
        <v>#N/A</v>
      </c>
      <c r="D146" s="31" t="e">
        <f>VLOOKUP(A1,Data1!$A$1:$DZU$1000000,2470,FALSE)</f>
        <v>#N/A</v>
      </c>
      <c r="E146" s="32" t="e">
        <f>VLOOKUP(A1,Data1!$A$1:$DZU$1000000,2471,FALSE)</f>
        <v>#N/A</v>
      </c>
      <c r="F146" s="34" t="e">
        <f>VLOOKUP(A1,Data1!$A$1:$DZU$1000000,2472,FALSE)</f>
        <v>#N/A</v>
      </c>
      <c r="G146" s="33" t="e">
        <f>VLOOKUP(A1,Data1!$A$1:$DZU$1000000,2473,FALSE)</f>
        <v>#N/A</v>
      </c>
      <c r="H146" s="34" t="e">
        <f>VLOOKUP(A1,Data1!$A$1:$DZU$1000000,2474,FALSE)</f>
        <v>#N/A</v>
      </c>
      <c r="I146" s="33" t="e">
        <f>VLOOKUP(A1,Data1!$A$1:$DZU$1000000,2475,FALSE)</f>
        <v>#N/A</v>
      </c>
      <c r="J146" s="34" t="e">
        <f>VLOOKUP(A1,Data1!$A$1:$DZU$1000000,2476,FALSE)</f>
        <v>#N/A</v>
      </c>
      <c r="K146" s="34" t="e">
        <f>VLOOKUP(A1,Data1!$A$1:$DZU$1000000,2477,FALSE)</f>
        <v>#N/A</v>
      </c>
      <c r="L146" s="93" t="e">
        <f>VLOOKUP(A1,Data1!$A$1:$DZU$1000000,2478,FALSE)</f>
        <v>#N/A</v>
      </c>
      <c r="M146" s="33" t="e">
        <f>VLOOKUP(A1,Data1!$A$1:$DZU$1000000,2479,FALSE)</f>
        <v>#N/A</v>
      </c>
      <c r="N146" s="34" t="e">
        <f>VLOOKUP(A1,Data1!$A$1:$DZU$1000000,2480,FALSE)</f>
        <v>#N/A</v>
      </c>
      <c r="O146" s="33" t="e">
        <f>VLOOKUP(A1,Data1!$A$1:$DZU$1000000,2481,FALSE)</f>
        <v>#N/A</v>
      </c>
      <c r="P146" s="46" t="e">
        <f>VLOOKUP(A1,Data1!$A$1:$DZU$1000000,2482,FALSE)</f>
        <v>#N/A</v>
      </c>
      <c r="Q146" s="33" t="e">
        <f>VLOOKUP(A1,Data1!$A$1:$DZU$1000000,2483,FALSE)</f>
        <v>#N/A</v>
      </c>
    </row>
    <row r="147" spans="1:17" x14ac:dyDescent="0.35">
      <c r="A147" s="22" t="e">
        <f>VLOOKUP(A1,Data1!$A$1:$DZU$1000000,2484,FALSE)</f>
        <v>#N/A</v>
      </c>
      <c r="B147" s="37" t="e">
        <f>VLOOKUP(A1,Data1!$A$1:$DZU$1000000,2485,FALSE)</f>
        <v>#N/A</v>
      </c>
      <c r="C147" s="38" t="e">
        <f>VLOOKUP(A1,Data1!$A$1:$DZU$1000000,2486,FALSE)</f>
        <v>#N/A</v>
      </c>
      <c r="D147" s="31" t="e">
        <f>VLOOKUP(A1,Data1!$A$1:$DZU$1000000,2487,FALSE)</f>
        <v>#N/A</v>
      </c>
      <c r="E147" s="32" t="e">
        <f>VLOOKUP(A1,Data1!$A$1:$DZU$1000000,2488,FALSE)</f>
        <v>#N/A</v>
      </c>
      <c r="F147" s="34" t="e">
        <f>VLOOKUP(A1,Data1!$A$1:$DZU$1000000,2489,FALSE)</f>
        <v>#N/A</v>
      </c>
      <c r="G147" s="33" t="e">
        <f>VLOOKUP(A1,Data1!$A$1:$DZU$1000000,2490,FALSE)</f>
        <v>#N/A</v>
      </c>
      <c r="H147" s="34" t="e">
        <f>VLOOKUP(A1,Data1!$A$1:$DZU$1000000,2491,FALSE)</f>
        <v>#N/A</v>
      </c>
      <c r="I147" s="33" t="e">
        <f>VLOOKUP(A1,Data1!$A$1:$DZU$1000000,2492,FALSE)</f>
        <v>#N/A</v>
      </c>
      <c r="J147" s="34" t="e">
        <f>VLOOKUP(A1,Data1!$A$1:$DZU$1000000,2493,FALSE)</f>
        <v>#N/A</v>
      </c>
      <c r="K147" s="34" t="e">
        <f>VLOOKUP(A1,Data1!$A$1:$DZU$1000000,2494,FALSE)</f>
        <v>#N/A</v>
      </c>
      <c r="L147" s="93" t="e">
        <f>VLOOKUP(A1,Data1!$A$1:$DZU$1000000,2495,FALSE)</f>
        <v>#N/A</v>
      </c>
      <c r="M147" s="33" t="e">
        <f>VLOOKUP(A1,Data1!$A$1:$DZU$1000000,2496,FALSE)</f>
        <v>#N/A</v>
      </c>
      <c r="N147" s="34" t="e">
        <f>VLOOKUP(A1,Data1!$A$1:$DZU$1000000,2497,FALSE)</f>
        <v>#N/A</v>
      </c>
      <c r="O147" s="33" t="e">
        <f>VLOOKUP(A1,Data1!$A$1:$DZU$1000000,2498,FALSE)</f>
        <v>#N/A</v>
      </c>
      <c r="P147" s="46" t="e">
        <f>VLOOKUP(A1,Data1!$A$1:$DZU$1000000,2499,FALSE)</f>
        <v>#N/A</v>
      </c>
      <c r="Q147" s="33" t="e">
        <f>VLOOKUP(A1,Data1!$A$1:$DZU$1000000,2500,FALSE)</f>
        <v>#N/A</v>
      </c>
    </row>
    <row r="148" spans="1:17" x14ac:dyDescent="0.35">
      <c r="A148" s="22" t="e">
        <f>VLOOKUP(A1,Data1!$A$1:$DZU$1000000,2501,FALSE)</f>
        <v>#N/A</v>
      </c>
      <c r="B148" s="37" t="e">
        <f>VLOOKUP(A1,Data1!$A$1:$DZU$1000000,2502,FALSE)</f>
        <v>#N/A</v>
      </c>
      <c r="C148" s="38" t="e">
        <f>VLOOKUP(A1,Data1!$A$1:$DZU$1000000,2503,FALSE)</f>
        <v>#N/A</v>
      </c>
      <c r="D148" s="31" t="e">
        <f>VLOOKUP(A1,Data1!$A$1:$DZU$1000000,2504,FALSE)</f>
        <v>#N/A</v>
      </c>
      <c r="E148" s="32" t="e">
        <f>VLOOKUP(A1,Data1!$A$1:$DZU$1000000,2505,FALSE)</f>
        <v>#N/A</v>
      </c>
      <c r="F148" s="34" t="e">
        <f>VLOOKUP(A1,Data1!$A$1:$DZU$1000000,2506,FALSE)</f>
        <v>#N/A</v>
      </c>
      <c r="G148" s="33" t="e">
        <f>VLOOKUP(A1,Data1!$A$1:$DZU$1000000,2507,FALSE)</f>
        <v>#N/A</v>
      </c>
      <c r="H148" s="34" t="e">
        <f>VLOOKUP(A1,Data1!$A$1:$DZU$1000000,2508,FALSE)</f>
        <v>#N/A</v>
      </c>
      <c r="I148" s="33" t="e">
        <f>VLOOKUP(A1,Data1!$A$1:$DZU$1000000,2509,FALSE)</f>
        <v>#N/A</v>
      </c>
      <c r="J148" s="34" t="e">
        <f>VLOOKUP(A1,Data1!$A$1:$DZU$1000000,2510,FALSE)</f>
        <v>#N/A</v>
      </c>
      <c r="K148" s="34" t="e">
        <f>VLOOKUP(A1,Data1!$A$1:$DZU$1000000,2511,FALSE)</f>
        <v>#N/A</v>
      </c>
      <c r="L148" s="93" t="e">
        <f>VLOOKUP(A1,Data1!$A$1:$DZU$1000000,2512,FALSE)</f>
        <v>#N/A</v>
      </c>
      <c r="M148" s="33" t="e">
        <f>VLOOKUP(A1,Data1!$A$1:$DZU$1000000,2513,FALSE)</f>
        <v>#N/A</v>
      </c>
      <c r="N148" s="34" t="e">
        <f>VLOOKUP(A1,Data1!$A$1:$DZU$1000000,2514,FALSE)</f>
        <v>#N/A</v>
      </c>
      <c r="O148" s="33" t="e">
        <f>VLOOKUP(A1,Data1!$A$1:$DZU$1000000,2515,FALSE)</f>
        <v>#N/A</v>
      </c>
      <c r="P148" s="46" t="e">
        <f>VLOOKUP(A1,Data1!$A$1:$DZU$1000000,2516,FALSE)</f>
        <v>#N/A</v>
      </c>
      <c r="Q148" s="33" t="e">
        <f>VLOOKUP(A1,Data1!$A$1:$DZU$1000000,2517,FALSE)</f>
        <v>#N/A</v>
      </c>
    </row>
    <row r="149" spans="1:17" x14ac:dyDescent="0.35">
      <c r="A149" s="22" t="e">
        <f>VLOOKUP(A1,Data1!$A$1:$DZU$1000000,2518,FALSE)</f>
        <v>#N/A</v>
      </c>
      <c r="B149" s="37" t="e">
        <f>VLOOKUP(A1,Data1!$A$1:$DZU$1000000,2519,FALSE)</f>
        <v>#N/A</v>
      </c>
      <c r="C149" s="38" t="e">
        <f>VLOOKUP(A1,Data1!$A$1:$DZU$1000000,2520,FALSE)</f>
        <v>#N/A</v>
      </c>
      <c r="D149" s="31" t="e">
        <f>VLOOKUP(A1,Data1!$A$1:$DZU$1000000,2521,FALSE)</f>
        <v>#N/A</v>
      </c>
      <c r="E149" s="32" t="e">
        <f>VLOOKUP(A1,Data1!$A$1:$DZU$1000000,2522,FALSE)</f>
        <v>#N/A</v>
      </c>
      <c r="F149" s="34" t="e">
        <f>VLOOKUP(A1,Data1!$A$1:$DZU$1000000,2523,FALSE)</f>
        <v>#N/A</v>
      </c>
      <c r="G149" s="33" t="e">
        <f>VLOOKUP(A1,Data1!$A$1:$DZU$1000000,2524,FALSE)</f>
        <v>#N/A</v>
      </c>
      <c r="H149" s="34" t="e">
        <f>VLOOKUP(A1,Data1!$A$1:$DZU$1000000,2525,FALSE)</f>
        <v>#N/A</v>
      </c>
      <c r="I149" s="33" t="e">
        <f>VLOOKUP(A1,Data1!$A$1:$DZU$1000000,2526,FALSE)</f>
        <v>#N/A</v>
      </c>
      <c r="J149" s="34" t="e">
        <f>VLOOKUP(A1,Data1!$A$1:$DZU$1000000,2527,FALSE)</f>
        <v>#N/A</v>
      </c>
      <c r="K149" s="34" t="e">
        <f>VLOOKUP(A1,Data1!$A$1:$DZU$1000000,2528,FALSE)</f>
        <v>#N/A</v>
      </c>
      <c r="L149" s="93" t="e">
        <f>VLOOKUP(A1,Data1!$A$1:$DZU$1000000,2529,FALSE)</f>
        <v>#N/A</v>
      </c>
      <c r="M149" s="33" t="e">
        <f>VLOOKUP(A1,Data1!$A$1:$DZU$1000000,2530,FALSE)</f>
        <v>#N/A</v>
      </c>
      <c r="N149" s="34" t="e">
        <f>VLOOKUP(A1,Data1!$A$1:$DZU$1000000,2531,FALSE)</f>
        <v>#N/A</v>
      </c>
      <c r="O149" s="33" t="e">
        <f>VLOOKUP(A1,Data1!$A$1:$DZU$1000000,2532,FALSE)</f>
        <v>#N/A</v>
      </c>
      <c r="P149" s="46" t="e">
        <f>VLOOKUP(A1,Data1!$A$1:$DZU$1000000,2533,FALSE)</f>
        <v>#N/A</v>
      </c>
      <c r="Q149" s="33" t="e">
        <f>VLOOKUP(A1,Data1!$A$1:$DZU$1000000,2534,FALSE)</f>
        <v>#N/A</v>
      </c>
    </row>
    <row r="150" spans="1:17" x14ac:dyDescent="0.35">
      <c r="A150" s="22" t="e">
        <f>VLOOKUP(A1,Data1!$A$1:$DZU$1000000,2535,FALSE)</f>
        <v>#N/A</v>
      </c>
      <c r="B150" s="37" t="e">
        <f>VLOOKUP(A1,Data1!$A$1:$DZU$1000000,2536,FALSE)</f>
        <v>#N/A</v>
      </c>
      <c r="C150" s="38" t="e">
        <f>VLOOKUP(A1,Data1!$A$1:$DZU$1000000,2537,FALSE)</f>
        <v>#N/A</v>
      </c>
      <c r="D150" s="31" t="e">
        <f>VLOOKUP(A1,Data1!$A$1:$DZU$1000000,2538,FALSE)</f>
        <v>#N/A</v>
      </c>
      <c r="E150" s="32" t="e">
        <f>VLOOKUP(A1,Data1!$A$1:$DZU$1000000,2539,FALSE)</f>
        <v>#N/A</v>
      </c>
      <c r="F150" s="34" t="e">
        <f>VLOOKUP(A1,Data1!$A$1:$DZU$1000000,2540,FALSE)</f>
        <v>#N/A</v>
      </c>
      <c r="G150" s="33" t="e">
        <f>VLOOKUP(A1,Data1!$A$1:$DZU$1000000,2541,FALSE)</f>
        <v>#N/A</v>
      </c>
      <c r="H150" s="34" t="e">
        <f>VLOOKUP(A1,Data1!$A$1:$DZU$1000000,2542,FALSE)</f>
        <v>#N/A</v>
      </c>
      <c r="I150" s="33" t="e">
        <f>VLOOKUP(A1,Data1!$A$1:$DZU$1000000,2543,FALSE)</f>
        <v>#N/A</v>
      </c>
      <c r="J150" s="34" t="e">
        <f>VLOOKUP(A1,Data1!$A$1:$DZU$1000000,2544,FALSE)</f>
        <v>#N/A</v>
      </c>
      <c r="K150" s="34" t="e">
        <f>VLOOKUP(A1,Data1!$A$1:$DZU$1000000,2545,FALSE)</f>
        <v>#N/A</v>
      </c>
      <c r="L150" s="93" t="e">
        <f>VLOOKUP(A1,Data1!$A$1:$DZU$1000000,2546,FALSE)</f>
        <v>#N/A</v>
      </c>
      <c r="M150" s="33" t="e">
        <f>VLOOKUP(A1,Data1!$A$1:$DZU$1000000,2547,FALSE)</f>
        <v>#N/A</v>
      </c>
      <c r="N150" s="34" t="e">
        <f>VLOOKUP(A1,Data1!$A$1:$DZU$1000000,2548,FALSE)</f>
        <v>#N/A</v>
      </c>
      <c r="O150" s="33" t="e">
        <f>VLOOKUP(A1,Data1!$A$1:$DZU$1000000,2549,FALSE)</f>
        <v>#N/A</v>
      </c>
      <c r="P150" s="46" t="e">
        <f>VLOOKUP(A1,Data1!$A$1:$DZU$1000000,2550,FALSE)</f>
        <v>#N/A</v>
      </c>
      <c r="Q150" s="33" t="e">
        <f>VLOOKUP(A1,Data1!$A$1:$DZU$1000000,2551,FALSE)</f>
        <v>#N/A</v>
      </c>
    </row>
    <row r="151" spans="1:17" x14ac:dyDescent="0.35">
      <c r="A151" s="22" t="e">
        <f>VLOOKUP(A1,Data1!$A$1:$DZU$1000000,2552,FALSE)</f>
        <v>#N/A</v>
      </c>
      <c r="B151" s="37" t="e">
        <f>VLOOKUP(A1,Data1!$A$1:$DZU$1000000,2553,FALSE)</f>
        <v>#N/A</v>
      </c>
      <c r="C151" s="38" t="e">
        <f>VLOOKUP(A1,Data1!$A$1:$DZU$1000000,2554,FALSE)</f>
        <v>#N/A</v>
      </c>
      <c r="D151" s="31" t="e">
        <f>VLOOKUP(A1,Data1!$A$1:$DZU$1000000,2555,FALSE)</f>
        <v>#N/A</v>
      </c>
      <c r="E151" s="32" t="e">
        <f>VLOOKUP(A1,Data1!$A$1:$DZU$1000000,2556,FALSE)</f>
        <v>#N/A</v>
      </c>
      <c r="F151" s="34" t="e">
        <f>VLOOKUP(A1,Data1!$A$1:$DZU$1000000,2557,FALSE)</f>
        <v>#N/A</v>
      </c>
      <c r="G151" s="33" t="e">
        <f>VLOOKUP(A1,Data1!$A$1:$DZU$1000000,2558,FALSE)</f>
        <v>#N/A</v>
      </c>
      <c r="H151" s="34" t="e">
        <f>VLOOKUP(A1,Data1!$A$1:$DZU$1000000,2559,FALSE)</f>
        <v>#N/A</v>
      </c>
      <c r="I151" s="33" t="e">
        <f>VLOOKUP(A1,Data1!$A$1:$DZU$1000000,2560,FALSE)</f>
        <v>#N/A</v>
      </c>
      <c r="J151" s="34" t="e">
        <f>VLOOKUP(A1,Data1!$A$1:$DZU$1000000,2561,FALSE)</f>
        <v>#N/A</v>
      </c>
      <c r="K151" s="34" t="e">
        <f>VLOOKUP(A1,Data1!$A$1:$DZU$1000000,2562,FALSE)</f>
        <v>#N/A</v>
      </c>
      <c r="L151" s="93" t="e">
        <f>VLOOKUP(A1,Data1!$A$1:$DZU$1000000,2563,FALSE)</f>
        <v>#N/A</v>
      </c>
      <c r="M151" s="33" t="e">
        <f>VLOOKUP(A1,Data1!$A$1:$DZU$1000000,2564,FALSE)</f>
        <v>#N/A</v>
      </c>
      <c r="N151" s="34" t="e">
        <f>VLOOKUP(A1,Data1!$A$1:$DZU$1000000,2565,FALSE)</f>
        <v>#N/A</v>
      </c>
      <c r="O151" s="33" t="e">
        <f>VLOOKUP(A1,Data1!$A$1:$DZU$1000000,2566,FALSE)</f>
        <v>#N/A</v>
      </c>
      <c r="P151" s="46" t="e">
        <f>VLOOKUP(A1,Data1!$A$1:$DZU$1000000,2567,FALSE)</f>
        <v>#N/A</v>
      </c>
      <c r="Q151" s="33" t="e">
        <f>VLOOKUP(A1,Data1!$A$1:$DZU$1000000,2568,FALSE)</f>
        <v>#N/A</v>
      </c>
    </row>
    <row r="152" spans="1:17" x14ac:dyDescent="0.35">
      <c r="A152" s="22" t="e">
        <f>VLOOKUP(A1,Data1!$A$1:$DZU$1000000,2569,FALSE)</f>
        <v>#N/A</v>
      </c>
      <c r="B152" s="37" t="e">
        <f>VLOOKUP(A1,Data1!$A$1:$DZU$1000000,2570,FALSE)</f>
        <v>#N/A</v>
      </c>
      <c r="C152" s="38" t="e">
        <f>VLOOKUP(A1,Data1!$A$1:$DZU$1000000,2571,FALSE)</f>
        <v>#N/A</v>
      </c>
      <c r="D152" s="31" t="e">
        <f>VLOOKUP(A1,Data1!$A$1:$DZU$1000000,2572,FALSE)</f>
        <v>#N/A</v>
      </c>
      <c r="E152" s="32" t="e">
        <f>VLOOKUP(A1,Data1!$A$1:$DZU$1000000,2573,FALSE)</f>
        <v>#N/A</v>
      </c>
      <c r="F152" s="34" t="e">
        <f>VLOOKUP(A1,Data1!$A$1:$DZU$1000000,2574,FALSE)</f>
        <v>#N/A</v>
      </c>
      <c r="G152" s="33" t="e">
        <f>VLOOKUP(A1,Data1!$A$1:$DZU$1000000,2575,FALSE)</f>
        <v>#N/A</v>
      </c>
      <c r="H152" s="34" t="e">
        <f>VLOOKUP(A1,Data1!$A$1:$DZU$1000000,2576,FALSE)</f>
        <v>#N/A</v>
      </c>
      <c r="I152" s="33" t="e">
        <f>VLOOKUP(A1,Data1!$A$1:$DZU$1000000,2577,FALSE)</f>
        <v>#N/A</v>
      </c>
      <c r="J152" s="34" t="e">
        <f>VLOOKUP(A1,Data1!$A$1:$DZU$1000000,2578,FALSE)</f>
        <v>#N/A</v>
      </c>
      <c r="K152" s="34" t="e">
        <f>VLOOKUP(A1,Data1!$A$1:$DZU$1000000,2579,FALSE)</f>
        <v>#N/A</v>
      </c>
      <c r="L152" s="93" t="e">
        <f>VLOOKUP(A1,Data1!$A$1:$DZU$1000000,2580,FALSE)</f>
        <v>#N/A</v>
      </c>
      <c r="M152" s="33" t="e">
        <f>VLOOKUP(A1,Data1!$A$1:$DZU$1000000,2581,FALSE)</f>
        <v>#N/A</v>
      </c>
      <c r="N152" s="34" t="e">
        <f>VLOOKUP(A1,Data1!$A$1:$DZU$1000000,2582,FALSE)</f>
        <v>#N/A</v>
      </c>
      <c r="O152" s="33" t="e">
        <f>VLOOKUP(A1,Data1!$A$1:$DZU$1000000,2583,FALSE)</f>
        <v>#N/A</v>
      </c>
      <c r="P152" s="46" t="e">
        <f>VLOOKUP(A1,Data1!$A$1:$DZU$1000000,2584,FALSE)</f>
        <v>#N/A</v>
      </c>
      <c r="Q152" s="33" t="e">
        <f>VLOOKUP(A1,Data1!$A$1:$DZU$1000000,2585,FALSE)</f>
        <v>#N/A</v>
      </c>
    </row>
    <row r="153" spans="1:17" x14ac:dyDescent="0.35">
      <c r="A153" s="22" t="e">
        <f>VLOOKUP(A1,Data1!$A$1:$DZU$1000000,2586,FALSE)</f>
        <v>#N/A</v>
      </c>
      <c r="B153" s="37" t="e">
        <f>VLOOKUP(A1,Data1!$A$1:$DZU$1000000,2587,FALSE)</f>
        <v>#N/A</v>
      </c>
      <c r="C153" s="38" t="e">
        <f>VLOOKUP(A1,Data1!$A$1:$DZU$1000000,2588,FALSE)</f>
        <v>#N/A</v>
      </c>
      <c r="D153" s="31" t="e">
        <f>VLOOKUP(A1,Data1!$A$1:$DZU$1000000,2589,FALSE)</f>
        <v>#N/A</v>
      </c>
      <c r="E153" s="32" t="e">
        <f>VLOOKUP(A1,Data1!$A$1:$DZU$1000000,2590,FALSE)</f>
        <v>#N/A</v>
      </c>
      <c r="F153" s="34" t="e">
        <f>VLOOKUP(A1,Data1!$A$1:$DZU$1000000,2591,FALSE)</f>
        <v>#N/A</v>
      </c>
      <c r="G153" s="33" t="e">
        <f>VLOOKUP(A1,Data1!$A$1:$DZU$1000000,2592,FALSE)</f>
        <v>#N/A</v>
      </c>
      <c r="H153" s="34" t="e">
        <f>VLOOKUP(A1,Data1!$A$1:$DZU$1000000,2593,FALSE)</f>
        <v>#N/A</v>
      </c>
      <c r="I153" s="33" t="e">
        <f>VLOOKUP(A1,Data1!$A$1:$DZU$1000000,2594,FALSE)</f>
        <v>#N/A</v>
      </c>
      <c r="J153" s="34" t="e">
        <f>VLOOKUP(A1,Data1!$A$1:$DZU$1000000,2595,FALSE)</f>
        <v>#N/A</v>
      </c>
      <c r="K153" s="34" t="e">
        <f>VLOOKUP(A1,Data1!$A$1:$DZU$1000000,2596,FALSE)</f>
        <v>#N/A</v>
      </c>
      <c r="L153" s="93" t="e">
        <f>VLOOKUP(A1,Data1!$A$1:$DZU$1000000,2597,FALSE)</f>
        <v>#N/A</v>
      </c>
      <c r="M153" s="33" t="e">
        <f>VLOOKUP(A1,Data1!$A$1:$DZU$1000000,2598,FALSE)</f>
        <v>#N/A</v>
      </c>
      <c r="N153" s="34" t="e">
        <f>VLOOKUP(A1,Data1!$A$1:$DZU$1000000,2599,FALSE)</f>
        <v>#N/A</v>
      </c>
      <c r="O153" s="33" t="e">
        <f>VLOOKUP(A1,Data1!$A$1:$DZU$1000000,2600,FALSE)</f>
        <v>#N/A</v>
      </c>
      <c r="P153" s="46" t="e">
        <f>VLOOKUP(A1,Data1!$A$1:$DZU$1000000,2601,FALSE)</f>
        <v>#N/A</v>
      </c>
      <c r="Q153" s="33" t="e">
        <f>VLOOKUP(A1,Data1!$A$1:$DZU$1000000,2602,FALSE)</f>
        <v>#N/A</v>
      </c>
    </row>
    <row r="154" spans="1:17" x14ac:dyDescent="0.35">
      <c r="A154" s="22" t="e">
        <f>VLOOKUP(A1,Data1!$A$1:$DZU$1000000,2603,FALSE)</f>
        <v>#N/A</v>
      </c>
      <c r="B154" s="37" t="e">
        <f>VLOOKUP(A1,Data1!$A$1:$DZU$1000000,2604,FALSE)</f>
        <v>#N/A</v>
      </c>
      <c r="C154" s="38" t="e">
        <f>VLOOKUP(A1,Data1!$A$1:$DZU$1000000,2605,FALSE)</f>
        <v>#N/A</v>
      </c>
      <c r="D154" s="31" t="e">
        <f>VLOOKUP(A1,Data1!$A$1:$DZU$1000000,2606,FALSE)</f>
        <v>#N/A</v>
      </c>
      <c r="E154" s="32" t="e">
        <f>VLOOKUP(A1,Data1!$A$1:$DZU$1000000,2607,FALSE)</f>
        <v>#N/A</v>
      </c>
      <c r="F154" s="34" t="e">
        <f>VLOOKUP(A1,Data1!$A$1:$DZU$1000000,2608,FALSE)</f>
        <v>#N/A</v>
      </c>
      <c r="G154" s="33" t="e">
        <f>VLOOKUP(A1,Data1!$A$1:$DZU$1000000,2609,FALSE)</f>
        <v>#N/A</v>
      </c>
      <c r="H154" s="34" t="e">
        <f>VLOOKUP(A1,Data1!$A$1:$DZU$1000000,2610,FALSE)</f>
        <v>#N/A</v>
      </c>
      <c r="I154" s="33" t="e">
        <f>VLOOKUP(A1,Data1!$A$1:$DZU$1000000,2611,FALSE)</f>
        <v>#N/A</v>
      </c>
      <c r="J154" s="34" t="e">
        <f>VLOOKUP(A1,Data1!$A$1:$DZU$1000000,2612,FALSE)</f>
        <v>#N/A</v>
      </c>
      <c r="K154" s="34" t="e">
        <f>VLOOKUP(A1,Data1!$A$1:$DZU$1000000,2613,FALSE)</f>
        <v>#N/A</v>
      </c>
      <c r="L154" s="93" t="e">
        <f>VLOOKUP(A1,Data1!$A$1:$DZU$1000000,2614,FALSE)</f>
        <v>#N/A</v>
      </c>
      <c r="M154" s="33" t="e">
        <f>VLOOKUP(A1,Data1!$A$1:$DZU$1000000,2615,FALSE)</f>
        <v>#N/A</v>
      </c>
      <c r="N154" s="34" t="e">
        <f>VLOOKUP(A1,Data1!$A$1:$DZU$1000000,2616,FALSE)</f>
        <v>#N/A</v>
      </c>
      <c r="O154" s="33" t="e">
        <f>VLOOKUP(A1,Data1!$A$1:$DZU$1000000,2617,FALSE)</f>
        <v>#N/A</v>
      </c>
      <c r="P154" s="46" t="e">
        <f>VLOOKUP(A1,Data1!$A$1:$DZU$1000000,2618,FALSE)</f>
        <v>#N/A</v>
      </c>
      <c r="Q154" s="33" t="e">
        <f>VLOOKUP(A1,Data1!$A$1:$DZU$1000000,2619,FALSE)</f>
        <v>#N/A</v>
      </c>
    </row>
    <row r="155" spans="1:17" x14ac:dyDescent="0.35">
      <c r="A155" s="22" t="e">
        <f>VLOOKUP(A1,Data1!$A$1:$DZU$1000000,2620,FALSE)</f>
        <v>#N/A</v>
      </c>
      <c r="B155" s="37" t="e">
        <f>VLOOKUP(A1,Data1!$A$1:$DZU$1000000,2621,FALSE)</f>
        <v>#N/A</v>
      </c>
      <c r="C155" s="38" t="e">
        <f>VLOOKUP(A1,Data1!$A$1:$DZU$1000000,2622,FALSE)</f>
        <v>#N/A</v>
      </c>
      <c r="D155" s="31" t="e">
        <f>VLOOKUP(A1,Data1!$A$1:$DZU$1000000,2623,FALSE)</f>
        <v>#N/A</v>
      </c>
      <c r="E155" s="32" t="e">
        <f>VLOOKUP(A1,Data1!$A$1:$DZU$1000000,2624,FALSE)</f>
        <v>#N/A</v>
      </c>
      <c r="F155" s="34" t="e">
        <f>VLOOKUP(A1,Data1!$A$1:$DZU$1000000,2625,FALSE)</f>
        <v>#N/A</v>
      </c>
      <c r="G155" s="33" t="e">
        <f>VLOOKUP(A1,Data1!$A$1:$DZU$1000000,2626,FALSE)</f>
        <v>#N/A</v>
      </c>
      <c r="H155" s="34" t="e">
        <f>VLOOKUP(A1,Data1!$A$1:$DZU$1000000,2627,FALSE)</f>
        <v>#N/A</v>
      </c>
      <c r="I155" s="33" t="e">
        <f>VLOOKUP(A1,Data1!$A$1:$DZU$1000000,2628,FALSE)</f>
        <v>#N/A</v>
      </c>
      <c r="J155" s="34" t="e">
        <f>VLOOKUP(A1,Data1!$A$1:$DZU$1000000,2629,FALSE)</f>
        <v>#N/A</v>
      </c>
      <c r="K155" s="34" t="e">
        <f>VLOOKUP(A1,Data1!$A$1:$DZU$1000000,2630,FALSE)</f>
        <v>#N/A</v>
      </c>
      <c r="L155" s="93" t="e">
        <f>VLOOKUP(A1,Data1!$A$1:$DZU$1000000,2631,FALSE)</f>
        <v>#N/A</v>
      </c>
      <c r="M155" s="33" t="e">
        <f>VLOOKUP(A1,Data1!$A$1:$DZU$1000000,2632,FALSE)</f>
        <v>#N/A</v>
      </c>
      <c r="N155" s="34" t="e">
        <f>VLOOKUP(A1,Data1!$A$1:$DZU$1000000,2633,FALSE)</f>
        <v>#N/A</v>
      </c>
      <c r="O155" s="33" t="e">
        <f>VLOOKUP(A1,Data1!$A$1:$DZU$1000000,2634,FALSE)</f>
        <v>#N/A</v>
      </c>
      <c r="P155" s="46" t="e">
        <f>VLOOKUP(A1,Data1!$A$1:$DZU$1000000,2635,FALSE)</f>
        <v>#N/A</v>
      </c>
      <c r="Q155" s="33" t="e">
        <f>VLOOKUP(A1,Data1!$A$1:$DZU$1000000,2636,FALSE)</f>
        <v>#N/A</v>
      </c>
    </row>
    <row r="156" spans="1:17" x14ac:dyDescent="0.35">
      <c r="A156" s="22" t="e">
        <f>VLOOKUP(A1,Data1!$A$1:$DZU$1000000,2637,FALSE)</f>
        <v>#N/A</v>
      </c>
      <c r="B156" s="37" t="e">
        <f>VLOOKUP(A1,Data1!$A$1:$DZU$1000000,2638,FALSE)</f>
        <v>#N/A</v>
      </c>
      <c r="C156" s="38" t="e">
        <f>VLOOKUP(A1,Data1!$A$1:$DZU$1000000,2639,FALSE)</f>
        <v>#N/A</v>
      </c>
      <c r="D156" s="31" t="e">
        <f>VLOOKUP(A1,Data1!$A$1:$DZU$1000000,2640,FALSE)</f>
        <v>#N/A</v>
      </c>
      <c r="E156" s="32" t="e">
        <f>VLOOKUP(A1,Data1!$A$1:$DZU$1000000,2641,FALSE)</f>
        <v>#N/A</v>
      </c>
      <c r="F156" s="34" t="e">
        <f>VLOOKUP(A1,Data1!$A$1:$DZU$1000000,2642,FALSE)</f>
        <v>#N/A</v>
      </c>
      <c r="G156" s="33" t="e">
        <f>VLOOKUP(A1,Data1!$A$1:$DZU$1000000,2643,FALSE)</f>
        <v>#N/A</v>
      </c>
      <c r="H156" s="34" t="e">
        <f>VLOOKUP(A1,Data1!$A$1:$DZU$1000000,2644,FALSE)</f>
        <v>#N/A</v>
      </c>
      <c r="I156" s="33" t="e">
        <f>VLOOKUP(A1,Data1!$A$1:$DZU$1000000,2645,FALSE)</f>
        <v>#N/A</v>
      </c>
      <c r="J156" s="34" t="e">
        <f>VLOOKUP(A1,Data1!$A$1:$DZU$1000000,2646,FALSE)</f>
        <v>#N/A</v>
      </c>
      <c r="K156" s="34" t="e">
        <f>VLOOKUP(A1,Data1!$A$1:$DZU$1000000,2647,FALSE)</f>
        <v>#N/A</v>
      </c>
      <c r="L156" s="93" t="e">
        <f>VLOOKUP(A1,Data1!$A$1:$DZU$1000000,2648,FALSE)</f>
        <v>#N/A</v>
      </c>
      <c r="M156" s="33" t="e">
        <f>VLOOKUP(A1,Data1!$A$1:$DZU$1000000,2649,FALSE)</f>
        <v>#N/A</v>
      </c>
      <c r="N156" s="34" t="e">
        <f>VLOOKUP(A1,Data1!$A$1:$DZU$1000000,2650,FALSE)</f>
        <v>#N/A</v>
      </c>
      <c r="O156" s="33" t="e">
        <f>VLOOKUP(A1,Data1!$A$1:$DZU$1000000,2651,FALSE)</f>
        <v>#N/A</v>
      </c>
      <c r="P156" s="46" t="e">
        <f>VLOOKUP(A1,Data1!$A$1:$DZU$1000000,2652,FALSE)</f>
        <v>#N/A</v>
      </c>
      <c r="Q156" s="33" t="e">
        <f>VLOOKUP(A1,Data1!$A$1:$DZU$1000000,2653,FALSE)</f>
        <v>#N/A</v>
      </c>
    </row>
    <row r="157" spans="1:17" x14ac:dyDescent="0.35">
      <c r="A157" s="22" t="e">
        <f>VLOOKUP(A1,Data1!$A$1:$DZU$1000000,2654,FALSE)</f>
        <v>#N/A</v>
      </c>
      <c r="B157" s="37" t="e">
        <f>VLOOKUP(A1,Data1!$A$1:$DZU$1000000,2655,FALSE)</f>
        <v>#N/A</v>
      </c>
      <c r="C157" s="38" t="e">
        <f>VLOOKUP(A1,Data1!$A$1:$DZU$1000000,2656,FALSE)</f>
        <v>#N/A</v>
      </c>
      <c r="D157" s="31" t="e">
        <f>VLOOKUP(A1,Data1!$A$1:$DZU$1000000,2657,FALSE)</f>
        <v>#N/A</v>
      </c>
      <c r="E157" s="32" t="e">
        <f>VLOOKUP(A1,Data1!$A$1:$DZU$1000000,2658,FALSE)</f>
        <v>#N/A</v>
      </c>
      <c r="F157" s="34" t="e">
        <f>VLOOKUP(A1,Data1!$A$1:$DZU$1000000,2659,FALSE)</f>
        <v>#N/A</v>
      </c>
      <c r="G157" s="33" t="e">
        <f>VLOOKUP(A1,Data1!$A$1:$DZU$1000000,2660,FALSE)</f>
        <v>#N/A</v>
      </c>
      <c r="H157" s="34" t="e">
        <f>VLOOKUP(A1,Data1!$A$1:$DZU$1000000,2661,FALSE)</f>
        <v>#N/A</v>
      </c>
      <c r="I157" s="33" t="e">
        <f>VLOOKUP(A1,Data1!$A$1:$DZU$1000000,2662,FALSE)</f>
        <v>#N/A</v>
      </c>
      <c r="J157" s="34" t="e">
        <f>VLOOKUP(A1,Data1!$A$1:$DZU$1000000,2663,FALSE)</f>
        <v>#N/A</v>
      </c>
      <c r="K157" s="34" t="e">
        <f>VLOOKUP(A1,Data1!$A$1:$DZU$1000000,2664,FALSE)</f>
        <v>#N/A</v>
      </c>
      <c r="L157" s="93" t="e">
        <f>VLOOKUP(A1,Data1!$A$1:$DZU$1000000,2665,FALSE)</f>
        <v>#N/A</v>
      </c>
      <c r="M157" s="33" t="e">
        <f>VLOOKUP(A1,Data1!$A$1:$DZU$1000000,2666,FALSE)</f>
        <v>#N/A</v>
      </c>
      <c r="N157" s="34" t="e">
        <f>VLOOKUP(A1,Data1!$A$1:$DZU$1000000,2667,FALSE)</f>
        <v>#N/A</v>
      </c>
      <c r="O157" s="33" t="e">
        <f>VLOOKUP(A1,Data1!$A$1:$DZU$1000000,2668,FALSE)</f>
        <v>#N/A</v>
      </c>
      <c r="P157" s="46" t="e">
        <f>VLOOKUP(A1,Data1!$A$1:$DZU$1000000,2669,FALSE)</f>
        <v>#N/A</v>
      </c>
      <c r="Q157" s="33" t="e">
        <f>VLOOKUP(A1,Data1!$A$1:$DZU$1000000,2670,FALSE)</f>
        <v>#N/A</v>
      </c>
    </row>
    <row r="158" spans="1:17" x14ac:dyDescent="0.35">
      <c r="A158" s="22" t="e">
        <f>VLOOKUP(A1,Data1!$A$1:$DZU$1000000,2671,FALSE)</f>
        <v>#N/A</v>
      </c>
      <c r="B158" s="37" t="e">
        <f>VLOOKUP(A1,Data1!$A$1:$DZU$1000000,2672,FALSE)</f>
        <v>#N/A</v>
      </c>
      <c r="C158" s="38" t="e">
        <f>VLOOKUP(A1,Data1!$A$1:$DZU$1000000,2673,FALSE)</f>
        <v>#N/A</v>
      </c>
      <c r="D158" s="31" t="e">
        <f>VLOOKUP(A1,Data1!$A$1:$DZU$1000000,2674,FALSE)</f>
        <v>#N/A</v>
      </c>
      <c r="E158" s="32" t="e">
        <f>VLOOKUP(A1,Data1!$A$1:$DZU$1000000,2675,FALSE)</f>
        <v>#N/A</v>
      </c>
      <c r="F158" s="34" t="e">
        <f>VLOOKUP(A1,Data1!$A$1:$DZU$1000000,2676,FALSE)</f>
        <v>#N/A</v>
      </c>
      <c r="G158" s="33" t="e">
        <f>VLOOKUP(A1,Data1!$A$1:$DZU$1000000,2677,FALSE)</f>
        <v>#N/A</v>
      </c>
      <c r="H158" s="34" t="e">
        <f>VLOOKUP(A1,Data1!$A$1:$DZU$1000000,2678,FALSE)</f>
        <v>#N/A</v>
      </c>
      <c r="I158" s="33" t="e">
        <f>VLOOKUP(A1,Data1!$A$1:$DZU$1000000,2679,FALSE)</f>
        <v>#N/A</v>
      </c>
      <c r="J158" s="34" t="e">
        <f>VLOOKUP(A1,Data1!$A$1:$DZU$1000000,2680,FALSE)</f>
        <v>#N/A</v>
      </c>
      <c r="K158" s="34" t="e">
        <f>VLOOKUP(A1,Data1!$A$1:$DZU$1000000,2681,FALSE)</f>
        <v>#N/A</v>
      </c>
      <c r="L158" s="93" t="e">
        <f>VLOOKUP(A1,Data1!$A$1:$DZU$1000000,2682,FALSE)</f>
        <v>#N/A</v>
      </c>
      <c r="M158" s="33" t="e">
        <f>VLOOKUP(A1,Data1!$A$1:$DZU$1000000,2683,FALSE)</f>
        <v>#N/A</v>
      </c>
      <c r="N158" s="34" t="e">
        <f>VLOOKUP(A1,Data1!$A$1:$DZU$1000000,2684,FALSE)</f>
        <v>#N/A</v>
      </c>
      <c r="O158" s="33" t="e">
        <f>VLOOKUP(A1,Data1!$A$1:$DZU$1000000,2685,FALSE)</f>
        <v>#N/A</v>
      </c>
      <c r="P158" s="46" t="e">
        <f>VLOOKUP(A1,Data1!$A$1:$DZU$1000000,2686,FALSE)</f>
        <v>#N/A</v>
      </c>
      <c r="Q158" s="33" t="e">
        <f>VLOOKUP(A1,Data1!$A$1:$DZU$1000000,2687,FALSE)</f>
        <v>#N/A</v>
      </c>
    </row>
    <row r="159" spans="1:17" x14ac:dyDescent="0.35">
      <c r="A159" s="22" t="e">
        <f>VLOOKUP(A1,Data1!$A$1:$DZU$1000000,2688,FALSE)</f>
        <v>#N/A</v>
      </c>
      <c r="B159" s="37" t="e">
        <f>VLOOKUP(A1,Data1!$A$1:$DZU$1000000,2689,FALSE)</f>
        <v>#N/A</v>
      </c>
      <c r="C159" s="38" t="e">
        <f>VLOOKUP(A1,Data1!$A$1:$DZU$1000000,2690,FALSE)</f>
        <v>#N/A</v>
      </c>
      <c r="D159" s="31" t="e">
        <f>VLOOKUP(A1,Data1!$A$1:$DZU$1000000,2691,FALSE)</f>
        <v>#N/A</v>
      </c>
      <c r="E159" s="32" t="e">
        <f>VLOOKUP(A1,Data1!$A$1:$DZU$1000000,2692,FALSE)</f>
        <v>#N/A</v>
      </c>
      <c r="F159" s="34" t="e">
        <f>VLOOKUP(A1,Data1!$A$1:$DZU$1000000,2693,FALSE)</f>
        <v>#N/A</v>
      </c>
      <c r="G159" s="33" t="e">
        <f>VLOOKUP(A1,Data1!$A$1:$DZU$1000000,2694,FALSE)</f>
        <v>#N/A</v>
      </c>
      <c r="H159" s="34" t="e">
        <f>VLOOKUP(A1,Data1!$A$1:$DZU$1000000,2695,FALSE)</f>
        <v>#N/A</v>
      </c>
      <c r="I159" s="33" t="e">
        <f>VLOOKUP(A1,Data1!$A$1:$DZU$1000000,2696,FALSE)</f>
        <v>#N/A</v>
      </c>
      <c r="J159" s="34" t="e">
        <f>VLOOKUP(A1,Data1!$A$1:$DZU$1000000,2697,FALSE)</f>
        <v>#N/A</v>
      </c>
      <c r="K159" s="34" t="e">
        <f>VLOOKUP(A1,Data1!$A$1:$DZU$1000000,2698,FALSE)</f>
        <v>#N/A</v>
      </c>
      <c r="L159" s="93" t="e">
        <f>VLOOKUP(A1,Data1!$A$1:$DZU$1000000,2699,FALSE)</f>
        <v>#N/A</v>
      </c>
      <c r="M159" s="33" t="e">
        <f>VLOOKUP(A1,Data1!$A$1:$DZU$1000000,2700,FALSE)</f>
        <v>#N/A</v>
      </c>
      <c r="N159" s="34" t="e">
        <f>VLOOKUP(A1,Data1!$A$1:$DZU$1000000,2701,FALSE)</f>
        <v>#N/A</v>
      </c>
      <c r="O159" s="33" t="e">
        <f>VLOOKUP(A1,Data1!$A$1:$DZU$1000000,2702,FALSE)</f>
        <v>#N/A</v>
      </c>
      <c r="P159" s="46" t="e">
        <f>VLOOKUP(A1,Data1!$A$1:$DZU$1000000,2703,FALSE)</f>
        <v>#N/A</v>
      </c>
      <c r="Q159" s="33" t="e">
        <f>VLOOKUP(A1,Data1!$A$1:$DZU$1000000,2704,FALSE)</f>
        <v>#N/A</v>
      </c>
    </row>
    <row r="160" spans="1:17" x14ac:dyDescent="0.35">
      <c r="A160" s="22" t="e">
        <f>VLOOKUP(A1,Data1!$A$1:$DZU$1000000,2705,FALSE)</f>
        <v>#N/A</v>
      </c>
      <c r="B160" s="37" t="e">
        <f>VLOOKUP(A1,Data1!$A$1:$DZU$1000000,2706,FALSE)</f>
        <v>#N/A</v>
      </c>
      <c r="C160" s="38" t="e">
        <f>VLOOKUP(A1,Data1!$A$1:$DZU$1000000,2707,FALSE)</f>
        <v>#N/A</v>
      </c>
      <c r="D160" s="31" t="e">
        <f>VLOOKUP(A1,Data1!$A$1:$DZU$1000000,2708,FALSE)</f>
        <v>#N/A</v>
      </c>
      <c r="E160" s="32" t="e">
        <f>VLOOKUP(A1,Data1!$A$1:$DZU$1000000,2709,FALSE)</f>
        <v>#N/A</v>
      </c>
      <c r="F160" s="34" t="e">
        <f>VLOOKUP(A1,Data1!$A$1:$DZU$1000000,2710,FALSE)</f>
        <v>#N/A</v>
      </c>
      <c r="G160" s="33" t="e">
        <f>VLOOKUP(A1,Data1!$A$1:$DZU$1000000,2711,FALSE)</f>
        <v>#N/A</v>
      </c>
      <c r="H160" s="34" t="e">
        <f>VLOOKUP(A1,Data1!$A$1:$DZU$1000000,2712,FALSE)</f>
        <v>#N/A</v>
      </c>
      <c r="I160" s="33" t="e">
        <f>VLOOKUP(A1,Data1!$A$1:$DZU$1000000,2713,FALSE)</f>
        <v>#N/A</v>
      </c>
      <c r="J160" s="34" t="e">
        <f>VLOOKUP(A1,Data1!$A$1:$DZU$1000000,2714,FALSE)</f>
        <v>#N/A</v>
      </c>
      <c r="K160" s="34" t="e">
        <f>VLOOKUP(A1,Data1!$A$1:$DZU$1000000,2715,FALSE)</f>
        <v>#N/A</v>
      </c>
      <c r="L160" s="93" t="e">
        <f>VLOOKUP(A1,Data1!$A$1:$DZU$1000000,2716,FALSE)</f>
        <v>#N/A</v>
      </c>
      <c r="M160" s="33" t="e">
        <f>VLOOKUP(A1,Data1!$A$1:$DZU$1000000,2717,FALSE)</f>
        <v>#N/A</v>
      </c>
      <c r="N160" s="34" t="e">
        <f>VLOOKUP(A1,Data1!$A$1:$DZU$1000000,2718,FALSE)</f>
        <v>#N/A</v>
      </c>
      <c r="O160" s="33" t="e">
        <f>VLOOKUP(A1,Data1!$A$1:$DZU$1000000,2719,FALSE)</f>
        <v>#N/A</v>
      </c>
      <c r="P160" s="46" t="e">
        <f>VLOOKUP(A1,Data1!$A$1:$DZU$1000000,2720,FALSE)</f>
        <v>#N/A</v>
      </c>
      <c r="Q160" s="33" t="e">
        <f>VLOOKUP(A1,Data1!$A$1:$DZU$1000000,2721,FALSE)</f>
        <v>#N/A</v>
      </c>
    </row>
    <row r="161" spans="1:17" x14ac:dyDescent="0.35">
      <c r="A161" s="22" t="e">
        <f>VLOOKUP(A1,Data1!$A$1:$DZU$1000000,2722,FALSE)</f>
        <v>#N/A</v>
      </c>
      <c r="B161" s="37" t="e">
        <f>VLOOKUP(A1,Data1!$A$1:$DZU$1000000,2723,FALSE)</f>
        <v>#N/A</v>
      </c>
      <c r="C161" s="38" t="e">
        <f>VLOOKUP(A1,Data1!$A$1:$DZU$1000000,2724,FALSE)</f>
        <v>#N/A</v>
      </c>
      <c r="D161" s="31" t="e">
        <f>VLOOKUP(A1,Data1!$A$1:$DZU$1000000,2725,FALSE)</f>
        <v>#N/A</v>
      </c>
      <c r="E161" s="32" t="e">
        <f>VLOOKUP(A1,Data1!$A$1:$DZU$1000000,2726,FALSE)</f>
        <v>#N/A</v>
      </c>
      <c r="F161" s="34" t="e">
        <f>VLOOKUP(A1,Data1!$A$1:$DZU$1000000,2727,FALSE)</f>
        <v>#N/A</v>
      </c>
      <c r="G161" s="33" t="e">
        <f>VLOOKUP(A1,Data1!$A$1:$DZU$1000000,2728,FALSE)</f>
        <v>#N/A</v>
      </c>
      <c r="H161" s="34" t="e">
        <f>VLOOKUP(A1,Data1!$A$1:$DZU$1000000,2729,FALSE)</f>
        <v>#N/A</v>
      </c>
      <c r="I161" s="33" t="e">
        <f>VLOOKUP(A1,Data1!$A$1:$DZU$1000000,2730,FALSE)</f>
        <v>#N/A</v>
      </c>
      <c r="J161" s="34" t="e">
        <f>VLOOKUP(A1,Data1!$A$1:$DZU$1000000,2731,FALSE)</f>
        <v>#N/A</v>
      </c>
      <c r="K161" s="34" t="e">
        <f>VLOOKUP(A1,Data1!$A$1:$DZU$1000000,2732,FALSE)</f>
        <v>#N/A</v>
      </c>
      <c r="L161" s="93" t="e">
        <f>VLOOKUP(A1,Data1!$A$1:$DZU$1000000,2733,FALSE)</f>
        <v>#N/A</v>
      </c>
      <c r="M161" s="33" t="e">
        <f>VLOOKUP(A1,Data1!$A$1:$DZU$1000000,2734,FALSE)</f>
        <v>#N/A</v>
      </c>
      <c r="N161" s="34" t="e">
        <f>VLOOKUP(A1,Data1!$A$1:$DZU$1000000,2735,FALSE)</f>
        <v>#N/A</v>
      </c>
      <c r="O161" s="33" t="e">
        <f>VLOOKUP(A1,Data1!$A$1:$DZU$1000000,2736,FALSE)</f>
        <v>#N/A</v>
      </c>
      <c r="P161" s="46" t="e">
        <f>VLOOKUP(A1,Data1!$A$1:$DZU$1000000,2737,FALSE)</f>
        <v>#N/A</v>
      </c>
      <c r="Q161" s="33" t="e">
        <f>VLOOKUP(A1,Data1!$A$1:$DZU$1000000,2738,FALSE)</f>
        <v>#N/A</v>
      </c>
    </row>
    <row r="162" spans="1:17" x14ac:dyDescent="0.35">
      <c r="A162" s="22" t="e">
        <f>VLOOKUP(A1,Data1!$A$1:$DZU$1000000,2739,FALSE)</f>
        <v>#N/A</v>
      </c>
      <c r="B162" s="37" t="e">
        <f>VLOOKUP(A1,Data1!$A$1:$DZU$1000000,2740,FALSE)</f>
        <v>#N/A</v>
      </c>
      <c r="C162" s="38" t="e">
        <f>VLOOKUP(A1,Data1!$A$1:$DZU$1000000,2741,FALSE)</f>
        <v>#N/A</v>
      </c>
      <c r="D162" s="31" t="e">
        <f>VLOOKUP(A1,Data1!$A$1:$DZU$1000000,2742,FALSE)</f>
        <v>#N/A</v>
      </c>
      <c r="E162" s="32" t="e">
        <f>VLOOKUP(A1,Data1!$A$1:$DZU$1000000,2743,FALSE)</f>
        <v>#N/A</v>
      </c>
      <c r="F162" s="34" t="e">
        <f>VLOOKUP(A1,Data1!$A$1:$DZU$1000000,2744,FALSE)</f>
        <v>#N/A</v>
      </c>
      <c r="G162" s="33" t="e">
        <f>VLOOKUP(A1,Data1!$A$1:$DZU$1000000,2745,FALSE)</f>
        <v>#N/A</v>
      </c>
      <c r="H162" s="34" t="e">
        <f>VLOOKUP(A1,Data1!$A$1:$DZU$1000000,2746,FALSE)</f>
        <v>#N/A</v>
      </c>
      <c r="I162" s="33" t="e">
        <f>VLOOKUP(A1,Data1!$A$1:$DZU$1000000,2747,FALSE)</f>
        <v>#N/A</v>
      </c>
      <c r="J162" s="34" t="e">
        <f>VLOOKUP(A1,Data1!$A$1:$DZU$1000000,2748,FALSE)</f>
        <v>#N/A</v>
      </c>
      <c r="K162" s="34" t="e">
        <f>VLOOKUP(A1,Data1!$A$1:$DZU$1000000,2749,FALSE)</f>
        <v>#N/A</v>
      </c>
      <c r="L162" s="93" t="e">
        <f>VLOOKUP(A1,Data1!$A$1:$DZU$1000000,2750,FALSE)</f>
        <v>#N/A</v>
      </c>
      <c r="M162" s="33" t="e">
        <f>VLOOKUP(A1,Data1!$A$1:$DZU$1000000,2751,FALSE)</f>
        <v>#N/A</v>
      </c>
      <c r="N162" s="34" t="e">
        <f>VLOOKUP(A1,Data1!$A$1:$DZU$1000000,2752,FALSE)</f>
        <v>#N/A</v>
      </c>
      <c r="O162" s="33" t="e">
        <f>VLOOKUP(A1,Data1!$A$1:$DZU$1000000,2753,FALSE)</f>
        <v>#N/A</v>
      </c>
      <c r="P162" s="46" t="e">
        <f>VLOOKUP(A1,Data1!$A$1:$DZU$1000000,2754,FALSE)</f>
        <v>#N/A</v>
      </c>
      <c r="Q162" s="33" t="e">
        <f>VLOOKUP(A1,Data1!$A$1:$DZU$1000000,2755,FALSE)</f>
        <v>#N/A</v>
      </c>
    </row>
    <row r="163" spans="1:17" x14ac:dyDescent="0.35">
      <c r="A163" s="22" t="e">
        <f>VLOOKUP(A1,Data1!$A$1:$DZU$1000000,2756,FALSE)</f>
        <v>#N/A</v>
      </c>
      <c r="B163" s="37" t="e">
        <f>VLOOKUP(A1,Data1!$A$1:$DZU$1000000,2757,FALSE)</f>
        <v>#N/A</v>
      </c>
      <c r="C163" s="38" t="e">
        <f>VLOOKUP(A1,Data1!$A$1:$DZU$1000000,2758,FALSE)</f>
        <v>#N/A</v>
      </c>
      <c r="D163" s="31" t="e">
        <f>VLOOKUP(A1,Data1!$A$1:$DZU$1000000,2759,FALSE)</f>
        <v>#N/A</v>
      </c>
      <c r="E163" s="32" t="e">
        <f>VLOOKUP(A1,Data1!$A$1:$DZU$1000000,2760,FALSE)</f>
        <v>#N/A</v>
      </c>
      <c r="F163" s="34" t="e">
        <f>VLOOKUP(A1,Data1!$A$1:$DZU$1000000,2761,FALSE)</f>
        <v>#N/A</v>
      </c>
      <c r="G163" s="33" t="e">
        <f>VLOOKUP(A1,Data1!$A$1:$DZU$1000000,2762,FALSE)</f>
        <v>#N/A</v>
      </c>
      <c r="H163" s="34" t="e">
        <f>VLOOKUP(A1,Data1!$A$1:$DZU$1000000,2763,FALSE)</f>
        <v>#N/A</v>
      </c>
      <c r="I163" s="33" t="e">
        <f>VLOOKUP(A1,Data1!$A$1:$DZU$1000000,2764,FALSE)</f>
        <v>#N/A</v>
      </c>
      <c r="J163" s="34" t="e">
        <f>VLOOKUP(A1,Data1!$A$1:$DZU$1000000,2765,FALSE)</f>
        <v>#N/A</v>
      </c>
      <c r="K163" s="34" t="e">
        <f>VLOOKUP(A1,Data1!$A$1:$DZU$1000000,2766,FALSE)</f>
        <v>#N/A</v>
      </c>
      <c r="L163" s="93" t="e">
        <f>VLOOKUP(A1,Data1!$A$1:$DZU$1000000,2767,FALSE)</f>
        <v>#N/A</v>
      </c>
      <c r="M163" s="33" t="e">
        <f>VLOOKUP(A1,Data1!$A$1:$DZU$1000000,2768,FALSE)</f>
        <v>#N/A</v>
      </c>
      <c r="N163" s="34" t="e">
        <f>VLOOKUP(A1,Data1!$A$1:$DZU$1000000,2769,FALSE)</f>
        <v>#N/A</v>
      </c>
      <c r="O163" s="33" t="e">
        <f>VLOOKUP(A1,Data1!$A$1:$DZU$1000000,2770,FALSE)</f>
        <v>#N/A</v>
      </c>
      <c r="P163" s="46" t="e">
        <f>VLOOKUP(A1,Data1!$A$1:$DZU$1000000,2771,FALSE)</f>
        <v>#N/A</v>
      </c>
      <c r="Q163" s="33" t="e">
        <f>VLOOKUP(A1,Data1!$A$1:$DZU$1000000,2772,FALSE)</f>
        <v>#N/A</v>
      </c>
    </row>
    <row r="164" spans="1:17" x14ac:dyDescent="0.35">
      <c r="A164" s="22" t="e">
        <f>VLOOKUP(A1,Data1!$A$1:$DZU$1000000,2773,FALSE)</f>
        <v>#N/A</v>
      </c>
      <c r="B164" s="37" t="e">
        <f>VLOOKUP(A1,Data1!$A$1:$DZU$1000000,2774,FALSE)</f>
        <v>#N/A</v>
      </c>
      <c r="C164" s="38" t="e">
        <f>VLOOKUP(A1,Data1!$A$1:$DZU$1000000,2775,FALSE)</f>
        <v>#N/A</v>
      </c>
      <c r="D164" s="31" t="e">
        <f>VLOOKUP(A1,Data1!$A$1:$DZU$1000000,2776,FALSE)</f>
        <v>#N/A</v>
      </c>
      <c r="E164" s="32" t="e">
        <f>VLOOKUP(A1,Data1!$A$1:$DZU$1000000,2777,FALSE)</f>
        <v>#N/A</v>
      </c>
      <c r="F164" s="34" t="e">
        <f>VLOOKUP(A1,Data1!$A$1:$DZU$1000000,2778,FALSE)</f>
        <v>#N/A</v>
      </c>
      <c r="G164" s="33" t="e">
        <f>VLOOKUP(A1,Data1!$A$1:$DZU$1000000,2779,FALSE)</f>
        <v>#N/A</v>
      </c>
      <c r="H164" s="34" t="e">
        <f>VLOOKUP(A1,Data1!$A$1:$DZU$1000000,2780,FALSE)</f>
        <v>#N/A</v>
      </c>
      <c r="I164" s="33" t="e">
        <f>VLOOKUP(A1,Data1!$A$1:$DZU$1000000,2781,FALSE)</f>
        <v>#N/A</v>
      </c>
      <c r="J164" s="34" t="e">
        <f>VLOOKUP(A1,Data1!$A$1:$DZU$1000000,2782,FALSE)</f>
        <v>#N/A</v>
      </c>
      <c r="K164" s="34" t="e">
        <f>VLOOKUP(A1,Data1!$A$1:$DZU$1000000,2783,FALSE)</f>
        <v>#N/A</v>
      </c>
      <c r="L164" s="93" t="e">
        <f>VLOOKUP(A1,Data1!$A$1:$DZU$1000000,2784,FALSE)</f>
        <v>#N/A</v>
      </c>
      <c r="M164" s="33" t="e">
        <f>VLOOKUP(A1,Data1!$A$1:$DZU$1000000,2785,FALSE)</f>
        <v>#N/A</v>
      </c>
      <c r="N164" s="34" t="e">
        <f>VLOOKUP(A1,Data1!$A$1:$DZU$1000000,2786,FALSE)</f>
        <v>#N/A</v>
      </c>
      <c r="O164" s="33" t="e">
        <f>VLOOKUP(A1,Data1!$A$1:$DZU$1000000,2787,FALSE)</f>
        <v>#N/A</v>
      </c>
      <c r="P164" s="46" t="e">
        <f>VLOOKUP(A1,Data1!$A$1:$DZU$1000000,2788,FALSE)</f>
        <v>#N/A</v>
      </c>
      <c r="Q164" s="33" t="e">
        <f>VLOOKUP(A1,Data1!$A$1:$DZU$1000000,2789,FALSE)</f>
        <v>#N/A</v>
      </c>
    </row>
    <row r="165" spans="1:17" x14ac:dyDescent="0.35">
      <c r="A165" s="22" t="e">
        <f>VLOOKUP(A1,Data1!$A$1:$DZU$1000000,2790,FALSE)</f>
        <v>#N/A</v>
      </c>
      <c r="B165" s="37" t="e">
        <f>VLOOKUP(A1,Data1!$A$1:$DZU$1000000,2791,FALSE)</f>
        <v>#N/A</v>
      </c>
      <c r="C165" s="38" t="e">
        <f>VLOOKUP(A1,Data1!$A$1:$DZU$1000000,2792,FALSE)</f>
        <v>#N/A</v>
      </c>
      <c r="D165" s="31" t="e">
        <f>VLOOKUP(A1,Data1!$A$1:$DZU$1000000,2793,FALSE)</f>
        <v>#N/A</v>
      </c>
      <c r="E165" s="32" t="e">
        <f>VLOOKUP(A1,Data1!$A$1:$DZU$1000000,2794,FALSE)</f>
        <v>#N/A</v>
      </c>
      <c r="F165" s="34" t="e">
        <f>VLOOKUP(A1,Data1!$A$1:$DZU$1000000,2795,FALSE)</f>
        <v>#N/A</v>
      </c>
      <c r="G165" s="33" t="e">
        <f>VLOOKUP(A1,Data1!$A$1:$DZU$1000000,2796,FALSE)</f>
        <v>#N/A</v>
      </c>
      <c r="H165" s="34" t="e">
        <f>VLOOKUP(A1,Data1!$A$1:$DZU$1000000,2797,FALSE)</f>
        <v>#N/A</v>
      </c>
      <c r="I165" s="33" t="e">
        <f>VLOOKUP(A1,Data1!$A$1:$DZU$1000000,2798,FALSE)</f>
        <v>#N/A</v>
      </c>
      <c r="J165" s="34" t="e">
        <f>VLOOKUP(A1,Data1!$A$1:$DZU$1000000,2799,FALSE)</f>
        <v>#N/A</v>
      </c>
      <c r="K165" s="34" t="e">
        <f>VLOOKUP(A1,Data1!$A$1:$DZU$1000000,2800,FALSE)</f>
        <v>#N/A</v>
      </c>
      <c r="L165" s="93" t="e">
        <f>VLOOKUP(A1,Data1!$A$1:$DZU$1000000,2801,FALSE)</f>
        <v>#N/A</v>
      </c>
      <c r="M165" s="33" t="e">
        <f>VLOOKUP(A1,Data1!$A$1:$DZU$1000000,2802,FALSE)</f>
        <v>#N/A</v>
      </c>
      <c r="N165" s="34" t="e">
        <f>VLOOKUP(A1,Data1!$A$1:$DZU$1000000,2803,FALSE)</f>
        <v>#N/A</v>
      </c>
      <c r="O165" s="33" t="e">
        <f>VLOOKUP(A1,Data1!$A$1:$DZU$1000000,2804,FALSE)</f>
        <v>#N/A</v>
      </c>
      <c r="P165" s="46" t="e">
        <f>VLOOKUP(A1,Data1!$A$1:$DZU$1000000,2805,FALSE)</f>
        <v>#N/A</v>
      </c>
      <c r="Q165" s="33" t="e">
        <f>VLOOKUP(A1,Data1!$A$1:$DZU$1000000,2806,FALSE)</f>
        <v>#N/A</v>
      </c>
    </row>
    <row r="166" spans="1:17" x14ac:dyDescent="0.35">
      <c r="A166" s="22" t="e">
        <f>VLOOKUP(A1,Data1!$A$1:$DZU$1000000,2807,FALSE)</f>
        <v>#N/A</v>
      </c>
      <c r="B166" s="37" t="e">
        <f>VLOOKUP(A1,Data1!$A$1:$DZU$1000000,2808,FALSE)</f>
        <v>#N/A</v>
      </c>
      <c r="C166" s="38" t="e">
        <f>VLOOKUP(A1,Data1!$A$1:$DZU$1000000,2809,FALSE)</f>
        <v>#N/A</v>
      </c>
      <c r="D166" s="31" t="e">
        <f>VLOOKUP(A1,Data1!$A$1:$DZU$1000000,2810,FALSE)</f>
        <v>#N/A</v>
      </c>
      <c r="E166" s="32" t="e">
        <f>VLOOKUP(A1,Data1!$A$1:$DZU$1000000,2811,FALSE)</f>
        <v>#N/A</v>
      </c>
      <c r="F166" s="34" t="e">
        <f>VLOOKUP(A1,Data1!$A$1:$DZU$1000000,2812,FALSE)</f>
        <v>#N/A</v>
      </c>
      <c r="G166" s="33" t="e">
        <f>VLOOKUP(A1,Data1!$A$1:$DZU$1000000,2813,FALSE)</f>
        <v>#N/A</v>
      </c>
      <c r="H166" s="34" t="e">
        <f>VLOOKUP(A1,Data1!$A$1:$DZU$1000000,2814,FALSE)</f>
        <v>#N/A</v>
      </c>
      <c r="I166" s="33" t="e">
        <f>VLOOKUP(A1,Data1!$A$1:$DZU$1000000,2815,FALSE)</f>
        <v>#N/A</v>
      </c>
      <c r="J166" s="34" t="e">
        <f>VLOOKUP(A1,Data1!$A$1:$DZU$1000000,2816,FALSE)</f>
        <v>#N/A</v>
      </c>
      <c r="K166" s="34" t="e">
        <f>VLOOKUP(A1,Data1!$A$1:$DZU$1000000,2817,FALSE)</f>
        <v>#N/A</v>
      </c>
      <c r="L166" s="93" t="e">
        <f>VLOOKUP(A1,Data1!$A$1:$DZU$1000000,2818,FALSE)</f>
        <v>#N/A</v>
      </c>
      <c r="M166" s="33" t="e">
        <f>VLOOKUP(A1,Data1!$A$1:$DZU$1000000,2819,FALSE)</f>
        <v>#N/A</v>
      </c>
      <c r="N166" s="34" t="e">
        <f>VLOOKUP(A1,Data1!$A$1:$DZU$1000000,2820,FALSE)</f>
        <v>#N/A</v>
      </c>
      <c r="O166" s="33" t="e">
        <f>VLOOKUP(A1,Data1!$A$1:$DZU$1000000,2821,FALSE)</f>
        <v>#N/A</v>
      </c>
      <c r="P166" s="46" t="e">
        <f>VLOOKUP(A1,Data1!$A$1:$DZU$1000000,2822,FALSE)</f>
        <v>#N/A</v>
      </c>
      <c r="Q166" s="33" t="e">
        <f>VLOOKUP(A1,Data1!$A$1:$DZU$1000000,2823,FALSE)</f>
        <v>#N/A</v>
      </c>
    </row>
    <row r="167" spans="1:17" x14ac:dyDescent="0.35">
      <c r="A167" s="22" t="e">
        <f>VLOOKUP(A1,Data1!$A$1:$DZU$1000000,2824,FALSE)</f>
        <v>#N/A</v>
      </c>
      <c r="B167" s="37" t="e">
        <f>VLOOKUP(A1,Data1!$A$1:$DZU$1000000,2825,FALSE)</f>
        <v>#N/A</v>
      </c>
      <c r="C167" s="38" t="e">
        <f>VLOOKUP(A1,Data1!$A$1:$DZU$1000000,2826,FALSE)</f>
        <v>#N/A</v>
      </c>
      <c r="D167" s="31" t="e">
        <f>VLOOKUP(A1,Data1!$A$1:$DZU$1000000,2827,FALSE)</f>
        <v>#N/A</v>
      </c>
      <c r="E167" s="32" t="e">
        <f>VLOOKUP(A1,Data1!$A$1:$DZU$1000000,2828,FALSE)</f>
        <v>#N/A</v>
      </c>
      <c r="F167" s="34" t="e">
        <f>VLOOKUP(A1,Data1!$A$1:$DZU$1000000,2829,FALSE)</f>
        <v>#N/A</v>
      </c>
      <c r="G167" s="33" t="e">
        <f>VLOOKUP(A1,Data1!$A$1:$DZU$1000000,2830,FALSE)</f>
        <v>#N/A</v>
      </c>
      <c r="H167" s="34" t="e">
        <f>VLOOKUP(A1,Data1!$A$1:$DZU$1000000,2831,FALSE)</f>
        <v>#N/A</v>
      </c>
      <c r="I167" s="33" t="e">
        <f>VLOOKUP(A1,Data1!$A$1:$DZU$1000000,2832,FALSE)</f>
        <v>#N/A</v>
      </c>
      <c r="J167" s="34" t="e">
        <f>VLOOKUP(A1,Data1!$A$1:$DZU$1000000,2833,FALSE)</f>
        <v>#N/A</v>
      </c>
      <c r="K167" s="34" t="e">
        <f>VLOOKUP(A1,Data1!$A$1:$DZU$1000000,2834,FALSE)</f>
        <v>#N/A</v>
      </c>
      <c r="L167" s="93" t="e">
        <f>VLOOKUP(A1,Data1!$A$1:$DZU$1000000,2835,FALSE)</f>
        <v>#N/A</v>
      </c>
      <c r="M167" s="33" t="e">
        <f>VLOOKUP(A1,Data1!$A$1:$DZU$1000000,2836,FALSE)</f>
        <v>#N/A</v>
      </c>
      <c r="N167" s="34" t="e">
        <f>VLOOKUP(A1,Data1!$A$1:$DZU$1000000,2837,FALSE)</f>
        <v>#N/A</v>
      </c>
      <c r="O167" s="33" t="e">
        <f>VLOOKUP(A1,Data1!$A$1:$DZU$1000000,2838,FALSE)</f>
        <v>#N/A</v>
      </c>
      <c r="P167" s="46" t="e">
        <f>VLOOKUP(A1,Data1!$A$1:$DZU$1000000,2839,FALSE)</f>
        <v>#N/A</v>
      </c>
      <c r="Q167" s="33" t="e">
        <f>VLOOKUP(A1,Data1!$A$1:$DZU$1000000,2840,FALSE)</f>
        <v>#N/A</v>
      </c>
    </row>
    <row r="168" spans="1:17" x14ac:dyDescent="0.35">
      <c r="A168" s="22" t="e">
        <f>VLOOKUP(A1,Data1!$A$1:$DZU$1000000,2841,FALSE)</f>
        <v>#N/A</v>
      </c>
      <c r="B168" s="37" t="e">
        <f>VLOOKUP(A1,Data1!$A$1:$DZU$1000000,2842,FALSE)</f>
        <v>#N/A</v>
      </c>
      <c r="C168" s="38" t="e">
        <f>VLOOKUP(A1,Data1!$A$1:$DZU$1000000,2843,FALSE)</f>
        <v>#N/A</v>
      </c>
      <c r="D168" s="31" t="e">
        <f>VLOOKUP(A1,Data1!$A$1:$DZU$1000000,2844,FALSE)</f>
        <v>#N/A</v>
      </c>
      <c r="E168" s="32" t="e">
        <f>VLOOKUP(A1,Data1!$A$1:$DZU$1000000,2845,FALSE)</f>
        <v>#N/A</v>
      </c>
      <c r="F168" s="34" t="e">
        <f>VLOOKUP(A1,Data1!$A$1:$DZU$1000000,2846,FALSE)</f>
        <v>#N/A</v>
      </c>
      <c r="G168" s="33" t="e">
        <f>VLOOKUP(A1,Data1!$A$1:$DZU$1000000,2847,FALSE)</f>
        <v>#N/A</v>
      </c>
      <c r="H168" s="34" t="e">
        <f>VLOOKUP(A1,Data1!$A$1:$DZU$1000000,2848,FALSE)</f>
        <v>#N/A</v>
      </c>
      <c r="I168" s="33" t="e">
        <f>VLOOKUP(A1,Data1!$A$1:$DZU$1000000,2849,FALSE)</f>
        <v>#N/A</v>
      </c>
      <c r="J168" s="34" t="e">
        <f>VLOOKUP(A1,Data1!$A$1:$DZU$1000000,2850,FALSE)</f>
        <v>#N/A</v>
      </c>
      <c r="K168" s="34" t="e">
        <f>VLOOKUP(A1,Data1!$A$1:$DZU$1000000,2851,FALSE)</f>
        <v>#N/A</v>
      </c>
      <c r="L168" s="93" t="e">
        <f>VLOOKUP(A1,Data1!$A$1:$DZU$1000000,2852,FALSE)</f>
        <v>#N/A</v>
      </c>
      <c r="M168" s="33" t="e">
        <f>VLOOKUP(A1,Data1!$A$1:$DZU$1000000,2853,FALSE)</f>
        <v>#N/A</v>
      </c>
      <c r="N168" s="34" t="e">
        <f>VLOOKUP(A1,Data1!$A$1:$DZU$1000000,2854,FALSE)</f>
        <v>#N/A</v>
      </c>
      <c r="O168" s="33" t="e">
        <f>VLOOKUP(A1,Data1!$A$1:$DZU$1000000,2855,FALSE)</f>
        <v>#N/A</v>
      </c>
      <c r="P168" s="46" t="e">
        <f>VLOOKUP(A1,Data1!$A$1:$DZU$1000000,2856,FALSE)</f>
        <v>#N/A</v>
      </c>
      <c r="Q168" s="33" t="e">
        <f>VLOOKUP(A1,Data1!$A$1:$DZU$1000000,2857,FALSE)</f>
        <v>#N/A</v>
      </c>
    </row>
    <row r="169" spans="1:17" x14ac:dyDescent="0.35">
      <c r="A169" s="22" t="e">
        <f>VLOOKUP(A1,Data1!$A$1:$DZU$1000000,2858,FALSE)</f>
        <v>#N/A</v>
      </c>
      <c r="B169" s="37" t="e">
        <f>VLOOKUP(A1,Data1!$A$1:$DZU$1000000,2859,FALSE)</f>
        <v>#N/A</v>
      </c>
      <c r="C169" s="38" t="e">
        <f>VLOOKUP(A1,Data1!$A$1:$DZU$1000000,2860,FALSE)</f>
        <v>#N/A</v>
      </c>
      <c r="D169" s="31" t="e">
        <f>VLOOKUP(A1,Data1!$A$1:$DZU$1000000,2861,FALSE)</f>
        <v>#N/A</v>
      </c>
      <c r="E169" s="32" t="e">
        <f>VLOOKUP(A1,Data1!$A$1:$DZU$1000000,2862,FALSE)</f>
        <v>#N/A</v>
      </c>
      <c r="F169" s="34" t="e">
        <f>VLOOKUP(A1,Data1!$A$1:$DZU$1000000,2863,FALSE)</f>
        <v>#N/A</v>
      </c>
      <c r="G169" s="33" t="e">
        <f>VLOOKUP(A1,Data1!$A$1:$DZU$1000000,2864,FALSE)</f>
        <v>#N/A</v>
      </c>
      <c r="H169" s="34" t="e">
        <f>VLOOKUP(A1,Data1!$A$1:$DZU$1000000,2865,FALSE)</f>
        <v>#N/A</v>
      </c>
      <c r="I169" s="33" t="e">
        <f>VLOOKUP(A1,Data1!$A$1:$DZU$1000000,2866,FALSE)</f>
        <v>#N/A</v>
      </c>
      <c r="J169" s="34" t="e">
        <f>VLOOKUP(A1,Data1!$A$1:$DZU$1000000,2867,FALSE)</f>
        <v>#N/A</v>
      </c>
      <c r="K169" s="34" t="e">
        <f>VLOOKUP(A1,Data1!$A$1:$DZU$1000000,2868,FALSE)</f>
        <v>#N/A</v>
      </c>
      <c r="L169" s="93" t="e">
        <f>VLOOKUP(A1,Data1!$A$1:$DZU$1000000,2869,FALSE)</f>
        <v>#N/A</v>
      </c>
      <c r="M169" s="33" t="e">
        <f>VLOOKUP(A1,Data1!$A$1:$DZU$1000000,2870,FALSE)</f>
        <v>#N/A</v>
      </c>
      <c r="N169" s="34" t="e">
        <f>VLOOKUP(A1,Data1!$A$1:$DZU$1000000,2871,FALSE)</f>
        <v>#N/A</v>
      </c>
      <c r="O169" s="33" t="e">
        <f>VLOOKUP(A1,Data1!$A$1:$DZU$1000000,2872,FALSE)</f>
        <v>#N/A</v>
      </c>
      <c r="P169" s="46" t="e">
        <f>VLOOKUP(A1,Data1!$A$1:$DZU$1000000,2873,FALSE)</f>
        <v>#N/A</v>
      </c>
      <c r="Q169" s="33" t="e">
        <f>VLOOKUP(A1,Data1!$A$1:$DZU$1000000,2874,FALSE)</f>
        <v>#N/A</v>
      </c>
    </row>
    <row r="170" spans="1:17" x14ac:dyDescent="0.35">
      <c r="A170" s="22" t="e">
        <f>VLOOKUP(A1,Data1!$A$1:$DZU$1000000,2875,FALSE)</f>
        <v>#N/A</v>
      </c>
      <c r="B170" s="37" t="e">
        <f>VLOOKUP(A1,Data1!$A$1:$DZU$1000000,2876,FALSE)</f>
        <v>#N/A</v>
      </c>
      <c r="C170" s="38" t="e">
        <f>VLOOKUP(A1,Data1!$A$1:$DZU$1000000,2877,FALSE)</f>
        <v>#N/A</v>
      </c>
      <c r="D170" s="31" t="e">
        <f>VLOOKUP(A1,Data1!$A$1:$DZU$1000000,2878,FALSE)</f>
        <v>#N/A</v>
      </c>
      <c r="E170" s="32" t="e">
        <f>VLOOKUP(A1,Data1!$A$1:$DZU$1000000,2879,FALSE)</f>
        <v>#N/A</v>
      </c>
      <c r="F170" s="34" t="e">
        <f>VLOOKUP(A1,Data1!$A$1:$DZU$1000000,2880,FALSE)</f>
        <v>#N/A</v>
      </c>
      <c r="G170" s="33" t="e">
        <f>VLOOKUP(A1,Data1!$A$1:$DZU$1000000,2881,FALSE)</f>
        <v>#N/A</v>
      </c>
      <c r="H170" s="34" t="e">
        <f>VLOOKUP(A1,Data1!$A$1:$DZU$1000000,2882,FALSE)</f>
        <v>#N/A</v>
      </c>
      <c r="I170" s="33" t="e">
        <f>VLOOKUP(A1,Data1!$A$1:$DZU$1000000,2883,FALSE)</f>
        <v>#N/A</v>
      </c>
      <c r="J170" s="34" t="e">
        <f>VLOOKUP(A1,Data1!$A$1:$DZU$1000000,2884,FALSE)</f>
        <v>#N/A</v>
      </c>
      <c r="K170" s="34" t="e">
        <f>VLOOKUP(A1,Data1!$A$1:$DZU$1000000,2885,FALSE)</f>
        <v>#N/A</v>
      </c>
      <c r="L170" s="93" t="e">
        <f>VLOOKUP(A1,Data1!$A$1:$DZU$1000000,2886,FALSE)</f>
        <v>#N/A</v>
      </c>
      <c r="M170" s="33" t="e">
        <f>VLOOKUP(A1,Data1!$A$1:$DZU$1000000,2887,FALSE)</f>
        <v>#N/A</v>
      </c>
      <c r="N170" s="34" t="e">
        <f>VLOOKUP(A1,Data1!$A$1:$DZU$1000000,2888,FALSE)</f>
        <v>#N/A</v>
      </c>
      <c r="O170" s="33" t="e">
        <f>VLOOKUP(A1,Data1!$A$1:$DZU$1000000,2889,FALSE)</f>
        <v>#N/A</v>
      </c>
      <c r="P170" s="46" t="e">
        <f>VLOOKUP(A1,Data1!$A$1:$DZU$1000000,2890,FALSE)</f>
        <v>#N/A</v>
      </c>
      <c r="Q170" s="33" t="e">
        <f>VLOOKUP(A1,Data1!$A$1:$DZU$1000000,2891,FALSE)</f>
        <v>#N/A</v>
      </c>
    </row>
    <row r="171" spans="1:17" x14ac:dyDescent="0.35">
      <c r="A171" s="22" t="e">
        <f>VLOOKUP(A1,Data1!$A$1:$DZU$1000000,2892,FALSE)</f>
        <v>#N/A</v>
      </c>
      <c r="B171" s="37" t="e">
        <f>VLOOKUP(A1,Data1!$A$1:$DZU$1000000,2893,FALSE)</f>
        <v>#N/A</v>
      </c>
      <c r="C171" s="38" t="e">
        <f>VLOOKUP(A1,Data1!$A$1:$DZU$1000000,2894,FALSE)</f>
        <v>#N/A</v>
      </c>
      <c r="D171" s="31" t="e">
        <f>VLOOKUP(A1,Data1!$A$1:$DZU$1000000,2895,FALSE)</f>
        <v>#N/A</v>
      </c>
      <c r="E171" s="32" t="e">
        <f>VLOOKUP(A1,Data1!$A$1:$DZU$1000000,2896,FALSE)</f>
        <v>#N/A</v>
      </c>
      <c r="F171" s="34" t="e">
        <f>VLOOKUP(A1,Data1!$A$1:$DZU$1000000,2897,FALSE)</f>
        <v>#N/A</v>
      </c>
      <c r="G171" s="33" t="e">
        <f>VLOOKUP(A1,Data1!$A$1:$DZU$1000000,2898,FALSE)</f>
        <v>#N/A</v>
      </c>
      <c r="H171" s="34" t="e">
        <f>VLOOKUP(A1,Data1!$A$1:$DZU$1000000,2899,FALSE)</f>
        <v>#N/A</v>
      </c>
      <c r="I171" s="33" t="e">
        <f>VLOOKUP(A1,Data1!$A$1:$DZU$1000000,2900,FALSE)</f>
        <v>#N/A</v>
      </c>
      <c r="J171" s="34" t="e">
        <f>VLOOKUP(A1,Data1!$A$1:$DZU$1000000,2901,FALSE)</f>
        <v>#N/A</v>
      </c>
      <c r="K171" s="34" t="e">
        <f>VLOOKUP(A1,Data1!$A$1:$DZU$1000000,2902,FALSE)</f>
        <v>#N/A</v>
      </c>
      <c r="L171" s="93" t="e">
        <f>VLOOKUP(A1,Data1!$A$1:$DZU$1000000,2903,FALSE)</f>
        <v>#N/A</v>
      </c>
      <c r="M171" s="33" t="e">
        <f>VLOOKUP(A1,Data1!$A$1:$DZU$1000000,2904,FALSE)</f>
        <v>#N/A</v>
      </c>
      <c r="N171" s="34" t="e">
        <f>VLOOKUP(A1,Data1!$A$1:$DZU$1000000,2905,FALSE)</f>
        <v>#N/A</v>
      </c>
      <c r="O171" s="33" t="e">
        <f>VLOOKUP(A1,Data1!$A$1:$DZU$1000000,2906,FALSE)</f>
        <v>#N/A</v>
      </c>
      <c r="P171" s="46" t="e">
        <f>VLOOKUP(A1,Data1!$A$1:$DZU$1000000,2907,FALSE)</f>
        <v>#N/A</v>
      </c>
      <c r="Q171" s="33" t="e">
        <f>VLOOKUP(A1,Data1!$A$1:$DZU$1000000,2908,FALSE)</f>
        <v>#N/A</v>
      </c>
    </row>
    <row r="172" spans="1:17" x14ac:dyDescent="0.35">
      <c r="A172" s="22" t="e">
        <f>VLOOKUP(A1,Data1!$A$1:$DZU$1000000,2909,FALSE)</f>
        <v>#N/A</v>
      </c>
      <c r="B172" s="37" t="e">
        <f>VLOOKUP(A1,Data1!$A$1:$DZU$1000000,2910,FALSE)</f>
        <v>#N/A</v>
      </c>
      <c r="C172" s="38" t="e">
        <f>VLOOKUP(A1,Data1!$A$1:$DZU$1000000,2911,FALSE)</f>
        <v>#N/A</v>
      </c>
      <c r="D172" s="31" t="e">
        <f>VLOOKUP(A1,Data1!$A$1:$DZU$1000000,2912,FALSE)</f>
        <v>#N/A</v>
      </c>
      <c r="E172" s="32" t="e">
        <f>VLOOKUP(A1,Data1!$A$1:$DZU$1000000,2913,FALSE)</f>
        <v>#N/A</v>
      </c>
      <c r="F172" s="34" t="e">
        <f>VLOOKUP(A1,Data1!$A$1:$DZU$1000000,2914,FALSE)</f>
        <v>#N/A</v>
      </c>
      <c r="G172" s="33" t="e">
        <f>VLOOKUP(A1,Data1!$A$1:$DZU$1000000,2915,FALSE)</f>
        <v>#N/A</v>
      </c>
      <c r="H172" s="34" t="e">
        <f>VLOOKUP(A1,Data1!$A$1:$DZU$1000000,2916,FALSE)</f>
        <v>#N/A</v>
      </c>
      <c r="I172" s="33" t="e">
        <f>VLOOKUP(A1,Data1!$A$1:$DZU$1000000,2917,FALSE)</f>
        <v>#N/A</v>
      </c>
      <c r="J172" s="34" t="e">
        <f>VLOOKUP(A1,Data1!$A$1:$DZU$1000000,2918,FALSE)</f>
        <v>#N/A</v>
      </c>
      <c r="K172" s="34" t="e">
        <f>VLOOKUP(A1,Data1!$A$1:$DZU$1000000,2919,FALSE)</f>
        <v>#N/A</v>
      </c>
      <c r="L172" s="93" t="e">
        <f>VLOOKUP(A1,Data1!$A$1:$DZU$1000000,2920,FALSE)</f>
        <v>#N/A</v>
      </c>
      <c r="M172" s="33" t="e">
        <f>VLOOKUP(A1,Data1!$A$1:$DZU$1000000,2921,FALSE)</f>
        <v>#N/A</v>
      </c>
      <c r="N172" s="34" t="e">
        <f>VLOOKUP(A1,Data1!$A$1:$DZU$1000000,2922,FALSE)</f>
        <v>#N/A</v>
      </c>
      <c r="O172" s="33" t="e">
        <f>VLOOKUP(A1,Data1!$A$1:$DZU$1000000,2923,FALSE)</f>
        <v>#N/A</v>
      </c>
      <c r="P172" s="46" t="e">
        <f>VLOOKUP(A1,Data1!$A$1:$DZU$1000000,2924,FALSE)</f>
        <v>#N/A</v>
      </c>
      <c r="Q172" s="33" t="e">
        <f>VLOOKUP(A1,Data1!$A$1:$DZU$1000000,2925,FALSE)</f>
        <v>#N/A</v>
      </c>
    </row>
    <row r="173" spans="1:17" x14ac:dyDescent="0.35">
      <c r="A173" s="22" t="e">
        <f>VLOOKUP(A1,Data1!$A$1:$DZU$1000000,2926,FALSE)</f>
        <v>#N/A</v>
      </c>
      <c r="B173" s="37" t="e">
        <f>VLOOKUP(A1,Data1!$A$1:$DZU$1000000,2927,FALSE)</f>
        <v>#N/A</v>
      </c>
      <c r="C173" s="38" t="e">
        <f>VLOOKUP(A1,Data1!$A$1:$DZU$1000000,2928,FALSE)</f>
        <v>#N/A</v>
      </c>
      <c r="D173" s="31" t="e">
        <f>VLOOKUP(A1,Data1!$A$1:$DZU$1000000,2929,FALSE)</f>
        <v>#N/A</v>
      </c>
      <c r="E173" s="32" t="e">
        <f>VLOOKUP(A1,Data1!$A$1:$DZU$1000000,2930,FALSE)</f>
        <v>#N/A</v>
      </c>
      <c r="F173" s="34" t="e">
        <f>VLOOKUP(A1,Data1!$A$1:$DZU$1000000,2931,FALSE)</f>
        <v>#N/A</v>
      </c>
      <c r="G173" s="33" t="e">
        <f>VLOOKUP(A1,Data1!$A$1:$DZU$1000000,2932,FALSE)</f>
        <v>#N/A</v>
      </c>
      <c r="H173" s="34" t="e">
        <f>VLOOKUP(A1,Data1!$A$1:$DZU$1000000,2933,FALSE)</f>
        <v>#N/A</v>
      </c>
      <c r="I173" s="33" t="e">
        <f>VLOOKUP(A1,Data1!$A$1:$DZU$1000000,2934,FALSE)</f>
        <v>#N/A</v>
      </c>
      <c r="J173" s="34" t="e">
        <f>VLOOKUP(A1,Data1!$A$1:$DZU$1000000,2935,FALSE)</f>
        <v>#N/A</v>
      </c>
      <c r="K173" s="34" t="e">
        <f>VLOOKUP(A1,Data1!$A$1:$DZU$1000000,2936,FALSE)</f>
        <v>#N/A</v>
      </c>
      <c r="L173" s="93" t="e">
        <f>VLOOKUP(A1,Data1!$A$1:$DZU$1000000,2937,FALSE)</f>
        <v>#N/A</v>
      </c>
      <c r="M173" s="33" t="e">
        <f>VLOOKUP(A1,Data1!$A$1:$DZU$1000000,2938,FALSE)</f>
        <v>#N/A</v>
      </c>
      <c r="N173" s="34" t="e">
        <f>VLOOKUP(A1,Data1!$A$1:$DZU$1000000,2939,FALSE)</f>
        <v>#N/A</v>
      </c>
      <c r="O173" s="33" t="e">
        <f>VLOOKUP(A1,Data1!$A$1:$DZU$1000000,2940,FALSE)</f>
        <v>#N/A</v>
      </c>
      <c r="P173" s="46" t="e">
        <f>VLOOKUP(A1,Data1!$A$1:$DZU$1000000,2941,FALSE)</f>
        <v>#N/A</v>
      </c>
      <c r="Q173" s="33" t="e">
        <f>VLOOKUP(A1,Data1!$A$1:$DZU$1000000,2942,FALSE)</f>
        <v>#N/A</v>
      </c>
    </row>
    <row r="174" spans="1:17" x14ac:dyDescent="0.35">
      <c r="A174" s="22" t="e">
        <f>VLOOKUP(A1,Data1!$A$1:$DZU$1000000,2943,FALSE)</f>
        <v>#N/A</v>
      </c>
      <c r="B174" s="37" t="e">
        <f>VLOOKUP(A1,Data1!$A$1:$DZU$1000000,2944,FALSE)</f>
        <v>#N/A</v>
      </c>
      <c r="C174" s="38" t="e">
        <f>VLOOKUP(A1,Data1!$A$1:$DZU$1000000,2945,FALSE)</f>
        <v>#N/A</v>
      </c>
      <c r="D174" s="31" t="e">
        <f>VLOOKUP(A1,Data1!$A$1:$DZU$1000000,2946,FALSE)</f>
        <v>#N/A</v>
      </c>
      <c r="E174" s="32" t="e">
        <f>VLOOKUP(A1,Data1!$A$1:$DZU$1000000,2947,FALSE)</f>
        <v>#N/A</v>
      </c>
      <c r="F174" s="34" t="e">
        <f>VLOOKUP(A1,Data1!$A$1:$DZU$1000000,2948,FALSE)</f>
        <v>#N/A</v>
      </c>
      <c r="G174" s="33" t="e">
        <f>VLOOKUP(A1,Data1!$A$1:$DZU$1000000,2949,FALSE)</f>
        <v>#N/A</v>
      </c>
      <c r="H174" s="34" t="e">
        <f>VLOOKUP(A1,Data1!$A$1:$DZU$1000000,2950,FALSE)</f>
        <v>#N/A</v>
      </c>
      <c r="I174" s="33" t="e">
        <f>VLOOKUP(A1,Data1!$A$1:$DZU$1000000,2951,FALSE)</f>
        <v>#N/A</v>
      </c>
      <c r="J174" s="34" t="e">
        <f>VLOOKUP(A1,Data1!$A$1:$DZU$1000000,2952,FALSE)</f>
        <v>#N/A</v>
      </c>
      <c r="K174" s="34" t="e">
        <f>VLOOKUP(A1,Data1!$A$1:$DZU$1000000,2953,FALSE)</f>
        <v>#N/A</v>
      </c>
      <c r="L174" s="93" t="e">
        <f>VLOOKUP(A1,Data1!$A$1:$DZU$1000000,2954,FALSE)</f>
        <v>#N/A</v>
      </c>
      <c r="M174" s="33" t="e">
        <f>VLOOKUP(A1,Data1!$A$1:$DZU$1000000,2955,FALSE)</f>
        <v>#N/A</v>
      </c>
      <c r="N174" s="34" t="e">
        <f>VLOOKUP(A1,Data1!$A$1:$DZU$1000000,2956,FALSE)</f>
        <v>#N/A</v>
      </c>
      <c r="O174" s="33" t="e">
        <f>VLOOKUP(A1,Data1!$A$1:$DZU$1000000,2957,FALSE)</f>
        <v>#N/A</v>
      </c>
      <c r="P174" s="46" t="e">
        <f>VLOOKUP(A1,Data1!$A$1:$DZU$1000000,2958,FALSE)</f>
        <v>#N/A</v>
      </c>
      <c r="Q174" s="33" t="e">
        <f>VLOOKUP(A1,Data1!$A$1:$DZU$1000000,2959,FALSE)</f>
        <v>#N/A</v>
      </c>
    </row>
    <row r="175" spans="1:17" x14ac:dyDescent="0.35">
      <c r="A175" s="22" t="e">
        <f>VLOOKUP(A1,Data1!$A$1:$DZU$1000000,2960,FALSE)</f>
        <v>#N/A</v>
      </c>
      <c r="B175" s="37" t="e">
        <f>VLOOKUP(A1,Data1!$A$1:$DZU$1000000,2961,FALSE)</f>
        <v>#N/A</v>
      </c>
      <c r="C175" s="38" t="e">
        <f>VLOOKUP(A1,Data1!$A$1:$DZU$1000000,2962,FALSE)</f>
        <v>#N/A</v>
      </c>
      <c r="D175" s="31" t="e">
        <f>VLOOKUP(A1,Data1!$A$1:$DZU$1000000,2963,FALSE)</f>
        <v>#N/A</v>
      </c>
      <c r="E175" s="32" t="e">
        <f>VLOOKUP(A1,Data1!$A$1:$DZU$1000000,2964,FALSE)</f>
        <v>#N/A</v>
      </c>
      <c r="F175" s="34" t="e">
        <f>VLOOKUP(A1,Data1!$A$1:$DZU$1000000,2965,FALSE)</f>
        <v>#N/A</v>
      </c>
      <c r="G175" s="33" t="e">
        <f>VLOOKUP(A1,Data1!$A$1:$DZU$1000000,2966,FALSE)</f>
        <v>#N/A</v>
      </c>
      <c r="H175" s="34" t="e">
        <f>VLOOKUP(A1,Data1!$A$1:$DZU$1000000,2967,FALSE)</f>
        <v>#N/A</v>
      </c>
      <c r="I175" s="33" t="e">
        <f>VLOOKUP(A1,Data1!$A$1:$DZU$1000000,2968,FALSE)</f>
        <v>#N/A</v>
      </c>
      <c r="J175" s="34" t="e">
        <f>VLOOKUP(A1,Data1!$A$1:$DZU$1000000,2969,FALSE)</f>
        <v>#N/A</v>
      </c>
      <c r="K175" s="34" t="e">
        <f>VLOOKUP(A1,Data1!$A$1:$DZU$1000000,2970,FALSE)</f>
        <v>#N/A</v>
      </c>
      <c r="L175" s="93" t="e">
        <f>VLOOKUP(A1,Data1!$A$1:$DZU$1000000,2971,FALSE)</f>
        <v>#N/A</v>
      </c>
      <c r="M175" s="33" t="e">
        <f>VLOOKUP(A1,Data1!$A$1:$DZU$1000000,2972,FALSE)</f>
        <v>#N/A</v>
      </c>
      <c r="N175" s="34" t="e">
        <f>VLOOKUP(A1,Data1!$A$1:$DZU$1000000,2973,FALSE)</f>
        <v>#N/A</v>
      </c>
      <c r="O175" s="33" t="e">
        <f>VLOOKUP(A1,Data1!$A$1:$DZU$1000000,2974,FALSE)</f>
        <v>#N/A</v>
      </c>
      <c r="P175" s="46" t="e">
        <f>VLOOKUP(A1,Data1!$A$1:$DZU$1000000,2975,FALSE)</f>
        <v>#N/A</v>
      </c>
      <c r="Q175" s="33" t="e">
        <f>VLOOKUP(A1,Data1!$A$1:$DZU$1000000,2976,FALSE)</f>
        <v>#N/A</v>
      </c>
    </row>
    <row r="176" spans="1:17" x14ac:dyDescent="0.35">
      <c r="A176" s="22" t="e">
        <f>VLOOKUP(A1,Data1!$A$1:$DZU$1000000,2977,FALSE)</f>
        <v>#N/A</v>
      </c>
      <c r="B176" s="37" t="e">
        <f>VLOOKUP(A1,Data1!$A$1:$DZU$1000000,2978,FALSE)</f>
        <v>#N/A</v>
      </c>
      <c r="C176" s="38" t="e">
        <f>VLOOKUP(A1,Data1!$A$1:$DZU$1000000,2979,FALSE)</f>
        <v>#N/A</v>
      </c>
      <c r="D176" s="31" t="e">
        <f>VLOOKUP(A1,Data1!$A$1:$DZU$1000000,2980,FALSE)</f>
        <v>#N/A</v>
      </c>
      <c r="E176" s="32" t="e">
        <f>VLOOKUP(A1,Data1!$A$1:$DZU$1000000,2981,FALSE)</f>
        <v>#N/A</v>
      </c>
      <c r="F176" s="34" t="e">
        <f>VLOOKUP(A1,Data1!$A$1:$DZU$1000000,2982,FALSE)</f>
        <v>#N/A</v>
      </c>
      <c r="G176" s="33" t="e">
        <f>VLOOKUP(A1,Data1!$A$1:$DZU$1000000,2983,FALSE)</f>
        <v>#N/A</v>
      </c>
      <c r="H176" s="34" t="e">
        <f>VLOOKUP(A1,Data1!$A$1:$DZU$1000000,2984,FALSE)</f>
        <v>#N/A</v>
      </c>
      <c r="I176" s="33" t="e">
        <f>VLOOKUP(A1,Data1!$A$1:$DZU$1000000,2985,FALSE)</f>
        <v>#N/A</v>
      </c>
      <c r="J176" s="34" t="e">
        <f>VLOOKUP(A1,Data1!$A$1:$DZU$1000000,2986,FALSE)</f>
        <v>#N/A</v>
      </c>
      <c r="K176" s="34" t="e">
        <f>VLOOKUP(A1,Data1!$A$1:$DZU$1000000,2987,FALSE)</f>
        <v>#N/A</v>
      </c>
      <c r="L176" s="93" t="e">
        <f>VLOOKUP(A1,Data1!$A$1:$DZU$1000000,2988,FALSE)</f>
        <v>#N/A</v>
      </c>
      <c r="M176" s="33" t="e">
        <f>VLOOKUP(A1,Data1!$A$1:$DZU$1000000,2989,FALSE)</f>
        <v>#N/A</v>
      </c>
      <c r="N176" s="34" t="e">
        <f>VLOOKUP(A1,Data1!$A$1:$DZU$1000000,2990,FALSE)</f>
        <v>#N/A</v>
      </c>
      <c r="O176" s="33" t="e">
        <f>VLOOKUP(A1,Data1!$A$1:$DZU$1000000,2991,FALSE)</f>
        <v>#N/A</v>
      </c>
      <c r="P176" s="46" t="e">
        <f>VLOOKUP(A1,Data1!$A$1:$DZU$1000000,2992,FALSE)</f>
        <v>#N/A</v>
      </c>
      <c r="Q176" s="33" t="e">
        <f>VLOOKUP(A1,Data1!$A$1:$DZU$1000000,2993,FALSE)</f>
        <v>#N/A</v>
      </c>
    </row>
    <row r="177" spans="1:17" x14ac:dyDescent="0.35">
      <c r="A177" s="22" t="e">
        <f>VLOOKUP(A1,Data1!$A$1:$DZU$1000000,2994,FALSE)</f>
        <v>#N/A</v>
      </c>
      <c r="B177" s="37" t="e">
        <f>VLOOKUP(A1,Data1!$A$1:$DZU$1000000,2995,FALSE)</f>
        <v>#N/A</v>
      </c>
      <c r="C177" s="38" t="e">
        <f>VLOOKUP(A1,Data1!$A$1:$DZU$1000000,2996,FALSE)</f>
        <v>#N/A</v>
      </c>
      <c r="D177" s="31" t="e">
        <f>VLOOKUP(A1,Data1!$A$1:$DZU$1000000,2997,FALSE)</f>
        <v>#N/A</v>
      </c>
      <c r="E177" s="32" t="e">
        <f>VLOOKUP(A1,Data1!$A$1:$DZU$1000000,2998,FALSE)</f>
        <v>#N/A</v>
      </c>
      <c r="F177" s="34" t="e">
        <f>VLOOKUP(A1,Data1!$A$1:$DZU$1000000,2999,FALSE)</f>
        <v>#N/A</v>
      </c>
      <c r="G177" s="33" t="e">
        <f>VLOOKUP(A1,Data1!$A$1:$DZU$1000000,3000,FALSE)</f>
        <v>#N/A</v>
      </c>
      <c r="H177" s="34" t="e">
        <f>VLOOKUP(A1,Data1!$A$1:$DZU$1000000,3001,FALSE)</f>
        <v>#N/A</v>
      </c>
      <c r="I177" s="33" t="e">
        <f>VLOOKUP(A1,Data1!$A$1:$DZU$1000000,3002,FALSE)</f>
        <v>#N/A</v>
      </c>
      <c r="J177" s="34" t="e">
        <f>VLOOKUP(A1,Data1!$A$1:$DZU$1000000,3003,FALSE)</f>
        <v>#N/A</v>
      </c>
      <c r="K177" s="34" t="e">
        <f>VLOOKUP(A1,Data1!$A$1:$DZU$1000000,3004,FALSE)</f>
        <v>#N/A</v>
      </c>
      <c r="L177" s="93" t="e">
        <f>VLOOKUP(A1,Data1!$A$1:$DZU$1000000,3005,FALSE)</f>
        <v>#N/A</v>
      </c>
      <c r="M177" s="33" t="e">
        <f>VLOOKUP(A1,Data1!$A$1:$DZU$1000000,3006,FALSE)</f>
        <v>#N/A</v>
      </c>
      <c r="N177" s="34" t="e">
        <f>VLOOKUP(A1,Data1!$A$1:$DZU$1000000,3007,FALSE)</f>
        <v>#N/A</v>
      </c>
      <c r="O177" s="33" t="e">
        <f>VLOOKUP(A1,Data1!$A$1:$DZU$1000000,3008,FALSE)</f>
        <v>#N/A</v>
      </c>
      <c r="P177" s="46" t="e">
        <f>VLOOKUP(A1,Data1!$A$1:$DZU$1000000,3009,FALSE)</f>
        <v>#N/A</v>
      </c>
      <c r="Q177" s="33" t="e">
        <f>VLOOKUP(A1,Data1!$A$1:$DZU$1000000,3010,FALSE)</f>
        <v>#N/A</v>
      </c>
    </row>
    <row r="178" spans="1:17" x14ac:dyDescent="0.35">
      <c r="A178" s="22" t="e">
        <f>VLOOKUP(A1,Data1!$A$1:$DZU$1000000,3011,FALSE)</f>
        <v>#N/A</v>
      </c>
      <c r="B178" s="37" t="e">
        <f>VLOOKUP(A1,Data1!$A$1:$DZU$1000000,3012,FALSE)</f>
        <v>#N/A</v>
      </c>
      <c r="C178" s="38" t="e">
        <f>VLOOKUP(A1,Data1!$A$1:$DZU$1000000,3013,FALSE)</f>
        <v>#N/A</v>
      </c>
      <c r="D178" s="31" t="e">
        <f>VLOOKUP(A1,Data1!$A$1:$DZU$1000000,3014,FALSE)</f>
        <v>#N/A</v>
      </c>
      <c r="E178" s="32" t="e">
        <f>VLOOKUP(A1,Data1!$A$1:$DZU$1000000,3015,FALSE)</f>
        <v>#N/A</v>
      </c>
      <c r="F178" s="34" t="e">
        <f>VLOOKUP(A1,Data1!$A$1:$DZU$1000000,3016,FALSE)</f>
        <v>#N/A</v>
      </c>
      <c r="G178" s="33" t="e">
        <f>VLOOKUP(A1,Data1!$A$1:$DZU$1000000,3017,FALSE)</f>
        <v>#N/A</v>
      </c>
      <c r="H178" s="34" t="e">
        <f>VLOOKUP(A1,Data1!$A$1:$DZU$1000000,3018,FALSE)</f>
        <v>#N/A</v>
      </c>
      <c r="I178" s="33" t="e">
        <f>VLOOKUP(A1,Data1!$A$1:$DZU$1000000,3019,FALSE)</f>
        <v>#N/A</v>
      </c>
      <c r="J178" s="34" t="e">
        <f>VLOOKUP(A1,Data1!$A$1:$DZU$1000000,3020,FALSE)</f>
        <v>#N/A</v>
      </c>
      <c r="K178" s="34" t="e">
        <f>VLOOKUP(A1,Data1!$A$1:$DZU$1000000,3021,FALSE)</f>
        <v>#N/A</v>
      </c>
      <c r="L178" s="93" t="e">
        <f>VLOOKUP(A1,Data1!$A$1:$DZU$1000000,3022,FALSE)</f>
        <v>#N/A</v>
      </c>
      <c r="M178" s="33" t="e">
        <f>VLOOKUP(A1,Data1!$A$1:$DZU$1000000,3023,FALSE)</f>
        <v>#N/A</v>
      </c>
      <c r="N178" s="34" t="e">
        <f>VLOOKUP(A1,Data1!$A$1:$DZU$1000000,3024,FALSE)</f>
        <v>#N/A</v>
      </c>
      <c r="O178" s="33" t="e">
        <f>VLOOKUP(A1,Data1!$A$1:$DZU$1000000,3025,FALSE)</f>
        <v>#N/A</v>
      </c>
      <c r="P178" s="46" t="e">
        <f>VLOOKUP(A1,Data1!$A$1:$DZU$1000000,3026,FALSE)</f>
        <v>#N/A</v>
      </c>
      <c r="Q178" s="33" t="e">
        <f>VLOOKUP(A1,Data1!$A$1:$DZU$1000000,3027,FALSE)</f>
        <v>#N/A</v>
      </c>
    </row>
    <row r="179" spans="1:17" x14ac:dyDescent="0.35">
      <c r="A179" s="22" t="e">
        <f>VLOOKUP(A1,Data1!$A$1:$DZU$1000000,3028,FALSE)</f>
        <v>#N/A</v>
      </c>
      <c r="B179" s="37" t="e">
        <f>VLOOKUP(A1,Data1!$A$1:$DZU$1000000,3029,FALSE)</f>
        <v>#N/A</v>
      </c>
      <c r="C179" s="38" t="e">
        <f>VLOOKUP(A1,Data1!$A$1:$DZU$1000000,3030,FALSE)</f>
        <v>#N/A</v>
      </c>
      <c r="D179" s="31" t="e">
        <f>VLOOKUP(A1,Data1!$A$1:$DZU$1000000,3031,FALSE)</f>
        <v>#N/A</v>
      </c>
      <c r="E179" s="32" t="e">
        <f>VLOOKUP(A1,Data1!$A$1:$DZU$1000000,3032,FALSE)</f>
        <v>#N/A</v>
      </c>
      <c r="F179" s="34" t="e">
        <f>VLOOKUP(A1,Data1!$A$1:$DZU$1000000,3033,FALSE)</f>
        <v>#N/A</v>
      </c>
      <c r="G179" s="33" t="e">
        <f>VLOOKUP(A1,Data1!$A$1:$DZU$1000000,3034,FALSE)</f>
        <v>#N/A</v>
      </c>
      <c r="H179" s="34" t="e">
        <f>VLOOKUP(A1,Data1!$A$1:$DZU$1000000,3035,FALSE)</f>
        <v>#N/A</v>
      </c>
      <c r="I179" s="33" t="e">
        <f>VLOOKUP(A1,Data1!$A$1:$DZU$1000000,3036,FALSE)</f>
        <v>#N/A</v>
      </c>
      <c r="J179" s="34" t="e">
        <f>VLOOKUP(A1,Data1!$A$1:$DZU$1000000,3037,FALSE)</f>
        <v>#N/A</v>
      </c>
      <c r="K179" s="34" t="e">
        <f>VLOOKUP(A1,Data1!$A$1:$DZU$1000000,3038,FALSE)</f>
        <v>#N/A</v>
      </c>
      <c r="L179" s="93" t="e">
        <f>VLOOKUP(A1,Data1!$A$1:$DZU$1000000,3039,FALSE)</f>
        <v>#N/A</v>
      </c>
      <c r="M179" s="33" t="e">
        <f>VLOOKUP(A1,Data1!$A$1:$DZU$1000000,3040,FALSE)</f>
        <v>#N/A</v>
      </c>
      <c r="N179" s="34" t="e">
        <f>VLOOKUP(A1,Data1!$A$1:$DZU$1000000,3041,FALSE)</f>
        <v>#N/A</v>
      </c>
      <c r="O179" s="33" t="e">
        <f>VLOOKUP(A1,Data1!$A$1:$DZU$1000000,3042,FALSE)</f>
        <v>#N/A</v>
      </c>
      <c r="P179" s="46" t="e">
        <f>VLOOKUP(A1,Data1!$A$1:$DZU$1000000,3043,FALSE)</f>
        <v>#N/A</v>
      </c>
      <c r="Q179" s="33" t="e">
        <f>VLOOKUP(A1,Data1!$A$1:$DZU$1000000,3044,FALSE)</f>
        <v>#N/A</v>
      </c>
    </row>
    <row r="180" spans="1:17" x14ac:dyDescent="0.35">
      <c r="A180" s="22" t="e">
        <f>VLOOKUP(A1,Data1!$A$1:$DZU$1000000,3045,FALSE)</f>
        <v>#N/A</v>
      </c>
      <c r="B180" s="37" t="e">
        <f>VLOOKUP(A1,Data1!$A$1:$DZU$1000000,3046,FALSE)</f>
        <v>#N/A</v>
      </c>
      <c r="C180" s="38" t="e">
        <f>VLOOKUP(A1,Data1!$A$1:$DZU$1000000,3047,FALSE)</f>
        <v>#N/A</v>
      </c>
      <c r="D180" s="31" t="e">
        <f>VLOOKUP(A1,Data1!$A$1:$DZU$1000000,3048,FALSE)</f>
        <v>#N/A</v>
      </c>
      <c r="E180" s="32" t="e">
        <f>VLOOKUP(A1,Data1!$A$1:$DZU$1000000,3049,FALSE)</f>
        <v>#N/A</v>
      </c>
      <c r="F180" s="34" t="e">
        <f>VLOOKUP(A1,Data1!$A$1:$DZU$1000000,3050,FALSE)</f>
        <v>#N/A</v>
      </c>
      <c r="G180" s="33" t="e">
        <f>VLOOKUP(A1,Data1!$A$1:$DZU$1000000,3051,FALSE)</f>
        <v>#N/A</v>
      </c>
      <c r="H180" s="34" t="e">
        <f>VLOOKUP(A1,Data1!$A$1:$DZU$1000000,3052,FALSE)</f>
        <v>#N/A</v>
      </c>
      <c r="I180" s="33" t="e">
        <f>VLOOKUP(A1,Data1!$A$1:$DZU$1000000,3053,FALSE)</f>
        <v>#N/A</v>
      </c>
      <c r="J180" s="34" t="e">
        <f>VLOOKUP(A1,Data1!$A$1:$DZU$1000000,3054,FALSE)</f>
        <v>#N/A</v>
      </c>
      <c r="K180" s="34" t="e">
        <f>VLOOKUP(A1,Data1!$A$1:$DZU$1000000,3055,FALSE)</f>
        <v>#N/A</v>
      </c>
      <c r="L180" s="93" t="e">
        <f>VLOOKUP(A1,Data1!$A$1:$DZU$1000000,3056,FALSE)</f>
        <v>#N/A</v>
      </c>
      <c r="M180" s="33" t="e">
        <f>VLOOKUP(A1,Data1!$A$1:$DZU$1000000,3057,FALSE)</f>
        <v>#N/A</v>
      </c>
      <c r="N180" s="34" t="e">
        <f>VLOOKUP(A1,Data1!$A$1:$DZU$1000000,3058,FALSE)</f>
        <v>#N/A</v>
      </c>
      <c r="O180" s="33" t="e">
        <f>VLOOKUP(A1,Data1!$A$1:$DZU$1000000,3059,FALSE)</f>
        <v>#N/A</v>
      </c>
      <c r="P180" s="46" t="e">
        <f>VLOOKUP(A1,Data1!$A$1:$DZU$1000000,3060,FALSE)</f>
        <v>#N/A</v>
      </c>
      <c r="Q180" s="33" t="e">
        <f>VLOOKUP(A1,Data1!$A$1:$DZU$1000000,3061,FALSE)</f>
        <v>#N/A</v>
      </c>
    </row>
    <row r="181" spans="1:17" x14ac:dyDescent="0.35">
      <c r="A181" s="22" t="e">
        <f>VLOOKUP(A1,Data1!$A$1:$DZU$1000000,3062,FALSE)</f>
        <v>#N/A</v>
      </c>
      <c r="B181" s="37" t="e">
        <f>VLOOKUP(A1,Data1!$A$1:$DZU$1000000,3063,FALSE)</f>
        <v>#N/A</v>
      </c>
      <c r="C181" s="38" t="e">
        <f>VLOOKUP(A1,Data1!$A$1:$DZU$1000000,3064,FALSE)</f>
        <v>#N/A</v>
      </c>
      <c r="D181" s="31" t="e">
        <f>VLOOKUP(A1,Data1!$A$1:$DZU$1000000,3065,FALSE)</f>
        <v>#N/A</v>
      </c>
      <c r="E181" s="32" t="e">
        <f>VLOOKUP(A1,Data1!$A$1:$DZU$1000000,3066,FALSE)</f>
        <v>#N/A</v>
      </c>
      <c r="F181" s="34" t="e">
        <f>VLOOKUP(A1,Data1!$A$1:$DZU$1000000,3067,FALSE)</f>
        <v>#N/A</v>
      </c>
      <c r="G181" s="33" t="e">
        <f>VLOOKUP(A1,Data1!$A$1:$DZU$1000000,3068,FALSE)</f>
        <v>#N/A</v>
      </c>
      <c r="H181" s="34" t="e">
        <f>VLOOKUP(A1,Data1!$A$1:$DZU$1000000,3069,FALSE)</f>
        <v>#N/A</v>
      </c>
      <c r="I181" s="33" t="e">
        <f>VLOOKUP(A1,Data1!$A$1:$DZU$1000000,3070,FALSE)</f>
        <v>#N/A</v>
      </c>
      <c r="J181" s="34" t="e">
        <f>VLOOKUP(A1,Data1!$A$1:$DZU$1000000,3071,FALSE)</f>
        <v>#N/A</v>
      </c>
      <c r="K181" s="34" t="e">
        <f>VLOOKUP(A1,Data1!$A$1:$DZU$1000000,3072,FALSE)</f>
        <v>#N/A</v>
      </c>
      <c r="L181" s="93" t="e">
        <f>VLOOKUP(A1,Data1!$A$1:$DZU$1000000,3073,FALSE)</f>
        <v>#N/A</v>
      </c>
      <c r="M181" s="33" t="e">
        <f>VLOOKUP(A1,Data1!$A$1:$DZU$1000000,3074,FALSE)</f>
        <v>#N/A</v>
      </c>
      <c r="N181" s="34" t="e">
        <f>VLOOKUP(A1,Data1!$A$1:$DZU$1000000,3075,FALSE)</f>
        <v>#N/A</v>
      </c>
      <c r="O181" s="33" t="e">
        <f>VLOOKUP(A1,Data1!$A$1:$DZU$1000000,3076,FALSE)</f>
        <v>#N/A</v>
      </c>
      <c r="P181" s="46" t="e">
        <f>VLOOKUP(A1,Data1!$A$1:$DZU$1000000,3077,FALSE)</f>
        <v>#N/A</v>
      </c>
      <c r="Q181" s="33" t="e">
        <f>VLOOKUP(A1,Data1!$A$1:$DZU$1000000,3078,FALSE)</f>
        <v>#N/A</v>
      </c>
    </row>
    <row r="182" spans="1:17" x14ac:dyDescent="0.35">
      <c r="A182" s="22" t="e">
        <f>VLOOKUP(A1,Data1!$A$1:$DZU$1000000,3079,FALSE)</f>
        <v>#N/A</v>
      </c>
      <c r="B182" s="37" t="e">
        <f>VLOOKUP(A1,Data1!$A$1:$DZU$1000000,3080,FALSE)</f>
        <v>#N/A</v>
      </c>
      <c r="C182" s="38" t="e">
        <f>VLOOKUP(A1,Data1!$A$1:$DZU$1000000,3081,FALSE)</f>
        <v>#N/A</v>
      </c>
      <c r="D182" s="31" t="e">
        <f>VLOOKUP(A1,Data1!$A$1:$DZU$1000000,3082,FALSE)</f>
        <v>#N/A</v>
      </c>
      <c r="E182" s="32" t="e">
        <f>VLOOKUP(A1,Data1!$A$1:$DZU$1000000,3083,FALSE)</f>
        <v>#N/A</v>
      </c>
      <c r="F182" s="34" t="e">
        <f>VLOOKUP(A1,Data1!$A$1:$DZU$1000000,3084,FALSE)</f>
        <v>#N/A</v>
      </c>
      <c r="G182" s="33" t="e">
        <f>VLOOKUP(A1,Data1!$A$1:$DZU$1000000,3085,FALSE)</f>
        <v>#N/A</v>
      </c>
      <c r="H182" s="34" t="e">
        <f>VLOOKUP(A1,Data1!$A$1:$DZU$1000000,3086,FALSE)</f>
        <v>#N/A</v>
      </c>
      <c r="I182" s="33" t="e">
        <f>VLOOKUP(A1,Data1!$A$1:$DZU$1000000,3087,FALSE)</f>
        <v>#N/A</v>
      </c>
      <c r="J182" s="34" t="e">
        <f>VLOOKUP(A1,Data1!$A$1:$DZU$1000000,3088,FALSE)</f>
        <v>#N/A</v>
      </c>
      <c r="K182" s="34" t="e">
        <f>VLOOKUP(A1,Data1!$A$1:$DZU$1000000,3089,FALSE)</f>
        <v>#N/A</v>
      </c>
      <c r="L182" s="93" t="e">
        <f>VLOOKUP(A1,Data1!$A$1:$DZU$1000000,3090,FALSE)</f>
        <v>#N/A</v>
      </c>
      <c r="M182" s="33" t="e">
        <f>VLOOKUP(A1,Data1!$A$1:$DZU$1000000,3091,FALSE)</f>
        <v>#N/A</v>
      </c>
      <c r="N182" s="34" t="e">
        <f>VLOOKUP(A1,Data1!$A$1:$DZU$1000000,3092,FALSE)</f>
        <v>#N/A</v>
      </c>
      <c r="O182" s="33" t="e">
        <f>VLOOKUP(A1,Data1!$A$1:$DZU$1000000,3093,FALSE)</f>
        <v>#N/A</v>
      </c>
      <c r="P182" s="46" t="e">
        <f>VLOOKUP(A1,Data1!$A$1:$DZU$1000000,3094,FALSE)</f>
        <v>#N/A</v>
      </c>
      <c r="Q182" s="33" t="e">
        <f>VLOOKUP(A1,Data1!$A$1:$DZU$1000000,3095,FALSE)</f>
        <v>#N/A</v>
      </c>
    </row>
    <row r="183" spans="1:17" x14ac:dyDescent="0.35">
      <c r="A183" s="22" t="e">
        <f>VLOOKUP(A1,Data1!$A$1:$DZU$1000000,3096,FALSE)</f>
        <v>#N/A</v>
      </c>
      <c r="B183" s="37" t="e">
        <f>VLOOKUP(A1,Data1!$A$1:$DZU$1000000,3097,FALSE)</f>
        <v>#N/A</v>
      </c>
      <c r="C183" s="38" t="e">
        <f>VLOOKUP(A1,Data1!$A$1:$DZU$1000000,3098,FALSE)</f>
        <v>#N/A</v>
      </c>
      <c r="D183" s="31" t="e">
        <f>VLOOKUP(A1,Data1!$A$1:$DZU$1000000,3099,FALSE)</f>
        <v>#N/A</v>
      </c>
      <c r="E183" s="32" t="e">
        <f>VLOOKUP(A1,Data1!$A$1:$DZU$1000000,3100,FALSE)</f>
        <v>#N/A</v>
      </c>
      <c r="F183" s="34" t="e">
        <f>VLOOKUP(A1,Data1!$A$1:$DZU$1000000,3101,FALSE)</f>
        <v>#N/A</v>
      </c>
      <c r="G183" s="33" t="e">
        <f>VLOOKUP(A1,Data1!$A$1:$DZU$1000000,3102,FALSE)</f>
        <v>#N/A</v>
      </c>
      <c r="H183" s="34" t="e">
        <f>VLOOKUP(A1,Data1!$A$1:$DZU$1000000,3103,FALSE)</f>
        <v>#N/A</v>
      </c>
      <c r="I183" s="33" t="e">
        <f>VLOOKUP(A1,Data1!$A$1:$DZU$1000000,3104,FALSE)</f>
        <v>#N/A</v>
      </c>
      <c r="J183" s="34" t="e">
        <f>VLOOKUP(A1,Data1!$A$1:$DZU$1000000,3105,FALSE)</f>
        <v>#N/A</v>
      </c>
      <c r="K183" s="34" t="e">
        <f>VLOOKUP(A1,Data1!$A$1:$DZU$1000000,3106,FALSE)</f>
        <v>#N/A</v>
      </c>
      <c r="L183" s="93" t="e">
        <f>VLOOKUP(A1,Data1!$A$1:$DZU$1000000,3107,FALSE)</f>
        <v>#N/A</v>
      </c>
      <c r="M183" s="33" t="e">
        <f>VLOOKUP(A1,Data1!$A$1:$DZU$1000000,3108,FALSE)</f>
        <v>#N/A</v>
      </c>
      <c r="N183" s="34" t="e">
        <f>VLOOKUP(A1,Data1!$A$1:$DZU$1000000,3109,FALSE)</f>
        <v>#N/A</v>
      </c>
      <c r="O183" s="33" t="e">
        <f>VLOOKUP(A1,Data1!$A$1:$DZU$1000000,3110,FALSE)</f>
        <v>#N/A</v>
      </c>
      <c r="P183" s="46" t="e">
        <f>VLOOKUP(A1,Data1!$A$1:$DZU$1000000,3111,FALSE)</f>
        <v>#N/A</v>
      </c>
      <c r="Q183" s="33" t="e">
        <f>VLOOKUP(A1,Data1!$A$1:$DZU$1000000,3112,FALSE)</f>
        <v>#N/A</v>
      </c>
    </row>
    <row r="184" spans="1:17" x14ac:dyDescent="0.35">
      <c r="A184" s="22" t="e">
        <f>VLOOKUP(A1,Data1!$A$1:$DZU$1000000,3113,FALSE)</f>
        <v>#N/A</v>
      </c>
      <c r="B184" s="37" t="e">
        <f>VLOOKUP(A1,Data1!$A$1:$DZU$1000000,3114,FALSE)</f>
        <v>#N/A</v>
      </c>
      <c r="C184" s="38" t="e">
        <f>VLOOKUP(A1,Data1!$A$1:$DZU$1000000,3115,FALSE)</f>
        <v>#N/A</v>
      </c>
      <c r="D184" s="31" t="e">
        <f>VLOOKUP(A1,Data1!$A$1:$DZU$1000000,3116,FALSE)</f>
        <v>#N/A</v>
      </c>
      <c r="E184" s="32" t="e">
        <f>VLOOKUP(A1,Data1!$A$1:$DZU$1000000,3117,FALSE)</f>
        <v>#N/A</v>
      </c>
      <c r="F184" s="34" t="e">
        <f>VLOOKUP(A1,Data1!$A$1:$DZU$1000000,3118,FALSE)</f>
        <v>#N/A</v>
      </c>
      <c r="G184" s="33" t="e">
        <f>VLOOKUP(A1,Data1!$A$1:$DZU$1000000,3119,FALSE)</f>
        <v>#N/A</v>
      </c>
      <c r="H184" s="34" t="e">
        <f>VLOOKUP(A1,Data1!$A$1:$DZU$1000000,3120,FALSE)</f>
        <v>#N/A</v>
      </c>
      <c r="I184" s="33" t="e">
        <f>VLOOKUP(A1,Data1!$A$1:$DZU$1000000,3121,FALSE)</f>
        <v>#N/A</v>
      </c>
      <c r="J184" s="34" t="e">
        <f>VLOOKUP(A1,Data1!$A$1:$DZU$1000000,3122,FALSE)</f>
        <v>#N/A</v>
      </c>
      <c r="K184" s="34" t="e">
        <f>VLOOKUP(A1,Data1!$A$1:$DZU$1000000,3123,FALSE)</f>
        <v>#N/A</v>
      </c>
      <c r="L184" s="93" t="e">
        <f>VLOOKUP(A1,Data1!$A$1:$DZU$1000000,3124,FALSE)</f>
        <v>#N/A</v>
      </c>
      <c r="M184" s="33" t="e">
        <f>VLOOKUP(A1,Data1!$A$1:$DZU$1000000,3125,FALSE)</f>
        <v>#N/A</v>
      </c>
      <c r="N184" s="34" t="e">
        <f>VLOOKUP(A1,Data1!$A$1:$DZU$1000000,3126,FALSE)</f>
        <v>#N/A</v>
      </c>
      <c r="O184" s="33" t="e">
        <f>VLOOKUP(A1,Data1!$A$1:$DZU$1000000,3127,FALSE)</f>
        <v>#N/A</v>
      </c>
      <c r="P184" s="46" t="e">
        <f>VLOOKUP(A1,Data1!$A$1:$DZU$1000000,3128,FALSE)</f>
        <v>#N/A</v>
      </c>
      <c r="Q184" s="33" t="e">
        <f>VLOOKUP(A1,Data1!$A$1:$DZU$1000000,3129,FALSE)</f>
        <v>#N/A</v>
      </c>
    </row>
    <row r="185" spans="1:17" x14ac:dyDescent="0.35">
      <c r="A185" s="22" t="e">
        <f>VLOOKUP(A1,Data1!$A$1:$DZU$1000000,3130,FALSE)</f>
        <v>#N/A</v>
      </c>
      <c r="B185" s="37" t="e">
        <f>VLOOKUP(A1,Data1!$A$1:$DZU$1000000,3131,FALSE)</f>
        <v>#N/A</v>
      </c>
      <c r="C185" s="38" t="e">
        <f>VLOOKUP(A1,Data1!$A$1:$DZU$1000000,3132,FALSE)</f>
        <v>#N/A</v>
      </c>
      <c r="D185" s="31" t="e">
        <f>VLOOKUP(A1,Data1!$A$1:$DZU$1000000,3133,FALSE)</f>
        <v>#N/A</v>
      </c>
      <c r="E185" s="32" t="e">
        <f>VLOOKUP(A1,Data1!$A$1:$DZU$1000000,3134,FALSE)</f>
        <v>#N/A</v>
      </c>
      <c r="F185" s="34" t="e">
        <f>VLOOKUP(A1,Data1!$A$1:$DZU$1000000,3135,FALSE)</f>
        <v>#N/A</v>
      </c>
      <c r="G185" s="33" t="e">
        <f>VLOOKUP(A1,Data1!$A$1:$DZU$1000000,3136,FALSE)</f>
        <v>#N/A</v>
      </c>
      <c r="H185" s="34" t="e">
        <f>VLOOKUP(A1,Data1!$A$1:$DZU$1000000,3137,FALSE)</f>
        <v>#N/A</v>
      </c>
      <c r="I185" s="33" t="e">
        <f>VLOOKUP(A1,Data1!$A$1:$DZU$1000000,3138,FALSE)</f>
        <v>#N/A</v>
      </c>
      <c r="J185" s="34" t="e">
        <f>VLOOKUP(A1,Data1!$A$1:$DZU$1000000,3139,FALSE)</f>
        <v>#N/A</v>
      </c>
      <c r="K185" s="34" t="e">
        <f>VLOOKUP(A1,Data1!$A$1:$DZU$1000000,3140,FALSE)</f>
        <v>#N/A</v>
      </c>
      <c r="L185" s="93" t="e">
        <f>VLOOKUP(A1,Data1!$A$1:$DZU$1000000,3141,FALSE)</f>
        <v>#N/A</v>
      </c>
      <c r="M185" s="33" t="e">
        <f>VLOOKUP(A1,Data1!$A$1:$DZU$1000000,3142,FALSE)</f>
        <v>#N/A</v>
      </c>
      <c r="N185" s="34" t="e">
        <f>VLOOKUP(A1,Data1!$A$1:$DZU$1000000,3143,FALSE)</f>
        <v>#N/A</v>
      </c>
      <c r="O185" s="33" t="e">
        <f>VLOOKUP(A1,Data1!$A$1:$DZU$1000000,3144,FALSE)</f>
        <v>#N/A</v>
      </c>
      <c r="P185" s="46" t="e">
        <f>VLOOKUP(A1,Data1!$A$1:$DZU$1000000,3145,FALSE)</f>
        <v>#N/A</v>
      </c>
      <c r="Q185" s="33" t="e">
        <f>VLOOKUP(A1,Data1!$A$1:$DZU$1000000,3146,FALSE)</f>
        <v>#N/A</v>
      </c>
    </row>
    <row r="186" spans="1:17" x14ac:dyDescent="0.35">
      <c r="A186" s="22" t="e">
        <f>VLOOKUP(A1,Data1!$A$1:$DZU$1000000,3147,FALSE)</f>
        <v>#N/A</v>
      </c>
      <c r="B186" s="37" t="e">
        <f>VLOOKUP(A1,Data1!$A$1:$DZU$1000000,3148,FALSE)</f>
        <v>#N/A</v>
      </c>
      <c r="C186" s="38" t="e">
        <f>VLOOKUP(A1,Data1!$A$1:$DZU$1000000,3149,FALSE)</f>
        <v>#N/A</v>
      </c>
      <c r="D186" s="31" t="e">
        <f>VLOOKUP(A1,Data1!$A$1:$DZU$1000000,3150,FALSE)</f>
        <v>#N/A</v>
      </c>
      <c r="E186" s="32" t="e">
        <f>VLOOKUP(A1,Data1!$A$1:$DZU$1000000,3151,FALSE)</f>
        <v>#N/A</v>
      </c>
      <c r="F186" s="34" t="e">
        <f>VLOOKUP(A1,Data1!$A$1:$DZU$1000000,3152,FALSE)</f>
        <v>#N/A</v>
      </c>
      <c r="G186" s="33" t="e">
        <f>VLOOKUP(A1,Data1!$A$1:$DZU$1000000,3153,FALSE)</f>
        <v>#N/A</v>
      </c>
      <c r="H186" s="34" t="e">
        <f>VLOOKUP(A1,Data1!$A$1:$DZU$1000000,3154,FALSE)</f>
        <v>#N/A</v>
      </c>
      <c r="I186" s="33" t="e">
        <f>VLOOKUP(A1,Data1!$A$1:$DZU$1000000,3155,FALSE)</f>
        <v>#N/A</v>
      </c>
      <c r="J186" s="34" t="e">
        <f>VLOOKUP(A1,Data1!$A$1:$DZU$1000000,3156,FALSE)</f>
        <v>#N/A</v>
      </c>
      <c r="K186" s="34" t="e">
        <f>VLOOKUP(A1,Data1!$A$1:$DZU$1000000,3157,FALSE)</f>
        <v>#N/A</v>
      </c>
      <c r="L186" s="93" t="e">
        <f>VLOOKUP(A1,Data1!$A$1:$DZU$1000000,3158,FALSE)</f>
        <v>#N/A</v>
      </c>
      <c r="M186" s="33" t="e">
        <f>VLOOKUP(A1,Data1!$A$1:$DZU$1000000,3159,FALSE)</f>
        <v>#N/A</v>
      </c>
      <c r="N186" s="34" t="e">
        <f>VLOOKUP(A1,Data1!$A$1:$DZU$1000000,3160,FALSE)</f>
        <v>#N/A</v>
      </c>
      <c r="O186" s="33" t="e">
        <f>VLOOKUP(A1,Data1!$A$1:$DZU$1000000,3161,FALSE)</f>
        <v>#N/A</v>
      </c>
      <c r="P186" s="46" t="e">
        <f>VLOOKUP(A1,Data1!$A$1:$DZU$1000000,3162,FALSE)</f>
        <v>#N/A</v>
      </c>
      <c r="Q186" s="33" t="e">
        <f>VLOOKUP(A1,Data1!$A$1:$DZU$1000000,3163,FALSE)</f>
        <v>#N/A</v>
      </c>
    </row>
    <row r="187" spans="1:17" x14ac:dyDescent="0.35">
      <c r="A187" s="22" t="e">
        <f>VLOOKUP(A1,Data1!$A$1:$DZU$1000000,3164,FALSE)</f>
        <v>#N/A</v>
      </c>
      <c r="B187" s="37" t="e">
        <f>VLOOKUP(A1,Data1!$A$1:$DZU$1000000,3165,FALSE)</f>
        <v>#N/A</v>
      </c>
      <c r="C187" s="38" t="e">
        <f>VLOOKUP(A1,Data1!$A$1:$DZU$1000000,3166,FALSE)</f>
        <v>#N/A</v>
      </c>
      <c r="D187" s="31" t="e">
        <f>VLOOKUP(A1,Data1!$A$1:$DZU$1000000,3167,FALSE)</f>
        <v>#N/A</v>
      </c>
      <c r="E187" s="32" t="e">
        <f>VLOOKUP(A1,Data1!$A$1:$DZU$1000000,3168,FALSE)</f>
        <v>#N/A</v>
      </c>
      <c r="F187" s="34" t="e">
        <f>VLOOKUP(A1,Data1!$A$1:$DZU$1000000,3169,FALSE)</f>
        <v>#N/A</v>
      </c>
      <c r="G187" s="33" t="e">
        <f>VLOOKUP(A1,Data1!$A$1:$DZU$1000000,3170,FALSE)</f>
        <v>#N/A</v>
      </c>
      <c r="H187" s="34" t="e">
        <f>VLOOKUP(A1,Data1!$A$1:$DZU$1000000,3171,FALSE)</f>
        <v>#N/A</v>
      </c>
      <c r="I187" s="33" t="e">
        <f>VLOOKUP(A1,Data1!$A$1:$DZU$1000000,3172,FALSE)</f>
        <v>#N/A</v>
      </c>
      <c r="J187" s="34" t="e">
        <f>VLOOKUP(A1,Data1!$A$1:$DZU$1000000,3173,FALSE)</f>
        <v>#N/A</v>
      </c>
      <c r="K187" s="34" t="e">
        <f>VLOOKUP(A1,Data1!$A$1:$DZU$1000000,3174,FALSE)</f>
        <v>#N/A</v>
      </c>
      <c r="L187" s="93" t="e">
        <f>VLOOKUP(A1,Data1!$A$1:$DZU$1000000,3175,FALSE)</f>
        <v>#N/A</v>
      </c>
      <c r="M187" s="33" t="e">
        <f>VLOOKUP(A1,Data1!$A$1:$DZU$1000000,3176,FALSE)</f>
        <v>#N/A</v>
      </c>
      <c r="N187" s="34" t="e">
        <f>VLOOKUP(A1,Data1!$A$1:$DZU$1000000,3177,FALSE)</f>
        <v>#N/A</v>
      </c>
      <c r="O187" s="33" t="e">
        <f>VLOOKUP(A1,Data1!$A$1:$DZU$1000000,3178,FALSE)</f>
        <v>#N/A</v>
      </c>
      <c r="P187" s="46" t="e">
        <f>VLOOKUP(A1,Data1!$A$1:$DZU$1000000,3179,FALSE)</f>
        <v>#N/A</v>
      </c>
      <c r="Q187" s="33" t="e">
        <f>VLOOKUP(A1,Data1!$A$1:$DZU$1000000,3180,FALSE)</f>
        <v>#N/A</v>
      </c>
    </row>
    <row r="188" spans="1:17" x14ac:dyDescent="0.35">
      <c r="A188" s="22" t="e">
        <f>VLOOKUP(A1,Data1!$A$1:$DZU$1000000,3181,FALSE)</f>
        <v>#N/A</v>
      </c>
      <c r="B188" s="37" t="e">
        <f>VLOOKUP(A1,Data1!$A$1:$DZU$1000000,3182,FALSE)</f>
        <v>#N/A</v>
      </c>
      <c r="C188" s="38" t="e">
        <f>VLOOKUP(A1,Data1!$A$1:$DZU$1000000,3183,FALSE)</f>
        <v>#N/A</v>
      </c>
      <c r="D188" s="31" t="e">
        <f>VLOOKUP(A1,Data1!$A$1:$DZU$1000000,3184,FALSE)</f>
        <v>#N/A</v>
      </c>
      <c r="E188" s="32" t="e">
        <f>VLOOKUP(A1,Data1!$A$1:$DZU$1000000,3185,FALSE)</f>
        <v>#N/A</v>
      </c>
      <c r="F188" s="34" t="e">
        <f>VLOOKUP(A1,Data1!$A$1:$DZU$1000000,3186,FALSE)</f>
        <v>#N/A</v>
      </c>
      <c r="G188" s="33" t="e">
        <f>VLOOKUP(A1,Data1!$A$1:$DZU$1000000,3187,FALSE)</f>
        <v>#N/A</v>
      </c>
      <c r="H188" s="34" t="e">
        <f>VLOOKUP(A1,Data1!$A$1:$DZU$1000000,3188,FALSE)</f>
        <v>#N/A</v>
      </c>
      <c r="I188" s="33" t="e">
        <f>VLOOKUP(A1,Data1!$A$1:$DZU$1000000,3189,FALSE)</f>
        <v>#N/A</v>
      </c>
      <c r="J188" s="34" t="e">
        <f>VLOOKUP(A1,Data1!$A$1:$DZU$1000000,3190,FALSE)</f>
        <v>#N/A</v>
      </c>
      <c r="K188" s="34" t="e">
        <f>VLOOKUP(A1,Data1!$A$1:$DZU$1000000,3191,FALSE)</f>
        <v>#N/A</v>
      </c>
      <c r="L188" s="93" t="e">
        <f>VLOOKUP(A1,Data1!$A$1:$DZU$1000000,3192,FALSE)</f>
        <v>#N/A</v>
      </c>
      <c r="M188" s="33" t="e">
        <f>VLOOKUP(A1,Data1!$A$1:$DZU$1000000,3193,FALSE)</f>
        <v>#N/A</v>
      </c>
      <c r="N188" s="34" t="e">
        <f>VLOOKUP(A1,Data1!$A$1:$DZU$1000000,3194,FALSE)</f>
        <v>#N/A</v>
      </c>
      <c r="O188" s="33" t="e">
        <f>VLOOKUP(A1,Data1!$A$1:$DZU$1000000,3195,FALSE)</f>
        <v>#N/A</v>
      </c>
      <c r="P188" s="46" t="e">
        <f>VLOOKUP(A1,Data1!$A$1:$DZU$1000000,3196,FALSE)</f>
        <v>#N/A</v>
      </c>
      <c r="Q188" s="33" t="e">
        <f>VLOOKUP(A1,Data1!$A$1:$DZU$1000000,3197,FALSE)</f>
        <v>#N/A</v>
      </c>
    </row>
    <row r="189" spans="1:17" x14ac:dyDescent="0.35">
      <c r="A189" s="22" t="e">
        <f>VLOOKUP(A1,Data1!$A$1:$DZU$1000000,3198,FALSE)</f>
        <v>#N/A</v>
      </c>
      <c r="B189" s="37" t="e">
        <f>VLOOKUP(A1,Data1!$A$1:$DZU$1000000,3199,FALSE)</f>
        <v>#N/A</v>
      </c>
      <c r="C189" s="38" t="e">
        <f>VLOOKUP(A1,Data1!$A$1:$DZU$1000000,3200,FALSE)</f>
        <v>#N/A</v>
      </c>
      <c r="D189" s="31" t="e">
        <f>VLOOKUP(A1,Data1!$A$1:$DZU$1000000,3201,FALSE)</f>
        <v>#N/A</v>
      </c>
      <c r="E189" s="32" t="e">
        <f>VLOOKUP(A1,Data1!$A$1:$DZU$1000000,3202,FALSE)</f>
        <v>#N/A</v>
      </c>
      <c r="F189" s="34" t="e">
        <f>VLOOKUP(A1,Data1!$A$1:$DZU$1000000,3203,FALSE)</f>
        <v>#N/A</v>
      </c>
      <c r="G189" s="33" t="e">
        <f>VLOOKUP(A1,Data1!$A$1:$DZU$1000000,3204,FALSE)</f>
        <v>#N/A</v>
      </c>
      <c r="H189" s="34" t="e">
        <f>VLOOKUP(A1,Data1!$A$1:$DZU$1000000,3205,FALSE)</f>
        <v>#N/A</v>
      </c>
      <c r="I189" s="33" t="e">
        <f>VLOOKUP(A1,Data1!$A$1:$DZU$1000000,3206,FALSE)</f>
        <v>#N/A</v>
      </c>
      <c r="J189" s="34" t="e">
        <f>VLOOKUP(A1,Data1!$A$1:$DZU$1000000,3207,FALSE)</f>
        <v>#N/A</v>
      </c>
      <c r="K189" s="34" t="e">
        <f>VLOOKUP(A1,Data1!$A$1:$DZU$1000000,3208,FALSE)</f>
        <v>#N/A</v>
      </c>
      <c r="L189" s="93" t="e">
        <f>VLOOKUP(A1,Data1!$A$1:$DZU$1000000,3209,FALSE)</f>
        <v>#N/A</v>
      </c>
      <c r="M189" s="33" t="e">
        <f>VLOOKUP(A1,Data1!$A$1:$DZU$1000000,3210,FALSE)</f>
        <v>#N/A</v>
      </c>
      <c r="N189" s="34" t="e">
        <f>VLOOKUP(A1,Data1!$A$1:$DZU$1000000,3211,FALSE)</f>
        <v>#N/A</v>
      </c>
      <c r="O189" s="33" t="e">
        <f>VLOOKUP(A1,Data1!$A$1:$DZU$1000000,3212,FALSE)</f>
        <v>#N/A</v>
      </c>
      <c r="P189" s="46" t="e">
        <f>VLOOKUP(A1,Data1!$A$1:$DZU$1000000,3213,FALSE)</f>
        <v>#N/A</v>
      </c>
      <c r="Q189" s="33" t="e">
        <f>VLOOKUP(A1,Data1!$A$1:$DZU$1000000,3214,FALSE)</f>
        <v>#N/A</v>
      </c>
    </row>
    <row r="190" spans="1:17" x14ac:dyDescent="0.35">
      <c r="A190" s="22" t="e">
        <f>VLOOKUP(A1,Data1!$A$1:$DZU$1000000,3215,FALSE)</f>
        <v>#N/A</v>
      </c>
      <c r="B190" s="37" t="e">
        <f>VLOOKUP(A1,Data1!$A$1:$DZU$1000000,3216,FALSE)</f>
        <v>#N/A</v>
      </c>
      <c r="C190" s="38" t="e">
        <f>VLOOKUP(A1,Data1!$A$1:$DZU$1000000,3217,FALSE)</f>
        <v>#N/A</v>
      </c>
      <c r="D190" s="31" t="e">
        <f>VLOOKUP(A1,Data1!$A$1:$DZU$1000000,3218,FALSE)</f>
        <v>#N/A</v>
      </c>
      <c r="E190" s="32" t="e">
        <f>VLOOKUP(A1,Data1!$A$1:$DZU$1000000,3219,FALSE)</f>
        <v>#N/A</v>
      </c>
      <c r="F190" s="34" t="e">
        <f>VLOOKUP(A1,Data1!$A$1:$DZU$1000000,3220,FALSE)</f>
        <v>#N/A</v>
      </c>
      <c r="G190" s="33" t="e">
        <f>VLOOKUP(A1,Data1!$A$1:$DZU$1000000,3221,FALSE)</f>
        <v>#N/A</v>
      </c>
      <c r="H190" s="34" t="e">
        <f>VLOOKUP(A1,Data1!$A$1:$DZU$1000000,3222,FALSE)</f>
        <v>#N/A</v>
      </c>
      <c r="I190" s="33" t="e">
        <f>VLOOKUP(A1,Data1!$A$1:$DZU$1000000,3223,FALSE)</f>
        <v>#N/A</v>
      </c>
      <c r="J190" s="34" t="e">
        <f>VLOOKUP(A1,Data1!$A$1:$DZU$1000000,3224,FALSE)</f>
        <v>#N/A</v>
      </c>
      <c r="K190" s="34" t="e">
        <f>VLOOKUP(A1,Data1!$A$1:$DZU$1000000,3225,FALSE)</f>
        <v>#N/A</v>
      </c>
      <c r="L190" s="93" t="e">
        <f>VLOOKUP(A1,Data1!$A$1:$DZU$1000000,3226,FALSE)</f>
        <v>#N/A</v>
      </c>
      <c r="M190" s="33" t="e">
        <f>VLOOKUP(A1,Data1!$A$1:$DZU$1000000,3227,FALSE)</f>
        <v>#N/A</v>
      </c>
      <c r="N190" s="34" t="e">
        <f>VLOOKUP(A1,Data1!$A$1:$DZU$1000000,3228,FALSE)</f>
        <v>#N/A</v>
      </c>
      <c r="O190" s="33" t="e">
        <f>VLOOKUP(A1,Data1!$A$1:$DZU$1000000,3229,FALSE)</f>
        <v>#N/A</v>
      </c>
      <c r="P190" s="46" t="e">
        <f>VLOOKUP(A1,Data1!$A$1:$DZU$1000000,3230,FALSE)</f>
        <v>#N/A</v>
      </c>
      <c r="Q190" s="33" t="e">
        <f>VLOOKUP(A1,Data1!$A$1:$DZU$1000000,3231,FALSE)</f>
        <v>#N/A</v>
      </c>
    </row>
    <row r="191" spans="1:17" x14ac:dyDescent="0.35">
      <c r="A191" s="22" t="e">
        <f>VLOOKUP(A1,Data1!$A$1:$DZU$1000000,3232,FALSE)</f>
        <v>#N/A</v>
      </c>
      <c r="B191" s="37" t="e">
        <f>VLOOKUP(A1,Data1!$A$1:$DZU$1000000,3233,FALSE)</f>
        <v>#N/A</v>
      </c>
      <c r="C191" s="43" t="e">
        <f>VLOOKUP(A1,Data1!$A$1:$DZU$1000000,3234,FALSE)</f>
        <v>#N/A</v>
      </c>
      <c r="D191" s="31" t="e">
        <f>VLOOKUP(A1,Data1!$A$1:$DZU$1000000,3235,FALSE)</f>
        <v>#N/A</v>
      </c>
      <c r="E191" s="32" t="e">
        <f>VLOOKUP(A1,Data1!$A$1:$DZU$1000000,3236,FALSE)</f>
        <v>#N/A</v>
      </c>
      <c r="F191" s="44" t="e">
        <f>VLOOKUP(A1,Data1!$A$1:$DZU$1000000,3237,FALSE)</f>
        <v>#N/A</v>
      </c>
      <c r="G191" s="45" t="e">
        <f>VLOOKUP(A1,Data1!$A$1:$DZU$1000000,3238,FALSE)</f>
        <v>#N/A</v>
      </c>
      <c r="H191" s="44" t="e">
        <f>VLOOKUP(A1,Data1!$A$1:$DZU$1000000,3239,FALSE)</f>
        <v>#N/A</v>
      </c>
      <c r="I191" s="45" t="e">
        <f>VLOOKUP(A1,Data1!$A$1:$DZU$1000000,3240,FALSE)</f>
        <v>#N/A</v>
      </c>
      <c r="J191" s="34" t="e">
        <f>VLOOKUP(A1,Data1!$A$1:$DZU$1000000,3241,FALSE)</f>
        <v>#N/A</v>
      </c>
      <c r="K191" s="43" t="e">
        <f>VLOOKUP(A1,Data1!$A$1:$DZU$1000000,3242,FALSE)</f>
        <v>#N/A</v>
      </c>
      <c r="L191" s="44" t="e">
        <f>VLOOKUP(A1,Data1!$A$1:$DZU$1000000,3243,FALSE)</f>
        <v>#N/A</v>
      </c>
      <c r="M191" s="45" t="e">
        <f>VLOOKUP(A1,Data1!$A$1:$DZU$1000000,3244,FALSE)</f>
        <v>#N/A</v>
      </c>
      <c r="N191" s="44" t="e">
        <f>VLOOKUP(A1,Data1!$A$1:$DZU$1000000,3245,FALSE)</f>
        <v>#N/A</v>
      </c>
      <c r="O191" s="45" t="e">
        <f>VLOOKUP(A1,Data1!$A$1:$DZU$1000000,3246,FALSE)</f>
        <v>#N/A</v>
      </c>
      <c r="P191" s="46" t="e">
        <f>VLOOKUP(A1,Data1!$A$1:$DZU$1000000,3247,FALSE)</f>
        <v>#N/A</v>
      </c>
      <c r="Q191" s="45" t="e">
        <f>VLOOKUP(A1,Data1!$A$1:$DZU$1000000,3248,FALSE)</f>
        <v>#N/A</v>
      </c>
    </row>
    <row r="192" spans="1:17" x14ac:dyDescent="0.35">
      <c r="A192" s="22" t="e">
        <f>VLOOKUP(A1,Data1!$A$1:$DZU$1000000,3249,FALSE)</f>
        <v>#N/A</v>
      </c>
      <c r="B192" s="37" t="e">
        <f>VLOOKUP(A1,Data1!$A$1:$DZU$1000000,3250,FALSE)</f>
        <v>#N/A</v>
      </c>
      <c r="C192" s="38" t="e">
        <f>VLOOKUP(A1,Data1!$A$1:$DZU$1000000,3251,FALSE)</f>
        <v>#N/A</v>
      </c>
      <c r="D192" s="31" t="e">
        <f>VLOOKUP(A1,Data1!$A$1:$DZU$1000000,3252,FALSE)</f>
        <v>#N/A</v>
      </c>
      <c r="E192" s="32" t="e">
        <f>VLOOKUP(A1,Data1!$A$1:$DZU$1000000,3253,FALSE)</f>
        <v>#N/A</v>
      </c>
      <c r="F192" s="34" t="e">
        <f>VLOOKUP(A1,Data1!$A$1:$DZU$1000000,3254,FALSE)</f>
        <v>#N/A</v>
      </c>
      <c r="G192" s="33" t="e">
        <f>VLOOKUP(A1,Data1!$A$1:$DZU$1000000,3255,FALSE)</f>
        <v>#N/A</v>
      </c>
      <c r="H192" s="34" t="e">
        <f>VLOOKUP(A1,Data1!$A$1:$DZU$1000000,3256,FALSE)</f>
        <v>#N/A</v>
      </c>
      <c r="I192" s="33" t="e">
        <f>VLOOKUP(A1,Data1!$A$1:$DZU$1000000,3257,FALSE)</f>
        <v>#N/A</v>
      </c>
      <c r="J192" s="34" t="e">
        <f>VLOOKUP(A1,Data1!$A$1:$DZU$1000000,3258,FALSE)</f>
        <v>#N/A</v>
      </c>
      <c r="K192" s="34" t="e">
        <f>VLOOKUP(A1,Data1!$A$1:$DZU$1000000,3259,FALSE)</f>
        <v>#N/A</v>
      </c>
      <c r="L192" s="34" t="e">
        <f>VLOOKUP(A1,Data1!$A$1:$DZU$1000000,3260,FALSE)</f>
        <v>#N/A</v>
      </c>
      <c r="M192" s="33" t="e">
        <f>VLOOKUP(A1,Data1!$A$1:$DZU$1000000,3261,FALSE)</f>
        <v>#N/A</v>
      </c>
      <c r="N192" s="34" t="e">
        <f>VLOOKUP(A1,Data1!$A$1:$DZU$1000000,3262,FALSE)</f>
        <v>#N/A</v>
      </c>
      <c r="O192" s="33" t="e">
        <f>VLOOKUP(A1,Data1!$A$1:$DZU$1000000,3263,FALSE)</f>
        <v>#N/A</v>
      </c>
      <c r="P192" s="46" t="e">
        <f>VLOOKUP(A1,Data1!$A$1:$DZU$1000000,3264,FALSE)</f>
        <v>#N/A</v>
      </c>
      <c r="Q192" s="33" t="e">
        <f>VLOOKUP(A1,Data1!$A$1:$DZU$1000000,3265,FALSE)</f>
        <v>#N/A</v>
      </c>
    </row>
    <row r="193" spans="1:17" x14ac:dyDescent="0.35">
      <c r="A193" s="22" t="e">
        <f>VLOOKUP(A1,Data1!$A$1:$DZU$1000000,3266,FALSE)</f>
        <v>#N/A</v>
      </c>
      <c r="B193" s="37" t="e">
        <f>VLOOKUP(A1,Data1!$A$1:$DZU$1000000,3267,FALSE)</f>
        <v>#N/A</v>
      </c>
      <c r="C193" s="30" t="e">
        <f>VLOOKUP(A1,Data1!$A$1:$DZU$1000000,3268,FALSE)</f>
        <v>#N/A</v>
      </c>
      <c r="D193" s="31" t="e">
        <f>VLOOKUP(A1,Data1!$A$1:$DZU$1000000,3269,FALSE)</f>
        <v>#N/A</v>
      </c>
      <c r="E193" s="32" t="e">
        <f>VLOOKUP(A1,Data1!$A$1:$DZU$1000000,3270,FALSE)</f>
        <v>#N/A</v>
      </c>
      <c r="F193" s="34" t="e">
        <f>VLOOKUP(A1,Data1!$A$1:$DZU$1000000,3271,FALSE)</f>
        <v>#N/A</v>
      </c>
      <c r="G193" s="33" t="e">
        <f>VLOOKUP(A1,Data1!$A$1:$DZU$1000000,3272,FALSE)</f>
        <v>#N/A</v>
      </c>
      <c r="H193" s="34" t="e">
        <f>VLOOKUP(A1,Data1!$A$1:$DZU$1000000,3273,FALSE)</f>
        <v>#N/A</v>
      </c>
      <c r="I193" s="33" t="e">
        <f>VLOOKUP(A1,Data1!$A$1:$DZU$1000000,3274,FALSE)</f>
        <v>#N/A</v>
      </c>
      <c r="J193" s="34" t="e">
        <f>VLOOKUP(A1,Data1!$A$1:$DZU$1000000,3275,FALSE)</f>
        <v>#N/A</v>
      </c>
      <c r="K193" s="34" t="e">
        <f>VLOOKUP(A1,Data1!$A$1:$DZU$1000000,3276,FALSE)</f>
        <v>#N/A</v>
      </c>
      <c r="L193" s="34" t="e">
        <f>VLOOKUP(A1,Data1!$A$1:$DZU$1000000,3277,FALSE)</f>
        <v>#N/A</v>
      </c>
      <c r="M193" s="33" t="e">
        <f>VLOOKUP(A1,Data1!$A$1:$DZU$1000000,3278,FALSE)</f>
        <v>#N/A</v>
      </c>
      <c r="N193" s="34" t="e">
        <f>VLOOKUP(A1,Data1!$A$1:$DZU$1000000,3279,FALSE)</f>
        <v>#N/A</v>
      </c>
      <c r="O193" s="33" t="e">
        <f>VLOOKUP(A1,Data1!$A$1:$DZU$1000000,3280,FALSE)</f>
        <v>#N/A</v>
      </c>
      <c r="P193" s="46" t="e">
        <f>VLOOKUP(A1,Data1!$A$1:$DZU$1000000,3281,FALSE)</f>
        <v>#N/A</v>
      </c>
      <c r="Q193" s="33" t="e">
        <f>VLOOKUP(A1,Data1!$A$1:$DZU$1000000,3282,FALSE)</f>
        <v>#N/A</v>
      </c>
    </row>
    <row r="194" spans="1:17" x14ac:dyDescent="0.35">
      <c r="A194" s="22" t="e">
        <f>VLOOKUP(A1,Data1!$A$1:$DZU$1000000,3283,FALSE)</f>
        <v>#N/A</v>
      </c>
      <c r="B194" s="37" t="e">
        <f>VLOOKUP(A1,Data1!$A$1:$DZU$1000000,3284,FALSE)</f>
        <v>#N/A</v>
      </c>
      <c r="C194" s="38" t="e">
        <f>VLOOKUP(A1,Data1!$A$1:$DZU$1000000,3285,FALSE)</f>
        <v>#N/A</v>
      </c>
      <c r="D194" s="31" t="e">
        <f>VLOOKUP(A1,Data1!$A$1:$DZU$1000000,3286,FALSE)</f>
        <v>#N/A</v>
      </c>
      <c r="E194" s="32" t="e">
        <f>VLOOKUP(A1,Data1!$A$1:$DZU$1000000,3287,FALSE)</f>
        <v>#N/A</v>
      </c>
      <c r="F194" s="34" t="e">
        <f>VLOOKUP(A1,Data1!$A$1:$DZU$1000000,3288,FALSE)</f>
        <v>#N/A</v>
      </c>
      <c r="G194" s="33" t="e">
        <f>VLOOKUP(A1,Data1!$A$1:$DZU$1000000,3289,FALSE)</f>
        <v>#N/A</v>
      </c>
      <c r="H194" s="34" t="e">
        <f>VLOOKUP(A1,Data1!$A$1:$DZU$1000000,3290,FALSE)</f>
        <v>#N/A</v>
      </c>
      <c r="I194" s="33" t="e">
        <f>VLOOKUP(A1,Data1!$A$1:$DZU$1000000,3291,FALSE)</f>
        <v>#N/A</v>
      </c>
      <c r="J194" s="34" t="e">
        <f>VLOOKUP(A1,Data1!$A$1:$DZU$1000000,3292,FALSE)</f>
        <v>#N/A</v>
      </c>
      <c r="K194" s="34" t="e">
        <f>VLOOKUP(A1,Data1!$A$1:$DZU$1000000,3293,FALSE)</f>
        <v>#N/A</v>
      </c>
      <c r="L194" s="93" t="e">
        <f>VLOOKUP(A1,Data1!$A$1:$DZU$1000000,3294,FALSE)</f>
        <v>#N/A</v>
      </c>
      <c r="M194" s="33" t="e">
        <f>VLOOKUP(A1,Data1!$A$1:$DZU$1000000,3295,FALSE)</f>
        <v>#N/A</v>
      </c>
      <c r="N194" s="34" t="e">
        <f>VLOOKUP(A1,Data1!$A$1:$DZU$1000000,3296,FALSE)</f>
        <v>#N/A</v>
      </c>
      <c r="O194" s="33" t="e">
        <f>VLOOKUP(A1,Data1!$A$1:$DZU$1000000,3297,FALSE)</f>
        <v>#N/A</v>
      </c>
      <c r="P194" s="46" t="e">
        <f>VLOOKUP(A1,Data1!$A$1:$DZU$1000000,3298,FALSE)</f>
        <v>#N/A</v>
      </c>
      <c r="Q194" s="33" t="e">
        <f>VLOOKUP(A1,Data1!$A$1:$DZU$1000000,3299,FALSE)</f>
        <v>#N/A</v>
      </c>
    </row>
    <row r="195" spans="1:17" x14ac:dyDescent="0.35">
      <c r="A195" s="22" t="e">
        <f>VLOOKUP(A1,Data1!$A$1:$DZU$1000000,3300,FALSE)</f>
        <v>#N/A</v>
      </c>
      <c r="B195" s="37" t="e">
        <f>VLOOKUP(A1,Data1!$A$1:$DZU$1000000,3301,FALSE)</f>
        <v>#N/A</v>
      </c>
      <c r="C195" s="38" t="e">
        <f>VLOOKUP(A1,Data1!$A$1:$DZU$1000000,3302,FALSE)</f>
        <v>#N/A</v>
      </c>
      <c r="D195" s="31" t="e">
        <f>VLOOKUP(A1,Data1!$A$1:$DZU$1000000,3303,FALSE)</f>
        <v>#N/A</v>
      </c>
      <c r="E195" s="32" t="e">
        <f>VLOOKUP(A1,Data1!$A$1:$DZU$1000000,3304,FALSE)</f>
        <v>#N/A</v>
      </c>
      <c r="F195" s="34" t="e">
        <f>VLOOKUP(A1,Data1!$A$1:$DZU$1000000,3305,FALSE)</f>
        <v>#N/A</v>
      </c>
      <c r="G195" s="33" t="e">
        <f>VLOOKUP(A1,Data1!$A$1:$DZU$1000000,3306,FALSE)</f>
        <v>#N/A</v>
      </c>
      <c r="H195" s="34" t="e">
        <f>VLOOKUP(A1,Data1!$A$1:$DZU$1000000,3307,FALSE)</f>
        <v>#N/A</v>
      </c>
      <c r="I195" s="33" t="e">
        <f>VLOOKUP(A1,Data1!$A$1:$DZU$1000000,3308,FALSE)</f>
        <v>#N/A</v>
      </c>
      <c r="J195" s="34" t="e">
        <f>VLOOKUP(A1,Data1!$A$1:$DZU$1000000,3309,FALSE)</f>
        <v>#N/A</v>
      </c>
      <c r="K195" s="34" t="e">
        <f>VLOOKUP(A1,Data1!$A$1:$DZU$1000000,3310,FALSE)</f>
        <v>#N/A</v>
      </c>
      <c r="L195" s="93" t="e">
        <f>VLOOKUP(A1,Data1!$A$1:$DZU$1000000,3311,FALSE)</f>
        <v>#N/A</v>
      </c>
      <c r="M195" s="33" t="e">
        <f>VLOOKUP(A1,Data1!$A$1:$DZU$1000000,3312,FALSE)</f>
        <v>#N/A</v>
      </c>
      <c r="N195" s="34" t="e">
        <f>VLOOKUP(A1,Data1!$A$1:$DZU$1000000,3313,FALSE)</f>
        <v>#N/A</v>
      </c>
      <c r="O195" s="33" t="e">
        <f>VLOOKUP(A1,Data1!$A$1:$DZU$1000000,3314,FALSE)</f>
        <v>#N/A</v>
      </c>
      <c r="P195" s="46" t="e">
        <f>VLOOKUP(A1,Data1!$A$1:$DZU$1000000,3315,FALSE)</f>
        <v>#N/A</v>
      </c>
      <c r="Q195" s="33" t="e">
        <f>VLOOKUP(A1,Data1!$A$1:$DZU$1000000,3316,FALSE)</f>
        <v>#N/A</v>
      </c>
    </row>
    <row r="196" spans="1:17" x14ac:dyDescent="0.35">
      <c r="A196" s="22" t="e">
        <f>VLOOKUP(A1,Data1!$A$1:$DZU$1000000,3317,FALSE)</f>
        <v>#N/A</v>
      </c>
      <c r="B196" s="37" t="e">
        <f>VLOOKUP(A1,Data1!$A$1:$DZU$1000000,3318,FALSE)</f>
        <v>#N/A</v>
      </c>
      <c r="C196" s="38" t="e">
        <f>VLOOKUP(A1,Data1!$A$1:$DZU$1000000,3319,FALSE)</f>
        <v>#N/A</v>
      </c>
      <c r="D196" s="31" t="e">
        <f>VLOOKUP(A1,Data1!$A$1:$DZU$1000000,3320,FALSE)</f>
        <v>#N/A</v>
      </c>
      <c r="E196" s="32" t="e">
        <f>VLOOKUP(A1,Data1!$A$1:$DZU$1000000,3321,FALSE)</f>
        <v>#N/A</v>
      </c>
      <c r="F196" s="34" t="e">
        <f>VLOOKUP(A1,Data1!$A$1:$DZU$1000000,3322,FALSE)</f>
        <v>#N/A</v>
      </c>
      <c r="G196" s="33" t="e">
        <f>VLOOKUP(A1,Data1!$A$1:$DZU$1000000,3323,FALSE)</f>
        <v>#N/A</v>
      </c>
      <c r="H196" s="34" t="e">
        <f>VLOOKUP(A1,Data1!$A$1:$DZU$1000000,3324,FALSE)</f>
        <v>#N/A</v>
      </c>
      <c r="I196" s="33" t="e">
        <f>VLOOKUP(A1,Data1!$A$1:$DZU$1000000,3325,FALSE)</f>
        <v>#N/A</v>
      </c>
      <c r="J196" s="34" t="e">
        <f>VLOOKUP(A1,Data1!$A$1:$DZU$1000000,3326,FALSE)</f>
        <v>#N/A</v>
      </c>
      <c r="K196" s="34" t="e">
        <f>VLOOKUP(A1,Data1!$A$1:$DZU$1000000,3327,FALSE)</f>
        <v>#N/A</v>
      </c>
      <c r="L196" s="93" t="e">
        <f>VLOOKUP(A1,Data1!$A$1:$DZU$1000000,3328,FALSE)</f>
        <v>#N/A</v>
      </c>
      <c r="M196" s="33" t="e">
        <f>VLOOKUP(A1,Data1!$A$1:$DZU$1000000,3329,FALSE)</f>
        <v>#N/A</v>
      </c>
      <c r="N196" s="34" t="e">
        <f>VLOOKUP(A1,Data1!$A$1:$DZU$1000000,3330,FALSE)</f>
        <v>#N/A</v>
      </c>
      <c r="O196" s="33" t="e">
        <f>VLOOKUP(A1,Data1!$A$1:$DZU$1000000,3331,FALSE)</f>
        <v>#N/A</v>
      </c>
      <c r="P196" s="46" t="e">
        <f>VLOOKUP(A1,Data1!$A$1:$DZU$1000000,3332,FALSE)</f>
        <v>#N/A</v>
      </c>
      <c r="Q196" s="33" t="e">
        <f>VLOOKUP(A1,Data1!$A$1:$DZU$1000000,3333,FALSE)</f>
        <v>#N/A</v>
      </c>
    </row>
    <row r="197" spans="1:17" x14ac:dyDescent="0.35">
      <c r="A197" s="22" t="e">
        <f>VLOOKUP(A1,Data1!$A$1:$DZU$1000000,3334,FALSE)</f>
        <v>#N/A</v>
      </c>
      <c r="B197" s="37" t="e">
        <f>VLOOKUP(A1,Data1!$A$1:$DZU$1000000,3335,FALSE)</f>
        <v>#N/A</v>
      </c>
      <c r="C197" s="43" t="e">
        <f>VLOOKUP(A1,Data1!$A$1:$DZU$1000000,3336,FALSE)</f>
        <v>#N/A</v>
      </c>
      <c r="D197" s="31" t="e">
        <f>VLOOKUP(A1,Data1!$A$1:$DZU$1000000,3337,FALSE)</f>
        <v>#N/A</v>
      </c>
      <c r="E197" s="32" t="e">
        <f>VLOOKUP(A1,Data1!$A$1:$DZU$1000000,3338,FALSE)</f>
        <v>#N/A</v>
      </c>
      <c r="F197" s="44" t="e">
        <f>VLOOKUP(A1,Data1!$A$1:$DZU$1000000,3339,FALSE)</f>
        <v>#N/A</v>
      </c>
      <c r="G197" s="45" t="e">
        <f>VLOOKUP(A1,Data1!$A$1:$DZU$1000000,3340,FALSE)</f>
        <v>#N/A</v>
      </c>
      <c r="H197" s="44" t="e">
        <f>VLOOKUP(A1,Data1!$A$1:$DZU$1000000,3341,FALSE)</f>
        <v>#N/A</v>
      </c>
      <c r="I197" s="45" t="e">
        <f>VLOOKUP(A1,Data1!$A$1:$DZU$1000000,3342,FALSE)</f>
        <v>#N/A</v>
      </c>
      <c r="J197" s="34" t="e">
        <f>VLOOKUP(A1,Data1!$A$1:$DZU$1000000,3343,FALSE)</f>
        <v>#N/A</v>
      </c>
      <c r="K197" s="43" t="e">
        <f>VLOOKUP(A1,Data1!$A$1:$DZU$1000000,3344,FALSE)</f>
        <v>#N/A</v>
      </c>
      <c r="L197" s="44" t="e">
        <f>VLOOKUP(A1,Data1!$A$1:$DZU$1000000,3345,FALSE)</f>
        <v>#N/A</v>
      </c>
      <c r="M197" s="45" t="e">
        <f>VLOOKUP(A1,Data1!$A$1:$DZU$1000000,3346,FALSE)</f>
        <v>#N/A</v>
      </c>
      <c r="N197" s="44" t="e">
        <f>VLOOKUP(A1,Data1!$A$1:$DZU$1000000,3347,FALSE)</f>
        <v>#N/A</v>
      </c>
      <c r="O197" s="45" t="e">
        <f>VLOOKUP(A1,Data1!$A$1:$DZU$1000000,3348,FALSE)</f>
        <v>#N/A</v>
      </c>
      <c r="P197" s="36" t="e">
        <f>VLOOKUP(A1,Data1!$A$1:$DZU$1000000,3349,FALSE)</f>
        <v>#N/A</v>
      </c>
      <c r="Q197" s="45" t="e">
        <f>VLOOKUP(A1,Data1!$A$1:$DZU$1000000,3350,FALSE)</f>
        <v>#N/A</v>
      </c>
    </row>
    <row r="198" spans="1:17" x14ac:dyDescent="0.35">
      <c r="A198" s="22" t="e">
        <f>VLOOKUP(A1,Data1!$A$1:$DZU$1000000,3351,FALSE)</f>
        <v>#N/A</v>
      </c>
      <c r="B198" s="37" t="e">
        <f>VLOOKUP(A1,Data1!$A$1:$DZU$1000000,3352,FALSE)</f>
        <v>#N/A</v>
      </c>
      <c r="C198" s="38" t="e">
        <f>VLOOKUP(A1,Data1!$A$1:$DZU$1000000,3353,FALSE)</f>
        <v>#N/A</v>
      </c>
      <c r="D198" s="31" t="e">
        <f>VLOOKUP(A1,Data1!$A$1:$DZU$1000000,3354,FALSE)</f>
        <v>#N/A</v>
      </c>
      <c r="E198" s="32" t="e">
        <f>VLOOKUP(A1,Data1!$A$1:$DZU$1000000,3355,FALSE)</f>
        <v>#N/A</v>
      </c>
      <c r="F198" s="34" t="e">
        <f>VLOOKUP(A1,Data1!$A$1:$DZU$1000000,3356,FALSE)</f>
        <v>#N/A</v>
      </c>
      <c r="G198" s="33" t="e">
        <f>VLOOKUP(A1,Data1!$A$1:$DZU$1000000,3357,FALSE)</f>
        <v>#N/A</v>
      </c>
      <c r="H198" s="34" t="e">
        <f>VLOOKUP(A1,Data1!$A$1:$DZU$1000000,3358,FALSE)</f>
        <v>#N/A</v>
      </c>
      <c r="I198" s="33" t="e">
        <f>VLOOKUP(A1,Data1!$A$1:$DZU$1000000,3359,FALSE)</f>
        <v>#N/A</v>
      </c>
      <c r="J198" s="34" t="e">
        <f>VLOOKUP(A1,Data1!$A$1:$DZU$1000000,3360,FALSE)</f>
        <v>#N/A</v>
      </c>
      <c r="K198" s="34" t="e">
        <f>VLOOKUP(A1,Data1!$A$1:$DZU$1000000,3361,FALSE)</f>
        <v>#N/A</v>
      </c>
      <c r="L198" s="34" t="e">
        <f>VLOOKUP(A1,Data1!$A$1:$DZU$1000000,3362,FALSE)</f>
        <v>#N/A</v>
      </c>
      <c r="M198" s="33" t="e">
        <f>VLOOKUP(A1,Data1!$A$1:$DZU$1000000,3363,FALSE)</f>
        <v>#N/A</v>
      </c>
      <c r="N198" s="34" t="e">
        <f>VLOOKUP(A1,Data1!$A$1:$DZU$1000000,3364,FALSE)</f>
        <v>#N/A</v>
      </c>
      <c r="O198" s="35" t="e">
        <f>VLOOKUP(A1,Data1!$A$1:$DZU$1000000,3365,FALSE)</f>
        <v>#N/A</v>
      </c>
      <c r="P198" s="36" t="e">
        <f>VLOOKUP(A1,Data1!$A$1:$DZU$1000000,3366,FALSE)</f>
        <v>#N/A</v>
      </c>
      <c r="Q198" s="35" t="e">
        <f>VLOOKUP(A1,Data1!$A$1:$DZU$1000000,3367,FALSE)</f>
        <v>#N/A</v>
      </c>
    </row>
    <row r="199" spans="1:17" x14ac:dyDescent="0.35">
      <c r="A199" s="62" t="e">
        <f>VLOOKUP(A1,Data1!$A$1:$DZU$1000000,3368,FALSE)</f>
        <v>#N/A</v>
      </c>
      <c r="B199" s="63" t="e">
        <f>VLOOKUP(A1,Data1!$A$1:$DZU$1000000,3369,FALSE)</f>
        <v>#N/A</v>
      </c>
      <c r="C199" s="64" t="e">
        <f>VLOOKUP(A1,Data1!$A$1:$DZU$1000000,3370,FALSE)</f>
        <v>#N/A</v>
      </c>
      <c r="D199" s="65" t="e">
        <f>VLOOKUP(A1,Data1!$A$1:$DZU$1000000,3371,FALSE)</f>
        <v>#N/A</v>
      </c>
      <c r="E199" s="66" t="e">
        <f>VLOOKUP(A1,Data1!$A$1:$DZU$1000000,3372,FALSE)</f>
        <v>#N/A</v>
      </c>
      <c r="F199" s="67" t="e">
        <f>VLOOKUP(A1,Data1!$A$1:$DZU$1000000,3373,FALSE)</f>
        <v>#N/A</v>
      </c>
      <c r="G199" s="68" t="e">
        <f>VLOOKUP(A1,Data1!$A$1:$DZU$1000000,3374,FALSE)</f>
        <v>#N/A</v>
      </c>
      <c r="H199" s="67" t="e">
        <f>VLOOKUP(A1,Data1!$A$1:$DZU$1000000,3375,FALSE)</f>
        <v>#N/A</v>
      </c>
      <c r="I199" s="68" t="e">
        <f>VLOOKUP(A1,Data1!$A$1:$DZU$1000000,3376,FALSE)</f>
        <v>#N/A</v>
      </c>
      <c r="J199" s="67" t="e">
        <f>VLOOKUP(A1,Data1!$A$1:$DZU$1000000,3377,FALSE)</f>
        <v>#N/A</v>
      </c>
      <c r="K199" s="69" t="e">
        <f>VLOOKUP(A1,Data1!$A$1:$DZU$1000000,3378,FALSE)</f>
        <v>#N/A</v>
      </c>
      <c r="L199" s="67" t="e">
        <f>VLOOKUP(A1,Data1!$A$1:$DZU$1000000,3379,FALSE)</f>
        <v>#N/A</v>
      </c>
      <c r="M199" s="68" t="e">
        <f>VLOOKUP(A1,Data1!$A$1:$DZU$1000000,3380,FALSE)</f>
        <v>#N/A</v>
      </c>
      <c r="N199" s="67" t="e">
        <f>VLOOKUP(A1,Data1!$A$1:$DZU$1000000,3381,FALSE)</f>
        <v>#N/A</v>
      </c>
      <c r="O199" s="68" t="e">
        <f>VLOOKUP(A1,Data1!$A$1:$DZU$1000000,3382,FALSE)</f>
        <v>#N/A</v>
      </c>
      <c r="P199" s="70" t="e">
        <f>VLOOKUP(A1,Data1!$A$1:$DZU$1000000,3383,FALSE)</f>
        <v>#N/A</v>
      </c>
      <c r="Q199" s="68" t="e">
        <f>VLOOKUP(A1,Data1!$A$1:$DZU$1000000,3384,FALSE)</f>
        <v>#N/A</v>
      </c>
    </row>
    <row r="200" spans="1:17" x14ac:dyDescent="0.35">
      <c r="A200" s="1" t="e">
        <f>VLOOKUP(A1,Data1!$A$1:$DZU$1000000,3385,FALSE)</f>
        <v>#N/A</v>
      </c>
      <c r="B200" s="1" t="e">
        <f>VLOOKUP(A1,Data1!$A$1:$DZU$1000000,3386,FALSE)</f>
        <v>#N/A</v>
      </c>
      <c r="C200" s="1" t="e">
        <f>VLOOKUP(A1,Data1!$A$1:$DZU$1000000,3387,FALSE)</f>
        <v>#N/A</v>
      </c>
      <c r="D200" s="1" t="e">
        <f>VLOOKUP(A1,Data1!$A$1:$DZU$1000000,3388,FALSE)</f>
        <v>#N/A</v>
      </c>
      <c r="E200" s="1" t="e">
        <f>VLOOKUP(A1,Data1!$A$1:$DZU$1000000,3389,FALSE)</f>
        <v>#N/A</v>
      </c>
      <c r="F200" s="1" t="e">
        <f>VLOOKUP(A1,Data1!$A$1:$DZU$1000000,3390,FALSE)</f>
        <v>#N/A</v>
      </c>
      <c r="G200" s="1" t="e">
        <f>VLOOKUP(A1,Data1!$A$1:$DZU$1000000,3391,FALSE)</f>
        <v>#N/A</v>
      </c>
      <c r="H200" s="1" t="e">
        <f>VLOOKUP(A1,Data1!$A$1:$DZU$1000000,3392,FALSE)</f>
        <v>#N/A</v>
      </c>
      <c r="I200" s="1" t="e">
        <f>VLOOKUP(A1,Data1!$A$1:$DZU$1000000,3393,FALSE)</f>
        <v>#N/A</v>
      </c>
      <c r="J200" s="1" t="e">
        <f>VLOOKUP(A1,Data1!$A$1:$DZU$1000000,3394,FALSE)</f>
        <v>#N/A</v>
      </c>
      <c r="K200" s="1" t="e">
        <f>VLOOKUP(A1,Data1!$A$1:$DZU$1000000,3395,FALSE)</f>
        <v>#N/A</v>
      </c>
      <c r="L200" s="1" t="e">
        <f>VLOOKUP(A1,Data1!$A$1:$DZU$1000000,3396,FALSE)</f>
        <v>#N/A</v>
      </c>
      <c r="M200" s="1" t="e">
        <f>VLOOKUP(A1,Data1!$A$1:$DZU$1000000,3397,FALSE)</f>
        <v>#N/A</v>
      </c>
      <c r="N200" s="1" t="e">
        <f>VLOOKUP(A1,Data1!$A$1:$DZU$1000000,3398,FALSE)</f>
        <v>#N/A</v>
      </c>
      <c r="O200" s="1" t="e">
        <f>VLOOKUP(A1,Data1!$A$1:$DZU$1000000,3399,FALSE)</f>
        <v>#N/A</v>
      </c>
      <c r="P200" s="1" t="e">
        <f>VLOOKUP(A1,Data1!$A$1:$DZU$1000000,3400,FALSE)</f>
        <v>#N/A</v>
      </c>
      <c r="Q200" s="78" t="e">
        <f>VLOOKUP(A1,Data1!$A$1:$DZU$1000000,3401,FALSE)</f>
        <v>#N/A</v>
      </c>
    </row>
  </sheetData>
  <mergeCells count="9">
    <mergeCell ref="J7:K7"/>
    <mergeCell ref="A3:B3"/>
    <mergeCell ref="D3:G3"/>
    <mergeCell ref="A4:B4"/>
    <mergeCell ref="B2:L2"/>
    <mergeCell ref="J3:K3"/>
    <mergeCell ref="J4:K4"/>
    <mergeCell ref="J5:K5"/>
    <mergeCell ref="J6:K6"/>
  </mergeCells>
  <dataValidations count="1">
    <dataValidation type="list" allowBlank="1" showInputMessage="1" showErrorMessage="1" sqref="C16:C190" xr:uid="{6B3DE19F-6EDB-4F12-9D9F-59D2FFBDB182}">
      <formula1>$C$205:$C207</formula1>
    </dataValidation>
  </dataValidations>
  <hyperlinks>
    <hyperlink ref="D3" r:id="rId1" display="datamateapp@gmail.com" xr:uid="{68DEE877-3DAC-4958-8180-C7211EDFD22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ViewInput">
                <anchor moveWithCells="1" sizeWithCells="1">
                  <from>
                    <xdr:col>17</xdr:col>
                    <xdr:colOff>228600</xdr:colOff>
                    <xdr:row>2</xdr:row>
                    <xdr:rowOff>57150</xdr:rowOff>
                  </from>
                  <to>
                    <xdr:col>19</xdr:col>
                    <xdr:colOff>279400</xdr:colOff>
                    <xdr:row>4</xdr:row>
                    <xdr:rowOff>101600</xdr:rowOff>
                  </to>
                </anchor>
              </controlPr>
            </control>
          </mc:Choice>
        </mc:AlternateContent>
        <mc:AlternateContent xmlns:mc="http://schemas.openxmlformats.org/markup-compatibility/2006">
          <mc:Choice Requires="x14">
            <control shapeId="153602" r:id="rId5" name="Button 2">
              <controlPr defaultSize="0" print="0" autoFill="0" autoPict="0" macro="[0]!ViewLog">
                <anchor moveWithCells="1" sizeWithCells="1">
                  <from>
                    <xdr:col>17</xdr:col>
                    <xdr:colOff>222250</xdr:colOff>
                    <xdr:row>5</xdr:row>
                    <xdr:rowOff>57150</xdr:rowOff>
                  </from>
                  <to>
                    <xdr:col>19</xdr:col>
                    <xdr:colOff>273050</xdr:colOff>
                    <xdr:row>7</xdr:row>
                    <xdr:rowOff>63500</xdr:rowOff>
                  </to>
                </anchor>
              </controlPr>
            </control>
          </mc:Choice>
        </mc:AlternateContent>
        <mc:AlternateContent xmlns:mc="http://schemas.openxmlformats.org/markup-compatibility/2006">
          <mc:Choice Requires="x14">
            <control shapeId="153604" r:id="rId6" name="Button 4">
              <controlPr defaultSize="0" print="0" autoFill="0" autoPict="0" macro="[0]!OpenDataMateAppPage">
                <anchor moveWithCells="1" sizeWithCells="1">
                  <from>
                    <xdr:col>17</xdr:col>
                    <xdr:colOff>273050</xdr:colOff>
                    <xdr:row>7</xdr:row>
                    <xdr:rowOff>184150</xdr:rowOff>
                  </from>
                  <to>
                    <xdr:col>19</xdr:col>
                    <xdr:colOff>323850</xdr:colOff>
                    <xdr:row>8</xdr:row>
                    <xdr:rowOff>374650</xdr:rowOff>
                  </to>
                </anchor>
              </controlPr>
            </control>
          </mc:Choice>
        </mc:AlternateContent>
        <mc:AlternateContent xmlns:mc="http://schemas.openxmlformats.org/markup-compatibility/2006">
          <mc:Choice Requires="x14">
            <control shapeId="153607" r:id="rId7" name="Button 7">
              <controlPr defaultSize="0" print="0" autoFill="0" autoPict="0" macro="RefreshView">
                <anchor moveWithCells="1" sizeWithCells="1">
                  <from>
                    <xdr:col>17</xdr:col>
                    <xdr:colOff>196850</xdr:colOff>
                    <xdr:row>0</xdr:row>
                    <xdr:rowOff>0</xdr:rowOff>
                  </from>
                  <to>
                    <xdr:col>19</xdr:col>
                    <xdr:colOff>247650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CA96A16-CB48-4C24-927B-9A99953FA039}">
          <x14:formula1>
            <xm:f>DIV_02Data!$A:$A</xm:f>
          </x14:formula1>
          <xm:sqref>B2:L2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0168E-DDF6-4C53-B58C-8375E5F0F68B}">
  <sheetPr codeName="Sheet50"/>
  <dimension ref="A2:B3"/>
  <sheetViews>
    <sheetView showGridLines="0" zoomScale="75" zoomScaleNormal="75" workbookViewId="0">
      <selection activeCell="A2" sqref="A2"/>
    </sheetView>
  </sheetViews>
  <sheetFormatPr defaultRowHeight="14.5" x14ac:dyDescent="0.35"/>
  <cols>
    <col min="1" max="1" width="28.26953125" style="1" customWidth="1"/>
    <col min="2" max="8" width="13.36328125" style="1" customWidth="1"/>
    <col min="9" max="9" width="50.36328125" style="1" customWidth="1"/>
    <col min="10" max="12" width="8.7265625" style="1"/>
    <col min="13" max="15" width="10.26953125" style="1" customWidth="1"/>
    <col min="16" max="16384" width="8.7265625" style="1"/>
  </cols>
  <sheetData>
    <row r="2" spans="1:2" ht="18.5" x14ac:dyDescent="0.45">
      <c r="A2" s="71" t="str">
        <f>DIV_02Input!A3</f>
        <v>DIV 02</v>
      </c>
    </row>
    <row r="3" spans="1:2" x14ac:dyDescent="0.35">
      <c r="A3" s="1" t="s">
        <v>21395</v>
      </c>
      <c r="B3" s="246">
        <f ca="1">TODAY()</f>
        <v>45603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2577" r:id="rId3" name="Button 1">
              <controlPr defaultSize="0" print="0" autoFill="0" autoPict="0" macro="[0]!ViewInput">
                <anchor moveWithCells="1" sizeWithCells="1">
                  <from>
                    <xdr:col>17</xdr:col>
                    <xdr:colOff>355600</xdr:colOff>
                    <xdr:row>0</xdr:row>
                    <xdr:rowOff>0</xdr:rowOff>
                  </from>
                  <to>
                    <xdr:col>19</xdr:col>
                    <xdr:colOff>406400</xdr:colOff>
                    <xdr:row>2</xdr:row>
                    <xdr:rowOff>12700</xdr:rowOff>
                  </to>
                </anchor>
              </controlPr>
            </control>
          </mc:Choice>
        </mc:AlternateContent>
        <mc:AlternateContent xmlns:mc="http://schemas.openxmlformats.org/markup-compatibility/2006">
          <mc:Choice Requires="x14">
            <control shapeId="152578" r:id="rId4" name="Button 2">
              <controlPr defaultSize="0" print="0" autoFill="0" autoPict="0" macro="[0]!ViewView_Print">
                <anchor moveWithCells="1" sizeWithCells="1">
                  <from>
                    <xdr:col>17</xdr:col>
                    <xdr:colOff>355600</xdr:colOff>
                    <xdr:row>2</xdr:row>
                    <xdr:rowOff>38100</xdr:rowOff>
                  </from>
                  <to>
                    <xdr:col>19</xdr:col>
                    <xdr:colOff>406400</xdr:colOff>
                    <xdr:row>4</xdr:row>
                    <xdr:rowOff>50800</xdr:rowOff>
                  </to>
                </anchor>
              </controlPr>
            </control>
          </mc:Choice>
        </mc:AlternateContent>
        <mc:AlternateContent xmlns:mc="http://schemas.openxmlformats.org/markup-compatibility/2006">
          <mc:Choice Requires="x14">
            <control shapeId="152579" r:id="rId5" name="Button 3">
              <controlPr defaultSize="0" print="0" autoFill="0" autoPict="0" macro="[0]!ViewUpdate">
                <anchor moveWithCells="1" sizeWithCells="1">
                  <from>
                    <xdr:col>17</xdr:col>
                    <xdr:colOff>342900</xdr:colOff>
                    <xdr:row>4</xdr:row>
                    <xdr:rowOff>69850</xdr:rowOff>
                  </from>
                  <to>
                    <xdr:col>19</xdr:col>
                    <xdr:colOff>393700</xdr:colOff>
                    <xdr:row>6</xdr:row>
                    <xdr:rowOff>82550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5E411-BA71-48BB-B274-51DF4E453E60}">
  <sheetPr codeName="Sheet7"/>
  <dimension ref="A1:P1"/>
  <sheetViews>
    <sheetView workbookViewId="0">
      <selection activeCell="Q5" sqref="Q5"/>
    </sheetView>
  </sheetViews>
  <sheetFormatPr defaultRowHeight="14.5" x14ac:dyDescent="0.35"/>
  <cols>
    <col min="1" max="1" width="8.7265625" style="76"/>
    <col min="2" max="4" width="8.7265625" style="1"/>
    <col min="5" max="5" width="22.08984375" style="76" customWidth="1"/>
    <col min="6" max="6" width="8.7265625" style="76"/>
    <col min="7" max="11" width="11.6328125" style="76" customWidth="1"/>
    <col min="12" max="12" width="12.26953125" style="76" customWidth="1"/>
    <col min="13" max="13" width="34.54296875" style="76" customWidth="1"/>
    <col min="14" max="16" width="8.7265625" style="76"/>
    <col min="17" max="16384" width="8.7265625" style="1"/>
  </cols>
  <sheetData>
    <row r="1" spans="2:16" ht="43.5" customHeight="1" x14ac:dyDescent="0.35">
      <c r="B1" s="73" t="str">
        <f>DIV_08View_Print!M1</f>
        <v>Update 1</v>
      </c>
      <c r="C1" s="73" t="str">
        <f>DIV_08View_Print!N1</f>
        <v>Update 2</v>
      </c>
      <c r="D1" s="73" t="str">
        <f>DIV_08View_Print!O1</f>
        <v>Update 3</v>
      </c>
      <c r="E1" s="74" t="str">
        <f>SEC_081000!A1</f>
        <v>AREA/FLOOR/ZONE</v>
      </c>
      <c r="F1" s="74" t="str">
        <f>SEC_081000!B1</f>
        <v>Page</v>
      </c>
      <c r="G1" s="74" t="str">
        <f>SEC_081000!C1</f>
        <v>SUB COST</v>
      </c>
      <c r="H1" s="74" t="str">
        <f>SEC_081000!D1</f>
        <v>MAT COST</v>
      </c>
      <c r="I1" s="74" t="str">
        <f>SEC_081000!E1</f>
        <v>LAB COST</v>
      </c>
      <c r="J1" s="74" t="str">
        <f>SEC_081000!F1</f>
        <v>EQUIP COST</v>
      </c>
      <c r="K1" s="74" t="str">
        <f>SEC_081000!G1</f>
        <v>Total Cost</v>
      </c>
      <c r="L1" s="74" t="str">
        <f>SEC_081000!H1</f>
        <v>Date</v>
      </c>
      <c r="M1" s="74" t="str">
        <f>SEC_081000!I1</f>
        <v>Description</v>
      </c>
      <c r="N1" s="74" t="str">
        <f>SEC_081000!J1</f>
        <v>Log 10</v>
      </c>
      <c r="O1" s="74" t="str">
        <f>SEC_081000!K1</f>
        <v>Log 11</v>
      </c>
      <c r="P1" s="75" t="str">
        <f>SEC_081000!L1</f>
        <v>Log 12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9681" r:id="rId3" name="Button 1">
              <controlPr defaultSize="0" print="0" autoFill="0" autoPict="0" macro="[0]!ViewLog">
                <anchor moveWithCells="1" sizeWithCells="1">
                  <from>
                    <xdr:col>17</xdr:col>
                    <xdr:colOff>12700</xdr:colOff>
                    <xdr:row>0</xdr:row>
                    <xdr:rowOff>44450</xdr:rowOff>
                  </from>
                  <to>
                    <xdr:col>18</xdr:col>
                    <xdr:colOff>234950</xdr:colOff>
                    <xdr:row>0</xdr:row>
                    <xdr:rowOff>323850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3540F-7962-4537-B77F-AB8B03B67A18}">
  <sheetPr codeName="Sheet17"/>
  <dimension ref="A1:AG1"/>
  <sheetViews>
    <sheetView workbookViewId="0">
      <selection activeCell="O37" sqref="O37"/>
    </sheetView>
  </sheetViews>
  <sheetFormatPr defaultRowHeight="14.5" x14ac:dyDescent="0.35"/>
  <cols>
    <col min="1" max="16384" width="8.7265625" style="1"/>
  </cols>
  <sheetData>
    <row r="1" spans="1:33" x14ac:dyDescent="0.35">
      <c r="A1" s="1" t="str">
        <f>IFERROR(DIV_01Data!#REF!, "") &amp; "- " &amp; IFERROR(T1, "") &amp; "- " &amp; IFERROR(U1, "") &amp; "- " &amp; IFERROR(V1, "") &amp; "- " &amp; IFERROR(W1, "") &amp; "- " &amp; IFERROR(X1, "") &amp; "- " &amp; IFERROR(Y1, "") &amp; "- " &amp; IFERROR(Z1, "") &amp; "- " &amp; IFERROR(AA1, "") &amp; "- " &amp; IFERROR(AB1, "") &amp; "- " &amp; IFERROR(AC1, "") &amp; "- " &amp; IFERROR(AD1, "")</f>
        <v xml:space="preserve">- - - - - - - - - - - </v>
      </c>
      <c r="S1" s="1" t="e">
        <f>#REF!</f>
        <v>#REF!</v>
      </c>
      <c r="T1" s="1" t="e">
        <f>#REF!</f>
        <v>#REF!</v>
      </c>
      <c r="U1" s="1" t="e">
        <f>#REF!</f>
        <v>#REF!</v>
      </c>
      <c r="V1" s="1" t="e">
        <f>#REF!</f>
        <v>#REF!</v>
      </c>
      <c r="W1" s="1" t="e">
        <f>#REF!</f>
        <v>#REF!</v>
      </c>
      <c r="X1" s="1" t="e">
        <f>#REF!</f>
        <v>#REF!</v>
      </c>
      <c r="Y1" s="1" t="e">
        <f>#REF!</f>
        <v>#REF!</v>
      </c>
      <c r="Z1" s="1" t="e">
        <f>#REF!</f>
        <v>#REF!</v>
      </c>
      <c r="AA1" s="1" t="e">
        <f>#REF!</f>
        <v>#REF!</v>
      </c>
      <c r="AB1" s="1" t="e">
        <f>#REF!</f>
        <v>#REF!</v>
      </c>
      <c r="AC1" s="1" t="e">
        <f>#REF!</f>
        <v>#REF!</v>
      </c>
      <c r="AD1" s="1" t="e">
        <f>#REF!</f>
        <v>#REF!</v>
      </c>
      <c r="AE1" s="1" t="e">
        <f>#REF!</f>
        <v>#REF!</v>
      </c>
      <c r="AF1" s="1" t="e">
        <f>#REF!</f>
        <v>#REF!</v>
      </c>
      <c r="AG1" s="1" t="e">
        <f>#REF!</f>
        <v>#REF!</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4B861-5514-4BBA-939D-D87800611D89}">
  <sheetPr codeName="Sheet154"/>
  <dimension ref="B4:H42"/>
  <sheetViews>
    <sheetView zoomScaleNormal="100" workbookViewId="0">
      <selection activeCell="C18" sqref="C18"/>
    </sheetView>
  </sheetViews>
  <sheetFormatPr defaultRowHeight="14.5" x14ac:dyDescent="0.35"/>
  <cols>
    <col min="1" max="1" width="4.54296875" customWidth="1"/>
    <col min="2" max="2" width="9.7265625" customWidth="1"/>
    <col min="3" max="3" width="77.1796875" bestFit="1" customWidth="1"/>
    <col min="4" max="4" width="15.1796875" customWidth="1"/>
    <col min="5" max="7" width="12.7265625" customWidth="1"/>
    <col min="8" max="8" width="28.453125" customWidth="1"/>
  </cols>
  <sheetData>
    <row r="4" spans="2:8" ht="15" thickBot="1" x14ac:dyDescent="0.4">
      <c r="B4" s="353"/>
      <c r="C4" s="354"/>
      <c r="D4" s="357" t="s">
        <v>0</v>
      </c>
      <c r="E4" s="386">
        <v>7.0000000000000007E-2</v>
      </c>
      <c r="F4" s="377"/>
      <c r="G4" s="377"/>
      <c r="H4" s="378"/>
    </row>
    <row r="5" spans="2:8" x14ac:dyDescent="0.35">
      <c r="B5" s="353"/>
      <c r="C5" s="354"/>
      <c r="D5" s="358"/>
      <c r="E5" s="355"/>
      <c r="F5" s="379"/>
      <c r="G5" s="379"/>
      <c r="H5" s="356"/>
    </row>
    <row r="6" spans="2:8" ht="15" thickBot="1" x14ac:dyDescent="0.4">
      <c r="B6" s="353"/>
      <c r="C6" s="354"/>
      <c r="D6" s="355"/>
      <c r="E6" s="355"/>
      <c r="F6" s="355"/>
      <c r="G6" s="355"/>
      <c r="H6" s="355"/>
    </row>
    <row r="7" spans="2:8" ht="15" thickBot="1" x14ac:dyDescent="0.4">
      <c r="B7" s="359"/>
      <c r="C7" s="360" t="s">
        <v>2</v>
      </c>
      <c r="D7" s="361" t="s">
        <v>6</v>
      </c>
      <c r="E7" s="361" t="s">
        <v>8</v>
      </c>
      <c r="F7" s="361" t="s">
        <v>12</v>
      </c>
      <c r="G7" s="361" t="s">
        <v>14</v>
      </c>
      <c r="H7" s="361" t="s">
        <v>16</v>
      </c>
    </row>
    <row r="8" spans="2:8" ht="15" thickBot="1" x14ac:dyDescent="0.4">
      <c r="B8" s="362" t="s">
        <v>26</v>
      </c>
      <c r="C8" s="363" t="s">
        <v>21551</v>
      </c>
      <c r="D8" s="365">
        <f>DIV_01Log!C8</f>
        <v>0</v>
      </c>
      <c r="E8" s="365">
        <f>DIV_01Log!D8</f>
        <v>0</v>
      </c>
      <c r="F8" s="365">
        <f>DIV_01Log!E8</f>
        <v>0</v>
      </c>
      <c r="G8" s="365">
        <f>DIV_01Log!F8</f>
        <v>0</v>
      </c>
      <c r="H8" s="365">
        <f>DIV_01Log!G8</f>
        <v>0</v>
      </c>
    </row>
    <row r="9" spans="2:8" ht="15" thickBot="1" x14ac:dyDescent="0.4">
      <c r="B9" s="362" t="s">
        <v>21543</v>
      </c>
      <c r="C9" s="363" t="s">
        <v>21552</v>
      </c>
      <c r="D9" s="365">
        <f>DIV_02Log!C8</f>
        <v>0</v>
      </c>
      <c r="E9" s="365">
        <f>DIV_02Log!D8</f>
        <v>0</v>
      </c>
      <c r="F9" s="365">
        <f>DIV_02Log!E8</f>
        <v>0</v>
      </c>
      <c r="G9" s="365">
        <f>DIV_02Log!F8</f>
        <v>0</v>
      </c>
      <c r="H9" s="365">
        <f>DIV_02Log!G8</f>
        <v>0</v>
      </c>
    </row>
    <row r="10" spans="2:8" ht="15" thickBot="1" x14ac:dyDescent="0.4">
      <c r="B10" s="362" t="s">
        <v>21544</v>
      </c>
      <c r="C10" s="363" t="s">
        <v>21554</v>
      </c>
      <c r="D10" s="364">
        <f>DIV_03Log!C8</f>
        <v>0</v>
      </c>
      <c r="E10" s="364">
        <f>DIV_03Log!D8</f>
        <v>0</v>
      </c>
      <c r="F10" s="364">
        <f>DIV_03Log!E8</f>
        <v>0</v>
      </c>
      <c r="G10" s="364">
        <f>DIV_03Log!F8</f>
        <v>0</v>
      </c>
      <c r="H10" s="364">
        <f>DIV_03Log!G8</f>
        <v>0</v>
      </c>
    </row>
    <row r="11" spans="2:8" ht="15" thickBot="1" x14ac:dyDescent="0.4">
      <c r="B11" s="362" t="s">
        <v>21539</v>
      </c>
      <c r="C11" s="363" t="s">
        <v>21553</v>
      </c>
      <c r="D11" s="364">
        <f>DIV_04Log!C8</f>
        <v>0</v>
      </c>
      <c r="E11" s="364">
        <f>DIV_04Log!D8</f>
        <v>0</v>
      </c>
      <c r="F11" s="364">
        <f>DIV_04Log!E8</f>
        <v>0</v>
      </c>
      <c r="G11" s="364">
        <f>DIV_04Log!F8</f>
        <v>0</v>
      </c>
      <c r="H11" s="364">
        <f>DIV_04Log!G8</f>
        <v>0</v>
      </c>
    </row>
    <row r="12" spans="2:8" ht="15" thickBot="1" x14ac:dyDescent="0.4">
      <c r="B12" s="362" t="s">
        <v>21540</v>
      </c>
      <c r="C12" s="363" t="s">
        <v>21555</v>
      </c>
      <c r="D12" s="364">
        <f>DIV_04Log!C8</f>
        <v>0</v>
      </c>
      <c r="E12" s="364">
        <f>DIV_05Log!D8</f>
        <v>0</v>
      </c>
      <c r="F12" s="364">
        <f>DIV_05Log!E8</f>
        <v>0</v>
      </c>
      <c r="G12" s="364">
        <f>DIV_05Log!F8</f>
        <v>0</v>
      </c>
      <c r="H12" s="364">
        <f>DIV_05Log!G8</f>
        <v>0</v>
      </c>
    </row>
    <row r="13" spans="2:8" ht="15" thickBot="1" x14ac:dyDescent="0.4">
      <c r="B13" s="362" t="s">
        <v>21541</v>
      </c>
      <c r="C13" s="363" t="s">
        <v>21556</v>
      </c>
      <c r="D13" s="364">
        <f>DIV_06Log!C8</f>
        <v>0</v>
      </c>
      <c r="E13" s="364">
        <f>DIV_06Log!D8</f>
        <v>0</v>
      </c>
      <c r="F13" s="364">
        <f>DIV_06Log!E8</f>
        <v>0</v>
      </c>
      <c r="G13" s="364">
        <f>DIV_06Log!F8</f>
        <v>0</v>
      </c>
      <c r="H13" s="364">
        <f>DIV_06Log!G8</f>
        <v>0</v>
      </c>
    </row>
    <row r="14" spans="2:8" ht="15" thickBot="1" x14ac:dyDescent="0.4">
      <c r="B14" s="362" t="s">
        <v>21542</v>
      </c>
      <c r="C14" s="363" t="s">
        <v>21557</v>
      </c>
      <c r="D14" s="364">
        <f>DIV_07Log!C8</f>
        <v>0</v>
      </c>
      <c r="E14" s="364">
        <f>DIV_07Log!D8</f>
        <v>0</v>
      </c>
      <c r="F14" s="364">
        <f>DIV_07Log!E8</f>
        <v>0</v>
      </c>
      <c r="G14" s="364">
        <f>DIV_07Log!F8</f>
        <v>0</v>
      </c>
      <c r="H14" s="364">
        <f>DIV_07Log!G8</f>
        <v>0</v>
      </c>
    </row>
    <row r="15" spans="2:8" ht="15" thickBot="1" x14ac:dyDescent="0.4">
      <c r="B15" s="362" t="s">
        <v>21545</v>
      </c>
      <c r="C15" s="363" t="s">
        <v>21558</v>
      </c>
      <c r="D15" s="364">
        <f>DIV_08Log!C8</f>
        <v>0</v>
      </c>
      <c r="E15" s="364">
        <f>DIV_08Log!D8</f>
        <v>0</v>
      </c>
      <c r="F15" s="364">
        <f>DIV_08Log!E8</f>
        <v>0</v>
      </c>
      <c r="G15" s="364">
        <f>DIV_08Log!F8</f>
        <v>0</v>
      </c>
      <c r="H15" s="364">
        <f>DIV_08Log!G8</f>
        <v>0</v>
      </c>
    </row>
    <row r="16" spans="2:8" ht="15" thickBot="1" x14ac:dyDescent="0.4">
      <c r="B16" s="362" t="s">
        <v>21548</v>
      </c>
      <c r="C16" s="363" t="s">
        <v>47</v>
      </c>
      <c r="D16" s="364">
        <f>DIV_09Log!C8</f>
        <v>0</v>
      </c>
      <c r="E16" s="364">
        <f>DIV_09Log!D8</f>
        <v>0</v>
      </c>
      <c r="F16" s="364">
        <f>DIV_09Log!E8</f>
        <v>0</v>
      </c>
      <c r="G16" s="364">
        <f>DIV_09Log!F8</f>
        <v>0</v>
      </c>
      <c r="H16" s="364">
        <f>DIV_09Log!G8</f>
        <v>0</v>
      </c>
    </row>
    <row r="17" spans="2:8" ht="15" thickBot="1" x14ac:dyDescent="0.4">
      <c r="B17" s="362" t="s">
        <v>21549</v>
      </c>
      <c r="C17" s="363" t="s">
        <v>21559</v>
      </c>
      <c r="D17" s="364">
        <f>DIV_10Log!C8</f>
        <v>0</v>
      </c>
      <c r="E17" s="364">
        <f>DIV_10Log!D8</f>
        <v>0</v>
      </c>
      <c r="F17" s="364">
        <f>DIV_10Log!E8</f>
        <v>0</v>
      </c>
      <c r="G17" s="364">
        <f>DIV_10Log!F8</f>
        <v>0</v>
      </c>
      <c r="H17" s="364">
        <f>DIV_10Log!G8</f>
        <v>0</v>
      </c>
    </row>
    <row r="18" spans="2:8" ht="15" thickBot="1" x14ac:dyDescent="0.4">
      <c r="B18" s="362" t="s">
        <v>21560</v>
      </c>
      <c r="C18" s="363" t="s">
        <v>21422</v>
      </c>
      <c r="D18" s="364">
        <f>DIV_11Log!C8</f>
        <v>0</v>
      </c>
      <c r="E18" s="364">
        <f>DIV_11Log!D8</f>
        <v>0</v>
      </c>
      <c r="F18" s="364">
        <f>DIV_11Log!E8</f>
        <v>0</v>
      </c>
      <c r="G18" s="364">
        <f>DIV_11Log!F8</f>
        <v>0</v>
      </c>
      <c r="H18" s="364">
        <f>DIV_11Log!G8</f>
        <v>0</v>
      </c>
    </row>
    <row r="19" spans="2:8" ht="15" thickBot="1" x14ac:dyDescent="0.4">
      <c r="B19" s="362" t="s">
        <v>21561</v>
      </c>
      <c r="C19" s="363" t="s">
        <v>21562</v>
      </c>
      <c r="D19" s="364">
        <f>DIV_12Log!C8</f>
        <v>0</v>
      </c>
      <c r="E19" s="364">
        <f>DIV_12Log!D8</f>
        <v>0</v>
      </c>
      <c r="F19" s="364">
        <f>DIV_12Log!E8</f>
        <v>0</v>
      </c>
      <c r="G19" s="364">
        <f>DIV_12Log!F8</f>
        <v>0</v>
      </c>
      <c r="H19" s="364">
        <f>DIV_12Log!G8</f>
        <v>0</v>
      </c>
    </row>
    <row r="20" spans="2:8" ht="15" thickBot="1" x14ac:dyDescent="0.4">
      <c r="B20" s="362" t="s">
        <v>21563</v>
      </c>
      <c r="C20" s="363" t="s">
        <v>21564</v>
      </c>
      <c r="D20" s="364">
        <f>DIV_13Log!C8</f>
        <v>0</v>
      </c>
      <c r="E20" s="364">
        <f>DIV_13Log!D8</f>
        <v>0</v>
      </c>
      <c r="F20" s="364">
        <f>DIV_13Log!E8</f>
        <v>0</v>
      </c>
      <c r="G20" s="364">
        <f>DIV_13Log!F8</f>
        <v>0</v>
      </c>
      <c r="H20" s="364">
        <f>DIV_13Log!G8</f>
        <v>0</v>
      </c>
    </row>
    <row r="21" spans="2:8" ht="15" thickBot="1" x14ac:dyDescent="0.4">
      <c r="B21" s="362" t="s">
        <v>21565</v>
      </c>
      <c r="C21" s="363" t="s">
        <v>21566</v>
      </c>
      <c r="D21" s="364">
        <f>DIV_14Log!C8</f>
        <v>0</v>
      </c>
      <c r="E21" s="364">
        <f>DIV_14Log!D8</f>
        <v>0</v>
      </c>
      <c r="F21" s="364">
        <f>DIV_14Log!E8</f>
        <v>0</v>
      </c>
      <c r="G21" s="364">
        <f>DIV_14Log!F8</f>
        <v>0</v>
      </c>
      <c r="H21" s="364">
        <f>DIV_14Log!G8</f>
        <v>0</v>
      </c>
    </row>
    <row r="22" spans="2:8" ht="15" thickBot="1" x14ac:dyDescent="0.4">
      <c r="B22" s="362" t="s">
        <v>21567</v>
      </c>
      <c r="C22" s="363" t="s">
        <v>21568</v>
      </c>
      <c r="D22" s="364"/>
      <c r="E22" s="364"/>
      <c r="F22" s="364"/>
      <c r="G22" s="364"/>
      <c r="H22" s="364"/>
    </row>
    <row r="23" spans="2:8" ht="15" thickBot="1" x14ac:dyDescent="0.4">
      <c r="B23" s="362" t="s">
        <v>21569</v>
      </c>
      <c r="C23" s="363" t="s">
        <v>21570</v>
      </c>
      <c r="D23" s="364"/>
      <c r="E23" s="364"/>
      <c r="F23" s="364"/>
      <c r="G23" s="364"/>
      <c r="H23" s="364"/>
    </row>
    <row r="24" spans="2:8" ht="15" thickBot="1" x14ac:dyDescent="0.4">
      <c r="B24" s="362" t="s">
        <v>21571</v>
      </c>
      <c r="C24" s="363" t="s">
        <v>50</v>
      </c>
      <c r="D24" s="364"/>
      <c r="E24" s="364"/>
      <c r="F24" s="364"/>
      <c r="G24" s="364"/>
      <c r="H24" s="364"/>
    </row>
    <row r="25" spans="2:8" ht="15" thickBot="1" x14ac:dyDescent="0.4">
      <c r="B25" s="362" t="s">
        <v>21572</v>
      </c>
      <c r="C25" s="363" t="s">
        <v>21573</v>
      </c>
      <c r="D25" s="364"/>
      <c r="E25" s="364"/>
      <c r="F25" s="364"/>
      <c r="G25" s="364"/>
      <c r="H25" s="364"/>
    </row>
    <row r="26" spans="2:8" ht="15" thickBot="1" x14ac:dyDescent="0.4">
      <c r="B26" s="362" t="s">
        <v>21574</v>
      </c>
      <c r="C26" s="363" t="s">
        <v>21575</v>
      </c>
      <c r="D26" s="364"/>
      <c r="E26" s="364"/>
      <c r="F26" s="364"/>
      <c r="G26" s="364"/>
      <c r="H26" s="364"/>
    </row>
    <row r="27" spans="2:8" ht="15" thickBot="1" x14ac:dyDescent="0.4">
      <c r="B27" s="362" t="s">
        <v>21576</v>
      </c>
      <c r="C27" s="363" t="s">
        <v>21577</v>
      </c>
      <c r="D27" s="364"/>
      <c r="E27" s="364"/>
      <c r="F27" s="364"/>
      <c r="G27" s="364"/>
      <c r="H27" s="364"/>
    </row>
    <row r="28" spans="2:8" ht="15" thickBot="1" x14ac:dyDescent="0.4">
      <c r="B28" s="362" t="s">
        <v>21578</v>
      </c>
      <c r="C28" s="363" t="s">
        <v>21579</v>
      </c>
      <c r="D28" s="364"/>
      <c r="E28" s="364"/>
      <c r="F28" s="364"/>
      <c r="G28" s="364"/>
      <c r="H28" s="364"/>
    </row>
    <row r="29" spans="2:8" ht="15" thickBot="1" x14ac:dyDescent="0.4">
      <c r="B29" s="381" t="s">
        <v>21580</v>
      </c>
      <c r="C29" s="383" t="s">
        <v>21581</v>
      </c>
      <c r="D29" s="384"/>
      <c r="E29" s="384"/>
      <c r="F29" s="384"/>
      <c r="G29" s="384"/>
      <c r="H29" s="384"/>
    </row>
    <row r="30" spans="2:8" ht="16" thickBot="1" x14ac:dyDescent="0.4">
      <c r="B30" s="367"/>
      <c r="C30" s="380"/>
      <c r="D30" s="368">
        <f>SUBTOTAL(9,D$7:D29)</f>
        <v>0</v>
      </c>
      <c r="E30" s="368">
        <f>SUBTOTAL(9,E$7:E29)</f>
        <v>0</v>
      </c>
      <c r="F30" s="368">
        <f>SUBTOTAL(9,F$7:F29)</f>
        <v>0</v>
      </c>
      <c r="G30" s="368">
        <f>SUBTOTAL(9,G$7:G29)</f>
        <v>0</v>
      </c>
      <c r="H30" s="368">
        <f>SUBTOTAL(9,H$7:H29)</f>
        <v>0</v>
      </c>
    </row>
    <row r="31" spans="2:8" x14ac:dyDescent="0.35">
      <c r="B31" s="382"/>
      <c r="C31" s="370"/>
      <c r="D31" s="370"/>
      <c r="E31" s="370"/>
      <c r="F31" s="370" t="s">
        <v>21582</v>
      </c>
      <c r="G31" s="372"/>
      <c r="H31" s="370">
        <f>$Q$1166*G31</f>
        <v>0</v>
      </c>
    </row>
    <row r="32" spans="2:8" x14ac:dyDescent="0.35">
      <c r="B32" s="382"/>
      <c r="C32" s="370"/>
      <c r="D32" s="370"/>
      <c r="E32" s="370"/>
      <c r="F32" s="370" t="s">
        <v>56</v>
      </c>
      <c r="G32" s="371" t="str">
        <f>IFERROR(H32/$Q$1166,"")</f>
        <v/>
      </c>
      <c r="H32" s="370"/>
    </row>
    <row r="33" spans="2:8" ht="15" thickBot="1" x14ac:dyDescent="0.4">
      <c r="B33" s="382"/>
      <c r="C33" s="370"/>
      <c r="D33" s="370"/>
      <c r="E33" s="370"/>
      <c r="F33" s="370" t="s">
        <v>21583</v>
      </c>
      <c r="G33" s="372">
        <v>0.15</v>
      </c>
      <c r="H33" s="370"/>
    </row>
    <row r="34" spans="2:8" ht="16" thickBot="1" x14ac:dyDescent="0.4">
      <c r="B34" s="367"/>
      <c r="C34" s="373"/>
      <c r="D34" s="373"/>
      <c r="E34" s="373"/>
      <c r="F34" s="373" t="s">
        <v>17</v>
      </c>
      <c r="G34" s="369"/>
      <c r="H34" s="368">
        <f>SUBTOTAL(9,H$7:H33)</f>
        <v>0</v>
      </c>
    </row>
    <row r="35" spans="2:8" x14ac:dyDescent="0.35">
      <c r="B35" s="382"/>
      <c r="C35" s="370"/>
      <c r="D35" s="370"/>
      <c r="E35" s="370"/>
      <c r="F35" s="370" t="s">
        <v>21584</v>
      </c>
      <c r="G35" s="366"/>
      <c r="H35" s="370"/>
    </row>
    <row r="36" spans="2:8" x14ac:dyDescent="0.35">
      <c r="B36" s="382"/>
      <c r="C36" s="370"/>
      <c r="D36" s="370"/>
      <c r="E36" s="370"/>
      <c r="F36" s="370" t="s">
        <v>21585</v>
      </c>
      <c r="G36" s="366"/>
      <c r="H36" s="370"/>
    </row>
    <row r="37" spans="2:8" x14ac:dyDescent="0.35">
      <c r="B37" s="382"/>
      <c r="C37" s="370"/>
      <c r="D37" s="370"/>
      <c r="E37" s="370"/>
      <c r="F37" s="370" t="s">
        <v>21586</v>
      </c>
      <c r="G37" s="366"/>
      <c r="H37" s="370"/>
    </row>
    <row r="38" spans="2:8" x14ac:dyDescent="0.35">
      <c r="B38" s="382"/>
      <c r="C38" s="370"/>
      <c r="D38" s="370"/>
      <c r="E38" s="370"/>
      <c r="F38" s="370" t="s">
        <v>21587</v>
      </c>
      <c r="G38" s="366"/>
      <c r="H38" s="370"/>
    </row>
    <row r="39" spans="2:8" x14ac:dyDescent="0.35">
      <c r="B39" s="382"/>
      <c r="C39" s="370"/>
      <c r="D39" s="370"/>
      <c r="E39" s="370"/>
      <c r="F39" s="370" t="s">
        <v>21588</v>
      </c>
      <c r="G39" s="366"/>
      <c r="H39" s="370"/>
    </row>
    <row r="40" spans="2:8" x14ac:dyDescent="0.35">
      <c r="B40" s="382"/>
      <c r="C40" s="370"/>
      <c r="D40" s="370"/>
      <c r="E40" s="370"/>
      <c r="F40" s="370" t="s">
        <v>21589</v>
      </c>
      <c r="G40" s="366"/>
      <c r="H40" s="370"/>
    </row>
    <row r="41" spans="2:8" ht="15" thickBot="1" x14ac:dyDescent="0.4">
      <c r="B41" s="382"/>
      <c r="C41" s="370"/>
      <c r="D41" s="370"/>
      <c r="E41" s="370"/>
      <c r="F41" s="370" t="s">
        <v>21590</v>
      </c>
      <c r="G41" s="366"/>
      <c r="H41" s="370"/>
    </row>
    <row r="42" spans="2:8" ht="20.5" thickBot="1" x14ac:dyDescent="0.45">
      <c r="B42" s="385"/>
      <c r="C42" s="374"/>
      <c r="D42" s="374"/>
      <c r="E42" s="374"/>
      <c r="F42" s="374" t="s">
        <v>21591</v>
      </c>
      <c r="G42" s="375"/>
      <c r="H42" s="376">
        <f>SUBTOTAL(9,H$7:H41)</f>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5425" r:id="rId3" name="Button 1">
              <controlPr defaultSize="0" print="0" autoFill="0" autoPict="0" macro="[0]!Dashboard">
                <anchor moveWithCells="1" sizeWithCells="1">
                  <from>
                    <xdr:col>8</xdr:col>
                    <xdr:colOff>6350</xdr:colOff>
                    <xdr:row>4</xdr:row>
                    <xdr:rowOff>6350</xdr:rowOff>
                  </from>
                  <to>
                    <xdr:col>10</xdr:col>
                    <xdr:colOff>57150</xdr:colOff>
                    <xdr:row>6</xdr:row>
                    <xdr:rowOff>12700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0B23E-4591-4FB6-B9D1-A8C6FA7003F8}">
  <sheetPr codeName="Sheet105"/>
  <dimension ref="A1:Q206"/>
  <sheetViews>
    <sheetView zoomScale="75" zoomScaleNormal="75" workbookViewId="0">
      <selection activeCell="P13" sqref="P13"/>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f>C10</f>
        <v>0</v>
      </c>
      <c r="J2" s="59"/>
      <c r="K2" s="59"/>
      <c r="L2" s="1"/>
      <c r="M2" s="59"/>
      <c r="N2" s="59"/>
      <c r="O2" s="60"/>
      <c r="P2" s="57"/>
      <c r="Q2" s="57"/>
    </row>
    <row r="3" spans="1:17" ht="15" thickBot="1" x14ac:dyDescent="0.4">
      <c r="A3" s="446" t="s">
        <v>26</v>
      </c>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7"/>
      <c r="Q3" s="8"/>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40"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f>B208</f>
        <v>0</v>
      </c>
      <c r="C10" s="24">
        <f>C208</f>
        <v>0</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f>C10</f>
        <v>0</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21402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21432</v>
      </c>
      <c r="C206" s="106" t="s">
        <v>21400</v>
      </c>
      <c r="D206" s="1"/>
      <c r="E206" s="1"/>
      <c r="F206" s="1"/>
      <c r="G206" s="1"/>
      <c r="H206" s="1"/>
      <c r="I206" s="1"/>
      <c r="J206" s="1"/>
      <c r="K206" s="1"/>
      <c r="L206" s="1"/>
      <c r="M206" s="1"/>
      <c r="N206" s="1"/>
      <c r="O206" s="1"/>
      <c r="P206" s="1"/>
      <c r="Q206" s="1"/>
    </row>
  </sheetData>
  <mergeCells count="8">
    <mergeCell ref="J6:K6"/>
    <mergeCell ref="J7:K7"/>
    <mergeCell ref="A3:B3"/>
    <mergeCell ref="D3:G3"/>
    <mergeCell ref="J3:K3"/>
    <mergeCell ref="A4:B4"/>
    <mergeCell ref="J4:K4"/>
    <mergeCell ref="J5:K5"/>
  </mergeCells>
  <dataValidations count="1">
    <dataValidation type="list" allowBlank="1" showInputMessage="1" showErrorMessage="1" sqref="C16:C190" xr:uid="{BFB4294F-A799-46F7-BA3E-6C419961A0F5}">
      <formula1>$C$205:$C207</formula1>
    </dataValidation>
  </dataValidations>
  <hyperlinks>
    <hyperlink ref="D3" r:id="rId1" display="datamateapp@gmail.com" xr:uid="{D4C16FCF-BFC7-4C7F-8A63-B2DA8CBDA0AF}"/>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anchor moveWithCells="1" sizeWithCells="1">
                  <from>
                    <xdr:col>17</xdr:col>
                    <xdr:colOff>0</xdr:colOff>
                    <xdr:row>0</xdr:row>
                    <xdr:rowOff>0</xdr:rowOff>
                  </from>
                  <to>
                    <xdr:col>19</xdr:col>
                    <xdr:colOff>50800</xdr:colOff>
                    <xdr:row>2</xdr:row>
                    <xdr:rowOff>19050</xdr:rowOff>
                  </to>
                </anchor>
              </controlPr>
            </control>
          </mc:Choice>
        </mc:AlternateContent>
        <mc:AlternateContent xmlns:mc="http://schemas.openxmlformats.org/markup-compatibility/2006">
          <mc:Choice Requires="x14">
            <control shapeId="456706" r:id="rId5" name="Button 2">
              <controlPr defaultSize="0" print="0" autoFill="0" autoPict="0" macro="[0]!ClearContentsAndDropdowns">
                <anchor moveWithCells="1" sizeWithCells="1">
                  <from>
                    <xdr:col>17</xdr:col>
                    <xdr:colOff>0</xdr:colOff>
                    <xdr:row>2</xdr:row>
                    <xdr:rowOff>184150</xdr:rowOff>
                  </from>
                  <to>
                    <xdr:col>19</xdr:col>
                    <xdr:colOff>50800</xdr:colOff>
                    <xdr:row>5</xdr:row>
                    <xdr:rowOff>25400</xdr:rowOff>
                  </to>
                </anchor>
              </controlPr>
            </control>
          </mc:Choice>
        </mc:AlternateContent>
        <mc:AlternateContent xmlns:mc="http://schemas.openxmlformats.org/markup-compatibility/2006">
          <mc:Choice Requires="x14">
            <control shapeId="456707"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63500</xdr:rowOff>
                  </to>
                </anchor>
              </controlPr>
            </control>
          </mc:Choice>
        </mc:AlternateContent>
        <mc:AlternateContent xmlns:mc="http://schemas.openxmlformats.org/markup-compatibility/2006">
          <mc:Choice Requires="x14">
            <control shapeId="456708"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76200</xdr:rowOff>
                  </to>
                </anchor>
              </controlPr>
            </control>
          </mc:Choice>
        </mc:AlternateContent>
        <mc:AlternateContent xmlns:mc="http://schemas.openxmlformats.org/markup-compatibility/2006">
          <mc:Choice Requires="x14">
            <control shapeId="456709" r:id="rId8" name="Button 5">
              <controlPr defaultSize="0" print="0" autoFill="0" autoPict="0" macro="[0]!Dashboard">
                <anchor moveWithCells="1" sizeWithCells="1">
                  <from>
                    <xdr:col>17</xdr:col>
                    <xdr:colOff>0</xdr:colOff>
                    <xdr:row>11</xdr:row>
                    <xdr:rowOff>12700</xdr:rowOff>
                  </from>
                  <to>
                    <xdr:col>19</xdr:col>
                    <xdr:colOff>50800</xdr:colOff>
                    <xdr:row>13</xdr:row>
                    <xdr:rowOff>31750</xdr:rowOff>
                  </to>
                </anchor>
              </controlPr>
            </control>
          </mc:Choice>
        </mc:AlternateContent>
        <mc:AlternateContent xmlns:mc="http://schemas.openxmlformats.org/markup-compatibility/2006">
          <mc:Choice Requires="x14">
            <control shapeId="456710" r:id="rId9" name="Button 6">
              <controlPr defaultSize="0" print="0" autoFill="0" autoPict="0" macro="[0]!ViewLog">
                <anchor moveWithCells="1" sizeWithCells="1">
                  <from>
                    <xdr:col>17</xdr:col>
                    <xdr:colOff>0</xdr:colOff>
                    <xdr:row>14</xdr:row>
                    <xdr:rowOff>12700</xdr:rowOff>
                  </from>
                  <to>
                    <xdr:col>19</xdr:col>
                    <xdr:colOff>50800</xdr:colOff>
                    <xdr:row>16</xdr:row>
                    <xdr:rowOff>31750</xdr:rowOff>
                  </to>
                </anchor>
              </controlPr>
            </control>
          </mc:Choice>
        </mc:AlternateContent>
        <mc:AlternateContent xmlns:mc="http://schemas.openxmlformats.org/markup-compatibility/2006">
          <mc:Choice Requires="x14">
            <control shapeId="456711" r:id="rId10" name="Button 7">
              <controlPr defaultSize="0" print="0" autoFill="0" autoPict="0" macro="[0]!ViewView_Print">
                <anchor moveWithCells="1" sizeWithCells="1">
                  <from>
                    <xdr:col>17</xdr:col>
                    <xdr:colOff>0</xdr:colOff>
                    <xdr:row>17</xdr:row>
                    <xdr:rowOff>19050</xdr:rowOff>
                  </from>
                  <to>
                    <xdr:col>19</xdr:col>
                    <xdr:colOff>50800</xdr:colOff>
                    <xdr:row>19</xdr:row>
                    <xdr:rowOff>38100</xdr:rowOff>
                  </to>
                </anchor>
              </controlPr>
            </control>
          </mc:Choice>
        </mc:AlternateContent>
        <mc:AlternateContent xmlns:mc="http://schemas.openxmlformats.org/markup-compatibility/2006">
          <mc:Choice Requires="x14">
            <control shapeId="456712" r:id="rId11" name="Button 8">
              <controlPr defaultSize="0" print="0" autoFill="0" autoPict="0" macro="[0]!OpenDataMateAppPage">
                <anchor moveWithCells="1" sizeWithCells="1">
                  <from>
                    <xdr:col>17</xdr:col>
                    <xdr:colOff>0</xdr:colOff>
                    <xdr:row>20</xdr:row>
                    <xdr:rowOff>25400</xdr:rowOff>
                  </from>
                  <to>
                    <xdr:col>19</xdr:col>
                    <xdr:colOff>50800</xdr:colOff>
                    <xdr:row>22</xdr:row>
                    <xdr:rowOff>44450</xdr:rowOff>
                  </to>
                </anchor>
              </controlPr>
            </control>
          </mc:Choice>
        </mc:AlternateContent>
        <mc:AlternateContent xmlns:mc="http://schemas.openxmlformats.org/markup-compatibility/2006">
          <mc:Choice Requires="x14">
            <control shapeId="456713" r:id="rId12" name="Button 9">
              <controlPr defaultSize="0" print="0" autoFill="0" autoPict="0">
                <anchor moveWithCells="1" sizeWithCells="1">
                  <from>
                    <xdr:col>17</xdr:col>
                    <xdr:colOff>0</xdr:colOff>
                    <xdr:row>0</xdr:row>
                    <xdr:rowOff>152400</xdr:rowOff>
                  </from>
                  <to>
                    <xdr:col>19</xdr:col>
                    <xdr:colOff>50800</xdr:colOff>
                    <xdr:row>2</xdr:row>
                    <xdr:rowOff>171450</xdr:rowOff>
                  </to>
                </anchor>
              </controlPr>
            </control>
          </mc:Choice>
        </mc:AlternateContent>
        <mc:AlternateContent xmlns:mc="http://schemas.openxmlformats.org/markup-compatibility/2006">
          <mc:Choice Requires="x14">
            <control shapeId="456714" r:id="rId13" name="Button 10">
              <controlPr defaultSize="0" print="0" autoFill="0" autoPict="0">
                <anchor moveWithCells="1" sizeWithCells="1">
                  <from>
                    <xdr:col>17</xdr:col>
                    <xdr:colOff>0</xdr:colOff>
                    <xdr:row>0</xdr:row>
                    <xdr:rowOff>0</xdr:rowOff>
                  </from>
                  <to>
                    <xdr:col>19</xdr:col>
                    <xdr:colOff>50800</xdr:colOff>
                    <xdr:row>2</xdr:row>
                    <xdr:rowOff>19050</xdr:rowOff>
                  </to>
                </anchor>
              </controlPr>
            </control>
          </mc:Choice>
        </mc:AlternateContent>
        <mc:AlternateContent xmlns:mc="http://schemas.openxmlformats.org/markup-compatibility/2006">
          <mc:Choice Requires="x14">
            <control shapeId="456715" r:id="rId14" name="Button 11">
              <controlPr defaultSize="0" print="0" autoFill="0" autoPict="0" macro="[0]!ClearContentsAndDropdowns">
                <anchor moveWithCells="1" sizeWithCells="1">
                  <from>
                    <xdr:col>17</xdr:col>
                    <xdr:colOff>0</xdr:colOff>
                    <xdr:row>2</xdr:row>
                    <xdr:rowOff>184150</xdr:rowOff>
                  </from>
                  <to>
                    <xdr:col>19</xdr:col>
                    <xdr:colOff>50800</xdr:colOff>
                    <xdr:row>5</xdr:row>
                    <xdr:rowOff>25400</xdr:rowOff>
                  </to>
                </anchor>
              </controlPr>
            </control>
          </mc:Choice>
        </mc:AlternateContent>
        <mc:AlternateContent xmlns:mc="http://schemas.openxmlformats.org/markup-compatibility/2006">
          <mc:Choice Requires="x14">
            <control shapeId="456716" r:id="rId15" name="Button 12">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63500</xdr:rowOff>
                  </to>
                </anchor>
              </controlPr>
            </control>
          </mc:Choice>
        </mc:AlternateContent>
        <mc:AlternateContent xmlns:mc="http://schemas.openxmlformats.org/markup-compatibility/2006">
          <mc:Choice Requires="x14">
            <control shapeId="456717" r:id="rId16" name="Button 13">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76200</xdr:rowOff>
                  </to>
                </anchor>
              </controlPr>
            </control>
          </mc:Choice>
        </mc:AlternateContent>
        <mc:AlternateContent xmlns:mc="http://schemas.openxmlformats.org/markup-compatibility/2006">
          <mc:Choice Requires="x14">
            <control shapeId="456718" r:id="rId17" name="Button 14">
              <controlPr defaultSize="0" print="0" autoFill="0" autoPict="0" macro="[0]!Dashboard">
                <anchor moveWithCells="1" sizeWithCells="1">
                  <from>
                    <xdr:col>17</xdr:col>
                    <xdr:colOff>0</xdr:colOff>
                    <xdr:row>11</xdr:row>
                    <xdr:rowOff>12700</xdr:rowOff>
                  </from>
                  <to>
                    <xdr:col>19</xdr:col>
                    <xdr:colOff>50800</xdr:colOff>
                    <xdr:row>13</xdr:row>
                    <xdr:rowOff>31750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BF079-8D80-4E02-A8ED-EAE62FE536E6}">
  <sheetPr codeName="Sheet21"/>
  <dimension ref="A1:Q200"/>
  <sheetViews>
    <sheetView showZeros="0" zoomScale="75" zoomScaleNormal="75" workbookViewId="0">
      <selection activeCell="B2" sqref="B2:L2"/>
    </sheetView>
  </sheetViews>
  <sheetFormatPr defaultRowHeight="14.5" x14ac:dyDescent="0.35"/>
  <cols>
    <col min="1" max="1" width="4.54296875" style="1" customWidth="1"/>
    <col min="2" max="2" width="14" style="1" customWidth="1"/>
    <col min="3" max="3" width="77.1796875" style="1" bestFit="1" customWidth="1"/>
    <col min="4" max="4" width="10.7265625" style="1" customWidth="1"/>
    <col min="5" max="5" width="10.1796875" style="1" customWidth="1"/>
    <col min="6" max="6" width="13.26953125" style="1" customWidth="1"/>
    <col min="7" max="7" width="15.1796875" style="1" customWidth="1"/>
    <col min="8" max="8" width="13.26953125" style="1" customWidth="1"/>
    <col min="9" max="9" width="12.7265625" style="1" customWidth="1"/>
    <col min="10" max="10" width="12.26953125" style="1" customWidth="1"/>
    <col min="11" max="11" width="9" style="1" customWidth="1"/>
    <col min="12" max="12" width="13.26953125" style="1" customWidth="1"/>
    <col min="13" max="13" width="12.7265625" style="1" customWidth="1"/>
    <col min="14" max="14" width="13.26953125" style="1" customWidth="1"/>
    <col min="15" max="15" width="12.7265625" style="1" customWidth="1"/>
    <col min="16" max="16" width="13.26953125" style="1" customWidth="1"/>
    <col min="17" max="17" width="21.26953125" style="1" customWidth="1"/>
    <col min="18" max="16384" width="8.7265625" style="1"/>
  </cols>
  <sheetData>
    <row r="1" spans="1:17" x14ac:dyDescent="0.35">
      <c r="A1" s="57" t="str">
        <f>DIV_01View_Print!B2</f>
        <v xml:space="preserve">Entire building- 1- 274653- 46538- 6000- 29647- 82185- 45602- ADMINISTRATIVE REQUIREMENTS- - - </v>
      </c>
      <c r="B1" s="57"/>
      <c r="C1" s="57"/>
      <c r="D1" s="57"/>
      <c r="E1" s="57"/>
      <c r="F1" s="57"/>
      <c r="G1" s="57"/>
      <c r="H1" s="57"/>
      <c r="I1" s="57"/>
      <c r="J1" s="57"/>
      <c r="K1" s="57"/>
      <c r="L1" s="57"/>
      <c r="M1" s="57" t="e">
        <f>#REF!</f>
        <v>#REF!</v>
      </c>
      <c r="N1" s="57" t="e">
        <f>#REF!</f>
        <v>#REF!</v>
      </c>
      <c r="O1" s="57" t="e">
        <f>#REF!</f>
        <v>#REF!</v>
      </c>
      <c r="P1" s="57"/>
      <c r="Q1" s="57"/>
    </row>
    <row r="2" spans="1:17" x14ac:dyDescent="0.35">
      <c r="A2" s="57"/>
      <c r="B2" s="436" t="s">
        <v>21596</v>
      </c>
      <c r="C2" s="436"/>
      <c r="D2" s="436"/>
      <c r="E2" s="436"/>
      <c r="F2" s="436"/>
      <c r="G2" s="436"/>
      <c r="H2" s="436"/>
      <c r="I2" s="436"/>
      <c r="J2" s="436"/>
      <c r="K2" s="436"/>
      <c r="L2" s="436"/>
      <c r="P2" s="57"/>
      <c r="Q2" s="57"/>
    </row>
    <row r="3" spans="1:17" ht="15" thickBot="1" x14ac:dyDescent="0.4">
      <c r="A3" s="453" t="e">
        <f>VLOOKUP(A1,DIV_01Data!$A$1:$DZU$999999,36,FALSE)</f>
        <v>#N/A</v>
      </c>
      <c r="B3" s="425"/>
      <c r="C3" s="255" t="e">
        <f>VLOOKUP(A1,DIV_01Data!$A$1:$DZU$999999,38,FALSE)</f>
        <v>#N/A</v>
      </c>
      <c r="D3" s="447" t="e">
        <f>VLOOKUP(A1,DIV_01Data!$A$1:$DZU$999999,39,FALSE)</f>
        <v>#N/A</v>
      </c>
      <c r="E3" s="448"/>
      <c r="F3" s="448"/>
      <c r="G3" s="448"/>
      <c r="H3" s="111" t="e">
        <f>VLOOKUP(A1,DIV_01Data!$A$1:$DZU$999999,43,FALSE)</f>
        <v>#N/A</v>
      </c>
      <c r="I3" s="111" t="e">
        <f>VLOOKUP(A1,DIV_01Data!$A$1:$DZU$999999,44,FALSE)</f>
        <v>#N/A</v>
      </c>
      <c r="J3" s="449" t="e">
        <f>VLOOKUP(A1,DIV_01Data!$A$1:$DZU$999999,45,FALSE)</f>
        <v>#N/A</v>
      </c>
      <c r="K3" s="450"/>
      <c r="L3" s="100" t="e">
        <f>VLOOKUP(A1,DIV_01Data!$A$1:$DZU$999999,47,FALSE)</f>
        <v>#N/A</v>
      </c>
      <c r="M3" s="104" t="e">
        <f>VLOOKUP(A1,DIV_01Data!$A$1:$DZU$999999,48,FALSE)</f>
        <v>#N/A</v>
      </c>
      <c r="N3" s="111" t="e">
        <f>VLOOKUP(A1,DIV_01Data!$A$1:$DZU$999999,49,FALSE)</f>
        <v>#N/A</v>
      </c>
      <c r="O3" s="104" t="e">
        <f>VLOOKUP(A1,DIV_01Data!$A$1:$DZU$999999,50,FALSE)</f>
        <v>#N/A</v>
      </c>
      <c r="P3" s="256" t="e">
        <f>VLOOKUP(A1,DIV_01Data!$A$1:$DZU$999999,51,FALSE)</f>
        <v>#N/A</v>
      </c>
      <c r="Q3" s="257" t="e">
        <f>VLOOKUP(A1,DIV_01Data!$A$1:$DZU$999999,52,FALSE)</f>
        <v>#N/A</v>
      </c>
    </row>
    <row r="4" spans="1:17" ht="15" thickBot="1" x14ac:dyDescent="0.4">
      <c r="A4" s="454" t="e">
        <f>VLOOKUP(A1,DIV_01Data!$A$1:$DZU$999999,53,FALSE)</f>
        <v>#N/A</v>
      </c>
      <c r="B4" s="452"/>
      <c r="C4" s="79" t="e">
        <f>VLOOKUP(A1,DIV_01Data!$A$1:$DZU$999999,55,FALSE)</f>
        <v>#N/A</v>
      </c>
      <c r="D4" s="6" t="e">
        <f>VLOOKUP(A1,DIV_01Data!$A$1:$DZU$999999,56,FALSE)</f>
        <v>#N/A</v>
      </c>
      <c r="E4" s="5" t="e">
        <f>VLOOKUP(A1,DIV_01Data!$A$1:$DZU$999999,57,FALSE)</f>
        <v>#N/A</v>
      </c>
      <c r="F4" s="61" t="e">
        <f>VLOOKUP(A1,DIV_01Data!$A$1:$DZU$999999,58,FALSE)</f>
        <v>#N/A</v>
      </c>
      <c r="G4" s="8" t="e">
        <f>VLOOKUP(A1,DIV_01Data!$A$1:$DZU$999999,59,FALSE)</f>
        <v>#N/A</v>
      </c>
      <c r="H4" s="6" t="e">
        <f>VLOOKUP(A1,DIV_01Data!$A$1:$DZU$999999,60,FALSE)</f>
        <v>#N/A</v>
      </c>
      <c r="I4" s="6" t="e">
        <f>VLOOKUP(A1,DIV_01Data!$A$1:$DZU$999999,61,FALSE)</f>
        <v>#N/A</v>
      </c>
      <c r="J4" s="443" t="e">
        <f>VLOOKUP(A1,DIV_01Data!$A$1:$DZU$999999,62,FALSE)</f>
        <v>#N/A</v>
      </c>
      <c r="K4" s="444"/>
      <c r="L4" s="102" t="e">
        <f>VLOOKUP(A1,DIV_01Data!$A$1:$DZU$999999,64,FALSE)</f>
        <v>#N/A</v>
      </c>
      <c r="M4" s="9" t="e">
        <f>VLOOKUP(A1,DIV_01Data!$A$1:$DZU$999999,65,FALSE)</f>
        <v>#N/A</v>
      </c>
      <c r="N4" s="31" t="e">
        <f>VLOOKUP(A1,DIV_01Data!$A$1:$DZU$999999,66,FALSE)</f>
        <v>#N/A</v>
      </c>
      <c r="O4" s="98" t="e">
        <f>VLOOKUP(A1,DIV_01Data!$A$1:$DZU$999999,67,FALSE)</f>
        <v>#N/A</v>
      </c>
      <c r="P4" s="7" t="e">
        <f>VLOOKUP(A1,DIV_01Data!$A$1:$DZU$999999,68,FALSE)</f>
        <v>#N/A</v>
      </c>
      <c r="Q4" s="258" t="e">
        <f>VLOOKUP(A1,DIV_01Data!$A$1:$DZU$999999,69,FALSE)</f>
        <v>#N/A</v>
      </c>
    </row>
    <row r="5" spans="1:17" ht="15" thickBot="1" x14ac:dyDescent="0.4">
      <c r="A5" s="259" t="e">
        <f>VLOOKUP(A1,DIV_01Data!$A$1:$DZU$999999,70,FALSE)</f>
        <v>#N/A</v>
      </c>
      <c r="B5" s="4" t="e">
        <f>VLOOKUP(A1,DIV_01Data!$A$1:$DZU$999999,71,FALSE)</f>
        <v>#N/A</v>
      </c>
      <c r="C5" s="5" t="e">
        <f>VLOOKUP(A1,DIV_01Data!$A$1:$DZU$999999,72,FALSE)</f>
        <v>#N/A</v>
      </c>
      <c r="D5" s="6" t="e">
        <f>VLOOKUP(A1,DIV_01Data!$A$1:$DZU$999999,73,FALSE)</f>
        <v>#N/A</v>
      </c>
      <c r="E5" s="7" t="e">
        <f>VLOOKUP(A1,DIV_01Data!$A$1:$DZU$999999,74,FALSE)</f>
        <v>#N/A</v>
      </c>
      <c r="F5" s="6" t="e">
        <f>VLOOKUP(A1,DIV_01Data!$A$1:$DZU$999999,75,FALSE)</f>
        <v>#N/A</v>
      </c>
      <c r="G5" s="8" t="e">
        <f>VLOOKUP(A1,DIV_01Data!$A$1:$DZU$999999,76,FALSE)</f>
        <v>#N/A</v>
      </c>
      <c r="H5" s="6" t="e">
        <f>VLOOKUP(A1,DIV_01Data!$A$1:$DZU$999999,77,FALSE)</f>
        <v>#N/A</v>
      </c>
      <c r="I5" s="6" t="e">
        <f>VLOOKUP(A1,DIV_01Data!$A$1:$DZU$999999,78,FALSE)</f>
        <v>#N/A</v>
      </c>
      <c r="J5" s="443" t="e">
        <f>VLOOKUP(A1,DIV_01Data!$A$1:$DZU$999999,79,FALSE)</f>
        <v>#N/A</v>
      </c>
      <c r="K5" s="444"/>
      <c r="L5" s="11" t="e">
        <f>VLOOKUP(A1,DIV_01Data!$A$1:$DZU$999999,81,FALSE)</f>
        <v>#N/A</v>
      </c>
      <c r="M5" s="91" t="e">
        <f>VLOOKUP(A1,DIV_01Data!$A$1:$DZU$999999,82,FALSE)</f>
        <v>#N/A</v>
      </c>
      <c r="N5" s="31" t="e">
        <f>VLOOKUP(A1,DIV_01Data!$A$1:$DZU$999999,83,FALSE)</f>
        <v>#N/A</v>
      </c>
      <c r="O5" s="96" t="e">
        <f>VLOOKUP(A1,DIV_01Data!$A$1:$DZU$999999,84,FALSE)</f>
        <v>#N/A</v>
      </c>
      <c r="P5" s="86" t="e">
        <f>VLOOKUP(A1,DIV_01Data!$A$1:$DZU$999999,85,FALSE)</f>
        <v>#N/A</v>
      </c>
      <c r="Q5" s="260" t="e">
        <f>VLOOKUP(A1,DIV_01Data!$A$1:$DZU$999999,86,FALSE)</f>
        <v>#N/A</v>
      </c>
    </row>
    <row r="6" spans="1:17" ht="15" thickBot="1" x14ac:dyDescent="0.4">
      <c r="A6" s="259" t="e">
        <f>VLOOKUP(A1,DIV_01Data!$A$1:$DZU$999999,87,FALSE)</f>
        <v>#N/A</v>
      </c>
      <c r="B6" s="4" t="e">
        <f>VLOOKUP(A1,DIV_01Data!$A$1:$DZU$999999,88,FALSE)</f>
        <v>#N/A</v>
      </c>
      <c r="C6" s="5" t="e">
        <f>VLOOKUP(A1,DIV_01Data!$A$1:$DZU$999999,89,FALSE)</f>
        <v>#N/A</v>
      </c>
      <c r="D6" s="6" t="e">
        <f>VLOOKUP(A1,DIV_01Data!$A$1:$DZU$999999,90,FALSE)</f>
        <v>#N/A</v>
      </c>
      <c r="E6" s="7" t="e">
        <f>VLOOKUP(A1,DIV_01Data!$A$1:$DZU$999999,91,FALSE)</f>
        <v>#N/A</v>
      </c>
      <c r="F6" s="6" t="e">
        <f>VLOOKUP(A1,DIV_01Data!$A$1:$DZU$999999,92,FALSE)</f>
        <v>#N/A</v>
      </c>
      <c r="G6" s="10" t="e">
        <f>VLOOKUP(A1,DIV_01Data!$A$1:$DZU$999999,93,FALSE)</f>
        <v>#N/A</v>
      </c>
      <c r="H6" s="12" t="e">
        <f>VLOOKUP(A1,DIV_01Data!$A$1:$DZU$999999,94,FALSE)</f>
        <v>#N/A</v>
      </c>
      <c r="I6" s="13" t="e">
        <f>VLOOKUP(A1,DIV_01Data!$A$1:$DZU$999999,95,FALSE)</f>
        <v>#N/A</v>
      </c>
      <c r="J6" s="445" t="e">
        <f>VLOOKUP(A1,DIV_01Data!$A$1:$DZU$999999,96,FALSE)</f>
        <v>#N/A</v>
      </c>
      <c r="K6" s="444"/>
      <c r="L6" s="11" t="e">
        <f>VLOOKUP(A1,DIV_01Data!$A$1:$DZU$999999,98,FALSE)</f>
        <v>#N/A</v>
      </c>
      <c r="M6" s="9" t="e">
        <f>VLOOKUP(A1,DIV_01Data!$A$1:$DZU$999999,99,FALSE)</f>
        <v>#N/A</v>
      </c>
      <c r="N6" s="31" t="e">
        <f>VLOOKUP(A1,DIV_01Data!$A$1:$DZU$999999,100,FALSE)</f>
        <v>#N/A</v>
      </c>
      <c r="O6" s="97" t="e">
        <f>VLOOKUP(A1,DIV_01Data!$A$1:$DZU$999999,101,FALSE)</f>
        <v>#N/A</v>
      </c>
      <c r="P6" s="7" t="e">
        <f>VLOOKUP(A1,DIV_01Data!$A$1:$DZU$999999,102,FALSE)</f>
        <v>#N/A</v>
      </c>
      <c r="Q6" s="260" t="e">
        <f>VLOOKUP(A1,DIV_01Data!$A$1:$DZU$999999,103,FALSE)</f>
        <v>#N/A</v>
      </c>
    </row>
    <row r="7" spans="1:17" x14ac:dyDescent="0.35">
      <c r="A7" s="259" t="e">
        <f>VLOOKUP(A1,DIV_01Data!$A$1:$DZU$999999,104,FALSE)</f>
        <v>#N/A</v>
      </c>
      <c r="B7" s="4" t="e">
        <f>VLOOKUP(A1,DIV_01Data!$A$1:$DZU$999999,105,FALSE)</f>
        <v>#N/A</v>
      </c>
      <c r="C7" s="84" t="e">
        <f>VLOOKUP(A1,DIV_01Data!$A$1:$DZU$999999,106,FALSE)</f>
        <v>#N/A</v>
      </c>
      <c r="D7" s="6" t="e">
        <f>VLOOKUP(A1,DIV_01Data!$A$1:$DZU$999999,107,FALSE)</f>
        <v>#N/A</v>
      </c>
      <c r="E7" s="7" t="e">
        <f>VLOOKUP(A1,DIV_01Data!$A$1:$DZU$999999,108,FALSE)</f>
        <v>#N/A</v>
      </c>
      <c r="F7" s="6" t="e">
        <f>VLOOKUP(A1,DIV_01Data!$A$1:$DZU$999999,109,FALSE)</f>
        <v>#N/A</v>
      </c>
      <c r="G7" s="7" t="e">
        <f>VLOOKUP(A1,DIV_01Data!$A$1:$DZU$999999,110,FALSE)</f>
        <v>#N/A</v>
      </c>
      <c r="H7" s="14" t="e">
        <f>VLOOKUP(A1,DIV_01Data!$A$1:$DZU$999999,111,FALSE)</f>
        <v>#N/A</v>
      </c>
      <c r="I7" s="6" t="e">
        <f>VLOOKUP(A1,DIV_01Data!$A$1:$DZU$999999,112,FALSE)</f>
        <v>#N/A</v>
      </c>
      <c r="J7" s="443" t="e">
        <f>VLOOKUP(A1,DIV_01Data!$A$1:$DZU$999999,113,FALSE)</f>
        <v>#N/A</v>
      </c>
      <c r="K7" s="444"/>
      <c r="L7" s="11" t="e">
        <f>VLOOKUP(A1,DIV_01Data!$A$1:$DZU$999999,115,FALSE)</f>
        <v>#N/A</v>
      </c>
      <c r="M7" s="6" t="e">
        <f>VLOOKUP(A1,DIV_01Data!$A$1:$DZU$999999,116,FALSE)</f>
        <v>#N/A</v>
      </c>
      <c r="N7" s="31" t="e">
        <f>VLOOKUP(A1,DIV_01Data!$A$1:$DZU$999999,117,FALSE)</f>
        <v>#N/A</v>
      </c>
      <c r="O7" s="96" t="e">
        <f>VLOOKUP(A1,DIV_01Data!$A$1:$DZU$999999,118,FALSE)</f>
        <v>#N/A</v>
      </c>
      <c r="P7" s="90" t="e">
        <f>VLOOKUP(A1,DIV_01Data!$A$1:$DZU$999999,119,FALSE)</f>
        <v>#N/A</v>
      </c>
      <c r="Q7" s="261" t="e">
        <f>VLOOKUP(A1,DIV_01Data!$A$1:$DZU$999999,120,FALSE)</f>
        <v>#N/A</v>
      </c>
    </row>
    <row r="8" spans="1:17" ht="15" thickBot="1" x14ac:dyDescent="0.4">
      <c r="A8" s="259" t="e">
        <f>VLOOKUP(A1,DIV_01Data!$A$1:$DZU$999999,121,FALSE)</f>
        <v>#N/A</v>
      </c>
      <c r="B8" s="4" t="e">
        <f>VLOOKUP(A1,DIV_01Data!$A$1:$DZU$999999,122,FALSE)</f>
        <v>#N/A</v>
      </c>
      <c r="C8" s="86" t="e">
        <f>VLOOKUP(A1,DIV_01Data!$A$1:$DZU$999999,123,FALSE)</f>
        <v>#N/A</v>
      </c>
      <c r="D8" s="6" t="e">
        <f>VLOOKUP(A1,DIV_01Data!$A$1:$DZU$999999,124,FALSE)</f>
        <v>#N/A</v>
      </c>
      <c r="E8" s="7" t="e">
        <f>VLOOKUP(A1,DIV_01Data!$A$1:$DZU$999999,125,FALSE)</f>
        <v>#N/A</v>
      </c>
      <c r="F8" s="6" t="e">
        <f>VLOOKUP(A1,DIV_01Data!$A$1:$DZU$999999,126,FALSE)</f>
        <v>#N/A</v>
      </c>
      <c r="G8" s="6" t="e">
        <f>VLOOKUP(A1,DIV_01Data!$A$1:$DZU$999999,127,FALSE)</f>
        <v>#N/A</v>
      </c>
      <c r="H8" s="6" t="e">
        <f>VLOOKUP(A1,DIV_01Data!$A$1:$DZU$999999,128,FALSE)</f>
        <v>#N/A</v>
      </c>
      <c r="I8" s="6" t="e">
        <f>VLOOKUP(A1,DIV_01Data!$A$1:$DZU$999999,129,FALSE)</f>
        <v>#N/A</v>
      </c>
      <c r="J8" s="6" t="e">
        <f>VLOOKUP(A1,DIV_01Data!$A$1:$DZU$999999,130,FALSE)</f>
        <v>#N/A</v>
      </c>
      <c r="K8" s="6" t="e">
        <f>VLOOKUP(A1,DIV_01Data!$A$1:$DZU$999999,131,FALSE)</f>
        <v>#N/A</v>
      </c>
      <c r="L8" s="83" t="e">
        <f>VLOOKUP(A1,DIV_01Data!$A$1:$DZU$999999,132,FALSE)</f>
        <v>#N/A</v>
      </c>
      <c r="M8" s="6" t="e">
        <f>VLOOKUP(A1,DIV_01Data!$A$1:$DZU$999999,133,FALSE)</f>
        <v>#N/A</v>
      </c>
      <c r="N8" s="6" t="e">
        <f>VLOOKUP(A1,DIV_01Data!$A$1:$DZU$999999,134,FALSE)</f>
        <v>#N/A</v>
      </c>
      <c r="O8" s="95" t="e">
        <f>VLOOKUP(A1,DIV_01Data!$A$1:$DZU$999999,135,FALSE)</f>
        <v>#N/A</v>
      </c>
      <c r="P8" s="6" t="e">
        <f>VLOOKUP(A1,DIV_01Data!$A$1:$DZU$999999,136,FALSE)</f>
        <v>#N/A</v>
      </c>
      <c r="Q8" s="262" t="e">
        <f>VLOOKUP(A1,DIV_01Data!$A$1:$DZU$999999,137,FALSE)</f>
        <v>#N/A</v>
      </c>
    </row>
    <row r="9" spans="1:17" ht="15" thickBot="1" x14ac:dyDescent="0.4">
      <c r="A9" s="263" t="e">
        <f>VLOOKUP(A1,DIV_01Data!$A$1:$DZU$999999,138,FALSE)</f>
        <v>#N/A</v>
      </c>
      <c r="B9" s="16" t="e">
        <f>VLOOKUP(A1,DIV_01Data!$A$1:$DZU$999999,139,FALSE)</f>
        <v>#N/A</v>
      </c>
      <c r="C9" s="17" t="e">
        <f>VLOOKUP(A1,DIV_01Data!$A$1:$DZU$999999,140,FALSE)</f>
        <v>#N/A</v>
      </c>
      <c r="D9" s="18" t="e">
        <f>VLOOKUP(A1,DIV_01Data!$A$1:$DZU$999999,141,FALSE)</f>
        <v>#N/A</v>
      </c>
      <c r="E9" s="19" t="e">
        <f>VLOOKUP(A1,DIV_01Data!$A$1:$DZU$999999,142,FALSE)</f>
        <v>#N/A</v>
      </c>
      <c r="F9" s="16" t="e">
        <f>VLOOKUP(A1,DIV_01Data!$A$1:$DZU$999999,143,FALSE)</f>
        <v>#N/A</v>
      </c>
      <c r="G9" s="20" t="e">
        <f>VLOOKUP(A1,DIV_01Data!$A$1:$DZU$999999,144,FALSE)</f>
        <v>#N/A</v>
      </c>
      <c r="H9" s="16" t="e">
        <f>VLOOKUP(A1,DIV_01Data!$A$1:$DZU$999999,145,FALSE)</f>
        <v>#N/A</v>
      </c>
      <c r="I9" s="20" t="e">
        <f>VLOOKUP(A1,DIV_01Data!$A$1:$DZU$999999,146,FALSE)</f>
        <v>#N/A</v>
      </c>
      <c r="J9" s="21" t="e">
        <f>VLOOKUP(A1,DIV_01Data!$A$1:$DZU$999999,147,FALSE)</f>
        <v>#N/A</v>
      </c>
      <c r="K9" s="16" t="e">
        <f>VLOOKUP(A1,DIV_01Data!$A$1:$DZU$999999,148,FALSE)</f>
        <v>#N/A</v>
      </c>
      <c r="L9" s="21" t="e">
        <f>VLOOKUP(A1,DIV_01Data!$A$1:$DZU$999999,149,FALSE)</f>
        <v>#N/A</v>
      </c>
      <c r="M9" s="20" t="e">
        <f>VLOOKUP(A1,DIV_01Data!$A$1:$DZU$999999,150,FALSE)</f>
        <v>#N/A</v>
      </c>
      <c r="N9" s="16" t="e">
        <f>VLOOKUP(A1,DIV_01Data!$A$1:$DZU$999999,151,FALSE)</f>
        <v>#N/A</v>
      </c>
      <c r="O9" s="20" t="e">
        <f>VLOOKUP(A1,DIV_01Data!$A$1:$DZU$999999,152,FALSE)</f>
        <v>#N/A</v>
      </c>
      <c r="P9" s="18" t="e">
        <f>VLOOKUP(A1,DIV_01Data!$A$1:$DZU$999999,153,FALSE)</f>
        <v>#N/A</v>
      </c>
      <c r="Q9" s="264" t="e">
        <f>VLOOKUP(A1,DIV_01Data!$A$1:$DZU$999999,154,FALSE)</f>
        <v>#N/A</v>
      </c>
    </row>
    <row r="10" spans="1:17" ht="15" thickBot="1" x14ac:dyDescent="0.4">
      <c r="A10" s="265" t="e">
        <f>VLOOKUP(A1,DIV_01Data!$A$1:$DZU$999999,155,FALSE)</f>
        <v>#N/A</v>
      </c>
      <c r="B10" s="23" t="e">
        <f>VLOOKUP(A1,DIV_01Data!$A$1:$DZU$999999,156,FALSE)</f>
        <v>#N/A</v>
      </c>
      <c r="C10" s="24" t="e">
        <f>VLOOKUP(A1,DIV_01Data!$A$1:$DZU$999999,157,FALSE)</f>
        <v>#N/A</v>
      </c>
      <c r="D10" s="25" t="e">
        <f>VLOOKUP(A1,DIV_01Data!$A$1:$DZU$999999,158,FALSE)</f>
        <v>#N/A</v>
      </c>
      <c r="E10" s="26" t="e">
        <f>VLOOKUP(A1,DIV_01Data!$A$1:$DZU$999999,159,FALSE)</f>
        <v>#N/A</v>
      </c>
      <c r="F10" s="27" t="e">
        <f>VLOOKUP(A1,DIV_01Data!$A$1:$DZU$999999,160,FALSE)</f>
        <v>#N/A</v>
      </c>
      <c r="G10" s="28" t="e">
        <f>VLOOKUP(A1,DIV_01Data!$A$1:$DZU$999999,161,FALSE)</f>
        <v>#N/A</v>
      </c>
      <c r="H10" s="27" t="e">
        <f>VLOOKUP(A1,DIV_01Data!$A$1:$DZU$999999,162,FALSE)</f>
        <v>#N/A</v>
      </c>
      <c r="I10" s="28" t="e">
        <f>VLOOKUP(A1,DIV_01Data!$A$1:$DZU$999999,163,FALSE)</f>
        <v>#N/A</v>
      </c>
      <c r="J10" s="27" t="e">
        <f>VLOOKUP(A1,DIV_01Data!$A$1:$DZU$999999,164,FALSE)</f>
        <v>#N/A</v>
      </c>
      <c r="K10" s="27" t="e">
        <f>VLOOKUP(A1,DIV_01Data!$A$1:$DZU$999999,165,FALSE)</f>
        <v>#N/A</v>
      </c>
      <c r="L10" s="27" t="e">
        <f>VLOOKUP(A1,DIV_01Data!$A$1:$DZU$999999,166,FALSE)</f>
        <v>#N/A</v>
      </c>
      <c r="M10" s="28" t="e">
        <f>VLOOKUP(A1,DIV_01Data!$A$1:$DZU$999999,167,FALSE)</f>
        <v>#N/A</v>
      </c>
      <c r="N10" s="27" t="e">
        <f>VLOOKUP(A1,DIV_01Data!$A$1:$DZU$999999,168,FALSE)</f>
        <v>#N/A</v>
      </c>
      <c r="O10" s="28" t="e">
        <f>VLOOKUP(A1,DIV_01Data!$A$1:$DZU$999999,169,FALSE)</f>
        <v>#N/A</v>
      </c>
      <c r="P10" s="25" t="e">
        <f>VLOOKUP(A1,DIV_01Data!$A$1:$DZU$999999,170,FALSE)</f>
        <v>#N/A</v>
      </c>
      <c r="Q10" s="266" t="e">
        <f>VLOOKUP(A1,DIV_01Data!$A$1:$DZU$999999,171,FALSE)</f>
        <v>#N/A</v>
      </c>
    </row>
    <row r="11" spans="1:17" x14ac:dyDescent="0.35">
      <c r="A11" s="265" t="e">
        <f>VLOOKUP(A1,DIV_01Data!$A$1:$DZU$999999,172,FALSE)</f>
        <v>#N/A</v>
      </c>
      <c r="B11" s="29" t="e">
        <f>VLOOKUP(A1,DIV_01Data!$A$1:$DZU$999999,173,FALSE)</f>
        <v>#N/A</v>
      </c>
      <c r="C11" s="30" t="e">
        <f>VLOOKUP(A1,DIV_01Data!$A$1:$DZU$999999,174,FALSE)</f>
        <v>#N/A</v>
      </c>
      <c r="D11" s="31" t="e">
        <f>VLOOKUP(A1,DIV_01Data!$A$1:$DZU$999999,175,FALSE)</f>
        <v>#N/A</v>
      </c>
      <c r="E11" s="32" t="e">
        <f>VLOOKUP(A1,DIV_01Data!$A$1:$DZU$999999,176,FALSE)</f>
        <v>#N/A</v>
      </c>
      <c r="F11" s="34" t="e">
        <f>VLOOKUP(A1,DIV_01Data!$A$1:$DZU$999999,177,FALSE)</f>
        <v>#N/A</v>
      </c>
      <c r="G11" s="33" t="e">
        <f>VLOOKUP(A1,DIV_01Data!$A$1:$DZU$999999,178,FALSE)</f>
        <v>#N/A</v>
      </c>
      <c r="H11" s="34" t="e">
        <f>VLOOKUP(A1,DIV_01Data!$A$1:$DZU$999999,179,FALSE)</f>
        <v>#N/A</v>
      </c>
      <c r="I11" s="33" t="e">
        <f>VLOOKUP(A1,DIV_01Data!$A$1:$DZU$999999,180,FALSE)</f>
        <v>#N/A</v>
      </c>
      <c r="J11" s="34" t="e">
        <f>VLOOKUP(A1,DIV_01Data!$A$1:$DZU$999999,181,FALSE)</f>
        <v>#N/A</v>
      </c>
      <c r="K11" s="34" t="e">
        <f>VLOOKUP(A1,DIV_01Data!$A$1:$DZU$999999,182,FALSE)</f>
        <v>#N/A</v>
      </c>
      <c r="L11" s="34" t="e">
        <f>VLOOKUP(A1,DIV_01Data!$A$1:$DZU$999999,183,FALSE)</f>
        <v>#N/A</v>
      </c>
      <c r="M11" s="33" t="e">
        <f>VLOOKUP(A1,DIV_01Data!$A$1:$DZU$999999,184,FALSE)</f>
        <v>#N/A</v>
      </c>
      <c r="N11" s="34" t="e">
        <f>VLOOKUP(A1,DIV_01Data!$A$1:$DZU$999999,185,FALSE)</f>
        <v>#N/A</v>
      </c>
      <c r="O11" s="35" t="e">
        <f>VLOOKUP(A1,DIV_01Data!$A$1:$DZU$999999,186,FALSE)</f>
        <v>#N/A</v>
      </c>
      <c r="P11" s="31" t="e">
        <f>VLOOKUP(A1,DIV_01Data!$A$1:$DZU$999999,187,FALSE)</f>
        <v>#N/A</v>
      </c>
      <c r="Q11" s="267" t="e">
        <f>VLOOKUP(A1,DIV_01Data!$A$1:$DZU$999999,188,FALSE)</f>
        <v>#N/A</v>
      </c>
    </row>
    <row r="12" spans="1:17" x14ac:dyDescent="0.35">
      <c r="A12" s="265" t="e">
        <f>VLOOKUP(A1,DIV_01Data!$A$1:$DZU$999999,189,FALSE)</f>
        <v>#N/A</v>
      </c>
      <c r="B12" s="29" t="e">
        <f>VLOOKUP(A1,DIV_01Data!$A$1:$DZU$999999,190,FALSE)</f>
        <v>#N/A</v>
      </c>
      <c r="C12" s="30" t="e">
        <f>VLOOKUP(A1,DIV_01Data!$A$1:$DZU$999999,191,FALSE)</f>
        <v>#N/A</v>
      </c>
      <c r="D12" s="31" t="e">
        <f>VLOOKUP(A1,DIV_01Data!$A$1:$DZU$999999,192,FALSE)</f>
        <v>#N/A</v>
      </c>
      <c r="E12" s="32" t="e">
        <f>VLOOKUP(A1,DIV_01Data!$A$1:$DZU$999999,193,FALSE)</f>
        <v>#N/A</v>
      </c>
      <c r="F12" s="34" t="e">
        <f>VLOOKUP(A1,DIV_01Data!$A$1:$DZU$999999,194,FALSE)</f>
        <v>#N/A</v>
      </c>
      <c r="G12" s="33" t="e">
        <f>VLOOKUP(A1,DIV_01Data!$A$1:$DZU$999999,195,FALSE)</f>
        <v>#N/A</v>
      </c>
      <c r="H12" s="34" t="e">
        <f>VLOOKUP(A1,DIV_01Data!$A$1:$DZU$999999,196,FALSE)</f>
        <v>#N/A</v>
      </c>
      <c r="I12" s="33" t="e">
        <f>VLOOKUP(A1,DIV_01Data!$A$1:$DZU$999999,197,FALSE)</f>
        <v>#N/A</v>
      </c>
      <c r="J12" s="34" t="e">
        <f>VLOOKUP(A1,DIV_01Data!$A$1:$DZU$999999,198,FALSE)</f>
        <v>#N/A</v>
      </c>
      <c r="K12" s="34" t="e">
        <f>VLOOKUP(A1,DIV_01Data!$A$1:$DZU$999999,199,FALSE)</f>
        <v>#N/A</v>
      </c>
      <c r="L12" s="34" t="e">
        <f>VLOOKUP(A1,DIV_01Data!$A$1:$DZU$999999,200,FALSE)</f>
        <v>#N/A</v>
      </c>
      <c r="M12" s="33" t="e">
        <f>VLOOKUP(A1,DIV_01Data!$A$1:$DZU$999999,201,FALSE)</f>
        <v>#N/A</v>
      </c>
      <c r="N12" s="34" t="e">
        <f>VLOOKUP(A1,DIV_01Data!$A$1:$DZU$999999,202,FALSE)</f>
        <v>#N/A</v>
      </c>
      <c r="O12" s="35" t="e">
        <f>VLOOKUP(A1,DIV_01Data!$A$1:$DZU$999999,203,FALSE)</f>
        <v>#N/A</v>
      </c>
      <c r="P12" s="31" t="e">
        <f>VLOOKUP(A1,DIV_01Data!$A$1:$DZU$999999,204,FALSE)</f>
        <v>#N/A</v>
      </c>
      <c r="Q12" s="267" t="e">
        <f>VLOOKUP(A1,DIV_01Data!$A$1:$DZU$999999,205,FALSE)</f>
        <v>#N/A</v>
      </c>
    </row>
    <row r="13" spans="1:17" x14ac:dyDescent="0.35">
      <c r="A13" s="265" t="e">
        <f>VLOOKUP(A1,DIV_01Data!$A$1:$DZU$999999,206,FALSE)</f>
        <v>#N/A</v>
      </c>
      <c r="B13" s="37" t="e">
        <f>VLOOKUP(A1,DIV_01Data!$A$1:$DZU$999999,207,FALSE)</f>
        <v>#N/A</v>
      </c>
      <c r="C13" s="38" t="e">
        <f>VLOOKUP(A1,DIV_01Data!$A$1:$DZU$999999,208,FALSE)</f>
        <v>#N/A</v>
      </c>
      <c r="D13" s="31" t="e">
        <f>VLOOKUP(A1,DIV_01Data!$A$1:$DZU$999999,209,FALSE)</f>
        <v>#N/A</v>
      </c>
      <c r="E13" s="32" t="e">
        <f>VLOOKUP(A1,DIV_01Data!$A$1:$DZU$999999,210,FALSE)</f>
        <v>#N/A</v>
      </c>
      <c r="F13" s="93" t="e">
        <f>VLOOKUP(A1,DIV_01Data!$A$1:$DZU$999999,211,FALSE)</f>
        <v>#N/A</v>
      </c>
      <c r="G13" s="33" t="e">
        <f>VLOOKUP(A1,DIV_01Data!$A$1:$DZU$999999,212,FALSE)</f>
        <v>#N/A</v>
      </c>
      <c r="H13" s="93" t="e">
        <f>VLOOKUP(A1,DIV_01Data!$A$1:$DZU$999999,213,FALSE)</f>
        <v>#N/A</v>
      </c>
      <c r="I13" s="33" t="e">
        <f>VLOOKUP(A1,DIV_01Data!$A$1:$DZU$999999,214,FALSE)</f>
        <v>#N/A</v>
      </c>
      <c r="J13" s="34" t="e">
        <f>VLOOKUP(A1,DIV_01Data!$A$1:$DZU$999999,215,FALSE)</f>
        <v>#N/A</v>
      </c>
      <c r="K13" s="34" t="e">
        <f>VLOOKUP(A1,DIV_01Data!$A$1:$DZU$999999,216,FALSE)</f>
        <v>#N/A</v>
      </c>
      <c r="L13" s="93" t="e">
        <f>VLOOKUP(A1,DIV_01Data!$A$1:$DZU$999999,217,FALSE)</f>
        <v>#N/A</v>
      </c>
      <c r="M13" s="33" t="e">
        <f>VLOOKUP(A1,DIV_01Data!$A$1:$DZU$999999,218,FALSE)</f>
        <v>#N/A</v>
      </c>
      <c r="N13" s="93" t="e">
        <f>VLOOKUP(A1,DIV_01Data!$A$1:$DZU$999999,219,FALSE)</f>
        <v>#N/A</v>
      </c>
      <c r="O13" s="33" t="e">
        <f>VLOOKUP(A1,DIV_01Data!$A$1:$DZU$999999,220,FALSE)</f>
        <v>#N/A</v>
      </c>
      <c r="P13" s="116" t="e">
        <f>VLOOKUP(A1,DIV_01Data!$A$1:$DZU$999999,221,FALSE)</f>
        <v>#N/A</v>
      </c>
      <c r="Q13" s="268" t="e">
        <f>VLOOKUP(A1,DIV_01Data!$A$1:$DZU$999999,222,FALSE)</f>
        <v>#N/A</v>
      </c>
    </row>
    <row r="14" spans="1:17" x14ac:dyDescent="0.35">
      <c r="A14" s="265" t="e">
        <f>VLOOKUP(A1,DIV_01Data!$A$1:$DZU$999999,223,FALSE)</f>
        <v>#N/A</v>
      </c>
      <c r="B14" s="37" t="e">
        <f>VLOOKUP(A1,DIV_01Data!$A$1:$DZU$999999,224,FALSE)</f>
        <v>#N/A</v>
      </c>
      <c r="C14" s="38" t="e">
        <f>VLOOKUP(A1,DIV_01Data!$A$1:$DZU$999999,225,FALSE)</f>
        <v>#N/A</v>
      </c>
      <c r="D14" s="31" t="e">
        <f>VLOOKUP(A1,DIV_01Data!$A$1:$DZU$999999,226,FALSE)</f>
        <v>#N/A</v>
      </c>
      <c r="E14" s="32" t="e">
        <f>VLOOKUP(A1,DIV_01Data!$A$1:$DZU$999999,227,FALSE)</f>
        <v>#N/A</v>
      </c>
      <c r="F14" s="34" t="e">
        <f>VLOOKUP(A1,DIV_01Data!$A$1:$DZU$999999,228,FALSE)</f>
        <v>#N/A</v>
      </c>
      <c r="G14" s="33" t="e">
        <f>VLOOKUP(A1,DIV_01Data!$A$1:$DZU$999999,229,FALSE)</f>
        <v>#N/A</v>
      </c>
      <c r="H14" s="34" t="e">
        <f>VLOOKUP(A1,DIV_01Data!$A$1:$DZU$999999,230,FALSE)</f>
        <v>#N/A</v>
      </c>
      <c r="I14" s="33" t="e">
        <f>VLOOKUP(A1,DIV_01Data!$A$1:$DZU$999999,231,FALSE)</f>
        <v>#N/A</v>
      </c>
      <c r="J14" s="34" t="e">
        <f>VLOOKUP(A1,DIV_01Data!$A$1:$DZU$999999,232,FALSE)</f>
        <v>#N/A</v>
      </c>
      <c r="K14" s="34" t="e">
        <f>VLOOKUP(A1,DIV_01Data!$A$1:$DZU$999999,233,FALSE)</f>
        <v>#N/A</v>
      </c>
      <c r="L14" s="34" t="e">
        <f>VLOOKUP(A1,DIV_01Data!$A$1:$DZU$999999,234,FALSE)</f>
        <v>#N/A</v>
      </c>
      <c r="M14" s="33" t="e">
        <f>VLOOKUP(A1,DIV_01Data!$A$1:$DZU$999999,235,FALSE)</f>
        <v>#N/A</v>
      </c>
      <c r="N14" s="34" t="e">
        <f>VLOOKUP(A1,DIV_01Data!$A$1:$DZU$999999,236,FALSE)</f>
        <v>#N/A</v>
      </c>
      <c r="O14" s="33" t="e">
        <f>VLOOKUP(A1,DIV_01Data!$A$1:$DZU$999999,237,FALSE)</f>
        <v>#N/A</v>
      </c>
      <c r="P14" s="116" t="e">
        <f>VLOOKUP(A1,DIV_01Data!$A$1:$DZU$999999,238,FALSE)</f>
        <v>#N/A</v>
      </c>
      <c r="Q14" s="268" t="e">
        <f>VLOOKUP(A1,DIV_01Data!$A$1:$DZU$999999,239,FALSE)</f>
        <v>#N/A</v>
      </c>
    </row>
    <row r="15" spans="1:17" x14ac:dyDescent="0.35">
      <c r="A15" s="265" t="e">
        <f>VLOOKUP(A1,DIV_01Data!$A$1:$DZU$999999,240,FALSE)</f>
        <v>#N/A</v>
      </c>
      <c r="B15" s="37" t="e">
        <f>VLOOKUP(A1,DIV_01Data!$A$1:$DZU$999999,241,FALSE)</f>
        <v>#N/A</v>
      </c>
      <c r="C15" s="38" t="e">
        <f>VLOOKUP(A1,DIV_01Data!$A$1:$DZU$999999,242,FALSE)</f>
        <v>#N/A</v>
      </c>
      <c r="D15" s="31" t="e">
        <f>VLOOKUP(A1,DIV_01Data!$A$1:$DZU$999999,243,FALSE)</f>
        <v>#N/A</v>
      </c>
      <c r="E15" s="32" t="e">
        <f>VLOOKUP(A1,DIV_01Data!$A$1:$DZU$999999,244,FALSE)</f>
        <v>#N/A</v>
      </c>
      <c r="F15" s="34" t="e">
        <f>VLOOKUP(A1,DIV_01Data!$A$1:$DZU$999999,245,FALSE)</f>
        <v>#N/A</v>
      </c>
      <c r="G15" s="33" t="e">
        <f>VLOOKUP(A1,DIV_01Data!$A$1:$DZU$999999,246,FALSE)</f>
        <v>#N/A</v>
      </c>
      <c r="H15" s="34" t="e">
        <f>VLOOKUP(A1,DIV_01Data!$A$1:$DZU$999999,247,FALSE)</f>
        <v>#N/A</v>
      </c>
      <c r="I15" s="33" t="e">
        <f>VLOOKUP(A1,DIV_01Data!$A$1:$DZU$999999,248,FALSE)</f>
        <v>#N/A</v>
      </c>
      <c r="J15" s="34" t="e">
        <f>VLOOKUP(A1,DIV_01Data!$A$1:$DZU$999999,249,FALSE)</f>
        <v>#N/A</v>
      </c>
      <c r="K15" s="34" t="e">
        <f>VLOOKUP(A1,DIV_01Data!$A$1:$DZU$999999,250,FALSE)</f>
        <v>#N/A</v>
      </c>
      <c r="L15" s="34" t="e">
        <f>VLOOKUP(A1,DIV_01Data!$A$1:$DZU$999999,251,FALSE)</f>
        <v>#N/A</v>
      </c>
      <c r="M15" s="33" t="e">
        <f>VLOOKUP(A1,DIV_01Data!$A$1:$DZU$999999,252,FALSE)</f>
        <v>#N/A</v>
      </c>
      <c r="N15" s="34" t="e">
        <f>VLOOKUP(A1,DIV_01Data!$A$1:$DZU$999999,253,FALSE)</f>
        <v>#N/A</v>
      </c>
      <c r="O15" s="33" t="e">
        <f>VLOOKUP(A1,DIV_01Data!$A$1:$DZU$999999,254,FALSE)</f>
        <v>#N/A</v>
      </c>
      <c r="P15" s="31" t="e">
        <f>VLOOKUP(A1,DIV_01Data!$A$1:$DZU$999999,255,FALSE)</f>
        <v>#N/A</v>
      </c>
      <c r="Q15" s="268" t="e">
        <f>VLOOKUP(A1,DIV_01Data!$A$1:$DZU$999999,256,FALSE)</f>
        <v>#N/A</v>
      </c>
    </row>
    <row r="16" spans="1:17" x14ac:dyDescent="0.35">
      <c r="A16" s="265" t="e">
        <f>VLOOKUP(A1,DIV_01Data!$A$1:$DZU$999999,257,FALSE)</f>
        <v>#N/A</v>
      </c>
      <c r="B16" s="37" t="e">
        <f>VLOOKUP(A1,DIV_01Data!$A$1:$DZU$999999,258,FALSE)</f>
        <v>#N/A</v>
      </c>
      <c r="C16" s="38" t="e">
        <f>VLOOKUP(A1,DIV_01Data!$A$1:$DZU$999999,259,FALSE)</f>
        <v>#N/A</v>
      </c>
      <c r="D16" s="31" t="e">
        <f>VLOOKUP(A1,DIV_01Data!$A$1:$DZU$999999,260,FALSE)</f>
        <v>#N/A</v>
      </c>
      <c r="E16" s="32" t="e">
        <f>VLOOKUP(A1,DIV_01Data!$A$1:$DZU$999999,261,FALSE)</f>
        <v>#N/A</v>
      </c>
      <c r="F16" s="34" t="e">
        <f>VLOOKUP(A1,DIV_01Data!$A$1:$DZU$999999,262,FALSE)</f>
        <v>#N/A</v>
      </c>
      <c r="G16" s="33" t="e">
        <f>VLOOKUP(A1,DIV_01Data!$A$1:$DZU$999999,263,FALSE)</f>
        <v>#N/A</v>
      </c>
      <c r="H16" s="34" t="e">
        <f>VLOOKUP(A1,DIV_01Data!$A$1:$DZU$999999,264,FALSE)</f>
        <v>#N/A</v>
      </c>
      <c r="I16" s="33" t="e">
        <f>VLOOKUP(A1,DIV_01Data!$A$1:$DZU$999999,265,FALSE)</f>
        <v>#N/A</v>
      </c>
      <c r="J16" s="34" t="e">
        <f>VLOOKUP(A1,DIV_01Data!$A$1:$DZU$999999,266,FALSE)</f>
        <v>#N/A</v>
      </c>
      <c r="K16" s="34" t="e">
        <f>VLOOKUP(A1,DIV_01Data!$A$1:$DZU$999999,267,FALSE)</f>
        <v>#N/A</v>
      </c>
      <c r="L16" s="93" t="e">
        <f>VLOOKUP(A1,DIV_01Data!$A$1:$DZU$999999,268,FALSE)</f>
        <v>#N/A</v>
      </c>
      <c r="M16" s="33" t="e">
        <f>VLOOKUP(A1,DIV_01Data!$A$1:$DZU$999999,269,FALSE)</f>
        <v>#N/A</v>
      </c>
      <c r="N16" s="34" t="e">
        <f>VLOOKUP(A1,DIV_01Data!$A$1:$DZU$999999,270,FALSE)</f>
        <v>#N/A</v>
      </c>
      <c r="O16" s="33" t="e">
        <f>VLOOKUP(A1,DIV_01Data!$A$1:$DZU$999999,271,FALSE)</f>
        <v>#N/A</v>
      </c>
      <c r="P16" s="116" t="e">
        <f>VLOOKUP(A1,DIV_01Data!$A$1:$DZU$999999,272,FALSE)</f>
        <v>#N/A</v>
      </c>
      <c r="Q16" s="268" t="e">
        <f>VLOOKUP(A1,DIV_01Data!$A$1:$DZU$999999,273,FALSE)</f>
        <v>#N/A</v>
      </c>
    </row>
    <row r="17" spans="1:17" x14ac:dyDescent="0.35">
      <c r="A17" s="265" t="e">
        <f>VLOOKUP(A1,DIV_01Data!$A$1:$DZU$999999,274,FALSE)</f>
        <v>#N/A</v>
      </c>
      <c r="B17" s="37" t="e">
        <f>VLOOKUP(A1,DIV_01Data!$A$1:$DZU$999999,275,FALSE)</f>
        <v>#N/A</v>
      </c>
      <c r="C17" s="38" t="e">
        <f>VLOOKUP(A1,DIV_01Data!$A$1:$DZU$999999,276,FALSE)</f>
        <v>#N/A</v>
      </c>
      <c r="D17" s="31" t="e">
        <f>VLOOKUP(A1,DIV_01Data!$A$1:$DZU$999999,277,FALSE)</f>
        <v>#N/A</v>
      </c>
      <c r="E17" s="32" t="e">
        <f>VLOOKUP(A1,DIV_01Data!$A$1:$DZU$999999,278,FALSE)</f>
        <v>#N/A</v>
      </c>
      <c r="F17" s="34" t="e">
        <f>VLOOKUP(A1,DIV_01Data!$A$1:$DZU$999999,279,FALSE)</f>
        <v>#N/A</v>
      </c>
      <c r="G17" s="33" t="e">
        <f>VLOOKUP(A1,DIV_01Data!$A$1:$DZU$999999,280,FALSE)</f>
        <v>#N/A</v>
      </c>
      <c r="H17" s="34" t="e">
        <f>VLOOKUP(A1,DIV_01Data!$A$1:$DZU$999999,281,FALSE)</f>
        <v>#N/A</v>
      </c>
      <c r="I17" s="33" t="e">
        <f>VLOOKUP(A1,DIV_01Data!$A$1:$DZU$999999,282,FALSE)</f>
        <v>#N/A</v>
      </c>
      <c r="J17" s="34" t="e">
        <f>VLOOKUP(A1,DIV_01Data!$A$1:$DZU$999999,283,FALSE)</f>
        <v>#N/A</v>
      </c>
      <c r="K17" s="34" t="e">
        <f>VLOOKUP(A1,DIV_01Data!$A$1:$DZU$999999,284,FALSE)</f>
        <v>#N/A</v>
      </c>
      <c r="L17" s="93" t="e">
        <f>VLOOKUP(A1,DIV_01Data!$A$1:$DZU$999999,285,FALSE)</f>
        <v>#N/A</v>
      </c>
      <c r="M17" s="33" t="e">
        <f>VLOOKUP(A1,DIV_01Data!$A$1:$DZU$999999,286,FALSE)</f>
        <v>#N/A</v>
      </c>
      <c r="N17" s="34" t="e">
        <f>VLOOKUP(A1,DIV_01Data!$A$1:$DZU$999999,287,FALSE)</f>
        <v>#N/A</v>
      </c>
      <c r="O17" s="33" t="e">
        <f>VLOOKUP(A1,DIV_01Data!$A$1:$DZU$999999,288,FALSE)</f>
        <v>#N/A</v>
      </c>
      <c r="P17" s="116" t="e">
        <f>VLOOKUP(A1,DIV_01Data!$A$1:$DZU$999999,289,FALSE)</f>
        <v>#N/A</v>
      </c>
      <c r="Q17" s="268" t="e">
        <f>VLOOKUP(A1,DIV_01Data!$A$1:$DZU$999999,290,FALSE)</f>
        <v>#N/A</v>
      </c>
    </row>
    <row r="18" spans="1:17" x14ac:dyDescent="0.35">
      <c r="A18" s="265" t="e">
        <f>VLOOKUP(A1,DIV_01Data!$A$1:$DZU$999999,291,FALSE)</f>
        <v>#N/A</v>
      </c>
      <c r="B18" s="37" t="e">
        <f>VLOOKUP(A1,DIV_01Data!$A$1:$DZU$999999,292,FALSE)</f>
        <v>#N/A</v>
      </c>
      <c r="C18" s="38" t="e">
        <f>VLOOKUP(A1,DIV_01Data!$A$1:$DZU$999999,293,FALSE)</f>
        <v>#N/A</v>
      </c>
      <c r="D18" s="31" t="e">
        <f>VLOOKUP(A1,DIV_01Data!$A$1:$DZU$999999,294,FALSE)</f>
        <v>#N/A</v>
      </c>
      <c r="E18" s="32" t="e">
        <f>VLOOKUP(A1,DIV_01Data!$A$1:$DZU$999999,295,FALSE)</f>
        <v>#N/A</v>
      </c>
      <c r="F18" s="34" t="e">
        <f>VLOOKUP(A1,DIV_01Data!$A$1:$DZU$999999,296,FALSE)</f>
        <v>#N/A</v>
      </c>
      <c r="G18" s="33" t="e">
        <f>VLOOKUP(A1,DIV_01Data!$A$1:$DZU$999999,297,FALSE)</f>
        <v>#N/A</v>
      </c>
      <c r="H18" s="34" t="e">
        <f>VLOOKUP(A1,DIV_01Data!$A$1:$DZU$999999,298,FALSE)</f>
        <v>#N/A</v>
      </c>
      <c r="I18" s="33" t="e">
        <f>VLOOKUP(A1,DIV_01Data!$A$1:$DZU$999999,299,FALSE)</f>
        <v>#N/A</v>
      </c>
      <c r="J18" s="34" t="e">
        <f>VLOOKUP(A1,DIV_01Data!$A$1:$DZU$999999,300,FALSE)</f>
        <v>#N/A</v>
      </c>
      <c r="K18" s="34" t="e">
        <f>VLOOKUP(A1,DIV_01Data!$A$1:$DZU$999999,301,FALSE)</f>
        <v>#N/A</v>
      </c>
      <c r="L18" s="93" t="e">
        <f>VLOOKUP(A1,DIV_01Data!$A$1:$DZU$999999,302,FALSE)</f>
        <v>#N/A</v>
      </c>
      <c r="M18" s="33" t="e">
        <f>VLOOKUP(A1,DIV_01Data!$A$1:$DZU$999999,303,FALSE)</f>
        <v>#N/A</v>
      </c>
      <c r="N18" s="34" t="e">
        <f>VLOOKUP(A1,DIV_01Data!$A$1:$DZU$999999,304,FALSE)</f>
        <v>#N/A</v>
      </c>
      <c r="O18" s="33" t="e">
        <f>VLOOKUP(A1,DIV_01Data!$A$1:$DZU$999999,305,FALSE)</f>
        <v>#N/A</v>
      </c>
      <c r="P18" s="116" t="e">
        <f>VLOOKUP(A1,DIV_01Data!$A$1:$DZU$999999,306,FALSE)</f>
        <v>#N/A</v>
      </c>
      <c r="Q18" s="268" t="e">
        <f>VLOOKUP(A1,DIV_01Data!$A$1:$DZU$999999,307,FALSE)</f>
        <v>#N/A</v>
      </c>
    </row>
    <row r="19" spans="1:17" x14ac:dyDescent="0.35">
      <c r="A19" s="265" t="e">
        <f>VLOOKUP(A1,DIV_01Data!$A$1:$DZU$999999,308,FALSE)</f>
        <v>#N/A</v>
      </c>
      <c r="B19" s="37" t="e">
        <f>VLOOKUP(A1,DIV_01Data!$A$1:$DZU$999999,309,FALSE)</f>
        <v>#N/A</v>
      </c>
      <c r="C19" s="38" t="e">
        <f>VLOOKUP(A1,DIV_01Data!$A$1:$DZU$999999,310,FALSE)</f>
        <v>#N/A</v>
      </c>
      <c r="D19" s="31" t="e">
        <f>VLOOKUP(A1,DIV_01Data!$A$1:$DZU$999999,311,FALSE)</f>
        <v>#N/A</v>
      </c>
      <c r="E19" s="32" t="e">
        <f>VLOOKUP(A1,DIV_01Data!$A$1:$DZU$999999,312,FALSE)</f>
        <v>#N/A</v>
      </c>
      <c r="F19" s="34" t="e">
        <f>VLOOKUP(A1,DIV_01Data!$A$1:$DZU$999999,313,FALSE)</f>
        <v>#N/A</v>
      </c>
      <c r="G19" s="33" t="e">
        <f>VLOOKUP(A1,DIV_01Data!$A$1:$DZU$999999,314,FALSE)</f>
        <v>#N/A</v>
      </c>
      <c r="H19" s="34" t="e">
        <f>VLOOKUP(A1,DIV_01Data!$A$1:$DZU$999999,315,FALSE)</f>
        <v>#N/A</v>
      </c>
      <c r="I19" s="33" t="e">
        <f>VLOOKUP(A1,DIV_01Data!$A$1:$DZU$999999,316,FALSE)</f>
        <v>#N/A</v>
      </c>
      <c r="J19" s="34" t="e">
        <f>VLOOKUP(A1,DIV_01Data!$A$1:$DZU$999999,317,FALSE)</f>
        <v>#N/A</v>
      </c>
      <c r="K19" s="34" t="e">
        <f>VLOOKUP(A1,DIV_01Data!$A$1:$DZU$999999,318,FALSE)</f>
        <v>#N/A</v>
      </c>
      <c r="L19" s="93" t="e">
        <f>VLOOKUP(A1,DIV_01Data!$A$1:$DZU$999999,319,FALSE)</f>
        <v>#N/A</v>
      </c>
      <c r="M19" s="33" t="e">
        <f>VLOOKUP(A1,DIV_01Data!$A$1:$DZU$999999,320,FALSE)</f>
        <v>#N/A</v>
      </c>
      <c r="N19" s="34" t="e">
        <f>VLOOKUP(A1,DIV_01Data!$A$1:$DZU$999999,321,FALSE)</f>
        <v>#N/A</v>
      </c>
      <c r="O19" s="33" t="e">
        <f>VLOOKUP(A1,DIV_01Data!$A$1:$DZU$999999,322,FALSE)</f>
        <v>#N/A</v>
      </c>
      <c r="P19" s="116" t="e">
        <f>VLOOKUP(A1,DIV_01Data!$A$1:$DZU$999999,323,FALSE)</f>
        <v>#N/A</v>
      </c>
      <c r="Q19" s="268" t="e">
        <f>VLOOKUP(A1,DIV_01Data!$A$1:$DZU$999999,324,FALSE)</f>
        <v>#N/A</v>
      </c>
    </row>
    <row r="20" spans="1:17" x14ac:dyDescent="0.35">
      <c r="A20" s="265" t="e">
        <f>VLOOKUP(A1,DIV_01Data!$A$1:$DZU$999999,325,FALSE)</f>
        <v>#N/A</v>
      </c>
      <c r="B20" s="37" t="e">
        <f>VLOOKUP(A1,DIV_01Data!$A$1:$DZU$999999,326,FALSE)</f>
        <v>#N/A</v>
      </c>
      <c r="C20" s="38" t="e">
        <f>VLOOKUP(A1,DIV_01Data!$A$1:$DZU$999999,327,FALSE)</f>
        <v>#N/A</v>
      </c>
      <c r="D20" s="31" t="e">
        <f>VLOOKUP(A1,DIV_01Data!$A$1:$DZU$999999,328,FALSE)</f>
        <v>#N/A</v>
      </c>
      <c r="E20" s="32" t="e">
        <f>VLOOKUP(A1,DIV_01Data!$A$1:$DZU$999999,329,FALSE)</f>
        <v>#N/A</v>
      </c>
      <c r="F20" s="34" t="e">
        <f>VLOOKUP(A1,DIV_01Data!$A$1:$DZU$999999,330,FALSE)</f>
        <v>#N/A</v>
      </c>
      <c r="G20" s="33" t="e">
        <f>VLOOKUP(A1,DIV_01Data!$A$1:$DZU$999999,331,FALSE)</f>
        <v>#N/A</v>
      </c>
      <c r="H20" s="34" t="e">
        <f>VLOOKUP(A1,DIV_01Data!$A$1:$DZU$999999,332,FALSE)</f>
        <v>#N/A</v>
      </c>
      <c r="I20" s="33" t="e">
        <f>VLOOKUP(A1,DIV_01Data!$A$1:$DZU$999999,333,FALSE)</f>
        <v>#N/A</v>
      </c>
      <c r="J20" s="34" t="e">
        <f>VLOOKUP(A1,DIV_01Data!$A$1:$DZU$999999,334,FALSE)</f>
        <v>#N/A</v>
      </c>
      <c r="K20" s="34" t="e">
        <f>VLOOKUP(A1,DIV_01Data!$A$1:$DZU$999999,335,FALSE)</f>
        <v>#N/A</v>
      </c>
      <c r="L20" s="93" t="e">
        <f>VLOOKUP(A1,DIV_01Data!$A$1:$DZU$999999,336,FALSE)</f>
        <v>#N/A</v>
      </c>
      <c r="M20" s="33" t="e">
        <f>VLOOKUP(A1,DIV_01Data!$A$1:$DZU$999999,337,FALSE)</f>
        <v>#N/A</v>
      </c>
      <c r="N20" s="34" t="e">
        <f>VLOOKUP(A1,DIV_01Data!$A$1:$DZU$999999,338,FALSE)</f>
        <v>#N/A</v>
      </c>
      <c r="O20" s="33" t="e">
        <f>VLOOKUP(A1,DIV_01Data!$A$1:$DZU$999999,339,FALSE)</f>
        <v>#N/A</v>
      </c>
      <c r="P20" s="116" t="e">
        <f>VLOOKUP(A1,DIV_01Data!$A$1:$DZU$999999,340,FALSE)</f>
        <v>#N/A</v>
      </c>
      <c r="Q20" s="268" t="e">
        <f>VLOOKUP(A1,DIV_01Data!$A$1:$DZU$999999,341,FALSE)</f>
        <v>#N/A</v>
      </c>
    </row>
    <row r="21" spans="1:17" x14ac:dyDescent="0.35">
      <c r="A21" s="265" t="e">
        <f>VLOOKUP(A1,DIV_01Data!$A$1:$DZU$999999,342,FALSE)</f>
        <v>#N/A</v>
      </c>
      <c r="B21" s="37" t="e">
        <f>VLOOKUP(A1,DIV_01Data!$A$1:$DZU$999999,343,FALSE)</f>
        <v>#N/A</v>
      </c>
      <c r="C21" s="38" t="e">
        <f>VLOOKUP(A1,DIV_01Data!$A$1:$DZU$999999,344,FALSE)</f>
        <v>#N/A</v>
      </c>
      <c r="D21" s="31" t="e">
        <f>VLOOKUP(A1,DIV_01Data!$A$1:$DZU$999999,345,FALSE)</f>
        <v>#N/A</v>
      </c>
      <c r="E21" s="32" t="e">
        <f>VLOOKUP(A1,DIV_01Data!$A$1:$DZU$999999,346,FALSE)</f>
        <v>#N/A</v>
      </c>
      <c r="F21" s="34" t="e">
        <f>VLOOKUP(A1,DIV_01Data!$A$1:$DZU$999999,347,FALSE)</f>
        <v>#N/A</v>
      </c>
      <c r="G21" s="33" t="e">
        <f>VLOOKUP(A1,DIV_01Data!$A$1:$DZU$999999,348,FALSE)</f>
        <v>#N/A</v>
      </c>
      <c r="H21" s="34" t="e">
        <f>VLOOKUP(A1,DIV_01Data!$A$1:$DZU$999999,349,FALSE)</f>
        <v>#N/A</v>
      </c>
      <c r="I21" s="33" t="e">
        <f>VLOOKUP(A1,DIV_01Data!$A$1:$DZU$999999,350,FALSE)</f>
        <v>#N/A</v>
      </c>
      <c r="J21" s="34" t="e">
        <f>VLOOKUP(A1,DIV_01Data!$A$1:$DZU$999999,351,FALSE)</f>
        <v>#N/A</v>
      </c>
      <c r="K21" s="34" t="e">
        <f>VLOOKUP(A1,DIV_01Data!$A$1:$DZU$999999,352,FALSE)</f>
        <v>#N/A</v>
      </c>
      <c r="L21" s="93" t="e">
        <f>VLOOKUP(A1,DIV_01Data!$A$1:$DZU$999999,353,FALSE)</f>
        <v>#N/A</v>
      </c>
      <c r="M21" s="33" t="e">
        <f>VLOOKUP(A1,DIV_01Data!$A$1:$DZU$999999,354,FALSE)</f>
        <v>#N/A</v>
      </c>
      <c r="N21" s="34" t="e">
        <f>VLOOKUP(A1,DIV_01Data!$A$1:$DZU$999999,355,FALSE)</f>
        <v>#N/A</v>
      </c>
      <c r="O21" s="33" t="e">
        <f>VLOOKUP(A1,DIV_01Data!$A$1:$DZU$999999,356,FALSE)</f>
        <v>#N/A</v>
      </c>
      <c r="P21" s="116" t="e">
        <f>VLOOKUP(A1,DIV_01Data!$A$1:$DZU$999999,357,FALSE)</f>
        <v>#N/A</v>
      </c>
      <c r="Q21" s="268" t="e">
        <f>VLOOKUP(A1,DIV_01Data!$A$1:$DZU$999999,358,FALSE)</f>
        <v>#N/A</v>
      </c>
    </row>
    <row r="22" spans="1:17" x14ac:dyDescent="0.35">
      <c r="A22" s="265" t="e">
        <f>VLOOKUP(A1,DIV_01Data!$A$1:$DZU$999999,359,FALSE)</f>
        <v>#N/A</v>
      </c>
      <c r="B22" s="37" t="e">
        <f>VLOOKUP(A1,DIV_01Data!$A$1:$DZU$999999,360,FALSE)</f>
        <v>#N/A</v>
      </c>
      <c r="C22" s="38" t="e">
        <f>VLOOKUP(A1,DIV_01Data!$A$1:$DZU$999999,361,FALSE)</f>
        <v>#N/A</v>
      </c>
      <c r="D22" s="31" t="e">
        <f>VLOOKUP(A1,DIV_01Data!$A$1:$DZU$999999,362,FALSE)</f>
        <v>#N/A</v>
      </c>
      <c r="E22" s="32" t="e">
        <f>VLOOKUP(A1,DIV_01Data!$A$1:$DZU$999999,363,FALSE)</f>
        <v>#N/A</v>
      </c>
      <c r="F22" s="34" t="e">
        <f>VLOOKUP(A1,DIV_01Data!$A$1:$DZU$999999,364,FALSE)</f>
        <v>#N/A</v>
      </c>
      <c r="G22" s="33" t="e">
        <f>VLOOKUP(A1,DIV_01Data!$A$1:$DZU$999999,365,FALSE)</f>
        <v>#N/A</v>
      </c>
      <c r="H22" s="34" t="e">
        <f>VLOOKUP(A1,DIV_01Data!$A$1:$DZU$999999,366,FALSE)</f>
        <v>#N/A</v>
      </c>
      <c r="I22" s="33" t="e">
        <f>VLOOKUP(A1,DIV_01Data!$A$1:$DZU$999999,367,FALSE)</f>
        <v>#N/A</v>
      </c>
      <c r="J22" s="34" t="e">
        <f>VLOOKUP(A1,DIV_01Data!$A$1:$DZU$999999,368,FALSE)</f>
        <v>#N/A</v>
      </c>
      <c r="K22" s="34" t="e">
        <f>VLOOKUP(A1,DIV_01Data!$A$1:$DZU$999999,369,FALSE)</f>
        <v>#N/A</v>
      </c>
      <c r="L22" s="93" t="e">
        <f>VLOOKUP(A1,DIV_01Data!$A$1:$DZU$999999,370,FALSE)</f>
        <v>#N/A</v>
      </c>
      <c r="M22" s="33" t="e">
        <f>VLOOKUP(A1,DIV_01Data!$A$1:$DZU$999999,371,FALSE)</f>
        <v>#N/A</v>
      </c>
      <c r="N22" s="34" t="e">
        <f>VLOOKUP(A1,DIV_01Data!$A$1:$DZU$999999,372,FALSE)</f>
        <v>#N/A</v>
      </c>
      <c r="O22" s="33" t="e">
        <f>VLOOKUP(A1,DIV_01Data!$A$1:$DZU$999999,373,FALSE)</f>
        <v>#N/A</v>
      </c>
      <c r="P22" s="116" t="e">
        <f>VLOOKUP(A1,DIV_01Data!$A$1:$DZU$999999,374,FALSE)</f>
        <v>#N/A</v>
      </c>
      <c r="Q22" s="268" t="e">
        <f>VLOOKUP(A1,DIV_01Data!$A$1:$DZU$999999,375,FALSE)</f>
        <v>#N/A</v>
      </c>
    </row>
    <row r="23" spans="1:17" x14ac:dyDescent="0.35">
      <c r="A23" s="265" t="e">
        <f>VLOOKUP(A1,DIV_01Data!$A$1:$DZU$999999,376,FALSE)</f>
        <v>#N/A</v>
      </c>
      <c r="B23" s="37" t="e">
        <f>VLOOKUP(A1,DIV_01Data!$A$1:$DZU$999999,377,FALSE)</f>
        <v>#N/A</v>
      </c>
      <c r="C23" s="38" t="e">
        <f>VLOOKUP(A1,DIV_01Data!$A$1:$DZU$999999,378,FALSE)</f>
        <v>#N/A</v>
      </c>
      <c r="D23" s="31" t="e">
        <f>VLOOKUP(A1,DIV_01Data!$A$1:$DZU$999999,379,FALSE)</f>
        <v>#N/A</v>
      </c>
      <c r="E23" s="32" t="e">
        <f>VLOOKUP(A1,DIV_01Data!$A$1:$DZU$999999,380,FALSE)</f>
        <v>#N/A</v>
      </c>
      <c r="F23" s="34" t="e">
        <f>VLOOKUP(A1,DIV_01Data!$A$1:$DZU$999999,381,FALSE)</f>
        <v>#N/A</v>
      </c>
      <c r="G23" s="33" t="e">
        <f>VLOOKUP(A1,DIV_01Data!$A$1:$DZU$999999,382,FALSE)</f>
        <v>#N/A</v>
      </c>
      <c r="H23" s="34" t="e">
        <f>VLOOKUP(A1,DIV_01Data!$A$1:$DZU$999999,383,FALSE)</f>
        <v>#N/A</v>
      </c>
      <c r="I23" s="33" t="e">
        <f>VLOOKUP(A1,DIV_01Data!$A$1:$DZU$999999,384,FALSE)</f>
        <v>#N/A</v>
      </c>
      <c r="J23" s="34" t="e">
        <f>VLOOKUP(A1,DIV_01Data!$A$1:$DZU$999999,385,FALSE)</f>
        <v>#N/A</v>
      </c>
      <c r="K23" s="34" t="e">
        <f>VLOOKUP(A1,DIV_01Data!$A$1:$DZU$999999,386,FALSE)</f>
        <v>#N/A</v>
      </c>
      <c r="L23" s="93" t="e">
        <f>VLOOKUP(A1,DIV_01Data!$A$1:$DZU$999999,387,FALSE)</f>
        <v>#N/A</v>
      </c>
      <c r="M23" s="33" t="e">
        <f>VLOOKUP(A1,DIV_01Data!$A$1:$DZU$999999,388,FALSE)</f>
        <v>#N/A</v>
      </c>
      <c r="N23" s="34" t="e">
        <f>VLOOKUP(A1,DIV_01Data!$A$1:$DZU$999999,389,FALSE)</f>
        <v>#N/A</v>
      </c>
      <c r="O23" s="33" t="e">
        <f>VLOOKUP(A1,DIV_01Data!$A$1:$DZU$999999,390,FALSE)</f>
        <v>#N/A</v>
      </c>
      <c r="P23" s="116" t="e">
        <f>VLOOKUP(A1,DIV_01Data!$A$1:$DZU$999999,391,FALSE)</f>
        <v>#N/A</v>
      </c>
      <c r="Q23" s="268" t="e">
        <f>VLOOKUP(A1,DIV_01Data!$A$1:$DZU$999999,392,FALSE)</f>
        <v>#N/A</v>
      </c>
    </row>
    <row r="24" spans="1:17" x14ac:dyDescent="0.35">
      <c r="A24" s="265" t="e">
        <f>VLOOKUP(A1,DIV_01Data!$A$1:$DZU$999999,393,FALSE)</f>
        <v>#N/A</v>
      </c>
      <c r="B24" s="37" t="e">
        <f>VLOOKUP(A1,DIV_01Data!$A$1:$DZU$999999,394,FALSE)</f>
        <v>#N/A</v>
      </c>
      <c r="C24" s="38" t="e">
        <f>VLOOKUP(A1,DIV_01Data!$A$1:$DZU$999999,395,FALSE)</f>
        <v>#N/A</v>
      </c>
      <c r="D24" s="31" t="e">
        <f>VLOOKUP(A1,DIV_01Data!$A$1:$DZU$999999,396,FALSE)</f>
        <v>#N/A</v>
      </c>
      <c r="E24" s="32" t="e">
        <f>VLOOKUP(A1,DIV_01Data!$A$1:$DZU$999999,397,FALSE)</f>
        <v>#N/A</v>
      </c>
      <c r="F24" s="34" t="e">
        <f>VLOOKUP(A1,DIV_01Data!$A$1:$DZU$999999,398,FALSE)</f>
        <v>#N/A</v>
      </c>
      <c r="G24" s="33" t="e">
        <f>VLOOKUP(A1,DIV_01Data!$A$1:$DZU$999999,399,FALSE)</f>
        <v>#N/A</v>
      </c>
      <c r="H24" s="34" t="e">
        <f>VLOOKUP(A1,DIV_01Data!$A$1:$DZU$999999,400,FALSE)</f>
        <v>#N/A</v>
      </c>
      <c r="I24" s="33" t="e">
        <f>VLOOKUP(A1,DIV_01Data!$A$1:$DZU$999999,401,FALSE)</f>
        <v>#N/A</v>
      </c>
      <c r="J24" s="34" t="e">
        <f>VLOOKUP(A1,DIV_01Data!$A$1:$DZU$999999,402,FALSE)</f>
        <v>#N/A</v>
      </c>
      <c r="K24" s="34" t="e">
        <f>VLOOKUP(A1,DIV_01Data!$A$1:$DZU$999999,403,FALSE)</f>
        <v>#N/A</v>
      </c>
      <c r="L24" s="93" t="e">
        <f>VLOOKUP(A1,DIV_01Data!$A$1:$DZU$999999,404,FALSE)</f>
        <v>#N/A</v>
      </c>
      <c r="M24" s="33" t="e">
        <f>VLOOKUP(A1,DIV_01Data!$A$1:$DZU$999999,405,FALSE)</f>
        <v>#N/A</v>
      </c>
      <c r="N24" s="34" t="e">
        <f>VLOOKUP(A1,DIV_01Data!$A$1:$DZU$999999,406,FALSE)</f>
        <v>#N/A</v>
      </c>
      <c r="O24" s="33" t="e">
        <f>VLOOKUP(A1,DIV_01Data!$A$1:$DZU$999999,407,FALSE)</f>
        <v>#N/A</v>
      </c>
      <c r="P24" s="116" t="e">
        <f>VLOOKUP(A1,DIV_01Data!$A$1:$DZU$999999,408,FALSE)</f>
        <v>#N/A</v>
      </c>
      <c r="Q24" s="268" t="e">
        <f>VLOOKUP(A1,DIV_01Data!$A$1:$DZU$999999,409,FALSE)</f>
        <v>#N/A</v>
      </c>
    </row>
    <row r="25" spans="1:17" x14ac:dyDescent="0.35">
      <c r="A25" s="265" t="e">
        <f>VLOOKUP(A1,DIV_01Data!$A$1:$DZU$999999,410,FALSE)</f>
        <v>#N/A</v>
      </c>
      <c r="B25" s="37" t="e">
        <f>VLOOKUP(A1,DIV_01Data!$A$1:$DZU$999999,411,FALSE)</f>
        <v>#N/A</v>
      </c>
      <c r="C25" s="38" t="e">
        <f>VLOOKUP(A1,DIV_01Data!$A$1:$DZU$999999,412,FALSE)</f>
        <v>#N/A</v>
      </c>
      <c r="D25" s="31" t="e">
        <f>VLOOKUP(A1,DIV_01Data!$A$1:$DZU$999999,413,FALSE)</f>
        <v>#N/A</v>
      </c>
      <c r="E25" s="32" t="e">
        <f>VLOOKUP(A1,DIV_01Data!$A$1:$DZU$999999,414,FALSE)</f>
        <v>#N/A</v>
      </c>
      <c r="F25" s="34" t="e">
        <f>VLOOKUP(A1,DIV_01Data!$A$1:$DZU$999999,415,FALSE)</f>
        <v>#N/A</v>
      </c>
      <c r="G25" s="33" t="e">
        <f>VLOOKUP(A1,DIV_01Data!$A$1:$DZU$999999,416,FALSE)</f>
        <v>#N/A</v>
      </c>
      <c r="H25" s="34" t="e">
        <f>VLOOKUP(A1,DIV_01Data!$A$1:$DZU$999999,417,FALSE)</f>
        <v>#N/A</v>
      </c>
      <c r="I25" s="33" t="e">
        <f>VLOOKUP(A1,DIV_01Data!$A$1:$DZU$999999,418,FALSE)</f>
        <v>#N/A</v>
      </c>
      <c r="J25" s="34" t="e">
        <f>VLOOKUP(A1,DIV_01Data!$A$1:$DZU$999999,419,FALSE)</f>
        <v>#N/A</v>
      </c>
      <c r="K25" s="34" t="e">
        <f>VLOOKUP(A1,DIV_01Data!$A$1:$DZU$999999,420,FALSE)</f>
        <v>#N/A</v>
      </c>
      <c r="L25" s="93" t="e">
        <f>VLOOKUP(A1,DIV_01Data!$A$1:$DZU$999999,421,FALSE)</f>
        <v>#N/A</v>
      </c>
      <c r="M25" s="33" t="e">
        <f>VLOOKUP(A1,DIV_01Data!$A$1:$DZU$999999,422,FALSE)</f>
        <v>#N/A</v>
      </c>
      <c r="N25" s="34" t="e">
        <f>VLOOKUP(A1,DIV_01Data!$A$1:$DZU$999999,423,FALSE)</f>
        <v>#N/A</v>
      </c>
      <c r="O25" s="33" t="e">
        <f>VLOOKUP(A1,DIV_01Data!$A$1:$DZU$999999,424,FALSE)</f>
        <v>#N/A</v>
      </c>
      <c r="P25" s="116" t="e">
        <f>VLOOKUP(A1,DIV_01Data!$A$1:$DZU$999999,425,FALSE)</f>
        <v>#N/A</v>
      </c>
      <c r="Q25" s="268" t="e">
        <f>VLOOKUP(A1,DIV_01Data!$A$1:$DZU$999999,426,FALSE)</f>
        <v>#N/A</v>
      </c>
    </row>
    <row r="26" spans="1:17" x14ac:dyDescent="0.35">
      <c r="A26" s="265" t="e">
        <f>VLOOKUP(A1,DIV_01Data!$A$1:$DZU$999999,427,FALSE)</f>
        <v>#N/A</v>
      </c>
      <c r="B26" s="37" t="e">
        <f>VLOOKUP(A1,DIV_01Data!$A$1:$DZU$999999,428,FALSE)</f>
        <v>#N/A</v>
      </c>
      <c r="C26" s="38" t="e">
        <f>VLOOKUP(A1,DIV_01Data!$A$1:$DZU$999999,429,FALSE)</f>
        <v>#N/A</v>
      </c>
      <c r="D26" s="31" t="e">
        <f>VLOOKUP(A1,DIV_01Data!$A$1:$DZU$999999,430,FALSE)</f>
        <v>#N/A</v>
      </c>
      <c r="E26" s="32" t="e">
        <f>VLOOKUP(A1,DIV_01Data!$A$1:$DZU$999999,431,FALSE)</f>
        <v>#N/A</v>
      </c>
      <c r="F26" s="34" t="e">
        <f>VLOOKUP(A1,DIV_01Data!$A$1:$DZU$999999,432,FALSE)</f>
        <v>#N/A</v>
      </c>
      <c r="G26" s="33" t="e">
        <f>VLOOKUP(A1,DIV_01Data!$A$1:$DZU$999999,433,FALSE)</f>
        <v>#N/A</v>
      </c>
      <c r="H26" s="34" t="e">
        <f>VLOOKUP(A1,DIV_01Data!$A$1:$DZU$999999,434,FALSE)</f>
        <v>#N/A</v>
      </c>
      <c r="I26" s="33" t="e">
        <f>VLOOKUP(A1,DIV_01Data!$A$1:$DZU$999999,435,FALSE)</f>
        <v>#N/A</v>
      </c>
      <c r="J26" s="34" t="e">
        <f>VLOOKUP(A1,DIV_01Data!$A$1:$DZU$999999,436,FALSE)</f>
        <v>#N/A</v>
      </c>
      <c r="K26" s="34" t="e">
        <f>VLOOKUP(A1,DIV_01Data!$A$1:$DZU$999999,437,FALSE)</f>
        <v>#N/A</v>
      </c>
      <c r="L26" s="93" t="e">
        <f>VLOOKUP(A1,DIV_01Data!$A$1:$DZU$999999,438,FALSE)</f>
        <v>#N/A</v>
      </c>
      <c r="M26" s="33" t="e">
        <f>VLOOKUP(A1,DIV_01Data!$A$1:$DZU$999999,439,FALSE)</f>
        <v>#N/A</v>
      </c>
      <c r="N26" s="34" t="e">
        <f>VLOOKUP(A1,DIV_01Data!$A$1:$DZU$999999,440,FALSE)</f>
        <v>#N/A</v>
      </c>
      <c r="O26" s="33" t="e">
        <f>VLOOKUP(A1,DIV_01Data!$A$1:$DZU$999999,441,FALSE)</f>
        <v>#N/A</v>
      </c>
      <c r="P26" s="116" t="e">
        <f>VLOOKUP(A1,DIV_01Data!$A$1:$DZU$999999,442,FALSE)</f>
        <v>#N/A</v>
      </c>
      <c r="Q26" s="268" t="e">
        <f>VLOOKUP(A1,DIV_01Data!$A$1:$DZU$999999,443,FALSE)</f>
        <v>#N/A</v>
      </c>
    </row>
    <row r="27" spans="1:17" x14ac:dyDescent="0.35">
      <c r="A27" s="265" t="e">
        <f>VLOOKUP(A1,DIV_01Data!$A$1:$DZU$999999,444,FALSE)</f>
        <v>#N/A</v>
      </c>
      <c r="B27" s="37" t="e">
        <f>VLOOKUP(A1,DIV_01Data!$A$1:$DZU$999999,445,FALSE)</f>
        <v>#N/A</v>
      </c>
      <c r="C27" s="38" t="e">
        <f>VLOOKUP(A1,DIV_01Data!$A$1:$DZU$999999,446,FALSE)</f>
        <v>#N/A</v>
      </c>
      <c r="D27" s="31" t="e">
        <f>VLOOKUP(A1,DIV_01Data!$A$1:$DZU$999999,447,FALSE)</f>
        <v>#N/A</v>
      </c>
      <c r="E27" s="32" t="e">
        <f>VLOOKUP(A1,DIV_01Data!$A$1:$DZU$999999,448,FALSE)</f>
        <v>#N/A</v>
      </c>
      <c r="F27" s="34" t="e">
        <f>VLOOKUP(A1,DIV_01Data!$A$1:$DZU$999999,449,FALSE)</f>
        <v>#N/A</v>
      </c>
      <c r="G27" s="33" t="e">
        <f>VLOOKUP(A1,DIV_01Data!$A$1:$DZU$999999,450,FALSE)</f>
        <v>#N/A</v>
      </c>
      <c r="H27" s="34" t="e">
        <f>VLOOKUP(A1,DIV_01Data!$A$1:$DZU$999999,451,FALSE)</f>
        <v>#N/A</v>
      </c>
      <c r="I27" s="33" t="e">
        <f>VLOOKUP(A1,DIV_01Data!$A$1:$DZU$999999,452,FALSE)</f>
        <v>#N/A</v>
      </c>
      <c r="J27" s="34" t="e">
        <f>VLOOKUP(A1,DIV_01Data!$A$1:$DZU$999999,453,FALSE)</f>
        <v>#N/A</v>
      </c>
      <c r="K27" s="34" t="e">
        <f>VLOOKUP(A1,DIV_01Data!$A$1:$DZU$999999,454,FALSE)</f>
        <v>#N/A</v>
      </c>
      <c r="L27" s="93" t="e">
        <f>VLOOKUP(A1,DIV_01Data!$A$1:$DZU$999999,455,FALSE)</f>
        <v>#N/A</v>
      </c>
      <c r="M27" s="33" t="e">
        <f>VLOOKUP(A1,DIV_01Data!$A$1:$DZU$999999,456,FALSE)</f>
        <v>#N/A</v>
      </c>
      <c r="N27" s="34" t="e">
        <f>VLOOKUP(A1,DIV_01Data!$A$1:$DZU$999999,457,FALSE)</f>
        <v>#N/A</v>
      </c>
      <c r="O27" s="33" t="e">
        <f>VLOOKUP(A1,DIV_01Data!$A$1:$DZU$999999,458,FALSE)</f>
        <v>#N/A</v>
      </c>
      <c r="P27" s="116" t="e">
        <f>VLOOKUP(A1,DIV_01Data!$A$1:$DZU$999999,459,FALSE)</f>
        <v>#N/A</v>
      </c>
      <c r="Q27" s="268" t="e">
        <f>VLOOKUP(A1,DIV_01Data!$A$1:$DZU$999999,460,FALSE)</f>
        <v>#N/A</v>
      </c>
    </row>
    <row r="28" spans="1:17" x14ac:dyDescent="0.35">
      <c r="A28" s="265" t="e">
        <f>VLOOKUP(A1,DIV_01Data!$A$1:$DZU$999999,461,FALSE)</f>
        <v>#N/A</v>
      </c>
      <c r="B28" s="37" t="e">
        <f>VLOOKUP(A1,DIV_01Data!$A$1:$DZU$999999,462,FALSE)</f>
        <v>#N/A</v>
      </c>
      <c r="C28" s="38" t="e">
        <f>VLOOKUP(A1,DIV_01Data!$A$1:$DZU$999999,463,FALSE)</f>
        <v>#N/A</v>
      </c>
      <c r="D28" s="31" t="e">
        <f>VLOOKUP(A1,DIV_01Data!$A$1:$DZU$999999,464,FALSE)</f>
        <v>#N/A</v>
      </c>
      <c r="E28" s="32" t="e">
        <f>VLOOKUP(A1,DIV_01Data!$A$1:$DZU$999999,465,FALSE)</f>
        <v>#N/A</v>
      </c>
      <c r="F28" s="34" t="e">
        <f>VLOOKUP(A1,DIV_01Data!$A$1:$DZU$999999,466,FALSE)</f>
        <v>#N/A</v>
      </c>
      <c r="G28" s="33" t="e">
        <f>VLOOKUP(A1,DIV_01Data!$A$1:$DZU$999999,467,FALSE)</f>
        <v>#N/A</v>
      </c>
      <c r="H28" s="34" t="e">
        <f>VLOOKUP(A1,DIV_01Data!$A$1:$DZU$999999,468,FALSE)</f>
        <v>#N/A</v>
      </c>
      <c r="I28" s="33" t="e">
        <f>VLOOKUP(A1,DIV_01Data!$A$1:$DZU$999999,469,FALSE)</f>
        <v>#N/A</v>
      </c>
      <c r="J28" s="34" t="e">
        <f>VLOOKUP(A1,DIV_01Data!$A$1:$DZU$999999,470,FALSE)</f>
        <v>#N/A</v>
      </c>
      <c r="K28" s="34" t="e">
        <f>VLOOKUP(A1,DIV_01Data!$A$1:$DZU$999999,471,FALSE)</f>
        <v>#N/A</v>
      </c>
      <c r="L28" s="93" t="e">
        <f>VLOOKUP(A1,DIV_01Data!$A$1:$DZU$999999,472,FALSE)</f>
        <v>#N/A</v>
      </c>
      <c r="M28" s="33" t="e">
        <f>VLOOKUP(A1,DIV_01Data!$A$1:$DZU$999999,473,FALSE)</f>
        <v>#N/A</v>
      </c>
      <c r="N28" s="34" t="e">
        <f>VLOOKUP(A1,DIV_01Data!$A$1:$DZU$999999,474,FALSE)</f>
        <v>#N/A</v>
      </c>
      <c r="O28" s="33" t="e">
        <f>VLOOKUP(A1,DIV_01Data!$A$1:$DZU$999999,475,FALSE)</f>
        <v>#N/A</v>
      </c>
      <c r="P28" s="116" t="e">
        <f>VLOOKUP(A1,DIV_01Data!$A$1:$DZU$999999,476,FALSE)</f>
        <v>#N/A</v>
      </c>
      <c r="Q28" s="268" t="e">
        <f>VLOOKUP(A1,DIV_01Data!$A$1:$DZU$999999,477,FALSE)</f>
        <v>#N/A</v>
      </c>
    </row>
    <row r="29" spans="1:17" x14ac:dyDescent="0.35">
      <c r="A29" s="265" t="e">
        <f>VLOOKUP(A1,DIV_01Data!$A$1:$DZU$999999,478,FALSE)</f>
        <v>#N/A</v>
      </c>
      <c r="B29" s="37" t="e">
        <f>VLOOKUP(A1,DIV_01Data!$A$1:$DZU$999999,479,FALSE)</f>
        <v>#N/A</v>
      </c>
      <c r="C29" s="38" t="e">
        <f>VLOOKUP(A1,DIV_01Data!$A$1:$DZU$999999,480,FALSE)</f>
        <v>#N/A</v>
      </c>
      <c r="D29" s="31" t="e">
        <f>VLOOKUP(A1,DIV_01Data!$A$1:$DZU$999999,481,FALSE)</f>
        <v>#N/A</v>
      </c>
      <c r="E29" s="32" t="e">
        <f>VLOOKUP(A1,DIV_01Data!$A$1:$DZU$999999,482,FALSE)</f>
        <v>#N/A</v>
      </c>
      <c r="F29" s="34" t="e">
        <f>VLOOKUP(A1,DIV_01Data!$A$1:$DZU$999999,483,FALSE)</f>
        <v>#N/A</v>
      </c>
      <c r="G29" s="33" t="e">
        <f>VLOOKUP(A1,DIV_01Data!$A$1:$DZU$999999,484,FALSE)</f>
        <v>#N/A</v>
      </c>
      <c r="H29" s="34" t="e">
        <f>VLOOKUP(A1,DIV_01Data!$A$1:$DZU$999999,485,FALSE)</f>
        <v>#N/A</v>
      </c>
      <c r="I29" s="33" t="e">
        <f>VLOOKUP(A1,DIV_01Data!$A$1:$DZU$999999,486,FALSE)</f>
        <v>#N/A</v>
      </c>
      <c r="J29" s="34" t="e">
        <f>VLOOKUP(A1,DIV_01Data!$A$1:$DZU$999999,487,FALSE)</f>
        <v>#N/A</v>
      </c>
      <c r="K29" s="34" t="e">
        <f>VLOOKUP(A1,DIV_01Data!$A$1:$DZU$999999,488,FALSE)</f>
        <v>#N/A</v>
      </c>
      <c r="L29" s="93" t="e">
        <f>VLOOKUP(A1,DIV_01Data!$A$1:$DZU$999999,489,FALSE)</f>
        <v>#N/A</v>
      </c>
      <c r="M29" s="33" t="e">
        <f>VLOOKUP(A1,DIV_01Data!$A$1:$DZU$999999,490,FALSE)</f>
        <v>#N/A</v>
      </c>
      <c r="N29" s="34" t="e">
        <f>VLOOKUP(A1,DIV_01Data!$A$1:$DZU$999999,491,FALSE)</f>
        <v>#N/A</v>
      </c>
      <c r="O29" s="33" t="e">
        <f>VLOOKUP(A1,DIV_01Data!$A$1:$DZU$999999,492,FALSE)</f>
        <v>#N/A</v>
      </c>
      <c r="P29" s="116" t="e">
        <f>VLOOKUP(A1,DIV_01Data!$A$1:$DZU$999999,493,FALSE)</f>
        <v>#N/A</v>
      </c>
      <c r="Q29" s="268" t="e">
        <f>VLOOKUP(A1,DIV_01Data!$A$1:$DZU$999999,494,FALSE)</f>
        <v>#N/A</v>
      </c>
    </row>
    <row r="30" spans="1:17" x14ac:dyDescent="0.35">
      <c r="A30" s="265" t="e">
        <f>VLOOKUP(A1,DIV_01Data!$A$1:$DZU$999999,495,FALSE)</f>
        <v>#N/A</v>
      </c>
      <c r="B30" s="37" t="e">
        <f>VLOOKUP(A1,DIV_01Data!$A$1:$DZU$999999,496,FALSE)</f>
        <v>#N/A</v>
      </c>
      <c r="C30" s="38" t="e">
        <f>VLOOKUP(A1,DIV_01Data!$A$1:$DZU$999999,497,FALSE)</f>
        <v>#N/A</v>
      </c>
      <c r="D30" s="31" t="e">
        <f>VLOOKUP(A1,DIV_01Data!$A$1:$DZU$999999,498,FALSE)</f>
        <v>#N/A</v>
      </c>
      <c r="E30" s="32" t="e">
        <f>VLOOKUP(A1,DIV_01Data!$A$1:$DZU$999999,499,FALSE)</f>
        <v>#N/A</v>
      </c>
      <c r="F30" s="34" t="e">
        <f>VLOOKUP(A1,DIV_01Data!$A$1:$DZU$999999,500,FALSE)</f>
        <v>#N/A</v>
      </c>
      <c r="G30" s="33" t="e">
        <f>VLOOKUP(A1,DIV_01Data!$A$1:$DZU$999999,501,FALSE)</f>
        <v>#N/A</v>
      </c>
      <c r="H30" s="34" t="e">
        <f>VLOOKUP(A1,DIV_01Data!$A$1:$DZU$999999,502,FALSE)</f>
        <v>#N/A</v>
      </c>
      <c r="I30" s="33" t="e">
        <f>VLOOKUP(A1,DIV_01Data!$A$1:$DZU$999999,503,FALSE)</f>
        <v>#N/A</v>
      </c>
      <c r="J30" s="34" t="e">
        <f>VLOOKUP(A1,DIV_01Data!$A$1:$DZU$999999,504,FALSE)</f>
        <v>#N/A</v>
      </c>
      <c r="K30" s="34" t="e">
        <f>VLOOKUP(A1,DIV_01Data!$A$1:$DZU$999999,505,FALSE)</f>
        <v>#N/A</v>
      </c>
      <c r="L30" s="93" t="e">
        <f>VLOOKUP(A1,DIV_01Data!$A$1:$DZU$999999,506,FALSE)</f>
        <v>#N/A</v>
      </c>
      <c r="M30" s="33" t="e">
        <f>VLOOKUP(A1,DIV_01Data!$A$1:$DZU$999999,507,FALSE)</f>
        <v>#N/A</v>
      </c>
      <c r="N30" s="34" t="e">
        <f>VLOOKUP(A1,DIV_01Data!$A$1:$DZU$999999,508,FALSE)</f>
        <v>#N/A</v>
      </c>
      <c r="O30" s="33" t="e">
        <f>VLOOKUP(A1,DIV_01Data!$A$1:$DZU$999999,509,FALSE)</f>
        <v>#N/A</v>
      </c>
      <c r="P30" s="116" t="e">
        <f>VLOOKUP(A1,DIV_01Data!$A$1:$DZU$999999,510,FALSE)</f>
        <v>#N/A</v>
      </c>
      <c r="Q30" s="268" t="e">
        <f>VLOOKUP(A1,DIV_01Data!$A$1:$DZU$999999,511,FALSE)</f>
        <v>#N/A</v>
      </c>
    </row>
    <row r="31" spans="1:17" x14ac:dyDescent="0.35">
      <c r="A31" s="265" t="e">
        <f>VLOOKUP(A1,DIV_01Data!$A$1:$DZU$999999,512,FALSE)</f>
        <v>#N/A</v>
      </c>
      <c r="B31" s="37" t="e">
        <f>VLOOKUP(A1,DIV_01Data!$A$1:$DZU$999999,513,FALSE)</f>
        <v>#N/A</v>
      </c>
      <c r="C31" s="38" t="e">
        <f>VLOOKUP(A1,DIV_01Data!$A$1:$DZU$999999,514,FALSE)</f>
        <v>#N/A</v>
      </c>
      <c r="D31" s="31" t="e">
        <f>VLOOKUP(A1,DIV_01Data!$A$1:$DZU$999999,515,FALSE)</f>
        <v>#N/A</v>
      </c>
      <c r="E31" s="32" t="e">
        <f>VLOOKUP(A1,DIV_01Data!$A$1:$DZU$999999,516,FALSE)</f>
        <v>#N/A</v>
      </c>
      <c r="F31" s="34" t="e">
        <f>VLOOKUP(A1,DIV_01Data!$A$1:$DZU$999999,517,FALSE)</f>
        <v>#N/A</v>
      </c>
      <c r="G31" s="33" t="e">
        <f>VLOOKUP(A1,DIV_01Data!$A$1:$DZU$999999,518,FALSE)</f>
        <v>#N/A</v>
      </c>
      <c r="H31" s="34" t="e">
        <f>VLOOKUP(A1,DIV_01Data!$A$1:$DZU$999999,519,FALSE)</f>
        <v>#N/A</v>
      </c>
      <c r="I31" s="33" t="e">
        <f>VLOOKUP(A1,DIV_01Data!$A$1:$DZU$999999,520,FALSE)</f>
        <v>#N/A</v>
      </c>
      <c r="J31" s="34" t="e">
        <f>VLOOKUP(A1,DIV_01Data!$A$1:$DZU$999999,521,FALSE)</f>
        <v>#N/A</v>
      </c>
      <c r="K31" s="34" t="e">
        <f>VLOOKUP(A1,DIV_01Data!$A$1:$DZU$999999,522,FALSE)</f>
        <v>#N/A</v>
      </c>
      <c r="L31" s="93" t="e">
        <f>VLOOKUP(A1,DIV_01Data!$A$1:$DZU$999999,523,FALSE)</f>
        <v>#N/A</v>
      </c>
      <c r="M31" s="33" t="e">
        <f>VLOOKUP(A1,DIV_01Data!$A$1:$DZU$999999,524,FALSE)</f>
        <v>#N/A</v>
      </c>
      <c r="N31" s="34" t="e">
        <f>VLOOKUP(A1,DIV_01Data!$A$1:$DZU$999999,525,FALSE)</f>
        <v>#N/A</v>
      </c>
      <c r="O31" s="33" t="e">
        <f>VLOOKUP(A1,DIV_01Data!$A$1:$DZU$999999,526,FALSE)</f>
        <v>#N/A</v>
      </c>
      <c r="P31" s="116" t="e">
        <f>VLOOKUP(A1,DIV_01Data!$A$1:$DZU$999999,527,FALSE)</f>
        <v>#N/A</v>
      </c>
      <c r="Q31" s="268" t="e">
        <f>VLOOKUP(A1,DIV_01Data!$A$1:$DZU$999999,528,FALSE)</f>
        <v>#N/A</v>
      </c>
    </row>
    <row r="32" spans="1:17" x14ac:dyDescent="0.35">
      <c r="A32" s="265" t="e">
        <f>VLOOKUP(A1,DIV_01Data!$A$1:$DZU$999999,529,FALSE)</f>
        <v>#N/A</v>
      </c>
      <c r="B32" s="37" t="e">
        <f>VLOOKUP(A1,DIV_01Data!$A$1:$DZU$999999,530,FALSE)</f>
        <v>#N/A</v>
      </c>
      <c r="C32" s="38" t="e">
        <f>VLOOKUP(A1,DIV_01Data!$A$1:$DZU$999999,531,FALSE)</f>
        <v>#N/A</v>
      </c>
      <c r="D32" s="31" t="e">
        <f>VLOOKUP(A1,DIV_01Data!$A$1:$DZU$999999,532,FALSE)</f>
        <v>#N/A</v>
      </c>
      <c r="E32" s="32" t="e">
        <f>VLOOKUP(A1,DIV_01Data!$A$1:$DZU$999999,533,FALSE)</f>
        <v>#N/A</v>
      </c>
      <c r="F32" s="34" t="e">
        <f>VLOOKUP(A1,DIV_01Data!$A$1:$DZU$999999,534,FALSE)</f>
        <v>#N/A</v>
      </c>
      <c r="G32" s="33" t="e">
        <f>VLOOKUP(A1,DIV_01Data!$A$1:$DZU$999999,535,FALSE)</f>
        <v>#N/A</v>
      </c>
      <c r="H32" s="34" t="e">
        <f>VLOOKUP(A1,DIV_01Data!$A$1:$DZU$999999,536,FALSE)</f>
        <v>#N/A</v>
      </c>
      <c r="I32" s="33" t="e">
        <f>VLOOKUP(A1,DIV_01Data!$A$1:$DZU$999999,537,FALSE)</f>
        <v>#N/A</v>
      </c>
      <c r="J32" s="34" t="e">
        <f>VLOOKUP(A1,DIV_01Data!$A$1:$DZU$999999,538,FALSE)</f>
        <v>#N/A</v>
      </c>
      <c r="K32" s="34" t="e">
        <f>VLOOKUP(A1,DIV_01Data!$A$1:$DZU$999999,539,FALSE)</f>
        <v>#N/A</v>
      </c>
      <c r="L32" s="93" t="e">
        <f>VLOOKUP(A1,DIV_01Data!$A$1:$DZU$999999,540,FALSE)</f>
        <v>#N/A</v>
      </c>
      <c r="M32" s="33" t="e">
        <f>VLOOKUP(A1,DIV_01Data!$A$1:$DZU$999999,541,FALSE)</f>
        <v>#N/A</v>
      </c>
      <c r="N32" s="34" t="e">
        <f>VLOOKUP(A1,DIV_01Data!$A$1:$DZU$999999,542,FALSE)</f>
        <v>#N/A</v>
      </c>
      <c r="O32" s="33" t="e">
        <f>VLOOKUP(A1,DIV_01Data!$A$1:$DZU$999999,543,FALSE)</f>
        <v>#N/A</v>
      </c>
      <c r="P32" s="116" t="e">
        <f>VLOOKUP(A1,DIV_01Data!$A$1:$DZU$999999,544,FALSE)</f>
        <v>#N/A</v>
      </c>
      <c r="Q32" s="268" t="e">
        <f>VLOOKUP(A1,DIV_01Data!$A$1:$DZU$999999,545,FALSE)</f>
        <v>#N/A</v>
      </c>
    </row>
    <row r="33" spans="1:17" x14ac:dyDescent="0.35">
      <c r="A33" s="265" t="e">
        <f>VLOOKUP(A1,DIV_01Data!$A$1:$DZU$999999,546,FALSE)</f>
        <v>#N/A</v>
      </c>
      <c r="B33" s="37" t="e">
        <f>VLOOKUP(A1,DIV_01Data!$A$1:$DZU$999999,547,FALSE)</f>
        <v>#N/A</v>
      </c>
      <c r="C33" s="38" t="e">
        <f>VLOOKUP(A1,DIV_01Data!$A$1:$DZU$999999,548,FALSE)</f>
        <v>#N/A</v>
      </c>
      <c r="D33" s="31" t="e">
        <f>VLOOKUP(A1,DIV_01Data!$A$1:$DZU$999999,549,FALSE)</f>
        <v>#N/A</v>
      </c>
      <c r="E33" s="32" t="e">
        <f>VLOOKUP(A1,DIV_01Data!$A$1:$DZU$999999,550,FALSE)</f>
        <v>#N/A</v>
      </c>
      <c r="F33" s="34" t="e">
        <f>VLOOKUP(A1,DIV_01Data!$A$1:$DZU$999999,551,FALSE)</f>
        <v>#N/A</v>
      </c>
      <c r="G33" s="33" t="e">
        <f>VLOOKUP(A1,DIV_01Data!$A$1:$DZU$999999,552,FALSE)</f>
        <v>#N/A</v>
      </c>
      <c r="H33" s="34" t="e">
        <f>VLOOKUP(A1,DIV_01Data!$A$1:$DZU$999999,553,FALSE)</f>
        <v>#N/A</v>
      </c>
      <c r="I33" s="33" t="e">
        <f>VLOOKUP(A1,DIV_01Data!$A$1:$DZU$999999,554,FALSE)</f>
        <v>#N/A</v>
      </c>
      <c r="J33" s="34" t="e">
        <f>VLOOKUP(A1,DIV_01Data!$A$1:$DZU$999999,555,FALSE)</f>
        <v>#N/A</v>
      </c>
      <c r="K33" s="34" t="e">
        <f>VLOOKUP(A1,DIV_01Data!$A$1:$DZU$999999,556,FALSE)</f>
        <v>#N/A</v>
      </c>
      <c r="L33" s="93" t="e">
        <f>VLOOKUP(A1,DIV_01Data!$A$1:$DZU$999999,557,FALSE)</f>
        <v>#N/A</v>
      </c>
      <c r="M33" s="33" t="e">
        <f>VLOOKUP(A1,DIV_01Data!$A$1:$DZU$999999,558,FALSE)</f>
        <v>#N/A</v>
      </c>
      <c r="N33" s="34" t="e">
        <f>VLOOKUP(A1,DIV_01Data!$A$1:$DZU$999999,559,FALSE)</f>
        <v>#N/A</v>
      </c>
      <c r="O33" s="33" t="e">
        <f>VLOOKUP(A1,DIV_01Data!$A$1:$DZU$999999,560,FALSE)</f>
        <v>#N/A</v>
      </c>
      <c r="P33" s="116" t="e">
        <f>VLOOKUP(A1,DIV_01Data!$A$1:$DZU$999999,561,FALSE)</f>
        <v>#N/A</v>
      </c>
      <c r="Q33" s="268" t="e">
        <f>VLOOKUP(A1,DIV_01Data!$A$1:$DZU$999999,562,FALSE)</f>
        <v>#N/A</v>
      </c>
    </row>
    <row r="34" spans="1:17" x14ac:dyDescent="0.35">
      <c r="A34" s="265" t="e">
        <f>VLOOKUP(A1,DIV_01Data!$A$1:$DZU$999999,563,FALSE)</f>
        <v>#N/A</v>
      </c>
      <c r="B34" s="37" t="e">
        <f>VLOOKUP(A1,DIV_01Data!$A$1:$DZU$999999,564,FALSE)</f>
        <v>#N/A</v>
      </c>
      <c r="C34" s="38" t="e">
        <f>VLOOKUP(A1,DIV_01Data!$A$1:$DZU$999999,565,FALSE)</f>
        <v>#N/A</v>
      </c>
      <c r="D34" s="31" t="e">
        <f>VLOOKUP(A1,DIV_01Data!$A$1:$DZU$999999,566,FALSE)</f>
        <v>#N/A</v>
      </c>
      <c r="E34" s="32" t="e">
        <f>VLOOKUP(A1,DIV_01Data!$A$1:$DZU$999999,567,FALSE)</f>
        <v>#N/A</v>
      </c>
      <c r="F34" s="34" t="e">
        <f>VLOOKUP(A1,DIV_01Data!$A$1:$DZU$999999,568,FALSE)</f>
        <v>#N/A</v>
      </c>
      <c r="G34" s="33" t="e">
        <f>VLOOKUP(A1,DIV_01Data!$A$1:$DZU$999999,569,FALSE)</f>
        <v>#N/A</v>
      </c>
      <c r="H34" s="34" t="e">
        <f>VLOOKUP(A1,DIV_01Data!$A$1:$DZU$999999,570,FALSE)</f>
        <v>#N/A</v>
      </c>
      <c r="I34" s="33" t="e">
        <f>VLOOKUP(A1,DIV_01Data!$A$1:$DZU$999999,571,FALSE)</f>
        <v>#N/A</v>
      </c>
      <c r="J34" s="34" t="e">
        <f>VLOOKUP(A1,DIV_01Data!$A$1:$DZU$999999,572,FALSE)</f>
        <v>#N/A</v>
      </c>
      <c r="K34" s="34" t="e">
        <f>VLOOKUP(A1,DIV_01Data!$A$1:$DZU$999999,573,FALSE)</f>
        <v>#N/A</v>
      </c>
      <c r="L34" s="93" t="e">
        <f>VLOOKUP(A1,DIV_01Data!$A$1:$DZU$999999,574,FALSE)</f>
        <v>#N/A</v>
      </c>
      <c r="M34" s="33" t="e">
        <f>VLOOKUP(A1,DIV_01Data!$A$1:$DZU$999999,575,FALSE)</f>
        <v>#N/A</v>
      </c>
      <c r="N34" s="34" t="e">
        <f>VLOOKUP(A1,DIV_01Data!$A$1:$DZU$999999,576,FALSE)</f>
        <v>#N/A</v>
      </c>
      <c r="O34" s="33" t="e">
        <f>VLOOKUP(A1,DIV_01Data!$A$1:$DZU$999999,577,FALSE)</f>
        <v>#N/A</v>
      </c>
      <c r="P34" s="116" t="e">
        <f>VLOOKUP(A1,DIV_01Data!$A$1:$DZU$999999,578,FALSE)</f>
        <v>#N/A</v>
      </c>
      <c r="Q34" s="268" t="e">
        <f>VLOOKUP(A1,DIV_01Data!$A$1:$DZU$999999,579,FALSE)</f>
        <v>#N/A</v>
      </c>
    </row>
    <row r="35" spans="1:17" x14ac:dyDescent="0.35">
      <c r="A35" s="265" t="e">
        <f>VLOOKUP(A1,DIV_01Data!$A$1:$DZU$999999,580,FALSE)</f>
        <v>#N/A</v>
      </c>
      <c r="B35" s="37" t="e">
        <f>VLOOKUP(A1,DIV_01Data!$A$1:$DZU$999999,581,FALSE)</f>
        <v>#N/A</v>
      </c>
      <c r="C35" s="38" t="e">
        <f>VLOOKUP(A1,DIV_01Data!$A$1:$DZU$999999,582,FALSE)</f>
        <v>#N/A</v>
      </c>
      <c r="D35" s="31" t="e">
        <f>VLOOKUP(A1,DIV_01Data!$A$1:$DZU$999999,583,FALSE)</f>
        <v>#N/A</v>
      </c>
      <c r="E35" s="32" t="e">
        <f>VLOOKUP(A1,DIV_01Data!$A$1:$DZU$999999,584,FALSE)</f>
        <v>#N/A</v>
      </c>
      <c r="F35" s="34" t="e">
        <f>VLOOKUP(A1,DIV_01Data!$A$1:$DZU$999999,585,FALSE)</f>
        <v>#N/A</v>
      </c>
      <c r="G35" s="33" t="e">
        <f>VLOOKUP(A1,DIV_01Data!$A$1:$DZU$999999,586,FALSE)</f>
        <v>#N/A</v>
      </c>
      <c r="H35" s="34" t="e">
        <f>VLOOKUP(A1,DIV_01Data!$A$1:$DZU$999999,587,FALSE)</f>
        <v>#N/A</v>
      </c>
      <c r="I35" s="33" t="e">
        <f>VLOOKUP(A1,DIV_01Data!$A$1:$DZU$999999,588,FALSE)</f>
        <v>#N/A</v>
      </c>
      <c r="J35" s="34" t="e">
        <f>VLOOKUP(A1,DIV_01Data!$A$1:$DZU$999999,589,FALSE)</f>
        <v>#N/A</v>
      </c>
      <c r="K35" s="34" t="e">
        <f>VLOOKUP(A1,DIV_01Data!$A$1:$DZU$999999,590,FALSE)</f>
        <v>#N/A</v>
      </c>
      <c r="L35" s="93" t="e">
        <f>VLOOKUP(A1,DIV_01Data!$A$1:$DZU$999999,591,FALSE)</f>
        <v>#N/A</v>
      </c>
      <c r="M35" s="33" t="e">
        <f>VLOOKUP(A1,DIV_01Data!$A$1:$DZU$999999,592,FALSE)</f>
        <v>#N/A</v>
      </c>
      <c r="N35" s="34" t="e">
        <f>VLOOKUP(A1,DIV_01Data!$A$1:$DZU$999999,593,FALSE)</f>
        <v>#N/A</v>
      </c>
      <c r="O35" s="33" t="e">
        <f>VLOOKUP(A1,DIV_01Data!$A$1:$DZU$999999,594,FALSE)</f>
        <v>#N/A</v>
      </c>
      <c r="P35" s="116" t="e">
        <f>VLOOKUP(A1,DIV_01Data!$A$1:$DZU$999999,595,FALSE)</f>
        <v>#N/A</v>
      </c>
      <c r="Q35" s="268" t="e">
        <f>VLOOKUP(A1,DIV_01Data!$A$1:$DZU$999999,596,FALSE)</f>
        <v>#N/A</v>
      </c>
    </row>
    <row r="36" spans="1:17" x14ac:dyDescent="0.35">
      <c r="A36" s="265" t="e">
        <f>VLOOKUP(A1,DIV_01Data!$A$1:$DZU$999999,597,FALSE)</f>
        <v>#N/A</v>
      </c>
      <c r="B36" s="37" t="e">
        <f>VLOOKUP(A1,DIV_01Data!$A$1:$DZU$999999,598,FALSE)</f>
        <v>#N/A</v>
      </c>
      <c r="C36" s="38" t="e">
        <f>VLOOKUP(A1,DIV_01Data!$A$1:$DZU$999999,599,FALSE)</f>
        <v>#N/A</v>
      </c>
      <c r="D36" s="31" t="e">
        <f>VLOOKUP(A1,DIV_01Data!$A$1:$DZU$999999,600,FALSE)</f>
        <v>#N/A</v>
      </c>
      <c r="E36" s="32" t="e">
        <f>VLOOKUP(A1,DIV_01Data!$A$1:$DZU$999999,601,FALSE)</f>
        <v>#N/A</v>
      </c>
      <c r="F36" s="34" t="e">
        <f>VLOOKUP(A1,DIV_01Data!$A$1:$DZU$999999,602,FALSE)</f>
        <v>#N/A</v>
      </c>
      <c r="G36" s="33" t="e">
        <f>VLOOKUP(A1,DIV_01Data!$A$1:$DZU$999999,603,FALSE)</f>
        <v>#N/A</v>
      </c>
      <c r="H36" s="34" t="e">
        <f>VLOOKUP(A1,DIV_01Data!$A$1:$DZU$999999,604,FALSE)</f>
        <v>#N/A</v>
      </c>
      <c r="I36" s="33" t="e">
        <f>VLOOKUP(A1,DIV_01Data!$A$1:$DZU$999999,605,FALSE)</f>
        <v>#N/A</v>
      </c>
      <c r="J36" s="34" t="e">
        <f>VLOOKUP(A1,DIV_01Data!$A$1:$DZU$999999,606,FALSE)</f>
        <v>#N/A</v>
      </c>
      <c r="K36" s="34" t="e">
        <f>VLOOKUP(A1,DIV_01Data!$A$1:$DZU$999999,607,FALSE)</f>
        <v>#N/A</v>
      </c>
      <c r="L36" s="93" t="e">
        <f>VLOOKUP(A1,DIV_01Data!$A$1:$DZU$999999,608,FALSE)</f>
        <v>#N/A</v>
      </c>
      <c r="M36" s="33" t="e">
        <f>VLOOKUP(A1,DIV_01Data!$A$1:$DZU$999999,609,FALSE)</f>
        <v>#N/A</v>
      </c>
      <c r="N36" s="34" t="e">
        <f>VLOOKUP(A1,DIV_01Data!$A$1:$DZU$999999,610,FALSE)</f>
        <v>#N/A</v>
      </c>
      <c r="O36" s="33" t="e">
        <f>VLOOKUP(A1,DIV_01Data!$A$1:$DZU$999999,611,FALSE)</f>
        <v>#N/A</v>
      </c>
      <c r="P36" s="116" t="e">
        <f>VLOOKUP(A1,DIV_01Data!$A$1:$DZU$999999,612,FALSE)</f>
        <v>#N/A</v>
      </c>
      <c r="Q36" s="268" t="e">
        <f>VLOOKUP(A1,DIV_01Data!$A$1:$DZU$999999,613,FALSE)</f>
        <v>#N/A</v>
      </c>
    </row>
    <row r="37" spans="1:17" x14ac:dyDescent="0.35">
      <c r="A37" s="265" t="e">
        <f>VLOOKUP(A1,DIV_01Data!$A$1:$DZU$999999,614,FALSE)</f>
        <v>#N/A</v>
      </c>
      <c r="B37" s="37" t="e">
        <f>VLOOKUP(A1,DIV_01Data!$A$1:$DZU$999999,615,FALSE)</f>
        <v>#N/A</v>
      </c>
      <c r="C37" s="38" t="e">
        <f>VLOOKUP(A1,DIV_01Data!$A$1:$DZU$999999,616,FALSE)</f>
        <v>#N/A</v>
      </c>
      <c r="D37" s="31" t="e">
        <f>VLOOKUP(A1,DIV_01Data!$A$1:$DZU$999999,617,FALSE)</f>
        <v>#N/A</v>
      </c>
      <c r="E37" s="32" t="e">
        <f>VLOOKUP(A1,DIV_01Data!$A$1:$DZU$999999,618,FALSE)</f>
        <v>#N/A</v>
      </c>
      <c r="F37" s="34" t="e">
        <f>VLOOKUP(A1,DIV_01Data!$A$1:$DZU$999999,619,FALSE)</f>
        <v>#N/A</v>
      </c>
      <c r="G37" s="33" t="e">
        <f>VLOOKUP(A1,DIV_01Data!$A$1:$DZU$999999,620,FALSE)</f>
        <v>#N/A</v>
      </c>
      <c r="H37" s="34" t="e">
        <f>VLOOKUP(A1,DIV_01Data!$A$1:$DZU$999999,621,FALSE)</f>
        <v>#N/A</v>
      </c>
      <c r="I37" s="33" t="e">
        <f>VLOOKUP(A1,DIV_01Data!$A$1:$DZU$999999,622,FALSE)</f>
        <v>#N/A</v>
      </c>
      <c r="J37" s="34" t="e">
        <f>VLOOKUP(A1,DIV_01Data!$A$1:$DZU$999999,623,FALSE)</f>
        <v>#N/A</v>
      </c>
      <c r="K37" s="34" t="e">
        <f>VLOOKUP(A1,DIV_01Data!$A$1:$DZU$999999,624,FALSE)</f>
        <v>#N/A</v>
      </c>
      <c r="L37" s="93" t="e">
        <f>VLOOKUP(A1,DIV_01Data!$A$1:$DZU$999999,625,FALSE)</f>
        <v>#N/A</v>
      </c>
      <c r="M37" s="33" t="e">
        <f>VLOOKUP(A1,DIV_01Data!$A$1:$DZU$999999,626,FALSE)</f>
        <v>#N/A</v>
      </c>
      <c r="N37" s="34" t="e">
        <f>VLOOKUP(A1,DIV_01Data!$A$1:$DZU$999999,627,FALSE)</f>
        <v>#N/A</v>
      </c>
      <c r="O37" s="33" t="e">
        <f>VLOOKUP(A1,DIV_01Data!$A$1:$DZU$999999,628,FALSE)</f>
        <v>#N/A</v>
      </c>
      <c r="P37" s="116" t="e">
        <f>VLOOKUP(A1,DIV_01Data!$A$1:$DZU$999999,629,FALSE)</f>
        <v>#N/A</v>
      </c>
      <c r="Q37" s="268" t="e">
        <f>VLOOKUP(A1,DIV_01Data!$A$1:$DZU$999999,630,FALSE)</f>
        <v>#N/A</v>
      </c>
    </row>
    <row r="38" spans="1:17" x14ac:dyDescent="0.35">
      <c r="A38" s="265" t="e">
        <f>VLOOKUP(A1,DIV_01Data!$A$1:$DZU$999999,631,FALSE)</f>
        <v>#N/A</v>
      </c>
      <c r="B38" s="37" t="e">
        <f>VLOOKUP(A1,DIV_01Data!$A$1:$DZU$999999,632,FALSE)</f>
        <v>#N/A</v>
      </c>
      <c r="C38" s="38" t="e">
        <f>VLOOKUP(A1,DIV_01Data!$A$1:$DZU$999999,633,FALSE)</f>
        <v>#N/A</v>
      </c>
      <c r="D38" s="31" t="e">
        <f>VLOOKUP(A1,DIV_01Data!$A$1:$DZU$999999,634,FALSE)</f>
        <v>#N/A</v>
      </c>
      <c r="E38" s="32" t="e">
        <f>VLOOKUP(A1,DIV_01Data!$A$1:$DZU$999999,635,FALSE)</f>
        <v>#N/A</v>
      </c>
      <c r="F38" s="34" t="e">
        <f>VLOOKUP(A1,DIV_01Data!$A$1:$DZU$999999,636,FALSE)</f>
        <v>#N/A</v>
      </c>
      <c r="G38" s="33" t="e">
        <f>VLOOKUP(A1,DIV_01Data!$A$1:$DZU$999999,637,FALSE)</f>
        <v>#N/A</v>
      </c>
      <c r="H38" s="34" t="e">
        <f>VLOOKUP(A1,DIV_01Data!$A$1:$DZU$999999,638,FALSE)</f>
        <v>#N/A</v>
      </c>
      <c r="I38" s="33" t="e">
        <f>VLOOKUP(A1,DIV_01Data!$A$1:$DZU$999999,639,FALSE)</f>
        <v>#N/A</v>
      </c>
      <c r="J38" s="34" t="e">
        <f>VLOOKUP(A1,DIV_01Data!$A$1:$DZU$999999,640,FALSE)</f>
        <v>#N/A</v>
      </c>
      <c r="K38" s="34" t="e">
        <f>VLOOKUP(A1,DIV_01Data!$A$1:$DZU$999999,641,FALSE)</f>
        <v>#N/A</v>
      </c>
      <c r="L38" s="93" t="e">
        <f>VLOOKUP(A1,DIV_01Data!$A$1:$DZU$999999,642,FALSE)</f>
        <v>#N/A</v>
      </c>
      <c r="M38" s="33" t="e">
        <f>VLOOKUP(A1,DIV_01Data!$A$1:$DZU$999999,643,FALSE)</f>
        <v>#N/A</v>
      </c>
      <c r="N38" s="34" t="e">
        <f>VLOOKUP(A1,DIV_01Data!$A$1:$DZU$999999,644,FALSE)</f>
        <v>#N/A</v>
      </c>
      <c r="O38" s="33" t="e">
        <f>VLOOKUP(A1,DIV_01Data!$A$1:$DZU$999999,645,FALSE)</f>
        <v>#N/A</v>
      </c>
      <c r="P38" s="116" t="e">
        <f>VLOOKUP(A1,DIV_01Data!$A$1:$DZU$999999,646,FALSE)</f>
        <v>#N/A</v>
      </c>
      <c r="Q38" s="268" t="e">
        <f>VLOOKUP(A1,DIV_01Data!$A$1:$DZU$999999,647,FALSE)</f>
        <v>#N/A</v>
      </c>
    </row>
    <row r="39" spans="1:17" x14ac:dyDescent="0.35">
      <c r="A39" s="265" t="e">
        <f>VLOOKUP(A1,DIV_01Data!$A$1:$DZU$999999,648,FALSE)</f>
        <v>#N/A</v>
      </c>
      <c r="B39" s="37" t="e">
        <f>VLOOKUP(A1,DIV_01Data!$A$1:$DZU$999999,649,FALSE)</f>
        <v>#N/A</v>
      </c>
      <c r="C39" s="38" t="e">
        <f>VLOOKUP(A1,DIV_01Data!$A$1:$DZU$999999,650,FALSE)</f>
        <v>#N/A</v>
      </c>
      <c r="D39" s="31" t="e">
        <f>VLOOKUP(A1,DIV_01Data!$A$1:$DZU$999999,651,FALSE)</f>
        <v>#N/A</v>
      </c>
      <c r="E39" s="32" t="e">
        <f>VLOOKUP(A1,DIV_01Data!$A$1:$DZU$999999,652,FALSE)</f>
        <v>#N/A</v>
      </c>
      <c r="F39" s="34" t="e">
        <f>VLOOKUP(A1,DIV_01Data!$A$1:$DZU$999999,653,FALSE)</f>
        <v>#N/A</v>
      </c>
      <c r="G39" s="33" t="e">
        <f>VLOOKUP(A1,DIV_01Data!$A$1:$DZU$999999,654,FALSE)</f>
        <v>#N/A</v>
      </c>
      <c r="H39" s="34" t="e">
        <f>VLOOKUP(A1,DIV_01Data!$A$1:$DZU$999999,655,FALSE)</f>
        <v>#N/A</v>
      </c>
      <c r="I39" s="33" t="e">
        <f>VLOOKUP(A1,DIV_01Data!$A$1:$DZU$999999,656,FALSE)</f>
        <v>#N/A</v>
      </c>
      <c r="J39" s="34" t="e">
        <f>VLOOKUP(A1,DIV_01Data!$A$1:$DZU$999999,657,FALSE)</f>
        <v>#N/A</v>
      </c>
      <c r="K39" s="34" t="e">
        <f>VLOOKUP(A1,DIV_01Data!$A$1:$DZU$999999,658,FALSE)</f>
        <v>#N/A</v>
      </c>
      <c r="L39" s="93" t="e">
        <f>VLOOKUP(A1,DIV_01Data!$A$1:$DZU$999999,659,FALSE)</f>
        <v>#N/A</v>
      </c>
      <c r="M39" s="33" t="e">
        <f>VLOOKUP(A1,DIV_01Data!$A$1:$DZU$999999,660,FALSE)</f>
        <v>#N/A</v>
      </c>
      <c r="N39" s="34" t="e">
        <f>VLOOKUP(A1,DIV_01Data!$A$1:$DZU$999999,661,FALSE)</f>
        <v>#N/A</v>
      </c>
      <c r="O39" s="33" t="e">
        <f>VLOOKUP(A1,DIV_01Data!$A$1:$DZU$999999,662,FALSE)</f>
        <v>#N/A</v>
      </c>
      <c r="P39" s="116" t="e">
        <f>VLOOKUP(A1,DIV_01Data!$A$1:$DZU$999999,663,FALSE)</f>
        <v>#N/A</v>
      </c>
      <c r="Q39" s="268" t="e">
        <f>VLOOKUP(A1,DIV_01Data!$A$1:$DZU$999999,664,FALSE)</f>
        <v>#N/A</v>
      </c>
    </row>
    <row r="40" spans="1:17" x14ac:dyDescent="0.35">
      <c r="A40" s="265" t="e">
        <f>VLOOKUP(A1,DIV_01Data!$A$1:$DZU$999999,665,FALSE)</f>
        <v>#N/A</v>
      </c>
      <c r="B40" s="37" t="e">
        <f>VLOOKUP(A1,DIV_01Data!$A$1:$DZU$999999,666,FALSE)</f>
        <v>#N/A</v>
      </c>
      <c r="C40" s="38" t="e">
        <f>VLOOKUP(A1,DIV_01Data!$A$1:$DZU$999999,667,FALSE)</f>
        <v>#N/A</v>
      </c>
      <c r="D40" s="31" t="e">
        <f>VLOOKUP(A1,DIV_01Data!$A$1:$DZU$999999,668,FALSE)</f>
        <v>#N/A</v>
      </c>
      <c r="E40" s="32" t="e">
        <f>VLOOKUP(A1,DIV_01Data!$A$1:$DZU$999999,669,FALSE)</f>
        <v>#N/A</v>
      </c>
      <c r="F40" s="34" t="e">
        <f>VLOOKUP(A1,DIV_01Data!$A$1:$DZU$999999,670,FALSE)</f>
        <v>#N/A</v>
      </c>
      <c r="G40" s="33" t="e">
        <f>VLOOKUP(A1,DIV_01Data!$A$1:$DZU$999999,671,FALSE)</f>
        <v>#N/A</v>
      </c>
      <c r="H40" s="34" t="e">
        <f>VLOOKUP(A1,DIV_01Data!$A$1:$DZU$999999,672,FALSE)</f>
        <v>#N/A</v>
      </c>
      <c r="I40" s="33" t="e">
        <f>VLOOKUP(A1,DIV_01Data!$A$1:$DZU$999999,673,FALSE)</f>
        <v>#N/A</v>
      </c>
      <c r="J40" s="34" t="e">
        <f>VLOOKUP(A1,DIV_01Data!$A$1:$DZU$999999,674,FALSE)</f>
        <v>#N/A</v>
      </c>
      <c r="K40" s="34" t="e">
        <f>VLOOKUP(A1,DIV_01Data!$A$1:$DZU$999999,675,FALSE)</f>
        <v>#N/A</v>
      </c>
      <c r="L40" s="93" t="e">
        <f>VLOOKUP(A1,DIV_01Data!$A$1:$DZU$999999,676,FALSE)</f>
        <v>#N/A</v>
      </c>
      <c r="M40" s="33" t="e">
        <f>VLOOKUP(A1,DIV_01Data!$A$1:$DZU$999999,677,FALSE)</f>
        <v>#N/A</v>
      </c>
      <c r="N40" s="34" t="e">
        <f>VLOOKUP(A1,DIV_01Data!$A$1:$DZU$999999,678,FALSE)</f>
        <v>#N/A</v>
      </c>
      <c r="O40" s="33" t="e">
        <f>VLOOKUP(A1,DIV_01Data!$A$1:$DZU$999999,679,FALSE)</f>
        <v>#N/A</v>
      </c>
      <c r="P40" s="116" t="e">
        <f>VLOOKUP(A1,DIV_01Data!$A$1:$DZU$999999,680,FALSE)</f>
        <v>#N/A</v>
      </c>
      <c r="Q40" s="268" t="e">
        <f>VLOOKUP(A1,DIV_01Data!$A$1:$DZU$999999,681,FALSE)</f>
        <v>#N/A</v>
      </c>
    </row>
    <row r="41" spans="1:17" x14ac:dyDescent="0.35">
      <c r="A41" s="265" t="e">
        <f>VLOOKUP(A1,DIV_01Data!$A$1:$DZU$999999,682,FALSE)</f>
        <v>#N/A</v>
      </c>
      <c r="B41" s="37" t="e">
        <f>VLOOKUP(A1,DIV_01Data!$A$1:$DZU$999999,683,FALSE)</f>
        <v>#N/A</v>
      </c>
      <c r="C41" s="38" t="e">
        <f>VLOOKUP(A1,DIV_01Data!$A$1:$DZU$999999,684,FALSE)</f>
        <v>#N/A</v>
      </c>
      <c r="D41" s="31" t="e">
        <f>VLOOKUP(A1,DIV_01Data!$A$1:$DZU$999999,685,FALSE)</f>
        <v>#N/A</v>
      </c>
      <c r="E41" s="32" t="e">
        <f>VLOOKUP(A1,DIV_01Data!$A$1:$DZU$999999,686,FALSE)</f>
        <v>#N/A</v>
      </c>
      <c r="F41" s="34" t="e">
        <f>VLOOKUP(A1,DIV_01Data!$A$1:$DZU$999999,687,FALSE)</f>
        <v>#N/A</v>
      </c>
      <c r="G41" s="33" t="e">
        <f>VLOOKUP(A1,DIV_01Data!$A$1:$DZU$999999,688,FALSE)</f>
        <v>#N/A</v>
      </c>
      <c r="H41" s="34" t="e">
        <f>VLOOKUP(A1,DIV_01Data!$A$1:$DZU$999999,689,FALSE)</f>
        <v>#N/A</v>
      </c>
      <c r="I41" s="33" t="e">
        <f>VLOOKUP(A1,DIV_01Data!$A$1:$DZU$999999,690,FALSE)</f>
        <v>#N/A</v>
      </c>
      <c r="J41" s="34" t="e">
        <f>VLOOKUP(A1,DIV_01Data!$A$1:$DZU$999999,691,FALSE)</f>
        <v>#N/A</v>
      </c>
      <c r="K41" s="34" t="e">
        <f>VLOOKUP(A1,DIV_01Data!$A$1:$DZU$999999,692,FALSE)</f>
        <v>#N/A</v>
      </c>
      <c r="L41" s="93" t="e">
        <f>VLOOKUP(A1,DIV_01Data!$A$1:$DZU$999999,693,FALSE)</f>
        <v>#N/A</v>
      </c>
      <c r="M41" s="33" t="e">
        <f>VLOOKUP(A1,DIV_01Data!$A$1:$DZU$999999,694,FALSE)</f>
        <v>#N/A</v>
      </c>
      <c r="N41" s="34" t="e">
        <f>VLOOKUP(A1,DIV_01Data!$A$1:$DZU$999999,695,FALSE)</f>
        <v>#N/A</v>
      </c>
      <c r="O41" s="33" t="e">
        <f>VLOOKUP(A1,DIV_01Data!$A$1:$DZU$999999,696,FALSE)</f>
        <v>#N/A</v>
      </c>
      <c r="P41" s="116" t="e">
        <f>VLOOKUP(A1,DIV_01Data!$A$1:$DZU$999999,697,FALSE)</f>
        <v>#N/A</v>
      </c>
      <c r="Q41" s="268" t="e">
        <f>VLOOKUP(A1,DIV_01Data!$A$1:$DZU$999999,698,FALSE)</f>
        <v>#N/A</v>
      </c>
    </row>
    <row r="42" spans="1:17" x14ac:dyDescent="0.35">
      <c r="A42" s="265" t="e">
        <f>VLOOKUP(A1,DIV_01Data!$A$1:$DZU$999999,699,FALSE)</f>
        <v>#N/A</v>
      </c>
      <c r="B42" s="37" t="e">
        <f>VLOOKUP(A1,DIV_01Data!$A$1:$DZU$999999,700,FALSE)</f>
        <v>#N/A</v>
      </c>
      <c r="C42" s="38" t="e">
        <f>VLOOKUP(A1,DIV_01Data!$A$1:$DZU$999999,701,FALSE)</f>
        <v>#N/A</v>
      </c>
      <c r="D42" s="31" t="e">
        <f>VLOOKUP(A1,DIV_01Data!$A$1:$DZU$999999,702,FALSE)</f>
        <v>#N/A</v>
      </c>
      <c r="E42" s="32" t="e">
        <f>VLOOKUP(A1,DIV_01Data!$A$1:$DZU$999999,703,FALSE)</f>
        <v>#N/A</v>
      </c>
      <c r="F42" s="34" t="e">
        <f>VLOOKUP(A1,DIV_01Data!$A$1:$DZU$999999,704,FALSE)</f>
        <v>#N/A</v>
      </c>
      <c r="G42" s="33" t="e">
        <f>VLOOKUP(A1,DIV_01Data!$A$1:$DZU$999999,705,FALSE)</f>
        <v>#N/A</v>
      </c>
      <c r="H42" s="34" t="e">
        <f>VLOOKUP(A1,DIV_01Data!$A$1:$DZU$999999,706,FALSE)</f>
        <v>#N/A</v>
      </c>
      <c r="I42" s="33" t="e">
        <f>VLOOKUP(A1,DIV_01Data!$A$1:$DZU$999999,707,FALSE)</f>
        <v>#N/A</v>
      </c>
      <c r="J42" s="34" t="e">
        <f>VLOOKUP(A1,DIV_01Data!$A$1:$DZU$999999,708,FALSE)</f>
        <v>#N/A</v>
      </c>
      <c r="K42" s="34" t="e">
        <f>VLOOKUP(A1,DIV_01Data!$A$1:$DZU$999999,709,FALSE)</f>
        <v>#N/A</v>
      </c>
      <c r="L42" s="93" t="e">
        <f>VLOOKUP(A1,DIV_01Data!$A$1:$DZU$999999,710,FALSE)</f>
        <v>#N/A</v>
      </c>
      <c r="M42" s="33" t="e">
        <f>VLOOKUP(A1,DIV_01Data!$A$1:$DZU$999999,711,FALSE)</f>
        <v>#N/A</v>
      </c>
      <c r="N42" s="34" t="e">
        <f>VLOOKUP(A1,DIV_01Data!$A$1:$DZU$999999,712,FALSE)</f>
        <v>#N/A</v>
      </c>
      <c r="O42" s="33" t="e">
        <f>VLOOKUP(A1,DIV_01Data!$A$1:$DZU$999999,713,FALSE)</f>
        <v>#N/A</v>
      </c>
      <c r="P42" s="116" t="e">
        <f>VLOOKUP(A1,DIV_01Data!$A$1:$DZU$999999,714,FALSE)</f>
        <v>#N/A</v>
      </c>
      <c r="Q42" s="268" t="e">
        <f>VLOOKUP(A1,DIV_01Data!$A$1:$DZU$999999,715,FALSE)</f>
        <v>#N/A</v>
      </c>
    </row>
    <row r="43" spans="1:17" x14ac:dyDescent="0.35">
      <c r="A43" s="265" t="e">
        <f>VLOOKUP(A1,DIV_01Data!$A$1:$DZU$999999,716,FALSE)</f>
        <v>#N/A</v>
      </c>
      <c r="B43" s="37" t="e">
        <f>VLOOKUP(A1,DIV_01Data!$A$1:$DZU$999999,717,FALSE)</f>
        <v>#N/A</v>
      </c>
      <c r="C43" s="38" t="e">
        <f>VLOOKUP(A1,DIV_01Data!$A$1:$DZU$999999,718,FALSE)</f>
        <v>#N/A</v>
      </c>
      <c r="D43" s="31" t="e">
        <f>VLOOKUP(A1,DIV_01Data!$A$1:$DZU$999999,719,FALSE)</f>
        <v>#N/A</v>
      </c>
      <c r="E43" s="32" t="e">
        <f>VLOOKUP(A1,DIV_01Data!$A$1:$DZU$999999,720,FALSE)</f>
        <v>#N/A</v>
      </c>
      <c r="F43" s="34" t="e">
        <f>VLOOKUP(A1,DIV_01Data!$A$1:$DZU$999999,721,FALSE)</f>
        <v>#N/A</v>
      </c>
      <c r="G43" s="33" t="e">
        <f>VLOOKUP(A1,DIV_01Data!$A$1:$DZU$999999,722,FALSE)</f>
        <v>#N/A</v>
      </c>
      <c r="H43" s="34" t="e">
        <f>VLOOKUP(A1,DIV_01Data!$A$1:$DZU$999999,723,FALSE)</f>
        <v>#N/A</v>
      </c>
      <c r="I43" s="33" t="e">
        <f>VLOOKUP(A1,DIV_01Data!$A$1:$DZU$999999,724,FALSE)</f>
        <v>#N/A</v>
      </c>
      <c r="J43" s="34" t="e">
        <f>VLOOKUP(A1,DIV_01Data!$A$1:$DZU$999999,725,FALSE)</f>
        <v>#N/A</v>
      </c>
      <c r="K43" s="34" t="e">
        <f>VLOOKUP(A1,DIV_01Data!$A$1:$DZU$999999,726,FALSE)</f>
        <v>#N/A</v>
      </c>
      <c r="L43" s="93" t="e">
        <f>VLOOKUP(A1,DIV_01Data!$A$1:$DZU$999999,727,FALSE)</f>
        <v>#N/A</v>
      </c>
      <c r="M43" s="33" t="e">
        <f>VLOOKUP(A1,DIV_01Data!$A$1:$DZU$999999,728,FALSE)</f>
        <v>#N/A</v>
      </c>
      <c r="N43" s="34" t="e">
        <f>VLOOKUP(A1,DIV_01Data!$A$1:$DZU$999999,729,FALSE)</f>
        <v>#N/A</v>
      </c>
      <c r="O43" s="33" t="e">
        <f>VLOOKUP(A1,DIV_01Data!$A$1:$DZU$999999,730,FALSE)</f>
        <v>#N/A</v>
      </c>
      <c r="P43" s="116" t="e">
        <f>VLOOKUP(A1,DIV_01Data!$A$1:$DZU$999999,731,FALSE)</f>
        <v>#N/A</v>
      </c>
      <c r="Q43" s="268" t="e">
        <f>VLOOKUP(A1,DIV_01Data!$A$1:$DZU$999999,732,FALSE)</f>
        <v>#N/A</v>
      </c>
    </row>
    <row r="44" spans="1:17" x14ac:dyDescent="0.35">
      <c r="A44" s="265" t="e">
        <f>VLOOKUP(A1,DIV_01Data!$A$1:$DZU$999999,733,FALSE)</f>
        <v>#N/A</v>
      </c>
      <c r="B44" s="37" t="e">
        <f>VLOOKUP(A1,DIV_01Data!$A$1:$DZU$999999,734,FALSE)</f>
        <v>#N/A</v>
      </c>
      <c r="C44" s="38" t="e">
        <f>VLOOKUP(A1,DIV_01Data!$A$1:$DZU$999999,735,FALSE)</f>
        <v>#N/A</v>
      </c>
      <c r="D44" s="31" t="e">
        <f>VLOOKUP(A1,DIV_01Data!$A$1:$DZU$999999,736,FALSE)</f>
        <v>#N/A</v>
      </c>
      <c r="E44" s="32" t="e">
        <f>VLOOKUP(A1,DIV_01Data!$A$1:$DZU$999999,737,FALSE)</f>
        <v>#N/A</v>
      </c>
      <c r="F44" s="34" t="e">
        <f>VLOOKUP(A1,DIV_01Data!$A$1:$DZU$999999,738,FALSE)</f>
        <v>#N/A</v>
      </c>
      <c r="G44" s="33" t="e">
        <f>VLOOKUP(A1,DIV_01Data!$A$1:$DZU$999999,739,FALSE)</f>
        <v>#N/A</v>
      </c>
      <c r="H44" s="34" t="e">
        <f>VLOOKUP(A1,DIV_01Data!$A$1:$DZU$999999,740,FALSE)</f>
        <v>#N/A</v>
      </c>
      <c r="I44" s="33" t="e">
        <f>VLOOKUP(A1,DIV_01Data!$A$1:$DZU$999999,741,FALSE)</f>
        <v>#N/A</v>
      </c>
      <c r="J44" s="34" t="e">
        <f>VLOOKUP(A1,DIV_01Data!$A$1:$DZU$999999,742,FALSE)</f>
        <v>#N/A</v>
      </c>
      <c r="K44" s="34" t="e">
        <f>VLOOKUP(A1,DIV_01Data!$A$1:$DZU$999999,743,FALSE)</f>
        <v>#N/A</v>
      </c>
      <c r="L44" s="93" t="e">
        <f>VLOOKUP(A1,DIV_01Data!$A$1:$DZU$999999,744,FALSE)</f>
        <v>#N/A</v>
      </c>
      <c r="M44" s="33" t="e">
        <f>VLOOKUP(A1,DIV_01Data!$A$1:$DZU$999999,745,FALSE)</f>
        <v>#N/A</v>
      </c>
      <c r="N44" s="34" t="e">
        <f>VLOOKUP(A1,DIV_01Data!$A$1:$DZU$999999,746,FALSE)</f>
        <v>#N/A</v>
      </c>
      <c r="O44" s="33" t="e">
        <f>VLOOKUP(A1,DIV_01Data!$A$1:$DZU$999999,747,FALSE)</f>
        <v>#N/A</v>
      </c>
      <c r="P44" s="116" t="e">
        <f>VLOOKUP(A1,DIV_01Data!$A$1:$DZU$999999,748,FALSE)</f>
        <v>#N/A</v>
      </c>
      <c r="Q44" s="268" t="e">
        <f>VLOOKUP(A1,DIV_01Data!$A$1:$DZU$999999,749,FALSE)</f>
        <v>#N/A</v>
      </c>
    </row>
    <row r="45" spans="1:17" x14ac:dyDescent="0.35">
      <c r="A45" s="265" t="e">
        <f>VLOOKUP(A1,DIV_01Data!$A$1:$DZU$999999,750,FALSE)</f>
        <v>#N/A</v>
      </c>
      <c r="B45" s="37" t="e">
        <f>VLOOKUP(A1,DIV_01Data!$A$1:$DZU$999999,751,FALSE)</f>
        <v>#N/A</v>
      </c>
      <c r="C45" s="38" t="e">
        <f>VLOOKUP(A1,DIV_01Data!$A$1:$DZU$999999,752,FALSE)</f>
        <v>#N/A</v>
      </c>
      <c r="D45" s="31" t="e">
        <f>VLOOKUP(A1,DIV_01Data!$A$1:$DZU$999999,753,FALSE)</f>
        <v>#N/A</v>
      </c>
      <c r="E45" s="32" t="e">
        <f>VLOOKUP(A1,DIV_01Data!$A$1:$DZU$999999,754,FALSE)</f>
        <v>#N/A</v>
      </c>
      <c r="F45" s="34" t="e">
        <f>VLOOKUP(A1,DIV_01Data!$A$1:$DZU$999999,755,FALSE)</f>
        <v>#N/A</v>
      </c>
      <c r="G45" s="33" t="e">
        <f>VLOOKUP(A1,DIV_01Data!$A$1:$DZU$999999,756,FALSE)</f>
        <v>#N/A</v>
      </c>
      <c r="H45" s="34" t="e">
        <f>VLOOKUP(A1,DIV_01Data!$A$1:$DZU$999999,757,FALSE)</f>
        <v>#N/A</v>
      </c>
      <c r="I45" s="33" t="e">
        <f>VLOOKUP(A1,DIV_01Data!$A$1:$DZU$999999,758,FALSE)</f>
        <v>#N/A</v>
      </c>
      <c r="J45" s="34" t="e">
        <f>VLOOKUP(A1,DIV_01Data!$A$1:$DZU$999999,759,FALSE)</f>
        <v>#N/A</v>
      </c>
      <c r="K45" s="34" t="e">
        <f>VLOOKUP(A1,DIV_01Data!$A$1:$DZU$999999,760,FALSE)</f>
        <v>#N/A</v>
      </c>
      <c r="L45" s="93" t="e">
        <f>VLOOKUP(A1,DIV_01Data!$A$1:$DZU$999999,761,FALSE)</f>
        <v>#N/A</v>
      </c>
      <c r="M45" s="33" t="e">
        <f>VLOOKUP(A1,DIV_01Data!$A$1:$DZU$999999,762,FALSE)</f>
        <v>#N/A</v>
      </c>
      <c r="N45" s="34" t="e">
        <f>VLOOKUP(A1,DIV_01Data!$A$1:$DZU$999999,763,FALSE)</f>
        <v>#N/A</v>
      </c>
      <c r="O45" s="33" t="e">
        <f>VLOOKUP(A1,DIV_01Data!$A$1:$DZU$999999,764,FALSE)</f>
        <v>#N/A</v>
      </c>
      <c r="P45" s="116" t="e">
        <f>VLOOKUP(A1,DIV_01Data!$A$1:$DZU$999999,765,FALSE)</f>
        <v>#N/A</v>
      </c>
      <c r="Q45" s="268" t="e">
        <f>VLOOKUP(A1,DIV_01Data!$A$1:$DZU$999999,766,FALSE)</f>
        <v>#N/A</v>
      </c>
    </row>
    <row r="46" spans="1:17" x14ac:dyDescent="0.35">
      <c r="A46" s="265" t="e">
        <f>VLOOKUP(A1,DIV_01Data!$A$1:$DZU$999999,767,FALSE)</f>
        <v>#N/A</v>
      </c>
      <c r="B46" s="37" t="e">
        <f>VLOOKUP(A1,DIV_01Data!$A$1:$DZU$999999,768,FALSE)</f>
        <v>#N/A</v>
      </c>
      <c r="C46" s="38" t="e">
        <f>VLOOKUP(A1,DIV_01Data!$A$1:$DZU$999999,769,FALSE)</f>
        <v>#N/A</v>
      </c>
      <c r="D46" s="31" t="e">
        <f>VLOOKUP(A1,DIV_01Data!$A$1:$DZU$999999,770,FALSE)</f>
        <v>#N/A</v>
      </c>
      <c r="E46" s="32" t="e">
        <f>VLOOKUP(A1,DIV_01Data!$A$1:$DZU$999999,771,FALSE)</f>
        <v>#N/A</v>
      </c>
      <c r="F46" s="34" t="e">
        <f>VLOOKUP(A1,DIV_01Data!$A$1:$DZU$999999,772,FALSE)</f>
        <v>#N/A</v>
      </c>
      <c r="G46" s="33" t="e">
        <f>VLOOKUP(A1,DIV_01Data!$A$1:$DZU$999999,773,FALSE)</f>
        <v>#N/A</v>
      </c>
      <c r="H46" s="34" t="e">
        <f>VLOOKUP(A1,DIV_01Data!$A$1:$DZU$999999,774,FALSE)</f>
        <v>#N/A</v>
      </c>
      <c r="I46" s="33" t="e">
        <f>VLOOKUP(A1,DIV_01Data!$A$1:$DZU$999999,775,FALSE)</f>
        <v>#N/A</v>
      </c>
      <c r="J46" s="34" t="e">
        <f>VLOOKUP(A1,DIV_01Data!$A$1:$DZU$999999,776,FALSE)</f>
        <v>#N/A</v>
      </c>
      <c r="K46" s="34" t="e">
        <f>VLOOKUP(A1,DIV_01Data!$A$1:$DZU$999999,777,FALSE)</f>
        <v>#N/A</v>
      </c>
      <c r="L46" s="93" t="e">
        <f>VLOOKUP(A1,DIV_01Data!$A$1:$DZU$999999,778,FALSE)</f>
        <v>#N/A</v>
      </c>
      <c r="M46" s="33" t="e">
        <f>VLOOKUP(A1,DIV_01Data!$A$1:$DZU$999999,779,FALSE)</f>
        <v>#N/A</v>
      </c>
      <c r="N46" s="34" t="e">
        <f>VLOOKUP(A1,DIV_01Data!$A$1:$DZU$999999,780,FALSE)</f>
        <v>#N/A</v>
      </c>
      <c r="O46" s="33" t="e">
        <f>VLOOKUP(A1,DIV_01Data!$A$1:$DZU$999999,781,FALSE)</f>
        <v>#N/A</v>
      </c>
      <c r="P46" s="116" t="e">
        <f>VLOOKUP(A1,DIV_01Data!$A$1:$DZU$999999,782,FALSE)</f>
        <v>#N/A</v>
      </c>
      <c r="Q46" s="268" t="e">
        <f>VLOOKUP(A1,DIV_01Data!$A$1:$DZU$999999,783,FALSE)</f>
        <v>#N/A</v>
      </c>
    </row>
    <row r="47" spans="1:17" x14ac:dyDescent="0.35">
      <c r="A47" s="265" t="e">
        <f>VLOOKUP(A1,DIV_01Data!$A$1:$DZU$999999,784,FALSE)</f>
        <v>#N/A</v>
      </c>
      <c r="B47" s="37" t="e">
        <f>VLOOKUP(A1,DIV_01Data!$A$1:$DZU$999999,785,FALSE)</f>
        <v>#N/A</v>
      </c>
      <c r="C47" s="38" t="e">
        <f>VLOOKUP(A1,DIV_01Data!$A$1:$DZU$999999,786,FALSE)</f>
        <v>#N/A</v>
      </c>
      <c r="D47" s="31" t="e">
        <f>VLOOKUP(A1,DIV_01Data!$A$1:$DZU$999999,787,FALSE)</f>
        <v>#N/A</v>
      </c>
      <c r="E47" s="32" t="e">
        <f>VLOOKUP(A1,DIV_01Data!$A$1:$DZU$999999,788,FALSE)</f>
        <v>#N/A</v>
      </c>
      <c r="F47" s="34" t="e">
        <f>VLOOKUP(A1,DIV_01Data!$A$1:$DZU$999999,789,FALSE)</f>
        <v>#N/A</v>
      </c>
      <c r="G47" s="33" t="e">
        <f>VLOOKUP(A1,DIV_01Data!$A$1:$DZU$999999,790,FALSE)</f>
        <v>#N/A</v>
      </c>
      <c r="H47" s="34" t="e">
        <f>VLOOKUP(A1,DIV_01Data!$A$1:$DZU$999999,791,FALSE)</f>
        <v>#N/A</v>
      </c>
      <c r="I47" s="33" t="e">
        <f>VLOOKUP(A1,DIV_01Data!$A$1:$DZU$999999,792,FALSE)</f>
        <v>#N/A</v>
      </c>
      <c r="J47" s="34" t="e">
        <f>VLOOKUP(A1,DIV_01Data!$A$1:$DZU$999999,793,FALSE)</f>
        <v>#N/A</v>
      </c>
      <c r="K47" s="34" t="e">
        <f>VLOOKUP(A1,DIV_01Data!$A$1:$DZU$999999,794,FALSE)</f>
        <v>#N/A</v>
      </c>
      <c r="L47" s="93" t="e">
        <f>VLOOKUP(A1,DIV_01Data!$A$1:$DZU$999999,795,FALSE)</f>
        <v>#N/A</v>
      </c>
      <c r="M47" s="33" t="e">
        <f>VLOOKUP(A1,DIV_01Data!$A$1:$DZU$999999,796,FALSE)</f>
        <v>#N/A</v>
      </c>
      <c r="N47" s="34" t="e">
        <f>VLOOKUP(A1,DIV_01Data!$A$1:$DZU$999999,797,FALSE)</f>
        <v>#N/A</v>
      </c>
      <c r="O47" s="33" t="e">
        <f>VLOOKUP(A1,DIV_01Data!$A$1:$DZU$999999,798,FALSE)</f>
        <v>#N/A</v>
      </c>
      <c r="P47" s="116" t="e">
        <f>VLOOKUP(A1,DIV_01Data!$A$1:$DZU$999999,799,FALSE)</f>
        <v>#N/A</v>
      </c>
      <c r="Q47" s="268" t="e">
        <f>VLOOKUP(A1,DIV_01Data!$A$1:$DZU$999999,800,FALSE)</f>
        <v>#N/A</v>
      </c>
    </row>
    <row r="48" spans="1:17" x14ac:dyDescent="0.35">
      <c r="A48" s="265" t="e">
        <f>VLOOKUP(A1,DIV_01Data!$A$1:$DZU$999999,801,FALSE)</f>
        <v>#N/A</v>
      </c>
      <c r="B48" s="37" t="e">
        <f>VLOOKUP(A1,DIV_01Data!$A$1:$DZU$999999,802,FALSE)</f>
        <v>#N/A</v>
      </c>
      <c r="C48" s="38" t="e">
        <f>VLOOKUP(A1,DIV_01Data!$A$1:$DZU$999999,803,FALSE)</f>
        <v>#N/A</v>
      </c>
      <c r="D48" s="31" t="e">
        <f>VLOOKUP(A1,DIV_01Data!$A$1:$DZU$999999,804,FALSE)</f>
        <v>#N/A</v>
      </c>
      <c r="E48" s="32" t="e">
        <f>VLOOKUP(A1,DIV_01Data!$A$1:$DZU$999999,805,FALSE)</f>
        <v>#N/A</v>
      </c>
      <c r="F48" s="34" t="e">
        <f>VLOOKUP(A1,DIV_01Data!$A$1:$DZU$999999,806,FALSE)</f>
        <v>#N/A</v>
      </c>
      <c r="G48" s="33" t="e">
        <f>VLOOKUP(A1,DIV_01Data!$A$1:$DZU$999999,807,FALSE)</f>
        <v>#N/A</v>
      </c>
      <c r="H48" s="34" t="e">
        <f>VLOOKUP(A1,DIV_01Data!$A$1:$DZU$999999,808,FALSE)</f>
        <v>#N/A</v>
      </c>
      <c r="I48" s="33" t="e">
        <f>VLOOKUP(A1,DIV_01Data!$A$1:$DZU$999999,809,FALSE)</f>
        <v>#N/A</v>
      </c>
      <c r="J48" s="34" t="e">
        <f>VLOOKUP(A1,DIV_01Data!$A$1:$DZU$999999,810,FALSE)</f>
        <v>#N/A</v>
      </c>
      <c r="K48" s="34" t="e">
        <f>VLOOKUP(A1,DIV_01Data!$A$1:$DZU$999999,811,FALSE)</f>
        <v>#N/A</v>
      </c>
      <c r="L48" s="93" t="e">
        <f>VLOOKUP(A1,DIV_01Data!$A$1:$DZU$999999,812,FALSE)</f>
        <v>#N/A</v>
      </c>
      <c r="M48" s="33" t="e">
        <f>VLOOKUP(A1,DIV_01Data!$A$1:$DZU$999999,813,FALSE)</f>
        <v>#N/A</v>
      </c>
      <c r="N48" s="34" t="e">
        <f>VLOOKUP(A1,DIV_01Data!$A$1:$DZU$999999,814,FALSE)</f>
        <v>#N/A</v>
      </c>
      <c r="O48" s="33" t="e">
        <f>VLOOKUP(A1,DIV_01Data!$A$1:$DZU$999999,815,FALSE)</f>
        <v>#N/A</v>
      </c>
      <c r="P48" s="116" t="e">
        <f>VLOOKUP(A1,DIV_01Data!$A$1:$DZU$999999,816,FALSE)</f>
        <v>#N/A</v>
      </c>
      <c r="Q48" s="268" t="e">
        <f>VLOOKUP(A1,DIV_01Data!$A$1:$DZU$999999,817,FALSE)</f>
        <v>#N/A</v>
      </c>
    </row>
    <row r="49" spans="1:17" x14ac:dyDescent="0.35">
      <c r="A49" s="265" t="e">
        <f>VLOOKUP(A1,DIV_01Data!$A$1:$DZU$999999,818,FALSE)</f>
        <v>#N/A</v>
      </c>
      <c r="B49" s="37" t="e">
        <f>VLOOKUP(A1,DIV_01Data!$A$1:$DZU$999999,819,FALSE)</f>
        <v>#N/A</v>
      </c>
      <c r="C49" s="38" t="e">
        <f>VLOOKUP(A1,DIV_01Data!$A$1:$DZU$999999,820,FALSE)</f>
        <v>#N/A</v>
      </c>
      <c r="D49" s="31" t="e">
        <f>VLOOKUP(A1,DIV_01Data!$A$1:$DZU$999999,821,FALSE)</f>
        <v>#N/A</v>
      </c>
      <c r="E49" s="32" t="e">
        <f>VLOOKUP(A1,DIV_01Data!$A$1:$DZU$999999,822,FALSE)</f>
        <v>#N/A</v>
      </c>
      <c r="F49" s="34" t="e">
        <f>VLOOKUP(A1,DIV_01Data!$A$1:$DZU$999999,823,FALSE)</f>
        <v>#N/A</v>
      </c>
      <c r="G49" s="33" t="e">
        <f>VLOOKUP(A1,DIV_01Data!$A$1:$DZU$999999,824,FALSE)</f>
        <v>#N/A</v>
      </c>
      <c r="H49" s="34" t="e">
        <f>VLOOKUP(A1,DIV_01Data!$A$1:$DZU$999999,825,FALSE)</f>
        <v>#N/A</v>
      </c>
      <c r="I49" s="33" t="e">
        <f>VLOOKUP(A1,DIV_01Data!$A$1:$DZU$999999,826,FALSE)</f>
        <v>#N/A</v>
      </c>
      <c r="J49" s="34" t="e">
        <f>VLOOKUP(A1,DIV_01Data!$A$1:$DZU$999999,827,FALSE)</f>
        <v>#N/A</v>
      </c>
      <c r="K49" s="34" t="e">
        <f>VLOOKUP(A1,DIV_01Data!$A$1:$DZU$999999,828,FALSE)</f>
        <v>#N/A</v>
      </c>
      <c r="L49" s="93" t="e">
        <f>VLOOKUP(A1,DIV_01Data!$A$1:$DZU$999999,829,FALSE)</f>
        <v>#N/A</v>
      </c>
      <c r="M49" s="33" t="e">
        <f>VLOOKUP(A1,DIV_01Data!$A$1:$DZU$999999,830,FALSE)</f>
        <v>#N/A</v>
      </c>
      <c r="N49" s="34" t="e">
        <f>VLOOKUP(A1,DIV_01Data!$A$1:$DZU$999999,831,FALSE)</f>
        <v>#N/A</v>
      </c>
      <c r="O49" s="33" t="e">
        <f>VLOOKUP(A1,DIV_01Data!$A$1:$DZU$999999,832,FALSE)</f>
        <v>#N/A</v>
      </c>
      <c r="P49" s="116" t="e">
        <f>VLOOKUP(A1,DIV_01Data!$A$1:$DZU$999999,833,FALSE)</f>
        <v>#N/A</v>
      </c>
      <c r="Q49" s="268" t="e">
        <f>VLOOKUP(A1,DIV_01Data!$A$1:$DZU$999999,834,FALSE)</f>
        <v>#N/A</v>
      </c>
    </row>
    <row r="50" spans="1:17" x14ac:dyDescent="0.35">
      <c r="A50" s="265" t="e">
        <f>VLOOKUP(A1,DIV_01Data!$A$1:$DZU$999999,835,FALSE)</f>
        <v>#N/A</v>
      </c>
      <c r="B50" s="37" t="e">
        <f>VLOOKUP(A1,DIV_01Data!$A$1:$DZU$999999,836,FALSE)</f>
        <v>#N/A</v>
      </c>
      <c r="C50" s="38" t="e">
        <f>VLOOKUP(A1,DIV_01Data!$A$1:$DZU$999999,837,FALSE)</f>
        <v>#N/A</v>
      </c>
      <c r="D50" s="31" t="e">
        <f>VLOOKUP(A1,DIV_01Data!$A$1:$DZU$999999,838,FALSE)</f>
        <v>#N/A</v>
      </c>
      <c r="E50" s="32" t="e">
        <f>VLOOKUP(A1,DIV_01Data!$A$1:$DZU$999999,839,FALSE)</f>
        <v>#N/A</v>
      </c>
      <c r="F50" s="34" t="e">
        <f>VLOOKUP(A1,DIV_01Data!$A$1:$DZU$999999,840,FALSE)</f>
        <v>#N/A</v>
      </c>
      <c r="G50" s="33" t="e">
        <f>VLOOKUP(A1,DIV_01Data!$A$1:$DZU$999999,841,FALSE)</f>
        <v>#N/A</v>
      </c>
      <c r="H50" s="34" t="e">
        <f>VLOOKUP(A1,DIV_01Data!$A$1:$DZU$999999,842,FALSE)</f>
        <v>#N/A</v>
      </c>
      <c r="I50" s="33" t="e">
        <f>VLOOKUP(A1,DIV_01Data!$A$1:$DZU$999999,843,FALSE)</f>
        <v>#N/A</v>
      </c>
      <c r="J50" s="34" t="e">
        <f>VLOOKUP(A1,DIV_01Data!$A$1:$DZU$999999,844,FALSE)</f>
        <v>#N/A</v>
      </c>
      <c r="K50" s="34" t="e">
        <f>VLOOKUP(A1,DIV_01Data!$A$1:$DZU$999999,845,FALSE)</f>
        <v>#N/A</v>
      </c>
      <c r="L50" s="93" t="e">
        <f>VLOOKUP(A1,DIV_01Data!$A$1:$DZU$999999,846,FALSE)</f>
        <v>#N/A</v>
      </c>
      <c r="M50" s="33" t="e">
        <f>VLOOKUP(A1,DIV_01Data!$A$1:$DZU$999999,847,FALSE)</f>
        <v>#N/A</v>
      </c>
      <c r="N50" s="34" t="e">
        <f>VLOOKUP(A1,DIV_01Data!$A$1:$DZU$999999,848,FALSE)</f>
        <v>#N/A</v>
      </c>
      <c r="O50" s="33" t="e">
        <f>VLOOKUP(A1,DIV_01Data!$A$1:$DZU$999999,849,FALSE)</f>
        <v>#N/A</v>
      </c>
      <c r="P50" s="116" t="e">
        <f>VLOOKUP(A1,DIV_01Data!$A$1:$DZU$999999,850,FALSE)</f>
        <v>#N/A</v>
      </c>
      <c r="Q50" s="268" t="e">
        <f>VLOOKUP(A1,DIV_01Data!$A$1:$DZU$999999,851,FALSE)</f>
        <v>#N/A</v>
      </c>
    </row>
    <row r="51" spans="1:17" x14ac:dyDescent="0.35">
      <c r="A51" s="265" t="e">
        <f>VLOOKUP(A1,DIV_01Data!$A$1:$DZU$999999,852,FALSE)</f>
        <v>#N/A</v>
      </c>
      <c r="B51" s="37" t="e">
        <f>VLOOKUP(A1,DIV_01Data!$A$1:$DZU$999999,853,FALSE)</f>
        <v>#N/A</v>
      </c>
      <c r="C51" s="38" t="e">
        <f>VLOOKUP(A1,DIV_01Data!$A$1:$DZU$999999,854,FALSE)</f>
        <v>#N/A</v>
      </c>
      <c r="D51" s="31" t="e">
        <f>VLOOKUP(A1,DIV_01Data!$A$1:$DZU$999999,855,FALSE)</f>
        <v>#N/A</v>
      </c>
      <c r="E51" s="32" t="e">
        <f>VLOOKUP(A1,DIV_01Data!$A$1:$DZU$999999,856,FALSE)</f>
        <v>#N/A</v>
      </c>
      <c r="F51" s="34" t="e">
        <f>VLOOKUP(A1,DIV_01Data!$A$1:$DZU$999999,857,FALSE)</f>
        <v>#N/A</v>
      </c>
      <c r="G51" s="33" t="e">
        <f>VLOOKUP(A1,DIV_01Data!$A$1:$DZU$999999,858,FALSE)</f>
        <v>#N/A</v>
      </c>
      <c r="H51" s="34" t="e">
        <f>VLOOKUP(A1,DIV_01Data!$A$1:$DZU$999999,859,FALSE)</f>
        <v>#N/A</v>
      </c>
      <c r="I51" s="33" t="e">
        <f>VLOOKUP(A1,DIV_01Data!$A$1:$DZU$999999,860,FALSE)</f>
        <v>#N/A</v>
      </c>
      <c r="J51" s="34" t="e">
        <f>VLOOKUP(A1,DIV_01Data!$A$1:$DZU$999999,861,FALSE)</f>
        <v>#N/A</v>
      </c>
      <c r="K51" s="34" t="e">
        <f>VLOOKUP(A1,DIV_01Data!$A$1:$DZU$999999,862,FALSE)</f>
        <v>#N/A</v>
      </c>
      <c r="L51" s="93" t="e">
        <f>VLOOKUP(A1,DIV_01Data!$A$1:$DZU$999999,863,FALSE)</f>
        <v>#N/A</v>
      </c>
      <c r="M51" s="33" t="e">
        <f>VLOOKUP(A1,DIV_01Data!$A$1:$DZU$999999,864,FALSE)</f>
        <v>#N/A</v>
      </c>
      <c r="N51" s="34" t="e">
        <f>VLOOKUP(A1,DIV_01Data!$A$1:$DZU$999999,865,FALSE)</f>
        <v>#N/A</v>
      </c>
      <c r="O51" s="33" t="e">
        <f>VLOOKUP(A1,DIV_01Data!$A$1:$DZU$999999,866,FALSE)</f>
        <v>#N/A</v>
      </c>
      <c r="P51" s="116" t="e">
        <f>VLOOKUP(A1,DIV_01Data!$A$1:$DZU$999999,867,FALSE)</f>
        <v>#N/A</v>
      </c>
      <c r="Q51" s="268" t="e">
        <f>VLOOKUP(A1,DIV_01Data!$A$1:$DZU$999999,868,FALSE)</f>
        <v>#N/A</v>
      </c>
    </row>
    <row r="52" spans="1:17" x14ac:dyDescent="0.35">
      <c r="A52" s="265" t="e">
        <f>VLOOKUP(A1,DIV_01Data!$A$1:$DZU$999999,869,FALSE)</f>
        <v>#N/A</v>
      </c>
      <c r="B52" s="37" t="e">
        <f>VLOOKUP(A1,DIV_01Data!$A$1:$DZU$999999,870,FALSE)</f>
        <v>#N/A</v>
      </c>
      <c r="C52" s="38" t="e">
        <f>VLOOKUP(A1,DIV_01Data!$A$1:$DZU$999999,871,FALSE)</f>
        <v>#N/A</v>
      </c>
      <c r="D52" s="31" t="e">
        <f>VLOOKUP(A1,DIV_01Data!$A$1:$DZU$999999,872,FALSE)</f>
        <v>#N/A</v>
      </c>
      <c r="E52" s="32" t="e">
        <f>VLOOKUP(A1,DIV_01Data!$A$1:$DZU$999999,873,FALSE)</f>
        <v>#N/A</v>
      </c>
      <c r="F52" s="34" t="e">
        <f>VLOOKUP(A1,DIV_01Data!$A$1:$DZU$999999,874,FALSE)</f>
        <v>#N/A</v>
      </c>
      <c r="G52" s="33" t="e">
        <f>VLOOKUP(A1,DIV_01Data!$A$1:$DZU$999999,875,FALSE)</f>
        <v>#N/A</v>
      </c>
      <c r="H52" s="34" t="e">
        <f>VLOOKUP(A1,DIV_01Data!$A$1:$DZU$999999,876,FALSE)</f>
        <v>#N/A</v>
      </c>
      <c r="I52" s="33" t="e">
        <f>VLOOKUP(A1,DIV_01Data!$A$1:$DZU$999999,877,FALSE)</f>
        <v>#N/A</v>
      </c>
      <c r="J52" s="34" t="e">
        <f>VLOOKUP(A1,DIV_01Data!$A$1:$DZU$999999,878,FALSE)</f>
        <v>#N/A</v>
      </c>
      <c r="K52" s="34" t="e">
        <f>VLOOKUP(A1,DIV_01Data!$A$1:$DZU$999999,879,FALSE)</f>
        <v>#N/A</v>
      </c>
      <c r="L52" s="93" t="e">
        <f>VLOOKUP(A1,DIV_01Data!$A$1:$DZU$999999,880,FALSE)</f>
        <v>#N/A</v>
      </c>
      <c r="M52" s="33" t="e">
        <f>VLOOKUP(A1,DIV_01Data!$A$1:$DZU$999999,881,FALSE)</f>
        <v>#N/A</v>
      </c>
      <c r="N52" s="34" t="e">
        <f>VLOOKUP(A1,DIV_01Data!$A$1:$DZU$999999,882,FALSE)</f>
        <v>#N/A</v>
      </c>
      <c r="O52" s="33" t="e">
        <f>VLOOKUP(A1,DIV_01Data!$A$1:$DZU$999999,883,FALSE)</f>
        <v>#N/A</v>
      </c>
      <c r="P52" s="116" t="e">
        <f>VLOOKUP(A1,DIV_01Data!$A$1:$DZU$999999,884,FALSE)</f>
        <v>#N/A</v>
      </c>
      <c r="Q52" s="268" t="e">
        <f>VLOOKUP(A1,DIV_01Data!$A$1:$DZU$999999,885,FALSE)</f>
        <v>#N/A</v>
      </c>
    </row>
    <row r="53" spans="1:17" x14ac:dyDescent="0.35">
      <c r="A53" s="265" t="e">
        <f>VLOOKUP(A1,DIV_01Data!$A$1:$DZU$999999,886,FALSE)</f>
        <v>#N/A</v>
      </c>
      <c r="B53" s="37" t="e">
        <f>VLOOKUP(A1,DIV_01Data!$A$1:$DZU$999999,887,FALSE)</f>
        <v>#N/A</v>
      </c>
      <c r="C53" s="38" t="e">
        <f>VLOOKUP(A1,DIV_01Data!$A$1:$DZU$999999,888,FALSE)</f>
        <v>#N/A</v>
      </c>
      <c r="D53" s="31" t="e">
        <f>VLOOKUP(A1,DIV_01Data!$A$1:$DZU$999999,889,FALSE)</f>
        <v>#N/A</v>
      </c>
      <c r="E53" s="32" t="e">
        <f>VLOOKUP(A1,DIV_01Data!$A$1:$DZU$999999,890,FALSE)</f>
        <v>#N/A</v>
      </c>
      <c r="F53" s="34" t="e">
        <f>VLOOKUP(A1,DIV_01Data!$A$1:$DZU$999999,891,FALSE)</f>
        <v>#N/A</v>
      </c>
      <c r="G53" s="33" t="e">
        <f>VLOOKUP(A1,DIV_01Data!$A$1:$DZU$999999,892,FALSE)</f>
        <v>#N/A</v>
      </c>
      <c r="H53" s="34" t="e">
        <f>VLOOKUP(A1,DIV_01Data!$A$1:$DZU$999999,893,FALSE)</f>
        <v>#N/A</v>
      </c>
      <c r="I53" s="33" t="e">
        <f>VLOOKUP(A1,DIV_01Data!$A$1:$DZU$999999,894,FALSE)</f>
        <v>#N/A</v>
      </c>
      <c r="J53" s="34" t="e">
        <f>VLOOKUP(A1,DIV_01Data!$A$1:$DZU$999999,895,FALSE)</f>
        <v>#N/A</v>
      </c>
      <c r="K53" s="34" t="e">
        <f>VLOOKUP(A1,DIV_01Data!$A$1:$DZU$999999,896,FALSE)</f>
        <v>#N/A</v>
      </c>
      <c r="L53" s="93" t="e">
        <f>VLOOKUP(A1,DIV_01Data!$A$1:$DZU$999999,897,FALSE)</f>
        <v>#N/A</v>
      </c>
      <c r="M53" s="33" t="e">
        <f>VLOOKUP(A1,DIV_01Data!$A$1:$DZU$999999,898,FALSE)</f>
        <v>#N/A</v>
      </c>
      <c r="N53" s="34" t="e">
        <f>VLOOKUP(A1,DIV_01Data!$A$1:$DZU$999999,899,FALSE)</f>
        <v>#N/A</v>
      </c>
      <c r="O53" s="33" t="e">
        <f>VLOOKUP(A1,DIV_01Data!$A$1:$DZU$999999,900,FALSE)</f>
        <v>#N/A</v>
      </c>
      <c r="P53" s="116" t="e">
        <f>VLOOKUP(A1,DIV_01Data!$A$1:$DZU$999999,901,FALSE)</f>
        <v>#N/A</v>
      </c>
      <c r="Q53" s="268" t="e">
        <f>VLOOKUP(A1,DIV_01Data!$A$1:$DZU$999999,902,FALSE)</f>
        <v>#N/A</v>
      </c>
    </row>
    <row r="54" spans="1:17" x14ac:dyDescent="0.35">
      <c r="A54" s="265" t="e">
        <f>VLOOKUP(A1,DIV_01Data!$A$1:$DZU$999999,903,FALSE)</f>
        <v>#N/A</v>
      </c>
      <c r="B54" s="37" t="e">
        <f>VLOOKUP(A1,DIV_01Data!$A$1:$DZU$999999,904,FALSE)</f>
        <v>#N/A</v>
      </c>
      <c r="C54" s="38" t="e">
        <f>VLOOKUP(A1,DIV_01Data!$A$1:$DZU$999999,905,FALSE)</f>
        <v>#N/A</v>
      </c>
      <c r="D54" s="31" t="e">
        <f>VLOOKUP(A1,DIV_01Data!$A$1:$DZU$999999,906,FALSE)</f>
        <v>#N/A</v>
      </c>
      <c r="E54" s="32" t="e">
        <f>VLOOKUP(A1,DIV_01Data!$A$1:$DZU$999999,907,FALSE)</f>
        <v>#N/A</v>
      </c>
      <c r="F54" s="34" t="e">
        <f>VLOOKUP(A1,DIV_01Data!$A$1:$DZU$999999,908,FALSE)</f>
        <v>#N/A</v>
      </c>
      <c r="G54" s="33" t="e">
        <f>VLOOKUP(A1,DIV_01Data!$A$1:$DZU$999999,909,FALSE)</f>
        <v>#N/A</v>
      </c>
      <c r="H54" s="34" t="e">
        <f>VLOOKUP(A1,DIV_01Data!$A$1:$DZU$999999,910,FALSE)</f>
        <v>#N/A</v>
      </c>
      <c r="I54" s="33" t="e">
        <f>VLOOKUP(A1,DIV_01Data!$A$1:$DZU$999999,911,FALSE)</f>
        <v>#N/A</v>
      </c>
      <c r="J54" s="34" t="e">
        <f>VLOOKUP(A1,DIV_01Data!$A$1:$DZU$999999,912,FALSE)</f>
        <v>#N/A</v>
      </c>
      <c r="K54" s="34" t="e">
        <f>VLOOKUP(A1,DIV_01Data!$A$1:$DZU$999999,913,FALSE)</f>
        <v>#N/A</v>
      </c>
      <c r="L54" s="93" t="e">
        <f>VLOOKUP(A1,DIV_01Data!$A$1:$DZU$999999,914,FALSE)</f>
        <v>#N/A</v>
      </c>
      <c r="M54" s="33" t="e">
        <f>VLOOKUP(A1,DIV_01Data!$A$1:$DZU$999999,915,FALSE)</f>
        <v>#N/A</v>
      </c>
      <c r="N54" s="34" t="e">
        <f>VLOOKUP(A1,DIV_01Data!$A$1:$DZU$999999,916,FALSE)</f>
        <v>#N/A</v>
      </c>
      <c r="O54" s="33" t="e">
        <f>VLOOKUP(A1,DIV_01Data!$A$1:$DZU$999999,917,FALSE)</f>
        <v>#N/A</v>
      </c>
      <c r="P54" s="116" t="e">
        <f>VLOOKUP(A1,DIV_01Data!$A$1:$DZU$999999,918,FALSE)</f>
        <v>#N/A</v>
      </c>
      <c r="Q54" s="268" t="e">
        <f>VLOOKUP(A1,DIV_01Data!$A$1:$DZU$999999,919,FALSE)</f>
        <v>#N/A</v>
      </c>
    </row>
    <row r="55" spans="1:17" x14ac:dyDescent="0.35">
      <c r="A55" s="265" t="e">
        <f>VLOOKUP(A1,DIV_01Data!$A$1:$DZU$999999,920,FALSE)</f>
        <v>#N/A</v>
      </c>
      <c r="B55" s="37" t="e">
        <f>VLOOKUP(A1,DIV_01Data!$A$1:$DZU$999999,921,FALSE)</f>
        <v>#N/A</v>
      </c>
      <c r="C55" s="38" t="e">
        <f>VLOOKUP(A1,DIV_01Data!$A$1:$DZU$999999,922,FALSE)</f>
        <v>#N/A</v>
      </c>
      <c r="D55" s="31" t="e">
        <f>VLOOKUP(A1,DIV_01Data!$A$1:$DZU$999999,923,FALSE)</f>
        <v>#N/A</v>
      </c>
      <c r="E55" s="32" t="e">
        <f>VLOOKUP(A1,DIV_01Data!$A$1:$DZU$999999,924,FALSE)</f>
        <v>#N/A</v>
      </c>
      <c r="F55" s="34" t="e">
        <f>VLOOKUP(A1,DIV_01Data!$A$1:$DZU$999999,925,FALSE)</f>
        <v>#N/A</v>
      </c>
      <c r="G55" s="33" t="e">
        <f>VLOOKUP(A1,DIV_01Data!$A$1:$DZU$999999,926,FALSE)</f>
        <v>#N/A</v>
      </c>
      <c r="H55" s="34" t="e">
        <f>VLOOKUP(A1,DIV_01Data!$A$1:$DZU$999999,927,FALSE)</f>
        <v>#N/A</v>
      </c>
      <c r="I55" s="33" t="e">
        <f>VLOOKUP(A1,DIV_01Data!$A$1:$DZU$999999,928,FALSE)</f>
        <v>#N/A</v>
      </c>
      <c r="J55" s="34" t="e">
        <f>VLOOKUP(A1,DIV_01Data!$A$1:$DZU$999999,929,FALSE)</f>
        <v>#N/A</v>
      </c>
      <c r="K55" s="34" t="e">
        <f>VLOOKUP(A1,DIV_01Data!$A$1:$DZU$999999,930,FALSE)</f>
        <v>#N/A</v>
      </c>
      <c r="L55" s="93" t="e">
        <f>VLOOKUP(A1,DIV_01Data!$A$1:$DZU$999999,931,FALSE)</f>
        <v>#N/A</v>
      </c>
      <c r="M55" s="33" t="e">
        <f>VLOOKUP(A1,DIV_01Data!$A$1:$DZU$999999,932,FALSE)</f>
        <v>#N/A</v>
      </c>
      <c r="N55" s="34" t="e">
        <f>VLOOKUP(A1,DIV_01Data!$A$1:$DZU$999999,933,FALSE)</f>
        <v>#N/A</v>
      </c>
      <c r="O55" s="33" t="e">
        <f>VLOOKUP(A1,DIV_01Data!$A$1:$DZU$999999,934,FALSE)</f>
        <v>#N/A</v>
      </c>
      <c r="P55" s="116" t="e">
        <f>VLOOKUP(A1,DIV_01Data!$A$1:$DZU$999999,935,FALSE)</f>
        <v>#N/A</v>
      </c>
      <c r="Q55" s="268" t="e">
        <f>VLOOKUP(A1,DIV_01Data!$A$1:$DZU$999999,936,FALSE)</f>
        <v>#N/A</v>
      </c>
    </row>
    <row r="56" spans="1:17" x14ac:dyDescent="0.35">
      <c r="A56" s="265" t="e">
        <f>VLOOKUP(A1,DIV_01Data!$A$1:$DZU$999999,937,FALSE)</f>
        <v>#N/A</v>
      </c>
      <c r="B56" s="37" t="e">
        <f>VLOOKUP(A1,DIV_01Data!$A$1:$DZU$999999,938,FALSE)</f>
        <v>#N/A</v>
      </c>
      <c r="C56" s="38" t="e">
        <f>VLOOKUP(A1,DIV_01Data!$A$1:$DZU$999999,939,FALSE)</f>
        <v>#N/A</v>
      </c>
      <c r="D56" s="31" t="e">
        <f>VLOOKUP(A1,DIV_01Data!$A$1:$DZU$999999,940,FALSE)</f>
        <v>#N/A</v>
      </c>
      <c r="E56" s="32" t="e">
        <f>VLOOKUP(A1,DIV_01Data!$A$1:$DZU$999999,941,FALSE)</f>
        <v>#N/A</v>
      </c>
      <c r="F56" s="34" t="e">
        <f>VLOOKUP(A1,DIV_01Data!$A$1:$DZU$999999,942,FALSE)</f>
        <v>#N/A</v>
      </c>
      <c r="G56" s="33" t="e">
        <f>VLOOKUP(A1,DIV_01Data!$A$1:$DZU$999999,943,FALSE)</f>
        <v>#N/A</v>
      </c>
      <c r="H56" s="34" t="e">
        <f>VLOOKUP(A1,DIV_01Data!$A$1:$DZU$999999,944,FALSE)</f>
        <v>#N/A</v>
      </c>
      <c r="I56" s="33" t="e">
        <f>VLOOKUP(A1,DIV_01Data!$A$1:$DZU$999999,945,FALSE)</f>
        <v>#N/A</v>
      </c>
      <c r="J56" s="34" t="e">
        <f>VLOOKUP(A1,DIV_01Data!$A$1:$DZU$999999,946,FALSE)</f>
        <v>#N/A</v>
      </c>
      <c r="K56" s="34" t="e">
        <f>VLOOKUP(A1,DIV_01Data!$A$1:$DZU$999999,947,FALSE)</f>
        <v>#N/A</v>
      </c>
      <c r="L56" s="93" t="e">
        <f>VLOOKUP(A1,DIV_01Data!$A$1:$DZU$999999,948,FALSE)</f>
        <v>#N/A</v>
      </c>
      <c r="M56" s="33" t="e">
        <f>VLOOKUP(A1,DIV_01Data!$A$1:$DZU$999999,949,FALSE)</f>
        <v>#N/A</v>
      </c>
      <c r="N56" s="34" t="e">
        <f>VLOOKUP(A1,DIV_01Data!$A$1:$DZU$999999,950,FALSE)</f>
        <v>#N/A</v>
      </c>
      <c r="O56" s="33" t="e">
        <f>VLOOKUP(A1,DIV_01Data!$A$1:$DZU$999999,951,FALSE)</f>
        <v>#N/A</v>
      </c>
      <c r="P56" s="116" t="e">
        <f>VLOOKUP(A1,DIV_01Data!$A$1:$DZU$999999,952,FALSE)</f>
        <v>#N/A</v>
      </c>
      <c r="Q56" s="268" t="e">
        <f>VLOOKUP(A1,DIV_01Data!$A$1:$DZU$999999,953,FALSE)</f>
        <v>#N/A</v>
      </c>
    </row>
    <row r="57" spans="1:17" x14ac:dyDescent="0.35">
      <c r="A57" s="265" t="e">
        <f>VLOOKUP(A1,DIV_01Data!$A$1:$DZU$999999,954,FALSE)</f>
        <v>#N/A</v>
      </c>
      <c r="B57" s="37" t="e">
        <f>VLOOKUP(A1,DIV_01Data!$A$1:$DZU$999999,955,FALSE)</f>
        <v>#N/A</v>
      </c>
      <c r="C57" s="38" t="e">
        <f>VLOOKUP(A1,DIV_01Data!$A$1:$DZU$999999,956,FALSE)</f>
        <v>#N/A</v>
      </c>
      <c r="D57" s="31" t="e">
        <f>VLOOKUP(A1,DIV_01Data!$A$1:$DZU$999999,957,FALSE)</f>
        <v>#N/A</v>
      </c>
      <c r="E57" s="32" t="e">
        <f>VLOOKUP(A1,DIV_01Data!$A$1:$DZU$999999,958,FALSE)</f>
        <v>#N/A</v>
      </c>
      <c r="F57" s="34" t="e">
        <f>VLOOKUP(A1,DIV_01Data!$A$1:$DZU$999999,959,FALSE)</f>
        <v>#N/A</v>
      </c>
      <c r="G57" s="33" t="e">
        <f>VLOOKUP(A1,DIV_01Data!$A$1:$DZU$999999,960,FALSE)</f>
        <v>#N/A</v>
      </c>
      <c r="H57" s="34" t="e">
        <f>VLOOKUP(A1,DIV_01Data!$A$1:$DZU$999999,961,FALSE)</f>
        <v>#N/A</v>
      </c>
      <c r="I57" s="33" t="e">
        <f>VLOOKUP(A1,DIV_01Data!$A$1:$DZU$999999,962,FALSE)</f>
        <v>#N/A</v>
      </c>
      <c r="J57" s="34" t="e">
        <f>VLOOKUP(A1,DIV_01Data!$A$1:$DZU$999999,963,FALSE)</f>
        <v>#N/A</v>
      </c>
      <c r="K57" s="34" t="e">
        <f>VLOOKUP(A1,DIV_01Data!$A$1:$DZU$999999,964,FALSE)</f>
        <v>#N/A</v>
      </c>
      <c r="L57" s="93" t="e">
        <f>VLOOKUP(A1,DIV_01Data!$A$1:$DZU$999999,965,FALSE)</f>
        <v>#N/A</v>
      </c>
      <c r="M57" s="33" t="e">
        <f>VLOOKUP(A1,DIV_01Data!$A$1:$DZU$999999,966,FALSE)</f>
        <v>#N/A</v>
      </c>
      <c r="N57" s="34" t="e">
        <f>VLOOKUP(A1,DIV_01Data!$A$1:$DZU$999999,967,FALSE)</f>
        <v>#N/A</v>
      </c>
      <c r="O57" s="33" t="e">
        <f>VLOOKUP(A1,DIV_01Data!$A$1:$DZU$999999,968,FALSE)</f>
        <v>#N/A</v>
      </c>
      <c r="P57" s="116" t="e">
        <f>VLOOKUP(A1,DIV_01Data!$A$1:$DZU$999999,969,FALSE)</f>
        <v>#N/A</v>
      </c>
      <c r="Q57" s="268" t="e">
        <f>VLOOKUP(A1,DIV_01Data!$A$1:$DZU$999999,970,FALSE)</f>
        <v>#N/A</v>
      </c>
    </row>
    <row r="58" spans="1:17" x14ac:dyDescent="0.35">
      <c r="A58" s="265" t="e">
        <f>VLOOKUP(A1,DIV_01Data!$A$1:$DZU$999999,971,FALSE)</f>
        <v>#N/A</v>
      </c>
      <c r="B58" s="37" t="e">
        <f>VLOOKUP(A1,DIV_01Data!$A$1:$DZU$999999,972,FALSE)</f>
        <v>#N/A</v>
      </c>
      <c r="C58" s="38" t="e">
        <f>VLOOKUP(A1,DIV_01Data!$A$1:$DZU$999999,973,FALSE)</f>
        <v>#N/A</v>
      </c>
      <c r="D58" s="31" t="e">
        <f>VLOOKUP(A1,DIV_01Data!$A$1:$DZU$999999,974,FALSE)</f>
        <v>#N/A</v>
      </c>
      <c r="E58" s="32" t="e">
        <f>VLOOKUP(A1,DIV_01Data!$A$1:$DZU$999999,975,FALSE)</f>
        <v>#N/A</v>
      </c>
      <c r="F58" s="34" t="e">
        <f>VLOOKUP(A1,DIV_01Data!$A$1:$DZU$999999,976,FALSE)</f>
        <v>#N/A</v>
      </c>
      <c r="G58" s="33" t="e">
        <f>VLOOKUP(A1,DIV_01Data!$A$1:$DZU$999999,977,FALSE)</f>
        <v>#N/A</v>
      </c>
      <c r="H58" s="34" t="e">
        <f>VLOOKUP(A1,DIV_01Data!$A$1:$DZU$999999,978,FALSE)</f>
        <v>#N/A</v>
      </c>
      <c r="I58" s="33" t="e">
        <f>VLOOKUP(A1,DIV_01Data!$A$1:$DZU$999999,979,FALSE)</f>
        <v>#N/A</v>
      </c>
      <c r="J58" s="34" t="e">
        <f>VLOOKUP(A1,DIV_01Data!$A$1:$DZU$999999,980,FALSE)</f>
        <v>#N/A</v>
      </c>
      <c r="K58" s="34" t="e">
        <f>VLOOKUP(A1,DIV_01Data!$A$1:$DZU$999999,981,FALSE)</f>
        <v>#N/A</v>
      </c>
      <c r="L58" s="93" t="e">
        <f>VLOOKUP(A1,DIV_01Data!$A$1:$DZU$999999,982,FALSE)</f>
        <v>#N/A</v>
      </c>
      <c r="M58" s="33" t="e">
        <f>VLOOKUP(A1,DIV_01Data!$A$1:$DZU$999999,983,FALSE)</f>
        <v>#N/A</v>
      </c>
      <c r="N58" s="34" t="e">
        <f>VLOOKUP(A1,DIV_01Data!$A$1:$DZU$999999,984,FALSE)</f>
        <v>#N/A</v>
      </c>
      <c r="O58" s="33" t="e">
        <f>VLOOKUP(A1,DIV_01Data!$A$1:$DZU$999999,985,FALSE)</f>
        <v>#N/A</v>
      </c>
      <c r="P58" s="116" t="e">
        <f>VLOOKUP(A1,DIV_01Data!$A$1:$DZU$999999,986,FALSE)</f>
        <v>#N/A</v>
      </c>
      <c r="Q58" s="268" t="e">
        <f>VLOOKUP(A1,DIV_01Data!$A$1:$DZU$999999,987,FALSE)</f>
        <v>#N/A</v>
      </c>
    </row>
    <row r="59" spans="1:17" x14ac:dyDescent="0.35">
      <c r="A59" s="265" t="e">
        <f>VLOOKUP(A1,DIV_01Data!$A$1:$DZU$999999,988,FALSE)</f>
        <v>#N/A</v>
      </c>
      <c r="B59" s="37" t="e">
        <f>VLOOKUP(A1,DIV_01Data!$A$1:$DZU$999999,989,FALSE)</f>
        <v>#N/A</v>
      </c>
      <c r="C59" s="38" t="e">
        <f>VLOOKUP(A1,DIV_01Data!$A$1:$DZU$999999,990,FALSE)</f>
        <v>#N/A</v>
      </c>
      <c r="D59" s="31" t="e">
        <f>VLOOKUP(A1,DIV_01Data!$A$1:$DZU$999999,991,FALSE)</f>
        <v>#N/A</v>
      </c>
      <c r="E59" s="32" t="e">
        <f>VLOOKUP(A1,DIV_01Data!$A$1:$DZU$999999,992,FALSE)</f>
        <v>#N/A</v>
      </c>
      <c r="F59" s="34" t="e">
        <f>VLOOKUP(A1,DIV_01Data!$A$1:$DZU$999999,993,FALSE)</f>
        <v>#N/A</v>
      </c>
      <c r="G59" s="33" t="e">
        <f>VLOOKUP(A1,DIV_01Data!$A$1:$DZU$999999,994,FALSE)</f>
        <v>#N/A</v>
      </c>
      <c r="H59" s="34" t="e">
        <f>VLOOKUP(A1,DIV_01Data!$A$1:$DZU$999999,995,FALSE)</f>
        <v>#N/A</v>
      </c>
      <c r="I59" s="33" t="e">
        <f>VLOOKUP(A1,DIV_01Data!$A$1:$DZU$999999,996,FALSE)</f>
        <v>#N/A</v>
      </c>
      <c r="J59" s="34" t="e">
        <f>VLOOKUP(A1,DIV_01Data!$A$1:$DZU$999999,997,FALSE)</f>
        <v>#N/A</v>
      </c>
      <c r="K59" s="34" t="e">
        <f>VLOOKUP(A1,DIV_01Data!$A$1:$DZU$999999,998,FALSE)</f>
        <v>#N/A</v>
      </c>
      <c r="L59" s="93" t="e">
        <f>VLOOKUP(A1,DIV_01Data!$A$1:$DZU$999999,999,FALSE)</f>
        <v>#N/A</v>
      </c>
      <c r="M59" s="33" t="e">
        <f>VLOOKUP(A1,DIV_01Data!$A$1:$DZU$999999,1000,FALSE)</f>
        <v>#N/A</v>
      </c>
      <c r="N59" s="34" t="e">
        <f>VLOOKUP(A1,DIV_01Data!$A$1:$DZU$999999,1001,FALSE)</f>
        <v>#N/A</v>
      </c>
      <c r="O59" s="33" t="e">
        <f>VLOOKUP(A1,DIV_01Data!$A$1:$DZU$999999,1002,FALSE)</f>
        <v>#N/A</v>
      </c>
      <c r="P59" s="116" t="e">
        <f>VLOOKUP(A1,DIV_01Data!$A$1:$DZU$999999,1003,FALSE)</f>
        <v>#N/A</v>
      </c>
      <c r="Q59" s="268" t="e">
        <f>VLOOKUP(A1,DIV_01Data!$A$1:$DZU$999999,1004,FALSE)</f>
        <v>#N/A</v>
      </c>
    </row>
    <row r="60" spans="1:17" x14ac:dyDescent="0.35">
      <c r="A60" s="265" t="e">
        <f>VLOOKUP(A1,DIV_01Data!$A$1:$DZU$999999,1005,FALSE)</f>
        <v>#N/A</v>
      </c>
      <c r="B60" s="37" t="e">
        <f>VLOOKUP(A1,DIV_01Data!$A$1:$DZU$999999,1006,FALSE)</f>
        <v>#N/A</v>
      </c>
      <c r="C60" s="38" t="e">
        <f>VLOOKUP(A1,DIV_01Data!$A$1:$DZU$999999,1007,FALSE)</f>
        <v>#N/A</v>
      </c>
      <c r="D60" s="31" t="e">
        <f>VLOOKUP(A1,DIV_01Data!$A$1:$DZU$999999,1008,FALSE)</f>
        <v>#N/A</v>
      </c>
      <c r="E60" s="32" t="e">
        <f>VLOOKUP(A1,DIV_01Data!$A$1:$DZU$999999,1009,FALSE)</f>
        <v>#N/A</v>
      </c>
      <c r="F60" s="34" t="e">
        <f>VLOOKUP(A1,DIV_01Data!$A$1:$DZU$999999,1010,FALSE)</f>
        <v>#N/A</v>
      </c>
      <c r="G60" s="33" t="e">
        <f>VLOOKUP(A1,DIV_01Data!$A$1:$DZU$999999,1011,FALSE)</f>
        <v>#N/A</v>
      </c>
      <c r="H60" s="34" t="e">
        <f>VLOOKUP(A1,DIV_01Data!$A$1:$DZU$999999,1012,FALSE)</f>
        <v>#N/A</v>
      </c>
      <c r="I60" s="33" t="e">
        <f>VLOOKUP(A1,DIV_01Data!$A$1:$DZU$999999,1013,FALSE)</f>
        <v>#N/A</v>
      </c>
      <c r="J60" s="34" t="e">
        <f>VLOOKUP(A1,DIV_01Data!$A$1:$DZU$999999,1014,FALSE)</f>
        <v>#N/A</v>
      </c>
      <c r="K60" s="34" t="e">
        <f>VLOOKUP(A1,DIV_01Data!$A$1:$DZU$999999,1015,FALSE)</f>
        <v>#N/A</v>
      </c>
      <c r="L60" s="93" t="e">
        <f>VLOOKUP(A1,DIV_01Data!$A$1:$DZU$999999,1016,FALSE)</f>
        <v>#N/A</v>
      </c>
      <c r="M60" s="33" t="e">
        <f>VLOOKUP(A1,DIV_01Data!$A$1:$DZU$999999,1017,FALSE)</f>
        <v>#N/A</v>
      </c>
      <c r="N60" s="34" t="e">
        <f>VLOOKUP(A1,DIV_01Data!$A$1:$DZU$999999,1018,FALSE)</f>
        <v>#N/A</v>
      </c>
      <c r="O60" s="33" t="e">
        <f>VLOOKUP(A1,DIV_01Data!$A$1:$DZU$999999,1019,FALSE)</f>
        <v>#N/A</v>
      </c>
      <c r="P60" s="116" t="e">
        <f>VLOOKUP(A1,DIV_01Data!$A$1:$DZU$999999,1020,FALSE)</f>
        <v>#N/A</v>
      </c>
      <c r="Q60" s="268" t="e">
        <f>VLOOKUP(A1,DIV_01Data!$A$1:$DZU$999999,1021,FALSE)</f>
        <v>#N/A</v>
      </c>
    </row>
    <row r="61" spans="1:17" x14ac:dyDescent="0.35">
      <c r="A61" s="265" t="e">
        <f>VLOOKUP(A1,DIV_01Data!$A$1:$DZU$999999,1022,FALSE)</f>
        <v>#N/A</v>
      </c>
      <c r="B61" s="37" t="e">
        <f>VLOOKUP(A1,DIV_01Data!$A$1:$DZU$999999,1023,FALSE)</f>
        <v>#N/A</v>
      </c>
      <c r="C61" s="38" t="e">
        <f>VLOOKUP(A1,DIV_01Data!$A$1:$DZU$999999,1024,FALSE)</f>
        <v>#N/A</v>
      </c>
      <c r="D61" s="31" t="e">
        <f>VLOOKUP(A1,DIV_01Data!$A$1:$DZU$999999,1025,FALSE)</f>
        <v>#N/A</v>
      </c>
      <c r="E61" s="32" t="e">
        <f>VLOOKUP(A1,DIV_01Data!$A$1:$DZU$999999,1026,FALSE)</f>
        <v>#N/A</v>
      </c>
      <c r="F61" s="34" t="e">
        <f>VLOOKUP(A1,DIV_01Data!$A$1:$DZU$999999,1027,FALSE)</f>
        <v>#N/A</v>
      </c>
      <c r="G61" s="33" t="e">
        <f>VLOOKUP(A1,DIV_01Data!$A$1:$DZU$999999,1028,FALSE)</f>
        <v>#N/A</v>
      </c>
      <c r="H61" s="34" t="e">
        <f>VLOOKUP(A1,DIV_01Data!$A$1:$DZU$999999,1029,FALSE)</f>
        <v>#N/A</v>
      </c>
      <c r="I61" s="33" t="e">
        <f>VLOOKUP(A1,DIV_01Data!$A$1:$DZU$999999,1030,FALSE)</f>
        <v>#N/A</v>
      </c>
      <c r="J61" s="34" t="e">
        <f>VLOOKUP(A1,DIV_01Data!$A$1:$DZU$999999,1031,FALSE)</f>
        <v>#N/A</v>
      </c>
      <c r="K61" s="34" t="e">
        <f>VLOOKUP(A1,DIV_01Data!$A$1:$DZU$999999,1032,FALSE)</f>
        <v>#N/A</v>
      </c>
      <c r="L61" s="93" t="e">
        <f>VLOOKUP(A1,DIV_01Data!$A$1:$DZU$999999,1033,FALSE)</f>
        <v>#N/A</v>
      </c>
      <c r="M61" s="33" t="e">
        <f>VLOOKUP(A1,DIV_01Data!$A$1:$DZU$999999,1034,FALSE)</f>
        <v>#N/A</v>
      </c>
      <c r="N61" s="34" t="e">
        <f>VLOOKUP(A1,DIV_01Data!$A$1:$DZU$999999,1035,FALSE)</f>
        <v>#N/A</v>
      </c>
      <c r="O61" s="33" t="e">
        <f>VLOOKUP(A1,DIV_01Data!$A$1:$DZU$999999,1036,FALSE)</f>
        <v>#N/A</v>
      </c>
      <c r="P61" s="116" t="e">
        <f>VLOOKUP(A1,DIV_01Data!$A$1:$DZU$999999,1037,FALSE)</f>
        <v>#N/A</v>
      </c>
      <c r="Q61" s="268" t="e">
        <f>VLOOKUP(A1,DIV_01Data!$A$1:$DZU$999999,1038,FALSE)</f>
        <v>#N/A</v>
      </c>
    </row>
    <row r="62" spans="1:17" x14ac:dyDescent="0.35">
      <c r="A62" s="265" t="e">
        <f>VLOOKUP(A1,DIV_01Data!$A$1:$DZU$999999,1039,FALSE)</f>
        <v>#N/A</v>
      </c>
      <c r="B62" s="37" t="e">
        <f>VLOOKUP(A1,DIV_01Data!$A$1:$DZU$999999,1040,FALSE)</f>
        <v>#N/A</v>
      </c>
      <c r="C62" s="38" t="e">
        <f>VLOOKUP(A1,DIV_01Data!$A$1:$DZU$999999,1041,FALSE)</f>
        <v>#N/A</v>
      </c>
      <c r="D62" s="31" t="e">
        <f>VLOOKUP(A1,DIV_01Data!$A$1:$DZU$999999,1042,FALSE)</f>
        <v>#N/A</v>
      </c>
      <c r="E62" s="32" t="e">
        <f>VLOOKUP(A1,DIV_01Data!$A$1:$DZU$999999,1043,FALSE)</f>
        <v>#N/A</v>
      </c>
      <c r="F62" s="34" t="e">
        <f>VLOOKUP(A1,DIV_01Data!$A$1:$DZU$999999,1044,FALSE)</f>
        <v>#N/A</v>
      </c>
      <c r="G62" s="33" t="e">
        <f>VLOOKUP(A1,DIV_01Data!$A$1:$DZU$999999,1045,FALSE)</f>
        <v>#N/A</v>
      </c>
      <c r="H62" s="34" t="e">
        <f>VLOOKUP(A1,DIV_01Data!$A$1:$DZU$999999,1046,FALSE)</f>
        <v>#N/A</v>
      </c>
      <c r="I62" s="33" t="e">
        <f>VLOOKUP(A1,DIV_01Data!$A$1:$DZU$999999,1047,FALSE)</f>
        <v>#N/A</v>
      </c>
      <c r="J62" s="34" t="e">
        <f>VLOOKUP(A1,DIV_01Data!$A$1:$DZU$999999,1048,FALSE)</f>
        <v>#N/A</v>
      </c>
      <c r="K62" s="34" t="e">
        <f>VLOOKUP(A1,DIV_01Data!$A$1:$DZU$999999,1049,FALSE)</f>
        <v>#N/A</v>
      </c>
      <c r="L62" s="93" t="e">
        <f>VLOOKUP(A1,DIV_01Data!$A$1:$DZU$999999,1050,FALSE)</f>
        <v>#N/A</v>
      </c>
      <c r="M62" s="33" t="e">
        <f>VLOOKUP(A1,DIV_01Data!$A$1:$DZU$999999,1051,FALSE)</f>
        <v>#N/A</v>
      </c>
      <c r="N62" s="34" t="e">
        <f>VLOOKUP(A1,DIV_01Data!$A$1:$DZU$999999,1052,FALSE)</f>
        <v>#N/A</v>
      </c>
      <c r="O62" s="33" t="e">
        <f>VLOOKUP(A1,DIV_01Data!$A$1:$DZU$999999,1053,FALSE)</f>
        <v>#N/A</v>
      </c>
      <c r="P62" s="116" t="e">
        <f>VLOOKUP(A1,DIV_01Data!$A$1:$DZU$999999,1054,FALSE)</f>
        <v>#N/A</v>
      </c>
      <c r="Q62" s="268" t="e">
        <f>VLOOKUP(A1,DIV_01Data!$A$1:$DZU$999999,1055,FALSE)</f>
        <v>#N/A</v>
      </c>
    </row>
    <row r="63" spans="1:17" x14ac:dyDescent="0.35">
      <c r="A63" s="265" t="e">
        <f>VLOOKUP(A1,DIV_01Data!$A$1:$DZU$999999,1056,FALSE)</f>
        <v>#N/A</v>
      </c>
      <c r="B63" s="37" t="e">
        <f>VLOOKUP(A1,DIV_01Data!$A$1:$DZU$999999,1057,FALSE)</f>
        <v>#N/A</v>
      </c>
      <c r="C63" s="38" t="e">
        <f>VLOOKUP(A1,DIV_01Data!$A$1:$DZU$999999,1058,FALSE)</f>
        <v>#N/A</v>
      </c>
      <c r="D63" s="31" t="e">
        <f>VLOOKUP(A1,DIV_01Data!$A$1:$DZU$999999,1059,FALSE)</f>
        <v>#N/A</v>
      </c>
      <c r="E63" s="32" t="e">
        <f>VLOOKUP(A1,DIV_01Data!$A$1:$DZU$999999,1060,FALSE)</f>
        <v>#N/A</v>
      </c>
      <c r="F63" s="34" t="e">
        <f>VLOOKUP(A1,DIV_01Data!$A$1:$DZU$999999,1061,FALSE)</f>
        <v>#N/A</v>
      </c>
      <c r="G63" s="33" t="e">
        <f>VLOOKUP(A1,DIV_01Data!$A$1:$DZU$999999,1062,FALSE)</f>
        <v>#N/A</v>
      </c>
      <c r="H63" s="34" t="e">
        <f>VLOOKUP(A1,DIV_01Data!$A$1:$DZU$999999,1063,FALSE)</f>
        <v>#N/A</v>
      </c>
      <c r="I63" s="33" t="e">
        <f>VLOOKUP(A1,DIV_01Data!$A$1:$DZU$999999,1064,FALSE)</f>
        <v>#N/A</v>
      </c>
      <c r="J63" s="34" t="e">
        <f>VLOOKUP(A1,DIV_01Data!$A$1:$DZU$999999,1065,FALSE)</f>
        <v>#N/A</v>
      </c>
      <c r="K63" s="34" t="e">
        <f>VLOOKUP(A1,DIV_01Data!$A$1:$DZU$999999,1066,FALSE)</f>
        <v>#N/A</v>
      </c>
      <c r="L63" s="93" t="e">
        <f>VLOOKUP(A1,DIV_01Data!$A$1:$DZU$999999,1067,FALSE)</f>
        <v>#N/A</v>
      </c>
      <c r="M63" s="33" t="e">
        <f>VLOOKUP(A1,DIV_01Data!$A$1:$DZU$999999,1068,FALSE)</f>
        <v>#N/A</v>
      </c>
      <c r="N63" s="34" t="e">
        <f>VLOOKUP(A1,DIV_01Data!$A$1:$DZU$999999,1069,FALSE)</f>
        <v>#N/A</v>
      </c>
      <c r="O63" s="33" t="e">
        <f>VLOOKUP(A1,DIV_01Data!$A$1:$DZU$999999,1070,FALSE)</f>
        <v>#N/A</v>
      </c>
      <c r="P63" s="116" t="e">
        <f>VLOOKUP(A1,DIV_01Data!$A$1:$DZU$999999,1071,FALSE)</f>
        <v>#N/A</v>
      </c>
      <c r="Q63" s="268" t="e">
        <f>VLOOKUP(A1,DIV_01Data!$A$1:$DZU$999999,1072,FALSE)</f>
        <v>#N/A</v>
      </c>
    </row>
    <row r="64" spans="1:17" x14ac:dyDescent="0.35">
      <c r="A64" s="265" t="e">
        <f>VLOOKUP(A1,DIV_01Data!$A$1:$DZU$999999,1073,FALSE)</f>
        <v>#N/A</v>
      </c>
      <c r="B64" s="37" t="e">
        <f>VLOOKUP(A1,DIV_01Data!$A$1:$DZU$999999,1074,FALSE)</f>
        <v>#N/A</v>
      </c>
      <c r="C64" s="38" t="e">
        <f>VLOOKUP(A1,DIV_01Data!$A$1:$DZU$999999,1075,FALSE)</f>
        <v>#N/A</v>
      </c>
      <c r="D64" s="31" t="e">
        <f>VLOOKUP(A1,DIV_01Data!$A$1:$DZU$999999,1076,FALSE)</f>
        <v>#N/A</v>
      </c>
      <c r="E64" s="32" t="e">
        <f>VLOOKUP(A1,DIV_01Data!$A$1:$DZU$999999,1077,FALSE)</f>
        <v>#N/A</v>
      </c>
      <c r="F64" s="34" t="e">
        <f>VLOOKUP(A1,DIV_01Data!$A$1:$DZU$999999,1078,FALSE)</f>
        <v>#N/A</v>
      </c>
      <c r="G64" s="33" t="e">
        <f>VLOOKUP(A1,DIV_01Data!$A$1:$DZU$999999,1079,FALSE)</f>
        <v>#N/A</v>
      </c>
      <c r="H64" s="34" t="e">
        <f>VLOOKUP(A1,DIV_01Data!$A$1:$DZU$999999,1080,FALSE)</f>
        <v>#N/A</v>
      </c>
      <c r="I64" s="33" t="e">
        <f>VLOOKUP(A1,DIV_01Data!$A$1:$DZU$999999,1081,FALSE)</f>
        <v>#N/A</v>
      </c>
      <c r="J64" s="34" t="e">
        <f>VLOOKUP(A1,DIV_01Data!$A$1:$DZU$999999,1082,FALSE)</f>
        <v>#N/A</v>
      </c>
      <c r="K64" s="34" t="e">
        <f>VLOOKUP(A1,DIV_01Data!$A$1:$DZU$999999,1083,FALSE)</f>
        <v>#N/A</v>
      </c>
      <c r="L64" s="93" t="e">
        <f>VLOOKUP(A1,DIV_01Data!$A$1:$DZU$999999,1084,FALSE)</f>
        <v>#N/A</v>
      </c>
      <c r="M64" s="33" t="e">
        <f>VLOOKUP(A1,DIV_01Data!$A$1:$DZU$999999,1085,FALSE)</f>
        <v>#N/A</v>
      </c>
      <c r="N64" s="34" t="e">
        <f>VLOOKUP(A1,DIV_01Data!$A$1:$DZU$999999,1086,FALSE)</f>
        <v>#N/A</v>
      </c>
      <c r="O64" s="33" t="e">
        <f>VLOOKUP(A1,DIV_01Data!$A$1:$DZU$999999,1087,FALSE)</f>
        <v>#N/A</v>
      </c>
      <c r="P64" s="116" t="e">
        <f>VLOOKUP(A1,DIV_01Data!$A$1:$DZU$999999,1088,FALSE)</f>
        <v>#N/A</v>
      </c>
      <c r="Q64" s="268" t="e">
        <f>VLOOKUP(A1,DIV_01Data!$A$1:$DZU$999999,1089,FALSE)</f>
        <v>#N/A</v>
      </c>
    </row>
    <row r="65" spans="1:17" x14ac:dyDescent="0.35">
      <c r="A65" s="265" t="e">
        <f>VLOOKUP(A1,DIV_01Data!$A$1:$DZU$999999,1090,FALSE)</f>
        <v>#N/A</v>
      </c>
      <c r="B65" s="37" t="e">
        <f>VLOOKUP(A1,DIV_01Data!$A$1:$DZU$999999,1091,FALSE)</f>
        <v>#N/A</v>
      </c>
      <c r="C65" s="38" t="e">
        <f>VLOOKUP(A1,DIV_01Data!$A$1:$DZU$999999,1092,FALSE)</f>
        <v>#N/A</v>
      </c>
      <c r="D65" s="31" t="e">
        <f>VLOOKUP(A1,DIV_01Data!$A$1:$DZU$999999,1093,FALSE)</f>
        <v>#N/A</v>
      </c>
      <c r="E65" s="32" t="e">
        <f>VLOOKUP(A1,DIV_01Data!$A$1:$DZU$999999,1094,FALSE)</f>
        <v>#N/A</v>
      </c>
      <c r="F65" s="34" t="e">
        <f>VLOOKUP(A1,DIV_01Data!$A$1:$DZU$999999,1095,FALSE)</f>
        <v>#N/A</v>
      </c>
      <c r="G65" s="33" t="e">
        <f>VLOOKUP(A1,DIV_01Data!$A$1:$DZU$999999,1096,FALSE)</f>
        <v>#N/A</v>
      </c>
      <c r="H65" s="34" t="e">
        <f>VLOOKUP(A1,DIV_01Data!$A$1:$DZU$999999,1097,FALSE)</f>
        <v>#N/A</v>
      </c>
      <c r="I65" s="33" t="e">
        <f>VLOOKUP(A1,DIV_01Data!$A$1:$DZU$999999,1098,FALSE)</f>
        <v>#N/A</v>
      </c>
      <c r="J65" s="34" t="e">
        <f>VLOOKUP(A1,DIV_01Data!$A$1:$DZU$999999,1099,FALSE)</f>
        <v>#N/A</v>
      </c>
      <c r="K65" s="34" t="e">
        <f>VLOOKUP(A1,DIV_01Data!$A$1:$DZU$999999,1100,FALSE)</f>
        <v>#N/A</v>
      </c>
      <c r="L65" s="93" t="e">
        <f>VLOOKUP(A1,DIV_01Data!$A$1:$DZU$999999,1101,FALSE)</f>
        <v>#N/A</v>
      </c>
      <c r="M65" s="33" t="e">
        <f>VLOOKUP(A1,DIV_01Data!$A$1:$DZU$999999,1102,FALSE)</f>
        <v>#N/A</v>
      </c>
      <c r="N65" s="34" t="e">
        <f>VLOOKUP(A1,DIV_01Data!$A$1:$DZU$999999,1103,FALSE)</f>
        <v>#N/A</v>
      </c>
      <c r="O65" s="33" t="e">
        <f>VLOOKUP(A1,DIV_01Data!$A$1:$DZU$999999,1104,FALSE)</f>
        <v>#N/A</v>
      </c>
      <c r="P65" s="116" t="e">
        <f>VLOOKUP(A1,DIV_01Data!$A$1:$DZU$999999,1105,FALSE)</f>
        <v>#N/A</v>
      </c>
      <c r="Q65" s="268" t="e">
        <f>VLOOKUP(A1,DIV_01Data!$A$1:$DZU$999999,1106,FALSE)</f>
        <v>#N/A</v>
      </c>
    </row>
    <row r="66" spans="1:17" x14ac:dyDescent="0.35">
      <c r="A66" s="265" t="e">
        <f>VLOOKUP(A1,DIV_01Data!$A$1:$DZU$999999,1107,FALSE)</f>
        <v>#N/A</v>
      </c>
      <c r="B66" s="37" t="e">
        <f>VLOOKUP(A1,DIV_01Data!$A$1:$DZU$999999,1108,FALSE)</f>
        <v>#N/A</v>
      </c>
      <c r="C66" s="38" t="e">
        <f>VLOOKUP(A1,DIV_01Data!$A$1:$DZU$999999,1109,FALSE)</f>
        <v>#N/A</v>
      </c>
      <c r="D66" s="31" t="e">
        <f>VLOOKUP(A1,DIV_01Data!$A$1:$DZU$999999,1110,FALSE)</f>
        <v>#N/A</v>
      </c>
      <c r="E66" s="32" t="e">
        <f>VLOOKUP(A1,DIV_01Data!$A$1:$DZU$999999,1111,FALSE)</f>
        <v>#N/A</v>
      </c>
      <c r="F66" s="34" t="e">
        <f>VLOOKUP(A1,DIV_01Data!$A$1:$DZU$999999,1112,FALSE)</f>
        <v>#N/A</v>
      </c>
      <c r="G66" s="33" t="e">
        <f>VLOOKUP(A1,DIV_01Data!$A$1:$DZU$999999,1113,FALSE)</f>
        <v>#N/A</v>
      </c>
      <c r="H66" s="34" t="e">
        <f>VLOOKUP(A1,DIV_01Data!$A$1:$DZU$999999,1114,FALSE)</f>
        <v>#N/A</v>
      </c>
      <c r="I66" s="33" t="e">
        <f>VLOOKUP(A1,DIV_01Data!$A$1:$DZU$999999,1115,FALSE)</f>
        <v>#N/A</v>
      </c>
      <c r="J66" s="34" t="e">
        <f>VLOOKUP(A1,DIV_01Data!$A$1:$DZU$999999,1116,FALSE)</f>
        <v>#N/A</v>
      </c>
      <c r="K66" s="34" t="e">
        <f>VLOOKUP(A1,DIV_01Data!$A$1:$DZU$999999,1117,FALSE)</f>
        <v>#N/A</v>
      </c>
      <c r="L66" s="93" t="e">
        <f>VLOOKUP(A1,DIV_01Data!$A$1:$DZU$999999,1118,FALSE)</f>
        <v>#N/A</v>
      </c>
      <c r="M66" s="33" t="e">
        <f>VLOOKUP(A1,DIV_01Data!$A$1:$DZU$999999,1119,FALSE)</f>
        <v>#N/A</v>
      </c>
      <c r="N66" s="34" t="e">
        <f>VLOOKUP(A1,DIV_01Data!$A$1:$DZU$999999,1120,FALSE)</f>
        <v>#N/A</v>
      </c>
      <c r="O66" s="33" t="e">
        <f>VLOOKUP(A1,DIV_01Data!$A$1:$DZU$999999,1121,FALSE)</f>
        <v>#N/A</v>
      </c>
      <c r="P66" s="116" t="e">
        <f>VLOOKUP(A1,DIV_01Data!$A$1:$DZU$999999,1122,FALSE)</f>
        <v>#N/A</v>
      </c>
      <c r="Q66" s="268" t="e">
        <f>VLOOKUP(A1,DIV_01Data!$A$1:$DZU$999999,1123,FALSE)</f>
        <v>#N/A</v>
      </c>
    </row>
    <row r="67" spans="1:17" x14ac:dyDescent="0.35">
      <c r="A67" s="265" t="e">
        <f>VLOOKUP(A1,DIV_01Data!$A$1:$DZU$999999,1124,FALSE)</f>
        <v>#N/A</v>
      </c>
      <c r="B67" s="37" t="e">
        <f>VLOOKUP(A1,DIV_01Data!$A$1:$DZU$999999,1125,FALSE)</f>
        <v>#N/A</v>
      </c>
      <c r="C67" s="38" t="e">
        <f>VLOOKUP(A1,DIV_01Data!$A$1:$DZU$999999,1126,FALSE)</f>
        <v>#N/A</v>
      </c>
      <c r="D67" s="31" t="e">
        <f>VLOOKUP(A1,DIV_01Data!$A$1:$DZU$999999,1127,FALSE)</f>
        <v>#N/A</v>
      </c>
      <c r="E67" s="32" t="e">
        <f>VLOOKUP(A1,DIV_01Data!$A$1:$DZU$999999,1128,FALSE)</f>
        <v>#N/A</v>
      </c>
      <c r="F67" s="34" t="e">
        <f>VLOOKUP(A1,DIV_01Data!$A$1:$DZU$999999,1129,FALSE)</f>
        <v>#N/A</v>
      </c>
      <c r="G67" s="33" t="e">
        <f>VLOOKUP(A1,DIV_01Data!$A$1:$DZU$999999,1130,FALSE)</f>
        <v>#N/A</v>
      </c>
      <c r="H67" s="34" t="e">
        <f>VLOOKUP(A1,DIV_01Data!$A$1:$DZU$999999,1131,FALSE)</f>
        <v>#N/A</v>
      </c>
      <c r="I67" s="33" t="e">
        <f>VLOOKUP(A1,DIV_01Data!$A$1:$DZU$999999,1132,FALSE)</f>
        <v>#N/A</v>
      </c>
      <c r="J67" s="34" t="e">
        <f>VLOOKUP(A1,DIV_01Data!$A$1:$DZU$999999,1133,FALSE)</f>
        <v>#N/A</v>
      </c>
      <c r="K67" s="34" t="e">
        <f>VLOOKUP(A1,DIV_01Data!$A$1:$DZU$999999,1134,FALSE)</f>
        <v>#N/A</v>
      </c>
      <c r="L67" s="93" t="e">
        <f>VLOOKUP(A1,DIV_01Data!$A$1:$DZU$999999,1135,FALSE)</f>
        <v>#N/A</v>
      </c>
      <c r="M67" s="33" t="e">
        <f>VLOOKUP(A1,DIV_01Data!$A$1:$DZU$999999,1136,FALSE)</f>
        <v>#N/A</v>
      </c>
      <c r="N67" s="34" t="e">
        <f>VLOOKUP(A1,DIV_01Data!$A$1:$DZU$999999,1137,FALSE)</f>
        <v>#N/A</v>
      </c>
      <c r="O67" s="33" t="e">
        <f>VLOOKUP(A1,DIV_01Data!$A$1:$DZU$999999,1138,FALSE)</f>
        <v>#N/A</v>
      </c>
      <c r="P67" s="116" t="e">
        <f>VLOOKUP(A1,DIV_01Data!$A$1:$DZU$999999,1139,FALSE)</f>
        <v>#N/A</v>
      </c>
      <c r="Q67" s="268" t="e">
        <f>VLOOKUP(A1,DIV_01Data!$A$1:$DZU$999999,1140,FALSE)</f>
        <v>#N/A</v>
      </c>
    </row>
    <row r="68" spans="1:17" x14ac:dyDescent="0.35">
      <c r="A68" s="265" t="e">
        <f>VLOOKUP(A1,DIV_01Data!$A$1:$DZU$999999,1141,FALSE)</f>
        <v>#N/A</v>
      </c>
      <c r="B68" s="37" t="e">
        <f>VLOOKUP(A1,DIV_01Data!$A$1:$DZU$999999,1142,FALSE)</f>
        <v>#N/A</v>
      </c>
      <c r="C68" s="38" t="e">
        <f>VLOOKUP(A1,DIV_01Data!$A$1:$DZU$999999,1143,FALSE)</f>
        <v>#N/A</v>
      </c>
      <c r="D68" s="31" t="e">
        <f>VLOOKUP(A1,DIV_01Data!$A$1:$DZU$999999,1144,FALSE)</f>
        <v>#N/A</v>
      </c>
      <c r="E68" s="32" t="e">
        <f>VLOOKUP(A1,DIV_01Data!$A$1:$DZU$999999,1145,FALSE)</f>
        <v>#N/A</v>
      </c>
      <c r="F68" s="34" t="e">
        <f>VLOOKUP(A1,DIV_01Data!$A$1:$DZU$999999,1146,FALSE)</f>
        <v>#N/A</v>
      </c>
      <c r="G68" s="33" t="e">
        <f>VLOOKUP(A1,DIV_01Data!$A$1:$DZU$999999,1147,FALSE)</f>
        <v>#N/A</v>
      </c>
      <c r="H68" s="34" t="e">
        <f>VLOOKUP(A1,DIV_01Data!$A$1:$DZU$999999,1148,FALSE)</f>
        <v>#N/A</v>
      </c>
      <c r="I68" s="33" t="e">
        <f>VLOOKUP(A1,DIV_01Data!$A$1:$DZU$999999,1149,FALSE)</f>
        <v>#N/A</v>
      </c>
      <c r="J68" s="34" t="e">
        <f>VLOOKUP(A1,DIV_01Data!$A$1:$DZU$999999,1150,FALSE)</f>
        <v>#N/A</v>
      </c>
      <c r="K68" s="34" t="e">
        <f>VLOOKUP(A1,DIV_01Data!$A$1:$DZU$999999,1151,FALSE)</f>
        <v>#N/A</v>
      </c>
      <c r="L68" s="93" t="e">
        <f>VLOOKUP(A1,DIV_01Data!$A$1:$DZU$999999,1152,FALSE)</f>
        <v>#N/A</v>
      </c>
      <c r="M68" s="33" t="e">
        <f>VLOOKUP(A1,DIV_01Data!$A$1:$DZU$999999,1153,FALSE)</f>
        <v>#N/A</v>
      </c>
      <c r="N68" s="34" t="e">
        <f>VLOOKUP(A1,DIV_01Data!$A$1:$DZU$999999,1154,FALSE)</f>
        <v>#N/A</v>
      </c>
      <c r="O68" s="33" t="e">
        <f>VLOOKUP(A1,DIV_01Data!$A$1:$DZU$999999,1155,FALSE)</f>
        <v>#N/A</v>
      </c>
      <c r="P68" s="116" t="e">
        <f>VLOOKUP(A1,DIV_01Data!$A$1:$DZU$999999,1156,FALSE)</f>
        <v>#N/A</v>
      </c>
      <c r="Q68" s="268" t="e">
        <f>VLOOKUP(A1,DIV_01Data!$A$1:$DZU$999999,1157,FALSE)</f>
        <v>#N/A</v>
      </c>
    </row>
    <row r="69" spans="1:17" x14ac:dyDescent="0.35">
      <c r="A69" s="265" t="e">
        <f>VLOOKUP(A1,DIV_01Data!$A$1:$DZU$999999,1158,FALSE)</f>
        <v>#N/A</v>
      </c>
      <c r="B69" s="37" t="e">
        <f>VLOOKUP(A1,DIV_01Data!$A$1:$DZU$999999,1159,FALSE)</f>
        <v>#N/A</v>
      </c>
      <c r="C69" s="38" t="e">
        <f>VLOOKUP(A1,DIV_01Data!$A$1:$DZU$999999,1160,FALSE)</f>
        <v>#N/A</v>
      </c>
      <c r="D69" s="31" t="e">
        <f>VLOOKUP(A1,DIV_01Data!$A$1:$DZU$999999,1161,FALSE)</f>
        <v>#N/A</v>
      </c>
      <c r="E69" s="32" t="e">
        <f>VLOOKUP(A1,DIV_01Data!$A$1:$DZU$999999,1162,FALSE)</f>
        <v>#N/A</v>
      </c>
      <c r="F69" s="34" t="e">
        <f>VLOOKUP(A1,DIV_01Data!$A$1:$DZU$999999,1163,FALSE)</f>
        <v>#N/A</v>
      </c>
      <c r="G69" s="33" t="e">
        <f>VLOOKUP(A1,DIV_01Data!$A$1:$DZU$999999,1164,FALSE)</f>
        <v>#N/A</v>
      </c>
      <c r="H69" s="34" t="e">
        <f>VLOOKUP(A1,DIV_01Data!$A$1:$DZU$999999,1165,FALSE)</f>
        <v>#N/A</v>
      </c>
      <c r="I69" s="33" t="e">
        <f>VLOOKUP(A1,DIV_01Data!$A$1:$DZU$999999,1166,FALSE)</f>
        <v>#N/A</v>
      </c>
      <c r="J69" s="34" t="e">
        <f>VLOOKUP(A1,DIV_01Data!$A$1:$DZU$999999,1167,FALSE)</f>
        <v>#N/A</v>
      </c>
      <c r="K69" s="34" t="e">
        <f>VLOOKUP(A1,DIV_01Data!$A$1:$DZU$999999,1168,FALSE)</f>
        <v>#N/A</v>
      </c>
      <c r="L69" s="93" t="e">
        <f>VLOOKUP(A1,DIV_01Data!$A$1:$DZU$999999,1169,FALSE)</f>
        <v>#N/A</v>
      </c>
      <c r="M69" s="33" t="e">
        <f>VLOOKUP(A1,DIV_01Data!$A$1:$DZU$999999,1170,FALSE)</f>
        <v>#N/A</v>
      </c>
      <c r="N69" s="34" t="e">
        <f>VLOOKUP(A1,DIV_01Data!$A$1:$DZU$999999,1171,FALSE)</f>
        <v>#N/A</v>
      </c>
      <c r="O69" s="33" t="e">
        <f>VLOOKUP(A1,DIV_01Data!$A$1:$DZU$999999,1172,FALSE)</f>
        <v>#N/A</v>
      </c>
      <c r="P69" s="116" t="e">
        <f>VLOOKUP(A1,DIV_01Data!$A$1:$DZU$999999,1173,FALSE)</f>
        <v>#N/A</v>
      </c>
      <c r="Q69" s="268" t="e">
        <f>VLOOKUP(A1,DIV_01Data!$A$1:$DZU$999999,1174,FALSE)</f>
        <v>#N/A</v>
      </c>
    </row>
    <row r="70" spans="1:17" x14ac:dyDescent="0.35">
      <c r="A70" s="265" t="e">
        <f>VLOOKUP(A1,DIV_01Data!$A$1:$DZU$999999,1175,FALSE)</f>
        <v>#N/A</v>
      </c>
      <c r="B70" s="37" t="e">
        <f>VLOOKUP(A1,DIV_01Data!$A$1:$DZU$999999,1176,FALSE)</f>
        <v>#N/A</v>
      </c>
      <c r="C70" s="38" t="e">
        <f>VLOOKUP(A1,DIV_01Data!$A$1:$DZU$999999,1177,FALSE)</f>
        <v>#N/A</v>
      </c>
      <c r="D70" s="31" t="e">
        <f>VLOOKUP(A1,DIV_01Data!$A$1:$DZU$999999,1178,FALSE)</f>
        <v>#N/A</v>
      </c>
      <c r="E70" s="32" t="e">
        <f>VLOOKUP(A1,DIV_01Data!$A$1:$DZU$999999,1179,FALSE)</f>
        <v>#N/A</v>
      </c>
      <c r="F70" s="34" t="e">
        <f>VLOOKUP(A1,DIV_01Data!$A$1:$DZU$999999,1180,FALSE)</f>
        <v>#N/A</v>
      </c>
      <c r="G70" s="33" t="e">
        <f>VLOOKUP(A1,DIV_01Data!$A$1:$DZU$999999,1181,FALSE)</f>
        <v>#N/A</v>
      </c>
      <c r="H70" s="34" t="e">
        <f>VLOOKUP(A1,DIV_01Data!$A$1:$DZU$999999,1182,FALSE)</f>
        <v>#N/A</v>
      </c>
      <c r="I70" s="33" t="e">
        <f>VLOOKUP(A1,DIV_01Data!$A$1:$DZU$999999,1183,FALSE)</f>
        <v>#N/A</v>
      </c>
      <c r="J70" s="34" t="e">
        <f>VLOOKUP(A1,DIV_01Data!$A$1:$DZU$999999,1184,FALSE)</f>
        <v>#N/A</v>
      </c>
      <c r="K70" s="34" t="e">
        <f>VLOOKUP(A1,DIV_01Data!$A$1:$DZU$999999,1185,FALSE)</f>
        <v>#N/A</v>
      </c>
      <c r="L70" s="93" t="e">
        <f>VLOOKUP(A1,DIV_01Data!$A$1:$DZU$999999,1186,FALSE)</f>
        <v>#N/A</v>
      </c>
      <c r="M70" s="33" t="e">
        <f>VLOOKUP(A1,DIV_01Data!$A$1:$DZU$999999,1187,FALSE)</f>
        <v>#N/A</v>
      </c>
      <c r="N70" s="34" t="e">
        <f>VLOOKUP(A1,DIV_01Data!$A$1:$DZU$999999,1188,FALSE)</f>
        <v>#N/A</v>
      </c>
      <c r="O70" s="33" t="e">
        <f>VLOOKUP(A1,DIV_01Data!$A$1:$DZU$999999,1189,FALSE)</f>
        <v>#N/A</v>
      </c>
      <c r="P70" s="116" t="e">
        <f>VLOOKUP(A1,DIV_01Data!$A$1:$DZU$999999,1190,FALSE)</f>
        <v>#N/A</v>
      </c>
      <c r="Q70" s="268" t="e">
        <f>VLOOKUP(A1,DIV_01Data!$A$1:$DZU$999999,1191,FALSE)</f>
        <v>#N/A</v>
      </c>
    </row>
    <row r="71" spans="1:17" x14ac:dyDescent="0.35">
      <c r="A71" s="265" t="e">
        <f>VLOOKUP(A1,DIV_01Data!$A$1:$DZU$999999,1192,FALSE)</f>
        <v>#N/A</v>
      </c>
      <c r="B71" s="37" t="e">
        <f>VLOOKUP(A1,DIV_01Data!$A$1:$DZU$999999,1193,FALSE)</f>
        <v>#N/A</v>
      </c>
      <c r="C71" s="38" t="e">
        <f>VLOOKUP(A1,DIV_01Data!$A$1:$DZU$999999,1194,FALSE)</f>
        <v>#N/A</v>
      </c>
      <c r="D71" s="31" t="e">
        <f>VLOOKUP(A1,DIV_01Data!$A$1:$DZU$999999,1195,FALSE)</f>
        <v>#N/A</v>
      </c>
      <c r="E71" s="32" t="e">
        <f>VLOOKUP(A1,DIV_01Data!$A$1:$DZU$999999,1196,FALSE)</f>
        <v>#N/A</v>
      </c>
      <c r="F71" s="34" t="e">
        <f>VLOOKUP(A1,DIV_01Data!$A$1:$DZU$999999,1197,FALSE)</f>
        <v>#N/A</v>
      </c>
      <c r="G71" s="33" t="e">
        <f>VLOOKUP(A1,DIV_01Data!$A$1:$DZU$999999,1198,FALSE)</f>
        <v>#N/A</v>
      </c>
      <c r="H71" s="34" t="e">
        <f>VLOOKUP(A1,DIV_01Data!$A$1:$DZU$999999,1199,FALSE)</f>
        <v>#N/A</v>
      </c>
      <c r="I71" s="33" t="e">
        <f>VLOOKUP(A1,DIV_01Data!$A$1:$DZU$999999,1200,FALSE)</f>
        <v>#N/A</v>
      </c>
      <c r="J71" s="34" t="e">
        <f>VLOOKUP(A1,DIV_01Data!$A$1:$DZU$999999,1201,FALSE)</f>
        <v>#N/A</v>
      </c>
      <c r="K71" s="34" t="e">
        <f>VLOOKUP(A1,DIV_01Data!$A$1:$DZU$999999,1202,FALSE)</f>
        <v>#N/A</v>
      </c>
      <c r="L71" s="93" t="e">
        <f>VLOOKUP(A1,DIV_01Data!$A$1:$DZU$999999,1203,FALSE)</f>
        <v>#N/A</v>
      </c>
      <c r="M71" s="33" t="e">
        <f>VLOOKUP(A1,DIV_01Data!$A$1:$DZU$999999,1204,FALSE)</f>
        <v>#N/A</v>
      </c>
      <c r="N71" s="34" t="e">
        <f>VLOOKUP(A1,DIV_01Data!$A$1:$DZU$999999,1205,FALSE)</f>
        <v>#N/A</v>
      </c>
      <c r="O71" s="33" t="e">
        <f>VLOOKUP(A1,DIV_01Data!$A$1:$DZU$999999,1206,FALSE)</f>
        <v>#N/A</v>
      </c>
      <c r="P71" s="116" t="e">
        <f>VLOOKUP(A1,DIV_01Data!$A$1:$DZU$999999,1207,FALSE)</f>
        <v>#N/A</v>
      </c>
      <c r="Q71" s="268" t="e">
        <f>VLOOKUP(A1,DIV_01Data!$A$1:$DZU$999999,1208,FALSE)</f>
        <v>#N/A</v>
      </c>
    </row>
    <row r="72" spans="1:17" x14ac:dyDescent="0.35">
      <c r="A72" s="265" t="e">
        <f>VLOOKUP(A1,DIV_01Data!$A$1:$DZU$999999,1209,FALSE)</f>
        <v>#N/A</v>
      </c>
      <c r="B72" s="37" t="e">
        <f>VLOOKUP(A1,DIV_01Data!$A$1:$DZU$999999,1210,FALSE)</f>
        <v>#N/A</v>
      </c>
      <c r="C72" s="38" t="e">
        <f>VLOOKUP(A1,DIV_01Data!$A$1:$DZU$999999,1211,FALSE)</f>
        <v>#N/A</v>
      </c>
      <c r="D72" s="31" t="e">
        <f>VLOOKUP(A1,DIV_01Data!$A$1:$DZU$999999,1212,FALSE)</f>
        <v>#N/A</v>
      </c>
      <c r="E72" s="32" t="e">
        <f>VLOOKUP(A1,DIV_01Data!$A$1:$DZU$999999,1213,FALSE)</f>
        <v>#N/A</v>
      </c>
      <c r="F72" s="34" t="e">
        <f>VLOOKUP(A1,DIV_01Data!$A$1:$DZU$999999,1214,FALSE)</f>
        <v>#N/A</v>
      </c>
      <c r="G72" s="33" t="e">
        <f>VLOOKUP(A1,DIV_01Data!$A$1:$DZU$999999,1215,FALSE)</f>
        <v>#N/A</v>
      </c>
      <c r="H72" s="34" t="e">
        <f>VLOOKUP(A1,DIV_01Data!$A$1:$DZU$999999,1216,FALSE)</f>
        <v>#N/A</v>
      </c>
      <c r="I72" s="33" t="e">
        <f>VLOOKUP(A1,DIV_01Data!$A$1:$DZU$999999,1217,FALSE)</f>
        <v>#N/A</v>
      </c>
      <c r="J72" s="34" t="e">
        <f>VLOOKUP(A1,DIV_01Data!$A$1:$DZU$999999,1218,FALSE)</f>
        <v>#N/A</v>
      </c>
      <c r="K72" s="34" t="e">
        <f>VLOOKUP(A1,DIV_01Data!$A$1:$DZU$999999,1219,FALSE)</f>
        <v>#N/A</v>
      </c>
      <c r="L72" s="93" t="e">
        <f>VLOOKUP(A1,DIV_01Data!$A$1:$DZU$999999,1220,FALSE)</f>
        <v>#N/A</v>
      </c>
      <c r="M72" s="33" t="e">
        <f>VLOOKUP(A1,DIV_01Data!$A$1:$DZU$999999,1221,FALSE)</f>
        <v>#N/A</v>
      </c>
      <c r="N72" s="34" t="e">
        <f>VLOOKUP(A1,DIV_01Data!$A$1:$DZU$999999,1222,FALSE)</f>
        <v>#N/A</v>
      </c>
      <c r="O72" s="33" t="e">
        <f>VLOOKUP(A1,DIV_01Data!$A$1:$DZU$999999,1223,FALSE)</f>
        <v>#N/A</v>
      </c>
      <c r="P72" s="116" t="e">
        <f>VLOOKUP(A1,DIV_01Data!$A$1:$DZU$999999,1224,FALSE)</f>
        <v>#N/A</v>
      </c>
      <c r="Q72" s="268" t="e">
        <f>VLOOKUP(A1,DIV_01Data!$A$1:$DZU$999999,1225,FALSE)</f>
        <v>#N/A</v>
      </c>
    </row>
    <row r="73" spans="1:17" x14ac:dyDescent="0.35">
      <c r="A73" s="265" t="e">
        <f>VLOOKUP(A1,DIV_01Data!$A$1:$DZU$999999,1226,FALSE)</f>
        <v>#N/A</v>
      </c>
      <c r="B73" s="37" t="e">
        <f>VLOOKUP(A1,DIV_01Data!$A$1:$DZU$999999,1227,FALSE)</f>
        <v>#N/A</v>
      </c>
      <c r="C73" s="38" t="e">
        <f>VLOOKUP(A1,DIV_01Data!$A$1:$DZU$999999,1228,FALSE)</f>
        <v>#N/A</v>
      </c>
      <c r="D73" s="31" t="e">
        <f>VLOOKUP(A1,DIV_01Data!$A$1:$DZU$999999,1229,FALSE)</f>
        <v>#N/A</v>
      </c>
      <c r="E73" s="32" t="e">
        <f>VLOOKUP(A1,DIV_01Data!$A$1:$DZU$999999,1230,FALSE)</f>
        <v>#N/A</v>
      </c>
      <c r="F73" s="34" t="e">
        <f>VLOOKUP(A1,DIV_01Data!$A$1:$DZU$999999,1231,FALSE)</f>
        <v>#N/A</v>
      </c>
      <c r="G73" s="33" t="e">
        <f>VLOOKUP(A1,DIV_01Data!$A$1:$DZU$999999,1232,FALSE)</f>
        <v>#N/A</v>
      </c>
      <c r="H73" s="34" t="e">
        <f>VLOOKUP(A1,DIV_01Data!$A$1:$DZU$999999,1233,FALSE)</f>
        <v>#N/A</v>
      </c>
      <c r="I73" s="33" t="e">
        <f>VLOOKUP(A1,DIV_01Data!$A$1:$DZU$999999,1234,FALSE)</f>
        <v>#N/A</v>
      </c>
      <c r="J73" s="34" t="e">
        <f>VLOOKUP(A1,DIV_01Data!$A$1:$DZU$999999,1235,FALSE)</f>
        <v>#N/A</v>
      </c>
      <c r="K73" s="34" t="e">
        <f>VLOOKUP(A1,DIV_01Data!$A$1:$DZU$999999,1236,FALSE)</f>
        <v>#N/A</v>
      </c>
      <c r="L73" s="93" t="e">
        <f>VLOOKUP(A1,DIV_01Data!$A$1:$DZU$999999,1237,FALSE)</f>
        <v>#N/A</v>
      </c>
      <c r="M73" s="33" t="e">
        <f>VLOOKUP(A1,DIV_01Data!$A$1:$DZU$999999,1238,FALSE)</f>
        <v>#N/A</v>
      </c>
      <c r="N73" s="34" t="e">
        <f>VLOOKUP(A1,DIV_01Data!$A$1:$DZU$999999,1239,FALSE)</f>
        <v>#N/A</v>
      </c>
      <c r="O73" s="33" t="e">
        <f>VLOOKUP(A1,DIV_01Data!$A$1:$DZU$999999,1240,FALSE)</f>
        <v>#N/A</v>
      </c>
      <c r="P73" s="116" t="e">
        <f>VLOOKUP(A1,DIV_01Data!$A$1:$DZU$999999,1241,FALSE)</f>
        <v>#N/A</v>
      </c>
      <c r="Q73" s="268" t="e">
        <f>VLOOKUP(A1,DIV_01Data!$A$1:$DZU$999999,1242,FALSE)</f>
        <v>#N/A</v>
      </c>
    </row>
    <row r="74" spans="1:17" x14ac:dyDescent="0.35">
      <c r="A74" s="265" t="e">
        <f>VLOOKUP(A1,DIV_01Data!$A$1:$DZU$999999,1243,FALSE)</f>
        <v>#N/A</v>
      </c>
      <c r="B74" s="37" t="e">
        <f>VLOOKUP(A1,DIV_01Data!$A$1:$DZU$999999,1244,FALSE)</f>
        <v>#N/A</v>
      </c>
      <c r="C74" s="38" t="e">
        <f>VLOOKUP(A1,DIV_01Data!$A$1:$DZU$999999,1245,FALSE)</f>
        <v>#N/A</v>
      </c>
      <c r="D74" s="31" t="e">
        <f>VLOOKUP(A1,DIV_01Data!$A$1:$DZU$999999,1246,FALSE)</f>
        <v>#N/A</v>
      </c>
      <c r="E74" s="32" t="e">
        <f>VLOOKUP(A1,DIV_01Data!$A$1:$DZU$999999,1247,FALSE)</f>
        <v>#N/A</v>
      </c>
      <c r="F74" s="34" t="e">
        <f>VLOOKUP(A1,DIV_01Data!$A$1:$DZU$999999,1248,FALSE)</f>
        <v>#N/A</v>
      </c>
      <c r="G74" s="33" t="e">
        <f>VLOOKUP(A1,DIV_01Data!$A$1:$DZU$999999,1249,FALSE)</f>
        <v>#N/A</v>
      </c>
      <c r="H74" s="34" t="e">
        <f>VLOOKUP(A1,DIV_01Data!$A$1:$DZU$999999,1250,FALSE)</f>
        <v>#N/A</v>
      </c>
      <c r="I74" s="33" t="e">
        <f>VLOOKUP(A1,DIV_01Data!$A$1:$DZU$999999,1251,FALSE)</f>
        <v>#N/A</v>
      </c>
      <c r="J74" s="34" t="e">
        <f>VLOOKUP(A1,DIV_01Data!$A$1:$DZU$999999,1252,FALSE)</f>
        <v>#N/A</v>
      </c>
      <c r="K74" s="34" t="e">
        <f>VLOOKUP(A1,DIV_01Data!$A$1:$DZU$999999,1253,FALSE)</f>
        <v>#N/A</v>
      </c>
      <c r="L74" s="93" t="e">
        <f>VLOOKUP(A1,DIV_01Data!$A$1:$DZU$999999,1254,FALSE)</f>
        <v>#N/A</v>
      </c>
      <c r="M74" s="33" t="e">
        <f>VLOOKUP(A1,DIV_01Data!$A$1:$DZU$999999,1255,FALSE)</f>
        <v>#N/A</v>
      </c>
      <c r="N74" s="34" t="e">
        <f>VLOOKUP(A1,DIV_01Data!$A$1:$DZU$999999,1256,FALSE)</f>
        <v>#N/A</v>
      </c>
      <c r="O74" s="33" t="e">
        <f>VLOOKUP(A1,DIV_01Data!$A$1:$DZU$999999,1257,FALSE)</f>
        <v>#N/A</v>
      </c>
      <c r="P74" s="116" t="e">
        <f>VLOOKUP(A1,DIV_01Data!$A$1:$DZU$999999,1258,FALSE)</f>
        <v>#N/A</v>
      </c>
      <c r="Q74" s="268" t="e">
        <f>VLOOKUP(A1,DIV_01Data!$A$1:$DZU$999999,1259,FALSE)</f>
        <v>#N/A</v>
      </c>
    </row>
    <row r="75" spans="1:17" x14ac:dyDescent="0.35">
      <c r="A75" s="265" t="e">
        <f>VLOOKUP(A1,DIV_01Data!$A$1:$DZU$999999,1260,FALSE)</f>
        <v>#N/A</v>
      </c>
      <c r="B75" s="37" t="e">
        <f>VLOOKUP(A1,DIV_01Data!$A$1:$DZU$999999,1261,FALSE)</f>
        <v>#N/A</v>
      </c>
      <c r="C75" s="38" t="e">
        <f>VLOOKUP(A1,DIV_01Data!$A$1:$DZU$999999,1262,FALSE)</f>
        <v>#N/A</v>
      </c>
      <c r="D75" s="31" t="e">
        <f>VLOOKUP(A1,DIV_01Data!$A$1:$DZU$999999,1263,FALSE)</f>
        <v>#N/A</v>
      </c>
      <c r="E75" s="32" t="e">
        <f>VLOOKUP(A1,DIV_01Data!$A$1:$DZU$999999,1264,FALSE)</f>
        <v>#N/A</v>
      </c>
      <c r="F75" s="34" t="e">
        <f>VLOOKUP(A1,DIV_01Data!$A$1:$DZU$999999,1265,FALSE)</f>
        <v>#N/A</v>
      </c>
      <c r="G75" s="33" t="e">
        <f>VLOOKUP(A1,DIV_01Data!$A$1:$DZU$999999,1266,FALSE)</f>
        <v>#N/A</v>
      </c>
      <c r="H75" s="34" t="e">
        <f>VLOOKUP(A1,DIV_01Data!$A$1:$DZU$999999,1267,FALSE)</f>
        <v>#N/A</v>
      </c>
      <c r="I75" s="33" t="e">
        <f>VLOOKUP(A1,DIV_01Data!$A$1:$DZU$999999,1268,FALSE)</f>
        <v>#N/A</v>
      </c>
      <c r="J75" s="34" t="e">
        <f>VLOOKUP(A1,DIV_01Data!$A$1:$DZU$999999,1269,FALSE)</f>
        <v>#N/A</v>
      </c>
      <c r="K75" s="34" t="e">
        <f>VLOOKUP(A1,DIV_01Data!$A$1:$DZU$999999,1270,FALSE)</f>
        <v>#N/A</v>
      </c>
      <c r="L75" s="93" t="e">
        <f>VLOOKUP(A1,DIV_01Data!$A$1:$DZU$999999,1271,FALSE)</f>
        <v>#N/A</v>
      </c>
      <c r="M75" s="33" t="e">
        <f>VLOOKUP(A1,DIV_01Data!$A$1:$DZU$999999,1272,FALSE)</f>
        <v>#N/A</v>
      </c>
      <c r="N75" s="34" t="e">
        <f>VLOOKUP(A1,DIV_01Data!$A$1:$DZU$999999,1273,FALSE)</f>
        <v>#N/A</v>
      </c>
      <c r="O75" s="33" t="e">
        <f>VLOOKUP(A1,DIV_01Data!$A$1:$DZU$999999,1274,FALSE)</f>
        <v>#N/A</v>
      </c>
      <c r="P75" s="116" t="e">
        <f>VLOOKUP(A1,DIV_01Data!$A$1:$DZU$999999,1275,FALSE)</f>
        <v>#N/A</v>
      </c>
      <c r="Q75" s="268" t="e">
        <f>VLOOKUP(A1,DIV_01Data!$A$1:$DZU$999999,1276,FALSE)</f>
        <v>#N/A</v>
      </c>
    </row>
    <row r="76" spans="1:17" x14ac:dyDescent="0.35">
      <c r="A76" s="265" t="e">
        <f>VLOOKUP(A1,DIV_01Data!$A$1:$DZU$999999,1277,FALSE)</f>
        <v>#N/A</v>
      </c>
      <c r="B76" s="37" t="e">
        <f>VLOOKUP(A1,DIV_01Data!$A$1:$DZU$999999,1278,FALSE)</f>
        <v>#N/A</v>
      </c>
      <c r="C76" s="38" t="e">
        <f>VLOOKUP(A1,DIV_01Data!$A$1:$DZU$999999,1279,FALSE)</f>
        <v>#N/A</v>
      </c>
      <c r="D76" s="31" t="e">
        <f>VLOOKUP(A1,DIV_01Data!$A$1:$DZU$999999,1280,FALSE)</f>
        <v>#N/A</v>
      </c>
      <c r="E76" s="32" t="e">
        <f>VLOOKUP(A1,DIV_01Data!$A$1:$DZU$999999,1281,FALSE)</f>
        <v>#N/A</v>
      </c>
      <c r="F76" s="34" t="e">
        <f>VLOOKUP(A1,DIV_01Data!$A$1:$DZU$999999,1282,FALSE)</f>
        <v>#N/A</v>
      </c>
      <c r="G76" s="33" t="e">
        <f>VLOOKUP(A1,DIV_01Data!$A$1:$DZU$999999,1283,FALSE)</f>
        <v>#N/A</v>
      </c>
      <c r="H76" s="34" t="e">
        <f>VLOOKUP(A1,DIV_01Data!$A$1:$DZU$999999,1284,FALSE)</f>
        <v>#N/A</v>
      </c>
      <c r="I76" s="33" t="e">
        <f>VLOOKUP(A1,DIV_01Data!$A$1:$DZU$999999,1285,FALSE)</f>
        <v>#N/A</v>
      </c>
      <c r="J76" s="34" t="e">
        <f>VLOOKUP(A1,DIV_01Data!$A$1:$DZU$999999,1286,FALSE)</f>
        <v>#N/A</v>
      </c>
      <c r="K76" s="34" t="e">
        <f>VLOOKUP(A1,DIV_01Data!$A$1:$DZU$999999,1287,FALSE)</f>
        <v>#N/A</v>
      </c>
      <c r="L76" s="93" t="e">
        <f>VLOOKUP(A1,DIV_01Data!$A$1:$DZU$999999,1288,FALSE)</f>
        <v>#N/A</v>
      </c>
      <c r="M76" s="33" t="e">
        <f>VLOOKUP(A1,DIV_01Data!$A$1:$DZU$999999,1289,FALSE)</f>
        <v>#N/A</v>
      </c>
      <c r="N76" s="34" t="e">
        <f>VLOOKUP(A1,DIV_01Data!$A$1:$DZU$999999,1290,FALSE)</f>
        <v>#N/A</v>
      </c>
      <c r="O76" s="33" t="e">
        <f>VLOOKUP(A1,DIV_01Data!$A$1:$DZU$999999,1291,FALSE)</f>
        <v>#N/A</v>
      </c>
      <c r="P76" s="116" t="e">
        <f>VLOOKUP(A1,DIV_01Data!$A$1:$DZU$999999,1292,FALSE)</f>
        <v>#N/A</v>
      </c>
      <c r="Q76" s="268" t="e">
        <f>VLOOKUP(A1,DIV_01Data!$A$1:$DZU$999999,1293,FALSE)</f>
        <v>#N/A</v>
      </c>
    </row>
    <row r="77" spans="1:17" x14ac:dyDescent="0.35">
      <c r="A77" s="265" t="e">
        <f>VLOOKUP(A1,DIV_01Data!$A$1:$DZU$999999,1294,FALSE)</f>
        <v>#N/A</v>
      </c>
      <c r="B77" s="37" t="e">
        <f>VLOOKUP(A1,DIV_01Data!$A$1:$DZU$999999,1295,FALSE)</f>
        <v>#N/A</v>
      </c>
      <c r="C77" s="38" t="e">
        <f>VLOOKUP(A1,DIV_01Data!$A$1:$DZU$999999,1296,FALSE)</f>
        <v>#N/A</v>
      </c>
      <c r="D77" s="31" t="e">
        <f>VLOOKUP(A1,DIV_01Data!$A$1:$DZU$999999,1297,FALSE)</f>
        <v>#N/A</v>
      </c>
      <c r="E77" s="32" t="e">
        <f>VLOOKUP(A1,DIV_01Data!$A$1:$DZU$999999,1298,FALSE)</f>
        <v>#N/A</v>
      </c>
      <c r="F77" s="34" t="e">
        <f>VLOOKUP(A1,DIV_01Data!$A$1:$DZU$999999,1299,FALSE)</f>
        <v>#N/A</v>
      </c>
      <c r="G77" s="33" t="e">
        <f>VLOOKUP(A1,DIV_01Data!$A$1:$DZU$999999,1300,FALSE)</f>
        <v>#N/A</v>
      </c>
      <c r="H77" s="34" t="e">
        <f>VLOOKUP(A1,DIV_01Data!$A$1:$DZU$999999,1301,FALSE)</f>
        <v>#N/A</v>
      </c>
      <c r="I77" s="33" t="e">
        <f>VLOOKUP(A1,DIV_01Data!$A$1:$DZU$999999,1302,FALSE)</f>
        <v>#N/A</v>
      </c>
      <c r="J77" s="34" t="e">
        <f>VLOOKUP(A1,DIV_01Data!$A$1:$DZU$999999,1303,FALSE)</f>
        <v>#N/A</v>
      </c>
      <c r="K77" s="34" t="e">
        <f>VLOOKUP(A1,DIV_01Data!$A$1:$DZU$999999,1304,FALSE)</f>
        <v>#N/A</v>
      </c>
      <c r="L77" s="93" t="e">
        <f>VLOOKUP(A1,DIV_01Data!$A$1:$DZU$999999,1305,FALSE)</f>
        <v>#N/A</v>
      </c>
      <c r="M77" s="33" t="e">
        <f>VLOOKUP(A1,DIV_01Data!$A$1:$DZU$999999,1306,FALSE)</f>
        <v>#N/A</v>
      </c>
      <c r="N77" s="34" t="e">
        <f>VLOOKUP(A1,DIV_01Data!$A$1:$DZU$999999,1307,FALSE)</f>
        <v>#N/A</v>
      </c>
      <c r="O77" s="33" t="e">
        <f>VLOOKUP(A1,DIV_01Data!$A$1:$DZU$999999,1308,FALSE)</f>
        <v>#N/A</v>
      </c>
      <c r="P77" s="116" t="e">
        <f>VLOOKUP(A1,DIV_01Data!$A$1:$DZU$999999,1309,FALSE)</f>
        <v>#N/A</v>
      </c>
      <c r="Q77" s="268" t="e">
        <f>VLOOKUP(A1,DIV_01Data!$A$1:$DZU$999999,1310,FALSE)</f>
        <v>#N/A</v>
      </c>
    </row>
    <row r="78" spans="1:17" x14ac:dyDescent="0.35">
      <c r="A78" s="265" t="e">
        <f>VLOOKUP(A1,DIV_01Data!$A$1:$DZU$999999,1311,FALSE)</f>
        <v>#N/A</v>
      </c>
      <c r="B78" s="37" t="e">
        <f>VLOOKUP(A1,DIV_01Data!$A$1:$DZU$999999,1312,FALSE)</f>
        <v>#N/A</v>
      </c>
      <c r="C78" s="38" t="e">
        <f>VLOOKUP(A1,DIV_01Data!$A$1:$DZU$999999,1313,FALSE)</f>
        <v>#N/A</v>
      </c>
      <c r="D78" s="31" t="e">
        <f>VLOOKUP(A1,DIV_01Data!$A$1:$DZU$999999,1314,FALSE)</f>
        <v>#N/A</v>
      </c>
      <c r="E78" s="32" t="e">
        <f>VLOOKUP(A1,DIV_01Data!$A$1:$DZU$999999,1315,FALSE)</f>
        <v>#N/A</v>
      </c>
      <c r="F78" s="34" t="e">
        <f>VLOOKUP(A1,DIV_01Data!$A$1:$DZU$999999,1316,FALSE)</f>
        <v>#N/A</v>
      </c>
      <c r="G78" s="33" t="e">
        <f>VLOOKUP(A1,DIV_01Data!$A$1:$DZU$999999,1317,FALSE)</f>
        <v>#N/A</v>
      </c>
      <c r="H78" s="34" t="e">
        <f>VLOOKUP(A1,DIV_01Data!$A$1:$DZU$999999,1318,FALSE)</f>
        <v>#N/A</v>
      </c>
      <c r="I78" s="33" t="e">
        <f>VLOOKUP(A1,DIV_01Data!$A$1:$DZU$999999,1319,FALSE)</f>
        <v>#N/A</v>
      </c>
      <c r="J78" s="34" t="e">
        <f>VLOOKUP(A1,DIV_01Data!$A$1:$DZU$999999,1320,FALSE)</f>
        <v>#N/A</v>
      </c>
      <c r="K78" s="34" t="e">
        <f>VLOOKUP(A1,DIV_01Data!$A$1:$DZU$999999,1321,FALSE)</f>
        <v>#N/A</v>
      </c>
      <c r="L78" s="93" t="e">
        <f>VLOOKUP(A1,DIV_01Data!$A$1:$DZU$999999,1322,FALSE)</f>
        <v>#N/A</v>
      </c>
      <c r="M78" s="33" t="e">
        <f>VLOOKUP(A1,DIV_01Data!$A$1:$DZU$999999,1323,FALSE)</f>
        <v>#N/A</v>
      </c>
      <c r="N78" s="34" t="e">
        <f>VLOOKUP(A1,DIV_01Data!$A$1:$DZU$999999,1324,FALSE)</f>
        <v>#N/A</v>
      </c>
      <c r="O78" s="33" t="e">
        <f>VLOOKUP(A1,DIV_01Data!$A$1:$DZU$999999,1325,FALSE)</f>
        <v>#N/A</v>
      </c>
      <c r="P78" s="116" t="e">
        <f>VLOOKUP(A1,DIV_01Data!$A$1:$DZU$999999,1326,FALSE)</f>
        <v>#N/A</v>
      </c>
      <c r="Q78" s="268" t="e">
        <f>VLOOKUP(A1,DIV_01Data!$A$1:$DZU$999999,1327,FALSE)</f>
        <v>#N/A</v>
      </c>
    </row>
    <row r="79" spans="1:17" x14ac:dyDescent="0.35">
      <c r="A79" s="265" t="e">
        <f>VLOOKUP(A1,DIV_01Data!$A$1:$DZU$999999,1328,FALSE)</f>
        <v>#N/A</v>
      </c>
      <c r="B79" s="37" t="e">
        <f>VLOOKUP(A1,DIV_01Data!$A$1:$DZU$999999,1329,FALSE)</f>
        <v>#N/A</v>
      </c>
      <c r="C79" s="38" t="e">
        <f>VLOOKUP(A1,DIV_01Data!$A$1:$DZU$999999,1330,FALSE)</f>
        <v>#N/A</v>
      </c>
      <c r="D79" s="31" t="e">
        <f>VLOOKUP(A1,DIV_01Data!$A$1:$DZU$999999,1331,FALSE)</f>
        <v>#N/A</v>
      </c>
      <c r="E79" s="32" t="e">
        <f>VLOOKUP(A1,DIV_01Data!$A$1:$DZU$999999,1332,FALSE)</f>
        <v>#N/A</v>
      </c>
      <c r="F79" s="34" t="e">
        <f>VLOOKUP(A1,DIV_01Data!$A$1:$DZU$999999,1333,FALSE)</f>
        <v>#N/A</v>
      </c>
      <c r="G79" s="33" t="e">
        <f>VLOOKUP(A1,DIV_01Data!$A$1:$DZU$999999,1334,FALSE)</f>
        <v>#N/A</v>
      </c>
      <c r="H79" s="34" t="e">
        <f>VLOOKUP(A1,DIV_01Data!$A$1:$DZU$999999,1335,FALSE)</f>
        <v>#N/A</v>
      </c>
      <c r="I79" s="33" t="e">
        <f>VLOOKUP(A1,DIV_01Data!$A$1:$DZU$999999,1336,FALSE)</f>
        <v>#N/A</v>
      </c>
      <c r="J79" s="34" t="e">
        <f>VLOOKUP(A1,DIV_01Data!$A$1:$DZU$999999,1337,FALSE)</f>
        <v>#N/A</v>
      </c>
      <c r="K79" s="34" t="e">
        <f>VLOOKUP(A1,DIV_01Data!$A$1:$DZU$999999,1338,FALSE)</f>
        <v>#N/A</v>
      </c>
      <c r="L79" s="93" t="e">
        <f>VLOOKUP(A1,DIV_01Data!$A$1:$DZU$999999,1339,FALSE)</f>
        <v>#N/A</v>
      </c>
      <c r="M79" s="33" t="e">
        <f>VLOOKUP(A1,DIV_01Data!$A$1:$DZU$999999,1340,FALSE)</f>
        <v>#N/A</v>
      </c>
      <c r="N79" s="34" t="e">
        <f>VLOOKUP(A1,DIV_01Data!$A$1:$DZU$999999,1341,FALSE)</f>
        <v>#N/A</v>
      </c>
      <c r="O79" s="33" t="e">
        <f>VLOOKUP(A1,DIV_01Data!$A$1:$DZU$999999,1342,FALSE)</f>
        <v>#N/A</v>
      </c>
      <c r="P79" s="116" t="e">
        <f>VLOOKUP(A1,DIV_01Data!$A$1:$DZU$999999,1343,FALSE)</f>
        <v>#N/A</v>
      </c>
      <c r="Q79" s="268" t="e">
        <f>VLOOKUP(A1,DIV_01Data!$A$1:$DZU$999999,1344,FALSE)</f>
        <v>#N/A</v>
      </c>
    </row>
    <row r="80" spans="1:17" x14ac:dyDescent="0.35">
      <c r="A80" s="265" t="e">
        <f>VLOOKUP(A1,DIV_01Data!$A$1:$DZU$999999,1345,FALSE)</f>
        <v>#N/A</v>
      </c>
      <c r="B80" s="37" t="e">
        <f>VLOOKUP(A1,DIV_01Data!$A$1:$DZU$999999,1346,FALSE)</f>
        <v>#N/A</v>
      </c>
      <c r="C80" s="38" t="e">
        <f>VLOOKUP(A1,DIV_01Data!$A$1:$DZU$999999,1347,FALSE)</f>
        <v>#N/A</v>
      </c>
      <c r="D80" s="31" t="e">
        <f>VLOOKUP(A1,DIV_01Data!$A$1:$DZU$999999,1348,FALSE)</f>
        <v>#N/A</v>
      </c>
      <c r="E80" s="32" t="e">
        <f>VLOOKUP(A1,DIV_01Data!$A$1:$DZU$999999,1349,FALSE)</f>
        <v>#N/A</v>
      </c>
      <c r="F80" s="34" t="e">
        <f>VLOOKUP(A1,DIV_01Data!$A$1:$DZU$999999,1350,FALSE)</f>
        <v>#N/A</v>
      </c>
      <c r="G80" s="33" t="e">
        <f>VLOOKUP(A1,DIV_01Data!$A$1:$DZU$999999,1351,FALSE)</f>
        <v>#N/A</v>
      </c>
      <c r="H80" s="34" t="e">
        <f>VLOOKUP(A1,DIV_01Data!$A$1:$DZU$999999,1352,FALSE)</f>
        <v>#N/A</v>
      </c>
      <c r="I80" s="33" t="e">
        <f>VLOOKUP(A1,DIV_01Data!$A$1:$DZU$999999,1353,FALSE)</f>
        <v>#N/A</v>
      </c>
      <c r="J80" s="34" t="e">
        <f>VLOOKUP(A1,DIV_01Data!$A$1:$DZU$999999,1354,FALSE)</f>
        <v>#N/A</v>
      </c>
      <c r="K80" s="34" t="e">
        <f>VLOOKUP(A1,DIV_01Data!$A$1:$DZU$999999,1355,FALSE)</f>
        <v>#N/A</v>
      </c>
      <c r="L80" s="93" t="e">
        <f>VLOOKUP(A1,DIV_01Data!$A$1:$DZU$999999,1356,FALSE)</f>
        <v>#N/A</v>
      </c>
      <c r="M80" s="33" t="e">
        <f>VLOOKUP(A1,DIV_01Data!$A$1:$DZU$999999,1357,FALSE)</f>
        <v>#N/A</v>
      </c>
      <c r="N80" s="34" t="e">
        <f>VLOOKUP(A1,DIV_01Data!$A$1:$DZU$999999,1358,FALSE)</f>
        <v>#N/A</v>
      </c>
      <c r="O80" s="33" t="e">
        <f>VLOOKUP(A1,DIV_01Data!$A$1:$DZU$999999,1359,FALSE)</f>
        <v>#N/A</v>
      </c>
      <c r="P80" s="116" t="e">
        <f>VLOOKUP(A1,DIV_01Data!$A$1:$DZU$999999,1360,FALSE)</f>
        <v>#N/A</v>
      </c>
      <c r="Q80" s="268" t="e">
        <f>VLOOKUP(A1,DIV_01Data!$A$1:$DZU$999999,1361,FALSE)</f>
        <v>#N/A</v>
      </c>
    </row>
    <row r="81" spans="1:17" x14ac:dyDescent="0.35">
      <c r="A81" s="265" t="e">
        <f>VLOOKUP(A1,DIV_01Data!$A$1:$DZU$999999,1362,FALSE)</f>
        <v>#N/A</v>
      </c>
      <c r="B81" s="37" t="e">
        <f>VLOOKUP(A1,DIV_01Data!$A$1:$DZU$999999,1363,FALSE)</f>
        <v>#N/A</v>
      </c>
      <c r="C81" s="38" t="e">
        <f>VLOOKUP(A1,DIV_01Data!$A$1:$DZU$999999,1364,FALSE)</f>
        <v>#N/A</v>
      </c>
      <c r="D81" s="31" t="e">
        <f>VLOOKUP(A1,DIV_01Data!$A$1:$DZU$999999,1365,FALSE)</f>
        <v>#N/A</v>
      </c>
      <c r="E81" s="32" t="e">
        <f>VLOOKUP(A1,DIV_01Data!$A$1:$DZU$999999,1366,FALSE)</f>
        <v>#N/A</v>
      </c>
      <c r="F81" s="34" t="e">
        <f>VLOOKUP(A1,DIV_01Data!$A$1:$DZU$999999,1367,FALSE)</f>
        <v>#N/A</v>
      </c>
      <c r="G81" s="33" t="e">
        <f>VLOOKUP(A1,DIV_01Data!$A$1:$DZU$999999,1368,FALSE)</f>
        <v>#N/A</v>
      </c>
      <c r="H81" s="34" t="e">
        <f>VLOOKUP(A1,DIV_01Data!$A$1:$DZU$999999,1369,FALSE)</f>
        <v>#N/A</v>
      </c>
      <c r="I81" s="33" t="e">
        <f>VLOOKUP(A1,DIV_01Data!$A$1:$DZU$999999,1370,FALSE)</f>
        <v>#N/A</v>
      </c>
      <c r="J81" s="34" t="e">
        <f>VLOOKUP(A1,DIV_01Data!$A$1:$DZU$999999,1371,FALSE)</f>
        <v>#N/A</v>
      </c>
      <c r="K81" s="34" t="e">
        <f>VLOOKUP(A1,DIV_01Data!$A$1:$DZU$999999,1372,FALSE)</f>
        <v>#N/A</v>
      </c>
      <c r="L81" s="93" t="e">
        <f>VLOOKUP(A1,DIV_01Data!$A$1:$DZU$999999,1373,FALSE)</f>
        <v>#N/A</v>
      </c>
      <c r="M81" s="33" t="e">
        <f>VLOOKUP(A1,DIV_01Data!$A$1:$DZU$999999,1374,FALSE)</f>
        <v>#N/A</v>
      </c>
      <c r="N81" s="34" t="e">
        <f>VLOOKUP(A1,DIV_01Data!$A$1:$DZU$999999,1375,FALSE)</f>
        <v>#N/A</v>
      </c>
      <c r="O81" s="33" t="e">
        <f>VLOOKUP(A1,DIV_01Data!$A$1:$DZU$999999,1376,FALSE)</f>
        <v>#N/A</v>
      </c>
      <c r="P81" s="116" t="e">
        <f>VLOOKUP(A1,DIV_01Data!$A$1:$DZU$999999,1377,FALSE)</f>
        <v>#N/A</v>
      </c>
      <c r="Q81" s="268" t="e">
        <f>VLOOKUP(A1,DIV_01Data!$A$1:$DZU$999999,1378,FALSE)</f>
        <v>#N/A</v>
      </c>
    </row>
    <row r="82" spans="1:17" x14ac:dyDescent="0.35">
      <c r="A82" s="265" t="e">
        <f>VLOOKUP(A1,DIV_01Data!$A$1:$DZU$999999,1379,FALSE)</f>
        <v>#N/A</v>
      </c>
      <c r="B82" s="37" t="e">
        <f>VLOOKUP(A1,DIV_01Data!$A$1:$DZU$999999,1380,FALSE)</f>
        <v>#N/A</v>
      </c>
      <c r="C82" s="38" t="e">
        <f>VLOOKUP(A1,DIV_01Data!$A$1:$DZU$999999,1381,FALSE)</f>
        <v>#N/A</v>
      </c>
      <c r="D82" s="31" t="e">
        <f>VLOOKUP(A1,DIV_01Data!$A$1:$DZU$999999,1382,FALSE)</f>
        <v>#N/A</v>
      </c>
      <c r="E82" s="32" t="e">
        <f>VLOOKUP(A1,DIV_01Data!$A$1:$DZU$999999,1383,FALSE)</f>
        <v>#N/A</v>
      </c>
      <c r="F82" s="34" t="e">
        <f>VLOOKUP(A1,DIV_01Data!$A$1:$DZU$999999,1384,FALSE)</f>
        <v>#N/A</v>
      </c>
      <c r="G82" s="33" t="e">
        <f>VLOOKUP(A1,DIV_01Data!$A$1:$DZU$999999,1385,FALSE)</f>
        <v>#N/A</v>
      </c>
      <c r="H82" s="34" t="e">
        <f>VLOOKUP(A1,DIV_01Data!$A$1:$DZU$999999,1386,FALSE)</f>
        <v>#N/A</v>
      </c>
      <c r="I82" s="33" t="e">
        <f>VLOOKUP(A1,DIV_01Data!$A$1:$DZU$999999,1387,FALSE)</f>
        <v>#N/A</v>
      </c>
      <c r="J82" s="34" t="e">
        <f>VLOOKUP(A1,DIV_01Data!$A$1:$DZU$999999,1388,FALSE)</f>
        <v>#N/A</v>
      </c>
      <c r="K82" s="34" t="e">
        <f>VLOOKUP(A1,DIV_01Data!$A$1:$DZU$999999,1389,FALSE)</f>
        <v>#N/A</v>
      </c>
      <c r="L82" s="93" t="e">
        <f>VLOOKUP(A1,DIV_01Data!$A$1:$DZU$999999,1390,FALSE)</f>
        <v>#N/A</v>
      </c>
      <c r="M82" s="33" t="e">
        <f>VLOOKUP(A1,DIV_01Data!$A$1:$DZU$999999,1391,FALSE)</f>
        <v>#N/A</v>
      </c>
      <c r="N82" s="34" t="e">
        <f>VLOOKUP(A1,DIV_01Data!$A$1:$DZU$999999,1392,FALSE)</f>
        <v>#N/A</v>
      </c>
      <c r="O82" s="33" t="e">
        <f>VLOOKUP(A1,DIV_01Data!$A$1:$DZU$999999,1393,FALSE)</f>
        <v>#N/A</v>
      </c>
      <c r="P82" s="116" t="e">
        <f>VLOOKUP(A1,DIV_01Data!$A$1:$DZU$999999,1394,FALSE)</f>
        <v>#N/A</v>
      </c>
      <c r="Q82" s="268" t="e">
        <f>VLOOKUP(A1,DIV_01Data!$A$1:$DZU$999999,1395,FALSE)</f>
        <v>#N/A</v>
      </c>
    </row>
    <row r="83" spans="1:17" x14ac:dyDescent="0.35">
      <c r="A83" s="265" t="e">
        <f>VLOOKUP(A1,DIV_01Data!$A$1:$DZU$999999,1396,FALSE)</f>
        <v>#N/A</v>
      </c>
      <c r="B83" s="37" t="e">
        <f>VLOOKUP(A1,DIV_01Data!$A$1:$DZU$999999,1397,FALSE)</f>
        <v>#N/A</v>
      </c>
      <c r="C83" s="38" t="e">
        <f>VLOOKUP(A1,DIV_01Data!$A$1:$DZU$999999,1398,FALSE)</f>
        <v>#N/A</v>
      </c>
      <c r="D83" s="31" t="e">
        <f>VLOOKUP(A1,DIV_01Data!$A$1:$DZU$999999,1399,FALSE)</f>
        <v>#N/A</v>
      </c>
      <c r="E83" s="32" t="e">
        <f>VLOOKUP(A1,DIV_01Data!$A$1:$DZU$999999,1400,FALSE)</f>
        <v>#N/A</v>
      </c>
      <c r="F83" s="34" t="e">
        <f>VLOOKUP(A1,DIV_01Data!$A$1:$DZU$999999,1401,FALSE)</f>
        <v>#N/A</v>
      </c>
      <c r="G83" s="33" t="e">
        <f>VLOOKUP(A1,DIV_01Data!$A$1:$DZU$999999,1402,FALSE)</f>
        <v>#N/A</v>
      </c>
      <c r="H83" s="34" t="e">
        <f>VLOOKUP(A1,DIV_01Data!$A$1:$DZU$999999,1403,FALSE)</f>
        <v>#N/A</v>
      </c>
      <c r="I83" s="33" t="e">
        <f>VLOOKUP(A1,DIV_01Data!$A$1:$DZU$999999,1404,FALSE)</f>
        <v>#N/A</v>
      </c>
      <c r="J83" s="34" t="e">
        <f>VLOOKUP(A1,DIV_01Data!$A$1:$DZU$999999,1405,FALSE)</f>
        <v>#N/A</v>
      </c>
      <c r="K83" s="34" t="e">
        <f>VLOOKUP(A1,DIV_01Data!$A$1:$DZU$999999,1406,FALSE)</f>
        <v>#N/A</v>
      </c>
      <c r="L83" s="93" t="e">
        <f>VLOOKUP(A1,DIV_01Data!$A$1:$DZU$999999,1407,FALSE)</f>
        <v>#N/A</v>
      </c>
      <c r="M83" s="33" t="e">
        <f>VLOOKUP(A1,DIV_01Data!$A$1:$DZU$999999,1408,FALSE)</f>
        <v>#N/A</v>
      </c>
      <c r="N83" s="34" t="e">
        <f>VLOOKUP(A1,DIV_01Data!$A$1:$DZU$999999,1409,FALSE)</f>
        <v>#N/A</v>
      </c>
      <c r="O83" s="33" t="e">
        <f>VLOOKUP(A1,DIV_01Data!$A$1:$DZU$999999,1410,FALSE)</f>
        <v>#N/A</v>
      </c>
      <c r="P83" s="116" t="e">
        <f>VLOOKUP(A1,DIV_01Data!$A$1:$DZU$999999,1411,FALSE)</f>
        <v>#N/A</v>
      </c>
      <c r="Q83" s="268" t="e">
        <f>VLOOKUP(A1,DIV_01Data!$A$1:$DZU$999999,1412,FALSE)</f>
        <v>#N/A</v>
      </c>
    </row>
    <row r="84" spans="1:17" x14ac:dyDescent="0.35">
      <c r="A84" s="265" t="e">
        <f>VLOOKUP(A1,DIV_01Data!$A$1:$DZU$999999,1413,FALSE)</f>
        <v>#N/A</v>
      </c>
      <c r="B84" s="37" t="e">
        <f>VLOOKUP(A1,DIV_01Data!$A$1:$DZU$999999,1414,FALSE)</f>
        <v>#N/A</v>
      </c>
      <c r="C84" s="38" t="e">
        <f>VLOOKUP(A1,DIV_01Data!$A$1:$DZU$999999,1415,FALSE)</f>
        <v>#N/A</v>
      </c>
      <c r="D84" s="31" t="e">
        <f>VLOOKUP(A1,DIV_01Data!$A$1:$DZU$999999,1416,FALSE)</f>
        <v>#N/A</v>
      </c>
      <c r="E84" s="32" t="e">
        <f>VLOOKUP(A1,DIV_01Data!$A$1:$DZU$999999,1417,FALSE)</f>
        <v>#N/A</v>
      </c>
      <c r="F84" s="34" t="e">
        <f>VLOOKUP(A1,DIV_01Data!$A$1:$DZU$999999,1418,FALSE)</f>
        <v>#N/A</v>
      </c>
      <c r="G84" s="33" t="e">
        <f>VLOOKUP(A1,DIV_01Data!$A$1:$DZU$999999,1419,FALSE)</f>
        <v>#N/A</v>
      </c>
      <c r="H84" s="34" t="e">
        <f>VLOOKUP(A1,DIV_01Data!$A$1:$DZU$999999,1420,FALSE)</f>
        <v>#N/A</v>
      </c>
      <c r="I84" s="33" t="e">
        <f>VLOOKUP(A1,DIV_01Data!$A$1:$DZU$999999,1421,FALSE)</f>
        <v>#N/A</v>
      </c>
      <c r="J84" s="34" t="e">
        <f>VLOOKUP(A1,DIV_01Data!$A$1:$DZU$999999,1422,FALSE)</f>
        <v>#N/A</v>
      </c>
      <c r="K84" s="34" t="e">
        <f>VLOOKUP(A1,DIV_01Data!$A$1:$DZU$999999,1423,FALSE)</f>
        <v>#N/A</v>
      </c>
      <c r="L84" s="93" t="e">
        <f>VLOOKUP(A1,DIV_01Data!$A$1:$DZU$999999,1424,FALSE)</f>
        <v>#N/A</v>
      </c>
      <c r="M84" s="33" t="e">
        <f>VLOOKUP(A1,DIV_01Data!$A$1:$DZU$999999,1425,FALSE)</f>
        <v>#N/A</v>
      </c>
      <c r="N84" s="34" t="e">
        <f>VLOOKUP(A1,DIV_01Data!$A$1:$DZU$999999,1426,FALSE)</f>
        <v>#N/A</v>
      </c>
      <c r="O84" s="33" t="e">
        <f>VLOOKUP(A1,DIV_01Data!$A$1:$DZU$999999,1427,FALSE)</f>
        <v>#N/A</v>
      </c>
      <c r="P84" s="116" t="e">
        <f>VLOOKUP(A1,DIV_01Data!$A$1:$DZU$999999,1428,FALSE)</f>
        <v>#N/A</v>
      </c>
      <c r="Q84" s="268" t="e">
        <f>VLOOKUP(A1,DIV_01Data!$A$1:$DZU$999999,1429,FALSE)</f>
        <v>#N/A</v>
      </c>
    </row>
    <row r="85" spans="1:17" x14ac:dyDescent="0.35">
      <c r="A85" s="265" t="e">
        <f>VLOOKUP(A1,DIV_01Data!$A$1:$DZU$999999,1430,FALSE)</f>
        <v>#N/A</v>
      </c>
      <c r="B85" s="37" t="e">
        <f>VLOOKUP(A1,DIV_01Data!$A$1:$DZU$999999,1431,FALSE)</f>
        <v>#N/A</v>
      </c>
      <c r="C85" s="38" t="e">
        <f>VLOOKUP(A1,DIV_01Data!$A$1:$DZU$999999,1432,FALSE)</f>
        <v>#N/A</v>
      </c>
      <c r="D85" s="31" t="e">
        <f>VLOOKUP(A1,DIV_01Data!$A$1:$DZU$999999,1433,FALSE)</f>
        <v>#N/A</v>
      </c>
      <c r="E85" s="32" t="e">
        <f>VLOOKUP(A1,DIV_01Data!$A$1:$DZU$999999,1434,FALSE)</f>
        <v>#N/A</v>
      </c>
      <c r="F85" s="34" t="e">
        <f>VLOOKUP(A1,DIV_01Data!$A$1:$DZU$999999,1435,FALSE)</f>
        <v>#N/A</v>
      </c>
      <c r="G85" s="33" t="e">
        <f>VLOOKUP(A1,DIV_01Data!$A$1:$DZU$999999,1436,FALSE)</f>
        <v>#N/A</v>
      </c>
      <c r="H85" s="34" t="e">
        <f>VLOOKUP(A1,DIV_01Data!$A$1:$DZU$999999,1437,FALSE)</f>
        <v>#N/A</v>
      </c>
      <c r="I85" s="33" t="e">
        <f>VLOOKUP(A1,DIV_01Data!$A$1:$DZU$999999,1438,FALSE)</f>
        <v>#N/A</v>
      </c>
      <c r="J85" s="34" t="e">
        <f>VLOOKUP(A1,DIV_01Data!$A$1:$DZU$999999,1439,FALSE)</f>
        <v>#N/A</v>
      </c>
      <c r="K85" s="34" t="e">
        <f>VLOOKUP(A1,DIV_01Data!$A$1:$DZU$999999,1440,FALSE)</f>
        <v>#N/A</v>
      </c>
      <c r="L85" s="93" t="e">
        <f>VLOOKUP(A1,DIV_01Data!$A$1:$DZU$999999,1441,FALSE)</f>
        <v>#N/A</v>
      </c>
      <c r="M85" s="33" t="e">
        <f>VLOOKUP(A1,DIV_01Data!$A$1:$DZU$999999,1442,FALSE)</f>
        <v>#N/A</v>
      </c>
      <c r="N85" s="34" t="e">
        <f>VLOOKUP(A1,DIV_01Data!$A$1:$DZU$999999,1443,FALSE)</f>
        <v>#N/A</v>
      </c>
      <c r="O85" s="33" t="e">
        <f>VLOOKUP(A1,DIV_01Data!$A$1:$DZU$999999,1444,FALSE)</f>
        <v>#N/A</v>
      </c>
      <c r="P85" s="116" t="e">
        <f>VLOOKUP(A1,DIV_01Data!$A$1:$DZU$999999,1445,FALSE)</f>
        <v>#N/A</v>
      </c>
      <c r="Q85" s="268" t="e">
        <f>VLOOKUP(A1,DIV_01Data!$A$1:$DZU$999999,1446,FALSE)</f>
        <v>#N/A</v>
      </c>
    </row>
    <row r="86" spans="1:17" x14ac:dyDescent="0.35">
      <c r="A86" s="265" t="e">
        <f>VLOOKUP(A1,DIV_01Data!$A$1:$DZU$999999,1447,FALSE)</f>
        <v>#N/A</v>
      </c>
      <c r="B86" s="37" t="e">
        <f>VLOOKUP(A1,DIV_01Data!$A$1:$DZU$999999,1448,FALSE)</f>
        <v>#N/A</v>
      </c>
      <c r="C86" s="38" t="e">
        <f>VLOOKUP(A1,DIV_01Data!$A$1:$DZU$999999,1449,FALSE)</f>
        <v>#N/A</v>
      </c>
      <c r="D86" s="31" t="e">
        <f>VLOOKUP(A1,DIV_01Data!$A$1:$DZU$999999,1450,FALSE)</f>
        <v>#N/A</v>
      </c>
      <c r="E86" s="32" t="e">
        <f>VLOOKUP(A1,DIV_01Data!$A$1:$DZU$999999,1451,FALSE)</f>
        <v>#N/A</v>
      </c>
      <c r="F86" s="34" t="e">
        <f>VLOOKUP(A1,DIV_01Data!$A$1:$DZU$999999,1452,FALSE)</f>
        <v>#N/A</v>
      </c>
      <c r="G86" s="33" t="e">
        <f>VLOOKUP(A1,DIV_01Data!$A$1:$DZU$999999,1453,FALSE)</f>
        <v>#N/A</v>
      </c>
      <c r="H86" s="34" t="e">
        <f>VLOOKUP(A1,DIV_01Data!$A$1:$DZU$999999,1454,FALSE)</f>
        <v>#N/A</v>
      </c>
      <c r="I86" s="33" t="e">
        <f>VLOOKUP(A1,DIV_01Data!$A$1:$DZU$999999,1455,FALSE)</f>
        <v>#N/A</v>
      </c>
      <c r="J86" s="34" t="e">
        <f>VLOOKUP(A1,DIV_01Data!$A$1:$DZU$999999,1456,FALSE)</f>
        <v>#N/A</v>
      </c>
      <c r="K86" s="34" t="e">
        <f>VLOOKUP(A1,DIV_01Data!$A$1:$DZU$999999,1457,FALSE)</f>
        <v>#N/A</v>
      </c>
      <c r="L86" s="93" t="e">
        <f>VLOOKUP(A1,DIV_01Data!$A$1:$DZU$999999,1458,FALSE)</f>
        <v>#N/A</v>
      </c>
      <c r="M86" s="33" t="e">
        <f>VLOOKUP(A1,DIV_01Data!$A$1:$DZU$999999,1459,FALSE)</f>
        <v>#N/A</v>
      </c>
      <c r="N86" s="34" t="e">
        <f>VLOOKUP(A1,DIV_01Data!$A$1:$DZU$999999,1460,FALSE)</f>
        <v>#N/A</v>
      </c>
      <c r="O86" s="33" t="e">
        <f>VLOOKUP(A1,DIV_01Data!$A$1:$DZU$999999,1461,FALSE)</f>
        <v>#N/A</v>
      </c>
      <c r="P86" s="116" t="e">
        <f>VLOOKUP(A1,DIV_01Data!$A$1:$DZU$999999,1462,FALSE)</f>
        <v>#N/A</v>
      </c>
      <c r="Q86" s="268" t="e">
        <f>VLOOKUP(A1,DIV_01Data!$A$1:$DZU$999999,1463,FALSE)</f>
        <v>#N/A</v>
      </c>
    </row>
    <row r="87" spans="1:17" x14ac:dyDescent="0.35">
      <c r="A87" s="265" t="e">
        <f>VLOOKUP(A1,DIV_01Data!$A$1:$DZU$999999,1464,FALSE)</f>
        <v>#N/A</v>
      </c>
      <c r="B87" s="37" t="e">
        <f>VLOOKUP(A1,DIV_01Data!$A$1:$DZU$999999,1465,FALSE)</f>
        <v>#N/A</v>
      </c>
      <c r="C87" s="38" t="e">
        <f>VLOOKUP(A1,DIV_01Data!$A$1:$DZU$999999,1466,FALSE)</f>
        <v>#N/A</v>
      </c>
      <c r="D87" s="31" t="e">
        <f>VLOOKUP(A1,DIV_01Data!$A$1:$DZU$999999,1467,FALSE)</f>
        <v>#N/A</v>
      </c>
      <c r="E87" s="32" t="e">
        <f>VLOOKUP(A1,DIV_01Data!$A$1:$DZU$999999,1468,FALSE)</f>
        <v>#N/A</v>
      </c>
      <c r="F87" s="34" t="e">
        <f>VLOOKUP(A1,DIV_01Data!$A$1:$DZU$999999,1469,FALSE)</f>
        <v>#N/A</v>
      </c>
      <c r="G87" s="33" t="e">
        <f>VLOOKUP(A1,DIV_01Data!$A$1:$DZU$999999,1470,FALSE)</f>
        <v>#N/A</v>
      </c>
      <c r="H87" s="34" t="e">
        <f>VLOOKUP(A1,DIV_01Data!$A$1:$DZU$999999,1471,FALSE)</f>
        <v>#N/A</v>
      </c>
      <c r="I87" s="33" t="e">
        <f>VLOOKUP(A1,DIV_01Data!$A$1:$DZU$999999,1472,FALSE)</f>
        <v>#N/A</v>
      </c>
      <c r="J87" s="34" t="e">
        <f>VLOOKUP(A1,DIV_01Data!$A$1:$DZU$999999,1473,FALSE)</f>
        <v>#N/A</v>
      </c>
      <c r="K87" s="34" t="e">
        <f>VLOOKUP(A1,DIV_01Data!$A$1:$DZU$999999,1474,FALSE)</f>
        <v>#N/A</v>
      </c>
      <c r="L87" s="93" t="e">
        <f>VLOOKUP(A1,DIV_01Data!$A$1:$DZU$999999,1475,FALSE)</f>
        <v>#N/A</v>
      </c>
      <c r="M87" s="33" t="e">
        <f>VLOOKUP(A1,DIV_01Data!$A$1:$DZU$999999,1476,FALSE)</f>
        <v>#N/A</v>
      </c>
      <c r="N87" s="34" t="e">
        <f>VLOOKUP(A1,DIV_01Data!$A$1:$DZU$999999,1477,FALSE)</f>
        <v>#N/A</v>
      </c>
      <c r="O87" s="33" t="e">
        <f>VLOOKUP(A1,DIV_01Data!$A$1:$DZU$999999,1478,FALSE)</f>
        <v>#N/A</v>
      </c>
      <c r="P87" s="116" t="e">
        <f>VLOOKUP(A1,DIV_01Data!$A$1:$DZU$999999,1479,FALSE)</f>
        <v>#N/A</v>
      </c>
      <c r="Q87" s="268" t="e">
        <f>VLOOKUP(A1,DIV_01Data!$A$1:$DZU$999999,1480,FALSE)</f>
        <v>#N/A</v>
      </c>
    </row>
    <row r="88" spans="1:17" x14ac:dyDescent="0.35">
      <c r="A88" s="265" t="e">
        <f>VLOOKUP(A1,DIV_01Data!$A$1:$DZU$999999,1481,FALSE)</f>
        <v>#N/A</v>
      </c>
      <c r="B88" s="37" t="e">
        <f>VLOOKUP(A1,DIV_01Data!$A$1:$DZU$999999,1482,FALSE)</f>
        <v>#N/A</v>
      </c>
      <c r="C88" s="38" t="e">
        <f>VLOOKUP(A1,DIV_01Data!$A$1:$DZU$999999,1483,FALSE)</f>
        <v>#N/A</v>
      </c>
      <c r="D88" s="31" t="e">
        <f>VLOOKUP(A1,DIV_01Data!$A$1:$DZU$999999,1484,FALSE)</f>
        <v>#N/A</v>
      </c>
      <c r="E88" s="32" t="e">
        <f>VLOOKUP(A1,DIV_01Data!$A$1:$DZU$999999,1485,FALSE)</f>
        <v>#N/A</v>
      </c>
      <c r="F88" s="34" t="e">
        <f>VLOOKUP(A1,DIV_01Data!$A$1:$DZU$999999,1486,FALSE)</f>
        <v>#N/A</v>
      </c>
      <c r="G88" s="33" t="e">
        <f>VLOOKUP(A1,DIV_01Data!$A$1:$DZU$999999,1487,FALSE)</f>
        <v>#N/A</v>
      </c>
      <c r="H88" s="34" t="e">
        <f>VLOOKUP(A1,DIV_01Data!$A$1:$DZU$999999,1488,FALSE)</f>
        <v>#N/A</v>
      </c>
      <c r="I88" s="33" t="e">
        <f>VLOOKUP(A1,DIV_01Data!$A$1:$DZU$999999,1489,FALSE)</f>
        <v>#N/A</v>
      </c>
      <c r="J88" s="34" t="e">
        <f>VLOOKUP(A1,DIV_01Data!$A$1:$DZU$999999,1490,FALSE)</f>
        <v>#N/A</v>
      </c>
      <c r="K88" s="34" t="e">
        <f>VLOOKUP(A1,DIV_01Data!$A$1:$DZU$999999,1491,FALSE)</f>
        <v>#N/A</v>
      </c>
      <c r="L88" s="93" t="e">
        <f>VLOOKUP(A1,DIV_01Data!$A$1:$DZU$999999,1492,FALSE)</f>
        <v>#N/A</v>
      </c>
      <c r="M88" s="33" t="e">
        <f>VLOOKUP(A1,DIV_01Data!$A$1:$DZU$999999,1493,FALSE)</f>
        <v>#N/A</v>
      </c>
      <c r="N88" s="34" t="e">
        <f>VLOOKUP(A1,DIV_01Data!$A$1:$DZU$999999,1494,FALSE)</f>
        <v>#N/A</v>
      </c>
      <c r="O88" s="33" t="e">
        <f>VLOOKUP(A1,DIV_01Data!$A$1:$DZU$999999,1495,FALSE)</f>
        <v>#N/A</v>
      </c>
      <c r="P88" s="116" t="e">
        <f>VLOOKUP(A1,DIV_01Data!$A$1:$DZU$999999,1496,FALSE)</f>
        <v>#N/A</v>
      </c>
      <c r="Q88" s="268" t="e">
        <f>VLOOKUP(A1,DIV_01Data!$A$1:$DZU$999999,1497,FALSE)</f>
        <v>#N/A</v>
      </c>
    </row>
    <row r="89" spans="1:17" x14ac:dyDescent="0.35">
      <c r="A89" s="265" t="e">
        <f>VLOOKUP(A1,DIV_01Data!$A$1:$DZU$999999,1498,FALSE)</f>
        <v>#N/A</v>
      </c>
      <c r="B89" s="37" t="e">
        <f>VLOOKUP(A1,DIV_01Data!$A$1:$DZU$999999,1499,FALSE)</f>
        <v>#N/A</v>
      </c>
      <c r="C89" s="38" t="e">
        <f>VLOOKUP(A1,DIV_01Data!$A$1:$DZU$999999,1500,FALSE)</f>
        <v>#N/A</v>
      </c>
      <c r="D89" s="31" t="e">
        <f>VLOOKUP(A1,DIV_01Data!$A$1:$DZU$999999,1501,FALSE)</f>
        <v>#N/A</v>
      </c>
      <c r="E89" s="32" t="e">
        <f>VLOOKUP(A1,DIV_01Data!$A$1:$DZU$999999,1502,FALSE)</f>
        <v>#N/A</v>
      </c>
      <c r="F89" s="34" t="e">
        <f>VLOOKUP(A1,DIV_01Data!$A$1:$DZU$999999,1503,FALSE)</f>
        <v>#N/A</v>
      </c>
      <c r="G89" s="33" t="e">
        <f>VLOOKUP(A1,DIV_01Data!$A$1:$DZU$999999,1504,FALSE)</f>
        <v>#N/A</v>
      </c>
      <c r="H89" s="34" t="e">
        <f>VLOOKUP(A1,DIV_01Data!$A$1:$DZU$999999,1505,FALSE)</f>
        <v>#N/A</v>
      </c>
      <c r="I89" s="33" t="e">
        <f>VLOOKUP(A1,DIV_01Data!$A$1:$DZU$999999,1506,FALSE)</f>
        <v>#N/A</v>
      </c>
      <c r="J89" s="34" t="e">
        <f>VLOOKUP(A1,DIV_01Data!$A$1:$DZU$999999,1507,FALSE)</f>
        <v>#N/A</v>
      </c>
      <c r="K89" s="34" t="e">
        <f>VLOOKUP(A1,DIV_01Data!$A$1:$DZU$999999,1508,FALSE)</f>
        <v>#N/A</v>
      </c>
      <c r="L89" s="93" t="e">
        <f>VLOOKUP(A1,DIV_01Data!$A$1:$DZU$999999,1509,FALSE)</f>
        <v>#N/A</v>
      </c>
      <c r="M89" s="33" t="e">
        <f>VLOOKUP(A1,DIV_01Data!$A$1:$DZU$999999,1510,FALSE)</f>
        <v>#N/A</v>
      </c>
      <c r="N89" s="34" t="e">
        <f>VLOOKUP(A1,DIV_01Data!$A$1:$DZU$999999,1511,FALSE)</f>
        <v>#N/A</v>
      </c>
      <c r="O89" s="33" t="e">
        <f>VLOOKUP(A1,DIV_01Data!$A$1:$DZU$999999,1512,FALSE)</f>
        <v>#N/A</v>
      </c>
      <c r="P89" s="116" t="e">
        <f>VLOOKUP(A1,DIV_01Data!$A$1:$DZU$999999,1513,FALSE)</f>
        <v>#N/A</v>
      </c>
      <c r="Q89" s="268" t="e">
        <f>VLOOKUP(A1,DIV_01Data!$A$1:$DZU$999999,1514,FALSE)</f>
        <v>#N/A</v>
      </c>
    </row>
    <row r="90" spans="1:17" x14ac:dyDescent="0.35">
      <c r="A90" s="265" t="e">
        <f>VLOOKUP(A1,DIV_01Data!$A$1:$DZU$999999,1515,FALSE)</f>
        <v>#N/A</v>
      </c>
      <c r="B90" s="37" t="e">
        <f>VLOOKUP(A1,DIV_01Data!$A$1:$DZU$999999,1516,FALSE)</f>
        <v>#N/A</v>
      </c>
      <c r="C90" s="38" t="e">
        <f>VLOOKUP(A1,DIV_01Data!$A$1:$DZU$999999,1517,FALSE)</f>
        <v>#N/A</v>
      </c>
      <c r="D90" s="31" t="e">
        <f>VLOOKUP(A1,DIV_01Data!$A$1:$DZU$999999,1518,FALSE)</f>
        <v>#N/A</v>
      </c>
      <c r="E90" s="32" t="e">
        <f>VLOOKUP(A1,DIV_01Data!$A$1:$DZU$999999,1519,FALSE)</f>
        <v>#N/A</v>
      </c>
      <c r="F90" s="34" t="e">
        <f>VLOOKUP(A1,DIV_01Data!$A$1:$DZU$999999,1520,FALSE)</f>
        <v>#N/A</v>
      </c>
      <c r="G90" s="33" t="e">
        <f>VLOOKUP(A1,DIV_01Data!$A$1:$DZU$999999,1521,FALSE)</f>
        <v>#N/A</v>
      </c>
      <c r="H90" s="34" t="e">
        <f>VLOOKUP(A1,DIV_01Data!$A$1:$DZU$999999,1522,FALSE)</f>
        <v>#N/A</v>
      </c>
      <c r="I90" s="33" t="e">
        <f>VLOOKUP(A1,DIV_01Data!$A$1:$DZU$999999,1523,FALSE)</f>
        <v>#N/A</v>
      </c>
      <c r="J90" s="34" t="e">
        <f>VLOOKUP(A1,DIV_01Data!$A$1:$DZU$999999,1524,FALSE)</f>
        <v>#N/A</v>
      </c>
      <c r="K90" s="34" t="e">
        <f>VLOOKUP(A1,DIV_01Data!$A$1:$DZU$999999,1525,FALSE)</f>
        <v>#N/A</v>
      </c>
      <c r="L90" s="93" t="e">
        <f>VLOOKUP(A1,DIV_01Data!$A$1:$DZU$999999,1526,FALSE)</f>
        <v>#N/A</v>
      </c>
      <c r="M90" s="33" t="e">
        <f>VLOOKUP(A1,DIV_01Data!$A$1:$DZU$999999,1527,FALSE)</f>
        <v>#N/A</v>
      </c>
      <c r="N90" s="34" t="e">
        <f>VLOOKUP(A1,DIV_01Data!$A$1:$DZU$999999,1528,FALSE)</f>
        <v>#N/A</v>
      </c>
      <c r="O90" s="33" t="e">
        <f>VLOOKUP(A1,DIV_01Data!$A$1:$DZU$999999,1529,FALSE)</f>
        <v>#N/A</v>
      </c>
      <c r="P90" s="116" t="e">
        <f>VLOOKUP(A1,DIV_01Data!$A$1:$DZU$999999,1530,FALSE)</f>
        <v>#N/A</v>
      </c>
      <c r="Q90" s="268" t="e">
        <f>VLOOKUP(A1,DIV_01Data!$A$1:$DZU$999999,1531,FALSE)</f>
        <v>#N/A</v>
      </c>
    </row>
    <row r="91" spans="1:17" x14ac:dyDescent="0.35">
      <c r="A91" s="265" t="e">
        <f>VLOOKUP(A1,DIV_01Data!$A$1:$DZU$999999,1532,FALSE)</f>
        <v>#N/A</v>
      </c>
      <c r="B91" s="37" t="e">
        <f>VLOOKUP(A1,DIV_01Data!$A$1:$DZU$999999,1533,FALSE)</f>
        <v>#N/A</v>
      </c>
      <c r="C91" s="38" t="e">
        <f>VLOOKUP(A1,DIV_01Data!$A$1:$DZU$999999,1534,FALSE)</f>
        <v>#N/A</v>
      </c>
      <c r="D91" s="31" t="e">
        <f>VLOOKUP(A1,DIV_01Data!$A$1:$DZU$999999,1535,FALSE)</f>
        <v>#N/A</v>
      </c>
      <c r="E91" s="32" t="e">
        <f>VLOOKUP(A1,DIV_01Data!$A$1:$DZU$999999,1536,FALSE)</f>
        <v>#N/A</v>
      </c>
      <c r="F91" s="34" t="e">
        <f>VLOOKUP(A1,DIV_01Data!$A$1:$DZU$999999,1537,FALSE)</f>
        <v>#N/A</v>
      </c>
      <c r="G91" s="33" t="e">
        <f>VLOOKUP(A1,DIV_01Data!$A$1:$DZU$999999,1538,FALSE)</f>
        <v>#N/A</v>
      </c>
      <c r="H91" s="34" t="e">
        <f>VLOOKUP(A1,DIV_01Data!$A$1:$DZU$999999,1539,FALSE)</f>
        <v>#N/A</v>
      </c>
      <c r="I91" s="33" t="e">
        <f>VLOOKUP(A1,DIV_01Data!$A$1:$DZU$999999,1540,FALSE)</f>
        <v>#N/A</v>
      </c>
      <c r="J91" s="34" t="e">
        <f>VLOOKUP(A1,DIV_01Data!$A$1:$DZU$999999,1541,FALSE)</f>
        <v>#N/A</v>
      </c>
      <c r="K91" s="34" t="e">
        <f>VLOOKUP(A1,DIV_01Data!$A$1:$DZU$999999,1542,FALSE)</f>
        <v>#N/A</v>
      </c>
      <c r="L91" s="93" t="e">
        <f>VLOOKUP(A1,DIV_01Data!$A$1:$DZU$999999,1543,FALSE)</f>
        <v>#N/A</v>
      </c>
      <c r="M91" s="33" t="e">
        <f>VLOOKUP(A1,DIV_01Data!$A$1:$DZU$999999,1544,FALSE)</f>
        <v>#N/A</v>
      </c>
      <c r="N91" s="34" t="e">
        <f>VLOOKUP(A1,DIV_01Data!$A$1:$DZU$999999,1545,FALSE)</f>
        <v>#N/A</v>
      </c>
      <c r="O91" s="33" t="e">
        <f>VLOOKUP(A1,DIV_01Data!$A$1:$DZU$999999,1546,FALSE)</f>
        <v>#N/A</v>
      </c>
      <c r="P91" s="116" t="e">
        <f>VLOOKUP(A1,DIV_01Data!$A$1:$DZU$999999,1547,FALSE)</f>
        <v>#N/A</v>
      </c>
      <c r="Q91" s="268" t="e">
        <f>VLOOKUP(A1,DIV_01Data!$A$1:$DZU$999999,1548,FALSE)</f>
        <v>#N/A</v>
      </c>
    </row>
    <row r="92" spans="1:17" x14ac:dyDescent="0.35">
      <c r="A92" s="265" t="e">
        <f>VLOOKUP(A1,DIV_01Data!$A$1:$DZU$999999,1549,FALSE)</f>
        <v>#N/A</v>
      </c>
      <c r="B92" s="37" t="e">
        <f>VLOOKUP(A1,DIV_01Data!$A$1:$DZU$999999,1550,FALSE)</f>
        <v>#N/A</v>
      </c>
      <c r="C92" s="38" t="e">
        <f>VLOOKUP(A1,DIV_01Data!$A$1:$DZU$999999,1551,FALSE)</f>
        <v>#N/A</v>
      </c>
      <c r="D92" s="31" t="e">
        <f>VLOOKUP(A1,DIV_01Data!$A$1:$DZU$999999,1552,FALSE)</f>
        <v>#N/A</v>
      </c>
      <c r="E92" s="32" t="e">
        <f>VLOOKUP(A1,DIV_01Data!$A$1:$DZU$999999,1553,FALSE)</f>
        <v>#N/A</v>
      </c>
      <c r="F92" s="34" t="e">
        <f>VLOOKUP(A1,DIV_01Data!$A$1:$DZU$999999,1554,FALSE)</f>
        <v>#N/A</v>
      </c>
      <c r="G92" s="33" t="e">
        <f>VLOOKUP(A1,DIV_01Data!$A$1:$DZU$999999,1555,FALSE)</f>
        <v>#N/A</v>
      </c>
      <c r="H92" s="34" t="e">
        <f>VLOOKUP(A1,DIV_01Data!$A$1:$DZU$999999,1556,FALSE)</f>
        <v>#N/A</v>
      </c>
      <c r="I92" s="33" t="e">
        <f>VLOOKUP(A1,DIV_01Data!$A$1:$DZU$999999,1557,FALSE)</f>
        <v>#N/A</v>
      </c>
      <c r="J92" s="34" t="e">
        <f>VLOOKUP(A1,DIV_01Data!$A$1:$DZU$999999,1558,FALSE)</f>
        <v>#N/A</v>
      </c>
      <c r="K92" s="34" t="e">
        <f>VLOOKUP(A1,DIV_01Data!$A$1:$DZU$999999,1559,FALSE)</f>
        <v>#N/A</v>
      </c>
      <c r="L92" s="93" t="e">
        <f>VLOOKUP(A1,DIV_01Data!$A$1:$DZU$999999,1560,FALSE)</f>
        <v>#N/A</v>
      </c>
      <c r="M92" s="33" t="e">
        <f>VLOOKUP(A1,DIV_01Data!$A$1:$DZU$999999,1561,FALSE)</f>
        <v>#N/A</v>
      </c>
      <c r="N92" s="34" t="e">
        <f>VLOOKUP(A1,DIV_01Data!$A$1:$DZU$999999,1562,FALSE)</f>
        <v>#N/A</v>
      </c>
      <c r="O92" s="33" t="e">
        <f>VLOOKUP(A1,DIV_01Data!$A$1:$DZU$999999,1563,FALSE)</f>
        <v>#N/A</v>
      </c>
      <c r="P92" s="116" t="e">
        <f>VLOOKUP(A1,DIV_01Data!$A$1:$DZU$999999,1564,FALSE)</f>
        <v>#N/A</v>
      </c>
      <c r="Q92" s="268" t="e">
        <f>VLOOKUP(A1,DIV_01Data!$A$1:$DZU$999999,1565,FALSE)</f>
        <v>#N/A</v>
      </c>
    </row>
    <row r="93" spans="1:17" x14ac:dyDescent="0.35">
      <c r="A93" s="265" t="e">
        <f>VLOOKUP(A1,DIV_01Data!$A$1:$DZU$999999,1566,FALSE)</f>
        <v>#N/A</v>
      </c>
      <c r="B93" s="37" t="e">
        <f>VLOOKUP(A1,DIV_01Data!$A$1:$DZU$999999,1567,FALSE)</f>
        <v>#N/A</v>
      </c>
      <c r="C93" s="38" t="e">
        <f>VLOOKUP(A1,DIV_01Data!$A$1:$DZU$999999,1568,FALSE)</f>
        <v>#N/A</v>
      </c>
      <c r="D93" s="31" t="e">
        <f>VLOOKUP(A1,DIV_01Data!$A$1:$DZU$999999,1569,FALSE)</f>
        <v>#N/A</v>
      </c>
      <c r="E93" s="32" t="e">
        <f>VLOOKUP(A1,DIV_01Data!$A$1:$DZU$999999,1570,FALSE)</f>
        <v>#N/A</v>
      </c>
      <c r="F93" s="34" t="e">
        <f>VLOOKUP(A1,DIV_01Data!$A$1:$DZU$999999,1571,FALSE)</f>
        <v>#N/A</v>
      </c>
      <c r="G93" s="33" t="e">
        <f>VLOOKUP(A1,DIV_01Data!$A$1:$DZU$999999,1572,FALSE)</f>
        <v>#N/A</v>
      </c>
      <c r="H93" s="34" t="e">
        <f>VLOOKUP(A1,DIV_01Data!$A$1:$DZU$999999,1573,FALSE)</f>
        <v>#N/A</v>
      </c>
      <c r="I93" s="33" t="e">
        <f>VLOOKUP(A1,DIV_01Data!$A$1:$DZU$999999,1574,FALSE)</f>
        <v>#N/A</v>
      </c>
      <c r="J93" s="34" t="e">
        <f>VLOOKUP(A1,DIV_01Data!$A$1:$DZU$999999,1575,FALSE)</f>
        <v>#N/A</v>
      </c>
      <c r="K93" s="34" t="e">
        <f>VLOOKUP(A1,DIV_01Data!$A$1:$DZU$999999,1576,FALSE)</f>
        <v>#N/A</v>
      </c>
      <c r="L93" s="93" t="e">
        <f>VLOOKUP(A1,DIV_01Data!$A$1:$DZU$999999,1577,FALSE)</f>
        <v>#N/A</v>
      </c>
      <c r="M93" s="33" t="e">
        <f>VLOOKUP(A1,DIV_01Data!$A$1:$DZU$999999,1578,FALSE)</f>
        <v>#N/A</v>
      </c>
      <c r="N93" s="34" t="e">
        <f>VLOOKUP(A1,DIV_01Data!$A$1:$DZU$999999,1579,FALSE)</f>
        <v>#N/A</v>
      </c>
      <c r="O93" s="33" t="e">
        <f>VLOOKUP(A1,DIV_01Data!$A$1:$DZU$999999,1580,FALSE)</f>
        <v>#N/A</v>
      </c>
      <c r="P93" s="116" t="e">
        <f>VLOOKUP(A1,DIV_01Data!$A$1:$DZU$999999,1581,FALSE)</f>
        <v>#N/A</v>
      </c>
      <c r="Q93" s="268" t="e">
        <f>VLOOKUP(A1,DIV_01Data!$A$1:$DZU$999999,1582,FALSE)</f>
        <v>#N/A</v>
      </c>
    </row>
    <row r="94" spans="1:17" x14ac:dyDescent="0.35">
      <c r="A94" s="265" t="e">
        <f>VLOOKUP(A1,DIV_01Data!$A$1:$DZU$999999,1583,FALSE)</f>
        <v>#N/A</v>
      </c>
      <c r="B94" s="37" t="e">
        <f>VLOOKUP(A1,DIV_01Data!$A$1:$DZU$999999,1584,FALSE)</f>
        <v>#N/A</v>
      </c>
      <c r="C94" s="38" t="e">
        <f>VLOOKUP(A1,DIV_01Data!$A$1:$DZU$999999,1585,FALSE)</f>
        <v>#N/A</v>
      </c>
      <c r="D94" s="31" t="e">
        <f>VLOOKUP(A1,DIV_01Data!$A$1:$DZU$999999,1586,FALSE)</f>
        <v>#N/A</v>
      </c>
      <c r="E94" s="32" t="e">
        <f>VLOOKUP(A1,DIV_01Data!$A$1:$DZU$999999,1587,FALSE)</f>
        <v>#N/A</v>
      </c>
      <c r="F94" s="34" t="e">
        <f>VLOOKUP(A1,DIV_01Data!$A$1:$DZU$999999,1588,FALSE)</f>
        <v>#N/A</v>
      </c>
      <c r="G94" s="33" t="e">
        <f>VLOOKUP(A1,DIV_01Data!$A$1:$DZU$999999,1589,FALSE)</f>
        <v>#N/A</v>
      </c>
      <c r="H94" s="34" t="e">
        <f>VLOOKUP(A1,DIV_01Data!$A$1:$DZU$999999,1590,FALSE)</f>
        <v>#N/A</v>
      </c>
      <c r="I94" s="33" t="e">
        <f>VLOOKUP(A1,DIV_01Data!$A$1:$DZU$999999,1591,FALSE)</f>
        <v>#N/A</v>
      </c>
      <c r="J94" s="34" t="e">
        <f>VLOOKUP(A1,DIV_01Data!$A$1:$DZU$999999,1592,FALSE)</f>
        <v>#N/A</v>
      </c>
      <c r="K94" s="34" t="e">
        <f>VLOOKUP(A1,DIV_01Data!$A$1:$DZU$999999,1593,FALSE)</f>
        <v>#N/A</v>
      </c>
      <c r="L94" s="93" t="e">
        <f>VLOOKUP(A1,DIV_01Data!$A$1:$DZU$999999,1594,FALSE)</f>
        <v>#N/A</v>
      </c>
      <c r="M94" s="33" t="e">
        <f>VLOOKUP(A1,DIV_01Data!$A$1:$DZU$999999,1595,FALSE)</f>
        <v>#N/A</v>
      </c>
      <c r="N94" s="34" t="e">
        <f>VLOOKUP(A1,DIV_01Data!$A$1:$DZU$999999,1596,FALSE)</f>
        <v>#N/A</v>
      </c>
      <c r="O94" s="33" t="e">
        <f>VLOOKUP(A1,DIV_01Data!$A$1:$DZU$999999,1597,FALSE)</f>
        <v>#N/A</v>
      </c>
      <c r="P94" s="116" t="e">
        <f>VLOOKUP(A1,DIV_01Data!$A$1:$DZU$999999,1598,FALSE)</f>
        <v>#N/A</v>
      </c>
      <c r="Q94" s="268" t="e">
        <f>VLOOKUP(A1,DIV_01Data!$A$1:$DZU$999999,1599,FALSE)</f>
        <v>#N/A</v>
      </c>
    </row>
    <row r="95" spans="1:17" x14ac:dyDescent="0.35">
      <c r="A95" s="265" t="e">
        <f>VLOOKUP(A1,DIV_01Data!$A$1:$DZU$999999,1600,FALSE)</f>
        <v>#N/A</v>
      </c>
      <c r="B95" s="37" t="e">
        <f>VLOOKUP(A1,DIV_01Data!$A$1:$DZU$999999,1601,FALSE)</f>
        <v>#N/A</v>
      </c>
      <c r="C95" s="38" t="e">
        <f>VLOOKUP(A1,DIV_01Data!$A$1:$DZU$999999,1602,FALSE)</f>
        <v>#N/A</v>
      </c>
      <c r="D95" s="31" t="e">
        <f>VLOOKUP(A1,DIV_01Data!$A$1:$DZU$999999,1603,FALSE)</f>
        <v>#N/A</v>
      </c>
      <c r="E95" s="32" t="e">
        <f>VLOOKUP(A1,DIV_01Data!$A$1:$DZU$999999,1604,FALSE)</f>
        <v>#N/A</v>
      </c>
      <c r="F95" s="34" t="e">
        <f>VLOOKUP(A1,DIV_01Data!$A$1:$DZU$999999,1605,FALSE)</f>
        <v>#N/A</v>
      </c>
      <c r="G95" s="33" t="e">
        <f>VLOOKUP(A1,DIV_01Data!$A$1:$DZU$999999,1606,FALSE)</f>
        <v>#N/A</v>
      </c>
      <c r="H95" s="34" t="e">
        <f>VLOOKUP(A1,DIV_01Data!$A$1:$DZU$999999,1607,FALSE)</f>
        <v>#N/A</v>
      </c>
      <c r="I95" s="33" t="e">
        <f>VLOOKUP(A1,DIV_01Data!$A$1:$DZU$999999,1608,FALSE)</f>
        <v>#N/A</v>
      </c>
      <c r="J95" s="34" t="e">
        <f>VLOOKUP(A1,DIV_01Data!$A$1:$DZU$999999,1609,FALSE)</f>
        <v>#N/A</v>
      </c>
      <c r="K95" s="34" t="e">
        <f>VLOOKUP(A1,DIV_01Data!$A$1:$DZU$999999,1610,FALSE)</f>
        <v>#N/A</v>
      </c>
      <c r="L95" s="93" t="e">
        <f>VLOOKUP(A1,DIV_01Data!$A$1:$DZU$999999,1611,FALSE)</f>
        <v>#N/A</v>
      </c>
      <c r="M95" s="33" t="e">
        <f>VLOOKUP(A1,DIV_01Data!$A$1:$DZU$999999,1612,FALSE)</f>
        <v>#N/A</v>
      </c>
      <c r="N95" s="34" t="e">
        <f>VLOOKUP(A1,DIV_01Data!$A$1:$DZU$999999,1613,FALSE)</f>
        <v>#N/A</v>
      </c>
      <c r="O95" s="33" t="e">
        <f>VLOOKUP(A1,DIV_01Data!$A$1:$DZU$999999,1614,FALSE)</f>
        <v>#N/A</v>
      </c>
      <c r="P95" s="116" t="e">
        <f>VLOOKUP(A1,DIV_01Data!$A$1:$DZU$999999,1615,FALSE)</f>
        <v>#N/A</v>
      </c>
      <c r="Q95" s="268" t="e">
        <f>VLOOKUP(A1,DIV_01Data!$A$1:$DZU$999999,1616,FALSE)</f>
        <v>#N/A</v>
      </c>
    </row>
    <row r="96" spans="1:17" x14ac:dyDescent="0.35">
      <c r="A96" s="265" t="e">
        <f>VLOOKUP(A1,DIV_01Data!$A$1:$DZU$999999,1617,FALSE)</f>
        <v>#N/A</v>
      </c>
      <c r="B96" s="37" t="e">
        <f>VLOOKUP(A1,DIV_01Data!$A$1:$DZU$999999,1618,FALSE)</f>
        <v>#N/A</v>
      </c>
      <c r="C96" s="38" t="e">
        <f>VLOOKUP(A1,DIV_01Data!$A$1:$DZU$999999,1619,FALSE)</f>
        <v>#N/A</v>
      </c>
      <c r="D96" s="31" t="e">
        <f>VLOOKUP(A1,DIV_01Data!$A$1:$DZU$999999,1620,FALSE)</f>
        <v>#N/A</v>
      </c>
      <c r="E96" s="32" t="e">
        <f>VLOOKUP(A1,DIV_01Data!$A$1:$DZU$999999,1621,FALSE)</f>
        <v>#N/A</v>
      </c>
      <c r="F96" s="34" t="e">
        <f>VLOOKUP(A1,DIV_01Data!$A$1:$DZU$999999,1622,FALSE)</f>
        <v>#N/A</v>
      </c>
      <c r="G96" s="33" t="e">
        <f>VLOOKUP(A1,DIV_01Data!$A$1:$DZU$999999,1623,FALSE)</f>
        <v>#N/A</v>
      </c>
      <c r="H96" s="34" t="e">
        <f>VLOOKUP(A1,DIV_01Data!$A$1:$DZU$999999,1624,FALSE)</f>
        <v>#N/A</v>
      </c>
      <c r="I96" s="33" t="e">
        <f>VLOOKUP(A1,DIV_01Data!$A$1:$DZU$999999,1625,FALSE)</f>
        <v>#N/A</v>
      </c>
      <c r="J96" s="34" t="e">
        <f>VLOOKUP(A1,DIV_01Data!$A$1:$DZU$999999,1626,FALSE)</f>
        <v>#N/A</v>
      </c>
      <c r="K96" s="34" t="e">
        <f>VLOOKUP(A1,DIV_01Data!$A$1:$DZU$999999,1627,FALSE)</f>
        <v>#N/A</v>
      </c>
      <c r="L96" s="93" t="e">
        <f>VLOOKUP(A1,DIV_01Data!$A$1:$DZU$999999,1628,FALSE)</f>
        <v>#N/A</v>
      </c>
      <c r="M96" s="33" t="e">
        <f>VLOOKUP(A1,DIV_01Data!$A$1:$DZU$999999,1629,FALSE)</f>
        <v>#N/A</v>
      </c>
      <c r="N96" s="34" t="e">
        <f>VLOOKUP(A1,DIV_01Data!$A$1:$DZU$999999,1630,FALSE)</f>
        <v>#N/A</v>
      </c>
      <c r="O96" s="33" t="e">
        <f>VLOOKUP(A1,DIV_01Data!$A$1:$DZU$999999,1631,FALSE)</f>
        <v>#N/A</v>
      </c>
      <c r="P96" s="116" t="e">
        <f>VLOOKUP(A1,DIV_01Data!$A$1:$DZU$999999,1632,FALSE)</f>
        <v>#N/A</v>
      </c>
      <c r="Q96" s="268" t="e">
        <f>VLOOKUP(A1,DIV_01Data!$A$1:$DZU$999999,1633,FALSE)</f>
        <v>#N/A</v>
      </c>
    </row>
    <row r="97" spans="1:17" x14ac:dyDescent="0.35">
      <c r="A97" s="265" t="e">
        <f>VLOOKUP(A1,DIV_01Data!$A$1:$DZU$999999,1634,FALSE)</f>
        <v>#N/A</v>
      </c>
      <c r="B97" s="37" t="e">
        <f>VLOOKUP(A1,DIV_01Data!$A$1:$DZU$999999,1635,FALSE)</f>
        <v>#N/A</v>
      </c>
      <c r="C97" s="38" t="e">
        <f>VLOOKUP(A1,DIV_01Data!$A$1:$DZU$999999,1636,FALSE)</f>
        <v>#N/A</v>
      </c>
      <c r="D97" s="31" t="e">
        <f>VLOOKUP(A1,DIV_01Data!$A$1:$DZU$999999,1637,FALSE)</f>
        <v>#N/A</v>
      </c>
      <c r="E97" s="32" t="e">
        <f>VLOOKUP(A1,DIV_01Data!$A$1:$DZU$999999,1638,FALSE)</f>
        <v>#N/A</v>
      </c>
      <c r="F97" s="34" t="e">
        <f>VLOOKUP(A1,DIV_01Data!$A$1:$DZU$999999,1639,FALSE)</f>
        <v>#N/A</v>
      </c>
      <c r="G97" s="33" t="e">
        <f>VLOOKUP(A1,DIV_01Data!$A$1:$DZU$999999,1640,FALSE)</f>
        <v>#N/A</v>
      </c>
      <c r="H97" s="34" t="e">
        <f>VLOOKUP(A1,DIV_01Data!$A$1:$DZU$999999,1641,FALSE)</f>
        <v>#N/A</v>
      </c>
      <c r="I97" s="33" t="e">
        <f>VLOOKUP(A1,DIV_01Data!$A$1:$DZU$999999,1642,FALSE)</f>
        <v>#N/A</v>
      </c>
      <c r="J97" s="34" t="e">
        <f>VLOOKUP(A1,DIV_01Data!$A$1:$DZU$999999,1643,FALSE)</f>
        <v>#N/A</v>
      </c>
      <c r="K97" s="34" t="e">
        <f>VLOOKUP(A1,DIV_01Data!$A$1:$DZU$999999,1644,FALSE)</f>
        <v>#N/A</v>
      </c>
      <c r="L97" s="93" t="e">
        <f>VLOOKUP(A1,DIV_01Data!$A$1:$DZU$999999,1645,FALSE)</f>
        <v>#N/A</v>
      </c>
      <c r="M97" s="33" t="e">
        <f>VLOOKUP(A1,DIV_01Data!$A$1:$DZU$999999,1646,FALSE)</f>
        <v>#N/A</v>
      </c>
      <c r="N97" s="34" t="e">
        <f>VLOOKUP(A1,DIV_01Data!$A$1:$DZU$999999,1647,FALSE)</f>
        <v>#N/A</v>
      </c>
      <c r="O97" s="33" t="e">
        <f>VLOOKUP(A1,DIV_01Data!$A$1:$DZU$999999,1648,FALSE)</f>
        <v>#N/A</v>
      </c>
      <c r="P97" s="116" t="e">
        <f>VLOOKUP(A1,DIV_01Data!$A$1:$DZU$999999,1649,FALSE)</f>
        <v>#N/A</v>
      </c>
      <c r="Q97" s="268" t="e">
        <f>VLOOKUP(A1,DIV_01Data!$A$1:$DZU$999999,1650,FALSE)</f>
        <v>#N/A</v>
      </c>
    </row>
    <row r="98" spans="1:17" x14ac:dyDescent="0.35">
      <c r="A98" s="265" t="e">
        <f>VLOOKUP(A1,DIV_01Data!$A$1:$DZU$999999,1651,FALSE)</f>
        <v>#N/A</v>
      </c>
      <c r="B98" s="37" t="e">
        <f>VLOOKUP(A1,DIV_01Data!$A$1:$DZU$999999,1652,FALSE)</f>
        <v>#N/A</v>
      </c>
      <c r="C98" s="38" t="e">
        <f>VLOOKUP(A1,DIV_01Data!$A$1:$DZU$999999,1653,FALSE)</f>
        <v>#N/A</v>
      </c>
      <c r="D98" s="31" t="e">
        <f>VLOOKUP(A1,DIV_01Data!$A$1:$DZU$999999,1654,FALSE)</f>
        <v>#N/A</v>
      </c>
      <c r="E98" s="32" t="e">
        <f>VLOOKUP(A1,DIV_01Data!$A$1:$DZU$999999,1655,FALSE)</f>
        <v>#N/A</v>
      </c>
      <c r="F98" s="34" t="e">
        <f>VLOOKUP(A1,DIV_01Data!$A$1:$DZU$999999,1656,FALSE)</f>
        <v>#N/A</v>
      </c>
      <c r="G98" s="33" t="e">
        <f>VLOOKUP(A1,DIV_01Data!$A$1:$DZU$999999,1657,FALSE)</f>
        <v>#N/A</v>
      </c>
      <c r="H98" s="34" t="e">
        <f>VLOOKUP(A1,DIV_01Data!$A$1:$DZU$999999,1658,FALSE)</f>
        <v>#N/A</v>
      </c>
      <c r="I98" s="33" t="e">
        <f>VLOOKUP(A1,DIV_01Data!$A$1:$DZU$999999,1659,FALSE)</f>
        <v>#N/A</v>
      </c>
      <c r="J98" s="34" t="e">
        <f>VLOOKUP(A1,DIV_01Data!$A$1:$DZU$999999,1660,FALSE)</f>
        <v>#N/A</v>
      </c>
      <c r="K98" s="34" t="e">
        <f>VLOOKUP(A1,DIV_01Data!$A$1:$DZU$999999,1661,FALSE)</f>
        <v>#N/A</v>
      </c>
      <c r="L98" s="93" t="e">
        <f>VLOOKUP(A1,DIV_01Data!$A$1:$DZU$999999,1662,FALSE)</f>
        <v>#N/A</v>
      </c>
      <c r="M98" s="33" t="e">
        <f>VLOOKUP(A1,DIV_01Data!$A$1:$DZU$999999,1663,FALSE)</f>
        <v>#N/A</v>
      </c>
      <c r="N98" s="34" t="e">
        <f>VLOOKUP(A1,DIV_01Data!$A$1:$DZU$999999,1664,FALSE)</f>
        <v>#N/A</v>
      </c>
      <c r="O98" s="33" t="e">
        <f>VLOOKUP(A1,DIV_01Data!$A$1:$DZU$999999,1665,FALSE)</f>
        <v>#N/A</v>
      </c>
      <c r="P98" s="116" t="e">
        <f>VLOOKUP(A1,DIV_01Data!$A$1:$DZU$999999,1666,FALSE)</f>
        <v>#N/A</v>
      </c>
      <c r="Q98" s="268" t="e">
        <f>VLOOKUP(A1,DIV_01Data!$A$1:$DZU$999999,1667,FALSE)</f>
        <v>#N/A</v>
      </c>
    </row>
    <row r="99" spans="1:17" x14ac:dyDescent="0.35">
      <c r="A99" s="265" t="e">
        <f>VLOOKUP(A1,DIV_01Data!$A$1:$DZU$999999,1668,FALSE)</f>
        <v>#N/A</v>
      </c>
      <c r="B99" s="37" t="e">
        <f>VLOOKUP(A1,DIV_01Data!$A$1:$DZU$999999,1669,FALSE)</f>
        <v>#N/A</v>
      </c>
      <c r="C99" s="38" t="e">
        <f>VLOOKUP(A1,DIV_01Data!$A$1:$DZU$999999,1670,FALSE)</f>
        <v>#N/A</v>
      </c>
      <c r="D99" s="31" t="e">
        <f>VLOOKUP(A1,DIV_01Data!$A$1:$DZU$999999,1671,FALSE)</f>
        <v>#N/A</v>
      </c>
      <c r="E99" s="32" t="e">
        <f>VLOOKUP(A1,DIV_01Data!$A$1:$DZU$999999,1672,FALSE)</f>
        <v>#N/A</v>
      </c>
      <c r="F99" s="34" t="e">
        <f>VLOOKUP(A1,DIV_01Data!$A$1:$DZU$999999,1673,FALSE)</f>
        <v>#N/A</v>
      </c>
      <c r="G99" s="33" t="e">
        <f>VLOOKUP(A1,DIV_01Data!$A$1:$DZU$999999,1674,FALSE)</f>
        <v>#N/A</v>
      </c>
      <c r="H99" s="34" t="e">
        <f>VLOOKUP(A1,DIV_01Data!$A$1:$DZU$999999,1675,FALSE)</f>
        <v>#N/A</v>
      </c>
      <c r="I99" s="33" t="e">
        <f>VLOOKUP(A1,DIV_01Data!$A$1:$DZU$999999,1676,FALSE)</f>
        <v>#N/A</v>
      </c>
      <c r="J99" s="34" t="e">
        <f>VLOOKUP(A1,DIV_01Data!$A$1:$DZU$999999,1677,FALSE)</f>
        <v>#N/A</v>
      </c>
      <c r="K99" s="34" t="e">
        <f>VLOOKUP(A1,DIV_01Data!$A$1:$DZU$999999,1678,FALSE)</f>
        <v>#N/A</v>
      </c>
      <c r="L99" s="93" t="e">
        <f>VLOOKUP(A1,DIV_01Data!$A$1:$DZU$999999,1679,FALSE)</f>
        <v>#N/A</v>
      </c>
      <c r="M99" s="33" t="e">
        <f>VLOOKUP(A1,DIV_01Data!$A$1:$DZU$999999,1680,FALSE)</f>
        <v>#N/A</v>
      </c>
      <c r="N99" s="34" t="e">
        <f>VLOOKUP(A1,DIV_01Data!$A$1:$DZU$999999,1681,FALSE)</f>
        <v>#N/A</v>
      </c>
      <c r="O99" s="33" t="e">
        <f>VLOOKUP(A1,DIV_01Data!$A$1:$DZU$999999,1682,FALSE)</f>
        <v>#N/A</v>
      </c>
      <c r="P99" s="116" t="e">
        <f>VLOOKUP(A1,DIV_01Data!$A$1:$DZU$999999,1683,FALSE)</f>
        <v>#N/A</v>
      </c>
      <c r="Q99" s="268" t="e">
        <f>VLOOKUP(A1,DIV_01Data!$A$1:$DZU$999999,1684,FALSE)</f>
        <v>#N/A</v>
      </c>
    </row>
    <row r="100" spans="1:17" x14ac:dyDescent="0.35">
      <c r="A100" s="265" t="e">
        <f>VLOOKUP(A1,DIV_01Data!$A$1:$DZU$999999,1685,FALSE)</f>
        <v>#N/A</v>
      </c>
      <c r="B100" s="37" t="e">
        <f>VLOOKUP(A1,DIV_01Data!$A$1:$DZU$999999,1686,FALSE)</f>
        <v>#N/A</v>
      </c>
      <c r="C100" s="38" t="e">
        <f>VLOOKUP(A1,DIV_01Data!$A$1:$DZU$999999,1687,FALSE)</f>
        <v>#N/A</v>
      </c>
      <c r="D100" s="31" t="e">
        <f>VLOOKUP(A1,DIV_01Data!$A$1:$DZU$999999,1688,FALSE)</f>
        <v>#N/A</v>
      </c>
      <c r="E100" s="32" t="e">
        <f>VLOOKUP(A1,DIV_01Data!$A$1:$DZU$999999,1689,FALSE)</f>
        <v>#N/A</v>
      </c>
      <c r="F100" s="34" t="e">
        <f>VLOOKUP(A1,DIV_01Data!$A$1:$DZU$999999,1690,FALSE)</f>
        <v>#N/A</v>
      </c>
      <c r="G100" s="33" t="e">
        <f>VLOOKUP(A1,DIV_01Data!$A$1:$DZU$999999,1691,FALSE)</f>
        <v>#N/A</v>
      </c>
      <c r="H100" s="34" t="e">
        <f>VLOOKUP(A1,DIV_01Data!$A$1:$DZU$999999,1692,FALSE)</f>
        <v>#N/A</v>
      </c>
      <c r="I100" s="33" t="e">
        <f>VLOOKUP(A1,DIV_01Data!$A$1:$DZU$999999,1693,FALSE)</f>
        <v>#N/A</v>
      </c>
      <c r="J100" s="34" t="e">
        <f>VLOOKUP(A1,DIV_01Data!$A$1:$DZU$999999,1694,FALSE)</f>
        <v>#N/A</v>
      </c>
      <c r="K100" s="34" t="e">
        <f>VLOOKUP(A1,DIV_01Data!$A$1:$DZU$999999,1695,FALSE)</f>
        <v>#N/A</v>
      </c>
      <c r="L100" s="93" t="e">
        <f>VLOOKUP(A1,DIV_01Data!$A$1:$DZU$999999,1696,FALSE)</f>
        <v>#N/A</v>
      </c>
      <c r="M100" s="33" t="e">
        <f>VLOOKUP(A1,DIV_01Data!$A$1:$DZU$999999,1697,FALSE)</f>
        <v>#N/A</v>
      </c>
      <c r="N100" s="34" t="e">
        <f>VLOOKUP(A1,DIV_01Data!$A$1:$DZU$999999,1698,FALSE)</f>
        <v>#N/A</v>
      </c>
      <c r="O100" s="33" t="e">
        <f>VLOOKUP(A1,DIV_01Data!$A$1:$DZU$999999,1699,FALSE)</f>
        <v>#N/A</v>
      </c>
      <c r="P100" s="116" t="e">
        <f>VLOOKUP(A1,DIV_01Data!$A$1:$DZU$999999,1700,FALSE)</f>
        <v>#N/A</v>
      </c>
      <c r="Q100" s="268" t="e">
        <f>VLOOKUP(A1,DIV_01Data!$A$1:$DZU$999999,1701,FALSE)</f>
        <v>#N/A</v>
      </c>
    </row>
    <row r="101" spans="1:17" x14ac:dyDescent="0.35">
      <c r="A101" s="265" t="e">
        <f>VLOOKUP(A1,DIV_01Data!$A$1:$DZU$999999,1702,FALSE)</f>
        <v>#N/A</v>
      </c>
      <c r="B101" s="37" t="e">
        <f>VLOOKUP(A1,DIV_01Data!$A$1:$DZU$999999,1703,FALSE)</f>
        <v>#N/A</v>
      </c>
      <c r="C101" s="38" t="e">
        <f>VLOOKUP(A1,DIV_01Data!$A$1:$DZU$999999,1704,FALSE)</f>
        <v>#N/A</v>
      </c>
      <c r="D101" s="31" t="e">
        <f>VLOOKUP(A1,DIV_01Data!$A$1:$DZU$999999,1705,FALSE)</f>
        <v>#N/A</v>
      </c>
      <c r="E101" s="32" t="e">
        <f>VLOOKUP(A1,DIV_01Data!$A$1:$DZU$999999,1706,FALSE)</f>
        <v>#N/A</v>
      </c>
      <c r="F101" s="34" t="e">
        <f>VLOOKUP(A1,DIV_01Data!$A$1:$DZU$999999,1707,FALSE)</f>
        <v>#N/A</v>
      </c>
      <c r="G101" s="33" t="e">
        <f>VLOOKUP(A1,DIV_01Data!$A$1:$DZU$999999,1708,FALSE)</f>
        <v>#N/A</v>
      </c>
      <c r="H101" s="34" t="e">
        <f>VLOOKUP(A1,DIV_01Data!$A$1:$DZU$999999,1709,FALSE)</f>
        <v>#N/A</v>
      </c>
      <c r="I101" s="33" t="e">
        <f>VLOOKUP(A1,DIV_01Data!$A$1:$DZU$999999,1710,FALSE)</f>
        <v>#N/A</v>
      </c>
      <c r="J101" s="34" t="e">
        <f>VLOOKUP(A1,DIV_01Data!$A$1:$DZU$999999,1711,FALSE)</f>
        <v>#N/A</v>
      </c>
      <c r="K101" s="34" t="e">
        <f>VLOOKUP(A1,DIV_01Data!$A$1:$DZU$999999,1712,FALSE)</f>
        <v>#N/A</v>
      </c>
      <c r="L101" s="93" t="e">
        <f>VLOOKUP(A1,DIV_01Data!$A$1:$DZU$999999,1713,FALSE)</f>
        <v>#N/A</v>
      </c>
      <c r="M101" s="33" t="e">
        <f>VLOOKUP(A1,DIV_01Data!$A$1:$DZU$999999,1714,FALSE)</f>
        <v>#N/A</v>
      </c>
      <c r="N101" s="34" t="e">
        <f>VLOOKUP(A1,DIV_01Data!$A$1:$DZU$999999,1715,FALSE)</f>
        <v>#N/A</v>
      </c>
      <c r="O101" s="33" t="e">
        <f>VLOOKUP(A1,DIV_01Data!$A$1:$DZU$999999,1716,FALSE)</f>
        <v>#N/A</v>
      </c>
      <c r="P101" s="116" t="e">
        <f>VLOOKUP(A1,DIV_01Data!$A$1:$DZU$999999,1717,FALSE)</f>
        <v>#N/A</v>
      </c>
      <c r="Q101" s="268" t="e">
        <f>VLOOKUP(A1,DIV_01Data!$A$1:$DZU$999999,1718,FALSE)</f>
        <v>#N/A</v>
      </c>
    </row>
    <row r="102" spans="1:17" x14ac:dyDescent="0.35">
      <c r="A102" s="265" t="e">
        <f>VLOOKUP(A1,DIV_01Data!$A$1:$DZU$999999,1719,FALSE)</f>
        <v>#N/A</v>
      </c>
      <c r="B102" s="37" t="e">
        <f>VLOOKUP(A1,DIV_01Data!$A$1:$DZU$999999,1720,FALSE)</f>
        <v>#N/A</v>
      </c>
      <c r="C102" s="38" t="e">
        <f>VLOOKUP(A1,DIV_01Data!$A$1:$DZU$999999,1721,FALSE)</f>
        <v>#N/A</v>
      </c>
      <c r="D102" s="31" t="e">
        <f>VLOOKUP(A1,DIV_01Data!$A$1:$DZU$999999,1722,FALSE)</f>
        <v>#N/A</v>
      </c>
      <c r="E102" s="32" t="e">
        <f>VLOOKUP(A1,DIV_01Data!$A$1:$DZU$999999,1723,FALSE)</f>
        <v>#N/A</v>
      </c>
      <c r="F102" s="34" t="e">
        <f>VLOOKUP(A1,DIV_01Data!$A$1:$DZU$999999,1724,FALSE)</f>
        <v>#N/A</v>
      </c>
      <c r="G102" s="33" t="e">
        <f>VLOOKUP(A1,DIV_01Data!$A$1:$DZU$999999,1725,FALSE)</f>
        <v>#N/A</v>
      </c>
      <c r="H102" s="34" t="e">
        <f>VLOOKUP(A1,DIV_01Data!$A$1:$DZU$999999,1726,FALSE)</f>
        <v>#N/A</v>
      </c>
      <c r="I102" s="33" t="e">
        <f>VLOOKUP(A1,DIV_01Data!$A$1:$DZU$999999,1727,FALSE)</f>
        <v>#N/A</v>
      </c>
      <c r="J102" s="34" t="e">
        <f>VLOOKUP(A1,DIV_01Data!$A$1:$DZU$999999,1728,FALSE)</f>
        <v>#N/A</v>
      </c>
      <c r="K102" s="34" t="e">
        <f>VLOOKUP(A1,DIV_01Data!$A$1:$DZU$999999,1729,FALSE)</f>
        <v>#N/A</v>
      </c>
      <c r="L102" s="93" t="e">
        <f>VLOOKUP(A1,DIV_01Data!$A$1:$DZU$999999,1730,FALSE)</f>
        <v>#N/A</v>
      </c>
      <c r="M102" s="33" t="e">
        <f>VLOOKUP(A1,DIV_01Data!$A$1:$DZU$999999,1731,FALSE)</f>
        <v>#N/A</v>
      </c>
      <c r="N102" s="34" t="e">
        <f>VLOOKUP(A1,DIV_01Data!$A$1:$DZU$999999,1732,FALSE)</f>
        <v>#N/A</v>
      </c>
      <c r="O102" s="33" t="e">
        <f>VLOOKUP(A1,DIV_01Data!$A$1:$DZU$999999,1733,FALSE)</f>
        <v>#N/A</v>
      </c>
      <c r="P102" s="116" t="e">
        <f>VLOOKUP(A1,DIV_01Data!$A$1:$DZU$999999,1734,FALSE)</f>
        <v>#N/A</v>
      </c>
      <c r="Q102" s="268" t="e">
        <f>VLOOKUP(A1,DIV_01Data!$A$1:$DZU$999999,1735,FALSE)</f>
        <v>#N/A</v>
      </c>
    </row>
    <row r="103" spans="1:17" x14ac:dyDescent="0.35">
      <c r="A103" s="265" t="e">
        <f>VLOOKUP(A1,DIV_01Data!$A$1:$DZU$999999,1736,FALSE)</f>
        <v>#N/A</v>
      </c>
      <c r="B103" s="37" t="e">
        <f>VLOOKUP(A1,DIV_01Data!$A$1:$DZU$999999,1737,FALSE)</f>
        <v>#N/A</v>
      </c>
      <c r="C103" s="38" t="e">
        <f>VLOOKUP(A1,DIV_01Data!$A$1:$DZU$999999,1738,FALSE)</f>
        <v>#N/A</v>
      </c>
      <c r="D103" s="31" t="e">
        <f>VLOOKUP(A1,DIV_01Data!$A$1:$DZU$999999,1739,FALSE)</f>
        <v>#N/A</v>
      </c>
      <c r="E103" s="32" t="e">
        <f>VLOOKUP(A1,DIV_01Data!$A$1:$DZU$999999,1740,FALSE)</f>
        <v>#N/A</v>
      </c>
      <c r="F103" s="34" t="e">
        <f>VLOOKUP(A1,DIV_01Data!$A$1:$DZU$999999,1741,FALSE)</f>
        <v>#N/A</v>
      </c>
      <c r="G103" s="33" t="e">
        <f>VLOOKUP(A1,DIV_01Data!$A$1:$DZU$999999,1742,FALSE)</f>
        <v>#N/A</v>
      </c>
      <c r="H103" s="34" t="e">
        <f>VLOOKUP(A1,DIV_01Data!$A$1:$DZU$999999,1743,FALSE)</f>
        <v>#N/A</v>
      </c>
      <c r="I103" s="33" t="e">
        <f>VLOOKUP(A1,DIV_01Data!$A$1:$DZU$999999,1744,FALSE)</f>
        <v>#N/A</v>
      </c>
      <c r="J103" s="34" t="e">
        <f>VLOOKUP(A1,DIV_01Data!$A$1:$DZU$999999,1745,FALSE)</f>
        <v>#N/A</v>
      </c>
      <c r="K103" s="34" t="e">
        <f>VLOOKUP(A1,DIV_01Data!$A$1:$DZU$999999,1746,FALSE)</f>
        <v>#N/A</v>
      </c>
      <c r="L103" s="93" t="e">
        <f>VLOOKUP(A1,DIV_01Data!$A$1:$DZU$999999,1747,FALSE)</f>
        <v>#N/A</v>
      </c>
      <c r="M103" s="33" t="e">
        <f>VLOOKUP(A1,DIV_01Data!$A$1:$DZU$999999,1748,FALSE)</f>
        <v>#N/A</v>
      </c>
      <c r="N103" s="34" t="e">
        <f>VLOOKUP(A1,DIV_01Data!$A$1:$DZU$999999,1749,FALSE)</f>
        <v>#N/A</v>
      </c>
      <c r="O103" s="33" t="e">
        <f>VLOOKUP(A1,DIV_01Data!$A$1:$DZU$999999,1750,FALSE)</f>
        <v>#N/A</v>
      </c>
      <c r="P103" s="116" t="e">
        <f>VLOOKUP(A1,DIV_01Data!$A$1:$DZU$999999,1751,FALSE)</f>
        <v>#N/A</v>
      </c>
      <c r="Q103" s="268" t="e">
        <f>VLOOKUP(A1,DIV_01Data!$A$1:$DZU$999999,1752,FALSE)</f>
        <v>#N/A</v>
      </c>
    </row>
    <row r="104" spans="1:17" x14ac:dyDescent="0.35">
      <c r="A104" s="265" t="e">
        <f>VLOOKUP(A1,DIV_01Data!$A$1:$DZU$999999,1753,FALSE)</f>
        <v>#N/A</v>
      </c>
      <c r="B104" s="37" t="e">
        <f>VLOOKUP(A1,DIV_01Data!$A$1:$DZU$999999,1754,FALSE)</f>
        <v>#N/A</v>
      </c>
      <c r="C104" s="38" t="e">
        <f>VLOOKUP(A1,DIV_01Data!$A$1:$DZU$999999,1755,FALSE)</f>
        <v>#N/A</v>
      </c>
      <c r="D104" s="31" t="e">
        <f>VLOOKUP(A1,DIV_01Data!$A$1:$DZU$999999,1756,FALSE)</f>
        <v>#N/A</v>
      </c>
      <c r="E104" s="32" t="e">
        <f>VLOOKUP(A1,DIV_01Data!$A$1:$DZU$999999,1757,FALSE)</f>
        <v>#N/A</v>
      </c>
      <c r="F104" s="34" t="e">
        <f>VLOOKUP(A1,DIV_01Data!$A$1:$DZU$999999,1758,FALSE)</f>
        <v>#N/A</v>
      </c>
      <c r="G104" s="33" t="e">
        <f>VLOOKUP(A1,DIV_01Data!$A$1:$DZU$999999,1759,FALSE)</f>
        <v>#N/A</v>
      </c>
      <c r="H104" s="34" t="e">
        <f>VLOOKUP(A1,DIV_01Data!$A$1:$DZU$999999,1760,FALSE)</f>
        <v>#N/A</v>
      </c>
      <c r="I104" s="33" t="e">
        <f>VLOOKUP(A1,DIV_01Data!$A$1:$DZU$999999,1761,FALSE)</f>
        <v>#N/A</v>
      </c>
      <c r="J104" s="34" t="e">
        <f>VLOOKUP(A1,DIV_01Data!$A$1:$DZU$999999,1762,FALSE)</f>
        <v>#N/A</v>
      </c>
      <c r="K104" s="34" t="e">
        <f>VLOOKUP(A1,DIV_01Data!$A$1:$DZU$999999,1763,FALSE)</f>
        <v>#N/A</v>
      </c>
      <c r="L104" s="93" t="e">
        <f>VLOOKUP(A1,DIV_01Data!$A$1:$DZU$999999,1764,FALSE)</f>
        <v>#N/A</v>
      </c>
      <c r="M104" s="33" t="e">
        <f>VLOOKUP(A1,DIV_01Data!$A$1:$DZU$999999,1765,FALSE)</f>
        <v>#N/A</v>
      </c>
      <c r="N104" s="34" t="e">
        <f>VLOOKUP(A1,DIV_01Data!$A$1:$DZU$999999,1766,FALSE)</f>
        <v>#N/A</v>
      </c>
      <c r="O104" s="33" t="e">
        <f>VLOOKUP(A1,DIV_01Data!$A$1:$DZU$999999,1767,FALSE)</f>
        <v>#N/A</v>
      </c>
      <c r="P104" s="116" t="e">
        <f>VLOOKUP(A1,DIV_01Data!$A$1:$DZU$999999,1768,FALSE)</f>
        <v>#N/A</v>
      </c>
      <c r="Q104" s="268" t="e">
        <f>VLOOKUP(A1,DIV_01Data!$A$1:$DZU$999999,1769,FALSE)</f>
        <v>#N/A</v>
      </c>
    </row>
    <row r="105" spans="1:17" x14ac:dyDescent="0.35">
      <c r="A105" s="265" t="e">
        <f>VLOOKUP(A1,DIV_01Data!$A$1:$DZU$999999,1770,FALSE)</f>
        <v>#N/A</v>
      </c>
      <c r="B105" s="37" t="e">
        <f>VLOOKUP(A1,DIV_01Data!$A$1:$DZU$999999,1771,FALSE)</f>
        <v>#N/A</v>
      </c>
      <c r="C105" s="38" t="e">
        <f>VLOOKUP(A1,DIV_01Data!$A$1:$DZU$999999,1772,FALSE)</f>
        <v>#N/A</v>
      </c>
      <c r="D105" s="31" t="e">
        <f>VLOOKUP(A1,DIV_01Data!$A$1:$DZU$999999,1773,FALSE)</f>
        <v>#N/A</v>
      </c>
      <c r="E105" s="32" t="e">
        <f>VLOOKUP(A1,DIV_01Data!$A$1:$DZU$999999,1774,FALSE)</f>
        <v>#N/A</v>
      </c>
      <c r="F105" s="34" t="e">
        <f>VLOOKUP(A1,DIV_01Data!$A$1:$DZU$999999,1775,FALSE)</f>
        <v>#N/A</v>
      </c>
      <c r="G105" s="33" t="e">
        <f>VLOOKUP(A1,DIV_01Data!$A$1:$DZU$999999,1776,FALSE)</f>
        <v>#N/A</v>
      </c>
      <c r="H105" s="34" t="e">
        <f>VLOOKUP(A1,DIV_01Data!$A$1:$DZU$999999,1777,FALSE)</f>
        <v>#N/A</v>
      </c>
      <c r="I105" s="33" t="e">
        <f>VLOOKUP(A1,DIV_01Data!$A$1:$DZU$999999,1778,FALSE)</f>
        <v>#N/A</v>
      </c>
      <c r="J105" s="34" t="e">
        <f>VLOOKUP(A1,DIV_01Data!$A$1:$DZU$999999,1779,FALSE)</f>
        <v>#N/A</v>
      </c>
      <c r="K105" s="34" t="e">
        <f>VLOOKUP(A1,DIV_01Data!$A$1:$DZU$999999,1780,FALSE)</f>
        <v>#N/A</v>
      </c>
      <c r="L105" s="93" t="e">
        <f>VLOOKUP(A1,DIV_01Data!$A$1:$DZU$999999,1781,FALSE)</f>
        <v>#N/A</v>
      </c>
      <c r="M105" s="33" t="e">
        <f>VLOOKUP(A1,DIV_01Data!$A$1:$DZU$999999,1782,FALSE)</f>
        <v>#N/A</v>
      </c>
      <c r="N105" s="34" t="e">
        <f>VLOOKUP(A1,DIV_01Data!$A$1:$DZU$999999,1783,FALSE)</f>
        <v>#N/A</v>
      </c>
      <c r="O105" s="33" t="e">
        <f>VLOOKUP(A1,DIV_01Data!$A$1:$DZU$999999,1784,FALSE)</f>
        <v>#N/A</v>
      </c>
      <c r="P105" s="116" t="e">
        <f>VLOOKUP(A1,DIV_01Data!$A$1:$DZU$999999,1785,FALSE)</f>
        <v>#N/A</v>
      </c>
      <c r="Q105" s="268" t="e">
        <f>VLOOKUP(A1,DIV_01Data!$A$1:$DZU$999999,1786,FALSE)</f>
        <v>#N/A</v>
      </c>
    </row>
    <row r="106" spans="1:17" x14ac:dyDescent="0.35">
      <c r="A106" s="265" t="e">
        <f>VLOOKUP(A1,DIV_01Data!$A$1:$DZU$999999,1787,FALSE)</f>
        <v>#N/A</v>
      </c>
      <c r="B106" s="37" t="e">
        <f>VLOOKUP(A1,DIV_01Data!$A$1:$DZU$999999,1788,FALSE)</f>
        <v>#N/A</v>
      </c>
      <c r="C106" s="38" t="e">
        <f>VLOOKUP(A1,DIV_01Data!$A$1:$DZU$999999,1789,FALSE)</f>
        <v>#N/A</v>
      </c>
      <c r="D106" s="31" t="e">
        <f>VLOOKUP(A1,DIV_01Data!$A$1:$DZU$999999,1790,FALSE)</f>
        <v>#N/A</v>
      </c>
      <c r="E106" s="32" t="e">
        <f>VLOOKUP(A1,DIV_01Data!$A$1:$DZU$999999,1791,FALSE)</f>
        <v>#N/A</v>
      </c>
      <c r="F106" s="34" t="e">
        <f>VLOOKUP(A1,DIV_01Data!$A$1:$DZU$999999,1792,FALSE)</f>
        <v>#N/A</v>
      </c>
      <c r="G106" s="33" t="e">
        <f>VLOOKUP(A1,DIV_01Data!$A$1:$DZU$999999,1793,FALSE)</f>
        <v>#N/A</v>
      </c>
      <c r="H106" s="34" t="e">
        <f>VLOOKUP(A1,DIV_01Data!$A$1:$DZU$999999,1794,FALSE)</f>
        <v>#N/A</v>
      </c>
      <c r="I106" s="33" t="e">
        <f>VLOOKUP(A1,DIV_01Data!$A$1:$DZU$999999,1795,FALSE)</f>
        <v>#N/A</v>
      </c>
      <c r="J106" s="34" t="e">
        <f>VLOOKUP(A1,DIV_01Data!$A$1:$DZU$999999,1796,FALSE)</f>
        <v>#N/A</v>
      </c>
      <c r="K106" s="34" t="e">
        <f>VLOOKUP(A1,DIV_01Data!$A$1:$DZU$999999,1797,FALSE)</f>
        <v>#N/A</v>
      </c>
      <c r="L106" s="93" t="e">
        <f>VLOOKUP(A1,DIV_01Data!$A$1:$DZU$999999,1798,FALSE)</f>
        <v>#N/A</v>
      </c>
      <c r="M106" s="33" t="e">
        <f>VLOOKUP(A1,DIV_01Data!$A$1:$DZU$999999,1799,FALSE)</f>
        <v>#N/A</v>
      </c>
      <c r="N106" s="34" t="e">
        <f>VLOOKUP(A1,DIV_01Data!$A$1:$DZU$999999,1800,FALSE)</f>
        <v>#N/A</v>
      </c>
      <c r="O106" s="33" t="e">
        <f>VLOOKUP(A1,DIV_01Data!$A$1:$DZU$999999,1801,FALSE)</f>
        <v>#N/A</v>
      </c>
      <c r="P106" s="116" t="e">
        <f>VLOOKUP(A1,DIV_01Data!$A$1:$DZU$999999,1802,FALSE)</f>
        <v>#N/A</v>
      </c>
      <c r="Q106" s="268" t="e">
        <f>VLOOKUP(A1,DIV_01Data!$A$1:$DZU$999999,1803,FALSE)</f>
        <v>#N/A</v>
      </c>
    </row>
    <row r="107" spans="1:17" x14ac:dyDescent="0.35">
      <c r="A107" s="265" t="e">
        <f>VLOOKUP(A1,DIV_01Data!$A$1:$DZU$999999,1804,FALSE)</f>
        <v>#N/A</v>
      </c>
      <c r="B107" s="37" t="e">
        <f>VLOOKUP(A1,DIV_01Data!$A$1:$DZU$999999,1805,FALSE)</f>
        <v>#N/A</v>
      </c>
      <c r="C107" s="38" t="e">
        <f>VLOOKUP(A1,DIV_01Data!$A$1:$DZU$999999,1806,FALSE)</f>
        <v>#N/A</v>
      </c>
      <c r="D107" s="31" t="e">
        <f>VLOOKUP(A1,DIV_01Data!$A$1:$DZU$999999,1807,FALSE)</f>
        <v>#N/A</v>
      </c>
      <c r="E107" s="32" t="e">
        <f>VLOOKUP(A1,DIV_01Data!$A$1:$DZU$999999,1808,FALSE)</f>
        <v>#N/A</v>
      </c>
      <c r="F107" s="34" t="e">
        <f>VLOOKUP(A1,DIV_01Data!$A$1:$DZU$999999,1809,FALSE)</f>
        <v>#N/A</v>
      </c>
      <c r="G107" s="33" t="e">
        <f>VLOOKUP(A1,DIV_01Data!$A$1:$DZU$999999,1810,FALSE)</f>
        <v>#N/A</v>
      </c>
      <c r="H107" s="34" t="e">
        <f>VLOOKUP(A1,DIV_01Data!$A$1:$DZU$999999,1811,FALSE)</f>
        <v>#N/A</v>
      </c>
      <c r="I107" s="33" t="e">
        <f>VLOOKUP(A1,DIV_01Data!$A$1:$DZU$999999,1812,FALSE)</f>
        <v>#N/A</v>
      </c>
      <c r="J107" s="34" t="e">
        <f>VLOOKUP(A1,DIV_01Data!$A$1:$DZU$999999,1813,FALSE)</f>
        <v>#N/A</v>
      </c>
      <c r="K107" s="34" t="e">
        <f>VLOOKUP(A1,DIV_01Data!$A$1:$DZU$999999,1814,FALSE)</f>
        <v>#N/A</v>
      </c>
      <c r="L107" s="93" t="e">
        <f>VLOOKUP(A1,DIV_01Data!$A$1:$DZU$999999,1815,FALSE)</f>
        <v>#N/A</v>
      </c>
      <c r="M107" s="33" t="e">
        <f>VLOOKUP(A1,DIV_01Data!$A$1:$DZU$999999,1816,FALSE)</f>
        <v>#N/A</v>
      </c>
      <c r="N107" s="34" t="e">
        <f>VLOOKUP(A1,DIV_01Data!$A$1:$DZU$999999,1817,FALSE)</f>
        <v>#N/A</v>
      </c>
      <c r="O107" s="33" t="e">
        <f>VLOOKUP(A1,DIV_01Data!$A$1:$DZU$999999,1818,FALSE)</f>
        <v>#N/A</v>
      </c>
      <c r="P107" s="116" t="e">
        <f>VLOOKUP(A1,DIV_01Data!$A$1:$DZU$999999,1819,FALSE)</f>
        <v>#N/A</v>
      </c>
      <c r="Q107" s="268" t="e">
        <f>VLOOKUP(A1,DIV_01Data!$A$1:$DZU$999999,1820,FALSE)</f>
        <v>#N/A</v>
      </c>
    </row>
    <row r="108" spans="1:17" x14ac:dyDescent="0.35">
      <c r="A108" s="265" t="e">
        <f>VLOOKUP(A1,DIV_01Data!$A$1:$DZU$999999,1821,FALSE)</f>
        <v>#N/A</v>
      </c>
      <c r="B108" s="37" t="e">
        <f>VLOOKUP(A1,DIV_01Data!$A$1:$DZU$999999,1822,FALSE)</f>
        <v>#N/A</v>
      </c>
      <c r="C108" s="38" t="e">
        <f>VLOOKUP(A1,DIV_01Data!$A$1:$DZU$999999,1823,FALSE)</f>
        <v>#N/A</v>
      </c>
      <c r="D108" s="31" t="e">
        <f>VLOOKUP(A1,DIV_01Data!$A$1:$DZU$999999,1824,FALSE)</f>
        <v>#N/A</v>
      </c>
      <c r="E108" s="32" t="e">
        <f>VLOOKUP(A1,DIV_01Data!$A$1:$DZU$999999,1825,FALSE)</f>
        <v>#N/A</v>
      </c>
      <c r="F108" s="34" t="e">
        <f>VLOOKUP(A1,DIV_01Data!$A$1:$DZU$999999,1826,FALSE)</f>
        <v>#N/A</v>
      </c>
      <c r="G108" s="33" t="e">
        <f>VLOOKUP(A1,DIV_01Data!$A$1:$DZU$999999,1827,FALSE)</f>
        <v>#N/A</v>
      </c>
      <c r="H108" s="34" t="e">
        <f>VLOOKUP(A1,DIV_01Data!$A$1:$DZU$999999,1828,FALSE)</f>
        <v>#N/A</v>
      </c>
      <c r="I108" s="33" t="e">
        <f>VLOOKUP(A1,DIV_01Data!$A$1:$DZU$999999,1829,FALSE)</f>
        <v>#N/A</v>
      </c>
      <c r="J108" s="34" t="e">
        <f>VLOOKUP(A1,DIV_01Data!$A$1:$DZU$999999,1830,FALSE)</f>
        <v>#N/A</v>
      </c>
      <c r="K108" s="34" t="e">
        <f>VLOOKUP(A1,DIV_01Data!$A$1:$DZU$999999,1831,FALSE)</f>
        <v>#N/A</v>
      </c>
      <c r="L108" s="93" t="e">
        <f>VLOOKUP(A1,DIV_01Data!$A$1:$DZU$999999,1832,FALSE)</f>
        <v>#N/A</v>
      </c>
      <c r="M108" s="33" t="e">
        <f>VLOOKUP(A1,DIV_01Data!$A$1:$DZU$999999,1833,FALSE)</f>
        <v>#N/A</v>
      </c>
      <c r="N108" s="34" t="e">
        <f>VLOOKUP(A1,DIV_01Data!$A$1:$DZU$999999,1834,FALSE)</f>
        <v>#N/A</v>
      </c>
      <c r="O108" s="33" t="e">
        <f>VLOOKUP(A1,DIV_01Data!$A$1:$DZU$999999,1835,FALSE)</f>
        <v>#N/A</v>
      </c>
      <c r="P108" s="116" t="e">
        <f>VLOOKUP(A1,DIV_01Data!$A$1:$DZU$999999,1836,FALSE)</f>
        <v>#N/A</v>
      </c>
      <c r="Q108" s="268" t="e">
        <f>VLOOKUP(A1,DIV_01Data!$A$1:$DZU$999999,1837,FALSE)</f>
        <v>#N/A</v>
      </c>
    </row>
    <row r="109" spans="1:17" x14ac:dyDescent="0.35">
      <c r="A109" s="265" t="e">
        <f>VLOOKUP(A1,DIV_01Data!$A$1:$DZU$999999,1838,FALSE)</f>
        <v>#N/A</v>
      </c>
      <c r="B109" s="37" t="e">
        <f>VLOOKUP(A1,DIV_01Data!$A$1:$DZU$999999,1839,FALSE)</f>
        <v>#N/A</v>
      </c>
      <c r="C109" s="38" t="e">
        <f>VLOOKUP(A1,DIV_01Data!$A$1:$DZU$999999,1840,FALSE)</f>
        <v>#N/A</v>
      </c>
      <c r="D109" s="31" t="e">
        <f>VLOOKUP(A1,DIV_01Data!$A$1:$DZU$999999,1841,FALSE)</f>
        <v>#N/A</v>
      </c>
      <c r="E109" s="32" t="e">
        <f>VLOOKUP(A1,DIV_01Data!$A$1:$DZU$999999,1842,FALSE)</f>
        <v>#N/A</v>
      </c>
      <c r="F109" s="34" t="e">
        <f>VLOOKUP(A1,DIV_01Data!$A$1:$DZU$999999,1843,FALSE)</f>
        <v>#N/A</v>
      </c>
      <c r="G109" s="33" t="e">
        <f>VLOOKUP(A1,DIV_01Data!$A$1:$DZU$999999,1844,FALSE)</f>
        <v>#N/A</v>
      </c>
      <c r="H109" s="34" t="e">
        <f>VLOOKUP(A1,DIV_01Data!$A$1:$DZU$999999,1845,FALSE)</f>
        <v>#N/A</v>
      </c>
      <c r="I109" s="33" t="e">
        <f>VLOOKUP(A1,DIV_01Data!$A$1:$DZU$999999,1846,FALSE)</f>
        <v>#N/A</v>
      </c>
      <c r="J109" s="34" t="e">
        <f>VLOOKUP(A1,DIV_01Data!$A$1:$DZU$999999,1847,FALSE)</f>
        <v>#N/A</v>
      </c>
      <c r="K109" s="34" t="e">
        <f>VLOOKUP(A1,DIV_01Data!$A$1:$DZU$999999,1848,FALSE)</f>
        <v>#N/A</v>
      </c>
      <c r="L109" s="93" t="e">
        <f>VLOOKUP(A1,DIV_01Data!$A$1:$DZU$999999,1849,FALSE)</f>
        <v>#N/A</v>
      </c>
      <c r="M109" s="33" t="e">
        <f>VLOOKUP(A1,DIV_01Data!$A$1:$DZU$999999,1850,FALSE)</f>
        <v>#N/A</v>
      </c>
      <c r="N109" s="34" t="e">
        <f>VLOOKUP(A1,DIV_01Data!$A$1:$DZU$999999,1851,FALSE)</f>
        <v>#N/A</v>
      </c>
      <c r="O109" s="33" t="e">
        <f>VLOOKUP(A1,DIV_01Data!$A$1:$DZU$999999,1852,FALSE)</f>
        <v>#N/A</v>
      </c>
      <c r="P109" s="116" t="e">
        <f>VLOOKUP(A1,DIV_01Data!$A$1:$DZU$999999,1853,FALSE)</f>
        <v>#N/A</v>
      </c>
      <c r="Q109" s="268" t="e">
        <f>VLOOKUP(A1,DIV_01Data!$A$1:$DZU$999999,1854,FALSE)</f>
        <v>#N/A</v>
      </c>
    </row>
    <row r="110" spans="1:17" x14ac:dyDescent="0.35">
      <c r="A110" s="265" t="e">
        <f>VLOOKUP(A1,DIV_01Data!$A$1:$DZU$999999,1855,FALSE)</f>
        <v>#N/A</v>
      </c>
      <c r="B110" s="37" t="e">
        <f>VLOOKUP(A1,DIV_01Data!$A$1:$DZU$999999,1856,FALSE)</f>
        <v>#N/A</v>
      </c>
      <c r="C110" s="38" t="e">
        <f>VLOOKUP(A1,DIV_01Data!$A$1:$DZU$999999,1857,FALSE)</f>
        <v>#N/A</v>
      </c>
      <c r="D110" s="31" t="e">
        <f>VLOOKUP(A1,DIV_01Data!$A$1:$DZU$999999,1858,FALSE)</f>
        <v>#N/A</v>
      </c>
      <c r="E110" s="32" t="e">
        <f>VLOOKUP(A1,DIV_01Data!$A$1:$DZU$999999,1859,FALSE)</f>
        <v>#N/A</v>
      </c>
      <c r="F110" s="34" t="e">
        <f>VLOOKUP(A1,DIV_01Data!$A$1:$DZU$999999,1860,FALSE)</f>
        <v>#N/A</v>
      </c>
      <c r="G110" s="33" t="e">
        <f>VLOOKUP(A1,DIV_01Data!$A$1:$DZU$999999,1861,FALSE)</f>
        <v>#N/A</v>
      </c>
      <c r="H110" s="34" t="e">
        <f>VLOOKUP(A1,DIV_01Data!$A$1:$DZU$999999,1862,FALSE)</f>
        <v>#N/A</v>
      </c>
      <c r="I110" s="33" t="e">
        <f>VLOOKUP(A1,DIV_01Data!$A$1:$DZU$999999,1863,FALSE)</f>
        <v>#N/A</v>
      </c>
      <c r="J110" s="34" t="e">
        <f>VLOOKUP(A1,DIV_01Data!$A$1:$DZU$999999,1864,FALSE)</f>
        <v>#N/A</v>
      </c>
      <c r="K110" s="34" t="e">
        <f>VLOOKUP(A1,DIV_01Data!$A$1:$DZU$999999,1865,FALSE)</f>
        <v>#N/A</v>
      </c>
      <c r="L110" s="93" t="e">
        <f>VLOOKUP(A1,DIV_01Data!$A$1:$DZU$999999,1866,FALSE)</f>
        <v>#N/A</v>
      </c>
      <c r="M110" s="33" t="e">
        <f>VLOOKUP(A1,DIV_01Data!$A$1:$DZU$999999,1867,FALSE)</f>
        <v>#N/A</v>
      </c>
      <c r="N110" s="34" t="e">
        <f>VLOOKUP(A1,DIV_01Data!$A$1:$DZU$999999,1868,FALSE)</f>
        <v>#N/A</v>
      </c>
      <c r="O110" s="33" t="e">
        <f>VLOOKUP(A1,DIV_01Data!$A$1:$DZU$999999,1869,FALSE)</f>
        <v>#N/A</v>
      </c>
      <c r="P110" s="116" t="e">
        <f>VLOOKUP(A1,DIV_01Data!$A$1:$DZU$999999,1870,FALSE)</f>
        <v>#N/A</v>
      </c>
      <c r="Q110" s="268" t="e">
        <f>VLOOKUP(A1,DIV_01Data!$A$1:$DZU$999999,1871,FALSE)</f>
        <v>#N/A</v>
      </c>
    </row>
    <row r="111" spans="1:17" x14ac:dyDescent="0.35">
      <c r="A111" s="265" t="e">
        <f>VLOOKUP(A1,DIV_01Data!$A$1:$DZU$999999,1872,FALSE)</f>
        <v>#N/A</v>
      </c>
      <c r="B111" s="37" t="e">
        <f>VLOOKUP(A1,DIV_01Data!$A$1:$DZU$999999,1873,FALSE)</f>
        <v>#N/A</v>
      </c>
      <c r="C111" s="38" t="e">
        <f>VLOOKUP(A1,DIV_01Data!$A$1:$DZU$999999,1874,FALSE)</f>
        <v>#N/A</v>
      </c>
      <c r="D111" s="31" t="e">
        <f>VLOOKUP(A1,DIV_01Data!$A$1:$DZU$999999,1875,FALSE)</f>
        <v>#N/A</v>
      </c>
      <c r="E111" s="32" t="e">
        <f>VLOOKUP(A1,DIV_01Data!$A$1:$DZU$999999,1876,FALSE)</f>
        <v>#N/A</v>
      </c>
      <c r="F111" s="34" t="e">
        <f>VLOOKUP(A1,DIV_01Data!$A$1:$DZU$999999,1877,FALSE)</f>
        <v>#N/A</v>
      </c>
      <c r="G111" s="33" t="e">
        <f>VLOOKUP(A1,DIV_01Data!$A$1:$DZU$999999,1878,FALSE)</f>
        <v>#N/A</v>
      </c>
      <c r="H111" s="34" t="e">
        <f>VLOOKUP(A1,DIV_01Data!$A$1:$DZU$999999,1879,FALSE)</f>
        <v>#N/A</v>
      </c>
      <c r="I111" s="33" t="e">
        <f>VLOOKUP(A1,DIV_01Data!$A$1:$DZU$999999,1880,FALSE)</f>
        <v>#N/A</v>
      </c>
      <c r="J111" s="34" t="e">
        <f>VLOOKUP(A1,DIV_01Data!$A$1:$DZU$999999,1881,FALSE)</f>
        <v>#N/A</v>
      </c>
      <c r="K111" s="34" t="e">
        <f>VLOOKUP(A1,DIV_01Data!$A$1:$DZU$999999,1882,FALSE)</f>
        <v>#N/A</v>
      </c>
      <c r="L111" s="93" t="e">
        <f>VLOOKUP(A1,DIV_01Data!$A$1:$DZU$999999,1883,FALSE)</f>
        <v>#N/A</v>
      </c>
      <c r="M111" s="33" t="e">
        <f>VLOOKUP(A1,DIV_01Data!$A$1:$DZU$999999,1884,FALSE)</f>
        <v>#N/A</v>
      </c>
      <c r="N111" s="34" t="e">
        <f>VLOOKUP(A1,DIV_01Data!$A$1:$DZU$999999,1885,FALSE)</f>
        <v>#N/A</v>
      </c>
      <c r="O111" s="33" t="e">
        <f>VLOOKUP(A1,DIV_01Data!$A$1:$DZU$999999,1886,FALSE)</f>
        <v>#N/A</v>
      </c>
      <c r="P111" s="116" t="e">
        <f>VLOOKUP(A1,DIV_01Data!$A$1:$DZU$999999,1887,FALSE)</f>
        <v>#N/A</v>
      </c>
      <c r="Q111" s="268" t="e">
        <f>VLOOKUP(A1,DIV_01Data!$A$1:$DZU$999999,1888,FALSE)</f>
        <v>#N/A</v>
      </c>
    </row>
    <row r="112" spans="1:17" x14ac:dyDescent="0.35">
      <c r="A112" s="265" t="e">
        <f>VLOOKUP(A1,DIV_01Data!$A$1:$DZU$999999,1889,FALSE)</f>
        <v>#N/A</v>
      </c>
      <c r="B112" s="37" t="e">
        <f>VLOOKUP(A1,DIV_01Data!$A$1:$DZU$999999,1890,FALSE)</f>
        <v>#N/A</v>
      </c>
      <c r="C112" s="38" t="e">
        <f>VLOOKUP(A1,DIV_01Data!$A$1:$DZU$999999,1891,FALSE)</f>
        <v>#N/A</v>
      </c>
      <c r="D112" s="31" t="e">
        <f>VLOOKUP(A1,DIV_01Data!$A$1:$DZU$999999,1892,FALSE)</f>
        <v>#N/A</v>
      </c>
      <c r="E112" s="32" t="e">
        <f>VLOOKUP(A1,DIV_01Data!$A$1:$DZU$999999,1893,FALSE)</f>
        <v>#N/A</v>
      </c>
      <c r="F112" s="34" t="e">
        <f>VLOOKUP(A1,DIV_01Data!$A$1:$DZU$999999,1894,FALSE)</f>
        <v>#N/A</v>
      </c>
      <c r="G112" s="33" t="e">
        <f>VLOOKUP(A1,DIV_01Data!$A$1:$DZU$999999,1895,FALSE)</f>
        <v>#N/A</v>
      </c>
      <c r="H112" s="34" t="e">
        <f>VLOOKUP(A1,DIV_01Data!$A$1:$DZU$999999,1896,FALSE)</f>
        <v>#N/A</v>
      </c>
      <c r="I112" s="33" t="e">
        <f>VLOOKUP(A1,DIV_01Data!$A$1:$DZU$999999,1897,FALSE)</f>
        <v>#N/A</v>
      </c>
      <c r="J112" s="34" t="e">
        <f>VLOOKUP(A1,DIV_01Data!$A$1:$DZU$999999,1898,FALSE)</f>
        <v>#N/A</v>
      </c>
      <c r="K112" s="34" t="e">
        <f>VLOOKUP(A1,DIV_01Data!$A$1:$DZU$999999,1899,FALSE)</f>
        <v>#N/A</v>
      </c>
      <c r="L112" s="93" t="e">
        <f>VLOOKUP(A1,DIV_01Data!$A$1:$DZU$999999,1900,FALSE)</f>
        <v>#N/A</v>
      </c>
      <c r="M112" s="33" t="e">
        <f>VLOOKUP(A1,DIV_01Data!$A$1:$DZU$999999,1901,FALSE)</f>
        <v>#N/A</v>
      </c>
      <c r="N112" s="34" t="e">
        <f>VLOOKUP(A1,DIV_01Data!$A$1:$DZU$999999,1902,FALSE)</f>
        <v>#N/A</v>
      </c>
      <c r="O112" s="33" t="e">
        <f>VLOOKUP(A1,DIV_01Data!$A$1:$DZU$999999,1903,FALSE)</f>
        <v>#N/A</v>
      </c>
      <c r="P112" s="116" t="e">
        <f>VLOOKUP(A1,DIV_01Data!$A$1:$DZU$999999,1904,FALSE)</f>
        <v>#N/A</v>
      </c>
      <c r="Q112" s="268" t="e">
        <f>VLOOKUP(A1,DIV_01Data!$A$1:$DZU$999999,1905,FALSE)</f>
        <v>#N/A</v>
      </c>
    </row>
    <row r="113" spans="1:17" x14ac:dyDescent="0.35">
      <c r="A113" s="265" t="e">
        <f>VLOOKUP(A1,DIV_01Data!$A$1:$DZU$999999,1906,FALSE)</f>
        <v>#N/A</v>
      </c>
      <c r="B113" s="37" t="e">
        <f>VLOOKUP(A1,DIV_01Data!$A$1:$DZU$999999,1907,FALSE)</f>
        <v>#N/A</v>
      </c>
      <c r="C113" s="38" t="e">
        <f>VLOOKUP(A1,DIV_01Data!$A$1:$DZU$999999,1908,FALSE)</f>
        <v>#N/A</v>
      </c>
      <c r="D113" s="31" t="e">
        <f>VLOOKUP(A1,DIV_01Data!$A$1:$DZU$999999,1909,FALSE)</f>
        <v>#N/A</v>
      </c>
      <c r="E113" s="32" t="e">
        <f>VLOOKUP(A1,DIV_01Data!$A$1:$DZU$999999,1910,FALSE)</f>
        <v>#N/A</v>
      </c>
      <c r="F113" s="34" t="e">
        <f>VLOOKUP(A1,DIV_01Data!$A$1:$DZU$999999,1911,FALSE)</f>
        <v>#N/A</v>
      </c>
      <c r="G113" s="33" t="e">
        <f>VLOOKUP(A1,DIV_01Data!$A$1:$DZU$999999,1912,FALSE)</f>
        <v>#N/A</v>
      </c>
      <c r="H113" s="34" t="e">
        <f>VLOOKUP(A1,DIV_01Data!$A$1:$DZU$999999,1913,FALSE)</f>
        <v>#N/A</v>
      </c>
      <c r="I113" s="33" t="e">
        <f>VLOOKUP(A1,DIV_01Data!$A$1:$DZU$999999,1914,FALSE)</f>
        <v>#N/A</v>
      </c>
      <c r="J113" s="34" t="e">
        <f>VLOOKUP(A1,DIV_01Data!$A$1:$DZU$999999,1915,FALSE)</f>
        <v>#N/A</v>
      </c>
      <c r="K113" s="34" t="e">
        <f>VLOOKUP(A1,DIV_01Data!$A$1:$DZU$999999,1916,FALSE)</f>
        <v>#N/A</v>
      </c>
      <c r="L113" s="93" t="e">
        <f>VLOOKUP(A1,DIV_01Data!$A$1:$DZU$999999,1917,FALSE)</f>
        <v>#N/A</v>
      </c>
      <c r="M113" s="33" t="e">
        <f>VLOOKUP(A1,DIV_01Data!$A$1:$DZU$999999,1918,FALSE)</f>
        <v>#N/A</v>
      </c>
      <c r="N113" s="34" t="e">
        <f>VLOOKUP(A1,DIV_01Data!$A$1:$DZU$999999,1919,FALSE)</f>
        <v>#N/A</v>
      </c>
      <c r="O113" s="33" t="e">
        <f>VLOOKUP(A1,DIV_01Data!$A$1:$DZU$999999,1920,FALSE)</f>
        <v>#N/A</v>
      </c>
      <c r="P113" s="116" t="e">
        <f>VLOOKUP(A1,DIV_01Data!$A$1:$DZU$999999,1921,FALSE)</f>
        <v>#N/A</v>
      </c>
      <c r="Q113" s="268" t="e">
        <f>VLOOKUP(A1,DIV_01Data!$A$1:$DZU$999999,1922,FALSE)</f>
        <v>#N/A</v>
      </c>
    </row>
    <row r="114" spans="1:17" x14ac:dyDescent="0.35">
      <c r="A114" s="265" t="e">
        <f>VLOOKUP(A1,DIV_01Data!$A$1:$DZU$999999,1923,FALSE)</f>
        <v>#N/A</v>
      </c>
      <c r="B114" s="37" t="e">
        <f>VLOOKUP(A1,DIV_01Data!$A$1:$DZU$999999,1924,FALSE)</f>
        <v>#N/A</v>
      </c>
      <c r="C114" s="38" t="e">
        <f>VLOOKUP(A1,DIV_01Data!$A$1:$DZU$999999,1925,FALSE)</f>
        <v>#N/A</v>
      </c>
      <c r="D114" s="31" t="e">
        <f>VLOOKUP(A1,DIV_01Data!$A$1:$DZU$999999,1926,FALSE)</f>
        <v>#N/A</v>
      </c>
      <c r="E114" s="32" t="e">
        <f>VLOOKUP(A1,DIV_01Data!$A$1:$DZU$999999,1927,FALSE)</f>
        <v>#N/A</v>
      </c>
      <c r="F114" s="34" t="e">
        <f>VLOOKUP(A1,DIV_01Data!$A$1:$DZU$999999,1928,FALSE)</f>
        <v>#N/A</v>
      </c>
      <c r="G114" s="33" t="e">
        <f>VLOOKUP(A1,DIV_01Data!$A$1:$DZU$999999,1929,FALSE)</f>
        <v>#N/A</v>
      </c>
      <c r="H114" s="34" t="e">
        <f>VLOOKUP(A1,DIV_01Data!$A$1:$DZU$999999,1930,FALSE)</f>
        <v>#N/A</v>
      </c>
      <c r="I114" s="33" t="e">
        <f>VLOOKUP(A1,DIV_01Data!$A$1:$DZU$999999,1931,FALSE)</f>
        <v>#N/A</v>
      </c>
      <c r="J114" s="34" t="e">
        <f>VLOOKUP(A1,DIV_01Data!$A$1:$DZU$999999,1932,FALSE)</f>
        <v>#N/A</v>
      </c>
      <c r="K114" s="34" t="e">
        <f>VLOOKUP(A1,DIV_01Data!$A$1:$DZU$999999,1933,FALSE)</f>
        <v>#N/A</v>
      </c>
      <c r="L114" s="93" t="e">
        <f>VLOOKUP(A1,DIV_01Data!$A$1:$DZU$999999,1934,FALSE)</f>
        <v>#N/A</v>
      </c>
      <c r="M114" s="33" t="e">
        <f>VLOOKUP(A1,DIV_01Data!$A$1:$DZU$999999,1935,FALSE)</f>
        <v>#N/A</v>
      </c>
      <c r="N114" s="34" t="e">
        <f>VLOOKUP(A1,DIV_01Data!$A$1:$DZU$999999,1936,FALSE)</f>
        <v>#N/A</v>
      </c>
      <c r="O114" s="33" t="e">
        <f>VLOOKUP(A1,DIV_01Data!$A$1:$DZU$999999,1937,FALSE)</f>
        <v>#N/A</v>
      </c>
      <c r="P114" s="116" t="e">
        <f>VLOOKUP(A1,DIV_01Data!$A$1:$DZU$999999,1938,FALSE)</f>
        <v>#N/A</v>
      </c>
      <c r="Q114" s="268" t="e">
        <f>VLOOKUP(A1,DIV_01Data!$A$1:$DZU$999999,1939,FALSE)</f>
        <v>#N/A</v>
      </c>
    </row>
    <row r="115" spans="1:17" x14ac:dyDescent="0.35">
      <c r="A115" s="265" t="e">
        <f>VLOOKUP(A1,DIV_01Data!$A$1:$DZU$999999,1940,FALSE)</f>
        <v>#N/A</v>
      </c>
      <c r="B115" s="37" t="e">
        <f>VLOOKUP(A1,DIV_01Data!$A$1:$DZU$999999,1941,FALSE)</f>
        <v>#N/A</v>
      </c>
      <c r="C115" s="38" t="e">
        <f>VLOOKUP(A1,DIV_01Data!$A$1:$DZU$999999,1942,FALSE)</f>
        <v>#N/A</v>
      </c>
      <c r="D115" s="31" t="e">
        <f>VLOOKUP(A1,DIV_01Data!$A$1:$DZU$999999,1943,FALSE)</f>
        <v>#N/A</v>
      </c>
      <c r="E115" s="32" t="e">
        <f>VLOOKUP(A1,DIV_01Data!$A$1:$DZU$999999,1944,FALSE)</f>
        <v>#N/A</v>
      </c>
      <c r="F115" s="34" t="e">
        <f>VLOOKUP(A1,DIV_01Data!$A$1:$DZU$999999,1945,FALSE)</f>
        <v>#N/A</v>
      </c>
      <c r="G115" s="33" t="e">
        <f>VLOOKUP(A1,DIV_01Data!$A$1:$DZU$999999,1946,FALSE)</f>
        <v>#N/A</v>
      </c>
      <c r="H115" s="34" t="e">
        <f>VLOOKUP(A1,DIV_01Data!$A$1:$DZU$999999,1947,FALSE)</f>
        <v>#N/A</v>
      </c>
      <c r="I115" s="33" t="e">
        <f>VLOOKUP(A1,DIV_01Data!$A$1:$DZU$999999,1948,FALSE)</f>
        <v>#N/A</v>
      </c>
      <c r="J115" s="34" t="e">
        <f>VLOOKUP(A1,DIV_01Data!$A$1:$DZU$999999,1949,FALSE)</f>
        <v>#N/A</v>
      </c>
      <c r="K115" s="34" t="e">
        <f>VLOOKUP(A1,DIV_01Data!$A$1:$DZU$999999,1950,FALSE)</f>
        <v>#N/A</v>
      </c>
      <c r="L115" s="93" t="e">
        <f>VLOOKUP(A1,DIV_01Data!$A$1:$DZU$999999,1951,FALSE)</f>
        <v>#N/A</v>
      </c>
      <c r="M115" s="33" t="e">
        <f>VLOOKUP(A1,DIV_01Data!$A$1:$DZU$999999,1952,FALSE)</f>
        <v>#N/A</v>
      </c>
      <c r="N115" s="34" t="e">
        <f>VLOOKUP(A1,DIV_01Data!$A$1:$DZU$999999,1953,FALSE)</f>
        <v>#N/A</v>
      </c>
      <c r="O115" s="33" t="e">
        <f>VLOOKUP(A1,DIV_01Data!$A$1:$DZU$999999,1954,FALSE)</f>
        <v>#N/A</v>
      </c>
      <c r="P115" s="116" t="e">
        <f>VLOOKUP(A1,DIV_01Data!$A$1:$DZU$999999,1955,FALSE)</f>
        <v>#N/A</v>
      </c>
      <c r="Q115" s="268" t="e">
        <f>VLOOKUP(A1,DIV_01Data!$A$1:$DZU$999999,1956,FALSE)</f>
        <v>#N/A</v>
      </c>
    </row>
    <row r="116" spans="1:17" x14ac:dyDescent="0.35">
      <c r="A116" s="265" t="e">
        <f>VLOOKUP(A1,DIV_01Data!$A$1:$DZU$999999,1957,FALSE)</f>
        <v>#N/A</v>
      </c>
      <c r="B116" s="37" t="e">
        <f>VLOOKUP(A1,DIV_01Data!$A$1:$DZU$999999,1958,FALSE)</f>
        <v>#N/A</v>
      </c>
      <c r="C116" s="38" t="e">
        <f>VLOOKUP(A1,DIV_01Data!$A$1:$DZU$999999,1959,FALSE)</f>
        <v>#N/A</v>
      </c>
      <c r="D116" s="31" t="e">
        <f>VLOOKUP(A1,DIV_01Data!$A$1:$DZU$999999,1960,FALSE)</f>
        <v>#N/A</v>
      </c>
      <c r="E116" s="32" t="e">
        <f>VLOOKUP(A1,DIV_01Data!$A$1:$DZU$999999,1961,FALSE)</f>
        <v>#N/A</v>
      </c>
      <c r="F116" s="34" t="e">
        <f>VLOOKUP(A1,DIV_01Data!$A$1:$DZU$999999,1962,FALSE)</f>
        <v>#N/A</v>
      </c>
      <c r="G116" s="33" t="e">
        <f>VLOOKUP(A1,DIV_01Data!$A$1:$DZU$999999,1963,FALSE)</f>
        <v>#N/A</v>
      </c>
      <c r="H116" s="34" t="e">
        <f>VLOOKUP(A1,DIV_01Data!$A$1:$DZU$999999,1964,FALSE)</f>
        <v>#N/A</v>
      </c>
      <c r="I116" s="33" t="e">
        <f>VLOOKUP(A1,DIV_01Data!$A$1:$DZU$999999,1965,FALSE)</f>
        <v>#N/A</v>
      </c>
      <c r="J116" s="34" t="e">
        <f>VLOOKUP(A1,DIV_01Data!$A$1:$DZU$999999,1966,FALSE)</f>
        <v>#N/A</v>
      </c>
      <c r="K116" s="34" t="e">
        <f>VLOOKUP(A1,DIV_01Data!$A$1:$DZU$999999,1967,FALSE)</f>
        <v>#N/A</v>
      </c>
      <c r="L116" s="93" t="e">
        <f>VLOOKUP(A1,DIV_01Data!$A$1:$DZU$999999,1968,FALSE)</f>
        <v>#N/A</v>
      </c>
      <c r="M116" s="33" t="e">
        <f>VLOOKUP(A1,DIV_01Data!$A$1:$DZU$999999,1969,FALSE)</f>
        <v>#N/A</v>
      </c>
      <c r="N116" s="34" t="e">
        <f>VLOOKUP(A1,DIV_01Data!$A$1:$DZU$999999,1970,FALSE)</f>
        <v>#N/A</v>
      </c>
      <c r="O116" s="33" t="e">
        <f>VLOOKUP(A1,DIV_01Data!$A$1:$DZU$999999,1971,FALSE)</f>
        <v>#N/A</v>
      </c>
      <c r="P116" s="116" t="e">
        <f>VLOOKUP(A1,DIV_01Data!$A$1:$DZU$999999,1972,FALSE)</f>
        <v>#N/A</v>
      </c>
      <c r="Q116" s="268" t="e">
        <f>VLOOKUP(A1,DIV_01Data!$A$1:$DZU$999999,1973,FALSE)</f>
        <v>#N/A</v>
      </c>
    </row>
    <row r="117" spans="1:17" x14ac:dyDescent="0.35">
      <c r="A117" s="265" t="e">
        <f>VLOOKUP(A1,DIV_01Data!$A$1:$DZU$999999,1974,FALSE)</f>
        <v>#N/A</v>
      </c>
      <c r="B117" s="37" t="e">
        <f>VLOOKUP(A1,DIV_01Data!$A$1:$DZU$999999,1975,FALSE)</f>
        <v>#N/A</v>
      </c>
      <c r="C117" s="38" t="e">
        <f>VLOOKUP(A1,DIV_01Data!$A$1:$DZU$999999,1976,FALSE)</f>
        <v>#N/A</v>
      </c>
      <c r="D117" s="31" t="e">
        <f>VLOOKUP(A1,DIV_01Data!$A$1:$DZU$999999,1977,FALSE)</f>
        <v>#N/A</v>
      </c>
      <c r="E117" s="32" t="e">
        <f>VLOOKUP(A1,DIV_01Data!$A$1:$DZU$999999,1978,FALSE)</f>
        <v>#N/A</v>
      </c>
      <c r="F117" s="34" t="e">
        <f>VLOOKUP(A1,DIV_01Data!$A$1:$DZU$999999,1979,FALSE)</f>
        <v>#N/A</v>
      </c>
      <c r="G117" s="33" t="e">
        <f>VLOOKUP(A1,DIV_01Data!$A$1:$DZU$999999,1980,FALSE)</f>
        <v>#N/A</v>
      </c>
      <c r="H117" s="34" t="e">
        <f>VLOOKUP(A1,DIV_01Data!$A$1:$DZU$999999,1981,FALSE)</f>
        <v>#N/A</v>
      </c>
      <c r="I117" s="33" t="e">
        <f>VLOOKUP(A1,DIV_01Data!$A$1:$DZU$999999,1982,FALSE)</f>
        <v>#N/A</v>
      </c>
      <c r="J117" s="34" t="e">
        <f>VLOOKUP(A1,DIV_01Data!$A$1:$DZU$999999,1983,FALSE)</f>
        <v>#N/A</v>
      </c>
      <c r="K117" s="34" t="e">
        <f>VLOOKUP(A1,DIV_01Data!$A$1:$DZU$999999,1984,FALSE)</f>
        <v>#N/A</v>
      </c>
      <c r="L117" s="93" t="e">
        <f>VLOOKUP(A1,DIV_01Data!$A$1:$DZU$999999,1985,FALSE)</f>
        <v>#N/A</v>
      </c>
      <c r="M117" s="33" t="e">
        <f>VLOOKUP(A1,DIV_01Data!$A$1:$DZU$999999,1986,FALSE)</f>
        <v>#N/A</v>
      </c>
      <c r="N117" s="34" t="e">
        <f>VLOOKUP(A1,DIV_01Data!$A$1:$DZU$999999,1987,FALSE)</f>
        <v>#N/A</v>
      </c>
      <c r="O117" s="33" t="e">
        <f>VLOOKUP(A1,DIV_01Data!$A$1:$DZU$999999,1988,FALSE)</f>
        <v>#N/A</v>
      </c>
      <c r="P117" s="116" t="e">
        <f>VLOOKUP(A1,DIV_01Data!$A$1:$DZU$999999,1989,FALSE)</f>
        <v>#N/A</v>
      </c>
      <c r="Q117" s="268" t="e">
        <f>VLOOKUP(A1,DIV_01Data!$A$1:$DZU$999999,1990,FALSE)</f>
        <v>#N/A</v>
      </c>
    </row>
    <row r="118" spans="1:17" x14ac:dyDescent="0.35">
      <c r="A118" s="265" t="e">
        <f>VLOOKUP(A1,DIV_01Data!$A$1:$DZU$999999,1991,FALSE)</f>
        <v>#N/A</v>
      </c>
      <c r="B118" s="37" t="e">
        <f>VLOOKUP(A1,DIV_01Data!$A$1:$DZU$999999,1992,FALSE)</f>
        <v>#N/A</v>
      </c>
      <c r="C118" s="38" t="e">
        <f>VLOOKUP(A1,DIV_01Data!$A$1:$DZU$999999,1993,FALSE)</f>
        <v>#N/A</v>
      </c>
      <c r="D118" s="31" t="e">
        <f>VLOOKUP(A1,DIV_01Data!$A$1:$DZU$999999,1994,FALSE)</f>
        <v>#N/A</v>
      </c>
      <c r="E118" s="32" t="e">
        <f>VLOOKUP(A1,DIV_01Data!$A$1:$DZU$999999,1995,FALSE)</f>
        <v>#N/A</v>
      </c>
      <c r="F118" s="34" t="e">
        <f>VLOOKUP(A1,DIV_01Data!$A$1:$DZU$999999,1996,FALSE)</f>
        <v>#N/A</v>
      </c>
      <c r="G118" s="33" t="e">
        <f>VLOOKUP(A1,DIV_01Data!$A$1:$DZU$999999,1997,FALSE)</f>
        <v>#N/A</v>
      </c>
      <c r="H118" s="34" t="e">
        <f>VLOOKUP(A1,DIV_01Data!$A$1:$DZU$999999,1998,FALSE)</f>
        <v>#N/A</v>
      </c>
      <c r="I118" s="33" t="e">
        <f>VLOOKUP(A1,DIV_01Data!$A$1:$DZU$999999,1999,FALSE)</f>
        <v>#N/A</v>
      </c>
      <c r="J118" s="34" t="e">
        <f>VLOOKUP(A1,DIV_01Data!$A$1:$DZU$999999,2000,FALSE)</f>
        <v>#N/A</v>
      </c>
      <c r="K118" s="34" t="e">
        <f>VLOOKUP(A1,DIV_01Data!$A$1:$DZU$999999,2001,FALSE)</f>
        <v>#N/A</v>
      </c>
      <c r="L118" s="93" t="e">
        <f>VLOOKUP(A1,DIV_01Data!$A$1:$DZU$999999,2002,FALSE)</f>
        <v>#N/A</v>
      </c>
      <c r="M118" s="33" t="e">
        <f>VLOOKUP(A1,DIV_01Data!$A$1:$DZU$999999,2003,FALSE)</f>
        <v>#N/A</v>
      </c>
      <c r="N118" s="34" t="e">
        <f>VLOOKUP(A1,DIV_01Data!$A$1:$DZU$999999,2004,FALSE)</f>
        <v>#N/A</v>
      </c>
      <c r="O118" s="33" t="e">
        <f>VLOOKUP(A1,DIV_01Data!$A$1:$DZU$999999,2005,FALSE)</f>
        <v>#N/A</v>
      </c>
      <c r="P118" s="116" t="e">
        <f>VLOOKUP(A1,DIV_01Data!$A$1:$DZU$999999,2006,FALSE)</f>
        <v>#N/A</v>
      </c>
      <c r="Q118" s="268" t="e">
        <f>VLOOKUP(A1,DIV_01Data!$A$1:$DZU$999999,2007,FALSE)</f>
        <v>#N/A</v>
      </c>
    </row>
    <row r="119" spans="1:17" x14ac:dyDescent="0.35">
      <c r="A119" s="265" t="e">
        <f>VLOOKUP(A1,DIV_01Data!$A$1:$DZU$999999,2008,FALSE)</f>
        <v>#N/A</v>
      </c>
      <c r="B119" s="37" t="e">
        <f>VLOOKUP(A1,DIV_01Data!$A$1:$DZU$999999,2009,FALSE)</f>
        <v>#N/A</v>
      </c>
      <c r="C119" s="38" t="e">
        <f>VLOOKUP(A1,DIV_01Data!$A$1:$DZU$999999,2010,FALSE)</f>
        <v>#N/A</v>
      </c>
      <c r="D119" s="31" t="e">
        <f>VLOOKUP(A1,DIV_01Data!$A$1:$DZU$999999,2011,FALSE)</f>
        <v>#N/A</v>
      </c>
      <c r="E119" s="32" t="e">
        <f>VLOOKUP(A1,DIV_01Data!$A$1:$DZU$999999,2012,FALSE)</f>
        <v>#N/A</v>
      </c>
      <c r="F119" s="34" t="e">
        <f>VLOOKUP(A1,DIV_01Data!$A$1:$DZU$999999,2013,FALSE)</f>
        <v>#N/A</v>
      </c>
      <c r="G119" s="33" t="e">
        <f>VLOOKUP(A1,DIV_01Data!$A$1:$DZU$999999,2014,FALSE)</f>
        <v>#N/A</v>
      </c>
      <c r="H119" s="34" t="e">
        <f>VLOOKUP(A1,DIV_01Data!$A$1:$DZU$999999,2015,FALSE)</f>
        <v>#N/A</v>
      </c>
      <c r="I119" s="33" t="e">
        <f>VLOOKUP(A1,DIV_01Data!$A$1:$DZU$999999,2016,FALSE)</f>
        <v>#N/A</v>
      </c>
      <c r="J119" s="34" t="e">
        <f>VLOOKUP(A1,DIV_01Data!$A$1:$DZU$999999,2017,FALSE)</f>
        <v>#N/A</v>
      </c>
      <c r="K119" s="34" t="e">
        <f>VLOOKUP(A1,DIV_01Data!$A$1:$DZU$999999,2018,FALSE)</f>
        <v>#N/A</v>
      </c>
      <c r="L119" s="93" t="e">
        <f>VLOOKUP(A1,DIV_01Data!$A$1:$DZU$999999,2019,FALSE)</f>
        <v>#N/A</v>
      </c>
      <c r="M119" s="33" t="e">
        <f>VLOOKUP(A1,DIV_01Data!$A$1:$DZU$999999,2020,FALSE)</f>
        <v>#N/A</v>
      </c>
      <c r="N119" s="34" t="e">
        <f>VLOOKUP(A1,DIV_01Data!$A$1:$DZU$999999,2021,FALSE)</f>
        <v>#N/A</v>
      </c>
      <c r="O119" s="33" t="e">
        <f>VLOOKUP(A1,DIV_01Data!$A$1:$DZU$999999,2022,FALSE)</f>
        <v>#N/A</v>
      </c>
      <c r="P119" s="116" t="e">
        <f>VLOOKUP(A1,DIV_01Data!$A$1:$DZU$999999,2023,FALSE)</f>
        <v>#N/A</v>
      </c>
      <c r="Q119" s="268" t="e">
        <f>VLOOKUP(A1,DIV_01Data!$A$1:$DZU$999999,2024,FALSE)</f>
        <v>#N/A</v>
      </c>
    </row>
    <row r="120" spans="1:17" x14ac:dyDescent="0.35">
      <c r="A120" s="265" t="e">
        <f>VLOOKUP(A1,DIV_01Data!$A$1:$DZU$999999,2025,FALSE)</f>
        <v>#N/A</v>
      </c>
      <c r="B120" s="37" t="e">
        <f>VLOOKUP(A1,DIV_01Data!$A$1:$DZU$999999,2026,FALSE)</f>
        <v>#N/A</v>
      </c>
      <c r="C120" s="38" t="e">
        <f>VLOOKUP(A1,DIV_01Data!$A$1:$DZU$999999,2027,FALSE)</f>
        <v>#N/A</v>
      </c>
      <c r="D120" s="31" t="e">
        <f>VLOOKUP(A1,DIV_01Data!$A$1:$DZU$999999,2028,FALSE)</f>
        <v>#N/A</v>
      </c>
      <c r="E120" s="32" t="e">
        <f>VLOOKUP(A1,DIV_01Data!$A$1:$DZU$999999,2029,FALSE)</f>
        <v>#N/A</v>
      </c>
      <c r="F120" s="34" t="e">
        <f>VLOOKUP(A1,DIV_01Data!$A$1:$DZU$999999,2030,FALSE)</f>
        <v>#N/A</v>
      </c>
      <c r="G120" s="33" t="e">
        <f>VLOOKUP(A1,DIV_01Data!$A$1:$DZU$999999,2031,FALSE)</f>
        <v>#N/A</v>
      </c>
      <c r="H120" s="34" t="e">
        <f>VLOOKUP(A1,DIV_01Data!$A$1:$DZU$999999,2032,FALSE)</f>
        <v>#N/A</v>
      </c>
      <c r="I120" s="33" t="e">
        <f>VLOOKUP(A1,DIV_01Data!$A$1:$DZU$999999,2033,FALSE)</f>
        <v>#N/A</v>
      </c>
      <c r="J120" s="34" t="e">
        <f>VLOOKUP(A1,DIV_01Data!$A$1:$DZU$999999,2034,FALSE)</f>
        <v>#N/A</v>
      </c>
      <c r="K120" s="34" t="e">
        <f>VLOOKUP(A1,DIV_01Data!$A$1:$DZU$999999,2035,FALSE)</f>
        <v>#N/A</v>
      </c>
      <c r="L120" s="93" t="e">
        <f>VLOOKUP(A1,DIV_01Data!$A$1:$DZU$999999,2036,FALSE)</f>
        <v>#N/A</v>
      </c>
      <c r="M120" s="33" t="e">
        <f>VLOOKUP(A1,DIV_01Data!$A$1:$DZU$999999,2037,FALSE)</f>
        <v>#N/A</v>
      </c>
      <c r="N120" s="34" t="e">
        <f>VLOOKUP(A1,DIV_01Data!$A$1:$DZU$999999,2038,FALSE)</f>
        <v>#N/A</v>
      </c>
      <c r="O120" s="33" t="e">
        <f>VLOOKUP(A1,DIV_01Data!$A$1:$DZU$999999,2039,FALSE)</f>
        <v>#N/A</v>
      </c>
      <c r="P120" s="116" t="e">
        <f>VLOOKUP(A1,DIV_01Data!$A$1:$DZU$999999,2040,FALSE)</f>
        <v>#N/A</v>
      </c>
      <c r="Q120" s="268" t="e">
        <f>VLOOKUP(A1,DIV_01Data!$A$1:$DZU$999999,2041,FALSE)</f>
        <v>#N/A</v>
      </c>
    </row>
    <row r="121" spans="1:17" x14ac:dyDescent="0.35">
      <c r="A121" s="265" t="e">
        <f>VLOOKUP(A1,DIV_01Data!$A$1:$DZU$999999,2042,FALSE)</f>
        <v>#N/A</v>
      </c>
      <c r="B121" s="37" t="e">
        <f>VLOOKUP(A1,DIV_01Data!$A$1:$DZU$999999,2043,FALSE)</f>
        <v>#N/A</v>
      </c>
      <c r="C121" s="38" t="e">
        <f>VLOOKUP(A1,DIV_01Data!$A$1:$DZU$999999,2044,FALSE)</f>
        <v>#N/A</v>
      </c>
      <c r="D121" s="31" t="e">
        <f>VLOOKUP(A1,DIV_01Data!$A$1:$DZU$999999,2045,FALSE)</f>
        <v>#N/A</v>
      </c>
      <c r="E121" s="32" t="e">
        <f>VLOOKUP(A1,DIV_01Data!$A$1:$DZU$999999,2046,FALSE)</f>
        <v>#N/A</v>
      </c>
      <c r="F121" s="34" t="e">
        <f>VLOOKUP(A1,DIV_01Data!$A$1:$DZU$999999,2047,FALSE)</f>
        <v>#N/A</v>
      </c>
      <c r="G121" s="33" t="e">
        <f>VLOOKUP(A1,DIV_01Data!$A$1:$DZU$999999,2048,FALSE)</f>
        <v>#N/A</v>
      </c>
      <c r="H121" s="34" t="e">
        <f>VLOOKUP(A1,DIV_01Data!$A$1:$DZU$999999,2049,FALSE)</f>
        <v>#N/A</v>
      </c>
      <c r="I121" s="33" t="e">
        <f>VLOOKUP(A1,DIV_01Data!$A$1:$DZU$999999,2050,FALSE)</f>
        <v>#N/A</v>
      </c>
      <c r="J121" s="34" t="e">
        <f>VLOOKUP(A1,DIV_01Data!$A$1:$DZU$999999,2051,FALSE)</f>
        <v>#N/A</v>
      </c>
      <c r="K121" s="34" t="e">
        <f>VLOOKUP(A1,DIV_01Data!$A$1:$DZU$999999,2052,FALSE)</f>
        <v>#N/A</v>
      </c>
      <c r="L121" s="93" t="e">
        <f>VLOOKUP(A1,DIV_01Data!$A$1:$DZU$999999,2053,FALSE)</f>
        <v>#N/A</v>
      </c>
      <c r="M121" s="33" t="e">
        <f>VLOOKUP(A1,DIV_01Data!$A$1:$DZU$999999,2054,FALSE)</f>
        <v>#N/A</v>
      </c>
      <c r="N121" s="34" t="e">
        <f>VLOOKUP(A1,DIV_01Data!$A$1:$DZU$999999,2055,FALSE)</f>
        <v>#N/A</v>
      </c>
      <c r="O121" s="33" t="e">
        <f>VLOOKUP(A1,DIV_01Data!$A$1:$DZU$999999,2056,FALSE)</f>
        <v>#N/A</v>
      </c>
      <c r="P121" s="116" t="e">
        <f>VLOOKUP(A1,DIV_01Data!$A$1:$DZU$999999,2057,FALSE)</f>
        <v>#N/A</v>
      </c>
      <c r="Q121" s="268" t="e">
        <f>VLOOKUP(A1,DIV_01Data!$A$1:$DZU$999999,2058,FALSE)</f>
        <v>#N/A</v>
      </c>
    </row>
    <row r="122" spans="1:17" x14ac:dyDescent="0.35">
      <c r="A122" s="265" t="e">
        <f>VLOOKUP(A1,DIV_01Data!$A$1:$DZU$999999,2059,FALSE)</f>
        <v>#N/A</v>
      </c>
      <c r="B122" s="37" t="e">
        <f>VLOOKUP(A1,DIV_01Data!$A$1:$DZU$999999,2060,FALSE)</f>
        <v>#N/A</v>
      </c>
      <c r="C122" s="38" t="e">
        <f>VLOOKUP(A1,DIV_01Data!$A$1:$DZU$999999,2061,FALSE)</f>
        <v>#N/A</v>
      </c>
      <c r="D122" s="31" t="e">
        <f>VLOOKUP(A1,DIV_01Data!$A$1:$DZU$999999,2062,FALSE)</f>
        <v>#N/A</v>
      </c>
      <c r="E122" s="32" t="e">
        <f>VLOOKUP(A1,DIV_01Data!$A$1:$DZU$999999,2063,FALSE)</f>
        <v>#N/A</v>
      </c>
      <c r="F122" s="34" t="e">
        <f>VLOOKUP(A1,DIV_01Data!$A$1:$DZU$999999,2064,FALSE)</f>
        <v>#N/A</v>
      </c>
      <c r="G122" s="33" t="e">
        <f>VLOOKUP(A1,DIV_01Data!$A$1:$DZU$999999,2065,FALSE)</f>
        <v>#N/A</v>
      </c>
      <c r="H122" s="34" t="e">
        <f>VLOOKUP(A1,DIV_01Data!$A$1:$DZU$999999,2066,FALSE)</f>
        <v>#N/A</v>
      </c>
      <c r="I122" s="33" t="e">
        <f>VLOOKUP(A1,DIV_01Data!$A$1:$DZU$999999,2067,FALSE)</f>
        <v>#N/A</v>
      </c>
      <c r="J122" s="34" t="e">
        <f>VLOOKUP(A1,DIV_01Data!$A$1:$DZU$999999,2068,FALSE)</f>
        <v>#N/A</v>
      </c>
      <c r="K122" s="34" t="e">
        <f>VLOOKUP(A1,DIV_01Data!$A$1:$DZU$999999,2069,FALSE)</f>
        <v>#N/A</v>
      </c>
      <c r="L122" s="93" t="e">
        <f>VLOOKUP(A1,DIV_01Data!$A$1:$DZU$999999,2070,FALSE)</f>
        <v>#N/A</v>
      </c>
      <c r="M122" s="33" t="e">
        <f>VLOOKUP(A1,DIV_01Data!$A$1:$DZU$999999,2071,FALSE)</f>
        <v>#N/A</v>
      </c>
      <c r="N122" s="34" t="e">
        <f>VLOOKUP(A1,DIV_01Data!$A$1:$DZU$999999,2072,FALSE)</f>
        <v>#N/A</v>
      </c>
      <c r="O122" s="33" t="e">
        <f>VLOOKUP(A1,DIV_01Data!$A$1:$DZU$999999,2073,FALSE)</f>
        <v>#N/A</v>
      </c>
      <c r="P122" s="116" t="e">
        <f>VLOOKUP(A1,DIV_01Data!$A$1:$DZU$999999,2074,FALSE)</f>
        <v>#N/A</v>
      </c>
      <c r="Q122" s="268" t="e">
        <f>VLOOKUP(A1,DIV_01Data!$A$1:$DZU$999999,2075,FALSE)</f>
        <v>#N/A</v>
      </c>
    </row>
    <row r="123" spans="1:17" x14ac:dyDescent="0.35">
      <c r="A123" s="265" t="e">
        <f>VLOOKUP(A1,DIV_01Data!$A$1:$DZU$999999,2076,FALSE)</f>
        <v>#N/A</v>
      </c>
      <c r="B123" s="37" t="e">
        <f>VLOOKUP(A1,DIV_01Data!$A$1:$DZU$999999,2077,FALSE)</f>
        <v>#N/A</v>
      </c>
      <c r="C123" s="38" t="e">
        <f>VLOOKUP(A1,DIV_01Data!$A$1:$DZU$999999,2078,FALSE)</f>
        <v>#N/A</v>
      </c>
      <c r="D123" s="31" t="e">
        <f>VLOOKUP(A1,DIV_01Data!$A$1:$DZU$999999,2079,FALSE)</f>
        <v>#N/A</v>
      </c>
      <c r="E123" s="32" t="e">
        <f>VLOOKUP(A1,DIV_01Data!$A$1:$DZU$999999,2080,FALSE)</f>
        <v>#N/A</v>
      </c>
      <c r="F123" s="34" t="e">
        <f>VLOOKUP(A1,DIV_01Data!$A$1:$DZU$999999,2081,FALSE)</f>
        <v>#N/A</v>
      </c>
      <c r="G123" s="33" t="e">
        <f>VLOOKUP(A1,DIV_01Data!$A$1:$DZU$999999,2082,FALSE)</f>
        <v>#N/A</v>
      </c>
      <c r="H123" s="34" t="e">
        <f>VLOOKUP(A1,DIV_01Data!$A$1:$DZU$999999,2083,FALSE)</f>
        <v>#N/A</v>
      </c>
      <c r="I123" s="33" t="e">
        <f>VLOOKUP(A1,DIV_01Data!$A$1:$DZU$999999,2084,FALSE)</f>
        <v>#N/A</v>
      </c>
      <c r="J123" s="34" t="e">
        <f>VLOOKUP(A1,DIV_01Data!$A$1:$DZU$999999,2085,FALSE)</f>
        <v>#N/A</v>
      </c>
      <c r="K123" s="34" t="e">
        <f>VLOOKUP(A1,DIV_01Data!$A$1:$DZU$999999,2086,FALSE)</f>
        <v>#N/A</v>
      </c>
      <c r="L123" s="93" t="e">
        <f>VLOOKUP(A1,DIV_01Data!$A$1:$DZU$999999,2087,FALSE)</f>
        <v>#N/A</v>
      </c>
      <c r="M123" s="33" t="e">
        <f>VLOOKUP(A1,DIV_01Data!$A$1:$DZU$999999,2088,FALSE)</f>
        <v>#N/A</v>
      </c>
      <c r="N123" s="34" t="e">
        <f>VLOOKUP(A1,DIV_01Data!$A$1:$DZU$999999,2089,FALSE)</f>
        <v>#N/A</v>
      </c>
      <c r="O123" s="33" t="e">
        <f>VLOOKUP(A1,DIV_01Data!$A$1:$DZU$999999,2090,FALSE)</f>
        <v>#N/A</v>
      </c>
      <c r="P123" s="116" t="e">
        <f>VLOOKUP(A1,DIV_01Data!$A$1:$DZU$999999,2091,FALSE)</f>
        <v>#N/A</v>
      </c>
      <c r="Q123" s="268" t="e">
        <f>VLOOKUP(A1,DIV_01Data!$A$1:$DZU$999999,2092,FALSE)</f>
        <v>#N/A</v>
      </c>
    </row>
    <row r="124" spans="1:17" x14ac:dyDescent="0.35">
      <c r="A124" s="265" t="e">
        <f>VLOOKUP(A1,DIV_01Data!$A$1:$DZU$999999,2093,FALSE)</f>
        <v>#N/A</v>
      </c>
      <c r="B124" s="37" t="e">
        <f>VLOOKUP(A1,DIV_01Data!$A$1:$DZU$999999,2094,FALSE)</f>
        <v>#N/A</v>
      </c>
      <c r="C124" s="38" t="e">
        <f>VLOOKUP(A1,DIV_01Data!$A$1:$DZU$999999,2095,FALSE)</f>
        <v>#N/A</v>
      </c>
      <c r="D124" s="31" t="e">
        <f>VLOOKUP(A1,DIV_01Data!$A$1:$DZU$999999,2096,FALSE)</f>
        <v>#N/A</v>
      </c>
      <c r="E124" s="32" t="e">
        <f>VLOOKUP(A1,DIV_01Data!$A$1:$DZU$999999,2097,FALSE)</f>
        <v>#N/A</v>
      </c>
      <c r="F124" s="34" t="e">
        <f>VLOOKUP(A1,DIV_01Data!$A$1:$DZU$999999,2098,FALSE)</f>
        <v>#N/A</v>
      </c>
      <c r="G124" s="33" t="e">
        <f>VLOOKUP(A1,DIV_01Data!$A$1:$DZU$999999,2099,FALSE)</f>
        <v>#N/A</v>
      </c>
      <c r="H124" s="34" t="e">
        <f>VLOOKUP(A1,DIV_01Data!$A$1:$DZU$999999,2100,FALSE)</f>
        <v>#N/A</v>
      </c>
      <c r="I124" s="33" t="e">
        <f>VLOOKUP(A1,DIV_01Data!$A$1:$DZU$999999,2101,FALSE)</f>
        <v>#N/A</v>
      </c>
      <c r="J124" s="34" t="e">
        <f>VLOOKUP(A1,DIV_01Data!$A$1:$DZU$999999,2102,FALSE)</f>
        <v>#N/A</v>
      </c>
      <c r="K124" s="34" t="e">
        <f>VLOOKUP(A1,DIV_01Data!$A$1:$DZU$999999,2103,FALSE)</f>
        <v>#N/A</v>
      </c>
      <c r="L124" s="93" t="e">
        <f>VLOOKUP(A1,DIV_01Data!$A$1:$DZU$999999,2104,FALSE)</f>
        <v>#N/A</v>
      </c>
      <c r="M124" s="33" t="e">
        <f>VLOOKUP(A1,DIV_01Data!$A$1:$DZU$999999,2105,FALSE)</f>
        <v>#N/A</v>
      </c>
      <c r="N124" s="34" t="e">
        <f>VLOOKUP(A1,DIV_01Data!$A$1:$DZU$999999,2106,FALSE)</f>
        <v>#N/A</v>
      </c>
      <c r="O124" s="33" t="e">
        <f>VLOOKUP(A1,DIV_01Data!$A$1:$DZU$999999,2107,FALSE)</f>
        <v>#N/A</v>
      </c>
      <c r="P124" s="116" t="e">
        <f>VLOOKUP(A1,DIV_01Data!$A$1:$DZU$999999,2108,FALSE)</f>
        <v>#N/A</v>
      </c>
      <c r="Q124" s="268" t="e">
        <f>VLOOKUP(A1,DIV_01Data!$A$1:$DZU$999999,2109,FALSE)</f>
        <v>#N/A</v>
      </c>
    </row>
    <row r="125" spans="1:17" x14ac:dyDescent="0.35">
      <c r="A125" s="265" t="e">
        <f>VLOOKUP(A1,DIV_01Data!$A$1:$DZU$999999,2110,FALSE)</f>
        <v>#N/A</v>
      </c>
      <c r="B125" s="37" t="e">
        <f>VLOOKUP(A1,DIV_01Data!$A$1:$DZU$999999,2111,FALSE)</f>
        <v>#N/A</v>
      </c>
      <c r="C125" s="38" t="e">
        <f>VLOOKUP(A1,DIV_01Data!$A$1:$DZU$999999,2112,FALSE)</f>
        <v>#N/A</v>
      </c>
      <c r="D125" s="31" t="e">
        <f>VLOOKUP(A1,DIV_01Data!$A$1:$DZU$999999,2113,FALSE)</f>
        <v>#N/A</v>
      </c>
      <c r="E125" s="32" t="e">
        <f>VLOOKUP(A1,DIV_01Data!$A$1:$DZU$999999,2114,FALSE)</f>
        <v>#N/A</v>
      </c>
      <c r="F125" s="34" t="e">
        <f>VLOOKUP(A1,DIV_01Data!$A$1:$DZU$999999,2115,FALSE)</f>
        <v>#N/A</v>
      </c>
      <c r="G125" s="33" t="e">
        <f>VLOOKUP(A1,DIV_01Data!$A$1:$DZU$999999,2116,FALSE)</f>
        <v>#N/A</v>
      </c>
      <c r="H125" s="34" t="e">
        <f>VLOOKUP(A1,DIV_01Data!$A$1:$DZU$999999,2117,FALSE)</f>
        <v>#N/A</v>
      </c>
      <c r="I125" s="33" t="e">
        <f>VLOOKUP(A1,DIV_01Data!$A$1:$DZU$999999,2118,FALSE)</f>
        <v>#N/A</v>
      </c>
      <c r="J125" s="34" t="e">
        <f>VLOOKUP(A1,DIV_01Data!$A$1:$DZU$999999,2119,FALSE)</f>
        <v>#N/A</v>
      </c>
      <c r="K125" s="34" t="e">
        <f>VLOOKUP(A1,DIV_01Data!$A$1:$DZU$999999,2120,FALSE)</f>
        <v>#N/A</v>
      </c>
      <c r="L125" s="93" t="e">
        <f>VLOOKUP(A1,DIV_01Data!$A$1:$DZU$999999,2121,FALSE)</f>
        <v>#N/A</v>
      </c>
      <c r="M125" s="33" t="e">
        <f>VLOOKUP(A1,DIV_01Data!$A$1:$DZU$999999,2122,FALSE)</f>
        <v>#N/A</v>
      </c>
      <c r="N125" s="34" t="e">
        <f>VLOOKUP(A1,DIV_01Data!$A$1:$DZU$999999,2123,FALSE)</f>
        <v>#N/A</v>
      </c>
      <c r="O125" s="33" t="e">
        <f>VLOOKUP(A1,DIV_01Data!$A$1:$DZU$999999,2124,FALSE)</f>
        <v>#N/A</v>
      </c>
      <c r="P125" s="116" t="e">
        <f>VLOOKUP(A1,DIV_01Data!$A$1:$DZU$999999,2125,FALSE)</f>
        <v>#N/A</v>
      </c>
      <c r="Q125" s="268" t="e">
        <f>VLOOKUP(A1,DIV_01Data!$A$1:$DZU$999999,2126,FALSE)</f>
        <v>#N/A</v>
      </c>
    </row>
    <row r="126" spans="1:17" x14ac:dyDescent="0.35">
      <c r="A126" s="265" t="e">
        <f>VLOOKUP(A1,DIV_01Data!$A$1:$DZU$999999,2127,FALSE)</f>
        <v>#N/A</v>
      </c>
      <c r="B126" s="37" t="e">
        <f>VLOOKUP(A1,DIV_01Data!$A$1:$DZU$999999,2128,FALSE)</f>
        <v>#N/A</v>
      </c>
      <c r="C126" s="38" t="e">
        <f>VLOOKUP(A1,DIV_01Data!$A$1:$DZU$999999,2129,FALSE)</f>
        <v>#N/A</v>
      </c>
      <c r="D126" s="31" t="e">
        <f>VLOOKUP(A1,DIV_01Data!$A$1:$DZU$999999,2130,FALSE)</f>
        <v>#N/A</v>
      </c>
      <c r="E126" s="32" t="e">
        <f>VLOOKUP(A1,DIV_01Data!$A$1:$DZU$999999,2131,FALSE)</f>
        <v>#N/A</v>
      </c>
      <c r="F126" s="34" t="e">
        <f>VLOOKUP(A1,DIV_01Data!$A$1:$DZU$999999,2132,FALSE)</f>
        <v>#N/A</v>
      </c>
      <c r="G126" s="33" t="e">
        <f>VLOOKUP(A1,DIV_01Data!$A$1:$DZU$999999,2133,FALSE)</f>
        <v>#N/A</v>
      </c>
      <c r="H126" s="34" t="e">
        <f>VLOOKUP(A1,DIV_01Data!$A$1:$DZU$999999,2134,FALSE)</f>
        <v>#N/A</v>
      </c>
      <c r="I126" s="33" t="e">
        <f>VLOOKUP(A1,DIV_01Data!$A$1:$DZU$999999,2135,FALSE)</f>
        <v>#N/A</v>
      </c>
      <c r="J126" s="34" t="e">
        <f>VLOOKUP(A1,DIV_01Data!$A$1:$DZU$999999,2136,FALSE)</f>
        <v>#N/A</v>
      </c>
      <c r="K126" s="34" t="e">
        <f>VLOOKUP(A1,DIV_01Data!$A$1:$DZU$999999,2137,FALSE)</f>
        <v>#N/A</v>
      </c>
      <c r="L126" s="93" t="e">
        <f>VLOOKUP(A1,DIV_01Data!$A$1:$DZU$999999,2138,FALSE)</f>
        <v>#N/A</v>
      </c>
      <c r="M126" s="33" t="e">
        <f>VLOOKUP(A1,DIV_01Data!$A$1:$DZU$999999,2139,FALSE)</f>
        <v>#N/A</v>
      </c>
      <c r="N126" s="34" t="e">
        <f>VLOOKUP(A1,DIV_01Data!$A$1:$DZU$999999,2140,FALSE)</f>
        <v>#N/A</v>
      </c>
      <c r="O126" s="33" t="e">
        <f>VLOOKUP(A1,DIV_01Data!$A$1:$DZU$999999,2141,FALSE)</f>
        <v>#N/A</v>
      </c>
      <c r="P126" s="116" t="e">
        <f>VLOOKUP(A1,DIV_01Data!$A$1:$DZU$999999,2142,FALSE)</f>
        <v>#N/A</v>
      </c>
      <c r="Q126" s="268" t="e">
        <f>VLOOKUP(A1,DIV_01Data!$A$1:$DZU$999999,2143,FALSE)</f>
        <v>#N/A</v>
      </c>
    </row>
    <row r="127" spans="1:17" x14ac:dyDescent="0.35">
      <c r="A127" s="265" t="e">
        <f>VLOOKUP(A1,DIV_01Data!$A$1:$DZU$999999,2144,FALSE)</f>
        <v>#N/A</v>
      </c>
      <c r="B127" s="37" t="e">
        <f>VLOOKUP(A1,DIV_01Data!$A$1:$DZU$999999,2145,FALSE)</f>
        <v>#N/A</v>
      </c>
      <c r="C127" s="38" t="e">
        <f>VLOOKUP(A1,DIV_01Data!$A$1:$DZU$999999,2146,FALSE)</f>
        <v>#N/A</v>
      </c>
      <c r="D127" s="31" t="e">
        <f>VLOOKUP(A1,DIV_01Data!$A$1:$DZU$999999,2147,FALSE)</f>
        <v>#N/A</v>
      </c>
      <c r="E127" s="32" t="e">
        <f>VLOOKUP(A1,DIV_01Data!$A$1:$DZU$999999,2148,FALSE)</f>
        <v>#N/A</v>
      </c>
      <c r="F127" s="34" t="e">
        <f>VLOOKUP(A1,DIV_01Data!$A$1:$DZU$999999,2149,FALSE)</f>
        <v>#N/A</v>
      </c>
      <c r="G127" s="33" t="e">
        <f>VLOOKUP(A1,DIV_01Data!$A$1:$DZU$999999,2150,FALSE)</f>
        <v>#N/A</v>
      </c>
      <c r="H127" s="34" t="e">
        <f>VLOOKUP(A1,DIV_01Data!$A$1:$DZU$999999,2151,FALSE)</f>
        <v>#N/A</v>
      </c>
      <c r="I127" s="33" t="e">
        <f>VLOOKUP(A1,DIV_01Data!$A$1:$DZU$999999,2152,FALSE)</f>
        <v>#N/A</v>
      </c>
      <c r="J127" s="34" t="e">
        <f>VLOOKUP(A1,DIV_01Data!$A$1:$DZU$999999,2153,FALSE)</f>
        <v>#N/A</v>
      </c>
      <c r="K127" s="34" t="e">
        <f>VLOOKUP(A1,DIV_01Data!$A$1:$DZU$999999,2154,FALSE)</f>
        <v>#N/A</v>
      </c>
      <c r="L127" s="93" t="e">
        <f>VLOOKUP(A1,DIV_01Data!$A$1:$DZU$999999,2155,FALSE)</f>
        <v>#N/A</v>
      </c>
      <c r="M127" s="33" t="e">
        <f>VLOOKUP(A1,DIV_01Data!$A$1:$DZU$999999,2156,FALSE)</f>
        <v>#N/A</v>
      </c>
      <c r="N127" s="34" t="e">
        <f>VLOOKUP(A1,DIV_01Data!$A$1:$DZU$999999,2157,FALSE)</f>
        <v>#N/A</v>
      </c>
      <c r="O127" s="33" t="e">
        <f>VLOOKUP(A1,DIV_01Data!$A$1:$DZU$999999,2158,FALSE)</f>
        <v>#N/A</v>
      </c>
      <c r="P127" s="116" t="e">
        <f>VLOOKUP(A1,DIV_01Data!$A$1:$DZU$999999,2159,FALSE)</f>
        <v>#N/A</v>
      </c>
      <c r="Q127" s="268" t="e">
        <f>VLOOKUP(A1,DIV_01Data!$A$1:$DZU$999999,2160,FALSE)</f>
        <v>#N/A</v>
      </c>
    </row>
    <row r="128" spans="1:17" x14ac:dyDescent="0.35">
      <c r="A128" s="265" t="e">
        <f>VLOOKUP(A1,DIV_01Data!$A$1:$DZU$999999,2161,FALSE)</f>
        <v>#N/A</v>
      </c>
      <c r="B128" s="37" t="e">
        <f>VLOOKUP(A1,DIV_01Data!$A$1:$DZU$999999,2162,FALSE)</f>
        <v>#N/A</v>
      </c>
      <c r="C128" s="38" t="e">
        <f>VLOOKUP(A1,DIV_01Data!$A$1:$DZU$999999,2163,FALSE)</f>
        <v>#N/A</v>
      </c>
      <c r="D128" s="31" t="e">
        <f>VLOOKUP(A1,DIV_01Data!$A$1:$DZU$999999,2164,FALSE)</f>
        <v>#N/A</v>
      </c>
      <c r="E128" s="32" t="e">
        <f>VLOOKUP(A1,DIV_01Data!$A$1:$DZU$999999,2165,FALSE)</f>
        <v>#N/A</v>
      </c>
      <c r="F128" s="34" t="e">
        <f>VLOOKUP(A1,DIV_01Data!$A$1:$DZU$999999,2166,FALSE)</f>
        <v>#N/A</v>
      </c>
      <c r="G128" s="33" t="e">
        <f>VLOOKUP(A1,DIV_01Data!$A$1:$DZU$999999,2167,FALSE)</f>
        <v>#N/A</v>
      </c>
      <c r="H128" s="34" t="e">
        <f>VLOOKUP(A1,DIV_01Data!$A$1:$DZU$999999,2168,FALSE)</f>
        <v>#N/A</v>
      </c>
      <c r="I128" s="33" t="e">
        <f>VLOOKUP(A1,DIV_01Data!$A$1:$DZU$999999,2169,FALSE)</f>
        <v>#N/A</v>
      </c>
      <c r="J128" s="34" t="e">
        <f>VLOOKUP(A1,DIV_01Data!$A$1:$DZU$999999,2170,FALSE)</f>
        <v>#N/A</v>
      </c>
      <c r="K128" s="34" t="e">
        <f>VLOOKUP(A1,DIV_01Data!$A$1:$DZU$999999,2171,FALSE)</f>
        <v>#N/A</v>
      </c>
      <c r="L128" s="93" t="e">
        <f>VLOOKUP(A1,DIV_01Data!$A$1:$DZU$999999,2172,FALSE)</f>
        <v>#N/A</v>
      </c>
      <c r="M128" s="33" t="e">
        <f>VLOOKUP(A1,DIV_01Data!$A$1:$DZU$999999,2173,FALSE)</f>
        <v>#N/A</v>
      </c>
      <c r="N128" s="34" t="e">
        <f>VLOOKUP(A1,DIV_01Data!$A$1:$DZU$999999,2174,FALSE)</f>
        <v>#N/A</v>
      </c>
      <c r="O128" s="33" t="e">
        <f>VLOOKUP(A1,DIV_01Data!$A$1:$DZU$999999,2175,FALSE)</f>
        <v>#N/A</v>
      </c>
      <c r="P128" s="116" t="e">
        <f>VLOOKUP(A1,DIV_01Data!$A$1:$DZU$999999,2176,FALSE)</f>
        <v>#N/A</v>
      </c>
      <c r="Q128" s="268" t="e">
        <f>VLOOKUP(A1,DIV_01Data!$A$1:$DZU$999999,2177,FALSE)</f>
        <v>#N/A</v>
      </c>
    </row>
    <row r="129" spans="1:17" x14ac:dyDescent="0.35">
      <c r="A129" s="265" t="e">
        <f>VLOOKUP(A1,DIV_01Data!$A$1:$DZU$999999,2178,FALSE)</f>
        <v>#N/A</v>
      </c>
      <c r="B129" s="37" t="e">
        <f>VLOOKUP(A1,DIV_01Data!$A$1:$DZU$999999,2179,FALSE)</f>
        <v>#N/A</v>
      </c>
      <c r="C129" s="38" t="e">
        <f>VLOOKUP(A1,DIV_01Data!$A$1:$DZU$999999,2180,FALSE)</f>
        <v>#N/A</v>
      </c>
      <c r="D129" s="31" t="e">
        <f>VLOOKUP(A1,DIV_01Data!$A$1:$DZU$999999,2181,FALSE)</f>
        <v>#N/A</v>
      </c>
      <c r="E129" s="32" t="e">
        <f>VLOOKUP(A1,DIV_01Data!$A$1:$DZU$999999,2182,FALSE)</f>
        <v>#N/A</v>
      </c>
      <c r="F129" s="34" t="e">
        <f>VLOOKUP(A1,DIV_01Data!$A$1:$DZU$999999,2183,FALSE)</f>
        <v>#N/A</v>
      </c>
      <c r="G129" s="33" t="e">
        <f>VLOOKUP(A1,DIV_01Data!$A$1:$DZU$999999,2184,FALSE)</f>
        <v>#N/A</v>
      </c>
      <c r="H129" s="34" t="e">
        <f>VLOOKUP(A1,DIV_01Data!$A$1:$DZU$999999,2185,FALSE)</f>
        <v>#N/A</v>
      </c>
      <c r="I129" s="33" t="e">
        <f>VLOOKUP(A1,DIV_01Data!$A$1:$DZU$999999,2186,FALSE)</f>
        <v>#N/A</v>
      </c>
      <c r="J129" s="34" t="e">
        <f>VLOOKUP(A1,DIV_01Data!$A$1:$DZU$999999,2187,FALSE)</f>
        <v>#N/A</v>
      </c>
      <c r="K129" s="34" t="e">
        <f>VLOOKUP(A1,DIV_01Data!$A$1:$DZU$999999,2188,FALSE)</f>
        <v>#N/A</v>
      </c>
      <c r="L129" s="93" t="e">
        <f>VLOOKUP(A1,DIV_01Data!$A$1:$DZU$999999,2189,FALSE)</f>
        <v>#N/A</v>
      </c>
      <c r="M129" s="33" t="e">
        <f>VLOOKUP(A1,DIV_01Data!$A$1:$DZU$999999,2190,FALSE)</f>
        <v>#N/A</v>
      </c>
      <c r="N129" s="34" t="e">
        <f>VLOOKUP(A1,DIV_01Data!$A$1:$DZU$999999,2191,FALSE)</f>
        <v>#N/A</v>
      </c>
      <c r="O129" s="33" t="e">
        <f>VLOOKUP(A1,DIV_01Data!$A$1:$DZU$999999,2192,FALSE)</f>
        <v>#N/A</v>
      </c>
      <c r="P129" s="116" t="e">
        <f>VLOOKUP(A1,DIV_01Data!$A$1:$DZU$999999,2193,FALSE)</f>
        <v>#N/A</v>
      </c>
      <c r="Q129" s="268" t="e">
        <f>VLOOKUP(A1,DIV_01Data!$A$1:$DZU$999999,2194,FALSE)</f>
        <v>#N/A</v>
      </c>
    </row>
    <row r="130" spans="1:17" x14ac:dyDescent="0.35">
      <c r="A130" s="265" t="e">
        <f>VLOOKUP(A1,DIV_01Data!$A$1:$DZU$999999,2195,FALSE)</f>
        <v>#N/A</v>
      </c>
      <c r="B130" s="37" t="e">
        <f>VLOOKUP(A1,DIV_01Data!$A$1:$DZU$999999,2196,FALSE)</f>
        <v>#N/A</v>
      </c>
      <c r="C130" s="38" t="e">
        <f>VLOOKUP(A1,DIV_01Data!$A$1:$DZU$999999,2197,FALSE)</f>
        <v>#N/A</v>
      </c>
      <c r="D130" s="31" t="e">
        <f>VLOOKUP(A1,DIV_01Data!$A$1:$DZU$999999,2198,FALSE)</f>
        <v>#N/A</v>
      </c>
      <c r="E130" s="32" t="e">
        <f>VLOOKUP(A1,DIV_01Data!$A$1:$DZU$999999,2199,FALSE)</f>
        <v>#N/A</v>
      </c>
      <c r="F130" s="34" t="e">
        <f>VLOOKUP(A1,DIV_01Data!$A$1:$DZU$999999,2200,FALSE)</f>
        <v>#N/A</v>
      </c>
      <c r="G130" s="33" t="e">
        <f>VLOOKUP(A1,DIV_01Data!$A$1:$DZU$999999,2201,FALSE)</f>
        <v>#N/A</v>
      </c>
      <c r="H130" s="34" t="e">
        <f>VLOOKUP(A1,DIV_01Data!$A$1:$DZU$999999,2202,FALSE)</f>
        <v>#N/A</v>
      </c>
      <c r="I130" s="33" t="e">
        <f>VLOOKUP(A1,DIV_01Data!$A$1:$DZU$999999,2203,FALSE)</f>
        <v>#N/A</v>
      </c>
      <c r="J130" s="34" t="e">
        <f>VLOOKUP(A1,DIV_01Data!$A$1:$DZU$999999,2204,FALSE)</f>
        <v>#N/A</v>
      </c>
      <c r="K130" s="34" t="e">
        <f>VLOOKUP(A1,DIV_01Data!$A$1:$DZU$999999,2205,FALSE)</f>
        <v>#N/A</v>
      </c>
      <c r="L130" s="93" t="e">
        <f>VLOOKUP(A1,DIV_01Data!$A$1:$DZU$999999,2206,FALSE)</f>
        <v>#N/A</v>
      </c>
      <c r="M130" s="33" t="e">
        <f>VLOOKUP(A1,DIV_01Data!$A$1:$DZU$999999,2207,FALSE)</f>
        <v>#N/A</v>
      </c>
      <c r="N130" s="34" t="e">
        <f>VLOOKUP(A1,DIV_01Data!$A$1:$DZU$999999,2208,FALSE)</f>
        <v>#N/A</v>
      </c>
      <c r="O130" s="33" t="e">
        <f>VLOOKUP(A1,DIV_01Data!$A$1:$DZU$999999,2209,FALSE)</f>
        <v>#N/A</v>
      </c>
      <c r="P130" s="116" t="e">
        <f>VLOOKUP(A1,DIV_01Data!$A$1:$DZU$999999,2210,FALSE)</f>
        <v>#N/A</v>
      </c>
      <c r="Q130" s="268" t="e">
        <f>VLOOKUP(A1,DIV_01Data!$A$1:$DZU$999999,2211,FALSE)</f>
        <v>#N/A</v>
      </c>
    </row>
    <row r="131" spans="1:17" x14ac:dyDescent="0.35">
      <c r="A131" s="265" t="e">
        <f>VLOOKUP(A1,DIV_01Data!$A$1:$DZU$999999,2212,FALSE)</f>
        <v>#N/A</v>
      </c>
      <c r="B131" s="37" t="e">
        <f>VLOOKUP(A1,DIV_01Data!$A$1:$DZU$999999,2213,FALSE)</f>
        <v>#N/A</v>
      </c>
      <c r="C131" s="38" t="e">
        <f>VLOOKUP(A1,DIV_01Data!$A$1:$DZU$999999,2214,FALSE)</f>
        <v>#N/A</v>
      </c>
      <c r="D131" s="31" t="e">
        <f>VLOOKUP(A1,DIV_01Data!$A$1:$DZU$999999,2215,FALSE)</f>
        <v>#N/A</v>
      </c>
      <c r="E131" s="32" t="e">
        <f>VLOOKUP(A1,DIV_01Data!$A$1:$DZU$999999,2216,FALSE)</f>
        <v>#N/A</v>
      </c>
      <c r="F131" s="34" t="e">
        <f>VLOOKUP(A1,DIV_01Data!$A$1:$DZU$999999,2217,FALSE)</f>
        <v>#N/A</v>
      </c>
      <c r="G131" s="33" t="e">
        <f>VLOOKUP(A1,DIV_01Data!$A$1:$DZU$999999,2218,FALSE)</f>
        <v>#N/A</v>
      </c>
      <c r="H131" s="34" t="e">
        <f>VLOOKUP(A1,DIV_01Data!$A$1:$DZU$999999,2219,FALSE)</f>
        <v>#N/A</v>
      </c>
      <c r="I131" s="33" t="e">
        <f>VLOOKUP(A1,DIV_01Data!$A$1:$DZU$999999,2220,FALSE)</f>
        <v>#N/A</v>
      </c>
      <c r="J131" s="34" t="e">
        <f>VLOOKUP(A1,DIV_01Data!$A$1:$DZU$999999,2221,FALSE)</f>
        <v>#N/A</v>
      </c>
      <c r="K131" s="34" t="e">
        <f>VLOOKUP(A1,DIV_01Data!$A$1:$DZU$999999,2222,FALSE)</f>
        <v>#N/A</v>
      </c>
      <c r="L131" s="93" t="e">
        <f>VLOOKUP(A1,DIV_01Data!$A$1:$DZU$999999,2223,FALSE)</f>
        <v>#N/A</v>
      </c>
      <c r="M131" s="33" t="e">
        <f>VLOOKUP(A1,DIV_01Data!$A$1:$DZU$999999,2224,FALSE)</f>
        <v>#N/A</v>
      </c>
      <c r="N131" s="34" t="e">
        <f>VLOOKUP(A1,DIV_01Data!$A$1:$DZU$999999,2225,FALSE)</f>
        <v>#N/A</v>
      </c>
      <c r="O131" s="33" t="e">
        <f>VLOOKUP(A1,DIV_01Data!$A$1:$DZU$999999,2226,FALSE)</f>
        <v>#N/A</v>
      </c>
      <c r="P131" s="116" t="e">
        <f>VLOOKUP(A1,DIV_01Data!$A$1:$DZU$999999,2227,FALSE)</f>
        <v>#N/A</v>
      </c>
      <c r="Q131" s="268" t="e">
        <f>VLOOKUP(A1,DIV_01Data!$A$1:$DZU$999999,2228,FALSE)</f>
        <v>#N/A</v>
      </c>
    </row>
    <row r="132" spans="1:17" x14ac:dyDescent="0.35">
      <c r="A132" s="265" t="e">
        <f>VLOOKUP(A1,DIV_01Data!$A$1:$DZU$999999,2229,FALSE)</f>
        <v>#N/A</v>
      </c>
      <c r="B132" s="37" t="e">
        <f>VLOOKUP(A1,DIV_01Data!$A$1:$DZU$999999,2230,FALSE)</f>
        <v>#N/A</v>
      </c>
      <c r="C132" s="38" t="e">
        <f>VLOOKUP(A1,DIV_01Data!$A$1:$DZU$999999,2231,FALSE)</f>
        <v>#N/A</v>
      </c>
      <c r="D132" s="31" t="e">
        <f>VLOOKUP(A1,DIV_01Data!$A$1:$DZU$999999,2232,FALSE)</f>
        <v>#N/A</v>
      </c>
      <c r="E132" s="32" t="e">
        <f>VLOOKUP(A1,DIV_01Data!$A$1:$DZU$999999,2233,FALSE)</f>
        <v>#N/A</v>
      </c>
      <c r="F132" s="34" t="e">
        <f>VLOOKUP(A1,DIV_01Data!$A$1:$DZU$999999,2234,FALSE)</f>
        <v>#N/A</v>
      </c>
      <c r="G132" s="33" t="e">
        <f>VLOOKUP(A1,DIV_01Data!$A$1:$DZU$999999,2235,FALSE)</f>
        <v>#N/A</v>
      </c>
      <c r="H132" s="34" t="e">
        <f>VLOOKUP(A1,DIV_01Data!$A$1:$DZU$999999,2236,FALSE)</f>
        <v>#N/A</v>
      </c>
      <c r="I132" s="33" t="e">
        <f>VLOOKUP(A1,DIV_01Data!$A$1:$DZU$999999,2237,FALSE)</f>
        <v>#N/A</v>
      </c>
      <c r="J132" s="34" t="e">
        <f>VLOOKUP(A1,DIV_01Data!$A$1:$DZU$999999,2238,FALSE)</f>
        <v>#N/A</v>
      </c>
      <c r="K132" s="34" t="e">
        <f>VLOOKUP(A1,DIV_01Data!$A$1:$DZU$999999,2239,FALSE)</f>
        <v>#N/A</v>
      </c>
      <c r="L132" s="93" t="e">
        <f>VLOOKUP(A1,DIV_01Data!$A$1:$DZU$999999,2240,FALSE)</f>
        <v>#N/A</v>
      </c>
      <c r="M132" s="33" t="e">
        <f>VLOOKUP(A1,DIV_01Data!$A$1:$DZU$999999,2241,FALSE)</f>
        <v>#N/A</v>
      </c>
      <c r="N132" s="34" t="e">
        <f>VLOOKUP(A1,DIV_01Data!$A$1:$DZU$999999,2242,FALSE)</f>
        <v>#N/A</v>
      </c>
      <c r="O132" s="33" t="e">
        <f>VLOOKUP(A1,DIV_01Data!$A$1:$DZU$999999,2243,FALSE)</f>
        <v>#N/A</v>
      </c>
      <c r="P132" s="116" t="e">
        <f>VLOOKUP(A1,DIV_01Data!$A$1:$DZU$999999,2244,FALSE)</f>
        <v>#N/A</v>
      </c>
      <c r="Q132" s="268" t="e">
        <f>VLOOKUP(A1,DIV_01Data!$A$1:$DZU$999999,2245,FALSE)</f>
        <v>#N/A</v>
      </c>
    </row>
    <row r="133" spans="1:17" x14ac:dyDescent="0.35">
      <c r="A133" s="265" t="e">
        <f>VLOOKUP(A1,DIV_01Data!$A$1:$DZU$999999,2246,FALSE)</f>
        <v>#N/A</v>
      </c>
      <c r="B133" s="37" t="e">
        <f>VLOOKUP(A1,DIV_01Data!$A$1:$DZU$999999,2247,FALSE)</f>
        <v>#N/A</v>
      </c>
      <c r="C133" s="38" t="e">
        <f>VLOOKUP(A1,DIV_01Data!$A$1:$DZU$999999,2248,FALSE)</f>
        <v>#N/A</v>
      </c>
      <c r="D133" s="31" t="e">
        <f>VLOOKUP(A1,DIV_01Data!$A$1:$DZU$999999,2249,FALSE)</f>
        <v>#N/A</v>
      </c>
      <c r="E133" s="32" t="e">
        <f>VLOOKUP(A1,DIV_01Data!$A$1:$DZU$999999,2250,FALSE)</f>
        <v>#N/A</v>
      </c>
      <c r="F133" s="34" t="e">
        <f>VLOOKUP(A1,DIV_01Data!$A$1:$DZU$999999,2251,FALSE)</f>
        <v>#N/A</v>
      </c>
      <c r="G133" s="33" t="e">
        <f>VLOOKUP(A1,DIV_01Data!$A$1:$DZU$999999,2252,FALSE)</f>
        <v>#N/A</v>
      </c>
      <c r="H133" s="34" t="e">
        <f>VLOOKUP(A1,DIV_01Data!$A$1:$DZU$999999,2253,FALSE)</f>
        <v>#N/A</v>
      </c>
      <c r="I133" s="33" t="e">
        <f>VLOOKUP(A1,DIV_01Data!$A$1:$DZU$999999,2254,FALSE)</f>
        <v>#N/A</v>
      </c>
      <c r="J133" s="34" t="e">
        <f>VLOOKUP(A1,DIV_01Data!$A$1:$DZU$999999,2255,FALSE)</f>
        <v>#N/A</v>
      </c>
      <c r="K133" s="34" t="e">
        <f>VLOOKUP(A1,DIV_01Data!$A$1:$DZU$999999,2256,FALSE)</f>
        <v>#N/A</v>
      </c>
      <c r="L133" s="93" t="e">
        <f>VLOOKUP(A1,DIV_01Data!$A$1:$DZU$999999,2257,FALSE)</f>
        <v>#N/A</v>
      </c>
      <c r="M133" s="33" t="e">
        <f>VLOOKUP(A1,DIV_01Data!$A$1:$DZU$999999,2258,FALSE)</f>
        <v>#N/A</v>
      </c>
      <c r="N133" s="34" t="e">
        <f>VLOOKUP(A1,DIV_01Data!$A$1:$DZU$999999,2259,FALSE)</f>
        <v>#N/A</v>
      </c>
      <c r="O133" s="33" t="e">
        <f>VLOOKUP(A1,DIV_01Data!$A$1:$DZU$999999,2260,FALSE)</f>
        <v>#N/A</v>
      </c>
      <c r="P133" s="116" t="e">
        <f>VLOOKUP(A1,DIV_01Data!$A$1:$DZU$999999,2261,FALSE)</f>
        <v>#N/A</v>
      </c>
      <c r="Q133" s="268" t="e">
        <f>VLOOKUP(A1,DIV_01Data!$A$1:$DZU$999999,2262,FALSE)</f>
        <v>#N/A</v>
      </c>
    </row>
    <row r="134" spans="1:17" x14ac:dyDescent="0.35">
      <c r="A134" s="265" t="e">
        <f>VLOOKUP(A1,DIV_01Data!$A$1:$DZU$999999,2263,FALSE)</f>
        <v>#N/A</v>
      </c>
      <c r="B134" s="37" t="e">
        <f>VLOOKUP(A1,DIV_01Data!$A$1:$DZU$999999,2264,FALSE)</f>
        <v>#N/A</v>
      </c>
      <c r="C134" s="38" t="e">
        <f>VLOOKUP(A1,DIV_01Data!$A$1:$DZU$999999,2265,FALSE)</f>
        <v>#N/A</v>
      </c>
      <c r="D134" s="31" t="e">
        <f>VLOOKUP(A1,DIV_01Data!$A$1:$DZU$999999,2266,FALSE)</f>
        <v>#N/A</v>
      </c>
      <c r="E134" s="32" t="e">
        <f>VLOOKUP(A1,DIV_01Data!$A$1:$DZU$999999,2267,FALSE)</f>
        <v>#N/A</v>
      </c>
      <c r="F134" s="34" t="e">
        <f>VLOOKUP(A1,DIV_01Data!$A$1:$DZU$999999,2268,FALSE)</f>
        <v>#N/A</v>
      </c>
      <c r="G134" s="33" t="e">
        <f>VLOOKUP(A1,DIV_01Data!$A$1:$DZU$999999,2269,FALSE)</f>
        <v>#N/A</v>
      </c>
      <c r="H134" s="34" t="e">
        <f>VLOOKUP(A1,DIV_01Data!$A$1:$DZU$999999,2270,FALSE)</f>
        <v>#N/A</v>
      </c>
      <c r="I134" s="33" t="e">
        <f>VLOOKUP(A1,DIV_01Data!$A$1:$DZU$999999,2271,FALSE)</f>
        <v>#N/A</v>
      </c>
      <c r="J134" s="34" t="e">
        <f>VLOOKUP(A1,DIV_01Data!$A$1:$DZU$999999,2272,FALSE)</f>
        <v>#N/A</v>
      </c>
      <c r="K134" s="34" t="e">
        <f>VLOOKUP(A1,DIV_01Data!$A$1:$DZU$999999,2273,FALSE)</f>
        <v>#N/A</v>
      </c>
      <c r="L134" s="93" t="e">
        <f>VLOOKUP(A1,DIV_01Data!$A$1:$DZU$999999,2274,FALSE)</f>
        <v>#N/A</v>
      </c>
      <c r="M134" s="33" t="e">
        <f>VLOOKUP(A1,DIV_01Data!$A$1:$DZU$999999,2275,FALSE)</f>
        <v>#N/A</v>
      </c>
      <c r="N134" s="34" t="e">
        <f>VLOOKUP(A1,DIV_01Data!$A$1:$DZU$999999,2276,FALSE)</f>
        <v>#N/A</v>
      </c>
      <c r="O134" s="33" t="e">
        <f>VLOOKUP(A1,DIV_01Data!$A$1:$DZU$999999,2277,FALSE)</f>
        <v>#N/A</v>
      </c>
      <c r="P134" s="116" t="e">
        <f>VLOOKUP(A1,DIV_01Data!$A$1:$DZU$999999,2278,FALSE)</f>
        <v>#N/A</v>
      </c>
      <c r="Q134" s="268" t="e">
        <f>VLOOKUP(A1,DIV_01Data!$A$1:$DZU$999999,2279,FALSE)</f>
        <v>#N/A</v>
      </c>
    </row>
    <row r="135" spans="1:17" x14ac:dyDescent="0.35">
      <c r="A135" s="265" t="e">
        <f>VLOOKUP(A1,DIV_01Data!$A$1:$DZU$999999,2280,FALSE)</f>
        <v>#N/A</v>
      </c>
      <c r="B135" s="37" t="e">
        <f>VLOOKUP(A1,DIV_01Data!$A$1:$DZU$999999,2281,FALSE)</f>
        <v>#N/A</v>
      </c>
      <c r="C135" s="38" t="e">
        <f>VLOOKUP(A1,DIV_01Data!$A$1:$DZU$999999,2282,FALSE)</f>
        <v>#N/A</v>
      </c>
      <c r="D135" s="31" t="e">
        <f>VLOOKUP(A1,DIV_01Data!$A$1:$DZU$999999,2283,FALSE)</f>
        <v>#N/A</v>
      </c>
      <c r="E135" s="32" t="e">
        <f>VLOOKUP(A1,DIV_01Data!$A$1:$DZU$999999,2284,FALSE)</f>
        <v>#N/A</v>
      </c>
      <c r="F135" s="34" t="e">
        <f>VLOOKUP(A1,DIV_01Data!$A$1:$DZU$999999,2285,FALSE)</f>
        <v>#N/A</v>
      </c>
      <c r="G135" s="33" t="e">
        <f>VLOOKUP(A1,DIV_01Data!$A$1:$DZU$999999,2286,FALSE)</f>
        <v>#N/A</v>
      </c>
      <c r="H135" s="34" t="e">
        <f>VLOOKUP(A1,DIV_01Data!$A$1:$DZU$999999,2287,FALSE)</f>
        <v>#N/A</v>
      </c>
      <c r="I135" s="33" t="e">
        <f>VLOOKUP(A1,DIV_01Data!$A$1:$DZU$999999,2288,FALSE)</f>
        <v>#N/A</v>
      </c>
      <c r="J135" s="34" t="e">
        <f>VLOOKUP(A1,DIV_01Data!$A$1:$DZU$999999,2289,FALSE)</f>
        <v>#N/A</v>
      </c>
      <c r="K135" s="34" t="e">
        <f>VLOOKUP(A1,DIV_01Data!$A$1:$DZU$999999,2290,FALSE)</f>
        <v>#N/A</v>
      </c>
      <c r="L135" s="93" t="e">
        <f>VLOOKUP(A1,DIV_01Data!$A$1:$DZU$999999,2291,FALSE)</f>
        <v>#N/A</v>
      </c>
      <c r="M135" s="33" t="e">
        <f>VLOOKUP(A1,DIV_01Data!$A$1:$DZU$999999,2292,FALSE)</f>
        <v>#N/A</v>
      </c>
      <c r="N135" s="34" t="e">
        <f>VLOOKUP(A1,DIV_01Data!$A$1:$DZU$999999,2293,FALSE)</f>
        <v>#N/A</v>
      </c>
      <c r="O135" s="33" t="e">
        <f>VLOOKUP(A1,DIV_01Data!$A$1:$DZU$999999,2294,FALSE)</f>
        <v>#N/A</v>
      </c>
      <c r="P135" s="116" t="e">
        <f>VLOOKUP(A1,DIV_01Data!$A$1:$DZU$999999,2295,FALSE)</f>
        <v>#N/A</v>
      </c>
      <c r="Q135" s="268" t="e">
        <f>VLOOKUP(A1,DIV_01Data!$A$1:$DZU$999999,2296,FALSE)</f>
        <v>#N/A</v>
      </c>
    </row>
    <row r="136" spans="1:17" x14ac:dyDescent="0.35">
      <c r="A136" s="265" t="e">
        <f>VLOOKUP(A1,DIV_01Data!$A$1:$DZU$999999,2297,FALSE)</f>
        <v>#N/A</v>
      </c>
      <c r="B136" s="37" t="e">
        <f>VLOOKUP(A1,DIV_01Data!$A$1:$DZU$999999,2298,FALSE)</f>
        <v>#N/A</v>
      </c>
      <c r="C136" s="38" t="e">
        <f>VLOOKUP(A1,DIV_01Data!$A$1:$DZU$999999,2299,FALSE)</f>
        <v>#N/A</v>
      </c>
      <c r="D136" s="31" t="e">
        <f>VLOOKUP(A1,DIV_01Data!$A$1:$DZU$999999,2300,FALSE)</f>
        <v>#N/A</v>
      </c>
      <c r="E136" s="32" t="e">
        <f>VLOOKUP(A1,DIV_01Data!$A$1:$DZU$999999,2301,FALSE)</f>
        <v>#N/A</v>
      </c>
      <c r="F136" s="34" t="e">
        <f>VLOOKUP(A1,DIV_01Data!$A$1:$DZU$999999,2302,FALSE)</f>
        <v>#N/A</v>
      </c>
      <c r="G136" s="33" t="e">
        <f>VLOOKUP(A1,DIV_01Data!$A$1:$DZU$999999,2303,FALSE)</f>
        <v>#N/A</v>
      </c>
      <c r="H136" s="34" t="e">
        <f>VLOOKUP(A1,DIV_01Data!$A$1:$DZU$999999,2304,FALSE)</f>
        <v>#N/A</v>
      </c>
      <c r="I136" s="33" t="e">
        <f>VLOOKUP(A1,DIV_01Data!$A$1:$DZU$999999,2305,FALSE)</f>
        <v>#N/A</v>
      </c>
      <c r="J136" s="34" t="e">
        <f>VLOOKUP(A1,DIV_01Data!$A$1:$DZU$999999,2306,FALSE)</f>
        <v>#N/A</v>
      </c>
      <c r="K136" s="34" t="e">
        <f>VLOOKUP(A1,DIV_01Data!$A$1:$DZU$999999,2307,FALSE)</f>
        <v>#N/A</v>
      </c>
      <c r="L136" s="93" t="e">
        <f>VLOOKUP(A1,DIV_01Data!$A$1:$DZU$999999,2308,FALSE)</f>
        <v>#N/A</v>
      </c>
      <c r="M136" s="33" t="e">
        <f>VLOOKUP(A1,DIV_01Data!$A$1:$DZU$999999,2309,FALSE)</f>
        <v>#N/A</v>
      </c>
      <c r="N136" s="34" t="e">
        <f>VLOOKUP(A1,DIV_01Data!$A$1:$DZU$999999,2310,FALSE)</f>
        <v>#N/A</v>
      </c>
      <c r="O136" s="33" t="e">
        <f>VLOOKUP(A1,DIV_01Data!$A$1:$DZU$999999,2311,FALSE)</f>
        <v>#N/A</v>
      </c>
      <c r="P136" s="116" t="e">
        <f>VLOOKUP(A1,DIV_01Data!$A$1:$DZU$999999,2312,FALSE)</f>
        <v>#N/A</v>
      </c>
      <c r="Q136" s="268" t="e">
        <f>VLOOKUP(A1,DIV_01Data!$A$1:$DZU$999999,2313,FALSE)</f>
        <v>#N/A</v>
      </c>
    </row>
    <row r="137" spans="1:17" x14ac:dyDescent="0.35">
      <c r="A137" s="265" t="e">
        <f>VLOOKUP(A1,DIV_01Data!$A$1:$DZU$999999,2314,FALSE)</f>
        <v>#N/A</v>
      </c>
      <c r="B137" s="37" t="e">
        <f>VLOOKUP(A1,DIV_01Data!$A$1:$DZU$999999,2315,FALSE)</f>
        <v>#N/A</v>
      </c>
      <c r="C137" s="38" t="e">
        <f>VLOOKUP(A1,DIV_01Data!$A$1:$DZU$999999,2316,FALSE)</f>
        <v>#N/A</v>
      </c>
      <c r="D137" s="31" t="e">
        <f>VLOOKUP(A1,DIV_01Data!$A$1:$DZU$999999,2317,FALSE)</f>
        <v>#N/A</v>
      </c>
      <c r="E137" s="32" t="e">
        <f>VLOOKUP(A1,DIV_01Data!$A$1:$DZU$999999,2318,FALSE)</f>
        <v>#N/A</v>
      </c>
      <c r="F137" s="34" t="e">
        <f>VLOOKUP(A1,DIV_01Data!$A$1:$DZU$999999,2319,FALSE)</f>
        <v>#N/A</v>
      </c>
      <c r="G137" s="33" t="e">
        <f>VLOOKUP(A1,DIV_01Data!$A$1:$DZU$999999,2320,FALSE)</f>
        <v>#N/A</v>
      </c>
      <c r="H137" s="34" t="e">
        <f>VLOOKUP(A1,DIV_01Data!$A$1:$DZU$999999,2321,FALSE)</f>
        <v>#N/A</v>
      </c>
      <c r="I137" s="33" t="e">
        <f>VLOOKUP(A1,DIV_01Data!$A$1:$DZU$999999,2322,FALSE)</f>
        <v>#N/A</v>
      </c>
      <c r="J137" s="34" t="e">
        <f>VLOOKUP(A1,DIV_01Data!$A$1:$DZU$999999,2323,FALSE)</f>
        <v>#N/A</v>
      </c>
      <c r="K137" s="34" t="e">
        <f>VLOOKUP(A1,DIV_01Data!$A$1:$DZU$999999,2324,FALSE)</f>
        <v>#N/A</v>
      </c>
      <c r="L137" s="93" t="e">
        <f>VLOOKUP(A1,DIV_01Data!$A$1:$DZU$999999,2325,FALSE)</f>
        <v>#N/A</v>
      </c>
      <c r="M137" s="33" t="e">
        <f>VLOOKUP(A1,DIV_01Data!$A$1:$DZU$999999,2326,FALSE)</f>
        <v>#N/A</v>
      </c>
      <c r="N137" s="34" t="e">
        <f>VLOOKUP(A1,DIV_01Data!$A$1:$DZU$999999,2327,FALSE)</f>
        <v>#N/A</v>
      </c>
      <c r="O137" s="33" t="e">
        <f>VLOOKUP(A1,DIV_01Data!$A$1:$DZU$999999,2328,FALSE)</f>
        <v>#N/A</v>
      </c>
      <c r="P137" s="116" t="e">
        <f>VLOOKUP(A1,DIV_01Data!$A$1:$DZU$999999,2329,FALSE)</f>
        <v>#N/A</v>
      </c>
      <c r="Q137" s="268" t="e">
        <f>VLOOKUP(A1,DIV_01Data!$A$1:$DZU$999999,2330,FALSE)</f>
        <v>#N/A</v>
      </c>
    </row>
    <row r="138" spans="1:17" x14ac:dyDescent="0.35">
      <c r="A138" s="265" t="e">
        <f>VLOOKUP(A1,DIV_01Data!$A$1:$DZU$999999,2331,FALSE)</f>
        <v>#N/A</v>
      </c>
      <c r="B138" s="37" t="e">
        <f>VLOOKUP(A1,DIV_01Data!$A$1:$DZU$999999,2332,FALSE)</f>
        <v>#N/A</v>
      </c>
      <c r="C138" s="38" t="e">
        <f>VLOOKUP(A1,DIV_01Data!$A$1:$DZU$999999,2333,FALSE)</f>
        <v>#N/A</v>
      </c>
      <c r="D138" s="31" t="e">
        <f>VLOOKUP(A1,DIV_01Data!$A$1:$DZU$999999,2334,FALSE)</f>
        <v>#N/A</v>
      </c>
      <c r="E138" s="32" t="e">
        <f>VLOOKUP(A1,DIV_01Data!$A$1:$DZU$999999,2335,FALSE)</f>
        <v>#N/A</v>
      </c>
      <c r="F138" s="34" t="e">
        <f>VLOOKUP(A1,DIV_01Data!$A$1:$DZU$999999,2336,FALSE)</f>
        <v>#N/A</v>
      </c>
      <c r="G138" s="33" t="e">
        <f>VLOOKUP(A1,DIV_01Data!$A$1:$DZU$999999,2337,FALSE)</f>
        <v>#N/A</v>
      </c>
      <c r="H138" s="34" t="e">
        <f>VLOOKUP(A1,DIV_01Data!$A$1:$DZU$999999,2338,FALSE)</f>
        <v>#N/A</v>
      </c>
      <c r="I138" s="33" t="e">
        <f>VLOOKUP(A1,DIV_01Data!$A$1:$DZU$999999,2339,FALSE)</f>
        <v>#N/A</v>
      </c>
      <c r="J138" s="34" t="e">
        <f>VLOOKUP(A1,DIV_01Data!$A$1:$DZU$999999,2340,FALSE)</f>
        <v>#N/A</v>
      </c>
      <c r="K138" s="34" t="e">
        <f>VLOOKUP(A1,DIV_01Data!$A$1:$DZU$999999,2341,FALSE)</f>
        <v>#N/A</v>
      </c>
      <c r="L138" s="93" t="e">
        <f>VLOOKUP(A1,DIV_01Data!$A$1:$DZU$999999,2342,FALSE)</f>
        <v>#N/A</v>
      </c>
      <c r="M138" s="33" t="e">
        <f>VLOOKUP(A1,DIV_01Data!$A$1:$DZU$999999,2343,FALSE)</f>
        <v>#N/A</v>
      </c>
      <c r="N138" s="34" t="e">
        <f>VLOOKUP(A1,DIV_01Data!$A$1:$DZU$999999,2344,FALSE)</f>
        <v>#N/A</v>
      </c>
      <c r="O138" s="33" t="e">
        <f>VLOOKUP(A1,DIV_01Data!$A$1:$DZU$999999,2345,FALSE)</f>
        <v>#N/A</v>
      </c>
      <c r="P138" s="116" t="e">
        <f>VLOOKUP(A1,DIV_01Data!$A$1:$DZU$999999,2346,FALSE)</f>
        <v>#N/A</v>
      </c>
      <c r="Q138" s="268" t="e">
        <f>VLOOKUP(A1,DIV_01Data!$A$1:$DZU$999999,2347,FALSE)</f>
        <v>#N/A</v>
      </c>
    </row>
    <row r="139" spans="1:17" x14ac:dyDescent="0.35">
      <c r="A139" s="265" t="e">
        <f>VLOOKUP(A1,DIV_01Data!$A$1:$DZU$999999,2348,FALSE)</f>
        <v>#N/A</v>
      </c>
      <c r="B139" s="37" t="e">
        <f>VLOOKUP(A1,DIV_01Data!$A$1:$DZU$999999,2349,FALSE)</f>
        <v>#N/A</v>
      </c>
      <c r="C139" s="38" t="e">
        <f>VLOOKUP(A1,DIV_01Data!$A$1:$DZU$999999,2350,FALSE)</f>
        <v>#N/A</v>
      </c>
      <c r="D139" s="31" t="e">
        <f>VLOOKUP(A1,DIV_01Data!$A$1:$DZU$999999,2351,FALSE)</f>
        <v>#N/A</v>
      </c>
      <c r="E139" s="32" t="e">
        <f>VLOOKUP(A1,DIV_01Data!$A$1:$DZU$999999,2352,FALSE)</f>
        <v>#N/A</v>
      </c>
      <c r="F139" s="34" t="e">
        <f>VLOOKUP(A1,DIV_01Data!$A$1:$DZU$999999,2353,FALSE)</f>
        <v>#N/A</v>
      </c>
      <c r="G139" s="33" t="e">
        <f>VLOOKUP(A1,DIV_01Data!$A$1:$DZU$999999,2354,FALSE)</f>
        <v>#N/A</v>
      </c>
      <c r="H139" s="34" t="e">
        <f>VLOOKUP(A1,DIV_01Data!$A$1:$DZU$999999,2355,FALSE)</f>
        <v>#N/A</v>
      </c>
      <c r="I139" s="33" t="e">
        <f>VLOOKUP(A1,DIV_01Data!$A$1:$DZU$999999,2356,FALSE)</f>
        <v>#N/A</v>
      </c>
      <c r="J139" s="34" t="e">
        <f>VLOOKUP(A1,DIV_01Data!$A$1:$DZU$999999,2357,FALSE)</f>
        <v>#N/A</v>
      </c>
      <c r="K139" s="34" t="e">
        <f>VLOOKUP(A1,DIV_01Data!$A$1:$DZU$999999,2358,FALSE)</f>
        <v>#N/A</v>
      </c>
      <c r="L139" s="93" t="e">
        <f>VLOOKUP(A1,DIV_01Data!$A$1:$DZU$999999,2359,FALSE)</f>
        <v>#N/A</v>
      </c>
      <c r="M139" s="33" t="e">
        <f>VLOOKUP(A1,DIV_01Data!$A$1:$DZU$999999,2360,FALSE)</f>
        <v>#N/A</v>
      </c>
      <c r="N139" s="34" t="e">
        <f>VLOOKUP(A1,DIV_01Data!$A$1:$DZU$999999,2361,FALSE)</f>
        <v>#N/A</v>
      </c>
      <c r="O139" s="33" t="e">
        <f>VLOOKUP(A1,DIV_01Data!$A$1:$DZU$999999,2362,FALSE)</f>
        <v>#N/A</v>
      </c>
      <c r="P139" s="116" t="e">
        <f>VLOOKUP(A1,DIV_01Data!$A$1:$DZU$999999,2363,FALSE)</f>
        <v>#N/A</v>
      </c>
      <c r="Q139" s="268" t="e">
        <f>VLOOKUP(A1,DIV_01Data!$A$1:$DZU$999999,2364,FALSE)</f>
        <v>#N/A</v>
      </c>
    </row>
    <row r="140" spans="1:17" x14ac:dyDescent="0.35">
      <c r="A140" s="265" t="e">
        <f>VLOOKUP(A1,DIV_01Data!$A$1:$DZU$999999,2365,FALSE)</f>
        <v>#N/A</v>
      </c>
      <c r="B140" s="37" t="e">
        <f>VLOOKUP(A1,DIV_01Data!$A$1:$DZU$999999,2366,FALSE)</f>
        <v>#N/A</v>
      </c>
      <c r="C140" s="38" t="e">
        <f>VLOOKUP(A1,DIV_01Data!$A$1:$DZU$999999,2367,FALSE)</f>
        <v>#N/A</v>
      </c>
      <c r="D140" s="31" t="e">
        <f>VLOOKUP(A1,DIV_01Data!$A$1:$DZU$999999,2368,FALSE)</f>
        <v>#N/A</v>
      </c>
      <c r="E140" s="32" t="e">
        <f>VLOOKUP(A1,DIV_01Data!$A$1:$DZU$999999,2369,FALSE)</f>
        <v>#N/A</v>
      </c>
      <c r="F140" s="34" t="e">
        <f>VLOOKUP(A1,DIV_01Data!$A$1:$DZU$999999,2370,FALSE)</f>
        <v>#N/A</v>
      </c>
      <c r="G140" s="33" t="e">
        <f>VLOOKUP(A1,DIV_01Data!$A$1:$DZU$999999,2371,FALSE)</f>
        <v>#N/A</v>
      </c>
      <c r="H140" s="34" t="e">
        <f>VLOOKUP(A1,DIV_01Data!$A$1:$DZU$999999,2372,FALSE)</f>
        <v>#N/A</v>
      </c>
      <c r="I140" s="33" t="e">
        <f>VLOOKUP(A1,DIV_01Data!$A$1:$DZU$999999,2373,FALSE)</f>
        <v>#N/A</v>
      </c>
      <c r="J140" s="34" t="e">
        <f>VLOOKUP(A1,DIV_01Data!$A$1:$DZU$999999,2374,FALSE)</f>
        <v>#N/A</v>
      </c>
      <c r="K140" s="34" t="e">
        <f>VLOOKUP(A1,DIV_01Data!$A$1:$DZU$999999,2375,FALSE)</f>
        <v>#N/A</v>
      </c>
      <c r="L140" s="93" t="e">
        <f>VLOOKUP(A1,DIV_01Data!$A$1:$DZU$999999,2376,FALSE)</f>
        <v>#N/A</v>
      </c>
      <c r="M140" s="33" t="e">
        <f>VLOOKUP(A1,DIV_01Data!$A$1:$DZU$999999,2377,FALSE)</f>
        <v>#N/A</v>
      </c>
      <c r="N140" s="34" t="e">
        <f>VLOOKUP(A1,DIV_01Data!$A$1:$DZU$999999,2378,FALSE)</f>
        <v>#N/A</v>
      </c>
      <c r="O140" s="33" t="e">
        <f>VLOOKUP(A1,DIV_01Data!$A$1:$DZU$999999,2379,FALSE)</f>
        <v>#N/A</v>
      </c>
      <c r="P140" s="116" t="e">
        <f>VLOOKUP(A1,DIV_01Data!$A$1:$DZU$999999,2380,FALSE)</f>
        <v>#N/A</v>
      </c>
      <c r="Q140" s="268" t="e">
        <f>VLOOKUP(A1,DIV_01Data!$A$1:$DZU$999999,2381,FALSE)</f>
        <v>#N/A</v>
      </c>
    </row>
    <row r="141" spans="1:17" x14ac:dyDescent="0.35">
      <c r="A141" s="265" t="e">
        <f>VLOOKUP(A1,DIV_01Data!$A$1:$DZU$999999,2382,FALSE)</f>
        <v>#N/A</v>
      </c>
      <c r="B141" s="37" t="e">
        <f>VLOOKUP(A1,DIV_01Data!$A$1:$DZU$999999,2383,FALSE)</f>
        <v>#N/A</v>
      </c>
      <c r="C141" s="38" t="e">
        <f>VLOOKUP(A1,DIV_01Data!$A$1:$DZU$999999,2384,FALSE)</f>
        <v>#N/A</v>
      </c>
      <c r="D141" s="31" t="e">
        <f>VLOOKUP(A1,DIV_01Data!$A$1:$DZU$999999,2385,FALSE)</f>
        <v>#N/A</v>
      </c>
      <c r="E141" s="32" t="e">
        <f>VLOOKUP(A1,DIV_01Data!$A$1:$DZU$999999,2386,FALSE)</f>
        <v>#N/A</v>
      </c>
      <c r="F141" s="34" t="e">
        <f>VLOOKUP(A1,DIV_01Data!$A$1:$DZU$999999,2387,FALSE)</f>
        <v>#N/A</v>
      </c>
      <c r="G141" s="33" t="e">
        <f>VLOOKUP(A1,DIV_01Data!$A$1:$DZU$999999,2388,FALSE)</f>
        <v>#N/A</v>
      </c>
      <c r="H141" s="34" t="e">
        <f>VLOOKUP(A1,DIV_01Data!$A$1:$DZU$999999,2389,FALSE)</f>
        <v>#N/A</v>
      </c>
      <c r="I141" s="33" t="e">
        <f>VLOOKUP(A1,DIV_01Data!$A$1:$DZU$999999,2390,FALSE)</f>
        <v>#N/A</v>
      </c>
      <c r="J141" s="34" t="e">
        <f>VLOOKUP(A1,DIV_01Data!$A$1:$DZU$999999,2391,FALSE)</f>
        <v>#N/A</v>
      </c>
      <c r="K141" s="34" t="e">
        <f>VLOOKUP(A1,DIV_01Data!$A$1:$DZU$999999,2392,FALSE)</f>
        <v>#N/A</v>
      </c>
      <c r="L141" s="93" t="e">
        <f>VLOOKUP(A1,DIV_01Data!$A$1:$DZU$999999,2393,FALSE)</f>
        <v>#N/A</v>
      </c>
      <c r="M141" s="33" t="e">
        <f>VLOOKUP(A1,DIV_01Data!$A$1:$DZU$999999,2394,FALSE)</f>
        <v>#N/A</v>
      </c>
      <c r="N141" s="34" t="e">
        <f>VLOOKUP(A1,DIV_01Data!$A$1:$DZU$999999,2395,FALSE)</f>
        <v>#N/A</v>
      </c>
      <c r="O141" s="33" t="e">
        <f>VLOOKUP(A1,DIV_01Data!$A$1:$DZU$999999,2396,FALSE)</f>
        <v>#N/A</v>
      </c>
      <c r="P141" s="116" t="e">
        <f>VLOOKUP(A1,DIV_01Data!$A$1:$DZU$999999,2397,FALSE)</f>
        <v>#N/A</v>
      </c>
      <c r="Q141" s="268" t="e">
        <f>VLOOKUP(A1,DIV_01Data!$A$1:$DZU$999999,2398,FALSE)</f>
        <v>#N/A</v>
      </c>
    </row>
    <row r="142" spans="1:17" x14ac:dyDescent="0.35">
      <c r="A142" s="265" t="e">
        <f>VLOOKUP(A1,DIV_01Data!$A$1:$DZU$999999,2399,FALSE)</f>
        <v>#N/A</v>
      </c>
      <c r="B142" s="37" t="e">
        <f>VLOOKUP(A1,DIV_01Data!$A$1:$DZU$999999,2400,FALSE)</f>
        <v>#N/A</v>
      </c>
      <c r="C142" s="38" t="e">
        <f>VLOOKUP(A1,DIV_01Data!$A$1:$DZU$999999,2401,FALSE)</f>
        <v>#N/A</v>
      </c>
      <c r="D142" s="31" t="e">
        <f>VLOOKUP(A1,DIV_01Data!$A$1:$DZU$999999,2402,FALSE)</f>
        <v>#N/A</v>
      </c>
      <c r="E142" s="32" t="e">
        <f>VLOOKUP(A1,DIV_01Data!$A$1:$DZU$999999,2403,FALSE)</f>
        <v>#N/A</v>
      </c>
      <c r="F142" s="34" t="e">
        <f>VLOOKUP(A1,DIV_01Data!$A$1:$DZU$999999,2404,FALSE)</f>
        <v>#N/A</v>
      </c>
      <c r="G142" s="33" t="e">
        <f>VLOOKUP(A1,DIV_01Data!$A$1:$DZU$999999,2405,FALSE)</f>
        <v>#N/A</v>
      </c>
      <c r="H142" s="34" t="e">
        <f>VLOOKUP(A1,DIV_01Data!$A$1:$DZU$999999,2406,FALSE)</f>
        <v>#N/A</v>
      </c>
      <c r="I142" s="33" t="e">
        <f>VLOOKUP(A1,DIV_01Data!$A$1:$DZU$999999,2407,FALSE)</f>
        <v>#N/A</v>
      </c>
      <c r="J142" s="34" t="e">
        <f>VLOOKUP(A1,DIV_01Data!$A$1:$DZU$999999,2408,FALSE)</f>
        <v>#N/A</v>
      </c>
      <c r="K142" s="34" t="e">
        <f>VLOOKUP(A1,DIV_01Data!$A$1:$DZU$999999,2409,FALSE)</f>
        <v>#N/A</v>
      </c>
      <c r="L142" s="93" t="e">
        <f>VLOOKUP(A1,DIV_01Data!$A$1:$DZU$999999,2410,FALSE)</f>
        <v>#N/A</v>
      </c>
      <c r="M142" s="33" t="e">
        <f>VLOOKUP(A1,DIV_01Data!$A$1:$DZU$999999,2411,FALSE)</f>
        <v>#N/A</v>
      </c>
      <c r="N142" s="34" t="e">
        <f>VLOOKUP(A1,DIV_01Data!$A$1:$DZU$999999,2412,FALSE)</f>
        <v>#N/A</v>
      </c>
      <c r="O142" s="33" t="e">
        <f>VLOOKUP(A1,DIV_01Data!$A$1:$DZU$999999,2413,FALSE)</f>
        <v>#N/A</v>
      </c>
      <c r="P142" s="116" t="e">
        <f>VLOOKUP(A1,DIV_01Data!$A$1:$DZU$999999,2414,FALSE)</f>
        <v>#N/A</v>
      </c>
      <c r="Q142" s="268" t="e">
        <f>VLOOKUP(A1,DIV_01Data!$A$1:$DZU$999999,2415,FALSE)</f>
        <v>#N/A</v>
      </c>
    </row>
    <row r="143" spans="1:17" x14ac:dyDescent="0.35">
      <c r="A143" s="265" t="e">
        <f>VLOOKUP(A1,DIV_01Data!$A$1:$DZU$999999,2416,FALSE)</f>
        <v>#N/A</v>
      </c>
      <c r="B143" s="37" t="e">
        <f>VLOOKUP(A1,DIV_01Data!$A$1:$DZU$999999,2417,FALSE)</f>
        <v>#N/A</v>
      </c>
      <c r="C143" s="38" t="e">
        <f>VLOOKUP(A1,DIV_01Data!$A$1:$DZU$999999,2418,FALSE)</f>
        <v>#N/A</v>
      </c>
      <c r="D143" s="31" t="e">
        <f>VLOOKUP(A1,DIV_01Data!$A$1:$DZU$999999,2419,FALSE)</f>
        <v>#N/A</v>
      </c>
      <c r="E143" s="32" t="e">
        <f>VLOOKUP(A1,DIV_01Data!$A$1:$DZU$999999,2420,FALSE)</f>
        <v>#N/A</v>
      </c>
      <c r="F143" s="34" t="e">
        <f>VLOOKUP(A1,DIV_01Data!$A$1:$DZU$999999,2421,FALSE)</f>
        <v>#N/A</v>
      </c>
      <c r="G143" s="33" t="e">
        <f>VLOOKUP(A1,DIV_01Data!$A$1:$DZU$999999,2422,FALSE)</f>
        <v>#N/A</v>
      </c>
      <c r="H143" s="34" t="e">
        <f>VLOOKUP(A1,DIV_01Data!$A$1:$DZU$999999,2423,FALSE)</f>
        <v>#N/A</v>
      </c>
      <c r="I143" s="33" t="e">
        <f>VLOOKUP(A1,DIV_01Data!$A$1:$DZU$999999,2424,FALSE)</f>
        <v>#N/A</v>
      </c>
      <c r="J143" s="34" t="e">
        <f>VLOOKUP(A1,DIV_01Data!$A$1:$DZU$999999,2425,FALSE)</f>
        <v>#N/A</v>
      </c>
      <c r="K143" s="34" t="e">
        <f>VLOOKUP(A1,DIV_01Data!$A$1:$DZU$999999,2426,FALSE)</f>
        <v>#N/A</v>
      </c>
      <c r="L143" s="93" t="e">
        <f>VLOOKUP(A1,DIV_01Data!$A$1:$DZU$999999,2427,FALSE)</f>
        <v>#N/A</v>
      </c>
      <c r="M143" s="33" t="e">
        <f>VLOOKUP(A1,DIV_01Data!$A$1:$DZU$999999,2428,FALSE)</f>
        <v>#N/A</v>
      </c>
      <c r="N143" s="34" t="e">
        <f>VLOOKUP(A1,DIV_01Data!$A$1:$DZU$999999,2429,FALSE)</f>
        <v>#N/A</v>
      </c>
      <c r="O143" s="33" t="e">
        <f>VLOOKUP(A1,DIV_01Data!$A$1:$DZU$999999,2430,FALSE)</f>
        <v>#N/A</v>
      </c>
      <c r="P143" s="116" t="e">
        <f>VLOOKUP(A1,DIV_01Data!$A$1:$DZU$999999,2431,FALSE)</f>
        <v>#N/A</v>
      </c>
      <c r="Q143" s="268" t="e">
        <f>VLOOKUP(A1,DIV_01Data!$A$1:$DZU$999999,2432,FALSE)</f>
        <v>#N/A</v>
      </c>
    </row>
    <row r="144" spans="1:17" x14ac:dyDescent="0.35">
      <c r="A144" s="265" t="e">
        <f>VLOOKUP(A1,DIV_01Data!$A$1:$DZU$999999,2433,FALSE)</f>
        <v>#N/A</v>
      </c>
      <c r="B144" s="37" t="e">
        <f>VLOOKUP(A1,DIV_01Data!$A$1:$DZU$999999,2434,FALSE)</f>
        <v>#N/A</v>
      </c>
      <c r="C144" s="38" t="e">
        <f>VLOOKUP(A1,DIV_01Data!$A$1:$DZU$999999,2435,FALSE)</f>
        <v>#N/A</v>
      </c>
      <c r="D144" s="31" t="e">
        <f>VLOOKUP(A1,DIV_01Data!$A$1:$DZU$999999,2436,FALSE)</f>
        <v>#N/A</v>
      </c>
      <c r="E144" s="32" t="e">
        <f>VLOOKUP(A1,DIV_01Data!$A$1:$DZU$999999,2437,FALSE)</f>
        <v>#N/A</v>
      </c>
      <c r="F144" s="34" t="e">
        <f>VLOOKUP(A1,DIV_01Data!$A$1:$DZU$999999,2438,FALSE)</f>
        <v>#N/A</v>
      </c>
      <c r="G144" s="33" t="e">
        <f>VLOOKUP(A1,DIV_01Data!$A$1:$DZU$999999,2439,FALSE)</f>
        <v>#N/A</v>
      </c>
      <c r="H144" s="34" t="e">
        <f>VLOOKUP(A1,DIV_01Data!$A$1:$DZU$999999,2440,FALSE)</f>
        <v>#N/A</v>
      </c>
      <c r="I144" s="33" t="e">
        <f>VLOOKUP(A1,DIV_01Data!$A$1:$DZU$999999,2441,FALSE)</f>
        <v>#N/A</v>
      </c>
      <c r="J144" s="34" t="e">
        <f>VLOOKUP(A1,DIV_01Data!$A$1:$DZU$999999,2442,FALSE)</f>
        <v>#N/A</v>
      </c>
      <c r="K144" s="34" t="e">
        <f>VLOOKUP(A1,DIV_01Data!$A$1:$DZU$999999,2443,FALSE)</f>
        <v>#N/A</v>
      </c>
      <c r="L144" s="93" t="e">
        <f>VLOOKUP(A1,DIV_01Data!$A$1:$DZU$999999,2444,FALSE)</f>
        <v>#N/A</v>
      </c>
      <c r="M144" s="33" t="e">
        <f>VLOOKUP(A1,DIV_01Data!$A$1:$DZU$999999,2445,FALSE)</f>
        <v>#N/A</v>
      </c>
      <c r="N144" s="34" t="e">
        <f>VLOOKUP(A1,DIV_01Data!$A$1:$DZU$999999,2446,FALSE)</f>
        <v>#N/A</v>
      </c>
      <c r="O144" s="33" t="e">
        <f>VLOOKUP(A1,DIV_01Data!$A$1:$DZU$999999,2447,FALSE)</f>
        <v>#N/A</v>
      </c>
      <c r="P144" s="116" t="e">
        <f>VLOOKUP(A1,DIV_01Data!$A$1:$DZU$999999,2448,FALSE)</f>
        <v>#N/A</v>
      </c>
      <c r="Q144" s="268" t="e">
        <f>VLOOKUP(A1,DIV_01Data!$A$1:$DZU$999999,2449,FALSE)</f>
        <v>#N/A</v>
      </c>
    </row>
    <row r="145" spans="1:17" x14ac:dyDescent="0.35">
      <c r="A145" s="265" t="e">
        <f>VLOOKUP(A1,DIV_01Data!$A$1:$DZU$999999,2450,FALSE)</f>
        <v>#N/A</v>
      </c>
      <c r="B145" s="37" t="e">
        <f>VLOOKUP(A1,DIV_01Data!$A$1:$DZU$999999,2451,FALSE)</f>
        <v>#N/A</v>
      </c>
      <c r="C145" s="38" t="e">
        <f>VLOOKUP(A1,DIV_01Data!$A$1:$DZU$999999,2452,FALSE)</f>
        <v>#N/A</v>
      </c>
      <c r="D145" s="31" t="e">
        <f>VLOOKUP(A1,DIV_01Data!$A$1:$DZU$999999,2453,FALSE)</f>
        <v>#N/A</v>
      </c>
      <c r="E145" s="32" t="e">
        <f>VLOOKUP(A1,DIV_01Data!$A$1:$DZU$999999,2454,FALSE)</f>
        <v>#N/A</v>
      </c>
      <c r="F145" s="34" t="e">
        <f>VLOOKUP(A1,DIV_01Data!$A$1:$DZU$999999,2455,FALSE)</f>
        <v>#N/A</v>
      </c>
      <c r="G145" s="33" t="e">
        <f>VLOOKUP(A1,DIV_01Data!$A$1:$DZU$999999,2456,FALSE)</f>
        <v>#N/A</v>
      </c>
      <c r="H145" s="34" t="e">
        <f>VLOOKUP(A1,DIV_01Data!$A$1:$DZU$999999,2457,FALSE)</f>
        <v>#N/A</v>
      </c>
      <c r="I145" s="33" t="e">
        <f>VLOOKUP(A1,DIV_01Data!$A$1:$DZU$999999,2458,FALSE)</f>
        <v>#N/A</v>
      </c>
      <c r="J145" s="34" t="e">
        <f>VLOOKUP(A1,DIV_01Data!$A$1:$DZU$999999,2459,FALSE)</f>
        <v>#N/A</v>
      </c>
      <c r="K145" s="34" t="e">
        <f>VLOOKUP(A1,DIV_01Data!$A$1:$DZU$999999,2460,FALSE)</f>
        <v>#N/A</v>
      </c>
      <c r="L145" s="93" t="e">
        <f>VLOOKUP(A1,DIV_01Data!$A$1:$DZU$999999,2461,FALSE)</f>
        <v>#N/A</v>
      </c>
      <c r="M145" s="33" t="e">
        <f>VLOOKUP(A1,DIV_01Data!$A$1:$DZU$999999,2462,FALSE)</f>
        <v>#N/A</v>
      </c>
      <c r="N145" s="34" t="e">
        <f>VLOOKUP(A1,DIV_01Data!$A$1:$DZU$999999,2463,FALSE)</f>
        <v>#N/A</v>
      </c>
      <c r="O145" s="33" t="e">
        <f>VLOOKUP(A1,DIV_01Data!$A$1:$DZU$999999,2464,FALSE)</f>
        <v>#N/A</v>
      </c>
      <c r="P145" s="116" t="e">
        <f>VLOOKUP(A1,DIV_01Data!$A$1:$DZU$999999,2465,FALSE)</f>
        <v>#N/A</v>
      </c>
      <c r="Q145" s="268" t="e">
        <f>VLOOKUP(A1,DIV_01Data!$A$1:$DZU$999999,2466,FALSE)</f>
        <v>#N/A</v>
      </c>
    </row>
    <row r="146" spans="1:17" x14ac:dyDescent="0.35">
      <c r="A146" s="265" t="e">
        <f>VLOOKUP(A1,DIV_01Data!$A$1:$DZU$999999,2467,FALSE)</f>
        <v>#N/A</v>
      </c>
      <c r="B146" s="37" t="e">
        <f>VLOOKUP(A1,DIV_01Data!$A$1:$DZU$999999,2468,FALSE)</f>
        <v>#N/A</v>
      </c>
      <c r="C146" s="38" t="e">
        <f>VLOOKUP(A1,DIV_01Data!$A$1:$DZU$999999,2469,FALSE)</f>
        <v>#N/A</v>
      </c>
      <c r="D146" s="31" t="e">
        <f>VLOOKUP(A1,DIV_01Data!$A$1:$DZU$999999,2470,FALSE)</f>
        <v>#N/A</v>
      </c>
      <c r="E146" s="32" t="e">
        <f>VLOOKUP(A1,DIV_01Data!$A$1:$DZU$999999,2471,FALSE)</f>
        <v>#N/A</v>
      </c>
      <c r="F146" s="34" t="e">
        <f>VLOOKUP(A1,DIV_01Data!$A$1:$DZU$999999,2472,FALSE)</f>
        <v>#N/A</v>
      </c>
      <c r="G146" s="33" t="e">
        <f>VLOOKUP(A1,DIV_01Data!$A$1:$DZU$999999,2473,FALSE)</f>
        <v>#N/A</v>
      </c>
      <c r="H146" s="34" t="e">
        <f>VLOOKUP(A1,DIV_01Data!$A$1:$DZU$999999,2474,FALSE)</f>
        <v>#N/A</v>
      </c>
      <c r="I146" s="33" t="e">
        <f>VLOOKUP(A1,DIV_01Data!$A$1:$DZU$999999,2475,FALSE)</f>
        <v>#N/A</v>
      </c>
      <c r="J146" s="34" t="e">
        <f>VLOOKUP(A1,DIV_01Data!$A$1:$DZU$999999,2476,FALSE)</f>
        <v>#N/A</v>
      </c>
      <c r="K146" s="34" t="e">
        <f>VLOOKUP(A1,DIV_01Data!$A$1:$DZU$999999,2477,FALSE)</f>
        <v>#N/A</v>
      </c>
      <c r="L146" s="93" t="e">
        <f>VLOOKUP(A1,DIV_01Data!$A$1:$DZU$999999,2478,FALSE)</f>
        <v>#N/A</v>
      </c>
      <c r="M146" s="33" t="e">
        <f>VLOOKUP(A1,DIV_01Data!$A$1:$DZU$999999,2479,FALSE)</f>
        <v>#N/A</v>
      </c>
      <c r="N146" s="34" t="e">
        <f>VLOOKUP(A1,DIV_01Data!$A$1:$DZU$999999,2480,FALSE)</f>
        <v>#N/A</v>
      </c>
      <c r="O146" s="33" t="e">
        <f>VLOOKUP(A1,DIV_01Data!$A$1:$DZU$999999,2481,FALSE)</f>
        <v>#N/A</v>
      </c>
      <c r="P146" s="116" t="e">
        <f>VLOOKUP(A1,DIV_01Data!$A$1:$DZU$999999,2482,FALSE)</f>
        <v>#N/A</v>
      </c>
      <c r="Q146" s="268" t="e">
        <f>VLOOKUP(A1,DIV_01Data!$A$1:$DZU$999999,2483,FALSE)</f>
        <v>#N/A</v>
      </c>
    </row>
    <row r="147" spans="1:17" x14ac:dyDescent="0.35">
      <c r="A147" s="265" t="e">
        <f>VLOOKUP(A1,DIV_01Data!$A$1:$DZU$999999,2484,FALSE)</f>
        <v>#N/A</v>
      </c>
      <c r="B147" s="37" t="e">
        <f>VLOOKUP(A1,DIV_01Data!$A$1:$DZU$999999,2485,FALSE)</f>
        <v>#N/A</v>
      </c>
      <c r="C147" s="38" t="e">
        <f>VLOOKUP(A1,DIV_01Data!$A$1:$DZU$999999,2486,FALSE)</f>
        <v>#N/A</v>
      </c>
      <c r="D147" s="31" t="e">
        <f>VLOOKUP(A1,DIV_01Data!$A$1:$DZU$999999,2487,FALSE)</f>
        <v>#N/A</v>
      </c>
      <c r="E147" s="32" t="e">
        <f>VLOOKUP(A1,DIV_01Data!$A$1:$DZU$999999,2488,FALSE)</f>
        <v>#N/A</v>
      </c>
      <c r="F147" s="34" t="e">
        <f>VLOOKUP(A1,DIV_01Data!$A$1:$DZU$999999,2489,FALSE)</f>
        <v>#N/A</v>
      </c>
      <c r="G147" s="33" t="e">
        <f>VLOOKUP(A1,DIV_01Data!$A$1:$DZU$999999,2490,FALSE)</f>
        <v>#N/A</v>
      </c>
      <c r="H147" s="34" t="e">
        <f>VLOOKUP(A1,DIV_01Data!$A$1:$DZU$999999,2491,FALSE)</f>
        <v>#N/A</v>
      </c>
      <c r="I147" s="33" t="e">
        <f>VLOOKUP(A1,DIV_01Data!$A$1:$DZU$999999,2492,FALSE)</f>
        <v>#N/A</v>
      </c>
      <c r="J147" s="34" t="e">
        <f>VLOOKUP(A1,DIV_01Data!$A$1:$DZU$999999,2493,FALSE)</f>
        <v>#N/A</v>
      </c>
      <c r="K147" s="34" t="e">
        <f>VLOOKUP(A1,DIV_01Data!$A$1:$DZU$999999,2494,FALSE)</f>
        <v>#N/A</v>
      </c>
      <c r="L147" s="93" t="e">
        <f>VLOOKUP(A1,DIV_01Data!$A$1:$DZU$999999,2495,FALSE)</f>
        <v>#N/A</v>
      </c>
      <c r="M147" s="33" t="e">
        <f>VLOOKUP(A1,DIV_01Data!$A$1:$DZU$999999,2496,FALSE)</f>
        <v>#N/A</v>
      </c>
      <c r="N147" s="34" t="e">
        <f>VLOOKUP(A1,DIV_01Data!$A$1:$DZU$999999,2497,FALSE)</f>
        <v>#N/A</v>
      </c>
      <c r="O147" s="33" t="e">
        <f>VLOOKUP(A1,DIV_01Data!$A$1:$DZU$999999,2498,FALSE)</f>
        <v>#N/A</v>
      </c>
      <c r="P147" s="116" t="e">
        <f>VLOOKUP(A1,DIV_01Data!$A$1:$DZU$999999,2499,FALSE)</f>
        <v>#N/A</v>
      </c>
      <c r="Q147" s="268" t="e">
        <f>VLOOKUP(A1,DIV_01Data!$A$1:$DZU$999999,2500,FALSE)</f>
        <v>#N/A</v>
      </c>
    </row>
    <row r="148" spans="1:17" x14ac:dyDescent="0.35">
      <c r="A148" s="265" t="e">
        <f>VLOOKUP(A1,DIV_01Data!$A$1:$DZU$999999,2501,FALSE)</f>
        <v>#N/A</v>
      </c>
      <c r="B148" s="37" t="e">
        <f>VLOOKUP(A1,DIV_01Data!$A$1:$DZU$999999,2502,FALSE)</f>
        <v>#N/A</v>
      </c>
      <c r="C148" s="38" t="e">
        <f>VLOOKUP(A1,DIV_01Data!$A$1:$DZU$999999,2503,FALSE)</f>
        <v>#N/A</v>
      </c>
      <c r="D148" s="31" t="e">
        <f>VLOOKUP(A1,DIV_01Data!$A$1:$DZU$999999,2504,FALSE)</f>
        <v>#N/A</v>
      </c>
      <c r="E148" s="32" t="e">
        <f>VLOOKUP(A1,DIV_01Data!$A$1:$DZU$999999,2505,FALSE)</f>
        <v>#N/A</v>
      </c>
      <c r="F148" s="34" t="e">
        <f>VLOOKUP(A1,DIV_01Data!$A$1:$DZU$999999,2506,FALSE)</f>
        <v>#N/A</v>
      </c>
      <c r="G148" s="33" t="e">
        <f>VLOOKUP(A1,DIV_01Data!$A$1:$DZU$999999,2507,FALSE)</f>
        <v>#N/A</v>
      </c>
      <c r="H148" s="34" t="e">
        <f>VLOOKUP(A1,DIV_01Data!$A$1:$DZU$999999,2508,FALSE)</f>
        <v>#N/A</v>
      </c>
      <c r="I148" s="33" t="e">
        <f>VLOOKUP(A1,DIV_01Data!$A$1:$DZU$999999,2509,FALSE)</f>
        <v>#N/A</v>
      </c>
      <c r="J148" s="34" t="e">
        <f>VLOOKUP(A1,DIV_01Data!$A$1:$DZU$999999,2510,FALSE)</f>
        <v>#N/A</v>
      </c>
      <c r="K148" s="34" t="e">
        <f>VLOOKUP(A1,DIV_01Data!$A$1:$DZU$999999,2511,FALSE)</f>
        <v>#N/A</v>
      </c>
      <c r="L148" s="93" t="e">
        <f>VLOOKUP(A1,DIV_01Data!$A$1:$DZU$999999,2512,FALSE)</f>
        <v>#N/A</v>
      </c>
      <c r="M148" s="33" t="e">
        <f>VLOOKUP(A1,DIV_01Data!$A$1:$DZU$999999,2513,FALSE)</f>
        <v>#N/A</v>
      </c>
      <c r="N148" s="34" t="e">
        <f>VLOOKUP(A1,DIV_01Data!$A$1:$DZU$999999,2514,FALSE)</f>
        <v>#N/A</v>
      </c>
      <c r="O148" s="33" t="e">
        <f>VLOOKUP(A1,DIV_01Data!$A$1:$DZU$999999,2515,FALSE)</f>
        <v>#N/A</v>
      </c>
      <c r="P148" s="116" t="e">
        <f>VLOOKUP(A1,DIV_01Data!$A$1:$DZU$999999,2516,FALSE)</f>
        <v>#N/A</v>
      </c>
      <c r="Q148" s="268" t="e">
        <f>VLOOKUP(A1,DIV_01Data!$A$1:$DZU$999999,2517,FALSE)</f>
        <v>#N/A</v>
      </c>
    </row>
    <row r="149" spans="1:17" x14ac:dyDescent="0.35">
      <c r="A149" s="265" t="e">
        <f>VLOOKUP(A1,DIV_01Data!$A$1:$DZU$999999,2518,FALSE)</f>
        <v>#N/A</v>
      </c>
      <c r="B149" s="37" t="e">
        <f>VLOOKUP(A1,DIV_01Data!$A$1:$DZU$999999,2519,FALSE)</f>
        <v>#N/A</v>
      </c>
      <c r="C149" s="38" t="e">
        <f>VLOOKUP(A1,DIV_01Data!$A$1:$DZU$999999,2520,FALSE)</f>
        <v>#N/A</v>
      </c>
      <c r="D149" s="31" t="e">
        <f>VLOOKUP(A1,DIV_01Data!$A$1:$DZU$999999,2521,FALSE)</f>
        <v>#N/A</v>
      </c>
      <c r="E149" s="32" t="e">
        <f>VLOOKUP(A1,DIV_01Data!$A$1:$DZU$999999,2522,FALSE)</f>
        <v>#N/A</v>
      </c>
      <c r="F149" s="34" t="e">
        <f>VLOOKUP(A1,DIV_01Data!$A$1:$DZU$999999,2523,FALSE)</f>
        <v>#N/A</v>
      </c>
      <c r="G149" s="33" t="e">
        <f>VLOOKUP(A1,DIV_01Data!$A$1:$DZU$999999,2524,FALSE)</f>
        <v>#N/A</v>
      </c>
      <c r="H149" s="34" t="e">
        <f>VLOOKUP(A1,DIV_01Data!$A$1:$DZU$999999,2525,FALSE)</f>
        <v>#N/A</v>
      </c>
      <c r="I149" s="33" t="e">
        <f>VLOOKUP(A1,DIV_01Data!$A$1:$DZU$999999,2526,FALSE)</f>
        <v>#N/A</v>
      </c>
      <c r="J149" s="34" t="e">
        <f>VLOOKUP(A1,DIV_01Data!$A$1:$DZU$999999,2527,FALSE)</f>
        <v>#N/A</v>
      </c>
      <c r="K149" s="34" t="e">
        <f>VLOOKUP(A1,DIV_01Data!$A$1:$DZU$999999,2528,FALSE)</f>
        <v>#N/A</v>
      </c>
      <c r="L149" s="93" t="e">
        <f>VLOOKUP(A1,DIV_01Data!$A$1:$DZU$999999,2529,FALSE)</f>
        <v>#N/A</v>
      </c>
      <c r="M149" s="33" t="e">
        <f>VLOOKUP(A1,DIV_01Data!$A$1:$DZU$999999,2530,FALSE)</f>
        <v>#N/A</v>
      </c>
      <c r="N149" s="34" t="e">
        <f>VLOOKUP(A1,DIV_01Data!$A$1:$DZU$999999,2531,FALSE)</f>
        <v>#N/A</v>
      </c>
      <c r="O149" s="33" t="e">
        <f>VLOOKUP(A1,DIV_01Data!$A$1:$DZU$999999,2532,FALSE)</f>
        <v>#N/A</v>
      </c>
      <c r="P149" s="116" t="e">
        <f>VLOOKUP(A1,DIV_01Data!$A$1:$DZU$999999,2533,FALSE)</f>
        <v>#N/A</v>
      </c>
      <c r="Q149" s="268" t="e">
        <f>VLOOKUP(A1,DIV_01Data!$A$1:$DZU$999999,2534,FALSE)</f>
        <v>#N/A</v>
      </c>
    </row>
    <row r="150" spans="1:17" x14ac:dyDescent="0.35">
      <c r="A150" s="265" t="e">
        <f>VLOOKUP(A1,DIV_01Data!$A$1:$DZU$999999,2535,FALSE)</f>
        <v>#N/A</v>
      </c>
      <c r="B150" s="37" t="e">
        <f>VLOOKUP(A1,DIV_01Data!$A$1:$DZU$999999,2536,FALSE)</f>
        <v>#N/A</v>
      </c>
      <c r="C150" s="38" t="e">
        <f>VLOOKUP(A1,DIV_01Data!$A$1:$DZU$999999,2537,FALSE)</f>
        <v>#N/A</v>
      </c>
      <c r="D150" s="31" t="e">
        <f>VLOOKUP(A1,DIV_01Data!$A$1:$DZU$999999,2538,FALSE)</f>
        <v>#N/A</v>
      </c>
      <c r="E150" s="32" t="e">
        <f>VLOOKUP(A1,DIV_01Data!$A$1:$DZU$999999,2539,FALSE)</f>
        <v>#N/A</v>
      </c>
      <c r="F150" s="34" t="e">
        <f>VLOOKUP(A1,DIV_01Data!$A$1:$DZU$999999,2540,FALSE)</f>
        <v>#N/A</v>
      </c>
      <c r="G150" s="33" t="e">
        <f>VLOOKUP(A1,DIV_01Data!$A$1:$DZU$999999,2541,FALSE)</f>
        <v>#N/A</v>
      </c>
      <c r="H150" s="34" t="e">
        <f>VLOOKUP(A1,DIV_01Data!$A$1:$DZU$999999,2542,FALSE)</f>
        <v>#N/A</v>
      </c>
      <c r="I150" s="33" t="e">
        <f>VLOOKUP(A1,DIV_01Data!$A$1:$DZU$999999,2543,FALSE)</f>
        <v>#N/A</v>
      </c>
      <c r="J150" s="34" t="e">
        <f>VLOOKUP(A1,DIV_01Data!$A$1:$DZU$999999,2544,FALSE)</f>
        <v>#N/A</v>
      </c>
      <c r="K150" s="34" t="e">
        <f>VLOOKUP(A1,DIV_01Data!$A$1:$DZU$999999,2545,FALSE)</f>
        <v>#N/A</v>
      </c>
      <c r="L150" s="93" t="e">
        <f>VLOOKUP(A1,DIV_01Data!$A$1:$DZU$999999,2546,FALSE)</f>
        <v>#N/A</v>
      </c>
      <c r="M150" s="33" t="e">
        <f>VLOOKUP(A1,DIV_01Data!$A$1:$DZU$999999,2547,FALSE)</f>
        <v>#N/A</v>
      </c>
      <c r="N150" s="34" t="e">
        <f>VLOOKUP(A1,DIV_01Data!$A$1:$DZU$999999,2548,FALSE)</f>
        <v>#N/A</v>
      </c>
      <c r="O150" s="33" t="e">
        <f>VLOOKUP(A1,DIV_01Data!$A$1:$DZU$999999,2549,FALSE)</f>
        <v>#N/A</v>
      </c>
      <c r="P150" s="116" t="e">
        <f>VLOOKUP(A1,DIV_01Data!$A$1:$DZU$999999,2550,FALSE)</f>
        <v>#N/A</v>
      </c>
      <c r="Q150" s="268" t="e">
        <f>VLOOKUP(A1,DIV_01Data!$A$1:$DZU$999999,2551,FALSE)</f>
        <v>#N/A</v>
      </c>
    </row>
    <row r="151" spans="1:17" x14ac:dyDescent="0.35">
      <c r="A151" s="265" t="e">
        <f>VLOOKUP(A1,DIV_01Data!$A$1:$DZU$999999,2552,FALSE)</f>
        <v>#N/A</v>
      </c>
      <c r="B151" s="37" t="e">
        <f>VLOOKUP(A1,DIV_01Data!$A$1:$DZU$999999,2553,FALSE)</f>
        <v>#N/A</v>
      </c>
      <c r="C151" s="38" t="e">
        <f>VLOOKUP(A1,DIV_01Data!$A$1:$DZU$999999,2554,FALSE)</f>
        <v>#N/A</v>
      </c>
      <c r="D151" s="31" t="e">
        <f>VLOOKUP(A1,DIV_01Data!$A$1:$DZU$999999,2555,FALSE)</f>
        <v>#N/A</v>
      </c>
      <c r="E151" s="32" t="e">
        <f>VLOOKUP(A1,DIV_01Data!$A$1:$DZU$999999,2556,FALSE)</f>
        <v>#N/A</v>
      </c>
      <c r="F151" s="34" t="e">
        <f>VLOOKUP(A1,DIV_01Data!$A$1:$DZU$999999,2557,FALSE)</f>
        <v>#N/A</v>
      </c>
      <c r="G151" s="33" t="e">
        <f>VLOOKUP(A1,DIV_01Data!$A$1:$DZU$999999,2558,FALSE)</f>
        <v>#N/A</v>
      </c>
      <c r="H151" s="34" t="e">
        <f>VLOOKUP(A1,DIV_01Data!$A$1:$DZU$999999,2559,FALSE)</f>
        <v>#N/A</v>
      </c>
      <c r="I151" s="33" t="e">
        <f>VLOOKUP(A1,DIV_01Data!$A$1:$DZU$999999,2560,FALSE)</f>
        <v>#N/A</v>
      </c>
      <c r="J151" s="34" t="e">
        <f>VLOOKUP(A1,DIV_01Data!$A$1:$DZU$999999,2561,FALSE)</f>
        <v>#N/A</v>
      </c>
      <c r="K151" s="34" t="e">
        <f>VLOOKUP(A1,DIV_01Data!$A$1:$DZU$999999,2562,FALSE)</f>
        <v>#N/A</v>
      </c>
      <c r="L151" s="93" t="e">
        <f>VLOOKUP(A1,DIV_01Data!$A$1:$DZU$999999,2563,FALSE)</f>
        <v>#N/A</v>
      </c>
      <c r="M151" s="33" t="e">
        <f>VLOOKUP(A1,DIV_01Data!$A$1:$DZU$999999,2564,FALSE)</f>
        <v>#N/A</v>
      </c>
      <c r="N151" s="34" t="e">
        <f>VLOOKUP(A1,DIV_01Data!$A$1:$DZU$999999,2565,FALSE)</f>
        <v>#N/A</v>
      </c>
      <c r="O151" s="33" t="e">
        <f>VLOOKUP(A1,DIV_01Data!$A$1:$DZU$999999,2566,FALSE)</f>
        <v>#N/A</v>
      </c>
      <c r="P151" s="116" t="e">
        <f>VLOOKUP(A1,DIV_01Data!$A$1:$DZU$999999,2567,FALSE)</f>
        <v>#N/A</v>
      </c>
      <c r="Q151" s="268" t="e">
        <f>VLOOKUP(A1,DIV_01Data!$A$1:$DZU$999999,2568,FALSE)</f>
        <v>#N/A</v>
      </c>
    </row>
    <row r="152" spans="1:17" x14ac:dyDescent="0.35">
      <c r="A152" s="265" t="e">
        <f>VLOOKUP(A1,DIV_01Data!$A$1:$DZU$999999,2569,FALSE)</f>
        <v>#N/A</v>
      </c>
      <c r="B152" s="37" t="e">
        <f>VLOOKUP(A1,DIV_01Data!$A$1:$DZU$999999,2570,FALSE)</f>
        <v>#N/A</v>
      </c>
      <c r="C152" s="38" t="e">
        <f>VLOOKUP(A1,DIV_01Data!$A$1:$DZU$999999,2571,FALSE)</f>
        <v>#N/A</v>
      </c>
      <c r="D152" s="31" t="e">
        <f>VLOOKUP(A1,DIV_01Data!$A$1:$DZU$999999,2572,FALSE)</f>
        <v>#N/A</v>
      </c>
      <c r="E152" s="32" t="e">
        <f>VLOOKUP(A1,DIV_01Data!$A$1:$DZU$999999,2573,FALSE)</f>
        <v>#N/A</v>
      </c>
      <c r="F152" s="34" t="e">
        <f>VLOOKUP(A1,DIV_01Data!$A$1:$DZU$999999,2574,FALSE)</f>
        <v>#N/A</v>
      </c>
      <c r="G152" s="33" t="e">
        <f>VLOOKUP(A1,DIV_01Data!$A$1:$DZU$999999,2575,FALSE)</f>
        <v>#N/A</v>
      </c>
      <c r="H152" s="34" t="e">
        <f>VLOOKUP(A1,DIV_01Data!$A$1:$DZU$999999,2576,FALSE)</f>
        <v>#N/A</v>
      </c>
      <c r="I152" s="33" t="e">
        <f>VLOOKUP(A1,DIV_01Data!$A$1:$DZU$999999,2577,FALSE)</f>
        <v>#N/A</v>
      </c>
      <c r="J152" s="34" t="e">
        <f>VLOOKUP(A1,DIV_01Data!$A$1:$DZU$999999,2578,FALSE)</f>
        <v>#N/A</v>
      </c>
      <c r="K152" s="34" t="e">
        <f>VLOOKUP(A1,DIV_01Data!$A$1:$DZU$999999,2579,FALSE)</f>
        <v>#N/A</v>
      </c>
      <c r="L152" s="93" t="e">
        <f>VLOOKUP(A1,DIV_01Data!$A$1:$DZU$999999,2580,FALSE)</f>
        <v>#N/A</v>
      </c>
      <c r="M152" s="33" t="e">
        <f>VLOOKUP(A1,DIV_01Data!$A$1:$DZU$999999,2581,FALSE)</f>
        <v>#N/A</v>
      </c>
      <c r="N152" s="34" t="e">
        <f>VLOOKUP(A1,DIV_01Data!$A$1:$DZU$999999,2582,FALSE)</f>
        <v>#N/A</v>
      </c>
      <c r="O152" s="33" t="e">
        <f>VLOOKUP(A1,DIV_01Data!$A$1:$DZU$999999,2583,FALSE)</f>
        <v>#N/A</v>
      </c>
      <c r="P152" s="116" t="e">
        <f>VLOOKUP(A1,DIV_01Data!$A$1:$DZU$999999,2584,FALSE)</f>
        <v>#N/A</v>
      </c>
      <c r="Q152" s="268" t="e">
        <f>VLOOKUP(A1,DIV_01Data!$A$1:$DZU$999999,2585,FALSE)</f>
        <v>#N/A</v>
      </c>
    </row>
    <row r="153" spans="1:17" x14ac:dyDescent="0.35">
      <c r="A153" s="265" t="e">
        <f>VLOOKUP(A1,DIV_01Data!$A$1:$DZU$999999,2586,FALSE)</f>
        <v>#N/A</v>
      </c>
      <c r="B153" s="37" t="e">
        <f>VLOOKUP(A1,DIV_01Data!$A$1:$DZU$999999,2587,FALSE)</f>
        <v>#N/A</v>
      </c>
      <c r="C153" s="38" t="e">
        <f>VLOOKUP(A1,DIV_01Data!$A$1:$DZU$999999,2588,FALSE)</f>
        <v>#N/A</v>
      </c>
      <c r="D153" s="31" t="e">
        <f>VLOOKUP(A1,DIV_01Data!$A$1:$DZU$999999,2589,FALSE)</f>
        <v>#N/A</v>
      </c>
      <c r="E153" s="32" t="e">
        <f>VLOOKUP(A1,DIV_01Data!$A$1:$DZU$999999,2590,FALSE)</f>
        <v>#N/A</v>
      </c>
      <c r="F153" s="34" t="e">
        <f>VLOOKUP(A1,DIV_01Data!$A$1:$DZU$999999,2591,FALSE)</f>
        <v>#N/A</v>
      </c>
      <c r="G153" s="33" t="e">
        <f>VLOOKUP(A1,DIV_01Data!$A$1:$DZU$999999,2592,FALSE)</f>
        <v>#N/A</v>
      </c>
      <c r="H153" s="34" t="e">
        <f>VLOOKUP(A1,DIV_01Data!$A$1:$DZU$999999,2593,FALSE)</f>
        <v>#N/A</v>
      </c>
      <c r="I153" s="33" t="e">
        <f>VLOOKUP(A1,DIV_01Data!$A$1:$DZU$999999,2594,FALSE)</f>
        <v>#N/A</v>
      </c>
      <c r="J153" s="34" t="e">
        <f>VLOOKUP(A1,DIV_01Data!$A$1:$DZU$999999,2595,FALSE)</f>
        <v>#N/A</v>
      </c>
      <c r="K153" s="34" t="e">
        <f>VLOOKUP(A1,DIV_01Data!$A$1:$DZU$999999,2596,FALSE)</f>
        <v>#N/A</v>
      </c>
      <c r="L153" s="93" t="e">
        <f>VLOOKUP(A1,DIV_01Data!$A$1:$DZU$999999,2597,FALSE)</f>
        <v>#N/A</v>
      </c>
      <c r="M153" s="33" t="e">
        <f>VLOOKUP(A1,DIV_01Data!$A$1:$DZU$999999,2598,FALSE)</f>
        <v>#N/A</v>
      </c>
      <c r="N153" s="34" t="e">
        <f>VLOOKUP(A1,DIV_01Data!$A$1:$DZU$999999,2599,FALSE)</f>
        <v>#N/A</v>
      </c>
      <c r="O153" s="33" t="e">
        <f>VLOOKUP(A1,DIV_01Data!$A$1:$DZU$999999,2600,FALSE)</f>
        <v>#N/A</v>
      </c>
      <c r="P153" s="116" t="e">
        <f>VLOOKUP(A1,DIV_01Data!$A$1:$DZU$999999,2601,FALSE)</f>
        <v>#N/A</v>
      </c>
      <c r="Q153" s="268" t="e">
        <f>VLOOKUP(A1,DIV_01Data!$A$1:$DZU$999999,2602,FALSE)</f>
        <v>#N/A</v>
      </c>
    </row>
    <row r="154" spans="1:17" x14ac:dyDescent="0.35">
      <c r="A154" s="265" t="e">
        <f>VLOOKUP(A1,DIV_01Data!$A$1:$DZU$999999,2603,FALSE)</f>
        <v>#N/A</v>
      </c>
      <c r="B154" s="37" t="e">
        <f>VLOOKUP(A1,DIV_01Data!$A$1:$DZU$999999,2604,FALSE)</f>
        <v>#N/A</v>
      </c>
      <c r="C154" s="38" t="e">
        <f>VLOOKUP(A1,DIV_01Data!$A$1:$DZU$999999,2605,FALSE)</f>
        <v>#N/A</v>
      </c>
      <c r="D154" s="31" t="e">
        <f>VLOOKUP(A1,DIV_01Data!$A$1:$DZU$999999,2606,FALSE)</f>
        <v>#N/A</v>
      </c>
      <c r="E154" s="32" t="e">
        <f>VLOOKUP(A1,DIV_01Data!$A$1:$DZU$999999,2607,FALSE)</f>
        <v>#N/A</v>
      </c>
      <c r="F154" s="34" t="e">
        <f>VLOOKUP(A1,DIV_01Data!$A$1:$DZU$999999,2608,FALSE)</f>
        <v>#N/A</v>
      </c>
      <c r="G154" s="33" t="e">
        <f>VLOOKUP(A1,DIV_01Data!$A$1:$DZU$999999,2609,FALSE)</f>
        <v>#N/A</v>
      </c>
      <c r="H154" s="34" t="e">
        <f>VLOOKUP(A1,DIV_01Data!$A$1:$DZU$999999,2610,FALSE)</f>
        <v>#N/A</v>
      </c>
      <c r="I154" s="33" t="e">
        <f>VLOOKUP(A1,DIV_01Data!$A$1:$DZU$999999,2611,FALSE)</f>
        <v>#N/A</v>
      </c>
      <c r="J154" s="34" t="e">
        <f>VLOOKUP(A1,DIV_01Data!$A$1:$DZU$999999,2612,FALSE)</f>
        <v>#N/A</v>
      </c>
      <c r="K154" s="34" t="e">
        <f>VLOOKUP(A1,DIV_01Data!$A$1:$DZU$999999,2613,FALSE)</f>
        <v>#N/A</v>
      </c>
      <c r="L154" s="93" t="e">
        <f>VLOOKUP(A1,DIV_01Data!$A$1:$DZU$999999,2614,FALSE)</f>
        <v>#N/A</v>
      </c>
      <c r="M154" s="33" t="e">
        <f>VLOOKUP(A1,DIV_01Data!$A$1:$DZU$999999,2615,FALSE)</f>
        <v>#N/A</v>
      </c>
      <c r="N154" s="34" t="e">
        <f>VLOOKUP(A1,DIV_01Data!$A$1:$DZU$999999,2616,FALSE)</f>
        <v>#N/A</v>
      </c>
      <c r="O154" s="33" t="e">
        <f>VLOOKUP(A1,DIV_01Data!$A$1:$DZU$999999,2617,FALSE)</f>
        <v>#N/A</v>
      </c>
      <c r="P154" s="116" t="e">
        <f>VLOOKUP(A1,DIV_01Data!$A$1:$DZU$999999,2618,FALSE)</f>
        <v>#N/A</v>
      </c>
      <c r="Q154" s="268" t="e">
        <f>VLOOKUP(A1,DIV_01Data!$A$1:$DZU$999999,2619,FALSE)</f>
        <v>#N/A</v>
      </c>
    </row>
    <row r="155" spans="1:17" x14ac:dyDescent="0.35">
      <c r="A155" s="265" t="e">
        <f>VLOOKUP(A1,DIV_01Data!$A$1:$DZU$999999,2620,FALSE)</f>
        <v>#N/A</v>
      </c>
      <c r="B155" s="37" t="e">
        <f>VLOOKUP(A1,DIV_01Data!$A$1:$DZU$999999,2621,FALSE)</f>
        <v>#N/A</v>
      </c>
      <c r="C155" s="38" t="e">
        <f>VLOOKUP(A1,DIV_01Data!$A$1:$DZU$999999,2622,FALSE)</f>
        <v>#N/A</v>
      </c>
      <c r="D155" s="31" t="e">
        <f>VLOOKUP(A1,DIV_01Data!$A$1:$DZU$999999,2623,FALSE)</f>
        <v>#N/A</v>
      </c>
      <c r="E155" s="32" t="e">
        <f>VLOOKUP(A1,DIV_01Data!$A$1:$DZU$999999,2624,FALSE)</f>
        <v>#N/A</v>
      </c>
      <c r="F155" s="34" t="e">
        <f>VLOOKUP(A1,DIV_01Data!$A$1:$DZU$999999,2625,FALSE)</f>
        <v>#N/A</v>
      </c>
      <c r="G155" s="33" t="e">
        <f>VLOOKUP(A1,DIV_01Data!$A$1:$DZU$999999,2626,FALSE)</f>
        <v>#N/A</v>
      </c>
      <c r="H155" s="34" t="e">
        <f>VLOOKUP(A1,DIV_01Data!$A$1:$DZU$999999,2627,FALSE)</f>
        <v>#N/A</v>
      </c>
      <c r="I155" s="33" t="e">
        <f>VLOOKUP(A1,DIV_01Data!$A$1:$DZU$999999,2628,FALSE)</f>
        <v>#N/A</v>
      </c>
      <c r="J155" s="34" t="e">
        <f>VLOOKUP(A1,DIV_01Data!$A$1:$DZU$999999,2629,FALSE)</f>
        <v>#N/A</v>
      </c>
      <c r="K155" s="34" t="e">
        <f>VLOOKUP(A1,DIV_01Data!$A$1:$DZU$999999,2630,FALSE)</f>
        <v>#N/A</v>
      </c>
      <c r="L155" s="93" t="e">
        <f>VLOOKUP(A1,DIV_01Data!$A$1:$DZU$999999,2631,FALSE)</f>
        <v>#N/A</v>
      </c>
      <c r="M155" s="33" t="e">
        <f>VLOOKUP(A1,DIV_01Data!$A$1:$DZU$999999,2632,FALSE)</f>
        <v>#N/A</v>
      </c>
      <c r="N155" s="34" t="e">
        <f>VLOOKUP(A1,DIV_01Data!$A$1:$DZU$999999,2633,FALSE)</f>
        <v>#N/A</v>
      </c>
      <c r="O155" s="33" t="e">
        <f>VLOOKUP(A1,DIV_01Data!$A$1:$DZU$999999,2634,FALSE)</f>
        <v>#N/A</v>
      </c>
      <c r="P155" s="116" t="e">
        <f>VLOOKUP(A1,DIV_01Data!$A$1:$DZU$999999,2635,FALSE)</f>
        <v>#N/A</v>
      </c>
      <c r="Q155" s="268" t="e">
        <f>VLOOKUP(A1,DIV_01Data!$A$1:$DZU$999999,2636,FALSE)</f>
        <v>#N/A</v>
      </c>
    </row>
    <row r="156" spans="1:17" x14ac:dyDescent="0.35">
      <c r="A156" s="265" t="e">
        <f>VLOOKUP(A1,DIV_01Data!$A$1:$DZU$999999,2637,FALSE)</f>
        <v>#N/A</v>
      </c>
      <c r="B156" s="37" t="e">
        <f>VLOOKUP(A1,DIV_01Data!$A$1:$DZU$999999,2638,FALSE)</f>
        <v>#N/A</v>
      </c>
      <c r="C156" s="38" t="e">
        <f>VLOOKUP(A1,DIV_01Data!$A$1:$DZU$999999,2639,FALSE)</f>
        <v>#N/A</v>
      </c>
      <c r="D156" s="31" t="e">
        <f>VLOOKUP(A1,DIV_01Data!$A$1:$DZU$999999,2640,FALSE)</f>
        <v>#N/A</v>
      </c>
      <c r="E156" s="32" t="e">
        <f>VLOOKUP(A1,DIV_01Data!$A$1:$DZU$999999,2641,FALSE)</f>
        <v>#N/A</v>
      </c>
      <c r="F156" s="34" t="e">
        <f>VLOOKUP(A1,DIV_01Data!$A$1:$DZU$999999,2642,FALSE)</f>
        <v>#N/A</v>
      </c>
      <c r="G156" s="33" t="e">
        <f>VLOOKUP(A1,DIV_01Data!$A$1:$DZU$999999,2643,FALSE)</f>
        <v>#N/A</v>
      </c>
      <c r="H156" s="34" t="e">
        <f>VLOOKUP(A1,DIV_01Data!$A$1:$DZU$999999,2644,FALSE)</f>
        <v>#N/A</v>
      </c>
      <c r="I156" s="33" t="e">
        <f>VLOOKUP(A1,DIV_01Data!$A$1:$DZU$999999,2645,FALSE)</f>
        <v>#N/A</v>
      </c>
      <c r="J156" s="34" t="e">
        <f>VLOOKUP(A1,DIV_01Data!$A$1:$DZU$999999,2646,FALSE)</f>
        <v>#N/A</v>
      </c>
      <c r="K156" s="34" t="e">
        <f>VLOOKUP(A1,DIV_01Data!$A$1:$DZU$999999,2647,FALSE)</f>
        <v>#N/A</v>
      </c>
      <c r="L156" s="93" t="e">
        <f>VLOOKUP(A1,DIV_01Data!$A$1:$DZU$999999,2648,FALSE)</f>
        <v>#N/A</v>
      </c>
      <c r="M156" s="33" t="e">
        <f>VLOOKUP(A1,DIV_01Data!$A$1:$DZU$999999,2649,FALSE)</f>
        <v>#N/A</v>
      </c>
      <c r="N156" s="34" t="e">
        <f>VLOOKUP(A1,DIV_01Data!$A$1:$DZU$999999,2650,FALSE)</f>
        <v>#N/A</v>
      </c>
      <c r="O156" s="33" t="e">
        <f>VLOOKUP(A1,DIV_01Data!$A$1:$DZU$999999,2651,FALSE)</f>
        <v>#N/A</v>
      </c>
      <c r="P156" s="116" t="e">
        <f>VLOOKUP(A1,DIV_01Data!$A$1:$DZU$999999,2652,FALSE)</f>
        <v>#N/A</v>
      </c>
      <c r="Q156" s="268" t="e">
        <f>VLOOKUP(A1,DIV_01Data!$A$1:$DZU$999999,2653,FALSE)</f>
        <v>#N/A</v>
      </c>
    </row>
    <row r="157" spans="1:17" x14ac:dyDescent="0.35">
      <c r="A157" s="265" t="e">
        <f>VLOOKUP(A1,DIV_01Data!$A$1:$DZU$999999,2654,FALSE)</f>
        <v>#N/A</v>
      </c>
      <c r="B157" s="37" t="e">
        <f>VLOOKUP(A1,DIV_01Data!$A$1:$DZU$999999,2655,FALSE)</f>
        <v>#N/A</v>
      </c>
      <c r="C157" s="38" t="e">
        <f>VLOOKUP(A1,DIV_01Data!$A$1:$DZU$999999,2656,FALSE)</f>
        <v>#N/A</v>
      </c>
      <c r="D157" s="31" t="e">
        <f>VLOOKUP(A1,DIV_01Data!$A$1:$DZU$999999,2657,FALSE)</f>
        <v>#N/A</v>
      </c>
      <c r="E157" s="32" t="e">
        <f>VLOOKUP(A1,DIV_01Data!$A$1:$DZU$999999,2658,FALSE)</f>
        <v>#N/A</v>
      </c>
      <c r="F157" s="34" t="e">
        <f>VLOOKUP(A1,DIV_01Data!$A$1:$DZU$999999,2659,FALSE)</f>
        <v>#N/A</v>
      </c>
      <c r="G157" s="33" t="e">
        <f>VLOOKUP(A1,DIV_01Data!$A$1:$DZU$999999,2660,FALSE)</f>
        <v>#N/A</v>
      </c>
      <c r="H157" s="34" t="e">
        <f>VLOOKUP(A1,DIV_01Data!$A$1:$DZU$999999,2661,FALSE)</f>
        <v>#N/A</v>
      </c>
      <c r="I157" s="33" t="e">
        <f>VLOOKUP(A1,DIV_01Data!$A$1:$DZU$999999,2662,FALSE)</f>
        <v>#N/A</v>
      </c>
      <c r="J157" s="34" t="e">
        <f>VLOOKUP(A1,DIV_01Data!$A$1:$DZU$999999,2663,FALSE)</f>
        <v>#N/A</v>
      </c>
      <c r="K157" s="34" t="e">
        <f>VLOOKUP(A1,DIV_01Data!$A$1:$DZU$999999,2664,FALSE)</f>
        <v>#N/A</v>
      </c>
      <c r="L157" s="93" t="e">
        <f>VLOOKUP(A1,DIV_01Data!$A$1:$DZU$999999,2665,FALSE)</f>
        <v>#N/A</v>
      </c>
      <c r="M157" s="33" t="e">
        <f>VLOOKUP(A1,DIV_01Data!$A$1:$DZU$999999,2666,FALSE)</f>
        <v>#N/A</v>
      </c>
      <c r="N157" s="34" t="e">
        <f>VLOOKUP(A1,DIV_01Data!$A$1:$DZU$999999,2667,FALSE)</f>
        <v>#N/A</v>
      </c>
      <c r="O157" s="33" t="e">
        <f>VLOOKUP(A1,DIV_01Data!$A$1:$DZU$999999,2668,FALSE)</f>
        <v>#N/A</v>
      </c>
      <c r="P157" s="116" t="e">
        <f>VLOOKUP(A1,DIV_01Data!$A$1:$DZU$999999,2669,FALSE)</f>
        <v>#N/A</v>
      </c>
      <c r="Q157" s="268" t="e">
        <f>VLOOKUP(A1,DIV_01Data!$A$1:$DZU$999999,2670,FALSE)</f>
        <v>#N/A</v>
      </c>
    </row>
    <row r="158" spans="1:17" x14ac:dyDescent="0.35">
      <c r="A158" s="265" t="e">
        <f>VLOOKUP(A1,DIV_01Data!$A$1:$DZU$999999,2671,FALSE)</f>
        <v>#N/A</v>
      </c>
      <c r="B158" s="37" t="e">
        <f>VLOOKUP(A1,DIV_01Data!$A$1:$DZU$999999,2672,FALSE)</f>
        <v>#N/A</v>
      </c>
      <c r="C158" s="38" t="e">
        <f>VLOOKUP(A1,DIV_01Data!$A$1:$DZU$999999,2673,FALSE)</f>
        <v>#N/A</v>
      </c>
      <c r="D158" s="31" t="e">
        <f>VLOOKUP(A1,DIV_01Data!$A$1:$DZU$999999,2674,FALSE)</f>
        <v>#N/A</v>
      </c>
      <c r="E158" s="32" t="e">
        <f>VLOOKUP(A1,DIV_01Data!$A$1:$DZU$999999,2675,FALSE)</f>
        <v>#N/A</v>
      </c>
      <c r="F158" s="34" t="e">
        <f>VLOOKUP(A1,DIV_01Data!$A$1:$DZU$999999,2676,FALSE)</f>
        <v>#N/A</v>
      </c>
      <c r="G158" s="33" t="e">
        <f>VLOOKUP(A1,DIV_01Data!$A$1:$DZU$999999,2677,FALSE)</f>
        <v>#N/A</v>
      </c>
      <c r="H158" s="34" t="e">
        <f>VLOOKUP(A1,DIV_01Data!$A$1:$DZU$999999,2678,FALSE)</f>
        <v>#N/A</v>
      </c>
      <c r="I158" s="33" t="e">
        <f>VLOOKUP(A1,DIV_01Data!$A$1:$DZU$999999,2679,FALSE)</f>
        <v>#N/A</v>
      </c>
      <c r="J158" s="34" t="e">
        <f>VLOOKUP(A1,DIV_01Data!$A$1:$DZU$999999,2680,FALSE)</f>
        <v>#N/A</v>
      </c>
      <c r="K158" s="34" t="e">
        <f>VLOOKUP(A1,DIV_01Data!$A$1:$DZU$999999,2681,FALSE)</f>
        <v>#N/A</v>
      </c>
      <c r="L158" s="93" t="e">
        <f>VLOOKUP(A1,DIV_01Data!$A$1:$DZU$999999,2682,FALSE)</f>
        <v>#N/A</v>
      </c>
      <c r="M158" s="33" t="e">
        <f>VLOOKUP(A1,DIV_01Data!$A$1:$DZU$999999,2683,FALSE)</f>
        <v>#N/A</v>
      </c>
      <c r="N158" s="34" t="e">
        <f>VLOOKUP(A1,DIV_01Data!$A$1:$DZU$999999,2684,FALSE)</f>
        <v>#N/A</v>
      </c>
      <c r="O158" s="33" t="e">
        <f>VLOOKUP(A1,DIV_01Data!$A$1:$DZU$999999,2685,FALSE)</f>
        <v>#N/A</v>
      </c>
      <c r="P158" s="116" t="e">
        <f>VLOOKUP(A1,DIV_01Data!$A$1:$DZU$999999,2686,FALSE)</f>
        <v>#N/A</v>
      </c>
      <c r="Q158" s="268" t="e">
        <f>VLOOKUP(A1,DIV_01Data!$A$1:$DZU$999999,2687,FALSE)</f>
        <v>#N/A</v>
      </c>
    </row>
    <row r="159" spans="1:17" x14ac:dyDescent="0.35">
      <c r="A159" s="265" t="e">
        <f>VLOOKUP(A1,DIV_01Data!$A$1:$DZU$999999,2688,FALSE)</f>
        <v>#N/A</v>
      </c>
      <c r="B159" s="37" t="e">
        <f>VLOOKUP(A1,DIV_01Data!$A$1:$DZU$999999,2689,FALSE)</f>
        <v>#N/A</v>
      </c>
      <c r="C159" s="38" t="e">
        <f>VLOOKUP(A1,DIV_01Data!$A$1:$DZU$999999,2690,FALSE)</f>
        <v>#N/A</v>
      </c>
      <c r="D159" s="31" t="e">
        <f>VLOOKUP(A1,DIV_01Data!$A$1:$DZU$999999,2691,FALSE)</f>
        <v>#N/A</v>
      </c>
      <c r="E159" s="32" t="e">
        <f>VLOOKUP(A1,DIV_01Data!$A$1:$DZU$999999,2692,FALSE)</f>
        <v>#N/A</v>
      </c>
      <c r="F159" s="34" t="e">
        <f>VLOOKUP(A1,DIV_01Data!$A$1:$DZU$999999,2693,FALSE)</f>
        <v>#N/A</v>
      </c>
      <c r="G159" s="33" t="e">
        <f>VLOOKUP(A1,DIV_01Data!$A$1:$DZU$999999,2694,FALSE)</f>
        <v>#N/A</v>
      </c>
      <c r="H159" s="34" t="e">
        <f>VLOOKUP(A1,DIV_01Data!$A$1:$DZU$999999,2695,FALSE)</f>
        <v>#N/A</v>
      </c>
      <c r="I159" s="33" t="e">
        <f>VLOOKUP(A1,DIV_01Data!$A$1:$DZU$999999,2696,FALSE)</f>
        <v>#N/A</v>
      </c>
      <c r="J159" s="34" t="e">
        <f>VLOOKUP(A1,DIV_01Data!$A$1:$DZU$999999,2697,FALSE)</f>
        <v>#N/A</v>
      </c>
      <c r="K159" s="34" t="e">
        <f>VLOOKUP(A1,DIV_01Data!$A$1:$DZU$999999,2698,FALSE)</f>
        <v>#N/A</v>
      </c>
      <c r="L159" s="93" t="e">
        <f>VLOOKUP(A1,DIV_01Data!$A$1:$DZU$999999,2699,FALSE)</f>
        <v>#N/A</v>
      </c>
      <c r="M159" s="33" t="e">
        <f>VLOOKUP(A1,DIV_01Data!$A$1:$DZU$999999,2700,FALSE)</f>
        <v>#N/A</v>
      </c>
      <c r="N159" s="34" t="e">
        <f>VLOOKUP(A1,DIV_01Data!$A$1:$DZU$999999,2701,FALSE)</f>
        <v>#N/A</v>
      </c>
      <c r="O159" s="33" t="e">
        <f>VLOOKUP(A1,DIV_01Data!$A$1:$DZU$999999,2702,FALSE)</f>
        <v>#N/A</v>
      </c>
      <c r="P159" s="116" t="e">
        <f>VLOOKUP(A1,DIV_01Data!$A$1:$DZU$999999,2703,FALSE)</f>
        <v>#N/A</v>
      </c>
      <c r="Q159" s="268" t="e">
        <f>VLOOKUP(A1,DIV_01Data!$A$1:$DZU$999999,2704,FALSE)</f>
        <v>#N/A</v>
      </c>
    </row>
    <row r="160" spans="1:17" x14ac:dyDescent="0.35">
      <c r="A160" s="265" t="e">
        <f>VLOOKUP(A1,DIV_01Data!$A$1:$DZU$999999,2705,FALSE)</f>
        <v>#N/A</v>
      </c>
      <c r="B160" s="37" t="e">
        <f>VLOOKUP(A1,DIV_01Data!$A$1:$DZU$999999,2706,FALSE)</f>
        <v>#N/A</v>
      </c>
      <c r="C160" s="38" t="e">
        <f>VLOOKUP(A1,DIV_01Data!$A$1:$DZU$999999,2707,FALSE)</f>
        <v>#N/A</v>
      </c>
      <c r="D160" s="31" t="e">
        <f>VLOOKUP(A1,DIV_01Data!$A$1:$DZU$999999,2708,FALSE)</f>
        <v>#N/A</v>
      </c>
      <c r="E160" s="32" t="e">
        <f>VLOOKUP(A1,DIV_01Data!$A$1:$DZU$999999,2709,FALSE)</f>
        <v>#N/A</v>
      </c>
      <c r="F160" s="34" t="e">
        <f>VLOOKUP(A1,DIV_01Data!$A$1:$DZU$999999,2710,FALSE)</f>
        <v>#N/A</v>
      </c>
      <c r="G160" s="33" t="e">
        <f>VLOOKUP(A1,DIV_01Data!$A$1:$DZU$999999,2711,FALSE)</f>
        <v>#N/A</v>
      </c>
      <c r="H160" s="34" t="e">
        <f>VLOOKUP(A1,DIV_01Data!$A$1:$DZU$999999,2712,FALSE)</f>
        <v>#N/A</v>
      </c>
      <c r="I160" s="33" t="e">
        <f>VLOOKUP(A1,DIV_01Data!$A$1:$DZU$999999,2713,FALSE)</f>
        <v>#N/A</v>
      </c>
      <c r="J160" s="34" t="e">
        <f>VLOOKUP(A1,DIV_01Data!$A$1:$DZU$999999,2714,FALSE)</f>
        <v>#N/A</v>
      </c>
      <c r="K160" s="34" t="e">
        <f>VLOOKUP(A1,DIV_01Data!$A$1:$DZU$999999,2715,FALSE)</f>
        <v>#N/A</v>
      </c>
      <c r="L160" s="93" t="e">
        <f>VLOOKUP(A1,DIV_01Data!$A$1:$DZU$999999,2716,FALSE)</f>
        <v>#N/A</v>
      </c>
      <c r="M160" s="33" t="e">
        <f>VLOOKUP(A1,DIV_01Data!$A$1:$DZU$999999,2717,FALSE)</f>
        <v>#N/A</v>
      </c>
      <c r="N160" s="34" t="e">
        <f>VLOOKUP(A1,DIV_01Data!$A$1:$DZU$999999,2718,FALSE)</f>
        <v>#N/A</v>
      </c>
      <c r="O160" s="33" t="e">
        <f>VLOOKUP(A1,DIV_01Data!$A$1:$DZU$999999,2719,FALSE)</f>
        <v>#N/A</v>
      </c>
      <c r="P160" s="116" t="e">
        <f>VLOOKUP(A1,DIV_01Data!$A$1:$DZU$999999,2720,FALSE)</f>
        <v>#N/A</v>
      </c>
      <c r="Q160" s="268" t="e">
        <f>VLOOKUP(A1,DIV_01Data!$A$1:$DZU$999999,2721,FALSE)</f>
        <v>#N/A</v>
      </c>
    </row>
    <row r="161" spans="1:17" x14ac:dyDescent="0.35">
      <c r="A161" s="265" t="e">
        <f>VLOOKUP(A1,DIV_01Data!$A$1:$DZU$999999,2722,FALSE)</f>
        <v>#N/A</v>
      </c>
      <c r="B161" s="37" t="e">
        <f>VLOOKUP(A1,DIV_01Data!$A$1:$DZU$999999,2723,FALSE)</f>
        <v>#N/A</v>
      </c>
      <c r="C161" s="38" t="e">
        <f>VLOOKUP(A1,DIV_01Data!$A$1:$DZU$999999,2724,FALSE)</f>
        <v>#N/A</v>
      </c>
      <c r="D161" s="31" t="e">
        <f>VLOOKUP(A1,DIV_01Data!$A$1:$DZU$999999,2725,FALSE)</f>
        <v>#N/A</v>
      </c>
      <c r="E161" s="32" t="e">
        <f>VLOOKUP(A1,DIV_01Data!$A$1:$DZU$999999,2726,FALSE)</f>
        <v>#N/A</v>
      </c>
      <c r="F161" s="34" t="e">
        <f>VLOOKUP(A1,DIV_01Data!$A$1:$DZU$999999,2727,FALSE)</f>
        <v>#N/A</v>
      </c>
      <c r="G161" s="33" t="e">
        <f>VLOOKUP(A1,DIV_01Data!$A$1:$DZU$999999,2728,FALSE)</f>
        <v>#N/A</v>
      </c>
      <c r="H161" s="34" t="e">
        <f>VLOOKUP(A1,DIV_01Data!$A$1:$DZU$999999,2729,FALSE)</f>
        <v>#N/A</v>
      </c>
      <c r="I161" s="33" t="e">
        <f>VLOOKUP(A1,DIV_01Data!$A$1:$DZU$999999,2730,FALSE)</f>
        <v>#N/A</v>
      </c>
      <c r="J161" s="34" t="e">
        <f>VLOOKUP(A1,DIV_01Data!$A$1:$DZU$999999,2731,FALSE)</f>
        <v>#N/A</v>
      </c>
      <c r="K161" s="34" t="e">
        <f>VLOOKUP(A1,DIV_01Data!$A$1:$DZU$999999,2732,FALSE)</f>
        <v>#N/A</v>
      </c>
      <c r="L161" s="93" t="e">
        <f>VLOOKUP(A1,DIV_01Data!$A$1:$DZU$999999,2733,FALSE)</f>
        <v>#N/A</v>
      </c>
      <c r="M161" s="33" t="e">
        <f>VLOOKUP(A1,DIV_01Data!$A$1:$DZU$999999,2734,FALSE)</f>
        <v>#N/A</v>
      </c>
      <c r="N161" s="34" t="e">
        <f>VLOOKUP(A1,DIV_01Data!$A$1:$DZU$999999,2735,FALSE)</f>
        <v>#N/A</v>
      </c>
      <c r="O161" s="33" t="e">
        <f>VLOOKUP(A1,DIV_01Data!$A$1:$DZU$999999,2736,FALSE)</f>
        <v>#N/A</v>
      </c>
      <c r="P161" s="116" t="e">
        <f>VLOOKUP(A1,DIV_01Data!$A$1:$DZU$999999,2737,FALSE)</f>
        <v>#N/A</v>
      </c>
      <c r="Q161" s="268" t="e">
        <f>VLOOKUP(A1,DIV_01Data!$A$1:$DZU$999999,2738,FALSE)</f>
        <v>#N/A</v>
      </c>
    </row>
    <row r="162" spans="1:17" x14ac:dyDescent="0.35">
      <c r="A162" s="265" t="e">
        <f>VLOOKUP(A1,DIV_01Data!$A$1:$DZU$999999,2739,FALSE)</f>
        <v>#N/A</v>
      </c>
      <c r="B162" s="37" t="e">
        <f>VLOOKUP(A1,DIV_01Data!$A$1:$DZU$999999,2740,FALSE)</f>
        <v>#N/A</v>
      </c>
      <c r="C162" s="38" t="e">
        <f>VLOOKUP(A1,DIV_01Data!$A$1:$DZU$999999,2741,FALSE)</f>
        <v>#N/A</v>
      </c>
      <c r="D162" s="31" t="e">
        <f>VLOOKUP(A1,DIV_01Data!$A$1:$DZU$999999,2742,FALSE)</f>
        <v>#N/A</v>
      </c>
      <c r="E162" s="32" t="e">
        <f>VLOOKUP(A1,DIV_01Data!$A$1:$DZU$999999,2743,FALSE)</f>
        <v>#N/A</v>
      </c>
      <c r="F162" s="34" t="e">
        <f>VLOOKUP(A1,DIV_01Data!$A$1:$DZU$999999,2744,FALSE)</f>
        <v>#N/A</v>
      </c>
      <c r="G162" s="33" t="e">
        <f>VLOOKUP(A1,DIV_01Data!$A$1:$DZU$999999,2745,FALSE)</f>
        <v>#N/A</v>
      </c>
      <c r="H162" s="34" t="e">
        <f>VLOOKUP(A1,DIV_01Data!$A$1:$DZU$999999,2746,FALSE)</f>
        <v>#N/A</v>
      </c>
      <c r="I162" s="33" t="e">
        <f>VLOOKUP(A1,DIV_01Data!$A$1:$DZU$999999,2747,FALSE)</f>
        <v>#N/A</v>
      </c>
      <c r="J162" s="34" t="e">
        <f>VLOOKUP(A1,DIV_01Data!$A$1:$DZU$999999,2748,FALSE)</f>
        <v>#N/A</v>
      </c>
      <c r="K162" s="34" t="e">
        <f>VLOOKUP(A1,DIV_01Data!$A$1:$DZU$999999,2749,FALSE)</f>
        <v>#N/A</v>
      </c>
      <c r="L162" s="93" t="e">
        <f>VLOOKUP(A1,DIV_01Data!$A$1:$DZU$999999,2750,FALSE)</f>
        <v>#N/A</v>
      </c>
      <c r="M162" s="33" t="e">
        <f>VLOOKUP(A1,DIV_01Data!$A$1:$DZU$999999,2751,FALSE)</f>
        <v>#N/A</v>
      </c>
      <c r="N162" s="34" t="e">
        <f>VLOOKUP(A1,DIV_01Data!$A$1:$DZU$999999,2752,FALSE)</f>
        <v>#N/A</v>
      </c>
      <c r="O162" s="33" t="e">
        <f>VLOOKUP(A1,DIV_01Data!$A$1:$DZU$999999,2753,FALSE)</f>
        <v>#N/A</v>
      </c>
      <c r="P162" s="116" t="e">
        <f>VLOOKUP(A1,DIV_01Data!$A$1:$DZU$999999,2754,FALSE)</f>
        <v>#N/A</v>
      </c>
      <c r="Q162" s="268" t="e">
        <f>VLOOKUP(A1,DIV_01Data!$A$1:$DZU$999999,2755,FALSE)</f>
        <v>#N/A</v>
      </c>
    </row>
    <row r="163" spans="1:17" x14ac:dyDescent="0.35">
      <c r="A163" s="265" t="e">
        <f>VLOOKUP(A1,DIV_01Data!$A$1:$DZU$999999,2756,FALSE)</f>
        <v>#N/A</v>
      </c>
      <c r="B163" s="37" t="e">
        <f>VLOOKUP(A1,DIV_01Data!$A$1:$DZU$999999,2757,FALSE)</f>
        <v>#N/A</v>
      </c>
      <c r="C163" s="38" t="e">
        <f>VLOOKUP(A1,DIV_01Data!$A$1:$DZU$999999,2758,FALSE)</f>
        <v>#N/A</v>
      </c>
      <c r="D163" s="31" t="e">
        <f>VLOOKUP(A1,DIV_01Data!$A$1:$DZU$999999,2759,FALSE)</f>
        <v>#N/A</v>
      </c>
      <c r="E163" s="32" t="e">
        <f>VLOOKUP(A1,DIV_01Data!$A$1:$DZU$999999,2760,FALSE)</f>
        <v>#N/A</v>
      </c>
      <c r="F163" s="34" t="e">
        <f>VLOOKUP(A1,DIV_01Data!$A$1:$DZU$999999,2761,FALSE)</f>
        <v>#N/A</v>
      </c>
      <c r="G163" s="33" t="e">
        <f>VLOOKUP(A1,DIV_01Data!$A$1:$DZU$999999,2762,FALSE)</f>
        <v>#N/A</v>
      </c>
      <c r="H163" s="34" t="e">
        <f>VLOOKUP(A1,DIV_01Data!$A$1:$DZU$999999,2763,FALSE)</f>
        <v>#N/A</v>
      </c>
      <c r="I163" s="33" t="e">
        <f>VLOOKUP(A1,DIV_01Data!$A$1:$DZU$999999,2764,FALSE)</f>
        <v>#N/A</v>
      </c>
      <c r="J163" s="34" t="e">
        <f>VLOOKUP(A1,DIV_01Data!$A$1:$DZU$999999,2765,FALSE)</f>
        <v>#N/A</v>
      </c>
      <c r="K163" s="34" t="e">
        <f>VLOOKUP(A1,DIV_01Data!$A$1:$DZU$999999,2766,FALSE)</f>
        <v>#N/A</v>
      </c>
      <c r="L163" s="93" t="e">
        <f>VLOOKUP(A1,DIV_01Data!$A$1:$DZU$999999,2767,FALSE)</f>
        <v>#N/A</v>
      </c>
      <c r="M163" s="33" t="e">
        <f>VLOOKUP(A1,DIV_01Data!$A$1:$DZU$999999,2768,FALSE)</f>
        <v>#N/A</v>
      </c>
      <c r="N163" s="34" t="e">
        <f>VLOOKUP(A1,DIV_01Data!$A$1:$DZU$999999,2769,FALSE)</f>
        <v>#N/A</v>
      </c>
      <c r="O163" s="33" t="e">
        <f>VLOOKUP(A1,DIV_01Data!$A$1:$DZU$999999,2770,FALSE)</f>
        <v>#N/A</v>
      </c>
      <c r="P163" s="116" t="e">
        <f>VLOOKUP(A1,DIV_01Data!$A$1:$DZU$999999,2771,FALSE)</f>
        <v>#N/A</v>
      </c>
      <c r="Q163" s="268" t="e">
        <f>VLOOKUP(A1,DIV_01Data!$A$1:$DZU$999999,2772,FALSE)</f>
        <v>#N/A</v>
      </c>
    </row>
    <row r="164" spans="1:17" x14ac:dyDescent="0.35">
      <c r="A164" s="265" t="e">
        <f>VLOOKUP(A1,DIV_01Data!$A$1:$DZU$999999,2773,FALSE)</f>
        <v>#N/A</v>
      </c>
      <c r="B164" s="37" t="e">
        <f>VLOOKUP(A1,DIV_01Data!$A$1:$DZU$999999,2774,FALSE)</f>
        <v>#N/A</v>
      </c>
      <c r="C164" s="38" t="e">
        <f>VLOOKUP(A1,DIV_01Data!$A$1:$DZU$999999,2775,FALSE)</f>
        <v>#N/A</v>
      </c>
      <c r="D164" s="31" t="e">
        <f>VLOOKUP(A1,DIV_01Data!$A$1:$DZU$999999,2776,FALSE)</f>
        <v>#N/A</v>
      </c>
      <c r="E164" s="32" t="e">
        <f>VLOOKUP(A1,DIV_01Data!$A$1:$DZU$999999,2777,FALSE)</f>
        <v>#N/A</v>
      </c>
      <c r="F164" s="34" t="e">
        <f>VLOOKUP(A1,DIV_01Data!$A$1:$DZU$999999,2778,FALSE)</f>
        <v>#N/A</v>
      </c>
      <c r="G164" s="33" t="e">
        <f>VLOOKUP(A1,DIV_01Data!$A$1:$DZU$999999,2779,FALSE)</f>
        <v>#N/A</v>
      </c>
      <c r="H164" s="34" t="e">
        <f>VLOOKUP(A1,DIV_01Data!$A$1:$DZU$999999,2780,FALSE)</f>
        <v>#N/A</v>
      </c>
      <c r="I164" s="33" t="e">
        <f>VLOOKUP(A1,DIV_01Data!$A$1:$DZU$999999,2781,FALSE)</f>
        <v>#N/A</v>
      </c>
      <c r="J164" s="34" t="e">
        <f>VLOOKUP(A1,DIV_01Data!$A$1:$DZU$999999,2782,FALSE)</f>
        <v>#N/A</v>
      </c>
      <c r="K164" s="34" t="e">
        <f>VLOOKUP(A1,DIV_01Data!$A$1:$DZU$999999,2783,FALSE)</f>
        <v>#N/A</v>
      </c>
      <c r="L164" s="93" t="e">
        <f>VLOOKUP(A1,DIV_01Data!$A$1:$DZU$999999,2784,FALSE)</f>
        <v>#N/A</v>
      </c>
      <c r="M164" s="33" t="e">
        <f>VLOOKUP(A1,DIV_01Data!$A$1:$DZU$999999,2785,FALSE)</f>
        <v>#N/A</v>
      </c>
      <c r="N164" s="34" t="e">
        <f>VLOOKUP(A1,DIV_01Data!$A$1:$DZU$999999,2786,FALSE)</f>
        <v>#N/A</v>
      </c>
      <c r="O164" s="33" t="e">
        <f>VLOOKUP(A1,DIV_01Data!$A$1:$DZU$999999,2787,FALSE)</f>
        <v>#N/A</v>
      </c>
      <c r="P164" s="116" t="e">
        <f>VLOOKUP(A1,DIV_01Data!$A$1:$DZU$999999,2788,FALSE)</f>
        <v>#N/A</v>
      </c>
      <c r="Q164" s="268" t="e">
        <f>VLOOKUP(A1,DIV_01Data!$A$1:$DZU$999999,2789,FALSE)</f>
        <v>#N/A</v>
      </c>
    </row>
    <row r="165" spans="1:17" x14ac:dyDescent="0.35">
      <c r="A165" s="265" t="e">
        <f>VLOOKUP(A1,DIV_01Data!$A$1:$DZU$999999,2790,FALSE)</f>
        <v>#N/A</v>
      </c>
      <c r="B165" s="37" t="e">
        <f>VLOOKUP(A1,DIV_01Data!$A$1:$DZU$999999,2791,FALSE)</f>
        <v>#N/A</v>
      </c>
      <c r="C165" s="38" t="e">
        <f>VLOOKUP(A1,DIV_01Data!$A$1:$DZU$999999,2792,FALSE)</f>
        <v>#N/A</v>
      </c>
      <c r="D165" s="31" t="e">
        <f>VLOOKUP(A1,DIV_01Data!$A$1:$DZU$999999,2793,FALSE)</f>
        <v>#N/A</v>
      </c>
      <c r="E165" s="32" t="e">
        <f>VLOOKUP(A1,DIV_01Data!$A$1:$DZU$999999,2794,FALSE)</f>
        <v>#N/A</v>
      </c>
      <c r="F165" s="34" t="e">
        <f>VLOOKUP(A1,DIV_01Data!$A$1:$DZU$999999,2795,FALSE)</f>
        <v>#N/A</v>
      </c>
      <c r="G165" s="33" t="e">
        <f>VLOOKUP(A1,DIV_01Data!$A$1:$DZU$999999,2796,FALSE)</f>
        <v>#N/A</v>
      </c>
      <c r="H165" s="34" t="e">
        <f>VLOOKUP(A1,DIV_01Data!$A$1:$DZU$999999,2797,FALSE)</f>
        <v>#N/A</v>
      </c>
      <c r="I165" s="33" t="e">
        <f>VLOOKUP(A1,DIV_01Data!$A$1:$DZU$999999,2798,FALSE)</f>
        <v>#N/A</v>
      </c>
      <c r="J165" s="34" t="e">
        <f>VLOOKUP(A1,DIV_01Data!$A$1:$DZU$999999,2799,FALSE)</f>
        <v>#N/A</v>
      </c>
      <c r="K165" s="34" t="e">
        <f>VLOOKUP(A1,DIV_01Data!$A$1:$DZU$999999,2800,FALSE)</f>
        <v>#N/A</v>
      </c>
      <c r="L165" s="93" t="e">
        <f>VLOOKUP(A1,DIV_01Data!$A$1:$DZU$999999,2801,FALSE)</f>
        <v>#N/A</v>
      </c>
      <c r="M165" s="33" t="e">
        <f>VLOOKUP(A1,DIV_01Data!$A$1:$DZU$999999,2802,FALSE)</f>
        <v>#N/A</v>
      </c>
      <c r="N165" s="34" t="e">
        <f>VLOOKUP(A1,DIV_01Data!$A$1:$DZU$999999,2803,FALSE)</f>
        <v>#N/A</v>
      </c>
      <c r="O165" s="33" t="e">
        <f>VLOOKUP(A1,DIV_01Data!$A$1:$DZU$999999,2804,FALSE)</f>
        <v>#N/A</v>
      </c>
      <c r="P165" s="116" t="e">
        <f>VLOOKUP(A1,DIV_01Data!$A$1:$DZU$999999,2805,FALSE)</f>
        <v>#N/A</v>
      </c>
      <c r="Q165" s="268" t="e">
        <f>VLOOKUP(A1,DIV_01Data!$A$1:$DZU$999999,2806,FALSE)</f>
        <v>#N/A</v>
      </c>
    </row>
    <row r="166" spans="1:17" x14ac:dyDescent="0.35">
      <c r="A166" s="265" t="e">
        <f>VLOOKUP(A1,DIV_01Data!$A$1:$DZU$999999,2807,FALSE)</f>
        <v>#N/A</v>
      </c>
      <c r="B166" s="37" t="e">
        <f>VLOOKUP(A1,DIV_01Data!$A$1:$DZU$999999,2808,FALSE)</f>
        <v>#N/A</v>
      </c>
      <c r="C166" s="38" t="e">
        <f>VLOOKUP(A1,DIV_01Data!$A$1:$DZU$999999,2809,FALSE)</f>
        <v>#N/A</v>
      </c>
      <c r="D166" s="31" t="e">
        <f>VLOOKUP(A1,DIV_01Data!$A$1:$DZU$999999,2810,FALSE)</f>
        <v>#N/A</v>
      </c>
      <c r="E166" s="32" t="e">
        <f>VLOOKUP(A1,DIV_01Data!$A$1:$DZU$999999,2811,FALSE)</f>
        <v>#N/A</v>
      </c>
      <c r="F166" s="34" t="e">
        <f>VLOOKUP(A1,DIV_01Data!$A$1:$DZU$999999,2812,FALSE)</f>
        <v>#N/A</v>
      </c>
      <c r="G166" s="33" t="e">
        <f>VLOOKUP(A1,DIV_01Data!$A$1:$DZU$999999,2813,FALSE)</f>
        <v>#N/A</v>
      </c>
      <c r="H166" s="34" t="e">
        <f>VLOOKUP(A1,DIV_01Data!$A$1:$DZU$999999,2814,FALSE)</f>
        <v>#N/A</v>
      </c>
      <c r="I166" s="33" t="e">
        <f>VLOOKUP(A1,DIV_01Data!$A$1:$DZU$999999,2815,FALSE)</f>
        <v>#N/A</v>
      </c>
      <c r="J166" s="34" t="e">
        <f>VLOOKUP(A1,DIV_01Data!$A$1:$DZU$999999,2816,FALSE)</f>
        <v>#N/A</v>
      </c>
      <c r="K166" s="34" t="e">
        <f>VLOOKUP(A1,DIV_01Data!$A$1:$DZU$999999,2817,FALSE)</f>
        <v>#N/A</v>
      </c>
      <c r="L166" s="93" t="e">
        <f>VLOOKUP(A1,DIV_01Data!$A$1:$DZU$999999,2818,FALSE)</f>
        <v>#N/A</v>
      </c>
      <c r="M166" s="33" t="e">
        <f>VLOOKUP(A1,DIV_01Data!$A$1:$DZU$999999,2819,FALSE)</f>
        <v>#N/A</v>
      </c>
      <c r="N166" s="34" t="e">
        <f>VLOOKUP(A1,DIV_01Data!$A$1:$DZU$999999,2820,FALSE)</f>
        <v>#N/A</v>
      </c>
      <c r="O166" s="33" t="e">
        <f>VLOOKUP(A1,DIV_01Data!$A$1:$DZU$999999,2821,FALSE)</f>
        <v>#N/A</v>
      </c>
      <c r="P166" s="116" t="e">
        <f>VLOOKUP(A1,DIV_01Data!$A$1:$DZU$999999,2822,FALSE)</f>
        <v>#N/A</v>
      </c>
      <c r="Q166" s="268" t="e">
        <f>VLOOKUP(A1,DIV_01Data!$A$1:$DZU$999999,2823,FALSE)</f>
        <v>#N/A</v>
      </c>
    </row>
    <row r="167" spans="1:17" x14ac:dyDescent="0.35">
      <c r="A167" s="265" t="e">
        <f>VLOOKUP(A1,DIV_01Data!$A$1:$DZU$999999,2824,FALSE)</f>
        <v>#N/A</v>
      </c>
      <c r="B167" s="37" t="e">
        <f>VLOOKUP(A1,DIV_01Data!$A$1:$DZU$999999,2825,FALSE)</f>
        <v>#N/A</v>
      </c>
      <c r="C167" s="38" t="e">
        <f>VLOOKUP(A1,DIV_01Data!$A$1:$DZU$999999,2826,FALSE)</f>
        <v>#N/A</v>
      </c>
      <c r="D167" s="31" t="e">
        <f>VLOOKUP(A1,DIV_01Data!$A$1:$DZU$999999,2827,FALSE)</f>
        <v>#N/A</v>
      </c>
      <c r="E167" s="32" t="e">
        <f>VLOOKUP(A1,DIV_01Data!$A$1:$DZU$999999,2828,FALSE)</f>
        <v>#N/A</v>
      </c>
      <c r="F167" s="34" t="e">
        <f>VLOOKUP(A1,DIV_01Data!$A$1:$DZU$999999,2829,FALSE)</f>
        <v>#N/A</v>
      </c>
      <c r="G167" s="33" t="e">
        <f>VLOOKUP(A1,DIV_01Data!$A$1:$DZU$999999,2830,FALSE)</f>
        <v>#N/A</v>
      </c>
      <c r="H167" s="34" t="e">
        <f>VLOOKUP(A1,DIV_01Data!$A$1:$DZU$999999,2831,FALSE)</f>
        <v>#N/A</v>
      </c>
      <c r="I167" s="33" t="e">
        <f>VLOOKUP(A1,DIV_01Data!$A$1:$DZU$999999,2832,FALSE)</f>
        <v>#N/A</v>
      </c>
      <c r="J167" s="34" t="e">
        <f>VLOOKUP(A1,DIV_01Data!$A$1:$DZU$999999,2833,FALSE)</f>
        <v>#N/A</v>
      </c>
      <c r="K167" s="34" t="e">
        <f>VLOOKUP(A1,DIV_01Data!$A$1:$DZU$999999,2834,FALSE)</f>
        <v>#N/A</v>
      </c>
      <c r="L167" s="93" t="e">
        <f>VLOOKUP(A1,DIV_01Data!$A$1:$DZU$999999,2835,FALSE)</f>
        <v>#N/A</v>
      </c>
      <c r="M167" s="33" t="e">
        <f>VLOOKUP(A1,DIV_01Data!$A$1:$DZU$999999,2836,FALSE)</f>
        <v>#N/A</v>
      </c>
      <c r="N167" s="34" t="e">
        <f>VLOOKUP(A1,DIV_01Data!$A$1:$DZU$999999,2837,FALSE)</f>
        <v>#N/A</v>
      </c>
      <c r="O167" s="33" t="e">
        <f>VLOOKUP(A1,DIV_01Data!$A$1:$DZU$999999,2838,FALSE)</f>
        <v>#N/A</v>
      </c>
      <c r="P167" s="116" t="e">
        <f>VLOOKUP(A1,DIV_01Data!$A$1:$DZU$999999,2839,FALSE)</f>
        <v>#N/A</v>
      </c>
      <c r="Q167" s="268" t="e">
        <f>VLOOKUP(A1,DIV_01Data!$A$1:$DZU$999999,2840,FALSE)</f>
        <v>#N/A</v>
      </c>
    </row>
    <row r="168" spans="1:17" x14ac:dyDescent="0.35">
      <c r="A168" s="265" t="e">
        <f>VLOOKUP(A1,DIV_01Data!$A$1:$DZU$999999,2841,FALSE)</f>
        <v>#N/A</v>
      </c>
      <c r="B168" s="37" t="e">
        <f>VLOOKUP(A1,DIV_01Data!$A$1:$DZU$999999,2842,FALSE)</f>
        <v>#N/A</v>
      </c>
      <c r="C168" s="38" t="e">
        <f>VLOOKUP(A1,DIV_01Data!$A$1:$DZU$999999,2843,FALSE)</f>
        <v>#N/A</v>
      </c>
      <c r="D168" s="31" t="e">
        <f>VLOOKUP(A1,DIV_01Data!$A$1:$DZU$999999,2844,FALSE)</f>
        <v>#N/A</v>
      </c>
      <c r="E168" s="32" t="e">
        <f>VLOOKUP(A1,DIV_01Data!$A$1:$DZU$999999,2845,FALSE)</f>
        <v>#N/A</v>
      </c>
      <c r="F168" s="34" t="e">
        <f>VLOOKUP(A1,DIV_01Data!$A$1:$DZU$999999,2846,FALSE)</f>
        <v>#N/A</v>
      </c>
      <c r="G168" s="33" t="e">
        <f>VLOOKUP(A1,DIV_01Data!$A$1:$DZU$999999,2847,FALSE)</f>
        <v>#N/A</v>
      </c>
      <c r="H168" s="34" t="e">
        <f>VLOOKUP(A1,DIV_01Data!$A$1:$DZU$999999,2848,FALSE)</f>
        <v>#N/A</v>
      </c>
      <c r="I168" s="33" t="e">
        <f>VLOOKUP(A1,DIV_01Data!$A$1:$DZU$999999,2849,FALSE)</f>
        <v>#N/A</v>
      </c>
      <c r="J168" s="34" t="e">
        <f>VLOOKUP(A1,DIV_01Data!$A$1:$DZU$999999,2850,FALSE)</f>
        <v>#N/A</v>
      </c>
      <c r="K168" s="34" t="e">
        <f>VLOOKUP(A1,DIV_01Data!$A$1:$DZU$999999,2851,FALSE)</f>
        <v>#N/A</v>
      </c>
      <c r="L168" s="93" t="e">
        <f>VLOOKUP(A1,DIV_01Data!$A$1:$DZU$999999,2852,FALSE)</f>
        <v>#N/A</v>
      </c>
      <c r="M168" s="33" t="e">
        <f>VLOOKUP(A1,DIV_01Data!$A$1:$DZU$999999,2853,FALSE)</f>
        <v>#N/A</v>
      </c>
      <c r="N168" s="34" t="e">
        <f>VLOOKUP(A1,DIV_01Data!$A$1:$DZU$999999,2854,FALSE)</f>
        <v>#N/A</v>
      </c>
      <c r="O168" s="33" t="e">
        <f>VLOOKUP(A1,DIV_01Data!$A$1:$DZU$999999,2855,FALSE)</f>
        <v>#N/A</v>
      </c>
      <c r="P168" s="116" t="e">
        <f>VLOOKUP(A1,DIV_01Data!$A$1:$DZU$999999,2856,FALSE)</f>
        <v>#N/A</v>
      </c>
      <c r="Q168" s="268" t="e">
        <f>VLOOKUP(A1,DIV_01Data!$A$1:$DZU$999999,2857,FALSE)</f>
        <v>#N/A</v>
      </c>
    </row>
    <row r="169" spans="1:17" x14ac:dyDescent="0.35">
      <c r="A169" s="265" t="e">
        <f>VLOOKUP(A1,DIV_01Data!$A$1:$DZU$999999,2858,FALSE)</f>
        <v>#N/A</v>
      </c>
      <c r="B169" s="37" t="e">
        <f>VLOOKUP(A1,DIV_01Data!$A$1:$DZU$999999,2859,FALSE)</f>
        <v>#N/A</v>
      </c>
      <c r="C169" s="38" t="e">
        <f>VLOOKUP(A1,DIV_01Data!$A$1:$DZU$999999,2860,FALSE)</f>
        <v>#N/A</v>
      </c>
      <c r="D169" s="31" t="e">
        <f>VLOOKUP(A1,DIV_01Data!$A$1:$DZU$999999,2861,FALSE)</f>
        <v>#N/A</v>
      </c>
      <c r="E169" s="32" t="e">
        <f>VLOOKUP(A1,DIV_01Data!$A$1:$DZU$999999,2862,FALSE)</f>
        <v>#N/A</v>
      </c>
      <c r="F169" s="34" t="e">
        <f>VLOOKUP(A1,DIV_01Data!$A$1:$DZU$999999,2863,FALSE)</f>
        <v>#N/A</v>
      </c>
      <c r="G169" s="33" t="e">
        <f>VLOOKUP(A1,DIV_01Data!$A$1:$DZU$999999,2864,FALSE)</f>
        <v>#N/A</v>
      </c>
      <c r="H169" s="34" t="e">
        <f>VLOOKUP(A1,DIV_01Data!$A$1:$DZU$999999,2865,FALSE)</f>
        <v>#N/A</v>
      </c>
      <c r="I169" s="33" t="e">
        <f>VLOOKUP(A1,DIV_01Data!$A$1:$DZU$999999,2866,FALSE)</f>
        <v>#N/A</v>
      </c>
      <c r="J169" s="34" t="e">
        <f>VLOOKUP(A1,DIV_01Data!$A$1:$DZU$999999,2867,FALSE)</f>
        <v>#N/A</v>
      </c>
      <c r="K169" s="34" t="e">
        <f>VLOOKUP(A1,DIV_01Data!$A$1:$DZU$999999,2868,FALSE)</f>
        <v>#N/A</v>
      </c>
      <c r="L169" s="93" t="e">
        <f>VLOOKUP(A1,DIV_01Data!$A$1:$DZU$999999,2869,FALSE)</f>
        <v>#N/A</v>
      </c>
      <c r="M169" s="33" t="e">
        <f>VLOOKUP(A1,DIV_01Data!$A$1:$DZU$999999,2870,FALSE)</f>
        <v>#N/A</v>
      </c>
      <c r="N169" s="34" t="e">
        <f>VLOOKUP(A1,DIV_01Data!$A$1:$DZU$999999,2871,FALSE)</f>
        <v>#N/A</v>
      </c>
      <c r="O169" s="33" t="e">
        <f>VLOOKUP(A1,DIV_01Data!$A$1:$DZU$999999,2872,FALSE)</f>
        <v>#N/A</v>
      </c>
      <c r="P169" s="116" t="e">
        <f>VLOOKUP(A1,DIV_01Data!$A$1:$DZU$999999,2873,FALSE)</f>
        <v>#N/A</v>
      </c>
      <c r="Q169" s="268" t="e">
        <f>VLOOKUP(A1,DIV_01Data!$A$1:$DZU$999999,2874,FALSE)</f>
        <v>#N/A</v>
      </c>
    </row>
    <row r="170" spans="1:17" x14ac:dyDescent="0.35">
      <c r="A170" s="265" t="e">
        <f>VLOOKUP(A1,DIV_01Data!$A$1:$DZU$999999,2875,FALSE)</f>
        <v>#N/A</v>
      </c>
      <c r="B170" s="37" t="e">
        <f>VLOOKUP(A1,DIV_01Data!$A$1:$DZU$999999,2876,FALSE)</f>
        <v>#N/A</v>
      </c>
      <c r="C170" s="38" t="e">
        <f>VLOOKUP(A1,DIV_01Data!$A$1:$DZU$999999,2877,FALSE)</f>
        <v>#N/A</v>
      </c>
      <c r="D170" s="31" t="e">
        <f>VLOOKUP(A1,DIV_01Data!$A$1:$DZU$999999,2878,FALSE)</f>
        <v>#N/A</v>
      </c>
      <c r="E170" s="32" t="e">
        <f>VLOOKUP(A1,DIV_01Data!$A$1:$DZU$999999,2879,FALSE)</f>
        <v>#N/A</v>
      </c>
      <c r="F170" s="34" t="e">
        <f>VLOOKUP(A1,DIV_01Data!$A$1:$DZU$999999,2880,FALSE)</f>
        <v>#N/A</v>
      </c>
      <c r="G170" s="33" t="e">
        <f>VLOOKUP(A1,DIV_01Data!$A$1:$DZU$999999,2881,FALSE)</f>
        <v>#N/A</v>
      </c>
      <c r="H170" s="34" t="e">
        <f>VLOOKUP(A1,DIV_01Data!$A$1:$DZU$999999,2882,FALSE)</f>
        <v>#N/A</v>
      </c>
      <c r="I170" s="33" t="e">
        <f>VLOOKUP(A1,DIV_01Data!$A$1:$DZU$999999,2883,FALSE)</f>
        <v>#N/A</v>
      </c>
      <c r="J170" s="34" t="e">
        <f>VLOOKUP(A1,DIV_01Data!$A$1:$DZU$999999,2884,FALSE)</f>
        <v>#N/A</v>
      </c>
      <c r="K170" s="34" t="e">
        <f>VLOOKUP(A1,DIV_01Data!$A$1:$DZU$999999,2885,FALSE)</f>
        <v>#N/A</v>
      </c>
      <c r="L170" s="93" t="e">
        <f>VLOOKUP(A1,DIV_01Data!$A$1:$DZU$999999,2886,FALSE)</f>
        <v>#N/A</v>
      </c>
      <c r="M170" s="33" t="e">
        <f>VLOOKUP(A1,DIV_01Data!$A$1:$DZU$999999,2887,FALSE)</f>
        <v>#N/A</v>
      </c>
      <c r="N170" s="34" t="e">
        <f>VLOOKUP(A1,DIV_01Data!$A$1:$DZU$999999,2888,FALSE)</f>
        <v>#N/A</v>
      </c>
      <c r="O170" s="33" t="e">
        <f>VLOOKUP(A1,DIV_01Data!$A$1:$DZU$999999,2889,FALSE)</f>
        <v>#N/A</v>
      </c>
      <c r="P170" s="116" t="e">
        <f>VLOOKUP(A1,DIV_01Data!$A$1:$DZU$999999,2890,FALSE)</f>
        <v>#N/A</v>
      </c>
      <c r="Q170" s="268" t="e">
        <f>VLOOKUP(A1,DIV_01Data!$A$1:$DZU$999999,2891,FALSE)</f>
        <v>#N/A</v>
      </c>
    </row>
    <row r="171" spans="1:17" x14ac:dyDescent="0.35">
      <c r="A171" s="265" t="e">
        <f>VLOOKUP(A1,DIV_01Data!$A$1:$DZU$999999,2892,FALSE)</f>
        <v>#N/A</v>
      </c>
      <c r="B171" s="37" t="e">
        <f>VLOOKUP(A1,DIV_01Data!$A$1:$DZU$999999,2893,FALSE)</f>
        <v>#N/A</v>
      </c>
      <c r="C171" s="38" t="e">
        <f>VLOOKUP(A1,DIV_01Data!$A$1:$DZU$999999,2894,FALSE)</f>
        <v>#N/A</v>
      </c>
      <c r="D171" s="31" t="e">
        <f>VLOOKUP(A1,DIV_01Data!$A$1:$DZU$999999,2895,FALSE)</f>
        <v>#N/A</v>
      </c>
      <c r="E171" s="32" t="e">
        <f>VLOOKUP(A1,DIV_01Data!$A$1:$DZU$999999,2896,FALSE)</f>
        <v>#N/A</v>
      </c>
      <c r="F171" s="34" t="e">
        <f>VLOOKUP(A1,DIV_01Data!$A$1:$DZU$999999,2897,FALSE)</f>
        <v>#N/A</v>
      </c>
      <c r="G171" s="33" t="e">
        <f>VLOOKUP(A1,DIV_01Data!$A$1:$DZU$999999,2898,FALSE)</f>
        <v>#N/A</v>
      </c>
      <c r="H171" s="34" t="e">
        <f>VLOOKUP(A1,DIV_01Data!$A$1:$DZU$999999,2899,FALSE)</f>
        <v>#N/A</v>
      </c>
      <c r="I171" s="33" t="e">
        <f>VLOOKUP(A1,DIV_01Data!$A$1:$DZU$999999,2900,FALSE)</f>
        <v>#N/A</v>
      </c>
      <c r="J171" s="34" t="e">
        <f>VLOOKUP(A1,DIV_01Data!$A$1:$DZU$999999,2901,FALSE)</f>
        <v>#N/A</v>
      </c>
      <c r="K171" s="34" t="e">
        <f>VLOOKUP(A1,DIV_01Data!$A$1:$DZU$999999,2902,FALSE)</f>
        <v>#N/A</v>
      </c>
      <c r="L171" s="93" t="e">
        <f>VLOOKUP(A1,DIV_01Data!$A$1:$DZU$999999,2903,FALSE)</f>
        <v>#N/A</v>
      </c>
      <c r="M171" s="33" t="e">
        <f>VLOOKUP(A1,DIV_01Data!$A$1:$DZU$999999,2904,FALSE)</f>
        <v>#N/A</v>
      </c>
      <c r="N171" s="34" t="e">
        <f>VLOOKUP(A1,DIV_01Data!$A$1:$DZU$999999,2905,FALSE)</f>
        <v>#N/A</v>
      </c>
      <c r="O171" s="33" t="e">
        <f>VLOOKUP(A1,DIV_01Data!$A$1:$DZU$999999,2906,FALSE)</f>
        <v>#N/A</v>
      </c>
      <c r="P171" s="116" t="e">
        <f>VLOOKUP(A1,DIV_01Data!$A$1:$DZU$999999,2907,FALSE)</f>
        <v>#N/A</v>
      </c>
      <c r="Q171" s="268" t="e">
        <f>VLOOKUP(A1,DIV_01Data!$A$1:$DZU$999999,2908,FALSE)</f>
        <v>#N/A</v>
      </c>
    </row>
    <row r="172" spans="1:17" x14ac:dyDescent="0.35">
      <c r="A172" s="265" t="e">
        <f>VLOOKUP(A1,DIV_01Data!$A$1:$DZU$999999,2909,FALSE)</f>
        <v>#N/A</v>
      </c>
      <c r="B172" s="37" t="e">
        <f>VLOOKUP(A1,DIV_01Data!$A$1:$DZU$999999,2910,FALSE)</f>
        <v>#N/A</v>
      </c>
      <c r="C172" s="38" t="e">
        <f>VLOOKUP(A1,DIV_01Data!$A$1:$DZU$999999,2911,FALSE)</f>
        <v>#N/A</v>
      </c>
      <c r="D172" s="31" t="e">
        <f>VLOOKUP(A1,DIV_01Data!$A$1:$DZU$999999,2912,FALSE)</f>
        <v>#N/A</v>
      </c>
      <c r="E172" s="32" t="e">
        <f>VLOOKUP(A1,DIV_01Data!$A$1:$DZU$999999,2913,FALSE)</f>
        <v>#N/A</v>
      </c>
      <c r="F172" s="34" t="e">
        <f>VLOOKUP(A1,DIV_01Data!$A$1:$DZU$999999,2914,FALSE)</f>
        <v>#N/A</v>
      </c>
      <c r="G172" s="33" t="e">
        <f>VLOOKUP(A1,DIV_01Data!$A$1:$DZU$999999,2915,FALSE)</f>
        <v>#N/A</v>
      </c>
      <c r="H172" s="34" t="e">
        <f>VLOOKUP(A1,DIV_01Data!$A$1:$DZU$999999,2916,FALSE)</f>
        <v>#N/A</v>
      </c>
      <c r="I172" s="33" t="e">
        <f>VLOOKUP(A1,DIV_01Data!$A$1:$DZU$999999,2917,FALSE)</f>
        <v>#N/A</v>
      </c>
      <c r="J172" s="34" t="e">
        <f>VLOOKUP(A1,DIV_01Data!$A$1:$DZU$999999,2918,FALSE)</f>
        <v>#N/A</v>
      </c>
      <c r="K172" s="34" t="e">
        <f>VLOOKUP(A1,DIV_01Data!$A$1:$DZU$999999,2919,FALSE)</f>
        <v>#N/A</v>
      </c>
      <c r="L172" s="93" t="e">
        <f>VLOOKUP(A1,DIV_01Data!$A$1:$DZU$999999,2920,FALSE)</f>
        <v>#N/A</v>
      </c>
      <c r="M172" s="33" t="e">
        <f>VLOOKUP(A1,DIV_01Data!$A$1:$DZU$999999,2921,FALSE)</f>
        <v>#N/A</v>
      </c>
      <c r="N172" s="34" t="e">
        <f>VLOOKUP(A1,DIV_01Data!$A$1:$DZU$999999,2922,FALSE)</f>
        <v>#N/A</v>
      </c>
      <c r="O172" s="33" t="e">
        <f>VLOOKUP(A1,DIV_01Data!$A$1:$DZU$999999,2923,FALSE)</f>
        <v>#N/A</v>
      </c>
      <c r="P172" s="116" t="e">
        <f>VLOOKUP(A1,DIV_01Data!$A$1:$DZU$999999,2924,FALSE)</f>
        <v>#N/A</v>
      </c>
      <c r="Q172" s="268" t="e">
        <f>VLOOKUP(A1,DIV_01Data!$A$1:$DZU$999999,2925,FALSE)</f>
        <v>#N/A</v>
      </c>
    </row>
    <row r="173" spans="1:17" x14ac:dyDescent="0.35">
      <c r="A173" s="265" t="e">
        <f>VLOOKUP(A1,DIV_01Data!$A$1:$DZU$999999,2926,FALSE)</f>
        <v>#N/A</v>
      </c>
      <c r="B173" s="37" t="e">
        <f>VLOOKUP(A1,DIV_01Data!$A$1:$DZU$999999,2927,FALSE)</f>
        <v>#N/A</v>
      </c>
      <c r="C173" s="38" t="e">
        <f>VLOOKUP(A1,DIV_01Data!$A$1:$DZU$999999,2928,FALSE)</f>
        <v>#N/A</v>
      </c>
      <c r="D173" s="31" t="e">
        <f>VLOOKUP(A1,DIV_01Data!$A$1:$DZU$999999,2929,FALSE)</f>
        <v>#N/A</v>
      </c>
      <c r="E173" s="32" t="e">
        <f>VLOOKUP(A1,DIV_01Data!$A$1:$DZU$999999,2930,FALSE)</f>
        <v>#N/A</v>
      </c>
      <c r="F173" s="34" t="e">
        <f>VLOOKUP(A1,DIV_01Data!$A$1:$DZU$999999,2931,FALSE)</f>
        <v>#N/A</v>
      </c>
      <c r="G173" s="33" t="e">
        <f>VLOOKUP(A1,DIV_01Data!$A$1:$DZU$999999,2932,FALSE)</f>
        <v>#N/A</v>
      </c>
      <c r="H173" s="34" t="e">
        <f>VLOOKUP(A1,DIV_01Data!$A$1:$DZU$999999,2933,FALSE)</f>
        <v>#N/A</v>
      </c>
      <c r="I173" s="33" t="e">
        <f>VLOOKUP(A1,DIV_01Data!$A$1:$DZU$999999,2934,FALSE)</f>
        <v>#N/A</v>
      </c>
      <c r="J173" s="34" t="e">
        <f>VLOOKUP(A1,DIV_01Data!$A$1:$DZU$999999,2935,FALSE)</f>
        <v>#N/A</v>
      </c>
      <c r="K173" s="34" t="e">
        <f>VLOOKUP(A1,DIV_01Data!$A$1:$DZU$999999,2936,FALSE)</f>
        <v>#N/A</v>
      </c>
      <c r="L173" s="93" t="e">
        <f>VLOOKUP(A1,DIV_01Data!$A$1:$DZU$999999,2937,FALSE)</f>
        <v>#N/A</v>
      </c>
      <c r="M173" s="33" t="e">
        <f>VLOOKUP(A1,DIV_01Data!$A$1:$DZU$999999,2938,FALSE)</f>
        <v>#N/A</v>
      </c>
      <c r="N173" s="34" t="e">
        <f>VLOOKUP(A1,DIV_01Data!$A$1:$DZU$999999,2939,FALSE)</f>
        <v>#N/A</v>
      </c>
      <c r="O173" s="33" t="e">
        <f>VLOOKUP(A1,DIV_01Data!$A$1:$DZU$999999,2940,FALSE)</f>
        <v>#N/A</v>
      </c>
      <c r="P173" s="116" t="e">
        <f>VLOOKUP(A1,DIV_01Data!$A$1:$DZU$999999,2941,FALSE)</f>
        <v>#N/A</v>
      </c>
      <c r="Q173" s="268" t="e">
        <f>VLOOKUP(A1,DIV_01Data!$A$1:$DZU$999999,2942,FALSE)</f>
        <v>#N/A</v>
      </c>
    </row>
    <row r="174" spans="1:17" x14ac:dyDescent="0.35">
      <c r="A174" s="265" t="e">
        <f>VLOOKUP(A1,DIV_01Data!$A$1:$DZU$999999,2943,FALSE)</f>
        <v>#N/A</v>
      </c>
      <c r="B174" s="37" t="e">
        <f>VLOOKUP(A1,DIV_01Data!$A$1:$DZU$999999,2944,FALSE)</f>
        <v>#N/A</v>
      </c>
      <c r="C174" s="38" t="e">
        <f>VLOOKUP(A1,DIV_01Data!$A$1:$DZU$999999,2945,FALSE)</f>
        <v>#N/A</v>
      </c>
      <c r="D174" s="31" t="e">
        <f>VLOOKUP(A1,DIV_01Data!$A$1:$DZU$999999,2946,FALSE)</f>
        <v>#N/A</v>
      </c>
      <c r="E174" s="32" t="e">
        <f>VLOOKUP(A1,DIV_01Data!$A$1:$DZU$999999,2947,FALSE)</f>
        <v>#N/A</v>
      </c>
      <c r="F174" s="34" t="e">
        <f>VLOOKUP(A1,DIV_01Data!$A$1:$DZU$999999,2948,FALSE)</f>
        <v>#N/A</v>
      </c>
      <c r="G174" s="33" t="e">
        <f>VLOOKUP(A1,DIV_01Data!$A$1:$DZU$999999,2949,FALSE)</f>
        <v>#N/A</v>
      </c>
      <c r="H174" s="34" t="e">
        <f>VLOOKUP(A1,DIV_01Data!$A$1:$DZU$999999,2950,FALSE)</f>
        <v>#N/A</v>
      </c>
      <c r="I174" s="33" t="e">
        <f>VLOOKUP(A1,DIV_01Data!$A$1:$DZU$999999,2951,FALSE)</f>
        <v>#N/A</v>
      </c>
      <c r="J174" s="34" t="e">
        <f>VLOOKUP(A1,DIV_01Data!$A$1:$DZU$999999,2952,FALSE)</f>
        <v>#N/A</v>
      </c>
      <c r="K174" s="34" t="e">
        <f>VLOOKUP(A1,DIV_01Data!$A$1:$DZU$999999,2953,FALSE)</f>
        <v>#N/A</v>
      </c>
      <c r="L174" s="93" t="e">
        <f>VLOOKUP(A1,DIV_01Data!$A$1:$DZU$999999,2954,FALSE)</f>
        <v>#N/A</v>
      </c>
      <c r="M174" s="33" t="e">
        <f>VLOOKUP(A1,DIV_01Data!$A$1:$DZU$999999,2955,FALSE)</f>
        <v>#N/A</v>
      </c>
      <c r="N174" s="34" t="e">
        <f>VLOOKUP(A1,DIV_01Data!$A$1:$DZU$999999,2956,FALSE)</f>
        <v>#N/A</v>
      </c>
      <c r="O174" s="33" t="e">
        <f>VLOOKUP(A1,DIV_01Data!$A$1:$DZU$999999,2957,FALSE)</f>
        <v>#N/A</v>
      </c>
      <c r="P174" s="116" t="e">
        <f>VLOOKUP(A1,DIV_01Data!$A$1:$DZU$999999,2958,FALSE)</f>
        <v>#N/A</v>
      </c>
      <c r="Q174" s="268" t="e">
        <f>VLOOKUP(A1,DIV_01Data!$A$1:$DZU$999999,2959,FALSE)</f>
        <v>#N/A</v>
      </c>
    </row>
    <row r="175" spans="1:17" x14ac:dyDescent="0.35">
      <c r="A175" s="265" t="e">
        <f>VLOOKUP(A1,DIV_01Data!$A$1:$DZU$999999,2960,FALSE)</f>
        <v>#N/A</v>
      </c>
      <c r="B175" s="37" t="e">
        <f>VLOOKUP(A1,DIV_01Data!$A$1:$DZU$999999,2961,FALSE)</f>
        <v>#N/A</v>
      </c>
      <c r="C175" s="38" t="e">
        <f>VLOOKUP(A1,DIV_01Data!$A$1:$DZU$999999,2962,FALSE)</f>
        <v>#N/A</v>
      </c>
      <c r="D175" s="31" t="e">
        <f>VLOOKUP(A1,DIV_01Data!$A$1:$DZU$999999,2963,FALSE)</f>
        <v>#N/A</v>
      </c>
      <c r="E175" s="32" t="e">
        <f>VLOOKUP(A1,DIV_01Data!$A$1:$DZU$999999,2964,FALSE)</f>
        <v>#N/A</v>
      </c>
      <c r="F175" s="34" t="e">
        <f>VLOOKUP(A1,DIV_01Data!$A$1:$DZU$999999,2965,FALSE)</f>
        <v>#N/A</v>
      </c>
      <c r="G175" s="33" t="e">
        <f>VLOOKUP(A1,DIV_01Data!$A$1:$DZU$999999,2966,FALSE)</f>
        <v>#N/A</v>
      </c>
      <c r="H175" s="34" t="e">
        <f>VLOOKUP(A1,DIV_01Data!$A$1:$DZU$999999,2967,FALSE)</f>
        <v>#N/A</v>
      </c>
      <c r="I175" s="33" t="e">
        <f>VLOOKUP(A1,DIV_01Data!$A$1:$DZU$999999,2968,FALSE)</f>
        <v>#N/A</v>
      </c>
      <c r="J175" s="34" t="e">
        <f>VLOOKUP(A1,DIV_01Data!$A$1:$DZU$999999,2969,FALSE)</f>
        <v>#N/A</v>
      </c>
      <c r="K175" s="34" t="e">
        <f>VLOOKUP(A1,DIV_01Data!$A$1:$DZU$999999,2970,FALSE)</f>
        <v>#N/A</v>
      </c>
      <c r="L175" s="93" t="e">
        <f>VLOOKUP(A1,DIV_01Data!$A$1:$DZU$999999,2971,FALSE)</f>
        <v>#N/A</v>
      </c>
      <c r="M175" s="33" t="e">
        <f>VLOOKUP(A1,DIV_01Data!$A$1:$DZU$999999,2972,FALSE)</f>
        <v>#N/A</v>
      </c>
      <c r="N175" s="34" t="e">
        <f>VLOOKUP(A1,DIV_01Data!$A$1:$DZU$999999,2973,FALSE)</f>
        <v>#N/A</v>
      </c>
      <c r="O175" s="33" t="e">
        <f>VLOOKUP(A1,DIV_01Data!$A$1:$DZU$999999,2974,FALSE)</f>
        <v>#N/A</v>
      </c>
      <c r="P175" s="116" t="e">
        <f>VLOOKUP(A1,DIV_01Data!$A$1:$DZU$999999,2975,FALSE)</f>
        <v>#N/A</v>
      </c>
      <c r="Q175" s="268" t="e">
        <f>VLOOKUP(A1,DIV_01Data!$A$1:$DZU$999999,2976,FALSE)</f>
        <v>#N/A</v>
      </c>
    </row>
    <row r="176" spans="1:17" x14ac:dyDescent="0.35">
      <c r="A176" s="265" t="e">
        <f>VLOOKUP(A1,DIV_01Data!$A$1:$DZU$999999,2977,FALSE)</f>
        <v>#N/A</v>
      </c>
      <c r="B176" s="37" t="e">
        <f>VLOOKUP(A1,DIV_01Data!$A$1:$DZU$999999,2978,FALSE)</f>
        <v>#N/A</v>
      </c>
      <c r="C176" s="38" t="e">
        <f>VLOOKUP(A1,DIV_01Data!$A$1:$DZU$999999,2979,FALSE)</f>
        <v>#N/A</v>
      </c>
      <c r="D176" s="31" t="e">
        <f>VLOOKUP(A1,DIV_01Data!$A$1:$DZU$999999,2980,FALSE)</f>
        <v>#N/A</v>
      </c>
      <c r="E176" s="32" t="e">
        <f>VLOOKUP(A1,DIV_01Data!$A$1:$DZU$999999,2981,FALSE)</f>
        <v>#N/A</v>
      </c>
      <c r="F176" s="34" t="e">
        <f>VLOOKUP(A1,DIV_01Data!$A$1:$DZU$999999,2982,FALSE)</f>
        <v>#N/A</v>
      </c>
      <c r="G176" s="33" t="e">
        <f>VLOOKUP(A1,DIV_01Data!$A$1:$DZU$999999,2983,FALSE)</f>
        <v>#N/A</v>
      </c>
      <c r="H176" s="34" t="e">
        <f>VLOOKUP(A1,DIV_01Data!$A$1:$DZU$999999,2984,FALSE)</f>
        <v>#N/A</v>
      </c>
      <c r="I176" s="33" t="e">
        <f>VLOOKUP(A1,DIV_01Data!$A$1:$DZU$999999,2985,FALSE)</f>
        <v>#N/A</v>
      </c>
      <c r="J176" s="34" t="e">
        <f>VLOOKUP(A1,DIV_01Data!$A$1:$DZU$999999,2986,FALSE)</f>
        <v>#N/A</v>
      </c>
      <c r="K176" s="34" t="e">
        <f>VLOOKUP(A1,DIV_01Data!$A$1:$DZU$999999,2987,FALSE)</f>
        <v>#N/A</v>
      </c>
      <c r="L176" s="93" t="e">
        <f>VLOOKUP(A1,DIV_01Data!$A$1:$DZU$999999,2988,FALSE)</f>
        <v>#N/A</v>
      </c>
      <c r="M176" s="33" t="e">
        <f>VLOOKUP(A1,DIV_01Data!$A$1:$DZU$999999,2989,FALSE)</f>
        <v>#N/A</v>
      </c>
      <c r="N176" s="34" t="e">
        <f>VLOOKUP(A1,DIV_01Data!$A$1:$DZU$999999,2990,FALSE)</f>
        <v>#N/A</v>
      </c>
      <c r="O176" s="33" t="e">
        <f>VLOOKUP(A1,DIV_01Data!$A$1:$DZU$999999,2991,FALSE)</f>
        <v>#N/A</v>
      </c>
      <c r="P176" s="116" t="e">
        <f>VLOOKUP(A1,DIV_01Data!$A$1:$DZU$999999,2992,FALSE)</f>
        <v>#N/A</v>
      </c>
      <c r="Q176" s="268" t="e">
        <f>VLOOKUP(A1,DIV_01Data!$A$1:$DZU$999999,2993,FALSE)</f>
        <v>#N/A</v>
      </c>
    </row>
    <row r="177" spans="1:17" x14ac:dyDescent="0.35">
      <c r="A177" s="265" t="e">
        <f>VLOOKUP(A1,DIV_01Data!$A$1:$DZU$999999,2994,FALSE)</f>
        <v>#N/A</v>
      </c>
      <c r="B177" s="37" t="e">
        <f>VLOOKUP(A1,DIV_01Data!$A$1:$DZU$999999,2995,FALSE)</f>
        <v>#N/A</v>
      </c>
      <c r="C177" s="38" t="e">
        <f>VLOOKUP(A1,DIV_01Data!$A$1:$DZU$999999,2996,FALSE)</f>
        <v>#N/A</v>
      </c>
      <c r="D177" s="31" t="e">
        <f>VLOOKUP(A1,DIV_01Data!$A$1:$DZU$999999,2997,FALSE)</f>
        <v>#N/A</v>
      </c>
      <c r="E177" s="32" t="e">
        <f>VLOOKUP(A1,DIV_01Data!$A$1:$DZU$999999,2998,FALSE)</f>
        <v>#N/A</v>
      </c>
      <c r="F177" s="34" t="e">
        <f>VLOOKUP(A1,DIV_01Data!$A$1:$DZU$999999,2999,FALSE)</f>
        <v>#N/A</v>
      </c>
      <c r="G177" s="33" t="e">
        <f>VLOOKUP(A1,DIV_01Data!$A$1:$DZU$999999,3000,FALSE)</f>
        <v>#N/A</v>
      </c>
      <c r="H177" s="34" t="e">
        <f>VLOOKUP(A1,DIV_01Data!$A$1:$DZU$999999,3001,FALSE)</f>
        <v>#N/A</v>
      </c>
      <c r="I177" s="33" t="e">
        <f>VLOOKUP(A1,DIV_01Data!$A$1:$DZU$999999,3002,FALSE)</f>
        <v>#N/A</v>
      </c>
      <c r="J177" s="34" t="e">
        <f>VLOOKUP(A1,DIV_01Data!$A$1:$DZU$999999,3003,FALSE)</f>
        <v>#N/A</v>
      </c>
      <c r="K177" s="34" t="e">
        <f>VLOOKUP(A1,DIV_01Data!$A$1:$DZU$999999,3004,FALSE)</f>
        <v>#N/A</v>
      </c>
      <c r="L177" s="93" t="e">
        <f>VLOOKUP(A1,DIV_01Data!$A$1:$DZU$999999,3005,FALSE)</f>
        <v>#N/A</v>
      </c>
      <c r="M177" s="33" t="e">
        <f>VLOOKUP(A1,DIV_01Data!$A$1:$DZU$999999,3006,FALSE)</f>
        <v>#N/A</v>
      </c>
      <c r="N177" s="34" t="e">
        <f>VLOOKUP(A1,DIV_01Data!$A$1:$DZU$999999,3007,FALSE)</f>
        <v>#N/A</v>
      </c>
      <c r="O177" s="33" t="e">
        <f>VLOOKUP(A1,DIV_01Data!$A$1:$DZU$999999,3008,FALSE)</f>
        <v>#N/A</v>
      </c>
      <c r="P177" s="116" t="e">
        <f>VLOOKUP(A1,DIV_01Data!$A$1:$DZU$999999,3009,FALSE)</f>
        <v>#N/A</v>
      </c>
      <c r="Q177" s="268" t="e">
        <f>VLOOKUP(A1,DIV_01Data!$A$1:$DZU$999999,3010,FALSE)</f>
        <v>#N/A</v>
      </c>
    </row>
    <row r="178" spans="1:17" x14ac:dyDescent="0.35">
      <c r="A178" s="265" t="e">
        <f>VLOOKUP(A1,DIV_01Data!$A$1:$DZU$999999,3011,FALSE)</f>
        <v>#N/A</v>
      </c>
      <c r="B178" s="37" t="e">
        <f>VLOOKUP(A1,DIV_01Data!$A$1:$DZU$999999,3012,FALSE)</f>
        <v>#N/A</v>
      </c>
      <c r="C178" s="38" t="e">
        <f>VLOOKUP(A1,DIV_01Data!$A$1:$DZU$999999,3013,FALSE)</f>
        <v>#N/A</v>
      </c>
      <c r="D178" s="31" t="e">
        <f>VLOOKUP(A1,DIV_01Data!$A$1:$DZU$999999,3014,FALSE)</f>
        <v>#N/A</v>
      </c>
      <c r="E178" s="32" t="e">
        <f>VLOOKUP(A1,DIV_01Data!$A$1:$DZU$999999,3015,FALSE)</f>
        <v>#N/A</v>
      </c>
      <c r="F178" s="34" t="e">
        <f>VLOOKUP(A1,DIV_01Data!$A$1:$DZU$999999,3016,FALSE)</f>
        <v>#N/A</v>
      </c>
      <c r="G178" s="33" t="e">
        <f>VLOOKUP(A1,DIV_01Data!$A$1:$DZU$999999,3017,FALSE)</f>
        <v>#N/A</v>
      </c>
      <c r="H178" s="34" t="e">
        <f>VLOOKUP(A1,DIV_01Data!$A$1:$DZU$999999,3018,FALSE)</f>
        <v>#N/A</v>
      </c>
      <c r="I178" s="33" t="e">
        <f>VLOOKUP(A1,DIV_01Data!$A$1:$DZU$999999,3019,FALSE)</f>
        <v>#N/A</v>
      </c>
      <c r="J178" s="34" t="e">
        <f>VLOOKUP(A1,DIV_01Data!$A$1:$DZU$999999,3020,FALSE)</f>
        <v>#N/A</v>
      </c>
      <c r="K178" s="34" t="e">
        <f>VLOOKUP(A1,DIV_01Data!$A$1:$DZU$999999,3021,FALSE)</f>
        <v>#N/A</v>
      </c>
      <c r="L178" s="93" t="e">
        <f>VLOOKUP(A1,DIV_01Data!$A$1:$DZU$999999,3022,FALSE)</f>
        <v>#N/A</v>
      </c>
      <c r="M178" s="33" t="e">
        <f>VLOOKUP(A1,DIV_01Data!$A$1:$DZU$999999,3023,FALSE)</f>
        <v>#N/A</v>
      </c>
      <c r="N178" s="34" t="e">
        <f>VLOOKUP(A1,DIV_01Data!$A$1:$DZU$999999,3024,FALSE)</f>
        <v>#N/A</v>
      </c>
      <c r="O178" s="33" t="e">
        <f>VLOOKUP(A1,DIV_01Data!$A$1:$DZU$999999,3025,FALSE)</f>
        <v>#N/A</v>
      </c>
      <c r="P178" s="116" t="e">
        <f>VLOOKUP(A1,DIV_01Data!$A$1:$DZU$999999,3026,FALSE)</f>
        <v>#N/A</v>
      </c>
      <c r="Q178" s="268" t="e">
        <f>VLOOKUP(A1,DIV_01Data!$A$1:$DZU$999999,3027,FALSE)</f>
        <v>#N/A</v>
      </c>
    </row>
    <row r="179" spans="1:17" x14ac:dyDescent="0.35">
      <c r="A179" s="265" t="e">
        <f>VLOOKUP(A1,DIV_01Data!$A$1:$DZU$999999,3028,FALSE)</f>
        <v>#N/A</v>
      </c>
      <c r="B179" s="37" t="e">
        <f>VLOOKUP(A1,DIV_01Data!$A$1:$DZU$999999,3029,FALSE)</f>
        <v>#N/A</v>
      </c>
      <c r="C179" s="38" t="e">
        <f>VLOOKUP(A1,DIV_01Data!$A$1:$DZU$999999,3030,FALSE)</f>
        <v>#N/A</v>
      </c>
      <c r="D179" s="31" t="e">
        <f>VLOOKUP(A1,DIV_01Data!$A$1:$DZU$999999,3031,FALSE)</f>
        <v>#N/A</v>
      </c>
      <c r="E179" s="32" t="e">
        <f>VLOOKUP(A1,DIV_01Data!$A$1:$DZU$999999,3032,FALSE)</f>
        <v>#N/A</v>
      </c>
      <c r="F179" s="34" t="e">
        <f>VLOOKUP(A1,DIV_01Data!$A$1:$DZU$999999,3033,FALSE)</f>
        <v>#N/A</v>
      </c>
      <c r="G179" s="33" t="e">
        <f>VLOOKUP(A1,DIV_01Data!$A$1:$DZU$999999,3034,FALSE)</f>
        <v>#N/A</v>
      </c>
      <c r="H179" s="34" t="e">
        <f>VLOOKUP(A1,DIV_01Data!$A$1:$DZU$999999,3035,FALSE)</f>
        <v>#N/A</v>
      </c>
      <c r="I179" s="33" t="e">
        <f>VLOOKUP(A1,DIV_01Data!$A$1:$DZU$999999,3036,FALSE)</f>
        <v>#N/A</v>
      </c>
      <c r="J179" s="34" t="e">
        <f>VLOOKUP(A1,DIV_01Data!$A$1:$DZU$999999,3037,FALSE)</f>
        <v>#N/A</v>
      </c>
      <c r="K179" s="34" t="e">
        <f>VLOOKUP(A1,DIV_01Data!$A$1:$DZU$999999,3038,FALSE)</f>
        <v>#N/A</v>
      </c>
      <c r="L179" s="93" t="e">
        <f>VLOOKUP(A1,DIV_01Data!$A$1:$DZU$999999,3039,FALSE)</f>
        <v>#N/A</v>
      </c>
      <c r="M179" s="33" t="e">
        <f>VLOOKUP(A1,DIV_01Data!$A$1:$DZU$999999,3040,FALSE)</f>
        <v>#N/A</v>
      </c>
      <c r="N179" s="34" t="e">
        <f>VLOOKUP(A1,DIV_01Data!$A$1:$DZU$999999,3041,FALSE)</f>
        <v>#N/A</v>
      </c>
      <c r="O179" s="33" t="e">
        <f>VLOOKUP(A1,DIV_01Data!$A$1:$DZU$999999,3042,FALSE)</f>
        <v>#N/A</v>
      </c>
      <c r="P179" s="116" t="e">
        <f>VLOOKUP(A1,DIV_01Data!$A$1:$DZU$999999,3043,FALSE)</f>
        <v>#N/A</v>
      </c>
      <c r="Q179" s="268" t="e">
        <f>VLOOKUP(A1,DIV_01Data!$A$1:$DZU$999999,3044,FALSE)</f>
        <v>#N/A</v>
      </c>
    </row>
    <row r="180" spans="1:17" x14ac:dyDescent="0.35">
      <c r="A180" s="265" t="e">
        <f>VLOOKUP(A1,DIV_01Data!$A$1:$DZU$999999,3045,FALSE)</f>
        <v>#N/A</v>
      </c>
      <c r="B180" s="37" t="e">
        <f>VLOOKUP(A1,DIV_01Data!$A$1:$DZU$999999,3046,FALSE)</f>
        <v>#N/A</v>
      </c>
      <c r="C180" s="38" t="e">
        <f>VLOOKUP(A1,DIV_01Data!$A$1:$DZU$999999,3047,FALSE)</f>
        <v>#N/A</v>
      </c>
      <c r="D180" s="31" t="e">
        <f>VLOOKUP(A1,DIV_01Data!$A$1:$DZU$999999,3048,FALSE)</f>
        <v>#N/A</v>
      </c>
      <c r="E180" s="32" t="e">
        <f>VLOOKUP(A1,DIV_01Data!$A$1:$DZU$999999,3049,FALSE)</f>
        <v>#N/A</v>
      </c>
      <c r="F180" s="34" t="e">
        <f>VLOOKUP(A1,DIV_01Data!$A$1:$DZU$999999,3050,FALSE)</f>
        <v>#N/A</v>
      </c>
      <c r="G180" s="33" t="e">
        <f>VLOOKUP(A1,DIV_01Data!$A$1:$DZU$999999,3051,FALSE)</f>
        <v>#N/A</v>
      </c>
      <c r="H180" s="34" t="e">
        <f>VLOOKUP(A1,DIV_01Data!$A$1:$DZU$999999,3052,FALSE)</f>
        <v>#N/A</v>
      </c>
      <c r="I180" s="33" t="e">
        <f>VLOOKUP(A1,DIV_01Data!$A$1:$DZU$999999,3053,FALSE)</f>
        <v>#N/A</v>
      </c>
      <c r="J180" s="34" t="e">
        <f>VLOOKUP(A1,DIV_01Data!$A$1:$DZU$999999,3054,FALSE)</f>
        <v>#N/A</v>
      </c>
      <c r="K180" s="34" t="e">
        <f>VLOOKUP(A1,DIV_01Data!$A$1:$DZU$999999,3055,FALSE)</f>
        <v>#N/A</v>
      </c>
      <c r="L180" s="93" t="e">
        <f>VLOOKUP(A1,DIV_01Data!$A$1:$DZU$999999,3056,FALSE)</f>
        <v>#N/A</v>
      </c>
      <c r="M180" s="33" t="e">
        <f>VLOOKUP(A1,DIV_01Data!$A$1:$DZU$999999,3057,FALSE)</f>
        <v>#N/A</v>
      </c>
      <c r="N180" s="34" t="e">
        <f>VLOOKUP(A1,DIV_01Data!$A$1:$DZU$999999,3058,FALSE)</f>
        <v>#N/A</v>
      </c>
      <c r="O180" s="33" t="e">
        <f>VLOOKUP(A1,DIV_01Data!$A$1:$DZU$999999,3059,FALSE)</f>
        <v>#N/A</v>
      </c>
      <c r="P180" s="116" t="e">
        <f>VLOOKUP(A1,DIV_01Data!$A$1:$DZU$999999,3060,FALSE)</f>
        <v>#N/A</v>
      </c>
      <c r="Q180" s="268" t="e">
        <f>VLOOKUP(A1,DIV_01Data!$A$1:$DZU$999999,3061,FALSE)</f>
        <v>#N/A</v>
      </c>
    </row>
    <row r="181" spans="1:17" x14ac:dyDescent="0.35">
      <c r="A181" s="265" t="e">
        <f>VLOOKUP(A1,DIV_01Data!$A$1:$DZU$999999,3062,FALSE)</f>
        <v>#N/A</v>
      </c>
      <c r="B181" s="37" t="e">
        <f>VLOOKUP(A1,DIV_01Data!$A$1:$DZU$999999,3063,FALSE)</f>
        <v>#N/A</v>
      </c>
      <c r="C181" s="38" t="e">
        <f>VLOOKUP(A1,DIV_01Data!$A$1:$DZU$999999,3064,FALSE)</f>
        <v>#N/A</v>
      </c>
      <c r="D181" s="31" t="e">
        <f>VLOOKUP(A1,DIV_01Data!$A$1:$DZU$999999,3065,FALSE)</f>
        <v>#N/A</v>
      </c>
      <c r="E181" s="32" t="e">
        <f>VLOOKUP(A1,DIV_01Data!$A$1:$DZU$999999,3066,FALSE)</f>
        <v>#N/A</v>
      </c>
      <c r="F181" s="34" t="e">
        <f>VLOOKUP(A1,DIV_01Data!$A$1:$DZU$999999,3067,FALSE)</f>
        <v>#N/A</v>
      </c>
      <c r="G181" s="33" t="e">
        <f>VLOOKUP(A1,DIV_01Data!$A$1:$DZU$999999,3068,FALSE)</f>
        <v>#N/A</v>
      </c>
      <c r="H181" s="34" t="e">
        <f>VLOOKUP(A1,DIV_01Data!$A$1:$DZU$999999,3069,FALSE)</f>
        <v>#N/A</v>
      </c>
      <c r="I181" s="33" t="e">
        <f>VLOOKUP(A1,DIV_01Data!$A$1:$DZU$999999,3070,FALSE)</f>
        <v>#N/A</v>
      </c>
      <c r="J181" s="34" t="e">
        <f>VLOOKUP(A1,DIV_01Data!$A$1:$DZU$999999,3071,FALSE)</f>
        <v>#N/A</v>
      </c>
      <c r="K181" s="34" t="e">
        <f>VLOOKUP(A1,DIV_01Data!$A$1:$DZU$999999,3072,FALSE)</f>
        <v>#N/A</v>
      </c>
      <c r="L181" s="93" t="e">
        <f>VLOOKUP(A1,DIV_01Data!$A$1:$DZU$999999,3073,FALSE)</f>
        <v>#N/A</v>
      </c>
      <c r="M181" s="33" t="e">
        <f>VLOOKUP(A1,DIV_01Data!$A$1:$DZU$999999,3074,FALSE)</f>
        <v>#N/A</v>
      </c>
      <c r="N181" s="34" t="e">
        <f>VLOOKUP(A1,DIV_01Data!$A$1:$DZU$999999,3075,FALSE)</f>
        <v>#N/A</v>
      </c>
      <c r="O181" s="33" t="e">
        <f>VLOOKUP(A1,DIV_01Data!$A$1:$DZU$999999,3076,FALSE)</f>
        <v>#N/A</v>
      </c>
      <c r="P181" s="116" t="e">
        <f>VLOOKUP(A1,DIV_01Data!$A$1:$DZU$999999,3077,FALSE)</f>
        <v>#N/A</v>
      </c>
      <c r="Q181" s="268" t="e">
        <f>VLOOKUP(A1,DIV_01Data!$A$1:$DZU$999999,3078,FALSE)</f>
        <v>#N/A</v>
      </c>
    </row>
    <row r="182" spans="1:17" x14ac:dyDescent="0.35">
      <c r="A182" s="265" t="e">
        <f>VLOOKUP(A1,DIV_01Data!$A$1:$DZU$999999,3079,FALSE)</f>
        <v>#N/A</v>
      </c>
      <c r="B182" s="37" t="e">
        <f>VLOOKUP(A1,DIV_01Data!$A$1:$DZU$999999,3080,FALSE)</f>
        <v>#N/A</v>
      </c>
      <c r="C182" s="38" t="e">
        <f>VLOOKUP(A1,DIV_01Data!$A$1:$DZU$999999,3081,FALSE)</f>
        <v>#N/A</v>
      </c>
      <c r="D182" s="31" t="e">
        <f>VLOOKUP(A1,DIV_01Data!$A$1:$DZU$999999,3082,FALSE)</f>
        <v>#N/A</v>
      </c>
      <c r="E182" s="32" t="e">
        <f>VLOOKUP(A1,DIV_01Data!$A$1:$DZU$999999,3083,FALSE)</f>
        <v>#N/A</v>
      </c>
      <c r="F182" s="34" t="e">
        <f>VLOOKUP(A1,DIV_01Data!$A$1:$DZU$999999,3084,FALSE)</f>
        <v>#N/A</v>
      </c>
      <c r="G182" s="33" t="e">
        <f>VLOOKUP(A1,DIV_01Data!$A$1:$DZU$999999,3085,FALSE)</f>
        <v>#N/A</v>
      </c>
      <c r="H182" s="34" t="e">
        <f>VLOOKUP(A1,DIV_01Data!$A$1:$DZU$999999,3086,FALSE)</f>
        <v>#N/A</v>
      </c>
      <c r="I182" s="33" t="e">
        <f>VLOOKUP(A1,DIV_01Data!$A$1:$DZU$999999,3087,FALSE)</f>
        <v>#N/A</v>
      </c>
      <c r="J182" s="34" t="e">
        <f>VLOOKUP(A1,DIV_01Data!$A$1:$DZU$999999,3088,FALSE)</f>
        <v>#N/A</v>
      </c>
      <c r="K182" s="34" t="e">
        <f>VLOOKUP(A1,DIV_01Data!$A$1:$DZU$999999,3089,FALSE)</f>
        <v>#N/A</v>
      </c>
      <c r="L182" s="93" t="e">
        <f>VLOOKUP(A1,DIV_01Data!$A$1:$DZU$999999,3090,FALSE)</f>
        <v>#N/A</v>
      </c>
      <c r="M182" s="33" t="e">
        <f>VLOOKUP(A1,DIV_01Data!$A$1:$DZU$999999,3091,FALSE)</f>
        <v>#N/A</v>
      </c>
      <c r="N182" s="34" t="e">
        <f>VLOOKUP(A1,DIV_01Data!$A$1:$DZU$999999,3092,FALSE)</f>
        <v>#N/A</v>
      </c>
      <c r="O182" s="33" t="e">
        <f>VLOOKUP(A1,DIV_01Data!$A$1:$DZU$999999,3093,FALSE)</f>
        <v>#N/A</v>
      </c>
      <c r="P182" s="116" t="e">
        <f>VLOOKUP(A1,DIV_01Data!$A$1:$DZU$999999,3094,FALSE)</f>
        <v>#N/A</v>
      </c>
      <c r="Q182" s="268" t="e">
        <f>VLOOKUP(A1,DIV_01Data!$A$1:$DZU$999999,3095,FALSE)</f>
        <v>#N/A</v>
      </c>
    </row>
    <row r="183" spans="1:17" x14ac:dyDescent="0.35">
      <c r="A183" s="265" t="e">
        <f>VLOOKUP(A1,DIV_01Data!$A$1:$DZU$999999,3096,FALSE)</f>
        <v>#N/A</v>
      </c>
      <c r="B183" s="37" t="e">
        <f>VLOOKUP(A1,DIV_01Data!$A$1:$DZU$999999,3097,FALSE)</f>
        <v>#N/A</v>
      </c>
      <c r="C183" s="38" t="e">
        <f>VLOOKUP(A1,DIV_01Data!$A$1:$DZU$999999,3098,FALSE)</f>
        <v>#N/A</v>
      </c>
      <c r="D183" s="31" t="e">
        <f>VLOOKUP(A1,DIV_01Data!$A$1:$DZU$999999,3099,FALSE)</f>
        <v>#N/A</v>
      </c>
      <c r="E183" s="32" t="e">
        <f>VLOOKUP(A1,DIV_01Data!$A$1:$DZU$999999,3100,FALSE)</f>
        <v>#N/A</v>
      </c>
      <c r="F183" s="34" t="e">
        <f>VLOOKUP(A1,DIV_01Data!$A$1:$DZU$999999,3101,FALSE)</f>
        <v>#N/A</v>
      </c>
      <c r="G183" s="33" t="e">
        <f>VLOOKUP(A1,DIV_01Data!$A$1:$DZU$999999,3102,FALSE)</f>
        <v>#N/A</v>
      </c>
      <c r="H183" s="34" t="e">
        <f>VLOOKUP(A1,DIV_01Data!$A$1:$DZU$999999,3103,FALSE)</f>
        <v>#N/A</v>
      </c>
      <c r="I183" s="33" t="e">
        <f>VLOOKUP(A1,DIV_01Data!$A$1:$DZU$999999,3104,FALSE)</f>
        <v>#N/A</v>
      </c>
      <c r="J183" s="34" t="e">
        <f>VLOOKUP(A1,DIV_01Data!$A$1:$DZU$999999,3105,FALSE)</f>
        <v>#N/A</v>
      </c>
      <c r="K183" s="34" t="e">
        <f>VLOOKUP(A1,DIV_01Data!$A$1:$DZU$999999,3106,FALSE)</f>
        <v>#N/A</v>
      </c>
      <c r="L183" s="93" t="e">
        <f>VLOOKUP(A1,DIV_01Data!$A$1:$DZU$999999,3107,FALSE)</f>
        <v>#N/A</v>
      </c>
      <c r="M183" s="33" t="e">
        <f>VLOOKUP(A1,DIV_01Data!$A$1:$DZU$999999,3108,FALSE)</f>
        <v>#N/A</v>
      </c>
      <c r="N183" s="34" t="e">
        <f>VLOOKUP(A1,DIV_01Data!$A$1:$DZU$999999,3109,FALSE)</f>
        <v>#N/A</v>
      </c>
      <c r="O183" s="33" t="e">
        <f>VLOOKUP(A1,DIV_01Data!$A$1:$DZU$999999,3110,FALSE)</f>
        <v>#N/A</v>
      </c>
      <c r="P183" s="116" t="e">
        <f>VLOOKUP(A1,DIV_01Data!$A$1:$DZU$999999,3111,FALSE)</f>
        <v>#N/A</v>
      </c>
      <c r="Q183" s="268" t="e">
        <f>VLOOKUP(A1,DIV_01Data!$A$1:$DZU$999999,3112,FALSE)</f>
        <v>#N/A</v>
      </c>
    </row>
    <row r="184" spans="1:17" x14ac:dyDescent="0.35">
      <c r="A184" s="265" t="e">
        <f>VLOOKUP(A1,DIV_01Data!$A$1:$DZU$999999,3113,FALSE)</f>
        <v>#N/A</v>
      </c>
      <c r="B184" s="37" t="e">
        <f>VLOOKUP(A1,DIV_01Data!$A$1:$DZU$999999,3114,FALSE)</f>
        <v>#N/A</v>
      </c>
      <c r="C184" s="38" t="e">
        <f>VLOOKUP(A1,DIV_01Data!$A$1:$DZU$999999,3115,FALSE)</f>
        <v>#N/A</v>
      </c>
      <c r="D184" s="31" t="e">
        <f>VLOOKUP(A1,DIV_01Data!$A$1:$DZU$999999,3116,FALSE)</f>
        <v>#N/A</v>
      </c>
      <c r="E184" s="32" t="e">
        <f>VLOOKUP(A1,DIV_01Data!$A$1:$DZU$999999,3117,FALSE)</f>
        <v>#N/A</v>
      </c>
      <c r="F184" s="34" t="e">
        <f>VLOOKUP(A1,DIV_01Data!$A$1:$DZU$999999,3118,FALSE)</f>
        <v>#N/A</v>
      </c>
      <c r="G184" s="33" t="e">
        <f>VLOOKUP(A1,DIV_01Data!$A$1:$DZU$999999,3119,FALSE)</f>
        <v>#N/A</v>
      </c>
      <c r="H184" s="34" t="e">
        <f>VLOOKUP(A1,DIV_01Data!$A$1:$DZU$999999,3120,FALSE)</f>
        <v>#N/A</v>
      </c>
      <c r="I184" s="33" t="e">
        <f>VLOOKUP(A1,DIV_01Data!$A$1:$DZU$999999,3121,FALSE)</f>
        <v>#N/A</v>
      </c>
      <c r="J184" s="34" t="e">
        <f>VLOOKUP(A1,DIV_01Data!$A$1:$DZU$999999,3122,FALSE)</f>
        <v>#N/A</v>
      </c>
      <c r="K184" s="34" t="e">
        <f>VLOOKUP(A1,DIV_01Data!$A$1:$DZU$999999,3123,FALSE)</f>
        <v>#N/A</v>
      </c>
      <c r="L184" s="93" t="e">
        <f>VLOOKUP(A1,DIV_01Data!$A$1:$DZU$999999,3124,FALSE)</f>
        <v>#N/A</v>
      </c>
      <c r="M184" s="33" t="e">
        <f>VLOOKUP(A1,DIV_01Data!$A$1:$DZU$999999,3125,FALSE)</f>
        <v>#N/A</v>
      </c>
      <c r="N184" s="34" t="e">
        <f>VLOOKUP(A1,DIV_01Data!$A$1:$DZU$999999,3126,FALSE)</f>
        <v>#N/A</v>
      </c>
      <c r="O184" s="33" t="e">
        <f>VLOOKUP(A1,DIV_01Data!$A$1:$DZU$999999,3127,FALSE)</f>
        <v>#N/A</v>
      </c>
      <c r="P184" s="116" t="e">
        <f>VLOOKUP(A1,DIV_01Data!$A$1:$DZU$999999,3128,FALSE)</f>
        <v>#N/A</v>
      </c>
      <c r="Q184" s="268" t="e">
        <f>VLOOKUP(A1,DIV_01Data!$A$1:$DZU$999999,3129,FALSE)</f>
        <v>#N/A</v>
      </c>
    </row>
    <row r="185" spans="1:17" x14ac:dyDescent="0.35">
      <c r="A185" s="265" t="e">
        <f>VLOOKUP(A1,DIV_01Data!$A$1:$DZU$999999,3130,FALSE)</f>
        <v>#N/A</v>
      </c>
      <c r="B185" s="37" t="e">
        <f>VLOOKUP(A1,DIV_01Data!$A$1:$DZU$999999,3131,FALSE)</f>
        <v>#N/A</v>
      </c>
      <c r="C185" s="38" t="e">
        <f>VLOOKUP(A1,DIV_01Data!$A$1:$DZU$999999,3132,FALSE)</f>
        <v>#N/A</v>
      </c>
      <c r="D185" s="31" t="e">
        <f>VLOOKUP(A1,DIV_01Data!$A$1:$DZU$999999,3133,FALSE)</f>
        <v>#N/A</v>
      </c>
      <c r="E185" s="32" t="e">
        <f>VLOOKUP(A1,DIV_01Data!$A$1:$DZU$999999,3134,FALSE)</f>
        <v>#N/A</v>
      </c>
      <c r="F185" s="34" t="e">
        <f>VLOOKUP(A1,DIV_01Data!$A$1:$DZU$999999,3135,FALSE)</f>
        <v>#N/A</v>
      </c>
      <c r="G185" s="33" t="e">
        <f>VLOOKUP(A1,DIV_01Data!$A$1:$DZU$999999,3136,FALSE)</f>
        <v>#N/A</v>
      </c>
      <c r="H185" s="34" t="e">
        <f>VLOOKUP(A1,DIV_01Data!$A$1:$DZU$999999,3137,FALSE)</f>
        <v>#N/A</v>
      </c>
      <c r="I185" s="33" t="e">
        <f>VLOOKUP(A1,DIV_01Data!$A$1:$DZU$999999,3138,FALSE)</f>
        <v>#N/A</v>
      </c>
      <c r="J185" s="34" t="e">
        <f>VLOOKUP(A1,DIV_01Data!$A$1:$DZU$999999,3139,FALSE)</f>
        <v>#N/A</v>
      </c>
      <c r="K185" s="34" t="e">
        <f>VLOOKUP(A1,DIV_01Data!$A$1:$DZU$999999,3140,FALSE)</f>
        <v>#N/A</v>
      </c>
      <c r="L185" s="93" t="e">
        <f>VLOOKUP(A1,DIV_01Data!$A$1:$DZU$999999,3141,FALSE)</f>
        <v>#N/A</v>
      </c>
      <c r="M185" s="33" t="e">
        <f>VLOOKUP(A1,DIV_01Data!$A$1:$DZU$999999,3142,FALSE)</f>
        <v>#N/A</v>
      </c>
      <c r="N185" s="34" t="e">
        <f>VLOOKUP(A1,DIV_01Data!$A$1:$DZU$999999,3143,FALSE)</f>
        <v>#N/A</v>
      </c>
      <c r="O185" s="33" t="e">
        <f>VLOOKUP(A1,DIV_01Data!$A$1:$DZU$999999,3144,FALSE)</f>
        <v>#N/A</v>
      </c>
      <c r="P185" s="116" t="e">
        <f>VLOOKUP(A1,DIV_01Data!$A$1:$DZU$999999,3145,FALSE)</f>
        <v>#N/A</v>
      </c>
      <c r="Q185" s="268" t="e">
        <f>VLOOKUP(A1,DIV_01Data!$A$1:$DZU$999999,3146,FALSE)</f>
        <v>#N/A</v>
      </c>
    </row>
    <row r="186" spans="1:17" x14ac:dyDescent="0.35">
      <c r="A186" s="265" t="e">
        <f>VLOOKUP(A1,DIV_01Data!$A$1:$DZU$999999,3147,FALSE)</f>
        <v>#N/A</v>
      </c>
      <c r="B186" s="37" t="e">
        <f>VLOOKUP(A1,DIV_01Data!$A$1:$DZU$999999,3148,FALSE)</f>
        <v>#N/A</v>
      </c>
      <c r="C186" s="38" t="e">
        <f>VLOOKUP(A1,DIV_01Data!$A$1:$DZU$999999,3149,FALSE)</f>
        <v>#N/A</v>
      </c>
      <c r="D186" s="31" t="e">
        <f>VLOOKUP(A1,DIV_01Data!$A$1:$DZU$999999,3150,FALSE)</f>
        <v>#N/A</v>
      </c>
      <c r="E186" s="32" t="e">
        <f>VLOOKUP(A1,DIV_01Data!$A$1:$DZU$999999,3151,FALSE)</f>
        <v>#N/A</v>
      </c>
      <c r="F186" s="34" t="e">
        <f>VLOOKUP(A1,DIV_01Data!$A$1:$DZU$999999,3152,FALSE)</f>
        <v>#N/A</v>
      </c>
      <c r="G186" s="33" t="e">
        <f>VLOOKUP(A1,DIV_01Data!$A$1:$DZU$999999,3153,FALSE)</f>
        <v>#N/A</v>
      </c>
      <c r="H186" s="34" t="e">
        <f>VLOOKUP(A1,DIV_01Data!$A$1:$DZU$999999,3154,FALSE)</f>
        <v>#N/A</v>
      </c>
      <c r="I186" s="33" t="e">
        <f>VLOOKUP(A1,DIV_01Data!$A$1:$DZU$999999,3155,FALSE)</f>
        <v>#N/A</v>
      </c>
      <c r="J186" s="34" t="e">
        <f>VLOOKUP(A1,DIV_01Data!$A$1:$DZU$999999,3156,FALSE)</f>
        <v>#N/A</v>
      </c>
      <c r="K186" s="34" t="e">
        <f>VLOOKUP(A1,DIV_01Data!$A$1:$DZU$999999,3157,FALSE)</f>
        <v>#N/A</v>
      </c>
      <c r="L186" s="93" t="e">
        <f>VLOOKUP(A1,DIV_01Data!$A$1:$DZU$999999,3158,FALSE)</f>
        <v>#N/A</v>
      </c>
      <c r="M186" s="33" t="e">
        <f>VLOOKUP(A1,DIV_01Data!$A$1:$DZU$999999,3159,FALSE)</f>
        <v>#N/A</v>
      </c>
      <c r="N186" s="34" t="e">
        <f>VLOOKUP(A1,DIV_01Data!$A$1:$DZU$999999,3160,FALSE)</f>
        <v>#N/A</v>
      </c>
      <c r="O186" s="33" t="e">
        <f>VLOOKUP(A1,DIV_01Data!$A$1:$DZU$999999,3161,FALSE)</f>
        <v>#N/A</v>
      </c>
      <c r="P186" s="116" t="e">
        <f>VLOOKUP(A1,DIV_01Data!$A$1:$DZU$999999,3162,FALSE)</f>
        <v>#N/A</v>
      </c>
      <c r="Q186" s="268" t="e">
        <f>VLOOKUP(A1,DIV_01Data!$A$1:$DZU$999999,3163,FALSE)</f>
        <v>#N/A</v>
      </c>
    </row>
    <row r="187" spans="1:17" x14ac:dyDescent="0.35">
      <c r="A187" s="265" t="e">
        <f>VLOOKUP(A1,DIV_01Data!$A$1:$DZU$999999,3164,FALSE)</f>
        <v>#N/A</v>
      </c>
      <c r="B187" s="37" t="e">
        <f>VLOOKUP(A1,DIV_01Data!$A$1:$DZU$999999,3165,FALSE)</f>
        <v>#N/A</v>
      </c>
      <c r="C187" s="38" t="e">
        <f>VLOOKUP(A1,DIV_01Data!$A$1:$DZU$999999,3166,FALSE)</f>
        <v>#N/A</v>
      </c>
      <c r="D187" s="31" t="e">
        <f>VLOOKUP(A1,DIV_01Data!$A$1:$DZU$999999,3167,FALSE)</f>
        <v>#N/A</v>
      </c>
      <c r="E187" s="32" t="e">
        <f>VLOOKUP(A1,DIV_01Data!$A$1:$DZU$999999,3168,FALSE)</f>
        <v>#N/A</v>
      </c>
      <c r="F187" s="34" t="e">
        <f>VLOOKUP(A1,DIV_01Data!$A$1:$DZU$999999,3169,FALSE)</f>
        <v>#N/A</v>
      </c>
      <c r="G187" s="33" t="e">
        <f>VLOOKUP(A1,DIV_01Data!$A$1:$DZU$999999,3170,FALSE)</f>
        <v>#N/A</v>
      </c>
      <c r="H187" s="34" t="e">
        <f>VLOOKUP(A1,DIV_01Data!$A$1:$DZU$999999,3171,FALSE)</f>
        <v>#N/A</v>
      </c>
      <c r="I187" s="33" t="e">
        <f>VLOOKUP(A1,DIV_01Data!$A$1:$DZU$999999,3172,FALSE)</f>
        <v>#N/A</v>
      </c>
      <c r="J187" s="34" t="e">
        <f>VLOOKUP(A1,DIV_01Data!$A$1:$DZU$999999,3173,FALSE)</f>
        <v>#N/A</v>
      </c>
      <c r="K187" s="34" t="e">
        <f>VLOOKUP(A1,DIV_01Data!$A$1:$DZU$999999,3174,FALSE)</f>
        <v>#N/A</v>
      </c>
      <c r="L187" s="93" t="e">
        <f>VLOOKUP(A1,DIV_01Data!$A$1:$DZU$999999,3175,FALSE)</f>
        <v>#N/A</v>
      </c>
      <c r="M187" s="33" t="e">
        <f>VLOOKUP(A1,DIV_01Data!$A$1:$DZU$999999,3176,FALSE)</f>
        <v>#N/A</v>
      </c>
      <c r="N187" s="34" t="e">
        <f>VLOOKUP(A1,DIV_01Data!$A$1:$DZU$999999,3177,FALSE)</f>
        <v>#N/A</v>
      </c>
      <c r="O187" s="33" t="e">
        <f>VLOOKUP(A1,DIV_01Data!$A$1:$DZU$999999,3178,FALSE)</f>
        <v>#N/A</v>
      </c>
      <c r="P187" s="116" t="e">
        <f>VLOOKUP(A1,DIV_01Data!$A$1:$DZU$999999,3179,FALSE)</f>
        <v>#N/A</v>
      </c>
      <c r="Q187" s="268" t="e">
        <f>VLOOKUP(A1,DIV_01Data!$A$1:$DZU$999999,3180,FALSE)</f>
        <v>#N/A</v>
      </c>
    </row>
    <row r="188" spans="1:17" x14ac:dyDescent="0.35">
      <c r="A188" s="265" t="e">
        <f>VLOOKUP(A1,DIV_01Data!$A$1:$DZU$999999,3181,FALSE)</f>
        <v>#N/A</v>
      </c>
      <c r="B188" s="37" t="e">
        <f>VLOOKUP(A1,DIV_01Data!$A$1:$DZU$999999,3182,FALSE)</f>
        <v>#N/A</v>
      </c>
      <c r="C188" s="38" t="e">
        <f>VLOOKUP(A1,DIV_01Data!$A$1:$DZU$999999,3183,FALSE)</f>
        <v>#N/A</v>
      </c>
      <c r="D188" s="31" t="e">
        <f>VLOOKUP(A1,DIV_01Data!$A$1:$DZU$999999,3184,FALSE)</f>
        <v>#N/A</v>
      </c>
      <c r="E188" s="32" t="e">
        <f>VLOOKUP(A1,DIV_01Data!$A$1:$DZU$999999,3185,FALSE)</f>
        <v>#N/A</v>
      </c>
      <c r="F188" s="34" t="e">
        <f>VLOOKUP(A1,DIV_01Data!$A$1:$DZU$999999,3186,FALSE)</f>
        <v>#N/A</v>
      </c>
      <c r="G188" s="33" t="e">
        <f>VLOOKUP(A1,DIV_01Data!$A$1:$DZU$999999,3187,FALSE)</f>
        <v>#N/A</v>
      </c>
      <c r="H188" s="34" t="e">
        <f>VLOOKUP(A1,DIV_01Data!$A$1:$DZU$999999,3188,FALSE)</f>
        <v>#N/A</v>
      </c>
      <c r="I188" s="33" t="e">
        <f>VLOOKUP(A1,DIV_01Data!$A$1:$DZU$999999,3189,FALSE)</f>
        <v>#N/A</v>
      </c>
      <c r="J188" s="34" t="e">
        <f>VLOOKUP(A1,DIV_01Data!$A$1:$DZU$999999,3190,FALSE)</f>
        <v>#N/A</v>
      </c>
      <c r="K188" s="34" t="e">
        <f>VLOOKUP(A1,DIV_01Data!$A$1:$DZU$999999,3191,FALSE)</f>
        <v>#N/A</v>
      </c>
      <c r="L188" s="93" t="e">
        <f>VLOOKUP(A1,DIV_01Data!$A$1:$DZU$999999,3192,FALSE)</f>
        <v>#N/A</v>
      </c>
      <c r="M188" s="33" t="e">
        <f>VLOOKUP(A1,DIV_01Data!$A$1:$DZU$999999,3193,FALSE)</f>
        <v>#N/A</v>
      </c>
      <c r="N188" s="34" t="e">
        <f>VLOOKUP(A1,DIV_01Data!$A$1:$DZU$999999,3194,FALSE)</f>
        <v>#N/A</v>
      </c>
      <c r="O188" s="33" t="e">
        <f>VLOOKUP(A1,DIV_01Data!$A$1:$DZU$999999,3195,FALSE)</f>
        <v>#N/A</v>
      </c>
      <c r="P188" s="116" t="e">
        <f>VLOOKUP(A1,DIV_01Data!$A$1:$DZU$999999,3196,FALSE)</f>
        <v>#N/A</v>
      </c>
      <c r="Q188" s="268" t="e">
        <f>VLOOKUP(A1,DIV_01Data!$A$1:$DZU$999999,3197,FALSE)</f>
        <v>#N/A</v>
      </c>
    </row>
    <row r="189" spans="1:17" x14ac:dyDescent="0.35">
      <c r="A189" s="265" t="e">
        <f>VLOOKUP(A1,DIV_01Data!$A$1:$DZU$999999,3198,FALSE)</f>
        <v>#N/A</v>
      </c>
      <c r="B189" s="37" t="e">
        <f>VLOOKUP(A1,DIV_01Data!$A$1:$DZU$999999,3199,FALSE)</f>
        <v>#N/A</v>
      </c>
      <c r="C189" s="38" t="e">
        <f>VLOOKUP(A1,DIV_01Data!$A$1:$DZU$999999,3200,FALSE)</f>
        <v>#N/A</v>
      </c>
      <c r="D189" s="31" t="e">
        <f>VLOOKUP(A1,DIV_01Data!$A$1:$DZU$999999,3201,FALSE)</f>
        <v>#N/A</v>
      </c>
      <c r="E189" s="32" t="e">
        <f>VLOOKUP(A1,DIV_01Data!$A$1:$DZU$999999,3202,FALSE)</f>
        <v>#N/A</v>
      </c>
      <c r="F189" s="34" t="e">
        <f>VLOOKUP(A1,DIV_01Data!$A$1:$DZU$999999,3203,FALSE)</f>
        <v>#N/A</v>
      </c>
      <c r="G189" s="33" t="e">
        <f>VLOOKUP(A1,DIV_01Data!$A$1:$DZU$999999,3204,FALSE)</f>
        <v>#N/A</v>
      </c>
      <c r="H189" s="34" t="e">
        <f>VLOOKUP(A1,DIV_01Data!$A$1:$DZU$999999,3205,FALSE)</f>
        <v>#N/A</v>
      </c>
      <c r="I189" s="33" t="e">
        <f>VLOOKUP(A1,DIV_01Data!$A$1:$DZU$999999,3206,FALSE)</f>
        <v>#N/A</v>
      </c>
      <c r="J189" s="34" t="e">
        <f>VLOOKUP(A1,DIV_01Data!$A$1:$DZU$999999,3207,FALSE)</f>
        <v>#N/A</v>
      </c>
      <c r="K189" s="34" t="e">
        <f>VLOOKUP(A1,DIV_01Data!$A$1:$DZU$999999,3208,FALSE)</f>
        <v>#N/A</v>
      </c>
      <c r="L189" s="93" t="e">
        <f>VLOOKUP(A1,DIV_01Data!$A$1:$DZU$999999,3209,FALSE)</f>
        <v>#N/A</v>
      </c>
      <c r="M189" s="33" t="e">
        <f>VLOOKUP(A1,DIV_01Data!$A$1:$DZU$999999,3210,FALSE)</f>
        <v>#N/A</v>
      </c>
      <c r="N189" s="34" t="e">
        <f>VLOOKUP(A1,DIV_01Data!$A$1:$DZU$999999,3211,FALSE)</f>
        <v>#N/A</v>
      </c>
      <c r="O189" s="33" t="e">
        <f>VLOOKUP(A1,DIV_01Data!$A$1:$DZU$999999,3212,FALSE)</f>
        <v>#N/A</v>
      </c>
      <c r="P189" s="116" t="e">
        <f>VLOOKUP(A1,DIV_01Data!$A$1:$DZU$999999,3213,FALSE)</f>
        <v>#N/A</v>
      </c>
      <c r="Q189" s="268" t="e">
        <f>VLOOKUP(A1,DIV_01Data!$A$1:$DZU$999999,3214,FALSE)</f>
        <v>#N/A</v>
      </c>
    </row>
    <row r="190" spans="1:17" x14ac:dyDescent="0.35">
      <c r="A190" s="265" t="e">
        <f>VLOOKUP(A1,DIV_01Data!$A$1:$DZU$999999,3215,FALSE)</f>
        <v>#N/A</v>
      </c>
      <c r="B190" s="37" t="e">
        <f>VLOOKUP(A1,DIV_01Data!$A$1:$DZU$999999,3216,FALSE)</f>
        <v>#N/A</v>
      </c>
      <c r="C190" s="38" t="e">
        <f>VLOOKUP(A1,DIV_01Data!$A$1:$DZU$999999,3217,FALSE)</f>
        <v>#N/A</v>
      </c>
      <c r="D190" s="31" t="e">
        <f>VLOOKUP(A1,DIV_01Data!$A$1:$DZU$999999,3218,FALSE)</f>
        <v>#N/A</v>
      </c>
      <c r="E190" s="32" t="e">
        <f>VLOOKUP(A1,DIV_01Data!$A$1:$DZU$999999,3219,FALSE)</f>
        <v>#N/A</v>
      </c>
      <c r="F190" s="34" t="e">
        <f>VLOOKUP(A1,DIV_01Data!$A$1:$DZU$999999,3220,FALSE)</f>
        <v>#N/A</v>
      </c>
      <c r="G190" s="33" t="e">
        <f>VLOOKUP(A1,DIV_01Data!$A$1:$DZU$999999,3221,FALSE)</f>
        <v>#N/A</v>
      </c>
      <c r="H190" s="34" t="e">
        <f>VLOOKUP(A1,DIV_01Data!$A$1:$DZU$999999,3222,FALSE)</f>
        <v>#N/A</v>
      </c>
      <c r="I190" s="33" t="e">
        <f>VLOOKUP(A1,DIV_01Data!$A$1:$DZU$999999,3223,FALSE)</f>
        <v>#N/A</v>
      </c>
      <c r="J190" s="34" t="e">
        <f>VLOOKUP(A1,DIV_01Data!$A$1:$DZU$999999,3224,FALSE)</f>
        <v>#N/A</v>
      </c>
      <c r="K190" s="34" t="e">
        <f>VLOOKUP(A1,DIV_01Data!$A$1:$DZU$999999,3225,FALSE)</f>
        <v>#N/A</v>
      </c>
      <c r="L190" s="93" t="e">
        <f>VLOOKUP(A1,DIV_01Data!$A$1:$DZU$999999,3226,FALSE)</f>
        <v>#N/A</v>
      </c>
      <c r="M190" s="33" t="e">
        <f>VLOOKUP(A1,DIV_01Data!$A$1:$DZU$999999,3227,FALSE)</f>
        <v>#N/A</v>
      </c>
      <c r="N190" s="34" t="e">
        <f>VLOOKUP(A1,DIV_01Data!$A$1:$DZU$999999,3228,FALSE)</f>
        <v>#N/A</v>
      </c>
      <c r="O190" s="33" t="e">
        <f>VLOOKUP(A1,DIV_01Data!$A$1:$DZU$999999,3229,FALSE)</f>
        <v>#N/A</v>
      </c>
      <c r="P190" s="116" t="e">
        <f>VLOOKUP(A1,DIV_01Data!$A$1:$DZU$999999,3230,FALSE)</f>
        <v>#N/A</v>
      </c>
      <c r="Q190" s="268" t="e">
        <f>VLOOKUP(A1,DIV_01Data!$A$1:$DZU$999999,3231,FALSE)</f>
        <v>#N/A</v>
      </c>
    </row>
    <row r="191" spans="1:17" x14ac:dyDescent="0.35">
      <c r="A191" s="265" t="e">
        <f>VLOOKUP(A1,DIV_01Data!$A$1:$DZU$999999,3232,FALSE)</f>
        <v>#N/A</v>
      </c>
      <c r="B191" s="37" t="e">
        <f>VLOOKUP(A1,DIV_01Data!$A$1:$DZU$999999,3233,FALSE)</f>
        <v>#N/A</v>
      </c>
      <c r="C191" s="43" t="e">
        <f>VLOOKUP(A1,DIV_01Data!$A$1:$DZU$999999,3234,FALSE)</f>
        <v>#N/A</v>
      </c>
      <c r="D191" s="31" t="e">
        <f>VLOOKUP(A1,DIV_01Data!$A$1:$DZU$999999,3235,FALSE)</f>
        <v>#N/A</v>
      </c>
      <c r="E191" s="32" t="e">
        <f>VLOOKUP(A1,DIV_01Data!$A$1:$DZU$999999,3236,FALSE)</f>
        <v>#N/A</v>
      </c>
      <c r="F191" s="44" t="e">
        <f>VLOOKUP(A1,DIV_01Data!$A$1:$DZU$999999,3237,FALSE)</f>
        <v>#N/A</v>
      </c>
      <c r="G191" s="45" t="e">
        <f>VLOOKUP(A1,DIV_01Data!$A$1:$DZU$999999,3238,FALSE)</f>
        <v>#N/A</v>
      </c>
      <c r="H191" s="44" t="e">
        <f>VLOOKUP(A1,DIV_01Data!$A$1:$DZU$999999,3239,FALSE)</f>
        <v>#N/A</v>
      </c>
      <c r="I191" s="45" t="e">
        <f>VLOOKUP(A1,DIV_01Data!$A$1:$DZU$999999,3240,FALSE)</f>
        <v>#N/A</v>
      </c>
      <c r="J191" s="34" t="e">
        <f>VLOOKUP(A1,DIV_01Data!$A$1:$DZU$999999,3241,FALSE)</f>
        <v>#N/A</v>
      </c>
      <c r="K191" s="43" t="e">
        <f>VLOOKUP(A1,DIV_01Data!$A$1:$DZU$999999,3242,FALSE)</f>
        <v>#N/A</v>
      </c>
      <c r="L191" s="44" t="e">
        <f>VLOOKUP(A1,DIV_01Data!$A$1:$DZU$999999,3243,FALSE)</f>
        <v>#N/A</v>
      </c>
      <c r="M191" s="45" t="e">
        <f>VLOOKUP(A1,DIV_01Data!$A$1:$DZU$999999,3244,FALSE)</f>
        <v>#N/A</v>
      </c>
      <c r="N191" s="44" t="e">
        <f>VLOOKUP(A1,DIV_01Data!$A$1:$DZU$999999,3245,FALSE)</f>
        <v>#N/A</v>
      </c>
      <c r="O191" s="45" t="e">
        <f>VLOOKUP(A1,DIV_01Data!$A$1:$DZU$999999,3246,FALSE)</f>
        <v>#N/A</v>
      </c>
      <c r="P191" s="116" t="e">
        <f>VLOOKUP(A1,DIV_01Data!$A$1:$DZU$999999,3247,FALSE)</f>
        <v>#N/A</v>
      </c>
      <c r="Q191" s="269" t="e">
        <f>VLOOKUP(A1,DIV_01Data!$A$1:$DZU$999999,3248,FALSE)</f>
        <v>#N/A</v>
      </c>
    </row>
    <row r="192" spans="1:17" x14ac:dyDescent="0.35">
      <c r="A192" s="265" t="e">
        <f>VLOOKUP(A1,DIV_01Data!$A$1:$DZU$999999,3249,FALSE)</f>
        <v>#N/A</v>
      </c>
      <c r="B192" s="37" t="e">
        <f>VLOOKUP(A1,DIV_01Data!$A$1:$DZU$999999,3250,FALSE)</f>
        <v>#N/A</v>
      </c>
      <c r="C192" s="38" t="e">
        <f>VLOOKUP(A1,DIV_01Data!$A$1:$DZU$999999,3251,FALSE)</f>
        <v>#N/A</v>
      </c>
      <c r="D192" s="31" t="e">
        <f>VLOOKUP(A1,DIV_01Data!$A$1:$DZU$999999,3252,FALSE)</f>
        <v>#N/A</v>
      </c>
      <c r="E192" s="32" t="e">
        <f>VLOOKUP(A1,DIV_01Data!$A$1:$DZU$999999,3253,FALSE)</f>
        <v>#N/A</v>
      </c>
      <c r="F192" s="34" t="e">
        <f>VLOOKUP(A1,DIV_01Data!$A$1:$DZU$999999,3254,FALSE)</f>
        <v>#N/A</v>
      </c>
      <c r="G192" s="33" t="e">
        <f>VLOOKUP(A1,DIV_01Data!$A$1:$DZU$999999,3255,FALSE)</f>
        <v>#N/A</v>
      </c>
      <c r="H192" s="34" t="e">
        <f>VLOOKUP(A1,DIV_01Data!$A$1:$DZU$999999,3256,FALSE)</f>
        <v>#N/A</v>
      </c>
      <c r="I192" s="33" t="e">
        <f>VLOOKUP(A1,DIV_01Data!$A$1:$DZU$999999,3257,FALSE)</f>
        <v>#N/A</v>
      </c>
      <c r="J192" s="34" t="e">
        <f>VLOOKUP(A1,DIV_01Data!$A$1:$DZU$999999,3258,FALSE)</f>
        <v>#N/A</v>
      </c>
      <c r="K192" s="34" t="e">
        <f>VLOOKUP(A1,DIV_01Data!$A$1:$DZU$999999,3259,FALSE)</f>
        <v>#N/A</v>
      </c>
      <c r="L192" s="34" t="e">
        <f>VLOOKUP(A1,DIV_01Data!$A$1:$DZU$999999,3260,FALSE)</f>
        <v>#N/A</v>
      </c>
      <c r="M192" s="33" t="e">
        <f>VLOOKUP(A1,DIV_01Data!$A$1:$DZU$999999,3261,FALSE)</f>
        <v>#N/A</v>
      </c>
      <c r="N192" s="34" t="e">
        <f>VLOOKUP(A1,DIV_01Data!$A$1:$DZU$999999,3262,FALSE)</f>
        <v>#N/A</v>
      </c>
      <c r="O192" s="33" t="e">
        <f>VLOOKUP(A1,DIV_01Data!$A$1:$DZU$999999,3263,FALSE)</f>
        <v>#N/A</v>
      </c>
      <c r="P192" s="116" t="e">
        <f>VLOOKUP(A1,DIV_01Data!$A$1:$DZU$999999,3264,FALSE)</f>
        <v>#N/A</v>
      </c>
      <c r="Q192" s="268" t="e">
        <f>VLOOKUP(A1,DIV_01Data!$A$1:$DZU$999999,3265,FALSE)</f>
        <v>#N/A</v>
      </c>
    </row>
    <row r="193" spans="1:17" x14ac:dyDescent="0.35">
      <c r="A193" s="265" t="e">
        <f>VLOOKUP(A1,DIV_01Data!$A$1:$DZU$999999,3266,FALSE)</f>
        <v>#N/A</v>
      </c>
      <c r="B193" s="37" t="e">
        <f>VLOOKUP(A1,DIV_01Data!$A$1:$DZU$999999,3267,FALSE)</f>
        <v>#N/A</v>
      </c>
      <c r="C193" s="30" t="e">
        <f>VLOOKUP(A1,DIV_01Data!$A$1:$DZU$999999,3268,FALSE)</f>
        <v>#N/A</v>
      </c>
      <c r="D193" s="31" t="e">
        <f>VLOOKUP(A1,DIV_01Data!$A$1:$DZU$999999,3269,FALSE)</f>
        <v>#N/A</v>
      </c>
      <c r="E193" s="32" t="e">
        <f>VLOOKUP(A1,DIV_01Data!$A$1:$DZU$999999,3270,FALSE)</f>
        <v>#N/A</v>
      </c>
      <c r="F193" s="34" t="e">
        <f>VLOOKUP(A1,DIV_01Data!$A$1:$DZU$999999,3271,FALSE)</f>
        <v>#N/A</v>
      </c>
      <c r="G193" s="33" t="e">
        <f>VLOOKUP(A1,DIV_01Data!$A$1:$DZU$999999,3272,FALSE)</f>
        <v>#N/A</v>
      </c>
      <c r="H193" s="34" t="e">
        <f>VLOOKUP(A1,DIV_01Data!$A$1:$DZU$999999,3273,FALSE)</f>
        <v>#N/A</v>
      </c>
      <c r="I193" s="33" t="e">
        <f>VLOOKUP(A1,DIV_01Data!$A$1:$DZU$999999,3274,FALSE)</f>
        <v>#N/A</v>
      </c>
      <c r="J193" s="34" t="e">
        <f>VLOOKUP(A1,DIV_01Data!$A$1:$DZU$999999,3275,FALSE)</f>
        <v>#N/A</v>
      </c>
      <c r="K193" s="34" t="e">
        <f>VLOOKUP(A1,DIV_01Data!$A$1:$DZU$999999,3276,FALSE)</f>
        <v>#N/A</v>
      </c>
      <c r="L193" s="34" t="e">
        <f>VLOOKUP(A1,DIV_01Data!$A$1:$DZU$999999,3277,FALSE)</f>
        <v>#N/A</v>
      </c>
      <c r="M193" s="33" t="e">
        <f>VLOOKUP(A1,DIV_01Data!$A$1:$DZU$999999,3278,FALSE)</f>
        <v>#N/A</v>
      </c>
      <c r="N193" s="34" t="e">
        <f>VLOOKUP(A1,DIV_01Data!$A$1:$DZU$999999,3279,FALSE)</f>
        <v>#N/A</v>
      </c>
      <c r="O193" s="33" t="e">
        <f>VLOOKUP(A1,DIV_01Data!$A$1:$DZU$999999,3280,FALSE)</f>
        <v>#N/A</v>
      </c>
      <c r="P193" s="116" t="e">
        <f>VLOOKUP(A1,DIV_01Data!$A$1:$DZU$999999,3281,FALSE)</f>
        <v>#N/A</v>
      </c>
      <c r="Q193" s="268" t="e">
        <f>VLOOKUP(A1,DIV_01Data!$A$1:$DZU$999999,3282,FALSE)</f>
        <v>#N/A</v>
      </c>
    </row>
    <row r="194" spans="1:17" x14ac:dyDescent="0.35">
      <c r="A194" s="265" t="e">
        <f>VLOOKUP(A1,DIV_01Data!$A$1:$DZU$999999,3283,FALSE)</f>
        <v>#N/A</v>
      </c>
      <c r="B194" s="37" t="e">
        <f>VLOOKUP(A1,DIV_01Data!$A$1:$DZU$999999,3284,FALSE)</f>
        <v>#N/A</v>
      </c>
      <c r="C194" s="38" t="e">
        <f>VLOOKUP(A1,DIV_01Data!$A$1:$DZU$999999,3285,FALSE)</f>
        <v>#N/A</v>
      </c>
      <c r="D194" s="31" t="e">
        <f>VLOOKUP(A1,DIV_01Data!$A$1:$DZU$999999,3286,FALSE)</f>
        <v>#N/A</v>
      </c>
      <c r="E194" s="32" t="e">
        <f>VLOOKUP(A1,DIV_01Data!$A$1:$DZU$999999,3287,FALSE)</f>
        <v>#N/A</v>
      </c>
      <c r="F194" s="34" t="e">
        <f>VLOOKUP(A1,DIV_01Data!$A$1:$DZU$999999,3288,FALSE)</f>
        <v>#N/A</v>
      </c>
      <c r="G194" s="33" t="e">
        <f>VLOOKUP(A1,DIV_01Data!$A$1:$DZU$999999,3289,FALSE)</f>
        <v>#N/A</v>
      </c>
      <c r="H194" s="34" t="e">
        <f>VLOOKUP(A1,DIV_01Data!$A$1:$DZU$999999,3290,FALSE)</f>
        <v>#N/A</v>
      </c>
      <c r="I194" s="33" t="e">
        <f>VLOOKUP(A1,DIV_01Data!$A$1:$DZU$999999,3291,FALSE)</f>
        <v>#N/A</v>
      </c>
      <c r="J194" s="34" t="e">
        <f>VLOOKUP(A1,DIV_01Data!$A$1:$DZU$999999,3292,FALSE)</f>
        <v>#N/A</v>
      </c>
      <c r="K194" s="34" t="e">
        <f>VLOOKUP(A1,DIV_01Data!$A$1:$DZU$999999,3293,FALSE)</f>
        <v>#N/A</v>
      </c>
      <c r="L194" s="93" t="e">
        <f>VLOOKUP(A1,DIV_01Data!$A$1:$DZU$999999,3294,FALSE)</f>
        <v>#N/A</v>
      </c>
      <c r="M194" s="33" t="e">
        <f>VLOOKUP(A1,DIV_01Data!$A$1:$DZU$999999,3295,FALSE)</f>
        <v>#N/A</v>
      </c>
      <c r="N194" s="34" t="e">
        <f>VLOOKUP(A1,DIV_01Data!$A$1:$DZU$999999,3296,FALSE)</f>
        <v>#N/A</v>
      </c>
      <c r="O194" s="33" t="e">
        <f>VLOOKUP(A1,DIV_01Data!$A$1:$DZU$999999,3297,FALSE)</f>
        <v>#N/A</v>
      </c>
      <c r="P194" s="116" t="e">
        <f>VLOOKUP(A1,DIV_01Data!$A$1:$DZU$999999,3298,FALSE)</f>
        <v>#N/A</v>
      </c>
      <c r="Q194" s="268" t="e">
        <f>VLOOKUP(A1,DIV_01Data!$A$1:$DZU$999999,3299,FALSE)</f>
        <v>#N/A</v>
      </c>
    </row>
    <row r="195" spans="1:17" x14ac:dyDescent="0.35">
      <c r="A195" s="265" t="e">
        <f>VLOOKUP(A1,DIV_01Data!$A$1:$DZU$999999,3300,FALSE)</f>
        <v>#N/A</v>
      </c>
      <c r="B195" s="37" t="e">
        <f>VLOOKUP(A1,DIV_01Data!$A$1:$DZU$999999,3301,FALSE)</f>
        <v>#N/A</v>
      </c>
      <c r="C195" s="38" t="e">
        <f>VLOOKUP(A1,DIV_01Data!$A$1:$DZU$999999,3302,FALSE)</f>
        <v>#N/A</v>
      </c>
      <c r="D195" s="31" t="e">
        <f>VLOOKUP(A1,DIV_01Data!$A$1:$DZU$999999,3303,FALSE)</f>
        <v>#N/A</v>
      </c>
      <c r="E195" s="32" t="e">
        <f>VLOOKUP(A1,DIV_01Data!$A$1:$DZU$999999,3304,FALSE)</f>
        <v>#N/A</v>
      </c>
      <c r="F195" s="34" t="e">
        <f>VLOOKUP(A1,DIV_01Data!$A$1:$DZU$999999,3305,FALSE)</f>
        <v>#N/A</v>
      </c>
      <c r="G195" s="33" t="e">
        <f>VLOOKUP(A1,DIV_01Data!$A$1:$DZU$999999,3306,FALSE)</f>
        <v>#N/A</v>
      </c>
      <c r="H195" s="34" t="e">
        <f>VLOOKUP(A1,DIV_01Data!$A$1:$DZU$999999,3307,FALSE)</f>
        <v>#N/A</v>
      </c>
      <c r="I195" s="33" t="e">
        <f>VLOOKUP(A1,DIV_01Data!$A$1:$DZU$999999,3308,FALSE)</f>
        <v>#N/A</v>
      </c>
      <c r="J195" s="34" t="e">
        <f>VLOOKUP(A1,DIV_01Data!$A$1:$DZU$999999,3309,FALSE)</f>
        <v>#N/A</v>
      </c>
      <c r="K195" s="34" t="e">
        <f>VLOOKUP(A1,DIV_01Data!$A$1:$DZU$999999,3310,FALSE)</f>
        <v>#N/A</v>
      </c>
      <c r="L195" s="93" t="e">
        <f>VLOOKUP(A1,DIV_01Data!$A$1:$DZU$999999,3311,FALSE)</f>
        <v>#N/A</v>
      </c>
      <c r="M195" s="33" t="e">
        <f>VLOOKUP(A1,DIV_01Data!$A$1:$DZU$999999,3312,FALSE)</f>
        <v>#N/A</v>
      </c>
      <c r="N195" s="34" t="e">
        <f>VLOOKUP(A1,DIV_01Data!$A$1:$DZU$999999,3313,FALSE)</f>
        <v>#N/A</v>
      </c>
      <c r="O195" s="33" t="e">
        <f>VLOOKUP(A1,DIV_01Data!$A$1:$DZU$999999,3314,FALSE)</f>
        <v>#N/A</v>
      </c>
      <c r="P195" s="116" t="e">
        <f>VLOOKUP(A1,DIV_01Data!$A$1:$DZU$999999,3315,FALSE)</f>
        <v>#N/A</v>
      </c>
      <c r="Q195" s="268" t="e">
        <f>VLOOKUP(A1,DIV_01Data!$A$1:$DZU$999999,3316,FALSE)</f>
        <v>#N/A</v>
      </c>
    </row>
    <row r="196" spans="1:17" x14ac:dyDescent="0.35">
      <c r="A196" s="265" t="e">
        <f>VLOOKUP(A1,DIV_01Data!$A$1:$DZU$999999,3317,FALSE)</f>
        <v>#N/A</v>
      </c>
      <c r="B196" s="37" t="e">
        <f>VLOOKUP(A1,DIV_01Data!$A$1:$DZU$999999,3318,FALSE)</f>
        <v>#N/A</v>
      </c>
      <c r="C196" s="38" t="e">
        <f>VLOOKUP(A1,DIV_01Data!$A$1:$DZU$999999,3319,FALSE)</f>
        <v>#N/A</v>
      </c>
      <c r="D196" s="31" t="e">
        <f>VLOOKUP(A1,DIV_01Data!$A$1:$DZU$999999,3320,FALSE)</f>
        <v>#N/A</v>
      </c>
      <c r="E196" s="32" t="e">
        <f>VLOOKUP(A1,DIV_01Data!$A$1:$DZU$999999,3321,FALSE)</f>
        <v>#N/A</v>
      </c>
      <c r="F196" s="34" t="e">
        <f>VLOOKUP(A1,DIV_01Data!$A$1:$DZU$999999,3322,FALSE)</f>
        <v>#N/A</v>
      </c>
      <c r="G196" s="33" t="e">
        <f>VLOOKUP(A1,DIV_01Data!$A$1:$DZU$999999,3323,FALSE)</f>
        <v>#N/A</v>
      </c>
      <c r="H196" s="34" t="e">
        <f>VLOOKUP(A1,DIV_01Data!$A$1:$DZU$999999,3324,FALSE)</f>
        <v>#N/A</v>
      </c>
      <c r="I196" s="33" t="e">
        <f>VLOOKUP(A1,DIV_01Data!$A$1:$DZU$999999,3325,FALSE)</f>
        <v>#N/A</v>
      </c>
      <c r="J196" s="34" t="e">
        <f>VLOOKUP(A1,DIV_01Data!$A$1:$DZU$999999,3326,FALSE)</f>
        <v>#N/A</v>
      </c>
      <c r="K196" s="34" t="e">
        <f>VLOOKUP(A1,DIV_01Data!$A$1:$DZU$999999,3327,FALSE)</f>
        <v>#N/A</v>
      </c>
      <c r="L196" s="93" t="e">
        <f>VLOOKUP(A1,DIV_01Data!$A$1:$DZU$999999,3328,FALSE)</f>
        <v>#N/A</v>
      </c>
      <c r="M196" s="33" t="e">
        <f>VLOOKUP(A1,DIV_01Data!$A$1:$DZU$999999,3329,FALSE)</f>
        <v>#N/A</v>
      </c>
      <c r="N196" s="34" t="e">
        <f>VLOOKUP(A1,DIV_01Data!$A$1:$DZU$999999,3330,FALSE)</f>
        <v>#N/A</v>
      </c>
      <c r="O196" s="33" t="e">
        <f>VLOOKUP(A1,DIV_01Data!$A$1:$DZU$999999,3331,FALSE)</f>
        <v>#N/A</v>
      </c>
      <c r="P196" s="116" t="e">
        <f>VLOOKUP(A1,DIV_01Data!$A$1:$DZU$999999,3332,FALSE)</f>
        <v>#N/A</v>
      </c>
      <c r="Q196" s="268" t="e">
        <f>VLOOKUP(A1,DIV_01Data!$A$1:$DZU$999999,3333,FALSE)</f>
        <v>#N/A</v>
      </c>
    </row>
    <row r="197" spans="1:17" x14ac:dyDescent="0.35">
      <c r="A197" s="265" t="e">
        <f>VLOOKUP(A1,DIV_01Data!$A$1:$DZU$999999,3334,FALSE)</f>
        <v>#N/A</v>
      </c>
      <c r="B197" s="37" t="e">
        <f>VLOOKUP(A1,DIV_01Data!$A$1:$DZU$999999,3335,FALSE)</f>
        <v>#N/A</v>
      </c>
      <c r="C197" s="43" t="e">
        <f>VLOOKUP(A1,DIV_01Data!$A$1:$DZU$999999,3336,FALSE)</f>
        <v>#N/A</v>
      </c>
      <c r="D197" s="31" t="e">
        <f>VLOOKUP(A1,DIV_01Data!$A$1:$DZU$999999,3337,FALSE)</f>
        <v>#N/A</v>
      </c>
      <c r="E197" s="32" t="e">
        <f>VLOOKUP(A1,DIV_01Data!$A$1:$DZU$999999,3338,FALSE)</f>
        <v>#N/A</v>
      </c>
      <c r="F197" s="44" t="e">
        <f>VLOOKUP(A1,DIV_01Data!$A$1:$DZU$999999,3339,FALSE)</f>
        <v>#N/A</v>
      </c>
      <c r="G197" s="45" t="e">
        <f>VLOOKUP(A1,DIV_01Data!$A$1:$DZU$999999,3340,FALSE)</f>
        <v>#N/A</v>
      </c>
      <c r="H197" s="44" t="e">
        <f>VLOOKUP(A1,DIV_01Data!$A$1:$DZU$999999,3341,FALSE)</f>
        <v>#N/A</v>
      </c>
      <c r="I197" s="45" t="e">
        <f>VLOOKUP(A1,DIV_01Data!$A$1:$DZU$999999,3342,FALSE)</f>
        <v>#N/A</v>
      </c>
      <c r="J197" s="34" t="e">
        <f>VLOOKUP(A1,DIV_01Data!$A$1:$DZU$999999,3343,FALSE)</f>
        <v>#N/A</v>
      </c>
      <c r="K197" s="43" t="e">
        <f>VLOOKUP(A1,DIV_01Data!$A$1:$DZU$999999,3344,FALSE)</f>
        <v>#N/A</v>
      </c>
      <c r="L197" s="44" t="e">
        <f>VLOOKUP(A1,DIV_01Data!$A$1:$DZU$999999,3345,FALSE)</f>
        <v>#N/A</v>
      </c>
      <c r="M197" s="45" t="e">
        <f>VLOOKUP(A1,DIV_01Data!$A$1:$DZU$999999,3346,FALSE)</f>
        <v>#N/A</v>
      </c>
      <c r="N197" s="44" t="e">
        <f>VLOOKUP(A1,DIV_01Data!$A$1:$DZU$999999,3347,FALSE)</f>
        <v>#N/A</v>
      </c>
      <c r="O197" s="45" t="e">
        <f>VLOOKUP(A1,DIV_01Data!$A$1:$DZU$999999,3348,FALSE)</f>
        <v>#N/A</v>
      </c>
      <c r="P197" s="114" t="e">
        <f>VLOOKUP(A1,DIV_01Data!$A$1:$DZU$999999,3349,FALSE)</f>
        <v>#N/A</v>
      </c>
      <c r="Q197" s="269" t="e">
        <f>VLOOKUP(A1,DIV_01Data!$A$1:$DZU$999999,3350,FALSE)</f>
        <v>#N/A</v>
      </c>
    </row>
    <row r="198" spans="1:17" x14ac:dyDescent="0.35">
      <c r="A198" s="265" t="e">
        <f>VLOOKUP(A1,DIV_01Data!$A$1:$DZU$999999,3351,FALSE)</f>
        <v>#N/A</v>
      </c>
      <c r="B198" s="37" t="e">
        <f>VLOOKUP(A1,DIV_01Data!$A$1:$DZU$999999,3352,FALSE)</f>
        <v>#N/A</v>
      </c>
      <c r="C198" s="38" t="e">
        <f>VLOOKUP(A1,DIV_01Data!$A$1:$DZU$999999,3353,FALSE)</f>
        <v>#N/A</v>
      </c>
      <c r="D198" s="31" t="e">
        <f>VLOOKUP(A1,DIV_01Data!$A$1:$DZU$999999,3354,FALSE)</f>
        <v>#N/A</v>
      </c>
      <c r="E198" s="32" t="e">
        <f>VLOOKUP(A1,DIV_01Data!$A$1:$DZU$999999,3355,FALSE)</f>
        <v>#N/A</v>
      </c>
      <c r="F198" s="34" t="e">
        <f>VLOOKUP(A1,DIV_01Data!$A$1:$DZU$999999,3356,FALSE)</f>
        <v>#N/A</v>
      </c>
      <c r="G198" s="33" t="e">
        <f>VLOOKUP(A1,DIV_01Data!$A$1:$DZU$999999,3357,FALSE)</f>
        <v>#N/A</v>
      </c>
      <c r="H198" s="34" t="e">
        <f>VLOOKUP(A1,DIV_01Data!$A$1:$DZU$999999,3358,FALSE)</f>
        <v>#N/A</v>
      </c>
      <c r="I198" s="33" t="e">
        <f>VLOOKUP(A1,DIV_01Data!$A$1:$DZU$999999,3359,FALSE)</f>
        <v>#N/A</v>
      </c>
      <c r="J198" s="34" t="e">
        <f>VLOOKUP(A1,DIV_01Data!$A$1:$DZU$999999,3360,FALSE)</f>
        <v>#N/A</v>
      </c>
      <c r="K198" s="34" t="e">
        <f>VLOOKUP(A1,DIV_01Data!$A$1:$DZU$999999,3361,FALSE)</f>
        <v>#N/A</v>
      </c>
      <c r="L198" s="34" t="e">
        <f>VLOOKUP(A1,DIV_01Data!$A$1:$DZU$999999,3362,FALSE)</f>
        <v>#N/A</v>
      </c>
      <c r="M198" s="33" t="e">
        <f>VLOOKUP(A1,DIV_01Data!$A$1:$DZU$999999,3363,FALSE)</f>
        <v>#N/A</v>
      </c>
      <c r="N198" s="34" t="e">
        <f>VLOOKUP(A1,DIV_01Data!$A$1:$DZU$999999,3364,FALSE)</f>
        <v>#N/A</v>
      </c>
      <c r="O198" s="35" t="e">
        <f>VLOOKUP(A1,DIV_01Data!$A$1:$DZU$999999,3365,FALSE)</f>
        <v>#N/A</v>
      </c>
      <c r="P198" s="114" t="e">
        <f>VLOOKUP(A1,DIV_01Data!$A$1:$DZU$999999,3366,FALSE)</f>
        <v>#N/A</v>
      </c>
      <c r="Q198" s="267" t="e">
        <f>VLOOKUP(A1,DIV_01Data!$A$1:$DZU$999999,3367,FALSE)</f>
        <v>#N/A</v>
      </c>
    </row>
    <row r="199" spans="1:17" x14ac:dyDescent="0.35">
      <c r="A199" s="270" t="e">
        <f>VLOOKUP(A1,DIV_01Data!$A$1:$DZU$999999,3368,FALSE)</f>
        <v>#N/A</v>
      </c>
      <c r="B199" s="63" t="e">
        <f>VLOOKUP(A1,DIV_01Data!$A$1:$DZU$999999,3369,FALSE)</f>
        <v>#N/A</v>
      </c>
      <c r="C199" s="64" t="e">
        <f>VLOOKUP(A1,DIV_01Data!$A$1:$DZU$999999,3370,FALSE)</f>
        <v>#N/A</v>
      </c>
      <c r="D199" s="65" t="e">
        <f>VLOOKUP(A1,DIV_01Data!$A$1:$DZU$999999,3371,FALSE)</f>
        <v>#N/A</v>
      </c>
      <c r="E199" s="66" t="e">
        <f>VLOOKUP(A1,DIV_01Data!$A$1:$DZU$999999,3372,FALSE)</f>
        <v>#N/A</v>
      </c>
      <c r="F199" s="67" t="e">
        <f>VLOOKUP(A1,DIV_01Data!$A$1:$DZU$999999,3373,FALSE)</f>
        <v>#N/A</v>
      </c>
      <c r="G199" s="68" t="e">
        <f>VLOOKUP(A1,DIV_01Data!$A$1:$DZU$999999,3374,FALSE)</f>
        <v>#N/A</v>
      </c>
      <c r="H199" s="67" t="e">
        <f>VLOOKUP(A1,DIV_01Data!$A$1:$DZU$999999,3375,FALSE)</f>
        <v>#N/A</v>
      </c>
      <c r="I199" s="68" t="e">
        <f>VLOOKUP(A1,DIV_01Data!$A$1:$DZU$999999,3376,FALSE)</f>
        <v>#N/A</v>
      </c>
      <c r="J199" s="67" t="e">
        <f>VLOOKUP(A1,DIV_01Data!$A$1:$DZU$999999,3377,FALSE)</f>
        <v>#N/A</v>
      </c>
      <c r="K199" s="69" t="e">
        <f>VLOOKUP(A1,DIV_01Data!$A$1:$DZU$999999,3378,FALSE)</f>
        <v>#N/A</v>
      </c>
      <c r="L199" s="67" t="e">
        <f>VLOOKUP(A1,DIV_01Data!$A$1:$DZU$999999,3379,FALSE)</f>
        <v>#N/A</v>
      </c>
      <c r="M199" s="68" t="e">
        <f>VLOOKUP(A1,DIV_01Data!$A$1:$DZU$999999,3380,FALSE)</f>
        <v>#N/A</v>
      </c>
      <c r="N199" s="67" t="e">
        <f>VLOOKUP(A1,DIV_01Data!$A$1:$DZU$999999,3381,FALSE)</f>
        <v>#N/A</v>
      </c>
      <c r="O199" s="68" t="e">
        <f>VLOOKUP(A1,DIV_01Data!$A$1:$DZU$999999,3382,FALSE)</f>
        <v>#N/A</v>
      </c>
      <c r="P199" s="70" t="e">
        <f>VLOOKUP(A1,DIV_01Data!$A$1:$DZU$999999,3383,FALSE)</f>
        <v>#N/A</v>
      </c>
      <c r="Q199" s="271" t="e">
        <f>VLOOKUP(A1,DIV_01Data!$A$1:$DZU$999999,3384,FALSE)</f>
        <v>#N/A</v>
      </c>
    </row>
    <row r="200" spans="1:17" x14ac:dyDescent="0.35">
      <c r="A200" s="58" t="e">
        <f>VLOOKUP(A1,DIV_01Data!$A$1:$DZU$999999,3385,FALSE)</f>
        <v>#N/A</v>
      </c>
      <c r="B200" s="59" t="e">
        <f>VLOOKUP(A1,DIV_01Data!$A$1:$DZU$999999,3386,FALSE)</f>
        <v>#N/A</v>
      </c>
      <c r="C200" s="59" t="e">
        <f>VLOOKUP(A1,DIV_01Data!$A$1:$DZU$999999,3387,FALSE)</f>
        <v>#N/A</v>
      </c>
      <c r="D200" s="59" t="e">
        <f>VLOOKUP(A1,DIV_01Data!$A$1:$DZU$999999,3388,FALSE)</f>
        <v>#N/A</v>
      </c>
      <c r="E200" s="59" t="e">
        <f>VLOOKUP(A1,DIV_01Data!$A$1:$DZU$999999,3389,FALSE)</f>
        <v>#N/A</v>
      </c>
      <c r="F200" s="59" t="e">
        <f>VLOOKUP(A1,DIV_01Data!$A$1:$DZU$999999,3390,FALSE)</f>
        <v>#N/A</v>
      </c>
      <c r="G200" s="59" t="e">
        <f>VLOOKUP(A1,DIV_01Data!$A$1:$DZU$999999,3391,FALSE)</f>
        <v>#N/A</v>
      </c>
      <c r="H200" s="59" t="e">
        <f>VLOOKUP(A1,DIV_01Data!$A$1:$DZU$999999,3392,FALSE)</f>
        <v>#N/A</v>
      </c>
      <c r="I200" s="59" t="e">
        <f>VLOOKUP(A1,DIV_01Data!$A$1:$DZU$999999,3393,FALSE)</f>
        <v>#N/A</v>
      </c>
      <c r="J200" s="59" t="e">
        <f>VLOOKUP(A1,DIV_01Data!$A$1:$DZU$999999,3394,FALSE)</f>
        <v>#N/A</v>
      </c>
      <c r="K200" s="59" t="e">
        <f>VLOOKUP(A1,DIV_01Data!$A$1:$DZU$999999,3395,FALSE)</f>
        <v>#N/A</v>
      </c>
      <c r="L200" s="59" t="e">
        <f>VLOOKUP(A1,DIV_01Data!$A$1:$DZU$999999,3396,FALSE)</f>
        <v>#N/A</v>
      </c>
      <c r="M200" s="59" t="e">
        <f>VLOOKUP(A1,DIV_01Data!$A$1:$DZU$999999,3397,FALSE)</f>
        <v>#N/A</v>
      </c>
      <c r="N200" s="59" t="e">
        <f>VLOOKUP(A1,DIV_01Data!$A$1:$DZU$999999,3398,FALSE)</f>
        <v>#N/A</v>
      </c>
      <c r="O200" s="59" t="e">
        <f>VLOOKUP(A1,DIV_01Data!$A$1:$DZU$999999,3399,FALSE)</f>
        <v>#N/A</v>
      </c>
      <c r="P200" s="59" t="e">
        <f>VLOOKUP(A1,DIV_01Data!$A$1:$DZU$999999,3400,FALSE)</f>
        <v>#N/A</v>
      </c>
      <c r="Q200" s="272" t="e">
        <f>VLOOKUP(A1,DIV_01Data!$A$1:$DZU$999999,3401,FALSE)</f>
        <v>#N/A</v>
      </c>
    </row>
  </sheetData>
  <mergeCells count="9">
    <mergeCell ref="J7:K7"/>
    <mergeCell ref="A3:B3"/>
    <mergeCell ref="D3:G3"/>
    <mergeCell ref="A4:B4"/>
    <mergeCell ref="B2:L2"/>
    <mergeCell ref="J3:K3"/>
    <mergeCell ref="J4:K4"/>
    <mergeCell ref="J5:K5"/>
    <mergeCell ref="J6:K6"/>
  </mergeCells>
  <dataValidations count="1">
    <dataValidation type="list" allowBlank="1" showInputMessage="1" showErrorMessage="1" sqref="C16:C190" xr:uid="{D88D0A1B-32B9-4EA6-A24D-64C2E4935F55}">
      <formula1>$C$205:$C207</formula1>
    </dataValidation>
  </dataValidations>
  <hyperlinks>
    <hyperlink ref="D3" r:id="rId1" display="datamateapp@gmail.com" xr:uid="{2875A162-F560-472E-A936-A0427BC397D3}"/>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9667" r:id="rId4" name="Button 35">
              <controlPr defaultSize="0" print="0" autoFill="0" autoPict="0" macro="[0]!ViewInput">
                <anchor moveWithCells="1" sizeWithCells="1">
                  <from>
                    <xdr:col>17</xdr:col>
                    <xdr:colOff>0</xdr:colOff>
                    <xdr:row>2</xdr:row>
                    <xdr:rowOff>50800</xdr:rowOff>
                  </from>
                  <to>
                    <xdr:col>19</xdr:col>
                    <xdr:colOff>44450</xdr:colOff>
                    <xdr:row>4</xdr:row>
                    <xdr:rowOff>88900</xdr:rowOff>
                  </to>
                </anchor>
              </controlPr>
            </control>
          </mc:Choice>
        </mc:AlternateContent>
        <mc:AlternateContent xmlns:mc="http://schemas.openxmlformats.org/markup-compatibility/2006">
          <mc:Choice Requires="x14">
            <control shapeId="69668" r:id="rId5" name="Button 36">
              <controlPr defaultSize="0" print="0" autoFill="0" autoPict="0" macro="[0]!ViewLog">
                <anchor moveWithCells="1" sizeWithCells="1">
                  <from>
                    <xdr:col>17</xdr:col>
                    <xdr:colOff>0</xdr:colOff>
                    <xdr:row>5</xdr:row>
                    <xdr:rowOff>50800</xdr:rowOff>
                  </from>
                  <to>
                    <xdr:col>19</xdr:col>
                    <xdr:colOff>44450</xdr:colOff>
                    <xdr:row>7</xdr:row>
                    <xdr:rowOff>44450</xdr:rowOff>
                  </to>
                </anchor>
              </controlPr>
            </control>
          </mc:Choice>
        </mc:AlternateContent>
        <mc:AlternateContent xmlns:mc="http://schemas.openxmlformats.org/markup-compatibility/2006">
          <mc:Choice Requires="x14">
            <control shapeId="69669" r:id="rId6" name="Button 37">
              <controlPr defaultSize="0" print="0" autoFill="0" autoPict="0" macro="[0]!OpenDataMateAppPage">
                <anchor moveWithCells="1" sizeWithCells="1">
                  <from>
                    <xdr:col>17</xdr:col>
                    <xdr:colOff>0</xdr:colOff>
                    <xdr:row>7</xdr:row>
                    <xdr:rowOff>177800</xdr:rowOff>
                  </from>
                  <to>
                    <xdr:col>19</xdr:col>
                    <xdr:colOff>44450</xdr:colOff>
                    <xdr:row>9</xdr:row>
                    <xdr:rowOff>171450</xdr:rowOff>
                  </to>
                </anchor>
              </controlPr>
            </control>
          </mc:Choice>
        </mc:AlternateContent>
        <mc:AlternateContent xmlns:mc="http://schemas.openxmlformats.org/markup-compatibility/2006">
          <mc:Choice Requires="x14">
            <control shapeId="69670" r:id="rId7" name="Button 38">
              <controlPr defaultSize="0" print="0" autoFill="0" autoPict="0" macro="RefreshView">
                <anchor moveWithCells="1" sizeWithCells="1">
                  <from>
                    <xdr:col>17</xdr:col>
                    <xdr:colOff>0</xdr:colOff>
                    <xdr:row>0</xdr:row>
                    <xdr:rowOff>0</xdr:rowOff>
                  </from>
                  <to>
                    <xdr:col>19</xdr:col>
                    <xdr:colOff>44450</xdr:colOff>
                    <xdr:row>1</xdr:row>
                    <xdr:rowOff>184150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F572C31-7688-46CB-B19B-CBCC23FFB34F}">
          <x14:formula1>
            <xm:f>DIV_01Data!$A:$A</xm:f>
          </x14:formula1>
          <xm:sqref>B2:L2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300F5-1AAD-4F54-AE15-441EBC48EB79}">
  <sheetPr codeName="Sheet22"/>
  <dimension ref="A2:O9"/>
  <sheetViews>
    <sheetView showGridLines="0" showZeros="0" zoomScale="75" zoomScaleNormal="75" workbookViewId="0">
      <selection activeCell="A10" sqref="A10:O10"/>
    </sheetView>
  </sheetViews>
  <sheetFormatPr defaultRowHeight="14.5" x14ac:dyDescent="0.35"/>
  <cols>
    <col min="1" max="1" width="28.26953125" style="1" customWidth="1"/>
    <col min="2" max="8" width="13.36328125" style="1" customWidth="1"/>
    <col min="9" max="9" width="50.36328125" style="1" customWidth="1"/>
    <col min="10" max="12" width="8.7265625" style="1"/>
    <col min="13" max="15" width="10.26953125" style="1" customWidth="1"/>
    <col min="16" max="16384" width="8.7265625" style="1"/>
  </cols>
  <sheetData>
    <row r="2" spans="1:15" ht="18.5" x14ac:dyDescent="0.45">
      <c r="A2" s="71" t="str">
        <f>DIV_01Input!A3</f>
        <v>DIV 01</v>
      </c>
    </row>
    <row r="3" spans="1:15" x14ac:dyDescent="0.35">
      <c r="A3" s="1" t="s">
        <v>21395</v>
      </c>
      <c r="B3" s="246">
        <f ca="1">TODAY()</f>
        <v>45603</v>
      </c>
    </row>
    <row r="7" spans="1:15" x14ac:dyDescent="0.35">
      <c r="D7" s="72"/>
    </row>
    <row r="9" spans="1:15" x14ac:dyDescent="0.35">
      <c r="A9" s="1" t="s">
        <v>21409</v>
      </c>
      <c r="B9" s="1" t="s">
        <v>21396</v>
      </c>
      <c r="C9" s="1" t="s">
        <v>6</v>
      </c>
      <c r="D9" s="1" t="s">
        <v>8</v>
      </c>
      <c r="E9" s="1" t="s">
        <v>12</v>
      </c>
      <c r="F9" s="1" t="s">
        <v>14</v>
      </c>
      <c r="G9" s="1" t="s">
        <v>16</v>
      </c>
      <c r="H9" s="1" t="s">
        <v>21395</v>
      </c>
      <c r="I9" s="1" t="s">
        <v>2</v>
      </c>
      <c r="J9" s="1" t="s">
        <v>21389</v>
      </c>
      <c r="K9" s="1" t="s">
        <v>21390</v>
      </c>
      <c r="L9" s="1" t="s">
        <v>21391</v>
      </c>
      <c r="M9" s="1" t="s">
        <v>21392</v>
      </c>
      <c r="N9" s="1" t="s">
        <v>21393</v>
      </c>
      <c r="O9" s="1" t="s">
        <v>21394</v>
      </c>
    </row>
  </sheetData>
  <phoneticPr fontId="15"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0697" r:id="rId3" name="Button 41">
              <controlPr defaultSize="0" print="0" autoFill="0" autoPict="0" macro="[0]!ViewInput">
                <anchor moveWithCells="1" sizeWithCells="1">
                  <from>
                    <xdr:col>16</xdr:col>
                    <xdr:colOff>603250</xdr:colOff>
                    <xdr:row>0</xdr:row>
                    <xdr:rowOff>0</xdr:rowOff>
                  </from>
                  <to>
                    <xdr:col>19</xdr:col>
                    <xdr:colOff>44450</xdr:colOff>
                    <xdr:row>2</xdr:row>
                    <xdr:rowOff>12700</xdr:rowOff>
                  </to>
                </anchor>
              </controlPr>
            </control>
          </mc:Choice>
        </mc:AlternateContent>
        <mc:AlternateContent xmlns:mc="http://schemas.openxmlformats.org/markup-compatibility/2006">
          <mc:Choice Requires="x14">
            <control shapeId="70698" r:id="rId4" name="Button 42">
              <controlPr defaultSize="0" print="0" autoFill="0" autoPict="0" macro="[0]!ViewView_Print">
                <anchor moveWithCells="1" sizeWithCells="1">
                  <from>
                    <xdr:col>16</xdr:col>
                    <xdr:colOff>603250</xdr:colOff>
                    <xdr:row>2</xdr:row>
                    <xdr:rowOff>38100</xdr:rowOff>
                  </from>
                  <to>
                    <xdr:col>19</xdr:col>
                    <xdr:colOff>44450</xdr:colOff>
                    <xdr:row>4</xdr:row>
                    <xdr:rowOff>50800</xdr:rowOff>
                  </to>
                </anchor>
              </controlPr>
            </control>
          </mc:Choice>
        </mc:AlternateContent>
        <mc:AlternateContent xmlns:mc="http://schemas.openxmlformats.org/markup-compatibility/2006">
          <mc:Choice Requires="x14">
            <control shapeId="70699" r:id="rId5" name="Button 43">
              <controlPr defaultSize="0" print="0" autoFill="0" autoPict="0" macro="[0]!ViewUpdate">
                <anchor moveWithCells="1" sizeWithCells="1">
                  <from>
                    <xdr:col>16</xdr:col>
                    <xdr:colOff>603250</xdr:colOff>
                    <xdr:row>4</xdr:row>
                    <xdr:rowOff>76200</xdr:rowOff>
                  </from>
                  <to>
                    <xdr:col>19</xdr:col>
                    <xdr:colOff>44450</xdr:colOff>
                    <xdr:row>6</xdr:row>
                    <xdr:rowOff>88900</xdr:rowOff>
                  </to>
                </anchor>
              </controlPr>
            </control>
          </mc:Choice>
        </mc:AlternateContent>
      </controls>
    </mc:Choice>
  </mc:AlternateContent>
  <tableParts count="1">
    <tablePart r:id="rId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06A18-4355-4A3B-ABF4-68BAA437B169}">
  <sheetPr codeName="Sheet23"/>
  <dimension ref="A1:P1"/>
  <sheetViews>
    <sheetView showZeros="0" workbookViewId="0">
      <selection activeCell="D20" sqref="D20"/>
    </sheetView>
  </sheetViews>
  <sheetFormatPr defaultRowHeight="14.5" x14ac:dyDescent="0.35"/>
  <cols>
    <col min="1" max="1" width="8.7265625" style="76"/>
    <col min="2" max="4" width="8.7265625" style="1"/>
    <col min="5" max="5" width="22.08984375" style="76" customWidth="1"/>
    <col min="6" max="6" width="8.7265625" style="76"/>
    <col min="7" max="11" width="11.6328125" style="76" customWidth="1"/>
    <col min="12" max="12" width="12.26953125" style="76" customWidth="1"/>
    <col min="13" max="13" width="34.54296875" style="76" customWidth="1"/>
    <col min="14" max="16" width="8.7265625" style="76"/>
    <col min="17" max="16384" width="8.7265625" style="1"/>
  </cols>
  <sheetData>
    <row r="1" spans="2:16" ht="34" customHeight="1" x14ac:dyDescent="0.35">
      <c r="B1" s="73" t="str">
        <f>DIV_08View_Print!M1</f>
        <v>Update 1</v>
      </c>
      <c r="C1" s="73" t="str">
        <f>DIV_08View_Print!N1</f>
        <v>Update 2</v>
      </c>
      <c r="D1" s="73" t="str">
        <f>DIV_08View_Print!O1</f>
        <v>Update 3</v>
      </c>
      <c r="E1" s="74" t="str">
        <f>SEC_081000!A1</f>
        <v>AREA/FLOOR/ZONE</v>
      </c>
      <c r="F1" s="74" t="str">
        <f>SEC_081000!B1</f>
        <v>Page</v>
      </c>
      <c r="G1" s="74" t="str">
        <f>SEC_081000!C1</f>
        <v>SUB COST</v>
      </c>
      <c r="H1" s="74" t="str">
        <f>SEC_081000!D1</f>
        <v>MAT COST</v>
      </c>
      <c r="I1" s="74" t="str">
        <f>SEC_081000!E1</f>
        <v>LAB COST</v>
      </c>
      <c r="J1" s="74" t="str">
        <f>SEC_081000!F1</f>
        <v>EQUIP COST</v>
      </c>
      <c r="K1" s="74" t="str">
        <f>SEC_081000!G1</f>
        <v>Total Cost</v>
      </c>
      <c r="L1" s="74" t="str">
        <f>SEC_081000!H1</f>
        <v>Date</v>
      </c>
      <c r="M1" s="74" t="str">
        <f>SEC_081000!I1</f>
        <v>Description</v>
      </c>
      <c r="N1" s="74" t="str">
        <f>SEC_081000!J1</f>
        <v>Log 10</v>
      </c>
      <c r="O1" s="74" t="str">
        <f>SEC_081000!K1</f>
        <v>Log 11</v>
      </c>
      <c r="P1" s="75" t="str">
        <f>SEC_081000!L1</f>
        <v>Log 12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8418" r:id="rId3" name="Button 2">
              <controlPr defaultSize="0" print="0" autoFill="0" autoPict="0" macro="[0]!ViewLog">
                <anchor moveWithCells="1" sizeWithCells="1">
                  <from>
                    <xdr:col>17</xdr:col>
                    <xdr:colOff>0</xdr:colOff>
                    <xdr:row>0</xdr:row>
                    <xdr:rowOff>44450</xdr:rowOff>
                  </from>
                  <to>
                    <xdr:col>18</xdr:col>
                    <xdr:colOff>298450</xdr:colOff>
                    <xdr:row>0</xdr:row>
                    <xdr:rowOff>330200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895365-3DCE-436A-B2B9-E73829D1F8E0}">
  <sheetPr codeName="Sheet24"/>
  <dimension ref="A1"/>
  <sheetViews>
    <sheetView workbookViewId="0">
      <selection activeCell="A2" sqref="A2:XFD4"/>
    </sheetView>
  </sheetViews>
  <sheetFormatPr defaultRowHeight="14.5" x14ac:dyDescent="0.35"/>
  <cols>
    <col min="1" max="16384" width="8.7265625" style="1"/>
  </cols>
  <sheetData>
    <row r="1" spans="1:1" x14ac:dyDescent="0.35">
      <c r="A1" s="1" t="str">
        <f>DIV_01Data!S1 &amp; "- " &amp; T1 &amp; "- " &amp; U1 &amp; "- " &amp; V1 &amp; "- " &amp; W1 &amp; "- " &amp; X1 &amp; "- " &amp; Y1 &amp; "- " &amp; Z1 &amp; "- " &amp; AA1 &amp; "- " &amp; AB1 &amp; "- " &amp; AC1 &amp; "- " &amp; AD1</f>
        <v xml:space="preserve">- - - - - - - - - - - </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6B5D44-7393-4CA8-963D-5486530D61B9}">
  <sheetPr codeName="Sheet10"/>
  <dimension ref="A1:Q210"/>
  <sheetViews>
    <sheetView showZeros="0" zoomScale="75" zoomScaleNormal="75" workbookViewId="0">
      <selection activeCell="C4" sqref="C4"/>
    </sheetView>
  </sheetViews>
  <sheetFormatPr defaultRowHeight="14.5" x14ac:dyDescent="0.35"/>
  <cols>
    <col min="1" max="1" width="4.54296875" style="1" customWidth="1"/>
    <col min="2" max="2" width="14" style="1" customWidth="1"/>
    <col min="3" max="3" width="77.1796875" style="1" bestFit="1" customWidth="1"/>
    <col min="4" max="4" width="10.7265625" style="1" customWidth="1"/>
    <col min="5" max="5" width="10.1796875" style="1" customWidth="1"/>
    <col min="6" max="6" width="13.26953125" style="1" customWidth="1"/>
    <col min="7" max="7" width="15.1796875" style="1" customWidth="1"/>
    <col min="8" max="8" width="13.26953125" style="1" customWidth="1"/>
    <col min="9" max="9" width="12.7265625" style="1" customWidth="1"/>
    <col min="10" max="10" width="12.26953125" style="1" customWidth="1"/>
    <col min="11" max="11" width="9" style="1" customWidth="1"/>
    <col min="12" max="12" width="13.26953125" style="1" customWidth="1"/>
    <col min="13" max="13" width="12.7265625" style="1" customWidth="1"/>
    <col min="14" max="14" width="13.26953125" style="1" customWidth="1"/>
    <col min="15" max="15" width="12.7265625" style="1" customWidth="1"/>
    <col min="16" max="16" width="13.26953125" style="1" customWidth="1"/>
    <col min="17" max="17" width="21.26953125" style="1" customWidth="1"/>
    <col min="18" max="22" width="8.7265625" style="1"/>
    <col min="23" max="23" width="4.54296875" style="1" customWidth="1"/>
    <col min="24" max="24" width="11.90625" style="1" customWidth="1"/>
    <col min="25" max="25" width="77.1796875" style="1" bestFit="1" customWidth="1"/>
    <col min="26" max="26" width="10.7265625" style="1" customWidth="1"/>
    <col min="27" max="27" width="10.1796875" style="1" customWidth="1"/>
    <col min="28" max="28" width="13.26953125" style="1" customWidth="1"/>
    <col min="29" max="29" width="15.1796875" style="1" customWidth="1"/>
    <col min="30" max="30" width="13.26953125" style="1" customWidth="1"/>
    <col min="31" max="31" width="12.7265625" style="1" customWidth="1"/>
    <col min="32" max="32" width="12.26953125" style="1" customWidth="1"/>
    <col min="33" max="33" width="9" style="1" customWidth="1"/>
    <col min="34" max="34" width="13.26953125" style="1" customWidth="1"/>
    <col min="35" max="35" width="12.7265625" style="1" customWidth="1"/>
    <col min="36" max="36" width="13.26953125" style="1" customWidth="1"/>
    <col min="37" max="37" width="12.7265625" style="1" customWidth="1"/>
    <col min="38" max="38" width="13.26953125" style="1" customWidth="1"/>
    <col min="39" max="39" width="21.26953125" style="1" customWidth="1"/>
    <col min="40" max="16384" width="8.7265625" style="1"/>
  </cols>
  <sheetData>
    <row r="1" spans="1:17" ht="14.5" customHeight="1"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ADMINISTRATIVE REQUIREMENTS</v>
      </c>
      <c r="J2" s="59"/>
      <c r="K2" s="59"/>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01 30 00</v>
      </c>
      <c r="C10" s="24" t="str">
        <f>C206</f>
        <v>ADMINISTRATIVE REQUIREMENTS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ADMINISTRATIVE REQUIREMENTS</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Q200" s="78" t="s">
        <v>21404</v>
      </c>
    </row>
    <row r="201" spans="2:17" x14ac:dyDescent="0.35">
      <c r="C201" s="78" t="s">
        <v>21592</v>
      </c>
    </row>
    <row r="203" spans="2:17" x14ac:dyDescent="0.35">
      <c r="C203" s="77" t="s">
        <v>21399</v>
      </c>
    </row>
    <row r="205" spans="2:17" x14ac:dyDescent="0.35">
      <c r="C205" s="1" t="s">
        <v>21398</v>
      </c>
      <c r="D205" s="1" t="s">
        <v>75</v>
      </c>
      <c r="E205" s="1" t="s">
        <v>13768</v>
      </c>
      <c r="F205" s="2" t="s">
        <v>21397</v>
      </c>
      <c r="G205" s="1" t="s">
        <v>9</v>
      </c>
    </row>
    <row r="206" spans="2:17" x14ac:dyDescent="0.35">
      <c r="B206" s="49" t="s">
        <v>13872</v>
      </c>
      <c r="C206" s="82" t="s">
        <v>13873</v>
      </c>
    </row>
    <row r="207" spans="2:17" x14ac:dyDescent="0.35">
      <c r="B207" s="49" t="s">
        <v>13874</v>
      </c>
      <c r="C207" s="53" t="s">
        <v>13875</v>
      </c>
      <c r="D207" s="1" t="s">
        <v>39</v>
      </c>
      <c r="E207" s="49" t="s">
        <v>13874</v>
      </c>
      <c r="F207" s="1">
        <v>46538</v>
      </c>
    </row>
    <row r="208" spans="2:17" x14ac:dyDescent="0.35">
      <c r="B208" s="49" t="s">
        <v>13876</v>
      </c>
      <c r="C208" s="53" t="s">
        <v>13877</v>
      </c>
    </row>
    <row r="209" spans="2:3" x14ac:dyDescent="0.35">
      <c r="B209" s="49" t="s">
        <v>13878</v>
      </c>
      <c r="C209" s="53" t="s">
        <v>13879</v>
      </c>
    </row>
    <row r="210" spans="2:3" x14ac:dyDescent="0.35">
      <c r="B210" s="49" t="s">
        <v>13880</v>
      </c>
      <c r="C210" s="53" t="s">
        <v>13881</v>
      </c>
    </row>
  </sheetData>
  <mergeCells count="9">
    <mergeCell ref="P3:Q3"/>
    <mergeCell ref="J5:K5"/>
    <mergeCell ref="J6:K6"/>
    <mergeCell ref="J7:K7"/>
    <mergeCell ref="A3:B3"/>
    <mergeCell ref="D3:G3"/>
    <mergeCell ref="J3:K3"/>
    <mergeCell ref="A4:B4"/>
    <mergeCell ref="J4:K4"/>
  </mergeCells>
  <dataValidations count="1">
    <dataValidation type="list" allowBlank="1" showInputMessage="1" showErrorMessage="1" sqref="C16:C190" xr:uid="{F035F5D8-DF04-40AF-8F3F-B23BF128D71B}">
      <formula1>$C$205:$C207</formula1>
    </dataValidation>
  </dataValidations>
  <hyperlinks>
    <hyperlink ref="D3" r:id="rId1" display="datamateapp@gmail.com" xr:uid="{674C6330-5BB2-4246-B202-29A7EA317A7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5844" r:id="rId4" name="Button 4">
              <controlPr defaultSize="0" print="0" autoFill="0" autoPict="0" macro="[0]!ExitSEC_013000">
                <anchor moveWithCells="1" sizeWithCells="1">
                  <from>
                    <xdr:col>16</xdr:col>
                    <xdr:colOff>228600</xdr:colOff>
                    <xdr:row>0</xdr:row>
                    <xdr:rowOff>0</xdr:rowOff>
                  </from>
                  <to>
                    <xdr:col>17</xdr:col>
                    <xdr:colOff>6350</xdr:colOff>
                    <xdr:row>2</xdr:row>
                    <xdr:rowOff>6350</xdr:rowOff>
                  </to>
                </anchor>
              </controlPr>
            </control>
          </mc:Choice>
        </mc:AlternateContent>
        <mc:AlternateContent xmlns:mc="http://schemas.openxmlformats.org/markup-compatibility/2006">
          <mc:Choice Requires="x14">
            <control shapeId="36063" r:id="rId5" name="Button 223">
              <controlPr defaultSize="0" print="0" autoFill="0" autoPict="0" macro="SaveData">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36064" r:id="rId6" name="Button 224">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36065" r:id="rId7" name="Button 225">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36066" r:id="rId8" name="Button 226">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36067" r:id="rId9" name="Button 227">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36068" r:id="rId10" name="Button 228">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36069" r:id="rId11" name="Button 229">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36070" r:id="rId12" name="Button 230">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64948-18C5-4C58-B2AD-7061EB9A811A}">
  <sheetPr codeName="Sheet11"/>
  <dimension ref="A1:Q210"/>
  <sheetViews>
    <sheetView showZeros="0" zoomScale="75" zoomScaleNormal="75" workbookViewId="0">
      <selection activeCell="C4" sqref="C4"/>
    </sheetView>
  </sheetViews>
  <sheetFormatPr defaultRowHeight="14.5" x14ac:dyDescent="0.35"/>
  <cols>
    <col min="1" max="1" width="4.54296875" style="1" customWidth="1"/>
    <col min="2" max="2" width="14" style="1" customWidth="1"/>
    <col min="3" max="3" width="77.1796875" style="1" bestFit="1" customWidth="1"/>
    <col min="4" max="4" width="10.7265625" style="1" customWidth="1"/>
    <col min="5" max="5" width="10.1796875" style="1" customWidth="1"/>
    <col min="6" max="6" width="13.26953125" style="1" customWidth="1"/>
    <col min="7" max="7" width="15.1796875" style="1" customWidth="1"/>
    <col min="8" max="8" width="13.26953125" style="1" customWidth="1"/>
    <col min="9" max="9" width="12.7265625" style="1" customWidth="1"/>
    <col min="10" max="10" width="12.26953125" style="1" customWidth="1"/>
    <col min="11" max="11" width="9" style="1" customWidth="1"/>
    <col min="12" max="12" width="13.26953125" style="1" customWidth="1"/>
    <col min="13" max="13" width="12.7265625" style="1" customWidth="1"/>
    <col min="14" max="14" width="13.26953125" style="1" customWidth="1"/>
    <col min="15" max="15" width="12.7265625" style="1" customWidth="1"/>
    <col min="16" max="16" width="13.26953125" style="1" customWidth="1"/>
    <col min="17" max="17" width="21.26953125" style="1" customWidth="1"/>
    <col min="18" max="22" width="8.7265625" style="1"/>
    <col min="23" max="23" width="4.54296875" style="1" customWidth="1"/>
    <col min="24" max="24" width="11.90625" style="1" customWidth="1"/>
    <col min="25" max="25" width="77.1796875" style="1" bestFit="1" customWidth="1"/>
    <col min="26" max="26" width="10.7265625" style="1" customWidth="1"/>
    <col min="27" max="27" width="10.1796875" style="1" customWidth="1"/>
    <col min="28" max="28" width="13.26953125" style="1" customWidth="1"/>
    <col min="29" max="29" width="15.1796875" style="1" customWidth="1"/>
    <col min="30" max="30" width="13.26953125" style="1" customWidth="1"/>
    <col min="31" max="31" width="12.7265625" style="1" customWidth="1"/>
    <col min="32" max="32" width="12.26953125" style="1" customWidth="1"/>
    <col min="33" max="33" width="9" style="1" customWidth="1"/>
    <col min="34" max="34" width="13.26953125" style="1" customWidth="1"/>
    <col min="35" max="35" width="12.7265625" style="1" customWidth="1"/>
    <col min="36" max="36" width="13.26953125" style="1" customWidth="1"/>
    <col min="37" max="37" width="12.7265625" style="1" customWidth="1"/>
    <col min="38" max="38" width="13.26953125" style="1" customWidth="1"/>
    <col min="39" max="39" width="21.26953125" style="1" customWidth="1"/>
    <col min="40" max="16384" width="8.7265625" style="1"/>
  </cols>
  <sheetData>
    <row r="1" spans="1:17" ht="14.5" customHeight="1"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QUALITY REQUIREMENTS</v>
      </c>
      <c r="J2" s="59"/>
      <c r="K2" s="59"/>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01 40 00</v>
      </c>
      <c r="C10" s="24" t="str">
        <f>C206</f>
        <v>QUALITY REQUIREMENTS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QUALITY REQUIREMENTS</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Q200" s="78" t="s">
        <v>21404</v>
      </c>
    </row>
    <row r="201" spans="2:17" x14ac:dyDescent="0.35">
      <c r="C201" s="78" t="s">
        <v>21592</v>
      </c>
    </row>
    <row r="203" spans="2:17" x14ac:dyDescent="0.35">
      <c r="C203" s="77" t="s">
        <v>21399</v>
      </c>
    </row>
    <row r="205" spans="2:17" x14ac:dyDescent="0.35">
      <c r="C205" s="1" t="s">
        <v>21398</v>
      </c>
      <c r="D205" s="1" t="s">
        <v>75</v>
      </c>
      <c r="E205" s="1" t="s">
        <v>13768</v>
      </c>
      <c r="F205" s="2" t="s">
        <v>21397</v>
      </c>
      <c r="G205" s="1" t="s">
        <v>9</v>
      </c>
    </row>
    <row r="206" spans="2:17" x14ac:dyDescent="0.35">
      <c r="B206" s="49" t="s">
        <v>13882</v>
      </c>
      <c r="C206" s="82" t="s">
        <v>13883</v>
      </c>
    </row>
    <row r="207" spans="2:17" x14ac:dyDescent="0.35">
      <c r="B207" s="49" t="s">
        <v>13884</v>
      </c>
      <c r="C207" s="53" t="s">
        <v>13885</v>
      </c>
    </row>
    <row r="208" spans="2:17" x14ac:dyDescent="0.35">
      <c r="B208" s="49" t="s">
        <v>13886</v>
      </c>
      <c r="C208" s="53" t="s">
        <v>13887</v>
      </c>
    </row>
    <row r="209" spans="2:3" x14ac:dyDescent="0.35">
      <c r="B209" s="49" t="s">
        <v>13888</v>
      </c>
      <c r="C209" s="53" t="s">
        <v>13889</v>
      </c>
    </row>
    <row r="210" spans="2:3" x14ac:dyDescent="0.35">
      <c r="B210" s="49" t="s">
        <v>13890</v>
      </c>
      <c r="C210" s="53" t="s">
        <v>13891</v>
      </c>
    </row>
  </sheetData>
  <mergeCells count="9">
    <mergeCell ref="P3:Q3"/>
    <mergeCell ref="J5:K5"/>
    <mergeCell ref="J6:K6"/>
    <mergeCell ref="J7:K7"/>
    <mergeCell ref="A3:B3"/>
    <mergeCell ref="D3:G3"/>
    <mergeCell ref="J3:K3"/>
    <mergeCell ref="A4:B4"/>
    <mergeCell ref="J4:K4"/>
  </mergeCells>
  <dataValidations count="1">
    <dataValidation type="list" allowBlank="1" showInputMessage="1" showErrorMessage="1" sqref="C16:C190" xr:uid="{DEF49188-72E7-4442-9F67-CA35725220CE}">
      <formula1>$C$205:$C207</formula1>
    </dataValidation>
  </dataValidations>
  <hyperlinks>
    <hyperlink ref="D3" r:id="rId1" display="datamateapp@gmail.com" xr:uid="{BE978D6F-4886-4603-8B64-A9DE84BF1C70}"/>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6868" r:id="rId4" name="Button 4">
              <controlPr defaultSize="0" print="0" autoFill="0" autoPict="0" macro="[0]!ExitSEC_014000">
                <anchor moveWithCells="1" sizeWithCells="1">
                  <from>
                    <xdr:col>16</xdr:col>
                    <xdr:colOff>228600</xdr:colOff>
                    <xdr:row>0</xdr:row>
                    <xdr:rowOff>0</xdr:rowOff>
                  </from>
                  <to>
                    <xdr:col>17</xdr:col>
                    <xdr:colOff>6350</xdr:colOff>
                    <xdr:row>2</xdr:row>
                    <xdr:rowOff>6350</xdr:rowOff>
                  </to>
                </anchor>
              </controlPr>
            </control>
          </mc:Choice>
        </mc:AlternateContent>
        <mc:AlternateContent xmlns:mc="http://schemas.openxmlformats.org/markup-compatibility/2006">
          <mc:Choice Requires="x14">
            <control shapeId="37031" r:id="rId5" name="Button 167">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37032" r:id="rId6" name="Button 168">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37033" r:id="rId7" name="Button 169">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37034" r:id="rId8" name="Button 170">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37035" r:id="rId9" name="Button 171">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37036" r:id="rId10" name="Button 172">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37037" r:id="rId11" name="Button 173">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37038" r:id="rId12" name="Button 174">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0D867-FC0A-46FB-9E75-2AF418E6B82B}">
  <sheetPr codeName="Sheet12"/>
  <dimension ref="A1:Q255"/>
  <sheetViews>
    <sheetView showZeros="0" zoomScale="75" zoomScaleNormal="75" workbookViewId="0">
      <selection activeCell="C4" sqref="C4"/>
    </sheetView>
  </sheetViews>
  <sheetFormatPr defaultRowHeight="14.5" x14ac:dyDescent="0.35"/>
  <cols>
    <col min="1" max="1" width="4.54296875" style="1" customWidth="1"/>
    <col min="2" max="2" width="14" style="1" customWidth="1"/>
    <col min="3" max="3" width="77.1796875" style="1" bestFit="1" customWidth="1"/>
    <col min="4" max="4" width="10.7265625" style="1" customWidth="1"/>
    <col min="5" max="5" width="10.1796875" style="1" customWidth="1"/>
    <col min="6" max="6" width="13.26953125" style="1" customWidth="1"/>
    <col min="7" max="7" width="15.1796875" style="1" customWidth="1"/>
    <col min="8" max="8" width="13.26953125" style="1" customWidth="1"/>
    <col min="9" max="9" width="12.7265625" style="1" customWidth="1"/>
    <col min="10" max="10" width="12.26953125" style="1" customWidth="1"/>
    <col min="11" max="11" width="9" style="1" customWidth="1"/>
    <col min="12" max="12" width="13.26953125" style="1" customWidth="1"/>
    <col min="13" max="13" width="12.7265625" style="1" customWidth="1"/>
    <col min="14" max="14" width="13.26953125" style="1" customWidth="1"/>
    <col min="15" max="15" width="12.7265625" style="1" customWidth="1"/>
    <col min="16" max="16" width="13.26953125" style="1" customWidth="1"/>
    <col min="17" max="17" width="21.26953125" style="1" customWidth="1"/>
    <col min="18" max="22" width="8.7265625" style="1"/>
    <col min="23" max="23" width="4.54296875" style="1" customWidth="1"/>
    <col min="24" max="24" width="11.90625" style="1" customWidth="1"/>
    <col min="25" max="25" width="77.1796875" style="1" bestFit="1" customWidth="1"/>
    <col min="26" max="26" width="10.7265625" style="1" customWidth="1"/>
    <col min="27" max="27" width="10.1796875" style="1" customWidth="1"/>
    <col min="28" max="28" width="13.26953125" style="1" customWidth="1"/>
    <col min="29" max="29" width="15.1796875" style="1" customWidth="1"/>
    <col min="30" max="30" width="13.26953125" style="1" customWidth="1"/>
    <col min="31" max="31" width="12.7265625" style="1" customWidth="1"/>
    <col min="32" max="32" width="12.26953125" style="1" customWidth="1"/>
    <col min="33" max="33" width="9" style="1" customWidth="1"/>
    <col min="34" max="34" width="13.26953125" style="1" customWidth="1"/>
    <col min="35" max="35" width="12.7265625" style="1" customWidth="1"/>
    <col min="36" max="36" width="13.26953125" style="1" customWidth="1"/>
    <col min="37" max="37" width="12.7265625" style="1" customWidth="1"/>
    <col min="38" max="38" width="13.26953125" style="1" customWidth="1"/>
    <col min="39" max="39" width="21.26953125" style="1" customWidth="1"/>
    <col min="40" max="16384" width="8.7265625" style="1"/>
  </cols>
  <sheetData>
    <row r="1" spans="1:17" ht="14.5" customHeight="1"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TEMPORARY FACILITIES AND CONTROLS</v>
      </c>
      <c r="J2" s="59"/>
      <c r="K2" s="59"/>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01 50 00</v>
      </c>
      <c r="C10" s="24" t="str">
        <f>C206</f>
        <v>TEMPORARY FACILITIES AND CONTROLS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TEMPORARY FACILITIES AND CONTROLS</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Q200" s="78" t="s">
        <v>21404</v>
      </c>
    </row>
    <row r="201" spans="2:17" x14ac:dyDescent="0.35">
      <c r="C201" s="78" t="s">
        <v>21592</v>
      </c>
    </row>
    <row r="203" spans="2:17" x14ac:dyDescent="0.35">
      <c r="C203" s="77" t="s">
        <v>21399</v>
      </c>
    </row>
    <row r="205" spans="2:17" x14ac:dyDescent="0.35">
      <c r="C205" s="1" t="s">
        <v>21398</v>
      </c>
      <c r="D205" s="1" t="s">
        <v>75</v>
      </c>
      <c r="E205" s="1" t="s">
        <v>13768</v>
      </c>
      <c r="F205" s="2" t="s">
        <v>21397</v>
      </c>
      <c r="G205" s="1" t="s">
        <v>9</v>
      </c>
    </row>
    <row r="206" spans="2:17" x14ac:dyDescent="0.35">
      <c r="B206" s="49" t="s">
        <v>13892</v>
      </c>
      <c r="C206" s="82" t="s">
        <v>13893</v>
      </c>
    </row>
    <row r="207" spans="2:17" x14ac:dyDescent="0.35">
      <c r="B207" s="49" t="s">
        <v>13894</v>
      </c>
      <c r="C207" s="53" t="s">
        <v>13895</v>
      </c>
    </row>
    <row r="208" spans="2:17" x14ac:dyDescent="0.35">
      <c r="B208" s="49" t="s">
        <v>13896</v>
      </c>
      <c r="C208" s="53" t="s">
        <v>13897</v>
      </c>
    </row>
    <row r="209" spans="2:5" x14ac:dyDescent="0.35">
      <c r="B209" s="49" t="s">
        <v>13898</v>
      </c>
      <c r="C209" s="53" t="s">
        <v>13899</v>
      </c>
    </row>
    <row r="210" spans="2:5" x14ac:dyDescent="0.35">
      <c r="B210" s="49" t="s">
        <v>13900</v>
      </c>
      <c r="C210" s="53" t="s">
        <v>13901</v>
      </c>
    </row>
    <row r="211" spans="2:5" x14ac:dyDescent="0.35">
      <c r="B211" s="49" t="s">
        <v>13902</v>
      </c>
      <c r="C211" s="53" t="s">
        <v>13903</v>
      </c>
    </row>
    <row r="212" spans="2:5" x14ac:dyDescent="0.35">
      <c r="B212" s="49" t="s">
        <v>13904</v>
      </c>
      <c r="C212" s="53" t="s">
        <v>13905</v>
      </c>
    </row>
    <row r="213" spans="2:5" x14ac:dyDescent="0.35">
      <c r="B213" s="49" t="s">
        <v>13906</v>
      </c>
      <c r="C213" s="53" t="s">
        <v>13907</v>
      </c>
    </row>
    <row r="214" spans="2:5" x14ac:dyDescent="0.35">
      <c r="B214" s="49" t="s">
        <v>13908</v>
      </c>
      <c r="C214" s="53" t="s">
        <v>13909</v>
      </c>
    </row>
    <row r="215" spans="2:5" x14ac:dyDescent="0.35">
      <c r="C215" s="1" t="s">
        <v>13713</v>
      </c>
      <c r="D215" s="1" t="s">
        <v>13670</v>
      </c>
      <c r="E215" s="1">
        <v>1510.1210000000001</v>
      </c>
    </row>
    <row r="216" spans="2:5" x14ac:dyDescent="0.35">
      <c r="C216" s="1" t="s">
        <v>13712</v>
      </c>
      <c r="D216" s="1" t="s">
        <v>13670</v>
      </c>
      <c r="E216" s="1">
        <v>1510.1310000000001</v>
      </c>
    </row>
    <row r="217" spans="2:5" x14ac:dyDescent="0.35">
      <c r="C217" s="1" t="s">
        <v>13711</v>
      </c>
      <c r="D217" s="1" t="s">
        <v>13670</v>
      </c>
      <c r="E217" s="1">
        <v>1510.1410000000001</v>
      </c>
    </row>
    <row r="218" spans="2:5" x14ac:dyDescent="0.35">
      <c r="C218" s="1" t="s">
        <v>13710</v>
      </c>
      <c r="D218" s="1" t="s">
        <v>13670</v>
      </c>
      <c r="E218" s="1">
        <v>1520.1010000000001</v>
      </c>
    </row>
    <row r="219" spans="2:5" x14ac:dyDescent="0.35">
      <c r="C219" s="1" t="s">
        <v>13709</v>
      </c>
      <c r="D219" s="1" t="s">
        <v>13670</v>
      </c>
      <c r="E219" s="1">
        <v>1520.1020000000001</v>
      </c>
    </row>
    <row r="220" spans="2:5" x14ac:dyDescent="0.35">
      <c r="C220" s="1" t="s">
        <v>13708</v>
      </c>
      <c r="D220" s="1" t="s">
        <v>13670</v>
      </c>
      <c r="E220" s="1">
        <v>1520.1110000000001</v>
      </c>
    </row>
    <row r="221" spans="2:5" x14ac:dyDescent="0.35">
      <c r="C221" s="1" t="s">
        <v>13707</v>
      </c>
      <c r="D221" s="1" t="s">
        <v>13670</v>
      </c>
      <c r="E221" s="1">
        <v>1520.114</v>
      </c>
    </row>
    <row r="222" spans="2:5" x14ac:dyDescent="0.35">
      <c r="C222" s="1" t="s">
        <v>13706</v>
      </c>
      <c r="D222" s="1" t="s">
        <v>58</v>
      </c>
      <c r="E222" s="1">
        <v>1520.1210000000001</v>
      </c>
    </row>
    <row r="223" spans="2:5" x14ac:dyDescent="0.35">
      <c r="C223" s="1" t="s">
        <v>13705</v>
      </c>
      <c r="D223" s="1" t="s">
        <v>58</v>
      </c>
      <c r="E223" s="1">
        <v>1520.201</v>
      </c>
    </row>
    <row r="224" spans="2:5" x14ac:dyDescent="0.35">
      <c r="C224" s="1" t="s">
        <v>13704</v>
      </c>
      <c r="D224" s="1" t="s">
        <v>13701</v>
      </c>
      <c r="E224" s="1">
        <v>1520.2049999999999</v>
      </c>
    </row>
    <row r="225" spans="3:5" x14ac:dyDescent="0.35">
      <c r="C225" s="1" t="s">
        <v>13703</v>
      </c>
      <c r="D225" s="1" t="s">
        <v>13670</v>
      </c>
      <c r="E225" s="1">
        <v>1520.2070000000001</v>
      </c>
    </row>
    <row r="226" spans="3:5" x14ac:dyDescent="0.35">
      <c r="C226" s="1" t="s">
        <v>13702</v>
      </c>
      <c r="D226" s="1" t="s">
        <v>13701</v>
      </c>
      <c r="E226" s="1">
        <v>1520.22</v>
      </c>
    </row>
    <row r="227" spans="3:5" x14ac:dyDescent="0.35">
      <c r="C227" s="1" t="s">
        <v>13700</v>
      </c>
      <c r="D227" s="1" t="s">
        <v>58</v>
      </c>
      <c r="E227" s="1">
        <v>1520.241</v>
      </c>
    </row>
    <row r="228" spans="3:5" x14ac:dyDescent="0.35">
      <c r="C228" s="1" t="s">
        <v>13699</v>
      </c>
      <c r="D228" s="1" t="s">
        <v>13670</v>
      </c>
      <c r="E228" s="1">
        <v>1520.25</v>
      </c>
    </row>
    <row r="229" spans="3:5" x14ac:dyDescent="0.35">
      <c r="C229" s="1" t="s">
        <v>13698</v>
      </c>
      <c r="D229" s="1" t="s">
        <v>13670</v>
      </c>
      <c r="E229" s="1">
        <v>1520.251</v>
      </c>
    </row>
    <row r="230" spans="3:5" x14ac:dyDescent="0.35">
      <c r="C230" s="1" t="s">
        <v>13697</v>
      </c>
      <c r="D230" s="1" t="s">
        <v>13670</v>
      </c>
      <c r="E230" s="1">
        <v>1540.115</v>
      </c>
    </row>
    <row r="231" spans="3:5" x14ac:dyDescent="0.35">
      <c r="C231" s="1" t="s">
        <v>13696</v>
      </c>
      <c r="D231" s="1" t="s">
        <v>13670</v>
      </c>
      <c r="E231" s="1">
        <v>1540.1310000000001</v>
      </c>
    </row>
    <row r="232" spans="3:5" x14ac:dyDescent="0.35">
      <c r="C232" s="1" t="s">
        <v>13695</v>
      </c>
      <c r="D232" s="1" t="s">
        <v>13670</v>
      </c>
      <c r="E232" s="1">
        <v>1540.1790000000001</v>
      </c>
    </row>
    <row r="233" spans="3:5" x14ac:dyDescent="0.35">
      <c r="C233" s="1" t="s">
        <v>13694</v>
      </c>
      <c r="D233" s="1" t="s">
        <v>13670</v>
      </c>
      <c r="E233" s="1">
        <v>1540.1849999999999</v>
      </c>
    </row>
    <row r="234" spans="3:5" x14ac:dyDescent="0.35">
      <c r="C234" s="1" t="s">
        <v>13693</v>
      </c>
      <c r="D234" s="1" t="s">
        <v>58</v>
      </c>
      <c r="E234" s="1">
        <v>1540.192</v>
      </c>
    </row>
    <row r="235" spans="3:5" x14ac:dyDescent="0.35">
      <c r="C235" s="1" t="s">
        <v>13692</v>
      </c>
      <c r="D235" s="1" t="s">
        <v>58</v>
      </c>
      <c r="E235" s="1">
        <v>1540.193</v>
      </c>
    </row>
    <row r="236" spans="3:5" x14ac:dyDescent="0.35">
      <c r="C236" s="1" t="s">
        <v>13691</v>
      </c>
      <c r="D236" s="1" t="s">
        <v>58</v>
      </c>
      <c r="E236" s="1">
        <v>1540.194</v>
      </c>
    </row>
    <row r="237" spans="3:5" x14ac:dyDescent="0.35">
      <c r="C237" s="1" t="s">
        <v>13690</v>
      </c>
      <c r="D237" s="1" t="s">
        <v>13670</v>
      </c>
      <c r="E237" s="1">
        <v>1540.268</v>
      </c>
    </row>
    <row r="238" spans="3:5" x14ac:dyDescent="0.35">
      <c r="C238" s="1" t="s">
        <v>13689</v>
      </c>
      <c r="D238" s="1" t="s">
        <v>13670</v>
      </c>
      <c r="E238" s="1">
        <v>1540.2819999999999</v>
      </c>
    </row>
    <row r="239" spans="3:5" x14ac:dyDescent="0.35">
      <c r="C239" s="1" t="s">
        <v>13688</v>
      </c>
      <c r="D239" s="1" t="s">
        <v>13670</v>
      </c>
      <c r="E239" s="1">
        <v>1540.289</v>
      </c>
    </row>
    <row r="240" spans="3:5" x14ac:dyDescent="0.35">
      <c r="C240" s="1" t="s">
        <v>13687</v>
      </c>
      <c r="D240" s="1" t="s">
        <v>13670</v>
      </c>
      <c r="E240" s="1">
        <v>1540.3009999999999</v>
      </c>
    </row>
    <row r="241" spans="3:5" x14ac:dyDescent="0.35">
      <c r="C241" s="1" t="s">
        <v>13686</v>
      </c>
      <c r="D241" s="1" t="s">
        <v>18</v>
      </c>
      <c r="E241" s="1">
        <v>1540.3109999999999</v>
      </c>
    </row>
    <row r="242" spans="3:5" x14ac:dyDescent="0.35">
      <c r="C242" s="1" t="s">
        <v>13685</v>
      </c>
      <c r="D242" s="1" t="s">
        <v>20</v>
      </c>
      <c r="E242" s="1">
        <v>1540.33</v>
      </c>
    </row>
    <row r="243" spans="3:5" x14ac:dyDescent="0.35">
      <c r="C243" s="1" t="s">
        <v>13684</v>
      </c>
      <c r="D243" s="1" t="s">
        <v>20</v>
      </c>
      <c r="E243" s="1">
        <v>1540.511</v>
      </c>
    </row>
    <row r="244" spans="3:5" x14ac:dyDescent="0.35">
      <c r="C244" s="1" t="s">
        <v>13683</v>
      </c>
      <c r="D244" s="1" t="s">
        <v>18</v>
      </c>
      <c r="E244" s="1">
        <v>1540.52</v>
      </c>
    </row>
    <row r="245" spans="3:5" x14ac:dyDescent="0.35">
      <c r="C245" s="1" t="s">
        <v>13682</v>
      </c>
      <c r="D245" s="1" t="s">
        <v>18</v>
      </c>
      <c r="E245" s="1">
        <v>1540.5350000000001</v>
      </c>
    </row>
    <row r="246" spans="3:5" x14ac:dyDescent="0.35">
      <c r="C246" s="1" t="s">
        <v>13681</v>
      </c>
      <c r="D246" s="1" t="s">
        <v>18</v>
      </c>
      <c r="E246" s="1">
        <v>1540.538</v>
      </c>
    </row>
    <row r="247" spans="3:5" x14ac:dyDescent="0.35">
      <c r="C247" s="1" t="s">
        <v>13680</v>
      </c>
      <c r="D247" s="1" t="s">
        <v>13670</v>
      </c>
      <c r="E247" s="1">
        <v>1560.1020000000001</v>
      </c>
    </row>
    <row r="248" spans="3:5" x14ac:dyDescent="0.35">
      <c r="C248" s="1" t="s">
        <v>13679</v>
      </c>
      <c r="D248" s="1" t="s">
        <v>13670</v>
      </c>
      <c r="E248" s="1">
        <v>1560.1089999999999</v>
      </c>
    </row>
    <row r="249" spans="3:5" x14ac:dyDescent="0.35">
      <c r="C249" s="1" t="s">
        <v>13678</v>
      </c>
      <c r="D249" s="1" t="s">
        <v>62</v>
      </c>
      <c r="E249" s="1">
        <v>1560.1210000000001</v>
      </c>
    </row>
    <row r="250" spans="3:5" x14ac:dyDescent="0.35">
      <c r="C250" s="1" t="s">
        <v>13677</v>
      </c>
      <c r="D250" s="1" t="s">
        <v>18</v>
      </c>
      <c r="E250" s="1">
        <v>1560.21</v>
      </c>
    </row>
    <row r="251" spans="3:5" x14ac:dyDescent="0.35">
      <c r="C251" s="1" t="s">
        <v>13676</v>
      </c>
      <c r="D251" s="1" t="s">
        <v>19</v>
      </c>
      <c r="E251" s="1">
        <v>1560.2149999999999</v>
      </c>
    </row>
    <row r="252" spans="3:5" x14ac:dyDescent="0.35">
      <c r="C252" s="1" t="s">
        <v>13675</v>
      </c>
      <c r="D252" s="1" t="s">
        <v>58</v>
      </c>
      <c r="E252" s="1">
        <v>1580.1010000000001</v>
      </c>
    </row>
    <row r="253" spans="3:5" x14ac:dyDescent="0.35">
      <c r="C253" s="1" t="s">
        <v>13674</v>
      </c>
      <c r="D253" s="1" t="s">
        <v>13673</v>
      </c>
      <c r="E253" s="1">
        <v>1740.0989999999999</v>
      </c>
    </row>
    <row r="254" spans="3:5" x14ac:dyDescent="0.35">
      <c r="C254" s="1" t="s">
        <v>13672</v>
      </c>
      <c r="D254" s="1" t="s">
        <v>58</v>
      </c>
      <c r="E254" s="1">
        <v>1740.1210000000001</v>
      </c>
    </row>
    <row r="255" spans="3:5" x14ac:dyDescent="0.35">
      <c r="C255" s="1" t="s">
        <v>13671</v>
      </c>
      <c r="D255" s="1" t="s">
        <v>13670</v>
      </c>
      <c r="E255" s="1">
        <v>1740.125</v>
      </c>
    </row>
  </sheetData>
  <mergeCells count="9">
    <mergeCell ref="P3:Q3"/>
    <mergeCell ref="J5:K5"/>
    <mergeCell ref="J6:K6"/>
    <mergeCell ref="J7:K7"/>
    <mergeCell ref="A3:B3"/>
    <mergeCell ref="D3:G3"/>
    <mergeCell ref="J3:K3"/>
    <mergeCell ref="A4:B4"/>
    <mergeCell ref="J4:K4"/>
  </mergeCells>
  <dataValidations count="1">
    <dataValidation type="list" allowBlank="1" showInputMessage="1" showErrorMessage="1" sqref="C16:C190" xr:uid="{D1A707B8-8BA8-4022-8BF2-87085B7B2EAB}">
      <formula1>$C$205:$C207</formula1>
    </dataValidation>
  </dataValidations>
  <hyperlinks>
    <hyperlink ref="D3" r:id="rId1" display="datamateapp@gmail.com" xr:uid="{CADC550D-7002-4DBA-8485-79CD51813B2C}"/>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7905" r:id="rId4" name="Button 17">
              <controlPr defaultSize="0" print="0" autoFill="0" autoPict="0" macro="[0]!ExitSEC_015000">
                <anchor moveWithCells="1" sizeWithCells="1">
                  <from>
                    <xdr:col>16</xdr:col>
                    <xdr:colOff>203200</xdr:colOff>
                    <xdr:row>0</xdr:row>
                    <xdr:rowOff>0</xdr:rowOff>
                  </from>
                  <to>
                    <xdr:col>16</xdr:col>
                    <xdr:colOff>1473200</xdr:colOff>
                    <xdr:row>2</xdr:row>
                    <xdr:rowOff>6350</xdr:rowOff>
                  </to>
                </anchor>
              </controlPr>
            </control>
          </mc:Choice>
        </mc:AlternateContent>
        <mc:AlternateContent xmlns:mc="http://schemas.openxmlformats.org/markup-compatibility/2006">
          <mc:Choice Requires="x14">
            <control shapeId="37962" r:id="rId5" name="Button 74">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37963" r:id="rId6" name="Button 75">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37964" r:id="rId7" name="Button 76">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37965" r:id="rId8" name="Button 77">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37966" r:id="rId9" name="Button 78">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37967" r:id="rId10" name="Button 79">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37968" r:id="rId11" name="Button 80">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37969" r:id="rId12" name="Button 81">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3FDF5F-A599-4A74-BD32-BC4A2A2A10E9}">
  <sheetPr codeName="Sheet13"/>
  <dimension ref="A1:Q211"/>
  <sheetViews>
    <sheetView showZeros="0" zoomScale="75" zoomScaleNormal="75" workbookViewId="0">
      <selection activeCell="C4" sqref="C4"/>
    </sheetView>
  </sheetViews>
  <sheetFormatPr defaultRowHeight="14.5" x14ac:dyDescent="0.35"/>
  <cols>
    <col min="1" max="1" width="4.54296875" style="1" customWidth="1"/>
    <col min="2" max="2" width="14" style="1" customWidth="1"/>
    <col min="3" max="3" width="77.1796875" style="1" bestFit="1" customWidth="1"/>
    <col min="4" max="4" width="10.7265625" style="1" customWidth="1"/>
    <col min="5" max="5" width="10.1796875" style="1" customWidth="1"/>
    <col min="6" max="6" width="13.26953125" style="1" customWidth="1"/>
    <col min="7" max="7" width="15.1796875" style="1" customWidth="1"/>
    <col min="8" max="8" width="13.26953125" style="1" customWidth="1"/>
    <col min="9" max="9" width="12.7265625" style="1" customWidth="1"/>
    <col min="10" max="10" width="12.26953125" style="1" customWidth="1"/>
    <col min="11" max="11" width="9" style="1" customWidth="1"/>
    <col min="12" max="12" width="13.26953125" style="1" customWidth="1"/>
    <col min="13" max="13" width="12.7265625" style="1" customWidth="1"/>
    <col min="14" max="14" width="13.26953125" style="1" customWidth="1"/>
    <col min="15" max="15" width="12.7265625" style="1" customWidth="1"/>
    <col min="16" max="16" width="13.26953125" style="1" customWidth="1"/>
    <col min="17" max="17" width="21.26953125" style="1" customWidth="1"/>
    <col min="18" max="22" width="8.7265625" style="1"/>
    <col min="23" max="23" width="4.54296875" style="1" customWidth="1"/>
    <col min="24" max="24" width="11.90625" style="1" customWidth="1"/>
    <col min="25" max="25" width="77.1796875" style="1" bestFit="1" customWidth="1"/>
    <col min="26" max="26" width="10.7265625" style="1" customWidth="1"/>
    <col min="27" max="27" width="10.1796875" style="1" customWidth="1"/>
    <col min="28" max="28" width="13.26953125" style="1" customWidth="1"/>
    <col min="29" max="29" width="15.1796875" style="1" customWidth="1"/>
    <col min="30" max="30" width="13.26953125" style="1" customWidth="1"/>
    <col min="31" max="31" width="12.7265625" style="1" customWidth="1"/>
    <col min="32" max="32" width="12.26953125" style="1" customWidth="1"/>
    <col min="33" max="33" width="9" style="1" customWidth="1"/>
    <col min="34" max="34" width="13.26953125" style="1" customWidth="1"/>
    <col min="35" max="35" width="12.7265625" style="1" customWidth="1"/>
    <col min="36" max="36" width="13.26953125" style="1" customWidth="1"/>
    <col min="37" max="37" width="12.7265625" style="1" customWidth="1"/>
    <col min="38" max="38" width="13.26953125" style="1" customWidth="1"/>
    <col min="39" max="39" width="21.26953125" style="1" customWidth="1"/>
    <col min="40" max="16384" width="8.7265625" style="1"/>
  </cols>
  <sheetData>
    <row r="1" spans="1:17" ht="14.5" customHeight="1"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PRODUCT REQUIREMENTS</v>
      </c>
      <c r="J2" s="59"/>
      <c r="K2" s="59"/>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01 60 00</v>
      </c>
      <c r="C10" s="24" t="str">
        <f>C206</f>
        <v>PRODUCT REQUIREMENTS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PRODUCT REQUIREMENTS</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Q200" s="78" t="s">
        <v>21404</v>
      </c>
    </row>
    <row r="201" spans="2:17" x14ac:dyDescent="0.35">
      <c r="C201" s="78" t="s">
        <v>21592</v>
      </c>
    </row>
    <row r="203" spans="2:17" x14ac:dyDescent="0.35">
      <c r="C203" s="77" t="s">
        <v>21399</v>
      </c>
    </row>
    <row r="205" spans="2:17" x14ac:dyDescent="0.35">
      <c r="C205" s="1" t="s">
        <v>21398</v>
      </c>
      <c r="D205" s="1" t="s">
        <v>75</v>
      </c>
      <c r="E205" s="1" t="s">
        <v>13768</v>
      </c>
      <c r="F205" s="2" t="s">
        <v>21397</v>
      </c>
      <c r="G205" s="1" t="s">
        <v>9</v>
      </c>
    </row>
    <row r="206" spans="2:17" x14ac:dyDescent="0.35">
      <c r="B206" s="49" t="s">
        <v>13910</v>
      </c>
      <c r="C206" s="82" t="s">
        <v>13911</v>
      </c>
    </row>
    <row r="207" spans="2:17" x14ac:dyDescent="0.35">
      <c r="B207" s="49" t="s">
        <v>13912</v>
      </c>
      <c r="C207" s="53" t="s">
        <v>13913</v>
      </c>
    </row>
    <row r="208" spans="2:17" x14ac:dyDescent="0.35">
      <c r="B208" s="49" t="s">
        <v>13914</v>
      </c>
      <c r="C208" s="53" t="s">
        <v>13915</v>
      </c>
    </row>
    <row r="209" spans="2:3" x14ac:dyDescent="0.35">
      <c r="B209" s="49" t="s">
        <v>13916</v>
      </c>
      <c r="C209" s="53" t="s">
        <v>13917</v>
      </c>
    </row>
    <row r="210" spans="2:3" x14ac:dyDescent="0.35">
      <c r="B210" s="49" t="s">
        <v>13918</v>
      </c>
      <c r="C210" s="53" t="s">
        <v>13919</v>
      </c>
    </row>
    <row r="211" spans="2:3" x14ac:dyDescent="0.35">
      <c r="B211" s="49" t="s">
        <v>13920</v>
      </c>
      <c r="C211" s="53" t="s">
        <v>13921</v>
      </c>
    </row>
  </sheetData>
  <mergeCells count="9">
    <mergeCell ref="P3:Q3"/>
    <mergeCell ref="J5:K5"/>
    <mergeCell ref="J6:K6"/>
    <mergeCell ref="J7:K7"/>
    <mergeCell ref="A3:B3"/>
    <mergeCell ref="D3:G3"/>
    <mergeCell ref="J3:K3"/>
    <mergeCell ref="A4:B4"/>
    <mergeCell ref="J4:K4"/>
  </mergeCells>
  <dataValidations count="1">
    <dataValidation type="list" allowBlank="1" showInputMessage="1" showErrorMessage="1" sqref="C16:C190" xr:uid="{C0498DDB-CFAB-4986-AF86-3ED420322BCA}">
      <formula1>$C$205:$C207</formula1>
    </dataValidation>
  </dataValidations>
  <hyperlinks>
    <hyperlink ref="D3" r:id="rId1" display="datamateapp@gmail.com" xr:uid="{F5554F3B-DEBA-4635-AD50-299D2C655484}"/>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8916" r:id="rId4" name="Button 4">
              <controlPr defaultSize="0" print="0" autoFill="0" autoPict="0" macro="[0]!ExitSEC_016000">
                <anchor moveWithCells="1" sizeWithCells="1">
                  <from>
                    <xdr:col>16</xdr:col>
                    <xdr:colOff>234950</xdr:colOff>
                    <xdr:row>0</xdr:row>
                    <xdr:rowOff>0</xdr:rowOff>
                  </from>
                  <to>
                    <xdr:col>17</xdr:col>
                    <xdr:colOff>19050</xdr:colOff>
                    <xdr:row>2</xdr:row>
                    <xdr:rowOff>6350</xdr:rowOff>
                  </to>
                </anchor>
              </controlPr>
            </control>
          </mc:Choice>
        </mc:AlternateContent>
        <mc:AlternateContent xmlns:mc="http://schemas.openxmlformats.org/markup-compatibility/2006">
          <mc:Choice Requires="x14">
            <control shapeId="39052" r:id="rId5" name="Button 140">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39053" r:id="rId6" name="Button 141">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39054" r:id="rId7" name="Button 142">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39055" r:id="rId8" name="Button 143">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39056" r:id="rId9" name="Button 144">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39057" r:id="rId10" name="Button 145">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39058" r:id="rId11" name="Button 146">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39059" r:id="rId12" name="Button 147">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9A01B-E342-494E-92DA-0A14A11B407F}">
  <sheetPr codeName="Sheet14"/>
  <dimension ref="A1:Q214"/>
  <sheetViews>
    <sheetView showZeros="0" zoomScale="75" zoomScaleNormal="75" workbookViewId="0">
      <selection activeCell="C4" sqref="C4"/>
    </sheetView>
  </sheetViews>
  <sheetFormatPr defaultRowHeight="14.5" x14ac:dyDescent="0.35"/>
  <cols>
    <col min="1" max="1" width="4.54296875" style="1" customWidth="1"/>
    <col min="2" max="2" width="14" style="1" customWidth="1"/>
    <col min="3" max="3" width="77.1796875" style="1" bestFit="1" customWidth="1"/>
    <col min="4" max="4" width="10.7265625" style="1" customWidth="1"/>
    <col min="5" max="5" width="10.1796875" style="1" customWidth="1"/>
    <col min="6" max="6" width="13.26953125" style="1" customWidth="1"/>
    <col min="7" max="7" width="15.1796875" style="1" customWidth="1"/>
    <col min="8" max="8" width="13.26953125" style="1" customWidth="1"/>
    <col min="9" max="9" width="12.7265625" style="1" customWidth="1"/>
    <col min="10" max="10" width="12.26953125" style="1" customWidth="1"/>
    <col min="11" max="11" width="9" style="1" customWidth="1"/>
    <col min="12" max="12" width="13.26953125" style="1" customWidth="1"/>
    <col min="13" max="13" width="12.7265625" style="1" customWidth="1"/>
    <col min="14" max="14" width="13.26953125" style="1" customWidth="1"/>
    <col min="15" max="15" width="12.7265625" style="1" customWidth="1"/>
    <col min="16" max="16" width="13.26953125" style="1" customWidth="1"/>
    <col min="17" max="17" width="21.26953125" style="1" customWidth="1"/>
    <col min="18" max="22" width="8.7265625" style="1"/>
    <col min="23" max="23" width="4.54296875" style="1" customWidth="1"/>
    <col min="24" max="24" width="11.90625" style="1" customWidth="1"/>
    <col min="25" max="25" width="77.1796875" style="1" bestFit="1" customWidth="1"/>
    <col min="26" max="26" width="10.7265625" style="1" customWidth="1"/>
    <col min="27" max="27" width="10.1796875" style="1" customWidth="1"/>
    <col min="28" max="28" width="13.26953125" style="1" customWidth="1"/>
    <col min="29" max="29" width="15.1796875" style="1" customWidth="1"/>
    <col min="30" max="30" width="13.26953125" style="1" customWidth="1"/>
    <col min="31" max="31" width="12.7265625" style="1" customWidth="1"/>
    <col min="32" max="32" width="12.26953125" style="1" customWidth="1"/>
    <col min="33" max="33" width="9" style="1" customWidth="1"/>
    <col min="34" max="34" width="13.26953125" style="1" customWidth="1"/>
    <col min="35" max="35" width="12.7265625" style="1" customWidth="1"/>
    <col min="36" max="36" width="13.26953125" style="1" customWidth="1"/>
    <col min="37" max="37" width="12.7265625" style="1" customWidth="1"/>
    <col min="38" max="38" width="13.26953125" style="1" customWidth="1"/>
    <col min="39" max="39" width="21.26953125" style="1" customWidth="1"/>
    <col min="40" max="16384" width="8.7265625" style="1"/>
  </cols>
  <sheetData>
    <row r="1" spans="1:17" ht="14.5" customHeight="1"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EXECUTION AND CLOSEOUT REQUIREMENTS</v>
      </c>
      <c r="J2" s="59"/>
      <c r="K2" s="59"/>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01 70 00</v>
      </c>
      <c r="C10" s="24" t="str">
        <f>C206</f>
        <v>EXECUTION AND CLOSEOUT REQUIREMENTS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EXECUTION AND CLOSEOUT REQUIREMENTS</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Q200" s="78" t="s">
        <v>21404</v>
      </c>
    </row>
    <row r="201" spans="2:17" x14ac:dyDescent="0.35">
      <c r="C201" s="78" t="s">
        <v>21592</v>
      </c>
    </row>
    <row r="203" spans="2:17" x14ac:dyDescent="0.35">
      <c r="C203" s="77" t="s">
        <v>21399</v>
      </c>
    </row>
    <row r="205" spans="2:17" x14ac:dyDescent="0.35">
      <c r="C205" s="1" t="s">
        <v>21398</v>
      </c>
      <c r="D205" s="1" t="s">
        <v>75</v>
      </c>
      <c r="E205" s="1" t="s">
        <v>13768</v>
      </c>
      <c r="F205" s="2" t="s">
        <v>21397</v>
      </c>
      <c r="G205" s="1" t="s">
        <v>9</v>
      </c>
    </row>
    <row r="206" spans="2:17" x14ac:dyDescent="0.35">
      <c r="B206" s="49" t="s">
        <v>13922</v>
      </c>
      <c r="C206" s="82" t="s">
        <v>13923</v>
      </c>
    </row>
    <row r="207" spans="2:17" x14ac:dyDescent="0.35">
      <c r="B207" s="49" t="s">
        <v>13924</v>
      </c>
      <c r="C207" s="53" t="s">
        <v>13925</v>
      </c>
    </row>
    <row r="208" spans="2:17" x14ac:dyDescent="0.35">
      <c r="B208" s="49" t="s">
        <v>13926</v>
      </c>
      <c r="C208" s="53" t="s">
        <v>13927</v>
      </c>
    </row>
    <row r="209" spans="2:3" x14ac:dyDescent="0.35">
      <c r="B209" s="49" t="s">
        <v>13928</v>
      </c>
      <c r="C209" s="53" t="s">
        <v>13929</v>
      </c>
    </row>
    <row r="210" spans="2:3" x14ac:dyDescent="0.35">
      <c r="B210" s="49" t="s">
        <v>13930</v>
      </c>
      <c r="C210" s="53" t="s">
        <v>13931</v>
      </c>
    </row>
    <row r="211" spans="2:3" x14ac:dyDescent="0.35">
      <c r="B211" s="49" t="s">
        <v>13932</v>
      </c>
      <c r="C211" s="53" t="s">
        <v>13933</v>
      </c>
    </row>
    <row r="212" spans="2:3" x14ac:dyDescent="0.35">
      <c r="B212" s="49" t="s">
        <v>13934</v>
      </c>
      <c r="C212" s="53" t="s">
        <v>13935</v>
      </c>
    </row>
    <row r="213" spans="2:3" x14ac:dyDescent="0.35">
      <c r="B213" s="49" t="s">
        <v>13936</v>
      </c>
      <c r="C213" s="53" t="s">
        <v>13937</v>
      </c>
    </row>
    <row r="214" spans="2:3" x14ac:dyDescent="0.35">
      <c r="B214" s="49" t="s">
        <v>13938</v>
      </c>
      <c r="C214" s="53" t="s">
        <v>13939</v>
      </c>
    </row>
  </sheetData>
  <mergeCells count="9">
    <mergeCell ref="P3:Q3"/>
    <mergeCell ref="J5:K5"/>
    <mergeCell ref="J6:K6"/>
    <mergeCell ref="J7:K7"/>
    <mergeCell ref="A3:B3"/>
    <mergeCell ref="D3:G3"/>
    <mergeCell ref="J3:K3"/>
    <mergeCell ref="A4:B4"/>
    <mergeCell ref="J4:K4"/>
  </mergeCells>
  <dataValidations count="1">
    <dataValidation type="list" allowBlank="1" showInputMessage="1" showErrorMessage="1" sqref="C16:C190" xr:uid="{2BBCACBF-7E28-4661-8CA8-DE65644D2776}">
      <formula1>$C$205:$C207</formula1>
    </dataValidation>
  </dataValidations>
  <hyperlinks>
    <hyperlink ref="D3" r:id="rId1" display="datamateapp@gmail.com" xr:uid="{99C4A711-A863-4357-BD94-BCF897C90CA7}"/>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9940" r:id="rId4" name="Button 4">
              <controlPr defaultSize="0" print="0" autoFill="0" autoPict="0" macro="[0]!ExitSEC_017000">
                <anchor moveWithCells="1" sizeWithCells="1">
                  <from>
                    <xdr:col>16</xdr:col>
                    <xdr:colOff>247650</xdr:colOff>
                    <xdr:row>0</xdr:row>
                    <xdr:rowOff>0</xdr:rowOff>
                  </from>
                  <to>
                    <xdr:col>17</xdr:col>
                    <xdr:colOff>25400</xdr:colOff>
                    <xdr:row>2</xdr:row>
                    <xdr:rowOff>6350</xdr:rowOff>
                  </to>
                </anchor>
              </controlPr>
            </control>
          </mc:Choice>
        </mc:AlternateContent>
        <mc:AlternateContent xmlns:mc="http://schemas.openxmlformats.org/markup-compatibility/2006">
          <mc:Choice Requires="x14">
            <control shapeId="40031" r:id="rId5" name="Button 95">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40032" r:id="rId6" name="Button 96">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40033" r:id="rId7" name="Button 97">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40034" r:id="rId8" name="Button 98">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40035" r:id="rId9" name="Button 99">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40036" r:id="rId10" name="Button 100">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40037" r:id="rId11" name="Button 101">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40038" r:id="rId12" name="Button 102">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146D7-5179-48EC-BE77-7DEC3558166E}">
  <sheetPr codeName="Sheet15"/>
  <dimension ref="A1:Q215"/>
  <sheetViews>
    <sheetView showZeros="0" zoomScale="75" zoomScaleNormal="75" workbookViewId="0">
      <selection activeCell="C4" sqref="C4"/>
    </sheetView>
  </sheetViews>
  <sheetFormatPr defaultRowHeight="14.5" x14ac:dyDescent="0.35"/>
  <cols>
    <col min="1" max="1" width="4.54296875" style="1" customWidth="1"/>
    <col min="2" max="2" width="14" style="1" customWidth="1"/>
    <col min="3" max="3" width="77.1796875" style="1" bestFit="1" customWidth="1"/>
    <col min="4" max="4" width="10.7265625" style="1" customWidth="1"/>
    <col min="5" max="5" width="10.1796875" style="1" customWidth="1"/>
    <col min="6" max="6" width="13.26953125" style="1" customWidth="1"/>
    <col min="7" max="7" width="15.1796875" style="1" customWidth="1"/>
    <col min="8" max="8" width="13.26953125" style="1" customWidth="1"/>
    <col min="9" max="9" width="12.7265625" style="1" customWidth="1"/>
    <col min="10" max="10" width="12.26953125" style="1" customWidth="1"/>
    <col min="11" max="11" width="9" style="1" customWidth="1"/>
    <col min="12" max="12" width="13.26953125" style="1" customWidth="1"/>
    <col min="13" max="13" width="12.7265625" style="1" customWidth="1"/>
    <col min="14" max="14" width="13.26953125" style="1" customWidth="1"/>
    <col min="15" max="15" width="12.7265625" style="1" customWidth="1"/>
    <col min="16" max="16" width="13.26953125" style="1" customWidth="1"/>
    <col min="17" max="17" width="21.26953125" style="1" customWidth="1"/>
    <col min="18" max="22" width="8.7265625" style="1"/>
    <col min="23" max="23" width="4.54296875" style="1" customWidth="1"/>
    <col min="24" max="24" width="11.90625" style="1" customWidth="1"/>
    <col min="25" max="25" width="77.1796875" style="1" bestFit="1" customWidth="1"/>
    <col min="26" max="26" width="10.7265625" style="1" customWidth="1"/>
    <col min="27" max="27" width="10.1796875" style="1" customWidth="1"/>
    <col min="28" max="28" width="13.26953125" style="1" customWidth="1"/>
    <col min="29" max="29" width="15.1796875" style="1" customWidth="1"/>
    <col min="30" max="30" width="13.26953125" style="1" customWidth="1"/>
    <col min="31" max="31" width="12.7265625" style="1" customWidth="1"/>
    <col min="32" max="32" width="12.26953125" style="1" customWidth="1"/>
    <col min="33" max="33" width="9" style="1" customWidth="1"/>
    <col min="34" max="34" width="13.26953125" style="1" customWidth="1"/>
    <col min="35" max="35" width="12.7265625" style="1" customWidth="1"/>
    <col min="36" max="36" width="13.26953125" style="1" customWidth="1"/>
    <col min="37" max="37" width="12.7265625" style="1" customWidth="1"/>
    <col min="38" max="38" width="13.26953125" style="1" customWidth="1"/>
    <col min="39" max="39" width="21.26953125" style="1" customWidth="1"/>
    <col min="40" max="16384" width="8.7265625" style="1"/>
  </cols>
  <sheetData>
    <row r="1" spans="1:17" ht="14.5" customHeight="1"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PERFORMANCE REQUIREMENTS</v>
      </c>
      <c r="J2" s="59"/>
      <c r="K2" s="59"/>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01 80 00</v>
      </c>
      <c r="C10" s="24" t="str">
        <f>C206</f>
        <v>PERFORMANCE REQUIREMENTS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PERFORMANCE REQUIREMENTS</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Q200" s="78" t="s">
        <v>21404</v>
      </c>
    </row>
    <row r="201" spans="2:17" x14ac:dyDescent="0.35">
      <c r="C201" s="78" t="s">
        <v>21592</v>
      </c>
    </row>
    <row r="203" spans="2:17" x14ac:dyDescent="0.35">
      <c r="C203" s="77" t="s">
        <v>21399</v>
      </c>
    </row>
    <row r="205" spans="2:17" x14ac:dyDescent="0.35">
      <c r="C205" s="1" t="s">
        <v>21398</v>
      </c>
      <c r="D205" s="1" t="s">
        <v>75</v>
      </c>
      <c r="E205" s="1" t="s">
        <v>13768</v>
      </c>
      <c r="F205" s="2" t="s">
        <v>21397</v>
      </c>
      <c r="G205" s="1" t="s">
        <v>9</v>
      </c>
    </row>
    <row r="206" spans="2:17" x14ac:dyDescent="0.35">
      <c r="B206" s="49" t="s">
        <v>13940</v>
      </c>
      <c r="C206" s="82" t="s">
        <v>13941</v>
      </c>
    </row>
    <row r="207" spans="2:17" x14ac:dyDescent="0.35">
      <c r="B207" s="49" t="s">
        <v>13942</v>
      </c>
      <c r="C207" s="53" t="s">
        <v>13943</v>
      </c>
    </row>
    <row r="208" spans="2:17" x14ac:dyDescent="0.35">
      <c r="B208" s="49" t="s">
        <v>13944</v>
      </c>
      <c r="C208" s="53" t="s">
        <v>13945</v>
      </c>
    </row>
    <row r="209" spans="2:3" x14ac:dyDescent="0.35">
      <c r="B209" s="49" t="s">
        <v>13946</v>
      </c>
      <c r="C209" s="53" t="s">
        <v>13947</v>
      </c>
    </row>
    <row r="210" spans="2:3" x14ac:dyDescent="0.35">
      <c r="B210" s="49" t="s">
        <v>13948</v>
      </c>
      <c r="C210" s="53" t="s">
        <v>13949</v>
      </c>
    </row>
    <row r="211" spans="2:3" x14ac:dyDescent="0.35">
      <c r="B211" s="49" t="s">
        <v>13950</v>
      </c>
      <c r="C211" s="53" t="s">
        <v>13951</v>
      </c>
    </row>
    <row r="212" spans="2:3" x14ac:dyDescent="0.35">
      <c r="B212" s="49" t="s">
        <v>13952</v>
      </c>
      <c r="C212" s="53" t="s">
        <v>13953</v>
      </c>
    </row>
    <row r="213" spans="2:3" x14ac:dyDescent="0.35">
      <c r="B213" s="49" t="s">
        <v>13954</v>
      </c>
      <c r="C213" s="53" t="s">
        <v>13955</v>
      </c>
    </row>
    <row r="214" spans="2:3" x14ac:dyDescent="0.35">
      <c r="B214" s="49" t="s">
        <v>13956</v>
      </c>
      <c r="C214" s="53" t="s">
        <v>13957</v>
      </c>
    </row>
    <row r="215" spans="2:3" x14ac:dyDescent="0.35">
      <c r="B215" s="49" t="s">
        <v>13958</v>
      </c>
      <c r="C215" s="53" t="s">
        <v>13959</v>
      </c>
    </row>
  </sheetData>
  <mergeCells count="9">
    <mergeCell ref="P3:Q3"/>
    <mergeCell ref="J5:K5"/>
    <mergeCell ref="J6:K6"/>
    <mergeCell ref="J7:K7"/>
    <mergeCell ref="A3:B3"/>
    <mergeCell ref="D3:G3"/>
    <mergeCell ref="J3:K3"/>
    <mergeCell ref="A4:B4"/>
    <mergeCell ref="J4:K4"/>
  </mergeCells>
  <dataValidations count="1">
    <dataValidation type="list" allowBlank="1" showInputMessage="1" showErrorMessage="1" sqref="C16:C190" xr:uid="{EC2D54C0-3AF0-45D6-83DE-723DB5ABEA9D}">
      <formula1>$C$205:$C207</formula1>
    </dataValidation>
  </dataValidations>
  <hyperlinks>
    <hyperlink ref="D3" r:id="rId1" display="datamateapp@gmail.com" xr:uid="{555CC20F-6461-4056-8A2D-DCC85C73330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64" r:id="rId4" name="Button 4">
              <controlPr defaultSize="0" print="0" autoFill="0" autoPict="0" macro="[0]!ExitSEC_018000">
                <anchor moveWithCells="1" sizeWithCells="1">
                  <from>
                    <xdr:col>16</xdr:col>
                    <xdr:colOff>247650</xdr:colOff>
                    <xdr:row>0</xdr:row>
                    <xdr:rowOff>0</xdr:rowOff>
                  </from>
                  <to>
                    <xdr:col>17</xdr:col>
                    <xdr:colOff>25400</xdr:colOff>
                    <xdr:row>2</xdr:row>
                    <xdr:rowOff>6350</xdr:rowOff>
                  </to>
                </anchor>
              </controlPr>
            </control>
          </mc:Choice>
        </mc:AlternateContent>
        <mc:AlternateContent xmlns:mc="http://schemas.openxmlformats.org/markup-compatibility/2006">
          <mc:Choice Requires="x14">
            <control shapeId="41016" r:id="rId5" name="Button 56">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41017" r:id="rId6" name="Button 57">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41018" r:id="rId7" name="Button 58">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41019" r:id="rId8" name="Button 59">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41020" r:id="rId9" name="Button 60">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41021" r:id="rId10" name="Button 61">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41022" r:id="rId11" name="Button 62">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41023" r:id="rId12" name="Button 63">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75F362-0CA6-41C9-A503-821C252B1487}">
  <sheetPr codeName="Sheet16"/>
  <dimension ref="A1:Q210"/>
  <sheetViews>
    <sheetView showZeros="0" zoomScale="75" zoomScaleNormal="75" workbookViewId="0">
      <selection activeCell="C4" sqref="C4"/>
    </sheetView>
  </sheetViews>
  <sheetFormatPr defaultRowHeight="14.5" x14ac:dyDescent="0.35"/>
  <cols>
    <col min="1" max="1" width="4.54296875" style="1" customWidth="1"/>
    <col min="2" max="2" width="14" style="1" customWidth="1"/>
    <col min="3" max="3" width="77.1796875" style="1" bestFit="1" customWidth="1"/>
    <col min="4" max="4" width="10.7265625" style="1" customWidth="1"/>
    <col min="5" max="5" width="10.1796875" style="1" customWidth="1"/>
    <col min="6" max="6" width="13.26953125" style="1" customWidth="1"/>
    <col min="7" max="7" width="15.1796875" style="1" customWidth="1"/>
    <col min="8" max="8" width="13.26953125" style="1" customWidth="1"/>
    <col min="9" max="9" width="12.7265625" style="1" customWidth="1"/>
    <col min="10" max="10" width="12.26953125" style="1" customWidth="1"/>
    <col min="11" max="11" width="9" style="1" customWidth="1"/>
    <col min="12" max="12" width="13.26953125" style="1" customWidth="1"/>
    <col min="13" max="13" width="12.7265625" style="1" customWidth="1"/>
    <col min="14" max="14" width="13.26953125" style="1" customWidth="1"/>
    <col min="15" max="15" width="12.7265625" style="1" customWidth="1"/>
    <col min="16" max="16" width="13.26953125" style="1" customWidth="1"/>
    <col min="17" max="17" width="21.26953125" style="1" customWidth="1"/>
    <col min="18" max="22" width="8.7265625" style="1"/>
    <col min="23" max="23" width="4.54296875" style="1" customWidth="1"/>
    <col min="24" max="24" width="11.90625" style="1" customWidth="1"/>
    <col min="25" max="25" width="77.1796875" style="1" bestFit="1" customWidth="1"/>
    <col min="26" max="26" width="10.7265625" style="1" customWidth="1"/>
    <col min="27" max="27" width="10.1796875" style="1" customWidth="1"/>
    <col min="28" max="28" width="13.26953125" style="1" customWidth="1"/>
    <col min="29" max="29" width="15.1796875" style="1" customWidth="1"/>
    <col min="30" max="30" width="13.26953125" style="1" customWidth="1"/>
    <col min="31" max="31" width="12.7265625" style="1" customWidth="1"/>
    <col min="32" max="32" width="12.26953125" style="1" customWidth="1"/>
    <col min="33" max="33" width="9" style="1" customWidth="1"/>
    <col min="34" max="34" width="13.26953125" style="1" customWidth="1"/>
    <col min="35" max="35" width="12.7265625" style="1" customWidth="1"/>
    <col min="36" max="36" width="13.26953125" style="1" customWidth="1"/>
    <col min="37" max="37" width="12.7265625" style="1" customWidth="1"/>
    <col min="38" max="38" width="13.26953125" style="1" customWidth="1"/>
    <col min="39" max="39" width="21.26953125" style="1" customWidth="1"/>
    <col min="40" max="16384" width="8.7265625" style="1"/>
  </cols>
  <sheetData>
    <row r="1" spans="1:17" ht="14.5" customHeight="1"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LIFE CYCLE ACTIVITIES</v>
      </c>
      <c r="J2" s="59"/>
      <c r="K2" s="59"/>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01 90 00</v>
      </c>
      <c r="C10" s="24" t="str">
        <f>C206</f>
        <v>LIFE CYCLE ACTIVITIES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LIFE CYCLE ACTIVITIES</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Q200" s="78" t="s">
        <v>21404</v>
      </c>
    </row>
    <row r="201" spans="2:17" x14ac:dyDescent="0.35">
      <c r="C201" s="78" t="s">
        <v>21592</v>
      </c>
    </row>
    <row r="203" spans="2:17" x14ac:dyDescent="0.35">
      <c r="C203" s="77" t="s">
        <v>21399</v>
      </c>
    </row>
    <row r="205" spans="2:17" x14ac:dyDescent="0.35">
      <c r="C205" s="1" t="s">
        <v>21398</v>
      </c>
      <c r="D205" s="1" t="s">
        <v>75</v>
      </c>
      <c r="E205" s="1" t="s">
        <v>13768</v>
      </c>
      <c r="F205" s="2" t="s">
        <v>21397</v>
      </c>
      <c r="G205" s="1" t="s">
        <v>9</v>
      </c>
    </row>
    <row r="206" spans="2:17" x14ac:dyDescent="0.35">
      <c r="B206" s="49" t="s">
        <v>13960</v>
      </c>
      <c r="C206" s="82" t="s">
        <v>13961</v>
      </c>
    </row>
    <row r="207" spans="2:17" x14ac:dyDescent="0.35">
      <c r="B207" s="49" t="s">
        <v>13962</v>
      </c>
      <c r="C207" s="53" t="s">
        <v>13963</v>
      </c>
    </row>
    <row r="208" spans="2:17" x14ac:dyDescent="0.35">
      <c r="B208" s="49" t="s">
        <v>13964</v>
      </c>
      <c r="C208" s="53" t="s">
        <v>13965</v>
      </c>
    </row>
    <row r="209" spans="2:3" x14ac:dyDescent="0.35">
      <c r="B209" s="49" t="s">
        <v>13966</v>
      </c>
      <c r="C209" s="53" t="s">
        <v>13967</v>
      </c>
    </row>
    <row r="210" spans="2:3" x14ac:dyDescent="0.35">
      <c r="B210" s="49" t="s">
        <v>13968</v>
      </c>
      <c r="C210" s="53" t="s">
        <v>13969</v>
      </c>
    </row>
  </sheetData>
  <mergeCells count="9">
    <mergeCell ref="P3:Q3"/>
    <mergeCell ref="J5:K5"/>
    <mergeCell ref="J6:K6"/>
    <mergeCell ref="J7:K7"/>
    <mergeCell ref="A3:B3"/>
    <mergeCell ref="D3:G3"/>
    <mergeCell ref="J3:K3"/>
    <mergeCell ref="A4:B4"/>
    <mergeCell ref="J4:K4"/>
  </mergeCells>
  <dataValidations count="1">
    <dataValidation type="list" allowBlank="1" showInputMessage="1" showErrorMessage="1" sqref="C16:C190" xr:uid="{FB7FED67-F8CE-4C19-B292-D9CDAC9A81BE}">
      <formula1>$C$205:$C207</formula1>
    </dataValidation>
  </dataValidations>
  <hyperlinks>
    <hyperlink ref="D3" r:id="rId1" display="datamateapp@gmail.com" xr:uid="{6D59E138-6914-4406-B4AD-9C4D2DD2C46E}"/>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1988" r:id="rId4" name="Button 4">
              <controlPr defaultSize="0" print="0" autoFill="0" autoPict="0" macro="[0]!ExitSEC_019000">
                <anchor moveWithCells="1" sizeWithCells="1">
                  <from>
                    <xdr:col>16</xdr:col>
                    <xdr:colOff>209550</xdr:colOff>
                    <xdr:row>0</xdr:row>
                    <xdr:rowOff>0</xdr:rowOff>
                  </from>
                  <to>
                    <xdr:col>16</xdr:col>
                    <xdr:colOff>1479550</xdr:colOff>
                    <xdr:row>2</xdr:row>
                    <xdr:rowOff>6350</xdr:rowOff>
                  </to>
                </anchor>
              </controlPr>
            </control>
          </mc:Choice>
        </mc:AlternateContent>
        <mc:AlternateContent xmlns:mc="http://schemas.openxmlformats.org/markup-compatibility/2006">
          <mc:Choice Requires="x14">
            <control shapeId="42040" r:id="rId5" name="Button 56">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42041" r:id="rId6" name="Button 57">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42042" r:id="rId7" name="Button 58">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42043" r:id="rId8" name="Button 59">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42044" r:id="rId9" name="Button 60">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42045" r:id="rId10" name="Button 61">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42046" r:id="rId11" name="Button 62">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42047" r:id="rId12" name="Button 63">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56B7D-691E-47B6-B255-775D86602FE9}">
  <sheetPr codeName="Sheet25"/>
  <dimension ref="A1:Q208"/>
  <sheetViews>
    <sheetView zoomScale="70" zoomScaleNormal="70" workbookViewId="0">
      <selection activeCell="D16" sqref="D16"/>
    </sheetView>
  </sheetViews>
  <sheetFormatPr defaultRowHeight="14.5" x14ac:dyDescent="0.35"/>
  <cols>
    <col min="1" max="1" width="4.54296875" style="1" customWidth="1"/>
    <col min="2" max="2" width="14" style="1" customWidth="1"/>
    <col min="3" max="3" width="77.1796875" style="1" bestFit="1" customWidth="1"/>
    <col min="4" max="4" width="10.7265625" style="1" customWidth="1"/>
    <col min="5" max="5" width="10.1796875" style="1" customWidth="1"/>
    <col min="6" max="6" width="13.26953125" style="1" customWidth="1"/>
    <col min="7" max="7" width="15.1796875" style="1" customWidth="1"/>
    <col min="8" max="8" width="13.26953125" style="1" customWidth="1"/>
    <col min="9" max="9" width="12.7265625" style="1" customWidth="1"/>
    <col min="10" max="10" width="12.26953125" style="1" customWidth="1"/>
    <col min="11" max="11" width="9" style="1" customWidth="1"/>
    <col min="12" max="12" width="13.26953125" style="1" customWidth="1"/>
    <col min="13" max="13" width="12.7265625" style="1" customWidth="1"/>
    <col min="14" max="14" width="13.26953125" style="1" customWidth="1"/>
    <col min="15" max="15" width="12.7265625" style="1" customWidth="1"/>
    <col min="16" max="16" width="13.26953125" style="1" customWidth="1"/>
    <col min="17" max="17" width="21.26953125" style="1" customWidth="1"/>
    <col min="18" max="22" width="8.7265625" style="1"/>
    <col min="23" max="23" width="4.54296875" style="1" customWidth="1"/>
    <col min="24" max="24" width="11.90625" style="1" customWidth="1"/>
    <col min="25" max="25" width="77.1796875" style="1" bestFit="1" customWidth="1"/>
    <col min="26" max="26" width="10.7265625" style="1" customWidth="1"/>
    <col min="27" max="27" width="10.1796875" style="1" customWidth="1"/>
    <col min="28" max="28" width="13.26953125" style="1" customWidth="1"/>
    <col min="29" max="29" width="15.1796875" style="1" customWidth="1"/>
    <col min="30" max="30" width="13.26953125" style="1" customWidth="1"/>
    <col min="31" max="31" width="12.7265625" style="1" customWidth="1"/>
    <col min="32" max="32" width="12.26953125" style="1" customWidth="1"/>
    <col min="33" max="33" width="9" style="1" customWidth="1"/>
    <col min="34" max="34" width="13.26953125" style="1" customWidth="1"/>
    <col min="35" max="35" width="12.7265625" style="1" customWidth="1"/>
    <col min="36" max="36" width="13.26953125" style="1" customWidth="1"/>
    <col min="37" max="37" width="12.7265625" style="1" customWidth="1"/>
    <col min="38" max="38" width="13.26953125" style="1" customWidth="1"/>
    <col min="39" max="39" width="21.26953125" style="1" customWidth="1"/>
    <col min="40" max="16384" width="8.7265625" style="1"/>
  </cols>
  <sheetData>
    <row r="1" spans="1:17" ht="14.5" customHeight="1"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59">
        <f ca="1">C6</f>
        <v>45603</v>
      </c>
      <c r="I2" s="59" t="str">
        <f>C10</f>
        <v>CSI Description</v>
      </c>
      <c r="J2" s="59"/>
      <c r="K2" s="59"/>
      <c r="M2" s="59"/>
      <c r="N2" s="59"/>
      <c r="O2" s="60"/>
      <c r="P2" s="57"/>
      <c r="Q2" s="57"/>
    </row>
    <row r="3" spans="1:17" ht="15" thickBot="1" x14ac:dyDescent="0.4">
      <c r="A3" s="446" t="s">
        <v>21543</v>
      </c>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7"/>
      <c r="Q3" s="8"/>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CSI Section</v>
      </c>
      <c r="C10" s="24" t="str">
        <f>C206</f>
        <v>CSI Description</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CSI Description</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Q200" s="78" t="s">
        <v>21404</v>
      </c>
    </row>
    <row r="201" spans="2:17" x14ac:dyDescent="0.35">
      <c r="C201" s="78" t="s">
        <v>21402</v>
      </c>
    </row>
    <row r="203" spans="2:17" x14ac:dyDescent="0.35">
      <c r="C203" s="77" t="s">
        <v>21399</v>
      </c>
    </row>
    <row r="205" spans="2:17" x14ac:dyDescent="0.35">
      <c r="C205" s="1" t="s">
        <v>21398</v>
      </c>
      <c r="D205" s="1" t="s">
        <v>75</v>
      </c>
      <c r="E205" s="1" t="s">
        <v>13768</v>
      </c>
      <c r="F205" s="2" t="s">
        <v>21397</v>
      </c>
      <c r="G205" s="1" t="s">
        <v>9</v>
      </c>
    </row>
    <row r="206" spans="2:17" x14ac:dyDescent="0.35">
      <c r="B206" s="49" t="s">
        <v>21432</v>
      </c>
      <c r="C206" s="106" t="s">
        <v>21400</v>
      </c>
    </row>
    <row r="208" spans="2:17" x14ac:dyDescent="0.35">
      <c r="C208" s="53" t="s">
        <v>21401</v>
      </c>
    </row>
  </sheetData>
  <mergeCells count="8">
    <mergeCell ref="J5:K5"/>
    <mergeCell ref="J6:K6"/>
    <mergeCell ref="J7:K7"/>
    <mergeCell ref="A3:B3"/>
    <mergeCell ref="D3:G3"/>
    <mergeCell ref="J3:K3"/>
    <mergeCell ref="A4:B4"/>
    <mergeCell ref="J4:K4"/>
  </mergeCells>
  <dataValidations count="1">
    <dataValidation type="list" allowBlank="1" showInputMessage="1" showErrorMessage="1" sqref="C16:C190" xr:uid="{F6BFD0B1-1164-48E1-8772-5CC35EF5F165}">
      <formula1>$C$205:$C207</formula1>
    </dataValidation>
  </dataValidations>
  <hyperlinks>
    <hyperlink ref="D3" r:id="rId1" display="datamateapp@gmail.com" xr:uid="{3DB48C94-F99C-4350-A09C-6EB88C041C5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ExitDIV_02Sheets">
                <anchor moveWithCells="1" sizeWithCells="1">
                  <from>
                    <xdr:col>16</xdr:col>
                    <xdr:colOff>241300</xdr:colOff>
                    <xdr:row>0</xdr:row>
                    <xdr:rowOff>0</xdr:rowOff>
                  </from>
                  <to>
                    <xdr:col>17</xdr:col>
                    <xdr:colOff>0</xdr:colOff>
                    <xdr:row>2</xdr:row>
                    <xdr:rowOff>12700</xdr:rowOff>
                  </to>
                </anchor>
              </controlPr>
            </control>
          </mc:Choice>
        </mc:AlternateContent>
        <mc:AlternateContent xmlns:mc="http://schemas.openxmlformats.org/markup-compatibility/2006">
          <mc:Choice Requires="x14">
            <control shapeId="43014" r:id="rId5" name="Button 6">
              <controlPr defaultSize="0" print="0" autoFill="0" autoPict="0">
                <anchor moveWithCells="1" sizeWithCells="1">
                  <from>
                    <xdr:col>17</xdr:col>
                    <xdr:colOff>0</xdr:colOff>
                    <xdr:row>0</xdr:row>
                    <xdr:rowOff>0</xdr:rowOff>
                  </from>
                  <to>
                    <xdr:col>19</xdr:col>
                    <xdr:colOff>50800</xdr:colOff>
                    <xdr:row>2</xdr:row>
                    <xdr:rowOff>25400</xdr:rowOff>
                  </to>
                </anchor>
              </controlPr>
            </control>
          </mc:Choice>
        </mc:AlternateContent>
        <mc:AlternateContent xmlns:mc="http://schemas.openxmlformats.org/markup-compatibility/2006">
          <mc:Choice Requires="x14">
            <control shapeId="43015" r:id="rId6" name="Button 7">
              <controlPr defaultSize="0" print="0" autoFill="0" autoPict="0" macro="[0]!ClearContentsAndDropdowns">
                <anchor moveWithCells="1" sizeWithCells="1">
                  <from>
                    <xdr:col>17</xdr:col>
                    <xdr:colOff>0</xdr:colOff>
                    <xdr:row>2</xdr:row>
                    <xdr:rowOff>184150</xdr:rowOff>
                  </from>
                  <to>
                    <xdr:col>19</xdr:col>
                    <xdr:colOff>57150</xdr:colOff>
                    <xdr:row>5</xdr:row>
                    <xdr:rowOff>31750</xdr:rowOff>
                  </to>
                </anchor>
              </controlPr>
            </control>
          </mc:Choice>
        </mc:AlternateContent>
        <mc:AlternateContent xmlns:mc="http://schemas.openxmlformats.org/markup-compatibility/2006">
          <mc:Choice Requires="x14">
            <control shapeId="43016" r:id="rId7" name="Button 8">
              <controlPr defaultSize="0" print="0" autoFill="0" autoPict="0" macro="[0]!CopyInput1WithAdjustedReferencesAndButtonsInROriginalOrder">
                <anchor moveWithCells="1" sizeWithCells="1">
                  <from>
                    <xdr:col>17</xdr:col>
                    <xdr:colOff>0</xdr:colOff>
                    <xdr:row>6</xdr:row>
                    <xdr:rowOff>50800</xdr:rowOff>
                  </from>
                  <to>
                    <xdr:col>19</xdr:col>
                    <xdr:colOff>57150</xdr:colOff>
                    <xdr:row>8</xdr:row>
                    <xdr:rowOff>63500</xdr:rowOff>
                  </to>
                </anchor>
              </controlPr>
            </control>
          </mc:Choice>
        </mc:AlternateContent>
        <mc:AlternateContent xmlns:mc="http://schemas.openxmlformats.org/markup-compatibility/2006">
          <mc:Choice Requires="x14">
            <control shapeId="43017" r:id="rId8" name="Button 9">
              <controlPr defaultSize="0" print="0" autoFill="0" autoPict="0" macro="[0]!CopyInput2WithAdjustedReferencesAndButtonsInROriginalOrder">
                <anchor moveWithCells="1" sizeWithCells="1">
                  <from>
                    <xdr:col>17</xdr:col>
                    <xdr:colOff>0</xdr:colOff>
                    <xdr:row>9</xdr:row>
                    <xdr:rowOff>44450</xdr:rowOff>
                  </from>
                  <to>
                    <xdr:col>19</xdr:col>
                    <xdr:colOff>57150</xdr:colOff>
                    <xdr:row>11</xdr:row>
                    <xdr:rowOff>57150</xdr:rowOff>
                  </to>
                </anchor>
              </controlPr>
            </control>
          </mc:Choice>
        </mc:AlternateContent>
        <mc:AlternateContent xmlns:mc="http://schemas.openxmlformats.org/markup-compatibility/2006">
          <mc:Choice Requires="x14">
            <control shapeId="43018" r:id="rId9" name="Button 10">
              <controlPr defaultSize="0" print="0" autoFill="0" autoPict="0" macro="[0]!Dashboard">
                <anchor moveWithCells="1" sizeWithCells="1">
                  <from>
                    <xdr:col>17</xdr:col>
                    <xdr:colOff>0</xdr:colOff>
                    <xdr:row>11</xdr:row>
                    <xdr:rowOff>177800</xdr:rowOff>
                  </from>
                  <to>
                    <xdr:col>19</xdr:col>
                    <xdr:colOff>57150</xdr:colOff>
                    <xdr:row>14</xdr:row>
                    <xdr:rowOff>12700</xdr:rowOff>
                  </to>
                </anchor>
              </controlPr>
            </control>
          </mc:Choice>
        </mc:AlternateContent>
        <mc:AlternateContent xmlns:mc="http://schemas.openxmlformats.org/markup-compatibility/2006">
          <mc:Choice Requires="x14">
            <control shapeId="43019" r:id="rId10" name="Button 11">
              <controlPr defaultSize="0" print="0" autoFill="0" autoPict="0" macro="[0]!ViewLog">
                <anchor moveWithCells="1" sizeWithCells="1">
                  <from>
                    <xdr:col>17</xdr:col>
                    <xdr:colOff>0</xdr:colOff>
                    <xdr:row>14</xdr:row>
                    <xdr:rowOff>177800</xdr:rowOff>
                  </from>
                  <to>
                    <xdr:col>19</xdr:col>
                    <xdr:colOff>57150</xdr:colOff>
                    <xdr:row>17</xdr:row>
                    <xdr:rowOff>19050</xdr:rowOff>
                  </to>
                </anchor>
              </controlPr>
            </control>
          </mc:Choice>
        </mc:AlternateContent>
        <mc:AlternateContent xmlns:mc="http://schemas.openxmlformats.org/markup-compatibility/2006">
          <mc:Choice Requires="x14">
            <control shapeId="43020" r:id="rId11" name="Button 12">
              <controlPr defaultSize="0" print="0" autoFill="0" autoPict="0" macro="[0]!ViewView_Print">
                <anchor moveWithCells="1" sizeWithCells="1">
                  <from>
                    <xdr:col>17</xdr:col>
                    <xdr:colOff>0</xdr:colOff>
                    <xdr:row>18</xdr:row>
                    <xdr:rowOff>0</xdr:rowOff>
                  </from>
                  <to>
                    <xdr:col>19</xdr:col>
                    <xdr:colOff>57150</xdr:colOff>
                    <xdr:row>20</xdr:row>
                    <xdr:rowOff>25400</xdr:rowOff>
                  </to>
                </anchor>
              </controlPr>
            </control>
          </mc:Choice>
        </mc:AlternateContent>
        <mc:AlternateContent xmlns:mc="http://schemas.openxmlformats.org/markup-compatibility/2006">
          <mc:Choice Requires="x14">
            <control shapeId="43021" r:id="rId12" name="Button 13">
              <controlPr defaultSize="0" print="0" autoFill="0" autoPict="0" macro="[0]!OpenDataMateAppPage">
                <anchor moveWithCells="1" sizeWithCells="1">
                  <from>
                    <xdr:col>17</xdr:col>
                    <xdr:colOff>0</xdr:colOff>
                    <xdr:row>21</xdr:row>
                    <xdr:rowOff>6350</xdr:rowOff>
                  </from>
                  <to>
                    <xdr:col>19</xdr:col>
                    <xdr:colOff>57150</xdr:colOff>
                    <xdr:row>23</xdr:row>
                    <xdr:rowOff>31750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B131BA-9090-46FA-99C1-502876E2A649}">
  <sheetPr codeName="Sheet26"/>
  <dimension ref="A1:Q200"/>
  <sheetViews>
    <sheetView zoomScale="75" zoomScaleNormal="75" workbookViewId="0">
      <selection activeCell="G15" sqref="G15"/>
    </sheetView>
  </sheetViews>
  <sheetFormatPr defaultRowHeight="14.5" x14ac:dyDescent="0.35"/>
  <cols>
    <col min="1" max="1" width="4.54296875" style="1" customWidth="1"/>
    <col min="2" max="2" width="14" style="1" customWidth="1"/>
    <col min="3" max="3" width="77.1796875" style="1" bestFit="1" customWidth="1"/>
    <col min="4" max="4" width="10.7265625" style="1" customWidth="1"/>
    <col min="5" max="5" width="10.1796875" style="1" customWidth="1"/>
    <col min="6" max="6" width="13.26953125" style="1" customWidth="1"/>
    <col min="7" max="7" width="15.1796875" style="1" customWidth="1"/>
    <col min="8" max="8" width="13.26953125" style="1" customWidth="1"/>
    <col min="9" max="9" width="12.7265625" style="1" customWidth="1"/>
    <col min="10" max="10" width="12.26953125" style="1" customWidth="1"/>
    <col min="11" max="11" width="9" style="1" customWidth="1"/>
    <col min="12" max="12" width="13.26953125" style="1" customWidth="1"/>
    <col min="13" max="13" width="12.7265625" style="1" customWidth="1"/>
    <col min="14" max="14" width="13.26953125" style="1" customWidth="1"/>
    <col min="15" max="15" width="12.7265625" style="1" customWidth="1"/>
    <col min="16" max="16" width="13.26953125" style="1" customWidth="1"/>
    <col min="17" max="17" width="21.26953125" style="1" customWidth="1"/>
    <col min="18" max="16384" width="8.7265625" style="1"/>
  </cols>
  <sheetData>
    <row r="1" spans="1:17" x14ac:dyDescent="0.35">
      <c r="A1" s="57" t="str">
        <f>DIV_02View_Print!B2</f>
        <v>AREA/FLOOR/ZONE- Page- SUB COST- MAT COST- LAB COST- EQUIP COST- Total Cost- Date- Description- Log 10- Log 11- Log 12</v>
      </c>
      <c r="B1" s="57"/>
      <c r="C1" s="57"/>
      <c r="D1" s="57"/>
      <c r="E1" s="57"/>
      <c r="F1" s="57"/>
      <c r="G1" s="57"/>
      <c r="H1" s="57"/>
      <c r="I1" s="57"/>
      <c r="J1" s="57"/>
      <c r="K1" s="57"/>
      <c r="L1" s="57"/>
      <c r="M1" s="57" t="str">
        <f>DIV_02Input!M1</f>
        <v>Update 1</v>
      </c>
      <c r="N1" s="57" t="str">
        <f>DIV_02Input!N1</f>
        <v>Update 2</v>
      </c>
      <c r="O1" s="57" t="str">
        <f>DIV_02Input!O1</f>
        <v>Update 3</v>
      </c>
      <c r="P1" s="57"/>
      <c r="Q1" s="57"/>
    </row>
    <row r="2" spans="1:17" x14ac:dyDescent="0.35">
      <c r="A2" s="57"/>
      <c r="B2" s="436" t="s">
        <v>21420</v>
      </c>
      <c r="C2" s="436"/>
      <c r="D2" s="436"/>
      <c r="E2" s="436"/>
      <c r="F2" s="436"/>
      <c r="G2" s="436"/>
      <c r="H2" s="436"/>
      <c r="I2" s="436"/>
      <c r="J2" s="436"/>
      <c r="K2" s="436"/>
      <c r="L2" s="436"/>
      <c r="P2" s="57"/>
      <c r="Q2" s="57"/>
    </row>
    <row r="3" spans="1:17" ht="15" thickBot="1" x14ac:dyDescent="0.4">
      <c r="A3" s="446">
        <f>VLOOKUP(A1,DIV_02Data!$A$1:$DZU$1000000,36,FALSE)</f>
        <v>0</v>
      </c>
      <c r="B3" s="425"/>
      <c r="C3" s="103">
        <f>VLOOKUP(A1,DIV_02Data!$A$1:$DZU$1000000,38,FALSE)</f>
        <v>0</v>
      </c>
      <c r="D3" s="447">
        <f>VLOOKUP(A1,DIV_02Data!$A$1:$DZU$1000000,39,FALSE)</f>
        <v>0</v>
      </c>
      <c r="E3" s="448"/>
      <c r="F3" s="448"/>
      <c r="G3" s="448"/>
      <c r="H3" s="6">
        <f>VLOOKUP(A1,DIV_02Data!$A$1:$DZU$1000000,43,FALSE)</f>
        <v>0</v>
      </c>
      <c r="I3" s="6">
        <f>VLOOKUP(A1,DIV_02Data!$A$1:$DZU$1000000,44,FALSE)</f>
        <v>0</v>
      </c>
      <c r="J3" s="449">
        <f>VLOOKUP(A1,DIV_02Data!$A$1:$DZU$1000000,45,FALSE)</f>
        <v>0</v>
      </c>
      <c r="K3" s="450"/>
      <c r="L3" s="100">
        <f>VLOOKUP(A1,DIV_02Data!$A$1:$DZU$1000000,47,FALSE)</f>
        <v>0</v>
      </c>
      <c r="M3" s="8">
        <f>VLOOKUP(A1,DIV_02Data!$A$1:$DZU$1000000,48,FALSE)</f>
        <v>0</v>
      </c>
      <c r="N3" s="6">
        <f>VLOOKUP(A1,DIV_02Data!$A$1:$DZU$1000000,49,FALSE)</f>
        <v>0</v>
      </c>
      <c r="O3" s="8">
        <f>VLOOKUP(A1,DIV_02Data!$A$1:$DZU$1000000,50,FALSE)</f>
        <v>0</v>
      </c>
      <c r="P3" s="7">
        <f>VLOOKUP(A1,DIV_02Data!$A$1:$DZU$1000000,51,FALSE)</f>
        <v>0</v>
      </c>
      <c r="Q3" s="8">
        <f>VLOOKUP(A1,DIV_02Data!$A$1:$DZU$1000000,52,FALSE)</f>
        <v>0</v>
      </c>
    </row>
    <row r="4" spans="1:17" ht="15" thickBot="1" x14ac:dyDescent="0.4">
      <c r="A4" s="451">
        <f>VLOOKUP(A1,DIV_02Data!$A$1:$DZU$1000000,53,FALSE)</f>
        <v>0</v>
      </c>
      <c r="B4" s="452"/>
      <c r="C4" s="79">
        <f>VLOOKUP(A1,DIV_02Data!$A$1:$DZU$1000000,55,FALSE)</f>
        <v>0</v>
      </c>
      <c r="D4" s="6">
        <f>VLOOKUP(A1,DIV_02Data!$A$1:$DZU$1000000,56,FALSE)</f>
        <v>0</v>
      </c>
      <c r="E4" s="5">
        <f>VLOOKUP(A1,DIV_02Data!$A$1:$DZU$1000000,57,FALSE)</f>
        <v>0</v>
      </c>
      <c r="F4" s="61">
        <f>VLOOKUP(A1,DIV_02Data!$A$1:$DZU$1000000,58,FALSE)</f>
        <v>0</v>
      </c>
      <c r="G4" s="8">
        <f>VLOOKUP(A1,DIV_02Data!$A$1:$DZU$1000000,59,FALSE)</f>
        <v>0</v>
      </c>
      <c r="H4" s="6">
        <f>VLOOKUP(A1,DIV_02Data!$A$1:$DZU$1000000,60,FALSE)</f>
        <v>0</v>
      </c>
      <c r="I4" s="6">
        <f>VLOOKUP(A1,DIV_02Data!$A$1:$DZU$1000000,61,FALSE)</f>
        <v>0</v>
      </c>
      <c r="J4" s="443">
        <f>VLOOKUP(A1,DIV_02Data!$A$1:$DZU$1000000,62,FALSE)</f>
        <v>0</v>
      </c>
      <c r="K4" s="444"/>
      <c r="L4" s="102">
        <f>VLOOKUP(A1,DIV_02Data!$A$1:$DZU$1000000,64,FALSE)</f>
        <v>0</v>
      </c>
      <c r="M4" s="9">
        <f>VLOOKUP(A1,DIV_02Data!$A$1:$DZU$1000000,65,FALSE)</f>
        <v>0</v>
      </c>
      <c r="N4" s="31">
        <f>VLOOKUP(A1,DIV_02Data!$A$1:$DZU$1000000,66,FALSE)</f>
        <v>0</v>
      </c>
      <c r="O4" s="98">
        <f>VLOOKUP(A1,DIV_02Data!$A$1:$DZU$1000000,67,FALSE)</f>
        <v>0</v>
      </c>
      <c r="P4" s="7">
        <f>VLOOKUP(A1,DIV_02Data!$A$1:$DZU$1000000,68,FALSE)</f>
        <v>0</v>
      </c>
      <c r="Q4" s="10">
        <f>VLOOKUP(A1,DIV_02Data!$A$1:$DZU$1000000,69,FALSE)</f>
        <v>0</v>
      </c>
    </row>
    <row r="5" spans="1:17" ht="15" thickBot="1" x14ac:dyDescent="0.4">
      <c r="A5" s="3">
        <f>VLOOKUP(A1,DIV_02Data!$A$1:$DZU$1000000,70,FALSE)</f>
        <v>0</v>
      </c>
      <c r="B5" s="4">
        <f>VLOOKUP(A1,DIV_02Data!$A$1:$DZU$1000000,71,FALSE)</f>
        <v>0</v>
      </c>
      <c r="C5" s="5">
        <f>VLOOKUP(A1,DIV_02Data!$A$1:$DZU$1000000,72,FALSE)</f>
        <v>0</v>
      </c>
      <c r="D5" s="6">
        <f>VLOOKUP(A1,DIV_02Data!$A$1:$DZU$1000000,73,FALSE)</f>
        <v>0</v>
      </c>
      <c r="E5" s="7">
        <f>VLOOKUP(A1,DIV_02Data!$A$1:$DZU$1000000,74,FALSE)</f>
        <v>0</v>
      </c>
      <c r="F5" s="6">
        <f>VLOOKUP(A1,DIV_02Data!$A$1:$DZU$1000000,75,FALSE)</f>
        <v>0</v>
      </c>
      <c r="G5" s="8">
        <f>VLOOKUP(A1,DIV_02Data!$A$1:$DZU$1000000,76,FALSE)</f>
        <v>0</v>
      </c>
      <c r="H5" s="6">
        <f>VLOOKUP(A1,DIV_02Data!$A$1:$DZU$1000000,77,FALSE)</f>
        <v>0</v>
      </c>
      <c r="I5" s="6">
        <f>VLOOKUP(A1,DIV_02Data!$A$1:$DZU$1000000,78,FALSE)</f>
        <v>0</v>
      </c>
      <c r="J5" s="443">
        <f>VLOOKUP(A1,DIV_02Data!$A$1:$DZU$1000000,79,FALSE)</f>
        <v>0</v>
      </c>
      <c r="K5" s="444"/>
      <c r="L5" s="11">
        <f>VLOOKUP(A1,DIV_02Data!$A$1:$DZU$1000000,81,FALSE)</f>
        <v>0</v>
      </c>
      <c r="M5" s="91">
        <f>VLOOKUP(A1,DIV_02Data!$A$1:$DZU$1000000,82,FALSE)</f>
        <v>0</v>
      </c>
      <c r="N5" s="31">
        <f>VLOOKUP(A1,DIV_02Data!$A$1:$DZU$1000000,83,FALSE)</f>
        <v>0</v>
      </c>
      <c r="O5" s="96">
        <f>VLOOKUP(A1,DIV_02Data!$A$1:$DZU$1000000,84,FALSE)</f>
        <v>0</v>
      </c>
      <c r="P5" s="86">
        <f>VLOOKUP(A1,DIV_02Data!$A$1:$DZU$1000000,85,FALSE)</f>
        <v>0</v>
      </c>
      <c r="Q5" s="8">
        <f>VLOOKUP(A1,DIV_02Data!$A$1:$DZU$1000000,86,FALSE)</f>
        <v>0</v>
      </c>
    </row>
    <row r="6" spans="1:17" ht="15" thickBot="1" x14ac:dyDescent="0.4">
      <c r="A6" s="3">
        <f>VLOOKUP(A1,DIV_02Data!$A$1:$DZU$1000000,87,FALSE)</f>
        <v>0</v>
      </c>
      <c r="B6" s="4">
        <f>VLOOKUP(A1,DIV_02Data!$A$1:$DZU$1000000,88,FALSE)</f>
        <v>0</v>
      </c>
      <c r="C6" s="5">
        <f>VLOOKUP(A1,DIV_02Data!$A$1:$DZU$1000000,89,FALSE)</f>
        <v>0</v>
      </c>
      <c r="D6" s="6">
        <f>VLOOKUP(A1,DIV_02Data!$A$1:$DZU$1000000,90,FALSE)</f>
        <v>0</v>
      </c>
      <c r="E6" s="7">
        <f>VLOOKUP(A1,DIV_02Data!$A$1:$DZU$1000000,91,FALSE)</f>
        <v>0</v>
      </c>
      <c r="F6" s="6">
        <f>VLOOKUP(A1,DIV_02Data!$A$1:$DZU$1000000,92,FALSE)</f>
        <v>0</v>
      </c>
      <c r="G6" s="10">
        <f>VLOOKUP(A1,DIV_02Data!$A$1:$DZU$1000000,93,FALSE)</f>
        <v>0</v>
      </c>
      <c r="H6" s="12">
        <f>VLOOKUP(A1,DIV_02Data!$A$1:$DZU$1000000,94,FALSE)</f>
        <v>0</v>
      </c>
      <c r="I6" s="13">
        <f>VLOOKUP(A1,DIV_02Data!$A$1:$DZU$1000000,95,FALSE)</f>
        <v>0</v>
      </c>
      <c r="J6" s="445">
        <f>VLOOKUP(A1,DIV_02Data!$A$1:$DZU$1000000,96,FALSE)</f>
        <v>0</v>
      </c>
      <c r="K6" s="444"/>
      <c r="L6" s="11">
        <f>VLOOKUP(A1,DIV_02Data!$A$1:$DZU$1000000,98,FALSE)</f>
        <v>0</v>
      </c>
      <c r="M6" s="9">
        <f>VLOOKUP(A1,DIV_02Data!$A$1:$DZU$1000000,99,FALSE)</f>
        <v>0</v>
      </c>
      <c r="N6" s="31">
        <f>VLOOKUP(A1,DIV_02Data!$A$1:$DZU$1000000,100,FALSE)</f>
        <v>0</v>
      </c>
      <c r="O6" s="97">
        <f>VLOOKUP(A1,DIV_02Data!$A$1:$DZU$1000000,101,FALSE)</f>
        <v>0</v>
      </c>
      <c r="P6" s="7">
        <f>VLOOKUP(A1,DIV_02Data!$A$1:$DZU$1000000,102,FALSE)</f>
        <v>0</v>
      </c>
      <c r="Q6" s="8">
        <f>VLOOKUP(A1,DIV_02Data!$A$1:$DZU$1000000,103,FALSE)</f>
        <v>0</v>
      </c>
    </row>
    <row r="7" spans="1:17" x14ac:dyDescent="0.35">
      <c r="A7" s="3">
        <f>VLOOKUP(A1,DIV_02Data!$A$1:$DZU$1000000,104,FALSE)</f>
        <v>0</v>
      </c>
      <c r="B7" s="4">
        <f>VLOOKUP(A1,DIV_02Data!$A$1:$DZU$1000000,105,FALSE)</f>
        <v>0</v>
      </c>
      <c r="C7" s="84">
        <f>VLOOKUP(A1,DIV_02Data!$A$1:$DZU$1000000,106,FALSE)</f>
        <v>0</v>
      </c>
      <c r="D7" s="6">
        <f>VLOOKUP(A1,DIV_02Data!$A$1:$DZU$1000000,107,FALSE)</f>
        <v>0</v>
      </c>
      <c r="E7" s="7">
        <f>VLOOKUP(A1,DIV_02Data!$A$1:$DZU$1000000,108,FALSE)</f>
        <v>0</v>
      </c>
      <c r="F7" s="6">
        <f>VLOOKUP(A1,DIV_02Data!$A$1:$DZU$1000000,109,FALSE)</f>
        <v>0</v>
      </c>
      <c r="G7" s="7">
        <f>VLOOKUP(A1,DIV_02Data!$A$1:$DZU$1000000,110,FALSE)</f>
        <v>0</v>
      </c>
      <c r="H7" s="14">
        <f>VLOOKUP(A1,DIV_02Data!$A$1:$DZU$1000000,111,FALSE)</f>
        <v>0</v>
      </c>
      <c r="I7" s="6">
        <f>VLOOKUP(A1,DIV_02Data!$A$1:$DZU$1000000,112,FALSE)</f>
        <v>0</v>
      </c>
      <c r="J7" s="443">
        <f>VLOOKUP(A1,DIV_02Data!$A$1:$DZU$1000000,113,FALSE)</f>
        <v>0</v>
      </c>
      <c r="K7" s="444"/>
      <c r="L7" s="11">
        <f>VLOOKUP(A1,DIV_02Data!$A$1:$DZU$1000000,115,FALSE)</f>
        <v>0</v>
      </c>
      <c r="M7" s="6">
        <f>VLOOKUP(A1,DIV_02Data!$A$1:$DZU$1000000,116,FALSE)</f>
        <v>0</v>
      </c>
      <c r="N7" s="31">
        <f>VLOOKUP(A1,DIV_02Data!$A$1:$DZU$1000000,117,FALSE)</f>
        <v>0</v>
      </c>
      <c r="O7" s="96">
        <f>VLOOKUP(A1,DIV_02Data!$A$1:$DZU$1000000,118,FALSE)</f>
        <v>0</v>
      </c>
      <c r="P7" s="90">
        <f>VLOOKUP(A1,DIV_02Data!$A$1:$DZU$1000000,119,FALSE)</f>
        <v>0</v>
      </c>
      <c r="Q7" s="90">
        <f>VLOOKUP(A1,DIV_02Data!$A$1:$DZU$1000000,120,FALSE)</f>
        <v>0</v>
      </c>
    </row>
    <row r="8" spans="1:17" ht="15" thickBot="1" x14ac:dyDescent="0.4">
      <c r="A8" s="3">
        <f>VLOOKUP(A1,DIV_02Data!$A$1:$DZU$1000000,121,FALSE)</f>
        <v>0</v>
      </c>
      <c r="B8" s="4">
        <f>VLOOKUP(A1,DIV_02Data!$A$1:$DZU$1000000,122,FALSE)</f>
        <v>0</v>
      </c>
      <c r="C8" s="86">
        <f>VLOOKUP(A1,DIV_02Data!$A$1:$DZU$1000000,123,FALSE)</f>
        <v>0</v>
      </c>
      <c r="D8" s="6">
        <f>VLOOKUP(A1,DIV_02Data!$A$1:$DZU$1000000,124,FALSE)</f>
        <v>0</v>
      </c>
      <c r="E8" s="7">
        <f>VLOOKUP(A1,DIV_02Data!$A$1:$DZU$1000000,125,FALSE)</f>
        <v>0</v>
      </c>
      <c r="F8" s="6">
        <f>VLOOKUP(A1,DIV_02Data!$A$1:$DZU$1000000,126,FALSE)</f>
        <v>0</v>
      </c>
      <c r="G8" s="6">
        <f>VLOOKUP(A1,DIV_02Data!$A$1:$DZU$1000000,127,FALSE)</f>
        <v>0</v>
      </c>
      <c r="H8" s="6">
        <f>VLOOKUP(A1,DIV_02Data!$A$1:$DZU$1000000,128,FALSE)</f>
        <v>0</v>
      </c>
      <c r="I8" s="6">
        <f>VLOOKUP(A1,DIV_02Data!$A$1:$DZU$1000000,129,FALSE)</f>
        <v>0</v>
      </c>
      <c r="J8" s="6">
        <f>VLOOKUP(A1,DIV_02Data!$A$1:$DZU$1000000,130,FALSE)</f>
        <v>0</v>
      </c>
      <c r="K8" s="6">
        <f>VLOOKUP(A1,DIV_02Data!$A$1:$DZU$1000000,131,FALSE)</f>
        <v>0</v>
      </c>
      <c r="L8" s="83">
        <f>VLOOKUP(A1,DIV_02Data!$A$1:$DZU$1000000,132,FALSE)</f>
        <v>0</v>
      </c>
      <c r="M8" s="6">
        <f>VLOOKUP(A1,DIV_02Data!$A$1:$DZU$1000000,133,FALSE)</f>
        <v>0</v>
      </c>
      <c r="N8" s="6">
        <f>VLOOKUP(A1,DIV_02Data!$A$1:$DZU$1000000,134,FALSE)</f>
        <v>0</v>
      </c>
      <c r="O8" s="95">
        <f>VLOOKUP(A1,DIV_02Data!$A$1:$DZU$1000000,135,FALSE)</f>
        <v>0</v>
      </c>
      <c r="P8" s="6">
        <f>VLOOKUP(A1,DIV_02Data!$A$1:$DZU$1000000,136,FALSE)</f>
        <v>0</v>
      </c>
      <c r="Q8" s="6">
        <f>VLOOKUP(A1,DIV_02Data!$A$1:$DZU$1000000,137,FALSE)</f>
        <v>0</v>
      </c>
    </row>
    <row r="9" spans="1:17" ht="15" thickBot="1" x14ac:dyDescent="0.4">
      <c r="A9" s="15">
        <f>VLOOKUP(A1,DIV_02Data!$A$1:$DZU$1000000,138,FALSE)</f>
        <v>0</v>
      </c>
      <c r="B9" s="16">
        <f>VLOOKUP(A1,DIV_02Data!$A$1:$DZU$1000000,139,FALSE)</f>
        <v>0</v>
      </c>
      <c r="C9" s="17">
        <f>VLOOKUP(A1,DIV_02Data!$A$1:$DZU$1000000,140,FALSE)</f>
        <v>0</v>
      </c>
      <c r="D9" s="18">
        <f>VLOOKUP(A1,DIV_02Data!$A$1:$DZU$1000000,141,FALSE)</f>
        <v>0</v>
      </c>
      <c r="E9" s="19">
        <f>VLOOKUP(A1,DIV_02Data!$A$1:$DZU$1000000,142,FALSE)</f>
        <v>0</v>
      </c>
      <c r="F9" s="16">
        <f>VLOOKUP(A1,DIV_02Data!$A$1:$DZU$1000000,143,FALSE)</f>
        <v>0</v>
      </c>
      <c r="G9" s="20">
        <f>VLOOKUP(A1,DIV_02Data!$A$1:$DZU$1000000,144,FALSE)</f>
        <v>0</v>
      </c>
      <c r="H9" s="16">
        <f>VLOOKUP(A1,DIV_02Data!$A$1:$DZU$1000000,145,FALSE)</f>
        <v>0</v>
      </c>
      <c r="I9" s="20">
        <f>VLOOKUP(A1,DIV_02Data!$A$1:$DZU$1000000,146,FALSE)</f>
        <v>0</v>
      </c>
      <c r="J9" s="21">
        <f>VLOOKUP(A1,DIV_02Data!$A$1:$DZU$1000000,147,FALSE)</f>
        <v>0</v>
      </c>
      <c r="K9" s="16">
        <f>VLOOKUP(A1,DIV_02Data!$A$1:$DZU$1000000,148,FALSE)</f>
        <v>0</v>
      </c>
      <c r="L9" s="21">
        <f>VLOOKUP(A1,DIV_02Data!$A$1:$DZU$1000000,149,FALSE)</f>
        <v>0</v>
      </c>
      <c r="M9" s="20">
        <f>VLOOKUP(A1,DIV_02Data!$A$1:$DZU$1000000,150,FALSE)</f>
        <v>0</v>
      </c>
      <c r="N9" s="16">
        <f>VLOOKUP(A1,DIV_02Data!$A$1:$DZU$1000000,151,FALSE)</f>
        <v>0</v>
      </c>
      <c r="O9" s="20">
        <f>VLOOKUP(A1,DIV_02Data!$A$1:$DZU$1000000,152,FALSE)</f>
        <v>0</v>
      </c>
      <c r="P9" s="18">
        <f>VLOOKUP(A1,DIV_02Data!$A$1:$DZU$1000000,153,FALSE)</f>
        <v>0</v>
      </c>
      <c r="Q9" s="20">
        <f>VLOOKUP(A1,DIV_02Data!$A$1:$DZU$1000000,154,FALSE)</f>
        <v>0</v>
      </c>
    </row>
    <row r="10" spans="1:17" ht="15" thickBot="1" x14ac:dyDescent="0.4">
      <c r="A10" s="22">
        <f>VLOOKUP(A1,DIV_02Data!$A$1:$DZU$1000000,155,FALSE)</f>
        <v>0</v>
      </c>
      <c r="B10" s="23">
        <f>VLOOKUP(A1,DIV_02Data!$A$1:$DZU$1000000,156,FALSE)</f>
        <v>0</v>
      </c>
      <c r="C10" s="24">
        <f>VLOOKUP(A1,DIV_02Data!$A$1:$DZU$1000000,157,FALSE)</f>
        <v>0</v>
      </c>
      <c r="D10" s="25">
        <f>VLOOKUP(A1,DIV_02Data!$A$1:$DZU$1000000,158,FALSE)</f>
        <v>0</v>
      </c>
      <c r="E10" s="26">
        <f>VLOOKUP(A1,DIV_02Data!$A$1:$DZU$1000000,159,FALSE)</f>
        <v>0</v>
      </c>
      <c r="F10" s="27">
        <f>VLOOKUP(A1,DIV_02Data!$A$1:$DZU$1000000,160,FALSE)</f>
        <v>0</v>
      </c>
      <c r="G10" s="28">
        <f>VLOOKUP(A1,DIV_02Data!$A$1:$DZU$1000000,161,FALSE)</f>
        <v>0</v>
      </c>
      <c r="H10" s="27">
        <f>VLOOKUP(A1,DIV_02Data!$A$1:$DZU$1000000,162,FALSE)</f>
        <v>0</v>
      </c>
      <c r="I10" s="28">
        <f>VLOOKUP(A1,DIV_02Data!$A$1:$DZU$1000000,163,FALSE)</f>
        <v>0</v>
      </c>
      <c r="J10" s="27">
        <f>VLOOKUP(A1,DIV_02Data!$A$1:$DZU$1000000,164,FALSE)</f>
        <v>0</v>
      </c>
      <c r="K10" s="27">
        <f>VLOOKUP(A1,DIV_02Data!$A$1:$DZU$1000000,165,FALSE)</f>
        <v>0</v>
      </c>
      <c r="L10" s="27">
        <f>VLOOKUP(A1,DIV_02Data!$A$1:$DZU$1000000,166,FALSE)</f>
        <v>0</v>
      </c>
      <c r="M10" s="28">
        <f>VLOOKUP(A1,DIV_02Data!$A$1:$DZU$1000000,167,FALSE)</f>
        <v>0</v>
      </c>
      <c r="N10" s="27">
        <f>VLOOKUP(A1,DIV_02Data!$A$1:$DZU$1000000,168,FALSE)</f>
        <v>0</v>
      </c>
      <c r="O10" s="28">
        <f>VLOOKUP(A1,DIV_02Data!$A$1:$DZU$1000000,169,FALSE)</f>
        <v>0</v>
      </c>
      <c r="P10" s="25">
        <f>VLOOKUP(A1,DIV_02Data!$A$1:$DZU$1000000,170,FALSE)</f>
        <v>0</v>
      </c>
      <c r="Q10" s="28">
        <f>VLOOKUP(A1,DIV_02Data!$A$1:$DZU$1000000,171,FALSE)</f>
        <v>0</v>
      </c>
    </row>
    <row r="11" spans="1:17" x14ac:dyDescent="0.35">
      <c r="A11" s="22">
        <f>VLOOKUP(A1,DIV_02Data!$A$1:$DZU$1000000,172,FALSE)</f>
        <v>0</v>
      </c>
      <c r="B11" s="29">
        <f>VLOOKUP(A1,DIV_02Data!$A$1:$DZU$1000000,173,FALSE)</f>
        <v>0</v>
      </c>
      <c r="C11" s="30">
        <f>VLOOKUP(A1,DIV_02Data!$A$1:$DZU$1000000,174,FALSE)</f>
        <v>0</v>
      </c>
      <c r="D11" s="31">
        <f>VLOOKUP(A1,DIV_02Data!$A$1:$DZU$1000000,175,FALSE)</f>
        <v>0</v>
      </c>
      <c r="E11" s="32">
        <f>VLOOKUP(A1,DIV_02Data!$A$1:$DZU$1000000,176,FALSE)</f>
        <v>0</v>
      </c>
      <c r="F11" s="34">
        <f>VLOOKUP(A1,DIV_02Data!$A$1:$DZU$1000000,177,FALSE)</f>
        <v>0</v>
      </c>
      <c r="G11" s="33">
        <f>VLOOKUP(A1,DIV_02Data!$A$1:$DZU$1000000,178,FALSE)</f>
        <v>0</v>
      </c>
      <c r="H11" s="34">
        <f>VLOOKUP(A1,DIV_02Data!$A$1:$DZU$1000000,179,FALSE)</f>
        <v>0</v>
      </c>
      <c r="I11" s="33">
        <f>VLOOKUP(A1,DIV_02Data!$A$1:$DZU$1000000,180,FALSE)</f>
        <v>0</v>
      </c>
      <c r="J11" s="34">
        <f>VLOOKUP(A1,DIV_02Data!$A$1:$DZU$1000000,181,FALSE)</f>
        <v>0</v>
      </c>
      <c r="K11" s="34">
        <f>VLOOKUP(A1,DIV_02Data!$A$1:$DZU$1000000,182,FALSE)</f>
        <v>0</v>
      </c>
      <c r="L11" s="34">
        <f>VLOOKUP(A1,DIV_02Data!$A$1:$DZU$1000000,183,FALSE)</f>
        <v>0</v>
      </c>
      <c r="M11" s="33">
        <f>VLOOKUP(A1,DIV_02Data!$A$1:$DZU$1000000,184,FALSE)</f>
        <v>0</v>
      </c>
      <c r="N11" s="34">
        <f>VLOOKUP(A1,DIV_02Data!$A$1:$DZU$1000000,185,FALSE)</f>
        <v>0</v>
      </c>
      <c r="O11" s="35">
        <f>VLOOKUP(A1,DIV_02Data!$A$1:$DZU$1000000,186,FALSE)</f>
        <v>0</v>
      </c>
      <c r="P11" s="31">
        <f>VLOOKUP(A1,DIV_02Data!$A$1:$DZU$1000000,187,FALSE)</f>
        <v>0</v>
      </c>
      <c r="Q11" s="35">
        <f>VLOOKUP(A1,DIV_02Data!$A$1:$DZU$1000000,188,FALSE)</f>
        <v>0</v>
      </c>
    </row>
    <row r="12" spans="1:17" x14ac:dyDescent="0.35">
      <c r="A12" s="22">
        <f>VLOOKUP(A1,DIV_02Data!$A$1:$DZU$1000000,189,FALSE)</f>
        <v>0</v>
      </c>
      <c r="B12" s="29">
        <f>VLOOKUP(A1,DIV_02Data!$A$1:$DZU$1000000,190,FALSE)</f>
        <v>0</v>
      </c>
      <c r="C12" s="30">
        <f>VLOOKUP(A1,DIV_02Data!$A$1:$DZU$1000000,191,FALSE)</f>
        <v>0</v>
      </c>
      <c r="D12" s="31">
        <f>VLOOKUP(A1,DIV_02Data!$A$1:$DZU$1000000,192,FALSE)</f>
        <v>0</v>
      </c>
      <c r="E12" s="32">
        <f>VLOOKUP(A1,DIV_02Data!$A$1:$DZU$1000000,193,FALSE)</f>
        <v>0</v>
      </c>
      <c r="F12" s="34">
        <f>VLOOKUP(A1,DIV_02Data!$A$1:$DZU$1000000,194,FALSE)</f>
        <v>0</v>
      </c>
      <c r="G12" s="33">
        <f>VLOOKUP(A1,DIV_02Data!$A$1:$DZU$1000000,195,FALSE)</f>
        <v>0</v>
      </c>
      <c r="H12" s="34">
        <f>VLOOKUP(A1,DIV_02Data!$A$1:$DZU$1000000,196,FALSE)</f>
        <v>0</v>
      </c>
      <c r="I12" s="33">
        <f>VLOOKUP(A1,DIV_02Data!$A$1:$DZU$1000000,197,FALSE)</f>
        <v>0</v>
      </c>
      <c r="J12" s="34">
        <f>VLOOKUP(A1,DIV_02Data!$A$1:$DZU$1000000,198,FALSE)</f>
        <v>0</v>
      </c>
      <c r="K12" s="34">
        <f>VLOOKUP(A1,DIV_02Data!$A$1:$DZU$1000000,199,FALSE)</f>
        <v>0</v>
      </c>
      <c r="L12" s="34">
        <f>VLOOKUP(A1,DIV_02Data!$A$1:$DZU$1000000,200,FALSE)</f>
        <v>0</v>
      </c>
      <c r="M12" s="33">
        <f>VLOOKUP(A1,DIV_02Data!$A$1:$DZU$1000000,201,FALSE)</f>
        <v>0</v>
      </c>
      <c r="N12" s="34">
        <f>VLOOKUP(A1,DIV_02Data!$A$1:$DZU$1000000,202,FALSE)</f>
        <v>0</v>
      </c>
      <c r="O12" s="35">
        <f>VLOOKUP(A1,DIV_02Data!$A$1:$DZU$1000000,203,FALSE)</f>
        <v>0</v>
      </c>
      <c r="P12" s="31">
        <f>VLOOKUP(A1,DIV_02Data!$A$1:$DZU$1000000,204,FALSE)</f>
        <v>0</v>
      </c>
      <c r="Q12" s="35">
        <f>VLOOKUP(A1,DIV_02Data!$A$1:$DZU$1000000,205,FALSE)</f>
        <v>0</v>
      </c>
    </row>
    <row r="13" spans="1:17" x14ac:dyDescent="0.35">
      <c r="A13" s="22">
        <f>VLOOKUP(A1,DIV_02Data!$A$1:$DZU$1000000,206,FALSE)</f>
        <v>0</v>
      </c>
      <c r="B13" s="37">
        <f>VLOOKUP(A1,DIV_02Data!$A$1:$DZU$1000000,207,FALSE)</f>
        <v>0</v>
      </c>
      <c r="C13" s="38">
        <f>VLOOKUP(A1,DIV_02Data!$A$1:$DZU$1000000,208,FALSE)</f>
        <v>0</v>
      </c>
      <c r="D13" s="31">
        <f>VLOOKUP(A1,DIV_02Data!$A$1:$DZU$1000000,209,FALSE)</f>
        <v>0</v>
      </c>
      <c r="E13" s="32">
        <f>VLOOKUP(A1,DIV_02Data!$A$1:$DZU$1000000,210,FALSE)</f>
        <v>0</v>
      </c>
      <c r="F13" s="93">
        <f>VLOOKUP(A1,DIV_02Data!$A$1:$DZU$1000000,211,FALSE)</f>
        <v>0</v>
      </c>
      <c r="G13" s="33">
        <f>VLOOKUP(A1,DIV_02Data!$A$1:$DZU$1000000,212,FALSE)</f>
        <v>0</v>
      </c>
      <c r="H13" s="93">
        <f>VLOOKUP(A1,DIV_02Data!$A$1:$DZU$1000000,213,FALSE)</f>
        <v>0</v>
      </c>
      <c r="I13" s="33">
        <f>VLOOKUP(A1,DIV_02Data!$A$1:$DZU$1000000,214,FALSE)</f>
        <v>0</v>
      </c>
      <c r="J13" s="34">
        <f>VLOOKUP(A1,DIV_02Data!$A$1:$DZU$1000000,215,FALSE)</f>
        <v>0</v>
      </c>
      <c r="K13" s="34">
        <f>VLOOKUP(A1,DIV_02Data!$A$1:$DZU$1000000,216,FALSE)</f>
        <v>0</v>
      </c>
      <c r="L13" s="93">
        <f>VLOOKUP(A1,DIV_02Data!$A$1:$DZU$1000000,217,FALSE)</f>
        <v>0</v>
      </c>
      <c r="M13" s="33">
        <f>VLOOKUP(A1,DIV_02Data!$A$1:$DZU$1000000,218,FALSE)</f>
        <v>0</v>
      </c>
      <c r="N13" s="93">
        <f>VLOOKUP(A1,DIV_02Data!$A$1:$DZU$1000000,219,FALSE)</f>
        <v>0</v>
      </c>
      <c r="O13" s="33">
        <f>VLOOKUP(A1,DIV_02Data!$A$1:$DZU$1000000,220,FALSE)</f>
        <v>0</v>
      </c>
      <c r="P13" s="46">
        <f>VLOOKUP(A1,DIV_02Data!$A$1:$DZU$1000000,221,FALSE)</f>
        <v>0</v>
      </c>
      <c r="Q13" s="33">
        <f>VLOOKUP(A1,DIV_02Data!$A$1:$DZU$1000000,222,FALSE)</f>
        <v>0</v>
      </c>
    </row>
    <row r="14" spans="1:17" x14ac:dyDescent="0.35">
      <c r="A14" s="22">
        <f>VLOOKUP(A1,DIV_02Data!$A$1:$DZU$1000000,223,FALSE)</f>
        <v>0</v>
      </c>
      <c r="B14" s="37">
        <f>VLOOKUP(A1,DIV_02Data!$A$1:$DZU$1000000,224,FALSE)</f>
        <v>0</v>
      </c>
      <c r="C14" s="38">
        <f>VLOOKUP(A1,DIV_02Data!$A$1:$DZU$1000000,225,FALSE)</f>
        <v>0</v>
      </c>
      <c r="D14" s="31">
        <f>VLOOKUP(A1,DIV_02Data!$A$1:$DZU$1000000,226,FALSE)</f>
        <v>0</v>
      </c>
      <c r="E14" s="32">
        <f>VLOOKUP(A1,DIV_02Data!$A$1:$DZU$1000000,227,FALSE)</f>
        <v>0</v>
      </c>
      <c r="F14" s="34">
        <f>VLOOKUP(A1,DIV_02Data!$A$1:$DZU$1000000,228,FALSE)</f>
        <v>0</v>
      </c>
      <c r="G14" s="33">
        <f>VLOOKUP(A1,DIV_02Data!$A$1:$DZU$1000000,229,FALSE)</f>
        <v>0</v>
      </c>
      <c r="H14" s="34">
        <f>VLOOKUP(A1,DIV_02Data!$A$1:$DZU$1000000,230,FALSE)</f>
        <v>0</v>
      </c>
      <c r="I14" s="33">
        <f>VLOOKUP(A1,DIV_02Data!$A$1:$DZU$1000000,231,FALSE)</f>
        <v>0</v>
      </c>
      <c r="J14" s="34">
        <f>VLOOKUP(A1,DIV_02Data!$A$1:$DZU$1000000,232,FALSE)</f>
        <v>0</v>
      </c>
      <c r="K14" s="34">
        <f>VLOOKUP(A1,DIV_02Data!$A$1:$DZU$1000000,233,FALSE)</f>
        <v>0</v>
      </c>
      <c r="L14" s="34">
        <f>VLOOKUP(A1,DIV_02Data!$A$1:$DZU$1000000,234,FALSE)</f>
        <v>0</v>
      </c>
      <c r="M14" s="33">
        <f>VLOOKUP(A1,DIV_02Data!$A$1:$DZU$1000000,235,FALSE)</f>
        <v>0</v>
      </c>
      <c r="N14" s="34">
        <f>VLOOKUP(A1,DIV_02Data!$A$1:$DZU$1000000,236,FALSE)</f>
        <v>0</v>
      </c>
      <c r="O14" s="33">
        <f>VLOOKUP(A1,DIV_02Data!$A$1:$DZU$1000000,237,FALSE)</f>
        <v>0</v>
      </c>
      <c r="P14" s="46">
        <f>VLOOKUP(A1,DIV_02Data!$A$1:$DZU$1000000,238,FALSE)</f>
        <v>0</v>
      </c>
      <c r="Q14" s="33">
        <f>VLOOKUP(A1,DIV_02Data!$A$1:$DZU$1000000,239,FALSE)</f>
        <v>0</v>
      </c>
    </row>
    <row r="15" spans="1:17" x14ac:dyDescent="0.35">
      <c r="A15" s="22">
        <f>VLOOKUP(A1,DIV_02Data!$A$1:$DZU$1000000,240,FALSE)</f>
        <v>0</v>
      </c>
      <c r="B15" s="37">
        <f>VLOOKUP(A1,DIV_02Data!$A$1:$DZU$1000000,241,FALSE)</f>
        <v>0</v>
      </c>
      <c r="C15" s="38">
        <f>VLOOKUP(A1,DIV_02Data!$A$1:$DZU$1000000,242,FALSE)</f>
        <v>0</v>
      </c>
      <c r="D15" s="31">
        <f>VLOOKUP(A1,DIV_02Data!$A$1:$DZU$1000000,243,FALSE)</f>
        <v>0</v>
      </c>
      <c r="E15" s="32">
        <f>VLOOKUP(A1,DIV_02Data!$A$1:$DZU$1000000,244,FALSE)</f>
        <v>0</v>
      </c>
      <c r="F15" s="34">
        <f>VLOOKUP(A1,DIV_02Data!$A$1:$DZU$1000000,245,FALSE)</f>
        <v>0</v>
      </c>
      <c r="G15" s="33">
        <f>VLOOKUP(A1,DIV_02Data!$A$1:$DZU$1000000,246,FALSE)</f>
        <v>0</v>
      </c>
      <c r="H15" s="34">
        <f>VLOOKUP(A1,DIV_02Data!$A$1:$DZU$1000000,247,FALSE)</f>
        <v>0</v>
      </c>
      <c r="I15" s="33">
        <f>VLOOKUP(A1,DIV_02Data!$A$1:$DZU$1000000,248,FALSE)</f>
        <v>0</v>
      </c>
      <c r="J15" s="34">
        <f>VLOOKUP(A1,DIV_02Data!$A$1:$DZU$1000000,249,FALSE)</f>
        <v>0</v>
      </c>
      <c r="K15" s="34">
        <f>VLOOKUP(A1,DIV_02Data!$A$1:$DZU$1000000,250,FALSE)</f>
        <v>0</v>
      </c>
      <c r="L15" s="34">
        <f>VLOOKUP(A1,DIV_02Data!$A$1:$DZU$1000000,251,FALSE)</f>
        <v>0</v>
      </c>
      <c r="M15" s="33">
        <f>VLOOKUP(A1,DIV_02Data!$A$1:$DZU$1000000,252,FALSE)</f>
        <v>0</v>
      </c>
      <c r="N15" s="34">
        <f>VLOOKUP(A1,DIV_02Data!$A$1:$DZU$1000000,253,FALSE)</f>
        <v>0</v>
      </c>
      <c r="O15" s="33">
        <f>VLOOKUP(A1,DIV_02Data!$A$1:$DZU$1000000,254,FALSE)</f>
        <v>0</v>
      </c>
      <c r="P15" s="31">
        <f>VLOOKUP(A1,DIV_02Data!$A$1:$DZU$1000000,255,FALSE)</f>
        <v>0</v>
      </c>
      <c r="Q15" s="33">
        <f>VLOOKUP(A1,DIV_02Data!$A$1:$DZU$1000000,256,FALSE)</f>
        <v>0</v>
      </c>
    </row>
    <row r="16" spans="1:17" x14ac:dyDescent="0.35">
      <c r="A16" s="22">
        <f>VLOOKUP(A1,DIV_02Data!$A$1:$DZU$1000000,257,FALSE)</f>
        <v>0</v>
      </c>
      <c r="B16" s="37">
        <f>VLOOKUP(A1,DIV_02Data!$A$1:$DZU$1000000,258,FALSE)</f>
        <v>0</v>
      </c>
      <c r="C16" s="38">
        <f>VLOOKUP(A1,DIV_02Data!$A$1:$DZU$1000000,259,FALSE)</f>
        <v>0</v>
      </c>
      <c r="D16" s="31">
        <f>VLOOKUP(A1,DIV_02Data!$A$1:$DZU$1000000,260,FALSE)</f>
        <v>0</v>
      </c>
      <c r="E16" s="32">
        <f>VLOOKUP(A1,DIV_02Data!$A$1:$DZU$1000000,261,FALSE)</f>
        <v>0</v>
      </c>
      <c r="F16" s="34">
        <f>VLOOKUP(A1,DIV_02Data!$A$1:$DZU$1000000,262,FALSE)</f>
        <v>0</v>
      </c>
      <c r="G16" s="33">
        <f>VLOOKUP(A1,DIV_02Data!$A$1:$DZU$1000000,263,FALSE)</f>
        <v>0</v>
      </c>
      <c r="H16" s="34">
        <f>VLOOKUP(A1,DIV_02Data!$A$1:$DZU$1000000,264,FALSE)</f>
        <v>0</v>
      </c>
      <c r="I16" s="33">
        <f>VLOOKUP(A1,DIV_02Data!$A$1:$DZU$1000000,265,FALSE)</f>
        <v>0</v>
      </c>
      <c r="J16" s="34">
        <f>VLOOKUP(A1,DIV_02Data!$A$1:$DZU$1000000,266,FALSE)</f>
        <v>0</v>
      </c>
      <c r="K16" s="34">
        <f>VLOOKUP(A1,DIV_02Data!$A$1:$DZU$1000000,267,FALSE)</f>
        <v>0</v>
      </c>
      <c r="L16" s="93">
        <f>VLOOKUP(A1,DIV_02Data!$A$1:$DZU$1000000,268,FALSE)</f>
        <v>0</v>
      </c>
      <c r="M16" s="33">
        <f>VLOOKUP(A1,DIV_02Data!$A$1:$DZU$1000000,269,FALSE)</f>
        <v>0</v>
      </c>
      <c r="N16" s="34">
        <f>VLOOKUP(A1,DIV_02Data!$A$1:$DZU$1000000,270,FALSE)</f>
        <v>0</v>
      </c>
      <c r="O16" s="33">
        <f>VLOOKUP(A1,DIV_02Data!$A$1:$DZU$1000000,271,FALSE)</f>
        <v>0</v>
      </c>
      <c r="P16" s="46">
        <f>VLOOKUP(A1,DIV_02Data!$A$1:$DZU$1000000,272,FALSE)</f>
        <v>0</v>
      </c>
      <c r="Q16" s="33">
        <f>VLOOKUP(A1,DIV_02Data!$A$1:$DZU$1000000,273,FALSE)</f>
        <v>0</v>
      </c>
    </row>
    <row r="17" spans="1:17" x14ac:dyDescent="0.35">
      <c r="A17" s="22">
        <f>VLOOKUP(A1,DIV_02Data!$A$1:$DZU$1000000,274,FALSE)</f>
        <v>0</v>
      </c>
      <c r="B17" s="37">
        <f>VLOOKUP(A1,DIV_02Data!$A$1:$DZU$1000000,275,FALSE)</f>
        <v>0</v>
      </c>
      <c r="C17" s="38">
        <f>VLOOKUP(A1,DIV_02Data!$A$1:$DZU$1000000,276,FALSE)</f>
        <v>0</v>
      </c>
      <c r="D17" s="31">
        <f>VLOOKUP(A1,DIV_02Data!$A$1:$DZU$1000000,277,FALSE)</f>
        <v>0</v>
      </c>
      <c r="E17" s="32">
        <f>VLOOKUP(A1,DIV_02Data!$A$1:$DZU$1000000,278,FALSE)</f>
        <v>0</v>
      </c>
      <c r="F17" s="34">
        <f>VLOOKUP(A1,DIV_02Data!$A$1:$DZU$1000000,279,FALSE)</f>
        <v>0</v>
      </c>
      <c r="G17" s="33">
        <f>VLOOKUP(A1,DIV_02Data!$A$1:$DZU$1000000,280,FALSE)</f>
        <v>0</v>
      </c>
      <c r="H17" s="34">
        <f>VLOOKUP(A1,DIV_02Data!$A$1:$DZU$1000000,281,FALSE)</f>
        <v>0</v>
      </c>
      <c r="I17" s="33">
        <f>VLOOKUP(A1,DIV_02Data!$A$1:$DZU$1000000,282,FALSE)</f>
        <v>0</v>
      </c>
      <c r="J17" s="34">
        <f>VLOOKUP(A1,DIV_02Data!$A$1:$DZU$1000000,283,FALSE)</f>
        <v>0</v>
      </c>
      <c r="K17" s="34">
        <f>VLOOKUP(A1,DIV_02Data!$A$1:$DZU$1000000,284,FALSE)</f>
        <v>0</v>
      </c>
      <c r="L17" s="93">
        <f>VLOOKUP(A1,DIV_02Data!$A$1:$DZU$1000000,285,FALSE)</f>
        <v>0</v>
      </c>
      <c r="M17" s="33">
        <f>VLOOKUP(A1,DIV_02Data!$A$1:$DZU$1000000,286,FALSE)</f>
        <v>0</v>
      </c>
      <c r="N17" s="34">
        <f>VLOOKUP(A1,DIV_02Data!$A$1:$DZU$1000000,287,FALSE)</f>
        <v>0</v>
      </c>
      <c r="O17" s="33">
        <f>VLOOKUP(A1,DIV_02Data!$A$1:$DZU$1000000,288,FALSE)</f>
        <v>0</v>
      </c>
      <c r="P17" s="46">
        <f>VLOOKUP(A1,DIV_02Data!$A$1:$DZU$1000000,289,FALSE)</f>
        <v>0</v>
      </c>
      <c r="Q17" s="33">
        <f>VLOOKUP(A1,DIV_02Data!$A$1:$DZU$1000000,290,FALSE)</f>
        <v>0</v>
      </c>
    </row>
    <row r="18" spans="1:17" x14ac:dyDescent="0.35">
      <c r="A18" s="22">
        <f>VLOOKUP(A1,DIV_02Data!$A$1:$DZU$1000000,291,FALSE)</f>
        <v>0</v>
      </c>
      <c r="B18" s="37">
        <f>VLOOKUP(A1,DIV_02Data!$A$1:$DZU$1000000,292,FALSE)</f>
        <v>0</v>
      </c>
      <c r="C18" s="38">
        <f>VLOOKUP(A1,DIV_02Data!$A$1:$DZU$1000000,293,FALSE)</f>
        <v>0</v>
      </c>
      <c r="D18" s="31">
        <f>VLOOKUP(A1,DIV_02Data!$A$1:$DZU$1000000,294,FALSE)</f>
        <v>0</v>
      </c>
      <c r="E18" s="32">
        <f>VLOOKUP(A1,DIV_02Data!$A$1:$DZU$1000000,295,FALSE)</f>
        <v>0</v>
      </c>
      <c r="F18" s="34">
        <f>VLOOKUP(A1,DIV_02Data!$A$1:$DZU$1000000,296,FALSE)</f>
        <v>0</v>
      </c>
      <c r="G18" s="33">
        <f>VLOOKUP(A1,DIV_02Data!$A$1:$DZU$1000000,297,FALSE)</f>
        <v>0</v>
      </c>
      <c r="H18" s="34">
        <f>VLOOKUP(A1,DIV_02Data!$A$1:$DZU$1000000,298,FALSE)</f>
        <v>0</v>
      </c>
      <c r="I18" s="33">
        <f>VLOOKUP(A1,DIV_02Data!$A$1:$DZU$1000000,299,FALSE)</f>
        <v>0</v>
      </c>
      <c r="J18" s="34">
        <f>VLOOKUP(A1,DIV_02Data!$A$1:$DZU$1000000,300,FALSE)</f>
        <v>0</v>
      </c>
      <c r="K18" s="34">
        <f>VLOOKUP(A1,DIV_02Data!$A$1:$DZU$1000000,301,FALSE)</f>
        <v>0</v>
      </c>
      <c r="L18" s="93">
        <f>VLOOKUP(A1,DIV_02Data!$A$1:$DZU$1000000,302,FALSE)</f>
        <v>0</v>
      </c>
      <c r="M18" s="33">
        <f>VLOOKUP(A1,DIV_02Data!$A$1:$DZU$1000000,303,FALSE)</f>
        <v>0</v>
      </c>
      <c r="N18" s="34">
        <f>VLOOKUP(A1,DIV_02Data!$A$1:$DZU$1000000,304,FALSE)</f>
        <v>0</v>
      </c>
      <c r="O18" s="33">
        <f>VLOOKUP(A1,DIV_02Data!$A$1:$DZU$1000000,305,FALSE)</f>
        <v>0</v>
      </c>
      <c r="P18" s="46">
        <f>VLOOKUP(A1,DIV_02Data!$A$1:$DZU$1000000,306,FALSE)</f>
        <v>0</v>
      </c>
      <c r="Q18" s="33">
        <f>VLOOKUP(A1,DIV_02Data!$A$1:$DZU$1000000,307,FALSE)</f>
        <v>0</v>
      </c>
    </row>
    <row r="19" spans="1:17" x14ac:dyDescent="0.35">
      <c r="A19" s="22">
        <f>VLOOKUP(A1,DIV_02Data!$A$1:$DZU$1000000,308,FALSE)</f>
        <v>0</v>
      </c>
      <c r="B19" s="37">
        <f>VLOOKUP(A1,DIV_02Data!$A$1:$DZU$1000000,309,FALSE)</f>
        <v>0</v>
      </c>
      <c r="C19" s="38">
        <f>VLOOKUP(A1,DIV_02Data!$A$1:$DZU$1000000,310,FALSE)</f>
        <v>0</v>
      </c>
      <c r="D19" s="31">
        <f>VLOOKUP(A1,DIV_02Data!$A$1:$DZU$1000000,311,FALSE)</f>
        <v>0</v>
      </c>
      <c r="E19" s="32">
        <f>VLOOKUP(A1,DIV_02Data!$A$1:$DZU$1000000,312,FALSE)</f>
        <v>0</v>
      </c>
      <c r="F19" s="34">
        <f>VLOOKUP(A1,DIV_02Data!$A$1:$DZU$1000000,313,FALSE)</f>
        <v>0</v>
      </c>
      <c r="G19" s="33">
        <f>VLOOKUP(A1,DIV_02Data!$A$1:$DZU$1000000,314,FALSE)</f>
        <v>0</v>
      </c>
      <c r="H19" s="34">
        <f>VLOOKUP(A1,DIV_02Data!$A$1:$DZU$1000000,315,FALSE)</f>
        <v>0</v>
      </c>
      <c r="I19" s="33">
        <f>VLOOKUP(A1,DIV_02Data!$A$1:$DZU$1000000,316,FALSE)</f>
        <v>0</v>
      </c>
      <c r="J19" s="34">
        <f>VLOOKUP(A1,DIV_02Data!$A$1:$DZU$1000000,317,FALSE)</f>
        <v>0</v>
      </c>
      <c r="K19" s="34">
        <f>VLOOKUP(A1,DIV_02Data!$A$1:$DZU$1000000,318,FALSE)</f>
        <v>0</v>
      </c>
      <c r="L19" s="93">
        <f>VLOOKUP(A1,DIV_02Data!$A$1:$DZU$1000000,319,FALSE)</f>
        <v>0</v>
      </c>
      <c r="M19" s="33">
        <f>VLOOKUP(A1,DIV_02Data!$A$1:$DZU$1000000,320,FALSE)</f>
        <v>0</v>
      </c>
      <c r="N19" s="34">
        <f>VLOOKUP(A1,DIV_02Data!$A$1:$DZU$1000000,321,FALSE)</f>
        <v>0</v>
      </c>
      <c r="O19" s="33">
        <f>VLOOKUP(A1,DIV_02Data!$A$1:$DZU$1000000,322,FALSE)</f>
        <v>0</v>
      </c>
      <c r="P19" s="46">
        <f>VLOOKUP(A1,DIV_02Data!$A$1:$DZU$1000000,323,FALSE)</f>
        <v>0</v>
      </c>
      <c r="Q19" s="33">
        <f>VLOOKUP(A1,DIV_02Data!$A$1:$DZU$1000000,324,FALSE)</f>
        <v>0</v>
      </c>
    </row>
    <row r="20" spans="1:17" x14ac:dyDescent="0.35">
      <c r="A20" s="22">
        <f>VLOOKUP(A1,DIV_02Data!$A$1:$DZU$1000000,325,FALSE)</f>
        <v>0</v>
      </c>
      <c r="B20" s="37">
        <f>VLOOKUP(A1,DIV_02Data!$A$1:$DZU$1000000,326,FALSE)</f>
        <v>0</v>
      </c>
      <c r="C20" s="38">
        <f>VLOOKUP(A1,DIV_02Data!$A$1:$DZU$1000000,327,FALSE)</f>
        <v>0</v>
      </c>
      <c r="D20" s="31">
        <f>VLOOKUP(A1,DIV_02Data!$A$1:$DZU$1000000,328,FALSE)</f>
        <v>0</v>
      </c>
      <c r="E20" s="32">
        <f>VLOOKUP(A1,DIV_02Data!$A$1:$DZU$1000000,329,FALSE)</f>
        <v>0</v>
      </c>
      <c r="F20" s="34">
        <f>VLOOKUP(A1,DIV_02Data!$A$1:$DZU$1000000,330,FALSE)</f>
        <v>0</v>
      </c>
      <c r="G20" s="33">
        <f>VLOOKUP(A1,DIV_02Data!$A$1:$DZU$1000000,331,FALSE)</f>
        <v>0</v>
      </c>
      <c r="H20" s="34">
        <f>VLOOKUP(A1,DIV_02Data!$A$1:$DZU$1000000,332,FALSE)</f>
        <v>0</v>
      </c>
      <c r="I20" s="33">
        <f>VLOOKUP(A1,DIV_02Data!$A$1:$DZU$1000000,333,FALSE)</f>
        <v>0</v>
      </c>
      <c r="J20" s="34">
        <f>VLOOKUP(A1,DIV_02Data!$A$1:$DZU$1000000,334,FALSE)</f>
        <v>0</v>
      </c>
      <c r="K20" s="34">
        <f>VLOOKUP(A1,DIV_02Data!$A$1:$DZU$1000000,335,FALSE)</f>
        <v>0</v>
      </c>
      <c r="L20" s="93">
        <f>VLOOKUP(A1,DIV_02Data!$A$1:$DZU$1000000,336,FALSE)</f>
        <v>0</v>
      </c>
      <c r="M20" s="33">
        <f>VLOOKUP(A1,DIV_02Data!$A$1:$DZU$1000000,337,FALSE)</f>
        <v>0</v>
      </c>
      <c r="N20" s="34">
        <f>VLOOKUP(A1,DIV_02Data!$A$1:$DZU$1000000,338,FALSE)</f>
        <v>0</v>
      </c>
      <c r="O20" s="33">
        <f>VLOOKUP(A1,DIV_02Data!$A$1:$DZU$1000000,339,FALSE)</f>
        <v>0</v>
      </c>
      <c r="P20" s="46">
        <f>VLOOKUP(A1,DIV_02Data!$A$1:$DZU$1000000,340,FALSE)</f>
        <v>0</v>
      </c>
      <c r="Q20" s="33">
        <f>VLOOKUP(A1,DIV_02Data!$A$1:$DZU$1000000,341,FALSE)</f>
        <v>0</v>
      </c>
    </row>
    <row r="21" spans="1:17" x14ac:dyDescent="0.35">
      <c r="A21" s="22">
        <f>VLOOKUP(A1,DIV_02Data!$A$1:$DZU$1000000,342,FALSE)</f>
        <v>0</v>
      </c>
      <c r="B21" s="37">
        <f>VLOOKUP(A1,DIV_02Data!$A$1:$DZU$1000000,343,FALSE)</f>
        <v>0</v>
      </c>
      <c r="C21" s="38">
        <f>VLOOKUP(A1,DIV_02Data!$A$1:$DZU$1000000,344,FALSE)</f>
        <v>0</v>
      </c>
      <c r="D21" s="31">
        <f>VLOOKUP(A1,DIV_02Data!$A$1:$DZU$1000000,345,FALSE)</f>
        <v>0</v>
      </c>
      <c r="E21" s="32">
        <f>VLOOKUP(A1,DIV_02Data!$A$1:$DZU$1000000,346,FALSE)</f>
        <v>0</v>
      </c>
      <c r="F21" s="34">
        <f>VLOOKUP(A1,DIV_02Data!$A$1:$DZU$1000000,347,FALSE)</f>
        <v>0</v>
      </c>
      <c r="G21" s="33">
        <f>VLOOKUP(A1,DIV_02Data!$A$1:$DZU$1000000,348,FALSE)</f>
        <v>0</v>
      </c>
      <c r="H21" s="34">
        <f>VLOOKUP(A1,DIV_02Data!$A$1:$DZU$1000000,349,FALSE)</f>
        <v>0</v>
      </c>
      <c r="I21" s="33">
        <f>VLOOKUP(A1,DIV_02Data!$A$1:$DZU$1000000,350,FALSE)</f>
        <v>0</v>
      </c>
      <c r="J21" s="34">
        <f>VLOOKUP(A1,DIV_02Data!$A$1:$DZU$1000000,351,FALSE)</f>
        <v>0</v>
      </c>
      <c r="K21" s="34">
        <f>VLOOKUP(A1,DIV_02Data!$A$1:$DZU$1000000,352,FALSE)</f>
        <v>0</v>
      </c>
      <c r="L21" s="93">
        <f>VLOOKUP(A1,DIV_02Data!$A$1:$DZU$1000000,353,FALSE)</f>
        <v>0</v>
      </c>
      <c r="M21" s="33">
        <f>VLOOKUP(A1,DIV_02Data!$A$1:$DZU$1000000,354,FALSE)</f>
        <v>0</v>
      </c>
      <c r="N21" s="34">
        <f>VLOOKUP(A1,DIV_02Data!$A$1:$DZU$1000000,355,FALSE)</f>
        <v>0</v>
      </c>
      <c r="O21" s="33">
        <f>VLOOKUP(A1,DIV_02Data!$A$1:$DZU$1000000,356,FALSE)</f>
        <v>0</v>
      </c>
      <c r="P21" s="46">
        <f>VLOOKUP(A1,DIV_02Data!$A$1:$DZU$1000000,357,FALSE)</f>
        <v>0</v>
      </c>
      <c r="Q21" s="33">
        <f>VLOOKUP(A1,DIV_02Data!$A$1:$DZU$1000000,358,FALSE)</f>
        <v>0</v>
      </c>
    </row>
    <row r="22" spans="1:17" x14ac:dyDescent="0.35">
      <c r="A22" s="22">
        <f>VLOOKUP(A1,DIV_02Data!$A$1:$DZU$1000000,359,FALSE)</f>
        <v>0</v>
      </c>
      <c r="B22" s="37">
        <f>VLOOKUP(A1,DIV_02Data!$A$1:$DZU$1000000,360,FALSE)</f>
        <v>0</v>
      </c>
      <c r="C22" s="38">
        <f>VLOOKUP(A1,DIV_02Data!$A$1:$DZU$1000000,361,FALSE)</f>
        <v>0</v>
      </c>
      <c r="D22" s="31">
        <f>VLOOKUP(A1,DIV_02Data!$A$1:$DZU$1000000,362,FALSE)</f>
        <v>0</v>
      </c>
      <c r="E22" s="32">
        <f>VLOOKUP(A1,DIV_02Data!$A$1:$DZU$1000000,363,FALSE)</f>
        <v>0</v>
      </c>
      <c r="F22" s="34">
        <f>VLOOKUP(A1,DIV_02Data!$A$1:$DZU$1000000,364,FALSE)</f>
        <v>0</v>
      </c>
      <c r="G22" s="33">
        <f>VLOOKUP(A1,DIV_02Data!$A$1:$DZU$1000000,365,FALSE)</f>
        <v>0</v>
      </c>
      <c r="H22" s="34">
        <f>VLOOKUP(A1,DIV_02Data!$A$1:$DZU$1000000,366,FALSE)</f>
        <v>0</v>
      </c>
      <c r="I22" s="33">
        <f>VLOOKUP(A1,DIV_02Data!$A$1:$DZU$1000000,367,FALSE)</f>
        <v>0</v>
      </c>
      <c r="J22" s="34">
        <f>VLOOKUP(A1,DIV_02Data!$A$1:$DZU$1000000,368,FALSE)</f>
        <v>0</v>
      </c>
      <c r="K22" s="34">
        <f>VLOOKUP(A1,DIV_02Data!$A$1:$DZU$1000000,369,FALSE)</f>
        <v>0</v>
      </c>
      <c r="L22" s="93">
        <f>VLOOKUP(A1,DIV_02Data!$A$1:$DZU$1000000,370,FALSE)</f>
        <v>0</v>
      </c>
      <c r="M22" s="33">
        <f>VLOOKUP(A1,DIV_02Data!$A$1:$DZU$1000000,371,FALSE)</f>
        <v>0</v>
      </c>
      <c r="N22" s="34">
        <f>VLOOKUP(A1,DIV_02Data!$A$1:$DZU$1000000,372,FALSE)</f>
        <v>0</v>
      </c>
      <c r="O22" s="33">
        <f>VLOOKUP(A1,DIV_02Data!$A$1:$DZU$1000000,373,FALSE)</f>
        <v>0</v>
      </c>
      <c r="P22" s="46">
        <f>VLOOKUP(A1,DIV_02Data!$A$1:$DZU$1000000,374,FALSE)</f>
        <v>0</v>
      </c>
      <c r="Q22" s="33">
        <f>VLOOKUP(A1,DIV_02Data!$A$1:$DZU$1000000,375,FALSE)</f>
        <v>0</v>
      </c>
    </row>
    <row r="23" spans="1:17" x14ac:dyDescent="0.35">
      <c r="A23" s="22">
        <f>VLOOKUP(A1,DIV_02Data!$A$1:$DZU$1000000,376,FALSE)</f>
        <v>0</v>
      </c>
      <c r="B23" s="37">
        <f>VLOOKUP(A1,DIV_02Data!$A$1:$DZU$1000000,377,FALSE)</f>
        <v>0</v>
      </c>
      <c r="C23" s="38">
        <f>VLOOKUP(A1,DIV_02Data!$A$1:$DZU$1000000,378,FALSE)</f>
        <v>0</v>
      </c>
      <c r="D23" s="31">
        <f>VLOOKUP(A1,DIV_02Data!$A$1:$DZU$1000000,379,FALSE)</f>
        <v>0</v>
      </c>
      <c r="E23" s="32">
        <f>VLOOKUP(A1,DIV_02Data!$A$1:$DZU$1000000,380,FALSE)</f>
        <v>0</v>
      </c>
      <c r="F23" s="34">
        <f>VLOOKUP(A1,DIV_02Data!$A$1:$DZU$1000000,381,FALSE)</f>
        <v>0</v>
      </c>
      <c r="G23" s="33">
        <f>VLOOKUP(A1,DIV_02Data!$A$1:$DZU$1000000,382,FALSE)</f>
        <v>0</v>
      </c>
      <c r="H23" s="34">
        <f>VLOOKUP(A1,DIV_02Data!$A$1:$DZU$1000000,383,FALSE)</f>
        <v>0</v>
      </c>
      <c r="I23" s="33">
        <f>VLOOKUP(A1,DIV_02Data!$A$1:$DZU$1000000,384,FALSE)</f>
        <v>0</v>
      </c>
      <c r="J23" s="34">
        <f>VLOOKUP(A1,DIV_02Data!$A$1:$DZU$1000000,385,FALSE)</f>
        <v>0</v>
      </c>
      <c r="K23" s="34">
        <f>VLOOKUP(A1,DIV_02Data!$A$1:$DZU$1000000,386,FALSE)</f>
        <v>0</v>
      </c>
      <c r="L23" s="93">
        <f>VLOOKUP(A1,DIV_02Data!$A$1:$DZU$1000000,387,FALSE)</f>
        <v>0</v>
      </c>
      <c r="M23" s="33">
        <f>VLOOKUP(A1,DIV_02Data!$A$1:$DZU$1000000,388,FALSE)</f>
        <v>0</v>
      </c>
      <c r="N23" s="34">
        <f>VLOOKUP(A1,DIV_02Data!$A$1:$DZU$1000000,389,FALSE)</f>
        <v>0</v>
      </c>
      <c r="O23" s="33">
        <f>VLOOKUP(A1,DIV_02Data!$A$1:$DZU$1000000,390,FALSE)</f>
        <v>0</v>
      </c>
      <c r="P23" s="46">
        <f>VLOOKUP(A1,DIV_02Data!$A$1:$DZU$1000000,391,FALSE)</f>
        <v>0</v>
      </c>
      <c r="Q23" s="33">
        <f>VLOOKUP(A1,DIV_02Data!$A$1:$DZU$1000000,392,FALSE)</f>
        <v>0</v>
      </c>
    </row>
    <row r="24" spans="1:17" x14ac:dyDescent="0.35">
      <c r="A24" s="22">
        <f>VLOOKUP(A1,DIV_02Data!$A$1:$DZU$1000000,393,FALSE)</f>
        <v>0</v>
      </c>
      <c r="B24" s="37">
        <f>VLOOKUP(A1,DIV_02Data!$A$1:$DZU$1000000,394,FALSE)</f>
        <v>0</v>
      </c>
      <c r="C24" s="38">
        <f>VLOOKUP(A1,DIV_02Data!$A$1:$DZU$1000000,395,FALSE)</f>
        <v>0</v>
      </c>
      <c r="D24" s="31">
        <f>VLOOKUP(A1,DIV_02Data!$A$1:$DZU$1000000,396,FALSE)</f>
        <v>0</v>
      </c>
      <c r="E24" s="32">
        <f>VLOOKUP(A1,DIV_02Data!$A$1:$DZU$1000000,397,FALSE)</f>
        <v>0</v>
      </c>
      <c r="F24" s="34">
        <f>VLOOKUP(A1,DIV_02Data!$A$1:$DZU$1000000,398,FALSE)</f>
        <v>0</v>
      </c>
      <c r="G24" s="33">
        <f>VLOOKUP(A1,DIV_02Data!$A$1:$DZU$1000000,399,FALSE)</f>
        <v>0</v>
      </c>
      <c r="H24" s="34">
        <f>VLOOKUP(A1,DIV_02Data!$A$1:$DZU$1000000,400,FALSE)</f>
        <v>0</v>
      </c>
      <c r="I24" s="33">
        <f>VLOOKUP(A1,DIV_02Data!$A$1:$DZU$1000000,401,FALSE)</f>
        <v>0</v>
      </c>
      <c r="J24" s="34">
        <f>VLOOKUP(A1,DIV_02Data!$A$1:$DZU$1000000,402,FALSE)</f>
        <v>0</v>
      </c>
      <c r="K24" s="34">
        <f>VLOOKUP(A1,DIV_02Data!$A$1:$DZU$1000000,403,FALSE)</f>
        <v>0</v>
      </c>
      <c r="L24" s="93">
        <f>VLOOKUP(A1,DIV_02Data!$A$1:$DZU$1000000,404,FALSE)</f>
        <v>0</v>
      </c>
      <c r="M24" s="33">
        <f>VLOOKUP(A1,DIV_02Data!$A$1:$DZU$1000000,405,FALSE)</f>
        <v>0</v>
      </c>
      <c r="N24" s="34">
        <f>VLOOKUP(A1,DIV_02Data!$A$1:$DZU$1000000,406,FALSE)</f>
        <v>0</v>
      </c>
      <c r="O24" s="33">
        <f>VLOOKUP(A1,DIV_02Data!$A$1:$DZU$1000000,407,FALSE)</f>
        <v>0</v>
      </c>
      <c r="P24" s="46">
        <f>VLOOKUP(A1,DIV_02Data!$A$1:$DZU$1000000,408,FALSE)</f>
        <v>0</v>
      </c>
      <c r="Q24" s="33">
        <f>VLOOKUP(A1,DIV_02Data!$A$1:$DZU$1000000,409,FALSE)</f>
        <v>0</v>
      </c>
    </row>
    <row r="25" spans="1:17" x14ac:dyDescent="0.35">
      <c r="A25" s="22">
        <f>VLOOKUP(A1,DIV_02Data!$A$1:$DZU$1000000,410,FALSE)</f>
        <v>0</v>
      </c>
      <c r="B25" s="37">
        <f>VLOOKUP(A1,DIV_02Data!$A$1:$DZU$1000000,411,FALSE)</f>
        <v>0</v>
      </c>
      <c r="C25" s="38">
        <f>VLOOKUP(A1,DIV_02Data!$A$1:$DZU$1000000,412,FALSE)</f>
        <v>0</v>
      </c>
      <c r="D25" s="31">
        <f>VLOOKUP(A1,DIV_02Data!$A$1:$DZU$1000000,413,FALSE)</f>
        <v>0</v>
      </c>
      <c r="E25" s="32">
        <f>VLOOKUP(A1,DIV_02Data!$A$1:$DZU$1000000,414,FALSE)</f>
        <v>0</v>
      </c>
      <c r="F25" s="34">
        <f>VLOOKUP(A1,DIV_02Data!$A$1:$DZU$1000000,415,FALSE)</f>
        <v>0</v>
      </c>
      <c r="G25" s="33">
        <f>VLOOKUP(A1,DIV_02Data!$A$1:$DZU$1000000,416,FALSE)</f>
        <v>0</v>
      </c>
      <c r="H25" s="34">
        <f>VLOOKUP(A1,DIV_02Data!$A$1:$DZU$1000000,417,FALSE)</f>
        <v>0</v>
      </c>
      <c r="I25" s="33">
        <f>VLOOKUP(A1,DIV_02Data!$A$1:$DZU$1000000,418,FALSE)</f>
        <v>0</v>
      </c>
      <c r="J25" s="34">
        <f>VLOOKUP(A1,DIV_02Data!$A$1:$DZU$1000000,419,FALSE)</f>
        <v>0</v>
      </c>
      <c r="K25" s="34">
        <f>VLOOKUP(A1,DIV_02Data!$A$1:$DZU$1000000,420,FALSE)</f>
        <v>0</v>
      </c>
      <c r="L25" s="93">
        <f>VLOOKUP(A1,DIV_02Data!$A$1:$DZU$1000000,421,FALSE)</f>
        <v>0</v>
      </c>
      <c r="M25" s="33">
        <f>VLOOKUP(A1,DIV_02Data!$A$1:$DZU$1000000,422,FALSE)</f>
        <v>0</v>
      </c>
      <c r="N25" s="34">
        <f>VLOOKUP(A1,DIV_02Data!$A$1:$DZU$1000000,423,FALSE)</f>
        <v>0</v>
      </c>
      <c r="O25" s="33">
        <f>VLOOKUP(A1,DIV_02Data!$A$1:$DZU$1000000,424,FALSE)</f>
        <v>0</v>
      </c>
      <c r="P25" s="46">
        <f>VLOOKUP(A1,DIV_02Data!$A$1:$DZU$1000000,425,FALSE)</f>
        <v>0</v>
      </c>
      <c r="Q25" s="33">
        <f>VLOOKUP(A1,DIV_02Data!$A$1:$DZU$1000000,426,FALSE)</f>
        <v>0</v>
      </c>
    </row>
    <row r="26" spans="1:17" x14ac:dyDescent="0.35">
      <c r="A26" s="22">
        <f>VLOOKUP(A1,DIV_02Data!$A$1:$DZU$1000000,427,FALSE)</f>
        <v>0</v>
      </c>
      <c r="B26" s="37">
        <f>VLOOKUP(A1,DIV_02Data!$A$1:$DZU$1000000,428,FALSE)</f>
        <v>0</v>
      </c>
      <c r="C26" s="38">
        <f>VLOOKUP(A1,DIV_02Data!$A$1:$DZU$1000000,429,FALSE)</f>
        <v>0</v>
      </c>
      <c r="D26" s="31">
        <f>VLOOKUP(A1,DIV_02Data!$A$1:$DZU$1000000,430,FALSE)</f>
        <v>0</v>
      </c>
      <c r="E26" s="32">
        <f>VLOOKUP(A1,DIV_02Data!$A$1:$DZU$1000000,431,FALSE)</f>
        <v>0</v>
      </c>
      <c r="F26" s="34">
        <f>VLOOKUP(A1,DIV_02Data!$A$1:$DZU$1000000,432,FALSE)</f>
        <v>0</v>
      </c>
      <c r="G26" s="33">
        <f>VLOOKUP(A1,DIV_02Data!$A$1:$DZU$1000000,433,FALSE)</f>
        <v>0</v>
      </c>
      <c r="H26" s="34">
        <f>VLOOKUP(A1,DIV_02Data!$A$1:$DZU$1000000,434,FALSE)</f>
        <v>0</v>
      </c>
      <c r="I26" s="33">
        <f>VLOOKUP(A1,DIV_02Data!$A$1:$DZU$1000000,435,FALSE)</f>
        <v>0</v>
      </c>
      <c r="J26" s="34">
        <f>VLOOKUP(A1,DIV_02Data!$A$1:$DZU$1000000,436,FALSE)</f>
        <v>0</v>
      </c>
      <c r="K26" s="34">
        <f>VLOOKUP(A1,DIV_02Data!$A$1:$DZU$1000000,437,FALSE)</f>
        <v>0</v>
      </c>
      <c r="L26" s="93">
        <f>VLOOKUP(A1,DIV_02Data!$A$1:$DZU$1000000,438,FALSE)</f>
        <v>0</v>
      </c>
      <c r="M26" s="33">
        <f>VLOOKUP(A1,DIV_02Data!$A$1:$DZU$1000000,439,FALSE)</f>
        <v>0</v>
      </c>
      <c r="N26" s="34">
        <f>VLOOKUP(A1,DIV_02Data!$A$1:$DZU$1000000,440,FALSE)</f>
        <v>0</v>
      </c>
      <c r="O26" s="33">
        <f>VLOOKUP(A1,DIV_02Data!$A$1:$DZU$1000000,441,FALSE)</f>
        <v>0</v>
      </c>
      <c r="P26" s="46">
        <f>VLOOKUP(A1,DIV_02Data!$A$1:$DZU$1000000,442,FALSE)</f>
        <v>0</v>
      </c>
      <c r="Q26" s="33">
        <f>VLOOKUP(A1,DIV_02Data!$A$1:$DZU$1000000,443,FALSE)</f>
        <v>0</v>
      </c>
    </row>
    <row r="27" spans="1:17" x14ac:dyDescent="0.35">
      <c r="A27" s="22">
        <f>VLOOKUP(A1,DIV_02Data!$A$1:$DZU$1000000,444,FALSE)</f>
        <v>0</v>
      </c>
      <c r="B27" s="37">
        <f>VLOOKUP(A1,DIV_02Data!$A$1:$DZU$1000000,445,FALSE)</f>
        <v>0</v>
      </c>
      <c r="C27" s="38">
        <f>VLOOKUP(A1,DIV_02Data!$A$1:$DZU$1000000,446,FALSE)</f>
        <v>0</v>
      </c>
      <c r="D27" s="31">
        <f>VLOOKUP(A1,DIV_02Data!$A$1:$DZU$1000000,447,FALSE)</f>
        <v>0</v>
      </c>
      <c r="E27" s="32">
        <f>VLOOKUP(A1,DIV_02Data!$A$1:$DZU$1000000,448,FALSE)</f>
        <v>0</v>
      </c>
      <c r="F27" s="34">
        <f>VLOOKUP(A1,DIV_02Data!$A$1:$DZU$1000000,449,FALSE)</f>
        <v>0</v>
      </c>
      <c r="G27" s="33">
        <f>VLOOKUP(A1,DIV_02Data!$A$1:$DZU$1000000,450,FALSE)</f>
        <v>0</v>
      </c>
      <c r="H27" s="34">
        <f>VLOOKUP(A1,DIV_02Data!$A$1:$DZU$1000000,451,FALSE)</f>
        <v>0</v>
      </c>
      <c r="I27" s="33">
        <f>VLOOKUP(A1,DIV_02Data!$A$1:$DZU$1000000,452,FALSE)</f>
        <v>0</v>
      </c>
      <c r="J27" s="34">
        <f>VLOOKUP(A1,DIV_02Data!$A$1:$DZU$1000000,453,FALSE)</f>
        <v>0</v>
      </c>
      <c r="K27" s="34">
        <f>VLOOKUP(A1,DIV_02Data!$A$1:$DZU$1000000,454,FALSE)</f>
        <v>0</v>
      </c>
      <c r="L27" s="93">
        <f>VLOOKUP(A1,DIV_02Data!$A$1:$DZU$1000000,455,FALSE)</f>
        <v>0</v>
      </c>
      <c r="M27" s="33">
        <f>VLOOKUP(A1,DIV_02Data!$A$1:$DZU$1000000,456,FALSE)</f>
        <v>0</v>
      </c>
      <c r="N27" s="34">
        <f>VLOOKUP(A1,DIV_02Data!$A$1:$DZU$1000000,457,FALSE)</f>
        <v>0</v>
      </c>
      <c r="O27" s="33">
        <f>VLOOKUP(A1,DIV_02Data!$A$1:$DZU$1000000,458,FALSE)</f>
        <v>0</v>
      </c>
      <c r="P27" s="46">
        <f>VLOOKUP(A1,DIV_02Data!$A$1:$DZU$1000000,459,FALSE)</f>
        <v>0</v>
      </c>
      <c r="Q27" s="33">
        <f>VLOOKUP(A1,DIV_02Data!$A$1:$DZU$1000000,460,FALSE)</f>
        <v>0</v>
      </c>
    </row>
    <row r="28" spans="1:17" x14ac:dyDescent="0.35">
      <c r="A28" s="22">
        <f>VLOOKUP(A1,DIV_02Data!$A$1:$DZU$1000000,461,FALSE)</f>
        <v>0</v>
      </c>
      <c r="B28" s="37">
        <f>VLOOKUP(A1,DIV_02Data!$A$1:$DZU$1000000,462,FALSE)</f>
        <v>0</v>
      </c>
      <c r="C28" s="38">
        <f>VLOOKUP(A1,DIV_02Data!$A$1:$DZU$1000000,463,FALSE)</f>
        <v>0</v>
      </c>
      <c r="D28" s="31">
        <f>VLOOKUP(A1,DIV_02Data!$A$1:$DZU$1000000,464,FALSE)</f>
        <v>0</v>
      </c>
      <c r="E28" s="32">
        <f>VLOOKUP(A1,DIV_02Data!$A$1:$DZU$1000000,465,FALSE)</f>
        <v>0</v>
      </c>
      <c r="F28" s="34">
        <f>VLOOKUP(A1,DIV_02Data!$A$1:$DZU$1000000,466,FALSE)</f>
        <v>0</v>
      </c>
      <c r="G28" s="33">
        <f>VLOOKUP(A1,DIV_02Data!$A$1:$DZU$1000000,467,FALSE)</f>
        <v>0</v>
      </c>
      <c r="H28" s="34">
        <f>VLOOKUP(A1,DIV_02Data!$A$1:$DZU$1000000,468,FALSE)</f>
        <v>0</v>
      </c>
      <c r="I28" s="33">
        <f>VLOOKUP(A1,DIV_02Data!$A$1:$DZU$1000000,469,FALSE)</f>
        <v>0</v>
      </c>
      <c r="J28" s="34">
        <f>VLOOKUP(A1,DIV_02Data!$A$1:$DZU$1000000,470,FALSE)</f>
        <v>0</v>
      </c>
      <c r="K28" s="34">
        <f>VLOOKUP(A1,DIV_02Data!$A$1:$DZU$1000000,471,FALSE)</f>
        <v>0</v>
      </c>
      <c r="L28" s="93">
        <f>VLOOKUP(A1,DIV_02Data!$A$1:$DZU$1000000,472,FALSE)</f>
        <v>0</v>
      </c>
      <c r="M28" s="33">
        <f>VLOOKUP(A1,DIV_02Data!$A$1:$DZU$1000000,473,FALSE)</f>
        <v>0</v>
      </c>
      <c r="N28" s="34">
        <f>VLOOKUP(A1,DIV_02Data!$A$1:$DZU$1000000,474,FALSE)</f>
        <v>0</v>
      </c>
      <c r="O28" s="33">
        <f>VLOOKUP(A1,DIV_02Data!$A$1:$DZU$1000000,475,FALSE)</f>
        <v>0</v>
      </c>
      <c r="P28" s="46">
        <f>VLOOKUP(A1,DIV_02Data!$A$1:$DZU$1000000,476,FALSE)</f>
        <v>0</v>
      </c>
      <c r="Q28" s="33">
        <f>VLOOKUP(A1,DIV_02Data!$A$1:$DZU$1000000,477,FALSE)</f>
        <v>0</v>
      </c>
    </row>
    <row r="29" spans="1:17" x14ac:dyDescent="0.35">
      <c r="A29" s="22">
        <f>VLOOKUP(A1,DIV_02Data!$A$1:$DZU$1000000,478,FALSE)</f>
        <v>0</v>
      </c>
      <c r="B29" s="37">
        <f>VLOOKUP(A1,DIV_02Data!$A$1:$DZU$1000000,479,FALSE)</f>
        <v>0</v>
      </c>
      <c r="C29" s="38">
        <f>VLOOKUP(A1,DIV_02Data!$A$1:$DZU$1000000,480,FALSE)</f>
        <v>0</v>
      </c>
      <c r="D29" s="31">
        <f>VLOOKUP(A1,DIV_02Data!$A$1:$DZU$1000000,481,FALSE)</f>
        <v>0</v>
      </c>
      <c r="E29" s="32">
        <f>VLOOKUP(A1,DIV_02Data!$A$1:$DZU$1000000,482,FALSE)</f>
        <v>0</v>
      </c>
      <c r="F29" s="34">
        <f>VLOOKUP(A1,DIV_02Data!$A$1:$DZU$1000000,483,FALSE)</f>
        <v>0</v>
      </c>
      <c r="G29" s="33">
        <f>VLOOKUP(A1,DIV_02Data!$A$1:$DZU$1000000,484,FALSE)</f>
        <v>0</v>
      </c>
      <c r="H29" s="34">
        <f>VLOOKUP(A1,DIV_02Data!$A$1:$DZU$1000000,485,FALSE)</f>
        <v>0</v>
      </c>
      <c r="I29" s="33">
        <f>VLOOKUP(A1,DIV_02Data!$A$1:$DZU$1000000,486,FALSE)</f>
        <v>0</v>
      </c>
      <c r="J29" s="34">
        <f>VLOOKUP(A1,DIV_02Data!$A$1:$DZU$1000000,487,FALSE)</f>
        <v>0</v>
      </c>
      <c r="K29" s="34">
        <f>VLOOKUP(A1,DIV_02Data!$A$1:$DZU$1000000,488,FALSE)</f>
        <v>0</v>
      </c>
      <c r="L29" s="93">
        <f>VLOOKUP(A1,DIV_02Data!$A$1:$DZU$1000000,489,FALSE)</f>
        <v>0</v>
      </c>
      <c r="M29" s="33">
        <f>VLOOKUP(A1,DIV_02Data!$A$1:$DZU$1000000,490,FALSE)</f>
        <v>0</v>
      </c>
      <c r="N29" s="34">
        <f>VLOOKUP(A1,DIV_02Data!$A$1:$DZU$1000000,491,FALSE)</f>
        <v>0</v>
      </c>
      <c r="O29" s="33">
        <f>VLOOKUP(A1,DIV_02Data!$A$1:$DZU$1000000,492,FALSE)</f>
        <v>0</v>
      </c>
      <c r="P29" s="46">
        <f>VLOOKUP(A1,DIV_02Data!$A$1:$DZU$1000000,493,FALSE)</f>
        <v>0</v>
      </c>
      <c r="Q29" s="33">
        <f>VLOOKUP(A1,DIV_02Data!$A$1:$DZU$1000000,494,FALSE)</f>
        <v>0</v>
      </c>
    </row>
    <row r="30" spans="1:17" x14ac:dyDescent="0.35">
      <c r="A30" s="22">
        <f>VLOOKUP(A1,DIV_02Data!$A$1:$DZU$1000000,495,FALSE)</f>
        <v>0</v>
      </c>
      <c r="B30" s="37">
        <f>VLOOKUP(A1,DIV_02Data!$A$1:$DZU$1000000,496,FALSE)</f>
        <v>0</v>
      </c>
      <c r="C30" s="38">
        <f>VLOOKUP(A1,DIV_02Data!$A$1:$DZU$1000000,497,FALSE)</f>
        <v>0</v>
      </c>
      <c r="D30" s="31">
        <f>VLOOKUP(A1,DIV_02Data!$A$1:$DZU$1000000,498,FALSE)</f>
        <v>0</v>
      </c>
      <c r="E30" s="32">
        <f>VLOOKUP(A1,DIV_02Data!$A$1:$DZU$1000000,499,FALSE)</f>
        <v>0</v>
      </c>
      <c r="F30" s="34">
        <f>VLOOKUP(A1,DIV_02Data!$A$1:$DZU$1000000,500,FALSE)</f>
        <v>0</v>
      </c>
      <c r="G30" s="33">
        <f>VLOOKUP(A1,DIV_02Data!$A$1:$DZU$1000000,501,FALSE)</f>
        <v>0</v>
      </c>
      <c r="H30" s="34">
        <f>VLOOKUP(A1,DIV_02Data!$A$1:$DZU$1000000,502,FALSE)</f>
        <v>0</v>
      </c>
      <c r="I30" s="33">
        <f>VLOOKUP(A1,DIV_02Data!$A$1:$DZU$1000000,503,FALSE)</f>
        <v>0</v>
      </c>
      <c r="J30" s="34">
        <f>VLOOKUP(A1,DIV_02Data!$A$1:$DZU$1000000,504,FALSE)</f>
        <v>0</v>
      </c>
      <c r="K30" s="34">
        <f>VLOOKUP(A1,DIV_02Data!$A$1:$DZU$1000000,505,FALSE)</f>
        <v>0</v>
      </c>
      <c r="L30" s="93">
        <f>VLOOKUP(A1,DIV_02Data!$A$1:$DZU$1000000,506,FALSE)</f>
        <v>0</v>
      </c>
      <c r="M30" s="33">
        <f>VLOOKUP(A1,DIV_02Data!$A$1:$DZU$1000000,507,FALSE)</f>
        <v>0</v>
      </c>
      <c r="N30" s="34">
        <f>VLOOKUP(A1,DIV_02Data!$A$1:$DZU$1000000,508,FALSE)</f>
        <v>0</v>
      </c>
      <c r="O30" s="33">
        <f>VLOOKUP(A1,DIV_02Data!$A$1:$DZU$1000000,509,FALSE)</f>
        <v>0</v>
      </c>
      <c r="P30" s="46">
        <f>VLOOKUP(A1,DIV_02Data!$A$1:$DZU$1000000,510,FALSE)</f>
        <v>0</v>
      </c>
      <c r="Q30" s="33">
        <f>VLOOKUP(A1,DIV_02Data!$A$1:$DZU$1000000,511,FALSE)</f>
        <v>0</v>
      </c>
    </row>
    <row r="31" spans="1:17" x14ac:dyDescent="0.35">
      <c r="A31" s="22">
        <f>VLOOKUP(A1,DIV_02Data!$A$1:$DZU$1000000,512,FALSE)</f>
        <v>0</v>
      </c>
      <c r="B31" s="37">
        <f>VLOOKUP(A1,DIV_02Data!$A$1:$DZU$1000000,513,FALSE)</f>
        <v>0</v>
      </c>
      <c r="C31" s="38">
        <f>VLOOKUP(A1,DIV_02Data!$A$1:$DZU$1000000,514,FALSE)</f>
        <v>0</v>
      </c>
      <c r="D31" s="31">
        <f>VLOOKUP(A1,DIV_02Data!$A$1:$DZU$1000000,515,FALSE)</f>
        <v>0</v>
      </c>
      <c r="E31" s="32">
        <f>VLOOKUP(A1,DIV_02Data!$A$1:$DZU$1000000,516,FALSE)</f>
        <v>0</v>
      </c>
      <c r="F31" s="34">
        <f>VLOOKUP(A1,DIV_02Data!$A$1:$DZU$1000000,517,FALSE)</f>
        <v>0</v>
      </c>
      <c r="G31" s="33">
        <f>VLOOKUP(A1,DIV_02Data!$A$1:$DZU$1000000,518,FALSE)</f>
        <v>0</v>
      </c>
      <c r="H31" s="34">
        <f>VLOOKUP(A1,DIV_02Data!$A$1:$DZU$1000000,519,FALSE)</f>
        <v>0</v>
      </c>
      <c r="I31" s="33">
        <f>VLOOKUP(A1,DIV_02Data!$A$1:$DZU$1000000,520,FALSE)</f>
        <v>0</v>
      </c>
      <c r="J31" s="34">
        <f>VLOOKUP(A1,DIV_02Data!$A$1:$DZU$1000000,521,FALSE)</f>
        <v>0</v>
      </c>
      <c r="K31" s="34">
        <f>VLOOKUP(A1,DIV_02Data!$A$1:$DZU$1000000,522,FALSE)</f>
        <v>0</v>
      </c>
      <c r="L31" s="93">
        <f>VLOOKUP(A1,DIV_02Data!$A$1:$DZU$1000000,523,FALSE)</f>
        <v>0</v>
      </c>
      <c r="M31" s="33">
        <f>VLOOKUP(A1,DIV_02Data!$A$1:$DZU$1000000,524,FALSE)</f>
        <v>0</v>
      </c>
      <c r="N31" s="34">
        <f>VLOOKUP(A1,DIV_02Data!$A$1:$DZU$1000000,525,FALSE)</f>
        <v>0</v>
      </c>
      <c r="O31" s="33">
        <f>VLOOKUP(A1,DIV_02Data!$A$1:$DZU$1000000,526,FALSE)</f>
        <v>0</v>
      </c>
      <c r="P31" s="46">
        <f>VLOOKUP(A1,DIV_02Data!$A$1:$DZU$1000000,527,FALSE)</f>
        <v>0</v>
      </c>
      <c r="Q31" s="33">
        <f>VLOOKUP(A1,DIV_02Data!$A$1:$DZU$1000000,528,FALSE)</f>
        <v>0</v>
      </c>
    </row>
    <row r="32" spans="1:17" x14ac:dyDescent="0.35">
      <c r="A32" s="22">
        <f>VLOOKUP(A1,DIV_02Data!$A$1:$DZU$1000000,529,FALSE)</f>
        <v>0</v>
      </c>
      <c r="B32" s="37">
        <f>VLOOKUP(A1,DIV_02Data!$A$1:$DZU$1000000,530,FALSE)</f>
        <v>0</v>
      </c>
      <c r="C32" s="38">
        <f>VLOOKUP(A1,DIV_02Data!$A$1:$DZU$1000000,531,FALSE)</f>
        <v>0</v>
      </c>
      <c r="D32" s="31">
        <f>VLOOKUP(A1,DIV_02Data!$A$1:$DZU$1000000,532,FALSE)</f>
        <v>0</v>
      </c>
      <c r="E32" s="32">
        <f>VLOOKUP(A1,DIV_02Data!$A$1:$DZU$1000000,533,FALSE)</f>
        <v>0</v>
      </c>
      <c r="F32" s="34">
        <f>VLOOKUP(A1,DIV_02Data!$A$1:$DZU$1000000,534,FALSE)</f>
        <v>0</v>
      </c>
      <c r="G32" s="33">
        <f>VLOOKUP(A1,DIV_02Data!$A$1:$DZU$1000000,535,FALSE)</f>
        <v>0</v>
      </c>
      <c r="H32" s="34">
        <f>VLOOKUP(A1,DIV_02Data!$A$1:$DZU$1000000,536,FALSE)</f>
        <v>0</v>
      </c>
      <c r="I32" s="33">
        <f>VLOOKUP(A1,DIV_02Data!$A$1:$DZU$1000000,537,FALSE)</f>
        <v>0</v>
      </c>
      <c r="J32" s="34">
        <f>VLOOKUP(A1,DIV_02Data!$A$1:$DZU$1000000,538,FALSE)</f>
        <v>0</v>
      </c>
      <c r="K32" s="34">
        <f>VLOOKUP(A1,DIV_02Data!$A$1:$DZU$1000000,539,FALSE)</f>
        <v>0</v>
      </c>
      <c r="L32" s="93">
        <f>VLOOKUP(A1,DIV_02Data!$A$1:$DZU$1000000,540,FALSE)</f>
        <v>0</v>
      </c>
      <c r="M32" s="33">
        <f>VLOOKUP(A1,DIV_02Data!$A$1:$DZU$1000000,541,FALSE)</f>
        <v>0</v>
      </c>
      <c r="N32" s="34">
        <f>VLOOKUP(A1,DIV_02Data!$A$1:$DZU$1000000,542,FALSE)</f>
        <v>0</v>
      </c>
      <c r="O32" s="33">
        <f>VLOOKUP(A1,DIV_02Data!$A$1:$DZU$1000000,543,FALSE)</f>
        <v>0</v>
      </c>
      <c r="P32" s="46">
        <f>VLOOKUP(A1,DIV_02Data!$A$1:$DZU$1000000,544,FALSE)</f>
        <v>0</v>
      </c>
      <c r="Q32" s="33">
        <f>VLOOKUP(A1,DIV_02Data!$A$1:$DZU$1000000,545,FALSE)</f>
        <v>0</v>
      </c>
    </row>
    <row r="33" spans="1:17" x14ac:dyDescent="0.35">
      <c r="A33" s="22">
        <f>VLOOKUP(A1,DIV_02Data!$A$1:$DZU$1000000,546,FALSE)</f>
        <v>0</v>
      </c>
      <c r="B33" s="37">
        <f>VLOOKUP(A1,DIV_02Data!$A$1:$DZU$1000000,547,FALSE)</f>
        <v>0</v>
      </c>
      <c r="C33" s="38">
        <f>VLOOKUP(A1,DIV_02Data!$A$1:$DZU$1000000,548,FALSE)</f>
        <v>0</v>
      </c>
      <c r="D33" s="31">
        <f>VLOOKUP(A1,DIV_02Data!$A$1:$DZU$1000000,549,FALSE)</f>
        <v>0</v>
      </c>
      <c r="E33" s="32">
        <f>VLOOKUP(A1,DIV_02Data!$A$1:$DZU$1000000,550,FALSE)</f>
        <v>0</v>
      </c>
      <c r="F33" s="34">
        <f>VLOOKUP(A1,DIV_02Data!$A$1:$DZU$1000000,551,FALSE)</f>
        <v>0</v>
      </c>
      <c r="G33" s="33">
        <f>VLOOKUP(A1,DIV_02Data!$A$1:$DZU$1000000,552,FALSE)</f>
        <v>0</v>
      </c>
      <c r="H33" s="34">
        <f>VLOOKUP(A1,DIV_02Data!$A$1:$DZU$1000000,553,FALSE)</f>
        <v>0</v>
      </c>
      <c r="I33" s="33">
        <f>VLOOKUP(A1,DIV_02Data!$A$1:$DZU$1000000,554,FALSE)</f>
        <v>0</v>
      </c>
      <c r="J33" s="34">
        <f>VLOOKUP(A1,DIV_02Data!$A$1:$DZU$1000000,555,FALSE)</f>
        <v>0</v>
      </c>
      <c r="K33" s="34">
        <f>VLOOKUP(A1,DIV_02Data!$A$1:$DZU$1000000,556,FALSE)</f>
        <v>0</v>
      </c>
      <c r="L33" s="93">
        <f>VLOOKUP(A1,DIV_02Data!$A$1:$DZU$1000000,557,FALSE)</f>
        <v>0</v>
      </c>
      <c r="M33" s="33">
        <f>VLOOKUP(A1,DIV_02Data!$A$1:$DZU$1000000,558,FALSE)</f>
        <v>0</v>
      </c>
      <c r="N33" s="34">
        <f>VLOOKUP(A1,DIV_02Data!$A$1:$DZU$1000000,559,FALSE)</f>
        <v>0</v>
      </c>
      <c r="O33" s="33">
        <f>VLOOKUP(A1,DIV_02Data!$A$1:$DZU$1000000,560,FALSE)</f>
        <v>0</v>
      </c>
      <c r="P33" s="46">
        <f>VLOOKUP(A1,DIV_02Data!$A$1:$DZU$1000000,561,FALSE)</f>
        <v>0</v>
      </c>
      <c r="Q33" s="33">
        <f>VLOOKUP(A1,DIV_02Data!$A$1:$DZU$1000000,562,FALSE)</f>
        <v>0</v>
      </c>
    </row>
    <row r="34" spans="1:17" x14ac:dyDescent="0.35">
      <c r="A34" s="22">
        <f>VLOOKUP(A1,DIV_02Data!$A$1:$DZU$1000000,563,FALSE)</f>
        <v>0</v>
      </c>
      <c r="B34" s="37">
        <f>VLOOKUP(A1,DIV_02Data!$A$1:$DZU$1000000,564,FALSE)</f>
        <v>0</v>
      </c>
      <c r="C34" s="38">
        <f>VLOOKUP(A1,DIV_02Data!$A$1:$DZU$1000000,565,FALSE)</f>
        <v>0</v>
      </c>
      <c r="D34" s="31">
        <f>VLOOKUP(A1,DIV_02Data!$A$1:$DZU$1000000,566,FALSE)</f>
        <v>0</v>
      </c>
      <c r="E34" s="32">
        <f>VLOOKUP(A1,DIV_02Data!$A$1:$DZU$1000000,567,FALSE)</f>
        <v>0</v>
      </c>
      <c r="F34" s="34">
        <f>VLOOKUP(A1,DIV_02Data!$A$1:$DZU$1000000,568,FALSE)</f>
        <v>0</v>
      </c>
      <c r="G34" s="33">
        <f>VLOOKUP(A1,DIV_02Data!$A$1:$DZU$1000000,569,FALSE)</f>
        <v>0</v>
      </c>
      <c r="H34" s="34">
        <f>VLOOKUP(A1,DIV_02Data!$A$1:$DZU$1000000,570,FALSE)</f>
        <v>0</v>
      </c>
      <c r="I34" s="33">
        <f>VLOOKUP(A1,DIV_02Data!$A$1:$DZU$1000000,571,FALSE)</f>
        <v>0</v>
      </c>
      <c r="J34" s="34">
        <f>VLOOKUP(A1,DIV_02Data!$A$1:$DZU$1000000,572,FALSE)</f>
        <v>0</v>
      </c>
      <c r="K34" s="34">
        <f>VLOOKUP(A1,DIV_02Data!$A$1:$DZU$1000000,573,FALSE)</f>
        <v>0</v>
      </c>
      <c r="L34" s="93">
        <f>VLOOKUP(A1,DIV_02Data!$A$1:$DZU$1000000,574,FALSE)</f>
        <v>0</v>
      </c>
      <c r="M34" s="33">
        <f>VLOOKUP(A1,DIV_02Data!$A$1:$DZU$1000000,575,FALSE)</f>
        <v>0</v>
      </c>
      <c r="N34" s="34">
        <f>VLOOKUP(A1,DIV_02Data!$A$1:$DZU$1000000,576,FALSE)</f>
        <v>0</v>
      </c>
      <c r="O34" s="33">
        <f>VLOOKUP(A1,DIV_02Data!$A$1:$DZU$1000000,577,FALSE)</f>
        <v>0</v>
      </c>
      <c r="P34" s="46">
        <f>VLOOKUP(A1,DIV_02Data!$A$1:$DZU$1000000,578,FALSE)</f>
        <v>0</v>
      </c>
      <c r="Q34" s="33">
        <f>VLOOKUP(A1,DIV_02Data!$A$1:$DZU$1000000,579,FALSE)</f>
        <v>0</v>
      </c>
    </row>
    <row r="35" spans="1:17" x14ac:dyDescent="0.35">
      <c r="A35" s="22">
        <f>VLOOKUP(A1,DIV_02Data!$A$1:$DZU$1000000,580,FALSE)</f>
        <v>0</v>
      </c>
      <c r="B35" s="37">
        <f>VLOOKUP(A1,DIV_02Data!$A$1:$DZU$1000000,581,FALSE)</f>
        <v>0</v>
      </c>
      <c r="C35" s="38">
        <f>VLOOKUP(A1,DIV_02Data!$A$1:$DZU$1000000,582,FALSE)</f>
        <v>0</v>
      </c>
      <c r="D35" s="31">
        <f>VLOOKUP(A1,DIV_02Data!$A$1:$DZU$1000000,583,FALSE)</f>
        <v>0</v>
      </c>
      <c r="E35" s="32">
        <f>VLOOKUP(A1,DIV_02Data!$A$1:$DZU$1000000,584,FALSE)</f>
        <v>0</v>
      </c>
      <c r="F35" s="34">
        <f>VLOOKUP(A1,DIV_02Data!$A$1:$DZU$1000000,585,FALSE)</f>
        <v>0</v>
      </c>
      <c r="G35" s="33">
        <f>VLOOKUP(A1,DIV_02Data!$A$1:$DZU$1000000,586,FALSE)</f>
        <v>0</v>
      </c>
      <c r="H35" s="34">
        <f>VLOOKUP(A1,DIV_02Data!$A$1:$DZU$1000000,587,FALSE)</f>
        <v>0</v>
      </c>
      <c r="I35" s="33">
        <f>VLOOKUP(A1,DIV_02Data!$A$1:$DZU$1000000,588,FALSE)</f>
        <v>0</v>
      </c>
      <c r="J35" s="34">
        <f>VLOOKUP(A1,DIV_02Data!$A$1:$DZU$1000000,589,FALSE)</f>
        <v>0</v>
      </c>
      <c r="K35" s="34">
        <f>VLOOKUP(A1,DIV_02Data!$A$1:$DZU$1000000,590,FALSE)</f>
        <v>0</v>
      </c>
      <c r="L35" s="93">
        <f>VLOOKUP(A1,DIV_02Data!$A$1:$DZU$1000000,591,FALSE)</f>
        <v>0</v>
      </c>
      <c r="M35" s="33">
        <f>VLOOKUP(A1,DIV_02Data!$A$1:$DZU$1000000,592,FALSE)</f>
        <v>0</v>
      </c>
      <c r="N35" s="34">
        <f>VLOOKUP(A1,DIV_02Data!$A$1:$DZU$1000000,593,FALSE)</f>
        <v>0</v>
      </c>
      <c r="O35" s="33">
        <f>VLOOKUP(A1,DIV_02Data!$A$1:$DZU$1000000,594,FALSE)</f>
        <v>0</v>
      </c>
      <c r="P35" s="46">
        <f>VLOOKUP(A1,DIV_02Data!$A$1:$DZU$1000000,595,FALSE)</f>
        <v>0</v>
      </c>
      <c r="Q35" s="33">
        <f>VLOOKUP(A1,DIV_02Data!$A$1:$DZU$1000000,596,FALSE)</f>
        <v>0</v>
      </c>
    </row>
    <row r="36" spans="1:17" x14ac:dyDescent="0.35">
      <c r="A36" s="22">
        <f>VLOOKUP(A1,DIV_02Data!$A$1:$DZU$1000000,597,FALSE)</f>
        <v>0</v>
      </c>
      <c r="B36" s="37">
        <f>VLOOKUP(A1,DIV_02Data!$A$1:$DZU$1000000,598,FALSE)</f>
        <v>0</v>
      </c>
      <c r="C36" s="38">
        <f>VLOOKUP(A1,DIV_02Data!$A$1:$DZU$1000000,599,FALSE)</f>
        <v>0</v>
      </c>
      <c r="D36" s="31">
        <f>VLOOKUP(A1,DIV_02Data!$A$1:$DZU$1000000,600,FALSE)</f>
        <v>0</v>
      </c>
      <c r="E36" s="32">
        <f>VLOOKUP(A1,DIV_02Data!$A$1:$DZU$1000000,601,FALSE)</f>
        <v>0</v>
      </c>
      <c r="F36" s="34">
        <f>VLOOKUP(A1,DIV_02Data!$A$1:$DZU$1000000,602,FALSE)</f>
        <v>0</v>
      </c>
      <c r="G36" s="33">
        <f>VLOOKUP(A1,DIV_02Data!$A$1:$DZU$1000000,603,FALSE)</f>
        <v>0</v>
      </c>
      <c r="H36" s="34">
        <f>VLOOKUP(A1,DIV_02Data!$A$1:$DZU$1000000,604,FALSE)</f>
        <v>0</v>
      </c>
      <c r="I36" s="33">
        <f>VLOOKUP(A1,DIV_02Data!$A$1:$DZU$1000000,605,FALSE)</f>
        <v>0</v>
      </c>
      <c r="J36" s="34">
        <f>VLOOKUP(A1,DIV_02Data!$A$1:$DZU$1000000,606,FALSE)</f>
        <v>0</v>
      </c>
      <c r="K36" s="34">
        <f>VLOOKUP(A1,DIV_02Data!$A$1:$DZU$1000000,607,FALSE)</f>
        <v>0</v>
      </c>
      <c r="L36" s="93">
        <f>VLOOKUP(A1,DIV_02Data!$A$1:$DZU$1000000,608,FALSE)</f>
        <v>0</v>
      </c>
      <c r="M36" s="33">
        <f>VLOOKUP(A1,DIV_02Data!$A$1:$DZU$1000000,609,FALSE)</f>
        <v>0</v>
      </c>
      <c r="N36" s="34">
        <f>VLOOKUP(A1,DIV_02Data!$A$1:$DZU$1000000,610,FALSE)</f>
        <v>0</v>
      </c>
      <c r="O36" s="33">
        <f>VLOOKUP(A1,DIV_02Data!$A$1:$DZU$1000000,611,FALSE)</f>
        <v>0</v>
      </c>
      <c r="P36" s="46">
        <f>VLOOKUP(A1,DIV_02Data!$A$1:$DZU$1000000,612,FALSE)</f>
        <v>0</v>
      </c>
      <c r="Q36" s="33">
        <f>VLOOKUP(A1,DIV_02Data!$A$1:$DZU$1000000,613,FALSE)</f>
        <v>0</v>
      </c>
    </row>
    <row r="37" spans="1:17" x14ac:dyDescent="0.35">
      <c r="A37" s="22">
        <f>VLOOKUP(A1,DIV_02Data!$A$1:$DZU$1000000,614,FALSE)</f>
        <v>0</v>
      </c>
      <c r="B37" s="37">
        <f>VLOOKUP(A1,DIV_02Data!$A$1:$DZU$1000000,615,FALSE)</f>
        <v>0</v>
      </c>
      <c r="C37" s="38">
        <f>VLOOKUP(A1,DIV_02Data!$A$1:$DZU$1000000,616,FALSE)</f>
        <v>0</v>
      </c>
      <c r="D37" s="31">
        <f>VLOOKUP(A1,DIV_02Data!$A$1:$DZU$1000000,617,FALSE)</f>
        <v>0</v>
      </c>
      <c r="E37" s="32">
        <f>VLOOKUP(A1,DIV_02Data!$A$1:$DZU$1000000,618,FALSE)</f>
        <v>0</v>
      </c>
      <c r="F37" s="34">
        <f>VLOOKUP(A1,DIV_02Data!$A$1:$DZU$1000000,619,FALSE)</f>
        <v>0</v>
      </c>
      <c r="G37" s="33">
        <f>VLOOKUP(A1,DIV_02Data!$A$1:$DZU$1000000,620,FALSE)</f>
        <v>0</v>
      </c>
      <c r="H37" s="34">
        <f>VLOOKUP(A1,DIV_02Data!$A$1:$DZU$1000000,621,FALSE)</f>
        <v>0</v>
      </c>
      <c r="I37" s="33">
        <f>VLOOKUP(A1,DIV_02Data!$A$1:$DZU$1000000,622,FALSE)</f>
        <v>0</v>
      </c>
      <c r="J37" s="34">
        <f>VLOOKUP(A1,DIV_02Data!$A$1:$DZU$1000000,623,FALSE)</f>
        <v>0</v>
      </c>
      <c r="K37" s="34">
        <f>VLOOKUP(A1,DIV_02Data!$A$1:$DZU$1000000,624,FALSE)</f>
        <v>0</v>
      </c>
      <c r="L37" s="93">
        <f>VLOOKUP(A1,DIV_02Data!$A$1:$DZU$1000000,625,FALSE)</f>
        <v>0</v>
      </c>
      <c r="M37" s="33">
        <f>VLOOKUP(A1,DIV_02Data!$A$1:$DZU$1000000,626,FALSE)</f>
        <v>0</v>
      </c>
      <c r="N37" s="34">
        <f>VLOOKUP(A1,DIV_02Data!$A$1:$DZU$1000000,627,FALSE)</f>
        <v>0</v>
      </c>
      <c r="O37" s="33">
        <f>VLOOKUP(A1,DIV_02Data!$A$1:$DZU$1000000,628,FALSE)</f>
        <v>0</v>
      </c>
      <c r="P37" s="46">
        <f>VLOOKUP(A1,DIV_02Data!$A$1:$DZU$1000000,629,FALSE)</f>
        <v>0</v>
      </c>
      <c r="Q37" s="33">
        <f>VLOOKUP(A1,DIV_02Data!$A$1:$DZU$1000000,630,FALSE)</f>
        <v>0</v>
      </c>
    </row>
    <row r="38" spans="1:17" x14ac:dyDescent="0.35">
      <c r="A38" s="22">
        <f>VLOOKUP(A1,DIV_02Data!$A$1:$DZU$1000000,631,FALSE)</f>
        <v>0</v>
      </c>
      <c r="B38" s="37">
        <f>VLOOKUP(A1,DIV_02Data!$A$1:$DZU$1000000,632,FALSE)</f>
        <v>0</v>
      </c>
      <c r="C38" s="38">
        <f>VLOOKUP(A1,DIV_02Data!$A$1:$DZU$1000000,633,FALSE)</f>
        <v>0</v>
      </c>
      <c r="D38" s="31">
        <f>VLOOKUP(A1,DIV_02Data!$A$1:$DZU$1000000,634,FALSE)</f>
        <v>0</v>
      </c>
      <c r="E38" s="32">
        <f>VLOOKUP(A1,DIV_02Data!$A$1:$DZU$1000000,635,FALSE)</f>
        <v>0</v>
      </c>
      <c r="F38" s="34">
        <f>VLOOKUP(A1,DIV_02Data!$A$1:$DZU$1000000,636,FALSE)</f>
        <v>0</v>
      </c>
      <c r="G38" s="33">
        <f>VLOOKUP(A1,DIV_02Data!$A$1:$DZU$1000000,637,FALSE)</f>
        <v>0</v>
      </c>
      <c r="H38" s="34">
        <f>VLOOKUP(A1,DIV_02Data!$A$1:$DZU$1000000,638,FALSE)</f>
        <v>0</v>
      </c>
      <c r="I38" s="33">
        <f>VLOOKUP(A1,DIV_02Data!$A$1:$DZU$1000000,639,FALSE)</f>
        <v>0</v>
      </c>
      <c r="J38" s="34">
        <f>VLOOKUP(A1,DIV_02Data!$A$1:$DZU$1000000,640,FALSE)</f>
        <v>0</v>
      </c>
      <c r="K38" s="34">
        <f>VLOOKUP(A1,DIV_02Data!$A$1:$DZU$1000000,641,FALSE)</f>
        <v>0</v>
      </c>
      <c r="L38" s="93">
        <f>VLOOKUP(A1,DIV_02Data!$A$1:$DZU$1000000,642,FALSE)</f>
        <v>0</v>
      </c>
      <c r="M38" s="33">
        <f>VLOOKUP(A1,DIV_02Data!$A$1:$DZU$1000000,643,FALSE)</f>
        <v>0</v>
      </c>
      <c r="N38" s="34">
        <f>VLOOKUP(A1,DIV_02Data!$A$1:$DZU$1000000,644,FALSE)</f>
        <v>0</v>
      </c>
      <c r="O38" s="33">
        <f>VLOOKUP(A1,DIV_02Data!$A$1:$DZU$1000000,645,FALSE)</f>
        <v>0</v>
      </c>
      <c r="P38" s="46">
        <f>VLOOKUP(A1,DIV_02Data!$A$1:$DZU$1000000,646,FALSE)</f>
        <v>0</v>
      </c>
      <c r="Q38" s="33">
        <f>VLOOKUP(A1,DIV_02Data!$A$1:$DZU$1000000,647,FALSE)</f>
        <v>0</v>
      </c>
    </row>
    <row r="39" spans="1:17" x14ac:dyDescent="0.35">
      <c r="A39" s="22">
        <f>VLOOKUP(A1,DIV_02Data!$A$1:$DZU$1000000,648,FALSE)</f>
        <v>0</v>
      </c>
      <c r="B39" s="37">
        <f>VLOOKUP(A1,DIV_02Data!$A$1:$DZU$1000000,649,FALSE)</f>
        <v>0</v>
      </c>
      <c r="C39" s="38">
        <f>VLOOKUP(A1,DIV_02Data!$A$1:$DZU$1000000,650,FALSE)</f>
        <v>0</v>
      </c>
      <c r="D39" s="31">
        <f>VLOOKUP(A1,DIV_02Data!$A$1:$DZU$1000000,651,FALSE)</f>
        <v>0</v>
      </c>
      <c r="E39" s="32">
        <f>VLOOKUP(A1,DIV_02Data!$A$1:$DZU$1000000,652,FALSE)</f>
        <v>0</v>
      </c>
      <c r="F39" s="34">
        <f>VLOOKUP(A1,DIV_02Data!$A$1:$DZU$1000000,653,FALSE)</f>
        <v>0</v>
      </c>
      <c r="G39" s="33">
        <f>VLOOKUP(A1,DIV_02Data!$A$1:$DZU$1000000,654,FALSE)</f>
        <v>0</v>
      </c>
      <c r="H39" s="34">
        <f>VLOOKUP(A1,DIV_02Data!$A$1:$DZU$1000000,655,FALSE)</f>
        <v>0</v>
      </c>
      <c r="I39" s="33">
        <f>VLOOKUP(A1,DIV_02Data!$A$1:$DZU$1000000,656,FALSE)</f>
        <v>0</v>
      </c>
      <c r="J39" s="34">
        <f>VLOOKUP(A1,DIV_02Data!$A$1:$DZU$1000000,657,FALSE)</f>
        <v>0</v>
      </c>
      <c r="K39" s="34">
        <f>VLOOKUP(A1,DIV_02Data!$A$1:$DZU$1000000,658,FALSE)</f>
        <v>0</v>
      </c>
      <c r="L39" s="93">
        <f>VLOOKUP(A1,DIV_02Data!$A$1:$DZU$1000000,659,FALSE)</f>
        <v>0</v>
      </c>
      <c r="M39" s="33">
        <f>VLOOKUP(A1,DIV_02Data!$A$1:$DZU$1000000,660,FALSE)</f>
        <v>0</v>
      </c>
      <c r="N39" s="34">
        <f>VLOOKUP(A1,DIV_02Data!$A$1:$DZU$1000000,661,FALSE)</f>
        <v>0</v>
      </c>
      <c r="O39" s="33">
        <f>VLOOKUP(A1,DIV_02Data!$A$1:$DZU$1000000,662,FALSE)</f>
        <v>0</v>
      </c>
      <c r="P39" s="46">
        <f>VLOOKUP(A1,DIV_02Data!$A$1:$DZU$1000000,663,FALSE)</f>
        <v>0</v>
      </c>
      <c r="Q39" s="33">
        <f>VLOOKUP(A1,DIV_02Data!$A$1:$DZU$1000000,664,FALSE)</f>
        <v>0</v>
      </c>
    </row>
    <row r="40" spans="1:17" x14ac:dyDescent="0.35">
      <c r="A40" s="22">
        <f>VLOOKUP(A1,DIV_02Data!$A$1:$DZU$1000000,665,FALSE)</f>
        <v>0</v>
      </c>
      <c r="B40" s="37">
        <f>VLOOKUP(A1,DIV_02Data!$A$1:$DZU$1000000,666,FALSE)</f>
        <v>0</v>
      </c>
      <c r="C40" s="38">
        <f>VLOOKUP(A1,DIV_02Data!$A$1:$DZU$1000000,667,FALSE)</f>
        <v>0</v>
      </c>
      <c r="D40" s="31">
        <f>VLOOKUP(A1,DIV_02Data!$A$1:$DZU$1000000,668,FALSE)</f>
        <v>0</v>
      </c>
      <c r="E40" s="32">
        <f>VLOOKUP(A1,DIV_02Data!$A$1:$DZU$1000000,669,FALSE)</f>
        <v>0</v>
      </c>
      <c r="F40" s="34">
        <f>VLOOKUP(A1,DIV_02Data!$A$1:$DZU$1000000,670,FALSE)</f>
        <v>0</v>
      </c>
      <c r="G40" s="33">
        <f>VLOOKUP(A1,DIV_02Data!$A$1:$DZU$1000000,671,FALSE)</f>
        <v>0</v>
      </c>
      <c r="H40" s="34">
        <f>VLOOKUP(A1,DIV_02Data!$A$1:$DZU$1000000,672,FALSE)</f>
        <v>0</v>
      </c>
      <c r="I40" s="33">
        <f>VLOOKUP(A1,DIV_02Data!$A$1:$DZU$1000000,673,FALSE)</f>
        <v>0</v>
      </c>
      <c r="J40" s="34">
        <f>VLOOKUP(A1,DIV_02Data!$A$1:$DZU$1000000,674,FALSE)</f>
        <v>0</v>
      </c>
      <c r="K40" s="34">
        <f>VLOOKUP(A1,DIV_02Data!$A$1:$DZU$1000000,675,FALSE)</f>
        <v>0</v>
      </c>
      <c r="L40" s="93">
        <f>VLOOKUP(A1,DIV_02Data!$A$1:$DZU$1000000,676,FALSE)</f>
        <v>0</v>
      </c>
      <c r="M40" s="33">
        <f>VLOOKUP(A1,DIV_02Data!$A$1:$DZU$1000000,677,FALSE)</f>
        <v>0</v>
      </c>
      <c r="N40" s="34">
        <f>VLOOKUP(A1,DIV_02Data!$A$1:$DZU$1000000,678,FALSE)</f>
        <v>0</v>
      </c>
      <c r="O40" s="33">
        <f>VLOOKUP(A1,DIV_02Data!$A$1:$DZU$1000000,679,FALSE)</f>
        <v>0</v>
      </c>
      <c r="P40" s="46">
        <f>VLOOKUP(A1,DIV_02Data!$A$1:$DZU$1000000,680,FALSE)</f>
        <v>0</v>
      </c>
      <c r="Q40" s="33">
        <f>VLOOKUP(A1,DIV_02Data!$A$1:$DZU$1000000,681,FALSE)</f>
        <v>0</v>
      </c>
    </row>
    <row r="41" spans="1:17" x14ac:dyDescent="0.35">
      <c r="A41" s="22">
        <f>VLOOKUP(A1,DIV_02Data!$A$1:$DZU$1000000,682,FALSE)</f>
        <v>0</v>
      </c>
      <c r="B41" s="37">
        <f>VLOOKUP(A1,DIV_02Data!$A$1:$DZU$1000000,683,FALSE)</f>
        <v>0</v>
      </c>
      <c r="C41" s="38">
        <f>VLOOKUP(A1,DIV_02Data!$A$1:$DZU$1000000,684,FALSE)</f>
        <v>0</v>
      </c>
      <c r="D41" s="31">
        <f>VLOOKUP(A1,DIV_02Data!$A$1:$DZU$1000000,685,FALSE)</f>
        <v>0</v>
      </c>
      <c r="E41" s="32">
        <f>VLOOKUP(A1,DIV_02Data!$A$1:$DZU$1000000,686,FALSE)</f>
        <v>0</v>
      </c>
      <c r="F41" s="34">
        <f>VLOOKUP(A1,DIV_02Data!$A$1:$DZU$1000000,687,FALSE)</f>
        <v>0</v>
      </c>
      <c r="G41" s="33">
        <f>VLOOKUP(A1,DIV_02Data!$A$1:$DZU$1000000,688,FALSE)</f>
        <v>0</v>
      </c>
      <c r="H41" s="34">
        <f>VLOOKUP(A1,DIV_02Data!$A$1:$DZU$1000000,689,FALSE)</f>
        <v>0</v>
      </c>
      <c r="I41" s="33">
        <f>VLOOKUP(A1,DIV_02Data!$A$1:$DZU$1000000,690,FALSE)</f>
        <v>0</v>
      </c>
      <c r="J41" s="34">
        <f>VLOOKUP(A1,DIV_02Data!$A$1:$DZU$1000000,691,FALSE)</f>
        <v>0</v>
      </c>
      <c r="K41" s="34">
        <f>VLOOKUP(A1,DIV_02Data!$A$1:$DZU$1000000,692,FALSE)</f>
        <v>0</v>
      </c>
      <c r="L41" s="93">
        <f>VLOOKUP(A1,DIV_02Data!$A$1:$DZU$1000000,693,FALSE)</f>
        <v>0</v>
      </c>
      <c r="M41" s="33">
        <f>VLOOKUP(A1,DIV_02Data!$A$1:$DZU$1000000,694,FALSE)</f>
        <v>0</v>
      </c>
      <c r="N41" s="34">
        <f>VLOOKUP(A1,DIV_02Data!$A$1:$DZU$1000000,695,FALSE)</f>
        <v>0</v>
      </c>
      <c r="O41" s="33">
        <f>VLOOKUP(A1,DIV_02Data!$A$1:$DZU$1000000,696,FALSE)</f>
        <v>0</v>
      </c>
      <c r="P41" s="46">
        <f>VLOOKUP(A1,DIV_02Data!$A$1:$DZU$1000000,697,FALSE)</f>
        <v>0</v>
      </c>
      <c r="Q41" s="33">
        <f>VLOOKUP(A1,DIV_02Data!$A$1:$DZU$1000000,698,FALSE)</f>
        <v>0</v>
      </c>
    </row>
    <row r="42" spans="1:17" x14ac:dyDescent="0.35">
      <c r="A42" s="22">
        <f>VLOOKUP(A1,DIV_02Data!$A$1:$DZU$1000000,699,FALSE)</f>
        <v>0</v>
      </c>
      <c r="B42" s="37">
        <f>VLOOKUP(A1,DIV_02Data!$A$1:$DZU$1000000,700,FALSE)</f>
        <v>0</v>
      </c>
      <c r="C42" s="38">
        <f>VLOOKUP(A1,DIV_02Data!$A$1:$DZU$1000000,701,FALSE)</f>
        <v>0</v>
      </c>
      <c r="D42" s="31">
        <f>VLOOKUP(A1,DIV_02Data!$A$1:$DZU$1000000,702,FALSE)</f>
        <v>0</v>
      </c>
      <c r="E42" s="32">
        <f>VLOOKUP(A1,DIV_02Data!$A$1:$DZU$1000000,703,FALSE)</f>
        <v>0</v>
      </c>
      <c r="F42" s="34">
        <f>VLOOKUP(A1,DIV_02Data!$A$1:$DZU$1000000,704,FALSE)</f>
        <v>0</v>
      </c>
      <c r="G42" s="33">
        <f>VLOOKUP(A1,DIV_02Data!$A$1:$DZU$1000000,705,FALSE)</f>
        <v>0</v>
      </c>
      <c r="H42" s="34">
        <f>VLOOKUP(A1,DIV_02Data!$A$1:$DZU$1000000,706,FALSE)</f>
        <v>0</v>
      </c>
      <c r="I42" s="33">
        <f>VLOOKUP(A1,DIV_02Data!$A$1:$DZU$1000000,707,FALSE)</f>
        <v>0</v>
      </c>
      <c r="J42" s="34">
        <f>VLOOKUP(A1,DIV_02Data!$A$1:$DZU$1000000,708,FALSE)</f>
        <v>0</v>
      </c>
      <c r="K42" s="34">
        <f>VLOOKUP(A1,DIV_02Data!$A$1:$DZU$1000000,709,FALSE)</f>
        <v>0</v>
      </c>
      <c r="L42" s="93">
        <f>VLOOKUP(A1,DIV_02Data!$A$1:$DZU$1000000,710,FALSE)</f>
        <v>0</v>
      </c>
      <c r="M42" s="33">
        <f>VLOOKUP(A1,DIV_02Data!$A$1:$DZU$1000000,711,FALSE)</f>
        <v>0</v>
      </c>
      <c r="N42" s="34">
        <f>VLOOKUP(A1,DIV_02Data!$A$1:$DZU$1000000,712,FALSE)</f>
        <v>0</v>
      </c>
      <c r="O42" s="33">
        <f>VLOOKUP(A1,DIV_02Data!$A$1:$DZU$1000000,713,FALSE)</f>
        <v>0</v>
      </c>
      <c r="P42" s="46">
        <f>VLOOKUP(A1,DIV_02Data!$A$1:$DZU$1000000,714,FALSE)</f>
        <v>0</v>
      </c>
      <c r="Q42" s="33">
        <f>VLOOKUP(A1,DIV_02Data!$A$1:$DZU$1000000,715,FALSE)</f>
        <v>0</v>
      </c>
    </row>
    <row r="43" spans="1:17" x14ac:dyDescent="0.35">
      <c r="A43" s="22">
        <f>VLOOKUP(A1,DIV_02Data!$A$1:$DZU$1000000,716,FALSE)</f>
        <v>0</v>
      </c>
      <c r="B43" s="37">
        <f>VLOOKUP(A1,DIV_02Data!$A$1:$DZU$1000000,717,FALSE)</f>
        <v>0</v>
      </c>
      <c r="C43" s="38">
        <f>VLOOKUP(A1,DIV_02Data!$A$1:$DZU$1000000,718,FALSE)</f>
        <v>0</v>
      </c>
      <c r="D43" s="31">
        <f>VLOOKUP(A1,DIV_02Data!$A$1:$DZU$1000000,719,FALSE)</f>
        <v>0</v>
      </c>
      <c r="E43" s="32">
        <f>VLOOKUP(A1,DIV_02Data!$A$1:$DZU$1000000,720,FALSE)</f>
        <v>0</v>
      </c>
      <c r="F43" s="34">
        <f>VLOOKUP(A1,DIV_02Data!$A$1:$DZU$1000000,721,FALSE)</f>
        <v>0</v>
      </c>
      <c r="G43" s="33">
        <f>VLOOKUP(A1,DIV_02Data!$A$1:$DZU$1000000,722,FALSE)</f>
        <v>0</v>
      </c>
      <c r="H43" s="34">
        <f>VLOOKUP(A1,DIV_02Data!$A$1:$DZU$1000000,723,FALSE)</f>
        <v>0</v>
      </c>
      <c r="I43" s="33">
        <f>VLOOKUP(A1,DIV_02Data!$A$1:$DZU$1000000,724,FALSE)</f>
        <v>0</v>
      </c>
      <c r="J43" s="34">
        <f>VLOOKUP(A1,DIV_02Data!$A$1:$DZU$1000000,725,FALSE)</f>
        <v>0</v>
      </c>
      <c r="K43" s="34">
        <f>VLOOKUP(A1,DIV_02Data!$A$1:$DZU$1000000,726,FALSE)</f>
        <v>0</v>
      </c>
      <c r="L43" s="93">
        <f>VLOOKUP(A1,DIV_02Data!$A$1:$DZU$1000000,727,FALSE)</f>
        <v>0</v>
      </c>
      <c r="M43" s="33">
        <f>VLOOKUP(A1,DIV_02Data!$A$1:$DZU$1000000,728,FALSE)</f>
        <v>0</v>
      </c>
      <c r="N43" s="34">
        <f>VLOOKUP(A1,DIV_02Data!$A$1:$DZU$1000000,729,FALSE)</f>
        <v>0</v>
      </c>
      <c r="O43" s="33">
        <f>VLOOKUP(A1,DIV_02Data!$A$1:$DZU$1000000,730,FALSE)</f>
        <v>0</v>
      </c>
      <c r="P43" s="46">
        <f>VLOOKUP(A1,DIV_02Data!$A$1:$DZU$1000000,731,FALSE)</f>
        <v>0</v>
      </c>
      <c r="Q43" s="33">
        <f>VLOOKUP(A1,DIV_02Data!$A$1:$DZU$1000000,732,FALSE)</f>
        <v>0</v>
      </c>
    </row>
    <row r="44" spans="1:17" x14ac:dyDescent="0.35">
      <c r="A44" s="22">
        <f>VLOOKUP(A1,DIV_02Data!$A$1:$DZU$1000000,733,FALSE)</f>
        <v>0</v>
      </c>
      <c r="B44" s="37">
        <f>VLOOKUP(A1,DIV_02Data!$A$1:$DZU$1000000,734,FALSE)</f>
        <v>0</v>
      </c>
      <c r="C44" s="38">
        <f>VLOOKUP(A1,DIV_02Data!$A$1:$DZU$1000000,735,FALSE)</f>
        <v>0</v>
      </c>
      <c r="D44" s="31">
        <f>VLOOKUP(A1,DIV_02Data!$A$1:$DZU$1000000,736,FALSE)</f>
        <v>0</v>
      </c>
      <c r="E44" s="32">
        <f>VLOOKUP(A1,DIV_02Data!$A$1:$DZU$1000000,737,FALSE)</f>
        <v>0</v>
      </c>
      <c r="F44" s="34">
        <f>VLOOKUP(A1,DIV_02Data!$A$1:$DZU$1000000,738,FALSE)</f>
        <v>0</v>
      </c>
      <c r="G44" s="33">
        <f>VLOOKUP(A1,DIV_02Data!$A$1:$DZU$1000000,739,FALSE)</f>
        <v>0</v>
      </c>
      <c r="H44" s="34">
        <f>VLOOKUP(A1,DIV_02Data!$A$1:$DZU$1000000,740,FALSE)</f>
        <v>0</v>
      </c>
      <c r="I44" s="33">
        <f>VLOOKUP(A1,DIV_02Data!$A$1:$DZU$1000000,741,FALSE)</f>
        <v>0</v>
      </c>
      <c r="J44" s="34">
        <f>VLOOKUP(A1,DIV_02Data!$A$1:$DZU$1000000,742,FALSE)</f>
        <v>0</v>
      </c>
      <c r="K44" s="34">
        <f>VLOOKUP(A1,DIV_02Data!$A$1:$DZU$1000000,743,FALSE)</f>
        <v>0</v>
      </c>
      <c r="L44" s="93">
        <f>VLOOKUP(A1,DIV_02Data!$A$1:$DZU$1000000,744,FALSE)</f>
        <v>0</v>
      </c>
      <c r="M44" s="33">
        <f>VLOOKUP(A1,DIV_02Data!$A$1:$DZU$1000000,745,FALSE)</f>
        <v>0</v>
      </c>
      <c r="N44" s="34">
        <f>VLOOKUP(A1,DIV_02Data!$A$1:$DZU$1000000,746,FALSE)</f>
        <v>0</v>
      </c>
      <c r="O44" s="33">
        <f>VLOOKUP(A1,DIV_02Data!$A$1:$DZU$1000000,747,FALSE)</f>
        <v>0</v>
      </c>
      <c r="P44" s="46">
        <f>VLOOKUP(A1,DIV_02Data!$A$1:$DZU$1000000,748,FALSE)</f>
        <v>0</v>
      </c>
      <c r="Q44" s="33">
        <f>VLOOKUP(A1,DIV_02Data!$A$1:$DZU$1000000,749,FALSE)</f>
        <v>0</v>
      </c>
    </row>
    <row r="45" spans="1:17" x14ac:dyDescent="0.35">
      <c r="A45" s="22">
        <f>VLOOKUP(A1,DIV_02Data!$A$1:$DZU$1000000,750,FALSE)</f>
        <v>0</v>
      </c>
      <c r="B45" s="37">
        <f>VLOOKUP(A1,DIV_02Data!$A$1:$DZU$1000000,751,FALSE)</f>
        <v>0</v>
      </c>
      <c r="C45" s="38">
        <f>VLOOKUP(A1,DIV_02Data!$A$1:$DZU$1000000,752,FALSE)</f>
        <v>0</v>
      </c>
      <c r="D45" s="31">
        <f>VLOOKUP(A1,DIV_02Data!$A$1:$DZU$1000000,753,FALSE)</f>
        <v>0</v>
      </c>
      <c r="E45" s="32">
        <f>VLOOKUP(A1,DIV_02Data!$A$1:$DZU$1000000,754,FALSE)</f>
        <v>0</v>
      </c>
      <c r="F45" s="34">
        <f>VLOOKUP(A1,DIV_02Data!$A$1:$DZU$1000000,755,FALSE)</f>
        <v>0</v>
      </c>
      <c r="G45" s="33">
        <f>VLOOKUP(A1,DIV_02Data!$A$1:$DZU$1000000,756,FALSE)</f>
        <v>0</v>
      </c>
      <c r="H45" s="34">
        <f>VLOOKUP(A1,DIV_02Data!$A$1:$DZU$1000000,757,FALSE)</f>
        <v>0</v>
      </c>
      <c r="I45" s="33">
        <f>VLOOKUP(A1,DIV_02Data!$A$1:$DZU$1000000,758,FALSE)</f>
        <v>0</v>
      </c>
      <c r="J45" s="34">
        <f>VLOOKUP(A1,DIV_02Data!$A$1:$DZU$1000000,759,FALSE)</f>
        <v>0</v>
      </c>
      <c r="K45" s="34">
        <f>VLOOKUP(A1,DIV_02Data!$A$1:$DZU$1000000,760,FALSE)</f>
        <v>0</v>
      </c>
      <c r="L45" s="93">
        <f>VLOOKUP(A1,DIV_02Data!$A$1:$DZU$1000000,761,FALSE)</f>
        <v>0</v>
      </c>
      <c r="M45" s="33">
        <f>VLOOKUP(A1,DIV_02Data!$A$1:$DZU$1000000,762,FALSE)</f>
        <v>0</v>
      </c>
      <c r="N45" s="34">
        <f>VLOOKUP(A1,DIV_02Data!$A$1:$DZU$1000000,763,FALSE)</f>
        <v>0</v>
      </c>
      <c r="O45" s="33">
        <f>VLOOKUP(A1,DIV_02Data!$A$1:$DZU$1000000,764,FALSE)</f>
        <v>0</v>
      </c>
      <c r="P45" s="46">
        <f>VLOOKUP(A1,DIV_02Data!$A$1:$DZU$1000000,765,FALSE)</f>
        <v>0</v>
      </c>
      <c r="Q45" s="33">
        <f>VLOOKUP(A1,DIV_02Data!$A$1:$DZU$1000000,766,FALSE)</f>
        <v>0</v>
      </c>
    </row>
    <row r="46" spans="1:17" x14ac:dyDescent="0.35">
      <c r="A46" s="22">
        <f>VLOOKUP(A1,DIV_02Data!$A$1:$DZU$1000000,767,FALSE)</f>
        <v>0</v>
      </c>
      <c r="B46" s="37">
        <f>VLOOKUP(A1,DIV_02Data!$A$1:$DZU$1000000,768,FALSE)</f>
        <v>0</v>
      </c>
      <c r="C46" s="38">
        <f>VLOOKUP(A1,DIV_02Data!$A$1:$DZU$1000000,769,FALSE)</f>
        <v>0</v>
      </c>
      <c r="D46" s="31">
        <f>VLOOKUP(A1,DIV_02Data!$A$1:$DZU$1000000,770,FALSE)</f>
        <v>0</v>
      </c>
      <c r="E46" s="32">
        <f>VLOOKUP(A1,DIV_02Data!$A$1:$DZU$1000000,771,FALSE)</f>
        <v>0</v>
      </c>
      <c r="F46" s="34">
        <f>VLOOKUP(A1,DIV_02Data!$A$1:$DZU$1000000,772,FALSE)</f>
        <v>0</v>
      </c>
      <c r="G46" s="33">
        <f>VLOOKUP(A1,DIV_02Data!$A$1:$DZU$1000000,773,FALSE)</f>
        <v>0</v>
      </c>
      <c r="H46" s="34">
        <f>VLOOKUP(A1,DIV_02Data!$A$1:$DZU$1000000,774,FALSE)</f>
        <v>0</v>
      </c>
      <c r="I46" s="33">
        <f>VLOOKUP(A1,DIV_02Data!$A$1:$DZU$1000000,775,FALSE)</f>
        <v>0</v>
      </c>
      <c r="J46" s="34">
        <f>VLOOKUP(A1,DIV_02Data!$A$1:$DZU$1000000,776,FALSE)</f>
        <v>0</v>
      </c>
      <c r="K46" s="34">
        <f>VLOOKUP(A1,DIV_02Data!$A$1:$DZU$1000000,777,FALSE)</f>
        <v>0</v>
      </c>
      <c r="L46" s="93">
        <f>VLOOKUP(A1,DIV_02Data!$A$1:$DZU$1000000,778,FALSE)</f>
        <v>0</v>
      </c>
      <c r="M46" s="33">
        <f>VLOOKUP(A1,DIV_02Data!$A$1:$DZU$1000000,779,FALSE)</f>
        <v>0</v>
      </c>
      <c r="N46" s="34">
        <f>VLOOKUP(A1,DIV_02Data!$A$1:$DZU$1000000,780,FALSE)</f>
        <v>0</v>
      </c>
      <c r="O46" s="33">
        <f>VLOOKUP(A1,DIV_02Data!$A$1:$DZU$1000000,781,FALSE)</f>
        <v>0</v>
      </c>
      <c r="P46" s="46">
        <f>VLOOKUP(A1,DIV_02Data!$A$1:$DZU$1000000,782,FALSE)</f>
        <v>0</v>
      </c>
      <c r="Q46" s="33">
        <f>VLOOKUP(A1,DIV_02Data!$A$1:$DZU$1000000,783,FALSE)</f>
        <v>0</v>
      </c>
    </row>
    <row r="47" spans="1:17" x14ac:dyDescent="0.35">
      <c r="A47" s="22">
        <f>VLOOKUP(A1,DIV_02Data!$A$1:$DZU$1000000,784,FALSE)</f>
        <v>0</v>
      </c>
      <c r="B47" s="37">
        <f>VLOOKUP(A1,DIV_02Data!$A$1:$DZU$1000000,785,FALSE)</f>
        <v>0</v>
      </c>
      <c r="C47" s="38">
        <f>VLOOKUP(A1,DIV_02Data!$A$1:$DZU$1000000,786,FALSE)</f>
        <v>0</v>
      </c>
      <c r="D47" s="31">
        <f>VLOOKUP(A1,DIV_02Data!$A$1:$DZU$1000000,787,FALSE)</f>
        <v>0</v>
      </c>
      <c r="E47" s="32">
        <f>VLOOKUP(A1,DIV_02Data!$A$1:$DZU$1000000,788,FALSE)</f>
        <v>0</v>
      </c>
      <c r="F47" s="34">
        <f>VLOOKUP(A1,DIV_02Data!$A$1:$DZU$1000000,789,FALSE)</f>
        <v>0</v>
      </c>
      <c r="G47" s="33">
        <f>VLOOKUP(A1,DIV_02Data!$A$1:$DZU$1000000,790,FALSE)</f>
        <v>0</v>
      </c>
      <c r="H47" s="34">
        <f>VLOOKUP(A1,DIV_02Data!$A$1:$DZU$1000000,791,FALSE)</f>
        <v>0</v>
      </c>
      <c r="I47" s="33">
        <f>VLOOKUP(A1,DIV_02Data!$A$1:$DZU$1000000,792,FALSE)</f>
        <v>0</v>
      </c>
      <c r="J47" s="34">
        <f>VLOOKUP(A1,DIV_02Data!$A$1:$DZU$1000000,793,FALSE)</f>
        <v>0</v>
      </c>
      <c r="K47" s="34">
        <f>VLOOKUP(A1,DIV_02Data!$A$1:$DZU$1000000,794,FALSE)</f>
        <v>0</v>
      </c>
      <c r="L47" s="93">
        <f>VLOOKUP(A1,DIV_02Data!$A$1:$DZU$1000000,795,FALSE)</f>
        <v>0</v>
      </c>
      <c r="M47" s="33">
        <f>VLOOKUP(A1,DIV_02Data!$A$1:$DZU$1000000,796,FALSE)</f>
        <v>0</v>
      </c>
      <c r="N47" s="34">
        <f>VLOOKUP(A1,DIV_02Data!$A$1:$DZU$1000000,797,FALSE)</f>
        <v>0</v>
      </c>
      <c r="O47" s="33">
        <f>VLOOKUP(A1,DIV_02Data!$A$1:$DZU$1000000,798,FALSE)</f>
        <v>0</v>
      </c>
      <c r="P47" s="46">
        <f>VLOOKUP(A1,DIV_02Data!$A$1:$DZU$1000000,799,FALSE)</f>
        <v>0</v>
      </c>
      <c r="Q47" s="33">
        <f>VLOOKUP(A1,DIV_02Data!$A$1:$DZU$1000000,800,FALSE)</f>
        <v>0</v>
      </c>
    </row>
    <row r="48" spans="1:17" x14ac:dyDescent="0.35">
      <c r="A48" s="22">
        <f>VLOOKUP(A1,DIV_02Data!$A$1:$DZU$1000000,801,FALSE)</f>
        <v>0</v>
      </c>
      <c r="B48" s="37">
        <f>VLOOKUP(A1,DIV_02Data!$A$1:$DZU$1000000,802,FALSE)</f>
        <v>0</v>
      </c>
      <c r="C48" s="38">
        <f>VLOOKUP(A1,DIV_02Data!$A$1:$DZU$1000000,803,FALSE)</f>
        <v>0</v>
      </c>
      <c r="D48" s="31">
        <f>VLOOKUP(A1,DIV_02Data!$A$1:$DZU$1000000,804,FALSE)</f>
        <v>0</v>
      </c>
      <c r="E48" s="32">
        <f>VLOOKUP(A1,DIV_02Data!$A$1:$DZU$1000000,805,FALSE)</f>
        <v>0</v>
      </c>
      <c r="F48" s="34">
        <f>VLOOKUP(A1,DIV_02Data!$A$1:$DZU$1000000,806,FALSE)</f>
        <v>0</v>
      </c>
      <c r="G48" s="33">
        <f>VLOOKUP(A1,DIV_02Data!$A$1:$DZU$1000000,807,FALSE)</f>
        <v>0</v>
      </c>
      <c r="H48" s="34">
        <f>VLOOKUP(A1,DIV_02Data!$A$1:$DZU$1000000,808,FALSE)</f>
        <v>0</v>
      </c>
      <c r="I48" s="33">
        <f>VLOOKUP(A1,DIV_02Data!$A$1:$DZU$1000000,809,FALSE)</f>
        <v>0</v>
      </c>
      <c r="J48" s="34">
        <f>VLOOKUP(A1,DIV_02Data!$A$1:$DZU$1000000,810,FALSE)</f>
        <v>0</v>
      </c>
      <c r="K48" s="34">
        <f>VLOOKUP(A1,DIV_02Data!$A$1:$DZU$1000000,811,FALSE)</f>
        <v>0</v>
      </c>
      <c r="L48" s="93">
        <f>VLOOKUP(A1,DIV_02Data!$A$1:$DZU$1000000,812,FALSE)</f>
        <v>0</v>
      </c>
      <c r="M48" s="33">
        <f>VLOOKUP(A1,DIV_02Data!$A$1:$DZU$1000000,813,FALSE)</f>
        <v>0</v>
      </c>
      <c r="N48" s="34">
        <f>VLOOKUP(A1,DIV_02Data!$A$1:$DZU$1000000,814,FALSE)</f>
        <v>0</v>
      </c>
      <c r="O48" s="33">
        <f>VLOOKUP(A1,DIV_02Data!$A$1:$DZU$1000000,815,FALSE)</f>
        <v>0</v>
      </c>
      <c r="P48" s="46">
        <f>VLOOKUP(A1,DIV_02Data!$A$1:$DZU$1000000,816,FALSE)</f>
        <v>0</v>
      </c>
      <c r="Q48" s="33">
        <f>VLOOKUP(A1,DIV_02Data!$A$1:$DZU$1000000,817,FALSE)</f>
        <v>0</v>
      </c>
    </row>
    <row r="49" spans="1:17" x14ac:dyDescent="0.35">
      <c r="A49" s="22">
        <f>VLOOKUP(A1,DIV_02Data!$A$1:$DZU$1000000,818,FALSE)</f>
        <v>0</v>
      </c>
      <c r="B49" s="37">
        <f>VLOOKUP(A1,DIV_02Data!$A$1:$DZU$1000000,819,FALSE)</f>
        <v>0</v>
      </c>
      <c r="C49" s="38">
        <f>VLOOKUP(A1,DIV_02Data!$A$1:$DZU$1000000,820,FALSE)</f>
        <v>0</v>
      </c>
      <c r="D49" s="31">
        <f>VLOOKUP(A1,DIV_02Data!$A$1:$DZU$1000000,821,FALSE)</f>
        <v>0</v>
      </c>
      <c r="E49" s="32">
        <f>VLOOKUP(A1,DIV_02Data!$A$1:$DZU$1000000,822,FALSE)</f>
        <v>0</v>
      </c>
      <c r="F49" s="34">
        <f>VLOOKUP(A1,DIV_02Data!$A$1:$DZU$1000000,823,FALSE)</f>
        <v>0</v>
      </c>
      <c r="G49" s="33">
        <f>VLOOKUP(A1,DIV_02Data!$A$1:$DZU$1000000,824,FALSE)</f>
        <v>0</v>
      </c>
      <c r="H49" s="34">
        <f>VLOOKUP(A1,DIV_02Data!$A$1:$DZU$1000000,825,FALSE)</f>
        <v>0</v>
      </c>
      <c r="I49" s="33">
        <f>VLOOKUP(A1,DIV_02Data!$A$1:$DZU$1000000,826,FALSE)</f>
        <v>0</v>
      </c>
      <c r="J49" s="34">
        <f>VLOOKUP(A1,DIV_02Data!$A$1:$DZU$1000000,827,FALSE)</f>
        <v>0</v>
      </c>
      <c r="K49" s="34">
        <f>VLOOKUP(A1,DIV_02Data!$A$1:$DZU$1000000,828,FALSE)</f>
        <v>0</v>
      </c>
      <c r="L49" s="93">
        <f>VLOOKUP(A1,DIV_02Data!$A$1:$DZU$1000000,829,FALSE)</f>
        <v>0</v>
      </c>
      <c r="M49" s="33">
        <f>VLOOKUP(A1,DIV_02Data!$A$1:$DZU$1000000,830,FALSE)</f>
        <v>0</v>
      </c>
      <c r="N49" s="34">
        <f>VLOOKUP(A1,DIV_02Data!$A$1:$DZU$1000000,831,FALSE)</f>
        <v>0</v>
      </c>
      <c r="O49" s="33">
        <f>VLOOKUP(A1,DIV_02Data!$A$1:$DZU$1000000,832,FALSE)</f>
        <v>0</v>
      </c>
      <c r="P49" s="46">
        <f>VLOOKUP(A1,DIV_02Data!$A$1:$DZU$1000000,833,FALSE)</f>
        <v>0</v>
      </c>
      <c r="Q49" s="33">
        <f>VLOOKUP(A1,DIV_02Data!$A$1:$DZU$1000000,834,FALSE)</f>
        <v>0</v>
      </c>
    </row>
    <row r="50" spans="1:17" x14ac:dyDescent="0.35">
      <c r="A50" s="22">
        <f>VLOOKUP(A1,DIV_02Data!$A$1:$DZU$1000000,835,FALSE)</f>
        <v>0</v>
      </c>
      <c r="B50" s="37">
        <f>VLOOKUP(A1,DIV_02Data!$A$1:$DZU$1000000,836,FALSE)</f>
        <v>0</v>
      </c>
      <c r="C50" s="38">
        <f>VLOOKUP(A1,DIV_02Data!$A$1:$DZU$1000000,837,FALSE)</f>
        <v>0</v>
      </c>
      <c r="D50" s="31">
        <f>VLOOKUP(A1,DIV_02Data!$A$1:$DZU$1000000,838,FALSE)</f>
        <v>0</v>
      </c>
      <c r="E50" s="32">
        <f>VLOOKUP(A1,DIV_02Data!$A$1:$DZU$1000000,839,FALSE)</f>
        <v>0</v>
      </c>
      <c r="F50" s="34">
        <f>VLOOKUP(A1,DIV_02Data!$A$1:$DZU$1000000,840,FALSE)</f>
        <v>0</v>
      </c>
      <c r="G50" s="33">
        <f>VLOOKUP(A1,DIV_02Data!$A$1:$DZU$1000000,841,FALSE)</f>
        <v>0</v>
      </c>
      <c r="H50" s="34">
        <f>VLOOKUP(A1,DIV_02Data!$A$1:$DZU$1000000,842,FALSE)</f>
        <v>0</v>
      </c>
      <c r="I50" s="33">
        <f>VLOOKUP(A1,DIV_02Data!$A$1:$DZU$1000000,843,FALSE)</f>
        <v>0</v>
      </c>
      <c r="J50" s="34">
        <f>VLOOKUP(A1,DIV_02Data!$A$1:$DZU$1000000,844,FALSE)</f>
        <v>0</v>
      </c>
      <c r="K50" s="34">
        <f>VLOOKUP(A1,DIV_02Data!$A$1:$DZU$1000000,845,FALSE)</f>
        <v>0</v>
      </c>
      <c r="L50" s="93">
        <f>VLOOKUP(A1,DIV_02Data!$A$1:$DZU$1000000,846,FALSE)</f>
        <v>0</v>
      </c>
      <c r="M50" s="33">
        <f>VLOOKUP(A1,DIV_02Data!$A$1:$DZU$1000000,847,FALSE)</f>
        <v>0</v>
      </c>
      <c r="N50" s="34">
        <f>VLOOKUP(A1,DIV_02Data!$A$1:$DZU$1000000,848,FALSE)</f>
        <v>0</v>
      </c>
      <c r="O50" s="33">
        <f>VLOOKUP(A1,DIV_02Data!$A$1:$DZU$1000000,849,FALSE)</f>
        <v>0</v>
      </c>
      <c r="P50" s="46">
        <f>VLOOKUP(A1,DIV_02Data!$A$1:$DZU$1000000,850,FALSE)</f>
        <v>0</v>
      </c>
      <c r="Q50" s="33">
        <f>VLOOKUP(A1,DIV_02Data!$A$1:$DZU$1000000,851,FALSE)</f>
        <v>0</v>
      </c>
    </row>
    <row r="51" spans="1:17" x14ac:dyDescent="0.35">
      <c r="A51" s="22">
        <f>VLOOKUP(A1,DIV_02Data!$A$1:$DZU$1000000,852,FALSE)</f>
        <v>0</v>
      </c>
      <c r="B51" s="37">
        <f>VLOOKUP(A1,DIV_02Data!$A$1:$DZU$1000000,853,FALSE)</f>
        <v>0</v>
      </c>
      <c r="C51" s="38">
        <f>VLOOKUP(A1,DIV_02Data!$A$1:$DZU$1000000,854,FALSE)</f>
        <v>0</v>
      </c>
      <c r="D51" s="31">
        <f>VLOOKUP(A1,DIV_02Data!$A$1:$DZU$1000000,855,FALSE)</f>
        <v>0</v>
      </c>
      <c r="E51" s="32">
        <f>VLOOKUP(A1,DIV_02Data!$A$1:$DZU$1000000,856,FALSE)</f>
        <v>0</v>
      </c>
      <c r="F51" s="34">
        <f>VLOOKUP(A1,DIV_02Data!$A$1:$DZU$1000000,857,FALSE)</f>
        <v>0</v>
      </c>
      <c r="G51" s="33">
        <f>VLOOKUP(A1,DIV_02Data!$A$1:$DZU$1000000,858,FALSE)</f>
        <v>0</v>
      </c>
      <c r="H51" s="34">
        <f>VLOOKUP(A1,DIV_02Data!$A$1:$DZU$1000000,859,FALSE)</f>
        <v>0</v>
      </c>
      <c r="I51" s="33">
        <f>VLOOKUP(A1,DIV_02Data!$A$1:$DZU$1000000,860,FALSE)</f>
        <v>0</v>
      </c>
      <c r="J51" s="34">
        <f>VLOOKUP(A1,DIV_02Data!$A$1:$DZU$1000000,861,FALSE)</f>
        <v>0</v>
      </c>
      <c r="K51" s="34">
        <f>VLOOKUP(A1,DIV_02Data!$A$1:$DZU$1000000,862,FALSE)</f>
        <v>0</v>
      </c>
      <c r="L51" s="93">
        <f>VLOOKUP(A1,DIV_02Data!$A$1:$DZU$1000000,863,FALSE)</f>
        <v>0</v>
      </c>
      <c r="M51" s="33">
        <f>VLOOKUP(A1,DIV_02Data!$A$1:$DZU$1000000,864,FALSE)</f>
        <v>0</v>
      </c>
      <c r="N51" s="34">
        <f>VLOOKUP(A1,DIV_02Data!$A$1:$DZU$1000000,865,FALSE)</f>
        <v>0</v>
      </c>
      <c r="O51" s="33">
        <f>VLOOKUP(A1,DIV_02Data!$A$1:$DZU$1000000,866,FALSE)</f>
        <v>0</v>
      </c>
      <c r="P51" s="46">
        <f>VLOOKUP(A1,DIV_02Data!$A$1:$DZU$1000000,867,FALSE)</f>
        <v>0</v>
      </c>
      <c r="Q51" s="33">
        <f>VLOOKUP(A1,DIV_02Data!$A$1:$DZU$1000000,868,FALSE)</f>
        <v>0</v>
      </c>
    </row>
    <row r="52" spans="1:17" x14ac:dyDescent="0.35">
      <c r="A52" s="22">
        <f>VLOOKUP(A1,DIV_02Data!$A$1:$DZU$1000000,869,FALSE)</f>
        <v>0</v>
      </c>
      <c r="B52" s="37">
        <f>VLOOKUP(A1,DIV_02Data!$A$1:$DZU$1000000,870,FALSE)</f>
        <v>0</v>
      </c>
      <c r="C52" s="38">
        <f>VLOOKUP(A1,DIV_02Data!$A$1:$DZU$1000000,871,FALSE)</f>
        <v>0</v>
      </c>
      <c r="D52" s="31">
        <f>VLOOKUP(A1,DIV_02Data!$A$1:$DZU$1000000,872,FALSE)</f>
        <v>0</v>
      </c>
      <c r="E52" s="32">
        <f>VLOOKUP(A1,DIV_02Data!$A$1:$DZU$1000000,873,FALSE)</f>
        <v>0</v>
      </c>
      <c r="F52" s="34">
        <f>VLOOKUP(A1,DIV_02Data!$A$1:$DZU$1000000,874,FALSE)</f>
        <v>0</v>
      </c>
      <c r="G52" s="33">
        <f>VLOOKUP(A1,DIV_02Data!$A$1:$DZU$1000000,875,FALSE)</f>
        <v>0</v>
      </c>
      <c r="H52" s="34">
        <f>VLOOKUP(A1,DIV_02Data!$A$1:$DZU$1000000,876,FALSE)</f>
        <v>0</v>
      </c>
      <c r="I52" s="33">
        <f>VLOOKUP(A1,DIV_02Data!$A$1:$DZU$1000000,877,FALSE)</f>
        <v>0</v>
      </c>
      <c r="J52" s="34">
        <f>VLOOKUP(A1,DIV_02Data!$A$1:$DZU$1000000,878,FALSE)</f>
        <v>0</v>
      </c>
      <c r="K52" s="34">
        <f>VLOOKUP(A1,DIV_02Data!$A$1:$DZU$1000000,879,FALSE)</f>
        <v>0</v>
      </c>
      <c r="L52" s="93">
        <f>VLOOKUP(A1,DIV_02Data!$A$1:$DZU$1000000,880,FALSE)</f>
        <v>0</v>
      </c>
      <c r="M52" s="33">
        <f>VLOOKUP(A1,DIV_02Data!$A$1:$DZU$1000000,881,FALSE)</f>
        <v>0</v>
      </c>
      <c r="N52" s="34">
        <f>VLOOKUP(A1,DIV_02Data!$A$1:$DZU$1000000,882,FALSE)</f>
        <v>0</v>
      </c>
      <c r="O52" s="33">
        <f>VLOOKUP(A1,DIV_02Data!$A$1:$DZU$1000000,883,FALSE)</f>
        <v>0</v>
      </c>
      <c r="P52" s="46">
        <f>VLOOKUP(A1,DIV_02Data!$A$1:$DZU$1000000,884,FALSE)</f>
        <v>0</v>
      </c>
      <c r="Q52" s="33">
        <f>VLOOKUP(A1,DIV_02Data!$A$1:$DZU$1000000,885,FALSE)</f>
        <v>0</v>
      </c>
    </row>
    <row r="53" spans="1:17" x14ac:dyDescent="0.35">
      <c r="A53" s="22">
        <f>VLOOKUP(A1,DIV_02Data!$A$1:$DZU$1000000,886,FALSE)</f>
        <v>0</v>
      </c>
      <c r="B53" s="37">
        <f>VLOOKUP(A1,DIV_02Data!$A$1:$DZU$1000000,887,FALSE)</f>
        <v>0</v>
      </c>
      <c r="C53" s="38">
        <f>VLOOKUP(A1,DIV_02Data!$A$1:$DZU$1000000,888,FALSE)</f>
        <v>0</v>
      </c>
      <c r="D53" s="31">
        <f>VLOOKUP(A1,DIV_02Data!$A$1:$DZU$1000000,889,FALSE)</f>
        <v>0</v>
      </c>
      <c r="E53" s="32">
        <f>VLOOKUP(A1,DIV_02Data!$A$1:$DZU$1000000,890,FALSE)</f>
        <v>0</v>
      </c>
      <c r="F53" s="34">
        <f>VLOOKUP(A1,DIV_02Data!$A$1:$DZU$1000000,891,FALSE)</f>
        <v>0</v>
      </c>
      <c r="G53" s="33">
        <f>VLOOKUP(A1,DIV_02Data!$A$1:$DZU$1000000,892,FALSE)</f>
        <v>0</v>
      </c>
      <c r="H53" s="34">
        <f>VLOOKUP(A1,DIV_02Data!$A$1:$DZU$1000000,893,FALSE)</f>
        <v>0</v>
      </c>
      <c r="I53" s="33">
        <f>VLOOKUP(A1,DIV_02Data!$A$1:$DZU$1000000,894,FALSE)</f>
        <v>0</v>
      </c>
      <c r="J53" s="34">
        <f>VLOOKUP(A1,DIV_02Data!$A$1:$DZU$1000000,895,FALSE)</f>
        <v>0</v>
      </c>
      <c r="K53" s="34">
        <f>VLOOKUP(A1,DIV_02Data!$A$1:$DZU$1000000,896,FALSE)</f>
        <v>0</v>
      </c>
      <c r="L53" s="93">
        <f>VLOOKUP(A1,DIV_02Data!$A$1:$DZU$1000000,897,FALSE)</f>
        <v>0</v>
      </c>
      <c r="M53" s="33">
        <f>VLOOKUP(A1,DIV_02Data!$A$1:$DZU$1000000,898,FALSE)</f>
        <v>0</v>
      </c>
      <c r="N53" s="34">
        <f>VLOOKUP(A1,DIV_02Data!$A$1:$DZU$1000000,899,FALSE)</f>
        <v>0</v>
      </c>
      <c r="O53" s="33">
        <f>VLOOKUP(A1,DIV_02Data!$A$1:$DZU$1000000,900,FALSE)</f>
        <v>0</v>
      </c>
      <c r="P53" s="46">
        <f>VLOOKUP(A1,DIV_02Data!$A$1:$DZU$1000000,901,FALSE)</f>
        <v>0</v>
      </c>
      <c r="Q53" s="33">
        <f>VLOOKUP(A1,DIV_02Data!$A$1:$DZU$1000000,902,FALSE)</f>
        <v>0</v>
      </c>
    </row>
    <row r="54" spans="1:17" x14ac:dyDescent="0.35">
      <c r="A54" s="22">
        <f>VLOOKUP(A1,DIV_02Data!$A$1:$DZU$1000000,903,FALSE)</f>
        <v>0</v>
      </c>
      <c r="B54" s="37">
        <f>VLOOKUP(A1,DIV_02Data!$A$1:$DZU$1000000,904,FALSE)</f>
        <v>0</v>
      </c>
      <c r="C54" s="38">
        <f>VLOOKUP(A1,DIV_02Data!$A$1:$DZU$1000000,905,FALSE)</f>
        <v>0</v>
      </c>
      <c r="D54" s="31">
        <f>VLOOKUP(A1,DIV_02Data!$A$1:$DZU$1000000,906,FALSE)</f>
        <v>0</v>
      </c>
      <c r="E54" s="32">
        <f>VLOOKUP(A1,DIV_02Data!$A$1:$DZU$1000000,907,FALSE)</f>
        <v>0</v>
      </c>
      <c r="F54" s="34">
        <f>VLOOKUP(A1,DIV_02Data!$A$1:$DZU$1000000,908,FALSE)</f>
        <v>0</v>
      </c>
      <c r="G54" s="33">
        <f>VLOOKUP(A1,DIV_02Data!$A$1:$DZU$1000000,909,FALSE)</f>
        <v>0</v>
      </c>
      <c r="H54" s="34">
        <f>VLOOKUP(A1,DIV_02Data!$A$1:$DZU$1000000,910,FALSE)</f>
        <v>0</v>
      </c>
      <c r="I54" s="33">
        <f>VLOOKUP(A1,DIV_02Data!$A$1:$DZU$1000000,911,FALSE)</f>
        <v>0</v>
      </c>
      <c r="J54" s="34">
        <f>VLOOKUP(A1,DIV_02Data!$A$1:$DZU$1000000,912,FALSE)</f>
        <v>0</v>
      </c>
      <c r="K54" s="34">
        <f>VLOOKUP(A1,DIV_02Data!$A$1:$DZU$1000000,913,FALSE)</f>
        <v>0</v>
      </c>
      <c r="L54" s="93">
        <f>VLOOKUP(A1,DIV_02Data!$A$1:$DZU$1000000,914,FALSE)</f>
        <v>0</v>
      </c>
      <c r="M54" s="33">
        <f>VLOOKUP(A1,DIV_02Data!$A$1:$DZU$1000000,915,FALSE)</f>
        <v>0</v>
      </c>
      <c r="N54" s="34">
        <f>VLOOKUP(A1,DIV_02Data!$A$1:$DZU$1000000,916,FALSE)</f>
        <v>0</v>
      </c>
      <c r="O54" s="33">
        <f>VLOOKUP(A1,DIV_02Data!$A$1:$DZU$1000000,917,FALSE)</f>
        <v>0</v>
      </c>
      <c r="P54" s="46">
        <f>VLOOKUP(A1,DIV_02Data!$A$1:$DZU$1000000,918,FALSE)</f>
        <v>0</v>
      </c>
      <c r="Q54" s="33">
        <f>VLOOKUP(A1,DIV_02Data!$A$1:$DZU$1000000,919,FALSE)</f>
        <v>0</v>
      </c>
    </row>
    <row r="55" spans="1:17" x14ac:dyDescent="0.35">
      <c r="A55" s="22">
        <f>VLOOKUP(A1,DIV_02Data!$A$1:$DZU$1000000,920,FALSE)</f>
        <v>0</v>
      </c>
      <c r="B55" s="37">
        <f>VLOOKUP(A1,DIV_02Data!$A$1:$DZU$1000000,921,FALSE)</f>
        <v>0</v>
      </c>
      <c r="C55" s="38">
        <f>VLOOKUP(A1,DIV_02Data!$A$1:$DZU$1000000,922,FALSE)</f>
        <v>0</v>
      </c>
      <c r="D55" s="31">
        <f>VLOOKUP(A1,DIV_02Data!$A$1:$DZU$1000000,923,FALSE)</f>
        <v>0</v>
      </c>
      <c r="E55" s="32">
        <f>VLOOKUP(A1,DIV_02Data!$A$1:$DZU$1000000,924,FALSE)</f>
        <v>0</v>
      </c>
      <c r="F55" s="34">
        <f>VLOOKUP(A1,DIV_02Data!$A$1:$DZU$1000000,925,FALSE)</f>
        <v>0</v>
      </c>
      <c r="G55" s="33">
        <f>VLOOKUP(A1,DIV_02Data!$A$1:$DZU$1000000,926,FALSE)</f>
        <v>0</v>
      </c>
      <c r="H55" s="34">
        <f>VLOOKUP(A1,DIV_02Data!$A$1:$DZU$1000000,927,FALSE)</f>
        <v>0</v>
      </c>
      <c r="I55" s="33">
        <f>VLOOKUP(A1,DIV_02Data!$A$1:$DZU$1000000,928,FALSE)</f>
        <v>0</v>
      </c>
      <c r="J55" s="34">
        <f>VLOOKUP(A1,DIV_02Data!$A$1:$DZU$1000000,929,FALSE)</f>
        <v>0</v>
      </c>
      <c r="K55" s="34">
        <f>VLOOKUP(A1,DIV_02Data!$A$1:$DZU$1000000,930,FALSE)</f>
        <v>0</v>
      </c>
      <c r="L55" s="93">
        <f>VLOOKUP(A1,DIV_02Data!$A$1:$DZU$1000000,931,FALSE)</f>
        <v>0</v>
      </c>
      <c r="M55" s="33">
        <f>VLOOKUP(A1,DIV_02Data!$A$1:$DZU$1000000,932,FALSE)</f>
        <v>0</v>
      </c>
      <c r="N55" s="34">
        <f>VLOOKUP(A1,DIV_02Data!$A$1:$DZU$1000000,933,FALSE)</f>
        <v>0</v>
      </c>
      <c r="O55" s="33">
        <f>VLOOKUP(A1,DIV_02Data!$A$1:$DZU$1000000,934,FALSE)</f>
        <v>0</v>
      </c>
      <c r="P55" s="46">
        <f>VLOOKUP(A1,DIV_02Data!$A$1:$DZU$1000000,935,FALSE)</f>
        <v>0</v>
      </c>
      <c r="Q55" s="33">
        <f>VLOOKUP(A1,DIV_02Data!$A$1:$DZU$1000000,936,FALSE)</f>
        <v>0</v>
      </c>
    </row>
    <row r="56" spans="1:17" x14ac:dyDescent="0.35">
      <c r="A56" s="22">
        <f>VLOOKUP(A1,DIV_02Data!$A$1:$DZU$1000000,937,FALSE)</f>
        <v>0</v>
      </c>
      <c r="B56" s="37">
        <f>VLOOKUP(A1,DIV_02Data!$A$1:$DZU$1000000,938,FALSE)</f>
        <v>0</v>
      </c>
      <c r="C56" s="38">
        <f>VLOOKUP(A1,DIV_02Data!$A$1:$DZU$1000000,939,FALSE)</f>
        <v>0</v>
      </c>
      <c r="D56" s="31">
        <f>VLOOKUP(A1,DIV_02Data!$A$1:$DZU$1000000,940,FALSE)</f>
        <v>0</v>
      </c>
      <c r="E56" s="32">
        <f>VLOOKUP(A1,DIV_02Data!$A$1:$DZU$1000000,941,FALSE)</f>
        <v>0</v>
      </c>
      <c r="F56" s="34">
        <f>VLOOKUP(A1,DIV_02Data!$A$1:$DZU$1000000,942,FALSE)</f>
        <v>0</v>
      </c>
      <c r="G56" s="33">
        <f>VLOOKUP(A1,DIV_02Data!$A$1:$DZU$1000000,943,FALSE)</f>
        <v>0</v>
      </c>
      <c r="H56" s="34">
        <f>VLOOKUP(A1,DIV_02Data!$A$1:$DZU$1000000,944,FALSE)</f>
        <v>0</v>
      </c>
      <c r="I56" s="33">
        <f>VLOOKUP(A1,DIV_02Data!$A$1:$DZU$1000000,945,FALSE)</f>
        <v>0</v>
      </c>
      <c r="J56" s="34">
        <f>VLOOKUP(A1,DIV_02Data!$A$1:$DZU$1000000,946,FALSE)</f>
        <v>0</v>
      </c>
      <c r="K56" s="34">
        <f>VLOOKUP(A1,DIV_02Data!$A$1:$DZU$1000000,947,FALSE)</f>
        <v>0</v>
      </c>
      <c r="L56" s="93">
        <f>VLOOKUP(A1,DIV_02Data!$A$1:$DZU$1000000,948,FALSE)</f>
        <v>0</v>
      </c>
      <c r="M56" s="33">
        <f>VLOOKUP(A1,DIV_02Data!$A$1:$DZU$1000000,949,FALSE)</f>
        <v>0</v>
      </c>
      <c r="N56" s="34">
        <f>VLOOKUP(A1,DIV_02Data!$A$1:$DZU$1000000,950,FALSE)</f>
        <v>0</v>
      </c>
      <c r="O56" s="33">
        <f>VLOOKUP(A1,DIV_02Data!$A$1:$DZU$1000000,951,FALSE)</f>
        <v>0</v>
      </c>
      <c r="P56" s="46">
        <f>VLOOKUP(A1,DIV_02Data!$A$1:$DZU$1000000,952,FALSE)</f>
        <v>0</v>
      </c>
      <c r="Q56" s="33">
        <f>VLOOKUP(A1,DIV_02Data!$A$1:$DZU$1000000,953,FALSE)</f>
        <v>0</v>
      </c>
    </row>
    <row r="57" spans="1:17" x14ac:dyDescent="0.35">
      <c r="A57" s="22">
        <f>VLOOKUP(A1,DIV_02Data!$A$1:$DZU$1000000,954,FALSE)</f>
        <v>0</v>
      </c>
      <c r="B57" s="37">
        <f>VLOOKUP(A1,DIV_02Data!$A$1:$DZU$1000000,955,FALSE)</f>
        <v>0</v>
      </c>
      <c r="C57" s="38">
        <f>VLOOKUP(A1,DIV_02Data!$A$1:$DZU$1000000,956,FALSE)</f>
        <v>0</v>
      </c>
      <c r="D57" s="31">
        <f>VLOOKUP(A1,DIV_02Data!$A$1:$DZU$1000000,957,FALSE)</f>
        <v>0</v>
      </c>
      <c r="E57" s="32">
        <f>VLOOKUP(A1,DIV_02Data!$A$1:$DZU$1000000,958,FALSE)</f>
        <v>0</v>
      </c>
      <c r="F57" s="34">
        <f>VLOOKUP(A1,DIV_02Data!$A$1:$DZU$1000000,959,FALSE)</f>
        <v>0</v>
      </c>
      <c r="G57" s="33">
        <f>VLOOKUP(A1,DIV_02Data!$A$1:$DZU$1000000,960,FALSE)</f>
        <v>0</v>
      </c>
      <c r="H57" s="34">
        <f>VLOOKUP(A1,DIV_02Data!$A$1:$DZU$1000000,961,FALSE)</f>
        <v>0</v>
      </c>
      <c r="I57" s="33">
        <f>VLOOKUP(A1,DIV_02Data!$A$1:$DZU$1000000,962,FALSE)</f>
        <v>0</v>
      </c>
      <c r="J57" s="34">
        <f>VLOOKUP(A1,DIV_02Data!$A$1:$DZU$1000000,963,FALSE)</f>
        <v>0</v>
      </c>
      <c r="K57" s="34">
        <f>VLOOKUP(A1,DIV_02Data!$A$1:$DZU$1000000,964,FALSE)</f>
        <v>0</v>
      </c>
      <c r="L57" s="93">
        <f>VLOOKUP(A1,DIV_02Data!$A$1:$DZU$1000000,965,FALSE)</f>
        <v>0</v>
      </c>
      <c r="M57" s="33">
        <f>VLOOKUP(A1,DIV_02Data!$A$1:$DZU$1000000,966,FALSE)</f>
        <v>0</v>
      </c>
      <c r="N57" s="34">
        <f>VLOOKUP(A1,DIV_02Data!$A$1:$DZU$1000000,967,FALSE)</f>
        <v>0</v>
      </c>
      <c r="O57" s="33">
        <f>VLOOKUP(A1,DIV_02Data!$A$1:$DZU$1000000,968,FALSE)</f>
        <v>0</v>
      </c>
      <c r="P57" s="46">
        <f>VLOOKUP(A1,DIV_02Data!$A$1:$DZU$1000000,969,FALSE)</f>
        <v>0</v>
      </c>
      <c r="Q57" s="33">
        <f>VLOOKUP(A1,DIV_02Data!$A$1:$DZU$1000000,970,FALSE)</f>
        <v>0</v>
      </c>
    </row>
    <row r="58" spans="1:17" x14ac:dyDescent="0.35">
      <c r="A58" s="22">
        <f>VLOOKUP(A1,DIV_02Data!$A$1:$DZU$1000000,971,FALSE)</f>
        <v>0</v>
      </c>
      <c r="B58" s="37">
        <f>VLOOKUP(A1,DIV_02Data!$A$1:$DZU$1000000,972,FALSE)</f>
        <v>0</v>
      </c>
      <c r="C58" s="38">
        <f>VLOOKUP(A1,DIV_02Data!$A$1:$DZU$1000000,973,FALSE)</f>
        <v>0</v>
      </c>
      <c r="D58" s="31">
        <f>VLOOKUP(A1,DIV_02Data!$A$1:$DZU$1000000,974,FALSE)</f>
        <v>0</v>
      </c>
      <c r="E58" s="32">
        <f>VLOOKUP(A1,DIV_02Data!$A$1:$DZU$1000000,975,FALSE)</f>
        <v>0</v>
      </c>
      <c r="F58" s="34">
        <f>VLOOKUP(A1,DIV_02Data!$A$1:$DZU$1000000,976,FALSE)</f>
        <v>0</v>
      </c>
      <c r="G58" s="33">
        <f>VLOOKUP(A1,DIV_02Data!$A$1:$DZU$1000000,977,FALSE)</f>
        <v>0</v>
      </c>
      <c r="H58" s="34">
        <f>VLOOKUP(A1,DIV_02Data!$A$1:$DZU$1000000,978,FALSE)</f>
        <v>0</v>
      </c>
      <c r="I58" s="33">
        <f>VLOOKUP(A1,DIV_02Data!$A$1:$DZU$1000000,979,FALSE)</f>
        <v>0</v>
      </c>
      <c r="J58" s="34">
        <f>VLOOKUP(A1,DIV_02Data!$A$1:$DZU$1000000,980,FALSE)</f>
        <v>0</v>
      </c>
      <c r="K58" s="34">
        <f>VLOOKUP(A1,DIV_02Data!$A$1:$DZU$1000000,981,FALSE)</f>
        <v>0</v>
      </c>
      <c r="L58" s="93">
        <f>VLOOKUP(A1,DIV_02Data!$A$1:$DZU$1000000,982,FALSE)</f>
        <v>0</v>
      </c>
      <c r="M58" s="33">
        <f>VLOOKUP(A1,DIV_02Data!$A$1:$DZU$1000000,983,FALSE)</f>
        <v>0</v>
      </c>
      <c r="N58" s="34">
        <f>VLOOKUP(A1,DIV_02Data!$A$1:$DZU$1000000,984,FALSE)</f>
        <v>0</v>
      </c>
      <c r="O58" s="33">
        <f>VLOOKUP(A1,DIV_02Data!$A$1:$DZU$1000000,985,FALSE)</f>
        <v>0</v>
      </c>
      <c r="P58" s="46">
        <f>VLOOKUP(A1,DIV_02Data!$A$1:$DZU$1000000,986,FALSE)</f>
        <v>0</v>
      </c>
      <c r="Q58" s="33">
        <f>VLOOKUP(A1,DIV_02Data!$A$1:$DZU$1000000,987,FALSE)</f>
        <v>0</v>
      </c>
    </row>
    <row r="59" spans="1:17" x14ac:dyDescent="0.35">
      <c r="A59" s="22">
        <f>VLOOKUP(A1,DIV_02Data!$A$1:$DZU$1000000,988,FALSE)</f>
        <v>0</v>
      </c>
      <c r="B59" s="37">
        <f>VLOOKUP(A1,DIV_02Data!$A$1:$DZU$1000000,989,FALSE)</f>
        <v>0</v>
      </c>
      <c r="C59" s="38">
        <f>VLOOKUP(A1,DIV_02Data!$A$1:$DZU$1000000,990,FALSE)</f>
        <v>0</v>
      </c>
      <c r="D59" s="31">
        <f>VLOOKUP(A1,DIV_02Data!$A$1:$DZU$1000000,991,FALSE)</f>
        <v>0</v>
      </c>
      <c r="E59" s="32">
        <f>VLOOKUP(A1,DIV_02Data!$A$1:$DZU$1000000,992,FALSE)</f>
        <v>0</v>
      </c>
      <c r="F59" s="34">
        <f>VLOOKUP(A1,DIV_02Data!$A$1:$DZU$1000000,993,FALSE)</f>
        <v>0</v>
      </c>
      <c r="G59" s="33">
        <f>VLOOKUP(A1,DIV_02Data!$A$1:$DZU$1000000,994,FALSE)</f>
        <v>0</v>
      </c>
      <c r="H59" s="34">
        <f>VLOOKUP(A1,DIV_02Data!$A$1:$DZU$1000000,995,FALSE)</f>
        <v>0</v>
      </c>
      <c r="I59" s="33">
        <f>VLOOKUP(A1,DIV_02Data!$A$1:$DZU$1000000,996,FALSE)</f>
        <v>0</v>
      </c>
      <c r="J59" s="34">
        <f>VLOOKUP(A1,DIV_02Data!$A$1:$DZU$1000000,997,FALSE)</f>
        <v>0</v>
      </c>
      <c r="K59" s="34">
        <f>VLOOKUP(A1,DIV_02Data!$A$1:$DZU$1000000,998,FALSE)</f>
        <v>0</v>
      </c>
      <c r="L59" s="93">
        <f>VLOOKUP(A1,DIV_02Data!$A$1:$DZU$1000000,999,FALSE)</f>
        <v>0</v>
      </c>
      <c r="M59" s="33">
        <f>VLOOKUP(A1,DIV_02Data!$A$1:$DZU$1000000,1000,FALSE)</f>
        <v>0</v>
      </c>
      <c r="N59" s="34">
        <f>VLOOKUP(A1,DIV_02Data!$A$1:$DZU$1000000,1001,FALSE)</f>
        <v>0</v>
      </c>
      <c r="O59" s="33">
        <f>VLOOKUP(A1,DIV_02Data!$A$1:$DZU$1000000,1002,FALSE)</f>
        <v>0</v>
      </c>
      <c r="P59" s="46">
        <f>VLOOKUP(A1,DIV_02Data!$A$1:$DZU$1000000,1003,FALSE)</f>
        <v>0</v>
      </c>
      <c r="Q59" s="33">
        <f>VLOOKUP(A1,DIV_02Data!$A$1:$DZU$1000000,1004,FALSE)</f>
        <v>0</v>
      </c>
    </row>
    <row r="60" spans="1:17" x14ac:dyDescent="0.35">
      <c r="A60" s="22">
        <f>VLOOKUP(A1,DIV_02Data!$A$1:$DZU$1000000,1005,FALSE)</f>
        <v>0</v>
      </c>
      <c r="B60" s="37">
        <f>VLOOKUP(A1,DIV_02Data!$A$1:$DZU$1000000,1006,FALSE)</f>
        <v>0</v>
      </c>
      <c r="C60" s="38">
        <f>VLOOKUP(A1,DIV_02Data!$A$1:$DZU$1000000,1007,FALSE)</f>
        <v>0</v>
      </c>
      <c r="D60" s="31">
        <f>VLOOKUP(A1,DIV_02Data!$A$1:$DZU$1000000,1008,FALSE)</f>
        <v>0</v>
      </c>
      <c r="E60" s="32">
        <f>VLOOKUP(A1,DIV_02Data!$A$1:$DZU$1000000,1009,FALSE)</f>
        <v>0</v>
      </c>
      <c r="F60" s="34">
        <f>VLOOKUP(A1,DIV_02Data!$A$1:$DZU$1000000,1010,FALSE)</f>
        <v>0</v>
      </c>
      <c r="G60" s="33">
        <f>VLOOKUP(A1,DIV_02Data!$A$1:$DZU$1000000,1011,FALSE)</f>
        <v>0</v>
      </c>
      <c r="H60" s="34">
        <f>VLOOKUP(A1,DIV_02Data!$A$1:$DZU$1000000,1012,FALSE)</f>
        <v>0</v>
      </c>
      <c r="I60" s="33">
        <f>VLOOKUP(A1,DIV_02Data!$A$1:$DZU$1000000,1013,FALSE)</f>
        <v>0</v>
      </c>
      <c r="J60" s="34">
        <f>VLOOKUP(A1,DIV_02Data!$A$1:$DZU$1000000,1014,FALSE)</f>
        <v>0</v>
      </c>
      <c r="K60" s="34">
        <f>VLOOKUP(A1,DIV_02Data!$A$1:$DZU$1000000,1015,FALSE)</f>
        <v>0</v>
      </c>
      <c r="L60" s="93">
        <f>VLOOKUP(A1,DIV_02Data!$A$1:$DZU$1000000,1016,FALSE)</f>
        <v>0</v>
      </c>
      <c r="M60" s="33">
        <f>VLOOKUP(A1,DIV_02Data!$A$1:$DZU$1000000,1017,FALSE)</f>
        <v>0</v>
      </c>
      <c r="N60" s="34">
        <f>VLOOKUP(A1,DIV_02Data!$A$1:$DZU$1000000,1018,FALSE)</f>
        <v>0</v>
      </c>
      <c r="O60" s="33">
        <f>VLOOKUP(A1,DIV_02Data!$A$1:$DZU$1000000,1019,FALSE)</f>
        <v>0</v>
      </c>
      <c r="P60" s="46">
        <f>VLOOKUP(A1,DIV_02Data!$A$1:$DZU$1000000,1020,FALSE)</f>
        <v>0</v>
      </c>
      <c r="Q60" s="33">
        <f>VLOOKUP(A1,DIV_02Data!$A$1:$DZU$1000000,1021,FALSE)</f>
        <v>0</v>
      </c>
    </row>
    <row r="61" spans="1:17" x14ac:dyDescent="0.35">
      <c r="A61" s="22">
        <f>VLOOKUP(A1,DIV_02Data!$A$1:$DZU$1000000,1022,FALSE)</f>
        <v>0</v>
      </c>
      <c r="B61" s="37">
        <f>VLOOKUP(A1,DIV_02Data!$A$1:$DZU$1000000,1023,FALSE)</f>
        <v>0</v>
      </c>
      <c r="C61" s="38">
        <f>VLOOKUP(A1,DIV_02Data!$A$1:$DZU$1000000,1024,FALSE)</f>
        <v>0</v>
      </c>
      <c r="D61" s="31">
        <f>VLOOKUP(A1,DIV_02Data!$A$1:$DZU$1000000,1025,FALSE)</f>
        <v>0</v>
      </c>
      <c r="E61" s="32">
        <f>VLOOKUP(A1,DIV_02Data!$A$1:$DZU$1000000,1026,FALSE)</f>
        <v>0</v>
      </c>
      <c r="F61" s="34">
        <f>VLOOKUP(A1,DIV_02Data!$A$1:$DZU$1000000,1027,FALSE)</f>
        <v>0</v>
      </c>
      <c r="G61" s="33">
        <f>VLOOKUP(A1,DIV_02Data!$A$1:$DZU$1000000,1028,FALSE)</f>
        <v>0</v>
      </c>
      <c r="H61" s="34">
        <f>VLOOKUP(A1,DIV_02Data!$A$1:$DZU$1000000,1029,FALSE)</f>
        <v>0</v>
      </c>
      <c r="I61" s="33">
        <f>VLOOKUP(A1,DIV_02Data!$A$1:$DZU$1000000,1030,FALSE)</f>
        <v>0</v>
      </c>
      <c r="J61" s="34">
        <f>VLOOKUP(A1,DIV_02Data!$A$1:$DZU$1000000,1031,FALSE)</f>
        <v>0</v>
      </c>
      <c r="K61" s="34">
        <f>VLOOKUP(A1,DIV_02Data!$A$1:$DZU$1000000,1032,FALSE)</f>
        <v>0</v>
      </c>
      <c r="L61" s="93">
        <f>VLOOKUP(A1,DIV_02Data!$A$1:$DZU$1000000,1033,FALSE)</f>
        <v>0</v>
      </c>
      <c r="M61" s="33">
        <f>VLOOKUP(A1,DIV_02Data!$A$1:$DZU$1000000,1034,FALSE)</f>
        <v>0</v>
      </c>
      <c r="N61" s="34">
        <f>VLOOKUP(A1,DIV_02Data!$A$1:$DZU$1000000,1035,FALSE)</f>
        <v>0</v>
      </c>
      <c r="O61" s="33">
        <f>VLOOKUP(A1,DIV_02Data!$A$1:$DZU$1000000,1036,FALSE)</f>
        <v>0</v>
      </c>
      <c r="P61" s="46">
        <f>VLOOKUP(A1,DIV_02Data!$A$1:$DZU$1000000,1037,FALSE)</f>
        <v>0</v>
      </c>
      <c r="Q61" s="33">
        <f>VLOOKUP(A1,DIV_02Data!$A$1:$DZU$1000000,1038,FALSE)</f>
        <v>0</v>
      </c>
    </row>
    <row r="62" spans="1:17" x14ac:dyDescent="0.35">
      <c r="A62" s="22">
        <f>VLOOKUP(A1,DIV_02Data!$A$1:$DZU$1000000,1039,FALSE)</f>
        <v>0</v>
      </c>
      <c r="B62" s="37">
        <f>VLOOKUP(A1,DIV_02Data!$A$1:$DZU$1000000,1040,FALSE)</f>
        <v>0</v>
      </c>
      <c r="C62" s="38">
        <f>VLOOKUP(A1,DIV_02Data!$A$1:$DZU$1000000,1041,FALSE)</f>
        <v>0</v>
      </c>
      <c r="D62" s="31">
        <f>VLOOKUP(A1,DIV_02Data!$A$1:$DZU$1000000,1042,FALSE)</f>
        <v>0</v>
      </c>
      <c r="E62" s="32">
        <f>VLOOKUP(A1,DIV_02Data!$A$1:$DZU$1000000,1043,FALSE)</f>
        <v>0</v>
      </c>
      <c r="F62" s="34">
        <f>VLOOKUP(A1,DIV_02Data!$A$1:$DZU$1000000,1044,FALSE)</f>
        <v>0</v>
      </c>
      <c r="G62" s="33">
        <f>VLOOKUP(A1,DIV_02Data!$A$1:$DZU$1000000,1045,FALSE)</f>
        <v>0</v>
      </c>
      <c r="H62" s="34">
        <f>VLOOKUP(A1,DIV_02Data!$A$1:$DZU$1000000,1046,FALSE)</f>
        <v>0</v>
      </c>
      <c r="I62" s="33">
        <f>VLOOKUP(A1,DIV_02Data!$A$1:$DZU$1000000,1047,FALSE)</f>
        <v>0</v>
      </c>
      <c r="J62" s="34">
        <f>VLOOKUP(A1,DIV_02Data!$A$1:$DZU$1000000,1048,FALSE)</f>
        <v>0</v>
      </c>
      <c r="K62" s="34">
        <f>VLOOKUP(A1,DIV_02Data!$A$1:$DZU$1000000,1049,FALSE)</f>
        <v>0</v>
      </c>
      <c r="L62" s="93">
        <f>VLOOKUP(A1,DIV_02Data!$A$1:$DZU$1000000,1050,FALSE)</f>
        <v>0</v>
      </c>
      <c r="M62" s="33">
        <f>VLOOKUP(A1,DIV_02Data!$A$1:$DZU$1000000,1051,FALSE)</f>
        <v>0</v>
      </c>
      <c r="N62" s="34">
        <f>VLOOKUP(A1,DIV_02Data!$A$1:$DZU$1000000,1052,FALSE)</f>
        <v>0</v>
      </c>
      <c r="O62" s="33">
        <f>VLOOKUP(A1,DIV_02Data!$A$1:$DZU$1000000,1053,FALSE)</f>
        <v>0</v>
      </c>
      <c r="P62" s="46">
        <f>VLOOKUP(A1,DIV_02Data!$A$1:$DZU$1000000,1054,FALSE)</f>
        <v>0</v>
      </c>
      <c r="Q62" s="33">
        <f>VLOOKUP(A1,DIV_02Data!$A$1:$DZU$1000000,1055,FALSE)</f>
        <v>0</v>
      </c>
    </row>
    <row r="63" spans="1:17" x14ac:dyDescent="0.35">
      <c r="A63" s="22">
        <f>VLOOKUP(A1,DIV_02Data!$A$1:$DZU$1000000,1056,FALSE)</f>
        <v>0</v>
      </c>
      <c r="B63" s="37">
        <f>VLOOKUP(A1,DIV_02Data!$A$1:$DZU$1000000,1057,FALSE)</f>
        <v>0</v>
      </c>
      <c r="C63" s="38">
        <f>VLOOKUP(A1,DIV_02Data!$A$1:$DZU$1000000,1058,FALSE)</f>
        <v>0</v>
      </c>
      <c r="D63" s="31">
        <f>VLOOKUP(A1,DIV_02Data!$A$1:$DZU$1000000,1059,FALSE)</f>
        <v>0</v>
      </c>
      <c r="E63" s="32">
        <f>VLOOKUP(A1,DIV_02Data!$A$1:$DZU$1000000,1060,FALSE)</f>
        <v>0</v>
      </c>
      <c r="F63" s="34">
        <f>VLOOKUP(A1,DIV_02Data!$A$1:$DZU$1000000,1061,FALSE)</f>
        <v>0</v>
      </c>
      <c r="G63" s="33">
        <f>VLOOKUP(A1,DIV_02Data!$A$1:$DZU$1000000,1062,FALSE)</f>
        <v>0</v>
      </c>
      <c r="H63" s="34">
        <f>VLOOKUP(A1,DIV_02Data!$A$1:$DZU$1000000,1063,FALSE)</f>
        <v>0</v>
      </c>
      <c r="I63" s="33">
        <f>VLOOKUP(A1,DIV_02Data!$A$1:$DZU$1000000,1064,FALSE)</f>
        <v>0</v>
      </c>
      <c r="J63" s="34">
        <f>VLOOKUP(A1,DIV_02Data!$A$1:$DZU$1000000,1065,FALSE)</f>
        <v>0</v>
      </c>
      <c r="K63" s="34">
        <f>VLOOKUP(A1,DIV_02Data!$A$1:$DZU$1000000,1066,FALSE)</f>
        <v>0</v>
      </c>
      <c r="L63" s="93">
        <f>VLOOKUP(A1,DIV_02Data!$A$1:$DZU$1000000,1067,FALSE)</f>
        <v>0</v>
      </c>
      <c r="M63" s="33">
        <f>VLOOKUP(A1,DIV_02Data!$A$1:$DZU$1000000,1068,FALSE)</f>
        <v>0</v>
      </c>
      <c r="N63" s="34">
        <f>VLOOKUP(A1,DIV_02Data!$A$1:$DZU$1000000,1069,FALSE)</f>
        <v>0</v>
      </c>
      <c r="O63" s="33">
        <f>VLOOKUP(A1,DIV_02Data!$A$1:$DZU$1000000,1070,FALSE)</f>
        <v>0</v>
      </c>
      <c r="P63" s="46">
        <f>VLOOKUP(A1,DIV_02Data!$A$1:$DZU$1000000,1071,FALSE)</f>
        <v>0</v>
      </c>
      <c r="Q63" s="33">
        <f>VLOOKUP(A1,DIV_02Data!$A$1:$DZU$1000000,1072,FALSE)</f>
        <v>0</v>
      </c>
    </row>
    <row r="64" spans="1:17" x14ac:dyDescent="0.35">
      <c r="A64" s="22">
        <f>VLOOKUP(A1,DIV_02Data!$A$1:$DZU$1000000,1073,FALSE)</f>
        <v>0</v>
      </c>
      <c r="B64" s="37">
        <f>VLOOKUP(A1,DIV_02Data!$A$1:$DZU$1000000,1074,FALSE)</f>
        <v>0</v>
      </c>
      <c r="C64" s="38">
        <f>VLOOKUP(A1,DIV_02Data!$A$1:$DZU$1000000,1075,FALSE)</f>
        <v>0</v>
      </c>
      <c r="D64" s="31">
        <f>VLOOKUP(A1,DIV_02Data!$A$1:$DZU$1000000,1076,FALSE)</f>
        <v>0</v>
      </c>
      <c r="E64" s="32">
        <f>VLOOKUP(A1,DIV_02Data!$A$1:$DZU$1000000,1077,FALSE)</f>
        <v>0</v>
      </c>
      <c r="F64" s="34">
        <f>VLOOKUP(A1,DIV_02Data!$A$1:$DZU$1000000,1078,FALSE)</f>
        <v>0</v>
      </c>
      <c r="G64" s="33">
        <f>VLOOKUP(A1,DIV_02Data!$A$1:$DZU$1000000,1079,FALSE)</f>
        <v>0</v>
      </c>
      <c r="H64" s="34">
        <f>VLOOKUP(A1,DIV_02Data!$A$1:$DZU$1000000,1080,FALSE)</f>
        <v>0</v>
      </c>
      <c r="I64" s="33">
        <f>VLOOKUP(A1,DIV_02Data!$A$1:$DZU$1000000,1081,FALSE)</f>
        <v>0</v>
      </c>
      <c r="J64" s="34">
        <f>VLOOKUP(A1,DIV_02Data!$A$1:$DZU$1000000,1082,FALSE)</f>
        <v>0</v>
      </c>
      <c r="K64" s="34">
        <f>VLOOKUP(A1,DIV_02Data!$A$1:$DZU$1000000,1083,FALSE)</f>
        <v>0</v>
      </c>
      <c r="L64" s="93">
        <f>VLOOKUP(A1,DIV_02Data!$A$1:$DZU$1000000,1084,FALSE)</f>
        <v>0</v>
      </c>
      <c r="M64" s="33">
        <f>VLOOKUP(A1,DIV_02Data!$A$1:$DZU$1000000,1085,FALSE)</f>
        <v>0</v>
      </c>
      <c r="N64" s="34">
        <f>VLOOKUP(A1,DIV_02Data!$A$1:$DZU$1000000,1086,FALSE)</f>
        <v>0</v>
      </c>
      <c r="O64" s="33">
        <f>VLOOKUP(A1,DIV_02Data!$A$1:$DZU$1000000,1087,FALSE)</f>
        <v>0</v>
      </c>
      <c r="P64" s="46">
        <f>VLOOKUP(A1,DIV_02Data!$A$1:$DZU$1000000,1088,FALSE)</f>
        <v>0</v>
      </c>
      <c r="Q64" s="33">
        <f>VLOOKUP(A1,DIV_02Data!$A$1:$DZU$1000000,1089,FALSE)</f>
        <v>0</v>
      </c>
    </row>
    <row r="65" spans="1:17" x14ac:dyDescent="0.35">
      <c r="A65" s="22">
        <f>VLOOKUP(A1,DIV_02Data!$A$1:$DZU$1000000,1090,FALSE)</f>
        <v>0</v>
      </c>
      <c r="B65" s="37">
        <f>VLOOKUP(A1,DIV_02Data!$A$1:$DZU$1000000,1091,FALSE)</f>
        <v>0</v>
      </c>
      <c r="C65" s="38">
        <f>VLOOKUP(A1,DIV_02Data!$A$1:$DZU$1000000,1092,FALSE)</f>
        <v>0</v>
      </c>
      <c r="D65" s="31">
        <f>VLOOKUP(A1,DIV_02Data!$A$1:$DZU$1000000,1093,FALSE)</f>
        <v>0</v>
      </c>
      <c r="E65" s="32">
        <f>VLOOKUP(A1,DIV_02Data!$A$1:$DZU$1000000,1094,FALSE)</f>
        <v>0</v>
      </c>
      <c r="F65" s="34">
        <f>VLOOKUP(A1,DIV_02Data!$A$1:$DZU$1000000,1095,FALSE)</f>
        <v>0</v>
      </c>
      <c r="G65" s="33">
        <f>VLOOKUP(A1,DIV_02Data!$A$1:$DZU$1000000,1096,FALSE)</f>
        <v>0</v>
      </c>
      <c r="H65" s="34">
        <f>VLOOKUP(A1,DIV_02Data!$A$1:$DZU$1000000,1097,FALSE)</f>
        <v>0</v>
      </c>
      <c r="I65" s="33">
        <f>VLOOKUP(A1,DIV_02Data!$A$1:$DZU$1000000,1098,FALSE)</f>
        <v>0</v>
      </c>
      <c r="J65" s="34">
        <f>VLOOKUP(A1,DIV_02Data!$A$1:$DZU$1000000,1099,FALSE)</f>
        <v>0</v>
      </c>
      <c r="K65" s="34">
        <f>VLOOKUP(A1,DIV_02Data!$A$1:$DZU$1000000,1100,FALSE)</f>
        <v>0</v>
      </c>
      <c r="L65" s="93">
        <f>VLOOKUP(A1,DIV_02Data!$A$1:$DZU$1000000,1101,FALSE)</f>
        <v>0</v>
      </c>
      <c r="M65" s="33">
        <f>VLOOKUP(A1,DIV_02Data!$A$1:$DZU$1000000,1102,FALSE)</f>
        <v>0</v>
      </c>
      <c r="N65" s="34">
        <f>VLOOKUP(A1,DIV_02Data!$A$1:$DZU$1000000,1103,FALSE)</f>
        <v>0</v>
      </c>
      <c r="O65" s="33">
        <f>VLOOKUP(A1,DIV_02Data!$A$1:$DZU$1000000,1104,FALSE)</f>
        <v>0</v>
      </c>
      <c r="P65" s="46">
        <f>VLOOKUP(A1,DIV_02Data!$A$1:$DZU$1000000,1105,FALSE)</f>
        <v>0</v>
      </c>
      <c r="Q65" s="33">
        <f>VLOOKUP(A1,DIV_02Data!$A$1:$DZU$1000000,1106,FALSE)</f>
        <v>0</v>
      </c>
    </row>
    <row r="66" spans="1:17" x14ac:dyDescent="0.35">
      <c r="A66" s="22">
        <f>VLOOKUP(A1,DIV_02Data!$A$1:$DZU$1000000,1107,FALSE)</f>
        <v>0</v>
      </c>
      <c r="B66" s="37">
        <f>VLOOKUP(A1,DIV_02Data!$A$1:$DZU$1000000,1108,FALSE)</f>
        <v>0</v>
      </c>
      <c r="C66" s="38">
        <f>VLOOKUP(A1,DIV_02Data!$A$1:$DZU$1000000,1109,FALSE)</f>
        <v>0</v>
      </c>
      <c r="D66" s="31">
        <f>VLOOKUP(A1,DIV_02Data!$A$1:$DZU$1000000,1110,FALSE)</f>
        <v>0</v>
      </c>
      <c r="E66" s="32">
        <f>VLOOKUP(A1,DIV_02Data!$A$1:$DZU$1000000,1111,FALSE)</f>
        <v>0</v>
      </c>
      <c r="F66" s="34">
        <f>VLOOKUP(A1,DIV_02Data!$A$1:$DZU$1000000,1112,FALSE)</f>
        <v>0</v>
      </c>
      <c r="G66" s="33">
        <f>VLOOKUP(A1,DIV_02Data!$A$1:$DZU$1000000,1113,FALSE)</f>
        <v>0</v>
      </c>
      <c r="H66" s="34">
        <f>VLOOKUP(A1,DIV_02Data!$A$1:$DZU$1000000,1114,FALSE)</f>
        <v>0</v>
      </c>
      <c r="I66" s="33">
        <f>VLOOKUP(A1,DIV_02Data!$A$1:$DZU$1000000,1115,FALSE)</f>
        <v>0</v>
      </c>
      <c r="J66" s="34">
        <f>VLOOKUP(A1,DIV_02Data!$A$1:$DZU$1000000,1116,FALSE)</f>
        <v>0</v>
      </c>
      <c r="K66" s="34">
        <f>VLOOKUP(A1,DIV_02Data!$A$1:$DZU$1000000,1117,FALSE)</f>
        <v>0</v>
      </c>
      <c r="L66" s="93">
        <f>VLOOKUP(A1,DIV_02Data!$A$1:$DZU$1000000,1118,FALSE)</f>
        <v>0</v>
      </c>
      <c r="M66" s="33">
        <f>VLOOKUP(A1,DIV_02Data!$A$1:$DZU$1000000,1119,FALSE)</f>
        <v>0</v>
      </c>
      <c r="N66" s="34">
        <f>VLOOKUP(A1,DIV_02Data!$A$1:$DZU$1000000,1120,FALSE)</f>
        <v>0</v>
      </c>
      <c r="O66" s="33">
        <f>VLOOKUP(A1,DIV_02Data!$A$1:$DZU$1000000,1121,FALSE)</f>
        <v>0</v>
      </c>
      <c r="P66" s="46">
        <f>VLOOKUP(A1,DIV_02Data!$A$1:$DZU$1000000,1122,FALSE)</f>
        <v>0</v>
      </c>
      <c r="Q66" s="33">
        <f>VLOOKUP(A1,DIV_02Data!$A$1:$DZU$1000000,1123,FALSE)</f>
        <v>0</v>
      </c>
    </row>
    <row r="67" spans="1:17" x14ac:dyDescent="0.35">
      <c r="A67" s="22">
        <f>VLOOKUP(A1,DIV_02Data!$A$1:$DZU$1000000,1124,FALSE)</f>
        <v>0</v>
      </c>
      <c r="B67" s="37">
        <f>VLOOKUP(A1,DIV_02Data!$A$1:$DZU$1000000,1125,FALSE)</f>
        <v>0</v>
      </c>
      <c r="C67" s="38">
        <f>VLOOKUP(A1,DIV_02Data!$A$1:$DZU$1000000,1126,FALSE)</f>
        <v>0</v>
      </c>
      <c r="D67" s="31">
        <f>VLOOKUP(A1,DIV_02Data!$A$1:$DZU$1000000,1127,FALSE)</f>
        <v>0</v>
      </c>
      <c r="E67" s="32">
        <f>VLOOKUP(A1,DIV_02Data!$A$1:$DZU$1000000,1128,FALSE)</f>
        <v>0</v>
      </c>
      <c r="F67" s="34">
        <f>VLOOKUP(A1,DIV_02Data!$A$1:$DZU$1000000,1129,FALSE)</f>
        <v>0</v>
      </c>
      <c r="G67" s="33">
        <f>VLOOKUP(A1,DIV_02Data!$A$1:$DZU$1000000,1130,FALSE)</f>
        <v>0</v>
      </c>
      <c r="H67" s="34">
        <f>VLOOKUP(A1,DIV_02Data!$A$1:$DZU$1000000,1131,FALSE)</f>
        <v>0</v>
      </c>
      <c r="I67" s="33">
        <f>VLOOKUP(A1,DIV_02Data!$A$1:$DZU$1000000,1132,FALSE)</f>
        <v>0</v>
      </c>
      <c r="J67" s="34">
        <f>VLOOKUP(A1,DIV_02Data!$A$1:$DZU$1000000,1133,FALSE)</f>
        <v>0</v>
      </c>
      <c r="K67" s="34">
        <f>VLOOKUP(A1,DIV_02Data!$A$1:$DZU$1000000,1134,FALSE)</f>
        <v>0</v>
      </c>
      <c r="L67" s="93">
        <f>VLOOKUP(A1,DIV_02Data!$A$1:$DZU$1000000,1135,FALSE)</f>
        <v>0</v>
      </c>
      <c r="M67" s="33">
        <f>VLOOKUP(A1,DIV_02Data!$A$1:$DZU$1000000,1136,FALSE)</f>
        <v>0</v>
      </c>
      <c r="N67" s="34">
        <f>VLOOKUP(A1,DIV_02Data!$A$1:$DZU$1000000,1137,FALSE)</f>
        <v>0</v>
      </c>
      <c r="O67" s="33">
        <f>VLOOKUP(A1,DIV_02Data!$A$1:$DZU$1000000,1138,FALSE)</f>
        <v>0</v>
      </c>
      <c r="P67" s="46">
        <f>VLOOKUP(A1,DIV_02Data!$A$1:$DZU$1000000,1139,FALSE)</f>
        <v>0</v>
      </c>
      <c r="Q67" s="33">
        <f>VLOOKUP(A1,DIV_02Data!$A$1:$DZU$1000000,1140,FALSE)</f>
        <v>0</v>
      </c>
    </row>
    <row r="68" spans="1:17" x14ac:dyDescent="0.35">
      <c r="A68" s="22">
        <f>VLOOKUP(A1,DIV_02Data!$A$1:$DZU$1000000,1141,FALSE)</f>
        <v>0</v>
      </c>
      <c r="B68" s="37">
        <f>VLOOKUP(A1,DIV_02Data!$A$1:$DZU$1000000,1142,FALSE)</f>
        <v>0</v>
      </c>
      <c r="C68" s="38">
        <f>VLOOKUP(A1,DIV_02Data!$A$1:$DZU$1000000,1143,FALSE)</f>
        <v>0</v>
      </c>
      <c r="D68" s="31">
        <f>VLOOKUP(A1,DIV_02Data!$A$1:$DZU$1000000,1144,FALSE)</f>
        <v>0</v>
      </c>
      <c r="E68" s="32">
        <f>VLOOKUP(A1,DIV_02Data!$A$1:$DZU$1000000,1145,FALSE)</f>
        <v>0</v>
      </c>
      <c r="F68" s="34">
        <f>VLOOKUP(A1,DIV_02Data!$A$1:$DZU$1000000,1146,FALSE)</f>
        <v>0</v>
      </c>
      <c r="G68" s="33">
        <f>VLOOKUP(A1,DIV_02Data!$A$1:$DZU$1000000,1147,FALSE)</f>
        <v>0</v>
      </c>
      <c r="H68" s="34">
        <f>VLOOKUP(A1,DIV_02Data!$A$1:$DZU$1000000,1148,FALSE)</f>
        <v>0</v>
      </c>
      <c r="I68" s="33">
        <f>VLOOKUP(A1,DIV_02Data!$A$1:$DZU$1000000,1149,FALSE)</f>
        <v>0</v>
      </c>
      <c r="J68" s="34">
        <f>VLOOKUP(A1,DIV_02Data!$A$1:$DZU$1000000,1150,FALSE)</f>
        <v>0</v>
      </c>
      <c r="K68" s="34">
        <f>VLOOKUP(A1,DIV_02Data!$A$1:$DZU$1000000,1151,FALSE)</f>
        <v>0</v>
      </c>
      <c r="L68" s="93">
        <f>VLOOKUP(A1,DIV_02Data!$A$1:$DZU$1000000,1152,FALSE)</f>
        <v>0</v>
      </c>
      <c r="M68" s="33">
        <f>VLOOKUP(A1,DIV_02Data!$A$1:$DZU$1000000,1153,FALSE)</f>
        <v>0</v>
      </c>
      <c r="N68" s="34">
        <f>VLOOKUP(A1,DIV_02Data!$A$1:$DZU$1000000,1154,FALSE)</f>
        <v>0</v>
      </c>
      <c r="O68" s="33">
        <f>VLOOKUP(A1,DIV_02Data!$A$1:$DZU$1000000,1155,FALSE)</f>
        <v>0</v>
      </c>
      <c r="P68" s="46">
        <f>VLOOKUP(A1,DIV_02Data!$A$1:$DZU$1000000,1156,FALSE)</f>
        <v>0</v>
      </c>
      <c r="Q68" s="33">
        <f>VLOOKUP(A1,DIV_02Data!$A$1:$DZU$1000000,1157,FALSE)</f>
        <v>0</v>
      </c>
    </row>
    <row r="69" spans="1:17" x14ac:dyDescent="0.35">
      <c r="A69" s="22">
        <f>VLOOKUP(A1,DIV_02Data!$A$1:$DZU$1000000,1158,FALSE)</f>
        <v>0</v>
      </c>
      <c r="B69" s="37">
        <f>VLOOKUP(A1,DIV_02Data!$A$1:$DZU$1000000,1159,FALSE)</f>
        <v>0</v>
      </c>
      <c r="C69" s="38">
        <f>VLOOKUP(A1,DIV_02Data!$A$1:$DZU$1000000,1160,FALSE)</f>
        <v>0</v>
      </c>
      <c r="D69" s="31">
        <f>VLOOKUP(A1,DIV_02Data!$A$1:$DZU$1000000,1161,FALSE)</f>
        <v>0</v>
      </c>
      <c r="E69" s="32">
        <f>VLOOKUP(A1,DIV_02Data!$A$1:$DZU$1000000,1162,FALSE)</f>
        <v>0</v>
      </c>
      <c r="F69" s="34">
        <f>VLOOKUP(A1,DIV_02Data!$A$1:$DZU$1000000,1163,FALSE)</f>
        <v>0</v>
      </c>
      <c r="G69" s="33">
        <f>VLOOKUP(A1,DIV_02Data!$A$1:$DZU$1000000,1164,FALSE)</f>
        <v>0</v>
      </c>
      <c r="H69" s="34">
        <f>VLOOKUP(A1,DIV_02Data!$A$1:$DZU$1000000,1165,FALSE)</f>
        <v>0</v>
      </c>
      <c r="I69" s="33">
        <f>VLOOKUP(A1,DIV_02Data!$A$1:$DZU$1000000,1166,FALSE)</f>
        <v>0</v>
      </c>
      <c r="J69" s="34">
        <f>VLOOKUP(A1,DIV_02Data!$A$1:$DZU$1000000,1167,FALSE)</f>
        <v>0</v>
      </c>
      <c r="K69" s="34">
        <f>VLOOKUP(A1,DIV_02Data!$A$1:$DZU$1000000,1168,FALSE)</f>
        <v>0</v>
      </c>
      <c r="L69" s="93">
        <f>VLOOKUP(A1,DIV_02Data!$A$1:$DZU$1000000,1169,FALSE)</f>
        <v>0</v>
      </c>
      <c r="M69" s="33">
        <f>VLOOKUP(A1,DIV_02Data!$A$1:$DZU$1000000,1170,FALSE)</f>
        <v>0</v>
      </c>
      <c r="N69" s="34">
        <f>VLOOKUP(A1,DIV_02Data!$A$1:$DZU$1000000,1171,FALSE)</f>
        <v>0</v>
      </c>
      <c r="O69" s="33">
        <f>VLOOKUP(A1,DIV_02Data!$A$1:$DZU$1000000,1172,FALSE)</f>
        <v>0</v>
      </c>
      <c r="P69" s="46">
        <f>VLOOKUP(A1,DIV_02Data!$A$1:$DZU$1000000,1173,FALSE)</f>
        <v>0</v>
      </c>
      <c r="Q69" s="33">
        <f>VLOOKUP(A1,DIV_02Data!$A$1:$DZU$1000000,1174,FALSE)</f>
        <v>0</v>
      </c>
    </row>
    <row r="70" spans="1:17" x14ac:dyDescent="0.35">
      <c r="A70" s="22">
        <f>VLOOKUP(A1,DIV_02Data!$A$1:$DZU$1000000,1175,FALSE)</f>
        <v>0</v>
      </c>
      <c r="B70" s="37">
        <f>VLOOKUP(A1,DIV_02Data!$A$1:$DZU$1000000,1176,FALSE)</f>
        <v>0</v>
      </c>
      <c r="C70" s="38">
        <f>VLOOKUP(A1,DIV_02Data!$A$1:$DZU$1000000,1177,FALSE)</f>
        <v>0</v>
      </c>
      <c r="D70" s="31">
        <f>VLOOKUP(A1,DIV_02Data!$A$1:$DZU$1000000,1178,FALSE)</f>
        <v>0</v>
      </c>
      <c r="E70" s="32">
        <f>VLOOKUP(A1,DIV_02Data!$A$1:$DZU$1000000,1179,FALSE)</f>
        <v>0</v>
      </c>
      <c r="F70" s="34">
        <f>VLOOKUP(A1,DIV_02Data!$A$1:$DZU$1000000,1180,FALSE)</f>
        <v>0</v>
      </c>
      <c r="G70" s="33">
        <f>VLOOKUP(A1,DIV_02Data!$A$1:$DZU$1000000,1181,FALSE)</f>
        <v>0</v>
      </c>
      <c r="H70" s="34">
        <f>VLOOKUP(A1,DIV_02Data!$A$1:$DZU$1000000,1182,FALSE)</f>
        <v>0</v>
      </c>
      <c r="I70" s="33">
        <f>VLOOKUP(A1,DIV_02Data!$A$1:$DZU$1000000,1183,FALSE)</f>
        <v>0</v>
      </c>
      <c r="J70" s="34">
        <f>VLOOKUP(A1,DIV_02Data!$A$1:$DZU$1000000,1184,FALSE)</f>
        <v>0</v>
      </c>
      <c r="K70" s="34">
        <f>VLOOKUP(A1,DIV_02Data!$A$1:$DZU$1000000,1185,FALSE)</f>
        <v>0</v>
      </c>
      <c r="L70" s="93">
        <f>VLOOKUP(A1,DIV_02Data!$A$1:$DZU$1000000,1186,FALSE)</f>
        <v>0</v>
      </c>
      <c r="M70" s="33">
        <f>VLOOKUP(A1,DIV_02Data!$A$1:$DZU$1000000,1187,FALSE)</f>
        <v>0</v>
      </c>
      <c r="N70" s="34">
        <f>VLOOKUP(A1,DIV_02Data!$A$1:$DZU$1000000,1188,FALSE)</f>
        <v>0</v>
      </c>
      <c r="O70" s="33">
        <f>VLOOKUP(A1,DIV_02Data!$A$1:$DZU$1000000,1189,FALSE)</f>
        <v>0</v>
      </c>
      <c r="P70" s="46">
        <f>VLOOKUP(A1,DIV_02Data!$A$1:$DZU$1000000,1190,FALSE)</f>
        <v>0</v>
      </c>
      <c r="Q70" s="33">
        <f>VLOOKUP(A1,DIV_02Data!$A$1:$DZU$1000000,1191,FALSE)</f>
        <v>0</v>
      </c>
    </row>
    <row r="71" spans="1:17" x14ac:dyDescent="0.35">
      <c r="A71" s="22">
        <f>VLOOKUP(A1,DIV_02Data!$A$1:$DZU$1000000,1192,FALSE)</f>
        <v>0</v>
      </c>
      <c r="B71" s="37">
        <f>VLOOKUP(A1,DIV_02Data!$A$1:$DZU$1000000,1193,FALSE)</f>
        <v>0</v>
      </c>
      <c r="C71" s="38">
        <f>VLOOKUP(A1,DIV_02Data!$A$1:$DZU$1000000,1194,FALSE)</f>
        <v>0</v>
      </c>
      <c r="D71" s="31">
        <f>VLOOKUP(A1,DIV_02Data!$A$1:$DZU$1000000,1195,FALSE)</f>
        <v>0</v>
      </c>
      <c r="E71" s="32">
        <f>VLOOKUP(A1,DIV_02Data!$A$1:$DZU$1000000,1196,FALSE)</f>
        <v>0</v>
      </c>
      <c r="F71" s="34">
        <f>VLOOKUP(A1,DIV_02Data!$A$1:$DZU$1000000,1197,FALSE)</f>
        <v>0</v>
      </c>
      <c r="G71" s="33">
        <f>VLOOKUP(A1,DIV_02Data!$A$1:$DZU$1000000,1198,FALSE)</f>
        <v>0</v>
      </c>
      <c r="H71" s="34">
        <f>VLOOKUP(A1,DIV_02Data!$A$1:$DZU$1000000,1199,FALSE)</f>
        <v>0</v>
      </c>
      <c r="I71" s="33">
        <f>VLOOKUP(A1,DIV_02Data!$A$1:$DZU$1000000,1200,FALSE)</f>
        <v>0</v>
      </c>
      <c r="J71" s="34">
        <f>VLOOKUP(A1,DIV_02Data!$A$1:$DZU$1000000,1201,FALSE)</f>
        <v>0</v>
      </c>
      <c r="K71" s="34">
        <f>VLOOKUP(A1,DIV_02Data!$A$1:$DZU$1000000,1202,FALSE)</f>
        <v>0</v>
      </c>
      <c r="L71" s="93">
        <f>VLOOKUP(A1,DIV_02Data!$A$1:$DZU$1000000,1203,FALSE)</f>
        <v>0</v>
      </c>
      <c r="M71" s="33">
        <f>VLOOKUP(A1,DIV_02Data!$A$1:$DZU$1000000,1204,FALSE)</f>
        <v>0</v>
      </c>
      <c r="N71" s="34">
        <f>VLOOKUP(A1,DIV_02Data!$A$1:$DZU$1000000,1205,FALSE)</f>
        <v>0</v>
      </c>
      <c r="O71" s="33">
        <f>VLOOKUP(A1,DIV_02Data!$A$1:$DZU$1000000,1206,FALSE)</f>
        <v>0</v>
      </c>
      <c r="P71" s="46">
        <f>VLOOKUP(A1,DIV_02Data!$A$1:$DZU$1000000,1207,FALSE)</f>
        <v>0</v>
      </c>
      <c r="Q71" s="33">
        <f>VLOOKUP(A1,DIV_02Data!$A$1:$DZU$1000000,1208,FALSE)</f>
        <v>0</v>
      </c>
    </row>
    <row r="72" spans="1:17" x14ac:dyDescent="0.35">
      <c r="A72" s="22">
        <f>VLOOKUP(A1,DIV_02Data!$A$1:$DZU$1000000,1209,FALSE)</f>
        <v>0</v>
      </c>
      <c r="B72" s="37">
        <f>VLOOKUP(A1,DIV_02Data!$A$1:$DZU$1000000,1210,FALSE)</f>
        <v>0</v>
      </c>
      <c r="C72" s="38">
        <f>VLOOKUP(A1,DIV_02Data!$A$1:$DZU$1000000,1211,FALSE)</f>
        <v>0</v>
      </c>
      <c r="D72" s="31">
        <f>VLOOKUP(A1,DIV_02Data!$A$1:$DZU$1000000,1212,FALSE)</f>
        <v>0</v>
      </c>
      <c r="E72" s="32">
        <f>VLOOKUP(A1,DIV_02Data!$A$1:$DZU$1000000,1213,FALSE)</f>
        <v>0</v>
      </c>
      <c r="F72" s="34">
        <f>VLOOKUP(A1,DIV_02Data!$A$1:$DZU$1000000,1214,FALSE)</f>
        <v>0</v>
      </c>
      <c r="G72" s="33">
        <f>VLOOKUP(A1,DIV_02Data!$A$1:$DZU$1000000,1215,FALSE)</f>
        <v>0</v>
      </c>
      <c r="H72" s="34">
        <f>VLOOKUP(A1,DIV_02Data!$A$1:$DZU$1000000,1216,FALSE)</f>
        <v>0</v>
      </c>
      <c r="I72" s="33">
        <f>VLOOKUP(A1,DIV_02Data!$A$1:$DZU$1000000,1217,FALSE)</f>
        <v>0</v>
      </c>
      <c r="J72" s="34">
        <f>VLOOKUP(A1,DIV_02Data!$A$1:$DZU$1000000,1218,FALSE)</f>
        <v>0</v>
      </c>
      <c r="K72" s="34">
        <f>VLOOKUP(A1,DIV_02Data!$A$1:$DZU$1000000,1219,FALSE)</f>
        <v>0</v>
      </c>
      <c r="L72" s="93">
        <f>VLOOKUP(A1,DIV_02Data!$A$1:$DZU$1000000,1220,FALSE)</f>
        <v>0</v>
      </c>
      <c r="M72" s="33">
        <f>VLOOKUP(A1,DIV_02Data!$A$1:$DZU$1000000,1221,FALSE)</f>
        <v>0</v>
      </c>
      <c r="N72" s="34">
        <f>VLOOKUP(A1,DIV_02Data!$A$1:$DZU$1000000,1222,FALSE)</f>
        <v>0</v>
      </c>
      <c r="O72" s="33">
        <f>VLOOKUP(A1,DIV_02Data!$A$1:$DZU$1000000,1223,FALSE)</f>
        <v>0</v>
      </c>
      <c r="P72" s="46">
        <f>VLOOKUP(A1,DIV_02Data!$A$1:$DZU$1000000,1224,FALSE)</f>
        <v>0</v>
      </c>
      <c r="Q72" s="33">
        <f>VLOOKUP(A1,DIV_02Data!$A$1:$DZU$1000000,1225,FALSE)</f>
        <v>0</v>
      </c>
    </row>
    <row r="73" spans="1:17" x14ac:dyDescent="0.35">
      <c r="A73" s="22">
        <f>VLOOKUP(A1,DIV_02Data!$A$1:$DZU$1000000,1226,FALSE)</f>
        <v>0</v>
      </c>
      <c r="B73" s="37">
        <f>VLOOKUP(A1,DIV_02Data!$A$1:$DZU$1000000,1227,FALSE)</f>
        <v>0</v>
      </c>
      <c r="C73" s="38">
        <f>VLOOKUP(A1,DIV_02Data!$A$1:$DZU$1000000,1228,FALSE)</f>
        <v>0</v>
      </c>
      <c r="D73" s="31">
        <f>VLOOKUP(A1,DIV_02Data!$A$1:$DZU$1000000,1229,FALSE)</f>
        <v>0</v>
      </c>
      <c r="E73" s="32">
        <f>VLOOKUP(A1,DIV_02Data!$A$1:$DZU$1000000,1230,FALSE)</f>
        <v>0</v>
      </c>
      <c r="F73" s="34">
        <f>VLOOKUP(A1,DIV_02Data!$A$1:$DZU$1000000,1231,FALSE)</f>
        <v>0</v>
      </c>
      <c r="G73" s="33">
        <f>VLOOKUP(A1,DIV_02Data!$A$1:$DZU$1000000,1232,FALSE)</f>
        <v>0</v>
      </c>
      <c r="H73" s="34">
        <f>VLOOKUP(A1,DIV_02Data!$A$1:$DZU$1000000,1233,FALSE)</f>
        <v>0</v>
      </c>
      <c r="I73" s="33">
        <f>VLOOKUP(A1,DIV_02Data!$A$1:$DZU$1000000,1234,FALSE)</f>
        <v>0</v>
      </c>
      <c r="J73" s="34">
        <f>VLOOKUP(A1,DIV_02Data!$A$1:$DZU$1000000,1235,FALSE)</f>
        <v>0</v>
      </c>
      <c r="K73" s="34">
        <f>VLOOKUP(A1,DIV_02Data!$A$1:$DZU$1000000,1236,FALSE)</f>
        <v>0</v>
      </c>
      <c r="L73" s="93">
        <f>VLOOKUP(A1,DIV_02Data!$A$1:$DZU$1000000,1237,FALSE)</f>
        <v>0</v>
      </c>
      <c r="M73" s="33">
        <f>VLOOKUP(A1,DIV_02Data!$A$1:$DZU$1000000,1238,FALSE)</f>
        <v>0</v>
      </c>
      <c r="N73" s="34">
        <f>VLOOKUP(A1,DIV_02Data!$A$1:$DZU$1000000,1239,FALSE)</f>
        <v>0</v>
      </c>
      <c r="O73" s="33">
        <f>VLOOKUP(A1,DIV_02Data!$A$1:$DZU$1000000,1240,FALSE)</f>
        <v>0</v>
      </c>
      <c r="P73" s="46">
        <f>VLOOKUP(A1,DIV_02Data!$A$1:$DZU$1000000,1241,FALSE)</f>
        <v>0</v>
      </c>
      <c r="Q73" s="33">
        <f>VLOOKUP(A1,DIV_02Data!$A$1:$DZU$1000000,1242,FALSE)</f>
        <v>0</v>
      </c>
    </row>
    <row r="74" spans="1:17" x14ac:dyDescent="0.35">
      <c r="A74" s="22">
        <f>VLOOKUP(A1,DIV_02Data!$A$1:$DZU$1000000,1243,FALSE)</f>
        <v>0</v>
      </c>
      <c r="B74" s="37">
        <f>VLOOKUP(A1,DIV_02Data!$A$1:$DZU$1000000,1244,FALSE)</f>
        <v>0</v>
      </c>
      <c r="C74" s="38">
        <f>VLOOKUP(A1,DIV_02Data!$A$1:$DZU$1000000,1245,FALSE)</f>
        <v>0</v>
      </c>
      <c r="D74" s="31">
        <f>VLOOKUP(A1,DIV_02Data!$A$1:$DZU$1000000,1246,FALSE)</f>
        <v>0</v>
      </c>
      <c r="E74" s="32">
        <f>VLOOKUP(A1,DIV_02Data!$A$1:$DZU$1000000,1247,FALSE)</f>
        <v>0</v>
      </c>
      <c r="F74" s="34">
        <f>VLOOKUP(A1,DIV_02Data!$A$1:$DZU$1000000,1248,FALSE)</f>
        <v>0</v>
      </c>
      <c r="G74" s="33">
        <f>VLOOKUP(A1,DIV_02Data!$A$1:$DZU$1000000,1249,FALSE)</f>
        <v>0</v>
      </c>
      <c r="H74" s="34">
        <f>VLOOKUP(A1,DIV_02Data!$A$1:$DZU$1000000,1250,FALSE)</f>
        <v>0</v>
      </c>
      <c r="I74" s="33">
        <f>VLOOKUP(A1,DIV_02Data!$A$1:$DZU$1000000,1251,FALSE)</f>
        <v>0</v>
      </c>
      <c r="J74" s="34">
        <f>VLOOKUP(A1,DIV_02Data!$A$1:$DZU$1000000,1252,FALSE)</f>
        <v>0</v>
      </c>
      <c r="K74" s="34">
        <f>VLOOKUP(A1,DIV_02Data!$A$1:$DZU$1000000,1253,FALSE)</f>
        <v>0</v>
      </c>
      <c r="L74" s="93">
        <f>VLOOKUP(A1,DIV_02Data!$A$1:$DZU$1000000,1254,FALSE)</f>
        <v>0</v>
      </c>
      <c r="M74" s="33">
        <f>VLOOKUP(A1,DIV_02Data!$A$1:$DZU$1000000,1255,FALSE)</f>
        <v>0</v>
      </c>
      <c r="N74" s="34">
        <f>VLOOKUP(A1,DIV_02Data!$A$1:$DZU$1000000,1256,FALSE)</f>
        <v>0</v>
      </c>
      <c r="O74" s="33">
        <f>VLOOKUP(A1,DIV_02Data!$A$1:$DZU$1000000,1257,FALSE)</f>
        <v>0</v>
      </c>
      <c r="P74" s="46">
        <f>VLOOKUP(A1,DIV_02Data!$A$1:$DZU$1000000,1258,FALSE)</f>
        <v>0</v>
      </c>
      <c r="Q74" s="33">
        <f>VLOOKUP(A1,DIV_02Data!$A$1:$DZU$1000000,1259,FALSE)</f>
        <v>0</v>
      </c>
    </row>
    <row r="75" spans="1:17" x14ac:dyDescent="0.35">
      <c r="A75" s="22">
        <f>VLOOKUP(A1,DIV_02Data!$A$1:$DZU$1000000,1260,FALSE)</f>
        <v>0</v>
      </c>
      <c r="B75" s="37">
        <f>VLOOKUP(A1,DIV_02Data!$A$1:$DZU$1000000,1261,FALSE)</f>
        <v>0</v>
      </c>
      <c r="C75" s="38">
        <f>VLOOKUP(A1,DIV_02Data!$A$1:$DZU$1000000,1262,FALSE)</f>
        <v>0</v>
      </c>
      <c r="D75" s="31">
        <f>VLOOKUP(A1,DIV_02Data!$A$1:$DZU$1000000,1263,FALSE)</f>
        <v>0</v>
      </c>
      <c r="E75" s="32">
        <f>VLOOKUP(A1,DIV_02Data!$A$1:$DZU$1000000,1264,FALSE)</f>
        <v>0</v>
      </c>
      <c r="F75" s="34">
        <f>VLOOKUP(A1,DIV_02Data!$A$1:$DZU$1000000,1265,FALSE)</f>
        <v>0</v>
      </c>
      <c r="G75" s="33">
        <f>VLOOKUP(A1,DIV_02Data!$A$1:$DZU$1000000,1266,FALSE)</f>
        <v>0</v>
      </c>
      <c r="H75" s="34">
        <f>VLOOKUP(A1,DIV_02Data!$A$1:$DZU$1000000,1267,FALSE)</f>
        <v>0</v>
      </c>
      <c r="I75" s="33">
        <f>VLOOKUP(A1,DIV_02Data!$A$1:$DZU$1000000,1268,FALSE)</f>
        <v>0</v>
      </c>
      <c r="J75" s="34">
        <f>VLOOKUP(A1,DIV_02Data!$A$1:$DZU$1000000,1269,FALSE)</f>
        <v>0</v>
      </c>
      <c r="K75" s="34">
        <f>VLOOKUP(A1,DIV_02Data!$A$1:$DZU$1000000,1270,FALSE)</f>
        <v>0</v>
      </c>
      <c r="L75" s="93">
        <f>VLOOKUP(A1,DIV_02Data!$A$1:$DZU$1000000,1271,FALSE)</f>
        <v>0</v>
      </c>
      <c r="M75" s="33">
        <f>VLOOKUP(A1,DIV_02Data!$A$1:$DZU$1000000,1272,FALSE)</f>
        <v>0</v>
      </c>
      <c r="N75" s="34">
        <f>VLOOKUP(A1,DIV_02Data!$A$1:$DZU$1000000,1273,FALSE)</f>
        <v>0</v>
      </c>
      <c r="O75" s="33">
        <f>VLOOKUP(A1,DIV_02Data!$A$1:$DZU$1000000,1274,FALSE)</f>
        <v>0</v>
      </c>
      <c r="P75" s="46">
        <f>VLOOKUP(A1,DIV_02Data!$A$1:$DZU$1000000,1275,FALSE)</f>
        <v>0</v>
      </c>
      <c r="Q75" s="33">
        <f>VLOOKUP(A1,DIV_02Data!$A$1:$DZU$1000000,1276,FALSE)</f>
        <v>0</v>
      </c>
    </row>
    <row r="76" spans="1:17" x14ac:dyDescent="0.35">
      <c r="A76" s="22">
        <f>VLOOKUP(A1,DIV_02Data!$A$1:$DZU$1000000,1277,FALSE)</f>
        <v>0</v>
      </c>
      <c r="B76" s="37">
        <f>VLOOKUP(A1,DIV_02Data!$A$1:$DZU$1000000,1278,FALSE)</f>
        <v>0</v>
      </c>
      <c r="C76" s="38">
        <f>VLOOKUP(A1,DIV_02Data!$A$1:$DZU$1000000,1279,FALSE)</f>
        <v>0</v>
      </c>
      <c r="D76" s="31">
        <f>VLOOKUP(A1,DIV_02Data!$A$1:$DZU$1000000,1280,FALSE)</f>
        <v>0</v>
      </c>
      <c r="E76" s="32">
        <f>VLOOKUP(A1,DIV_02Data!$A$1:$DZU$1000000,1281,FALSE)</f>
        <v>0</v>
      </c>
      <c r="F76" s="34">
        <f>VLOOKUP(A1,DIV_02Data!$A$1:$DZU$1000000,1282,FALSE)</f>
        <v>0</v>
      </c>
      <c r="G76" s="33">
        <f>VLOOKUP(A1,DIV_02Data!$A$1:$DZU$1000000,1283,FALSE)</f>
        <v>0</v>
      </c>
      <c r="H76" s="34">
        <f>VLOOKUP(A1,DIV_02Data!$A$1:$DZU$1000000,1284,FALSE)</f>
        <v>0</v>
      </c>
      <c r="I76" s="33">
        <f>VLOOKUP(A1,DIV_02Data!$A$1:$DZU$1000000,1285,FALSE)</f>
        <v>0</v>
      </c>
      <c r="J76" s="34">
        <f>VLOOKUP(A1,DIV_02Data!$A$1:$DZU$1000000,1286,FALSE)</f>
        <v>0</v>
      </c>
      <c r="K76" s="34">
        <f>VLOOKUP(A1,DIV_02Data!$A$1:$DZU$1000000,1287,FALSE)</f>
        <v>0</v>
      </c>
      <c r="L76" s="93">
        <f>VLOOKUP(A1,DIV_02Data!$A$1:$DZU$1000000,1288,FALSE)</f>
        <v>0</v>
      </c>
      <c r="M76" s="33">
        <f>VLOOKUP(A1,DIV_02Data!$A$1:$DZU$1000000,1289,FALSE)</f>
        <v>0</v>
      </c>
      <c r="N76" s="34">
        <f>VLOOKUP(A1,DIV_02Data!$A$1:$DZU$1000000,1290,FALSE)</f>
        <v>0</v>
      </c>
      <c r="O76" s="33">
        <f>VLOOKUP(A1,DIV_02Data!$A$1:$DZU$1000000,1291,FALSE)</f>
        <v>0</v>
      </c>
      <c r="P76" s="46">
        <f>VLOOKUP(A1,DIV_02Data!$A$1:$DZU$1000000,1292,FALSE)</f>
        <v>0</v>
      </c>
      <c r="Q76" s="33">
        <f>VLOOKUP(A1,DIV_02Data!$A$1:$DZU$1000000,1293,FALSE)</f>
        <v>0</v>
      </c>
    </row>
    <row r="77" spans="1:17" x14ac:dyDescent="0.35">
      <c r="A77" s="22">
        <f>VLOOKUP(A1,DIV_02Data!$A$1:$DZU$1000000,1294,FALSE)</f>
        <v>0</v>
      </c>
      <c r="B77" s="37">
        <f>VLOOKUP(A1,DIV_02Data!$A$1:$DZU$1000000,1295,FALSE)</f>
        <v>0</v>
      </c>
      <c r="C77" s="38">
        <f>VLOOKUP(A1,DIV_02Data!$A$1:$DZU$1000000,1296,FALSE)</f>
        <v>0</v>
      </c>
      <c r="D77" s="31">
        <f>VLOOKUP(A1,DIV_02Data!$A$1:$DZU$1000000,1297,FALSE)</f>
        <v>0</v>
      </c>
      <c r="E77" s="32">
        <f>VLOOKUP(A1,DIV_02Data!$A$1:$DZU$1000000,1298,FALSE)</f>
        <v>0</v>
      </c>
      <c r="F77" s="34">
        <f>VLOOKUP(A1,DIV_02Data!$A$1:$DZU$1000000,1299,FALSE)</f>
        <v>0</v>
      </c>
      <c r="G77" s="33">
        <f>VLOOKUP(A1,DIV_02Data!$A$1:$DZU$1000000,1300,FALSE)</f>
        <v>0</v>
      </c>
      <c r="H77" s="34">
        <f>VLOOKUP(A1,DIV_02Data!$A$1:$DZU$1000000,1301,FALSE)</f>
        <v>0</v>
      </c>
      <c r="I77" s="33">
        <f>VLOOKUP(A1,DIV_02Data!$A$1:$DZU$1000000,1302,FALSE)</f>
        <v>0</v>
      </c>
      <c r="J77" s="34">
        <f>VLOOKUP(A1,DIV_02Data!$A$1:$DZU$1000000,1303,FALSE)</f>
        <v>0</v>
      </c>
      <c r="K77" s="34">
        <f>VLOOKUP(A1,DIV_02Data!$A$1:$DZU$1000000,1304,FALSE)</f>
        <v>0</v>
      </c>
      <c r="L77" s="93">
        <f>VLOOKUP(A1,DIV_02Data!$A$1:$DZU$1000000,1305,FALSE)</f>
        <v>0</v>
      </c>
      <c r="M77" s="33">
        <f>VLOOKUP(A1,DIV_02Data!$A$1:$DZU$1000000,1306,FALSE)</f>
        <v>0</v>
      </c>
      <c r="N77" s="34">
        <f>VLOOKUP(A1,DIV_02Data!$A$1:$DZU$1000000,1307,FALSE)</f>
        <v>0</v>
      </c>
      <c r="O77" s="33">
        <f>VLOOKUP(A1,DIV_02Data!$A$1:$DZU$1000000,1308,FALSE)</f>
        <v>0</v>
      </c>
      <c r="P77" s="46">
        <f>VLOOKUP(A1,DIV_02Data!$A$1:$DZU$1000000,1309,FALSE)</f>
        <v>0</v>
      </c>
      <c r="Q77" s="33">
        <f>VLOOKUP(A1,DIV_02Data!$A$1:$DZU$1000000,1310,FALSE)</f>
        <v>0</v>
      </c>
    </row>
    <row r="78" spans="1:17" x14ac:dyDescent="0.35">
      <c r="A78" s="22">
        <f>VLOOKUP(A1,DIV_02Data!$A$1:$DZU$1000000,1311,FALSE)</f>
        <v>0</v>
      </c>
      <c r="B78" s="37">
        <f>VLOOKUP(A1,DIV_02Data!$A$1:$DZU$1000000,1312,FALSE)</f>
        <v>0</v>
      </c>
      <c r="C78" s="38">
        <f>VLOOKUP(A1,DIV_02Data!$A$1:$DZU$1000000,1313,FALSE)</f>
        <v>0</v>
      </c>
      <c r="D78" s="31">
        <f>VLOOKUP(A1,DIV_02Data!$A$1:$DZU$1000000,1314,FALSE)</f>
        <v>0</v>
      </c>
      <c r="E78" s="32">
        <f>VLOOKUP(A1,DIV_02Data!$A$1:$DZU$1000000,1315,FALSE)</f>
        <v>0</v>
      </c>
      <c r="F78" s="34">
        <f>VLOOKUP(A1,DIV_02Data!$A$1:$DZU$1000000,1316,FALSE)</f>
        <v>0</v>
      </c>
      <c r="G78" s="33">
        <f>VLOOKUP(A1,DIV_02Data!$A$1:$DZU$1000000,1317,FALSE)</f>
        <v>0</v>
      </c>
      <c r="H78" s="34">
        <f>VLOOKUP(A1,DIV_02Data!$A$1:$DZU$1000000,1318,FALSE)</f>
        <v>0</v>
      </c>
      <c r="I78" s="33">
        <f>VLOOKUP(A1,DIV_02Data!$A$1:$DZU$1000000,1319,FALSE)</f>
        <v>0</v>
      </c>
      <c r="J78" s="34">
        <f>VLOOKUP(A1,DIV_02Data!$A$1:$DZU$1000000,1320,FALSE)</f>
        <v>0</v>
      </c>
      <c r="K78" s="34">
        <f>VLOOKUP(A1,DIV_02Data!$A$1:$DZU$1000000,1321,FALSE)</f>
        <v>0</v>
      </c>
      <c r="L78" s="93">
        <f>VLOOKUP(A1,DIV_02Data!$A$1:$DZU$1000000,1322,FALSE)</f>
        <v>0</v>
      </c>
      <c r="M78" s="33">
        <f>VLOOKUP(A1,DIV_02Data!$A$1:$DZU$1000000,1323,FALSE)</f>
        <v>0</v>
      </c>
      <c r="N78" s="34">
        <f>VLOOKUP(A1,DIV_02Data!$A$1:$DZU$1000000,1324,FALSE)</f>
        <v>0</v>
      </c>
      <c r="O78" s="33">
        <f>VLOOKUP(A1,DIV_02Data!$A$1:$DZU$1000000,1325,FALSE)</f>
        <v>0</v>
      </c>
      <c r="P78" s="46">
        <f>VLOOKUP(A1,DIV_02Data!$A$1:$DZU$1000000,1326,FALSE)</f>
        <v>0</v>
      </c>
      <c r="Q78" s="33">
        <f>VLOOKUP(A1,DIV_02Data!$A$1:$DZU$1000000,1327,FALSE)</f>
        <v>0</v>
      </c>
    </row>
    <row r="79" spans="1:17" x14ac:dyDescent="0.35">
      <c r="A79" s="22">
        <f>VLOOKUP(A1,DIV_02Data!$A$1:$DZU$1000000,1328,FALSE)</f>
        <v>0</v>
      </c>
      <c r="B79" s="37">
        <f>VLOOKUP(A1,DIV_02Data!$A$1:$DZU$1000000,1329,FALSE)</f>
        <v>0</v>
      </c>
      <c r="C79" s="38">
        <f>VLOOKUP(A1,DIV_02Data!$A$1:$DZU$1000000,1330,FALSE)</f>
        <v>0</v>
      </c>
      <c r="D79" s="31">
        <f>VLOOKUP(A1,DIV_02Data!$A$1:$DZU$1000000,1331,FALSE)</f>
        <v>0</v>
      </c>
      <c r="E79" s="32">
        <f>VLOOKUP(A1,DIV_02Data!$A$1:$DZU$1000000,1332,FALSE)</f>
        <v>0</v>
      </c>
      <c r="F79" s="34">
        <f>VLOOKUP(A1,DIV_02Data!$A$1:$DZU$1000000,1333,FALSE)</f>
        <v>0</v>
      </c>
      <c r="G79" s="33">
        <f>VLOOKUP(A1,DIV_02Data!$A$1:$DZU$1000000,1334,FALSE)</f>
        <v>0</v>
      </c>
      <c r="H79" s="34">
        <f>VLOOKUP(A1,DIV_02Data!$A$1:$DZU$1000000,1335,FALSE)</f>
        <v>0</v>
      </c>
      <c r="I79" s="33">
        <f>VLOOKUP(A1,DIV_02Data!$A$1:$DZU$1000000,1336,FALSE)</f>
        <v>0</v>
      </c>
      <c r="J79" s="34">
        <f>VLOOKUP(A1,DIV_02Data!$A$1:$DZU$1000000,1337,FALSE)</f>
        <v>0</v>
      </c>
      <c r="K79" s="34">
        <f>VLOOKUP(A1,DIV_02Data!$A$1:$DZU$1000000,1338,FALSE)</f>
        <v>0</v>
      </c>
      <c r="L79" s="93">
        <f>VLOOKUP(A1,DIV_02Data!$A$1:$DZU$1000000,1339,FALSE)</f>
        <v>0</v>
      </c>
      <c r="M79" s="33">
        <f>VLOOKUP(A1,DIV_02Data!$A$1:$DZU$1000000,1340,FALSE)</f>
        <v>0</v>
      </c>
      <c r="N79" s="34">
        <f>VLOOKUP(A1,DIV_02Data!$A$1:$DZU$1000000,1341,FALSE)</f>
        <v>0</v>
      </c>
      <c r="O79" s="33">
        <f>VLOOKUP(A1,DIV_02Data!$A$1:$DZU$1000000,1342,FALSE)</f>
        <v>0</v>
      </c>
      <c r="P79" s="46">
        <f>VLOOKUP(A1,DIV_02Data!$A$1:$DZU$1000000,1343,FALSE)</f>
        <v>0</v>
      </c>
      <c r="Q79" s="33">
        <f>VLOOKUP(A1,DIV_02Data!$A$1:$DZU$1000000,1344,FALSE)</f>
        <v>0</v>
      </c>
    </row>
    <row r="80" spans="1:17" x14ac:dyDescent="0.35">
      <c r="A80" s="22">
        <f>VLOOKUP(A1,DIV_02Data!$A$1:$DZU$1000000,1345,FALSE)</f>
        <v>0</v>
      </c>
      <c r="B80" s="37">
        <f>VLOOKUP(A1,DIV_02Data!$A$1:$DZU$1000000,1346,FALSE)</f>
        <v>0</v>
      </c>
      <c r="C80" s="38">
        <f>VLOOKUP(A1,DIV_02Data!$A$1:$DZU$1000000,1347,FALSE)</f>
        <v>0</v>
      </c>
      <c r="D80" s="31">
        <f>VLOOKUP(A1,DIV_02Data!$A$1:$DZU$1000000,1348,FALSE)</f>
        <v>0</v>
      </c>
      <c r="E80" s="32">
        <f>VLOOKUP(A1,DIV_02Data!$A$1:$DZU$1000000,1349,FALSE)</f>
        <v>0</v>
      </c>
      <c r="F80" s="34">
        <f>VLOOKUP(A1,DIV_02Data!$A$1:$DZU$1000000,1350,FALSE)</f>
        <v>0</v>
      </c>
      <c r="G80" s="33">
        <f>VLOOKUP(A1,DIV_02Data!$A$1:$DZU$1000000,1351,FALSE)</f>
        <v>0</v>
      </c>
      <c r="H80" s="34">
        <f>VLOOKUP(A1,DIV_02Data!$A$1:$DZU$1000000,1352,FALSE)</f>
        <v>0</v>
      </c>
      <c r="I80" s="33">
        <f>VLOOKUP(A1,DIV_02Data!$A$1:$DZU$1000000,1353,FALSE)</f>
        <v>0</v>
      </c>
      <c r="J80" s="34">
        <f>VLOOKUP(A1,DIV_02Data!$A$1:$DZU$1000000,1354,FALSE)</f>
        <v>0</v>
      </c>
      <c r="K80" s="34">
        <f>VLOOKUP(A1,DIV_02Data!$A$1:$DZU$1000000,1355,FALSE)</f>
        <v>0</v>
      </c>
      <c r="L80" s="93">
        <f>VLOOKUP(A1,DIV_02Data!$A$1:$DZU$1000000,1356,FALSE)</f>
        <v>0</v>
      </c>
      <c r="M80" s="33">
        <f>VLOOKUP(A1,DIV_02Data!$A$1:$DZU$1000000,1357,FALSE)</f>
        <v>0</v>
      </c>
      <c r="N80" s="34">
        <f>VLOOKUP(A1,DIV_02Data!$A$1:$DZU$1000000,1358,FALSE)</f>
        <v>0</v>
      </c>
      <c r="O80" s="33">
        <f>VLOOKUP(A1,DIV_02Data!$A$1:$DZU$1000000,1359,FALSE)</f>
        <v>0</v>
      </c>
      <c r="P80" s="46">
        <f>VLOOKUP(A1,DIV_02Data!$A$1:$DZU$1000000,1360,FALSE)</f>
        <v>0</v>
      </c>
      <c r="Q80" s="33">
        <f>VLOOKUP(A1,DIV_02Data!$A$1:$DZU$1000000,1361,FALSE)</f>
        <v>0</v>
      </c>
    </row>
    <row r="81" spans="1:17" x14ac:dyDescent="0.35">
      <c r="A81" s="22">
        <f>VLOOKUP(A1,DIV_02Data!$A$1:$DZU$1000000,1362,FALSE)</f>
        <v>0</v>
      </c>
      <c r="B81" s="37">
        <f>VLOOKUP(A1,DIV_02Data!$A$1:$DZU$1000000,1363,FALSE)</f>
        <v>0</v>
      </c>
      <c r="C81" s="38">
        <f>VLOOKUP(A1,DIV_02Data!$A$1:$DZU$1000000,1364,FALSE)</f>
        <v>0</v>
      </c>
      <c r="D81" s="31">
        <f>VLOOKUP(A1,DIV_02Data!$A$1:$DZU$1000000,1365,FALSE)</f>
        <v>0</v>
      </c>
      <c r="E81" s="32">
        <f>VLOOKUP(A1,DIV_02Data!$A$1:$DZU$1000000,1366,FALSE)</f>
        <v>0</v>
      </c>
      <c r="F81" s="34">
        <f>VLOOKUP(A1,DIV_02Data!$A$1:$DZU$1000000,1367,FALSE)</f>
        <v>0</v>
      </c>
      <c r="G81" s="33">
        <f>VLOOKUP(A1,DIV_02Data!$A$1:$DZU$1000000,1368,FALSE)</f>
        <v>0</v>
      </c>
      <c r="H81" s="34">
        <f>VLOOKUP(A1,DIV_02Data!$A$1:$DZU$1000000,1369,FALSE)</f>
        <v>0</v>
      </c>
      <c r="I81" s="33">
        <f>VLOOKUP(A1,DIV_02Data!$A$1:$DZU$1000000,1370,FALSE)</f>
        <v>0</v>
      </c>
      <c r="J81" s="34">
        <f>VLOOKUP(A1,DIV_02Data!$A$1:$DZU$1000000,1371,FALSE)</f>
        <v>0</v>
      </c>
      <c r="K81" s="34">
        <f>VLOOKUP(A1,DIV_02Data!$A$1:$DZU$1000000,1372,FALSE)</f>
        <v>0</v>
      </c>
      <c r="L81" s="93">
        <f>VLOOKUP(A1,DIV_02Data!$A$1:$DZU$1000000,1373,FALSE)</f>
        <v>0</v>
      </c>
      <c r="M81" s="33">
        <f>VLOOKUP(A1,DIV_02Data!$A$1:$DZU$1000000,1374,FALSE)</f>
        <v>0</v>
      </c>
      <c r="N81" s="34">
        <f>VLOOKUP(A1,DIV_02Data!$A$1:$DZU$1000000,1375,FALSE)</f>
        <v>0</v>
      </c>
      <c r="O81" s="33">
        <f>VLOOKUP(A1,DIV_02Data!$A$1:$DZU$1000000,1376,FALSE)</f>
        <v>0</v>
      </c>
      <c r="P81" s="46">
        <f>VLOOKUP(A1,DIV_02Data!$A$1:$DZU$1000000,1377,FALSE)</f>
        <v>0</v>
      </c>
      <c r="Q81" s="33">
        <f>VLOOKUP(A1,DIV_02Data!$A$1:$DZU$1000000,1378,FALSE)</f>
        <v>0</v>
      </c>
    </row>
    <row r="82" spans="1:17" x14ac:dyDescent="0.35">
      <c r="A82" s="22">
        <f>VLOOKUP(A1,DIV_02Data!$A$1:$DZU$1000000,1379,FALSE)</f>
        <v>0</v>
      </c>
      <c r="B82" s="37">
        <f>VLOOKUP(A1,DIV_02Data!$A$1:$DZU$1000000,1380,FALSE)</f>
        <v>0</v>
      </c>
      <c r="C82" s="38">
        <f>VLOOKUP(A1,DIV_02Data!$A$1:$DZU$1000000,1381,FALSE)</f>
        <v>0</v>
      </c>
      <c r="D82" s="31">
        <f>VLOOKUP(A1,DIV_02Data!$A$1:$DZU$1000000,1382,FALSE)</f>
        <v>0</v>
      </c>
      <c r="E82" s="32">
        <f>VLOOKUP(A1,DIV_02Data!$A$1:$DZU$1000000,1383,FALSE)</f>
        <v>0</v>
      </c>
      <c r="F82" s="34">
        <f>VLOOKUP(A1,DIV_02Data!$A$1:$DZU$1000000,1384,FALSE)</f>
        <v>0</v>
      </c>
      <c r="G82" s="33">
        <f>VLOOKUP(A1,DIV_02Data!$A$1:$DZU$1000000,1385,FALSE)</f>
        <v>0</v>
      </c>
      <c r="H82" s="34">
        <f>VLOOKUP(A1,DIV_02Data!$A$1:$DZU$1000000,1386,FALSE)</f>
        <v>0</v>
      </c>
      <c r="I82" s="33">
        <f>VLOOKUP(A1,DIV_02Data!$A$1:$DZU$1000000,1387,FALSE)</f>
        <v>0</v>
      </c>
      <c r="J82" s="34">
        <f>VLOOKUP(A1,DIV_02Data!$A$1:$DZU$1000000,1388,FALSE)</f>
        <v>0</v>
      </c>
      <c r="K82" s="34">
        <f>VLOOKUP(A1,DIV_02Data!$A$1:$DZU$1000000,1389,FALSE)</f>
        <v>0</v>
      </c>
      <c r="L82" s="93">
        <f>VLOOKUP(A1,DIV_02Data!$A$1:$DZU$1000000,1390,FALSE)</f>
        <v>0</v>
      </c>
      <c r="M82" s="33">
        <f>VLOOKUP(A1,DIV_02Data!$A$1:$DZU$1000000,1391,FALSE)</f>
        <v>0</v>
      </c>
      <c r="N82" s="34">
        <f>VLOOKUP(A1,DIV_02Data!$A$1:$DZU$1000000,1392,FALSE)</f>
        <v>0</v>
      </c>
      <c r="O82" s="33">
        <f>VLOOKUP(A1,DIV_02Data!$A$1:$DZU$1000000,1393,FALSE)</f>
        <v>0</v>
      </c>
      <c r="P82" s="46">
        <f>VLOOKUP(A1,DIV_02Data!$A$1:$DZU$1000000,1394,FALSE)</f>
        <v>0</v>
      </c>
      <c r="Q82" s="33">
        <f>VLOOKUP(A1,DIV_02Data!$A$1:$DZU$1000000,1395,FALSE)</f>
        <v>0</v>
      </c>
    </row>
    <row r="83" spans="1:17" x14ac:dyDescent="0.35">
      <c r="A83" s="22">
        <f>VLOOKUP(A1,DIV_02Data!$A$1:$DZU$1000000,1396,FALSE)</f>
        <v>0</v>
      </c>
      <c r="B83" s="37">
        <f>VLOOKUP(A1,DIV_02Data!$A$1:$DZU$1000000,1397,FALSE)</f>
        <v>0</v>
      </c>
      <c r="C83" s="38">
        <f>VLOOKUP(A1,DIV_02Data!$A$1:$DZU$1000000,1398,FALSE)</f>
        <v>0</v>
      </c>
      <c r="D83" s="31">
        <f>VLOOKUP(A1,DIV_02Data!$A$1:$DZU$1000000,1399,FALSE)</f>
        <v>0</v>
      </c>
      <c r="E83" s="32">
        <f>VLOOKUP(A1,DIV_02Data!$A$1:$DZU$1000000,1400,FALSE)</f>
        <v>0</v>
      </c>
      <c r="F83" s="34">
        <f>VLOOKUP(A1,DIV_02Data!$A$1:$DZU$1000000,1401,FALSE)</f>
        <v>0</v>
      </c>
      <c r="G83" s="33">
        <f>VLOOKUP(A1,DIV_02Data!$A$1:$DZU$1000000,1402,FALSE)</f>
        <v>0</v>
      </c>
      <c r="H83" s="34">
        <f>VLOOKUP(A1,DIV_02Data!$A$1:$DZU$1000000,1403,FALSE)</f>
        <v>0</v>
      </c>
      <c r="I83" s="33">
        <f>VLOOKUP(A1,DIV_02Data!$A$1:$DZU$1000000,1404,FALSE)</f>
        <v>0</v>
      </c>
      <c r="J83" s="34">
        <f>VLOOKUP(A1,DIV_02Data!$A$1:$DZU$1000000,1405,FALSE)</f>
        <v>0</v>
      </c>
      <c r="K83" s="34">
        <f>VLOOKUP(A1,DIV_02Data!$A$1:$DZU$1000000,1406,FALSE)</f>
        <v>0</v>
      </c>
      <c r="L83" s="93">
        <f>VLOOKUP(A1,DIV_02Data!$A$1:$DZU$1000000,1407,FALSE)</f>
        <v>0</v>
      </c>
      <c r="M83" s="33">
        <f>VLOOKUP(A1,DIV_02Data!$A$1:$DZU$1000000,1408,FALSE)</f>
        <v>0</v>
      </c>
      <c r="N83" s="34">
        <f>VLOOKUP(A1,DIV_02Data!$A$1:$DZU$1000000,1409,FALSE)</f>
        <v>0</v>
      </c>
      <c r="O83" s="33">
        <f>VLOOKUP(A1,DIV_02Data!$A$1:$DZU$1000000,1410,FALSE)</f>
        <v>0</v>
      </c>
      <c r="P83" s="46">
        <f>VLOOKUP(A1,DIV_02Data!$A$1:$DZU$1000000,1411,FALSE)</f>
        <v>0</v>
      </c>
      <c r="Q83" s="33">
        <f>VLOOKUP(A1,DIV_02Data!$A$1:$DZU$1000000,1412,FALSE)</f>
        <v>0</v>
      </c>
    </row>
    <row r="84" spans="1:17" x14ac:dyDescent="0.35">
      <c r="A84" s="22">
        <f>VLOOKUP(A1,DIV_02Data!$A$1:$DZU$1000000,1413,FALSE)</f>
        <v>0</v>
      </c>
      <c r="B84" s="37">
        <f>VLOOKUP(A1,DIV_02Data!$A$1:$DZU$1000000,1414,FALSE)</f>
        <v>0</v>
      </c>
      <c r="C84" s="38">
        <f>VLOOKUP(A1,DIV_02Data!$A$1:$DZU$1000000,1415,FALSE)</f>
        <v>0</v>
      </c>
      <c r="D84" s="31">
        <f>VLOOKUP(A1,DIV_02Data!$A$1:$DZU$1000000,1416,FALSE)</f>
        <v>0</v>
      </c>
      <c r="E84" s="32">
        <f>VLOOKUP(A1,DIV_02Data!$A$1:$DZU$1000000,1417,FALSE)</f>
        <v>0</v>
      </c>
      <c r="F84" s="34">
        <f>VLOOKUP(A1,DIV_02Data!$A$1:$DZU$1000000,1418,FALSE)</f>
        <v>0</v>
      </c>
      <c r="G84" s="33">
        <f>VLOOKUP(A1,DIV_02Data!$A$1:$DZU$1000000,1419,FALSE)</f>
        <v>0</v>
      </c>
      <c r="H84" s="34">
        <f>VLOOKUP(A1,DIV_02Data!$A$1:$DZU$1000000,1420,FALSE)</f>
        <v>0</v>
      </c>
      <c r="I84" s="33">
        <f>VLOOKUP(A1,DIV_02Data!$A$1:$DZU$1000000,1421,FALSE)</f>
        <v>0</v>
      </c>
      <c r="J84" s="34">
        <f>VLOOKUP(A1,DIV_02Data!$A$1:$DZU$1000000,1422,FALSE)</f>
        <v>0</v>
      </c>
      <c r="K84" s="34">
        <f>VLOOKUP(A1,DIV_02Data!$A$1:$DZU$1000000,1423,FALSE)</f>
        <v>0</v>
      </c>
      <c r="L84" s="93">
        <f>VLOOKUP(A1,DIV_02Data!$A$1:$DZU$1000000,1424,FALSE)</f>
        <v>0</v>
      </c>
      <c r="M84" s="33">
        <f>VLOOKUP(A1,DIV_02Data!$A$1:$DZU$1000000,1425,FALSE)</f>
        <v>0</v>
      </c>
      <c r="N84" s="34">
        <f>VLOOKUP(A1,DIV_02Data!$A$1:$DZU$1000000,1426,FALSE)</f>
        <v>0</v>
      </c>
      <c r="O84" s="33">
        <f>VLOOKUP(A1,DIV_02Data!$A$1:$DZU$1000000,1427,FALSE)</f>
        <v>0</v>
      </c>
      <c r="P84" s="46">
        <f>VLOOKUP(A1,DIV_02Data!$A$1:$DZU$1000000,1428,FALSE)</f>
        <v>0</v>
      </c>
      <c r="Q84" s="33">
        <f>VLOOKUP(A1,DIV_02Data!$A$1:$DZU$1000000,1429,FALSE)</f>
        <v>0</v>
      </c>
    </row>
    <row r="85" spans="1:17" x14ac:dyDescent="0.35">
      <c r="A85" s="22">
        <f>VLOOKUP(A1,DIV_02Data!$A$1:$DZU$1000000,1430,FALSE)</f>
        <v>0</v>
      </c>
      <c r="B85" s="37">
        <f>VLOOKUP(A1,DIV_02Data!$A$1:$DZU$1000000,1431,FALSE)</f>
        <v>0</v>
      </c>
      <c r="C85" s="38">
        <f>VLOOKUP(A1,DIV_02Data!$A$1:$DZU$1000000,1432,FALSE)</f>
        <v>0</v>
      </c>
      <c r="D85" s="31">
        <f>VLOOKUP(A1,DIV_02Data!$A$1:$DZU$1000000,1433,FALSE)</f>
        <v>0</v>
      </c>
      <c r="E85" s="32">
        <f>VLOOKUP(A1,DIV_02Data!$A$1:$DZU$1000000,1434,FALSE)</f>
        <v>0</v>
      </c>
      <c r="F85" s="34">
        <f>VLOOKUP(A1,DIV_02Data!$A$1:$DZU$1000000,1435,FALSE)</f>
        <v>0</v>
      </c>
      <c r="G85" s="33">
        <f>VLOOKUP(A1,DIV_02Data!$A$1:$DZU$1000000,1436,FALSE)</f>
        <v>0</v>
      </c>
      <c r="H85" s="34">
        <f>VLOOKUP(A1,DIV_02Data!$A$1:$DZU$1000000,1437,FALSE)</f>
        <v>0</v>
      </c>
      <c r="I85" s="33">
        <f>VLOOKUP(A1,DIV_02Data!$A$1:$DZU$1000000,1438,FALSE)</f>
        <v>0</v>
      </c>
      <c r="J85" s="34">
        <f>VLOOKUP(A1,DIV_02Data!$A$1:$DZU$1000000,1439,FALSE)</f>
        <v>0</v>
      </c>
      <c r="K85" s="34">
        <f>VLOOKUP(A1,DIV_02Data!$A$1:$DZU$1000000,1440,FALSE)</f>
        <v>0</v>
      </c>
      <c r="L85" s="93">
        <f>VLOOKUP(A1,DIV_02Data!$A$1:$DZU$1000000,1441,FALSE)</f>
        <v>0</v>
      </c>
      <c r="M85" s="33">
        <f>VLOOKUP(A1,DIV_02Data!$A$1:$DZU$1000000,1442,FALSE)</f>
        <v>0</v>
      </c>
      <c r="N85" s="34">
        <f>VLOOKUP(A1,DIV_02Data!$A$1:$DZU$1000000,1443,FALSE)</f>
        <v>0</v>
      </c>
      <c r="O85" s="33">
        <f>VLOOKUP(A1,DIV_02Data!$A$1:$DZU$1000000,1444,FALSE)</f>
        <v>0</v>
      </c>
      <c r="P85" s="46">
        <f>VLOOKUP(A1,DIV_02Data!$A$1:$DZU$1000000,1445,FALSE)</f>
        <v>0</v>
      </c>
      <c r="Q85" s="33">
        <f>VLOOKUP(A1,DIV_02Data!$A$1:$DZU$1000000,1446,FALSE)</f>
        <v>0</v>
      </c>
    </row>
    <row r="86" spans="1:17" x14ac:dyDescent="0.35">
      <c r="A86" s="22">
        <f>VLOOKUP(A1,DIV_02Data!$A$1:$DZU$1000000,1447,FALSE)</f>
        <v>0</v>
      </c>
      <c r="B86" s="37">
        <f>VLOOKUP(A1,DIV_02Data!$A$1:$DZU$1000000,1448,FALSE)</f>
        <v>0</v>
      </c>
      <c r="C86" s="38">
        <f>VLOOKUP(A1,DIV_02Data!$A$1:$DZU$1000000,1449,FALSE)</f>
        <v>0</v>
      </c>
      <c r="D86" s="31">
        <f>VLOOKUP(A1,DIV_02Data!$A$1:$DZU$1000000,1450,FALSE)</f>
        <v>0</v>
      </c>
      <c r="E86" s="32">
        <f>VLOOKUP(A1,DIV_02Data!$A$1:$DZU$1000000,1451,FALSE)</f>
        <v>0</v>
      </c>
      <c r="F86" s="34">
        <f>VLOOKUP(A1,DIV_02Data!$A$1:$DZU$1000000,1452,FALSE)</f>
        <v>0</v>
      </c>
      <c r="G86" s="33">
        <f>VLOOKUP(A1,DIV_02Data!$A$1:$DZU$1000000,1453,FALSE)</f>
        <v>0</v>
      </c>
      <c r="H86" s="34">
        <f>VLOOKUP(A1,DIV_02Data!$A$1:$DZU$1000000,1454,FALSE)</f>
        <v>0</v>
      </c>
      <c r="I86" s="33">
        <f>VLOOKUP(A1,DIV_02Data!$A$1:$DZU$1000000,1455,FALSE)</f>
        <v>0</v>
      </c>
      <c r="J86" s="34">
        <f>VLOOKUP(A1,DIV_02Data!$A$1:$DZU$1000000,1456,FALSE)</f>
        <v>0</v>
      </c>
      <c r="K86" s="34">
        <f>VLOOKUP(A1,DIV_02Data!$A$1:$DZU$1000000,1457,FALSE)</f>
        <v>0</v>
      </c>
      <c r="L86" s="93">
        <f>VLOOKUP(A1,DIV_02Data!$A$1:$DZU$1000000,1458,FALSE)</f>
        <v>0</v>
      </c>
      <c r="M86" s="33">
        <f>VLOOKUP(A1,DIV_02Data!$A$1:$DZU$1000000,1459,FALSE)</f>
        <v>0</v>
      </c>
      <c r="N86" s="34">
        <f>VLOOKUP(A1,DIV_02Data!$A$1:$DZU$1000000,1460,FALSE)</f>
        <v>0</v>
      </c>
      <c r="O86" s="33">
        <f>VLOOKUP(A1,DIV_02Data!$A$1:$DZU$1000000,1461,FALSE)</f>
        <v>0</v>
      </c>
      <c r="P86" s="46">
        <f>VLOOKUP(A1,DIV_02Data!$A$1:$DZU$1000000,1462,FALSE)</f>
        <v>0</v>
      </c>
      <c r="Q86" s="33">
        <f>VLOOKUP(A1,DIV_02Data!$A$1:$DZU$1000000,1463,FALSE)</f>
        <v>0</v>
      </c>
    </row>
    <row r="87" spans="1:17" x14ac:dyDescent="0.35">
      <c r="A87" s="22">
        <f>VLOOKUP(A1,DIV_02Data!$A$1:$DZU$1000000,1464,FALSE)</f>
        <v>0</v>
      </c>
      <c r="B87" s="37">
        <f>VLOOKUP(A1,DIV_02Data!$A$1:$DZU$1000000,1465,FALSE)</f>
        <v>0</v>
      </c>
      <c r="C87" s="38">
        <f>VLOOKUP(A1,DIV_02Data!$A$1:$DZU$1000000,1466,FALSE)</f>
        <v>0</v>
      </c>
      <c r="D87" s="31">
        <f>VLOOKUP(A1,DIV_02Data!$A$1:$DZU$1000000,1467,FALSE)</f>
        <v>0</v>
      </c>
      <c r="E87" s="32">
        <f>VLOOKUP(A1,DIV_02Data!$A$1:$DZU$1000000,1468,FALSE)</f>
        <v>0</v>
      </c>
      <c r="F87" s="34">
        <f>VLOOKUP(A1,DIV_02Data!$A$1:$DZU$1000000,1469,FALSE)</f>
        <v>0</v>
      </c>
      <c r="G87" s="33">
        <f>VLOOKUP(A1,DIV_02Data!$A$1:$DZU$1000000,1470,FALSE)</f>
        <v>0</v>
      </c>
      <c r="H87" s="34">
        <f>VLOOKUP(A1,DIV_02Data!$A$1:$DZU$1000000,1471,FALSE)</f>
        <v>0</v>
      </c>
      <c r="I87" s="33">
        <f>VLOOKUP(A1,DIV_02Data!$A$1:$DZU$1000000,1472,FALSE)</f>
        <v>0</v>
      </c>
      <c r="J87" s="34">
        <f>VLOOKUP(A1,DIV_02Data!$A$1:$DZU$1000000,1473,FALSE)</f>
        <v>0</v>
      </c>
      <c r="K87" s="34">
        <f>VLOOKUP(A1,DIV_02Data!$A$1:$DZU$1000000,1474,FALSE)</f>
        <v>0</v>
      </c>
      <c r="L87" s="93">
        <f>VLOOKUP(A1,DIV_02Data!$A$1:$DZU$1000000,1475,FALSE)</f>
        <v>0</v>
      </c>
      <c r="M87" s="33">
        <f>VLOOKUP(A1,DIV_02Data!$A$1:$DZU$1000000,1476,FALSE)</f>
        <v>0</v>
      </c>
      <c r="N87" s="34">
        <f>VLOOKUP(A1,DIV_02Data!$A$1:$DZU$1000000,1477,FALSE)</f>
        <v>0</v>
      </c>
      <c r="O87" s="33">
        <f>VLOOKUP(A1,DIV_02Data!$A$1:$DZU$1000000,1478,FALSE)</f>
        <v>0</v>
      </c>
      <c r="P87" s="46">
        <f>VLOOKUP(A1,DIV_02Data!$A$1:$DZU$1000000,1479,FALSE)</f>
        <v>0</v>
      </c>
      <c r="Q87" s="33">
        <f>VLOOKUP(A1,DIV_02Data!$A$1:$DZU$1000000,1480,FALSE)</f>
        <v>0</v>
      </c>
    </row>
    <row r="88" spans="1:17" x14ac:dyDescent="0.35">
      <c r="A88" s="22">
        <f>VLOOKUP(A1,DIV_02Data!$A$1:$DZU$1000000,1481,FALSE)</f>
        <v>0</v>
      </c>
      <c r="B88" s="37">
        <f>VLOOKUP(A1,DIV_02Data!$A$1:$DZU$1000000,1482,FALSE)</f>
        <v>0</v>
      </c>
      <c r="C88" s="38">
        <f>VLOOKUP(A1,DIV_02Data!$A$1:$DZU$1000000,1483,FALSE)</f>
        <v>0</v>
      </c>
      <c r="D88" s="31">
        <f>VLOOKUP(A1,DIV_02Data!$A$1:$DZU$1000000,1484,FALSE)</f>
        <v>0</v>
      </c>
      <c r="E88" s="32">
        <f>VLOOKUP(A1,DIV_02Data!$A$1:$DZU$1000000,1485,FALSE)</f>
        <v>0</v>
      </c>
      <c r="F88" s="34">
        <f>VLOOKUP(A1,DIV_02Data!$A$1:$DZU$1000000,1486,FALSE)</f>
        <v>0</v>
      </c>
      <c r="G88" s="33">
        <f>VLOOKUP(A1,DIV_02Data!$A$1:$DZU$1000000,1487,FALSE)</f>
        <v>0</v>
      </c>
      <c r="H88" s="34">
        <f>VLOOKUP(A1,DIV_02Data!$A$1:$DZU$1000000,1488,FALSE)</f>
        <v>0</v>
      </c>
      <c r="I88" s="33">
        <f>VLOOKUP(A1,DIV_02Data!$A$1:$DZU$1000000,1489,FALSE)</f>
        <v>0</v>
      </c>
      <c r="J88" s="34">
        <f>VLOOKUP(A1,DIV_02Data!$A$1:$DZU$1000000,1490,FALSE)</f>
        <v>0</v>
      </c>
      <c r="K88" s="34">
        <f>VLOOKUP(A1,DIV_02Data!$A$1:$DZU$1000000,1491,FALSE)</f>
        <v>0</v>
      </c>
      <c r="L88" s="93">
        <f>VLOOKUP(A1,DIV_02Data!$A$1:$DZU$1000000,1492,FALSE)</f>
        <v>0</v>
      </c>
      <c r="M88" s="33">
        <f>VLOOKUP(A1,DIV_02Data!$A$1:$DZU$1000000,1493,FALSE)</f>
        <v>0</v>
      </c>
      <c r="N88" s="34">
        <f>VLOOKUP(A1,DIV_02Data!$A$1:$DZU$1000000,1494,FALSE)</f>
        <v>0</v>
      </c>
      <c r="O88" s="33">
        <f>VLOOKUP(A1,DIV_02Data!$A$1:$DZU$1000000,1495,FALSE)</f>
        <v>0</v>
      </c>
      <c r="P88" s="46">
        <f>VLOOKUP(A1,DIV_02Data!$A$1:$DZU$1000000,1496,FALSE)</f>
        <v>0</v>
      </c>
      <c r="Q88" s="33">
        <f>VLOOKUP(A1,DIV_02Data!$A$1:$DZU$1000000,1497,FALSE)</f>
        <v>0</v>
      </c>
    </row>
    <row r="89" spans="1:17" x14ac:dyDescent="0.35">
      <c r="A89" s="22">
        <f>VLOOKUP(A1,DIV_02Data!$A$1:$DZU$1000000,1498,FALSE)</f>
        <v>0</v>
      </c>
      <c r="B89" s="37">
        <f>VLOOKUP(A1,DIV_02Data!$A$1:$DZU$1000000,1499,FALSE)</f>
        <v>0</v>
      </c>
      <c r="C89" s="38">
        <f>VLOOKUP(A1,DIV_02Data!$A$1:$DZU$1000000,1500,FALSE)</f>
        <v>0</v>
      </c>
      <c r="D89" s="31">
        <f>VLOOKUP(A1,DIV_02Data!$A$1:$DZU$1000000,1501,FALSE)</f>
        <v>0</v>
      </c>
      <c r="E89" s="32">
        <f>VLOOKUP(A1,DIV_02Data!$A$1:$DZU$1000000,1502,FALSE)</f>
        <v>0</v>
      </c>
      <c r="F89" s="34">
        <f>VLOOKUP(A1,DIV_02Data!$A$1:$DZU$1000000,1503,FALSE)</f>
        <v>0</v>
      </c>
      <c r="G89" s="33">
        <f>VLOOKUP(A1,DIV_02Data!$A$1:$DZU$1000000,1504,FALSE)</f>
        <v>0</v>
      </c>
      <c r="H89" s="34">
        <f>VLOOKUP(A1,DIV_02Data!$A$1:$DZU$1000000,1505,FALSE)</f>
        <v>0</v>
      </c>
      <c r="I89" s="33">
        <f>VLOOKUP(A1,DIV_02Data!$A$1:$DZU$1000000,1506,FALSE)</f>
        <v>0</v>
      </c>
      <c r="J89" s="34">
        <f>VLOOKUP(A1,DIV_02Data!$A$1:$DZU$1000000,1507,FALSE)</f>
        <v>0</v>
      </c>
      <c r="K89" s="34">
        <f>VLOOKUP(A1,DIV_02Data!$A$1:$DZU$1000000,1508,FALSE)</f>
        <v>0</v>
      </c>
      <c r="L89" s="93">
        <f>VLOOKUP(A1,DIV_02Data!$A$1:$DZU$1000000,1509,FALSE)</f>
        <v>0</v>
      </c>
      <c r="M89" s="33">
        <f>VLOOKUP(A1,DIV_02Data!$A$1:$DZU$1000000,1510,FALSE)</f>
        <v>0</v>
      </c>
      <c r="N89" s="34">
        <f>VLOOKUP(A1,DIV_02Data!$A$1:$DZU$1000000,1511,FALSE)</f>
        <v>0</v>
      </c>
      <c r="O89" s="33">
        <f>VLOOKUP(A1,DIV_02Data!$A$1:$DZU$1000000,1512,FALSE)</f>
        <v>0</v>
      </c>
      <c r="P89" s="46">
        <f>VLOOKUP(A1,DIV_02Data!$A$1:$DZU$1000000,1513,FALSE)</f>
        <v>0</v>
      </c>
      <c r="Q89" s="33">
        <f>VLOOKUP(A1,DIV_02Data!$A$1:$DZU$1000000,1514,FALSE)</f>
        <v>0</v>
      </c>
    </row>
    <row r="90" spans="1:17" x14ac:dyDescent="0.35">
      <c r="A90" s="22">
        <f>VLOOKUP(A1,DIV_02Data!$A$1:$DZU$1000000,1515,FALSE)</f>
        <v>0</v>
      </c>
      <c r="B90" s="37">
        <f>VLOOKUP(A1,DIV_02Data!$A$1:$DZU$1000000,1516,FALSE)</f>
        <v>0</v>
      </c>
      <c r="C90" s="38">
        <f>VLOOKUP(A1,DIV_02Data!$A$1:$DZU$1000000,1517,FALSE)</f>
        <v>0</v>
      </c>
      <c r="D90" s="31">
        <f>VLOOKUP(A1,DIV_02Data!$A$1:$DZU$1000000,1518,FALSE)</f>
        <v>0</v>
      </c>
      <c r="E90" s="32">
        <f>VLOOKUP(A1,DIV_02Data!$A$1:$DZU$1000000,1519,FALSE)</f>
        <v>0</v>
      </c>
      <c r="F90" s="34">
        <f>VLOOKUP(A1,DIV_02Data!$A$1:$DZU$1000000,1520,FALSE)</f>
        <v>0</v>
      </c>
      <c r="G90" s="33">
        <f>VLOOKUP(A1,DIV_02Data!$A$1:$DZU$1000000,1521,FALSE)</f>
        <v>0</v>
      </c>
      <c r="H90" s="34">
        <f>VLOOKUP(A1,DIV_02Data!$A$1:$DZU$1000000,1522,FALSE)</f>
        <v>0</v>
      </c>
      <c r="I90" s="33">
        <f>VLOOKUP(A1,DIV_02Data!$A$1:$DZU$1000000,1523,FALSE)</f>
        <v>0</v>
      </c>
      <c r="J90" s="34">
        <f>VLOOKUP(A1,DIV_02Data!$A$1:$DZU$1000000,1524,FALSE)</f>
        <v>0</v>
      </c>
      <c r="K90" s="34">
        <f>VLOOKUP(A1,DIV_02Data!$A$1:$DZU$1000000,1525,FALSE)</f>
        <v>0</v>
      </c>
      <c r="L90" s="93">
        <f>VLOOKUP(A1,DIV_02Data!$A$1:$DZU$1000000,1526,FALSE)</f>
        <v>0</v>
      </c>
      <c r="M90" s="33">
        <f>VLOOKUP(A1,DIV_02Data!$A$1:$DZU$1000000,1527,FALSE)</f>
        <v>0</v>
      </c>
      <c r="N90" s="34">
        <f>VLOOKUP(A1,DIV_02Data!$A$1:$DZU$1000000,1528,FALSE)</f>
        <v>0</v>
      </c>
      <c r="O90" s="33">
        <f>VLOOKUP(A1,DIV_02Data!$A$1:$DZU$1000000,1529,FALSE)</f>
        <v>0</v>
      </c>
      <c r="P90" s="46">
        <f>VLOOKUP(A1,DIV_02Data!$A$1:$DZU$1000000,1530,FALSE)</f>
        <v>0</v>
      </c>
      <c r="Q90" s="33">
        <f>VLOOKUP(A1,DIV_02Data!$A$1:$DZU$1000000,1531,FALSE)</f>
        <v>0</v>
      </c>
    </row>
    <row r="91" spans="1:17" x14ac:dyDescent="0.35">
      <c r="A91" s="22">
        <f>VLOOKUP(A1,DIV_02Data!$A$1:$DZU$1000000,1532,FALSE)</f>
        <v>0</v>
      </c>
      <c r="B91" s="37">
        <f>VLOOKUP(A1,DIV_02Data!$A$1:$DZU$1000000,1533,FALSE)</f>
        <v>0</v>
      </c>
      <c r="C91" s="38">
        <f>VLOOKUP(A1,DIV_02Data!$A$1:$DZU$1000000,1534,FALSE)</f>
        <v>0</v>
      </c>
      <c r="D91" s="31">
        <f>VLOOKUP(A1,DIV_02Data!$A$1:$DZU$1000000,1535,FALSE)</f>
        <v>0</v>
      </c>
      <c r="E91" s="32">
        <f>VLOOKUP(A1,DIV_02Data!$A$1:$DZU$1000000,1536,FALSE)</f>
        <v>0</v>
      </c>
      <c r="F91" s="34">
        <f>VLOOKUP(A1,DIV_02Data!$A$1:$DZU$1000000,1537,FALSE)</f>
        <v>0</v>
      </c>
      <c r="G91" s="33">
        <f>VLOOKUP(A1,DIV_02Data!$A$1:$DZU$1000000,1538,FALSE)</f>
        <v>0</v>
      </c>
      <c r="H91" s="34">
        <f>VLOOKUP(A1,DIV_02Data!$A$1:$DZU$1000000,1539,FALSE)</f>
        <v>0</v>
      </c>
      <c r="I91" s="33">
        <f>VLOOKUP(A1,DIV_02Data!$A$1:$DZU$1000000,1540,FALSE)</f>
        <v>0</v>
      </c>
      <c r="J91" s="34">
        <f>VLOOKUP(A1,DIV_02Data!$A$1:$DZU$1000000,1541,FALSE)</f>
        <v>0</v>
      </c>
      <c r="K91" s="34">
        <f>VLOOKUP(A1,DIV_02Data!$A$1:$DZU$1000000,1542,FALSE)</f>
        <v>0</v>
      </c>
      <c r="L91" s="93">
        <f>VLOOKUP(A1,DIV_02Data!$A$1:$DZU$1000000,1543,FALSE)</f>
        <v>0</v>
      </c>
      <c r="M91" s="33">
        <f>VLOOKUP(A1,DIV_02Data!$A$1:$DZU$1000000,1544,FALSE)</f>
        <v>0</v>
      </c>
      <c r="N91" s="34">
        <f>VLOOKUP(A1,DIV_02Data!$A$1:$DZU$1000000,1545,FALSE)</f>
        <v>0</v>
      </c>
      <c r="O91" s="33">
        <f>VLOOKUP(A1,DIV_02Data!$A$1:$DZU$1000000,1546,FALSE)</f>
        <v>0</v>
      </c>
      <c r="P91" s="46">
        <f>VLOOKUP(A1,DIV_02Data!$A$1:$DZU$1000000,1547,FALSE)</f>
        <v>0</v>
      </c>
      <c r="Q91" s="33">
        <f>VLOOKUP(A1,DIV_02Data!$A$1:$DZU$1000000,1548,FALSE)</f>
        <v>0</v>
      </c>
    </row>
    <row r="92" spans="1:17" x14ac:dyDescent="0.35">
      <c r="A92" s="22">
        <f>VLOOKUP(A1,DIV_02Data!$A$1:$DZU$1000000,1549,FALSE)</f>
        <v>0</v>
      </c>
      <c r="B92" s="37">
        <f>VLOOKUP(A1,DIV_02Data!$A$1:$DZU$1000000,1550,FALSE)</f>
        <v>0</v>
      </c>
      <c r="C92" s="38">
        <f>VLOOKUP(A1,DIV_02Data!$A$1:$DZU$1000000,1551,FALSE)</f>
        <v>0</v>
      </c>
      <c r="D92" s="31">
        <f>VLOOKUP(A1,DIV_02Data!$A$1:$DZU$1000000,1552,FALSE)</f>
        <v>0</v>
      </c>
      <c r="E92" s="32">
        <f>VLOOKUP(A1,DIV_02Data!$A$1:$DZU$1000000,1553,FALSE)</f>
        <v>0</v>
      </c>
      <c r="F92" s="34">
        <f>VLOOKUP(A1,DIV_02Data!$A$1:$DZU$1000000,1554,FALSE)</f>
        <v>0</v>
      </c>
      <c r="G92" s="33">
        <f>VLOOKUP(A1,DIV_02Data!$A$1:$DZU$1000000,1555,FALSE)</f>
        <v>0</v>
      </c>
      <c r="H92" s="34">
        <f>VLOOKUP(A1,DIV_02Data!$A$1:$DZU$1000000,1556,FALSE)</f>
        <v>0</v>
      </c>
      <c r="I92" s="33">
        <f>VLOOKUP(A1,DIV_02Data!$A$1:$DZU$1000000,1557,FALSE)</f>
        <v>0</v>
      </c>
      <c r="J92" s="34">
        <f>VLOOKUP(A1,DIV_02Data!$A$1:$DZU$1000000,1558,FALSE)</f>
        <v>0</v>
      </c>
      <c r="K92" s="34">
        <f>VLOOKUP(A1,DIV_02Data!$A$1:$DZU$1000000,1559,FALSE)</f>
        <v>0</v>
      </c>
      <c r="L92" s="93">
        <f>VLOOKUP(A1,DIV_02Data!$A$1:$DZU$1000000,1560,FALSE)</f>
        <v>0</v>
      </c>
      <c r="M92" s="33">
        <f>VLOOKUP(A1,DIV_02Data!$A$1:$DZU$1000000,1561,FALSE)</f>
        <v>0</v>
      </c>
      <c r="N92" s="34">
        <f>VLOOKUP(A1,DIV_02Data!$A$1:$DZU$1000000,1562,FALSE)</f>
        <v>0</v>
      </c>
      <c r="O92" s="33">
        <f>VLOOKUP(A1,DIV_02Data!$A$1:$DZU$1000000,1563,FALSE)</f>
        <v>0</v>
      </c>
      <c r="P92" s="46">
        <f>VLOOKUP(A1,DIV_02Data!$A$1:$DZU$1000000,1564,FALSE)</f>
        <v>0</v>
      </c>
      <c r="Q92" s="33">
        <f>VLOOKUP(A1,DIV_02Data!$A$1:$DZU$1000000,1565,FALSE)</f>
        <v>0</v>
      </c>
    </row>
    <row r="93" spans="1:17" x14ac:dyDescent="0.35">
      <c r="A93" s="22">
        <f>VLOOKUP(A1,DIV_02Data!$A$1:$DZU$1000000,1566,FALSE)</f>
        <v>0</v>
      </c>
      <c r="B93" s="37">
        <f>VLOOKUP(A1,DIV_02Data!$A$1:$DZU$1000000,1567,FALSE)</f>
        <v>0</v>
      </c>
      <c r="C93" s="38">
        <f>VLOOKUP(A1,DIV_02Data!$A$1:$DZU$1000000,1568,FALSE)</f>
        <v>0</v>
      </c>
      <c r="D93" s="31">
        <f>VLOOKUP(A1,DIV_02Data!$A$1:$DZU$1000000,1569,FALSE)</f>
        <v>0</v>
      </c>
      <c r="E93" s="32">
        <f>VLOOKUP(A1,DIV_02Data!$A$1:$DZU$1000000,1570,FALSE)</f>
        <v>0</v>
      </c>
      <c r="F93" s="34">
        <f>VLOOKUP(A1,DIV_02Data!$A$1:$DZU$1000000,1571,FALSE)</f>
        <v>0</v>
      </c>
      <c r="G93" s="33">
        <f>VLOOKUP(A1,DIV_02Data!$A$1:$DZU$1000000,1572,FALSE)</f>
        <v>0</v>
      </c>
      <c r="H93" s="34">
        <f>VLOOKUP(A1,DIV_02Data!$A$1:$DZU$1000000,1573,FALSE)</f>
        <v>0</v>
      </c>
      <c r="I93" s="33">
        <f>VLOOKUP(A1,DIV_02Data!$A$1:$DZU$1000000,1574,FALSE)</f>
        <v>0</v>
      </c>
      <c r="J93" s="34">
        <f>VLOOKUP(A1,DIV_02Data!$A$1:$DZU$1000000,1575,FALSE)</f>
        <v>0</v>
      </c>
      <c r="K93" s="34">
        <f>VLOOKUP(A1,DIV_02Data!$A$1:$DZU$1000000,1576,FALSE)</f>
        <v>0</v>
      </c>
      <c r="L93" s="93">
        <f>VLOOKUP(A1,DIV_02Data!$A$1:$DZU$1000000,1577,FALSE)</f>
        <v>0</v>
      </c>
      <c r="M93" s="33">
        <f>VLOOKUP(A1,DIV_02Data!$A$1:$DZU$1000000,1578,FALSE)</f>
        <v>0</v>
      </c>
      <c r="N93" s="34">
        <f>VLOOKUP(A1,DIV_02Data!$A$1:$DZU$1000000,1579,FALSE)</f>
        <v>0</v>
      </c>
      <c r="O93" s="33">
        <f>VLOOKUP(A1,DIV_02Data!$A$1:$DZU$1000000,1580,FALSE)</f>
        <v>0</v>
      </c>
      <c r="P93" s="46">
        <f>VLOOKUP(A1,DIV_02Data!$A$1:$DZU$1000000,1581,FALSE)</f>
        <v>0</v>
      </c>
      <c r="Q93" s="33">
        <f>VLOOKUP(A1,DIV_02Data!$A$1:$DZU$1000000,1582,FALSE)</f>
        <v>0</v>
      </c>
    </row>
    <row r="94" spans="1:17" x14ac:dyDescent="0.35">
      <c r="A94" s="22">
        <f>VLOOKUP(A1,DIV_02Data!$A$1:$DZU$1000000,1583,FALSE)</f>
        <v>0</v>
      </c>
      <c r="B94" s="37">
        <f>VLOOKUP(A1,DIV_02Data!$A$1:$DZU$1000000,1584,FALSE)</f>
        <v>0</v>
      </c>
      <c r="C94" s="38">
        <f>VLOOKUP(A1,DIV_02Data!$A$1:$DZU$1000000,1585,FALSE)</f>
        <v>0</v>
      </c>
      <c r="D94" s="31">
        <f>VLOOKUP(A1,DIV_02Data!$A$1:$DZU$1000000,1586,FALSE)</f>
        <v>0</v>
      </c>
      <c r="E94" s="32">
        <f>VLOOKUP(A1,DIV_02Data!$A$1:$DZU$1000000,1587,FALSE)</f>
        <v>0</v>
      </c>
      <c r="F94" s="34">
        <f>VLOOKUP(A1,DIV_02Data!$A$1:$DZU$1000000,1588,FALSE)</f>
        <v>0</v>
      </c>
      <c r="G94" s="33">
        <f>VLOOKUP(A1,DIV_02Data!$A$1:$DZU$1000000,1589,FALSE)</f>
        <v>0</v>
      </c>
      <c r="H94" s="34">
        <f>VLOOKUP(A1,DIV_02Data!$A$1:$DZU$1000000,1590,FALSE)</f>
        <v>0</v>
      </c>
      <c r="I94" s="33">
        <f>VLOOKUP(A1,DIV_02Data!$A$1:$DZU$1000000,1591,FALSE)</f>
        <v>0</v>
      </c>
      <c r="J94" s="34">
        <f>VLOOKUP(A1,DIV_02Data!$A$1:$DZU$1000000,1592,FALSE)</f>
        <v>0</v>
      </c>
      <c r="K94" s="34">
        <f>VLOOKUP(A1,DIV_02Data!$A$1:$DZU$1000000,1593,FALSE)</f>
        <v>0</v>
      </c>
      <c r="L94" s="93">
        <f>VLOOKUP(A1,DIV_02Data!$A$1:$DZU$1000000,1594,FALSE)</f>
        <v>0</v>
      </c>
      <c r="M94" s="33">
        <f>VLOOKUP(A1,DIV_02Data!$A$1:$DZU$1000000,1595,FALSE)</f>
        <v>0</v>
      </c>
      <c r="N94" s="34">
        <f>VLOOKUP(A1,DIV_02Data!$A$1:$DZU$1000000,1596,FALSE)</f>
        <v>0</v>
      </c>
      <c r="O94" s="33">
        <f>VLOOKUP(A1,DIV_02Data!$A$1:$DZU$1000000,1597,FALSE)</f>
        <v>0</v>
      </c>
      <c r="P94" s="46">
        <f>VLOOKUP(A1,DIV_02Data!$A$1:$DZU$1000000,1598,FALSE)</f>
        <v>0</v>
      </c>
      <c r="Q94" s="33">
        <f>VLOOKUP(A1,DIV_02Data!$A$1:$DZU$1000000,1599,FALSE)</f>
        <v>0</v>
      </c>
    </row>
    <row r="95" spans="1:17" x14ac:dyDescent="0.35">
      <c r="A95" s="22">
        <f>VLOOKUP(A1,DIV_02Data!$A$1:$DZU$1000000,1600,FALSE)</f>
        <v>0</v>
      </c>
      <c r="B95" s="37">
        <f>VLOOKUP(A1,DIV_02Data!$A$1:$DZU$1000000,1601,FALSE)</f>
        <v>0</v>
      </c>
      <c r="C95" s="38">
        <f>VLOOKUP(A1,DIV_02Data!$A$1:$DZU$1000000,1602,FALSE)</f>
        <v>0</v>
      </c>
      <c r="D95" s="31">
        <f>VLOOKUP(A1,DIV_02Data!$A$1:$DZU$1000000,1603,FALSE)</f>
        <v>0</v>
      </c>
      <c r="E95" s="32">
        <f>VLOOKUP(A1,DIV_02Data!$A$1:$DZU$1000000,1604,FALSE)</f>
        <v>0</v>
      </c>
      <c r="F95" s="34">
        <f>VLOOKUP(A1,DIV_02Data!$A$1:$DZU$1000000,1605,FALSE)</f>
        <v>0</v>
      </c>
      <c r="G95" s="33">
        <f>VLOOKUP(A1,DIV_02Data!$A$1:$DZU$1000000,1606,FALSE)</f>
        <v>0</v>
      </c>
      <c r="H95" s="34">
        <f>VLOOKUP(A1,DIV_02Data!$A$1:$DZU$1000000,1607,FALSE)</f>
        <v>0</v>
      </c>
      <c r="I95" s="33">
        <f>VLOOKUP(A1,DIV_02Data!$A$1:$DZU$1000000,1608,FALSE)</f>
        <v>0</v>
      </c>
      <c r="J95" s="34">
        <f>VLOOKUP(A1,DIV_02Data!$A$1:$DZU$1000000,1609,FALSE)</f>
        <v>0</v>
      </c>
      <c r="K95" s="34">
        <f>VLOOKUP(A1,DIV_02Data!$A$1:$DZU$1000000,1610,FALSE)</f>
        <v>0</v>
      </c>
      <c r="L95" s="93">
        <f>VLOOKUP(A1,DIV_02Data!$A$1:$DZU$1000000,1611,FALSE)</f>
        <v>0</v>
      </c>
      <c r="M95" s="33">
        <f>VLOOKUP(A1,DIV_02Data!$A$1:$DZU$1000000,1612,FALSE)</f>
        <v>0</v>
      </c>
      <c r="N95" s="34">
        <f>VLOOKUP(A1,DIV_02Data!$A$1:$DZU$1000000,1613,FALSE)</f>
        <v>0</v>
      </c>
      <c r="O95" s="33">
        <f>VLOOKUP(A1,DIV_02Data!$A$1:$DZU$1000000,1614,FALSE)</f>
        <v>0</v>
      </c>
      <c r="P95" s="46">
        <f>VLOOKUP(A1,DIV_02Data!$A$1:$DZU$1000000,1615,FALSE)</f>
        <v>0</v>
      </c>
      <c r="Q95" s="33">
        <f>VLOOKUP(A1,DIV_02Data!$A$1:$DZU$1000000,1616,FALSE)</f>
        <v>0</v>
      </c>
    </row>
    <row r="96" spans="1:17" x14ac:dyDescent="0.35">
      <c r="A96" s="22">
        <f>VLOOKUP(A1,DIV_02Data!$A$1:$DZU$1000000,1617,FALSE)</f>
        <v>0</v>
      </c>
      <c r="B96" s="37">
        <f>VLOOKUP(A1,DIV_02Data!$A$1:$DZU$1000000,1618,FALSE)</f>
        <v>0</v>
      </c>
      <c r="C96" s="38">
        <f>VLOOKUP(A1,DIV_02Data!$A$1:$DZU$1000000,1619,FALSE)</f>
        <v>0</v>
      </c>
      <c r="D96" s="31">
        <f>VLOOKUP(A1,DIV_02Data!$A$1:$DZU$1000000,1620,FALSE)</f>
        <v>0</v>
      </c>
      <c r="E96" s="32">
        <f>VLOOKUP(A1,DIV_02Data!$A$1:$DZU$1000000,1621,FALSE)</f>
        <v>0</v>
      </c>
      <c r="F96" s="34">
        <f>VLOOKUP(A1,DIV_02Data!$A$1:$DZU$1000000,1622,FALSE)</f>
        <v>0</v>
      </c>
      <c r="G96" s="33">
        <f>VLOOKUP(A1,DIV_02Data!$A$1:$DZU$1000000,1623,FALSE)</f>
        <v>0</v>
      </c>
      <c r="H96" s="34">
        <f>VLOOKUP(A1,DIV_02Data!$A$1:$DZU$1000000,1624,FALSE)</f>
        <v>0</v>
      </c>
      <c r="I96" s="33">
        <f>VLOOKUP(A1,DIV_02Data!$A$1:$DZU$1000000,1625,FALSE)</f>
        <v>0</v>
      </c>
      <c r="J96" s="34">
        <f>VLOOKUP(A1,DIV_02Data!$A$1:$DZU$1000000,1626,FALSE)</f>
        <v>0</v>
      </c>
      <c r="K96" s="34">
        <f>VLOOKUP(A1,DIV_02Data!$A$1:$DZU$1000000,1627,FALSE)</f>
        <v>0</v>
      </c>
      <c r="L96" s="93">
        <f>VLOOKUP(A1,DIV_02Data!$A$1:$DZU$1000000,1628,FALSE)</f>
        <v>0</v>
      </c>
      <c r="M96" s="33">
        <f>VLOOKUP(A1,DIV_02Data!$A$1:$DZU$1000000,1629,FALSE)</f>
        <v>0</v>
      </c>
      <c r="N96" s="34">
        <f>VLOOKUP(A1,DIV_02Data!$A$1:$DZU$1000000,1630,FALSE)</f>
        <v>0</v>
      </c>
      <c r="O96" s="33">
        <f>VLOOKUP(A1,DIV_02Data!$A$1:$DZU$1000000,1631,FALSE)</f>
        <v>0</v>
      </c>
      <c r="P96" s="46">
        <f>VLOOKUP(A1,DIV_02Data!$A$1:$DZU$1000000,1632,FALSE)</f>
        <v>0</v>
      </c>
      <c r="Q96" s="33">
        <f>VLOOKUP(A1,DIV_02Data!$A$1:$DZU$1000000,1633,FALSE)</f>
        <v>0</v>
      </c>
    </row>
    <row r="97" spans="1:17" x14ac:dyDescent="0.35">
      <c r="A97" s="22">
        <f>VLOOKUP(A1,DIV_02Data!$A$1:$DZU$1000000,1634,FALSE)</f>
        <v>0</v>
      </c>
      <c r="B97" s="37">
        <f>VLOOKUP(A1,DIV_02Data!$A$1:$DZU$1000000,1635,FALSE)</f>
        <v>0</v>
      </c>
      <c r="C97" s="38">
        <f>VLOOKUP(A1,DIV_02Data!$A$1:$DZU$1000000,1636,FALSE)</f>
        <v>0</v>
      </c>
      <c r="D97" s="31">
        <f>VLOOKUP(A1,DIV_02Data!$A$1:$DZU$1000000,1637,FALSE)</f>
        <v>0</v>
      </c>
      <c r="E97" s="32">
        <f>VLOOKUP(A1,DIV_02Data!$A$1:$DZU$1000000,1638,FALSE)</f>
        <v>0</v>
      </c>
      <c r="F97" s="34">
        <f>VLOOKUP(A1,DIV_02Data!$A$1:$DZU$1000000,1639,FALSE)</f>
        <v>0</v>
      </c>
      <c r="G97" s="33">
        <f>VLOOKUP(A1,DIV_02Data!$A$1:$DZU$1000000,1640,FALSE)</f>
        <v>0</v>
      </c>
      <c r="H97" s="34">
        <f>VLOOKUP(A1,DIV_02Data!$A$1:$DZU$1000000,1641,FALSE)</f>
        <v>0</v>
      </c>
      <c r="I97" s="33">
        <f>VLOOKUP(A1,DIV_02Data!$A$1:$DZU$1000000,1642,FALSE)</f>
        <v>0</v>
      </c>
      <c r="J97" s="34">
        <f>VLOOKUP(A1,DIV_02Data!$A$1:$DZU$1000000,1643,FALSE)</f>
        <v>0</v>
      </c>
      <c r="K97" s="34">
        <f>VLOOKUP(A1,DIV_02Data!$A$1:$DZU$1000000,1644,FALSE)</f>
        <v>0</v>
      </c>
      <c r="L97" s="93">
        <f>VLOOKUP(A1,DIV_02Data!$A$1:$DZU$1000000,1645,FALSE)</f>
        <v>0</v>
      </c>
      <c r="M97" s="33">
        <f>VLOOKUP(A1,DIV_02Data!$A$1:$DZU$1000000,1646,FALSE)</f>
        <v>0</v>
      </c>
      <c r="N97" s="34">
        <f>VLOOKUP(A1,DIV_02Data!$A$1:$DZU$1000000,1647,FALSE)</f>
        <v>0</v>
      </c>
      <c r="O97" s="33">
        <f>VLOOKUP(A1,DIV_02Data!$A$1:$DZU$1000000,1648,FALSE)</f>
        <v>0</v>
      </c>
      <c r="P97" s="46">
        <f>VLOOKUP(A1,DIV_02Data!$A$1:$DZU$1000000,1649,FALSE)</f>
        <v>0</v>
      </c>
      <c r="Q97" s="33">
        <f>VLOOKUP(A1,DIV_02Data!$A$1:$DZU$1000000,1650,FALSE)</f>
        <v>0</v>
      </c>
    </row>
    <row r="98" spans="1:17" x14ac:dyDescent="0.35">
      <c r="A98" s="22">
        <f>VLOOKUP(A1,DIV_02Data!$A$1:$DZU$1000000,1651,FALSE)</f>
        <v>0</v>
      </c>
      <c r="B98" s="37">
        <f>VLOOKUP(A1,DIV_02Data!$A$1:$DZU$1000000,1652,FALSE)</f>
        <v>0</v>
      </c>
      <c r="C98" s="38">
        <f>VLOOKUP(A1,DIV_02Data!$A$1:$DZU$1000000,1653,FALSE)</f>
        <v>0</v>
      </c>
      <c r="D98" s="31">
        <f>VLOOKUP(A1,DIV_02Data!$A$1:$DZU$1000000,1654,FALSE)</f>
        <v>0</v>
      </c>
      <c r="E98" s="32">
        <f>VLOOKUP(A1,DIV_02Data!$A$1:$DZU$1000000,1655,FALSE)</f>
        <v>0</v>
      </c>
      <c r="F98" s="34">
        <f>VLOOKUP(A1,DIV_02Data!$A$1:$DZU$1000000,1656,FALSE)</f>
        <v>0</v>
      </c>
      <c r="G98" s="33">
        <f>VLOOKUP(A1,DIV_02Data!$A$1:$DZU$1000000,1657,FALSE)</f>
        <v>0</v>
      </c>
      <c r="H98" s="34">
        <f>VLOOKUP(A1,DIV_02Data!$A$1:$DZU$1000000,1658,FALSE)</f>
        <v>0</v>
      </c>
      <c r="I98" s="33">
        <f>VLOOKUP(A1,DIV_02Data!$A$1:$DZU$1000000,1659,FALSE)</f>
        <v>0</v>
      </c>
      <c r="J98" s="34">
        <f>VLOOKUP(A1,DIV_02Data!$A$1:$DZU$1000000,1660,FALSE)</f>
        <v>0</v>
      </c>
      <c r="K98" s="34">
        <f>VLOOKUP(A1,DIV_02Data!$A$1:$DZU$1000000,1661,FALSE)</f>
        <v>0</v>
      </c>
      <c r="L98" s="93">
        <f>VLOOKUP(A1,DIV_02Data!$A$1:$DZU$1000000,1662,FALSE)</f>
        <v>0</v>
      </c>
      <c r="M98" s="33">
        <f>VLOOKUP(A1,DIV_02Data!$A$1:$DZU$1000000,1663,FALSE)</f>
        <v>0</v>
      </c>
      <c r="N98" s="34">
        <f>VLOOKUP(A1,DIV_02Data!$A$1:$DZU$1000000,1664,FALSE)</f>
        <v>0</v>
      </c>
      <c r="O98" s="33">
        <f>VLOOKUP(A1,DIV_02Data!$A$1:$DZU$1000000,1665,FALSE)</f>
        <v>0</v>
      </c>
      <c r="P98" s="46">
        <f>VLOOKUP(A1,DIV_02Data!$A$1:$DZU$1000000,1666,FALSE)</f>
        <v>0</v>
      </c>
      <c r="Q98" s="33">
        <f>VLOOKUP(A1,DIV_02Data!$A$1:$DZU$1000000,1667,FALSE)</f>
        <v>0</v>
      </c>
    </row>
    <row r="99" spans="1:17" x14ac:dyDescent="0.35">
      <c r="A99" s="22">
        <f>VLOOKUP(A1,DIV_02Data!$A$1:$DZU$1000000,1668,FALSE)</f>
        <v>0</v>
      </c>
      <c r="B99" s="37">
        <f>VLOOKUP(A1,DIV_02Data!$A$1:$DZU$1000000,1669,FALSE)</f>
        <v>0</v>
      </c>
      <c r="C99" s="38">
        <f>VLOOKUP(A1,DIV_02Data!$A$1:$DZU$1000000,1670,FALSE)</f>
        <v>0</v>
      </c>
      <c r="D99" s="31">
        <f>VLOOKUP(A1,DIV_02Data!$A$1:$DZU$1000000,1671,FALSE)</f>
        <v>0</v>
      </c>
      <c r="E99" s="32">
        <f>VLOOKUP(A1,DIV_02Data!$A$1:$DZU$1000000,1672,FALSE)</f>
        <v>0</v>
      </c>
      <c r="F99" s="34">
        <f>VLOOKUP(A1,DIV_02Data!$A$1:$DZU$1000000,1673,FALSE)</f>
        <v>0</v>
      </c>
      <c r="G99" s="33">
        <f>VLOOKUP(A1,DIV_02Data!$A$1:$DZU$1000000,1674,FALSE)</f>
        <v>0</v>
      </c>
      <c r="H99" s="34">
        <f>VLOOKUP(A1,DIV_02Data!$A$1:$DZU$1000000,1675,FALSE)</f>
        <v>0</v>
      </c>
      <c r="I99" s="33">
        <f>VLOOKUP(A1,DIV_02Data!$A$1:$DZU$1000000,1676,FALSE)</f>
        <v>0</v>
      </c>
      <c r="J99" s="34">
        <f>VLOOKUP(A1,DIV_02Data!$A$1:$DZU$1000000,1677,FALSE)</f>
        <v>0</v>
      </c>
      <c r="K99" s="34">
        <f>VLOOKUP(A1,DIV_02Data!$A$1:$DZU$1000000,1678,FALSE)</f>
        <v>0</v>
      </c>
      <c r="L99" s="93">
        <f>VLOOKUP(A1,DIV_02Data!$A$1:$DZU$1000000,1679,FALSE)</f>
        <v>0</v>
      </c>
      <c r="M99" s="33">
        <f>VLOOKUP(A1,DIV_02Data!$A$1:$DZU$1000000,1680,FALSE)</f>
        <v>0</v>
      </c>
      <c r="N99" s="34">
        <f>VLOOKUP(A1,DIV_02Data!$A$1:$DZU$1000000,1681,FALSE)</f>
        <v>0</v>
      </c>
      <c r="O99" s="33">
        <f>VLOOKUP(A1,DIV_02Data!$A$1:$DZU$1000000,1682,FALSE)</f>
        <v>0</v>
      </c>
      <c r="P99" s="46">
        <f>VLOOKUP(A1,DIV_02Data!$A$1:$DZU$1000000,1683,FALSE)</f>
        <v>0</v>
      </c>
      <c r="Q99" s="33">
        <f>VLOOKUP(A1,DIV_02Data!$A$1:$DZU$1000000,1684,FALSE)</f>
        <v>0</v>
      </c>
    </row>
    <row r="100" spans="1:17" x14ac:dyDescent="0.35">
      <c r="A100" s="22">
        <f>VLOOKUP(A1,DIV_02Data!$A$1:$DZU$1000000,1685,FALSE)</f>
        <v>0</v>
      </c>
      <c r="B100" s="37">
        <f>VLOOKUP(A1,DIV_02Data!$A$1:$DZU$1000000,1686,FALSE)</f>
        <v>0</v>
      </c>
      <c r="C100" s="38">
        <f>VLOOKUP(A1,DIV_02Data!$A$1:$DZU$1000000,1687,FALSE)</f>
        <v>0</v>
      </c>
      <c r="D100" s="31">
        <f>VLOOKUP(A1,DIV_02Data!$A$1:$DZU$1000000,1688,FALSE)</f>
        <v>0</v>
      </c>
      <c r="E100" s="32">
        <f>VLOOKUP(A1,DIV_02Data!$A$1:$DZU$1000000,1689,FALSE)</f>
        <v>0</v>
      </c>
      <c r="F100" s="34">
        <f>VLOOKUP(A1,DIV_02Data!$A$1:$DZU$1000000,1690,FALSE)</f>
        <v>0</v>
      </c>
      <c r="G100" s="33">
        <f>VLOOKUP(A1,DIV_02Data!$A$1:$DZU$1000000,1691,FALSE)</f>
        <v>0</v>
      </c>
      <c r="H100" s="34">
        <f>VLOOKUP(A1,DIV_02Data!$A$1:$DZU$1000000,1692,FALSE)</f>
        <v>0</v>
      </c>
      <c r="I100" s="33">
        <f>VLOOKUP(A1,DIV_02Data!$A$1:$DZU$1000000,1693,FALSE)</f>
        <v>0</v>
      </c>
      <c r="J100" s="34">
        <f>VLOOKUP(A1,DIV_02Data!$A$1:$DZU$1000000,1694,FALSE)</f>
        <v>0</v>
      </c>
      <c r="K100" s="34">
        <f>VLOOKUP(A1,DIV_02Data!$A$1:$DZU$1000000,1695,FALSE)</f>
        <v>0</v>
      </c>
      <c r="L100" s="93">
        <f>VLOOKUP(A1,DIV_02Data!$A$1:$DZU$1000000,1696,FALSE)</f>
        <v>0</v>
      </c>
      <c r="M100" s="33">
        <f>VLOOKUP(A1,DIV_02Data!$A$1:$DZU$1000000,1697,FALSE)</f>
        <v>0</v>
      </c>
      <c r="N100" s="34">
        <f>VLOOKUP(A1,DIV_02Data!$A$1:$DZU$1000000,1698,FALSE)</f>
        <v>0</v>
      </c>
      <c r="O100" s="33">
        <f>VLOOKUP(A1,DIV_02Data!$A$1:$DZU$1000000,1699,FALSE)</f>
        <v>0</v>
      </c>
      <c r="P100" s="46">
        <f>VLOOKUP(A1,DIV_02Data!$A$1:$DZU$1000000,1700,FALSE)</f>
        <v>0</v>
      </c>
      <c r="Q100" s="33">
        <f>VLOOKUP(A1,DIV_02Data!$A$1:$DZU$1000000,1701,FALSE)</f>
        <v>0</v>
      </c>
    </row>
    <row r="101" spans="1:17" x14ac:dyDescent="0.35">
      <c r="A101" s="22">
        <f>VLOOKUP(A1,DIV_02Data!$A$1:$DZU$1000000,1702,FALSE)</f>
        <v>0</v>
      </c>
      <c r="B101" s="37">
        <f>VLOOKUP(A1,DIV_02Data!$A$1:$DZU$1000000,1703,FALSE)</f>
        <v>0</v>
      </c>
      <c r="C101" s="38">
        <f>VLOOKUP(A1,DIV_02Data!$A$1:$DZU$1000000,1704,FALSE)</f>
        <v>0</v>
      </c>
      <c r="D101" s="31">
        <f>VLOOKUP(A1,DIV_02Data!$A$1:$DZU$1000000,1705,FALSE)</f>
        <v>0</v>
      </c>
      <c r="E101" s="32">
        <f>VLOOKUP(A1,DIV_02Data!$A$1:$DZU$1000000,1706,FALSE)</f>
        <v>0</v>
      </c>
      <c r="F101" s="34">
        <f>VLOOKUP(A1,DIV_02Data!$A$1:$DZU$1000000,1707,FALSE)</f>
        <v>0</v>
      </c>
      <c r="G101" s="33">
        <f>VLOOKUP(A1,DIV_02Data!$A$1:$DZU$1000000,1708,FALSE)</f>
        <v>0</v>
      </c>
      <c r="H101" s="34">
        <f>VLOOKUP(A1,DIV_02Data!$A$1:$DZU$1000000,1709,FALSE)</f>
        <v>0</v>
      </c>
      <c r="I101" s="33">
        <f>VLOOKUP(A1,DIV_02Data!$A$1:$DZU$1000000,1710,FALSE)</f>
        <v>0</v>
      </c>
      <c r="J101" s="34">
        <f>VLOOKUP(A1,DIV_02Data!$A$1:$DZU$1000000,1711,FALSE)</f>
        <v>0</v>
      </c>
      <c r="K101" s="34">
        <f>VLOOKUP(A1,DIV_02Data!$A$1:$DZU$1000000,1712,FALSE)</f>
        <v>0</v>
      </c>
      <c r="L101" s="93">
        <f>VLOOKUP(A1,DIV_02Data!$A$1:$DZU$1000000,1713,FALSE)</f>
        <v>0</v>
      </c>
      <c r="M101" s="33">
        <f>VLOOKUP(A1,DIV_02Data!$A$1:$DZU$1000000,1714,FALSE)</f>
        <v>0</v>
      </c>
      <c r="N101" s="34">
        <f>VLOOKUP(A1,DIV_02Data!$A$1:$DZU$1000000,1715,FALSE)</f>
        <v>0</v>
      </c>
      <c r="O101" s="33">
        <f>VLOOKUP(A1,DIV_02Data!$A$1:$DZU$1000000,1716,FALSE)</f>
        <v>0</v>
      </c>
      <c r="P101" s="46">
        <f>VLOOKUP(A1,DIV_02Data!$A$1:$DZU$1000000,1717,FALSE)</f>
        <v>0</v>
      </c>
      <c r="Q101" s="33">
        <f>VLOOKUP(A1,DIV_02Data!$A$1:$DZU$1000000,1718,FALSE)</f>
        <v>0</v>
      </c>
    </row>
    <row r="102" spans="1:17" x14ac:dyDescent="0.35">
      <c r="A102" s="22">
        <f>VLOOKUP(A1,DIV_02Data!$A$1:$DZU$1000000,1719,FALSE)</f>
        <v>0</v>
      </c>
      <c r="B102" s="37">
        <f>VLOOKUP(A1,DIV_02Data!$A$1:$DZU$1000000,1720,FALSE)</f>
        <v>0</v>
      </c>
      <c r="C102" s="38">
        <f>VLOOKUP(A1,DIV_02Data!$A$1:$DZU$1000000,1721,FALSE)</f>
        <v>0</v>
      </c>
      <c r="D102" s="31">
        <f>VLOOKUP(A1,DIV_02Data!$A$1:$DZU$1000000,1722,FALSE)</f>
        <v>0</v>
      </c>
      <c r="E102" s="32">
        <f>VLOOKUP(A1,DIV_02Data!$A$1:$DZU$1000000,1723,FALSE)</f>
        <v>0</v>
      </c>
      <c r="F102" s="34">
        <f>VLOOKUP(A1,DIV_02Data!$A$1:$DZU$1000000,1724,FALSE)</f>
        <v>0</v>
      </c>
      <c r="G102" s="33">
        <f>VLOOKUP(A1,DIV_02Data!$A$1:$DZU$1000000,1725,FALSE)</f>
        <v>0</v>
      </c>
      <c r="H102" s="34">
        <f>VLOOKUP(A1,DIV_02Data!$A$1:$DZU$1000000,1726,FALSE)</f>
        <v>0</v>
      </c>
      <c r="I102" s="33">
        <f>VLOOKUP(A1,DIV_02Data!$A$1:$DZU$1000000,1727,FALSE)</f>
        <v>0</v>
      </c>
      <c r="J102" s="34">
        <f>VLOOKUP(A1,DIV_02Data!$A$1:$DZU$1000000,1728,FALSE)</f>
        <v>0</v>
      </c>
      <c r="K102" s="34">
        <f>VLOOKUP(A1,DIV_02Data!$A$1:$DZU$1000000,1729,FALSE)</f>
        <v>0</v>
      </c>
      <c r="L102" s="93">
        <f>VLOOKUP(A1,DIV_02Data!$A$1:$DZU$1000000,1730,FALSE)</f>
        <v>0</v>
      </c>
      <c r="M102" s="33">
        <f>VLOOKUP(A1,DIV_02Data!$A$1:$DZU$1000000,1731,FALSE)</f>
        <v>0</v>
      </c>
      <c r="N102" s="34">
        <f>VLOOKUP(A1,DIV_02Data!$A$1:$DZU$1000000,1732,FALSE)</f>
        <v>0</v>
      </c>
      <c r="O102" s="33">
        <f>VLOOKUP(A1,DIV_02Data!$A$1:$DZU$1000000,1733,FALSE)</f>
        <v>0</v>
      </c>
      <c r="P102" s="46">
        <f>VLOOKUP(A1,DIV_02Data!$A$1:$DZU$1000000,1734,FALSE)</f>
        <v>0</v>
      </c>
      <c r="Q102" s="33">
        <f>VLOOKUP(A1,DIV_02Data!$A$1:$DZU$1000000,1735,FALSE)</f>
        <v>0</v>
      </c>
    </row>
    <row r="103" spans="1:17" x14ac:dyDescent="0.35">
      <c r="A103" s="22">
        <f>VLOOKUP(A1,DIV_02Data!$A$1:$DZU$1000000,1736,FALSE)</f>
        <v>0</v>
      </c>
      <c r="B103" s="37">
        <f>VLOOKUP(A1,DIV_02Data!$A$1:$DZU$1000000,1737,FALSE)</f>
        <v>0</v>
      </c>
      <c r="C103" s="38">
        <f>VLOOKUP(A1,DIV_02Data!$A$1:$DZU$1000000,1738,FALSE)</f>
        <v>0</v>
      </c>
      <c r="D103" s="31">
        <f>VLOOKUP(A1,DIV_02Data!$A$1:$DZU$1000000,1739,FALSE)</f>
        <v>0</v>
      </c>
      <c r="E103" s="32">
        <f>VLOOKUP(A1,DIV_02Data!$A$1:$DZU$1000000,1740,FALSE)</f>
        <v>0</v>
      </c>
      <c r="F103" s="34">
        <f>VLOOKUP(A1,DIV_02Data!$A$1:$DZU$1000000,1741,FALSE)</f>
        <v>0</v>
      </c>
      <c r="G103" s="33">
        <f>VLOOKUP(A1,DIV_02Data!$A$1:$DZU$1000000,1742,FALSE)</f>
        <v>0</v>
      </c>
      <c r="H103" s="34">
        <f>VLOOKUP(A1,DIV_02Data!$A$1:$DZU$1000000,1743,FALSE)</f>
        <v>0</v>
      </c>
      <c r="I103" s="33">
        <f>VLOOKUP(A1,DIV_02Data!$A$1:$DZU$1000000,1744,FALSE)</f>
        <v>0</v>
      </c>
      <c r="J103" s="34">
        <f>VLOOKUP(A1,DIV_02Data!$A$1:$DZU$1000000,1745,FALSE)</f>
        <v>0</v>
      </c>
      <c r="K103" s="34">
        <f>VLOOKUP(A1,DIV_02Data!$A$1:$DZU$1000000,1746,FALSE)</f>
        <v>0</v>
      </c>
      <c r="L103" s="93">
        <f>VLOOKUP(A1,DIV_02Data!$A$1:$DZU$1000000,1747,FALSE)</f>
        <v>0</v>
      </c>
      <c r="M103" s="33">
        <f>VLOOKUP(A1,DIV_02Data!$A$1:$DZU$1000000,1748,FALSE)</f>
        <v>0</v>
      </c>
      <c r="N103" s="34">
        <f>VLOOKUP(A1,DIV_02Data!$A$1:$DZU$1000000,1749,FALSE)</f>
        <v>0</v>
      </c>
      <c r="O103" s="33">
        <f>VLOOKUP(A1,DIV_02Data!$A$1:$DZU$1000000,1750,FALSE)</f>
        <v>0</v>
      </c>
      <c r="P103" s="46">
        <f>VLOOKUP(A1,DIV_02Data!$A$1:$DZU$1000000,1751,FALSE)</f>
        <v>0</v>
      </c>
      <c r="Q103" s="33">
        <f>VLOOKUP(A1,DIV_02Data!$A$1:$DZU$1000000,1752,FALSE)</f>
        <v>0</v>
      </c>
    </row>
    <row r="104" spans="1:17" x14ac:dyDescent="0.35">
      <c r="A104" s="22">
        <f>VLOOKUP(A1,DIV_02Data!$A$1:$DZU$1000000,1753,FALSE)</f>
        <v>0</v>
      </c>
      <c r="B104" s="37">
        <f>VLOOKUP(A1,DIV_02Data!$A$1:$DZU$1000000,1754,FALSE)</f>
        <v>0</v>
      </c>
      <c r="C104" s="38">
        <f>VLOOKUP(A1,DIV_02Data!$A$1:$DZU$1000000,1755,FALSE)</f>
        <v>0</v>
      </c>
      <c r="D104" s="31">
        <f>VLOOKUP(A1,DIV_02Data!$A$1:$DZU$1000000,1756,FALSE)</f>
        <v>0</v>
      </c>
      <c r="E104" s="32">
        <f>VLOOKUP(A1,DIV_02Data!$A$1:$DZU$1000000,1757,FALSE)</f>
        <v>0</v>
      </c>
      <c r="F104" s="34">
        <f>VLOOKUP(A1,DIV_02Data!$A$1:$DZU$1000000,1758,FALSE)</f>
        <v>0</v>
      </c>
      <c r="G104" s="33">
        <f>VLOOKUP(A1,DIV_02Data!$A$1:$DZU$1000000,1759,FALSE)</f>
        <v>0</v>
      </c>
      <c r="H104" s="34">
        <f>VLOOKUP(A1,DIV_02Data!$A$1:$DZU$1000000,1760,FALSE)</f>
        <v>0</v>
      </c>
      <c r="I104" s="33">
        <f>VLOOKUP(A1,DIV_02Data!$A$1:$DZU$1000000,1761,FALSE)</f>
        <v>0</v>
      </c>
      <c r="J104" s="34">
        <f>VLOOKUP(A1,DIV_02Data!$A$1:$DZU$1000000,1762,FALSE)</f>
        <v>0</v>
      </c>
      <c r="K104" s="34">
        <f>VLOOKUP(A1,DIV_02Data!$A$1:$DZU$1000000,1763,FALSE)</f>
        <v>0</v>
      </c>
      <c r="L104" s="93">
        <f>VLOOKUP(A1,DIV_02Data!$A$1:$DZU$1000000,1764,FALSE)</f>
        <v>0</v>
      </c>
      <c r="M104" s="33">
        <f>VLOOKUP(A1,DIV_02Data!$A$1:$DZU$1000000,1765,FALSE)</f>
        <v>0</v>
      </c>
      <c r="N104" s="34">
        <f>VLOOKUP(A1,DIV_02Data!$A$1:$DZU$1000000,1766,FALSE)</f>
        <v>0</v>
      </c>
      <c r="O104" s="33">
        <f>VLOOKUP(A1,DIV_02Data!$A$1:$DZU$1000000,1767,FALSE)</f>
        <v>0</v>
      </c>
      <c r="P104" s="46">
        <f>VLOOKUP(A1,DIV_02Data!$A$1:$DZU$1000000,1768,FALSE)</f>
        <v>0</v>
      </c>
      <c r="Q104" s="33">
        <f>VLOOKUP(A1,DIV_02Data!$A$1:$DZU$1000000,1769,FALSE)</f>
        <v>0</v>
      </c>
    </row>
    <row r="105" spans="1:17" x14ac:dyDescent="0.35">
      <c r="A105" s="22">
        <f>VLOOKUP(A1,DIV_02Data!$A$1:$DZU$1000000,1770,FALSE)</f>
        <v>0</v>
      </c>
      <c r="B105" s="37">
        <f>VLOOKUP(A1,DIV_02Data!$A$1:$DZU$1000000,1771,FALSE)</f>
        <v>0</v>
      </c>
      <c r="C105" s="38">
        <f>VLOOKUP(A1,DIV_02Data!$A$1:$DZU$1000000,1772,FALSE)</f>
        <v>0</v>
      </c>
      <c r="D105" s="31">
        <f>VLOOKUP(A1,DIV_02Data!$A$1:$DZU$1000000,1773,FALSE)</f>
        <v>0</v>
      </c>
      <c r="E105" s="32">
        <f>VLOOKUP(A1,DIV_02Data!$A$1:$DZU$1000000,1774,FALSE)</f>
        <v>0</v>
      </c>
      <c r="F105" s="34">
        <f>VLOOKUP(A1,DIV_02Data!$A$1:$DZU$1000000,1775,FALSE)</f>
        <v>0</v>
      </c>
      <c r="G105" s="33">
        <f>VLOOKUP(A1,DIV_02Data!$A$1:$DZU$1000000,1776,FALSE)</f>
        <v>0</v>
      </c>
      <c r="H105" s="34">
        <f>VLOOKUP(A1,DIV_02Data!$A$1:$DZU$1000000,1777,FALSE)</f>
        <v>0</v>
      </c>
      <c r="I105" s="33">
        <f>VLOOKUP(A1,DIV_02Data!$A$1:$DZU$1000000,1778,FALSE)</f>
        <v>0</v>
      </c>
      <c r="J105" s="34">
        <f>VLOOKUP(A1,DIV_02Data!$A$1:$DZU$1000000,1779,FALSE)</f>
        <v>0</v>
      </c>
      <c r="K105" s="34">
        <f>VLOOKUP(A1,DIV_02Data!$A$1:$DZU$1000000,1780,FALSE)</f>
        <v>0</v>
      </c>
      <c r="L105" s="93">
        <f>VLOOKUP(A1,DIV_02Data!$A$1:$DZU$1000000,1781,FALSE)</f>
        <v>0</v>
      </c>
      <c r="M105" s="33">
        <f>VLOOKUP(A1,DIV_02Data!$A$1:$DZU$1000000,1782,FALSE)</f>
        <v>0</v>
      </c>
      <c r="N105" s="34">
        <f>VLOOKUP(A1,DIV_02Data!$A$1:$DZU$1000000,1783,FALSE)</f>
        <v>0</v>
      </c>
      <c r="O105" s="33">
        <f>VLOOKUP(A1,DIV_02Data!$A$1:$DZU$1000000,1784,FALSE)</f>
        <v>0</v>
      </c>
      <c r="P105" s="46">
        <f>VLOOKUP(A1,DIV_02Data!$A$1:$DZU$1000000,1785,FALSE)</f>
        <v>0</v>
      </c>
      <c r="Q105" s="33">
        <f>VLOOKUP(A1,DIV_02Data!$A$1:$DZU$1000000,1786,FALSE)</f>
        <v>0</v>
      </c>
    </row>
    <row r="106" spans="1:17" x14ac:dyDescent="0.35">
      <c r="A106" s="22">
        <f>VLOOKUP(A1,DIV_02Data!$A$1:$DZU$1000000,1787,FALSE)</f>
        <v>0</v>
      </c>
      <c r="B106" s="37">
        <f>VLOOKUP(A1,DIV_02Data!$A$1:$DZU$1000000,1788,FALSE)</f>
        <v>0</v>
      </c>
      <c r="C106" s="38">
        <f>VLOOKUP(A1,DIV_02Data!$A$1:$DZU$1000000,1789,FALSE)</f>
        <v>0</v>
      </c>
      <c r="D106" s="31">
        <f>VLOOKUP(A1,DIV_02Data!$A$1:$DZU$1000000,1790,FALSE)</f>
        <v>0</v>
      </c>
      <c r="E106" s="32">
        <f>VLOOKUP(A1,DIV_02Data!$A$1:$DZU$1000000,1791,FALSE)</f>
        <v>0</v>
      </c>
      <c r="F106" s="34">
        <f>VLOOKUP(A1,DIV_02Data!$A$1:$DZU$1000000,1792,FALSE)</f>
        <v>0</v>
      </c>
      <c r="G106" s="33">
        <f>VLOOKUP(A1,DIV_02Data!$A$1:$DZU$1000000,1793,FALSE)</f>
        <v>0</v>
      </c>
      <c r="H106" s="34">
        <f>VLOOKUP(A1,DIV_02Data!$A$1:$DZU$1000000,1794,FALSE)</f>
        <v>0</v>
      </c>
      <c r="I106" s="33">
        <f>VLOOKUP(A1,DIV_02Data!$A$1:$DZU$1000000,1795,FALSE)</f>
        <v>0</v>
      </c>
      <c r="J106" s="34">
        <f>VLOOKUP(A1,DIV_02Data!$A$1:$DZU$1000000,1796,FALSE)</f>
        <v>0</v>
      </c>
      <c r="K106" s="34">
        <f>VLOOKUP(A1,DIV_02Data!$A$1:$DZU$1000000,1797,FALSE)</f>
        <v>0</v>
      </c>
      <c r="L106" s="93">
        <f>VLOOKUP(A1,DIV_02Data!$A$1:$DZU$1000000,1798,FALSE)</f>
        <v>0</v>
      </c>
      <c r="M106" s="33">
        <f>VLOOKUP(A1,DIV_02Data!$A$1:$DZU$1000000,1799,FALSE)</f>
        <v>0</v>
      </c>
      <c r="N106" s="34">
        <f>VLOOKUP(A1,DIV_02Data!$A$1:$DZU$1000000,1800,FALSE)</f>
        <v>0</v>
      </c>
      <c r="O106" s="33">
        <f>VLOOKUP(A1,DIV_02Data!$A$1:$DZU$1000000,1801,FALSE)</f>
        <v>0</v>
      </c>
      <c r="P106" s="46">
        <f>VLOOKUP(A1,DIV_02Data!$A$1:$DZU$1000000,1802,FALSE)</f>
        <v>0</v>
      </c>
      <c r="Q106" s="33">
        <f>VLOOKUP(A1,DIV_02Data!$A$1:$DZU$1000000,1803,FALSE)</f>
        <v>0</v>
      </c>
    </row>
    <row r="107" spans="1:17" x14ac:dyDescent="0.35">
      <c r="A107" s="22">
        <f>VLOOKUP(A1,DIV_02Data!$A$1:$DZU$1000000,1804,FALSE)</f>
        <v>0</v>
      </c>
      <c r="B107" s="37">
        <f>VLOOKUP(A1,DIV_02Data!$A$1:$DZU$1000000,1805,FALSE)</f>
        <v>0</v>
      </c>
      <c r="C107" s="38">
        <f>VLOOKUP(A1,DIV_02Data!$A$1:$DZU$1000000,1806,FALSE)</f>
        <v>0</v>
      </c>
      <c r="D107" s="31">
        <f>VLOOKUP(A1,DIV_02Data!$A$1:$DZU$1000000,1807,FALSE)</f>
        <v>0</v>
      </c>
      <c r="E107" s="32">
        <f>VLOOKUP(A1,DIV_02Data!$A$1:$DZU$1000000,1808,FALSE)</f>
        <v>0</v>
      </c>
      <c r="F107" s="34">
        <f>VLOOKUP(A1,DIV_02Data!$A$1:$DZU$1000000,1809,FALSE)</f>
        <v>0</v>
      </c>
      <c r="G107" s="33">
        <f>VLOOKUP(A1,DIV_02Data!$A$1:$DZU$1000000,1810,FALSE)</f>
        <v>0</v>
      </c>
      <c r="H107" s="34">
        <f>VLOOKUP(A1,DIV_02Data!$A$1:$DZU$1000000,1811,FALSE)</f>
        <v>0</v>
      </c>
      <c r="I107" s="33">
        <f>VLOOKUP(A1,DIV_02Data!$A$1:$DZU$1000000,1812,FALSE)</f>
        <v>0</v>
      </c>
      <c r="J107" s="34">
        <f>VLOOKUP(A1,DIV_02Data!$A$1:$DZU$1000000,1813,FALSE)</f>
        <v>0</v>
      </c>
      <c r="K107" s="34">
        <f>VLOOKUP(A1,DIV_02Data!$A$1:$DZU$1000000,1814,FALSE)</f>
        <v>0</v>
      </c>
      <c r="L107" s="93">
        <f>VLOOKUP(A1,DIV_02Data!$A$1:$DZU$1000000,1815,FALSE)</f>
        <v>0</v>
      </c>
      <c r="M107" s="33">
        <f>VLOOKUP(A1,DIV_02Data!$A$1:$DZU$1000000,1816,FALSE)</f>
        <v>0</v>
      </c>
      <c r="N107" s="34">
        <f>VLOOKUP(A1,DIV_02Data!$A$1:$DZU$1000000,1817,FALSE)</f>
        <v>0</v>
      </c>
      <c r="O107" s="33">
        <f>VLOOKUP(A1,DIV_02Data!$A$1:$DZU$1000000,1818,FALSE)</f>
        <v>0</v>
      </c>
      <c r="P107" s="46">
        <f>VLOOKUP(A1,DIV_02Data!$A$1:$DZU$1000000,1819,FALSE)</f>
        <v>0</v>
      </c>
      <c r="Q107" s="33">
        <f>VLOOKUP(A1,DIV_02Data!$A$1:$DZU$1000000,1820,FALSE)</f>
        <v>0</v>
      </c>
    </row>
    <row r="108" spans="1:17" x14ac:dyDescent="0.35">
      <c r="A108" s="22">
        <f>VLOOKUP(A1,DIV_02Data!$A$1:$DZU$1000000,1821,FALSE)</f>
        <v>0</v>
      </c>
      <c r="B108" s="37">
        <f>VLOOKUP(A1,DIV_02Data!$A$1:$DZU$1000000,1822,FALSE)</f>
        <v>0</v>
      </c>
      <c r="C108" s="38">
        <f>VLOOKUP(A1,DIV_02Data!$A$1:$DZU$1000000,1823,FALSE)</f>
        <v>0</v>
      </c>
      <c r="D108" s="31">
        <f>VLOOKUP(A1,DIV_02Data!$A$1:$DZU$1000000,1824,FALSE)</f>
        <v>0</v>
      </c>
      <c r="E108" s="32">
        <f>VLOOKUP(A1,DIV_02Data!$A$1:$DZU$1000000,1825,FALSE)</f>
        <v>0</v>
      </c>
      <c r="F108" s="34">
        <f>VLOOKUP(A1,DIV_02Data!$A$1:$DZU$1000000,1826,FALSE)</f>
        <v>0</v>
      </c>
      <c r="G108" s="33">
        <f>VLOOKUP(A1,DIV_02Data!$A$1:$DZU$1000000,1827,FALSE)</f>
        <v>0</v>
      </c>
      <c r="H108" s="34">
        <f>VLOOKUP(A1,DIV_02Data!$A$1:$DZU$1000000,1828,FALSE)</f>
        <v>0</v>
      </c>
      <c r="I108" s="33">
        <f>VLOOKUP(A1,DIV_02Data!$A$1:$DZU$1000000,1829,FALSE)</f>
        <v>0</v>
      </c>
      <c r="J108" s="34">
        <f>VLOOKUP(A1,DIV_02Data!$A$1:$DZU$1000000,1830,FALSE)</f>
        <v>0</v>
      </c>
      <c r="K108" s="34">
        <f>VLOOKUP(A1,DIV_02Data!$A$1:$DZU$1000000,1831,FALSE)</f>
        <v>0</v>
      </c>
      <c r="L108" s="93">
        <f>VLOOKUP(A1,DIV_02Data!$A$1:$DZU$1000000,1832,FALSE)</f>
        <v>0</v>
      </c>
      <c r="M108" s="33">
        <f>VLOOKUP(A1,DIV_02Data!$A$1:$DZU$1000000,1833,FALSE)</f>
        <v>0</v>
      </c>
      <c r="N108" s="34">
        <f>VLOOKUP(A1,DIV_02Data!$A$1:$DZU$1000000,1834,FALSE)</f>
        <v>0</v>
      </c>
      <c r="O108" s="33">
        <f>VLOOKUP(A1,DIV_02Data!$A$1:$DZU$1000000,1835,FALSE)</f>
        <v>0</v>
      </c>
      <c r="P108" s="46">
        <f>VLOOKUP(A1,DIV_02Data!$A$1:$DZU$1000000,1836,FALSE)</f>
        <v>0</v>
      </c>
      <c r="Q108" s="33">
        <f>VLOOKUP(A1,DIV_02Data!$A$1:$DZU$1000000,1837,FALSE)</f>
        <v>0</v>
      </c>
    </row>
    <row r="109" spans="1:17" x14ac:dyDescent="0.35">
      <c r="A109" s="22">
        <f>VLOOKUP(A1,DIV_02Data!$A$1:$DZU$1000000,1838,FALSE)</f>
        <v>0</v>
      </c>
      <c r="B109" s="37">
        <f>VLOOKUP(A1,DIV_02Data!$A$1:$DZU$1000000,1839,FALSE)</f>
        <v>0</v>
      </c>
      <c r="C109" s="38">
        <f>VLOOKUP(A1,DIV_02Data!$A$1:$DZU$1000000,1840,FALSE)</f>
        <v>0</v>
      </c>
      <c r="D109" s="31">
        <f>VLOOKUP(A1,DIV_02Data!$A$1:$DZU$1000000,1841,FALSE)</f>
        <v>0</v>
      </c>
      <c r="E109" s="32">
        <f>VLOOKUP(A1,DIV_02Data!$A$1:$DZU$1000000,1842,FALSE)</f>
        <v>0</v>
      </c>
      <c r="F109" s="34">
        <f>VLOOKUP(A1,DIV_02Data!$A$1:$DZU$1000000,1843,FALSE)</f>
        <v>0</v>
      </c>
      <c r="G109" s="33">
        <f>VLOOKUP(A1,DIV_02Data!$A$1:$DZU$1000000,1844,FALSE)</f>
        <v>0</v>
      </c>
      <c r="H109" s="34">
        <f>VLOOKUP(A1,DIV_02Data!$A$1:$DZU$1000000,1845,FALSE)</f>
        <v>0</v>
      </c>
      <c r="I109" s="33">
        <f>VLOOKUP(A1,DIV_02Data!$A$1:$DZU$1000000,1846,FALSE)</f>
        <v>0</v>
      </c>
      <c r="J109" s="34">
        <f>VLOOKUP(A1,DIV_02Data!$A$1:$DZU$1000000,1847,FALSE)</f>
        <v>0</v>
      </c>
      <c r="K109" s="34">
        <f>VLOOKUP(A1,DIV_02Data!$A$1:$DZU$1000000,1848,FALSE)</f>
        <v>0</v>
      </c>
      <c r="L109" s="93">
        <f>VLOOKUP(A1,DIV_02Data!$A$1:$DZU$1000000,1849,FALSE)</f>
        <v>0</v>
      </c>
      <c r="M109" s="33">
        <f>VLOOKUP(A1,DIV_02Data!$A$1:$DZU$1000000,1850,FALSE)</f>
        <v>0</v>
      </c>
      <c r="N109" s="34">
        <f>VLOOKUP(A1,DIV_02Data!$A$1:$DZU$1000000,1851,FALSE)</f>
        <v>0</v>
      </c>
      <c r="O109" s="33">
        <f>VLOOKUP(A1,DIV_02Data!$A$1:$DZU$1000000,1852,FALSE)</f>
        <v>0</v>
      </c>
      <c r="P109" s="46">
        <f>VLOOKUP(A1,DIV_02Data!$A$1:$DZU$1000000,1853,FALSE)</f>
        <v>0</v>
      </c>
      <c r="Q109" s="33">
        <f>VLOOKUP(A1,DIV_02Data!$A$1:$DZU$1000000,1854,FALSE)</f>
        <v>0</v>
      </c>
    </row>
    <row r="110" spans="1:17" x14ac:dyDescent="0.35">
      <c r="A110" s="22">
        <f>VLOOKUP(A1,DIV_02Data!$A$1:$DZU$1000000,1855,FALSE)</f>
        <v>0</v>
      </c>
      <c r="B110" s="37">
        <f>VLOOKUP(A1,DIV_02Data!$A$1:$DZU$1000000,1856,FALSE)</f>
        <v>0</v>
      </c>
      <c r="C110" s="38">
        <f>VLOOKUP(A1,DIV_02Data!$A$1:$DZU$1000000,1857,FALSE)</f>
        <v>0</v>
      </c>
      <c r="D110" s="31">
        <f>VLOOKUP(A1,DIV_02Data!$A$1:$DZU$1000000,1858,FALSE)</f>
        <v>0</v>
      </c>
      <c r="E110" s="32">
        <f>VLOOKUP(A1,DIV_02Data!$A$1:$DZU$1000000,1859,FALSE)</f>
        <v>0</v>
      </c>
      <c r="F110" s="34">
        <f>VLOOKUP(A1,DIV_02Data!$A$1:$DZU$1000000,1860,FALSE)</f>
        <v>0</v>
      </c>
      <c r="G110" s="33">
        <f>VLOOKUP(A1,DIV_02Data!$A$1:$DZU$1000000,1861,FALSE)</f>
        <v>0</v>
      </c>
      <c r="H110" s="34">
        <f>VLOOKUP(A1,DIV_02Data!$A$1:$DZU$1000000,1862,FALSE)</f>
        <v>0</v>
      </c>
      <c r="I110" s="33">
        <f>VLOOKUP(A1,DIV_02Data!$A$1:$DZU$1000000,1863,FALSE)</f>
        <v>0</v>
      </c>
      <c r="J110" s="34">
        <f>VLOOKUP(A1,DIV_02Data!$A$1:$DZU$1000000,1864,FALSE)</f>
        <v>0</v>
      </c>
      <c r="K110" s="34">
        <f>VLOOKUP(A1,DIV_02Data!$A$1:$DZU$1000000,1865,FALSE)</f>
        <v>0</v>
      </c>
      <c r="L110" s="93">
        <f>VLOOKUP(A1,DIV_02Data!$A$1:$DZU$1000000,1866,FALSE)</f>
        <v>0</v>
      </c>
      <c r="M110" s="33">
        <f>VLOOKUP(A1,DIV_02Data!$A$1:$DZU$1000000,1867,FALSE)</f>
        <v>0</v>
      </c>
      <c r="N110" s="34">
        <f>VLOOKUP(A1,DIV_02Data!$A$1:$DZU$1000000,1868,FALSE)</f>
        <v>0</v>
      </c>
      <c r="O110" s="33">
        <f>VLOOKUP(A1,DIV_02Data!$A$1:$DZU$1000000,1869,FALSE)</f>
        <v>0</v>
      </c>
      <c r="P110" s="46">
        <f>VLOOKUP(A1,DIV_02Data!$A$1:$DZU$1000000,1870,FALSE)</f>
        <v>0</v>
      </c>
      <c r="Q110" s="33">
        <f>VLOOKUP(A1,DIV_02Data!$A$1:$DZU$1000000,1871,FALSE)</f>
        <v>0</v>
      </c>
    </row>
    <row r="111" spans="1:17" x14ac:dyDescent="0.35">
      <c r="A111" s="22">
        <f>VLOOKUP(A1,DIV_02Data!$A$1:$DZU$1000000,1872,FALSE)</f>
        <v>0</v>
      </c>
      <c r="B111" s="37">
        <f>VLOOKUP(A1,DIV_02Data!$A$1:$DZU$1000000,1873,FALSE)</f>
        <v>0</v>
      </c>
      <c r="C111" s="38">
        <f>VLOOKUP(A1,DIV_02Data!$A$1:$DZU$1000000,1874,FALSE)</f>
        <v>0</v>
      </c>
      <c r="D111" s="31">
        <f>VLOOKUP(A1,DIV_02Data!$A$1:$DZU$1000000,1875,FALSE)</f>
        <v>0</v>
      </c>
      <c r="E111" s="32">
        <f>VLOOKUP(A1,DIV_02Data!$A$1:$DZU$1000000,1876,FALSE)</f>
        <v>0</v>
      </c>
      <c r="F111" s="34">
        <f>VLOOKUP(A1,DIV_02Data!$A$1:$DZU$1000000,1877,FALSE)</f>
        <v>0</v>
      </c>
      <c r="G111" s="33">
        <f>VLOOKUP(A1,DIV_02Data!$A$1:$DZU$1000000,1878,FALSE)</f>
        <v>0</v>
      </c>
      <c r="H111" s="34">
        <f>VLOOKUP(A1,DIV_02Data!$A$1:$DZU$1000000,1879,FALSE)</f>
        <v>0</v>
      </c>
      <c r="I111" s="33">
        <f>VLOOKUP(A1,DIV_02Data!$A$1:$DZU$1000000,1880,FALSE)</f>
        <v>0</v>
      </c>
      <c r="J111" s="34">
        <f>VLOOKUP(A1,DIV_02Data!$A$1:$DZU$1000000,1881,FALSE)</f>
        <v>0</v>
      </c>
      <c r="K111" s="34">
        <f>VLOOKUP(A1,DIV_02Data!$A$1:$DZU$1000000,1882,FALSE)</f>
        <v>0</v>
      </c>
      <c r="L111" s="93">
        <f>VLOOKUP(A1,DIV_02Data!$A$1:$DZU$1000000,1883,FALSE)</f>
        <v>0</v>
      </c>
      <c r="M111" s="33">
        <f>VLOOKUP(A1,DIV_02Data!$A$1:$DZU$1000000,1884,FALSE)</f>
        <v>0</v>
      </c>
      <c r="N111" s="34">
        <f>VLOOKUP(A1,DIV_02Data!$A$1:$DZU$1000000,1885,FALSE)</f>
        <v>0</v>
      </c>
      <c r="O111" s="33">
        <f>VLOOKUP(A1,DIV_02Data!$A$1:$DZU$1000000,1886,FALSE)</f>
        <v>0</v>
      </c>
      <c r="P111" s="46">
        <f>VLOOKUP(A1,DIV_02Data!$A$1:$DZU$1000000,1887,FALSE)</f>
        <v>0</v>
      </c>
      <c r="Q111" s="33">
        <f>VLOOKUP(A1,DIV_02Data!$A$1:$DZU$1000000,1888,FALSE)</f>
        <v>0</v>
      </c>
    </row>
    <row r="112" spans="1:17" x14ac:dyDescent="0.35">
      <c r="A112" s="22">
        <f>VLOOKUP(A1,DIV_02Data!$A$1:$DZU$1000000,1889,FALSE)</f>
        <v>0</v>
      </c>
      <c r="B112" s="37">
        <f>VLOOKUP(A1,DIV_02Data!$A$1:$DZU$1000000,1890,FALSE)</f>
        <v>0</v>
      </c>
      <c r="C112" s="38">
        <f>VLOOKUP(A1,DIV_02Data!$A$1:$DZU$1000000,1891,FALSE)</f>
        <v>0</v>
      </c>
      <c r="D112" s="31">
        <f>VLOOKUP(A1,DIV_02Data!$A$1:$DZU$1000000,1892,FALSE)</f>
        <v>0</v>
      </c>
      <c r="E112" s="32">
        <f>VLOOKUP(A1,DIV_02Data!$A$1:$DZU$1000000,1893,FALSE)</f>
        <v>0</v>
      </c>
      <c r="F112" s="34">
        <f>VLOOKUP(A1,DIV_02Data!$A$1:$DZU$1000000,1894,FALSE)</f>
        <v>0</v>
      </c>
      <c r="G112" s="33">
        <f>VLOOKUP(A1,DIV_02Data!$A$1:$DZU$1000000,1895,FALSE)</f>
        <v>0</v>
      </c>
      <c r="H112" s="34">
        <f>VLOOKUP(A1,DIV_02Data!$A$1:$DZU$1000000,1896,FALSE)</f>
        <v>0</v>
      </c>
      <c r="I112" s="33">
        <f>VLOOKUP(A1,DIV_02Data!$A$1:$DZU$1000000,1897,FALSE)</f>
        <v>0</v>
      </c>
      <c r="J112" s="34">
        <f>VLOOKUP(A1,DIV_02Data!$A$1:$DZU$1000000,1898,FALSE)</f>
        <v>0</v>
      </c>
      <c r="K112" s="34">
        <f>VLOOKUP(A1,DIV_02Data!$A$1:$DZU$1000000,1899,FALSE)</f>
        <v>0</v>
      </c>
      <c r="L112" s="93">
        <f>VLOOKUP(A1,DIV_02Data!$A$1:$DZU$1000000,1900,FALSE)</f>
        <v>0</v>
      </c>
      <c r="M112" s="33">
        <f>VLOOKUP(A1,DIV_02Data!$A$1:$DZU$1000000,1901,FALSE)</f>
        <v>0</v>
      </c>
      <c r="N112" s="34">
        <f>VLOOKUP(A1,DIV_02Data!$A$1:$DZU$1000000,1902,FALSE)</f>
        <v>0</v>
      </c>
      <c r="O112" s="33">
        <f>VLOOKUP(A1,DIV_02Data!$A$1:$DZU$1000000,1903,FALSE)</f>
        <v>0</v>
      </c>
      <c r="P112" s="46">
        <f>VLOOKUP(A1,DIV_02Data!$A$1:$DZU$1000000,1904,FALSE)</f>
        <v>0</v>
      </c>
      <c r="Q112" s="33">
        <f>VLOOKUP(A1,DIV_02Data!$A$1:$DZU$1000000,1905,FALSE)</f>
        <v>0</v>
      </c>
    </row>
    <row r="113" spans="1:17" x14ac:dyDescent="0.35">
      <c r="A113" s="22">
        <f>VLOOKUP(A1,DIV_02Data!$A$1:$DZU$1000000,1906,FALSE)</f>
        <v>0</v>
      </c>
      <c r="B113" s="37">
        <f>VLOOKUP(A1,DIV_02Data!$A$1:$DZU$1000000,1907,FALSE)</f>
        <v>0</v>
      </c>
      <c r="C113" s="38">
        <f>VLOOKUP(A1,DIV_02Data!$A$1:$DZU$1000000,1908,FALSE)</f>
        <v>0</v>
      </c>
      <c r="D113" s="31">
        <f>VLOOKUP(A1,DIV_02Data!$A$1:$DZU$1000000,1909,FALSE)</f>
        <v>0</v>
      </c>
      <c r="E113" s="32">
        <f>VLOOKUP(A1,DIV_02Data!$A$1:$DZU$1000000,1910,FALSE)</f>
        <v>0</v>
      </c>
      <c r="F113" s="34">
        <f>VLOOKUP(A1,DIV_02Data!$A$1:$DZU$1000000,1911,FALSE)</f>
        <v>0</v>
      </c>
      <c r="G113" s="33">
        <f>VLOOKUP(A1,DIV_02Data!$A$1:$DZU$1000000,1912,FALSE)</f>
        <v>0</v>
      </c>
      <c r="H113" s="34">
        <f>VLOOKUP(A1,DIV_02Data!$A$1:$DZU$1000000,1913,FALSE)</f>
        <v>0</v>
      </c>
      <c r="I113" s="33">
        <f>VLOOKUP(A1,DIV_02Data!$A$1:$DZU$1000000,1914,FALSE)</f>
        <v>0</v>
      </c>
      <c r="J113" s="34">
        <f>VLOOKUP(A1,DIV_02Data!$A$1:$DZU$1000000,1915,FALSE)</f>
        <v>0</v>
      </c>
      <c r="K113" s="34">
        <f>VLOOKUP(A1,DIV_02Data!$A$1:$DZU$1000000,1916,FALSE)</f>
        <v>0</v>
      </c>
      <c r="L113" s="93">
        <f>VLOOKUP(A1,DIV_02Data!$A$1:$DZU$1000000,1917,FALSE)</f>
        <v>0</v>
      </c>
      <c r="M113" s="33">
        <f>VLOOKUP(A1,DIV_02Data!$A$1:$DZU$1000000,1918,FALSE)</f>
        <v>0</v>
      </c>
      <c r="N113" s="34">
        <f>VLOOKUP(A1,DIV_02Data!$A$1:$DZU$1000000,1919,FALSE)</f>
        <v>0</v>
      </c>
      <c r="O113" s="33">
        <f>VLOOKUP(A1,DIV_02Data!$A$1:$DZU$1000000,1920,FALSE)</f>
        <v>0</v>
      </c>
      <c r="P113" s="46">
        <f>VLOOKUP(A1,DIV_02Data!$A$1:$DZU$1000000,1921,FALSE)</f>
        <v>0</v>
      </c>
      <c r="Q113" s="33">
        <f>VLOOKUP(A1,DIV_02Data!$A$1:$DZU$1000000,1922,FALSE)</f>
        <v>0</v>
      </c>
    </row>
    <row r="114" spans="1:17" x14ac:dyDescent="0.35">
      <c r="A114" s="22">
        <f>VLOOKUP(A1,DIV_02Data!$A$1:$DZU$1000000,1923,FALSE)</f>
        <v>0</v>
      </c>
      <c r="B114" s="37">
        <f>VLOOKUP(A1,DIV_02Data!$A$1:$DZU$1000000,1924,FALSE)</f>
        <v>0</v>
      </c>
      <c r="C114" s="38">
        <f>VLOOKUP(A1,DIV_02Data!$A$1:$DZU$1000000,1925,FALSE)</f>
        <v>0</v>
      </c>
      <c r="D114" s="31">
        <f>VLOOKUP(A1,DIV_02Data!$A$1:$DZU$1000000,1926,FALSE)</f>
        <v>0</v>
      </c>
      <c r="E114" s="32">
        <f>VLOOKUP(A1,DIV_02Data!$A$1:$DZU$1000000,1927,FALSE)</f>
        <v>0</v>
      </c>
      <c r="F114" s="34">
        <f>VLOOKUP(A1,DIV_02Data!$A$1:$DZU$1000000,1928,FALSE)</f>
        <v>0</v>
      </c>
      <c r="G114" s="33">
        <f>VLOOKUP(A1,DIV_02Data!$A$1:$DZU$1000000,1929,FALSE)</f>
        <v>0</v>
      </c>
      <c r="H114" s="34">
        <f>VLOOKUP(A1,DIV_02Data!$A$1:$DZU$1000000,1930,FALSE)</f>
        <v>0</v>
      </c>
      <c r="I114" s="33">
        <f>VLOOKUP(A1,DIV_02Data!$A$1:$DZU$1000000,1931,FALSE)</f>
        <v>0</v>
      </c>
      <c r="J114" s="34">
        <f>VLOOKUP(A1,DIV_02Data!$A$1:$DZU$1000000,1932,FALSE)</f>
        <v>0</v>
      </c>
      <c r="K114" s="34">
        <f>VLOOKUP(A1,DIV_02Data!$A$1:$DZU$1000000,1933,FALSE)</f>
        <v>0</v>
      </c>
      <c r="L114" s="93">
        <f>VLOOKUP(A1,DIV_02Data!$A$1:$DZU$1000000,1934,FALSE)</f>
        <v>0</v>
      </c>
      <c r="M114" s="33">
        <f>VLOOKUP(A1,DIV_02Data!$A$1:$DZU$1000000,1935,FALSE)</f>
        <v>0</v>
      </c>
      <c r="N114" s="34">
        <f>VLOOKUP(A1,DIV_02Data!$A$1:$DZU$1000000,1936,FALSE)</f>
        <v>0</v>
      </c>
      <c r="O114" s="33">
        <f>VLOOKUP(A1,DIV_02Data!$A$1:$DZU$1000000,1937,FALSE)</f>
        <v>0</v>
      </c>
      <c r="P114" s="46">
        <f>VLOOKUP(A1,DIV_02Data!$A$1:$DZU$1000000,1938,FALSE)</f>
        <v>0</v>
      </c>
      <c r="Q114" s="33">
        <f>VLOOKUP(A1,DIV_02Data!$A$1:$DZU$1000000,1939,FALSE)</f>
        <v>0</v>
      </c>
    </row>
    <row r="115" spans="1:17" x14ac:dyDescent="0.35">
      <c r="A115" s="22">
        <f>VLOOKUP(A1,DIV_02Data!$A$1:$DZU$1000000,1940,FALSE)</f>
        <v>0</v>
      </c>
      <c r="B115" s="37">
        <f>VLOOKUP(A1,DIV_02Data!$A$1:$DZU$1000000,1941,FALSE)</f>
        <v>0</v>
      </c>
      <c r="C115" s="38">
        <f>VLOOKUP(A1,DIV_02Data!$A$1:$DZU$1000000,1942,FALSE)</f>
        <v>0</v>
      </c>
      <c r="D115" s="31">
        <f>VLOOKUP(A1,DIV_02Data!$A$1:$DZU$1000000,1943,FALSE)</f>
        <v>0</v>
      </c>
      <c r="E115" s="32">
        <f>VLOOKUP(A1,DIV_02Data!$A$1:$DZU$1000000,1944,FALSE)</f>
        <v>0</v>
      </c>
      <c r="F115" s="34">
        <f>VLOOKUP(A1,DIV_02Data!$A$1:$DZU$1000000,1945,FALSE)</f>
        <v>0</v>
      </c>
      <c r="G115" s="33">
        <f>VLOOKUP(A1,DIV_02Data!$A$1:$DZU$1000000,1946,FALSE)</f>
        <v>0</v>
      </c>
      <c r="H115" s="34">
        <f>VLOOKUP(A1,DIV_02Data!$A$1:$DZU$1000000,1947,FALSE)</f>
        <v>0</v>
      </c>
      <c r="I115" s="33">
        <f>VLOOKUP(A1,DIV_02Data!$A$1:$DZU$1000000,1948,FALSE)</f>
        <v>0</v>
      </c>
      <c r="J115" s="34">
        <f>VLOOKUP(A1,DIV_02Data!$A$1:$DZU$1000000,1949,FALSE)</f>
        <v>0</v>
      </c>
      <c r="K115" s="34">
        <f>VLOOKUP(A1,DIV_02Data!$A$1:$DZU$1000000,1950,FALSE)</f>
        <v>0</v>
      </c>
      <c r="L115" s="93">
        <f>VLOOKUP(A1,DIV_02Data!$A$1:$DZU$1000000,1951,FALSE)</f>
        <v>0</v>
      </c>
      <c r="M115" s="33">
        <f>VLOOKUP(A1,DIV_02Data!$A$1:$DZU$1000000,1952,FALSE)</f>
        <v>0</v>
      </c>
      <c r="N115" s="34">
        <f>VLOOKUP(A1,DIV_02Data!$A$1:$DZU$1000000,1953,FALSE)</f>
        <v>0</v>
      </c>
      <c r="O115" s="33">
        <f>VLOOKUP(A1,DIV_02Data!$A$1:$DZU$1000000,1954,FALSE)</f>
        <v>0</v>
      </c>
      <c r="P115" s="46">
        <f>VLOOKUP(A1,DIV_02Data!$A$1:$DZU$1000000,1955,FALSE)</f>
        <v>0</v>
      </c>
      <c r="Q115" s="33">
        <f>VLOOKUP(A1,DIV_02Data!$A$1:$DZU$1000000,1956,FALSE)</f>
        <v>0</v>
      </c>
    </row>
    <row r="116" spans="1:17" x14ac:dyDescent="0.35">
      <c r="A116" s="22">
        <f>VLOOKUP(A1,DIV_02Data!$A$1:$DZU$1000000,1957,FALSE)</f>
        <v>0</v>
      </c>
      <c r="B116" s="37">
        <f>VLOOKUP(A1,DIV_02Data!$A$1:$DZU$1000000,1958,FALSE)</f>
        <v>0</v>
      </c>
      <c r="C116" s="38">
        <f>VLOOKUP(A1,DIV_02Data!$A$1:$DZU$1000000,1959,FALSE)</f>
        <v>0</v>
      </c>
      <c r="D116" s="31">
        <f>VLOOKUP(A1,DIV_02Data!$A$1:$DZU$1000000,1960,FALSE)</f>
        <v>0</v>
      </c>
      <c r="E116" s="32">
        <f>VLOOKUP(A1,DIV_02Data!$A$1:$DZU$1000000,1961,FALSE)</f>
        <v>0</v>
      </c>
      <c r="F116" s="34">
        <f>VLOOKUP(A1,DIV_02Data!$A$1:$DZU$1000000,1962,FALSE)</f>
        <v>0</v>
      </c>
      <c r="G116" s="33">
        <f>VLOOKUP(A1,DIV_02Data!$A$1:$DZU$1000000,1963,FALSE)</f>
        <v>0</v>
      </c>
      <c r="H116" s="34">
        <f>VLOOKUP(A1,DIV_02Data!$A$1:$DZU$1000000,1964,FALSE)</f>
        <v>0</v>
      </c>
      <c r="I116" s="33">
        <f>VLOOKUP(A1,DIV_02Data!$A$1:$DZU$1000000,1965,FALSE)</f>
        <v>0</v>
      </c>
      <c r="J116" s="34">
        <f>VLOOKUP(A1,DIV_02Data!$A$1:$DZU$1000000,1966,FALSE)</f>
        <v>0</v>
      </c>
      <c r="K116" s="34">
        <f>VLOOKUP(A1,DIV_02Data!$A$1:$DZU$1000000,1967,FALSE)</f>
        <v>0</v>
      </c>
      <c r="L116" s="93">
        <f>VLOOKUP(A1,DIV_02Data!$A$1:$DZU$1000000,1968,FALSE)</f>
        <v>0</v>
      </c>
      <c r="M116" s="33">
        <f>VLOOKUP(A1,DIV_02Data!$A$1:$DZU$1000000,1969,FALSE)</f>
        <v>0</v>
      </c>
      <c r="N116" s="34">
        <f>VLOOKUP(A1,DIV_02Data!$A$1:$DZU$1000000,1970,FALSE)</f>
        <v>0</v>
      </c>
      <c r="O116" s="33">
        <f>VLOOKUP(A1,DIV_02Data!$A$1:$DZU$1000000,1971,FALSE)</f>
        <v>0</v>
      </c>
      <c r="P116" s="46">
        <f>VLOOKUP(A1,DIV_02Data!$A$1:$DZU$1000000,1972,FALSE)</f>
        <v>0</v>
      </c>
      <c r="Q116" s="33">
        <f>VLOOKUP(A1,DIV_02Data!$A$1:$DZU$1000000,1973,FALSE)</f>
        <v>0</v>
      </c>
    </row>
    <row r="117" spans="1:17" x14ac:dyDescent="0.35">
      <c r="A117" s="22">
        <f>VLOOKUP(A1,DIV_02Data!$A$1:$DZU$1000000,1974,FALSE)</f>
        <v>0</v>
      </c>
      <c r="B117" s="37">
        <f>VLOOKUP(A1,DIV_02Data!$A$1:$DZU$1000000,1975,FALSE)</f>
        <v>0</v>
      </c>
      <c r="C117" s="38">
        <f>VLOOKUP(A1,DIV_02Data!$A$1:$DZU$1000000,1976,FALSE)</f>
        <v>0</v>
      </c>
      <c r="D117" s="31">
        <f>VLOOKUP(A1,DIV_02Data!$A$1:$DZU$1000000,1977,FALSE)</f>
        <v>0</v>
      </c>
      <c r="E117" s="32">
        <f>VLOOKUP(A1,DIV_02Data!$A$1:$DZU$1000000,1978,FALSE)</f>
        <v>0</v>
      </c>
      <c r="F117" s="34">
        <f>VLOOKUP(A1,DIV_02Data!$A$1:$DZU$1000000,1979,FALSE)</f>
        <v>0</v>
      </c>
      <c r="G117" s="33">
        <f>VLOOKUP(A1,DIV_02Data!$A$1:$DZU$1000000,1980,FALSE)</f>
        <v>0</v>
      </c>
      <c r="H117" s="34">
        <f>VLOOKUP(A1,DIV_02Data!$A$1:$DZU$1000000,1981,FALSE)</f>
        <v>0</v>
      </c>
      <c r="I117" s="33">
        <f>VLOOKUP(A1,DIV_02Data!$A$1:$DZU$1000000,1982,FALSE)</f>
        <v>0</v>
      </c>
      <c r="J117" s="34">
        <f>VLOOKUP(A1,DIV_02Data!$A$1:$DZU$1000000,1983,FALSE)</f>
        <v>0</v>
      </c>
      <c r="K117" s="34">
        <f>VLOOKUP(A1,DIV_02Data!$A$1:$DZU$1000000,1984,FALSE)</f>
        <v>0</v>
      </c>
      <c r="L117" s="93">
        <f>VLOOKUP(A1,DIV_02Data!$A$1:$DZU$1000000,1985,FALSE)</f>
        <v>0</v>
      </c>
      <c r="M117" s="33">
        <f>VLOOKUP(A1,DIV_02Data!$A$1:$DZU$1000000,1986,FALSE)</f>
        <v>0</v>
      </c>
      <c r="N117" s="34">
        <f>VLOOKUP(A1,DIV_02Data!$A$1:$DZU$1000000,1987,FALSE)</f>
        <v>0</v>
      </c>
      <c r="O117" s="33">
        <f>VLOOKUP(A1,DIV_02Data!$A$1:$DZU$1000000,1988,FALSE)</f>
        <v>0</v>
      </c>
      <c r="P117" s="46">
        <f>VLOOKUP(A1,DIV_02Data!$A$1:$DZU$1000000,1989,FALSE)</f>
        <v>0</v>
      </c>
      <c r="Q117" s="33">
        <f>VLOOKUP(A1,DIV_02Data!$A$1:$DZU$1000000,1990,FALSE)</f>
        <v>0</v>
      </c>
    </row>
    <row r="118" spans="1:17" x14ac:dyDescent="0.35">
      <c r="A118" s="22">
        <f>VLOOKUP(A1,DIV_02Data!$A$1:$DZU$1000000,1991,FALSE)</f>
        <v>0</v>
      </c>
      <c r="B118" s="37">
        <f>VLOOKUP(A1,DIV_02Data!$A$1:$DZU$1000000,1992,FALSE)</f>
        <v>0</v>
      </c>
      <c r="C118" s="38">
        <f>VLOOKUP(A1,DIV_02Data!$A$1:$DZU$1000000,1993,FALSE)</f>
        <v>0</v>
      </c>
      <c r="D118" s="31">
        <f>VLOOKUP(A1,DIV_02Data!$A$1:$DZU$1000000,1994,FALSE)</f>
        <v>0</v>
      </c>
      <c r="E118" s="32">
        <f>VLOOKUP(A1,DIV_02Data!$A$1:$DZU$1000000,1995,FALSE)</f>
        <v>0</v>
      </c>
      <c r="F118" s="34">
        <f>VLOOKUP(A1,DIV_02Data!$A$1:$DZU$1000000,1996,FALSE)</f>
        <v>0</v>
      </c>
      <c r="G118" s="33">
        <f>VLOOKUP(A1,DIV_02Data!$A$1:$DZU$1000000,1997,FALSE)</f>
        <v>0</v>
      </c>
      <c r="H118" s="34">
        <f>VLOOKUP(A1,DIV_02Data!$A$1:$DZU$1000000,1998,FALSE)</f>
        <v>0</v>
      </c>
      <c r="I118" s="33">
        <f>VLOOKUP(A1,DIV_02Data!$A$1:$DZU$1000000,1999,FALSE)</f>
        <v>0</v>
      </c>
      <c r="J118" s="34">
        <f>VLOOKUP(A1,DIV_02Data!$A$1:$DZU$1000000,2000,FALSE)</f>
        <v>0</v>
      </c>
      <c r="K118" s="34">
        <f>VLOOKUP(A1,DIV_02Data!$A$1:$DZU$1000000,2001,FALSE)</f>
        <v>0</v>
      </c>
      <c r="L118" s="93">
        <f>VLOOKUP(A1,DIV_02Data!$A$1:$DZU$1000000,2002,FALSE)</f>
        <v>0</v>
      </c>
      <c r="M118" s="33">
        <f>VLOOKUP(A1,DIV_02Data!$A$1:$DZU$1000000,2003,FALSE)</f>
        <v>0</v>
      </c>
      <c r="N118" s="34">
        <f>VLOOKUP(A1,DIV_02Data!$A$1:$DZU$1000000,2004,FALSE)</f>
        <v>0</v>
      </c>
      <c r="O118" s="33">
        <f>VLOOKUP(A1,DIV_02Data!$A$1:$DZU$1000000,2005,FALSE)</f>
        <v>0</v>
      </c>
      <c r="P118" s="46">
        <f>VLOOKUP(A1,DIV_02Data!$A$1:$DZU$1000000,2006,FALSE)</f>
        <v>0</v>
      </c>
      <c r="Q118" s="33">
        <f>VLOOKUP(A1,DIV_02Data!$A$1:$DZU$1000000,2007,FALSE)</f>
        <v>0</v>
      </c>
    </row>
    <row r="119" spans="1:17" x14ac:dyDescent="0.35">
      <c r="A119" s="22">
        <f>VLOOKUP(A1,DIV_02Data!$A$1:$DZU$1000000,2008,FALSE)</f>
        <v>0</v>
      </c>
      <c r="B119" s="37">
        <f>VLOOKUP(A1,DIV_02Data!$A$1:$DZU$1000000,2009,FALSE)</f>
        <v>0</v>
      </c>
      <c r="C119" s="38">
        <f>VLOOKUP(A1,DIV_02Data!$A$1:$DZU$1000000,2010,FALSE)</f>
        <v>0</v>
      </c>
      <c r="D119" s="31">
        <f>VLOOKUP(A1,DIV_02Data!$A$1:$DZU$1000000,2011,FALSE)</f>
        <v>0</v>
      </c>
      <c r="E119" s="32">
        <f>VLOOKUP(A1,DIV_02Data!$A$1:$DZU$1000000,2012,FALSE)</f>
        <v>0</v>
      </c>
      <c r="F119" s="34">
        <f>VLOOKUP(A1,DIV_02Data!$A$1:$DZU$1000000,2013,FALSE)</f>
        <v>0</v>
      </c>
      <c r="G119" s="33">
        <f>VLOOKUP(A1,DIV_02Data!$A$1:$DZU$1000000,2014,FALSE)</f>
        <v>0</v>
      </c>
      <c r="H119" s="34">
        <f>VLOOKUP(A1,DIV_02Data!$A$1:$DZU$1000000,2015,FALSE)</f>
        <v>0</v>
      </c>
      <c r="I119" s="33">
        <f>VLOOKUP(A1,DIV_02Data!$A$1:$DZU$1000000,2016,FALSE)</f>
        <v>0</v>
      </c>
      <c r="J119" s="34">
        <f>VLOOKUP(A1,DIV_02Data!$A$1:$DZU$1000000,2017,FALSE)</f>
        <v>0</v>
      </c>
      <c r="K119" s="34">
        <f>VLOOKUP(A1,DIV_02Data!$A$1:$DZU$1000000,2018,FALSE)</f>
        <v>0</v>
      </c>
      <c r="L119" s="93">
        <f>VLOOKUP(A1,DIV_02Data!$A$1:$DZU$1000000,2019,FALSE)</f>
        <v>0</v>
      </c>
      <c r="M119" s="33">
        <f>VLOOKUP(A1,DIV_02Data!$A$1:$DZU$1000000,2020,FALSE)</f>
        <v>0</v>
      </c>
      <c r="N119" s="34">
        <f>VLOOKUP(A1,DIV_02Data!$A$1:$DZU$1000000,2021,FALSE)</f>
        <v>0</v>
      </c>
      <c r="O119" s="33">
        <f>VLOOKUP(A1,DIV_02Data!$A$1:$DZU$1000000,2022,FALSE)</f>
        <v>0</v>
      </c>
      <c r="P119" s="46">
        <f>VLOOKUP(A1,DIV_02Data!$A$1:$DZU$1000000,2023,FALSE)</f>
        <v>0</v>
      </c>
      <c r="Q119" s="33">
        <f>VLOOKUP(A1,DIV_02Data!$A$1:$DZU$1000000,2024,FALSE)</f>
        <v>0</v>
      </c>
    </row>
    <row r="120" spans="1:17" x14ac:dyDescent="0.35">
      <c r="A120" s="22">
        <f>VLOOKUP(A1,DIV_02Data!$A$1:$DZU$1000000,2025,FALSE)</f>
        <v>0</v>
      </c>
      <c r="B120" s="37">
        <f>VLOOKUP(A1,DIV_02Data!$A$1:$DZU$1000000,2026,FALSE)</f>
        <v>0</v>
      </c>
      <c r="C120" s="38">
        <f>VLOOKUP(A1,DIV_02Data!$A$1:$DZU$1000000,2027,FALSE)</f>
        <v>0</v>
      </c>
      <c r="D120" s="31">
        <f>VLOOKUP(A1,DIV_02Data!$A$1:$DZU$1000000,2028,FALSE)</f>
        <v>0</v>
      </c>
      <c r="E120" s="32">
        <f>VLOOKUP(A1,DIV_02Data!$A$1:$DZU$1000000,2029,FALSE)</f>
        <v>0</v>
      </c>
      <c r="F120" s="34">
        <f>VLOOKUP(A1,DIV_02Data!$A$1:$DZU$1000000,2030,FALSE)</f>
        <v>0</v>
      </c>
      <c r="G120" s="33">
        <f>VLOOKUP(A1,DIV_02Data!$A$1:$DZU$1000000,2031,FALSE)</f>
        <v>0</v>
      </c>
      <c r="H120" s="34">
        <f>VLOOKUP(A1,DIV_02Data!$A$1:$DZU$1000000,2032,FALSE)</f>
        <v>0</v>
      </c>
      <c r="I120" s="33">
        <f>VLOOKUP(A1,DIV_02Data!$A$1:$DZU$1000000,2033,FALSE)</f>
        <v>0</v>
      </c>
      <c r="J120" s="34">
        <f>VLOOKUP(A1,DIV_02Data!$A$1:$DZU$1000000,2034,FALSE)</f>
        <v>0</v>
      </c>
      <c r="K120" s="34">
        <f>VLOOKUP(A1,DIV_02Data!$A$1:$DZU$1000000,2035,FALSE)</f>
        <v>0</v>
      </c>
      <c r="L120" s="93">
        <f>VLOOKUP(A1,DIV_02Data!$A$1:$DZU$1000000,2036,FALSE)</f>
        <v>0</v>
      </c>
      <c r="M120" s="33">
        <f>VLOOKUP(A1,DIV_02Data!$A$1:$DZU$1000000,2037,FALSE)</f>
        <v>0</v>
      </c>
      <c r="N120" s="34">
        <f>VLOOKUP(A1,DIV_02Data!$A$1:$DZU$1000000,2038,FALSE)</f>
        <v>0</v>
      </c>
      <c r="O120" s="33">
        <f>VLOOKUP(A1,DIV_02Data!$A$1:$DZU$1000000,2039,FALSE)</f>
        <v>0</v>
      </c>
      <c r="P120" s="46">
        <f>VLOOKUP(A1,DIV_02Data!$A$1:$DZU$1000000,2040,FALSE)</f>
        <v>0</v>
      </c>
      <c r="Q120" s="33">
        <f>VLOOKUP(A1,DIV_02Data!$A$1:$DZU$1000000,2041,FALSE)</f>
        <v>0</v>
      </c>
    </row>
    <row r="121" spans="1:17" x14ac:dyDescent="0.35">
      <c r="A121" s="22">
        <f>VLOOKUP(A1,DIV_02Data!$A$1:$DZU$1000000,2042,FALSE)</f>
        <v>0</v>
      </c>
      <c r="B121" s="37">
        <f>VLOOKUP(A1,DIV_02Data!$A$1:$DZU$1000000,2043,FALSE)</f>
        <v>0</v>
      </c>
      <c r="C121" s="38">
        <f>VLOOKUP(A1,DIV_02Data!$A$1:$DZU$1000000,2044,FALSE)</f>
        <v>0</v>
      </c>
      <c r="D121" s="31">
        <f>VLOOKUP(A1,DIV_02Data!$A$1:$DZU$1000000,2045,FALSE)</f>
        <v>0</v>
      </c>
      <c r="E121" s="32">
        <f>VLOOKUP(A1,DIV_02Data!$A$1:$DZU$1000000,2046,FALSE)</f>
        <v>0</v>
      </c>
      <c r="F121" s="34">
        <f>VLOOKUP(A1,DIV_02Data!$A$1:$DZU$1000000,2047,FALSE)</f>
        <v>0</v>
      </c>
      <c r="G121" s="33">
        <f>VLOOKUP(A1,DIV_02Data!$A$1:$DZU$1000000,2048,FALSE)</f>
        <v>0</v>
      </c>
      <c r="H121" s="34">
        <f>VLOOKUP(A1,DIV_02Data!$A$1:$DZU$1000000,2049,FALSE)</f>
        <v>0</v>
      </c>
      <c r="I121" s="33">
        <f>VLOOKUP(A1,DIV_02Data!$A$1:$DZU$1000000,2050,FALSE)</f>
        <v>0</v>
      </c>
      <c r="J121" s="34">
        <f>VLOOKUP(A1,DIV_02Data!$A$1:$DZU$1000000,2051,FALSE)</f>
        <v>0</v>
      </c>
      <c r="K121" s="34">
        <f>VLOOKUP(A1,DIV_02Data!$A$1:$DZU$1000000,2052,FALSE)</f>
        <v>0</v>
      </c>
      <c r="L121" s="93">
        <f>VLOOKUP(A1,DIV_02Data!$A$1:$DZU$1000000,2053,FALSE)</f>
        <v>0</v>
      </c>
      <c r="M121" s="33">
        <f>VLOOKUP(A1,DIV_02Data!$A$1:$DZU$1000000,2054,FALSE)</f>
        <v>0</v>
      </c>
      <c r="N121" s="34">
        <f>VLOOKUP(A1,DIV_02Data!$A$1:$DZU$1000000,2055,FALSE)</f>
        <v>0</v>
      </c>
      <c r="O121" s="33">
        <f>VLOOKUP(A1,DIV_02Data!$A$1:$DZU$1000000,2056,FALSE)</f>
        <v>0</v>
      </c>
      <c r="P121" s="46">
        <f>VLOOKUP(A1,DIV_02Data!$A$1:$DZU$1000000,2057,FALSE)</f>
        <v>0</v>
      </c>
      <c r="Q121" s="33">
        <f>VLOOKUP(A1,DIV_02Data!$A$1:$DZU$1000000,2058,FALSE)</f>
        <v>0</v>
      </c>
    </row>
    <row r="122" spans="1:17" x14ac:dyDescent="0.35">
      <c r="A122" s="22">
        <f>VLOOKUP(A1,DIV_02Data!$A$1:$DZU$1000000,2059,FALSE)</f>
        <v>0</v>
      </c>
      <c r="B122" s="37">
        <f>VLOOKUP(A1,DIV_02Data!$A$1:$DZU$1000000,2060,FALSE)</f>
        <v>0</v>
      </c>
      <c r="C122" s="38">
        <f>VLOOKUP(A1,DIV_02Data!$A$1:$DZU$1000000,2061,FALSE)</f>
        <v>0</v>
      </c>
      <c r="D122" s="31">
        <f>VLOOKUP(A1,DIV_02Data!$A$1:$DZU$1000000,2062,FALSE)</f>
        <v>0</v>
      </c>
      <c r="E122" s="32">
        <f>VLOOKUP(A1,DIV_02Data!$A$1:$DZU$1000000,2063,FALSE)</f>
        <v>0</v>
      </c>
      <c r="F122" s="34">
        <f>VLOOKUP(A1,DIV_02Data!$A$1:$DZU$1000000,2064,FALSE)</f>
        <v>0</v>
      </c>
      <c r="G122" s="33">
        <f>VLOOKUP(A1,DIV_02Data!$A$1:$DZU$1000000,2065,FALSE)</f>
        <v>0</v>
      </c>
      <c r="H122" s="34">
        <f>VLOOKUP(A1,DIV_02Data!$A$1:$DZU$1000000,2066,FALSE)</f>
        <v>0</v>
      </c>
      <c r="I122" s="33">
        <f>VLOOKUP(A1,DIV_02Data!$A$1:$DZU$1000000,2067,FALSE)</f>
        <v>0</v>
      </c>
      <c r="J122" s="34">
        <f>VLOOKUP(A1,DIV_02Data!$A$1:$DZU$1000000,2068,FALSE)</f>
        <v>0</v>
      </c>
      <c r="K122" s="34">
        <f>VLOOKUP(A1,DIV_02Data!$A$1:$DZU$1000000,2069,FALSE)</f>
        <v>0</v>
      </c>
      <c r="L122" s="93">
        <f>VLOOKUP(A1,DIV_02Data!$A$1:$DZU$1000000,2070,FALSE)</f>
        <v>0</v>
      </c>
      <c r="M122" s="33">
        <f>VLOOKUP(A1,DIV_02Data!$A$1:$DZU$1000000,2071,FALSE)</f>
        <v>0</v>
      </c>
      <c r="N122" s="34">
        <f>VLOOKUP(A1,DIV_02Data!$A$1:$DZU$1000000,2072,FALSE)</f>
        <v>0</v>
      </c>
      <c r="O122" s="33">
        <f>VLOOKUP(A1,DIV_02Data!$A$1:$DZU$1000000,2073,FALSE)</f>
        <v>0</v>
      </c>
      <c r="P122" s="46">
        <f>VLOOKUP(A1,DIV_02Data!$A$1:$DZU$1000000,2074,FALSE)</f>
        <v>0</v>
      </c>
      <c r="Q122" s="33">
        <f>VLOOKUP(A1,DIV_02Data!$A$1:$DZU$1000000,2075,FALSE)</f>
        <v>0</v>
      </c>
    </row>
    <row r="123" spans="1:17" x14ac:dyDescent="0.35">
      <c r="A123" s="22">
        <f>VLOOKUP(A1,DIV_02Data!$A$1:$DZU$1000000,2076,FALSE)</f>
        <v>0</v>
      </c>
      <c r="B123" s="37">
        <f>VLOOKUP(A1,DIV_02Data!$A$1:$DZU$1000000,2077,FALSE)</f>
        <v>0</v>
      </c>
      <c r="C123" s="38">
        <f>VLOOKUP(A1,DIV_02Data!$A$1:$DZU$1000000,2078,FALSE)</f>
        <v>0</v>
      </c>
      <c r="D123" s="31">
        <f>VLOOKUP(A1,DIV_02Data!$A$1:$DZU$1000000,2079,FALSE)</f>
        <v>0</v>
      </c>
      <c r="E123" s="32">
        <f>VLOOKUP(A1,DIV_02Data!$A$1:$DZU$1000000,2080,FALSE)</f>
        <v>0</v>
      </c>
      <c r="F123" s="34">
        <f>VLOOKUP(A1,DIV_02Data!$A$1:$DZU$1000000,2081,FALSE)</f>
        <v>0</v>
      </c>
      <c r="G123" s="33">
        <f>VLOOKUP(A1,DIV_02Data!$A$1:$DZU$1000000,2082,FALSE)</f>
        <v>0</v>
      </c>
      <c r="H123" s="34">
        <f>VLOOKUP(A1,DIV_02Data!$A$1:$DZU$1000000,2083,FALSE)</f>
        <v>0</v>
      </c>
      <c r="I123" s="33">
        <f>VLOOKUP(A1,DIV_02Data!$A$1:$DZU$1000000,2084,FALSE)</f>
        <v>0</v>
      </c>
      <c r="J123" s="34">
        <f>VLOOKUP(A1,DIV_02Data!$A$1:$DZU$1000000,2085,FALSE)</f>
        <v>0</v>
      </c>
      <c r="K123" s="34">
        <f>VLOOKUP(A1,DIV_02Data!$A$1:$DZU$1000000,2086,FALSE)</f>
        <v>0</v>
      </c>
      <c r="L123" s="93">
        <f>VLOOKUP(A1,DIV_02Data!$A$1:$DZU$1000000,2087,FALSE)</f>
        <v>0</v>
      </c>
      <c r="M123" s="33">
        <f>VLOOKUP(A1,DIV_02Data!$A$1:$DZU$1000000,2088,FALSE)</f>
        <v>0</v>
      </c>
      <c r="N123" s="34">
        <f>VLOOKUP(A1,DIV_02Data!$A$1:$DZU$1000000,2089,FALSE)</f>
        <v>0</v>
      </c>
      <c r="O123" s="33">
        <f>VLOOKUP(A1,DIV_02Data!$A$1:$DZU$1000000,2090,FALSE)</f>
        <v>0</v>
      </c>
      <c r="P123" s="46">
        <f>VLOOKUP(A1,DIV_02Data!$A$1:$DZU$1000000,2091,FALSE)</f>
        <v>0</v>
      </c>
      <c r="Q123" s="33">
        <f>VLOOKUP(A1,DIV_02Data!$A$1:$DZU$1000000,2092,FALSE)</f>
        <v>0</v>
      </c>
    </row>
    <row r="124" spans="1:17" x14ac:dyDescent="0.35">
      <c r="A124" s="22">
        <f>VLOOKUP(A1,DIV_02Data!$A$1:$DZU$1000000,2093,FALSE)</f>
        <v>0</v>
      </c>
      <c r="B124" s="37">
        <f>VLOOKUP(A1,DIV_02Data!$A$1:$DZU$1000000,2094,FALSE)</f>
        <v>0</v>
      </c>
      <c r="C124" s="38">
        <f>VLOOKUP(A1,DIV_02Data!$A$1:$DZU$1000000,2095,FALSE)</f>
        <v>0</v>
      </c>
      <c r="D124" s="31">
        <f>VLOOKUP(A1,DIV_02Data!$A$1:$DZU$1000000,2096,FALSE)</f>
        <v>0</v>
      </c>
      <c r="E124" s="32">
        <f>VLOOKUP(A1,DIV_02Data!$A$1:$DZU$1000000,2097,FALSE)</f>
        <v>0</v>
      </c>
      <c r="F124" s="34">
        <f>VLOOKUP(A1,DIV_02Data!$A$1:$DZU$1000000,2098,FALSE)</f>
        <v>0</v>
      </c>
      <c r="G124" s="33">
        <f>VLOOKUP(A1,DIV_02Data!$A$1:$DZU$1000000,2099,FALSE)</f>
        <v>0</v>
      </c>
      <c r="H124" s="34">
        <f>VLOOKUP(A1,DIV_02Data!$A$1:$DZU$1000000,2100,FALSE)</f>
        <v>0</v>
      </c>
      <c r="I124" s="33">
        <f>VLOOKUP(A1,DIV_02Data!$A$1:$DZU$1000000,2101,FALSE)</f>
        <v>0</v>
      </c>
      <c r="J124" s="34">
        <f>VLOOKUP(A1,DIV_02Data!$A$1:$DZU$1000000,2102,FALSE)</f>
        <v>0</v>
      </c>
      <c r="K124" s="34">
        <f>VLOOKUP(A1,DIV_02Data!$A$1:$DZU$1000000,2103,FALSE)</f>
        <v>0</v>
      </c>
      <c r="L124" s="93">
        <f>VLOOKUP(A1,DIV_02Data!$A$1:$DZU$1000000,2104,FALSE)</f>
        <v>0</v>
      </c>
      <c r="M124" s="33">
        <f>VLOOKUP(A1,DIV_02Data!$A$1:$DZU$1000000,2105,FALSE)</f>
        <v>0</v>
      </c>
      <c r="N124" s="34">
        <f>VLOOKUP(A1,DIV_02Data!$A$1:$DZU$1000000,2106,FALSE)</f>
        <v>0</v>
      </c>
      <c r="O124" s="33">
        <f>VLOOKUP(A1,DIV_02Data!$A$1:$DZU$1000000,2107,FALSE)</f>
        <v>0</v>
      </c>
      <c r="P124" s="46">
        <f>VLOOKUP(A1,DIV_02Data!$A$1:$DZU$1000000,2108,FALSE)</f>
        <v>0</v>
      </c>
      <c r="Q124" s="33">
        <f>VLOOKUP(A1,DIV_02Data!$A$1:$DZU$1000000,2109,FALSE)</f>
        <v>0</v>
      </c>
    </row>
    <row r="125" spans="1:17" x14ac:dyDescent="0.35">
      <c r="A125" s="22">
        <f>VLOOKUP(A1,DIV_02Data!$A$1:$DZU$1000000,2110,FALSE)</f>
        <v>0</v>
      </c>
      <c r="B125" s="37">
        <f>VLOOKUP(A1,DIV_02Data!$A$1:$DZU$1000000,2111,FALSE)</f>
        <v>0</v>
      </c>
      <c r="C125" s="38">
        <f>VLOOKUP(A1,DIV_02Data!$A$1:$DZU$1000000,2112,FALSE)</f>
        <v>0</v>
      </c>
      <c r="D125" s="31">
        <f>VLOOKUP(A1,DIV_02Data!$A$1:$DZU$1000000,2113,FALSE)</f>
        <v>0</v>
      </c>
      <c r="E125" s="32">
        <f>VLOOKUP(A1,DIV_02Data!$A$1:$DZU$1000000,2114,FALSE)</f>
        <v>0</v>
      </c>
      <c r="F125" s="34">
        <f>VLOOKUP(A1,DIV_02Data!$A$1:$DZU$1000000,2115,FALSE)</f>
        <v>0</v>
      </c>
      <c r="G125" s="33">
        <f>VLOOKUP(A1,DIV_02Data!$A$1:$DZU$1000000,2116,FALSE)</f>
        <v>0</v>
      </c>
      <c r="H125" s="34">
        <f>VLOOKUP(A1,DIV_02Data!$A$1:$DZU$1000000,2117,FALSE)</f>
        <v>0</v>
      </c>
      <c r="I125" s="33">
        <f>VLOOKUP(A1,DIV_02Data!$A$1:$DZU$1000000,2118,FALSE)</f>
        <v>0</v>
      </c>
      <c r="J125" s="34">
        <f>VLOOKUP(A1,DIV_02Data!$A$1:$DZU$1000000,2119,FALSE)</f>
        <v>0</v>
      </c>
      <c r="K125" s="34">
        <f>VLOOKUP(A1,DIV_02Data!$A$1:$DZU$1000000,2120,FALSE)</f>
        <v>0</v>
      </c>
      <c r="L125" s="93">
        <f>VLOOKUP(A1,DIV_02Data!$A$1:$DZU$1000000,2121,FALSE)</f>
        <v>0</v>
      </c>
      <c r="M125" s="33">
        <f>VLOOKUP(A1,DIV_02Data!$A$1:$DZU$1000000,2122,FALSE)</f>
        <v>0</v>
      </c>
      <c r="N125" s="34">
        <f>VLOOKUP(A1,DIV_02Data!$A$1:$DZU$1000000,2123,FALSE)</f>
        <v>0</v>
      </c>
      <c r="O125" s="33">
        <f>VLOOKUP(A1,DIV_02Data!$A$1:$DZU$1000000,2124,FALSE)</f>
        <v>0</v>
      </c>
      <c r="P125" s="46">
        <f>VLOOKUP(A1,DIV_02Data!$A$1:$DZU$1000000,2125,FALSE)</f>
        <v>0</v>
      </c>
      <c r="Q125" s="33">
        <f>VLOOKUP(A1,DIV_02Data!$A$1:$DZU$1000000,2126,FALSE)</f>
        <v>0</v>
      </c>
    </row>
    <row r="126" spans="1:17" x14ac:dyDescent="0.35">
      <c r="A126" s="22">
        <f>VLOOKUP(A1,DIV_02Data!$A$1:$DZU$1000000,2127,FALSE)</f>
        <v>0</v>
      </c>
      <c r="B126" s="37">
        <f>VLOOKUP(A1,DIV_02Data!$A$1:$DZU$1000000,2128,FALSE)</f>
        <v>0</v>
      </c>
      <c r="C126" s="38">
        <f>VLOOKUP(A1,DIV_02Data!$A$1:$DZU$1000000,2129,FALSE)</f>
        <v>0</v>
      </c>
      <c r="D126" s="31">
        <f>VLOOKUP(A1,DIV_02Data!$A$1:$DZU$1000000,2130,FALSE)</f>
        <v>0</v>
      </c>
      <c r="E126" s="32">
        <f>VLOOKUP(A1,DIV_02Data!$A$1:$DZU$1000000,2131,FALSE)</f>
        <v>0</v>
      </c>
      <c r="F126" s="34">
        <f>VLOOKUP(A1,DIV_02Data!$A$1:$DZU$1000000,2132,FALSE)</f>
        <v>0</v>
      </c>
      <c r="G126" s="33">
        <f>VLOOKUP(A1,DIV_02Data!$A$1:$DZU$1000000,2133,FALSE)</f>
        <v>0</v>
      </c>
      <c r="H126" s="34">
        <f>VLOOKUP(A1,DIV_02Data!$A$1:$DZU$1000000,2134,FALSE)</f>
        <v>0</v>
      </c>
      <c r="I126" s="33">
        <f>VLOOKUP(A1,DIV_02Data!$A$1:$DZU$1000000,2135,FALSE)</f>
        <v>0</v>
      </c>
      <c r="J126" s="34">
        <f>VLOOKUP(A1,DIV_02Data!$A$1:$DZU$1000000,2136,FALSE)</f>
        <v>0</v>
      </c>
      <c r="K126" s="34">
        <f>VLOOKUP(A1,DIV_02Data!$A$1:$DZU$1000000,2137,FALSE)</f>
        <v>0</v>
      </c>
      <c r="L126" s="93">
        <f>VLOOKUP(A1,DIV_02Data!$A$1:$DZU$1000000,2138,FALSE)</f>
        <v>0</v>
      </c>
      <c r="M126" s="33">
        <f>VLOOKUP(A1,DIV_02Data!$A$1:$DZU$1000000,2139,FALSE)</f>
        <v>0</v>
      </c>
      <c r="N126" s="34">
        <f>VLOOKUP(A1,DIV_02Data!$A$1:$DZU$1000000,2140,FALSE)</f>
        <v>0</v>
      </c>
      <c r="O126" s="33">
        <f>VLOOKUP(A1,DIV_02Data!$A$1:$DZU$1000000,2141,FALSE)</f>
        <v>0</v>
      </c>
      <c r="P126" s="46">
        <f>VLOOKUP(A1,DIV_02Data!$A$1:$DZU$1000000,2142,FALSE)</f>
        <v>0</v>
      </c>
      <c r="Q126" s="33">
        <f>VLOOKUP(A1,DIV_02Data!$A$1:$DZU$1000000,2143,FALSE)</f>
        <v>0</v>
      </c>
    </row>
    <row r="127" spans="1:17" x14ac:dyDescent="0.35">
      <c r="A127" s="22">
        <f>VLOOKUP(A1,DIV_02Data!$A$1:$DZU$1000000,2144,FALSE)</f>
        <v>0</v>
      </c>
      <c r="B127" s="37">
        <f>VLOOKUP(A1,DIV_02Data!$A$1:$DZU$1000000,2145,FALSE)</f>
        <v>0</v>
      </c>
      <c r="C127" s="38">
        <f>VLOOKUP(A1,DIV_02Data!$A$1:$DZU$1000000,2146,FALSE)</f>
        <v>0</v>
      </c>
      <c r="D127" s="31">
        <f>VLOOKUP(A1,DIV_02Data!$A$1:$DZU$1000000,2147,FALSE)</f>
        <v>0</v>
      </c>
      <c r="E127" s="32">
        <f>VLOOKUP(A1,DIV_02Data!$A$1:$DZU$1000000,2148,FALSE)</f>
        <v>0</v>
      </c>
      <c r="F127" s="34">
        <f>VLOOKUP(A1,DIV_02Data!$A$1:$DZU$1000000,2149,FALSE)</f>
        <v>0</v>
      </c>
      <c r="G127" s="33">
        <f>VLOOKUP(A1,DIV_02Data!$A$1:$DZU$1000000,2150,FALSE)</f>
        <v>0</v>
      </c>
      <c r="H127" s="34">
        <f>VLOOKUP(A1,DIV_02Data!$A$1:$DZU$1000000,2151,FALSE)</f>
        <v>0</v>
      </c>
      <c r="I127" s="33">
        <f>VLOOKUP(A1,DIV_02Data!$A$1:$DZU$1000000,2152,FALSE)</f>
        <v>0</v>
      </c>
      <c r="J127" s="34">
        <f>VLOOKUP(A1,DIV_02Data!$A$1:$DZU$1000000,2153,FALSE)</f>
        <v>0</v>
      </c>
      <c r="K127" s="34">
        <f>VLOOKUP(A1,DIV_02Data!$A$1:$DZU$1000000,2154,FALSE)</f>
        <v>0</v>
      </c>
      <c r="L127" s="93">
        <f>VLOOKUP(A1,DIV_02Data!$A$1:$DZU$1000000,2155,FALSE)</f>
        <v>0</v>
      </c>
      <c r="M127" s="33">
        <f>VLOOKUP(A1,DIV_02Data!$A$1:$DZU$1000000,2156,FALSE)</f>
        <v>0</v>
      </c>
      <c r="N127" s="34">
        <f>VLOOKUP(A1,DIV_02Data!$A$1:$DZU$1000000,2157,FALSE)</f>
        <v>0</v>
      </c>
      <c r="O127" s="33">
        <f>VLOOKUP(A1,DIV_02Data!$A$1:$DZU$1000000,2158,FALSE)</f>
        <v>0</v>
      </c>
      <c r="P127" s="46">
        <f>VLOOKUP(A1,DIV_02Data!$A$1:$DZU$1000000,2159,FALSE)</f>
        <v>0</v>
      </c>
      <c r="Q127" s="33">
        <f>VLOOKUP(A1,DIV_02Data!$A$1:$DZU$1000000,2160,FALSE)</f>
        <v>0</v>
      </c>
    </row>
    <row r="128" spans="1:17" x14ac:dyDescent="0.35">
      <c r="A128" s="22">
        <f>VLOOKUP(A1,DIV_02Data!$A$1:$DZU$1000000,2161,FALSE)</f>
        <v>0</v>
      </c>
      <c r="B128" s="37">
        <f>VLOOKUP(A1,DIV_02Data!$A$1:$DZU$1000000,2162,FALSE)</f>
        <v>0</v>
      </c>
      <c r="C128" s="38">
        <f>VLOOKUP(A1,DIV_02Data!$A$1:$DZU$1000000,2163,FALSE)</f>
        <v>0</v>
      </c>
      <c r="D128" s="31">
        <f>VLOOKUP(A1,DIV_02Data!$A$1:$DZU$1000000,2164,FALSE)</f>
        <v>0</v>
      </c>
      <c r="E128" s="32">
        <f>VLOOKUP(A1,DIV_02Data!$A$1:$DZU$1000000,2165,FALSE)</f>
        <v>0</v>
      </c>
      <c r="F128" s="34">
        <f>VLOOKUP(A1,DIV_02Data!$A$1:$DZU$1000000,2166,FALSE)</f>
        <v>0</v>
      </c>
      <c r="G128" s="33">
        <f>VLOOKUP(A1,DIV_02Data!$A$1:$DZU$1000000,2167,FALSE)</f>
        <v>0</v>
      </c>
      <c r="H128" s="34">
        <f>VLOOKUP(A1,DIV_02Data!$A$1:$DZU$1000000,2168,FALSE)</f>
        <v>0</v>
      </c>
      <c r="I128" s="33">
        <f>VLOOKUP(A1,DIV_02Data!$A$1:$DZU$1000000,2169,FALSE)</f>
        <v>0</v>
      </c>
      <c r="J128" s="34">
        <f>VLOOKUP(A1,DIV_02Data!$A$1:$DZU$1000000,2170,FALSE)</f>
        <v>0</v>
      </c>
      <c r="K128" s="34">
        <f>VLOOKUP(A1,DIV_02Data!$A$1:$DZU$1000000,2171,FALSE)</f>
        <v>0</v>
      </c>
      <c r="L128" s="93">
        <f>VLOOKUP(A1,DIV_02Data!$A$1:$DZU$1000000,2172,FALSE)</f>
        <v>0</v>
      </c>
      <c r="M128" s="33">
        <f>VLOOKUP(A1,DIV_02Data!$A$1:$DZU$1000000,2173,FALSE)</f>
        <v>0</v>
      </c>
      <c r="N128" s="34">
        <f>VLOOKUP(A1,DIV_02Data!$A$1:$DZU$1000000,2174,FALSE)</f>
        <v>0</v>
      </c>
      <c r="O128" s="33">
        <f>VLOOKUP(A1,DIV_02Data!$A$1:$DZU$1000000,2175,FALSE)</f>
        <v>0</v>
      </c>
      <c r="P128" s="46">
        <f>VLOOKUP(A1,DIV_02Data!$A$1:$DZU$1000000,2176,FALSE)</f>
        <v>0</v>
      </c>
      <c r="Q128" s="33">
        <f>VLOOKUP(A1,DIV_02Data!$A$1:$DZU$1000000,2177,FALSE)</f>
        <v>0</v>
      </c>
    </row>
    <row r="129" spans="1:17" x14ac:dyDescent="0.35">
      <c r="A129" s="22">
        <f>VLOOKUP(A1,DIV_02Data!$A$1:$DZU$1000000,2178,FALSE)</f>
        <v>0</v>
      </c>
      <c r="B129" s="37">
        <f>VLOOKUP(A1,DIV_02Data!$A$1:$DZU$1000000,2179,FALSE)</f>
        <v>0</v>
      </c>
      <c r="C129" s="38">
        <f>VLOOKUP(A1,DIV_02Data!$A$1:$DZU$1000000,2180,FALSE)</f>
        <v>0</v>
      </c>
      <c r="D129" s="31">
        <f>VLOOKUP(A1,DIV_02Data!$A$1:$DZU$1000000,2181,FALSE)</f>
        <v>0</v>
      </c>
      <c r="E129" s="32">
        <f>VLOOKUP(A1,DIV_02Data!$A$1:$DZU$1000000,2182,FALSE)</f>
        <v>0</v>
      </c>
      <c r="F129" s="34">
        <f>VLOOKUP(A1,DIV_02Data!$A$1:$DZU$1000000,2183,FALSE)</f>
        <v>0</v>
      </c>
      <c r="G129" s="33">
        <f>VLOOKUP(A1,DIV_02Data!$A$1:$DZU$1000000,2184,FALSE)</f>
        <v>0</v>
      </c>
      <c r="H129" s="34">
        <f>VLOOKUP(A1,DIV_02Data!$A$1:$DZU$1000000,2185,FALSE)</f>
        <v>0</v>
      </c>
      <c r="I129" s="33">
        <f>VLOOKUP(A1,DIV_02Data!$A$1:$DZU$1000000,2186,FALSE)</f>
        <v>0</v>
      </c>
      <c r="J129" s="34">
        <f>VLOOKUP(A1,DIV_02Data!$A$1:$DZU$1000000,2187,FALSE)</f>
        <v>0</v>
      </c>
      <c r="K129" s="34">
        <f>VLOOKUP(A1,DIV_02Data!$A$1:$DZU$1000000,2188,FALSE)</f>
        <v>0</v>
      </c>
      <c r="L129" s="93">
        <f>VLOOKUP(A1,DIV_02Data!$A$1:$DZU$1000000,2189,FALSE)</f>
        <v>0</v>
      </c>
      <c r="M129" s="33">
        <f>VLOOKUP(A1,DIV_02Data!$A$1:$DZU$1000000,2190,FALSE)</f>
        <v>0</v>
      </c>
      <c r="N129" s="34">
        <f>VLOOKUP(A1,DIV_02Data!$A$1:$DZU$1000000,2191,FALSE)</f>
        <v>0</v>
      </c>
      <c r="O129" s="33">
        <f>VLOOKUP(A1,DIV_02Data!$A$1:$DZU$1000000,2192,FALSE)</f>
        <v>0</v>
      </c>
      <c r="P129" s="46">
        <f>VLOOKUP(A1,DIV_02Data!$A$1:$DZU$1000000,2193,FALSE)</f>
        <v>0</v>
      </c>
      <c r="Q129" s="33">
        <f>VLOOKUP(A1,DIV_02Data!$A$1:$DZU$1000000,2194,FALSE)</f>
        <v>0</v>
      </c>
    </row>
    <row r="130" spans="1:17" x14ac:dyDescent="0.35">
      <c r="A130" s="22">
        <f>VLOOKUP(A1,DIV_02Data!$A$1:$DZU$1000000,2195,FALSE)</f>
        <v>0</v>
      </c>
      <c r="B130" s="37">
        <f>VLOOKUP(A1,DIV_02Data!$A$1:$DZU$1000000,2196,FALSE)</f>
        <v>0</v>
      </c>
      <c r="C130" s="38">
        <f>VLOOKUP(A1,DIV_02Data!$A$1:$DZU$1000000,2197,FALSE)</f>
        <v>0</v>
      </c>
      <c r="D130" s="31">
        <f>VLOOKUP(A1,DIV_02Data!$A$1:$DZU$1000000,2198,FALSE)</f>
        <v>0</v>
      </c>
      <c r="E130" s="32">
        <f>VLOOKUP(A1,DIV_02Data!$A$1:$DZU$1000000,2199,FALSE)</f>
        <v>0</v>
      </c>
      <c r="F130" s="34">
        <f>VLOOKUP(A1,DIV_02Data!$A$1:$DZU$1000000,2200,FALSE)</f>
        <v>0</v>
      </c>
      <c r="G130" s="33">
        <f>VLOOKUP(A1,DIV_02Data!$A$1:$DZU$1000000,2201,FALSE)</f>
        <v>0</v>
      </c>
      <c r="H130" s="34">
        <f>VLOOKUP(A1,DIV_02Data!$A$1:$DZU$1000000,2202,FALSE)</f>
        <v>0</v>
      </c>
      <c r="I130" s="33">
        <f>VLOOKUP(A1,DIV_02Data!$A$1:$DZU$1000000,2203,FALSE)</f>
        <v>0</v>
      </c>
      <c r="J130" s="34">
        <f>VLOOKUP(A1,DIV_02Data!$A$1:$DZU$1000000,2204,FALSE)</f>
        <v>0</v>
      </c>
      <c r="K130" s="34">
        <f>VLOOKUP(A1,DIV_02Data!$A$1:$DZU$1000000,2205,FALSE)</f>
        <v>0</v>
      </c>
      <c r="L130" s="93">
        <f>VLOOKUP(A1,DIV_02Data!$A$1:$DZU$1000000,2206,FALSE)</f>
        <v>0</v>
      </c>
      <c r="M130" s="33">
        <f>VLOOKUP(A1,DIV_02Data!$A$1:$DZU$1000000,2207,FALSE)</f>
        <v>0</v>
      </c>
      <c r="N130" s="34">
        <f>VLOOKUP(A1,DIV_02Data!$A$1:$DZU$1000000,2208,FALSE)</f>
        <v>0</v>
      </c>
      <c r="O130" s="33">
        <f>VLOOKUP(A1,DIV_02Data!$A$1:$DZU$1000000,2209,FALSE)</f>
        <v>0</v>
      </c>
      <c r="P130" s="46">
        <f>VLOOKUP(A1,DIV_02Data!$A$1:$DZU$1000000,2210,FALSE)</f>
        <v>0</v>
      </c>
      <c r="Q130" s="33">
        <f>VLOOKUP(A1,DIV_02Data!$A$1:$DZU$1000000,2211,FALSE)</f>
        <v>0</v>
      </c>
    </row>
    <row r="131" spans="1:17" x14ac:dyDescent="0.35">
      <c r="A131" s="22">
        <f>VLOOKUP(A1,DIV_02Data!$A$1:$DZU$1000000,2212,FALSE)</f>
        <v>0</v>
      </c>
      <c r="B131" s="37">
        <f>VLOOKUP(A1,DIV_02Data!$A$1:$DZU$1000000,2213,FALSE)</f>
        <v>0</v>
      </c>
      <c r="C131" s="38">
        <f>VLOOKUP(A1,DIV_02Data!$A$1:$DZU$1000000,2214,FALSE)</f>
        <v>0</v>
      </c>
      <c r="D131" s="31">
        <f>VLOOKUP(A1,DIV_02Data!$A$1:$DZU$1000000,2215,FALSE)</f>
        <v>0</v>
      </c>
      <c r="E131" s="32">
        <f>VLOOKUP(A1,DIV_02Data!$A$1:$DZU$1000000,2216,FALSE)</f>
        <v>0</v>
      </c>
      <c r="F131" s="34">
        <f>VLOOKUP(A1,DIV_02Data!$A$1:$DZU$1000000,2217,FALSE)</f>
        <v>0</v>
      </c>
      <c r="G131" s="33">
        <f>VLOOKUP(A1,DIV_02Data!$A$1:$DZU$1000000,2218,FALSE)</f>
        <v>0</v>
      </c>
      <c r="H131" s="34">
        <f>VLOOKUP(A1,DIV_02Data!$A$1:$DZU$1000000,2219,FALSE)</f>
        <v>0</v>
      </c>
      <c r="I131" s="33">
        <f>VLOOKUP(A1,DIV_02Data!$A$1:$DZU$1000000,2220,FALSE)</f>
        <v>0</v>
      </c>
      <c r="J131" s="34">
        <f>VLOOKUP(A1,DIV_02Data!$A$1:$DZU$1000000,2221,FALSE)</f>
        <v>0</v>
      </c>
      <c r="K131" s="34">
        <f>VLOOKUP(A1,DIV_02Data!$A$1:$DZU$1000000,2222,FALSE)</f>
        <v>0</v>
      </c>
      <c r="L131" s="93">
        <f>VLOOKUP(A1,DIV_02Data!$A$1:$DZU$1000000,2223,FALSE)</f>
        <v>0</v>
      </c>
      <c r="M131" s="33">
        <f>VLOOKUP(A1,DIV_02Data!$A$1:$DZU$1000000,2224,FALSE)</f>
        <v>0</v>
      </c>
      <c r="N131" s="34">
        <f>VLOOKUP(A1,DIV_02Data!$A$1:$DZU$1000000,2225,FALSE)</f>
        <v>0</v>
      </c>
      <c r="O131" s="33">
        <f>VLOOKUP(A1,DIV_02Data!$A$1:$DZU$1000000,2226,FALSE)</f>
        <v>0</v>
      </c>
      <c r="P131" s="46">
        <f>VLOOKUP(A1,DIV_02Data!$A$1:$DZU$1000000,2227,FALSE)</f>
        <v>0</v>
      </c>
      <c r="Q131" s="33">
        <f>VLOOKUP(A1,DIV_02Data!$A$1:$DZU$1000000,2228,FALSE)</f>
        <v>0</v>
      </c>
    </row>
    <row r="132" spans="1:17" x14ac:dyDescent="0.35">
      <c r="A132" s="22">
        <f>VLOOKUP(A1,DIV_02Data!$A$1:$DZU$1000000,2229,FALSE)</f>
        <v>0</v>
      </c>
      <c r="B132" s="37">
        <f>VLOOKUP(A1,DIV_02Data!$A$1:$DZU$1000000,2230,FALSE)</f>
        <v>0</v>
      </c>
      <c r="C132" s="38">
        <f>VLOOKUP(A1,DIV_02Data!$A$1:$DZU$1000000,2231,FALSE)</f>
        <v>0</v>
      </c>
      <c r="D132" s="31">
        <f>VLOOKUP(A1,DIV_02Data!$A$1:$DZU$1000000,2232,FALSE)</f>
        <v>0</v>
      </c>
      <c r="E132" s="32">
        <f>VLOOKUP(A1,DIV_02Data!$A$1:$DZU$1000000,2233,FALSE)</f>
        <v>0</v>
      </c>
      <c r="F132" s="34">
        <f>VLOOKUP(A1,DIV_02Data!$A$1:$DZU$1000000,2234,FALSE)</f>
        <v>0</v>
      </c>
      <c r="G132" s="33">
        <f>VLOOKUP(A1,DIV_02Data!$A$1:$DZU$1000000,2235,FALSE)</f>
        <v>0</v>
      </c>
      <c r="H132" s="34">
        <f>VLOOKUP(A1,DIV_02Data!$A$1:$DZU$1000000,2236,FALSE)</f>
        <v>0</v>
      </c>
      <c r="I132" s="33">
        <f>VLOOKUP(A1,DIV_02Data!$A$1:$DZU$1000000,2237,FALSE)</f>
        <v>0</v>
      </c>
      <c r="J132" s="34">
        <f>VLOOKUP(A1,DIV_02Data!$A$1:$DZU$1000000,2238,FALSE)</f>
        <v>0</v>
      </c>
      <c r="K132" s="34">
        <f>VLOOKUP(A1,DIV_02Data!$A$1:$DZU$1000000,2239,FALSE)</f>
        <v>0</v>
      </c>
      <c r="L132" s="93">
        <f>VLOOKUP(A1,DIV_02Data!$A$1:$DZU$1000000,2240,FALSE)</f>
        <v>0</v>
      </c>
      <c r="M132" s="33">
        <f>VLOOKUP(A1,DIV_02Data!$A$1:$DZU$1000000,2241,FALSE)</f>
        <v>0</v>
      </c>
      <c r="N132" s="34">
        <f>VLOOKUP(A1,DIV_02Data!$A$1:$DZU$1000000,2242,FALSE)</f>
        <v>0</v>
      </c>
      <c r="O132" s="33">
        <f>VLOOKUP(A1,DIV_02Data!$A$1:$DZU$1000000,2243,FALSE)</f>
        <v>0</v>
      </c>
      <c r="P132" s="46">
        <f>VLOOKUP(A1,DIV_02Data!$A$1:$DZU$1000000,2244,FALSE)</f>
        <v>0</v>
      </c>
      <c r="Q132" s="33">
        <f>VLOOKUP(A1,DIV_02Data!$A$1:$DZU$1000000,2245,FALSE)</f>
        <v>0</v>
      </c>
    </row>
    <row r="133" spans="1:17" x14ac:dyDescent="0.35">
      <c r="A133" s="22">
        <f>VLOOKUP(A1,DIV_02Data!$A$1:$DZU$1000000,2246,FALSE)</f>
        <v>0</v>
      </c>
      <c r="B133" s="37">
        <f>VLOOKUP(A1,DIV_02Data!$A$1:$DZU$1000000,2247,FALSE)</f>
        <v>0</v>
      </c>
      <c r="C133" s="38">
        <f>VLOOKUP(A1,DIV_02Data!$A$1:$DZU$1000000,2248,FALSE)</f>
        <v>0</v>
      </c>
      <c r="D133" s="31">
        <f>VLOOKUP(A1,DIV_02Data!$A$1:$DZU$1000000,2249,FALSE)</f>
        <v>0</v>
      </c>
      <c r="E133" s="32">
        <f>VLOOKUP(A1,DIV_02Data!$A$1:$DZU$1000000,2250,FALSE)</f>
        <v>0</v>
      </c>
      <c r="F133" s="34">
        <f>VLOOKUP(A1,DIV_02Data!$A$1:$DZU$1000000,2251,FALSE)</f>
        <v>0</v>
      </c>
      <c r="G133" s="33">
        <f>VLOOKUP(A1,DIV_02Data!$A$1:$DZU$1000000,2252,FALSE)</f>
        <v>0</v>
      </c>
      <c r="H133" s="34">
        <f>VLOOKUP(A1,DIV_02Data!$A$1:$DZU$1000000,2253,FALSE)</f>
        <v>0</v>
      </c>
      <c r="I133" s="33">
        <f>VLOOKUP(A1,DIV_02Data!$A$1:$DZU$1000000,2254,FALSE)</f>
        <v>0</v>
      </c>
      <c r="J133" s="34">
        <f>VLOOKUP(A1,DIV_02Data!$A$1:$DZU$1000000,2255,FALSE)</f>
        <v>0</v>
      </c>
      <c r="K133" s="34">
        <f>VLOOKUP(A1,DIV_02Data!$A$1:$DZU$1000000,2256,FALSE)</f>
        <v>0</v>
      </c>
      <c r="L133" s="93">
        <f>VLOOKUP(A1,DIV_02Data!$A$1:$DZU$1000000,2257,FALSE)</f>
        <v>0</v>
      </c>
      <c r="M133" s="33">
        <f>VLOOKUP(A1,DIV_02Data!$A$1:$DZU$1000000,2258,FALSE)</f>
        <v>0</v>
      </c>
      <c r="N133" s="34">
        <f>VLOOKUP(A1,DIV_02Data!$A$1:$DZU$1000000,2259,FALSE)</f>
        <v>0</v>
      </c>
      <c r="O133" s="33">
        <f>VLOOKUP(A1,DIV_02Data!$A$1:$DZU$1000000,2260,FALSE)</f>
        <v>0</v>
      </c>
      <c r="P133" s="46">
        <f>VLOOKUP(A1,DIV_02Data!$A$1:$DZU$1000000,2261,FALSE)</f>
        <v>0</v>
      </c>
      <c r="Q133" s="33">
        <f>VLOOKUP(A1,DIV_02Data!$A$1:$DZU$1000000,2262,FALSE)</f>
        <v>0</v>
      </c>
    </row>
    <row r="134" spans="1:17" x14ac:dyDescent="0.35">
      <c r="A134" s="22">
        <f>VLOOKUP(A1,DIV_02Data!$A$1:$DZU$1000000,2263,FALSE)</f>
        <v>0</v>
      </c>
      <c r="B134" s="37">
        <f>VLOOKUP(A1,DIV_02Data!$A$1:$DZU$1000000,2264,FALSE)</f>
        <v>0</v>
      </c>
      <c r="C134" s="38">
        <f>VLOOKUP(A1,DIV_02Data!$A$1:$DZU$1000000,2265,FALSE)</f>
        <v>0</v>
      </c>
      <c r="D134" s="31">
        <f>VLOOKUP(A1,DIV_02Data!$A$1:$DZU$1000000,2266,FALSE)</f>
        <v>0</v>
      </c>
      <c r="E134" s="32">
        <f>VLOOKUP(A1,DIV_02Data!$A$1:$DZU$1000000,2267,FALSE)</f>
        <v>0</v>
      </c>
      <c r="F134" s="34">
        <f>VLOOKUP(A1,DIV_02Data!$A$1:$DZU$1000000,2268,FALSE)</f>
        <v>0</v>
      </c>
      <c r="G134" s="33">
        <f>VLOOKUP(A1,DIV_02Data!$A$1:$DZU$1000000,2269,FALSE)</f>
        <v>0</v>
      </c>
      <c r="H134" s="34">
        <f>VLOOKUP(A1,DIV_02Data!$A$1:$DZU$1000000,2270,FALSE)</f>
        <v>0</v>
      </c>
      <c r="I134" s="33">
        <f>VLOOKUP(A1,DIV_02Data!$A$1:$DZU$1000000,2271,FALSE)</f>
        <v>0</v>
      </c>
      <c r="J134" s="34">
        <f>VLOOKUP(A1,DIV_02Data!$A$1:$DZU$1000000,2272,FALSE)</f>
        <v>0</v>
      </c>
      <c r="K134" s="34">
        <f>VLOOKUP(A1,DIV_02Data!$A$1:$DZU$1000000,2273,FALSE)</f>
        <v>0</v>
      </c>
      <c r="L134" s="93">
        <f>VLOOKUP(A1,DIV_02Data!$A$1:$DZU$1000000,2274,FALSE)</f>
        <v>0</v>
      </c>
      <c r="M134" s="33">
        <f>VLOOKUP(A1,DIV_02Data!$A$1:$DZU$1000000,2275,FALSE)</f>
        <v>0</v>
      </c>
      <c r="N134" s="34">
        <f>VLOOKUP(A1,DIV_02Data!$A$1:$DZU$1000000,2276,FALSE)</f>
        <v>0</v>
      </c>
      <c r="O134" s="33">
        <f>VLOOKUP(A1,DIV_02Data!$A$1:$DZU$1000000,2277,FALSE)</f>
        <v>0</v>
      </c>
      <c r="P134" s="46">
        <f>VLOOKUP(A1,DIV_02Data!$A$1:$DZU$1000000,2278,FALSE)</f>
        <v>0</v>
      </c>
      <c r="Q134" s="33">
        <f>VLOOKUP(A1,DIV_02Data!$A$1:$DZU$1000000,2279,FALSE)</f>
        <v>0</v>
      </c>
    </row>
    <row r="135" spans="1:17" x14ac:dyDescent="0.35">
      <c r="A135" s="22">
        <f>VLOOKUP(A1,DIV_02Data!$A$1:$DZU$1000000,2280,FALSE)</f>
        <v>0</v>
      </c>
      <c r="B135" s="37">
        <f>VLOOKUP(A1,DIV_02Data!$A$1:$DZU$1000000,2281,FALSE)</f>
        <v>0</v>
      </c>
      <c r="C135" s="38">
        <f>VLOOKUP(A1,DIV_02Data!$A$1:$DZU$1000000,2282,FALSE)</f>
        <v>0</v>
      </c>
      <c r="D135" s="31">
        <f>VLOOKUP(A1,DIV_02Data!$A$1:$DZU$1000000,2283,FALSE)</f>
        <v>0</v>
      </c>
      <c r="E135" s="32">
        <f>VLOOKUP(A1,DIV_02Data!$A$1:$DZU$1000000,2284,FALSE)</f>
        <v>0</v>
      </c>
      <c r="F135" s="34">
        <f>VLOOKUP(A1,DIV_02Data!$A$1:$DZU$1000000,2285,FALSE)</f>
        <v>0</v>
      </c>
      <c r="G135" s="33">
        <f>VLOOKUP(A1,DIV_02Data!$A$1:$DZU$1000000,2286,FALSE)</f>
        <v>0</v>
      </c>
      <c r="H135" s="34">
        <f>VLOOKUP(A1,DIV_02Data!$A$1:$DZU$1000000,2287,FALSE)</f>
        <v>0</v>
      </c>
      <c r="I135" s="33">
        <f>VLOOKUP(A1,DIV_02Data!$A$1:$DZU$1000000,2288,FALSE)</f>
        <v>0</v>
      </c>
      <c r="J135" s="34">
        <f>VLOOKUP(A1,DIV_02Data!$A$1:$DZU$1000000,2289,FALSE)</f>
        <v>0</v>
      </c>
      <c r="K135" s="34">
        <f>VLOOKUP(A1,DIV_02Data!$A$1:$DZU$1000000,2290,FALSE)</f>
        <v>0</v>
      </c>
      <c r="L135" s="93">
        <f>VLOOKUP(A1,DIV_02Data!$A$1:$DZU$1000000,2291,FALSE)</f>
        <v>0</v>
      </c>
      <c r="M135" s="33">
        <f>VLOOKUP(A1,DIV_02Data!$A$1:$DZU$1000000,2292,FALSE)</f>
        <v>0</v>
      </c>
      <c r="N135" s="34">
        <f>VLOOKUP(A1,DIV_02Data!$A$1:$DZU$1000000,2293,FALSE)</f>
        <v>0</v>
      </c>
      <c r="O135" s="33">
        <f>VLOOKUP(A1,DIV_02Data!$A$1:$DZU$1000000,2294,FALSE)</f>
        <v>0</v>
      </c>
      <c r="P135" s="46">
        <f>VLOOKUP(A1,DIV_02Data!$A$1:$DZU$1000000,2295,FALSE)</f>
        <v>0</v>
      </c>
      <c r="Q135" s="33">
        <f>VLOOKUP(A1,DIV_02Data!$A$1:$DZU$1000000,2296,FALSE)</f>
        <v>0</v>
      </c>
    </row>
    <row r="136" spans="1:17" x14ac:dyDescent="0.35">
      <c r="A136" s="22">
        <f>VLOOKUP(A1,DIV_02Data!$A$1:$DZU$1000000,2297,FALSE)</f>
        <v>0</v>
      </c>
      <c r="B136" s="37">
        <f>VLOOKUP(A1,DIV_02Data!$A$1:$DZU$1000000,2298,FALSE)</f>
        <v>0</v>
      </c>
      <c r="C136" s="38">
        <f>VLOOKUP(A1,DIV_02Data!$A$1:$DZU$1000000,2299,FALSE)</f>
        <v>0</v>
      </c>
      <c r="D136" s="31">
        <f>VLOOKUP(A1,DIV_02Data!$A$1:$DZU$1000000,2300,FALSE)</f>
        <v>0</v>
      </c>
      <c r="E136" s="32">
        <f>VLOOKUP(A1,DIV_02Data!$A$1:$DZU$1000000,2301,FALSE)</f>
        <v>0</v>
      </c>
      <c r="F136" s="34">
        <f>VLOOKUP(A1,DIV_02Data!$A$1:$DZU$1000000,2302,FALSE)</f>
        <v>0</v>
      </c>
      <c r="G136" s="33">
        <f>VLOOKUP(A1,DIV_02Data!$A$1:$DZU$1000000,2303,FALSE)</f>
        <v>0</v>
      </c>
      <c r="H136" s="34">
        <f>VLOOKUP(A1,DIV_02Data!$A$1:$DZU$1000000,2304,FALSE)</f>
        <v>0</v>
      </c>
      <c r="I136" s="33">
        <f>VLOOKUP(A1,DIV_02Data!$A$1:$DZU$1000000,2305,FALSE)</f>
        <v>0</v>
      </c>
      <c r="J136" s="34">
        <f>VLOOKUP(A1,DIV_02Data!$A$1:$DZU$1000000,2306,FALSE)</f>
        <v>0</v>
      </c>
      <c r="K136" s="34">
        <f>VLOOKUP(A1,DIV_02Data!$A$1:$DZU$1000000,2307,FALSE)</f>
        <v>0</v>
      </c>
      <c r="L136" s="93">
        <f>VLOOKUP(A1,DIV_02Data!$A$1:$DZU$1000000,2308,FALSE)</f>
        <v>0</v>
      </c>
      <c r="M136" s="33">
        <f>VLOOKUP(A1,DIV_02Data!$A$1:$DZU$1000000,2309,FALSE)</f>
        <v>0</v>
      </c>
      <c r="N136" s="34">
        <f>VLOOKUP(A1,DIV_02Data!$A$1:$DZU$1000000,2310,FALSE)</f>
        <v>0</v>
      </c>
      <c r="O136" s="33">
        <f>VLOOKUP(A1,DIV_02Data!$A$1:$DZU$1000000,2311,FALSE)</f>
        <v>0</v>
      </c>
      <c r="P136" s="46">
        <f>VLOOKUP(A1,DIV_02Data!$A$1:$DZU$1000000,2312,FALSE)</f>
        <v>0</v>
      </c>
      <c r="Q136" s="33">
        <f>VLOOKUP(A1,DIV_02Data!$A$1:$DZU$1000000,2313,FALSE)</f>
        <v>0</v>
      </c>
    </row>
    <row r="137" spans="1:17" x14ac:dyDescent="0.35">
      <c r="A137" s="22">
        <f>VLOOKUP(A1,DIV_02Data!$A$1:$DZU$1000000,2314,FALSE)</f>
        <v>0</v>
      </c>
      <c r="B137" s="37">
        <f>VLOOKUP(A1,DIV_02Data!$A$1:$DZU$1000000,2315,FALSE)</f>
        <v>0</v>
      </c>
      <c r="C137" s="38">
        <f>VLOOKUP(A1,DIV_02Data!$A$1:$DZU$1000000,2316,FALSE)</f>
        <v>0</v>
      </c>
      <c r="D137" s="31">
        <f>VLOOKUP(A1,DIV_02Data!$A$1:$DZU$1000000,2317,FALSE)</f>
        <v>0</v>
      </c>
      <c r="E137" s="32">
        <f>VLOOKUP(A1,DIV_02Data!$A$1:$DZU$1000000,2318,FALSE)</f>
        <v>0</v>
      </c>
      <c r="F137" s="34">
        <f>VLOOKUP(A1,DIV_02Data!$A$1:$DZU$1000000,2319,FALSE)</f>
        <v>0</v>
      </c>
      <c r="G137" s="33">
        <f>VLOOKUP(A1,DIV_02Data!$A$1:$DZU$1000000,2320,FALSE)</f>
        <v>0</v>
      </c>
      <c r="H137" s="34">
        <f>VLOOKUP(A1,DIV_02Data!$A$1:$DZU$1000000,2321,FALSE)</f>
        <v>0</v>
      </c>
      <c r="I137" s="33">
        <f>VLOOKUP(A1,DIV_02Data!$A$1:$DZU$1000000,2322,FALSE)</f>
        <v>0</v>
      </c>
      <c r="J137" s="34">
        <f>VLOOKUP(A1,DIV_02Data!$A$1:$DZU$1000000,2323,FALSE)</f>
        <v>0</v>
      </c>
      <c r="K137" s="34">
        <f>VLOOKUP(A1,DIV_02Data!$A$1:$DZU$1000000,2324,FALSE)</f>
        <v>0</v>
      </c>
      <c r="L137" s="93">
        <f>VLOOKUP(A1,DIV_02Data!$A$1:$DZU$1000000,2325,FALSE)</f>
        <v>0</v>
      </c>
      <c r="M137" s="33">
        <f>VLOOKUP(A1,DIV_02Data!$A$1:$DZU$1000000,2326,FALSE)</f>
        <v>0</v>
      </c>
      <c r="N137" s="34">
        <f>VLOOKUP(A1,DIV_02Data!$A$1:$DZU$1000000,2327,FALSE)</f>
        <v>0</v>
      </c>
      <c r="O137" s="33">
        <f>VLOOKUP(A1,DIV_02Data!$A$1:$DZU$1000000,2328,FALSE)</f>
        <v>0</v>
      </c>
      <c r="P137" s="46">
        <f>VLOOKUP(A1,DIV_02Data!$A$1:$DZU$1000000,2329,FALSE)</f>
        <v>0</v>
      </c>
      <c r="Q137" s="33">
        <f>VLOOKUP(A1,DIV_02Data!$A$1:$DZU$1000000,2330,FALSE)</f>
        <v>0</v>
      </c>
    </row>
    <row r="138" spans="1:17" x14ac:dyDescent="0.35">
      <c r="A138" s="22">
        <f>VLOOKUP(A1,DIV_02Data!$A$1:$DZU$1000000,2331,FALSE)</f>
        <v>0</v>
      </c>
      <c r="B138" s="37">
        <f>VLOOKUP(A1,DIV_02Data!$A$1:$DZU$1000000,2332,FALSE)</f>
        <v>0</v>
      </c>
      <c r="C138" s="38">
        <f>VLOOKUP(A1,DIV_02Data!$A$1:$DZU$1000000,2333,FALSE)</f>
        <v>0</v>
      </c>
      <c r="D138" s="31">
        <f>VLOOKUP(A1,DIV_02Data!$A$1:$DZU$1000000,2334,FALSE)</f>
        <v>0</v>
      </c>
      <c r="E138" s="32">
        <f>VLOOKUP(A1,DIV_02Data!$A$1:$DZU$1000000,2335,FALSE)</f>
        <v>0</v>
      </c>
      <c r="F138" s="34">
        <f>VLOOKUP(A1,DIV_02Data!$A$1:$DZU$1000000,2336,FALSE)</f>
        <v>0</v>
      </c>
      <c r="G138" s="33">
        <f>VLOOKUP(A1,DIV_02Data!$A$1:$DZU$1000000,2337,FALSE)</f>
        <v>0</v>
      </c>
      <c r="H138" s="34">
        <f>VLOOKUP(A1,DIV_02Data!$A$1:$DZU$1000000,2338,FALSE)</f>
        <v>0</v>
      </c>
      <c r="I138" s="33">
        <f>VLOOKUP(A1,DIV_02Data!$A$1:$DZU$1000000,2339,FALSE)</f>
        <v>0</v>
      </c>
      <c r="J138" s="34">
        <f>VLOOKUP(A1,DIV_02Data!$A$1:$DZU$1000000,2340,FALSE)</f>
        <v>0</v>
      </c>
      <c r="K138" s="34">
        <f>VLOOKUP(A1,DIV_02Data!$A$1:$DZU$1000000,2341,FALSE)</f>
        <v>0</v>
      </c>
      <c r="L138" s="93">
        <f>VLOOKUP(A1,DIV_02Data!$A$1:$DZU$1000000,2342,FALSE)</f>
        <v>0</v>
      </c>
      <c r="M138" s="33">
        <f>VLOOKUP(A1,DIV_02Data!$A$1:$DZU$1000000,2343,FALSE)</f>
        <v>0</v>
      </c>
      <c r="N138" s="34">
        <f>VLOOKUP(A1,DIV_02Data!$A$1:$DZU$1000000,2344,FALSE)</f>
        <v>0</v>
      </c>
      <c r="O138" s="33">
        <f>VLOOKUP(A1,DIV_02Data!$A$1:$DZU$1000000,2345,FALSE)</f>
        <v>0</v>
      </c>
      <c r="P138" s="46">
        <f>VLOOKUP(A1,DIV_02Data!$A$1:$DZU$1000000,2346,FALSE)</f>
        <v>0</v>
      </c>
      <c r="Q138" s="33">
        <f>VLOOKUP(A1,DIV_02Data!$A$1:$DZU$1000000,2347,FALSE)</f>
        <v>0</v>
      </c>
    </row>
    <row r="139" spans="1:17" x14ac:dyDescent="0.35">
      <c r="A139" s="22">
        <f>VLOOKUP(A1,DIV_02Data!$A$1:$DZU$1000000,2348,FALSE)</f>
        <v>0</v>
      </c>
      <c r="B139" s="37">
        <f>VLOOKUP(A1,DIV_02Data!$A$1:$DZU$1000000,2349,FALSE)</f>
        <v>0</v>
      </c>
      <c r="C139" s="38">
        <f>VLOOKUP(A1,DIV_02Data!$A$1:$DZU$1000000,2350,FALSE)</f>
        <v>0</v>
      </c>
      <c r="D139" s="31">
        <f>VLOOKUP(A1,DIV_02Data!$A$1:$DZU$1000000,2351,FALSE)</f>
        <v>0</v>
      </c>
      <c r="E139" s="32">
        <f>VLOOKUP(A1,DIV_02Data!$A$1:$DZU$1000000,2352,FALSE)</f>
        <v>0</v>
      </c>
      <c r="F139" s="34">
        <f>VLOOKUP(A1,DIV_02Data!$A$1:$DZU$1000000,2353,FALSE)</f>
        <v>0</v>
      </c>
      <c r="G139" s="33">
        <f>VLOOKUP(A1,DIV_02Data!$A$1:$DZU$1000000,2354,FALSE)</f>
        <v>0</v>
      </c>
      <c r="H139" s="34">
        <f>VLOOKUP(A1,DIV_02Data!$A$1:$DZU$1000000,2355,FALSE)</f>
        <v>0</v>
      </c>
      <c r="I139" s="33">
        <f>VLOOKUP(A1,DIV_02Data!$A$1:$DZU$1000000,2356,FALSE)</f>
        <v>0</v>
      </c>
      <c r="J139" s="34">
        <f>VLOOKUP(A1,DIV_02Data!$A$1:$DZU$1000000,2357,FALSE)</f>
        <v>0</v>
      </c>
      <c r="K139" s="34">
        <f>VLOOKUP(A1,DIV_02Data!$A$1:$DZU$1000000,2358,FALSE)</f>
        <v>0</v>
      </c>
      <c r="L139" s="93">
        <f>VLOOKUP(A1,DIV_02Data!$A$1:$DZU$1000000,2359,FALSE)</f>
        <v>0</v>
      </c>
      <c r="M139" s="33">
        <f>VLOOKUP(A1,DIV_02Data!$A$1:$DZU$1000000,2360,FALSE)</f>
        <v>0</v>
      </c>
      <c r="N139" s="34">
        <f>VLOOKUP(A1,DIV_02Data!$A$1:$DZU$1000000,2361,FALSE)</f>
        <v>0</v>
      </c>
      <c r="O139" s="33">
        <f>VLOOKUP(A1,DIV_02Data!$A$1:$DZU$1000000,2362,FALSE)</f>
        <v>0</v>
      </c>
      <c r="P139" s="46">
        <f>VLOOKUP(A1,DIV_02Data!$A$1:$DZU$1000000,2363,FALSE)</f>
        <v>0</v>
      </c>
      <c r="Q139" s="33">
        <f>VLOOKUP(A1,DIV_02Data!$A$1:$DZU$1000000,2364,FALSE)</f>
        <v>0</v>
      </c>
    </row>
    <row r="140" spans="1:17" x14ac:dyDescent="0.35">
      <c r="A140" s="22">
        <f>VLOOKUP(A1,DIV_02Data!$A$1:$DZU$1000000,2365,FALSE)</f>
        <v>0</v>
      </c>
      <c r="B140" s="37">
        <f>VLOOKUP(A1,DIV_02Data!$A$1:$DZU$1000000,2366,FALSE)</f>
        <v>0</v>
      </c>
      <c r="C140" s="38">
        <f>VLOOKUP(A1,DIV_02Data!$A$1:$DZU$1000000,2367,FALSE)</f>
        <v>0</v>
      </c>
      <c r="D140" s="31">
        <f>VLOOKUP(A1,DIV_02Data!$A$1:$DZU$1000000,2368,FALSE)</f>
        <v>0</v>
      </c>
      <c r="E140" s="32">
        <f>VLOOKUP(A1,DIV_02Data!$A$1:$DZU$1000000,2369,FALSE)</f>
        <v>0</v>
      </c>
      <c r="F140" s="34">
        <f>VLOOKUP(A1,DIV_02Data!$A$1:$DZU$1000000,2370,FALSE)</f>
        <v>0</v>
      </c>
      <c r="G140" s="33">
        <f>VLOOKUP(A1,DIV_02Data!$A$1:$DZU$1000000,2371,FALSE)</f>
        <v>0</v>
      </c>
      <c r="H140" s="34">
        <f>VLOOKUP(A1,DIV_02Data!$A$1:$DZU$1000000,2372,FALSE)</f>
        <v>0</v>
      </c>
      <c r="I140" s="33">
        <f>VLOOKUP(A1,DIV_02Data!$A$1:$DZU$1000000,2373,FALSE)</f>
        <v>0</v>
      </c>
      <c r="J140" s="34">
        <f>VLOOKUP(A1,DIV_02Data!$A$1:$DZU$1000000,2374,FALSE)</f>
        <v>0</v>
      </c>
      <c r="K140" s="34">
        <f>VLOOKUP(A1,DIV_02Data!$A$1:$DZU$1000000,2375,FALSE)</f>
        <v>0</v>
      </c>
      <c r="L140" s="93">
        <f>VLOOKUP(A1,DIV_02Data!$A$1:$DZU$1000000,2376,FALSE)</f>
        <v>0</v>
      </c>
      <c r="M140" s="33">
        <f>VLOOKUP(A1,DIV_02Data!$A$1:$DZU$1000000,2377,FALSE)</f>
        <v>0</v>
      </c>
      <c r="N140" s="34">
        <f>VLOOKUP(A1,DIV_02Data!$A$1:$DZU$1000000,2378,FALSE)</f>
        <v>0</v>
      </c>
      <c r="O140" s="33">
        <f>VLOOKUP(A1,DIV_02Data!$A$1:$DZU$1000000,2379,FALSE)</f>
        <v>0</v>
      </c>
      <c r="P140" s="46">
        <f>VLOOKUP(A1,DIV_02Data!$A$1:$DZU$1000000,2380,FALSE)</f>
        <v>0</v>
      </c>
      <c r="Q140" s="33">
        <f>VLOOKUP(A1,DIV_02Data!$A$1:$DZU$1000000,2381,FALSE)</f>
        <v>0</v>
      </c>
    </row>
    <row r="141" spans="1:17" x14ac:dyDescent="0.35">
      <c r="A141" s="22">
        <f>VLOOKUP(A1,DIV_02Data!$A$1:$DZU$1000000,2382,FALSE)</f>
        <v>0</v>
      </c>
      <c r="B141" s="37">
        <f>VLOOKUP(A1,DIV_02Data!$A$1:$DZU$1000000,2383,FALSE)</f>
        <v>0</v>
      </c>
      <c r="C141" s="38">
        <f>VLOOKUP(A1,DIV_02Data!$A$1:$DZU$1000000,2384,FALSE)</f>
        <v>0</v>
      </c>
      <c r="D141" s="31">
        <f>VLOOKUP(A1,DIV_02Data!$A$1:$DZU$1000000,2385,FALSE)</f>
        <v>0</v>
      </c>
      <c r="E141" s="32">
        <f>VLOOKUP(A1,DIV_02Data!$A$1:$DZU$1000000,2386,FALSE)</f>
        <v>0</v>
      </c>
      <c r="F141" s="34">
        <f>VLOOKUP(A1,DIV_02Data!$A$1:$DZU$1000000,2387,FALSE)</f>
        <v>0</v>
      </c>
      <c r="G141" s="33">
        <f>VLOOKUP(A1,DIV_02Data!$A$1:$DZU$1000000,2388,FALSE)</f>
        <v>0</v>
      </c>
      <c r="H141" s="34">
        <f>VLOOKUP(A1,DIV_02Data!$A$1:$DZU$1000000,2389,FALSE)</f>
        <v>0</v>
      </c>
      <c r="I141" s="33">
        <f>VLOOKUP(A1,DIV_02Data!$A$1:$DZU$1000000,2390,FALSE)</f>
        <v>0</v>
      </c>
      <c r="J141" s="34">
        <f>VLOOKUP(A1,DIV_02Data!$A$1:$DZU$1000000,2391,FALSE)</f>
        <v>0</v>
      </c>
      <c r="K141" s="34">
        <f>VLOOKUP(A1,DIV_02Data!$A$1:$DZU$1000000,2392,FALSE)</f>
        <v>0</v>
      </c>
      <c r="L141" s="93">
        <f>VLOOKUP(A1,DIV_02Data!$A$1:$DZU$1000000,2393,FALSE)</f>
        <v>0</v>
      </c>
      <c r="M141" s="33">
        <f>VLOOKUP(A1,DIV_02Data!$A$1:$DZU$1000000,2394,FALSE)</f>
        <v>0</v>
      </c>
      <c r="N141" s="34">
        <f>VLOOKUP(A1,DIV_02Data!$A$1:$DZU$1000000,2395,FALSE)</f>
        <v>0</v>
      </c>
      <c r="O141" s="33">
        <f>VLOOKUP(A1,DIV_02Data!$A$1:$DZU$1000000,2396,FALSE)</f>
        <v>0</v>
      </c>
      <c r="P141" s="46">
        <f>VLOOKUP(A1,DIV_02Data!$A$1:$DZU$1000000,2397,FALSE)</f>
        <v>0</v>
      </c>
      <c r="Q141" s="33">
        <f>VLOOKUP(A1,DIV_02Data!$A$1:$DZU$1000000,2398,FALSE)</f>
        <v>0</v>
      </c>
    </row>
    <row r="142" spans="1:17" x14ac:dyDescent="0.35">
      <c r="A142" s="22">
        <f>VLOOKUP(A1,DIV_02Data!$A$1:$DZU$1000000,2399,FALSE)</f>
        <v>0</v>
      </c>
      <c r="B142" s="37">
        <f>VLOOKUP(A1,DIV_02Data!$A$1:$DZU$1000000,2400,FALSE)</f>
        <v>0</v>
      </c>
      <c r="C142" s="38">
        <f>VLOOKUP(A1,DIV_02Data!$A$1:$DZU$1000000,2401,FALSE)</f>
        <v>0</v>
      </c>
      <c r="D142" s="31">
        <f>VLOOKUP(A1,DIV_02Data!$A$1:$DZU$1000000,2402,FALSE)</f>
        <v>0</v>
      </c>
      <c r="E142" s="32">
        <f>VLOOKUP(A1,DIV_02Data!$A$1:$DZU$1000000,2403,FALSE)</f>
        <v>0</v>
      </c>
      <c r="F142" s="34">
        <f>VLOOKUP(A1,DIV_02Data!$A$1:$DZU$1000000,2404,FALSE)</f>
        <v>0</v>
      </c>
      <c r="G142" s="33">
        <f>VLOOKUP(A1,DIV_02Data!$A$1:$DZU$1000000,2405,FALSE)</f>
        <v>0</v>
      </c>
      <c r="H142" s="34">
        <f>VLOOKUP(A1,DIV_02Data!$A$1:$DZU$1000000,2406,FALSE)</f>
        <v>0</v>
      </c>
      <c r="I142" s="33">
        <f>VLOOKUP(A1,DIV_02Data!$A$1:$DZU$1000000,2407,FALSE)</f>
        <v>0</v>
      </c>
      <c r="J142" s="34">
        <f>VLOOKUP(A1,DIV_02Data!$A$1:$DZU$1000000,2408,FALSE)</f>
        <v>0</v>
      </c>
      <c r="K142" s="34">
        <f>VLOOKUP(A1,DIV_02Data!$A$1:$DZU$1000000,2409,FALSE)</f>
        <v>0</v>
      </c>
      <c r="L142" s="93">
        <f>VLOOKUP(A1,DIV_02Data!$A$1:$DZU$1000000,2410,FALSE)</f>
        <v>0</v>
      </c>
      <c r="M142" s="33">
        <f>VLOOKUP(A1,DIV_02Data!$A$1:$DZU$1000000,2411,FALSE)</f>
        <v>0</v>
      </c>
      <c r="N142" s="34">
        <f>VLOOKUP(A1,DIV_02Data!$A$1:$DZU$1000000,2412,FALSE)</f>
        <v>0</v>
      </c>
      <c r="O142" s="33">
        <f>VLOOKUP(A1,DIV_02Data!$A$1:$DZU$1000000,2413,FALSE)</f>
        <v>0</v>
      </c>
      <c r="P142" s="46">
        <f>VLOOKUP(A1,DIV_02Data!$A$1:$DZU$1000000,2414,FALSE)</f>
        <v>0</v>
      </c>
      <c r="Q142" s="33">
        <f>VLOOKUP(A1,DIV_02Data!$A$1:$DZU$1000000,2415,FALSE)</f>
        <v>0</v>
      </c>
    </row>
    <row r="143" spans="1:17" x14ac:dyDescent="0.35">
      <c r="A143" s="22">
        <f>VLOOKUP(A1,DIV_02Data!$A$1:$DZU$1000000,2416,FALSE)</f>
        <v>0</v>
      </c>
      <c r="B143" s="37">
        <f>VLOOKUP(A1,DIV_02Data!$A$1:$DZU$1000000,2417,FALSE)</f>
        <v>0</v>
      </c>
      <c r="C143" s="38">
        <f>VLOOKUP(A1,DIV_02Data!$A$1:$DZU$1000000,2418,FALSE)</f>
        <v>0</v>
      </c>
      <c r="D143" s="31">
        <f>VLOOKUP(A1,DIV_02Data!$A$1:$DZU$1000000,2419,FALSE)</f>
        <v>0</v>
      </c>
      <c r="E143" s="32">
        <f>VLOOKUP(A1,DIV_02Data!$A$1:$DZU$1000000,2420,FALSE)</f>
        <v>0</v>
      </c>
      <c r="F143" s="34">
        <f>VLOOKUP(A1,DIV_02Data!$A$1:$DZU$1000000,2421,FALSE)</f>
        <v>0</v>
      </c>
      <c r="G143" s="33">
        <f>VLOOKUP(A1,DIV_02Data!$A$1:$DZU$1000000,2422,FALSE)</f>
        <v>0</v>
      </c>
      <c r="H143" s="34">
        <f>VLOOKUP(A1,DIV_02Data!$A$1:$DZU$1000000,2423,FALSE)</f>
        <v>0</v>
      </c>
      <c r="I143" s="33">
        <f>VLOOKUP(A1,DIV_02Data!$A$1:$DZU$1000000,2424,FALSE)</f>
        <v>0</v>
      </c>
      <c r="J143" s="34">
        <f>VLOOKUP(A1,DIV_02Data!$A$1:$DZU$1000000,2425,FALSE)</f>
        <v>0</v>
      </c>
      <c r="K143" s="34">
        <f>VLOOKUP(A1,DIV_02Data!$A$1:$DZU$1000000,2426,FALSE)</f>
        <v>0</v>
      </c>
      <c r="L143" s="93">
        <f>VLOOKUP(A1,DIV_02Data!$A$1:$DZU$1000000,2427,FALSE)</f>
        <v>0</v>
      </c>
      <c r="M143" s="33">
        <f>VLOOKUP(A1,DIV_02Data!$A$1:$DZU$1000000,2428,FALSE)</f>
        <v>0</v>
      </c>
      <c r="N143" s="34">
        <f>VLOOKUP(A1,DIV_02Data!$A$1:$DZU$1000000,2429,FALSE)</f>
        <v>0</v>
      </c>
      <c r="O143" s="33">
        <f>VLOOKUP(A1,DIV_02Data!$A$1:$DZU$1000000,2430,FALSE)</f>
        <v>0</v>
      </c>
      <c r="P143" s="46">
        <f>VLOOKUP(A1,DIV_02Data!$A$1:$DZU$1000000,2431,FALSE)</f>
        <v>0</v>
      </c>
      <c r="Q143" s="33">
        <f>VLOOKUP(A1,DIV_02Data!$A$1:$DZU$1000000,2432,FALSE)</f>
        <v>0</v>
      </c>
    </row>
    <row r="144" spans="1:17" x14ac:dyDescent="0.35">
      <c r="A144" s="22">
        <f>VLOOKUP(A1,DIV_02Data!$A$1:$DZU$1000000,2433,FALSE)</f>
        <v>0</v>
      </c>
      <c r="B144" s="37">
        <f>VLOOKUP(A1,DIV_02Data!$A$1:$DZU$1000000,2434,FALSE)</f>
        <v>0</v>
      </c>
      <c r="C144" s="38">
        <f>VLOOKUP(A1,DIV_02Data!$A$1:$DZU$1000000,2435,FALSE)</f>
        <v>0</v>
      </c>
      <c r="D144" s="31">
        <f>VLOOKUP(A1,DIV_02Data!$A$1:$DZU$1000000,2436,FALSE)</f>
        <v>0</v>
      </c>
      <c r="E144" s="32">
        <f>VLOOKUP(A1,DIV_02Data!$A$1:$DZU$1000000,2437,FALSE)</f>
        <v>0</v>
      </c>
      <c r="F144" s="34">
        <f>VLOOKUP(A1,DIV_02Data!$A$1:$DZU$1000000,2438,FALSE)</f>
        <v>0</v>
      </c>
      <c r="G144" s="33">
        <f>VLOOKUP(A1,DIV_02Data!$A$1:$DZU$1000000,2439,FALSE)</f>
        <v>0</v>
      </c>
      <c r="H144" s="34">
        <f>VLOOKUP(A1,DIV_02Data!$A$1:$DZU$1000000,2440,FALSE)</f>
        <v>0</v>
      </c>
      <c r="I144" s="33">
        <f>VLOOKUP(A1,DIV_02Data!$A$1:$DZU$1000000,2441,FALSE)</f>
        <v>0</v>
      </c>
      <c r="J144" s="34">
        <f>VLOOKUP(A1,DIV_02Data!$A$1:$DZU$1000000,2442,FALSE)</f>
        <v>0</v>
      </c>
      <c r="K144" s="34">
        <f>VLOOKUP(A1,DIV_02Data!$A$1:$DZU$1000000,2443,FALSE)</f>
        <v>0</v>
      </c>
      <c r="L144" s="93">
        <f>VLOOKUP(A1,DIV_02Data!$A$1:$DZU$1000000,2444,FALSE)</f>
        <v>0</v>
      </c>
      <c r="M144" s="33">
        <f>VLOOKUP(A1,DIV_02Data!$A$1:$DZU$1000000,2445,FALSE)</f>
        <v>0</v>
      </c>
      <c r="N144" s="34">
        <f>VLOOKUP(A1,DIV_02Data!$A$1:$DZU$1000000,2446,FALSE)</f>
        <v>0</v>
      </c>
      <c r="O144" s="33">
        <f>VLOOKUP(A1,DIV_02Data!$A$1:$DZU$1000000,2447,FALSE)</f>
        <v>0</v>
      </c>
      <c r="P144" s="46">
        <f>VLOOKUP(A1,DIV_02Data!$A$1:$DZU$1000000,2448,FALSE)</f>
        <v>0</v>
      </c>
      <c r="Q144" s="33">
        <f>VLOOKUP(A1,DIV_02Data!$A$1:$DZU$1000000,2449,FALSE)</f>
        <v>0</v>
      </c>
    </row>
    <row r="145" spans="1:17" x14ac:dyDescent="0.35">
      <c r="A145" s="22">
        <f>VLOOKUP(A1,DIV_02Data!$A$1:$DZU$1000000,2450,FALSE)</f>
        <v>0</v>
      </c>
      <c r="B145" s="37">
        <f>VLOOKUP(A1,DIV_02Data!$A$1:$DZU$1000000,2451,FALSE)</f>
        <v>0</v>
      </c>
      <c r="C145" s="38">
        <f>VLOOKUP(A1,DIV_02Data!$A$1:$DZU$1000000,2452,FALSE)</f>
        <v>0</v>
      </c>
      <c r="D145" s="31">
        <f>VLOOKUP(A1,DIV_02Data!$A$1:$DZU$1000000,2453,FALSE)</f>
        <v>0</v>
      </c>
      <c r="E145" s="32">
        <f>VLOOKUP(A1,DIV_02Data!$A$1:$DZU$1000000,2454,FALSE)</f>
        <v>0</v>
      </c>
      <c r="F145" s="34">
        <f>VLOOKUP(A1,DIV_02Data!$A$1:$DZU$1000000,2455,FALSE)</f>
        <v>0</v>
      </c>
      <c r="G145" s="33">
        <f>VLOOKUP(A1,DIV_02Data!$A$1:$DZU$1000000,2456,FALSE)</f>
        <v>0</v>
      </c>
      <c r="H145" s="34">
        <f>VLOOKUP(A1,DIV_02Data!$A$1:$DZU$1000000,2457,FALSE)</f>
        <v>0</v>
      </c>
      <c r="I145" s="33">
        <f>VLOOKUP(A1,DIV_02Data!$A$1:$DZU$1000000,2458,FALSE)</f>
        <v>0</v>
      </c>
      <c r="J145" s="34">
        <f>VLOOKUP(A1,DIV_02Data!$A$1:$DZU$1000000,2459,FALSE)</f>
        <v>0</v>
      </c>
      <c r="K145" s="34">
        <f>VLOOKUP(A1,DIV_02Data!$A$1:$DZU$1000000,2460,FALSE)</f>
        <v>0</v>
      </c>
      <c r="L145" s="93">
        <f>VLOOKUP(A1,DIV_02Data!$A$1:$DZU$1000000,2461,FALSE)</f>
        <v>0</v>
      </c>
      <c r="M145" s="33">
        <f>VLOOKUP(A1,DIV_02Data!$A$1:$DZU$1000000,2462,FALSE)</f>
        <v>0</v>
      </c>
      <c r="N145" s="34">
        <f>VLOOKUP(A1,DIV_02Data!$A$1:$DZU$1000000,2463,FALSE)</f>
        <v>0</v>
      </c>
      <c r="O145" s="33">
        <f>VLOOKUP(A1,DIV_02Data!$A$1:$DZU$1000000,2464,FALSE)</f>
        <v>0</v>
      </c>
      <c r="P145" s="46">
        <f>VLOOKUP(A1,DIV_02Data!$A$1:$DZU$1000000,2465,FALSE)</f>
        <v>0</v>
      </c>
      <c r="Q145" s="33">
        <f>VLOOKUP(A1,DIV_02Data!$A$1:$DZU$1000000,2466,FALSE)</f>
        <v>0</v>
      </c>
    </row>
    <row r="146" spans="1:17" x14ac:dyDescent="0.35">
      <c r="A146" s="22">
        <f>VLOOKUP(A1,DIV_02Data!$A$1:$DZU$1000000,2467,FALSE)</f>
        <v>0</v>
      </c>
      <c r="B146" s="37">
        <f>VLOOKUP(A1,DIV_02Data!$A$1:$DZU$1000000,2468,FALSE)</f>
        <v>0</v>
      </c>
      <c r="C146" s="38">
        <f>VLOOKUP(A1,DIV_02Data!$A$1:$DZU$1000000,2469,FALSE)</f>
        <v>0</v>
      </c>
      <c r="D146" s="31">
        <f>VLOOKUP(A1,DIV_02Data!$A$1:$DZU$1000000,2470,FALSE)</f>
        <v>0</v>
      </c>
      <c r="E146" s="32">
        <f>VLOOKUP(A1,DIV_02Data!$A$1:$DZU$1000000,2471,FALSE)</f>
        <v>0</v>
      </c>
      <c r="F146" s="34">
        <f>VLOOKUP(A1,DIV_02Data!$A$1:$DZU$1000000,2472,FALSE)</f>
        <v>0</v>
      </c>
      <c r="G146" s="33">
        <f>VLOOKUP(A1,DIV_02Data!$A$1:$DZU$1000000,2473,FALSE)</f>
        <v>0</v>
      </c>
      <c r="H146" s="34">
        <f>VLOOKUP(A1,DIV_02Data!$A$1:$DZU$1000000,2474,FALSE)</f>
        <v>0</v>
      </c>
      <c r="I146" s="33">
        <f>VLOOKUP(A1,DIV_02Data!$A$1:$DZU$1000000,2475,FALSE)</f>
        <v>0</v>
      </c>
      <c r="J146" s="34">
        <f>VLOOKUP(A1,DIV_02Data!$A$1:$DZU$1000000,2476,FALSE)</f>
        <v>0</v>
      </c>
      <c r="K146" s="34">
        <f>VLOOKUP(A1,DIV_02Data!$A$1:$DZU$1000000,2477,FALSE)</f>
        <v>0</v>
      </c>
      <c r="L146" s="93">
        <f>VLOOKUP(A1,DIV_02Data!$A$1:$DZU$1000000,2478,FALSE)</f>
        <v>0</v>
      </c>
      <c r="M146" s="33">
        <f>VLOOKUP(A1,DIV_02Data!$A$1:$DZU$1000000,2479,FALSE)</f>
        <v>0</v>
      </c>
      <c r="N146" s="34">
        <f>VLOOKUP(A1,DIV_02Data!$A$1:$DZU$1000000,2480,FALSE)</f>
        <v>0</v>
      </c>
      <c r="O146" s="33">
        <f>VLOOKUP(A1,DIV_02Data!$A$1:$DZU$1000000,2481,FALSE)</f>
        <v>0</v>
      </c>
      <c r="P146" s="46">
        <f>VLOOKUP(A1,DIV_02Data!$A$1:$DZU$1000000,2482,FALSE)</f>
        <v>0</v>
      </c>
      <c r="Q146" s="33">
        <f>VLOOKUP(A1,DIV_02Data!$A$1:$DZU$1000000,2483,FALSE)</f>
        <v>0</v>
      </c>
    </row>
    <row r="147" spans="1:17" x14ac:dyDescent="0.35">
      <c r="A147" s="22">
        <f>VLOOKUP(A1,DIV_02Data!$A$1:$DZU$1000000,2484,FALSE)</f>
        <v>0</v>
      </c>
      <c r="B147" s="37">
        <f>VLOOKUP(A1,DIV_02Data!$A$1:$DZU$1000000,2485,FALSE)</f>
        <v>0</v>
      </c>
      <c r="C147" s="38">
        <f>VLOOKUP(A1,DIV_02Data!$A$1:$DZU$1000000,2486,FALSE)</f>
        <v>0</v>
      </c>
      <c r="D147" s="31">
        <f>VLOOKUP(A1,DIV_02Data!$A$1:$DZU$1000000,2487,FALSE)</f>
        <v>0</v>
      </c>
      <c r="E147" s="32">
        <f>VLOOKUP(A1,DIV_02Data!$A$1:$DZU$1000000,2488,FALSE)</f>
        <v>0</v>
      </c>
      <c r="F147" s="34">
        <f>VLOOKUP(A1,DIV_02Data!$A$1:$DZU$1000000,2489,FALSE)</f>
        <v>0</v>
      </c>
      <c r="G147" s="33">
        <f>VLOOKUP(A1,DIV_02Data!$A$1:$DZU$1000000,2490,FALSE)</f>
        <v>0</v>
      </c>
      <c r="H147" s="34">
        <f>VLOOKUP(A1,DIV_02Data!$A$1:$DZU$1000000,2491,FALSE)</f>
        <v>0</v>
      </c>
      <c r="I147" s="33">
        <f>VLOOKUP(A1,DIV_02Data!$A$1:$DZU$1000000,2492,FALSE)</f>
        <v>0</v>
      </c>
      <c r="J147" s="34">
        <f>VLOOKUP(A1,DIV_02Data!$A$1:$DZU$1000000,2493,FALSE)</f>
        <v>0</v>
      </c>
      <c r="K147" s="34">
        <f>VLOOKUP(A1,DIV_02Data!$A$1:$DZU$1000000,2494,FALSE)</f>
        <v>0</v>
      </c>
      <c r="L147" s="93">
        <f>VLOOKUP(A1,DIV_02Data!$A$1:$DZU$1000000,2495,FALSE)</f>
        <v>0</v>
      </c>
      <c r="M147" s="33">
        <f>VLOOKUP(A1,DIV_02Data!$A$1:$DZU$1000000,2496,FALSE)</f>
        <v>0</v>
      </c>
      <c r="N147" s="34">
        <f>VLOOKUP(A1,DIV_02Data!$A$1:$DZU$1000000,2497,FALSE)</f>
        <v>0</v>
      </c>
      <c r="O147" s="33">
        <f>VLOOKUP(A1,DIV_02Data!$A$1:$DZU$1000000,2498,FALSE)</f>
        <v>0</v>
      </c>
      <c r="P147" s="46">
        <f>VLOOKUP(A1,DIV_02Data!$A$1:$DZU$1000000,2499,FALSE)</f>
        <v>0</v>
      </c>
      <c r="Q147" s="33">
        <f>VLOOKUP(A1,DIV_02Data!$A$1:$DZU$1000000,2500,FALSE)</f>
        <v>0</v>
      </c>
    </row>
    <row r="148" spans="1:17" x14ac:dyDescent="0.35">
      <c r="A148" s="22">
        <f>VLOOKUP(A1,DIV_02Data!$A$1:$DZU$1000000,2501,FALSE)</f>
        <v>0</v>
      </c>
      <c r="B148" s="37">
        <f>VLOOKUP(A1,DIV_02Data!$A$1:$DZU$1000000,2502,FALSE)</f>
        <v>0</v>
      </c>
      <c r="C148" s="38">
        <f>VLOOKUP(A1,DIV_02Data!$A$1:$DZU$1000000,2503,FALSE)</f>
        <v>0</v>
      </c>
      <c r="D148" s="31">
        <f>VLOOKUP(A1,DIV_02Data!$A$1:$DZU$1000000,2504,FALSE)</f>
        <v>0</v>
      </c>
      <c r="E148" s="32">
        <f>VLOOKUP(A1,DIV_02Data!$A$1:$DZU$1000000,2505,FALSE)</f>
        <v>0</v>
      </c>
      <c r="F148" s="34">
        <f>VLOOKUP(A1,DIV_02Data!$A$1:$DZU$1000000,2506,FALSE)</f>
        <v>0</v>
      </c>
      <c r="G148" s="33">
        <f>VLOOKUP(A1,DIV_02Data!$A$1:$DZU$1000000,2507,FALSE)</f>
        <v>0</v>
      </c>
      <c r="H148" s="34">
        <f>VLOOKUP(A1,DIV_02Data!$A$1:$DZU$1000000,2508,FALSE)</f>
        <v>0</v>
      </c>
      <c r="I148" s="33">
        <f>VLOOKUP(A1,DIV_02Data!$A$1:$DZU$1000000,2509,FALSE)</f>
        <v>0</v>
      </c>
      <c r="J148" s="34">
        <f>VLOOKUP(A1,DIV_02Data!$A$1:$DZU$1000000,2510,FALSE)</f>
        <v>0</v>
      </c>
      <c r="K148" s="34">
        <f>VLOOKUP(A1,DIV_02Data!$A$1:$DZU$1000000,2511,FALSE)</f>
        <v>0</v>
      </c>
      <c r="L148" s="93">
        <f>VLOOKUP(A1,DIV_02Data!$A$1:$DZU$1000000,2512,FALSE)</f>
        <v>0</v>
      </c>
      <c r="M148" s="33">
        <f>VLOOKUP(A1,DIV_02Data!$A$1:$DZU$1000000,2513,FALSE)</f>
        <v>0</v>
      </c>
      <c r="N148" s="34">
        <f>VLOOKUP(A1,DIV_02Data!$A$1:$DZU$1000000,2514,FALSE)</f>
        <v>0</v>
      </c>
      <c r="O148" s="33">
        <f>VLOOKUP(A1,DIV_02Data!$A$1:$DZU$1000000,2515,FALSE)</f>
        <v>0</v>
      </c>
      <c r="P148" s="46">
        <f>VLOOKUP(A1,DIV_02Data!$A$1:$DZU$1000000,2516,FALSE)</f>
        <v>0</v>
      </c>
      <c r="Q148" s="33">
        <f>VLOOKUP(A1,DIV_02Data!$A$1:$DZU$1000000,2517,FALSE)</f>
        <v>0</v>
      </c>
    </row>
    <row r="149" spans="1:17" x14ac:dyDescent="0.35">
      <c r="A149" s="22">
        <f>VLOOKUP(A1,DIV_02Data!$A$1:$DZU$1000000,2518,FALSE)</f>
        <v>0</v>
      </c>
      <c r="B149" s="37">
        <f>VLOOKUP(A1,DIV_02Data!$A$1:$DZU$1000000,2519,FALSE)</f>
        <v>0</v>
      </c>
      <c r="C149" s="38">
        <f>VLOOKUP(A1,DIV_02Data!$A$1:$DZU$1000000,2520,FALSE)</f>
        <v>0</v>
      </c>
      <c r="D149" s="31">
        <f>VLOOKUP(A1,DIV_02Data!$A$1:$DZU$1000000,2521,FALSE)</f>
        <v>0</v>
      </c>
      <c r="E149" s="32">
        <f>VLOOKUP(A1,DIV_02Data!$A$1:$DZU$1000000,2522,FALSE)</f>
        <v>0</v>
      </c>
      <c r="F149" s="34">
        <f>VLOOKUP(A1,DIV_02Data!$A$1:$DZU$1000000,2523,FALSE)</f>
        <v>0</v>
      </c>
      <c r="G149" s="33">
        <f>VLOOKUP(A1,DIV_02Data!$A$1:$DZU$1000000,2524,FALSE)</f>
        <v>0</v>
      </c>
      <c r="H149" s="34">
        <f>VLOOKUP(A1,DIV_02Data!$A$1:$DZU$1000000,2525,FALSE)</f>
        <v>0</v>
      </c>
      <c r="I149" s="33">
        <f>VLOOKUP(A1,DIV_02Data!$A$1:$DZU$1000000,2526,FALSE)</f>
        <v>0</v>
      </c>
      <c r="J149" s="34">
        <f>VLOOKUP(A1,DIV_02Data!$A$1:$DZU$1000000,2527,FALSE)</f>
        <v>0</v>
      </c>
      <c r="K149" s="34">
        <f>VLOOKUP(A1,DIV_02Data!$A$1:$DZU$1000000,2528,FALSE)</f>
        <v>0</v>
      </c>
      <c r="L149" s="93">
        <f>VLOOKUP(A1,DIV_02Data!$A$1:$DZU$1000000,2529,FALSE)</f>
        <v>0</v>
      </c>
      <c r="M149" s="33">
        <f>VLOOKUP(A1,DIV_02Data!$A$1:$DZU$1000000,2530,FALSE)</f>
        <v>0</v>
      </c>
      <c r="N149" s="34">
        <f>VLOOKUP(A1,DIV_02Data!$A$1:$DZU$1000000,2531,FALSE)</f>
        <v>0</v>
      </c>
      <c r="O149" s="33">
        <f>VLOOKUP(A1,DIV_02Data!$A$1:$DZU$1000000,2532,FALSE)</f>
        <v>0</v>
      </c>
      <c r="P149" s="46">
        <f>VLOOKUP(A1,DIV_02Data!$A$1:$DZU$1000000,2533,FALSE)</f>
        <v>0</v>
      </c>
      <c r="Q149" s="33">
        <f>VLOOKUP(A1,DIV_02Data!$A$1:$DZU$1000000,2534,FALSE)</f>
        <v>0</v>
      </c>
    </row>
    <row r="150" spans="1:17" x14ac:dyDescent="0.35">
      <c r="A150" s="22">
        <f>VLOOKUP(A1,DIV_02Data!$A$1:$DZU$1000000,2535,FALSE)</f>
        <v>0</v>
      </c>
      <c r="B150" s="37">
        <f>VLOOKUP(A1,DIV_02Data!$A$1:$DZU$1000000,2536,FALSE)</f>
        <v>0</v>
      </c>
      <c r="C150" s="38">
        <f>VLOOKUP(A1,DIV_02Data!$A$1:$DZU$1000000,2537,FALSE)</f>
        <v>0</v>
      </c>
      <c r="D150" s="31">
        <f>VLOOKUP(A1,DIV_02Data!$A$1:$DZU$1000000,2538,FALSE)</f>
        <v>0</v>
      </c>
      <c r="E150" s="32">
        <f>VLOOKUP(A1,DIV_02Data!$A$1:$DZU$1000000,2539,FALSE)</f>
        <v>0</v>
      </c>
      <c r="F150" s="34">
        <f>VLOOKUP(A1,DIV_02Data!$A$1:$DZU$1000000,2540,FALSE)</f>
        <v>0</v>
      </c>
      <c r="G150" s="33">
        <f>VLOOKUP(A1,DIV_02Data!$A$1:$DZU$1000000,2541,FALSE)</f>
        <v>0</v>
      </c>
      <c r="H150" s="34">
        <f>VLOOKUP(A1,DIV_02Data!$A$1:$DZU$1000000,2542,FALSE)</f>
        <v>0</v>
      </c>
      <c r="I150" s="33">
        <f>VLOOKUP(A1,DIV_02Data!$A$1:$DZU$1000000,2543,FALSE)</f>
        <v>0</v>
      </c>
      <c r="J150" s="34">
        <f>VLOOKUP(A1,DIV_02Data!$A$1:$DZU$1000000,2544,FALSE)</f>
        <v>0</v>
      </c>
      <c r="K150" s="34">
        <f>VLOOKUP(A1,DIV_02Data!$A$1:$DZU$1000000,2545,FALSE)</f>
        <v>0</v>
      </c>
      <c r="L150" s="93">
        <f>VLOOKUP(A1,DIV_02Data!$A$1:$DZU$1000000,2546,FALSE)</f>
        <v>0</v>
      </c>
      <c r="M150" s="33">
        <f>VLOOKUP(A1,DIV_02Data!$A$1:$DZU$1000000,2547,FALSE)</f>
        <v>0</v>
      </c>
      <c r="N150" s="34">
        <f>VLOOKUP(A1,DIV_02Data!$A$1:$DZU$1000000,2548,FALSE)</f>
        <v>0</v>
      </c>
      <c r="O150" s="33">
        <f>VLOOKUP(A1,DIV_02Data!$A$1:$DZU$1000000,2549,FALSE)</f>
        <v>0</v>
      </c>
      <c r="P150" s="46">
        <f>VLOOKUP(A1,DIV_02Data!$A$1:$DZU$1000000,2550,FALSE)</f>
        <v>0</v>
      </c>
      <c r="Q150" s="33">
        <f>VLOOKUP(A1,DIV_02Data!$A$1:$DZU$1000000,2551,FALSE)</f>
        <v>0</v>
      </c>
    </row>
    <row r="151" spans="1:17" x14ac:dyDescent="0.35">
      <c r="A151" s="22">
        <f>VLOOKUP(A1,DIV_02Data!$A$1:$DZU$1000000,2552,FALSE)</f>
        <v>0</v>
      </c>
      <c r="B151" s="37">
        <f>VLOOKUP(A1,DIV_02Data!$A$1:$DZU$1000000,2553,FALSE)</f>
        <v>0</v>
      </c>
      <c r="C151" s="38">
        <f>VLOOKUP(A1,DIV_02Data!$A$1:$DZU$1000000,2554,FALSE)</f>
        <v>0</v>
      </c>
      <c r="D151" s="31">
        <f>VLOOKUP(A1,DIV_02Data!$A$1:$DZU$1000000,2555,FALSE)</f>
        <v>0</v>
      </c>
      <c r="E151" s="32">
        <f>VLOOKUP(A1,DIV_02Data!$A$1:$DZU$1000000,2556,FALSE)</f>
        <v>0</v>
      </c>
      <c r="F151" s="34">
        <f>VLOOKUP(A1,DIV_02Data!$A$1:$DZU$1000000,2557,FALSE)</f>
        <v>0</v>
      </c>
      <c r="G151" s="33">
        <f>VLOOKUP(A1,DIV_02Data!$A$1:$DZU$1000000,2558,FALSE)</f>
        <v>0</v>
      </c>
      <c r="H151" s="34">
        <f>VLOOKUP(A1,DIV_02Data!$A$1:$DZU$1000000,2559,FALSE)</f>
        <v>0</v>
      </c>
      <c r="I151" s="33">
        <f>VLOOKUP(A1,DIV_02Data!$A$1:$DZU$1000000,2560,FALSE)</f>
        <v>0</v>
      </c>
      <c r="J151" s="34">
        <f>VLOOKUP(A1,DIV_02Data!$A$1:$DZU$1000000,2561,FALSE)</f>
        <v>0</v>
      </c>
      <c r="K151" s="34">
        <f>VLOOKUP(A1,DIV_02Data!$A$1:$DZU$1000000,2562,FALSE)</f>
        <v>0</v>
      </c>
      <c r="L151" s="93">
        <f>VLOOKUP(A1,DIV_02Data!$A$1:$DZU$1000000,2563,FALSE)</f>
        <v>0</v>
      </c>
      <c r="M151" s="33">
        <f>VLOOKUP(A1,DIV_02Data!$A$1:$DZU$1000000,2564,FALSE)</f>
        <v>0</v>
      </c>
      <c r="N151" s="34">
        <f>VLOOKUP(A1,DIV_02Data!$A$1:$DZU$1000000,2565,FALSE)</f>
        <v>0</v>
      </c>
      <c r="O151" s="33">
        <f>VLOOKUP(A1,DIV_02Data!$A$1:$DZU$1000000,2566,FALSE)</f>
        <v>0</v>
      </c>
      <c r="P151" s="46">
        <f>VLOOKUP(A1,DIV_02Data!$A$1:$DZU$1000000,2567,FALSE)</f>
        <v>0</v>
      </c>
      <c r="Q151" s="33">
        <f>VLOOKUP(A1,DIV_02Data!$A$1:$DZU$1000000,2568,FALSE)</f>
        <v>0</v>
      </c>
    </row>
    <row r="152" spans="1:17" x14ac:dyDescent="0.35">
      <c r="A152" s="22">
        <f>VLOOKUP(A1,DIV_02Data!$A$1:$DZU$1000000,2569,FALSE)</f>
        <v>0</v>
      </c>
      <c r="B152" s="37">
        <f>VLOOKUP(A1,DIV_02Data!$A$1:$DZU$1000000,2570,FALSE)</f>
        <v>0</v>
      </c>
      <c r="C152" s="38">
        <f>VLOOKUP(A1,DIV_02Data!$A$1:$DZU$1000000,2571,FALSE)</f>
        <v>0</v>
      </c>
      <c r="D152" s="31">
        <f>VLOOKUP(A1,DIV_02Data!$A$1:$DZU$1000000,2572,FALSE)</f>
        <v>0</v>
      </c>
      <c r="E152" s="32">
        <f>VLOOKUP(A1,DIV_02Data!$A$1:$DZU$1000000,2573,FALSE)</f>
        <v>0</v>
      </c>
      <c r="F152" s="34">
        <f>VLOOKUP(A1,DIV_02Data!$A$1:$DZU$1000000,2574,FALSE)</f>
        <v>0</v>
      </c>
      <c r="G152" s="33">
        <f>VLOOKUP(A1,DIV_02Data!$A$1:$DZU$1000000,2575,FALSE)</f>
        <v>0</v>
      </c>
      <c r="H152" s="34">
        <f>VLOOKUP(A1,DIV_02Data!$A$1:$DZU$1000000,2576,FALSE)</f>
        <v>0</v>
      </c>
      <c r="I152" s="33">
        <f>VLOOKUP(A1,DIV_02Data!$A$1:$DZU$1000000,2577,FALSE)</f>
        <v>0</v>
      </c>
      <c r="J152" s="34">
        <f>VLOOKUP(A1,DIV_02Data!$A$1:$DZU$1000000,2578,FALSE)</f>
        <v>0</v>
      </c>
      <c r="K152" s="34">
        <f>VLOOKUP(A1,DIV_02Data!$A$1:$DZU$1000000,2579,FALSE)</f>
        <v>0</v>
      </c>
      <c r="L152" s="93">
        <f>VLOOKUP(A1,DIV_02Data!$A$1:$DZU$1000000,2580,FALSE)</f>
        <v>0</v>
      </c>
      <c r="M152" s="33">
        <f>VLOOKUP(A1,DIV_02Data!$A$1:$DZU$1000000,2581,FALSE)</f>
        <v>0</v>
      </c>
      <c r="N152" s="34">
        <f>VLOOKUP(A1,DIV_02Data!$A$1:$DZU$1000000,2582,FALSE)</f>
        <v>0</v>
      </c>
      <c r="O152" s="33">
        <f>VLOOKUP(A1,DIV_02Data!$A$1:$DZU$1000000,2583,FALSE)</f>
        <v>0</v>
      </c>
      <c r="P152" s="46">
        <f>VLOOKUP(A1,DIV_02Data!$A$1:$DZU$1000000,2584,FALSE)</f>
        <v>0</v>
      </c>
      <c r="Q152" s="33">
        <f>VLOOKUP(A1,DIV_02Data!$A$1:$DZU$1000000,2585,FALSE)</f>
        <v>0</v>
      </c>
    </row>
    <row r="153" spans="1:17" x14ac:dyDescent="0.35">
      <c r="A153" s="22">
        <f>VLOOKUP(A1,DIV_02Data!$A$1:$DZU$1000000,2586,FALSE)</f>
        <v>0</v>
      </c>
      <c r="B153" s="37">
        <f>VLOOKUP(A1,DIV_02Data!$A$1:$DZU$1000000,2587,FALSE)</f>
        <v>0</v>
      </c>
      <c r="C153" s="38">
        <f>VLOOKUP(A1,DIV_02Data!$A$1:$DZU$1000000,2588,FALSE)</f>
        <v>0</v>
      </c>
      <c r="D153" s="31">
        <f>VLOOKUP(A1,DIV_02Data!$A$1:$DZU$1000000,2589,FALSE)</f>
        <v>0</v>
      </c>
      <c r="E153" s="32">
        <f>VLOOKUP(A1,DIV_02Data!$A$1:$DZU$1000000,2590,FALSE)</f>
        <v>0</v>
      </c>
      <c r="F153" s="34">
        <f>VLOOKUP(A1,DIV_02Data!$A$1:$DZU$1000000,2591,FALSE)</f>
        <v>0</v>
      </c>
      <c r="G153" s="33">
        <f>VLOOKUP(A1,DIV_02Data!$A$1:$DZU$1000000,2592,FALSE)</f>
        <v>0</v>
      </c>
      <c r="H153" s="34">
        <f>VLOOKUP(A1,DIV_02Data!$A$1:$DZU$1000000,2593,FALSE)</f>
        <v>0</v>
      </c>
      <c r="I153" s="33">
        <f>VLOOKUP(A1,DIV_02Data!$A$1:$DZU$1000000,2594,FALSE)</f>
        <v>0</v>
      </c>
      <c r="J153" s="34">
        <f>VLOOKUP(A1,DIV_02Data!$A$1:$DZU$1000000,2595,FALSE)</f>
        <v>0</v>
      </c>
      <c r="K153" s="34">
        <f>VLOOKUP(A1,DIV_02Data!$A$1:$DZU$1000000,2596,FALSE)</f>
        <v>0</v>
      </c>
      <c r="L153" s="93">
        <f>VLOOKUP(A1,DIV_02Data!$A$1:$DZU$1000000,2597,FALSE)</f>
        <v>0</v>
      </c>
      <c r="M153" s="33">
        <f>VLOOKUP(A1,DIV_02Data!$A$1:$DZU$1000000,2598,FALSE)</f>
        <v>0</v>
      </c>
      <c r="N153" s="34">
        <f>VLOOKUP(A1,DIV_02Data!$A$1:$DZU$1000000,2599,FALSE)</f>
        <v>0</v>
      </c>
      <c r="O153" s="33">
        <f>VLOOKUP(A1,DIV_02Data!$A$1:$DZU$1000000,2600,FALSE)</f>
        <v>0</v>
      </c>
      <c r="P153" s="46">
        <f>VLOOKUP(A1,DIV_02Data!$A$1:$DZU$1000000,2601,FALSE)</f>
        <v>0</v>
      </c>
      <c r="Q153" s="33">
        <f>VLOOKUP(A1,DIV_02Data!$A$1:$DZU$1000000,2602,FALSE)</f>
        <v>0</v>
      </c>
    </row>
    <row r="154" spans="1:17" x14ac:dyDescent="0.35">
      <c r="A154" s="22">
        <f>VLOOKUP(A1,DIV_02Data!$A$1:$DZU$1000000,2603,FALSE)</f>
        <v>0</v>
      </c>
      <c r="B154" s="37">
        <f>VLOOKUP(A1,DIV_02Data!$A$1:$DZU$1000000,2604,FALSE)</f>
        <v>0</v>
      </c>
      <c r="C154" s="38">
        <f>VLOOKUP(A1,DIV_02Data!$A$1:$DZU$1000000,2605,FALSE)</f>
        <v>0</v>
      </c>
      <c r="D154" s="31">
        <f>VLOOKUP(A1,DIV_02Data!$A$1:$DZU$1000000,2606,FALSE)</f>
        <v>0</v>
      </c>
      <c r="E154" s="32">
        <f>VLOOKUP(A1,DIV_02Data!$A$1:$DZU$1000000,2607,FALSE)</f>
        <v>0</v>
      </c>
      <c r="F154" s="34">
        <f>VLOOKUP(A1,DIV_02Data!$A$1:$DZU$1000000,2608,FALSE)</f>
        <v>0</v>
      </c>
      <c r="G154" s="33">
        <f>VLOOKUP(A1,DIV_02Data!$A$1:$DZU$1000000,2609,FALSE)</f>
        <v>0</v>
      </c>
      <c r="H154" s="34">
        <f>VLOOKUP(A1,DIV_02Data!$A$1:$DZU$1000000,2610,FALSE)</f>
        <v>0</v>
      </c>
      <c r="I154" s="33">
        <f>VLOOKUP(A1,DIV_02Data!$A$1:$DZU$1000000,2611,FALSE)</f>
        <v>0</v>
      </c>
      <c r="J154" s="34">
        <f>VLOOKUP(A1,DIV_02Data!$A$1:$DZU$1000000,2612,FALSE)</f>
        <v>0</v>
      </c>
      <c r="K154" s="34">
        <f>VLOOKUP(A1,DIV_02Data!$A$1:$DZU$1000000,2613,FALSE)</f>
        <v>0</v>
      </c>
      <c r="L154" s="93">
        <f>VLOOKUP(A1,DIV_02Data!$A$1:$DZU$1000000,2614,FALSE)</f>
        <v>0</v>
      </c>
      <c r="M154" s="33">
        <f>VLOOKUP(A1,DIV_02Data!$A$1:$DZU$1000000,2615,FALSE)</f>
        <v>0</v>
      </c>
      <c r="N154" s="34">
        <f>VLOOKUP(A1,DIV_02Data!$A$1:$DZU$1000000,2616,FALSE)</f>
        <v>0</v>
      </c>
      <c r="O154" s="33">
        <f>VLOOKUP(A1,DIV_02Data!$A$1:$DZU$1000000,2617,FALSE)</f>
        <v>0</v>
      </c>
      <c r="P154" s="46">
        <f>VLOOKUP(A1,DIV_02Data!$A$1:$DZU$1000000,2618,FALSE)</f>
        <v>0</v>
      </c>
      <c r="Q154" s="33">
        <f>VLOOKUP(A1,DIV_02Data!$A$1:$DZU$1000000,2619,FALSE)</f>
        <v>0</v>
      </c>
    </row>
    <row r="155" spans="1:17" x14ac:dyDescent="0.35">
      <c r="A155" s="22">
        <f>VLOOKUP(A1,DIV_02Data!$A$1:$DZU$1000000,2620,FALSE)</f>
        <v>0</v>
      </c>
      <c r="B155" s="37">
        <f>VLOOKUP(A1,DIV_02Data!$A$1:$DZU$1000000,2621,FALSE)</f>
        <v>0</v>
      </c>
      <c r="C155" s="38">
        <f>VLOOKUP(A1,DIV_02Data!$A$1:$DZU$1000000,2622,FALSE)</f>
        <v>0</v>
      </c>
      <c r="D155" s="31">
        <f>VLOOKUP(A1,DIV_02Data!$A$1:$DZU$1000000,2623,FALSE)</f>
        <v>0</v>
      </c>
      <c r="E155" s="32">
        <f>VLOOKUP(A1,DIV_02Data!$A$1:$DZU$1000000,2624,FALSE)</f>
        <v>0</v>
      </c>
      <c r="F155" s="34">
        <f>VLOOKUP(A1,DIV_02Data!$A$1:$DZU$1000000,2625,FALSE)</f>
        <v>0</v>
      </c>
      <c r="G155" s="33">
        <f>VLOOKUP(A1,DIV_02Data!$A$1:$DZU$1000000,2626,FALSE)</f>
        <v>0</v>
      </c>
      <c r="H155" s="34">
        <f>VLOOKUP(A1,DIV_02Data!$A$1:$DZU$1000000,2627,FALSE)</f>
        <v>0</v>
      </c>
      <c r="I155" s="33">
        <f>VLOOKUP(A1,DIV_02Data!$A$1:$DZU$1000000,2628,FALSE)</f>
        <v>0</v>
      </c>
      <c r="J155" s="34">
        <f>VLOOKUP(A1,DIV_02Data!$A$1:$DZU$1000000,2629,FALSE)</f>
        <v>0</v>
      </c>
      <c r="K155" s="34">
        <f>VLOOKUP(A1,DIV_02Data!$A$1:$DZU$1000000,2630,FALSE)</f>
        <v>0</v>
      </c>
      <c r="L155" s="93">
        <f>VLOOKUP(A1,DIV_02Data!$A$1:$DZU$1000000,2631,FALSE)</f>
        <v>0</v>
      </c>
      <c r="M155" s="33">
        <f>VLOOKUP(A1,DIV_02Data!$A$1:$DZU$1000000,2632,FALSE)</f>
        <v>0</v>
      </c>
      <c r="N155" s="34">
        <f>VLOOKUP(A1,DIV_02Data!$A$1:$DZU$1000000,2633,FALSE)</f>
        <v>0</v>
      </c>
      <c r="O155" s="33">
        <f>VLOOKUP(A1,DIV_02Data!$A$1:$DZU$1000000,2634,FALSE)</f>
        <v>0</v>
      </c>
      <c r="P155" s="46">
        <f>VLOOKUP(A1,DIV_02Data!$A$1:$DZU$1000000,2635,FALSE)</f>
        <v>0</v>
      </c>
      <c r="Q155" s="33">
        <f>VLOOKUP(A1,DIV_02Data!$A$1:$DZU$1000000,2636,FALSE)</f>
        <v>0</v>
      </c>
    </row>
    <row r="156" spans="1:17" x14ac:dyDescent="0.35">
      <c r="A156" s="22">
        <f>VLOOKUP(A1,DIV_02Data!$A$1:$DZU$1000000,2637,FALSE)</f>
        <v>0</v>
      </c>
      <c r="B156" s="37">
        <f>VLOOKUP(A1,DIV_02Data!$A$1:$DZU$1000000,2638,FALSE)</f>
        <v>0</v>
      </c>
      <c r="C156" s="38">
        <f>VLOOKUP(A1,DIV_02Data!$A$1:$DZU$1000000,2639,FALSE)</f>
        <v>0</v>
      </c>
      <c r="D156" s="31">
        <f>VLOOKUP(A1,DIV_02Data!$A$1:$DZU$1000000,2640,FALSE)</f>
        <v>0</v>
      </c>
      <c r="E156" s="32">
        <f>VLOOKUP(A1,DIV_02Data!$A$1:$DZU$1000000,2641,FALSE)</f>
        <v>0</v>
      </c>
      <c r="F156" s="34">
        <f>VLOOKUP(A1,DIV_02Data!$A$1:$DZU$1000000,2642,FALSE)</f>
        <v>0</v>
      </c>
      <c r="G156" s="33">
        <f>VLOOKUP(A1,DIV_02Data!$A$1:$DZU$1000000,2643,FALSE)</f>
        <v>0</v>
      </c>
      <c r="H156" s="34">
        <f>VLOOKUP(A1,DIV_02Data!$A$1:$DZU$1000000,2644,FALSE)</f>
        <v>0</v>
      </c>
      <c r="I156" s="33">
        <f>VLOOKUP(A1,DIV_02Data!$A$1:$DZU$1000000,2645,FALSE)</f>
        <v>0</v>
      </c>
      <c r="J156" s="34">
        <f>VLOOKUP(A1,DIV_02Data!$A$1:$DZU$1000000,2646,FALSE)</f>
        <v>0</v>
      </c>
      <c r="K156" s="34">
        <f>VLOOKUP(A1,DIV_02Data!$A$1:$DZU$1000000,2647,FALSE)</f>
        <v>0</v>
      </c>
      <c r="L156" s="93">
        <f>VLOOKUP(A1,DIV_02Data!$A$1:$DZU$1000000,2648,FALSE)</f>
        <v>0</v>
      </c>
      <c r="M156" s="33">
        <f>VLOOKUP(A1,DIV_02Data!$A$1:$DZU$1000000,2649,FALSE)</f>
        <v>0</v>
      </c>
      <c r="N156" s="34">
        <f>VLOOKUP(A1,DIV_02Data!$A$1:$DZU$1000000,2650,FALSE)</f>
        <v>0</v>
      </c>
      <c r="O156" s="33">
        <f>VLOOKUP(A1,DIV_02Data!$A$1:$DZU$1000000,2651,FALSE)</f>
        <v>0</v>
      </c>
      <c r="P156" s="46">
        <f>VLOOKUP(A1,DIV_02Data!$A$1:$DZU$1000000,2652,FALSE)</f>
        <v>0</v>
      </c>
      <c r="Q156" s="33">
        <f>VLOOKUP(A1,DIV_02Data!$A$1:$DZU$1000000,2653,FALSE)</f>
        <v>0</v>
      </c>
    </row>
    <row r="157" spans="1:17" x14ac:dyDescent="0.35">
      <c r="A157" s="22">
        <f>VLOOKUP(A1,DIV_02Data!$A$1:$DZU$1000000,2654,FALSE)</f>
        <v>0</v>
      </c>
      <c r="B157" s="37">
        <f>VLOOKUP(A1,DIV_02Data!$A$1:$DZU$1000000,2655,FALSE)</f>
        <v>0</v>
      </c>
      <c r="C157" s="38">
        <f>VLOOKUP(A1,DIV_02Data!$A$1:$DZU$1000000,2656,FALSE)</f>
        <v>0</v>
      </c>
      <c r="D157" s="31">
        <f>VLOOKUP(A1,DIV_02Data!$A$1:$DZU$1000000,2657,FALSE)</f>
        <v>0</v>
      </c>
      <c r="E157" s="32">
        <f>VLOOKUP(A1,DIV_02Data!$A$1:$DZU$1000000,2658,FALSE)</f>
        <v>0</v>
      </c>
      <c r="F157" s="34">
        <f>VLOOKUP(A1,DIV_02Data!$A$1:$DZU$1000000,2659,FALSE)</f>
        <v>0</v>
      </c>
      <c r="G157" s="33">
        <f>VLOOKUP(A1,DIV_02Data!$A$1:$DZU$1000000,2660,FALSE)</f>
        <v>0</v>
      </c>
      <c r="H157" s="34">
        <f>VLOOKUP(A1,DIV_02Data!$A$1:$DZU$1000000,2661,FALSE)</f>
        <v>0</v>
      </c>
      <c r="I157" s="33">
        <f>VLOOKUP(A1,DIV_02Data!$A$1:$DZU$1000000,2662,FALSE)</f>
        <v>0</v>
      </c>
      <c r="J157" s="34">
        <f>VLOOKUP(A1,DIV_02Data!$A$1:$DZU$1000000,2663,FALSE)</f>
        <v>0</v>
      </c>
      <c r="K157" s="34">
        <f>VLOOKUP(A1,DIV_02Data!$A$1:$DZU$1000000,2664,FALSE)</f>
        <v>0</v>
      </c>
      <c r="L157" s="93">
        <f>VLOOKUP(A1,DIV_02Data!$A$1:$DZU$1000000,2665,FALSE)</f>
        <v>0</v>
      </c>
      <c r="M157" s="33">
        <f>VLOOKUP(A1,DIV_02Data!$A$1:$DZU$1000000,2666,FALSE)</f>
        <v>0</v>
      </c>
      <c r="N157" s="34">
        <f>VLOOKUP(A1,DIV_02Data!$A$1:$DZU$1000000,2667,FALSE)</f>
        <v>0</v>
      </c>
      <c r="O157" s="33">
        <f>VLOOKUP(A1,DIV_02Data!$A$1:$DZU$1000000,2668,FALSE)</f>
        <v>0</v>
      </c>
      <c r="P157" s="46">
        <f>VLOOKUP(A1,DIV_02Data!$A$1:$DZU$1000000,2669,FALSE)</f>
        <v>0</v>
      </c>
      <c r="Q157" s="33">
        <f>VLOOKUP(A1,DIV_02Data!$A$1:$DZU$1000000,2670,FALSE)</f>
        <v>0</v>
      </c>
    </row>
    <row r="158" spans="1:17" x14ac:dyDescent="0.35">
      <c r="A158" s="22">
        <f>VLOOKUP(A1,DIV_02Data!$A$1:$DZU$1000000,2671,FALSE)</f>
        <v>0</v>
      </c>
      <c r="B158" s="37">
        <f>VLOOKUP(A1,DIV_02Data!$A$1:$DZU$1000000,2672,FALSE)</f>
        <v>0</v>
      </c>
      <c r="C158" s="38">
        <f>VLOOKUP(A1,DIV_02Data!$A$1:$DZU$1000000,2673,FALSE)</f>
        <v>0</v>
      </c>
      <c r="D158" s="31">
        <f>VLOOKUP(A1,DIV_02Data!$A$1:$DZU$1000000,2674,FALSE)</f>
        <v>0</v>
      </c>
      <c r="E158" s="32">
        <f>VLOOKUP(A1,DIV_02Data!$A$1:$DZU$1000000,2675,FALSE)</f>
        <v>0</v>
      </c>
      <c r="F158" s="34">
        <f>VLOOKUP(A1,DIV_02Data!$A$1:$DZU$1000000,2676,FALSE)</f>
        <v>0</v>
      </c>
      <c r="G158" s="33">
        <f>VLOOKUP(A1,DIV_02Data!$A$1:$DZU$1000000,2677,FALSE)</f>
        <v>0</v>
      </c>
      <c r="H158" s="34">
        <f>VLOOKUP(A1,DIV_02Data!$A$1:$DZU$1000000,2678,FALSE)</f>
        <v>0</v>
      </c>
      <c r="I158" s="33">
        <f>VLOOKUP(A1,DIV_02Data!$A$1:$DZU$1000000,2679,FALSE)</f>
        <v>0</v>
      </c>
      <c r="J158" s="34">
        <f>VLOOKUP(A1,DIV_02Data!$A$1:$DZU$1000000,2680,FALSE)</f>
        <v>0</v>
      </c>
      <c r="K158" s="34">
        <f>VLOOKUP(A1,DIV_02Data!$A$1:$DZU$1000000,2681,FALSE)</f>
        <v>0</v>
      </c>
      <c r="L158" s="93">
        <f>VLOOKUP(A1,DIV_02Data!$A$1:$DZU$1000000,2682,FALSE)</f>
        <v>0</v>
      </c>
      <c r="M158" s="33">
        <f>VLOOKUP(A1,DIV_02Data!$A$1:$DZU$1000000,2683,FALSE)</f>
        <v>0</v>
      </c>
      <c r="N158" s="34">
        <f>VLOOKUP(A1,DIV_02Data!$A$1:$DZU$1000000,2684,FALSE)</f>
        <v>0</v>
      </c>
      <c r="O158" s="33">
        <f>VLOOKUP(A1,DIV_02Data!$A$1:$DZU$1000000,2685,FALSE)</f>
        <v>0</v>
      </c>
      <c r="P158" s="46">
        <f>VLOOKUP(A1,DIV_02Data!$A$1:$DZU$1000000,2686,FALSE)</f>
        <v>0</v>
      </c>
      <c r="Q158" s="33">
        <f>VLOOKUP(A1,DIV_02Data!$A$1:$DZU$1000000,2687,FALSE)</f>
        <v>0</v>
      </c>
    </row>
    <row r="159" spans="1:17" x14ac:dyDescent="0.35">
      <c r="A159" s="22">
        <f>VLOOKUP(A1,DIV_02Data!$A$1:$DZU$1000000,2688,FALSE)</f>
        <v>0</v>
      </c>
      <c r="B159" s="37">
        <f>VLOOKUP(A1,DIV_02Data!$A$1:$DZU$1000000,2689,FALSE)</f>
        <v>0</v>
      </c>
      <c r="C159" s="38">
        <f>VLOOKUP(A1,DIV_02Data!$A$1:$DZU$1000000,2690,FALSE)</f>
        <v>0</v>
      </c>
      <c r="D159" s="31">
        <f>VLOOKUP(A1,DIV_02Data!$A$1:$DZU$1000000,2691,FALSE)</f>
        <v>0</v>
      </c>
      <c r="E159" s="32">
        <f>VLOOKUP(A1,DIV_02Data!$A$1:$DZU$1000000,2692,FALSE)</f>
        <v>0</v>
      </c>
      <c r="F159" s="34">
        <f>VLOOKUP(A1,DIV_02Data!$A$1:$DZU$1000000,2693,FALSE)</f>
        <v>0</v>
      </c>
      <c r="G159" s="33">
        <f>VLOOKUP(A1,DIV_02Data!$A$1:$DZU$1000000,2694,FALSE)</f>
        <v>0</v>
      </c>
      <c r="H159" s="34">
        <f>VLOOKUP(A1,DIV_02Data!$A$1:$DZU$1000000,2695,FALSE)</f>
        <v>0</v>
      </c>
      <c r="I159" s="33">
        <f>VLOOKUP(A1,DIV_02Data!$A$1:$DZU$1000000,2696,FALSE)</f>
        <v>0</v>
      </c>
      <c r="J159" s="34">
        <f>VLOOKUP(A1,DIV_02Data!$A$1:$DZU$1000000,2697,FALSE)</f>
        <v>0</v>
      </c>
      <c r="K159" s="34">
        <f>VLOOKUP(A1,DIV_02Data!$A$1:$DZU$1000000,2698,FALSE)</f>
        <v>0</v>
      </c>
      <c r="L159" s="93">
        <f>VLOOKUP(A1,DIV_02Data!$A$1:$DZU$1000000,2699,FALSE)</f>
        <v>0</v>
      </c>
      <c r="M159" s="33">
        <f>VLOOKUP(A1,DIV_02Data!$A$1:$DZU$1000000,2700,FALSE)</f>
        <v>0</v>
      </c>
      <c r="N159" s="34">
        <f>VLOOKUP(A1,DIV_02Data!$A$1:$DZU$1000000,2701,FALSE)</f>
        <v>0</v>
      </c>
      <c r="O159" s="33">
        <f>VLOOKUP(A1,DIV_02Data!$A$1:$DZU$1000000,2702,FALSE)</f>
        <v>0</v>
      </c>
      <c r="P159" s="46">
        <f>VLOOKUP(A1,DIV_02Data!$A$1:$DZU$1000000,2703,FALSE)</f>
        <v>0</v>
      </c>
      <c r="Q159" s="33">
        <f>VLOOKUP(A1,DIV_02Data!$A$1:$DZU$1000000,2704,FALSE)</f>
        <v>0</v>
      </c>
    </row>
    <row r="160" spans="1:17" x14ac:dyDescent="0.35">
      <c r="A160" s="22">
        <f>VLOOKUP(A1,DIV_02Data!$A$1:$DZU$1000000,2705,FALSE)</f>
        <v>0</v>
      </c>
      <c r="B160" s="37">
        <f>VLOOKUP(A1,DIV_02Data!$A$1:$DZU$1000000,2706,FALSE)</f>
        <v>0</v>
      </c>
      <c r="C160" s="38">
        <f>VLOOKUP(A1,DIV_02Data!$A$1:$DZU$1000000,2707,FALSE)</f>
        <v>0</v>
      </c>
      <c r="D160" s="31">
        <f>VLOOKUP(A1,DIV_02Data!$A$1:$DZU$1000000,2708,FALSE)</f>
        <v>0</v>
      </c>
      <c r="E160" s="32">
        <f>VLOOKUP(A1,DIV_02Data!$A$1:$DZU$1000000,2709,FALSE)</f>
        <v>0</v>
      </c>
      <c r="F160" s="34">
        <f>VLOOKUP(A1,DIV_02Data!$A$1:$DZU$1000000,2710,FALSE)</f>
        <v>0</v>
      </c>
      <c r="G160" s="33">
        <f>VLOOKUP(A1,DIV_02Data!$A$1:$DZU$1000000,2711,FALSE)</f>
        <v>0</v>
      </c>
      <c r="H160" s="34">
        <f>VLOOKUP(A1,DIV_02Data!$A$1:$DZU$1000000,2712,FALSE)</f>
        <v>0</v>
      </c>
      <c r="I160" s="33">
        <f>VLOOKUP(A1,DIV_02Data!$A$1:$DZU$1000000,2713,FALSE)</f>
        <v>0</v>
      </c>
      <c r="J160" s="34">
        <f>VLOOKUP(A1,DIV_02Data!$A$1:$DZU$1000000,2714,FALSE)</f>
        <v>0</v>
      </c>
      <c r="K160" s="34">
        <f>VLOOKUP(A1,DIV_02Data!$A$1:$DZU$1000000,2715,FALSE)</f>
        <v>0</v>
      </c>
      <c r="L160" s="93">
        <f>VLOOKUP(A1,DIV_02Data!$A$1:$DZU$1000000,2716,FALSE)</f>
        <v>0</v>
      </c>
      <c r="M160" s="33">
        <f>VLOOKUP(A1,DIV_02Data!$A$1:$DZU$1000000,2717,FALSE)</f>
        <v>0</v>
      </c>
      <c r="N160" s="34">
        <f>VLOOKUP(A1,DIV_02Data!$A$1:$DZU$1000000,2718,FALSE)</f>
        <v>0</v>
      </c>
      <c r="O160" s="33">
        <f>VLOOKUP(A1,DIV_02Data!$A$1:$DZU$1000000,2719,FALSE)</f>
        <v>0</v>
      </c>
      <c r="P160" s="46">
        <f>VLOOKUP(A1,DIV_02Data!$A$1:$DZU$1000000,2720,FALSE)</f>
        <v>0</v>
      </c>
      <c r="Q160" s="33">
        <f>VLOOKUP(A1,DIV_02Data!$A$1:$DZU$1000000,2721,FALSE)</f>
        <v>0</v>
      </c>
    </row>
    <row r="161" spans="1:17" x14ac:dyDescent="0.35">
      <c r="A161" s="22">
        <f>VLOOKUP(A1,DIV_02Data!$A$1:$DZU$1000000,2722,FALSE)</f>
        <v>0</v>
      </c>
      <c r="B161" s="37">
        <f>VLOOKUP(A1,DIV_02Data!$A$1:$DZU$1000000,2723,FALSE)</f>
        <v>0</v>
      </c>
      <c r="C161" s="38">
        <f>VLOOKUP(A1,DIV_02Data!$A$1:$DZU$1000000,2724,FALSE)</f>
        <v>0</v>
      </c>
      <c r="D161" s="31">
        <f>VLOOKUP(A1,DIV_02Data!$A$1:$DZU$1000000,2725,FALSE)</f>
        <v>0</v>
      </c>
      <c r="E161" s="32">
        <f>VLOOKUP(A1,DIV_02Data!$A$1:$DZU$1000000,2726,FALSE)</f>
        <v>0</v>
      </c>
      <c r="F161" s="34">
        <f>VLOOKUP(A1,DIV_02Data!$A$1:$DZU$1000000,2727,FALSE)</f>
        <v>0</v>
      </c>
      <c r="G161" s="33">
        <f>VLOOKUP(A1,DIV_02Data!$A$1:$DZU$1000000,2728,FALSE)</f>
        <v>0</v>
      </c>
      <c r="H161" s="34">
        <f>VLOOKUP(A1,DIV_02Data!$A$1:$DZU$1000000,2729,FALSE)</f>
        <v>0</v>
      </c>
      <c r="I161" s="33">
        <f>VLOOKUP(A1,DIV_02Data!$A$1:$DZU$1000000,2730,FALSE)</f>
        <v>0</v>
      </c>
      <c r="J161" s="34">
        <f>VLOOKUP(A1,DIV_02Data!$A$1:$DZU$1000000,2731,FALSE)</f>
        <v>0</v>
      </c>
      <c r="K161" s="34">
        <f>VLOOKUP(A1,DIV_02Data!$A$1:$DZU$1000000,2732,FALSE)</f>
        <v>0</v>
      </c>
      <c r="L161" s="93">
        <f>VLOOKUP(A1,DIV_02Data!$A$1:$DZU$1000000,2733,FALSE)</f>
        <v>0</v>
      </c>
      <c r="M161" s="33">
        <f>VLOOKUP(A1,DIV_02Data!$A$1:$DZU$1000000,2734,FALSE)</f>
        <v>0</v>
      </c>
      <c r="N161" s="34">
        <f>VLOOKUP(A1,DIV_02Data!$A$1:$DZU$1000000,2735,FALSE)</f>
        <v>0</v>
      </c>
      <c r="O161" s="33">
        <f>VLOOKUP(A1,DIV_02Data!$A$1:$DZU$1000000,2736,FALSE)</f>
        <v>0</v>
      </c>
      <c r="P161" s="46">
        <f>VLOOKUP(A1,DIV_02Data!$A$1:$DZU$1000000,2737,FALSE)</f>
        <v>0</v>
      </c>
      <c r="Q161" s="33">
        <f>VLOOKUP(A1,DIV_02Data!$A$1:$DZU$1000000,2738,FALSE)</f>
        <v>0</v>
      </c>
    </row>
    <row r="162" spans="1:17" x14ac:dyDescent="0.35">
      <c r="A162" s="22">
        <f>VLOOKUP(A1,DIV_02Data!$A$1:$DZU$1000000,2739,FALSE)</f>
        <v>0</v>
      </c>
      <c r="B162" s="37">
        <f>VLOOKUP(A1,DIV_02Data!$A$1:$DZU$1000000,2740,FALSE)</f>
        <v>0</v>
      </c>
      <c r="C162" s="38">
        <f>VLOOKUP(A1,DIV_02Data!$A$1:$DZU$1000000,2741,FALSE)</f>
        <v>0</v>
      </c>
      <c r="D162" s="31">
        <f>VLOOKUP(A1,DIV_02Data!$A$1:$DZU$1000000,2742,FALSE)</f>
        <v>0</v>
      </c>
      <c r="E162" s="32">
        <f>VLOOKUP(A1,DIV_02Data!$A$1:$DZU$1000000,2743,FALSE)</f>
        <v>0</v>
      </c>
      <c r="F162" s="34">
        <f>VLOOKUP(A1,DIV_02Data!$A$1:$DZU$1000000,2744,FALSE)</f>
        <v>0</v>
      </c>
      <c r="G162" s="33">
        <f>VLOOKUP(A1,DIV_02Data!$A$1:$DZU$1000000,2745,FALSE)</f>
        <v>0</v>
      </c>
      <c r="H162" s="34">
        <f>VLOOKUP(A1,DIV_02Data!$A$1:$DZU$1000000,2746,FALSE)</f>
        <v>0</v>
      </c>
      <c r="I162" s="33">
        <f>VLOOKUP(A1,DIV_02Data!$A$1:$DZU$1000000,2747,FALSE)</f>
        <v>0</v>
      </c>
      <c r="J162" s="34">
        <f>VLOOKUP(A1,DIV_02Data!$A$1:$DZU$1000000,2748,FALSE)</f>
        <v>0</v>
      </c>
      <c r="K162" s="34">
        <f>VLOOKUP(A1,DIV_02Data!$A$1:$DZU$1000000,2749,FALSE)</f>
        <v>0</v>
      </c>
      <c r="L162" s="93">
        <f>VLOOKUP(A1,DIV_02Data!$A$1:$DZU$1000000,2750,FALSE)</f>
        <v>0</v>
      </c>
      <c r="M162" s="33">
        <f>VLOOKUP(A1,DIV_02Data!$A$1:$DZU$1000000,2751,FALSE)</f>
        <v>0</v>
      </c>
      <c r="N162" s="34">
        <f>VLOOKUP(A1,DIV_02Data!$A$1:$DZU$1000000,2752,FALSE)</f>
        <v>0</v>
      </c>
      <c r="O162" s="33">
        <f>VLOOKUP(A1,DIV_02Data!$A$1:$DZU$1000000,2753,FALSE)</f>
        <v>0</v>
      </c>
      <c r="P162" s="46">
        <f>VLOOKUP(A1,DIV_02Data!$A$1:$DZU$1000000,2754,FALSE)</f>
        <v>0</v>
      </c>
      <c r="Q162" s="33">
        <f>VLOOKUP(A1,DIV_02Data!$A$1:$DZU$1000000,2755,FALSE)</f>
        <v>0</v>
      </c>
    </row>
    <row r="163" spans="1:17" x14ac:dyDescent="0.35">
      <c r="A163" s="22">
        <f>VLOOKUP(A1,DIV_02Data!$A$1:$DZU$1000000,2756,FALSE)</f>
        <v>0</v>
      </c>
      <c r="B163" s="37">
        <f>VLOOKUP(A1,DIV_02Data!$A$1:$DZU$1000000,2757,FALSE)</f>
        <v>0</v>
      </c>
      <c r="C163" s="38">
        <f>VLOOKUP(A1,DIV_02Data!$A$1:$DZU$1000000,2758,FALSE)</f>
        <v>0</v>
      </c>
      <c r="D163" s="31">
        <f>VLOOKUP(A1,DIV_02Data!$A$1:$DZU$1000000,2759,FALSE)</f>
        <v>0</v>
      </c>
      <c r="E163" s="32">
        <f>VLOOKUP(A1,DIV_02Data!$A$1:$DZU$1000000,2760,FALSE)</f>
        <v>0</v>
      </c>
      <c r="F163" s="34">
        <f>VLOOKUP(A1,DIV_02Data!$A$1:$DZU$1000000,2761,FALSE)</f>
        <v>0</v>
      </c>
      <c r="G163" s="33">
        <f>VLOOKUP(A1,DIV_02Data!$A$1:$DZU$1000000,2762,FALSE)</f>
        <v>0</v>
      </c>
      <c r="H163" s="34">
        <f>VLOOKUP(A1,DIV_02Data!$A$1:$DZU$1000000,2763,FALSE)</f>
        <v>0</v>
      </c>
      <c r="I163" s="33">
        <f>VLOOKUP(A1,DIV_02Data!$A$1:$DZU$1000000,2764,FALSE)</f>
        <v>0</v>
      </c>
      <c r="J163" s="34">
        <f>VLOOKUP(A1,DIV_02Data!$A$1:$DZU$1000000,2765,FALSE)</f>
        <v>0</v>
      </c>
      <c r="K163" s="34">
        <f>VLOOKUP(A1,DIV_02Data!$A$1:$DZU$1000000,2766,FALSE)</f>
        <v>0</v>
      </c>
      <c r="L163" s="93">
        <f>VLOOKUP(A1,DIV_02Data!$A$1:$DZU$1000000,2767,FALSE)</f>
        <v>0</v>
      </c>
      <c r="M163" s="33">
        <f>VLOOKUP(A1,DIV_02Data!$A$1:$DZU$1000000,2768,FALSE)</f>
        <v>0</v>
      </c>
      <c r="N163" s="34">
        <f>VLOOKUP(A1,DIV_02Data!$A$1:$DZU$1000000,2769,FALSE)</f>
        <v>0</v>
      </c>
      <c r="O163" s="33">
        <f>VLOOKUP(A1,DIV_02Data!$A$1:$DZU$1000000,2770,FALSE)</f>
        <v>0</v>
      </c>
      <c r="P163" s="46">
        <f>VLOOKUP(A1,DIV_02Data!$A$1:$DZU$1000000,2771,FALSE)</f>
        <v>0</v>
      </c>
      <c r="Q163" s="33">
        <f>VLOOKUP(A1,DIV_02Data!$A$1:$DZU$1000000,2772,FALSE)</f>
        <v>0</v>
      </c>
    </row>
    <row r="164" spans="1:17" x14ac:dyDescent="0.35">
      <c r="A164" s="22">
        <f>VLOOKUP(A1,DIV_02Data!$A$1:$DZU$1000000,2773,FALSE)</f>
        <v>0</v>
      </c>
      <c r="B164" s="37">
        <f>VLOOKUP(A1,DIV_02Data!$A$1:$DZU$1000000,2774,FALSE)</f>
        <v>0</v>
      </c>
      <c r="C164" s="38">
        <f>VLOOKUP(A1,DIV_02Data!$A$1:$DZU$1000000,2775,FALSE)</f>
        <v>0</v>
      </c>
      <c r="D164" s="31">
        <f>VLOOKUP(A1,DIV_02Data!$A$1:$DZU$1000000,2776,FALSE)</f>
        <v>0</v>
      </c>
      <c r="E164" s="32">
        <f>VLOOKUP(A1,DIV_02Data!$A$1:$DZU$1000000,2777,FALSE)</f>
        <v>0</v>
      </c>
      <c r="F164" s="34">
        <f>VLOOKUP(A1,DIV_02Data!$A$1:$DZU$1000000,2778,FALSE)</f>
        <v>0</v>
      </c>
      <c r="G164" s="33">
        <f>VLOOKUP(A1,DIV_02Data!$A$1:$DZU$1000000,2779,FALSE)</f>
        <v>0</v>
      </c>
      <c r="H164" s="34">
        <f>VLOOKUP(A1,DIV_02Data!$A$1:$DZU$1000000,2780,FALSE)</f>
        <v>0</v>
      </c>
      <c r="I164" s="33">
        <f>VLOOKUP(A1,DIV_02Data!$A$1:$DZU$1000000,2781,FALSE)</f>
        <v>0</v>
      </c>
      <c r="J164" s="34">
        <f>VLOOKUP(A1,DIV_02Data!$A$1:$DZU$1000000,2782,FALSE)</f>
        <v>0</v>
      </c>
      <c r="K164" s="34">
        <f>VLOOKUP(A1,DIV_02Data!$A$1:$DZU$1000000,2783,FALSE)</f>
        <v>0</v>
      </c>
      <c r="L164" s="93">
        <f>VLOOKUP(A1,DIV_02Data!$A$1:$DZU$1000000,2784,FALSE)</f>
        <v>0</v>
      </c>
      <c r="M164" s="33">
        <f>VLOOKUP(A1,DIV_02Data!$A$1:$DZU$1000000,2785,FALSE)</f>
        <v>0</v>
      </c>
      <c r="N164" s="34">
        <f>VLOOKUP(A1,DIV_02Data!$A$1:$DZU$1000000,2786,FALSE)</f>
        <v>0</v>
      </c>
      <c r="O164" s="33">
        <f>VLOOKUP(A1,DIV_02Data!$A$1:$DZU$1000000,2787,FALSE)</f>
        <v>0</v>
      </c>
      <c r="P164" s="46">
        <f>VLOOKUP(A1,DIV_02Data!$A$1:$DZU$1000000,2788,FALSE)</f>
        <v>0</v>
      </c>
      <c r="Q164" s="33">
        <f>VLOOKUP(A1,DIV_02Data!$A$1:$DZU$1000000,2789,FALSE)</f>
        <v>0</v>
      </c>
    </row>
    <row r="165" spans="1:17" x14ac:dyDescent="0.35">
      <c r="A165" s="22">
        <f>VLOOKUP(A1,DIV_02Data!$A$1:$DZU$1000000,2790,FALSE)</f>
        <v>0</v>
      </c>
      <c r="B165" s="37">
        <f>VLOOKUP(A1,DIV_02Data!$A$1:$DZU$1000000,2791,FALSE)</f>
        <v>0</v>
      </c>
      <c r="C165" s="38">
        <f>VLOOKUP(A1,DIV_02Data!$A$1:$DZU$1000000,2792,FALSE)</f>
        <v>0</v>
      </c>
      <c r="D165" s="31">
        <f>VLOOKUP(A1,DIV_02Data!$A$1:$DZU$1000000,2793,FALSE)</f>
        <v>0</v>
      </c>
      <c r="E165" s="32">
        <f>VLOOKUP(A1,DIV_02Data!$A$1:$DZU$1000000,2794,FALSE)</f>
        <v>0</v>
      </c>
      <c r="F165" s="34">
        <f>VLOOKUP(A1,DIV_02Data!$A$1:$DZU$1000000,2795,FALSE)</f>
        <v>0</v>
      </c>
      <c r="G165" s="33">
        <f>VLOOKUP(A1,DIV_02Data!$A$1:$DZU$1000000,2796,FALSE)</f>
        <v>0</v>
      </c>
      <c r="H165" s="34">
        <f>VLOOKUP(A1,DIV_02Data!$A$1:$DZU$1000000,2797,FALSE)</f>
        <v>0</v>
      </c>
      <c r="I165" s="33">
        <f>VLOOKUP(A1,DIV_02Data!$A$1:$DZU$1000000,2798,FALSE)</f>
        <v>0</v>
      </c>
      <c r="J165" s="34">
        <f>VLOOKUP(A1,DIV_02Data!$A$1:$DZU$1000000,2799,FALSE)</f>
        <v>0</v>
      </c>
      <c r="K165" s="34">
        <f>VLOOKUP(A1,DIV_02Data!$A$1:$DZU$1000000,2800,FALSE)</f>
        <v>0</v>
      </c>
      <c r="L165" s="93">
        <f>VLOOKUP(A1,DIV_02Data!$A$1:$DZU$1000000,2801,FALSE)</f>
        <v>0</v>
      </c>
      <c r="M165" s="33">
        <f>VLOOKUP(A1,DIV_02Data!$A$1:$DZU$1000000,2802,FALSE)</f>
        <v>0</v>
      </c>
      <c r="N165" s="34">
        <f>VLOOKUP(A1,DIV_02Data!$A$1:$DZU$1000000,2803,FALSE)</f>
        <v>0</v>
      </c>
      <c r="O165" s="33">
        <f>VLOOKUP(A1,DIV_02Data!$A$1:$DZU$1000000,2804,FALSE)</f>
        <v>0</v>
      </c>
      <c r="P165" s="46">
        <f>VLOOKUP(A1,DIV_02Data!$A$1:$DZU$1000000,2805,FALSE)</f>
        <v>0</v>
      </c>
      <c r="Q165" s="33">
        <f>VLOOKUP(A1,DIV_02Data!$A$1:$DZU$1000000,2806,FALSE)</f>
        <v>0</v>
      </c>
    </row>
    <row r="166" spans="1:17" x14ac:dyDescent="0.35">
      <c r="A166" s="22">
        <f>VLOOKUP(A1,DIV_02Data!$A$1:$DZU$1000000,2807,FALSE)</f>
        <v>0</v>
      </c>
      <c r="B166" s="37">
        <f>VLOOKUP(A1,DIV_02Data!$A$1:$DZU$1000000,2808,FALSE)</f>
        <v>0</v>
      </c>
      <c r="C166" s="38">
        <f>VLOOKUP(A1,DIV_02Data!$A$1:$DZU$1000000,2809,FALSE)</f>
        <v>0</v>
      </c>
      <c r="D166" s="31">
        <f>VLOOKUP(A1,DIV_02Data!$A$1:$DZU$1000000,2810,FALSE)</f>
        <v>0</v>
      </c>
      <c r="E166" s="32">
        <f>VLOOKUP(A1,DIV_02Data!$A$1:$DZU$1000000,2811,FALSE)</f>
        <v>0</v>
      </c>
      <c r="F166" s="34">
        <f>VLOOKUP(A1,DIV_02Data!$A$1:$DZU$1000000,2812,FALSE)</f>
        <v>0</v>
      </c>
      <c r="G166" s="33">
        <f>VLOOKUP(A1,DIV_02Data!$A$1:$DZU$1000000,2813,FALSE)</f>
        <v>0</v>
      </c>
      <c r="H166" s="34">
        <f>VLOOKUP(A1,DIV_02Data!$A$1:$DZU$1000000,2814,FALSE)</f>
        <v>0</v>
      </c>
      <c r="I166" s="33">
        <f>VLOOKUP(A1,DIV_02Data!$A$1:$DZU$1000000,2815,FALSE)</f>
        <v>0</v>
      </c>
      <c r="J166" s="34">
        <f>VLOOKUP(A1,DIV_02Data!$A$1:$DZU$1000000,2816,FALSE)</f>
        <v>0</v>
      </c>
      <c r="K166" s="34">
        <f>VLOOKUP(A1,DIV_02Data!$A$1:$DZU$1000000,2817,FALSE)</f>
        <v>0</v>
      </c>
      <c r="L166" s="93">
        <f>VLOOKUP(A1,DIV_02Data!$A$1:$DZU$1000000,2818,FALSE)</f>
        <v>0</v>
      </c>
      <c r="M166" s="33">
        <f>VLOOKUP(A1,DIV_02Data!$A$1:$DZU$1000000,2819,FALSE)</f>
        <v>0</v>
      </c>
      <c r="N166" s="34">
        <f>VLOOKUP(A1,DIV_02Data!$A$1:$DZU$1000000,2820,FALSE)</f>
        <v>0</v>
      </c>
      <c r="O166" s="33">
        <f>VLOOKUP(A1,DIV_02Data!$A$1:$DZU$1000000,2821,FALSE)</f>
        <v>0</v>
      </c>
      <c r="P166" s="46">
        <f>VLOOKUP(A1,DIV_02Data!$A$1:$DZU$1000000,2822,FALSE)</f>
        <v>0</v>
      </c>
      <c r="Q166" s="33">
        <f>VLOOKUP(A1,DIV_02Data!$A$1:$DZU$1000000,2823,FALSE)</f>
        <v>0</v>
      </c>
    </row>
    <row r="167" spans="1:17" x14ac:dyDescent="0.35">
      <c r="A167" s="22">
        <f>VLOOKUP(A1,DIV_02Data!$A$1:$DZU$1000000,2824,FALSE)</f>
        <v>0</v>
      </c>
      <c r="B167" s="37">
        <f>VLOOKUP(A1,DIV_02Data!$A$1:$DZU$1000000,2825,FALSE)</f>
        <v>0</v>
      </c>
      <c r="C167" s="38">
        <f>VLOOKUP(A1,DIV_02Data!$A$1:$DZU$1000000,2826,FALSE)</f>
        <v>0</v>
      </c>
      <c r="D167" s="31">
        <f>VLOOKUP(A1,DIV_02Data!$A$1:$DZU$1000000,2827,FALSE)</f>
        <v>0</v>
      </c>
      <c r="E167" s="32">
        <f>VLOOKUP(A1,DIV_02Data!$A$1:$DZU$1000000,2828,FALSE)</f>
        <v>0</v>
      </c>
      <c r="F167" s="34">
        <f>VLOOKUP(A1,DIV_02Data!$A$1:$DZU$1000000,2829,FALSE)</f>
        <v>0</v>
      </c>
      <c r="G167" s="33">
        <f>VLOOKUP(A1,DIV_02Data!$A$1:$DZU$1000000,2830,FALSE)</f>
        <v>0</v>
      </c>
      <c r="H167" s="34">
        <f>VLOOKUP(A1,DIV_02Data!$A$1:$DZU$1000000,2831,FALSE)</f>
        <v>0</v>
      </c>
      <c r="I167" s="33">
        <f>VLOOKUP(A1,DIV_02Data!$A$1:$DZU$1000000,2832,FALSE)</f>
        <v>0</v>
      </c>
      <c r="J167" s="34">
        <f>VLOOKUP(A1,DIV_02Data!$A$1:$DZU$1000000,2833,FALSE)</f>
        <v>0</v>
      </c>
      <c r="K167" s="34">
        <f>VLOOKUP(A1,DIV_02Data!$A$1:$DZU$1000000,2834,FALSE)</f>
        <v>0</v>
      </c>
      <c r="L167" s="93">
        <f>VLOOKUP(A1,DIV_02Data!$A$1:$DZU$1000000,2835,FALSE)</f>
        <v>0</v>
      </c>
      <c r="M167" s="33">
        <f>VLOOKUP(A1,DIV_02Data!$A$1:$DZU$1000000,2836,FALSE)</f>
        <v>0</v>
      </c>
      <c r="N167" s="34">
        <f>VLOOKUP(A1,DIV_02Data!$A$1:$DZU$1000000,2837,FALSE)</f>
        <v>0</v>
      </c>
      <c r="O167" s="33">
        <f>VLOOKUP(A1,DIV_02Data!$A$1:$DZU$1000000,2838,FALSE)</f>
        <v>0</v>
      </c>
      <c r="P167" s="46">
        <f>VLOOKUP(A1,DIV_02Data!$A$1:$DZU$1000000,2839,FALSE)</f>
        <v>0</v>
      </c>
      <c r="Q167" s="33">
        <f>VLOOKUP(A1,DIV_02Data!$A$1:$DZU$1000000,2840,FALSE)</f>
        <v>0</v>
      </c>
    </row>
    <row r="168" spans="1:17" x14ac:dyDescent="0.35">
      <c r="A168" s="22">
        <f>VLOOKUP(A1,DIV_02Data!$A$1:$DZU$1000000,2841,FALSE)</f>
        <v>0</v>
      </c>
      <c r="B168" s="37">
        <f>VLOOKUP(A1,DIV_02Data!$A$1:$DZU$1000000,2842,FALSE)</f>
        <v>0</v>
      </c>
      <c r="C168" s="38">
        <f>VLOOKUP(A1,DIV_02Data!$A$1:$DZU$1000000,2843,FALSE)</f>
        <v>0</v>
      </c>
      <c r="D168" s="31">
        <f>VLOOKUP(A1,DIV_02Data!$A$1:$DZU$1000000,2844,FALSE)</f>
        <v>0</v>
      </c>
      <c r="E168" s="32">
        <f>VLOOKUP(A1,DIV_02Data!$A$1:$DZU$1000000,2845,FALSE)</f>
        <v>0</v>
      </c>
      <c r="F168" s="34">
        <f>VLOOKUP(A1,DIV_02Data!$A$1:$DZU$1000000,2846,FALSE)</f>
        <v>0</v>
      </c>
      <c r="G168" s="33">
        <f>VLOOKUP(A1,DIV_02Data!$A$1:$DZU$1000000,2847,FALSE)</f>
        <v>0</v>
      </c>
      <c r="H168" s="34">
        <f>VLOOKUP(A1,DIV_02Data!$A$1:$DZU$1000000,2848,FALSE)</f>
        <v>0</v>
      </c>
      <c r="I168" s="33">
        <f>VLOOKUP(A1,DIV_02Data!$A$1:$DZU$1000000,2849,FALSE)</f>
        <v>0</v>
      </c>
      <c r="J168" s="34">
        <f>VLOOKUP(A1,DIV_02Data!$A$1:$DZU$1000000,2850,FALSE)</f>
        <v>0</v>
      </c>
      <c r="K168" s="34">
        <f>VLOOKUP(A1,DIV_02Data!$A$1:$DZU$1000000,2851,FALSE)</f>
        <v>0</v>
      </c>
      <c r="L168" s="93">
        <f>VLOOKUP(A1,DIV_02Data!$A$1:$DZU$1000000,2852,FALSE)</f>
        <v>0</v>
      </c>
      <c r="M168" s="33">
        <f>VLOOKUP(A1,DIV_02Data!$A$1:$DZU$1000000,2853,FALSE)</f>
        <v>0</v>
      </c>
      <c r="N168" s="34">
        <f>VLOOKUP(A1,DIV_02Data!$A$1:$DZU$1000000,2854,FALSE)</f>
        <v>0</v>
      </c>
      <c r="O168" s="33">
        <f>VLOOKUP(A1,DIV_02Data!$A$1:$DZU$1000000,2855,FALSE)</f>
        <v>0</v>
      </c>
      <c r="P168" s="46">
        <f>VLOOKUP(A1,DIV_02Data!$A$1:$DZU$1000000,2856,FALSE)</f>
        <v>0</v>
      </c>
      <c r="Q168" s="33">
        <f>VLOOKUP(A1,DIV_02Data!$A$1:$DZU$1000000,2857,FALSE)</f>
        <v>0</v>
      </c>
    </row>
    <row r="169" spans="1:17" x14ac:dyDescent="0.35">
      <c r="A169" s="22">
        <f>VLOOKUP(A1,DIV_02Data!$A$1:$DZU$1000000,2858,FALSE)</f>
        <v>0</v>
      </c>
      <c r="B169" s="37">
        <f>VLOOKUP(A1,DIV_02Data!$A$1:$DZU$1000000,2859,FALSE)</f>
        <v>0</v>
      </c>
      <c r="C169" s="38">
        <f>VLOOKUP(A1,DIV_02Data!$A$1:$DZU$1000000,2860,FALSE)</f>
        <v>0</v>
      </c>
      <c r="D169" s="31">
        <f>VLOOKUP(A1,DIV_02Data!$A$1:$DZU$1000000,2861,FALSE)</f>
        <v>0</v>
      </c>
      <c r="E169" s="32">
        <f>VLOOKUP(A1,DIV_02Data!$A$1:$DZU$1000000,2862,FALSE)</f>
        <v>0</v>
      </c>
      <c r="F169" s="34">
        <f>VLOOKUP(A1,DIV_02Data!$A$1:$DZU$1000000,2863,FALSE)</f>
        <v>0</v>
      </c>
      <c r="G169" s="33">
        <f>VLOOKUP(A1,DIV_02Data!$A$1:$DZU$1000000,2864,FALSE)</f>
        <v>0</v>
      </c>
      <c r="H169" s="34">
        <f>VLOOKUP(A1,DIV_02Data!$A$1:$DZU$1000000,2865,FALSE)</f>
        <v>0</v>
      </c>
      <c r="I169" s="33">
        <f>VLOOKUP(A1,DIV_02Data!$A$1:$DZU$1000000,2866,FALSE)</f>
        <v>0</v>
      </c>
      <c r="J169" s="34">
        <f>VLOOKUP(A1,DIV_02Data!$A$1:$DZU$1000000,2867,FALSE)</f>
        <v>0</v>
      </c>
      <c r="K169" s="34">
        <f>VLOOKUP(A1,DIV_02Data!$A$1:$DZU$1000000,2868,FALSE)</f>
        <v>0</v>
      </c>
      <c r="L169" s="93">
        <f>VLOOKUP(A1,DIV_02Data!$A$1:$DZU$1000000,2869,FALSE)</f>
        <v>0</v>
      </c>
      <c r="M169" s="33">
        <f>VLOOKUP(A1,DIV_02Data!$A$1:$DZU$1000000,2870,FALSE)</f>
        <v>0</v>
      </c>
      <c r="N169" s="34">
        <f>VLOOKUP(A1,DIV_02Data!$A$1:$DZU$1000000,2871,FALSE)</f>
        <v>0</v>
      </c>
      <c r="O169" s="33">
        <f>VLOOKUP(A1,DIV_02Data!$A$1:$DZU$1000000,2872,FALSE)</f>
        <v>0</v>
      </c>
      <c r="P169" s="46">
        <f>VLOOKUP(A1,DIV_02Data!$A$1:$DZU$1000000,2873,FALSE)</f>
        <v>0</v>
      </c>
      <c r="Q169" s="33">
        <f>VLOOKUP(A1,DIV_02Data!$A$1:$DZU$1000000,2874,FALSE)</f>
        <v>0</v>
      </c>
    </row>
    <row r="170" spans="1:17" x14ac:dyDescent="0.35">
      <c r="A170" s="22">
        <f>VLOOKUP(A1,DIV_02Data!$A$1:$DZU$1000000,2875,FALSE)</f>
        <v>0</v>
      </c>
      <c r="B170" s="37">
        <f>VLOOKUP(A1,DIV_02Data!$A$1:$DZU$1000000,2876,FALSE)</f>
        <v>0</v>
      </c>
      <c r="C170" s="38">
        <f>VLOOKUP(A1,DIV_02Data!$A$1:$DZU$1000000,2877,FALSE)</f>
        <v>0</v>
      </c>
      <c r="D170" s="31">
        <f>VLOOKUP(A1,DIV_02Data!$A$1:$DZU$1000000,2878,FALSE)</f>
        <v>0</v>
      </c>
      <c r="E170" s="32">
        <f>VLOOKUP(A1,DIV_02Data!$A$1:$DZU$1000000,2879,FALSE)</f>
        <v>0</v>
      </c>
      <c r="F170" s="34">
        <f>VLOOKUP(A1,DIV_02Data!$A$1:$DZU$1000000,2880,FALSE)</f>
        <v>0</v>
      </c>
      <c r="G170" s="33">
        <f>VLOOKUP(A1,DIV_02Data!$A$1:$DZU$1000000,2881,FALSE)</f>
        <v>0</v>
      </c>
      <c r="H170" s="34">
        <f>VLOOKUP(A1,DIV_02Data!$A$1:$DZU$1000000,2882,FALSE)</f>
        <v>0</v>
      </c>
      <c r="I170" s="33">
        <f>VLOOKUP(A1,DIV_02Data!$A$1:$DZU$1000000,2883,FALSE)</f>
        <v>0</v>
      </c>
      <c r="J170" s="34">
        <f>VLOOKUP(A1,DIV_02Data!$A$1:$DZU$1000000,2884,FALSE)</f>
        <v>0</v>
      </c>
      <c r="K170" s="34">
        <f>VLOOKUP(A1,DIV_02Data!$A$1:$DZU$1000000,2885,FALSE)</f>
        <v>0</v>
      </c>
      <c r="L170" s="93">
        <f>VLOOKUP(A1,DIV_02Data!$A$1:$DZU$1000000,2886,FALSE)</f>
        <v>0</v>
      </c>
      <c r="M170" s="33">
        <f>VLOOKUP(A1,DIV_02Data!$A$1:$DZU$1000000,2887,FALSE)</f>
        <v>0</v>
      </c>
      <c r="N170" s="34">
        <f>VLOOKUP(A1,DIV_02Data!$A$1:$DZU$1000000,2888,FALSE)</f>
        <v>0</v>
      </c>
      <c r="O170" s="33">
        <f>VLOOKUP(A1,DIV_02Data!$A$1:$DZU$1000000,2889,FALSE)</f>
        <v>0</v>
      </c>
      <c r="P170" s="46">
        <f>VLOOKUP(A1,DIV_02Data!$A$1:$DZU$1000000,2890,FALSE)</f>
        <v>0</v>
      </c>
      <c r="Q170" s="33">
        <f>VLOOKUP(A1,DIV_02Data!$A$1:$DZU$1000000,2891,FALSE)</f>
        <v>0</v>
      </c>
    </row>
    <row r="171" spans="1:17" x14ac:dyDescent="0.35">
      <c r="A171" s="22">
        <f>VLOOKUP(A1,DIV_02Data!$A$1:$DZU$1000000,2892,FALSE)</f>
        <v>0</v>
      </c>
      <c r="B171" s="37">
        <f>VLOOKUP(A1,DIV_02Data!$A$1:$DZU$1000000,2893,FALSE)</f>
        <v>0</v>
      </c>
      <c r="C171" s="38">
        <f>VLOOKUP(A1,DIV_02Data!$A$1:$DZU$1000000,2894,FALSE)</f>
        <v>0</v>
      </c>
      <c r="D171" s="31">
        <f>VLOOKUP(A1,DIV_02Data!$A$1:$DZU$1000000,2895,FALSE)</f>
        <v>0</v>
      </c>
      <c r="E171" s="32">
        <f>VLOOKUP(A1,DIV_02Data!$A$1:$DZU$1000000,2896,FALSE)</f>
        <v>0</v>
      </c>
      <c r="F171" s="34">
        <f>VLOOKUP(A1,DIV_02Data!$A$1:$DZU$1000000,2897,FALSE)</f>
        <v>0</v>
      </c>
      <c r="G171" s="33">
        <f>VLOOKUP(A1,DIV_02Data!$A$1:$DZU$1000000,2898,FALSE)</f>
        <v>0</v>
      </c>
      <c r="H171" s="34">
        <f>VLOOKUP(A1,DIV_02Data!$A$1:$DZU$1000000,2899,FALSE)</f>
        <v>0</v>
      </c>
      <c r="I171" s="33">
        <f>VLOOKUP(A1,DIV_02Data!$A$1:$DZU$1000000,2900,FALSE)</f>
        <v>0</v>
      </c>
      <c r="J171" s="34">
        <f>VLOOKUP(A1,DIV_02Data!$A$1:$DZU$1000000,2901,FALSE)</f>
        <v>0</v>
      </c>
      <c r="K171" s="34">
        <f>VLOOKUP(A1,DIV_02Data!$A$1:$DZU$1000000,2902,FALSE)</f>
        <v>0</v>
      </c>
      <c r="L171" s="93">
        <f>VLOOKUP(A1,DIV_02Data!$A$1:$DZU$1000000,2903,FALSE)</f>
        <v>0</v>
      </c>
      <c r="M171" s="33">
        <f>VLOOKUP(A1,DIV_02Data!$A$1:$DZU$1000000,2904,FALSE)</f>
        <v>0</v>
      </c>
      <c r="N171" s="34">
        <f>VLOOKUP(A1,DIV_02Data!$A$1:$DZU$1000000,2905,FALSE)</f>
        <v>0</v>
      </c>
      <c r="O171" s="33">
        <f>VLOOKUP(A1,DIV_02Data!$A$1:$DZU$1000000,2906,FALSE)</f>
        <v>0</v>
      </c>
      <c r="P171" s="46">
        <f>VLOOKUP(A1,DIV_02Data!$A$1:$DZU$1000000,2907,FALSE)</f>
        <v>0</v>
      </c>
      <c r="Q171" s="33">
        <f>VLOOKUP(A1,DIV_02Data!$A$1:$DZU$1000000,2908,FALSE)</f>
        <v>0</v>
      </c>
    </row>
    <row r="172" spans="1:17" x14ac:dyDescent="0.35">
      <c r="A172" s="22">
        <f>VLOOKUP(A1,DIV_02Data!$A$1:$DZU$1000000,2909,FALSE)</f>
        <v>0</v>
      </c>
      <c r="B172" s="37">
        <f>VLOOKUP(A1,DIV_02Data!$A$1:$DZU$1000000,2910,FALSE)</f>
        <v>0</v>
      </c>
      <c r="C172" s="38">
        <f>VLOOKUP(A1,DIV_02Data!$A$1:$DZU$1000000,2911,FALSE)</f>
        <v>0</v>
      </c>
      <c r="D172" s="31">
        <f>VLOOKUP(A1,DIV_02Data!$A$1:$DZU$1000000,2912,FALSE)</f>
        <v>0</v>
      </c>
      <c r="E172" s="32">
        <f>VLOOKUP(A1,DIV_02Data!$A$1:$DZU$1000000,2913,FALSE)</f>
        <v>0</v>
      </c>
      <c r="F172" s="34">
        <f>VLOOKUP(A1,DIV_02Data!$A$1:$DZU$1000000,2914,FALSE)</f>
        <v>0</v>
      </c>
      <c r="G172" s="33">
        <f>VLOOKUP(A1,DIV_02Data!$A$1:$DZU$1000000,2915,FALSE)</f>
        <v>0</v>
      </c>
      <c r="H172" s="34">
        <f>VLOOKUP(A1,DIV_02Data!$A$1:$DZU$1000000,2916,FALSE)</f>
        <v>0</v>
      </c>
      <c r="I172" s="33">
        <f>VLOOKUP(A1,DIV_02Data!$A$1:$DZU$1000000,2917,FALSE)</f>
        <v>0</v>
      </c>
      <c r="J172" s="34">
        <f>VLOOKUP(A1,DIV_02Data!$A$1:$DZU$1000000,2918,FALSE)</f>
        <v>0</v>
      </c>
      <c r="K172" s="34">
        <f>VLOOKUP(A1,DIV_02Data!$A$1:$DZU$1000000,2919,FALSE)</f>
        <v>0</v>
      </c>
      <c r="L172" s="93">
        <f>VLOOKUP(A1,DIV_02Data!$A$1:$DZU$1000000,2920,FALSE)</f>
        <v>0</v>
      </c>
      <c r="M172" s="33">
        <f>VLOOKUP(A1,DIV_02Data!$A$1:$DZU$1000000,2921,FALSE)</f>
        <v>0</v>
      </c>
      <c r="N172" s="34">
        <f>VLOOKUP(A1,DIV_02Data!$A$1:$DZU$1000000,2922,FALSE)</f>
        <v>0</v>
      </c>
      <c r="O172" s="33">
        <f>VLOOKUP(A1,DIV_02Data!$A$1:$DZU$1000000,2923,FALSE)</f>
        <v>0</v>
      </c>
      <c r="P172" s="46">
        <f>VLOOKUP(A1,DIV_02Data!$A$1:$DZU$1000000,2924,FALSE)</f>
        <v>0</v>
      </c>
      <c r="Q172" s="33">
        <f>VLOOKUP(A1,DIV_02Data!$A$1:$DZU$1000000,2925,FALSE)</f>
        <v>0</v>
      </c>
    </row>
    <row r="173" spans="1:17" x14ac:dyDescent="0.35">
      <c r="A173" s="22">
        <f>VLOOKUP(A1,DIV_02Data!$A$1:$DZU$1000000,2926,FALSE)</f>
        <v>0</v>
      </c>
      <c r="B173" s="37">
        <f>VLOOKUP(A1,DIV_02Data!$A$1:$DZU$1000000,2927,FALSE)</f>
        <v>0</v>
      </c>
      <c r="C173" s="38">
        <f>VLOOKUP(A1,DIV_02Data!$A$1:$DZU$1000000,2928,FALSE)</f>
        <v>0</v>
      </c>
      <c r="D173" s="31">
        <f>VLOOKUP(A1,DIV_02Data!$A$1:$DZU$1000000,2929,FALSE)</f>
        <v>0</v>
      </c>
      <c r="E173" s="32">
        <f>VLOOKUP(A1,DIV_02Data!$A$1:$DZU$1000000,2930,FALSE)</f>
        <v>0</v>
      </c>
      <c r="F173" s="34">
        <f>VLOOKUP(A1,DIV_02Data!$A$1:$DZU$1000000,2931,FALSE)</f>
        <v>0</v>
      </c>
      <c r="G173" s="33">
        <f>VLOOKUP(A1,DIV_02Data!$A$1:$DZU$1000000,2932,FALSE)</f>
        <v>0</v>
      </c>
      <c r="H173" s="34">
        <f>VLOOKUP(A1,DIV_02Data!$A$1:$DZU$1000000,2933,FALSE)</f>
        <v>0</v>
      </c>
      <c r="I173" s="33">
        <f>VLOOKUP(A1,DIV_02Data!$A$1:$DZU$1000000,2934,FALSE)</f>
        <v>0</v>
      </c>
      <c r="J173" s="34">
        <f>VLOOKUP(A1,DIV_02Data!$A$1:$DZU$1000000,2935,FALSE)</f>
        <v>0</v>
      </c>
      <c r="K173" s="34">
        <f>VLOOKUP(A1,DIV_02Data!$A$1:$DZU$1000000,2936,FALSE)</f>
        <v>0</v>
      </c>
      <c r="L173" s="93">
        <f>VLOOKUP(A1,DIV_02Data!$A$1:$DZU$1000000,2937,FALSE)</f>
        <v>0</v>
      </c>
      <c r="M173" s="33">
        <f>VLOOKUP(A1,DIV_02Data!$A$1:$DZU$1000000,2938,FALSE)</f>
        <v>0</v>
      </c>
      <c r="N173" s="34">
        <f>VLOOKUP(A1,DIV_02Data!$A$1:$DZU$1000000,2939,FALSE)</f>
        <v>0</v>
      </c>
      <c r="O173" s="33">
        <f>VLOOKUP(A1,DIV_02Data!$A$1:$DZU$1000000,2940,FALSE)</f>
        <v>0</v>
      </c>
      <c r="P173" s="46">
        <f>VLOOKUP(A1,DIV_02Data!$A$1:$DZU$1000000,2941,FALSE)</f>
        <v>0</v>
      </c>
      <c r="Q173" s="33">
        <f>VLOOKUP(A1,DIV_02Data!$A$1:$DZU$1000000,2942,FALSE)</f>
        <v>0</v>
      </c>
    </row>
    <row r="174" spans="1:17" x14ac:dyDescent="0.35">
      <c r="A174" s="22">
        <f>VLOOKUP(A1,DIV_02Data!$A$1:$DZU$1000000,2943,FALSE)</f>
        <v>0</v>
      </c>
      <c r="B174" s="37">
        <f>VLOOKUP(A1,DIV_02Data!$A$1:$DZU$1000000,2944,FALSE)</f>
        <v>0</v>
      </c>
      <c r="C174" s="38">
        <f>VLOOKUP(A1,DIV_02Data!$A$1:$DZU$1000000,2945,FALSE)</f>
        <v>0</v>
      </c>
      <c r="D174" s="31">
        <f>VLOOKUP(A1,DIV_02Data!$A$1:$DZU$1000000,2946,FALSE)</f>
        <v>0</v>
      </c>
      <c r="E174" s="32">
        <f>VLOOKUP(A1,DIV_02Data!$A$1:$DZU$1000000,2947,FALSE)</f>
        <v>0</v>
      </c>
      <c r="F174" s="34">
        <f>VLOOKUP(A1,DIV_02Data!$A$1:$DZU$1000000,2948,FALSE)</f>
        <v>0</v>
      </c>
      <c r="G174" s="33">
        <f>VLOOKUP(A1,DIV_02Data!$A$1:$DZU$1000000,2949,FALSE)</f>
        <v>0</v>
      </c>
      <c r="H174" s="34">
        <f>VLOOKUP(A1,DIV_02Data!$A$1:$DZU$1000000,2950,FALSE)</f>
        <v>0</v>
      </c>
      <c r="I174" s="33">
        <f>VLOOKUP(A1,DIV_02Data!$A$1:$DZU$1000000,2951,FALSE)</f>
        <v>0</v>
      </c>
      <c r="J174" s="34">
        <f>VLOOKUP(A1,DIV_02Data!$A$1:$DZU$1000000,2952,FALSE)</f>
        <v>0</v>
      </c>
      <c r="K174" s="34">
        <f>VLOOKUP(A1,DIV_02Data!$A$1:$DZU$1000000,2953,FALSE)</f>
        <v>0</v>
      </c>
      <c r="L174" s="93">
        <f>VLOOKUP(A1,DIV_02Data!$A$1:$DZU$1000000,2954,FALSE)</f>
        <v>0</v>
      </c>
      <c r="M174" s="33">
        <f>VLOOKUP(A1,DIV_02Data!$A$1:$DZU$1000000,2955,FALSE)</f>
        <v>0</v>
      </c>
      <c r="N174" s="34">
        <f>VLOOKUP(A1,DIV_02Data!$A$1:$DZU$1000000,2956,FALSE)</f>
        <v>0</v>
      </c>
      <c r="O174" s="33">
        <f>VLOOKUP(A1,DIV_02Data!$A$1:$DZU$1000000,2957,FALSE)</f>
        <v>0</v>
      </c>
      <c r="P174" s="46">
        <f>VLOOKUP(A1,DIV_02Data!$A$1:$DZU$1000000,2958,FALSE)</f>
        <v>0</v>
      </c>
      <c r="Q174" s="33">
        <f>VLOOKUP(A1,DIV_02Data!$A$1:$DZU$1000000,2959,FALSE)</f>
        <v>0</v>
      </c>
    </row>
    <row r="175" spans="1:17" x14ac:dyDescent="0.35">
      <c r="A175" s="22">
        <f>VLOOKUP(A1,DIV_02Data!$A$1:$DZU$1000000,2960,FALSE)</f>
        <v>0</v>
      </c>
      <c r="B175" s="37">
        <f>VLOOKUP(A1,DIV_02Data!$A$1:$DZU$1000000,2961,FALSE)</f>
        <v>0</v>
      </c>
      <c r="C175" s="38">
        <f>VLOOKUP(A1,DIV_02Data!$A$1:$DZU$1000000,2962,FALSE)</f>
        <v>0</v>
      </c>
      <c r="D175" s="31">
        <f>VLOOKUP(A1,DIV_02Data!$A$1:$DZU$1000000,2963,FALSE)</f>
        <v>0</v>
      </c>
      <c r="E175" s="32">
        <f>VLOOKUP(A1,DIV_02Data!$A$1:$DZU$1000000,2964,FALSE)</f>
        <v>0</v>
      </c>
      <c r="F175" s="34">
        <f>VLOOKUP(A1,DIV_02Data!$A$1:$DZU$1000000,2965,FALSE)</f>
        <v>0</v>
      </c>
      <c r="G175" s="33">
        <f>VLOOKUP(A1,DIV_02Data!$A$1:$DZU$1000000,2966,FALSE)</f>
        <v>0</v>
      </c>
      <c r="H175" s="34">
        <f>VLOOKUP(A1,DIV_02Data!$A$1:$DZU$1000000,2967,FALSE)</f>
        <v>0</v>
      </c>
      <c r="I175" s="33">
        <f>VLOOKUP(A1,DIV_02Data!$A$1:$DZU$1000000,2968,FALSE)</f>
        <v>0</v>
      </c>
      <c r="J175" s="34">
        <f>VLOOKUP(A1,DIV_02Data!$A$1:$DZU$1000000,2969,FALSE)</f>
        <v>0</v>
      </c>
      <c r="K175" s="34">
        <f>VLOOKUP(A1,DIV_02Data!$A$1:$DZU$1000000,2970,FALSE)</f>
        <v>0</v>
      </c>
      <c r="L175" s="93">
        <f>VLOOKUP(A1,DIV_02Data!$A$1:$DZU$1000000,2971,FALSE)</f>
        <v>0</v>
      </c>
      <c r="M175" s="33">
        <f>VLOOKUP(A1,DIV_02Data!$A$1:$DZU$1000000,2972,FALSE)</f>
        <v>0</v>
      </c>
      <c r="N175" s="34">
        <f>VLOOKUP(A1,DIV_02Data!$A$1:$DZU$1000000,2973,FALSE)</f>
        <v>0</v>
      </c>
      <c r="O175" s="33">
        <f>VLOOKUP(A1,DIV_02Data!$A$1:$DZU$1000000,2974,FALSE)</f>
        <v>0</v>
      </c>
      <c r="P175" s="46">
        <f>VLOOKUP(A1,DIV_02Data!$A$1:$DZU$1000000,2975,FALSE)</f>
        <v>0</v>
      </c>
      <c r="Q175" s="33">
        <f>VLOOKUP(A1,DIV_02Data!$A$1:$DZU$1000000,2976,FALSE)</f>
        <v>0</v>
      </c>
    </row>
    <row r="176" spans="1:17" x14ac:dyDescent="0.35">
      <c r="A176" s="22">
        <f>VLOOKUP(A1,DIV_02Data!$A$1:$DZU$1000000,2977,FALSE)</f>
        <v>0</v>
      </c>
      <c r="B176" s="37">
        <f>VLOOKUP(A1,DIV_02Data!$A$1:$DZU$1000000,2978,FALSE)</f>
        <v>0</v>
      </c>
      <c r="C176" s="38">
        <f>VLOOKUP(A1,DIV_02Data!$A$1:$DZU$1000000,2979,FALSE)</f>
        <v>0</v>
      </c>
      <c r="D176" s="31">
        <f>VLOOKUP(A1,DIV_02Data!$A$1:$DZU$1000000,2980,FALSE)</f>
        <v>0</v>
      </c>
      <c r="E176" s="32">
        <f>VLOOKUP(A1,DIV_02Data!$A$1:$DZU$1000000,2981,FALSE)</f>
        <v>0</v>
      </c>
      <c r="F176" s="34">
        <f>VLOOKUP(A1,DIV_02Data!$A$1:$DZU$1000000,2982,FALSE)</f>
        <v>0</v>
      </c>
      <c r="G176" s="33">
        <f>VLOOKUP(A1,DIV_02Data!$A$1:$DZU$1000000,2983,FALSE)</f>
        <v>0</v>
      </c>
      <c r="H176" s="34">
        <f>VLOOKUP(A1,DIV_02Data!$A$1:$DZU$1000000,2984,FALSE)</f>
        <v>0</v>
      </c>
      <c r="I176" s="33">
        <f>VLOOKUP(A1,DIV_02Data!$A$1:$DZU$1000000,2985,FALSE)</f>
        <v>0</v>
      </c>
      <c r="J176" s="34">
        <f>VLOOKUP(A1,DIV_02Data!$A$1:$DZU$1000000,2986,FALSE)</f>
        <v>0</v>
      </c>
      <c r="K176" s="34">
        <f>VLOOKUP(A1,DIV_02Data!$A$1:$DZU$1000000,2987,FALSE)</f>
        <v>0</v>
      </c>
      <c r="L176" s="93">
        <f>VLOOKUP(A1,DIV_02Data!$A$1:$DZU$1000000,2988,FALSE)</f>
        <v>0</v>
      </c>
      <c r="M176" s="33">
        <f>VLOOKUP(A1,DIV_02Data!$A$1:$DZU$1000000,2989,FALSE)</f>
        <v>0</v>
      </c>
      <c r="N176" s="34">
        <f>VLOOKUP(A1,DIV_02Data!$A$1:$DZU$1000000,2990,FALSE)</f>
        <v>0</v>
      </c>
      <c r="O176" s="33">
        <f>VLOOKUP(A1,DIV_02Data!$A$1:$DZU$1000000,2991,FALSE)</f>
        <v>0</v>
      </c>
      <c r="P176" s="46">
        <f>VLOOKUP(A1,DIV_02Data!$A$1:$DZU$1000000,2992,FALSE)</f>
        <v>0</v>
      </c>
      <c r="Q176" s="33">
        <f>VLOOKUP(A1,DIV_02Data!$A$1:$DZU$1000000,2993,FALSE)</f>
        <v>0</v>
      </c>
    </row>
    <row r="177" spans="1:17" x14ac:dyDescent="0.35">
      <c r="A177" s="22">
        <f>VLOOKUP(A1,DIV_02Data!$A$1:$DZU$1000000,2994,FALSE)</f>
        <v>0</v>
      </c>
      <c r="B177" s="37">
        <f>VLOOKUP(A1,DIV_02Data!$A$1:$DZU$1000000,2995,FALSE)</f>
        <v>0</v>
      </c>
      <c r="C177" s="38">
        <f>VLOOKUP(A1,DIV_02Data!$A$1:$DZU$1000000,2996,FALSE)</f>
        <v>0</v>
      </c>
      <c r="D177" s="31">
        <f>VLOOKUP(A1,DIV_02Data!$A$1:$DZU$1000000,2997,FALSE)</f>
        <v>0</v>
      </c>
      <c r="E177" s="32">
        <f>VLOOKUP(A1,DIV_02Data!$A$1:$DZU$1000000,2998,FALSE)</f>
        <v>0</v>
      </c>
      <c r="F177" s="34">
        <f>VLOOKUP(A1,DIV_02Data!$A$1:$DZU$1000000,2999,FALSE)</f>
        <v>0</v>
      </c>
      <c r="G177" s="33">
        <f>VLOOKUP(A1,DIV_02Data!$A$1:$DZU$1000000,3000,FALSE)</f>
        <v>0</v>
      </c>
      <c r="H177" s="34">
        <f>VLOOKUP(A1,DIV_02Data!$A$1:$DZU$1000000,3001,FALSE)</f>
        <v>0</v>
      </c>
      <c r="I177" s="33">
        <f>VLOOKUP(A1,DIV_02Data!$A$1:$DZU$1000000,3002,FALSE)</f>
        <v>0</v>
      </c>
      <c r="J177" s="34">
        <f>VLOOKUP(A1,DIV_02Data!$A$1:$DZU$1000000,3003,FALSE)</f>
        <v>0</v>
      </c>
      <c r="K177" s="34">
        <f>VLOOKUP(A1,DIV_02Data!$A$1:$DZU$1000000,3004,FALSE)</f>
        <v>0</v>
      </c>
      <c r="L177" s="93">
        <f>VLOOKUP(A1,DIV_02Data!$A$1:$DZU$1000000,3005,FALSE)</f>
        <v>0</v>
      </c>
      <c r="M177" s="33">
        <f>VLOOKUP(A1,DIV_02Data!$A$1:$DZU$1000000,3006,FALSE)</f>
        <v>0</v>
      </c>
      <c r="N177" s="34">
        <f>VLOOKUP(A1,DIV_02Data!$A$1:$DZU$1000000,3007,FALSE)</f>
        <v>0</v>
      </c>
      <c r="O177" s="33">
        <f>VLOOKUP(A1,DIV_02Data!$A$1:$DZU$1000000,3008,FALSE)</f>
        <v>0</v>
      </c>
      <c r="P177" s="46">
        <f>VLOOKUP(A1,DIV_02Data!$A$1:$DZU$1000000,3009,FALSE)</f>
        <v>0</v>
      </c>
      <c r="Q177" s="33">
        <f>VLOOKUP(A1,DIV_02Data!$A$1:$DZU$1000000,3010,FALSE)</f>
        <v>0</v>
      </c>
    </row>
    <row r="178" spans="1:17" x14ac:dyDescent="0.35">
      <c r="A178" s="22">
        <f>VLOOKUP(A1,DIV_02Data!$A$1:$DZU$1000000,3011,FALSE)</f>
        <v>0</v>
      </c>
      <c r="B178" s="37">
        <f>VLOOKUP(A1,DIV_02Data!$A$1:$DZU$1000000,3012,FALSE)</f>
        <v>0</v>
      </c>
      <c r="C178" s="38">
        <f>VLOOKUP(A1,DIV_02Data!$A$1:$DZU$1000000,3013,FALSE)</f>
        <v>0</v>
      </c>
      <c r="D178" s="31">
        <f>VLOOKUP(A1,DIV_02Data!$A$1:$DZU$1000000,3014,FALSE)</f>
        <v>0</v>
      </c>
      <c r="E178" s="32">
        <f>VLOOKUP(A1,DIV_02Data!$A$1:$DZU$1000000,3015,FALSE)</f>
        <v>0</v>
      </c>
      <c r="F178" s="34">
        <f>VLOOKUP(A1,DIV_02Data!$A$1:$DZU$1000000,3016,FALSE)</f>
        <v>0</v>
      </c>
      <c r="G178" s="33">
        <f>VLOOKUP(A1,DIV_02Data!$A$1:$DZU$1000000,3017,FALSE)</f>
        <v>0</v>
      </c>
      <c r="H178" s="34">
        <f>VLOOKUP(A1,DIV_02Data!$A$1:$DZU$1000000,3018,FALSE)</f>
        <v>0</v>
      </c>
      <c r="I178" s="33">
        <f>VLOOKUP(A1,DIV_02Data!$A$1:$DZU$1000000,3019,FALSE)</f>
        <v>0</v>
      </c>
      <c r="J178" s="34">
        <f>VLOOKUP(A1,DIV_02Data!$A$1:$DZU$1000000,3020,FALSE)</f>
        <v>0</v>
      </c>
      <c r="K178" s="34">
        <f>VLOOKUP(A1,DIV_02Data!$A$1:$DZU$1000000,3021,FALSE)</f>
        <v>0</v>
      </c>
      <c r="L178" s="93">
        <f>VLOOKUP(A1,DIV_02Data!$A$1:$DZU$1000000,3022,FALSE)</f>
        <v>0</v>
      </c>
      <c r="M178" s="33">
        <f>VLOOKUP(A1,DIV_02Data!$A$1:$DZU$1000000,3023,FALSE)</f>
        <v>0</v>
      </c>
      <c r="N178" s="34">
        <f>VLOOKUP(A1,DIV_02Data!$A$1:$DZU$1000000,3024,FALSE)</f>
        <v>0</v>
      </c>
      <c r="O178" s="33">
        <f>VLOOKUP(A1,DIV_02Data!$A$1:$DZU$1000000,3025,FALSE)</f>
        <v>0</v>
      </c>
      <c r="P178" s="46">
        <f>VLOOKUP(A1,DIV_02Data!$A$1:$DZU$1000000,3026,FALSE)</f>
        <v>0</v>
      </c>
      <c r="Q178" s="33">
        <f>VLOOKUP(A1,DIV_02Data!$A$1:$DZU$1000000,3027,FALSE)</f>
        <v>0</v>
      </c>
    </row>
    <row r="179" spans="1:17" x14ac:dyDescent="0.35">
      <c r="A179" s="22">
        <f>VLOOKUP(A1,DIV_02Data!$A$1:$DZU$1000000,3028,FALSE)</f>
        <v>0</v>
      </c>
      <c r="B179" s="37">
        <f>VLOOKUP(A1,DIV_02Data!$A$1:$DZU$1000000,3029,FALSE)</f>
        <v>0</v>
      </c>
      <c r="C179" s="38">
        <f>VLOOKUP(A1,DIV_02Data!$A$1:$DZU$1000000,3030,FALSE)</f>
        <v>0</v>
      </c>
      <c r="D179" s="31">
        <f>VLOOKUP(A1,DIV_02Data!$A$1:$DZU$1000000,3031,FALSE)</f>
        <v>0</v>
      </c>
      <c r="E179" s="32">
        <f>VLOOKUP(A1,DIV_02Data!$A$1:$DZU$1000000,3032,FALSE)</f>
        <v>0</v>
      </c>
      <c r="F179" s="34">
        <f>VLOOKUP(A1,DIV_02Data!$A$1:$DZU$1000000,3033,FALSE)</f>
        <v>0</v>
      </c>
      <c r="G179" s="33">
        <f>VLOOKUP(A1,DIV_02Data!$A$1:$DZU$1000000,3034,FALSE)</f>
        <v>0</v>
      </c>
      <c r="H179" s="34">
        <f>VLOOKUP(A1,DIV_02Data!$A$1:$DZU$1000000,3035,FALSE)</f>
        <v>0</v>
      </c>
      <c r="I179" s="33">
        <f>VLOOKUP(A1,DIV_02Data!$A$1:$DZU$1000000,3036,FALSE)</f>
        <v>0</v>
      </c>
      <c r="J179" s="34">
        <f>VLOOKUP(A1,DIV_02Data!$A$1:$DZU$1000000,3037,FALSE)</f>
        <v>0</v>
      </c>
      <c r="K179" s="34">
        <f>VLOOKUP(A1,DIV_02Data!$A$1:$DZU$1000000,3038,FALSE)</f>
        <v>0</v>
      </c>
      <c r="L179" s="93">
        <f>VLOOKUP(A1,DIV_02Data!$A$1:$DZU$1000000,3039,FALSE)</f>
        <v>0</v>
      </c>
      <c r="M179" s="33">
        <f>VLOOKUP(A1,DIV_02Data!$A$1:$DZU$1000000,3040,FALSE)</f>
        <v>0</v>
      </c>
      <c r="N179" s="34">
        <f>VLOOKUP(A1,DIV_02Data!$A$1:$DZU$1000000,3041,FALSE)</f>
        <v>0</v>
      </c>
      <c r="O179" s="33">
        <f>VLOOKUP(A1,DIV_02Data!$A$1:$DZU$1000000,3042,FALSE)</f>
        <v>0</v>
      </c>
      <c r="P179" s="46">
        <f>VLOOKUP(A1,DIV_02Data!$A$1:$DZU$1000000,3043,FALSE)</f>
        <v>0</v>
      </c>
      <c r="Q179" s="33">
        <f>VLOOKUP(A1,DIV_02Data!$A$1:$DZU$1000000,3044,FALSE)</f>
        <v>0</v>
      </c>
    </row>
    <row r="180" spans="1:17" x14ac:dyDescent="0.35">
      <c r="A180" s="22">
        <f>VLOOKUP(A1,DIV_02Data!$A$1:$DZU$1000000,3045,FALSE)</f>
        <v>0</v>
      </c>
      <c r="B180" s="37">
        <f>VLOOKUP(A1,DIV_02Data!$A$1:$DZU$1000000,3046,FALSE)</f>
        <v>0</v>
      </c>
      <c r="C180" s="38">
        <f>VLOOKUP(A1,DIV_02Data!$A$1:$DZU$1000000,3047,FALSE)</f>
        <v>0</v>
      </c>
      <c r="D180" s="31">
        <f>VLOOKUP(A1,DIV_02Data!$A$1:$DZU$1000000,3048,FALSE)</f>
        <v>0</v>
      </c>
      <c r="E180" s="32">
        <f>VLOOKUP(A1,DIV_02Data!$A$1:$DZU$1000000,3049,FALSE)</f>
        <v>0</v>
      </c>
      <c r="F180" s="34">
        <f>VLOOKUP(A1,DIV_02Data!$A$1:$DZU$1000000,3050,FALSE)</f>
        <v>0</v>
      </c>
      <c r="G180" s="33">
        <f>VLOOKUP(A1,DIV_02Data!$A$1:$DZU$1000000,3051,FALSE)</f>
        <v>0</v>
      </c>
      <c r="H180" s="34">
        <f>VLOOKUP(A1,DIV_02Data!$A$1:$DZU$1000000,3052,FALSE)</f>
        <v>0</v>
      </c>
      <c r="I180" s="33">
        <f>VLOOKUP(A1,DIV_02Data!$A$1:$DZU$1000000,3053,FALSE)</f>
        <v>0</v>
      </c>
      <c r="J180" s="34">
        <f>VLOOKUP(A1,DIV_02Data!$A$1:$DZU$1000000,3054,FALSE)</f>
        <v>0</v>
      </c>
      <c r="K180" s="34">
        <f>VLOOKUP(A1,DIV_02Data!$A$1:$DZU$1000000,3055,FALSE)</f>
        <v>0</v>
      </c>
      <c r="L180" s="93">
        <f>VLOOKUP(A1,DIV_02Data!$A$1:$DZU$1000000,3056,FALSE)</f>
        <v>0</v>
      </c>
      <c r="M180" s="33">
        <f>VLOOKUP(A1,DIV_02Data!$A$1:$DZU$1000000,3057,FALSE)</f>
        <v>0</v>
      </c>
      <c r="N180" s="34">
        <f>VLOOKUP(A1,DIV_02Data!$A$1:$DZU$1000000,3058,FALSE)</f>
        <v>0</v>
      </c>
      <c r="O180" s="33">
        <f>VLOOKUP(A1,DIV_02Data!$A$1:$DZU$1000000,3059,FALSE)</f>
        <v>0</v>
      </c>
      <c r="P180" s="46">
        <f>VLOOKUP(A1,DIV_02Data!$A$1:$DZU$1000000,3060,FALSE)</f>
        <v>0</v>
      </c>
      <c r="Q180" s="33">
        <f>VLOOKUP(A1,DIV_02Data!$A$1:$DZU$1000000,3061,FALSE)</f>
        <v>0</v>
      </c>
    </row>
    <row r="181" spans="1:17" x14ac:dyDescent="0.35">
      <c r="A181" s="22">
        <f>VLOOKUP(A1,DIV_02Data!$A$1:$DZU$1000000,3062,FALSE)</f>
        <v>0</v>
      </c>
      <c r="B181" s="37">
        <f>VLOOKUP(A1,DIV_02Data!$A$1:$DZU$1000000,3063,FALSE)</f>
        <v>0</v>
      </c>
      <c r="C181" s="38">
        <f>VLOOKUP(A1,DIV_02Data!$A$1:$DZU$1000000,3064,FALSE)</f>
        <v>0</v>
      </c>
      <c r="D181" s="31">
        <f>VLOOKUP(A1,DIV_02Data!$A$1:$DZU$1000000,3065,FALSE)</f>
        <v>0</v>
      </c>
      <c r="E181" s="32">
        <f>VLOOKUP(A1,DIV_02Data!$A$1:$DZU$1000000,3066,FALSE)</f>
        <v>0</v>
      </c>
      <c r="F181" s="34">
        <f>VLOOKUP(A1,DIV_02Data!$A$1:$DZU$1000000,3067,FALSE)</f>
        <v>0</v>
      </c>
      <c r="G181" s="33">
        <f>VLOOKUP(A1,DIV_02Data!$A$1:$DZU$1000000,3068,FALSE)</f>
        <v>0</v>
      </c>
      <c r="H181" s="34">
        <f>VLOOKUP(A1,DIV_02Data!$A$1:$DZU$1000000,3069,FALSE)</f>
        <v>0</v>
      </c>
      <c r="I181" s="33">
        <f>VLOOKUP(A1,DIV_02Data!$A$1:$DZU$1000000,3070,FALSE)</f>
        <v>0</v>
      </c>
      <c r="J181" s="34">
        <f>VLOOKUP(A1,DIV_02Data!$A$1:$DZU$1000000,3071,FALSE)</f>
        <v>0</v>
      </c>
      <c r="K181" s="34">
        <f>VLOOKUP(A1,DIV_02Data!$A$1:$DZU$1000000,3072,FALSE)</f>
        <v>0</v>
      </c>
      <c r="L181" s="93">
        <f>VLOOKUP(A1,DIV_02Data!$A$1:$DZU$1000000,3073,FALSE)</f>
        <v>0</v>
      </c>
      <c r="M181" s="33">
        <f>VLOOKUP(A1,DIV_02Data!$A$1:$DZU$1000000,3074,FALSE)</f>
        <v>0</v>
      </c>
      <c r="N181" s="34">
        <f>VLOOKUP(A1,DIV_02Data!$A$1:$DZU$1000000,3075,FALSE)</f>
        <v>0</v>
      </c>
      <c r="O181" s="33">
        <f>VLOOKUP(A1,DIV_02Data!$A$1:$DZU$1000000,3076,FALSE)</f>
        <v>0</v>
      </c>
      <c r="P181" s="46">
        <f>VLOOKUP(A1,DIV_02Data!$A$1:$DZU$1000000,3077,FALSE)</f>
        <v>0</v>
      </c>
      <c r="Q181" s="33">
        <f>VLOOKUP(A1,DIV_02Data!$A$1:$DZU$1000000,3078,FALSE)</f>
        <v>0</v>
      </c>
    </row>
    <row r="182" spans="1:17" x14ac:dyDescent="0.35">
      <c r="A182" s="22">
        <f>VLOOKUP(A1,DIV_02Data!$A$1:$DZU$1000000,3079,FALSE)</f>
        <v>0</v>
      </c>
      <c r="B182" s="37">
        <f>VLOOKUP(A1,DIV_02Data!$A$1:$DZU$1000000,3080,FALSE)</f>
        <v>0</v>
      </c>
      <c r="C182" s="38">
        <f>VLOOKUP(A1,DIV_02Data!$A$1:$DZU$1000000,3081,FALSE)</f>
        <v>0</v>
      </c>
      <c r="D182" s="31">
        <f>VLOOKUP(A1,DIV_02Data!$A$1:$DZU$1000000,3082,FALSE)</f>
        <v>0</v>
      </c>
      <c r="E182" s="32">
        <f>VLOOKUP(A1,DIV_02Data!$A$1:$DZU$1000000,3083,FALSE)</f>
        <v>0</v>
      </c>
      <c r="F182" s="34">
        <f>VLOOKUP(A1,DIV_02Data!$A$1:$DZU$1000000,3084,FALSE)</f>
        <v>0</v>
      </c>
      <c r="G182" s="33">
        <f>VLOOKUP(A1,DIV_02Data!$A$1:$DZU$1000000,3085,FALSE)</f>
        <v>0</v>
      </c>
      <c r="H182" s="34">
        <f>VLOOKUP(A1,DIV_02Data!$A$1:$DZU$1000000,3086,FALSE)</f>
        <v>0</v>
      </c>
      <c r="I182" s="33">
        <f>VLOOKUP(A1,DIV_02Data!$A$1:$DZU$1000000,3087,FALSE)</f>
        <v>0</v>
      </c>
      <c r="J182" s="34">
        <f>VLOOKUP(A1,DIV_02Data!$A$1:$DZU$1000000,3088,FALSE)</f>
        <v>0</v>
      </c>
      <c r="K182" s="34">
        <f>VLOOKUP(A1,DIV_02Data!$A$1:$DZU$1000000,3089,FALSE)</f>
        <v>0</v>
      </c>
      <c r="L182" s="93">
        <f>VLOOKUP(A1,DIV_02Data!$A$1:$DZU$1000000,3090,FALSE)</f>
        <v>0</v>
      </c>
      <c r="M182" s="33">
        <f>VLOOKUP(A1,DIV_02Data!$A$1:$DZU$1000000,3091,FALSE)</f>
        <v>0</v>
      </c>
      <c r="N182" s="34">
        <f>VLOOKUP(A1,DIV_02Data!$A$1:$DZU$1000000,3092,FALSE)</f>
        <v>0</v>
      </c>
      <c r="O182" s="33">
        <f>VLOOKUP(A1,DIV_02Data!$A$1:$DZU$1000000,3093,FALSE)</f>
        <v>0</v>
      </c>
      <c r="P182" s="46">
        <f>VLOOKUP(A1,DIV_02Data!$A$1:$DZU$1000000,3094,FALSE)</f>
        <v>0</v>
      </c>
      <c r="Q182" s="33">
        <f>VLOOKUP(A1,DIV_02Data!$A$1:$DZU$1000000,3095,FALSE)</f>
        <v>0</v>
      </c>
    </row>
    <row r="183" spans="1:17" x14ac:dyDescent="0.35">
      <c r="A183" s="22">
        <f>VLOOKUP(A1,DIV_02Data!$A$1:$DZU$1000000,3096,FALSE)</f>
        <v>0</v>
      </c>
      <c r="B183" s="37">
        <f>VLOOKUP(A1,DIV_02Data!$A$1:$DZU$1000000,3097,FALSE)</f>
        <v>0</v>
      </c>
      <c r="C183" s="38">
        <f>VLOOKUP(A1,DIV_02Data!$A$1:$DZU$1000000,3098,FALSE)</f>
        <v>0</v>
      </c>
      <c r="D183" s="31">
        <f>VLOOKUP(A1,DIV_02Data!$A$1:$DZU$1000000,3099,FALSE)</f>
        <v>0</v>
      </c>
      <c r="E183" s="32">
        <f>VLOOKUP(A1,DIV_02Data!$A$1:$DZU$1000000,3100,FALSE)</f>
        <v>0</v>
      </c>
      <c r="F183" s="34">
        <f>VLOOKUP(A1,DIV_02Data!$A$1:$DZU$1000000,3101,FALSE)</f>
        <v>0</v>
      </c>
      <c r="G183" s="33">
        <f>VLOOKUP(A1,DIV_02Data!$A$1:$DZU$1000000,3102,FALSE)</f>
        <v>0</v>
      </c>
      <c r="H183" s="34">
        <f>VLOOKUP(A1,DIV_02Data!$A$1:$DZU$1000000,3103,FALSE)</f>
        <v>0</v>
      </c>
      <c r="I183" s="33">
        <f>VLOOKUP(A1,DIV_02Data!$A$1:$DZU$1000000,3104,FALSE)</f>
        <v>0</v>
      </c>
      <c r="J183" s="34">
        <f>VLOOKUP(A1,DIV_02Data!$A$1:$DZU$1000000,3105,FALSE)</f>
        <v>0</v>
      </c>
      <c r="K183" s="34">
        <f>VLOOKUP(A1,DIV_02Data!$A$1:$DZU$1000000,3106,FALSE)</f>
        <v>0</v>
      </c>
      <c r="L183" s="93">
        <f>VLOOKUP(A1,DIV_02Data!$A$1:$DZU$1000000,3107,FALSE)</f>
        <v>0</v>
      </c>
      <c r="M183" s="33">
        <f>VLOOKUP(A1,DIV_02Data!$A$1:$DZU$1000000,3108,FALSE)</f>
        <v>0</v>
      </c>
      <c r="N183" s="34">
        <f>VLOOKUP(A1,DIV_02Data!$A$1:$DZU$1000000,3109,FALSE)</f>
        <v>0</v>
      </c>
      <c r="O183" s="33">
        <f>VLOOKUP(A1,DIV_02Data!$A$1:$DZU$1000000,3110,FALSE)</f>
        <v>0</v>
      </c>
      <c r="P183" s="46">
        <f>VLOOKUP(A1,DIV_02Data!$A$1:$DZU$1000000,3111,FALSE)</f>
        <v>0</v>
      </c>
      <c r="Q183" s="33">
        <f>VLOOKUP(A1,DIV_02Data!$A$1:$DZU$1000000,3112,FALSE)</f>
        <v>0</v>
      </c>
    </row>
    <row r="184" spans="1:17" x14ac:dyDescent="0.35">
      <c r="A184" s="22">
        <f>VLOOKUP(A1,DIV_02Data!$A$1:$DZU$1000000,3113,FALSE)</f>
        <v>0</v>
      </c>
      <c r="B184" s="37">
        <f>VLOOKUP(A1,DIV_02Data!$A$1:$DZU$1000000,3114,FALSE)</f>
        <v>0</v>
      </c>
      <c r="C184" s="38">
        <f>VLOOKUP(A1,DIV_02Data!$A$1:$DZU$1000000,3115,FALSE)</f>
        <v>0</v>
      </c>
      <c r="D184" s="31">
        <f>VLOOKUP(A1,DIV_02Data!$A$1:$DZU$1000000,3116,FALSE)</f>
        <v>0</v>
      </c>
      <c r="E184" s="32">
        <f>VLOOKUP(A1,DIV_02Data!$A$1:$DZU$1000000,3117,FALSE)</f>
        <v>0</v>
      </c>
      <c r="F184" s="34">
        <f>VLOOKUP(A1,DIV_02Data!$A$1:$DZU$1000000,3118,FALSE)</f>
        <v>0</v>
      </c>
      <c r="G184" s="33">
        <f>VLOOKUP(A1,DIV_02Data!$A$1:$DZU$1000000,3119,FALSE)</f>
        <v>0</v>
      </c>
      <c r="H184" s="34">
        <f>VLOOKUP(A1,DIV_02Data!$A$1:$DZU$1000000,3120,FALSE)</f>
        <v>0</v>
      </c>
      <c r="I184" s="33">
        <f>VLOOKUP(A1,DIV_02Data!$A$1:$DZU$1000000,3121,FALSE)</f>
        <v>0</v>
      </c>
      <c r="J184" s="34">
        <f>VLOOKUP(A1,DIV_02Data!$A$1:$DZU$1000000,3122,FALSE)</f>
        <v>0</v>
      </c>
      <c r="K184" s="34">
        <f>VLOOKUP(A1,DIV_02Data!$A$1:$DZU$1000000,3123,FALSE)</f>
        <v>0</v>
      </c>
      <c r="L184" s="93">
        <f>VLOOKUP(A1,DIV_02Data!$A$1:$DZU$1000000,3124,FALSE)</f>
        <v>0</v>
      </c>
      <c r="M184" s="33">
        <f>VLOOKUP(A1,DIV_02Data!$A$1:$DZU$1000000,3125,FALSE)</f>
        <v>0</v>
      </c>
      <c r="N184" s="34">
        <f>VLOOKUP(A1,DIV_02Data!$A$1:$DZU$1000000,3126,FALSE)</f>
        <v>0</v>
      </c>
      <c r="O184" s="33">
        <f>VLOOKUP(A1,DIV_02Data!$A$1:$DZU$1000000,3127,FALSE)</f>
        <v>0</v>
      </c>
      <c r="P184" s="46">
        <f>VLOOKUP(A1,DIV_02Data!$A$1:$DZU$1000000,3128,FALSE)</f>
        <v>0</v>
      </c>
      <c r="Q184" s="33">
        <f>VLOOKUP(A1,DIV_02Data!$A$1:$DZU$1000000,3129,FALSE)</f>
        <v>0</v>
      </c>
    </row>
    <row r="185" spans="1:17" x14ac:dyDescent="0.35">
      <c r="A185" s="22">
        <f>VLOOKUP(A1,DIV_02Data!$A$1:$DZU$1000000,3130,FALSE)</f>
        <v>0</v>
      </c>
      <c r="B185" s="37">
        <f>VLOOKUP(A1,DIV_02Data!$A$1:$DZU$1000000,3131,FALSE)</f>
        <v>0</v>
      </c>
      <c r="C185" s="38">
        <f>VLOOKUP(A1,DIV_02Data!$A$1:$DZU$1000000,3132,FALSE)</f>
        <v>0</v>
      </c>
      <c r="D185" s="31">
        <f>VLOOKUP(A1,DIV_02Data!$A$1:$DZU$1000000,3133,FALSE)</f>
        <v>0</v>
      </c>
      <c r="E185" s="32">
        <f>VLOOKUP(A1,DIV_02Data!$A$1:$DZU$1000000,3134,FALSE)</f>
        <v>0</v>
      </c>
      <c r="F185" s="34">
        <f>VLOOKUP(A1,DIV_02Data!$A$1:$DZU$1000000,3135,FALSE)</f>
        <v>0</v>
      </c>
      <c r="G185" s="33">
        <f>VLOOKUP(A1,DIV_02Data!$A$1:$DZU$1000000,3136,FALSE)</f>
        <v>0</v>
      </c>
      <c r="H185" s="34">
        <f>VLOOKUP(A1,DIV_02Data!$A$1:$DZU$1000000,3137,FALSE)</f>
        <v>0</v>
      </c>
      <c r="I185" s="33">
        <f>VLOOKUP(A1,DIV_02Data!$A$1:$DZU$1000000,3138,FALSE)</f>
        <v>0</v>
      </c>
      <c r="J185" s="34">
        <f>VLOOKUP(A1,DIV_02Data!$A$1:$DZU$1000000,3139,FALSE)</f>
        <v>0</v>
      </c>
      <c r="K185" s="34">
        <f>VLOOKUP(A1,DIV_02Data!$A$1:$DZU$1000000,3140,FALSE)</f>
        <v>0</v>
      </c>
      <c r="L185" s="93">
        <f>VLOOKUP(A1,DIV_02Data!$A$1:$DZU$1000000,3141,FALSE)</f>
        <v>0</v>
      </c>
      <c r="M185" s="33">
        <f>VLOOKUP(A1,DIV_02Data!$A$1:$DZU$1000000,3142,FALSE)</f>
        <v>0</v>
      </c>
      <c r="N185" s="34">
        <f>VLOOKUP(A1,DIV_02Data!$A$1:$DZU$1000000,3143,FALSE)</f>
        <v>0</v>
      </c>
      <c r="O185" s="33">
        <f>VLOOKUP(A1,DIV_02Data!$A$1:$DZU$1000000,3144,FALSE)</f>
        <v>0</v>
      </c>
      <c r="P185" s="46">
        <f>VLOOKUP(A1,DIV_02Data!$A$1:$DZU$1000000,3145,FALSE)</f>
        <v>0</v>
      </c>
      <c r="Q185" s="33">
        <f>VLOOKUP(A1,DIV_02Data!$A$1:$DZU$1000000,3146,FALSE)</f>
        <v>0</v>
      </c>
    </row>
    <row r="186" spans="1:17" x14ac:dyDescent="0.35">
      <c r="A186" s="22">
        <f>VLOOKUP(A1,DIV_02Data!$A$1:$DZU$1000000,3147,FALSE)</f>
        <v>0</v>
      </c>
      <c r="B186" s="37">
        <f>VLOOKUP(A1,DIV_02Data!$A$1:$DZU$1000000,3148,FALSE)</f>
        <v>0</v>
      </c>
      <c r="C186" s="38">
        <f>VLOOKUP(A1,DIV_02Data!$A$1:$DZU$1000000,3149,FALSE)</f>
        <v>0</v>
      </c>
      <c r="D186" s="31">
        <f>VLOOKUP(A1,DIV_02Data!$A$1:$DZU$1000000,3150,FALSE)</f>
        <v>0</v>
      </c>
      <c r="E186" s="32">
        <f>VLOOKUP(A1,DIV_02Data!$A$1:$DZU$1000000,3151,FALSE)</f>
        <v>0</v>
      </c>
      <c r="F186" s="34">
        <f>VLOOKUP(A1,DIV_02Data!$A$1:$DZU$1000000,3152,FALSE)</f>
        <v>0</v>
      </c>
      <c r="G186" s="33">
        <f>VLOOKUP(A1,DIV_02Data!$A$1:$DZU$1000000,3153,FALSE)</f>
        <v>0</v>
      </c>
      <c r="H186" s="34">
        <f>VLOOKUP(A1,DIV_02Data!$A$1:$DZU$1000000,3154,FALSE)</f>
        <v>0</v>
      </c>
      <c r="I186" s="33">
        <f>VLOOKUP(A1,DIV_02Data!$A$1:$DZU$1000000,3155,FALSE)</f>
        <v>0</v>
      </c>
      <c r="J186" s="34">
        <f>VLOOKUP(A1,DIV_02Data!$A$1:$DZU$1000000,3156,FALSE)</f>
        <v>0</v>
      </c>
      <c r="K186" s="34">
        <f>VLOOKUP(A1,DIV_02Data!$A$1:$DZU$1000000,3157,FALSE)</f>
        <v>0</v>
      </c>
      <c r="L186" s="93">
        <f>VLOOKUP(A1,DIV_02Data!$A$1:$DZU$1000000,3158,FALSE)</f>
        <v>0</v>
      </c>
      <c r="M186" s="33">
        <f>VLOOKUP(A1,DIV_02Data!$A$1:$DZU$1000000,3159,FALSE)</f>
        <v>0</v>
      </c>
      <c r="N186" s="34">
        <f>VLOOKUP(A1,DIV_02Data!$A$1:$DZU$1000000,3160,FALSE)</f>
        <v>0</v>
      </c>
      <c r="O186" s="33">
        <f>VLOOKUP(A1,DIV_02Data!$A$1:$DZU$1000000,3161,FALSE)</f>
        <v>0</v>
      </c>
      <c r="P186" s="46">
        <f>VLOOKUP(A1,DIV_02Data!$A$1:$DZU$1000000,3162,FALSE)</f>
        <v>0</v>
      </c>
      <c r="Q186" s="33">
        <f>VLOOKUP(A1,DIV_02Data!$A$1:$DZU$1000000,3163,FALSE)</f>
        <v>0</v>
      </c>
    </row>
    <row r="187" spans="1:17" x14ac:dyDescent="0.35">
      <c r="A187" s="22">
        <f>VLOOKUP(A1,DIV_02Data!$A$1:$DZU$1000000,3164,FALSE)</f>
        <v>0</v>
      </c>
      <c r="B187" s="37">
        <f>VLOOKUP(A1,DIV_02Data!$A$1:$DZU$1000000,3165,FALSE)</f>
        <v>0</v>
      </c>
      <c r="C187" s="38">
        <f>VLOOKUP(A1,DIV_02Data!$A$1:$DZU$1000000,3166,FALSE)</f>
        <v>0</v>
      </c>
      <c r="D187" s="31">
        <f>VLOOKUP(A1,DIV_02Data!$A$1:$DZU$1000000,3167,FALSE)</f>
        <v>0</v>
      </c>
      <c r="E187" s="32">
        <f>VLOOKUP(A1,DIV_02Data!$A$1:$DZU$1000000,3168,FALSE)</f>
        <v>0</v>
      </c>
      <c r="F187" s="34">
        <f>VLOOKUP(A1,DIV_02Data!$A$1:$DZU$1000000,3169,FALSE)</f>
        <v>0</v>
      </c>
      <c r="G187" s="33">
        <f>VLOOKUP(A1,DIV_02Data!$A$1:$DZU$1000000,3170,FALSE)</f>
        <v>0</v>
      </c>
      <c r="H187" s="34">
        <f>VLOOKUP(A1,DIV_02Data!$A$1:$DZU$1000000,3171,FALSE)</f>
        <v>0</v>
      </c>
      <c r="I187" s="33">
        <f>VLOOKUP(A1,DIV_02Data!$A$1:$DZU$1000000,3172,FALSE)</f>
        <v>0</v>
      </c>
      <c r="J187" s="34">
        <f>VLOOKUP(A1,DIV_02Data!$A$1:$DZU$1000000,3173,FALSE)</f>
        <v>0</v>
      </c>
      <c r="K187" s="34">
        <f>VLOOKUP(A1,DIV_02Data!$A$1:$DZU$1000000,3174,FALSE)</f>
        <v>0</v>
      </c>
      <c r="L187" s="93">
        <f>VLOOKUP(A1,DIV_02Data!$A$1:$DZU$1000000,3175,FALSE)</f>
        <v>0</v>
      </c>
      <c r="M187" s="33">
        <f>VLOOKUP(A1,DIV_02Data!$A$1:$DZU$1000000,3176,FALSE)</f>
        <v>0</v>
      </c>
      <c r="N187" s="34">
        <f>VLOOKUP(A1,DIV_02Data!$A$1:$DZU$1000000,3177,FALSE)</f>
        <v>0</v>
      </c>
      <c r="O187" s="33">
        <f>VLOOKUP(A1,DIV_02Data!$A$1:$DZU$1000000,3178,FALSE)</f>
        <v>0</v>
      </c>
      <c r="P187" s="46">
        <f>VLOOKUP(A1,DIV_02Data!$A$1:$DZU$1000000,3179,FALSE)</f>
        <v>0</v>
      </c>
      <c r="Q187" s="33">
        <f>VLOOKUP(A1,DIV_02Data!$A$1:$DZU$1000000,3180,FALSE)</f>
        <v>0</v>
      </c>
    </row>
    <row r="188" spans="1:17" x14ac:dyDescent="0.35">
      <c r="A188" s="22">
        <f>VLOOKUP(A1,DIV_02Data!$A$1:$DZU$1000000,3181,FALSE)</f>
        <v>0</v>
      </c>
      <c r="B188" s="37">
        <f>VLOOKUP(A1,DIV_02Data!$A$1:$DZU$1000000,3182,FALSE)</f>
        <v>0</v>
      </c>
      <c r="C188" s="38">
        <f>VLOOKUP(A1,DIV_02Data!$A$1:$DZU$1000000,3183,FALSE)</f>
        <v>0</v>
      </c>
      <c r="D188" s="31">
        <f>VLOOKUP(A1,DIV_02Data!$A$1:$DZU$1000000,3184,FALSE)</f>
        <v>0</v>
      </c>
      <c r="E188" s="32">
        <f>VLOOKUP(A1,DIV_02Data!$A$1:$DZU$1000000,3185,FALSE)</f>
        <v>0</v>
      </c>
      <c r="F188" s="34">
        <f>VLOOKUP(A1,DIV_02Data!$A$1:$DZU$1000000,3186,FALSE)</f>
        <v>0</v>
      </c>
      <c r="G188" s="33">
        <f>VLOOKUP(A1,DIV_02Data!$A$1:$DZU$1000000,3187,FALSE)</f>
        <v>0</v>
      </c>
      <c r="H188" s="34">
        <f>VLOOKUP(A1,DIV_02Data!$A$1:$DZU$1000000,3188,FALSE)</f>
        <v>0</v>
      </c>
      <c r="I188" s="33">
        <f>VLOOKUP(A1,DIV_02Data!$A$1:$DZU$1000000,3189,FALSE)</f>
        <v>0</v>
      </c>
      <c r="J188" s="34">
        <f>VLOOKUP(A1,DIV_02Data!$A$1:$DZU$1000000,3190,FALSE)</f>
        <v>0</v>
      </c>
      <c r="K188" s="34">
        <f>VLOOKUP(A1,DIV_02Data!$A$1:$DZU$1000000,3191,FALSE)</f>
        <v>0</v>
      </c>
      <c r="L188" s="93">
        <f>VLOOKUP(A1,DIV_02Data!$A$1:$DZU$1000000,3192,FALSE)</f>
        <v>0</v>
      </c>
      <c r="M188" s="33">
        <f>VLOOKUP(A1,DIV_02Data!$A$1:$DZU$1000000,3193,FALSE)</f>
        <v>0</v>
      </c>
      <c r="N188" s="34">
        <f>VLOOKUP(A1,DIV_02Data!$A$1:$DZU$1000000,3194,FALSE)</f>
        <v>0</v>
      </c>
      <c r="O188" s="33">
        <f>VLOOKUP(A1,DIV_02Data!$A$1:$DZU$1000000,3195,FALSE)</f>
        <v>0</v>
      </c>
      <c r="P188" s="46">
        <f>VLOOKUP(A1,DIV_02Data!$A$1:$DZU$1000000,3196,FALSE)</f>
        <v>0</v>
      </c>
      <c r="Q188" s="33">
        <f>VLOOKUP(A1,DIV_02Data!$A$1:$DZU$1000000,3197,FALSE)</f>
        <v>0</v>
      </c>
    </row>
    <row r="189" spans="1:17" x14ac:dyDescent="0.35">
      <c r="A189" s="22">
        <f>VLOOKUP(A1,DIV_02Data!$A$1:$DZU$1000000,3198,FALSE)</f>
        <v>0</v>
      </c>
      <c r="B189" s="37">
        <f>VLOOKUP(A1,DIV_02Data!$A$1:$DZU$1000000,3199,FALSE)</f>
        <v>0</v>
      </c>
      <c r="C189" s="38">
        <f>VLOOKUP(A1,DIV_02Data!$A$1:$DZU$1000000,3200,FALSE)</f>
        <v>0</v>
      </c>
      <c r="D189" s="31">
        <f>VLOOKUP(A1,DIV_02Data!$A$1:$DZU$1000000,3201,FALSE)</f>
        <v>0</v>
      </c>
      <c r="E189" s="32">
        <f>VLOOKUP(A1,DIV_02Data!$A$1:$DZU$1000000,3202,FALSE)</f>
        <v>0</v>
      </c>
      <c r="F189" s="34">
        <f>VLOOKUP(A1,DIV_02Data!$A$1:$DZU$1000000,3203,FALSE)</f>
        <v>0</v>
      </c>
      <c r="G189" s="33">
        <f>VLOOKUP(A1,DIV_02Data!$A$1:$DZU$1000000,3204,FALSE)</f>
        <v>0</v>
      </c>
      <c r="H189" s="34">
        <f>VLOOKUP(A1,DIV_02Data!$A$1:$DZU$1000000,3205,FALSE)</f>
        <v>0</v>
      </c>
      <c r="I189" s="33">
        <f>VLOOKUP(A1,DIV_02Data!$A$1:$DZU$1000000,3206,FALSE)</f>
        <v>0</v>
      </c>
      <c r="J189" s="34">
        <f>VLOOKUP(A1,DIV_02Data!$A$1:$DZU$1000000,3207,FALSE)</f>
        <v>0</v>
      </c>
      <c r="K189" s="34">
        <f>VLOOKUP(A1,DIV_02Data!$A$1:$DZU$1000000,3208,FALSE)</f>
        <v>0</v>
      </c>
      <c r="L189" s="93">
        <f>VLOOKUP(A1,DIV_02Data!$A$1:$DZU$1000000,3209,FALSE)</f>
        <v>0</v>
      </c>
      <c r="M189" s="33">
        <f>VLOOKUP(A1,DIV_02Data!$A$1:$DZU$1000000,3210,FALSE)</f>
        <v>0</v>
      </c>
      <c r="N189" s="34">
        <f>VLOOKUP(A1,DIV_02Data!$A$1:$DZU$1000000,3211,FALSE)</f>
        <v>0</v>
      </c>
      <c r="O189" s="33">
        <f>VLOOKUP(A1,DIV_02Data!$A$1:$DZU$1000000,3212,FALSE)</f>
        <v>0</v>
      </c>
      <c r="P189" s="46">
        <f>VLOOKUP(A1,DIV_02Data!$A$1:$DZU$1000000,3213,FALSE)</f>
        <v>0</v>
      </c>
      <c r="Q189" s="33">
        <f>VLOOKUP(A1,DIV_02Data!$A$1:$DZU$1000000,3214,FALSE)</f>
        <v>0</v>
      </c>
    </row>
    <row r="190" spans="1:17" x14ac:dyDescent="0.35">
      <c r="A190" s="22">
        <f>VLOOKUP(A1,DIV_02Data!$A$1:$DZU$1000000,3215,FALSE)</f>
        <v>0</v>
      </c>
      <c r="B190" s="37">
        <f>VLOOKUP(A1,DIV_02Data!$A$1:$DZU$1000000,3216,FALSE)</f>
        <v>0</v>
      </c>
      <c r="C190" s="38">
        <f>VLOOKUP(A1,DIV_02Data!$A$1:$DZU$1000000,3217,FALSE)</f>
        <v>0</v>
      </c>
      <c r="D190" s="31">
        <f>VLOOKUP(A1,DIV_02Data!$A$1:$DZU$1000000,3218,FALSE)</f>
        <v>0</v>
      </c>
      <c r="E190" s="32">
        <f>VLOOKUP(A1,DIV_02Data!$A$1:$DZU$1000000,3219,FALSE)</f>
        <v>0</v>
      </c>
      <c r="F190" s="34">
        <f>VLOOKUP(A1,DIV_02Data!$A$1:$DZU$1000000,3220,FALSE)</f>
        <v>0</v>
      </c>
      <c r="G190" s="33">
        <f>VLOOKUP(A1,DIV_02Data!$A$1:$DZU$1000000,3221,FALSE)</f>
        <v>0</v>
      </c>
      <c r="H190" s="34">
        <f>VLOOKUP(A1,DIV_02Data!$A$1:$DZU$1000000,3222,FALSE)</f>
        <v>0</v>
      </c>
      <c r="I190" s="33">
        <f>VLOOKUP(A1,DIV_02Data!$A$1:$DZU$1000000,3223,FALSE)</f>
        <v>0</v>
      </c>
      <c r="J190" s="34">
        <f>VLOOKUP(A1,DIV_02Data!$A$1:$DZU$1000000,3224,FALSE)</f>
        <v>0</v>
      </c>
      <c r="K190" s="34">
        <f>VLOOKUP(A1,DIV_02Data!$A$1:$DZU$1000000,3225,FALSE)</f>
        <v>0</v>
      </c>
      <c r="L190" s="93">
        <f>VLOOKUP(A1,DIV_02Data!$A$1:$DZU$1000000,3226,FALSE)</f>
        <v>0</v>
      </c>
      <c r="M190" s="33">
        <f>VLOOKUP(A1,DIV_02Data!$A$1:$DZU$1000000,3227,FALSE)</f>
        <v>0</v>
      </c>
      <c r="N190" s="34">
        <f>VLOOKUP(A1,DIV_02Data!$A$1:$DZU$1000000,3228,FALSE)</f>
        <v>0</v>
      </c>
      <c r="O190" s="33">
        <f>VLOOKUP(A1,DIV_02Data!$A$1:$DZU$1000000,3229,FALSE)</f>
        <v>0</v>
      </c>
      <c r="P190" s="46">
        <f>VLOOKUP(A1,DIV_02Data!$A$1:$DZU$1000000,3230,FALSE)</f>
        <v>0</v>
      </c>
      <c r="Q190" s="33">
        <f>VLOOKUP(A1,DIV_02Data!$A$1:$DZU$1000000,3231,FALSE)</f>
        <v>0</v>
      </c>
    </row>
    <row r="191" spans="1:17" x14ac:dyDescent="0.35">
      <c r="A191" s="22">
        <f>VLOOKUP(A1,DIV_02Data!$A$1:$DZU$1000000,3232,FALSE)</f>
        <v>0</v>
      </c>
      <c r="B191" s="37">
        <f>VLOOKUP(A1,DIV_02Data!$A$1:$DZU$1000000,3233,FALSE)</f>
        <v>0</v>
      </c>
      <c r="C191" s="43">
        <f>VLOOKUP(A1,DIV_02Data!$A$1:$DZU$1000000,3234,FALSE)</f>
        <v>0</v>
      </c>
      <c r="D191" s="31">
        <f>VLOOKUP(A1,DIV_02Data!$A$1:$DZU$1000000,3235,FALSE)</f>
        <v>0</v>
      </c>
      <c r="E191" s="32">
        <f>VLOOKUP(A1,DIV_02Data!$A$1:$DZU$1000000,3236,FALSE)</f>
        <v>0</v>
      </c>
      <c r="F191" s="44">
        <f>VLOOKUP(A1,DIV_02Data!$A$1:$DZU$1000000,3237,FALSE)</f>
        <v>0</v>
      </c>
      <c r="G191" s="45">
        <f>VLOOKUP(A1,DIV_02Data!$A$1:$DZU$1000000,3238,FALSE)</f>
        <v>0</v>
      </c>
      <c r="H191" s="44">
        <f>VLOOKUP(A1,DIV_02Data!$A$1:$DZU$1000000,3239,FALSE)</f>
        <v>0</v>
      </c>
      <c r="I191" s="45">
        <f>VLOOKUP(A1,DIV_02Data!$A$1:$DZU$1000000,3240,FALSE)</f>
        <v>0</v>
      </c>
      <c r="J191" s="34">
        <f>VLOOKUP(A1,DIV_02Data!$A$1:$DZU$1000000,3241,FALSE)</f>
        <v>0</v>
      </c>
      <c r="K191" s="43">
        <f>VLOOKUP(A1,DIV_02Data!$A$1:$DZU$1000000,3242,FALSE)</f>
        <v>0</v>
      </c>
      <c r="L191" s="44">
        <f>VLOOKUP(A1,DIV_02Data!$A$1:$DZU$1000000,3243,FALSE)</f>
        <v>0</v>
      </c>
      <c r="M191" s="45">
        <f>VLOOKUP(A1,DIV_02Data!$A$1:$DZU$1000000,3244,FALSE)</f>
        <v>0</v>
      </c>
      <c r="N191" s="44">
        <f>VLOOKUP(A1,DIV_02Data!$A$1:$DZU$1000000,3245,FALSE)</f>
        <v>0</v>
      </c>
      <c r="O191" s="45">
        <f>VLOOKUP(A1,DIV_02Data!$A$1:$DZU$1000000,3246,FALSE)</f>
        <v>0</v>
      </c>
      <c r="P191" s="46">
        <f>VLOOKUP(A1,DIV_02Data!$A$1:$DZU$1000000,3247,FALSE)</f>
        <v>0</v>
      </c>
      <c r="Q191" s="45">
        <f>VLOOKUP(A1,DIV_02Data!$A$1:$DZU$1000000,3248,FALSE)</f>
        <v>0</v>
      </c>
    </row>
    <row r="192" spans="1:17" x14ac:dyDescent="0.35">
      <c r="A192" s="22">
        <f>VLOOKUP(A1,DIV_02Data!$A$1:$DZU$1000000,3249,FALSE)</f>
        <v>0</v>
      </c>
      <c r="B192" s="37">
        <f>VLOOKUP(A1,DIV_02Data!$A$1:$DZU$1000000,3250,FALSE)</f>
        <v>0</v>
      </c>
      <c r="C192" s="38">
        <f>VLOOKUP(A1,DIV_02Data!$A$1:$DZU$1000000,3251,FALSE)</f>
        <v>0</v>
      </c>
      <c r="D192" s="31">
        <f>VLOOKUP(A1,DIV_02Data!$A$1:$DZU$1000000,3252,FALSE)</f>
        <v>0</v>
      </c>
      <c r="E192" s="32">
        <f>VLOOKUP(A1,DIV_02Data!$A$1:$DZU$1000000,3253,FALSE)</f>
        <v>0</v>
      </c>
      <c r="F192" s="34">
        <f>VLOOKUP(A1,DIV_02Data!$A$1:$DZU$1000000,3254,FALSE)</f>
        <v>0</v>
      </c>
      <c r="G192" s="33">
        <f>VLOOKUP(A1,DIV_02Data!$A$1:$DZU$1000000,3255,FALSE)</f>
        <v>0</v>
      </c>
      <c r="H192" s="34">
        <f>VLOOKUP(A1,DIV_02Data!$A$1:$DZU$1000000,3256,FALSE)</f>
        <v>0</v>
      </c>
      <c r="I192" s="33">
        <f>VLOOKUP(A1,DIV_02Data!$A$1:$DZU$1000000,3257,FALSE)</f>
        <v>0</v>
      </c>
      <c r="J192" s="34">
        <f>VLOOKUP(A1,DIV_02Data!$A$1:$DZU$1000000,3258,FALSE)</f>
        <v>0</v>
      </c>
      <c r="K192" s="34">
        <f>VLOOKUP(A1,DIV_02Data!$A$1:$DZU$1000000,3259,FALSE)</f>
        <v>0</v>
      </c>
      <c r="L192" s="34">
        <f>VLOOKUP(A1,DIV_02Data!$A$1:$DZU$1000000,3260,FALSE)</f>
        <v>0</v>
      </c>
      <c r="M192" s="33">
        <f>VLOOKUP(A1,DIV_02Data!$A$1:$DZU$1000000,3261,FALSE)</f>
        <v>0</v>
      </c>
      <c r="N192" s="34">
        <f>VLOOKUP(A1,DIV_02Data!$A$1:$DZU$1000000,3262,FALSE)</f>
        <v>0</v>
      </c>
      <c r="O192" s="33">
        <f>VLOOKUP(A1,DIV_02Data!$A$1:$DZU$1000000,3263,FALSE)</f>
        <v>0</v>
      </c>
      <c r="P192" s="46">
        <f>VLOOKUP(A1,DIV_02Data!$A$1:$DZU$1000000,3264,FALSE)</f>
        <v>0</v>
      </c>
      <c r="Q192" s="33">
        <f>VLOOKUP(A1,DIV_02Data!$A$1:$DZU$1000000,3265,FALSE)</f>
        <v>0</v>
      </c>
    </row>
    <row r="193" spans="1:17" x14ac:dyDescent="0.35">
      <c r="A193" s="22">
        <f>VLOOKUP(A1,DIV_02Data!$A$1:$DZU$1000000,3266,FALSE)</f>
        <v>0</v>
      </c>
      <c r="B193" s="37">
        <f>VLOOKUP(A1,DIV_02Data!$A$1:$DZU$1000000,3267,FALSE)</f>
        <v>0</v>
      </c>
      <c r="C193" s="30">
        <f>VLOOKUP(A1,DIV_02Data!$A$1:$DZU$1000000,3268,FALSE)</f>
        <v>0</v>
      </c>
      <c r="D193" s="31">
        <f>VLOOKUP(A1,DIV_02Data!$A$1:$DZU$1000000,3269,FALSE)</f>
        <v>0</v>
      </c>
      <c r="E193" s="32">
        <f>VLOOKUP(A1,DIV_02Data!$A$1:$DZU$1000000,3270,FALSE)</f>
        <v>0</v>
      </c>
      <c r="F193" s="34">
        <f>VLOOKUP(A1,DIV_02Data!$A$1:$DZU$1000000,3271,FALSE)</f>
        <v>0</v>
      </c>
      <c r="G193" s="33">
        <f>VLOOKUP(A1,DIV_02Data!$A$1:$DZU$1000000,3272,FALSE)</f>
        <v>0</v>
      </c>
      <c r="H193" s="34">
        <f>VLOOKUP(A1,DIV_02Data!$A$1:$DZU$1000000,3273,FALSE)</f>
        <v>0</v>
      </c>
      <c r="I193" s="33">
        <f>VLOOKUP(A1,DIV_02Data!$A$1:$DZU$1000000,3274,FALSE)</f>
        <v>0</v>
      </c>
      <c r="J193" s="34">
        <f>VLOOKUP(A1,DIV_02Data!$A$1:$DZU$1000000,3275,FALSE)</f>
        <v>0</v>
      </c>
      <c r="K193" s="34">
        <f>VLOOKUP(A1,DIV_02Data!$A$1:$DZU$1000000,3276,FALSE)</f>
        <v>0</v>
      </c>
      <c r="L193" s="34">
        <f>VLOOKUP(A1,DIV_02Data!$A$1:$DZU$1000000,3277,FALSE)</f>
        <v>0</v>
      </c>
      <c r="M193" s="33">
        <f>VLOOKUP(A1,DIV_02Data!$A$1:$DZU$1000000,3278,FALSE)</f>
        <v>0</v>
      </c>
      <c r="N193" s="34">
        <f>VLOOKUP(A1,DIV_02Data!$A$1:$DZU$1000000,3279,FALSE)</f>
        <v>0</v>
      </c>
      <c r="O193" s="33">
        <f>VLOOKUP(A1,DIV_02Data!$A$1:$DZU$1000000,3280,FALSE)</f>
        <v>0</v>
      </c>
      <c r="P193" s="46">
        <f>VLOOKUP(A1,DIV_02Data!$A$1:$DZU$1000000,3281,FALSE)</f>
        <v>0</v>
      </c>
      <c r="Q193" s="33">
        <f>VLOOKUP(A1,DIV_02Data!$A$1:$DZU$1000000,3282,FALSE)</f>
        <v>0</v>
      </c>
    </row>
    <row r="194" spans="1:17" x14ac:dyDescent="0.35">
      <c r="A194" s="22">
        <f>VLOOKUP(A1,DIV_02Data!$A$1:$DZU$1000000,3283,FALSE)</f>
        <v>0</v>
      </c>
      <c r="B194" s="37">
        <f>VLOOKUP(A1,DIV_02Data!$A$1:$DZU$1000000,3284,FALSE)</f>
        <v>0</v>
      </c>
      <c r="C194" s="38">
        <f>VLOOKUP(A1,DIV_02Data!$A$1:$DZU$1000000,3285,FALSE)</f>
        <v>0</v>
      </c>
      <c r="D194" s="31">
        <f>VLOOKUP(A1,DIV_02Data!$A$1:$DZU$1000000,3286,FALSE)</f>
        <v>0</v>
      </c>
      <c r="E194" s="32">
        <f>VLOOKUP(A1,DIV_02Data!$A$1:$DZU$1000000,3287,FALSE)</f>
        <v>0</v>
      </c>
      <c r="F194" s="34">
        <f>VLOOKUP(A1,DIV_02Data!$A$1:$DZU$1000000,3288,FALSE)</f>
        <v>0</v>
      </c>
      <c r="G194" s="33">
        <f>VLOOKUP(A1,DIV_02Data!$A$1:$DZU$1000000,3289,FALSE)</f>
        <v>0</v>
      </c>
      <c r="H194" s="34">
        <f>VLOOKUP(A1,DIV_02Data!$A$1:$DZU$1000000,3290,FALSE)</f>
        <v>0</v>
      </c>
      <c r="I194" s="33">
        <f>VLOOKUP(A1,DIV_02Data!$A$1:$DZU$1000000,3291,FALSE)</f>
        <v>0</v>
      </c>
      <c r="J194" s="34">
        <f>VLOOKUP(A1,DIV_02Data!$A$1:$DZU$1000000,3292,FALSE)</f>
        <v>0</v>
      </c>
      <c r="K194" s="34">
        <f>VLOOKUP(A1,DIV_02Data!$A$1:$DZU$1000000,3293,FALSE)</f>
        <v>0</v>
      </c>
      <c r="L194" s="93">
        <f>VLOOKUP(A1,DIV_02Data!$A$1:$DZU$1000000,3294,FALSE)</f>
        <v>0</v>
      </c>
      <c r="M194" s="33">
        <f>VLOOKUP(A1,DIV_02Data!$A$1:$DZU$1000000,3295,FALSE)</f>
        <v>0</v>
      </c>
      <c r="N194" s="34">
        <f>VLOOKUP(A1,DIV_02Data!$A$1:$DZU$1000000,3296,FALSE)</f>
        <v>0</v>
      </c>
      <c r="O194" s="33">
        <f>VLOOKUP(A1,DIV_02Data!$A$1:$DZU$1000000,3297,FALSE)</f>
        <v>0</v>
      </c>
      <c r="P194" s="46">
        <f>VLOOKUP(A1,DIV_02Data!$A$1:$DZU$1000000,3298,FALSE)</f>
        <v>0</v>
      </c>
      <c r="Q194" s="33">
        <f>VLOOKUP(A1,DIV_02Data!$A$1:$DZU$1000000,3299,FALSE)</f>
        <v>0</v>
      </c>
    </row>
    <row r="195" spans="1:17" x14ac:dyDescent="0.35">
      <c r="A195" s="22">
        <f>VLOOKUP(A1,DIV_02Data!$A$1:$DZU$1000000,3300,FALSE)</f>
        <v>0</v>
      </c>
      <c r="B195" s="37">
        <f>VLOOKUP(A1,DIV_02Data!$A$1:$DZU$1000000,3301,FALSE)</f>
        <v>0</v>
      </c>
      <c r="C195" s="38">
        <f>VLOOKUP(A1,DIV_02Data!$A$1:$DZU$1000000,3302,FALSE)</f>
        <v>0</v>
      </c>
      <c r="D195" s="31">
        <f>VLOOKUP(A1,DIV_02Data!$A$1:$DZU$1000000,3303,FALSE)</f>
        <v>0</v>
      </c>
      <c r="E195" s="32">
        <f>VLOOKUP(A1,DIV_02Data!$A$1:$DZU$1000000,3304,FALSE)</f>
        <v>0</v>
      </c>
      <c r="F195" s="34">
        <f>VLOOKUP(A1,DIV_02Data!$A$1:$DZU$1000000,3305,FALSE)</f>
        <v>0</v>
      </c>
      <c r="G195" s="33">
        <f>VLOOKUP(A1,DIV_02Data!$A$1:$DZU$1000000,3306,FALSE)</f>
        <v>0</v>
      </c>
      <c r="H195" s="34">
        <f>VLOOKUP(A1,DIV_02Data!$A$1:$DZU$1000000,3307,FALSE)</f>
        <v>0</v>
      </c>
      <c r="I195" s="33">
        <f>VLOOKUP(A1,DIV_02Data!$A$1:$DZU$1000000,3308,FALSE)</f>
        <v>0</v>
      </c>
      <c r="J195" s="34">
        <f>VLOOKUP(A1,DIV_02Data!$A$1:$DZU$1000000,3309,FALSE)</f>
        <v>0</v>
      </c>
      <c r="K195" s="34">
        <f>VLOOKUP(A1,DIV_02Data!$A$1:$DZU$1000000,3310,FALSE)</f>
        <v>0</v>
      </c>
      <c r="L195" s="93">
        <f>VLOOKUP(A1,DIV_02Data!$A$1:$DZU$1000000,3311,FALSE)</f>
        <v>0</v>
      </c>
      <c r="M195" s="33">
        <f>VLOOKUP(A1,DIV_02Data!$A$1:$DZU$1000000,3312,FALSE)</f>
        <v>0</v>
      </c>
      <c r="N195" s="34">
        <f>VLOOKUP(A1,DIV_02Data!$A$1:$DZU$1000000,3313,FALSE)</f>
        <v>0</v>
      </c>
      <c r="O195" s="33">
        <f>VLOOKUP(A1,DIV_02Data!$A$1:$DZU$1000000,3314,FALSE)</f>
        <v>0</v>
      </c>
      <c r="P195" s="46">
        <f>VLOOKUP(A1,DIV_02Data!$A$1:$DZU$1000000,3315,FALSE)</f>
        <v>0</v>
      </c>
      <c r="Q195" s="33">
        <f>VLOOKUP(A1,DIV_02Data!$A$1:$DZU$1000000,3316,FALSE)</f>
        <v>0</v>
      </c>
    </row>
    <row r="196" spans="1:17" x14ac:dyDescent="0.35">
      <c r="A196" s="22">
        <f>VLOOKUP(A1,DIV_02Data!$A$1:$DZU$1000000,3317,FALSE)</f>
        <v>0</v>
      </c>
      <c r="B196" s="37">
        <f>VLOOKUP(A1,DIV_02Data!$A$1:$DZU$1000000,3318,FALSE)</f>
        <v>0</v>
      </c>
      <c r="C196" s="38">
        <f>VLOOKUP(A1,DIV_02Data!$A$1:$DZU$1000000,3319,FALSE)</f>
        <v>0</v>
      </c>
      <c r="D196" s="31">
        <f>VLOOKUP(A1,DIV_02Data!$A$1:$DZU$1000000,3320,FALSE)</f>
        <v>0</v>
      </c>
      <c r="E196" s="32">
        <f>VLOOKUP(A1,DIV_02Data!$A$1:$DZU$1000000,3321,FALSE)</f>
        <v>0</v>
      </c>
      <c r="F196" s="34">
        <f>VLOOKUP(A1,DIV_02Data!$A$1:$DZU$1000000,3322,FALSE)</f>
        <v>0</v>
      </c>
      <c r="G196" s="33">
        <f>VLOOKUP(A1,DIV_02Data!$A$1:$DZU$1000000,3323,FALSE)</f>
        <v>0</v>
      </c>
      <c r="H196" s="34">
        <f>VLOOKUP(A1,DIV_02Data!$A$1:$DZU$1000000,3324,FALSE)</f>
        <v>0</v>
      </c>
      <c r="I196" s="33">
        <f>VLOOKUP(A1,DIV_02Data!$A$1:$DZU$1000000,3325,FALSE)</f>
        <v>0</v>
      </c>
      <c r="J196" s="34">
        <f>VLOOKUP(A1,DIV_02Data!$A$1:$DZU$1000000,3326,FALSE)</f>
        <v>0</v>
      </c>
      <c r="K196" s="34">
        <f>VLOOKUP(A1,DIV_02Data!$A$1:$DZU$1000000,3327,FALSE)</f>
        <v>0</v>
      </c>
      <c r="L196" s="93">
        <f>VLOOKUP(A1,DIV_02Data!$A$1:$DZU$1000000,3328,FALSE)</f>
        <v>0</v>
      </c>
      <c r="M196" s="33">
        <f>VLOOKUP(A1,DIV_02Data!$A$1:$DZU$1000000,3329,FALSE)</f>
        <v>0</v>
      </c>
      <c r="N196" s="34">
        <f>VLOOKUP(A1,DIV_02Data!$A$1:$DZU$1000000,3330,FALSE)</f>
        <v>0</v>
      </c>
      <c r="O196" s="33">
        <f>VLOOKUP(A1,DIV_02Data!$A$1:$DZU$1000000,3331,FALSE)</f>
        <v>0</v>
      </c>
      <c r="P196" s="46">
        <f>VLOOKUP(A1,DIV_02Data!$A$1:$DZU$1000000,3332,FALSE)</f>
        <v>0</v>
      </c>
      <c r="Q196" s="33">
        <f>VLOOKUP(A1,DIV_02Data!$A$1:$DZU$1000000,3333,FALSE)</f>
        <v>0</v>
      </c>
    </row>
    <row r="197" spans="1:17" x14ac:dyDescent="0.35">
      <c r="A197" s="22">
        <f>VLOOKUP(A1,DIV_02Data!$A$1:$DZU$1000000,3334,FALSE)</f>
        <v>0</v>
      </c>
      <c r="B197" s="37">
        <f>VLOOKUP(A1,DIV_02Data!$A$1:$DZU$1000000,3335,FALSE)</f>
        <v>0</v>
      </c>
      <c r="C197" s="43">
        <f>VLOOKUP(A1,DIV_02Data!$A$1:$DZU$1000000,3336,FALSE)</f>
        <v>0</v>
      </c>
      <c r="D197" s="31">
        <f>VLOOKUP(A1,DIV_02Data!$A$1:$DZU$1000000,3337,FALSE)</f>
        <v>0</v>
      </c>
      <c r="E197" s="32">
        <f>VLOOKUP(A1,DIV_02Data!$A$1:$DZU$1000000,3338,FALSE)</f>
        <v>0</v>
      </c>
      <c r="F197" s="44">
        <f>VLOOKUP(A1,DIV_02Data!$A$1:$DZU$1000000,3339,FALSE)</f>
        <v>0</v>
      </c>
      <c r="G197" s="45">
        <f>VLOOKUP(A1,DIV_02Data!$A$1:$DZU$1000000,3340,FALSE)</f>
        <v>0</v>
      </c>
      <c r="H197" s="44">
        <f>VLOOKUP(A1,DIV_02Data!$A$1:$DZU$1000000,3341,FALSE)</f>
        <v>0</v>
      </c>
      <c r="I197" s="45">
        <f>VLOOKUP(A1,DIV_02Data!$A$1:$DZU$1000000,3342,FALSE)</f>
        <v>0</v>
      </c>
      <c r="J197" s="34">
        <f>VLOOKUP(A1,DIV_02Data!$A$1:$DZU$1000000,3343,FALSE)</f>
        <v>0</v>
      </c>
      <c r="K197" s="43">
        <f>VLOOKUP(A1,DIV_02Data!$A$1:$DZU$1000000,3344,FALSE)</f>
        <v>0</v>
      </c>
      <c r="L197" s="44">
        <f>VLOOKUP(A1,DIV_02Data!$A$1:$DZU$1000000,3345,FALSE)</f>
        <v>0</v>
      </c>
      <c r="M197" s="45">
        <f>VLOOKUP(A1,DIV_02Data!$A$1:$DZU$1000000,3346,FALSE)</f>
        <v>0</v>
      </c>
      <c r="N197" s="44">
        <f>VLOOKUP(A1,DIV_02Data!$A$1:$DZU$1000000,3347,FALSE)</f>
        <v>0</v>
      </c>
      <c r="O197" s="45">
        <f>VLOOKUP(A1,DIV_02Data!$A$1:$DZU$1000000,3348,FALSE)</f>
        <v>0</v>
      </c>
      <c r="P197" s="36">
        <f>VLOOKUP(A1,DIV_02Data!$A$1:$DZU$1000000,3349,FALSE)</f>
        <v>0</v>
      </c>
      <c r="Q197" s="45">
        <f>VLOOKUP(A1,DIV_02Data!$A$1:$DZU$1000000,3350,FALSE)</f>
        <v>0</v>
      </c>
    </row>
    <row r="198" spans="1:17" x14ac:dyDescent="0.35">
      <c r="A198" s="22">
        <f>VLOOKUP(A1,DIV_02Data!$A$1:$DZU$1000000,3351,FALSE)</f>
        <v>0</v>
      </c>
      <c r="B198" s="37">
        <f>VLOOKUP(A1,DIV_02Data!$A$1:$DZU$1000000,3352,FALSE)</f>
        <v>0</v>
      </c>
      <c r="C198" s="38">
        <f>VLOOKUP(A1,DIV_02Data!$A$1:$DZU$1000000,3353,FALSE)</f>
        <v>0</v>
      </c>
      <c r="D198" s="31">
        <f>VLOOKUP(A1,DIV_02Data!$A$1:$DZU$1000000,3354,FALSE)</f>
        <v>0</v>
      </c>
      <c r="E198" s="32">
        <f>VLOOKUP(A1,DIV_02Data!$A$1:$DZU$1000000,3355,FALSE)</f>
        <v>0</v>
      </c>
      <c r="F198" s="34">
        <f>VLOOKUP(A1,DIV_02Data!$A$1:$DZU$1000000,3356,FALSE)</f>
        <v>0</v>
      </c>
      <c r="G198" s="33">
        <f>VLOOKUP(A1,DIV_02Data!$A$1:$DZU$1000000,3357,FALSE)</f>
        <v>0</v>
      </c>
      <c r="H198" s="34">
        <f>VLOOKUP(A1,DIV_02Data!$A$1:$DZU$1000000,3358,FALSE)</f>
        <v>0</v>
      </c>
      <c r="I198" s="33">
        <f>VLOOKUP(A1,DIV_02Data!$A$1:$DZU$1000000,3359,FALSE)</f>
        <v>0</v>
      </c>
      <c r="J198" s="34">
        <f>VLOOKUP(A1,DIV_02Data!$A$1:$DZU$1000000,3360,FALSE)</f>
        <v>0</v>
      </c>
      <c r="K198" s="34">
        <f>VLOOKUP(A1,DIV_02Data!$A$1:$DZU$1000000,3361,FALSE)</f>
        <v>0</v>
      </c>
      <c r="L198" s="34">
        <f>VLOOKUP(A1,DIV_02Data!$A$1:$DZU$1000000,3362,FALSE)</f>
        <v>0</v>
      </c>
      <c r="M198" s="33">
        <f>VLOOKUP(A1,DIV_02Data!$A$1:$DZU$1000000,3363,FALSE)</f>
        <v>0</v>
      </c>
      <c r="N198" s="34">
        <f>VLOOKUP(A1,DIV_02Data!$A$1:$DZU$1000000,3364,FALSE)</f>
        <v>0</v>
      </c>
      <c r="O198" s="35">
        <f>VLOOKUP(A1,DIV_02Data!$A$1:$DZU$1000000,3365,FALSE)</f>
        <v>0</v>
      </c>
      <c r="P198" s="36">
        <f>VLOOKUP(A1,DIV_02Data!$A$1:$DZU$1000000,3366,FALSE)</f>
        <v>0</v>
      </c>
      <c r="Q198" s="35">
        <f>VLOOKUP(A1,DIV_02Data!$A$1:$DZU$1000000,3367,FALSE)</f>
        <v>0</v>
      </c>
    </row>
    <row r="199" spans="1:17" x14ac:dyDescent="0.35">
      <c r="A199" s="62">
        <f>VLOOKUP(A1,DIV_02Data!$A$1:$DZU$1000000,3368,FALSE)</f>
        <v>0</v>
      </c>
      <c r="B199" s="63">
        <f>VLOOKUP(A1,DIV_02Data!$A$1:$DZU$1000000,3369,FALSE)</f>
        <v>0</v>
      </c>
      <c r="C199" s="64">
        <f>VLOOKUP(A1,DIV_02Data!$A$1:$DZU$1000000,3370,FALSE)</f>
        <v>0</v>
      </c>
      <c r="D199" s="65">
        <f>VLOOKUP(A1,DIV_02Data!$A$1:$DZU$1000000,3371,FALSE)</f>
        <v>0</v>
      </c>
      <c r="E199" s="66">
        <f>VLOOKUP(A1,DIV_02Data!$A$1:$DZU$1000000,3372,FALSE)</f>
        <v>0</v>
      </c>
      <c r="F199" s="67">
        <f>VLOOKUP(A1,DIV_02Data!$A$1:$DZU$1000000,3373,FALSE)</f>
        <v>0</v>
      </c>
      <c r="G199" s="68">
        <f>VLOOKUP(A1,DIV_02Data!$A$1:$DZU$1000000,3374,FALSE)</f>
        <v>0</v>
      </c>
      <c r="H199" s="67">
        <f>VLOOKUP(A1,DIV_02Data!$A$1:$DZU$1000000,3375,FALSE)</f>
        <v>0</v>
      </c>
      <c r="I199" s="68">
        <f>VLOOKUP(A1,DIV_02Data!$A$1:$DZU$1000000,3376,FALSE)</f>
        <v>0</v>
      </c>
      <c r="J199" s="67">
        <f>VLOOKUP(A1,DIV_02Data!$A$1:$DZU$1000000,3377,FALSE)</f>
        <v>0</v>
      </c>
      <c r="K199" s="69">
        <f>VLOOKUP(A1,DIV_02Data!$A$1:$DZU$1000000,3378,FALSE)</f>
        <v>0</v>
      </c>
      <c r="L199" s="67">
        <f>VLOOKUP(A1,DIV_02Data!$A$1:$DZU$1000000,3379,FALSE)</f>
        <v>0</v>
      </c>
      <c r="M199" s="68">
        <f>VLOOKUP(A1,DIV_02Data!$A$1:$DZU$1000000,3380,FALSE)</f>
        <v>0</v>
      </c>
      <c r="N199" s="67">
        <f>VLOOKUP(A1,DIV_02Data!$A$1:$DZU$1000000,3381,FALSE)</f>
        <v>0</v>
      </c>
      <c r="O199" s="68">
        <f>VLOOKUP(A1,DIV_02Data!$A$1:$DZU$1000000,3382,FALSE)</f>
        <v>0</v>
      </c>
      <c r="P199" s="70">
        <f>VLOOKUP(A1,DIV_02Data!$A$1:$DZU$1000000,3383,FALSE)</f>
        <v>0</v>
      </c>
      <c r="Q199" s="68">
        <f>VLOOKUP(A1,DIV_02Data!$A$1:$DZU$1000000,3384,FALSE)</f>
        <v>0</v>
      </c>
    </row>
    <row r="200" spans="1:17" x14ac:dyDescent="0.35">
      <c r="A200" s="1">
        <f>VLOOKUP(A1,DIV_02Data!$A$1:$DZU$1000000,3385,FALSE)</f>
        <v>0</v>
      </c>
      <c r="B200" s="1">
        <f>VLOOKUP(A1,DIV_02Data!$A$1:$DZU$1000000,3386,FALSE)</f>
        <v>0</v>
      </c>
      <c r="C200" s="1">
        <f>VLOOKUP(A1,DIV_02Data!$A$1:$DZU$1000000,3387,FALSE)</f>
        <v>0</v>
      </c>
      <c r="D200" s="1">
        <f>VLOOKUP(A1,DIV_02Data!$A$1:$DZU$1000000,3388,FALSE)</f>
        <v>0</v>
      </c>
      <c r="E200" s="1">
        <f>VLOOKUP(A1,DIV_02Data!$A$1:$DZU$1000000,3389,FALSE)</f>
        <v>0</v>
      </c>
      <c r="F200" s="1">
        <f>VLOOKUP(A1,DIV_02Data!$A$1:$DZU$1000000,3390,FALSE)</f>
        <v>0</v>
      </c>
      <c r="G200" s="1">
        <f>VLOOKUP(A1,DIV_02Data!$A$1:$DZU$1000000,3391,FALSE)</f>
        <v>0</v>
      </c>
      <c r="H200" s="1">
        <f>VLOOKUP(A1,DIV_02Data!$A$1:$DZU$1000000,3392,FALSE)</f>
        <v>0</v>
      </c>
      <c r="I200" s="1">
        <f>VLOOKUP(A1,DIV_02Data!$A$1:$DZU$1000000,3393,FALSE)</f>
        <v>0</v>
      </c>
      <c r="J200" s="1">
        <f>VLOOKUP(A1,DIV_02Data!$A$1:$DZU$1000000,3394,FALSE)</f>
        <v>0</v>
      </c>
      <c r="K200" s="1">
        <f>VLOOKUP(A1,DIV_02Data!$A$1:$DZU$1000000,3395,FALSE)</f>
        <v>0</v>
      </c>
      <c r="L200" s="1">
        <f>VLOOKUP(A1,DIV_02Data!$A$1:$DZU$1000000,3396,FALSE)</f>
        <v>0</v>
      </c>
      <c r="M200" s="1">
        <f>VLOOKUP(A1,DIV_02Data!$A$1:$DZU$1000000,3397,FALSE)</f>
        <v>0</v>
      </c>
      <c r="N200" s="1">
        <f>VLOOKUP(A1,DIV_02Data!$A$1:$DZU$1000000,3398,FALSE)</f>
        <v>0</v>
      </c>
      <c r="O200" s="1">
        <f>VLOOKUP(A1,DIV_02Data!$A$1:$DZU$1000000,3399,FALSE)</f>
        <v>0</v>
      </c>
      <c r="P200" s="1">
        <f>VLOOKUP(A1,DIV_02Data!$A$1:$DZU$1000000,3400,FALSE)</f>
        <v>0</v>
      </c>
      <c r="Q200" s="78">
        <f>VLOOKUP(A1,DIV_02Data!$A$1:$DZU$1000000,3401,FALSE)</f>
        <v>0</v>
      </c>
    </row>
  </sheetData>
  <mergeCells count="9">
    <mergeCell ref="J5:K5"/>
    <mergeCell ref="J6:K6"/>
    <mergeCell ref="J7:K7"/>
    <mergeCell ref="B2:L2"/>
    <mergeCell ref="A3:B3"/>
    <mergeCell ref="D3:G3"/>
    <mergeCell ref="J3:K3"/>
    <mergeCell ref="A4:B4"/>
    <mergeCell ref="J4:K4"/>
  </mergeCells>
  <dataValidations count="1">
    <dataValidation type="list" allowBlank="1" showInputMessage="1" showErrorMessage="1" sqref="C16:C190" xr:uid="{8E1CB5CA-7D83-453C-BFAF-01755272C3E5}">
      <formula1>$C$205:$C207</formula1>
    </dataValidation>
  </dataValidations>
  <hyperlinks>
    <hyperlink ref="D3" r:id="rId1" display="datamateapp@gmail.com" xr:uid="{D88BA114-EA0F-4477-B2D5-60845AC306F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31105" r:id="rId4" name="Button 1">
              <controlPr defaultSize="0" print="0" autoFill="0" autoPict="0" macro="[0]!ViewInput">
                <anchor moveWithCells="1" sizeWithCells="1">
                  <from>
                    <xdr:col>17</xdr:col>
                    <xdr:colOff>0</xdr:colOff>
                    <xdr:row>2</xdr:row>
                    <xdr:rowOff>50800</xdr:rowOff>
                  </from>
                  <to>
                    <xdr:col>19</xdr:col>
                    <xdr:colOff>44450</xdr:colOff>
                    <xdr:row>4</xdr:row>
                    <xdr:rowOff>82550</xdr:rowOff>
                  </to>
                </anchor>
              </controlPr>
            </control>
          </mc:Choice>
        </mc:AlternateContent>
        <mc:AlternateContent xmlns:mc="http://schemas.openxmlformats.org/markup-compatibility/2006">
          <mc:Choice Requires="x14">
            <control shapeId="431106" r:id="rId5" name="Button 2">
              <controlPr defaultSize="0" print="0" autoFill="0" autoPict="0" macro="[0]!ViewLog">
                <anchor moveWithCells="1" sizeWithCells="1">
                  <from>
                    <xdr:col>17</xdr:col>
                    <xdr:colOff>0</xdr:colOff>
                    <xdr:row>5</xdr:row>
                    <xdr:rowOff>50800</xdr:rowOff>
                  </from>
                  <to>
                    <xdr:col>19</xdr:col>
                    <xdr:colOff>44450</xdr:colOff>
                    <xdr:row>7</xdr:row>
                    <xdr:rowOff>57150</xdr:rowOff>
                  </to>
                </anchor>
              </controlPr>
            </control>
          </mc:Choice>
        </mc:AlternateContent>
        <mc:AlternateContent xmlns:mc="http://schemas.openxmlformats.org/markup-compatibility/2006">
          <mc:Choice Requires="x14">
            <control shapeId="431107" r:id="rId6" name="Button 3">
              <controlPr defaultSize="0" print="0" autoFill="0" autoPict="0" macro="[0]!OpenDataMateAppPage">
                <anchor moveWithCells="1" sizeWithCells="1">
                  <from>
                    <xdr:col>17</xdr:col>
                    <xdr:colOff>0</xdr:colOff>
                    <xdr:row>7</xdr:row>
                    <xdr:rowOff>177800</xdr:rowOff>
                  </from>
                  <to>
                    <xdr:col>19</xdr:col>
                    <xdr:colOff>44450</xdr:colOff>
                    <xdr:row>9</xdr:row>
                    <xdr:rowOff>171450</xdr:rowOff>
                  </to>
                </anchor>
              </controlPr>
            </control>
          </mc:Choice>
        </mc:AlternateContent>
        <mc:AlternateContent xmlns:mc="http://schemas.openxmlformats.org/markup-compatibility/2006">
          <mc:Choice Requires="x14">
            <control shapeId="431108" r:id="rId7" name="Button 4">
              <controlPr defaultSize="0" print="0" autoFill="0" autoPict="0" macro="RefreshView">
                <anchor moveWithCells="1" sizeWithCells="1">
                  <from>
                    <xdr:col>17</xdr:col>
                    <xdr:colOff>0</xdr:colOff>
                    <xdr:row>0</xdr:row>
                    <xdr:rowOff>0</xdr:rowOff>
                  </from>
                  <to>
                    <xdr:col>19</xdr:col>
                    <xdr:colOff>44450</xdr:colOff>
                    <xdr:row>2</xdr:row>
                    <xdr:rowOff>6350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E97EF5A4-227F-4997-83D2-626F15F76670}">
          <x14:formula1>
            <xm:f>DIV_02Data!$A:$A</xm:f>
          </x14:formula1>
          <xm:sqref>B2:L2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5DEAD-CF9E-4841-8C5F-05763B1F7761}">
  <sheetPr codeName="Sheet27"/>
  <dimension ref="A2:B3"/>
  <sheetViews>
    <sheetView zoomScale="75" zoomScaleNormal="75" workbookViewId="0">
      <selection activeCell="A3" sqref="A3"/>
    </sheetView>
  </sheetViews>
  <sheetFormatPr defaultRowHeight="14.5" x14ac:dyDescent="0.35"/>
  <cols>
    <col min="1" max="1" width="28.26953125" style="1" customWidth="1"/>
    <col min="2" max="8" width="13.36328125" style="1" customWidth="1"/>
    <col min="9" max="9" width="50.36328125" style="1" customWidth="1"/>
    <col min="10" max="12" width="8.7265625" style="1"/>
    <col min="13" max="15" width="10.26953125" style="1" customWidth="1"/>
    <col min="16" max="16384" width="8.7265625" style="1"/>
  </cols>
  <sheetData>
    <row r="2" spans="1:2" ht="18.5" x14ac:dyDescent="0.45">
      <c r="A2" s="71" t="str">
        <f>DIV_02Input!A3</f>
        <v>DIV 02</v>
      </c>
    </row>
    <row r="3" spans="1:2" x14ac:dyDescent="0.35">
      <c r="A3" s="1" t="s">
        <v>21395</v>
      </c>
      <c r="B3" s="246">
        <f ca="1">TODAY()</f>
        <v>45603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4788" r:id="rId3" name="Button 4">
              <controlPr defaultSize="0" print="0" autoFill="0" autoPict="0" macro="[0]!ViewInput">
                <anchor moveWithCells="1" sizeWithCells="1">
                  <from>
                    <xdr:col>16</xdr:col>
                    <xdr:colOff>603250</xdr:colOff>
                    <xdr:row>0</xdr:row>
                    <xdr:rowOff>0</xdr:rowOff>
                  </from>
                  <to>
                    <xdr:col>19</xdr:col>
                    <xdr:colOff>44450</xdr:colOff>
                    <xdr:row>2</xdr:row>
                    <xdr:rowOff>12700</xdr:rowOff>
                  </to>
                </anchor>
              </controlPr>
            </control>
          </mc:Choice>
        </mc:AlternateContent>
        <mc:AlternateContent xmlns:mc="http://schemas.openxmlformats.org/markup-compatibility/2006">
          <mc:Choice Requires="x14">
            <control shapeId="374789" r:id="rId4" name="Button 5">
              <controlPr defaultSize="0" print="0" autoFill="0" autoPict="0" macro="[0]!ViewView_Print">
                <anchor moveWithCells="1" sizeWithCells="1">
                  <from>
                    <xdr:col>16</xdr:col>
                    <xdr:colOff>603250</xdr:colOff>
                    <xdr:row>2</xdr:row>
                    <xdr:rowOff>38100</xdr:rowOff>
                  </from>
                  <to>
                    <xdr:col>19</xdr:col>
                    <xdr:colOff>44450</xdr:colOff>
                    <xdr:row>4</xdr:row>
                    <xdr:rowOff>50800</xdr:rowOff>
                  </to>
                </anchor>
              </controlPr>
            </control>
          </mc:Choice>
        </mc:AlternateContent>
        <mc:AlternateContent xmlns:mc="http://schemas.openxmlformats.org/markup-compatibility/2006">
          <mc:Choice Requires="x14">
            <control shapeId="374790" r:id="rId5" name="Button 6">
              <controlPr defaultSize="0" print="0" autoFill="0" autoPict="0" macro="[0]!ViewUpdate">
                <anchor moveWithCells="1" sizeWithCells="1">
                  <from>
                    <xdr:col>16</xdr:col>
                    <xdr:colOff>603250</xdr:colOff>
                    <xdr:row>4</xdr:row>
                    <xdr:rowOff>76200</xdr:rowOff>
                  </from>
                  <to>
                    <xdr:col>19</xdr:col>
                    <xdr:colOff>44450</xdr:colOff>
                    <xdr:row>6</xdr:row>
                    <xdr:rowOff>88900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F27F21-FAEE-4DED-8B0D-4C247D68ACCF}">
  <sheetPr codeName="Sheet28"/>
  <dimension ref="A1:P1"/>
  <sheetViews>
    <sheetView workbookViewId="0">
      <selection activeCell="B2" sqref="B2"/>
    </sheetView>
  </sheetViews>
  <sheetFormatPr defaultRowHeight="14.5" x14ac:dyDescent="0.35"/>
  <cols>
    <col min="1" max="1" width="8.7265625" style="76"/>
    <col min="2" max="4" width="8.7265625" style="1"/>
    <col min="5" max="5" width="22.08984375" style="76" customWidth="1"/>
    <col min="6" max="6" width="8.7265625" style="76"/>
    <col min="7" max="11" width="11.6328125" style="76" customWidth="1"/>
    <col min="12" max="12" width="12.26953125" style="76" customWidth="1"/>
    <col min="13" max="13" width="34.54296875" style="76" customWidth="1"/>
    <col min="14" max="16" width="8.7265625" style="76"/>
    <col min="17" max="16384" width="8.7265625" style="1"/>
  </cols>
  <sheetData>
    <row r="1" spans="2:16" x14ac:dyDescent="0.35">
      <c r="B1" s="73" t="str">
        <f>DIV_08View_Print!M1</f>
        <v>Update 1</v>
      </c>
      <c r="C1" s="73" t="str">
        <f>DIV_08View_Print!N1</f>
        <v>Update 2</v>
      </c>
      <c r="D1" s="73" t="str">
        <f>DIV_08View_Print!O1</f>
        <v>Update 3</v>
      </c>
      <c r="E1" s="74" t="str">
        <f>SEC_081000!A1</f>
        <v>AREA/FLOOR/ZONE</v>
      </c>
      <c r="F1" s="74" t="str">
        <f>SEC_081000!B1</f>
        <v>Page</v>
      </c>
      <c r="G1" s="74" t="str">
        <f>SEC_081000!C1</f>
        <v>SUB COST</v>
      </c>
      <c r="H1" s="74" t="str">
        <f>SEC_081000!D1</f>
        <v>MAT COST</v>
      </c>
      <c r="I1" s="74" t="str">
        <f>SEC_081000!E1</f>
        <v>LAB COST</v>
      </c>
      <c r="J1" s="74" t="str">
        <f>SEC_081000!F1</f>
        <v>EQUIP COST</v>
      </c>
      <c r="K1" s="74" t="str">
        <f>SEC_081000!G1</f>
        <v>Total Cost</v>
      </c>
      <c r="L1" s="74" t="str">
        <f>SEC_081000!H1</f>
        <v>Date</v>
      </c>
      <c r="M1" s="74" t="str">
        <f>SEC_081000!I1</f>
        <v>Description</v>
      </c>
      <c r="N1" s="74" t="str">
        <f>SEC_081000!J1</f>
        <v>Log 10</v>
      </c>
      <c r="O1" s="74" t="str">
        <f>SEC_081000!K1</f>
        <v>Log 11</v>
      </c>
      <c r="P1" s="75" t="str">
        <f>SEC_081000!L1</f>
        <v>Log 12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32129" r:id="rId3" name="Button 1">
              <controlPr defaultSize="0" print="0" autoFill="0" autoPict="0" macro="[0]!ViewLog">
                <anchor moveWithCells="1" sizeWithCells="1">
                  <from>
                    <xdr:col>17</xdr:col>
                    <xdr:colOff>0</xdr:colOff>
                    <xdr:row>0</xdr:row>
                    <xdr:rowOff>44450</xdr:rowOff>
                  </from>
                  <to>
                    <xdr:col>19</xdr:col>
                    <xdr:colOff>50800</xdr:colOff>
                    <xdr:row>2</xdr:row>
                    <xdr:rowOff>57150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D098B-5EBD-44A4-B92A-C386385AF9BC}">
  <sheetPr codeName="Sheet29"/>
  <dimension ref="A1:AG1"/>
  <sheetViews>
    <sheetView workbookViewId="0">
      <selection activeCell="A2" sqref="A2"/>
    </sheetView>
  </sheetViews>
  <sheetFormatPr defaultRowHeight="14.5" x14ac:dyDescent="0.35"/>
  <cols>
    <col min="1" max="16384" width="8.7265625" style="1"/>
  </cols>
  <sheetData>
    <row r="1" spans="1:33" x14ac:dyDescent="0.35">
      <c r="A1" s="1" t="str">
        <f>IFERROR(DIV_02Data!S1, "") &amp; "- " &amp; IFERROR(T1, "") &amp; "- " &amp; IFERROR(U1, "") &amp; "- " &amp; IFERROR(V1, "") &amp; "- " &amp; IFERROR(W1, "") &amp; "- " &amp; IFERROR(X1, "") &amp; "- " &amp; IFERROR(Y1, "") &amp; "- " &amp; IFERROR(Z1, "") &amp; "- " &amp; IFERROR(AA1, "") &amp; "- " &amp; IFERROR(AB1, "") &amp; "- " &amp; IFERROR(AC1, "") &amp; "- " &amp; IFERROR(AD1, "")</f>
        <v>AREA/FLOOR/ZONE- Page- SUB COST- MAT COST- LAB COST- EQUIP COST- Total Cost- Date- Description- Log 10- Log 11- Log 12</v>
      </c>
      <c r="S1" s="1" t="str">
        <f>DIV_02Input!A1</f>
        <v>AREA/FLOOR/ZONE</v>
      </c>
      <c r="T1" s="1" t="str">
        <f>DIV_02Input!B1</f>
        <v>Page</v>
      </c>
      <c r="U1" s="1" t="str">
        <f>DIV_02Input!C1</f>
        <v>SUB COST</v>
      </c>
      <c r="V1" s="1" t="str">
        <f>DIV_02Input!D1</f>
        <v>MAT COST</v>
      </c>
      <c r="W1" s="1" t="str">
        <f>DIV_02Input!E1</f>
        <v>LAB COST</v>
      </c>
      <c r="X1" s="1" t="str">
        <f>DIV_02Input!F1</f>
        <v>EQUIP COST</v>
      </c>
      <c r="Y1" s="1" t="str">
        <f>DIV_02Input!G1</f>
        <v>Total Cost</v>
      </c>
      <c r="Z1" s="1" t="str">
        <f>DIV_02Input!H1</f>
        <v>Date</v>
      </c>
      <c r="AA1" s="1" t="str">
        <f>DIV_02Input!I1</f>
        <v>Description</v>
      </c>
      <c r="AB1" s="1" t="str">
        <f>DIV_02Input!J1</f>
        <v>Log 10</v>
      </c>
      <c r="AC1" s="1" t="str">
        <f>DIV_02Input!K1</f>
        <v>Log 11</v>
      </c>
      <c r="AD1" s="1" t="str">
        <f>DIV_02Input!L1</f>
        <v>Log 12</v>
      </c>
      <c r="AE1" s="1" t="str">
        <f>DIV_02Input!M1</f>
        <v>Update 1</v>
      </c>
      <c r="AF1" s="1" t="str">
        <f>DIV_02Input!N1</f>
        <v>Update 2</v>
      </c>
      <c r="AG1" s="1" t="str">
        <f>DIV_02Input!O1</f>
        <v>Update 3</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DBE7ED-9D48-499C-A56E-9F8030F45067}">
  <sheetPr codeName="Sheet30"/>
  <dimension ref="A1:Q211"/>
  <sheetViews>
    <sheetView zoomScale="75" zoomScaleNormal="75" workbookViewId="0"/>
  </sheetViews>
  <sheetFormatPr defaultRowHeight="14.5" x14ac:dyDescent="0.35"/>
  <cols>
    <col min="1" max="1" width="4.54296875" style="1" customWidth="1"/>
    <col min="2" max="2" width="14" style="1" customWidth="1"/>
    <col min="3" max="3" width="77.1796875" style="1" bestFit="1" customWidth="1"/>
    <col min="4" max="4" width="10.7265625" style="1" customWidth="1"/>
    <col min="5" max="5" width="10.1796875" style="1" customWidth="1"/>
    <col min="6" max="6" width="13.26953125" style="1" customWidth="1"/>
    <col min="7" max="7" width="15.1796875" style="1" customWidth="1"/>
    <col min="8" max="8" width="13.26953125" style="1" customWidth="1"/>
    <col min="9" max="9" width="12.7265625" style="1" customWidth="1"/>
    <col min="10" max="10" width="12.26953125" style="1" customWidth="1"/>
    <col min="11" max="11" width="9" style="1" customWidth="1"/>
    <col min="12" max="12" width="13.26953125" style="1" customWidth="1"/>
    <col min="13" max="13" width="12.7265625" style="1" customWidth="1"/>
    <col min="14" max="14" width="13.26953125" style="1" customWidth="1"/>
    <col min="15" max="15" width="12.7265625" style="1" customWidth="1"/>
    <col min="16" max="16" width="13.26953125" style="1" customWidth="1"/>
    <col min="17" max="17" width="21.26953125" style="1" customWidth="1"/>
    <col min="18" max="22" width="8.7265625" style="1"/>
    <col min="23" max="23" width="4.54296875" style="1" customWidth="1"/>
    <col min="24" max="24" width="11.90625" style="1" customWidth="1"/>
    <col min="25" max="25" width="77.1796875" style="1" bestFit="1" customWidth="1"/>
    <col min="26" max="26" width="10.7265625" style="1" customWidth="1"/>
    <col min="27" max="27" width="10.1796875" style="1" customWidth="1"/>
    <col min="28" max="28" width="13.26953125" style="1" customWidth="1"/>
    <col min="29" max="29" width="15.1796875" style="1" customWidth="1"/>
    <col min="30" max="30" width="13.26953125" style="1" customWidth="1"/>
    <col min="31" max="31" width="12.7265625" style="1" customWidth="1"/>
    <col min="32" max="32" width="12.26953125" style="1" customWidth="1"/>
    <col min="33" max="33" width="9" style="1" customWidth="1"/>
    <col min="34" max="34" width="13.26953125" style="1" customWidth="1"/>
    <col min="35" max="35" width="12.7265625" style="1" customWidth="1"/>
    <col min="36" max="36" width="13.26953125" style="1" customWidth="1"/>
    <col min="37" max="37" width="12.7265625" style="1" customWidth="1"/>
    <col min="38" max="38" width="13.26953125" style="1" customWidth="1"/>
    <col min="39" max="39" width="21.26953125" style="1" customWidth="1"/>
    <col min="40" max="16384" width="8.7265625" style="1"/>
  </cols>
  <sheetData>
    <row r="1" spans="1:17" ht="14.5" customHeight="1"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ASSESSMENT</v>
      </c>
      <c r="J2" s="59"/>
      <c r="K2" s="59"/>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02 20 00</v>
      </c>
      <c r="C10" s="24" t="str">
        <f>C206</f>
        <v>ASSESSMENT</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ASSESSMENT</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Q200" s="78" t="s">
        <v>21404</v>
      </c>
    </row>
    <row r="201" spans="2:17" x14ac:dyDescent="0.35">
      <c r="C201" s="78" t="s">
        <v>21592</v>
      </c>
    </row>
    <row r="203" spans="2:17" x14ac:dyDescent="0.35">
      <c r="C203" s="77" t="s">
        <v>21399</v>
      </c>
    </row>
    <row r="205" spans="2:17" x14ac:dyDescent="0.35">
      <c r="C205" s="1" t="s">
        <v>21398</v>
      </c>
      <c r="D205" s="1" t="s">
        <v>75</v>
      </c>
      <c r="E205" s="1" t="s">
        <v>13768</v>
      </c>
      <c r="F205" s="2" t="s">
        <v>21397</v>
      </c>
      <c r="G205" s="1" t="s">
        <v>9</v>
      </c>
    </row>
    <row r="206" spans="2:17" x14ac:dyDescent="0.35">
      <c r="B206" s="49" t="s">
        <v>13973</v>
      </c>
      <c r="C206" s="82" t="s">
        <v>13974</v>
      </c>
    </row>
    <row r="207" spans="2:17" x14ac:dyDescent="0.35">
      <c r="B207" s="49" t="s">
        <v>13975</v>
      </c>
      <c r="C207" s="53" t="s">
        <v>13976</v>
      </c>
    </row>
    <row r="208" spans="2:17" x14ac:dyDescent="0.35">
      <c r="B208" s="49" t="s">
        <v>13977</v>
      </c>
      <c r="C208" s="53" t="s">
        <v>13978</v>
      </c>
    </row>
    <row r="209" spans="2:3" x14ac:dyDescent="0.35">
      <c r="B209" s="49" t="s">
        <v>13979</v>
      </c>
      <c r="C209" s="53" t="s">
        <v>13980</v>
      </c>
    </row>
    <row r="210" spans="2:3" x14ac:dyDescent="0.35">
      <c r="B210" s="49" t="s">
        <v>13981</v>
      </c>
      <c r="C210" s="53" t="s">
        <v>13982</v>
      </c>
    </row>
    <row r="211" spans="2:3" x14ac:dyDescent="0.35">
      <c r="B211" s="49" t="s">
        <v>13983</v>
      </c>
      <c r="C211" s="53" t="s">
        <v>13984</v>
      </c>
    </row>
  </sheetData>
  <mergeCells count="9">
    <mergeCell ref="P3:Q3"/>
    <mergeCell ref="J5:K5"/>
    <mergeCell ref="J6:K6"/>
    <mergeCell ref="J7:K7"/>
    <mergeCell ref="A3:B3"/>
    <mergeCell ref="D3:G3"/>
    <mergeCell ref="J3:K3"/>
    <mergeCell ref="A4:B4"/>
    <mergeCell ref="J4:K4"/>
  </mergeCells>
  <dataValidations count="1">
    <dataValidation type="list" allowBlank="1" showInputMessage="1" showErrorMessage="1" sqref="C16:C190" xr:uid="{F5352F1E-6733-4886-9490-CE638AFDEB0B}">
      <formula1>$C$205:$C207</formula1>
    </dataValidation>
  </dataValidations>
  <hyperlinks>
    <hyperlink ref="D3" r:id="rId1" display="datamateapp@gmail.com" xr:uid="{6774823B-BF9D-4BB0-9EC2-58175F0C2293}"/>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8133" r:id="rId4" name="Button 5">
              <controlPr defaultSize="0" print="0" autoFill="0" autoPict="0" macro="[0]!ExitSEC_022000">
                <anchor moveWithCells="1" sizeWithCells="1">
                  <from>
                    <xdr:col>16</xdr:col>
                    <xdr:colOff>228600</xdr:colOff>
                    <xdr:row>0</xdr:row>
                    <xdr:rowOff>0</xdr:rowOff>
                  </from>
                  <to>
                    <xdr:col>17</xdr:col>
                    <xdr:colOff>12700</xdr:colOff>
                    <xdr:row>2</xdr:row>
                    <xdr:rowOff>6350</xdr:rowOff>
                  </to>
                </anchor>
              </controlPr>
            </control>
          </mc:Choice>
        </mc:AlternateContent>
        <mc:AlternateContent xmlns:mc="http://schemas.openxmlformats.org/markup-compatibility/2006">
          <mc:Choice Requires="x14">
            <control shapeId="48168" r:id="rId5" name="Button 40">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48169" r:id="rId6" name="Button 41">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48170" r:id="rId7" name="Button 42">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48171" r:id="rId8" name="Button 43">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48172" r:id="rId9" name="Button 44">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48173" r:id="rId10" name="Button 45">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48174" r:id="rId11" name="Button 46">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48175" r:id="rId12" name="Button 47">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93574-A6A6-4FB9-899E-D5D2DFE0C691}">
  <sheetPr codeName="Sheet31"/>
  <dimension ref="A1:Q208"/>
  <sheetViews>
    <sheetView zoomScale="70" zoomScaleNormal="70" workbookViewId="0">
      <selection activeCell="C4" sqref="C4"/>
    </sheetView>
  </sheetViews>
  <sheetFormatPr defaultRowHeight="14.5" x14ac:dyDescent="0.35"/>
  <cols>
    <col min="1" max="1" width="4.54296875" style="1" customWidth="1"/>
    <col min="2" max="2" width="14" style="1" customWidth="1"/>
    <col min="3" max="3" width="77.1796875" style="1" bestFit="1" customWidth="1"/>
    <col min="4" max="4" width="10.7265625" style="1" customWidth="1"/>
    <col min="5" max="5" width="10.1796875" style="1" customWidth="1"/>
    <col min="6" max="6" width="13.26953125" style="1" customWidth="1"/>
    <col min="7" max="7" width="15.1796875" style="1" customWidth="1"/>
    <col min="8" max="8" width="13.26953125" style="1" customWidth="1"/>
    <col min="9" max="9" width="12.7265625" style="1" customWidth="1"/>
    <col min="10" max="10" width="12.26953125" style="1" customWidth="1"/>
    <col min="11" max="11" width="9" style="1" customWidth="1"/>
    <col min="12" max="12" width="13.26953125" style="1" customWidth="1"/>
    <col min="13" max="13" width="12.7265625" style="1" customWidth="1"/>
    <col min="14" max="14" width="13.26953125" style="1" customWidth="1"/>
    <col min="15" max="15" width="12.7265625" style="1" customWidth="1"/>
    <col min="16" max="16" width="13.26953125" style="1" customWidth="1"/>
    <col min="17" max="17" width="21.26953125" style="1" customWidth="1"/>
    <col min="18" max="22" width="8.7265625" style="1"/>
    <col min="23" max="23" width="4.54296875" style="1" customWidth="1"/>
    <col min="24" max="24" width="11.90625" style="1" customWidth="1"/>
    <col min="25" max="25" width="77.1796875" style="1" bestFit="1" customWidth="1"/>
    <col min="26" max="26" width="10.7265625" style="1" customWidth="1"/>
    <col min="27" max="27" width="10.1796875" style="1" customWidth="1"/>
    <col min="28" max="28" width="13.26953125" style="1" customWidth="1"/>
    <col min="29" max="29" width="15.1796875" style="1" customWidth="1"/>
    <col min="30" max="30" width="13.26953125" style="1" customWidth="1"/>
    <col min="31" max="31" width="12.7265625" style="1" customWidth="1"/>
    <col min="32" max="32" width="12.26953125" style="1" customWidth="1"/>
    <col min="33" max="33" width="9" style="1" customWidth="1"/>
    <col min="34" max="34" width="13.26953125" style="1" customWidth="1"/>
    <col min="35" max="35" width="12.7265625" style="1" customWidth="1"/>
    <col min="36" max="36" width="13.26953125" style="1" customWidth="1"/>
    <col min="37" max="37" width="12.7265625" style="1" customWidth="1"/>
    <col min="38" max="38" width="13.26953125" style="1" customWidth="1"/>
    <col min="39" max="39" width="21.26953125" style="1" customWidth="1"/>
    <col min="40" max="16384" width="8.7265625" style="1"/>
  </cols>
  <sheetData>
    <row r="1" spans="1:17" ht="14.5" customHeight="1"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SUBSURFACE INVESTIGATION</v>
      </c>
      <c r="J2" s="59"/>
      <c r="K2" s="59"/>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02 30 00</v>
      </c>
      <c r="C10" s="24" t="str">
        <f>C206</f>
        <v>SUBSURFACE INVESTIGATION</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SUBSURFACE INVESTIGATION</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Q200" s="78" t="s">
        <v>21404</v>
      </c>
    </row>
    <row r="201" spans="2:17" x14ac:dyDescent="0.35">
      <c r="C201" s="78" t="s">
        <v>21592</v>
      </c>
    </row>
    <row r="203" spans="2:17" x14ac:dyDescent="0.35">
      <c r="C203" s="77" t="s">
        <v>21399</v>
      </c>
    </row>
    <row r="205" spans="2:17" x14ac:dyDescent="0.35">
      <c r="C205" s="1" t="s">
        <v>21398</v>
      </c>
      <c r="D205" s="1" t="s">
        <v>75</v>
      </c>
      <c r="E205" s="1" t="s">
        <v>13768</v>
      </c>
      <c r="F205" s="2" t="s">
        <v>21397</v>
      </c>
      <c r="G205" s="1" t="s">
        <v>9</v>
      </c>
    </row>
    <row r="206" spans="2:17" x14ac:dyDescent="0.35">
      <c r="B206" s="49" t="s">
        <v>13985</v>
      </c>
      <c r="C206" s="82" t="s">
        <v>13986</v>
      </c>
    </row>
    <row r="207" spans="2:17" x14ac:dyDescent="0.35">
      <c r="B207" s="49" t="s">
        <v>13987</v>
      </c>
      <c r="C207" s="53" t="s">
        <v>13988</v>
      </c>
    </row>
    <row r="208" spans="2:17" x14ac:dyDescent="0.35">
      <c r="B208" s="49" t="s">
        <v>13989</v>
      </c>
      <c r="C208" s="53" t="s">
        <v>13990</v>
      </c>
    </row>
  </sheetData>
  <mergeCells count="9">
    <mergeCell ref="P3:Q3"/>
    <mergeCell ref="J5:K5"/>
    <mergeCell ref="J6:K6"/>
    <mergeCell ref="J7:K7"/>
    <mergeCell ref="A3:B3"/>
    <mergeCell ref="D3:G3"/>
    <mergeCell ref="J3:K3"/>
    <mergeCell ref="A4:B4"/>
    <mergeCell ref="J4:K4"/>
  </mergeCells>
  <dataValidations count="1">
    <dataValidation type="list" allowBlank="1" showInputMessage="1" showErrorMessage="1" sqref="C16:C190" xr:uid="{31595C33-17C8-4FEE-BEE1-8ABE3653BFA8}">
      <formula1>$C$205:$C207</formula1>
    </dataValidation>
  </dataValidations>
  <hyperlinks>
    <hyperlink ref="D3" r:id="rId1" display="datamateapp@gmail.com" xr:uid="{1E5D33DE-AAF9-45F3-B4A0-E6C4E7B34E5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9157" r:id="rId4" name="Button 5">
              <controlPr defaultSize="0" print="0" autoFill="0" autoPict="0" macro="[0]!ExitSEC_023000">
                <anchor moveWithCells="1" sizeWithCells="1">
                  <from>
                    <xdr:col>16</xdr:col>
                    <xdr:colOff>215900</xdr:colOff>
                    <xdr:row>0</xdr:row>
                    <xdr:rowOff>0</xdr:rowOff>
                  </from>
                  <to>
                    <xdr:col>16</xdr:col>
                    <xdr:colOff>1485900</xdr:colOff>
                    <xdr:row>2</xdr:row>
                    <xdr:rowOff>6350</xdr:rowOff>
                  </to>
                </anchor>
              </controlPr>
            </control>
          </mc:Choice>
        </mc:AlternateContent>
        <mc:AlternateContent xmlns:mc="http://schemas.openxmlformats.org/markup-compatibility/2006">
          <mc:Choice Requires="x14">
            <control shapeId="49192" r:id="rId5" name="Button 40">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49193" r:id="rId6" name="Button 41">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49194" r:id="rId7" name="Button 42">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49195" r:id="rId8" name="Button 43">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49196" r:id="rId9" name="Button 44">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49197" r:id="rId10" name="Button 45">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49198" r:id="rId11" name="Button 46">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49199" r:id="rId12" name="Button 47">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4E23C-9FF7-4319-B7BD-DF31D47B5784}">
  <sheetPr codeName="Sheet32"/>
  <dimension ref="A1:Q344"/>
  <sheetViews>
    <sheetView zoomScale="70" zoomScaleNormal="70" workbookViewId="0">
      <selection activeCell="C4" sqref="C4"/>
    </sheetView>
  </sheetViews>
  <sheetFormatPr defaultRowHeight="14.5" x14ac:dyDescent="0.35"/>
  <cols>
    <col min="1" max="1" width="4.54296875" style="1" customWidth="1"/>
    <col min="2" max="2" width="14" style="1" customWidth="1"/>
    <col min="3" max="3" width="77.1796875" style="1" bestFit="1" customWidth="1"/>
    <col min="4" max="4" width="10.7265625" style="1" customWidth="1"/>
    <col min="5" max="5" width="10.1796875" style="1" customWidth="1"/>
    <col min="6" max="6" width="13.26953125" style="1" customWidth="1"/>
    <col min="7" max="7" width="15.1796875" style="1" customWidth="1"/>
    <col min="8" max="8" width="13.26953125" style="1" customWidth="1"/>
    <col min="9" max="9" width="12.7265625" style="1" customWidth="1"/>
    <col min="10" max="10" width="12.26953125" style="1" customWidth="1"/>
    <col min="11" max="11" width="9" style="1" customWidth="1"/>
    <col min="12" max="12" width="13.26953125" style="1" customWidth="1"/>
    <col min="13" max="13" width="12.7265625" style="1" customWidth="1"/>
    <col min="14" max="14" width="13.26953125" style="1" customWidth="1"/>
    <col min="15" max="15" width="12.7265625" style="1" customWidth="1"/>
    <col min="16" max="16" width="13.26953125" style="1" customWidth="1"/>
    <col min="17" max="17" width="21.26953125" style="1" customWidth="1"/>
    <col min="18" max="22" width="8.7265625" style="1"/>
    <col min="23" max="23" width="4.54296875" style="1" customWidth="1"/>
    <col min="24" max="24" width="11.90625" style="1" customWidth="1"/>
    <col min="25" max="25" width="77.1796875" style="1" bestFit="1" customWidth="1"/>
    <col min="26" max="26" width="10.7265625" style="1" customWidth="1"/>
    <col min="27" max="27" width="10.1796875" style="1" customWidth="1"/>
    <col min="28" max="28" width="13.26953125" style="1" customWidth="1"/>
    <col min="29" max="29" width="15.1796875" style="1" customWidth="1"/>
    <col min="30" max="30" width="13.26953125" style="1" customWidth="1"/>
    <col min="31" max="31" width="12.7265625" style="1" customWidth="1"/>
    <col min="32" max="32" width="12.26953125" style="1" customWidth="1"/>
    <col min="33" max="33" width="9" style="1" customWidth="1"/>
    <col min="34" max="34" width="13.26953125" style="1" customWidth="1"/>
    <col min="35" max="35" width="12.7265625" style="1" customWidth="1"/>
    <col min="36" max="36" width="13.26953125" style="1" customWidth="1"/>
    <col min="37" max="37" width="12.7265625" style="1" customWidth="1"/>
    <col min="38" max="38" width="13.26953125" style="1" customWidth="1"/>
    <col min="39" max="39" width="21.26953125" style="1" customWidth="1"/>
    <col min="40" max="16384" width="8.7265625" style="1"/>
  </cols>
  <sheetData>
    <row r="1" spans="1:17" ht="14.5" customHeight="1"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DEMOLITION AND STRUCTURE MOVING</v>
      </c>
      <c r="J2" s="59"/>
      <c r="K2" s="59"/>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02 40 00</v>
      </c>
      <c r="C10" s="24" t="str">
        <f>C206</f>
        <v>DEMOLITION AND STRUCTURE MOVING</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DEMOLITION AND STRUCTURE MOVING</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Q200" s="78" t="s">
        <v>21404</v>
      </c>
    </row>
    <row r="201" spans="2:17" x14ac:dyDescent="0.35">
      <c r="C201" s="78" t="s">
        <v>21592</v>
      </c>
    </row>
    <row r="203" spans="2:17" x14ac:dyDescent="0.35">
      <c r="C203" s="77" t="s">
        <v>21399</v>
      </c>
    </row>
    <row r="205" spans="2:17" x14ac:dyDescent="0.35">
      <c r="C205" s="1" t="s">
        <v>21398</v>
      </c>
      <c r="D205" s="1" t="s">
        <v>75</v>
      </c>
      <c r="E205" s="1" t="s">
        <v>13768</v>
      </c>
      <c r="F205" s="2" t="s">
        <v>21397</v>
      </c>
      <c r="G205" s="1" t="s">
        <v>9</v>
      </c>
    </row>
    <row r="206" spans="2:17" x14ac:dyDescent="0.35">
      <c r="B206" s="49" t="s">
        <v>13991</v>
      </c>
      <c r="C206" s="82" t="s">
        <v>13992</v>
      </c>
    </row>
    <row r="207" spans="2:17" x14ac:dyDescent="0.35">
      <c r="B207" s="49" t="s">
        <v>13993</v>
      </c>
      <c r="C207" s="53" t="s">
        <v>13994</v>
      </c>
    </row>
    <row r="208" spans="2:17" x14ac:dyDescent="0.35">
      <c r="B208" s="49" t="s">
        <v>13995</v>
      </c>
      <c r="C208" s="53" t="s">
        <v>13996</v>
      </c>
    </row>
    <row r="209" spans="2:5" x14ac:dyDescent="0.35">
      <c r="B209" s="49" t="s">
        <v>13997</v>
      </c>
      <c r="C209" s="53" t="s">
        <v>13998</v>
      </c>
    </row>
    <row r="210" spans="2:5" x14ac:dyDescent="0.35">
      <c r="C210" s="1" t="s">
        <v>13669</v>
      </c>
      <c r="D210" s="1" t="s">
        <v>20</v>
      </c>
      <c r="E210" s="1">
        <v>2220.1</v>
      </c>
    </row>
    <row r="211" spans="2:5" x14ac:dyDescent="0.35">
      <c r="C211" s="1" t="s">
        <v>13668</v>
      </c>
      <c r="D211" s="1" t="s">
        <v>20</v>
      </c>
      <c r="E211" s="1">
        <v>2220.1010000000001</v>
      </c>
    </row>
    <row r="212" spans="2:5" x14ac:dyDescent="0.35">
      <c r="C212" s="1" t="s">
        <v>13667</v>
      </c>
      <c r="D212" s="1" t="s">
        <v>20</v>
      </c>
      <c r="E212" s="1">
        <v>2220.1019999999999</v>
      </c>
    </row>
    <row r="213" spans="2:5" x14ac:dyDescent="0.35">
      <c r="C213" s="1" t="s">
        <v>13666</v>
      </c>
      <c r="D213" s="1" t="s">
        <v>20</v>
      </c>
      <c r="E213" s="1">
        <v>2220.1030000000001</v>
      </c>
    </row>
    <row r="214" spans="2:5" x14ac:dyDescent="0.35">
      <c r="C214" s="1" t="s">
        <v>13665</v>
      </c>
      <c r="D214" s="1" t="s">
        <v>20</v>
      </c>
      <c r="E214" s="1">
        <v>2220.11</v>
      </c>
    </row>
    <row r="215" spans="2:5" x14ac:dyDescent="0.35">
      <c r="C215" s="1" t="s">
        <v>13664</v>
      </c>
      <c r="D215" s="1" t="s">
        <v>20</v>
      </c>
      <c r="E215" s="1">
        <v>2220.1109999999999</v>
      </c>
    </row>
    <row r="216" spans="2:5" x14ac:dyDescent="0.35">
      <c r="C216" s="1" t="s">
        <v>13663</v>
      </c>
      <c r="D216" s="1" t="s">
        <v>20</v>
      </c>
      <c r="E216" s="1">
        <v>2220.12</v>
      </c>
    </row>
    <row r="217" spans="2:5" x14ac:dyDescent="0.35">
      <c r="C217" s="1" t="s">
        <v>13662</v>
      </c>
      <c r="D217" s="1" t="s">
        <v>20</v>
      </c>
      <c r="E217" s="1">
        <v>2220.13</v>
      </c>
    </row>
    <row r="218" spans="2:5" x14ac:dyDescent="0.35">
      <c r="C218" s="1" t="s">
        <v>13661</v>
      </c>
      <c r="D218" s="1" t="s">
        <v>20</v>
      </c>
      <c r="E218" s="1">
        <v>2220.14</v>
      </c>
    </row>
    <row r="219" spans="2:5" x14ac:dyDescent="0.35">
      <c r="C219" s="1" t="s">
        <v>13660</v>
      </c>
      <c r="D219" s="1" t="s">
        <v>20</v>
      </c>
      <c r="E219" s="1">
        <v>2220.1999999999998</v>
      </c>
    </row>
    <row r="220" spans="2:5" x14ac:dyDescent="0.35">
      <c r="C220" s="1" t="s">
        <v>13659</v>
      </c>
      <c r="D220" s="1" t="s">
        <v>18</v>
      </c>
      <c r="E220" s="1">
        <v>2220.21</v>
      </c>
    </row>
    <row r="221" spans="2:5" x14ac:dyDescent="0.35">
      <c r="C221" s="1" t="s">
        <v>13658</v>
      </c>
      <c r="D221" s="1" t="s">
        <v>19</v>
      </c>
      <c r="E221" s="1">
        <v>2220.2199999999998</v>
      </c>
    </row>
    <row r="222" spans="2:5" x14ac:dyDescent="0.35">
      <c r="C222" s="1" t="s">
        <v>13657</v>
      </c>
      <c r="D222" s="1" t="s">
        <v>19</v>
      </c>
      <c r="E222" s="1">
        <v>2220.23</v>
      </c>
    </row>
    <row r="223" spans="2:5" x14ac:dyDescent="0.35">
      <c r="C223" s="1" t="s">
        <v>13656</v>
      </c>
      <c r="D223" s="1" t="s">
        <v>20</v>
      </c>
      <c r="E223" s="1">
        <v>2220.3000000000002</v>
      </c>
    </row>
    <row r="224" spans="2:5" x14ac:dyDescent="0.35">
      <c r="C224" s="1" t="s">
        <v>13655</v>
      </c>
      <c r="D224" s="1" t="s">
        <v>20</v>
      </c>
      <c r="E224" s="1">
        <v>2220.31</v>
      </c>
    </row>
    <row r="225" spans="3:5" x14ac:dyDescent="0.35">
      <c r="C225" s="1" t="s">
        <v>13654</v>
      </c>
      <c r="D225" s="1" t="s">
        <v>20</v>
      </c>
      <c r="E225" s="1">
        <v>2220.3200000000002</v>
      </c>
    </row>
    <row r="226" spans="3:5" x14ac:dyDescent="0.35">
      <c r="C226" s="1" t="s">
        <v>13653</v>
      </c>
      <c r="D226" s="1" t="s">
        <v>20</v>
      </c>
      <c r="E226" s="1">
        <v>2220.33</v>
      </c>
    </row>
    <row r="227" spans="3:5" x14ac:dyDescent="0.35">
      <c r="C227" s="1" t="s">
        <v>13652</v>
      </c>
      <c r="D227" s="1" t="s">
        <v>20</v>
      </c>
      <c r="E227" s="1">
        <v>2220.4</v>
      </c>
    </row>
    <row r="228" spans="3:5" x14ac:dyDescent="0.35">
      <c r="C228" s="1" t="s">
        <v>13651</v>
      </c>
      <c r="D228" s="1" t="s">
        <v>20</v>
      </c>
      <c r="E228" s="1">
        <v>2220.4009999999998</v>
      </c>
    </row>
    <row r="229" spans="3:5" x14ac:dyDescent="0.35">
      <c r="C229" s="1" t="s">
        <v>13650</v>
      </c>
      <c r="D229" s="1" t="s">
        <v>20</v>
      </c>
      <c r="E229" s="1">
        <v>2220.402</v>
      </c>
    </row>
    <row r="230" spans="3:5" x14ac:dyDescent="0.35">
      <c r="C230" s="1" t="s">
        <v>13649</v>
      </c>
      <c r="D230" s="1" t="s">
        <v>20</v>
      </c>
      <c r="E230" s="1">
        <v>2220.41</v>
      </c>
    </row>
    <row r="231" spans="3:5" x14ac:dyDescent="0.35">
      <c r="C231" s="1" t="s">
        <v>13648</v>
      </c>
      <c r="D231" s="1" t="s">
        <v>20</v>
      </c>
      <c r="E231" s="1">
        <v>2220.42</v>
      </c>
    </row>
    <row r="232" spans="3:5" x14ac:dyDescent="0.35">
      <c r="C232" s="1" t="s">
        <v>13647</v>
      </c>
      <c r="D232" s="1" t="s">
        <v>20</v>
      </c>
      <c r="E232" s="1">
        <v>2220.4299999999998</v>
      </c>
    </row>
    <row r="233" spans="3:5" x14ac:dyDescent="0.35">
      <c r="C233" s="1" t="s">
        <v>13646</v>
      </c>
      <c r="D233" s="1" t="s">
        <v>19</v>
      </c>
      <c r="E233" s="1">
        <v>2220.44</v>
      </c>
    </row>
    <row r="234" spans="3:5" x14ac:dyDescent="0.35">
      <c r="C234" s="1" t="s">
        <v>13645</v>
      </c>
      <c r="D234" s="1" t="s">
        <v>20</v>
      </c>
      <c r="E234" s="1">
        <v>2220.4499999999998</v>
      </c>
    </row>
    <row r="235" spans="3:5" x14ac:dyDescent="0.35">
      <c r="C235" s="1" t="s">
        <v>13644</v>
      </c>
      <c r="D235" s="1" t="s">
        <v>20</v>
      </c>
      <c r="E235" s="1">
        <v>2220.46</v>
      </c>
    </row>
    <row r="236" spans="3:5" x14ac:dyDescent="0.35">
      <c r="C236" s="1" t="s">
        <v>13643</v>
      </c>
      <c r="D236" s="1" t="s">
        <v>20</v>
      </c>
      <c r="E236" s="1">
        <v>2220.5</v>
      </c>
    </row>
    <row r="237" spans="3:5" x14ac:dyDescent="0.35">
      <c r="C237" s="1" t="s">
        <v>13642</v>
      </c>
      <c r="D237" s="1" t="s">
        <v>20</v>
      </c>
      <c r="E237" s="1">
        <v>2220.5050000000001</v>
      </c>
    </row>
    <row r="238" spans="3:5" x14ac:dyDescent="0.35">
      <c r="C238" s="1" t="s">
        <v>13641</v>
      </c>
      <c r="D238" s="1" t="s">
        <v>20</v>
      </c>
      <c r="E238" s="1">
        <v>2220.5100000000002</v>
      </c>
    </row>
    <row r="239" spans="3:5" x14ac:dyDescent="0.35">
      <c r="C239" s="1" t="s">
        <v>13640</v>
      </c>
      <c r="D239" s="1" t="s">
        <v>20</v>
      </c>
      <c r="E239" s="1">
        <v>2220.5149999999999</v>
      </c>
    </row>
    <row r="240" spans="3:5" x14ac:dyDescent="0.35">
      <c r="C240" s="1" t="s">
        <v>13639</v>
      </c>
      <c r="D240" s="1" t="s">
        <v>20</v>
      </c>
      <c r="E240" s="1">
        <v>2220.52</v>
      </c>
    </row>
    <row r="241" spans="3:5" x14ac:dyDescent="0.35">
      <c r="C241" s="1" t="s">
        <v>13638</v>
      </c>
      <c r="D241" s="1" t="s">
        <v>20</v>
      </c>
      <c r="E241" s="1">
        <v>2220.5250000000001</v>
      </c>
    </row>
    <row r="242" spans="3:5" x14ac:dyDescent="0.35">
      <c r="C242" s="1" t="s">
        <v>13637</v>
      </c>
      <c r="D242" s="1" t="s">
        <v>20</v>
      </c>
      <c r="E242" s="1">
        <v>2220.5300000000002</v>
      </c>
    </row>
    <row r="243" spans="3:5" x14ac:dyDescent="0.35">
      <c r="C243" s="1" t="s">
        <v>13636</v>
      </c>
      <c r="D243" s="1" t="s">
        <v>20</v>
      </c>
      <c r="E243" s="1">
        <v>2220.5349999999999</v>
      </c>
    </row>
    <row r="244" spans="3:5" x14ac:dyDescent="0.35">
      <c r="C244" s="1" t="s">
        <v>13635</v>
      </c>
      <c r="D244" s="1" t="s">
        <v>19</v>
      </c>
      <c r="E244" s="1">
        <v>2220.54</v>
      </c>
    </row>
    <row r="245" spans="3:5" x14ac:dyDescent="0.35">
      <c r="C245" s="1" t="s">
        <v>13634</v>
      </c>
      <c r="D245" s="1" t="s">
        <v>20</v>
      </c>
      <c r="E245" s="1">
        <v>2220.6</v>
      </c>
    </row>
    <row r="246" spans="3:5" x14ac:dyDescent="0.35">
      <c r="C246" s="1" t="s">
        <v>13633</v>
      </c>
      <c r="D246" s="1" t="s">
        <v>20</v>
      </c>
      <c r="E246" s="1">
        <v>2220.61</v>
      </c>
    </row>
    <row r="247" spans="3:5" x14ac:dyDescent="0.35">
      <c r="C247" s="1" t="s">
        <v>13632</v>
      </c>
      <c r="D247" s="1" t="s">
        <v>20</v>
      </c>
      <c r="E247" s="1">
        <v>2220.62</v>
      </c>
    </row>
    <row r="248" spans="3:5" x14ac:dyDescent="0.35">
      <c r="C248" s="1" t="s">
        <v>13631</v>
      </c>
      <c r="D248" s="1" t="s">
        <v>18</v>
      </c>
      <c r="E248" s="1">
        <v>2220.6999999999998</v>
      </c>
    </row>
    <row r="249" spans="3:5" x14ac:dyDescent="0.35">
      <c r="C249" s="1" t="s">
        <v>13630</v>
      </c>
      <c r="D249" s="1" t="s">
        <v>18</v>
      </c>
      <c r="E249" s="1">
        <v>2220.701</v>
      </c>
    </row>
    <row r="250" spans="3:5" x14ac:dyDescent="0.35">
      <c r="C250" s="1" t="s">
        <v>13592</v>
      </c>
      <c r="D250" s="1" t="s">
        <v>20</v>
      </c>
      <c r="E250" s="1">
        <v>2220.71</v>
      </c>
    </row>
    <row r="251" spans="3:5" x14ac:dyDescent="0.35">
      <c r="C251" s="1" t="s">
        <v>13592</v>
      </c>
      <c r="D251" s="1" t="s">
        <v>18</v>
      </c>
      <c r="E251" s="1">
        <v>2220.7109999999998</v>
      </c>
    </row>
    <row r="252" spans="3:5" x14ac:dyDescent="0.35">
      <c r="C252" s="1" t="s">
        <v>13629</v>
      </c>
      <c r="D252" s="1" t="s">
        <v>20</v>
      </c>
      <c r="E252" s="1">
        <v>2220.7199999999998</v>
      </c>
    </row>
    <row r="253" spans="3:5" x14ac:dyDescent="0.35">
      <c r="C253" s="1" t="s">
        <v>13629</v>
      </c>
      <c r="D253" s="1" t="s">
        <v>18</v>
      </c>
      <c r="E253" s="1">
        <v>2220.721</v>
      </c>
    </row>
    <row r="254" spans="3:5" x14ac:dyDescent="0.35">
      <c r="C254" s="1" t="s">
        <v>13628</v>
      </c>
      <c r="D254" s="1" t="s">
        <v>18</v>
      </c>
      <c r="E254" s="1">
        <v>2220.73</v>
      </c>
    </row>
    <row r="255" spans="3:5" x14ac:dyDescent="0.35">
      <c r="C255" s="1" t="s">
        <v>13627</v>
      </c>
      <c r="D255" s="1" t="s">
        <v>20</v>
      </c>
      <c r="E255" s="1">
        <v>2220.8000000000002</v>
      </c>
    </row>
    <row r="256" spans="3:5" x14ac:dyDescent="0.35">
      <c r="C256" s="1" t="s">
        <v>13626</v>
      </c>
      <c r="D256" s="1" t="s">
        <v>20</v>
      </c>
      <c r="E256" s="1">
        <v>2220.8049999999998</v>
      </c>
    </row>
    <row r="257" spans="3:5" x14ac:dyDescent="0.35">
      <c r="C257" s="1" t="s">
        <v>13625</v>
      </c>
      <c r="D257" s="1" t="s">
        <v>20</v>
      </c>
      <c r="E257" s="1">
        <v>2220.806</v>
      </c>
    </row>
    <row r="258" spans="3:5" x14ac:dyDescent="0.35">
      <c r="C258" s="1" t="s">
        <v>13624</v>
      </c>
      <c r="D258" s="1" t="s">
        <v>20</v>
      </c>
      <c r="E258" s="1">
        <v>2220.81</v>
      </c>
    </row>
    <row r="259" spans="3:5" x14ac:dyDescent="0.35">
      <c r="C259" s="1" t="s">
        <v>13623</v>
      </c>
      <c r="D259" s="1" t="s">
        <v>20</v>
      </c>
      <c r="E259" s="1">
        <v>2220.8150000000001</v>
      </c>
    </row>
    <row r="260" spans="3:5" x14ac:dyDescent="0.35">
      <c r="C260" s="1" t="s">
        <v>13622</v>
      </c>
      <c r="D260" s="1" t="s">
        <v>20</v>
      </c>
      <c r="E260" s="1">
        <v>2220.8200000000002</v>
      </c>
    </row>
    <row r="261" spans="3:5" x14ac:dyDescent="0.35">
      <c r="C261" s="1" t="s">
        <v>13621</v>
      </c>
      <c r="D261" s="1" t="s">
        <v>20</v>
      </c>
      <c r="E261" s="1">
        <v>2220.8249999999998</v>
      </c>
    </row>
    <row r="262" spans="3:5" x14ac:dyDescent="0.35">
      <c r="C262" s="1" t="s">
        <v>13620</v>
      </c>
      <c r="D262" s="1" t="s">
        <v>20</v>
      </c>
      <c r="E262" s="1">
        <v>2220.83</v>
      </c>
    </row>
    <row r="263" spans="3:5" x14ac:dyDescent="0.35">
      <c r="C263" s="1" t="s">
        <v>13619</v>
      </c>
      <c r="D263" s="1" t="s">
        <v>20</v>
      </c>
      <c r="E263" s="1">
        <v>2221.1</v>
      </c>
    </row>
    <row r="264" spans="3:5" x14ac:dyDescent="0.35">
      <c r="C264" s="1" t="s">
        <v>13618</v>
      </c>
      <c r="D264" s="1" t="s">
        <v>20</v>
      </c>
      <c r="E264" s="1">
        <v>2221.105</v>
      </c>
    </row>
    <row r="265" spans="3:5" x14ac:dyDescent="0.35">
      <c r="C265" s="1" t="s">
        <v>13617</v>
      </c>
      <c r="D265" s="1" t="s">
        <v>20</v>
      </c>
      <c r="E265" s="1">
        <v>2221.11</v>
      </c>
    </row>
    <row r="266" spans="3:5" x14ac:dyDescent="0.35">
      <c r="C266" s="1" t="s">
        <v>13616</v>
      </c>
      <c r="D266" s="1" t="s">
        <v>20</v>
      </c>
      <c r="E266" s="1">
        <v>2221.1149999999998</v>
      </c>
    </row>
    <row r="267" spans="3:5" x14ac:dyDescent="0.35">
      <c r="C267" s="1" t="s">
        <v>13543</v>
      </c>
      <c r="D267" s="1" t="s">
        <v>20</v>
      </c>
      <c r="E267" s="1">
        <v>2221.12</v>
      </c>
    </row>
    <row r="268" spans="3:5" x14ac:dyDescent="0.35">
      <c r="C268" s="1" t="s">
        <v>13615</v>
      </c>
      <c r="D268" s="1" t="s">
        <v>20</v>
      </c>
      <c r="E268" s="1">
        <v>2221.125</v>
      </c>
    </row>
    <row r="269" spans="3:5" x14ac:dyDescent="0.35">
      <c r="C269" s="1" t="s">
        <v>13614</v>
      </c>
      <c r="D269" s="1" t="s">
        <v>20</v>
      </c>
      <c r="E269" s="1">
        <v>2221.1999999999998</v>
      </c>
    </row>
    <row r="270" spans="3:5" x14ac:dyDescent="0.35">
      <c r="C270" s="1" t="s">
        <v>13613</v>
      </c>
      <c r="D270" s="1" t="s">
        <v>20</v>
      </c>
      <c r="E270" s="1">
        <v>2221.2049999999999</v>
      </c>
    </row>
    <row r="271" spans="3:5" x14ac:dyDescent="0.35">
      <c r="C271" s="1" t="s">
        <v>13612</v>
      </c>
      <c r="D271" s="1" t="s">
        <v>20</v>
      </c>
      <c r="E271" s="1">
        <v>2221.21</v>
      </c>
    </row>
    <row r="272" spans="3:5" x14ac:dyDescent="0.35">
      <c r="C272" s="1" t="s">
        <v>13611</v>
      </c>
      <c r="D272" s="1" t="s">
        <v>20</v>
      </c>
      <c r="E272" s="1">
        <v>2221.2150000000001</v>
      </c>
    </row>
    <row r="273" spans="3:5" x14ac:dyDescent="0.35">
      <c r="C273" s="1" t="s">
        <v>13610</v>
      </c>
      <c r="D273" s="1" t="s">
        <v>20</v>
      </c>
      <c r="E273" s="1">
        <v>2221.2199999999998</v>
      </c>
    </row>
    <row r="274" spans="3:5" x14ac:dyDescent="0.35">
      <c r="C274" s="1" t="s">
        <v>13609</v>
      </c>
      <c r="D274" s="1" t="s">
        <v>20</v>
      </c>
      <c r="E274" s="1">
        <v>2221.2249999999999</v>
      </c>
    </row>
    <row r="275" spans="3:5" x14ac:dyDescent="0.35">
      <c r="C275" s="1" t="s">
        <v>13591</v>
      </c>
      <c r="D275" s="1" t="s">
        <v>20</v>
      </c>
      <c r="E275" s="1">
        <v>2221.25</v>
      </c>
    </row>
    <row r="276" spans="3:5" x14ac:dyDescent="0.35">
      <c r="C276" s="1" t="s">
        <v>13608</v>
      </c>
      <c r="D276" s="1" t="s">
        <v>20</v>
      </c>
      <c r="E276" s="1">
        <v>2221.3000000000002</v>
      </c>
    </row>
    <row r="277" spans="3:5" x14ac:dyDescent="0.35">
      <c r="C277" s="1" t="s">
        <v>13607</v>
      </c>
      <c r="D277" s="1" t="s">
        <v>20</v>
      </c>
      <c r="E277" s="1">
        <v>2221.3049999999998</v>
      </c>
    </row>
    <row r="278" spans="3:5" x14ac:dyDescent="0.35">
      <c r="C278" s="1" t="s">
        <v>13606</v>
      </c>
      <c r="D278" s="1" t="s">
        <v>20</v>
      </c>
      <c r="E278" s="1">
        <v>2221.31</v>
      </c>
    </row>
    <row r="279" spans="3:5" x14ac:dyDescent="0.35">
      <c r="C279" s="1" t="s">
        <v>13605</v>
      </c>
      <c r="D279" s="1" t="s">
        <v>20</v>
      </c>
      <c r="E279" s="1">
        <v>2221.3200000000002</v>
      </c>
    </row>
    <row r="280" spans="3:5" x14ac:dyDescent="0.35">
      <c r="C280" s="1" t="s">
        <v>13604</v>
      </c>
      <c r="D280" s="1" t="s">
        <v>20</v>
      </c>
      <c r="E280" s="1">
        <v>2221.4</v>
      </c>
    </row>
    <row r="281" spans="3:5" x14ac:dyDescent="0.35">
      <c r="C281" s="1" t="s">
        <v>13603</v>
      </c>
      <c r="D281" s="1" t="s">
        <v>21</v>
      </c>
      <c r="E281" s="1">
        <v>2221.4050000000002</v>
      </c>
    </row>
    <row r="282" spans="3:5" x14ac:dyDescent="0.35">
      <c r="C282" s="1" t="s">
        <v>13602</v>
      </c>
      <c r="D282" s="1" t="s">
        <v>20</v>
      </c>
      <c r="E282" s="1">
        <v>2221.41</v>
      </c>
    </row>
    <row r="283" spans="3:5" x14ac:dyDescent="0.35">
      <c r="C283" s="1" t="s">
        <v>13601</v>
      </c>
      <c r="D283" s="1" t="s">
        <v>20</v>
      </c>
      <c r="E283" s="1">
        <v>2221.415</v>
      </c>
    </row>
    <row r="284" spans="3:5" x14ac:dyDescent="0.35">
      <c r="C284" s="1" t="s">
        <v>13600</v>
      </c>
      <c r="D284" s="1" t="s">
        <v>20</v>
      </c>
      <c r="E284" s="1">
        <v>2221.42</v>
      </c>
    </row>
    <row r="285" spans="3:5" x14ac:dyDescent="0.35">
      <c r="C285" s="1" t="s">
        <v>13599</v>
      </c>
      <c r="D285" s="1" t="s">
        <v>20</v>
      </c>
      <c r="E285" s="1">
        <v>2221.4250000000002</v>
      </c>
    </row>
    <row r="286" spans="3:5" x14ac:dyDescent="0.35">
      <c r="C286" s="1" t="s">
        <v>13598</v>
      </c>
      <c r="D286" s="1" t="s">
        <v>18</v>
      </c>
      <c r="E286" s="1">
        <v>2221.5</v>
      </c>
    </row>
    <row r="287" spans="3:5" x14ac:dyDescent="0.35">
      <c r="C287" s="1" t="s">
        <v>13597</v>
      </c>
      <c r="D287" s="1" t="s">
        <v>18</v>
      </c>
      <c r="E287" s="1">
        <v>2221.5050000000001</v>
      </c>
    </row>
    <row r="288" spans="3:5" x14ac:dyDescent="0.35">
      <c r="C288" s="1" t="s">
        <v>13596</v>
      </c>
      <c r="D288" s="1" t="s">
        <v>18</v>
      </c>
      <c r="E288" s="1">
        <v>2221.5100000000002</v>
      </c>
    </row>
    <row r="289" spans="3:5" x14ac:dyDescent="0.35">
      <c r="C289" s="1" t="s">
        <v>13595</v>
      </c>
      <c r="D289" s="1" t="s">
        <v>18</v>
      </c>
      <c r="E289" s="1">
        <v>2221.5149999999999</v>
      </c>
    </row>
    <row r="290" spans="3:5" x14ac:dyDescent="0.35">
      <c r="C290" s="1" t="s">
        <v>13594</v>
      </c>
      <c r="D290" s="1" t="s">
        <v>18</v>
      </c>
      <c r="E290" s="1">
        <v>2221.52</v>
      </c>
    </row>
    <row r="291" spans="3:5" x14ac:dyDescent="0.35">
      <c r="C291" s="1" t="s">
        <v>13593</v>
      </c>
      <c r="D291" s="1" t="s">
        <v>18</v>
      </c>
      <c r="E291" s="1">
        <v>2221.5250000000001</v>
      </c>
    </row>
    <row r="292" spans="3:5" x14ac:dyDescent="0.35">
      <c r="C292" s="1" t="s">
        <v>13592</v>
      </c>
      <c r="D292" s="1" t="s">
        <v>18</v>
      </c>
      <c r="E292" s="1">
        <v>2221.5300000000002</v>
      </c>
    </row>
    <row r="293" spans="3:5" x14ac:dyDescent="0.35">
      <c r="C293" s="1" t="s">
        <v>13591</v>
      </c>
      <c r="D293" s="1" t="s">
        <v>20</v>
      </c>
      <c r="E293" s="1">
        <v>2221.5349999999999</v>
      </c>
    </row>
    <row r="294" spans="3:5" x14ac:dyDescent="0.35">
      <c r="C294" s="1" t="s">
        <v>13590</v>
      </c>
      <c r="D294" s="1" t="s">
        <v>18</v>
      </c>
      <c r="E294" s="1">
        <v>2221.6</v>
      </c>
    </row>
    <row r="295" spans="3:5" x14ac:dyDescent="0.35">
      <c r="C295" s="1" t="s">
        <v>13589</v>
      </c>
      <c r="D295" s="1" t="s">
        <v>18</v>
      </c>
      <c r="E295" s="1">
        <v>2221.605</v>
      </c>
    </row>
    <row r="296" spans="3:5" x14ac:dyDescent="0.35">
      <c r="C296" s="1" t="s">
        <v>13588</v>
      </c>
      <c r="D296" s="1" t="s">
        <v>18</v>
      </c>
      <c r="E296" s="1">
        <v>2221.6149999999998</v>
      </c>
    </row>
    <row r="297" spans="3:5" x14ac:dyDescent="0.35">
      <c r="C297" s="1" t="s">
        <v>13587</v>
      </c>
      <c r="D297" s="1" t="s">
        <v>18</v>
      </c>
      <c r="E297" s="1">
        <v>2221.62</v>
      </c>
    </row>
    <row r="298" spans="3:5" x14ac:dyDescent="0.35">
      <c r="C298" s="1" t="s">
        <v>13586</v>
      </c>
      <c r="D298" s="1" t="s">
        <v>18</v>
      </c>
      <c r="E298" s="1">
        <v>2221.625</v>
      </c>
    </row>
    <row r="299" spans="3:5" x14ac:dyDescent="0.35">
      <c r="C299" s="1" t="s">
        <v>13585</v>
      </c>
      <c r="D299" s="1" t="s">
        <v>18</v>
      </c>
      <c r="E299" s="1">
        <v>2221.63</v>
      </c>
    </row>
    <row r="300" spans="3:5" x14ac:dyDescent="0.35">
      <c r="C300" s="1" t="s">
        <v>13584</v>
      </c>
      <c r="D300" s="1" t="s">
        <v>18</v>
      </c>
      <c r="E300" s="1">
        <v>2221.6350000000002</v>
      </c>
    </row>
    <row r="301" spans="3:5" x14ac:dyDescent="0.35">
      <c r="C301" s="1" t="s">
        <v>13583</v>
      </c>
      <c r="D301" s="1" t="s">
        <v>20</v>
      </c>
      <c r="E301" s="1">
        <v>2221.64</v>
      </c>
    </row>
    <row r="302" spans="3:5" x14ac:dyDescent="0.35">
      <c r="C302" s="1" t="s">
        <v>13582</v>
      </c>
      <c r="D302" s="1" t="s">
        <v>18</v>
      </c>
      <c r="E302" s="1">
        <v>2221.6999999999998</v>
      </c>
    </row>
    <row r="303" spans="3:5" x14ac:dyDescent="0.35">
      <c r="C303" s="1" t="s">
        <v>13581</v>
      </c>
      <c r="D303" s="1" t="s">
        <v>18</v>
      </c>
      <c r="E303" s="1">
        <v>2221.7049999999999</v>
      </c>
    </row>
    <row r="304" spans="3:5" x14ac:dyDescent="0.35">
      <c r="C304" s="1" t="s">
        <v>13580</v>
      </c>
      <c r="D304" s="1" t="s">
        <v>18</v>
      </c>
      <c r="E304" s="1">
        <v>2221.71</v>
      </c>
    </row>
    <row r="305" spans="3:5" x14ac:dyDescent="0.35">
      <c r="C305" s="1" t="s">
        <v>13579</v>
      </c>
      <c r="D305" s="1" t="s">
        <v>18</v>
      </c>
      <c r="E305" s="1">
        <v>2221.7150000000001</v>
      </c>
    </row>
    <row r="306" spans="3:5" x14ac:dyDescent="0.35">
      <c r="C306" s="1" t="s">
        <v>13578</v>
      </c>
      <c r="D306" s="1" t="s">
        <v>20</v>
      </c>
      <c r="E306" s="1">
        <v>2221.8000000000002</v>
      </c>
    </row>
    <row r="307" spans="3:5" x14ac:dyDescent="0.35">
      <c r="C307" s="1" t="s">
        <v>13577</v>
      </c>
      <c r="D307" s="1" t="s">
        <v>20</v>
      </c>
      <c r="E307" s="1">
        <v>2221.8049999999998</v>
      </c>
    </row>
    <row r="308" spans="3:5" x14ac:dyDescent="0.35">
      <c r="C308" s="1" t="s">
        <v>13576</v>
      </c>
      <c r="D308" s="1" t="s">
        <v>20</v>
      </c>
      <c r="E308" s="1">
        <v>2221.81</v>
      </c>
    </row>
    <row r="309" spans="3:5" x14ac:dyDescent="0.35">
      <c r="C309" s="1" t="s">
        <v>13575</v>
      </c>
      <c r="D309" s="1" t="s">
        <v>20</v>
      </c>
      <c r="E309" s="1">
        <v>2221.8150000000001</v>
      </c>
    </row>
    <row r="310" spans="3:5" x14ac:dyDescent="0.35">
      <c r="C310" s="1" t="s">
        <v>13574</v>
      </c>
      <c r="D310" s="1" t="s">
        <v>20</v>
      </c>
      <c r="E310" s="1">
        <v>2221.8200000000002</v>
      </c>
    </row>
    <row r="311" spans="3:5" x14ac:dyDescent="0.35">
      <c r="C311" s="1" t="s">
        <v>13573</v>
      </c>
      <c r="D311" s="1" t="s">
        <v>18</v>
      </c>
      <c r="E311" s="1">
        <v>2221.8249999999998</v>
      </c>
    </row>
    <row r="312" spans="3:5" x14ac:dyDescent="0.35">
      <c r="C312" s="1" t="s">
        <v>13572</v>
      </c>
      <c r="D312" s="1" t="s">
        <v>19</v>
      </c>
      <c r="E312" s="1">
        <v>2221.83</v>
      </c>
    </row>
    <row r="313" spans="3:5" x14ac:dyDescent="0.35">
      <c r="C313" s="1" t="s">
        <v>13571</v>
      </c>
      <c r="D313" s="1" t="s">
        <v>20</v>
      </c>
      <c r="E313" s="1">
        <v>2221.9</v>
      </c>
    </row>
    <row r="314" spans="3:5" x14ac:dyDescent="0.35">
      <c r="C314" s="1" t="s">
        <v>13570</v>
      </c>
      <c r="D314" s="1" t="s">
        <v>20</v>
      </c>
      <c r="E314" s="1">
        <v>2221.91</v>
      </c>
    </row>
    <row r="315" spans="3:5" x14ac:dyDescent="0.35">
      <c r="C315" s="1" t="s">
        <v>13569</v>
      </c>
      <c r="D315" s="1" t="s">
        <v>20</v>
      </c>
      <c r="E315" s="1">
        <v>2221.92</v>
      </c>
    </row>
    <row r="316" spans="3:5" x14ac:dyDescent="0.35">
      <c r="C316" s="1" t="s">
        <v>13568</v>
      </c>
      <c r="D316" s="1" t="s">
        <v>20</v>
      </c>
      <c r="E316" s="1">
        <v>2224.1</v>
      </c>
    </row>
    <row r="317" spans="3:5" x14ac:dyDescent="0.35">
      <c r="C317" s="1" t="s">
        <v>13567</v>
      </c>
      <c r="D317" s="1" t="s">
        <v>20</v>
      </c>
      <c r="E317" s="1">
        <v>2224.105</v>
      </c>
    </row>
    <row r="318" spans="3:5" x14ac:dyDescent="0.35">
      <c r="C318" s="1" t="s">
        <v>13566</v>
      </c>
      <c r="D318" s="1" t="s">
        <v>20</v>
      </c>
      <c r="E318" s="1">
        <v>2224.11</v>
      </c>
    </row>
    <row r="319" spans="3:5" x14ac:dyDescent="0.35">
      <c r="C319" s="1" t="s">
        <v>13565</v>
      </c>
      <c r="D319" s="1" t="s">
        <v>20</v>
      </c>
      <c r="E319" s="1">
        <v>2224.1149999999998</v>
      </c>
    </row>
    <row r="320" spans="3:5" x14ac:dyDescent="0.35">
      <c r="C320" s="1" t="s">
        <v>13564</v>
      </c>
      <c r="D320" s="1" t="s">
        <v>20</v>
      </c>
      <c r="E320" s="1">
        <v>2224.12</v>
      </c>
    </row>
    <row r="321" spans="3:5" x14ac:dyDescent="0.35">
      <c r="C321" s="1" t="s">
        <v>13563</v>
      </c>
      <c r="D321" s="1" t="s">
        <v>20</v>
      </c>
      <c r="E321" s="1">
        <v>2224.125</v>
      </c>
    </row>
    <row r="322" spans="3:5" x14ac:dyDescent="0.35">
      <c r="C322" s="1" t="s">
        <v>13562</v>
      </c>
      <c r="D322" s="1" t="s">
        <v>20</v>
      </c>
      <c r="E322" s="1">
        <v>2224.13</v>
      </c>
    </row>
    <row r="323" spans="3:5" x14ac:dyDescent="0.35">
      <c r="C323" s="1" t="s">
        <v>13561</v>
      </c>
      <c r="D323" s="1" t="s">
        <v>20</v>
      </c>
      <c r="E323" s="1">
        <v>2224.1999999999998</v>
      </c>
    </row>
    <row r="324" spans="3:5" x14ac:dyDescent="0.35">
      <c r="C324" s="1" t="s">
        <v>13560</v>
      </c>
      <c r="D324" s="1" t="s">
        <v>20</v>
      </c>
      <c r="E324" s="1">
        <v>2224.2049999999999</v>
      </c>
    </row>
    <row r="325" spans="3:5" x14ac:dyDescent="0.35">
      <c r="C325" s="1" t="s">
        <v>13559</v>
      </c>
      <c r="D325" s="1" t="s">
        <v>20</v>
      </c>
      <c r="E325" s="1">
        <v>2224.21</v>
      </c>
    </row>
    <row r="326" spans="3:5" x14ac:dyDescent="0.35">
      <c r="C326" s="1" t="s">
        <v>13558</v>
      </c>
      <c r="D326" s="1" t="s">
        <v>20</v>
      </c>
      <c r="E326" s="1">
        <v>2224.2150000000001</v>
      </c>
    </row>
    <row r="327" spans="3:5" x14ac:dyDescent="0.35">
      <c r="C327" s="1" t="s">
        <v>13557</v>
      </c>
      <c r="D327" s="1" t="s">
        <v>20</v>
      </c>
      <c r="E327" s="1">
        <v>2224.3000000000002</v>
      </c>
    </row>
    <row r="328" spans="3:5" x14ac:dyDescent="0.35">
      <c r="C328" s="1" t="s">
        <v>13556</v>
      </c>
      <c r="D328" s="1" t="s">
        <v>13554</v>
      </c>
      <c r="E328" s="1">
        <v>2224.31</v>
      </c>
    </row>
    <row r="329" spans="3:5" x14ac:dyDescent="0.35">
      <c r="C329" s="1" t="s">
        <v>13555</v>
      </c>
      <c r="D329" s="1" t="s">
        <v>13554</v>
      </c>
      <c r="E329" s="1">
        <v>2224.3200000000002</v>
      </c>
    </row>
    <row r="330" spans="3:5" x14ac:dyDescent="0.35">
      <c r="C330" s="1" t="s">
        <v>13553</v>
      </c>
      <c r="D330" s="1" t="s">
        <v>18</v>
      </c>
      <c r="E330" s="1">
        <v>2224.33</v>
      </c>
    </row>
    <row r="331" spans="3:5" x14ac:dyDescent="0.35">
      <c r="C331" s="1" t="s">
        <v>13552</v>
      </c>
      <c r="D331" s="1" t="s">
        <v>18</v>
      </c>
      <c r="E331" s="1">
        <v>2224.4</v>
      </c>
    </row>
    <row r="332" spans="3:5" x14ac:dyDescent="0.35">
      <c r="C332" s="1" t="s">
        <v>13551</v>
      </c>
      <c r="D332" s="1" t="s">
        <v>18</v>
      </c>
      <c r="E332" s="1">
        <v>2224.4009999999998</v>
      </c>
    </row>
    <row r="333" spans="3:5" x14ac:dyDescent="0.35">
      <c r="C333" s="1" t="s">
        <v>13550</v>
      </c>
      <c r="D333" s="1" t="s">
        <v>19</v>
      </c>
      <c r="E333" s="1">
        <v>2224.41</v>
      </c>
    </row>
    <row r="334" spans="3:5" x14ac:dyDescent="0.35">
      <c r="C334" s="1" t="s">
        <v>13549</v>
      </c>
      <c r="D334" s="1" t="s">
        <v>21</v>
      </c>
      <c r="E334" s="1">
        <v>2224.5</v>
      </c>
    </row>
    <row r="335" spans="3:5" x14ac:dyDescent="0.35">
      <c r="C335" s="1" t="s">
        <v>13548</v>
      </c>
      <c r="D335" s="1" t="s">
        <v>20</v>
      </c>
      <c r="E335" s="1">
        <v>2224.5010000000002</v>
      </c>
    </row>
    <row r="336" spans="3:5" x14ac:dyDescent="0.35">
      <c r="C336" s="1" t="s">
        <v>13547</v>
      </c>
      <c r="D336" s="1" t="s">
        <v>20</v>
      </c>
      <c r="E336" s="1">
        <v>2224.5100000000002</v>
      </c>
    </row>
    <row r="337" spans="3:5" x14ac:dyDescent="0.35">
      <c r="C337" s="1" t="s">
        <v>13546</v>
      </c>
      <c r="D337" s="1" t="s">
        <v>19</v>
      </c>
      <c r="E337" s="1">
        <v>2224.52</v>
      </c>
    </row>
    <row r="338" spans="3:5" x14ac:dyDescent="0.35">
      <c r="C338" s="1" t="s">
        <v>13545</v>
      </c>
      <c r="D338" s="1" t="s">
        <v>19</v>
      </c>
      <c r="E338" s="1">
        <v>2224.5210000000002</v>
      </c>
    </row>
    <row r="339" spans="3:5" x14ac:dyDescent="0.35">
      <c r="C339" s="1" t="s">
        <v>13544</v>
      </c>
      <c r="D339" s="1" t="s">
        <v>20</v>
      </c>
      <c r="E339" s="1">
        <v>2224.5500000000002</v>
      </c>
    </row>
    <row r="340" spans="3:5" x14ac:dyDescent="0.35">
      <c r="C340" s="1" t="s">
        <v>13543</v>
      </c>
      <c r="D340" s="1" t="s">
        <v>20</v>
      </c>
      <c r="E340" s="1">
        <v>2224.5509999999999</v>
      </c>
    </row>
    <row r="341" spans="3:5" x14ac:dyDescent="0.35">
      <c r="C341" s="1" t="s">
        <v>13542</v>
      </c>
      <c r="D341" s="1" t="s">
        <v>19</v>
      </c>
      <c r="E341" s="1">
        <v>2224.56</v>
      </c>
    </row>
    <row r="342" spans="3:5" x14ac:dyDescent="0.35">
      <c r="C342" s="1" t="s">
        <v>13541</v>
      </c>
      <c r="D342" s="1" t="s">
        <v>19</v>
      </c>
      <c r="E342" s="1">
        <v>2224.6</v>
      </c>
    </row>
    <row r="343" spans="3:5" x14ac:dyDescent="0.35">
      <c r="C343" s="1" t="s">
        <v>13540</v>
      </c>
      <c r="D343" s="1" t="s">
        <v>19</v>
      </c>
      <c r="E343" s="1">
        <v>2224.9</v>
      </c>
    </row>
    <row r="344" spans="3:5" x14ac:dyDescent="0.35">
      <c r="C344" s="1" t="s">
        <v>13539</v>
      </c>
      <c r="D344" s="1" t="s">
        <v>19</v>
      </c>
      <c r="E344" s="1">
        <v>2224.9009999999998</v>
      </c>
    </row>
  </sheetData>
  <mergeCells count="9">
    <mergeCell ref="P3:Q3"/>
    <mergeCell ref="J5:K5"/>
    <mergeCell ref="J6:K6"/>
    <mergeCell ref="J7:K7"/>
    <mergeCell ref="A3:B3"/>
    <mergeCell ref="D3:G3"/>
    <mergeCell ref="J3:K3"/>
    <mergeCell ref="A4:B4"/>
    <mergeCell ref="J4:K4"/>
  </mergeCells>
  <dataValidations count="1">
    <dataValidation type="list" allowBlank="1" showInputMessage="1" showErrorMessage="1" sqref="C16:C190" xr:uid="{1B140D65-8CE8-4743-8364-F6508FCE38B5}">
      <formula1>$C$205:$C207</formula1>
    </dataValidation>
  </dataValidations>
  <hyperlinks>
    <hyperlink ref="D3" r:id="rId1" display="datamateapp@gmail.com" xr:uid="{24545929-34E3-48A6-AACB-6213C216D1B0}"/>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0181" r:id="rId4" name="Button 5">
              <controlPr defaultSize="0" print="0" autoFill="0" autoPict="0" macro="[0]!ExitSEC_024000">
                <anchor moveWithCells="1" sizeWithCells="1">
                  <from>
                    <xdr:col>16</xdr:col>
                    <xdr:colOff>247650</xdr:colOff>
                    <xdr:row>0</xdr:row>
                    <xdr:rowOff>0</xdr:rowOff>
                  </from>
                  <to>
                    <xdr:col>17</xdr:col>
                    <xdr:colOff>25400</xdr:colOff>
                    <xdr:row>2</xdr:row>
                    <xdr:rowOff>6350</xdr:rowOff>
                  </to>
                </anchor>
              </controlPr>
            </control>
          </mc:Choice>
        </mc:AlternateContent>
        <mc:AlternateContent xmlns:mc="http://schemas.openxmlformats.org/markup-compatibility/2006">
          <mc:Choice Requires="x14">
            <control shapeId="50183" r:id="rId5" name="Button 7">
              <controlPr defaultSize="0" print="0" autoFill="0" autoPict="0">
                <anchor moveWithCells="1" sizeWithCells="1">
                  <from>
                    <xdr:col>0</xdr:col>
                    <xdr:colOff>0</xdr:colOff>
                    <xdr:row>0</xdr:row>
                    <xdr:rowOff>0</xdr:rowOff>
                  </from>
                  <to>
                    <xdr:col>1</xdr:col>
                    <xdr:colOff>952500</xdr:colOff>
                    <xdr:row>2</xdr:row>
                    <xdr:rowOff>25400</xdr:rowOff>
                  </to>
                </anchor>
              </controlPr>
            </control>
          </mc:Choice>
        </mc:AlternateContent>
        <mc:AlternateContent xmlns:mc="http://schemas.openxmlformats.org/markup-compatibility/2006">
          <mc:Choice Requires="x14">
            <control shapeId="50184" r:id="rId6" name="Button 8">
              <controlPr defaultSize="0" print="0" autoFill="0" autoPict="0" macro="[0]!ClearContentsAndDropdowns">
                <anchor moveWithCells="1" sizeWithCells="1">
                  <from>
                    <xdr:col>0</xdr:col>
                    <xdr:colOff>0</xdr:colOff>
                    <xdr:row>0</xdr:row>
                    <xdr:rowOff>0</xdr:rowOff>
                  </from>
                  <to>
                    <xdr:col>1</xdr:col>
                    <xdr:colOff>952500</xdr:colOff>
                    <xdr:row>2</xdr:row>
                    <xdr:rowOff>50800</xdr:rowOff>
                  </to>
                </anchor>
              </controlPr>
            </control>
          </mc:Choice>
        </mc:AlternateContent>
        <mc:AlternateContent xmlns:mc="http://schemas.openxmlformats.org/markup-compatibility/2006">
          <mc:Choice Requires="x14">
            <control shapeId="50236" r:id="rId7" name="Button 60">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50237" r:id="rId8" name="Button 61">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50238" r:id="rId9" name="Button 62">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50239" r:id="rId10" name="Button 63">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50240" r:id="rId11" name="Button 64">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50241" r:id="rId12" name="Button 65">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50242" r:id="rId13" name="Button 66">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50243" r:id="rId14" name="Button 67">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38229-DF8C-48A6-9876-38502F753AB1}">
  <sheetPr codeName="Sheet33"/>
  <dimension ref="A1:Q214"/>
  <sheetViews>
    <sheetView zoomScale="70" zoomScaleNormal="70" workbookViewId="0">
      <selection activeCell="C4" sqref="C4"/>
    </sheetView>
  </sheetViews>
  <sheetFormatPr defaultRowHeight="14.5" x14ac:dyDescent="0.35"/>
  <cols>
    <col min="1" max="1" width="4.54296875" style="1" customWidth="1"/>
    <col min="2" max="2" width="14" style="1" customWidth="1"/>
    <col min="3" max="3" width="77.1796875" style="1" bestFit="1" customWidth="1"/>
    <col min="4" max="4" width="10.7265625" style="1" customWidth="1"/>
    <col min="5" max="5" width="10.1796875" style="1" customWidth="1"/>
    <col min="6" max="6" width="13.26953125" style="1" customWidth="1"/>
    <col min="7" max="7" width="15.1796875" style="1" customWidth="1"/>
    <col min="8" max="8" width="13.26953125" style="1" customWidth="1"/>
    <col min="9" max="9" width="12.7265625" style="1" customWidth="1"/>
    <col min="10" max="10" width="12.26953125" style="1" customWidth="1"/>
    <col min="11" max="11" width="9" style="1" customWidth="1"/>
    <col min="12" max="12" width="13.26953125" style="1" customWidth="1"/>
    <col min="13" max="13" width="12.7265625" style="1" customWidth="1"/>
    <col min="14" max="14" width="13.26953125" style="1" customWidth="1"/>
    <col min="15" max="15" width="12.7265625" style="1" customWidth="1"/>
    <col min="16" max="16" width="13.26953125" style="1" customWidth="1"/>
    <col min="17" max="17" width="21.26953125" style="1" customWidth="1"/>
    <col min="18" max="22" width="8.7265625" style="1"/>
    <col min="23" max="23" width="4.54296875" style="1" customWidth="1"/>
    <col min="24" max="24" width="11.90625" style="1" customWidth="1"/>
    <col min="25" max="25" width="77.1796875" style="1" bestFit="1" customWidth="1"/>
    <col min="26" max="26" width="10.7265625" style="1" customWidth="1"/>
    <col min="27" max="27" width="10.1796875" style="1" customWidth="1"/>
    <col min="28" max="28" width="13.26953125" style="1" customWidth="1"/>
    <col min="29" max="29" width="15.1796875" style="1" customWidth="1"/>
    <col min="30" max="30" width="13.26953125" style="1" customWidth="1"/>
    <col min="31" max="31" width="12.7265625" style="1" customWidth="1"/>
    <col min="32" max="32" width="12.26953125" style="1" customWidth="1"/>
    <col min="33" max="33" width="9" style="1" customWidth="1"/>
    <col min="34" max="34" width="13.26953125" style="1" customWidth="1"/>
    <col min="35" max="35" width="12.7265625" style="1" customWidth="1"/>
    <col min="36" max="36" width="13.26953125" style="1" customWidth="1"/>
    <col min="37" max="37" width="12.7265625" style="1" customWidth="1"/>
    <col min="38" max="38" width="13.26953125" style="1" customWidth="1"/>
    <col min="39" max="39" width="21.26953125" style="1" customWidth="1"/>
    <col min="40" max="16384" width="8.7265625" style="1"/>
  </cols>
  <sheetData>
    <row r="1" spans="1:17" ht="14.5" customHeight="1"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SITE REMEDIATION</v>
      </c>
      <c r="J2" s="59"/>
      <c r="K2" s="59"/>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02 50 00</v>
      </c>
      <c r="C10" s="24" t="str">
        <f>C206</f>
        <v>SITE REMEDIATION</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SITE REMEDIATION</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Q200" s="78" t="s">
        <v>21404</v>
      </c>
    </row>
    <row r="201" spans="2:17" x14ac:dyDescent="0.35">
      <c r="C201" s="78" t="s">
        <v>21592</v>
      </c>
    </row>
    <row r="203" spans="2:17" x14ac:dyDescent="0.35">
      <c r="C203" s="77" t="s">
        <v>21399</v>
      </c>
    </row>
    <row r="205" spans="2:17" x14ac:dyDescent="0.35">
      <c r="C205" s="1" t="s">
        <v>21398</v>
      </c>
      <c r="D205" s="1" t="s">
        <v>75</v>
      </c>
      <c r="E205" s="1" t="s">
        <v>13768</v>
      </c>
      <c r="F205" s="2" t="s">
        <v>21397</v>
      </c>
      <c r="G205" s="1" t="s">
        <v>9</v>
      </c>
    </row>
    <row r="206" spans="2:17" x14ac:dyDescent="0.35">
      <c r="B206" s="49" t="s">
        <v>13999</v>
      </c>
      <c r="C206" s="82" t="s">
        <v>14000</v>
      </c>
    </row>
    <row r="207" spans="2:17" x14ac:dyDescent="0.35">
      <c r="B207" s="49" t="s">
        <v>14001</v>
      </c>
      <c r="C207" s="53" t="s">
        <v>14002</v>
      </c>
    </row>
    <row r="208" spans="2:17" x14ac:dyDescent="0.35">
      <c r="B208" s="49" t="s">
        <v>14003</v>
      </c>
      <c r="C208" s="53" t="s">
        <v>14004</v>
      </c>
    </row>
    <row r="209" spans="2:3" x14ac:dyDescent="0.35">
      <c r="B209" s="49" t="s">
        <v>14005</v>
      </c>
      <c r="C209" s="53" t="s">
        <v>14006</v>
      </c>
    </row>
    <row r="210" spans="2:3" x14ac:dyDescent="0.35">
      <c r="B210" s="49" t="s">
        <v>14007</v>
      </c>
      <c r="C210" s="53" t="s">
        <v>14008</v>
      </c>
    </row>
    <row r="211" spans="2:3" x14ac:dyDescent="0.35">
      <c r="B211" s="49" t="s">
        <v>14009</v>
      </c>
      <c r="C211" s="53" t="s">
        <v>14010</v>
      </c>
    </row>
    <row r="212" spans="2:3" x14ac:dyDescent="0.35">
      <c r="B212" s="49" t="s">
        <v>14011</v>
      </c>
      <c r="C212" s="53" t="s">
        <v>14012</v>
      </c>
    </row>
    <row r="213" spans="2:3" x14ac:dyDescent="0.35">
      <c r="B213" s="49" t="s">
        <v>14013</v>
      </c>
      <c r="C213" s="53" t="s">
        <v>14014</v>
      </c>
    </row>
    <row r="214" spans="2:3" x14ac:dyDescent="0.35">
      <c r="B214" s="49" t="s">
        <v>14015</v>
      </c>
      <c r="C214" s="53" t="s">
        <v>14016</v>
      </c>
    </row>
  </sheetData>
  <mergeCells count="9">
    <mergeCell ref="P3:Q3"/>
    <mergeCell ref="J5:K5"/>
    <mergeCell ref="J6:K6"/>
    <mergeCell ref="J7:K7"/>
    <mergeCell ref="A3:B3"/>
    <mergeCell ref="D3:G3"/>
    <mergeCell ref="J3:K3"/>
    <mergeCell ref="A4:B4"/>
    <mergeCell ref="J4:K4"/>
  </mergeCells>
  <dataValidations count="1">
    <dataValidation type="list" allowBlank="1" showInputMessage="1" showErrorMessage="1" sqref="C16:C190" xr:uid="{22DA6219-C235-49AC-9E71-D3C7C9591F25}">
      <formula1>$C$205:$C207</formula1>
    </dataValidation>
  </dataValidations>
  <hyperlinks>
    <hyperlink ref="D3" r:id="rId1" display="datamateapp@gmail.com" xr:uid="{8F1D171C-A900-4564-A298-29AA4868DC3C}"/>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1205" r:id="rId4" name="Button 5">
              <controlPr defaultSize="0" print="0" autoFill="0" autoPict="0" macro="[0]!ExitSEC_025000">
                <anchor moveWithCells="1" sizeWithCells="1">
                  <from>
                    <xdr:col>16</xdr:col>
                    <xdr:colOff>228600</xdr:colOff>
                    <xdr:row>0</xdr:row>
                    <xdr:rowOff>0</xdr:rowOff>
                  </from>
                  <to>
                    <xdr:col>17</xdr:col>
                    <xdr:colOff>6350</xdr:colOff>
                    <xdr:row>2</xdr:row>
                    <xdr:rowOff>6350</xdr:rowOff>
                  </to>
                </anchor>
              </controlPr>
            </control>
          </mc:Choice>
        </mc:AlternateContent>
        <mc:AlternateContent xmlns:mc="http://schemas.openxmlformats.org/markup-compatibility/2006">
          <mc:Choice Requires="x14">
            <control shapeId="51250" r:id="rId5" name="Button 50">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51251" r:id="rId6" name="Button 51">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51252" r:id="rId7" name="Button 52">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51253" r:id="rId8" name="Button 53">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51254" r:id="rId9" name="Button 54">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51255" r:id="rId10" name="Button 55">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51256" r:id="rId11" name="Button 56">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51257" r:id="rId12" name="Button 57">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985F-279D-4ECB-92A8-D2581971EE86}">
  <sheetPr codeName="Sheet34"/>
  <dimension ref="A1:Q209"/>
  <sheetViews>
    <sheetView zoomScale="70" zoomScaleNormal="70" workbookViewId="0">
      <selection activeCell="C4" sqref="C4"/>
    </sheetView>
  </sheetViews>
  <sheetFormatPr defaultRowHeight="14.5" x14ac:dyDescent="0.35"/>
  <cols>
    <col min="1" max="1" width="4.54296875" style="1" customWidth="1"/>
    <col min="2" max="2" width="14" style="1" customWidth="1"/>
    <col min="3" max="3" width="77.1796875" style="1" bestFit="1" customWidth="1"/>
    <col min="4" max="4" width="10.7265625" style="1" customWidth="1"/>
    <col min="5" max="5" width="10.1796875" style="1" customWidth="1"/>
    <col min="6" max="6" width="13.26953125" style="1" customWidth="1"/>
    <col min="7" max="7" width="15.1796875" style="1" customWidth="1"/>
    <col min="8" max="8" width="13.26953125" style="1" customWidth="1"/>
    <col min="9" max="9" width="12.7265625" style="1" customWidth="1"/>
    <col min="10" max="10" width="12.26953125" style="1" customWidth="1"/>
    <col min="11" max="11" width="9" style="1" customWidth="1"/>
    <col min="12" max="12" width="13.26953125" style="1" customWidth="1"/>
    <col min="13" max="13" width="12.7265625" style="1" customWidth="1"/>
    <col min="14" max="14" width="13.26953125" style="1" customWidth="1"/>
    <col min="15" max="15" width="12.7265625" style="1" customWidth="1"/>
    <col min="16" max="16" width="13.26953125" style="1" customWidth="1"/>
    <col min="17" max="17" width="21.26953125" style="1" customWidth="1"/>
    <col min="18" max="22" width="8.7265625" style="1"/>
    <col min="23" max="23" width="4.54296875" style="1" customWidth="1"/>
    <col min="24" max="24" width="11.90625" style="1" customWidth="1"/>
    <col min="25" max="25" width="77.1796875" style="1" bestFit="1" customWidth="1"/>
    <col min="26" max="26" width="10.7265625" style="1" customWidth="1"/>
    <col min="27" max="27" width="10.1796875" style="1" customWidth="1"/>
    <col min="28" max="28" width="13.26953125" style="1" customWidth="1"/>
    <col min="29" max="29" width="15.1796875" style="1" customWidth="1"/>
    <col min="30" max="30" width="13.26953125" style="1" customWidth="1"/>
    <col min="31" max="31" width="12.7265625" style="1" customWidth="1"/>
    <col min="32" max="32" width="12.26953125" style="1" customWidth="1"/>
    <col min="33" max="33" width="9" style="1" customWidth="1"/>
    <col min="34" max="34" width="13.26953125" style="1" customWidth="1"/>
    <col min="35" max="35" width="12.7265625" style="1" customWidth="1"/>
    <col min="36" max="36" width="13.26953125" style="1" customWidth="1"/>
    <col min="37" max="37" width="12.7265625" style="1" customWidth="1"/>
    <col min="38" max="38" width="13.26953125" style="1" customWidth="1"/>
    <col min="39" max="39" width="21.26953125" style="1" customWidth="1"/>
    <col min="40" max="16384" width="8.7265625" style="1"/>
  </cols>
  <sheetData>
    <row r="1" spans="1:17" ht="14.5" customHeight="1"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CONTAMINATED SITE MATERIAL REMOVAL</v>
      </c>
      <c r="J2" s="59"/>
      <c r="K2" s="59"/>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02 60 00</v>
      </c>
      <c r="C10" s="24" t="str">
        <f>C206</f>
        <v>CONTAMINATED SITE MATERIAL REMOVAL</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CONTAMINATED SITE MATERIAL REMOVAL</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Q200" s="78" t="s">
        <v>21404</v>
      </c>
    </row>
    <row r="201" spans="2:17" x14ac:dyDescent="0.35">
      <c r="C201" s="78" t="s">
        <v>21592</v>
      </c>
    </row>
    <row r="203" spans="2:17" x14ac:dyDescent="0.35">
      <c r="C203" s="77" t="s">
        <v>21399</v>
      </c>
    </row>
    <row r="205" spans="2:17" x14ac:dyDescent="0.35">
      <c r="C205" s="1" t="s">
        <v>21398</v>
      </c>
      <c r="D205" s="1" t="s">
        <v>75</v>
      </c>
      <c r="E205" s="1" t="s">
        <v>13768</v>
      </c>
      <c r="F205" s="2" t="s">
        <v>21397</v>
      </c>
      <c r="G205" s="1" t="s">
        <v>9</v>
      </c>
    </row>
    <row r="206" spans="2:17" x14ac:dyDescent="0.35">
      <c r="B206" s="49" t="s">
        <v>14017</v>
      </c>
      <c r="C206" s="82" t="s">
        <v>14018</v>
      </c>
    </row>
    <row r="207" spans="2:17" x14ac:dyDescent="0.35">
      <c r="B207" s="49" t="s">
        <v>14019</v>
      </c>
      <c r="C207" s="53" t="s">
        <v>14020</v>
      </c>
    </row>
    <row r="208" spans="2:17" x14ac:dyDescent="0.35">
      <c r="B208" s="49" t="s">
        <v>14021</v>
      </c>
      <c r="C208" s="53" t="s">
        <v>14022</v>
      </c>
    </row>
    <row r="209" spans="2:3" x14ac:dyDescent="0.35">
      <c r="B209" s="49" t="s">
        <v>14023</v>
      </c>
      <c r="C209" s="53" t="s">
        <v>14024</v>
      </c>
    </row>
  </sheetData>
  <mergeCells count="9">
    <mergeCell ref="P3:Q3"/>
    <mergeCell ref="J5:K5"/>
    <mergeCell ref="J6:K6"/>
    <mergeCell ref="J7:K7"/>
    <mergeCell ref="A3:B3"/>
    <mergeCell ref="D3:G3"/>
    <mergeCell ref="J3:K3"/>
    <mergeCell ref="A4:B4"/>
    <mergeCell ref="J4:K4"/>
  </mergeCells>
  <dataValidations count="1">
    <dataValidation type="list" allowBlank="1" showInputMessage="1" showErrorMessage="1" sqref="C16:C190" xr:uid="{A8AA9730-26A3-4C53-8F09-E48B3891F4F5}">
      <formula1>$C$205:$C207</formula1>
    </dataValidation>
  </dataValidations>
  <hyperlinks>
    <hyperlink ref="D3" r:id="rId1" display="datamateapp@gmail.com" xr:uid="{A1900377-B13A-45B4-9FAB-C27661853DEB}"/>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2229" r:id="rId4" name="Button 5">
              <controlPr defaultSize="0" print="0" autoFill="0" autoPict="0" macro="[0]!ExitSEC_026000">
                <anchor moveWithCells="1" sizeWithCells="1">
                  <from>
                    <xdr:col>16</xdr:col>
                    <xdr:colOff>215900</xdr:colOff>
                    <xdr:row>0</xdr:row>
                    <xdr:rowOff>0</xdr:rowOff>
                  </from>
                  <to>
                    <xdr:col>16</xdr:col>
                    <xdr:colOff>1485900</xdr:colOff>
                    <xdr:row>2</xdr:row>
                    <xdr:rowOff>6350</xdr:rowOff>
                  </to>
                </anchor>
              </controlPr>
            </control>
          </mc:Choice>
        </mc:AlternateContent>
        <mc:AlternateContent xmlns:mc="http://schemas.openxmlformats.org/markup-compatibility/2006">
          <mc:Choice Requires="x14">
            <control shapeId="52265" r:id="rId5" name="Button 41">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52266" r:id="rId6" name="Button 42">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52267" r:id="rId7" name="Button 4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52268" r:id="rId8" name="Button 44">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52269" r:id="rId9" name="Button 45">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52270" r:id="rId10" name="Button 46">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52271" r:id="rId11" name="Button 47">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52272" r:id="rId12" name="Button 48">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5EC0E-B337-4483-8D69-DD847B42CDDF}">
  <sheetPr codeName="Sheet35"/>
  <dimension ref="A1:Q208"/>
  <sheetViews>
    <sheetView zoomScale="70" zoomScaleNormal="70" workbookViewId="0">
      <selection activeCell="C4" sqref="C4"/>
    </sheetView>
  </sheetViews>
  <sheetFormatPr defaultRowHeight="14.5" x14ac:dyDescent="0.35"/>
  <cols>
    <col min="1" max="1" width="4.54296875" style="1" customWidth="1"/>
    <col min="2" max="2" width="14" style="1" customWidth="1"/>
    <col min="3" max="3" width="77.1796875" style="1" bestFit="1" customWidth="1"/>
    <col min="4" max="4" width="10.7265625" style="1" customWidth="1"/>
    <col min="5" max="5" width="10.1796875" style="1" customWidth="1"/>
    <col min="6" max="6" width="13.26953125" style="1" customWidth="1"/>
    <col min="7" max="7" width="15.1796875" style="1" customWidth="1"/>
    <col min="8" max="8" width="13.26953125" style="1" customWidth="1"/>
    <col min="9" max="9" width="12.7265625" style="1" customWidth="1"/>
    <col min="10" max="10" width="12.26953125" style="1" customWidth="1"/>
    <col min="11" max="11" width="9" style="1" customWidth="1"/>
    <col min="12" max="12" width="13.26953125" style="1" customWidth="1"/>
    <col min="13" max="13" width="12.7265625" style="1" customWidth="1"/>
    <col min="14" max="14" width="13.26953125" style="1" customWidth="1"/>
    <col min="15" max="15" width="12.7265625" style="1" customWidth="1"/>
    <col min="16" max="16" width="13.26953125" style="1" customWidth="1"/>
    <col min="17" max="17" width="21.26953125" style="1" customWidth="1"/>
    <col min="18" max="22" width="8.7265625" style="1"/>
    <col min="23" max="23" width="4.54296875" style="1" customWidth="1"/>
    <col min="24" max="24" width="11.90625" style="1" customWidth="1"/>
    <col min="25" max="25" width="77.1796875" style="1" bestFit="1" customWidth="1"/>
    <col min="26" max="26" width="10.7265625" style="1" customWidth="1"/>
    <col min="27" max="27" width="10.1796875" style="1" customWidth="1"/>
    <col min="28" max="28" width="13.26953125" style="1" customWidth="1"/>
    <col min="29" max="29" width="15.1796875" style="1" customWidth="1"/>
    <col min="30" max="30" width="13.26953125" style="1" customWidth="1"/>
    <col min="31" max="31" width="12.7265625" style="1" customWidth="1"/>
    <col min="32" max="32" width="12.26953125" style="1" customWidth="1"/>
    <col min="33" max="33" width="9" style="1" customWidth="1"/>
    <col min="34" max="34" width="13.26953125" style="1" customWidth="1"/>
    <col min="35" max="35" width="12.7265625" style="1" customWidth="1"/>
    <col min="36" max="36" width="13.26953125" style="1" customWidth="1"/>
    <col min="37" max="37" width="12.7265625" style="1" customWidth="1"/>
    <col min="38" max="38" width="13.26953125" style="1" customWidth="1"/>
    <col min="39" max="39" width="21.26953125" style="1" customWidth="1"/>
    <col min="40" max="16384" width="8.7265625" style="1"/>
  </cols>
  <sheetData>
    <row r="1" spans="1:17" ht="14.5" customHeight="1"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WATER REMEDIATION</v>
      </c>
      <c r="J2" s="59"/>
      <c r="K2" s="59"/>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02 70 00</v>
      </c>
      <c r="C10" s="24" t="str">
        <f>C206</f>
        <v>WATER REMEDIATION</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WATER REMEDIATION</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Q200" s="78" t="s">
        <v>21404</v>
      </c>
    </row>
    <row r="201" spans="2:17" x14ac:dyDescent="0.35">
      <c r="C201" s="78" t="s">
        <v>21592</v>
      </c>
    </row>
    <row r="203" spans="2:17" x14ac:dyDescent="0.35">
      <c r="C203" s="77" t="s">
        <v>21399</v>
      </c>
    </row>
    <row r="205" spans="2:17" x14ac:dyDescent="0.35">
      <c r="C205" s="1" t="s">
        <v>21398</v>
      </c>
      <c r="D205" s="1" t="s">
        <v>75</v>
      </c>
      <c r="E205" s="1" t="s">
        <v>13768</v>
      </c>
      <c r="F205" s="2" t="s">
        <v>21397</v>
      </c>
      <c r="G205" s="1" t="s">
        <v>9</v>
      </c>
    </row>
    <row r="206" spans="2:17" x14ac:dyDescent="0.35">
      <c r="B206" s="49" t="s">
        <v>14025</v>
      </c>
      <c r="C206" s="82" t="s">
        <v>14026</v>
      </c>
    </row>
    <row r="207" spans="2:17" x14ac:dyDescent="0.35">
      <c r="B207" s="49" t="s">
        <v>14027</v>
      </c>
      <c r="C207" s="53" t="s">
        <v>14028</v>
      </c>
    </row>
    <row r="208" spans="2:17" x14ac:dyDescent="0.35">
      <c r="B208" s="49" t="s">
        <v>14029</v>
      </c>
      <c r="C208" s="53" t="s">
        <v>14030</v>
      </c>
    </row>
  </sheetData>
  <mergeCells count="9">
    <mergeCell ref="P3:Q3"/>
    <mergeCell ref="J5:K5"/>
    <mergeCell ref="J6:K6"/>
    <mergeCell ref="J7:K7"/>
    <mergeCell ref="A3:B3"/>
    <mergeCell ref="D3:G3"/>
    <mergeCell ref="J3:K3"/>
    <mergeCell ref="A4:B4"/>
    <mergeCell ref="J4:K4"/>
  </mergeCells>
  <dataValidations disablePrompts="1" count="1">
    <dataValidation type="list" allowBlank="1" showInputMessage="1" showErrorMessage="1" sqref="C16:C190" xr:uid="{0A6D275E-FAC4-47A4-AAA0-7658EA6D9F2C}">
      <formula1>$C$205:$C207</formula1>
    </dataValidation>
  </dataValidations>
  <hyperlinks>
    <hyperlink ref="D3" r:id="rId1" display="datamateapp@gmail.com" xr:uid="{56217314-D3A6-4BB1-8986-8312D46293B7}"/>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3253" r:id="rId4" name="Button 5">
              <controlPr defaultSize="0" print="0" autoFill="0" autoPict="0" macro="[0]!ExitSEC_027000">
                <anchor moveWithCells="1" sizeWithCells="1">
                  <from>
                    <xdr:col>16</xdr:col>
                    <xdr:colOff>228600</xdr:colOff>
                    <xdr:row>0</xdr:row>
                    <xdr:rowOff>0</xdr:rowOff>
                  </from>
                  <to>
                    <xdr:col>17</xdr:col>
                    <xdr:colOff>6350</xdr:colOff>
                    <xdr:row>2</xdr:row>
                    <xdr:rowOff>6350</xdr:rowOff>
                  </to>
                </anchor>
              </controlPr>
            </control>
          </mc:Choice>
        </mc:AlternateContent>
        <mc:AlternateContent xmlns:mc="http://schemas.openxmlformats.org/markup-compatibility/2006">
          <mc:Choice Requires="x14">
            <control shapeId="53288" r:id="rId5" name="Button 40">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53289" r:id="rId6" name="Button 41">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53290" r:id="rId7" name="Button 42">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53291" r:id="rId8" name="Button 43">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53292" r:id="rId9" name="Button 44">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53293" r:id="rId10" name="Button 45">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53294" r:id="rId11" name="Button 46">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53295" r:id="rId12" name="Button 47">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83835-88A1-4E08-8737-9753B2CFC261}">
  <sheetPr codeName="Sheet36"/>
  <dimension ref="A1:Q212"/>
  <sheetViews>
    <sheetView zoomScale="70" zoomScaleNormal="70" workbookViewId="0">
      <selection activeCell="C4" sqref="C4"/>
    </sheetView>
  </sheetViews>
  <sheetFormatPr defaultRowHeight="14.5" x14ac:dyDescent="0.35"/>
  <cols>
    <col min="1" max="1" width="4.54296875" style="1" customWidth="1"/>
    <col min="2" max="2" width="14" style="1" customWidth="1"/>
    <col min="3" max="3" width="77.1796875" style="1" bestFit="1" customWidth="1"/>
    <col min="4" max="4" width="10.7265625" style="1" customWidth="1"/>
    <col min="5" max="5" width="10.1796875" style="1" customWidth="1"/>
    <col min="6" max="6" width="13.26953125" style="1" customWidth="1"/>
    <col min="7" max="7" width="15.1796875" style="1" customWidth="1"/>
    <col min="8" max="8" width="13.26953125" style="1" customWidth="1"/>
    <col min="9" max="9" width="12.7265625" style="1" customWidth="1"/>
    <col min="10" max="10" width="12.26953125" style="1" customWidth="1"/>
    <col min="11" max="11" width="9" style="1" customWidth="1"/>
    <col min="12" max="12" width="13.26953125" style="1" customWidth="1"/>
    <col min="13" max="13" width="12.7265625" style="1" customWidth="1"/>
    <col min="14" max="14" width="13.26953125" style="1" customWidth="1"/>
    <col min="15" max="15" width="12.7265625" style="1" customWidth="1"/>
    <col min="16" max="16" width="13.26953125" style="1" customWidth="1"/>
    <col min="17" max="17" width="21.26953125" style="1" customWidth="1"/>
    <col min="18" max="22" width="8.7265625" style="1"/>
    <col min="23" max="23" width="4.54296875" style="1" customWidth="1"/>
    <col min="24" max="24" width="11.90625" style="1" customWidth="1"/>
    <col min="25" max="25" width="77.1796875" style="1" bestFit="1" customWidth="1"/>
    <col min="26" max="26" width="10.7265625" style="1" customWidth="1"/>
    <col min="27" max="27" width="10.1796875" style="1" customWidth="1"/>
    <col min="28" max="28" width="13.26953125" style="1" customWidth="1"/>
    <col min="29" max="29" width="15.1796875" style="1" customWidth="1"/>
    <col min="30" max="30" width="13.26953125" style="1" customWidth="1"/>
    <col min="31" max="31" width="12.7265625" style="1" customWidth="1"/>
    <col min="32" max="32" width="12.26953125" style="1" customWidth="1"/>
    <col min="33" max="33" width="9" style="1" customWidth="1"/>
    <col min="34" max="34" width="13.26953125" style="1" customWidth="1"/>
    <col min="35" max="35" width="12.7265625" style="1" customWidth="1"/>
    <col min="36" max="36" width="13.26953125" style="1" customWidth="1"/>
    <col min="37" max="37" width="12.7265625" style="1" customWidth="1"/>
    <col min="38" max="38" width="13.26953125" style="1" customWidth="1"/>
    <col min="39" max="39" width="21.26953125" style="1" customWidth="1"/>
    <col min="40" max="16384" width="8.7265625" style="1"/>
  </cols>
  <sheetData>
    <row r="1" spans="1:17" ht="14.5" customHeight="1"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FACILITY REMEDIATION</v>
      </c>
      <c r="J2" s="59"/>
      <c r="K2" s="59"/>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02 80 00</v>
      </c>
      <c r="C10" s="24" t="str">
        <f>C206</f>
        <v>FACILITY REMEDIATION</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FACILITY REMEDIATION</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Q200" s="78" t="s">
        <v>21404</v>
      </c>
    </row>
    <row r="201" spans="2:17" x14ac:dyDescent="0.35">
      <c r="C201" s="78" t="s">
        <v>21592</v>
      </c>
    </row>
    <row r="203" spans="2:17" x14ac:dyDescent="0.35">
      <c r="C203" s="77" t="s">
        <v>21399</v>
      </c>
    </row>
    <row r="205" spans="2:17" x14ac:dyDescent="0.35">
      <c r="C205" s="1" t="s">
        <v>21398</v>
      </c>
      <c r="D205" s="1" t="s">
        <v>75</v>
      </c>
      <c r="E205" s="1" t="s">
        <v>13768</v>
      </c>
      <c r="F205" s="2" t="s">
        <v>21397</v>
      </c>
      <c r="G205" s="1" t="s">
        <v>9</v>
      </c>
    </row>
    <row r="206" spans="2:17" x14ac:dyDescent="0.35">
      <c r="B206" s="49" t="s">
        <v>14031</v>
      </c>
      <c r="C206" s="82" t="s">
        <v>14032</v>
      </c>
    </row>
    <row r="207" spans="2:17" x14ac:dyDescent="0.35">
      <c r="B207" s="49" t="s">
        <v>14033</v>
      </c>
      <c r="C207" s="53" t="s">
        <v>14034</v>
      </c>
    </row>
    <row r="208" spans="2:17" x14ac:dyDescent="0.35">
      <c r="B208" s="49" t="s">
        <v>14035</v>
      </c>
      <c r="C208" s="53" t="s">
        <v>14036</v>
      </c>
    </row>
    <row r="209" spans="2:3" x14ac:dyDescent="0.35">
      <c r="B209" s="49" t="s">
        <v>14037</v>
      </c>
      <c r="C209" s="53" t="s">
        <v>14038</v>
      </c>
    </row>
    <row r="210" spans="2:3" x14ac:dyDescent="0.35">
      <c r="B210" s="49" t="s">
        <v>14039</v>
      </c>
      <c r="C210" s="53" t="s">
        <v>14040</v>
      </c>
    </row>
    <row r="211" spans="2:3" x14ac:dyDescent="0.35">
      <c r="B211" s="49" t="s">
        <v>14041</v>
      </c>
      <c r="C211" s="53" t="s">
        <v>14042</v>
      </c>
    </row>
    <row r="212" spans="2:3" x14ac:dyDescent="0.35">
      <c r="B212" s="49" t="s">
        <v>14043</v>
      </c>
      <c r="C212" s="53" t="s">
        <v>14044</v>
      </c>
    </row>
  </sheetData>
  <mergeCells count="9">
    <mergeCell ref="P3:Q3"/>
    <mergeCell ref="J5:K5"/>
    <mergeCell ref="J6:K6"/>
    <mergeCell ref="J7:K7"/>
    <mergeCell ref="A3:B3"/>
    <mergeCell ref="D3:G3"/>
    <mergeCell ref="J3:K3"/>
    <mergeCell ref="A4:B4"/>
    <mergeCell ref="J4:K4"/>
  </mergeCells>
  <dataValidations count="1">
    <dataValidation type="list" allowBlank="1" showInputMessage="1" showErrorMessage="1" sqref="C16:C190" xr:uid="{0787BEF5-CCF0-4F45-9FB6-EA0B169BBE9F}">
      <formula1>$C$205:$C207</formula1>
    </dataValidation>
  </dataValidations>
  <hyperlinks>
    <hyperlink ref="D3" r:id="rId1" display="datamateapp@gmail.com" xr:uid="{04D89F76-2300-4C28-A028-33DA8916960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4277" r:id="rId4" name="Button 5">
              <controlPr defaultSize="0" print="0" autoFill="0" autoPict="0" macro="[0]!ExitSEC_028000">
                <anchor moveWithCells="1" sizeWithCells="1">
                  <from>
                    <xdr:col>16</xdr:col>
                    <xdr:colOff>228600</xdr:colOff>
                    <xdr:row>0</xdr:row>
                    <xdr:rowOff>0</xdr:rowOff>
                  </from>
                  <to>
                    <xdr:col>17</xdr:col>
                    <xdr:colOff>6350</xdr:colOff>
                    <xdr:row>2</xdr:row>
                    <xdr:rowOff>6350</xdr:rowOff>
                  </to>
                </anchor>
              </controlPr>
            </control>
          </mc:Choice>
        </mc:AlternateContent>
        <mc:AlternateContent xmlns:mc="http://schemas.openxmlformats.org/markup-compatibility/2006">
          <mc:Choice Requires="x14">
            <control shapeId="54327" r:id="rId5" name="Button 55">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54328" r:id="rId6" name="Button 56">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54329" r:id="rId7" name="Button 57">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54330" r:id="rId8" name="Button 58">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54331" r:id="rId9" name="Button 59">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54332" r:id="rId10" name="Button 60">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54333" r:id="rId11" name="Button 61">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54334" r:id="rId12" name="Button 62">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4B2F9-738D-44A0-A618-A69060D4D5C1}">
  <sheetPr codeName="Sheet37"/>
  <dimension ref="A1:Q208"/>
  <sheetViews>
    <sheetView zoomScale="75" zoomScaleNormal="75" workbookViewId="0">
      <selection activeCell="C20" sqref="C20"/>
    </sheetView>
  </sheetViews>
  <sheetFormatPr defaultRowHeight="14.5" x14ac:dyDescent="0.35"/>
  <cols>
    <col min="1" max="1" width="4.54296875" style="1" customWidth="1"/>
    <col min="2" max="2" width="14" style="1" customWidth="1"/>
    <col min="3" max="3" width="77.1796875" style="1" bestFit="1" customWidth="1"/>
    <col min="4" max="4" width="10.7265625" style="1" customWidth="1"/>
    <col min="5" max="5" width="10.1796875" style="1" customWidth="1"/>
    <col min="6" max="6" width="13.26953125" style="1" customWidth="1"/>
    <col min="7" max="7" width="15.1796875" style="1" customWidth="1"/>
    <col min="8" max="8" width="13.26953125" style="1" customWidth="1"/>
    <col min="9" max="9" width="12.7265625" style="1" customWidth="1"/>
    <col min="10" max="10" width="12.26953125" style="1" customWidth="1"/>
    <col min="11" max="11" width="9" style="1" customWidth="1"/>
    <col min="12" max="12" width="13.26953125" style="1" customWidth="1"/>
    <col min="13" max="13" width="12.7265625" style="1" customWidth="1"/>
    <col min="14" max="14" width="13.26953125" style="1" customWidth="1"/>
    <col min="15" max="15" width="12.7265625" style="1" customWidth="1"/>
    <col min="16" max="16" width="13.26953125" style="1" customWidth="1"/>
    <col min="17" max="17" width="21.26953125" style="1" customWidth="1"/>
    <col min="18" max="22" width="8.7265625" style="1"/>
    <col min="23" max="23" width="4.54296875" style="1" customWidth="1"/>
    <col min="24" max="24" width="11.90625" style="1" customWidth="1"/>
    <col min="25" max="25" width="77.1796875" style="1" bestFit="1" customWidth="1"/>
    <col min="26" max="26" width="10.7265625" style="1" customWidth="1"/>
    <col min="27" max="27" width="10.1796875" style="1" customWidth="1"/>
    <col min="28" max="28" width="13.26953125" style="1" customWidth="1"/>
    <col min="29" max="29" width="15.1796875" style="1" customWidth="1"/>
    <col min="30" max="30" width="13.26953125" style="1" customWidth="1"/>
    <col min="31" max="31" width="12.7265625" style="1" customWidth="1"/>
    <col min="32" max="32" width="12.26953125" style="1" customWidth="1"/>
    <col min="33" max="33" width="9" style="1" customWidth="1"/>
    <col min="34" max="34" width="13.26953125" style="1" customWidth="1"/>
    <col min="35" max="35" width="12.7265625" style="1" customWidth="1"/>
    <col min="36" max="36" width="13.26953125" style="1" customWidth="1"/>
    <col min="37" max="37" width="12.7265625" style="1" customWidth="1"/>
    <col min="38" max="38" width="13.26953125" style="1" customWidth="1"/>
    <col min="39" max="39" width="21.26953125" style="1" customWidth="1"/>
    <col min="40" max="16384" width="8.7265625" style="1"/>
  </cols>
  <sheetData>
    <row r="1" spans="1:17" ht="14.5" customHeight="1"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 xml:space="preserve"> Description</v>
      </c>
      <c r="J2" s="59"/>
      <c r="K2" s="59"/>
      <c r="M2" s="59"/>
      <c r="N2" s="59"/>
      <c r="O2" s="60"/>
      <c r="P2" s="57"/>
      <c r="Q2" s="57"/>
    </row>
    <row r="3" spans="1:17" ht="15" thickBot="1" x14ac:dyDescent="0.4">
      <c r="A3" s="446" t="s">
        <v>21544</v>
      </c>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7"/>
      <c r="Q3" s="8"/>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f>B208</f>
        <v>0</v>
      </c>
      <c r="C10" s="24" t="str">
        <f>C208</f>
        <v xml:space="preserve"> Description</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 xml:space="preserve"> Description</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Q200" s="78" t="s">
        <v>21404</v>
      </c>
    </row>
    <row r="201" spans="2:17" x14ac:dyDescent="0.35">
      <c r="C201" s="78" t="s">
        <v>21402</v>
      </c>
    </row>
    <row r="203" spans="2:17" x14ac:dyDescent="0.35">
      <c r="C203" s="77" t="s">
        <v>21399</v>
      </c>
    </row>
    <row r="205" spans="2:17" x14ac:dyDescent="0.35">
      <c r="C205" s="1" t="s">
        <v>21398</v>
      </c>
      <c r="D205" s="1" t="s">
        <v>75</v>
      </c>
      <c r="E205" s="1" t="s">
        <v>13768</v>
      </c>
      <c r="F205" s="2" t="s">
        <v>21397</v>
      </c>
      <c r="G205" s="1" t="s">
        <v>9</v>
      </c>
    </row>
    <row r="206" spans="2:17" x14ac:dyDescent="0.35">
      <c r="B206" s="49" t="s">
        <v>21432</v>
      </c>
      <c r="C206" s="106" t="s">
        <v>21400</v>
      </c>
    </row>
    <row r="208" spans="2:17" x14ac:dyDescent="0.35">
      <c r="C208" s="53" t="s">
        <v>21401</v>
      </c>
    </row>
  </sheetData>
  <mergeCells count="8">
    <mergeCell ref="J5:K5"/>
    <mergeCell ref="J6:K6"/>
    <mergeCell ref="J7:K7"/>
    <mergeCell ref="A3:B3"/>
    <mergeCell ref="D3:G3"/>
    <mergeCell ref="J3:K3"/>
    <mergeCell ref="A4:B4"/>
    <mergeCell ref="J4:K4"/>
  </mergeCells>
  <dataValidations count="1">
    <dataValidation type="list" allowBlank="1" showInputMessage="1" showErrorMessage="1" sqref="C16:C190" xr:uid="{484BE6D0-BC87-47CE-B09E-1030C604D28A}">
      <formula1>$C$205:$C207</formula1>
    </dataValidation>
  </dataValidations>
  <hyperlinks>
    <hyperlink ref="D3" r:id="rId1" display="datamateapp@gmail.com" xr:uid="{66044490-F9E3-4B01-8222-D937D1DECD8C}"/>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ExitDIV_03Sheets">
                <anchor moveWithCells="1" sizeWithCells="1">
                  <from>
                    <xdr:col>16</xdr:col>
                    <xdr:colOff>228600</xdr:colOff>
                    <xdr:row>0</xdr:row>
                    <xdr:rowOff>0</xdr:rowOff>
                  </from>
                  <to>
                    <xdr:col>17</xdr:col>
                    <xdr:colOff>19050</xdr:colOff>
                    <xdr:row>2</xdr:row>
                    <xdr:rowOff>12700</xdr:rowOff>
                  </to>
                </anchor>
              </controlPr>
            </control>
          </mc:Choice>
        </mc:AlternateContent>
        <mc:AlternateContent xmlns:mc="http://schemas.openxmlformats.org/markup-compatibility/2006">
          <mc:Choice Requires="x14">
            <control shapeId="55318" r:id="rId5" name="Button 22">
              <controlPr defaultSize="0" print="0" autoFill="0" autoPict="0">
                <anchor moveWithCells="1" sizeWithCells="1">
                  <from>
                    <xdr:col>17</xdr:col>
                    <xdr:colOff>0</xdr:colOff>
                    <xdr:row>0</xdr:row>
                    <xdr:rowOff>0</xdr:rowOff>
                  </from>
                  <to>
                    <xdr:col>19</xdr:col>
                    <xdr:colOff>44450</xdr:colOff>
                    <xdr:row>2</xdr:row>
                    <xdr:rowOff>12700</xdr:rowOff>
                  </to>
                </anchor>
              </controlPr>
            </control>
          </mc:Choice>
        </mc:AlternateContent>
        <mc:AlternateContent xmlns:mc="http://schemas.openxmlformats.org/markup-compatibility/2006">
          <mc:Choice Requires="x14">
            <control shapeId="55319" r:id="rId6" name="Button 23">
              <controlPr defaultSize="0" print="0" autoFill="0" autoPict="0" macro="[0]!ClearContentsAndDropdowns">
                <anchor moveWithCells="1" sizeWithCells="1">
                  <from>
                    <xdr:col>17</xdr:col>
                    <xdr:colOff>0</xdr:colOff>
                    <xdr:row>2</xdr:row>
                    <xdr:rowOff>184150</xdr:rowOff>
                  </from>
                  <to>
                    <xdr:col>19</xdr:col>
                    <xdr:colOff>50800</xdr:colOff>
                    <xdr:row>5</xdr:row>
                    <xdr:rowOff>19050</xdr:rowOff>
                  </to>
                </anchor>
              </controlPr>
            </control>
          </mc:Choice>
        </mc:AlternateContent>
        <mc:AlternateContent xmlns:mc="http://schemas.openxmlformats.org/markup-compatibility/2006">
          <mc:Choice Requires="x14">
            <control shapeId="55320" r:id="rId7" name="Button 24">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55321" r:id="rId8" name="Button 25">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55322" r:id="rId9" name="Button 26">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55323" r:id="rId10" name="Button 27">
              <controlPr defaultSize="0" print="0" autoFill="0" autoPict="0" macro="[0]!ViewLog">
                <anchor moveWithCells="1" sizeWithCells="1">
                  <from>
                    <xdr:col>17</xdr:col>
                    <xdr:colOff>0</xdr:colOff>
                    <xdr:row>14</xdr:row>
                    <xdr:rowOff>177800</xdr:rowOff>
                  </from>
                  <to>
                    <xdr:col>19</xdr:col>
                    <xdr:colOff>50800</xdr:colOff>
                    <xdr:row>17</xdr:row>
                    <xdr:rowOff>6350</xdr:rowOff>
                  </to>
                </anchor>
              </controlPr>
            </control>
          </mc:Choice>
        </mc:AlternateContent>
        <mc:AlternateContent xmlns:mc="http://schemas.openxmlformats.org/markup-compatibility/2006">
          <mc:Choice Requires="x14">
            <control shapeId="55324" r:id="rId11" name="Button 28">
              <controlPr defaultSize="0" print="0" autoFill="0" autoPict="0" macro="[0]!ViewView_Print">
                <anchor moveWithCells="1" sizeWithCells="1">
                  <from>
                    <xdr:col>17</xdr:col>
                    <xdr:colOff>0</xdr:colOff>
                    <xdr:row>18</xdr:row>
                    <xdr:rowOff>0</xdr:rowOff>
                  </from>
                  <to>
                    <xdr:col>19</xdr:col>
                    <xdr:colOff>50800</xdr:colOff>
                    <xdr:row>20</xdr:row>
                    <xdr:rowOff>12700</xdr:rowOff>
                  </to>
                </anchor>
              </controlPr>
            </control>
          </mc:Choice>
        </mc:AlternateContent>
        <mc:AlternateContent xmlns:mc="http://schemas.openxmlformats.org/markup-compatibility/2006">
          <mc:Choice Requires="x14">
            <control shapeId="55325" r:id="rId12" name="Button 29">
              <controlPr defaultSize="0" print="0" autoFill="0" autoPict="0" macro="[0]!OpenDataMateAppPage">
                <anchor moveWithCells="1" sizeWithCells="1">
                  <from>
                    <xdr:col>17</xdr:col>
                    <xdr:colOff>0</xdr:colOff>
                    <xdr:row>21</xdr:row>
                    <xdr:rowOff>6350</xdr:rowOff>
                  </from>
                  <to>
                    <xdr:col>19</xdr:col>
                    <xdr:colOff>50800</xdr:colOff>
                    <xdr:row>23</xdr:row>
                    <xdr:rowOff>19050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B54F59-85D4-42DC-8B5D-F7A40D701143}">
  <sheetPr codeName="Sheet38"/>
  <dimension ref="A1:Q200"/>
  <sheetViews>
    <sheetView zoomScale="75" zoomScaleNormal="75" workbookViewId="0"/>
  </sheetViews>
  <sheetFormatPr defaultRowHeight="14.5" x14ac:dyDescent="0.35"/>
  <cols>
    <col min="1" max="1" width="4.54296875" style="1" customWidth="1"/>
    <col min="2" max="2" width="14" style="1" customWidth="1"/>
    <col min="3" max="3" width="77.1796875" style="1" bestFit="1" customWidth="1"/>
    <col min="4" max="4" width="10.7265625" style="1" customWidth="1"/>
    <col min="5" max="5" width="10.1796875" style="1" customWidth="1"/>
    <col min="6" max="6" width="13.26953125" style="1" customWidth="1"/>
    <col min="7" max="7" width="15.1796875" style="1" customWidth="1"/>
    <col min="8" max="8" width="13.26953125" style="1" customWidth="1"/>
    <col min="9" max="9" width="12.7265625" style="1" customWidth="1"/>
    <col min="10" max="10" width="12.26953125" style="1" customWidth="1"/>
    <col min="11" max="11" width="9" style="1" customWidth="1"/>
    <col min="12" max="12" width="13.26953125" style="1" customWidth="1"/>
    <col min="13" max="13" width="12.7265625" style="1" customWidth="1"/>
    <col min="14" max="14" width="13.26953125" style="1" customWidth="1"/>
    <col min="15" max="15" width="12.7265625" style="1" customWidth="1"/>
    <col min="16" max="16" width="13.26953125" style="1" customWidth="1"/>
    <col min="17" max="17" width="21.26953125" style="1" customWidth="1"/>
    <col min="18" max="16384" width="8.7265625" style="1"/>
  </cols>
  <sheetData>
    <row r="1" spans="1:17" x14ac:dyDescent="0.35">
      <c r="A1" s="57" t="str">
        <f>DIV_03View_Print!B2</f>
        <v>AREA/FLOOR/ZONE- Page- SUB COST- MAT COST- LAB COST- EQUIP COST- Total Cost- Date- Description- Log 10- Log 11- Log 12</v>
      </c>
      <c r="B1" s="57"/>
      <c r="C1" s="57"/>
      <c r="D1" s="57"/>
      <c r="E1" s="57"/>
      <c r="F1" s="57"/>
      <c r="G1" s="57"/>
      <c r="H1" s="57"/>
      <c r="I1" s="57"/>
      <c r="J1" s="57"/>
      <c r="K1" s="57"/>
      <c r="L1" s="57"/>
      <c r="M1" s="57" t="str">
        <f>DIV_02Input!M1</f>
        <v>Update 1</v>
      </c>
      <c r="N1" s="57" t="str">
        <f>DIV_02Input!N1</f>
        <v>Update 2</v>
      </c>
      <c r="O1" s="57" t="str">
        <f>DIV_02Input!O1</f>
        <v>Update 3</v>
      </c>
      <c r="P1" s="57"/>
      <c r="Q1" s="57"/>
    </row>
    <row r="2" spans="1:17" x14ac:dyDescent="0.35">
      <c r="A2" s="57"/>
      <c r="B2" s="436" t="s">
        <v>21420</v>
      </c>
      <c r="C2" s="436"/>
      <c r="D2" s="436"/>
      <c r="E2" s="436"/>
      <c r="F2" s="436"/>
      <c r="G2" s="436"/>
      <c r="H2" s="436"/>
      <c r="I2" s="436"/>
      <c r="J2" s="436"/>
      <c r="K2" s="436"/>
      <c r="L2" s="436"/>
      <c r="P2" s="57"/>
      <c r="Q2" s="57"/>
    </row>
    <row r="3" spans="1:17" ht="15" thickBot="1" x14ac:dyDescent="0.4">
      <c r="A3" s="446" t="e">
        <f>VLOOKUP(A1,DIV_03Data!$A$1:$DZU$1000000,36,FALSE)</f>
        <v>#N/A</v>
      </c>
      <c r="B3" s="425"/>
      <c r="C3" s="103" t="e">
        <f>VLOOKUP(A1,DIV_03Data!$A$1:$DZU$1000000,38,FALSE)</f>
        <v>#N/A</v>
      </c>
      <c r="D3" s="447" t="e">
        <f>VLOOKUP(A1,DIV_03Data!$A$1:$DZU$1000000,39,FALSE)</f>
        <v>#N/A</v>
      </c>
      <c r="E3" s="448"/>
      <c r="F3" s="448"/>
      <c r="G3" s="448"/>
      <c r="H3" s="6" t="e">
        <f>VLOOKUP(A1,DIV_03Data!$A$1:$DZU$1000000,43,FALSE)</f>
        <v>#N/A</v>
      </c>
      <c r="I3" s="6" t="e">
        <f>VLOOKUP(A1,DIV_03Data!$A$1:$DZU$1000000,44,FALSE)</f>
        <v>#N/A</v>
      </c>
      <c r="J3" s="449" t="e">
        <f>VLOOKUP(A1,DIV_03Data!$A$1:$DZU$1000000,45,FALSE)</f>
        <v>#N/A</v>
      </c>
      <c r="K3" s="450"/>
      <c r="L3" s="100" t="e">
        <f>VLOOKUP(A1,DIV_03Data!$A$1:$DZU$1000000,47,FALSE)</f>
        <v>#N/A</v>
      </c>
      <c r="M3" s="8" t="e">
        <f>VLOOKUP(A1,DIV_03Data!$A$1:$DZU$1000000,48,FALSE)</f>
        <v>#N/A</v>
      </c>
      <c r="N3" s="6" t="e">
        <f>VLOOKUP(A1,DIV_03Data!$A$1:$DZU$1000000,49,FALSE)</f>
        <v>#N/A</v>
      </c>
      <c r="O3" s="8" t="e">
        <f>VLOOKUP(A1,DIV_03Data!$A$1:$DZU$1000000,50,FALSE)</f>
        <v>#N/A</v>
      </c>
      <c r="P3" s="7" t="e">
        <f>VLOOKUP(A1,DIV_03Data!$A$1:$DZU$1000000,51,FALSE)</f>
        <v>#N/A</v>
      </c>
      <c r="Q3" s="8" t="e">
        <f>VLOOKUP(A1,DIV_03Data!$A$1:$DZU$1000000,52,FALSE)</f>
        <v>#N/A</v>
      </c>
    </row>
    <row r="4" spans="1:17" ht="15" thickBot="1" x14ac:dyDescent="0.4">
      <c r="A4" s="451" t="e">
        <f>VLOOKUP(A1,DIV_03Data!$A$1:$DZU$1000000,53,FALSE)</f>
        <v>#N/A</v>
      </c>
      <c r="B4" s="452"/>
      <c r="C4" s="79" t="e">
        <f>VLOOKUP(A1,DIV_03Data!$A$1:$DZU$1000000,55,FALSE)</f>
        <v>#N/A</v>
      </c>
      <c r="D4" s="6" t="e">
        <f>VLOOKUP(A1,DIV_03Data!$A$1:$DZU$1000000,56,FALSE)</f>
        <v>#N/A</v>
      </c>
      <c r="E4" s="5" t="e">
        <f>VLOOKUP(A1,DIV_03Data!$A$1:$DZU$1000000,57,FALSE)</f>
        <v>#N/A</v>
      </c>
      <c r="F4" s="61" t="e">
        <f>VLOOKUP(A1,DIV_03Data!$A$1:$DZU$1000000,58,FALSE)</f>
        <v>#N/A</v>
      </c>
      <c r="G4" s="8" t="e">
        <f>VLOOKUP(A1,DIV_03Data!$A$1:$DZU$1000000,59,FALSE)</f>
        <v>#N/A</v>
      </c>
      <c r="H4" s="6" t="e">
        <f>VLOOKUP(A1,DIV_03Data!$A$1:$DZU$1000000,60,FALSE)</f>
        <v>#N/A</v>
      </c>
      <c r="I4" s="6" t="e">
        <f>VLOOKUP(A1,DIV_03Data!$A$1:$DZU$1000000,61,FALSE)</f>
        <v>#N/A</v>
      </c>
      <c r="J4" s="443" t="e">
        <f>VLOOKUP(A1,DIV_03Data!$A$1:$DZU$1000000,62,FALSE)</f>
        <v>#N/A</v>
      </c>
      <c r="K4" s="444"/>
      <c r="L4" s="102" t="e">
        <f>VLOOKUP(A1,DIV_03Data!$A$1:$DZU$1000000,64,FALSE)</f>
        <v>#N/A</v>
      </c>
      <c r="M4" s="9" t="e">
        <f>VLOOKUP(A1,DIV_03Data!$A$1:$DZU$1000000,65,FALSE)</f>
        <v>#N/A</v>
      </c>
      <c r="N4" s="31" t="e">
        <f>VLOOKUP(A1,DIV_03Data!$A$1:$DZU$1000000,66,FALSE)</f>
        <v>#N/A</v>
      </c>
      <c r="O4" s="98" t="e">
        <f>VLOOKUP(A1,DIV_03Data!$A$1:$DZU$1000000,67,FALSE)</f>
        <v>#N/A</v>
      </c>
      <c r="P4" s="7" t="e">
        <f>VLOOKUP(A1,DIV_03Data!$A$1:$DZU$1000000,68,FALSE)</f>
        <v>#N/A</v>
      </c>
      <c r="Q4" s="10" t="e">
        <f>VLOOKUP(A1,DIV_03Data!$A$1:$DZU$1000000,69,FALSE)</f>
        <v>#N/A</v>
      </c>
    </row>
    <row r="5" spans="1:17" ht="15" thickBot="1" x14ac:dyDescent="0.4">
      <c r="A5" s="3" t="e">
        <f>VLOOKUP(A1,DIV_03Data!$A$1:$DZU$1000000,70,FALSE)</f>
        <v>#N/A</v>
      </c>
      <c r="B5" s="4" t="e">
        <f>VLOOKUP(A1,DIV_03Data!$A$1:$DZU$1000000,71,FALSE)</f>
        <v>#N/A</v>
      </c>
      <c r="C5" s="5" t="e">
        <f>VLOOKUP(A1,DIV_03Data!$A$1:$DZU$1000000,72,FALSE)</f>
        <v>#N/A</v>
      </c>
      <c r="D5" s="6" t="e">
        <f>VLOOKUP(A1,DIV_03Data!$A$1:$DZU$1000000,73,FALSE)</f>
        <v>#N/A</v>
      </c>
      <c r="E5" s="7" t="e">
        <f>VLOOKUP(A1,DIV_03Data!$A$1:$DZU$1000000,74,FALSE)</f>
        <v>#N/A</v>
      </c>
      <c r="F5" s="6" t="e">
        <f>VLOOKUP(A1,DIV_03Data!$A$1:$DZU$1000000,75,FALSE)</f>
        <v>#N/A</v>
      </c>
      <c r="G5" s="8" t="e">
        <f>VLOOKUP(A1,DIV_03Data!$A$1:$DZU$1000000,76,FALSE)</f>
        <v>#N/A</v>
      </c>
      <c r="H5" s="6" t="e">
        <f>VLOOKUP(A1,DIV_03Data!$A$1:$DZU$1000000,77,FALSE)</f>
        <v>#N/A</v>
      </c>
      <c r="I5" s="6" t="e">
        <f>VLOOKUP(A1,DIV_03Data!$A$1:$DZU$1000000,78,FALSE)</f>
        <v>#N/A</v>
      </c>
      <c r="J5" s="443" t="e">
        <f>VLOOKUP(A1,DIV_03Data!$A$1:$DZU$1000000,79,FALSE)</f>
        <v>#N/A</v>
      </c>
      <c r="K5" s="444"/>
      <c r="L5" s="11" t="e">
        <f>VLOOKUP(A1,DIV_03Data!$A$1:$DZU$1000000,81,FALSE)</f>
        <v>#N/A</v>
      </c>
      <c r="M5" s="91" t="e">
        <f>VLOOKUP(A1,DIV_03Data!$A$1:$DZU$1000000,82,FALSE)</f>
        <v>#N/A</v>
      </c>
      <c r="N5" s="31" t="e">
        <f>VLOOKUP(A1,DIV_03Data!$A$1:$DZU$1000000,83,FALSE)</f>
        <v>#N/A</v>
      </c>
      <c r="O5" s="96" t="e">
        <f>VLOOKUP(A1,DIV_03Data!$A$1:$DZU$1000000,84,FALSE)</f>
        <v>#N/A</v>
      </c>
      <c r="P5" s="86" t="e">
        <f>VLOOKUP(A1,DIV_03Data!$A$1:$DZU$1000000,85,FALSE)</f>
        <v>#N/A</v>
      </c>
      <c r="Q5" s="8" t="e">
        <f>VLOOKUP(A1,DIV_03Data!$A$1:$DZU$1000000,86,FALSE)</f>
        <v>#N/A</v>
      </c>
    </row>
    <row r="6" spans="1:17" ht="15" thickBot="1" x14ac:dyDescent="0.4">
      <c r="A6" s="3" t="e">
        <f>VLOOKUP(A1,DIV_03Data!$A$1:$DZU$1000000,87,FALSE)</f>
        <v>#N/A</v>
      </c>
      <c r="B6" s="4" t="e">
        <f>VLOOKUP(A1,DIV_03Data!$A$1:$DZU$1000000,88,FALSE)</f>
        <v>#N/A</v>
      </c>
      <c r="C6" s="5" t="e">
        <f>VLOOKUP(A1,DIV_03Data!$A$1:$DZU$1000000,89,FALSE)</f>
        <v>#N/A</v>
      </c>
      <c r="D6" s="6" t="e">
        <f>VLOOKUP(A1,DIV_03Data!$A$1:$DZU$1000000,90,FALSE)</f>
        <v>#N/A</v>
      </c>
      <c r="E6" s="7" t="e">
        <f>VLOOKUP(A1,DIV_03Data!$A$1:$DZU$1000000,91,FALSE)</f>
        <v>#N/A</v>
      </c>
      <c r="F6" s="6" t="e">
        <f>VLOOKUP(A1,DIV_03Data!$A$1:$DZU$1000000,92,FALSE)</f>
        <v>#N/A</v>
      </c>
      <c r="G6" s="10" t="e">
        <f>VLOOKUP(A1,DIV_03Data!$A$1:$DZU$1000000,93,FALSE)</f>
        <v>#N/A</v>
      </c>
      <c r="H6" s="12" t="e">
        <f>VLOOKUP(A1,DIV_03Data!$A$1:$DZU$1000000,94,FALSE)</f>
        <v>#N/A</v>
      </c>
      <c r="I6" s="13" t="e">
        <f>VLOOKUP(A1,DIV_03Data!$A$1:$DZU$1000000,95,FALSE)</f>
        <v>#N/A</v>
      </c>
      <c r="J6" s="445" t="e">
        <f>VLOOKUP(A1,DIV_03Data!$A$1:$DZU$1000000,96,FALSE)</f>
        <v>#N/A</v>
      </c>
      <c r="K6" s="444"/>
      <c r="L6" s="11" t="e">
        <f>VLOOKUP(A1,DIV_03Data!$A$1:$DZU$1000000,98,FALSE)</f>
        <v>#N/A</v>
      </c>
      <c r="M6" s="9" t="e">
        <f>VLOOKUP(A1,DIV_03Data!$A$1:$DZU$1000000,99,FALSE)</f>
        <v>#N/A</v>
      </c>
      <c r="N6" s="31" t="e">
        <f>VLOOKUP(A1,DIV_03Data!$A$1:$DZU$1000000,100,FALSE)</f>
        <v>#N/A</v>
      </c>
      <c r="O6" s="97" t="e">
        <f>VLOOKUP(A1,DIV_03Data!$A$1:$DZU$1000000,101,FALSE)</f>
        <v>#N/A</v>
      </c>
      <c r="P6" s="7" t="e">
        <f>VLOOKUP(A1,DIV_03Data!$A$1:$DZU$1000000,102,FALSE)</f>
        <v>#N/A</v>
      </c>
      <c r="Q6" s="8" t="e">
        <f>VLOOKUP(A1,DIV_03Data!$A$1:$DZU$1000000,103,FALSE)</f>
        <v>#N/A</v>
      </c>
    </row>
    <row r="7" spans="1:17" x14ac:dyDescent="0.35">
      <c r="A7" s="3" t="e">
        <f>VLOOKUP(A1,DIV_03Data!$A$1:$DZU$1000000,104,FALSE)</f>
        <v>#N/A</v>
      </c>
      <c r="B7" s="4" t="e">
        <f>VLOOKUP(A1,DIV_03Data!$A$1:$DZU$1000000,105,FALSE)</f>
        <v>#N/A</v>
      </c>
      <c r="C7" s="84" t="e">
        <f>VLOOKUP(A1,DIV_03Data!$A$1:$DZU$1000000,106,FALSE)</f>
        <v>#N/A</v>
      </c>
      <c r="D7" s="6" t="e">
        <f>VLOOKUP(A1,DIV_03Data!$A$1:$DZU$1000000,107,FALSE)</f>
        <v>#N/A</v>
      </c>
      <c r="E7" s="7" t="e">
        <f>VLOOKUP(A1,DIV_03Data!$A$1:$DZU$1000000,108,FALSE)</f>
        <v>#N/A</v>
      </c>
      <c r="F7" s="6" t="e">
        <f>VLOOKUP(A1,DIV_03Data!$A$1:$DZU$1000000,109,FALSE)</f>
        <v>#N/A</v>
      </c>
      <c r="G7" s="7" t="e">
        <f>VLOOKUP(A1,DIV_03Data!$A$1:$DZU$1000000,110,FALSE)</f>
        <v>#N/A</v>
      </c>
      <c r="H7" s="14" t="e">
        <f>VLOOKUP(A1,DIV_03Data!$A$1:$DZU$1000000,111,FALSE)</f>
        <v>#N/A</v>
      </c>
      <c r="I7" s="6" t="e">
        <f>VLOOKUP(A1,DIV_03Data!$A$1:$DZU$1000000,112,FALSE)</f>
        <v>#N/A</v>
      </c>
      <c r="J7" s="443" t="e">
        <f>VLOOKUP(A1,DIV_03Data!$A$1:$DZU$1000000,113,FALSE)</f>
        <v>#N/A</v>
      </c>
      <c r="K7" s="444"/>
      <c r="L7" s="11" t="e">
        <f>VLOOKUP(A1,DIV_03Data!$A$1:$DZU$1000000,115,FALSE)</f>
        <v>#N/A</v>
      </c>
      <c r="M7" s="6" t="e">
        <f>VLOOKUP(A1,DIV_03Data!$A$1:$DZU$1000000,116,FALSE)</f>
        <v>#N/A</v>
      </c>
      <c r="N7" s="31" t="e">
        <f>VLOOKUP(A1,DIV_03Data!$A$1:$DZU$1000000,117,FALSE)</f>
        <v>#N/A</v>
      </c>
      <c r="O7" s="96" t="e">
        <f>VLOOKUP(A1,DIV_03Data!$A$1:$DZU$1000000,118,FALSE)</f>
        <v>#N/A</v>
      </c>
      <c r="P7" s="90" t="e">
        <f>VLOOKUP(A1,DIV_03Data!$A$1:$DZU$1000000,119,FALSE)</f>
        <v>#N/A</v>
      </c>
      <c r="Q7" s="90" t="e">
        <f>VLOOKUP(A1,DIV_03Data!$A$1:$DZU$1000000,120,FALSE)</f>
        <v>#N/A</v>
      </c>
    </row>
    <row r="8" spans="1:17" ht="15" thickBot="1" x14ac:dyDescent="0.4">
      <c r="A8" s="3" t="e">
        <f>VLOOKUP(A1,DIV_03Data!$A$1:$DZU$1000000,121,FALSE)</f>
        <v>#N/A</v>
      </c>
      <c r="B8" s="4" t="e">
        <f>VLOOKUP(A1,DIV_03Data!$A$1:$DZU$1000000,122,FALSE)</f>
        <v>#N/A</v>
      </c>
      <c r="C8" s="86" t="e">
        <f>VLOOKUP(A1,DIV_03Data!$A$1:$DZU$1000000,123,FALSE)</f>
        <v>#N/A</v>
      </c>
      <c r="D8" s="6" t="e">
        <f>VLOOKUP(A1,DIV_03Data!$A$1:$DZU$1000000,124,FALSE)</f>
        <v>#N/A</v>
      </c>
      <c r="E8" s="7" t="e">
        <f>VLOOKUP(A1,DIV_03Data!$A$1:$DZU$1000000,125,FALSE)</f>
        <v>#N/A</v>
      </c>
      <c r="F8" s="6" t="e">
        <f>VLOOKUP(A1,DIV_03Data!$A$1:$DZU$1000000,126,FALSE)</f>
        <v>#N/A</v>
      </c>
      <c r="G8" s="6" t="e">
        <f>VLOOKUP(A1,DIV_03Data!$A$1:$DZU$1000000,127,FALSE)</f>
        <v>#N/A</v>
      </c>
      <c r="H8" s="6" t="e">
        <f>VLOOKUP(A1,DIV_03Data!$A$1:$DZU$1000000,128,FALSE)</f>
        <v>#N/A</v>
      </c>
      <c r="I8" s="6" t="e">
        <f>VLOOKUP(A1,DIV_03Data!$A$1:$DZU$1000000,129,FALSE)</f>
        <v>#N/A</v>
      </c>
      <c r="J8" s="6" t="e">
        <f>VLOOKUP(A1,DIV_03Data!$A$1:$DZU$1000000,130,FALSE)</f>
        <v>#N/A</v>
      </c>
      <c r="K8" s="6" t="e">
        <f>VLOOKUP(A1,DIV_03Data!$A$1:$DZU$1000000,131,FALSE)</f>
        <v>#N/A</v>
      </c>
      <c r="L8" s="83" t="e">
        <f>VLOOKUP(A1,DIV_03Data!$A$1:$DZU$1000000,132,FALSE)</f>
        <v>#N/A</v>
      </c>
      <c r="M8" s="6" t="e">
        <f>VLOOKUP(A1,DIV_03Data!$A$1:$DZU$1000000,133,FALSE)</f>
        <v>#N/A</v>
      </c>
      <c r="N8" s="6" t="e">
        <f>VLOOKUP(A1,DIV_03Data!$A$1:$DZU$1000000,134,FALSE)</f>
        <v>#N/A</v>
      </c>
      <c r="O8" s="95" t="e">
        <f>VLOOKUP(A1,DIV_03Data!$A$1:$DZU$1000000,135,FALSE)</f>
        <v>#N/A</v>
      </c>
      <c r="P8" s="6" t="e">
        <f>VLOOKUP(A1,DIV_03Data!$A$1:$DZU$1000000,136,FALSE)</f>
        <v>#N/A</v>
      </c>
      <c r="Q8" s="6" t="e">
        <f>VLOOKUP(A1,DIV_03Data!$A$1:$DZU$1000000,137,FALSE)</f>
        <v>#N/A</v>
      </c>
    </row>
    <row r="9" spans="1:17" ht="15" thickBot="1" x14ac:dyDescent="0.4">
      <c r="A9" s="15" t="e">
        <f>VLOOKUP(A1,DIV_03Data!$A$1:$DZU$1000000,138,FALSE)</f>
        <v>#N/A</v>
      </c>
      <c r="B9" s="16" t="e">
        <f>VLOOKUP(A1,DIV_03Data!$A$1:$DZU$1000000,139,FALSE)</f>
        <v>#N/A</v>
      </c>
      <c r="C9" s="17" t="e">
        <f>VLOOKUP(A1,DIV_03Data!$A$1:$DZU$1000000,140,FALSE)</f>
        <v>#N/A</v>
      </c>
      <c r="D9" s="18" t="e">
        <f>VLOOKUP(A1,DIV_03Data!$A$1:$DZU$1000000,141,FALSE)</f>
        <v>#N/A</v>
      </c>
      <c r="E9" s="19" t="e">
        <f>VLOOKUP(A1,DIV_03Data!$A$1:$DZU$1000000,142,FALSE)</f>
        <v>#N/A</v>
      </c>
      <c r="F9" s="16" t="e">
        <f>VLOOKUP(A1,DIV_03Data!$A$1:$DZU$1000000,143,FALSE)</f>
        <v>#N/A</v>
      </c>
      <c r="G9" s="20" t="e">
        <f>VLOOKUP(A1,DIV_03Data!$A$1:$DZU$1000000,144,FALSE)</f>
        <v>#N/A</v>
      </c>
      <c r="H9" s="16" t="e">
        <f>VLOOKUP(A1,DIV_03Data!$A$1:$DZU$1000000,145,FALSE)</f>
        <v>#N/A</v>
      </c>
      <c r="I9" s="20" t="e">
        <f>VLOOKUP(A1,DIV_03Data!$A$1:$DZU$1000000,146,FALSE)</f>
        <v>#N/A</v>
      </c>
      <c r="J9" s="21" t="e">
        <f>VLOOKUP(A1,DIV_03Data!$A$1:$DZU$1000000,147,FALSE)</f>
        <v>#N/A</v>
      </c>
      <c r="K9" s="16" t="e">
        <f>VLOOKUP(A1,DIV_03Data!$A$1:$DZU$1000000,148,FALSE)</f>
        <v>#N/A</v>
      </c>
      <c r="L9" s="21" t="e">
        <f>VLOOKUP(A1,DIV_03Data!$A$1:$DZU$1000000,149,FALSE)</f>
        <v>#N/A</v>
      </c>
      <c r="M9" s="20" t="e">
        <f>VLOOKUP(A1,DIV_03Data!$A$1:$DZU$1000000,150,FALSE)</f>
        <v>#N/A</v>
      </c>
      <c r="N9" s="16" t="e">
        <f>VLOOKUP(A1,DIV_03Data!$A$1:$DZU$1000000,151,FALSE)</f>
        <v>#N/A</v>
      </c>
      <c r="O9" s="20" t="e">
        <f>VLOOKUP(A1,DIV_03Data!$A$1:$DZU$1000000,152,FALSE)</f>
        <v>#N/A</v>
      </c>
      <c r="P9" s="18" t="e">
        <f>VLOOKUP(A1,DIV_03Data!$A$1:$DZU$1000000,153,FALSE)</f>
        <v>#N/A</v>
      </c>
      <c r="Q9" s="20" t="e">
        <f>VLOOKUP(A1,DIV_03Data!$A$1:$DZU$1000000,154,FALSE)</f>
        <v>#N/A</v>
      </c>
    </row>
    <row r="10" spans="1:17" ht="15" thickBot="1" x14ac:dyDescent="0.4">
      <c r="A10" s="22" t="e">
        <f>VLOOKUP(A1,DIV_03Data!$A$1:$DZU$1000000,155,FALSE)</f>
        <v>#N/A</v>
      </c>
      <c r="B10" s="23" t="e">
        <f>VLOOKUP(A1,DIV_03Data!$A$1:$DZU$1000000,156,FALSE)</f>
        <v>#N/A</v>
      </c>
      <c r="C10" s="24" t="e">
        <f>VLOOKUP(A1,DIV_03Data!$A$1:$DZU$1000000,157,FALSE)</f>
        <v>#N/A</v>
      </c>
      <c r="D10" s="25" t="e">
        <f>VLOOKUP(A1,DIV_03Data!$A$1:$DZU$1000000,158,FALSE)</f>
        <v>#N/A</v>
      </c>
      <c r="E10" s="26" t="e">
        <f>VLOOKUP(A1,DIV_03Data!$A$1:$DZU$1000000,159,FALSE)</f>
        <v>#N/A</v>
      </c>
      <c r="F10" s="27" t="e">
        <f>VLOOKUP(A1,DIV_03Data!$A$1:$DZU$1000000,160,FALSE)</f>
        <v>#N/A</v>
      </c>
      <c r="G10" s="28" t="e">
        <f>VLOOKUP(A1,DIV_03Data!$A$1:$DZU$1000000,161,FALSE)</f>
        <v>#N/A</v>
      </c>
      <c r="H10" s="27" t="e">
        <f>VLOOKUP(A1,DIV_03Data!$A$1:$DZU$1000000,162,FALSE)</f>
        <v>#N/A</v>
      </c>
      <c r="I10" s="28" t="e">
        <f>VLOOKUP(A1,DIV_03Data!$A$1:$DZU$1000000,163,FALSE)</f>
        <v>#N/A</v>
      </c>
      <c r="J10" s="27" t="e">
        <f>VLOOKUP(A1,DIV_03Data!$A$1:$DZU$1000000,164,FALSE)</f>
        <v>#N/A</v>
      </c>
      <c r="K10" s="27" t="e">
        <f>VLOOKUP(A1,DIV_03Data!$A$1:$DZU$1000000,165,FALSE)</f>
        <v>#N/A</v>
      </c>
      <c r="L10" s="27" t="e">
        <f>VLOOKUP(A1,DIV_03Data!$A$1:$DZU$1000000,166,FALSE)</f>
        <v>#N/A</v>
      </c>
      <c r="M10" s="28" t="e">
        <f>VLOOKUP(A1,DIV_03Data!$A$1:$DZU$1000000,167,FALSE)</f>
        <v>#N/A</v>
      </c>
      <c r="N10" s="27" t="e">
        <f>VLOOKUP(A1,DIV_03Data!$A$1:$DZU$1000000,168,FALSE)</f>
        <v>#N/A</v>
      </c>
      <c r="O10" s="28" t="e">
        <f>VLOOKUP(A1,DIV_03Data!$A$1:$DZU$1000000,169,FALSE)</f>
        <v>#N/A</v>
      </c>
      <c r="P10" s="25" t="e">
        <f>VLOOKUP(A1,DIV_03Data!$A$1:$DZU$1000000,170,FALSE)</f>
        <v>#N/A</v>
      </c>
      <c r="Q10" s="28" t="e">
        <f>VLOOKUP(A1,DIV_03Data!$A$1:$DZU$1000000,171,FALSE)</f>
        <v>#N/A</v>
      </c>
    </row>
    <row r="11" spans="1:17" x14ac:dyDescent="0.35">
      <c r="A11" s="22" t="e">
        <f>VLOOKUP(A1,DIV_03Data!$A$1:$DZU$1000000,172,FALSE)</f>
        <v>#N/A</v>
      </c>
      <c r="B11" s="29" t="e">
        <f>VLOOKUP(A1,DIV_03Data!$A$1:$DZU$1000000,173,FALSE)</f>
        <v>#N/A</v>
      </c>
      <c r="C11" s="30" t="e">
        <f>VLOOKUP(A1,DIV_03Data!$A$1:$DZU$1000000,174,FALSE)</f>
        <v>#N/A</v>
      </c>
      <c r="D11" s="31" t="e">
        <f>VLOOKUP(A1,DIV_03Data!$A$1:$DZU$1000000,175,FALSE)</f>
        <v>#N/A</v>
      </c>
      <c r="E11" s="32" t="e">
        <f>VLOOKUP(A1,DIV_03Data!$A$1:$DZU$1000000,176,FALSE)</f>
        <v>#N/A</v>
      </c>
      <c r="F11" s="34" t="e">
        <f>VLOOKUP(A1,DIV_03Data!$A$1:$DZU$1000000,177,FALSE)</f>
        <v>#N/A</v>
      </c>
      <c r="G11" s="33" t="e">
        <f>VLOOKUP(A1,DIV_03Data!$A$1:$DZU$1000000,178,FALSE)</f>
        <v>#N/A</v>
      </c>
      <c r="H11" s="34" t="e">
        <f>VLOOKUP(A1,DIV_03Data!$A$1:$DZU$1000000,179,FALSE)</f>
        <v>#N/A</v>
      </c>
      <c r="I11" s="33" t="e">
        <f>VLOOKUP(A1,DIV_03Data!$A$1:$DZU$1000000,180,FALSE)</f>
        <v>#N/A</v>
      </c>
      <c r="J11" s="34" t="e">
        <f>VLOOKUP(A1,DIV_03Data!$A$1:$DZU$1000000,181,FALSE)</f>
        <v>#N/A</v>
      </c>
      <c r="K11" s="34" t="e">
        <f>VLOOKUP(A1,DIV_03Data!$A$1:$DZU$1000000,182,FALSE)</f>
        <v>#N/A</v>
      </c>
      <c r="L11" s="34" t="e">
        <f>VLOOKUP(A1,DIV_03Data!$A$1:$DZU$1000000,183,FALSE)</f>
        <v>#N/A</v>
      </c>
      <c r="M11" s="33" t="e">
        <f>VLOOKUP(A1,DIV_03Data!$A$1:$DZU$1000000,184,FALSE)</f>
        <v>#N/A</v>
      </c>
      <c r="N11" s="34" t="e">
        <f>VLOOKUP(A1,DIV_03Data!$A$1:$DZU$1000000,185,FALSE)</f>
        <v>#N/A</v>
      </c>
      <c r="O11" s="35" t="e">
        <f>VLOOKUP(A1,DIV_03Data!$A$1:$DZU$1000000,186,FALSE)</f>
        <v>#N/A</v>
      </c>
      <c r="P11" s="31" t="e">
        <f>VLOOKUP(A1,DIV_03Data!$A$1:$DZU$1000000,187,FALSE)</f>
        <v>#N/A</v>
      </c>
      <c r="Q11" s="35" t="e">
        <f>VLOOKUP(A1,DIV_03Data!$A$1:$DZU$1000000,188,FALSE)</f>
        <v>#N/A</v>
      </c>
    </row>
    <row r="12" spans="1:17" x14ac:dyDescent="0.35">
      <c r="A12" s="22" t="e">
        <f>VLOOKUP(A1,DIV_03Data!$A$1:$DZU$1000000,189,FALSE)</f>
        <v>#N/A</v>
      </c>
      <c r="B12" s="29" t="e">
        <f>VLOOKUP(A1,DIV_03Data!$A$1:$DZU$1000000,190,FALSE)</f>
        <v>#N/A</v>
      </c>
      <c r="C12" s="30" t="e">
        <f>VLOOKUP(A1,DIV_03Data!$A$1:$DZU$1000000,191,FALSE)</f>
        <v>#N/A</v>
      </c>
      <c r="D12" s="31" t="e">
        <f>VLOOKUP(A1,DIV_03Data!$A$1:$DZU$1000000,192,FALSE)</f>
        <v>#N/A</v>
      </c>
      <c r="E12" s="32" t="e">
        <f>VLOOKUP(A1,DIV_03Data!$A$1:$DZU$1000000,193,FALSE)</f>
        <v>#N/A</v>
      </c>
      <c r="F12" s="34" t="e">
        <f>VLOOKUP(A1,DIV_03Data!$A$1:$DZU$1000000,194,FALSE)</f>
        <v>#N/A</v>
      </c>
      <c r="G12" s="33" t="e">
        <f>VLOOKUP(A1,DIV_03Data!$A$1:$DZU$1000000,195,FALSE)</f>
        <v>#N/A</v>
      </c>
      <c r="H12" s="34" t="e">
        <f>VLOOKUP(A1,DIV_03Data!$A$1:$DZU$1000000,196,FALSE)</f>
        <v>#N/A</v>
      </c>
      <c r="I12" s="33" t="e">
        <f>VLOOKUP(A1,DIV_03Data!$A$1:$DZU$1000000,197,FALSE)</f>
        <v>#N/A</v>
      </c>
      <c r="J12" s="34" t="e">
        <f>VLOOKUP(A1,DIV_03Data!$A$1:$DZU$1000000,198,FALSE)</f>
        <v>#N/A</v>
      </c>
      <c r="K12" s="34" t="e">
        <f>VLOOKUP(A1,DIV_03Data!$A$1:$DZU$1000000,199,FALSE)</f>
        <v>#N/A</v>
      </c>
      <c r="L12" s="34" t="e">
        <f>VLOOKUP(A1,DIV_03Data!$A$1:$DZU$1000000,200,FALSE)</f>
        <v>#N/A</v>
      </c>
      <c r="M12" s="33" t="e">
        <f>VLOOKUP(A1,DIV_03Data!$A$1:$DZU$1000000,201,FALSE)</f>
        <v>#N/A</v>
      </c>
      <c r="N12" s="34" t="e">
        <f>VLOOKUP(A1,DIV_03Data!$A$1:$DZU$1000000,202,FALSE)</f>
        <v>#N/A</v>
      </c>
      <c r="O12" s="35" t="e">
        <f>VLOOKUP(A1,DIV_03Data!$A$1:$DZU$1000000,203,FALSE)</f>
        <v>#N/A</v>
      </c>
      <c r="P12" s="31" t="e">
        <f>VLOOKUP(A1,DIV_03Data!$A$1:$DZU$1000000,204,FALSE)</f>
        <v>#N/A</v>
      </c>
      <c r="Q12" s="35" t="e">
        <f>VLOOKUP(A1,DIV_03Data!$A$1:$DZU$1000000,205,FALSE)</f>
        <v>#N/A</v>
      </c>
    </row>
    <row r="13" spans="1:17" x14ac:dyDescent="0.35">
      <c r="A13" s="22" t="e">
        <f>VLOOKUP(A1,DIV_03Data!$A$1:$DZU$1000000,206,FALSE)</f>
        <v>#N/A</v>
      </c>
      <c r="B13" s="37" t="e">
        <f>VLOOKUP(A1,DIV_03Data!$A$1:$DZU$1000000,207,FALSE)</f>
        <v>#N/A</v>
      </c>
      <c r="C13" s="38" t="e">
        <f>VLOOKUP(A1,DIV_03Data!$A$1:$DZU$1000000,208,FALSE)</f>
        <v>#N/A</v>
      </c>
      <c r="D13" s="31" t="e">
        <f>VLOOKUP(A1,DIV_03Data!$A$1:$DZU$1000000,209,FALSE)</f>
        <v>#N/A</v>
      </c>
      <c r="E13" s="32" t="e">
        <f>VLOOKUP(A1,DIV_03Data!$A$1:$DZU$1000000,210,FALSE)</f>
        <v>#N/A</v>
      </c>
      <c r="F13" s="93" t="e">
        <f>VLOOKUP(A1,DIV_03Data!$A$1:$DZU$1000000,211,FALSE)</f>
        <v>#N/A</v>
      </c>
      <c r="G13" s="33" t="e">
        <f>VLOOKUP(A1,DIV_03Data!$A$1:$DZU$1000000,212,FALSE)</f>
        <v>#N/A</v>
      </c>
      <c r="H13" s="93" t="e">
        <f>VLOOKUP(A1,DIV_03Data!$A$1:$DZU$1000000,213,FALSE)</f>
        <v>#N/A</v>
      </c>
      <c r="I13" s="33" t="e">
        <f>VLOOKUP(A1,DIV_03Data!$A$1:$DZU$1000000,214,FALSE)</f>
        <v>#N/A</v>
      </c>
      <c r="J13" s="34" t="e">
        <f>VLOOKUP(A1,DIV_03Data!$A$1:$DZU$1000000,215,FALSE)</f>
        <v>#N/A</v>
      </c>
      <c r="K13" s="34" t="e">
        <f>VLOOKUP(A1,DIV_03Data!$A$1:$DZU$1000000,216,FALSE)</f>
        <v>#N/A</v>
      </c>
      <c r="L13" s="93" t="e">
        <f>VLOOKUP(A1,DIV_03Data!$A$1:$DZU$1000000,217,FALSE)</f>
        <v>#N/A</v>
      </c>
      <c r="M13" s="33" t="e">
        <f>VLOOKUP(A1,DIV_03Data!$A$1:$DZU$1000000,218,FALSE)</f>
        <v>#N/A</v>
      </c>
      <c r="N13" s="93" t="e">
        <f>VLOOKUP(A1,DIV_03Data!$A$1:$DZU$1000000,219,FALSE)</f>
        <v>#N/A</v>
      </c>
      <c r="O13" s="33" t="e">
        <f>VLOOKUP(A1,DIV_03Data!$A$1:$DZU$1000000,220,FALSE)</f>
        <v>#N/A</v>
      </c>
      <c r="P13" s="46" t="e">
        <f>VLOOKUP(A1,DIV_03Data!$A$1:$DZU$1000000,221,FALSE)</f>
        <v>#N/A</v>
      </c>
      <c r="Q13" s="33" t="e">
        <f>VLOOKUP(A1,DIV_03Data!$A$1:$DZU$1000000,222,FALSE)</f>
        <v>#N/A</v>
      </c>
    </row>
    <row r="14" spans="1:17" x14ac:dyDescent="0.35">
      <c r="A14" s="22" t="e">
        <f>VLOOKUP(A1,DIV_03Data!$A$1:$DZU$1000000,223,FALSE)</f>
        <v>#N/A</v>
      </c>
      <c r="B14" s="37" t="e">
        <f>VLOOKUP(A1,DIV_03Data!$A$1:$DZU$1000000,224,FALSE)</f>
        <v>#N/A</v>
      </c>
      <c r="C14" s="38" t="e">
        <f>VLOOKUP(A1,DIV_03Data!$A$1:$DZU$1000000,225,FALSE)</f>
        <v>#N/A</v>
      </c>
      <c r="D14" s="31" t="e">
        <f>VLOOKUP(A1,DIV_03Data!$A$1:$DZU$1000000,226,FALSE)</f>
        <v>#N/A</v>
      </c>
      <c r="E14" s="32" t="e">
        <f>VLOOKUP(A1,DIV_03Data!$A$1:$DZU$1000000,227,FALSE)</f>
        <v>#N/A</v>
      </c>
      <c r="F14" s="34" t="e">
        <f>VLOOKUP(A1,DIV_03Data!$A$1:$DZU$1000000,228,FALSE)</f>
        <v>#N/A</v>
      </c>
      <c r="G14" s="33" t="e">
        <f>VLOOKUP(A1,DIV_03Data!$A$1:$DZU$1000000,229,FALSE)</f>
        <v>#N/A</v>
      </c>
      <c r="H14" s="34" t="e">
        <f>VLOOKUP(A1,DIV_03Data!$A$1:$DZU$1000000,230,FALSE)</f>
        <v>#N/A</v>
      </c>
      <c r="I14" s="33" t="e">
        <f>VLOOKUP(A1,DIV_03Data!$A$1:$DZU$1000000,231,FALSE)</f>
        <v>#N/A</v>
      </c>
      <c r="J14" s="34" t="e">
        <f>VLOOKUP(A1,DIV_03Data!$A$1:$DZU$1000000,232,FALSE)</f>
        <v>#N/A</v>
      </c>
      <c r="K14" s="34" t="e">
        <f>VLOOKUP(A1,DIV_03Data!$A$1:$DZU$1000000,233,FALSE)</f>
        <v>#N/A</v>
      </c>
      <c r="L14" s="34" t="e">
        <f>VLOOKUP(A1,DIV_03Data!$A$1:$DZU$1000000,234,FALSE)</f>
        <v>#N/A</v>
      </c>
      <c r="M14" s="33" t="e">
        <f>VLOOKUP(A1,DIV_03Data!$A$1:$DZU$1000000,235,FALSE)</f>
        <v>#N/A</v>
      </c>
      <c r="N14" s="34" t="e">
        <f>VLOOKUP(A1,DIV_03Data!$A$1:$DZU$1000000,236,FALSE)</f>
        <v>#N/A</v>
      </c>
      <c r="O14" s="33" t="e">
        <f>VLOOKUP(A1,DIV_03Data!$A$1:$DZU$1000000,237,FALSE)</f>
        <v>#N/A</v>
      </c>
      <c r="P14" s="46" t="e">
        <f>VLOOKUP(A1,DIV_03Data!$A$1:$DZU$1000000,238,FALSE)</f>
        <v>#N/A</v>
      </c>
      <c r="Q14" s="33" t="e">
        <f>VLOOKUP(A1,DIV_03Data!$A$1:$DZU$1000000,239,FALSE)</f>
        <v>#N/A</v>
      </c>
    </row>
    <row r="15" spans="1:17" x14ac:dyDescent="0.35">
      <c r="A15" s="22" t="e">
        <f>VLOOKUP(A1,DIV_03Data!$A$1:$DZU$1000000,240,FALSE)</f>
        <v>#N/A</v>
      </c>
      <c r="B15" s="37" t="e">
        <f>VLOOKUP(A1,DIV_03Data!$A$1:$DZU$1000000,241,FALSE)</f>
        <v>#N/A</v>
      </c>
      <c r="C15" s="38" t="e">
        <f>VLOOKUP(A1,DIV_03Data!$A$1:$DZU$1000000,242,FALSE)</f>
        <v>#N/A</v>
      </c>
      <c r="D15" s="31" t="e">
        <f>VLOOKUP(A1,DIV_03Data!$A$1:$DZU$1000000,243,FALSE)</f>
        <v>#N/A</v>
      </c>
      <c r="E15" s="32" t="e">
        <f>VLOOKUP(A1,DIV_03Data!$A$1:$DZU$1000000,244,FALSE)</f>
        <v>#N/A</v>
      </c>
      <c r="F15" s="34" t="e">
        <f>VLOOKUP(A1,DIV_03Data!$A$1:$DZU$1000000,245,FALSE)</f>
        <v>#N/A</v>
      </c>
      <c r="G15" s="33" t="e">
        <f>VLOOKUP(A1,DIV_03Data!$A$1:$DZU$1000000,246,FALSE)</f>
        <v>#N/A</v>
      </c>
      <c r="H15" s="34" t="e">
        <f>VLOOKUP(A1,DIV_03Data!$A$1:$DZU$1000000,247,FALSE)</f>
        <v>#N/A</v>
      </c>
      <c r="I15" s="33" t="e">
        <f>VLOOKUP(A1,DIV_03Data!$A$1:$DZU$1000000,248,FALSE)</f>
        <v>#N/A</v>
      </c>
      <c r="J15" s="34" t="e">
        <f>VLOOKUP(A1,DIV_03Data!$A$1:$DZU$1000000,249,FALSE)</f>
        <v>#N/A</v>
      </c>
      <c r="K15" s="34" t="e">
        <f>VLOOKUP(A1,DIV_03Data!$A$1:$DZU$1000000,250,FALSE)</f>
        <v>#N/A</v>
      </c>
      <c r="L15" s="34" t="e">
        <f>VLOOKUP(A1,DIV_03Data!$A$1:$DZU$1000000,251,FALSE)</f>
        <v>#N/A</v>
      </c>
      <c r="M15" s="33" t="e">
        <f>VLOOKUP(A1,DIV_03Data!$A$1:$DZU$1000000,252,FALSE)</f>
        <v>#N/A</v>
      </c>
      <c r="N15" s="34" t="e">
        <f>VLOOKUP(A1,DIV_03Data!$A$1:$DZU$1000000,253,FALSE)</f>
        <v>#N/A</v>
      </c>
      <c r="O15" s="33" t="e">
        <f>VLOOKUP(A1,DIV_03Data!$A$1:$DZU$1000000,254,FALSE)</f>
        <v>#N/A</v>
      </c>
      <c r="P15" s="31" t="e">
        <f>VLOOKUP(A1,DIV_03Data!$A$1:$DZU$1000000,255,FALSE)</f>
        <v>#N/A</v>
      </c>
      <c r="Q15" s="33" t="e">
        <f>VLOOKUP(A1,DIV_03Data!$A$1:$DZU$1000000,256,FALSE)</f>
        <v>#N/A</v>
      </c>
    </row>
    <row r="16" spans="1:17" x14ac:dyDescent="0.35">
      <c r="A16" s="22" t="e">
        <f>VLOOKUP(A1,DIV_03Data!$A$1:$DZU$1000000,257,FALSE)</f>
        <v>#N/A</v>
      </c>
      <c r="B16" s="37" t="e">
        <f>VLOOKUP(A1,DIV_03Data!$A$1:$DZU$1000000,258,FALSE)</f>
        <v>#N/A</v>
      </c>
      <c r="C16" s="38" t="e">
        <f>VLOOKUP(A1,DIV_03Data!$A$1:$DZU$1000000,259,FALSE)</f>
        <v>#N/A</v>
      </c>
      <c r="D16" s="31" t="e">
        <f>VLOOKUP(A1,DIV_03Data!$A$1:$DZU$1000000,260,FALSE)</f>
        <v>#N/A</v>
      </c>
      <c r="E16" s="32" t="e">
        <f>VLOOKUP(A1,DIV_03Data!$A$1:$DZU$1000000,261,FALSE)</f>
        <v>#N/A</v>
      </c>
      <c r="F16" s="34" t="e">
        <f>VLOOKUP(A1,DIV_03Data!$A$1:$DZU$1000000,262,FALSE)</f>
        <v>#N/A</v>
      </c>
      <c r="G16" s="33" t="e">
        <f>VLOOKUP(A1,DIV_03Data!$A$1:$DZU$1000000,263,FALSE)</f>
        <v>#N/A</v>
      </c>
      <c r="H16" s="34" t="e">
        <f>VLOOKUP(A1,DIV_03Data!$A$1:$DZU$1000000,264,FALSE)</f>
        <v>#N/A</v>
      </c>
      <c r="I16" s="33" t="e">
        <f>VLOOKUP(A1,DIV_03Data!$A$1:$DZU$1000000,265,FALSE)</f>
        <v>#N/A</v>
      </c>
      <c r="J16" s="34" t="e">
        <f>VLOOKUP(A1,DIV_03Data!$A$1:$DZU$1000000,266,FALSE)</f>
        <v>#N/A</v>
      </c>
      <c r="K16" s="34" t="e">
        <f>VLOOKUP(A1,DIV_03Data!$A$1:$DZU$1000000,267,FALSE)</f>
        <v>#N/A</v>
      </c>
      <c r="L16" s="93" t="e">
        <f>VLOOKUP(A1,DIV_03Data!$A$1:$DZU$1000000,268,FALSE)</f>
        <v>#N/A</v>
      </c>
      <c r="M16" s="33" t="e">
        <f>VLOOKUP(A1,DIV_03Data!$A$1:$DZU$1000000,269,FALSE)</f>
        <v>#N/A</v>
      </c>
      <c r="N16" s="34" t="e">
        <f>VLOOKUP(A1,DIV_03Data!$A$1:$DZU$1000000,270,FALSE)</f>
        <v>#N/A</v>
      </c>
      <c r="O16" s="33" t="e">
        <f>VLOOKUP(A1,DIV_03Data!$A$1:$DZU$1000000,271,FALSE)</f>
        <v>#N/A</v>
      </c>
      <c r="P16" s="46" t="e">
        <f>VLOOKUP(A1,DIV_03Data!$A$1:$DZU$1000000,272,FALSE)</f>
        <v>#N/A</v>
      </c>
      <c r="Q16" s="33" t="e">
        <f>VLOOKUP(A1,DIV_03Data!$A$1:$DZU$1000000,273,FALSE)</f>
        <v>#N/A</v>
      </c>
    </row>
    <row r="17" spans="1:17" x14ac:dyDescent="0.35">
      <c r="A17" s="22" t="e">
        <f>VLOOKUP(A1,DIV_03Data!$A$1:$DZU$1000000,274,FALSE)</f>
        <v>#N/A</v>
      </c>
      <c r="B17" s="37" t="e">
        <f>VLOOKUP(A1,DIV_03Data!$A$1:$DZU$1000000,275,FALSE)</f>
        <v>#N/A</v>
      </c>
      <c r="C17" s="38" t="e">
        <f>VLOOKUP(A1,DIV_03Data!$A$1:$DZU$1000000,276,FALSE)</f>
        <v>#N/A</v>
      </c>
      <c r="D17" s="31" t="e">
        <f>VLOOKUP(A1,DIV_03Data!$A$1:$DZU$1000000,277,FALSE)</f>
        <v>#N/A</v>
      </c>
      <c r="E17" s="32" t="e">
        <f>VLOOKUP(A1,DIV_03Data!$A$1:$DZU$1000000,278,FALSE)</f>
        <v>#N/A</v>
      </c>
      <c r="F17" s="34" t="e">
        <f>VLOOKUP(A1,DIV_03Data!$A$1:$DZU$1000000,279,FALSE)</f>
        <v>#N/A</v>
      </c>
      <c r="G17" s="33" t="e">
        <f>VLOOKUP(A1,DIV_03Data!$A$1:$DZU$1000000,280,FALSE)</f>
        <v>#N/A</v>
      </c>
      <c r="H17" s="34" t="e">
        <f>VLOOKUP(A1,DIV_03Data!$A$1:$DZU$1000000,281,FALSE)</f>
        <v>#N/A</v>
      </c>
      <c r="I17" s="33" t="e">
        <f>VLOOKUP(A1,DIV_03Data!$A$1:$DZU$1000000,282,FALSE)</f>
        <v>#N/A</v>
      </c>
      <c r="J17" s="34" t="e">
        <f>VLOOKUP(A1,DIV_03Data!$A$1:$DZU$1000000,283,FALSE)</f>
        <v>#N/A</v>
      </c>
      <c r="K17" s="34" t="e">
        <f>VLOOKUP(A1,DIV_03Data!$A$1:$DZU$1000000,284,FALSE)</f>
        <v>#N/A</v>
      </c>
      <c r="L17" s="93" t="e">
        <f>VLOOKUP(A1,DIV_03Data!$A$1:$DZU$1000000,285,FALSE)</f>
        <v>#N/A</v>
      </c>
      <c r="M17" s="33" t="e">
        <f>VLOOKUP(A1,DIV_03Data!$A$1:$DZU$1000000,286,FALSE)</f>
        <v>#N/A</v>
      </c>
      <c r="N17" s="34" t="e">
        <f>VLOOKUP(A1,DIV_03Data!$A$1:$DZU$1000000,287,FALSE)</f>
        <v>#N/A</v>
      </c>
      <c r="O17" s="33" t="e">
        <f>VLOOKUP(A1,DIV_03Data!$A$1:$DZU$1000000,288,FALSE)</f>
        <v>#N/A</v>
      </c>
      <c r="P17" s="46" t="e">
        <f>VLOOKUP(A1,DIV_03Data!$A$1:$DZU$1000000,289,FALSE)</f>
        <v>#N/A</v>
      </c>
      <c r="Q17" s="33" t="e">
        <f>VLOOKUP(A1,DIV_03Data!$A$1:$DZU$1000000,290,FALSE)</f>
        <v>#N/A</v>
      </c>
    </row>
    <row r="18" spans="1:17" x14ac:dyDescent="0.35">
      <c r="A18" s="22" t="e">
        <f>VLOOKUP(A1,DIV_03Data!$A$1:$DZU$1000000,291,FALSE)</f>
        <v>#N/A</v>
      </c>
      <c r="B18" s="37" t="e">
        <f>VLOOKUP(A1,DIV_03Data!$A$1:$DZU$1000000,292,FALSE)</f>
        <v>#N/A</v>
      </c>
      <c r="C18" s="38" t="e">
        <f>VLOOKUP(A1,DIV_03Data!$A$1:$DZU$1000000,293,FALSE)</f>
        <v>#N/A</v>
      </c>
      <c r="D18" s="31" t="e">
        <f>VLOOKUP(A1,DIV_03Data!$A$1:$DZU$1000000,294,FALSE)</f>
        <v>#N/A</v>
      </c>
      <c r="E18" s="32" t="e">
        <f>VLOOKUP(A1,DIV_03Data!$A$1:$DZU$1000000,295,FALSE)</f>
        <v>#N/A</v>
      </c>
      <c r="F18" s="34" t="e">
        <f>VLOOKUP(A1,DIV_03Data!$A$1:$DZU$1000000,296,FALSE)</f>
        <v>#N/A</v>
      </c>
      <c r="G18" s="33" t="e">
        <f>VLOOKUP(A1,DIV_03Data!$A$1:$DZU$1000000,297,FALSE)</f>
        <v>#N/A</v>
      </c>
      <c r="H18" s="34" t="e">
        <f>VLOOKUP(A1,DIV_03Data!$A$1:$DZU$1000000,298,FALSE)</f>
        <v>#N/A</v>
      </c>
      <c r="I18" s="33" t="e">
        <f>VLOOKUP(A1,DIV_03Data!$A$1:$DZU$1000000,299,FALSE)</f>
        <v>#N/A</v>
      </c>
      <c r="J18" s="34" t="e">
        <f>VLOOKUP(A1,DIV_03Data!$A$1:$DZU$1000000,300,FALSE)</f>
        <v>#N/A</v>
      </c>
      <c r="K18" s="34" t="e">
        <f>VLOOKUP(A1,DIV_03Data!$A$1:$DZU$1000000,301,FALSE)</f>
        <v>#N/A</v>
      </c>
      <c r="L18" s="93" t="e">
        <f>VLOOKUP(A1,DIV_03Data!$A$1:$DZU$1000000,302,FALSE)</f>
        <v>#N/A</v>
      </c>
      <c r="M18" s="33" t="e">
        <f>VLOOKUP(A1,DIV_03Data!$A$1:$DZU$1000000,303,FALSE)</f>
        <v>#N/A</v>
      </c>
      <c r="N18" s="34" t="e">
        <f>VLOOKUP(A1,DIV_03Data!$A$1:$DZU$1000000,304,FALSE)</f>
        <v>#N/A</v>
      </c>
      <c r="O18" s="33" t="e">
        <f>VLOOKUP(A1,DIV_03Data!$A$1:$DZU$1000000,305,FALSE)</f>
        <v>#N/A</v>
      </c>
      <c r="P18" s="46" t="e">
        <f>VLOOKUP(A1,DIV_03Data!$A$1:$DZU$1000000,306,FALSE)</f>
        <v>#N/A</v>
      </c>
      <c r="Q18" s="33" t="e">
        <f>VLOOKUP(A1,DIV_03Data!$A$1:$DZU$1000000,307,FALSE)</f>
        <v>#N/A</v>
      </c>
    </row>
    <row r="19" spans="1:17" x14ac:dyDescent="0.35">
      <c r="A19" s="22" t="e">
        <f>VLOOKUP(A1,DIV_03Data!$A$1:$DZU$1000000,308,FALSE)</f>
        <v>#N/A</v>
      </c>
      <c r="B19" s="37" t="e">
        <f>VLOOKUP(A1,DIV_03Data!$A$1:$DZU$1000000,309,FALSE)</f>
        <v>#N/A</v>
      </c>
      <c r="C19" s="38" t="e">
        <f>VLOOKUP(A1,DIV_03Data!$A$1:$DZU$1000000,310,FALSE)</f>
        <v>#N/A</v>
      </c>
      <c r="D19" s="31" t="e">
        <f>VLOOKUP(A1,DIV_03Data!$A$1:$DZU$1000000,311,FALSE)</f>
        <v>#N/A</v>
      </c>
      <c r="E19" s="32" t="e">
        <f>VLOOKUP(A1,DIV_03Data!$A$1:$DZU$1000000,312,FALSE)</f>
        <v>#N/A</v>
      </c>
      <c r="F19" s="34" t="e">
        <f>VLOOKUP(A1,DIV_03Data!$A$1:$DZU$1000000,313,FALSE)</f>
        <v>#N/A</v>
      </c>
      <c r="G19" s="33" t="e">
        <f>VLOOKUP(A1,DIV_03Data!$A$1:$DZU$1000000,314,FALSE)</f>
        <v>#N/A</v>
      </c>
      <c r="H19" s="34" t="e">
        <f>VLOOKUP(A1,DIV_03Data!$A$1:$DZU$1000000,315,FALSE)</f>
        <v>#N/A</v>
      </c>
      <c r="I19" s="33" t="e">
        <f>VLOOKUP(A1,DIV_03Data!$A$1:$DZU$1000000,316,FALSE)</f>
        <v>#N/A</v>
      </c>
      <c r="J19" s="34" t="e">
        <f>VLOOKUP(A1,DIV_03Data!$A$1:$DZU$1000000,317,FALSE)</f>
        <v>#N/A</v>
      </c>
      <c r="K19" s="34" t="e">
        <f>VLOOKUP(A1,DIV_03Data!$A$1:$DZU$1000000,318,FALSE)</f>
        <v>#N/A</v>
      </c>
      <c r="L19" s="93" t="e">
        <f>VLOOKUP(A1,DIV_03Data!$A$1:$DZU$1000000,319,FALSE)</f>
        <v>#N/A</v>
      </c>
      <c r="M19" s="33" t="e">
        <f>VLOOKUP(A1,DIV_03Data!$A$1:$DZU$1000000,320,FALSE)</f>
        <v>#N/A</v>
      </c>
      <c r="N19" s="34" t="e">
        <f>VLOOKUP(A1,DIV_03Data!$A$1:$DZU$1000000,321,FALSE)</f>
        <v>#N/A</v>
      </c>
      <c r="O19" s="33" t="e">
        <f>VLOOKUP(A1,DIV_03Data!$A$1:$DZU$1000000,322,FALSE)</f>
        <v>#N/A</v>
      </c>
      <c r="P19" s="46" t="e">
        <f>VLOOKUP(A1,DIV_03Data!$A$1:$DZU$1000000,323,FALSE)</f>
        <v>#N/A</v>
      </c>
      <c r="Q19" s="33" t="e">
        <f>VLOOKUP(A1,DIV_03Data!$A$1:$DZU$1000000,324,FALSE)</f>
        <v>#N/A</v>
      </c>
    </row>
    <row r="20" spans="1:17" x14ac:dyDescent="0.35">
      <c r="A20" s="22" t="e">
        <f>VLOOKUP(A1,DIV_03Data!$A$1:$DZU$1000000,325,FALSE)</f>
        <v>#N/A</v>
      </c>
      <c r="B20" s="37" t="e">
        <f>VLOOKUP(A1,DIV_03Data!$A$1:$DZU$1000000,326,FALSE)</f>
        <v>#N/A</v>
      </c>
      <c r="C20" s="38" t="e">
        <f>VLOOKUP(A1,DIV_03Data!$A$1:$DZU$1000000,327,FALSE)</f>
        <v>#N/A</v>
      </c>
      <c r="D20" s="31" t="e">
        <f>VLOOKUP(A1,DIV_03Data!$A$1:$DZU$1000000,328,FALSE)</f>
        <v>#N/A</v>
      </c>
      <c r="E20" s="32" t="e">
        <f>VLOOKUP(A1,DIV_03Data!$A$1:$DZU$1000000,329,FALSE)</f>
        <v>#N/A</v>
      </c>
      <c r="F20" s="34" t="e">
        <f>VLOOKUP(A1,DIV_03Data!$A$1:$DZU$1000000,330,FALSE)</f>
        <v>#N/A</v>
      </c>
      <c r="G20" s="33" t="e">
        <f>VLOOKUP(A1,DIV_03Data!$A$1:$DZU$1000000,331,FALSE)</f>
        <v>#N/A</v>
      </c>
      <c r="H20" s="34" t="e">
        <f>VLOOKUP(A1,DIV_03Data!$A$1:$DZU$1000000,332,FALSE)</f>
        <v>#N/A</v>
      </c>
      <c r="I20" s="33" t="e">
        <f>VLOOKUP(A1,DIV_03Data!$A$1:$DZU$1000000,333,FALSE)</f>
        <v>#N/A</v>
      </c>
      <c r="J20" s="34" t="e">
        <f>VLOOKUP(A1,DIV_03Data!$A$1:$DZU$1000000,334,FALSE)</f>
        <v>#N/A</v>
      </c>
      <c r="K20" s="34" t="e">
        <f>VLOOKUP(A1,DIV_03Data!$A$1:$DZU$1000000,335,FALSE)</f>
        <v>#N/A</v>
      </c>
      <c r="L20" s="93" t="e">
        <f>VLOOKUP(A1,DIV_03Data!$A$1:$DZU$1000000,336,FALSE)</f>
        <v>#N/A</v>
      </c>
      <c r="M20" s="33" t="e">
        <f>VLOOKUP(A1,DIV_03Data!$A$1:$DZU$1000000,337,FALSE)</f>
        <v>#N/A</v>
      </c>
      <c r="N20" s="34" t="e">
        <f>VLOOKUP(A1,DIV_03Data!$A$1:$DZU$1000000,338,FALSE)</f>
        <v>#N/A</v>
      </c>
      <c r="O20" s="33" t="e">
        <f>VLOOKUP(A1,DIV_03Data!$A$1:$DZU$1000000,339,FALSE)</f>
        <v>#N/A</v>
      </c>
      <c r="P20" s="46" t="e">
        <f>VLOOKUP(A1,DIV_03Data!$A$1:$DZU$1000000,340,FALSE)</f>
        <v>#N/A</v>
      </c>
      <c r="Q20" s="33" t="e">
        <f>VLOOKUP(A1,DIV_03Data!$A$1:$DZU$1000000,341,FALSE)</f>
        <v>#N/A</v>
      </c>
    </row>
    <row r="21" spans="1:17" x14ac:dyDescent="0.35">
      <c r="A21" s="22" t="e">
        <f>VLOOKUP(A1,DIV_03Data!$A$1:$DZU$1000000,342,FALSE)</f>
        <v>#N/A</v>
      </c>
      <c r="B21" s="37" t="e">
        <f>VLOOKUP(A1,DIV_03Data!$A$1:$DZU$1000000,343,FALSE)</f>
        <v>#N/A</v>
      </c>
      <c r="C21" s="38" t="e">
        <f>VLOOKUP(A1,DIV_03Data!$A$1:$DZU$1000000,344,FALSE)</f>
        <v>#N/A</v>
      </c>
      <c r="D21" s="31" t="e">
        <f>VLOOKUP(A1,DIV_03Data!$A$1:$DZU$1000000,345,FALSE)</f>
        <v>#N/A</v>
      </c>
      <c r="E21" s="32" t="e">
        <f>VLOOKUP(A1,DIV_03Data!$A$1:$DZU$1000000,346,FALSE)</f>
        <v>#N/A</v>
      </c>
      <c r="F21" s="34" t="e">
        <f>VLOOKUP(A1,DIV_03Data!$A$1:$DZU$1000000,347,FALSE)</f>
        <v>#N/A</v>
      </c>
      <c r="G21" s="33" t="e">
        <f>VLOOKUP(A1,DIV_03Data!$A$1:$DZU$1000000,348,FALSE)</f>
        <v>#N/A</v>
      </c>
      <c r="H21" s="34" t="e">
        <f>VLOOKUP(A1,DIV_03Data!$A$1:$DZU$1000000,349,FALSE)</f>
        <v>#N/A</v>
      </c>
      <c r="I21" s="33" t="e">
        <f>VLOOKUP(A1,DIV_03Data!$A$1:$DZU$1000000,350,FALSE)</f>
        <v>#N/A</v>
      </c>
      <c r="J21" s="34" t="e">
        <f>VLOOKUP(A1,DIV_03Data!$A$1:$DZU$1000000,351,FALSE)</f>
        <v>#N/A</v>
      </c>
      <c r="K21" s="34" t="e">
        <f>VLOOKUP(A1,DIV_03Data!$A$1:$DZU$1000000,352,FALSE)</f>
        <v>#N/A</v>
      </c>
      <c r="L21" s="93" t="e">
        <f>VLOOKUP(A1,DIV_03Data!$A$1:$DZU$1000000,353,FALSE)</f>
        <v>#N/A</v>
      </c>
      <c r="M21" s="33" t="e">
        <f>VLOOKUP(A1,DIV_03Data!$A$1:$DZU$1000000,354,FALSE)</f>
        <v>#N/A</v>
      </c>
      <c r="N21" s="34" t="e">
        <f>VLOOKUP(A1,DIV_03Data!$A$1:$DZU$1000000,355,FALSE)</f>
        <v>#N/A</v>
      </c>
      <c r="O21" s="33" t="e">
        <f>VLOOKUP(A1,DIV_03Data!$A$1:$DZU$1000000,356,FALSE)</f>
        <v>#N/A</v>
      </c>
      <c r="P21" s="46" t="e">
        <f>VLOOKUP(A1,DIV_03Data!$A$1:$DZU$1000000,357,FALSE)</f>
        <v>#N/A</v>
      </c>
      <c r="Q21" s="33" t="e">
        <f>VLOOKUP(A1,DIV_03Data!$A$1:$DZU$1000000,358,FALSE)</f>
        <v>#N/A</v>
      </c>
    </row>
    <row r="22" spans="1:17" x14ac:dyDescent="0.35">
      <c r="A22" s="22" t="e">
        <f>VLOOKUP(A1,DIV_03Data!$A$1:$DZU$1000000,359,FALSE)</f>
        <v>#N/A</v>
      </c>
      <c r="B22" s="37" t="e">
        <f>VLOOKUP(A1,DIV_03Data!$A$1:$DZU$1000000,360,FALSE)</f>
        <v>#N/A</v>
      </c>
      <c r="C22" s="38" t="e">
        <f>VLOOKUP(A1,DIV_03Data!$A$1:$DZU$1000000,361,FALSE)</f>
        <v>#N/A</v>
      </c>
      <c r="D22" s="31" t="e">
        <f>VLOOKUP(A1,DIV_03Data!$A$1:$DZU$1000000,362,FALSE)</f>
        <v>#N/A</v>
      </c>
      <c r="E22" s="32" t="e">
        <f>VLOOKUP(A1,DIV_03Data!$A$1:$DZU$1000000,363,FALSE)</f>
        <v>#N/A</v>
      </c>
      <c r="F22" s="34" t="e">
        <f>VLOOKUP(A1,DIV_03Data!$A$1:$DZU$1000000,364,FALSE)</f>
        <v>#N/A</v>
      </c>
      <c r="G22" s="33" t="e">
        <f>VLOOKUP(A1,DIV_03Data!$A$1:$DZU$1000000,365,FALSE)</f>
        <v>#N/A</v>
      </c>
      <c r="H22" s="34" t="e">
        <f>VLOOKUP(A1,DIV_03Data!$A$1:$DZU$1000000,366,FALSE)</f>
        <v>#N/A</v>
      </c>
      <c r="I22" s="33" t="e">
        <f>VLOOKUP(A1,DIV_03Data!$A$1:$DZU$1000000,367,FALSE)</f>
        <v>#N/A</v>
      </c>
      <c r="J22" s="34" t="e">
        <f>VLOOKUP(A1,DIV_03Data!$A$1:$DZU$1000000,368,FALSE)</f>
        <v>#N/A</v>
      </c>
      <c r="K22" s="34" t="e">
        <f>VLOOKUP(A1,DIV_03Data!$A$1:$DZU$1000000,369,FALSE)</f>
        <v>#N/A</v>
      </c>
      <c r="L22" s="93" t="e">
        <f>VLOOKUP(A1,DIV_03Data!$A$1:$DZU$1000000,370,FALSE)</f>
        <v>#N/A</v>
      </c>
      <c r="M22" s="33" t="e">
        <f>VLOOKUP(A1,DIV_03Data!$A$1:$DZU$1000000,371,FALSE)</f>
        <v>#N/A</v>
      </c>
      <c r="N22" s="34" t="e">
        <f>VLOOKUP(A1,DIV_03Data!$A$1:$DZU$1000000,372,FALSE)</f>
        <v>#N/A</v>
      </c>
      <c r="O22" s="33" t="e">
        <f>VLOOKUP(A1,DIV_03Data!$A$1:$DZU$1000000,373,FALSE)</f>
        <v>#N/A</v>
      </c>
      <c r="P22" s="46" t="e">
        <f>VLOOKUP(A1,DIV_03Data!$A$1:$DZU$1000000,374,FALSE)</f>
        <v>#N/A</v>
      </c>
      <c r="Q22" s="33" t="e">
        <f>VLOOKUP(A1,DIV_03Data!$A$1:$DZU$1000000,375,FALSE)</f>
        <v>#N/A</v>
      </c>
    </row>
    <row r="23" spans="1:17" x14ac:dyDescent="0.35">
      <c r="A23" s="22" t="e">
        <f>VLOOKUP(A1,DIV_03Data!$A$1:$DZU$1000000,376,FALSE)</f>
        <v>#N/A</v>
      </c>
      <c r="B23" s="37" t="e">
        <f>VLOOKUP(A1,DIV_03Data!$A$1:$DZU$1000000,377,FALSE)</f>
        <v>#N/A</v>
      </c>
      <c r="C23" s="38" t="e">
        <f>VLOOKUP(A1,DIV_03Data!$A$1:$DZU$1000000,378,FALSE)</f>
        <v>#N/A</v>
      </c>
      <c r="D23" s="31" t="e">
        <f>VLOOKUP(A1,DIV_03Data!$A$1:$DZU$1000000,379,FALSE)</f>
        <v>#N/A</v>
      </c>
      <c r="E23" s="32" t="e">
        <f>VLOOKUP(A1,DIV_03Data!$A$1:$DZU$1000000,380,FALSE)</f>
        <v>#N/A</v>
      </c>
      <c r="F23" s="34" t="e">
        <f>VLOOKUP(A1,DIV_03Data!$A$1:$DZU$1000000,381,FALSE)</f>
        <v>#N/A</v>
      </c>
      <c r="G23" s="33" t="e">
        <f>VLOOKUP(A1,DIV_03Data!$A$1:$DZU$1000000,382,FALSE)</f>
        <v>#N/A</v>
      </c>
      <c r="H23" s="34" t="e">
        <f>VLOOKUP(A1,DIV_03Data!$A$1:$DZU$1000000,383,FALSE)</f>
        <v>#N/A</v>
      </c>
      <c r="I23" s="33" t="e">
        <f>VLOOKUP(A1,DIV_03Data!$A$1:$DZU$1000000,384,FALSE)</f>
        <v>#N/A</v>
      </c>
      <c r="J23" s="34" t="e">
        <f>VLOOKUP(A1,DIV_03Data!$A$1:$DZU$1000000,385,FALSE)</f>
        <v>#N/A</v>
      </c>
      <c r="K23" s="34" t="e">
        <f>VLOOKUP(A1,DIV_03Data!$A$1:$DZU$1000000,386,FALSE)</f>
        <v>#N/A</v>
      </c>
      <c r="L23" s="93" t="e">
        <f>VLOOKUP(A1,DIV_03Data!$A$1:$DZU$1000000,387,FALSE)</f>
        <v>#N/A</v>
      </c>
      <c r="M23" s="33" t="e">
        <f>VLOOKUP(A1,DIV_03Data!$A$1:$DZU$1000000,388,FALSE)</f>
        <v>#N/A</v>
      </c>
      <c r="N23" s="34" t="e">
        <f>VLOOKUP(A1,DIV_03Data!$A$1:$DZU$1000000,389,FALSE)</f>
        <v>#N/A</v>
      </c>
      <c r="O23" s="33" t="e">
        <f>VLOOKUP(A1,DIV_03Data!$A$1:$DZU$1000000,390,FALSE)</f>
        <v>#N/A</v>
      </c>
      <c r="P23" s="46" t="e">
        <f>VLOOKUP(A1,DIV_03Data!$A$1:$DZU$1000000,391,FALSE)</f>
        <v>#N/A</v>
      </c>
      <c r="Q23" s="33" t="e">
        <f>VLOOKUP(A1,DIV_03Data!$A$1:$DZU$1000000,392,FALSE)</f>
        <v>#N/A</v>
      </c>
    </row>
    <row r="24" spans="1:17" x14ac:dyDescent="0.35">
      <c r="A24" s="22" t="e">
        <f>VLOOKUP(A1,DIV_03Data!$A$1:$DZU$1000000,393,FALSE)</f>
        <v>#N/A</v>
      </c>
      <c r="B24" s="37" t="e">
        <f>VLOOKUP(A1,DIV_03Data!$A$1:$DZU$1000000,394,FALSE)</f>
        <v>#N/A</v>
      </c>
      <c r="C24" s="38" t="e">
        <f>VLOOKUP(A1,DIV_03Data!$A$1:$DZU$1000000,395,FALSE)</f>
        <v>#N/A</v>
      </c>
      <c r="D24" s="31" t="e">
        <f>VLOOKUP(A1,DIV_03Data!$A$1:$DZU$1000000,396,FALSE)</f>
        <v>#N/A</v>
      </c>
      <c r="E24" s="32" t="e">
        <f>VLOOKUP(A1,DIV_03Data!$A$1:$DZU$1000000,397,FALSE)</f>
        <v>#N/A</v>
      </c>
      <c r="F24" s="34" t="e">
        <f>VLOOKUP(A1,DIV_03Data!$A$1:$DZU$1000000,398,FALSE)</f>
        <v>#N/A</v>
      </c>
      <c r="G24" s="33" t="e">
        <f>VLOOKUP(A1,DIV_03Data!$A$1:$DZU$1000000,399,FALSE)</f>
        <v>#N/A</v>
      </c>
      <c r="H24" s="34" t="e">
        <f>VLOOKUP(A1,DIV_03Data!$A$1:$DZU$1000000,400,FALSE)</f>
        <v>#N/A</v>
      </c>
      <c r="I24" s="33" t="e">
        <f>VLOOKUP(A1,DIV_03Data!$A$1:$DZU$1000000,401,FALSE)</f>
        <v>#N/A</v>
      </c>
      <c r="J24" s="34" t="e">
        <f>VLOOKUP(A1,DIV_03Data!$A$1:$DZU$1000000,402,FALSE)</f>
        <v>#N/A</v>
      </c>
      <c r="K24" s="34" t="e">
        <f>VLOOKUP(A1,DIV_03Data!$A$1:$DZU$1000000,403,FALSE)</f>
        <v>#N/A</v>
      </c>
      <c r="L24" s="93" t="e">
        <f>VLOOKUP(A1,DIV_03Data!$A$1:$DZU$1000000,404,FALSE)</f>
        <v>#N/A</v>
      </c>
      <c r="M24" s="33" t="e">
        <f>VLOOKUP(A1,DIV_03Data!$A$1:$DZU$1000000,405,FALSE)</f>
        <v>#N/A</v>
      </c>
      <c r="N24" s="34" t="e">
        <f>VLOOKUP(A1,DIV_03Data!$A$1:$DZU$1000000,406,FALSE)</f>
        <v>#N/A</v>
      </c>
      <c r="O24" s="33" t="e">
        <f>VLOOKUP(A1,DIV_03Data!$A$1:$DZU$1000000,407,FALSE)</f>
        <v>#N/A</v>
      </c>
      <c r="P24" s="46" t="e">
        <f>VLOOKUP(A1,DIV_03Data!$A$1:$DZU$1000000,408,FALSE)</f>
        <v>#N/A</v>
      </c>
      <c r="Q24" s="33" t="e">
        <f>VLOOKUP(A1,DIV_03Data!$A$1:$DZU$1000000,409,FALSE)</f>
        <v>#N/A</v>
      </c>
    </row>
    <row r="25" spans="1:17" x14ac:dyDescent="0.35">
      <c r="A25" s="22" t="e">
        <f>VLOOKUP(A1,DIV_03Data!$A$1:$DZU$1000000,410,FALSE)</f>
        <v>#N/A</v>
      </c>
      <c r="B25" s="37" t="e">
        <f>VLOOKUP(A1,DIV_03Data!$A$1:$DZU$1000000,411,FALSE)</f>
        <v>#N/A</v>
      </c>
      <c r="C25" s="38" t="e">
        <f>VLOOKUP(A1,DIV_03Data!$A$1:$DZU$1000000,412,FALSE)</f>
        <v>#N/A</v>
      </c>
      <c r="D25" s="31" t="e">
        <f>VLOOKUP(A1,DIV_03Data!$A$1:$DZU$1000000,413,FALSE)</f>
        <v>#N/A</v>
      </c>
      <c r="E25" s="32" t="e">
        <f>VLOOKUP(A1,DIV_03Data!$A$1:$DZU$1000000,414,FALSE)</f>
        <v>#N/A</v>
      </c>
      <c r="F25" s="34" t="e">
        <f>VLOOKUP(A1,DIV_03Data!$A$1:$DZU$1000000,415,FALSE)</f>
        <v>#N/A</v>
      </c>
      <c r="G25" s="33" t="e">
        <f>VLOOKUP(A1,DIV_03Data!$A$1:$DZU$1000000,416,FALSE)</f>
        <v>#N/A</v>
      </c>
      <c r="H25" s="34" t="e">
        <f>VLOOKUP(A1,DIV_03Data!$A$1:$DZU$1000000,417,FALSE)</f>
        <v>#N/A</v>
      </c>
      <c r="I25" s="33" t="e">
        <f>VLOOKUP(A1,DIV_03Data!$A$1:$DZU$1000000,418,FALSE)</f>
        <v>#N/A</v>
      </c>
      <c r="J25" s="34" t="e">
        <f>VLOOKUP(A1,DIV_03Data!$A$1:$DZU$1000000,419,FALSE)</f>
        <v>#N/A</v>
      </c>
      <c r="K25" s="34" t="e">
        <f>VLOOKUP(A1,DIV_03Data!$A$1:$DZU$1000000,420,FALSE)</f>
        <v>#N/A</v>
      </c>
      <c r="L25" s="93" t="e">
        <f>VLOOKUP(A1,DIV_03Data!$A$1:$DZU$1000000,421,FALSE)</f>
        <v>#N/A</v>
      </c>
      <c r="M25" s="33" t="e">
        <f>VLOOKUP(A1,DIV_03Data!$A$1:$DZU$1000000,422,FALSE)</f>
        <v>#N/A</v>
      </c>
      <c r="N25" s="34" t="e">
        <f>VLOOKUP(A1,DIV_03Data!$A$1:$DZU$1000000,423,FALSE)</f>
        <v>#N/A</v>
      </c>
      <c r="O25" s="33" t="e">
        <f>VLOOKUP(A1,DIV_03Data!$A$1:$DZU$1000000,424,FALSE)</f>
        <v>#N/A</v>
      </c>
      <c r="P25" s="46" t="e">
        <f>VLOOKUP(A1,DIV_03Data!$A$1:$DZU$1000000,425,FALSE)</f>
        <v>#N/A</v>
      </c>
      <c r="Q25" s="33" t="e">
        <f>VLOOKUP(A1,DIV_03Data!$A$1:$DZU$1000000,426,FALSE)</f>
        <v>#N/A</v>
      </c>
    </row>
    <row r="26" spans="1:17" x14ac:dyDescent="0.35">
      <c r="A26" s="22" t="e">
        <f>VLOOKUP(A1,DIV_03Data!$A$1:$DZU$1000000,427,FALSE)</f>
        <v>#N/A</v>
      </c>
      <c r="B26" s="37" t="e">
        <f>VLOOKUP(A1,DIV_03Data!$A$1:$DZU$1000000,428,FALSE)</f>
        <v>#N/A</v>
      </c>
      <c r="C26" s="38" t="e">
        <f>VLOOKUP(A1,DIV_03Data!$A$1:$DZU$1000000,429,FALSE)</f>
        <v>#N/A</v>
      </c>
      <c r="D26" s="31" t="e">
        <f>VLOOKUP(A1,DIV_03Data!$A$1:$DZU$1000000,430,FALSE)</f>
        <v>#N/A</v>
      </c>
      <c r="E26" s="32" t="e">
        <f>VLOOKUP(A1,DIV_03Data!$A$1:$DZU$1000000,431,FALSE)</f>
        <v>#N/A</v>
      </c>
      <c r="F26" s="34" t="e">
        <f>VLOOKUP(A1,DIV_03Data!$A$1:$DZU$1000000,432,FALSE)</f>
        <v>#N/A</v>
      </c>
      <c r="G26" s="33" t="e">
        <f>VLOOKUP(A1,DIV_03Data!$A$1:$DZU$1000000,433,FALSE)</f>
        <v>#N/A</v>
      </c>
      <c r="H26" s="34" t="e">
        <f>VLOOKUP(A1,DIV_03Data!$A$1:$DZU$1000000,434,FALSE)</f>
        <v>#N/A</v>
      </c>
      <c r="I26" s="33" t="e">
        <f>VLOOKUP(A1,DIV_03Data!$A$1:$DZU$1000000,435,FALSE)</f>
        <v>#N/A</v>
      </c>
      <c r="J26" s="34" t="e">
        <f>VLOOKUP(A1,DIV_03Data!$A$1:$DZU$1000000,436,FALSE)</f>
        <v>#N/A</v>
      </c>
      <c r="K26" s="34" t="e">
        <f>VLOOKUP(A1,DIV_03Data!$A$1:$DZU$1000000,437,FALSE)</f>
        <v>#N/A</v>
      </c>
      <c r="L26" s="93" t="e">
        <f>VLOOKUP(A1,DIV_03Data!$A$1:$DZU$1000000,438,FALSE)</f>
        <v>#N/A</v>
      </c>
      <c r="M26" s="33" t="e">
        <f>VLOOKUP(A1,DIV_03Data!$A$1:$DZU$1000000,439,FALSE)</f>
        <v>#N/A</v>
      </c>
      <c r="N26" s="34" t="e">
        <f>VLOOKUP(A1,DIV_03Data!$A$1:$DZU$1000000,440,FALSE)</f>
        <v>#N/A</v>
      </c>
      <c r="O26" s="33" t="e">
        <f>VLOOKUP(A1,DIV_03Data!$A$1:$DZU$1000000,441,FALSE)</f>
        <v>#N/A</v>
      </c>
      <c r="P26" s="46" t="e">
        <f>VLOOKUP(A1,DIV_03Data!$A$1:$DZU$1000000,442,FALSE)</f>
        <v>#N/A</v>
      </c>
      <c r="Q26" s="33" t="e">
        <f>VLOOKUP(A1,DIV_03Data!$A$1:$DZU$1000000,443,FALSE)</f>
        <v>#N/A</v>
      </c>
    </row>
    <row r="27" spans="1:17" x14ac:dyDescent="0.35">
      <c r="A27" s="22" t="e">
        <f>VLOOKUP(A1,DIV_03Data!$A$1:$DZU$1000000,444,FALSE)</f>
        <v>#N/A</v>
      </c>
      <c r="B27" s="37" t="e">
        <f>VLOOKUP(A1,DIV_03Data!$A$1:$DZU$1000000,445,FALSE)</f>
        <v>#N/A</v>
      </c>
      <c r="C27" s="38" t="e">
        <f>VLOOKUP(A1,DIV_03Data!$A$1:$DZU$1000000,446,FALSE)</f>
        <v>#N/A</v>
      </c>
      <c r="D27" s="31" t="e">
        <f>VLOOKUP(A1,DIV_03Data!$A$1:$DZU$1000000,447,FALSE)</f>
        <v>#N/A</v>
      </c>
      <c r="E27" s="32" t="e">
        <f>VLOOKUP(A1,DIV_03Data!$A$1:$DZU$1000000,448,FALSE)</f>
        <v>#N/A</v>
      </c>
      <c r="F27" s="34" t="e">
        <f>VLOOKUP(A1,DIV_03Data!$A$1:$DZU$1000000,449,FALSE)</f>
        <v>#N/A</v>
      </c>
      <c r="G27" s="33" t="e">
        <f>VLOOKUP(A1,DIV_03Data!$A$1:$DZU$1000000,450,FALSE)</f>
        <v>#N/A</v>
      </c>
      <c r="H27" s="34" t="e">
        <f>VLOOKUP(A1,DIV_03Data!$A$1:$DZU$1000000,451,FALSE)</f>
        <v>#N/A</v>
      </c>
      <c r="I27" s="33" t="e">
        <f>VLOOKUP(A1,DIV_03Data!$A$1:$DZU$1000000,452,FALSE)</f>
        <v>#N/A</v>
      </c>
      <c r="J27" s="34" t="e">
        <f>VLOOKUP(A1,DIV_03Data!$A$1:$DZU$1000000,453,FALSE)</f>
        <v>#N/A</v>
      </c>
      <c r="K27" s="34" t="e">
        <f>VLOOKUP(A1,DIV_03Data!$A$1:$DZU$1000000,454,FALSE)</f>
        <v>#N/A</v>
      </c>
      <c r="L27" s="93" t="e">
        <f>VLOOKUP(A1,DIV_03Data!$A$1:$DZU$1000000,455,FALSE)</f>
        <v>#N/A</v>
      </c>
      <c r="M27" s="33" t="e">
        <f>VLOOKUP(A1,DIV_03Data!$A$1:$DZU$1000000,456,FALSE)</f>
        <v>#N/A</v>
      </c>
      <c r="N27" s="34" t="e">
        <f>VLOOKUP(A1,DIV_03Data!$A$1:$DZU$1000000,457,FALSE)</f>
        <v>#N/A</v>
      </c>
      <c r="O27" s="33" t="e">
        <f>VLOOKUP(A1,DIV_03Data!$A$1:$DZU$1000000,458,FALSE)</f>
        <v>#N/A</v>
      </c>
      <c r="P27" s="46" t="e">
        <f>VLOOKUP(A1,DIV_03Data!$A$1:$DZU$1000000,459,FALSE)</f>
        <v>#N/A</v>
      </c>
      <c r="Q27" s="33" t="e">
        <f>VLOOKUP(A1,DIV_03Data!$A$1:$DZU$1000000,460,FALSE)</f>
        <v>#N/A</v>
      </c>
    </row>
    <row r="28" spans="1:17" x14ac:dyDescent="0.35">
      <c r="A28" s="22" t="e">
        <f>VLOOKUP(A1,DIV_03Data!$A$1:$DZU$1000000,461,FALSE)</f>
        <v>#N/A</v>
      </c>
      <c r="B28" s="37" t="e">
        <f>VLOOKUP(A1,DIV_03Data!$A$1:$DZU$1000000,462,FALSE)</f>
        <v>#N/A</v>
      </c>
      <c r="C28" s="38" t="e">
        <f>VLOOKUP(A1,DIV_03Data!$A$1:$DZU$1000000,463,FALSE)</f>
        <v>#N/A</v>
      </c>
      <c r="D28" s="31" t="e">
        <f>VLOOKUP(A1,DIV_03Data!$A$1:$DZU$1000000,464,FALSE)</f>
        <v>#N/A</v>
      </c>
      <c r="E28" s="32" t="e">
        <f>VLOOKUP(A1,DIV_03Data!$A$1:$DZU$1000000,465,FALSE)</f>
        <v>#N/A</v>
      </c>
      <c r="F28" s="34" t="e">
        <f>VLOOKUP(A1,DIV_03Data!$A$1:$DZU$1000000,466,FALSE)</f>
        <v>#N/A</v>
      </c>
      <c r="G28" s="33" t="e">
        <f>VLOOKUP(A1,DIV_03Data!$A$1:$DZU$1000000,467,FALSE)</f>
        <v>#N/A</v>
      </c>
      <c r="H28" s="34" t="e">
        <f>VLOOKUP(A1,DIV_03Data!$A$1:$DZU$1000000,468,FALSE)</f>
        <v>#N/A</v>
      </c>
      <c r="I28" s="33" t="e">
        <f>VLOOKUP(A1,DIV_03Data!$A$1:$DZU$1000000,469,FALSE)</f>
        <v>#N/A</v>
      </c>
      <c r="J28" s="34" t="e">
        <f>VLOOKUP(A1,DIV_03Data!$A$1:$DZU$1000000,470,FALSE)</f>
        <v>#N/A</v>
      </c>
      <c r="K28" s="34" t="e">
        <f>VLOOKUP(A1,DIV_03Data!$A$1:$DZU$1000000,471,FALSE)</f>
        <v>#N/A</v>
      </c>
      <c r="L28" s="93" t="e">
        <f>VLOOKUP(A1,DIV_03Data!$A$1:$DZU$1000000,472,FALSE)</f>
        <v>#N/A</v>
      </c>
      <c r="M28" s="33" t="e">
        <f>VLOOKUP(A1,DIV_03Data!$A$1:$DZU$1000000,473,FALSE)</f>
        <v>#N/A</v>
      </c>
      <c r="N28" s="34" t="e">
        <f>VLOOKUP(A1,DIV_03Data!$A$1:$DZU$1000000,474,FALSE)</f>
        <v>#N/A</v>
      </c>
      <c r="O28" s="33" t="e">
        <f>VLOOKUP(A1,DIV_03Data!$A$1:$DZU$1000000,475,FALSE)</f>
        <v>#N/A</v>
      </c>
      <c r="P28" s="46" t="e">
        <f>VLOOKUP(A1,DIV_03Data!$A$1:$DZU$1000000,476,FALSE)</f>
        <v>#N/A</v>
      </c>
      <c r="Q28" s="33" t="e">
        <f>VLOOKUP(A1,DIV_03Data!$A$1:$DZU$1000000,477,FALSE)</f>
        <v>#N/A</v>
      </c>
    </row>
    <row r="29" spans="1:17" x14ac:dyDescent="0.35">
      <c r="A29" s="22" t="e">
        <f>VLOOKUP(A1,DIV_03Data!$A$1:$DZU$1000000,478,FALSE)</f>
        <v>#N/A</v>
      </c>
      <c r="B29" s="37" t="e">
        <f>VLOOKUP(A1,DIV_03Data!$A$1:$DZU$1000000,479,FALSE)</f>
        <v>#N/A</v>
      </c>
      <c r="C29" s="38" t="e">
        <f>VLOOKUP(A1,DIV_03Data!$A$1:$DZU$1000000,480,FALSE)</f>
        <v>#N/A</v>
      </c>
      <c r="D29" s="31" t="e">
        <f>VLOOKUP(A1,DIV_03Data!$A$1:$DZU$1000000,481,FALSE)</f>
        <v>#N/A</v>
      </c>
      <c r="E29" s="32" t="e">
        <f>VLOOKUP(A1,DIV_03Data!$A$1:$DZU$1000000,482,FALSE)</f>
        <v>#N/A</v>
      </c>
      <c r="F29" s="34" t="e">
        <f>VLOOKUP(A1,DIV_03Data!$A$1:$DZU$1000000,483,FALSE)</f>
        <v>#N/A</v>
      </c>
      <c r="G29" s="33" t="e">
        <f>VLOOKUP(A1,DIV_03Data!$A$1:$DZU$1000000,484,FALSE)</f>
        <v>#N/A</v>
      </c>
      <c r="H29" s="34" t="e">
        <f>VLOOKUP(A1,DIV_03Data!$A$1:$DZU$1000000,485,FALSE)</f>
        <v>#N/A</v>
      </c>
      <c r="I29" s="33" t="e">
        <f>VLOOKUP(A1,DIV_03Data!$A$1:$DZU$1000000,486,FALSE)</f>
        <v>#N/A</v>
      </c>
      <c r="J29" s="34" t="e">
        <f>VLOOKUP(A1,DIV_03Data!$A$1:$DZU$1000000,487,FALSE)</f>
        <v>#N/A</v>
      </c>
      <c r="K29" s="34" t="e">
        <f>VLOOKUP(A1,DIV_03Data!$A$1:$DZU$1000000,488,FALSE)</f>
        <v>#N/A</v>
      </c>
      <c r="L29" s="93" t="e">
        <f>VLOOKUP(A1,DIV_03Data!$A$1:$DZU$1000000,489,FALSE)</f>
        <v>#N/A</v>
      </c>
      <c r="M29" s="33" t="e">
        <f>VLOOKUP(A1,DIV_03Data!$A$1:$DZU$1000000,490,FALSE)</f>
        <v>#N/A</v>
      </c>
      <c r="N29" s="34" t="e">
        <f>VLOOKUP(A1,DIV_03Data!$A$1:$DZU$1000000,491,FALSE)</f>
        <v>#N/A</v>
      </c>
      <c r="O29" s="33" t="e">
        <f>VLOOKUP(A1,DIV_03Data!$A$1:$DZU$1000000,492,FALSE)</f>
        <v>#N/A</v>
      </c>
      <c r="P29" s="46" t="e">
        <f>VLOOKUP(A1,DIV_03Data!$A$1:$DZU$1000000,493,FALSE)</f>
        <v>#N/A</v>
      </c>
      <c r="Q29" s="33" t="e">
        <f>VLOOKUP(A1,DIV_03Data!$A$1:$DZU$1000000,494,FALSE)</f>
        <v>#N/A</v>
      </c>
    </row>
    <row r="30" spans="1:17" x14ac:dyDescent="0.35">
      <c r="A30" s="22" t="e">
        <f>VLOOKUP(A1,DIV_03Data!$A$1:$DZU$1000000,495,FALSE)</f>
        <v>#N/A</v>
      </c>
      <c r="B30" s="37" t="e">
        <f>VLOOKUP(A1,DIV_03Data!$A$1:$DZU$1000000,496,FALSE)</f>
        <v>#N/A</v>
      </c>
      <c r="C30" s="38" t="e">
        <f>VLOOKUP(A1,DIV_03Data!$A$1:$DZU$1000000,497,FALSE)</f>
        <v>#N/A</v>
      </c>
      <c r="D30" s="31" t="e">
        <f>VLOOKUP(A1,DIV_03Data!$A$1:$DZU$1000000,498,FALSE)</f>
        <v>#N/A</v>
      </c>
      <c r="E30" s="32" t="e">
        <f>VLOOKUP(A1,DIV_03Data!$A$1:$DZU$1000000,499,FALSE)</f>
        <v>#N/A</v>
      </c>
      <c r="F30" s="34" t="e">
        <f>VLOOKUP(A1,DIV_03Data!$A$1:$DZU$1000000,500,FALSE)</f>
        <v>#N/A</v>
      </c>
      <c r="G30" s="33" t="e">
        <f>VLOOKUP(A1,DIV_03Data!$A$1:$DZU$1000000,501,FALSE)</f>
        <v>#N/A</v>
      </c>
      <c r="H30" s="34" t="e">
        <f>VLOOKUP(A1,DIV_03Data!$A$1:$DZU$1000000,502,FALSE)</f>
        <v>#N/A</v>
      </c>
      <c r="I30" s="33" t="e">
        <f>VLOOKUP(A1,DIV_03Data!$A$1:$DZU$1000000,503,FALSE)</f>
        <v>#N/A</v>
      </c>
      <c r="J30" s="34" t="e">
        <f>VLOOKUP(A1,DIV_03Data!$A$1:$DZU$1000000,504,FALSE)</f>
        <v>#N/A</v>
      </c>
      <c r="K30" s="34" t="e">
        <f>VLOOKUP(A1,DIV_03Data!$A$1:$DZU$1000000,505,FALSE)</f>
        <v>#N/A</v>
      </c>
      <c r="L30" s="93" t="e">
        <f>VLOOKUP(A1,DIV_03Data!$A$1:$DZU$1000000,506,FALSE)</f>
        <v>#N/A</v>
      </c>
      <c r="M30" s="33" t="e">
        <f>VLOOKUP(A1,DIV_03Data!$A$1:$DZU$1000000,507,FALSE)</f>
        <v>#N/A</v>
      </c>
      <c r="N30" s="34" t="e">
        <f>VLOOKUP(A1,DIV_03Data!$A$1:$DZU$1000000,508,FALSE)</f>
        <v>#N/A</v>
      </c>
      <c r="O30" s="33" t="e">
        <f>VLOOKUP(A1,DIV_03Data!$A$1:$DZU$1000000,509,FALSE)</f>
        <v>#N/A</v>
      </c>
      <c r="P30" s="46" t="e">
        <f>VLOOKUP(A1,DIV_03Data!$A$1:$DZU$1000000,510,FALSE)</f>
        <v>#N/A</v>
      </c>
      <c r="Q30" s="33" t="e">
        <f>VLOOKUP(A1,DIV_03Data!$A$1:$DZU$1000000,511,FALSE)</f>
        <v>#N/A</v>
      </c>
    </row>
    <row r="31" spans="1:17" x14ac:dyDescent="0.35">
      <c r="A31" s="22" t="e">
        <f>VLOOKUP(A1,DIV_03Data!$A$1:$DZU$1000000,512,FALSE)</f>
        <v>#N/A</v>
      </c>
      <c r="B31" s="37" t="e">
        <f>VLOOKUP(A1,DIV_03Data!$A$1:$DZU$1000000,513,FALSE)</f>
        <v>#N/A</v>
      </c>
      <c r="C31" s="38" t="e">
        <f>VLOOKUP(A1,DIV_03Data!$A$1:$DZU$1000000,514,FALSE)</f>
        <v>#N/A</v>
      </c>
      <c r="D31" s="31" t="e">
        <f>VLOOKUP(A1,DIV_03Data!$A$1:$DZU$1000000,515,FALSE)</f>
        <v>#N/A</v>
      </c>
      <c r="E31" s="32" t="e">
        <f>VLOOKUP(A1,DIV_03Data!$A$1:$DZU$1000000,516,FALSE)</f>
        <v>#N/A</v>
      </c>
      <c r="F31" s="34" t="e">
        <f>VLOOKUP(A1,DIV_03Data!$A$1:$DZU$1000000,517,FALSE)</f>
        <v>#N/A</v>
      </c>
      <c r="G31" s="33" t="e">
        <f>VLOOKUP(A1,DIV_03Data!$A$1:$DZU$1000000,518,FALSE)</f>
        <v>#N/A</v>
      </c>
      <c r="H31" s="34" t="e">
        <f>VLOOKUP(A1,DIV_03Data!$A$1:$DZU$1000000,519,FALSE)</f>
        <v>#N/A</v>
      </c>
      <c r="I31" s="33" t="e">
        <f>VLOOKUP(A1,DIV_03Data!$A$1:$DZU$1000000,520,FALSE)</f>
        <v>#N/A</v>
      </c>
      <c r="J31" s="34" t="e">
        <f>VLOOKUP(A1,DIV_03Data!$A$1:$DZU$1000000,521,FALSE)</f>
        <v>#N/A</v>
      </c>
      <c r="K31" s="34" t="e">
        <f>VLOOKUP(A1,DIV_03Data!$A$1:$DZU$1000000,522,FALSE)</f>
        <v>#N/A</v>
      </c>
      <c r="L31" s="93" t="e">
        <f>VLOOKUP(A1,DIV_03Data!$A$1:$DZU$1000000,523,FALSE)</f>
        <v>#N/A</v>
      </c>
      <c r="M31" s="33" t="e">
        <f>VLOOKUP(A1,DIV_03Data!$A$1:$DZU$1000000,524,FALSE)</f>
        <v>#N/A</v>
      </c>
      <c r="N31" s="34" t="e">
        <f>VLOOKUP(A1,DIV_03Data!$A$1:$DZU$1000000,525,FALSE)</f>
        <v>#N/A</v>
      </c>
      <c r="O31" s="33" t="e">
        <f>VLOOKUP(A1,DIV_03Data!$A$1:$DZU$1000000,526,FALSE)</f>
        <v>#N/A</v>
      </c>
      <c r="P31" s="46" t="e">
        <f>VLOOKUP(A1,DIV_03Data!$A$1:$DZU$1000000,527,FALSE)</f>
        <v>#N/A</v>
      </c>
      <c r="Q31" s="33" t="e">
        <f>VLOOKUP(A1,DIV_03Data!$A$1:$DZU$1000000,528,FALSE)</f>
        <v>#N/A</v>
      </c>
    </row>
    <row r="32" spans="1:17" x14ac:dyDescent="0.35">
      <c r="A32" s="22" t="e">
        <f>VLOOKUP(A1,DIV_03Data!$A$1:$DZU$1000000,529,FALSE)</f>
        <v>#N/A</v>
      </c>
      <c r="B32" s="37" t="e">
        <f>VLOOKUP(A1,DIV_03Data!$A$1:$DZU$1000000,530,FALSE)</f>
        <v>#N/A</v>
      </c>
      <c r="C32" s="38" t="e">
        <f>VLOOKUP(A1,DIV_03Data!$A$1:$DZU$1000000,531,FALSE)</f>
        <v>#N/A</v>
      </c>
      <c r="D32" s="31" t="e">
        <f>VLOOKUP(A1,DIV_03Data!$A$1:$DZU$1000000,532,FALSE)</f>
        <v>#N/A</v>
      </c>
      <c r="E32" s="32" t="e">
        <f>VLOOKUP(A1,DIV_03Data!$A$1:$DZU$1000000,533,FALSE)</f>
        <v>#N/A</v>
      </c>
      <c r="F32" s="34" t="e">
        <f>VLOOKUP(A1,DIV_03Data!$A$1:$DZU$1000000,534,FALSE)</f>
        <v>#N/A</v>
      </c>
      <c r="G32" s="33" t="e">
        <f>VLOOKUP(A1,DIV_03Data!$A$1:$DZU$1000000,535,FALSE)</f>
        <v>#N/A</v>
      </c>
      <c r="H32" s="34" t="e">
        <f>VLOOKUP(A1,DIV_03Data!$A$1:$DZU$1000000,536,FALSE)</f>
        <v>#N/A</v>
      </c>
      <c r="I32" s="33" t="e">
        <f>VLOOKUP(A1,DIV_03Data!$A$1:$DZU$1000000,537,FALSE)</f>
        <v>#N/A</v>
      </c>
      <c r="J32" s="34" t="e">
        <f>VLOOKUP(A1,DIV_03Data!$A$1:$DZU$1000000,538,FALSE)</f>
        <v>#N/A</v>
      </c>
      <c r="K32" s="34" t="e">
        <f>VLOOKUP(A1,DIV_03Data!$A$1:$DZU$1000000,539,FALSE)</f>
        <v>#N/A</v>
      </c>
      <c r="L32" s="93" t="e">
        <f>VLOOKUP(A1,DIV_03Data!$A$1:$DZU$1000000,540,FALSE)</f>
        <v>#N/A</v>
      </c>
      <c r="M32" s="33" t="e">
        <f>VLOOKUP(A1,DIV_03Data!$A$1:$DZU$1000000,541,FALSE)</f>
        <v>#N/A</v>
      </c>
      <c r="N32" s="34" t="e">
        <f>VLOOKUP(A1,DIV_03Data!$A$1:$DZU$1000000,542,FALSE)</f>
        <v>#N/A</v>
      </c>
      <c r="O32" s="33" t="e">
        <f>VLOOKUP(A1,DIV_03Data!$A$1:$DZU$1000000,543,FALSE)</f>
        <v>#N/A</v>
      </c>
      <c r="P32" s="46" t="e">
        <f>VLOOKUP(A1,DIV_03Data!$A$1:$DZU$1000000,544,FALSE)</f>
        <v>#N/A</v>
      </c>
      <c r="Q32" s="33" t="e">
        <f>VLOOKUP(A1,DIV_03Data!$A$1:$DZU$1000000,545,FALSE)</f>
        <v>#N/A</v>
      </c>
    </row>
    <row r="33" spans="1:17" x14ac:dyDescent="0.35">
      <c r="A33" s="22" t="e">
        <f>VLOOKUP(A1,DIV_03Data!$A$1:$DZU$1000000,546,FALSE)</f>
        <v>#N/A</v>
      </c>
      <c r="B33" s="37" t="e">
        <f>VLOOKUP(A1,DIV_03Data!$A$1:$DZU$1000000,547,FALSE)</f>
        <v>#N/A</v>
      </c>
      <c r="C33" s="38" t="e">
        <f>VLOOKUP(A1,DIV_03Data!$A$1:$DZU$1000000,548,FALSE)</f>
        <v>#N/A</v>
      </c>
      <c r="D33" s="31" t="e">
        <f>VLOOKUP(A1,DIV_03Data!$A$1:$DZU$1000000,549,FALSE)</f>
        <v>#N/A</v>
      </c>
      <c r="E33" s="32" t="e">
        <f>VLOOKUP(A1,DIV_03Data!$A$1:$DZU$1000000,550,FALSE)</f>
        <v>#N/A</v>
      </c>
      <c r="F33" s="34" t="e">
        <f>VLOOKUP(A1,DIV_03Data!$A$1:$DZU$1000000,551,FALSE)</f>
        <v>#N/A</v>
      </c>
      <c r="G33" s="33" t="e">
        <f>VLOOKUP(A1,DIV_03Data!$A$1:$DZU$1000000,552,FALSE)</f>
        <v>#N/A</v>
      </c>
      <c r="H33" s="34" t="e">
        <f>VLOOKUP(A1,DIV_03Data!$A$1:$DZU$1000000,553,FALSE)</f>
        <v>#N/A</v>
      </c>
      <c r="I33" s="33" t="e">
        <f>VLOOKUP(A1,DIV_03Data!$A$1:$DZU$1000000,554,FALSE)</f>
        <v>#N/A</v>
      </c>
      <c r="J33" s="34" t="e">
        <f>VLOOKUP(A1,DIV_03Data!$A$1:$DZU$1000000,555,FALSE)</f>
        <v>#N/A</v>
      </c>
      <c r="K33" s="34" t="e">
        <f>VLOOKUP(A1,DIV_03Data!$A$1:$DZU$1000000,556,FALSE)</f>
        <v>#N/A</v>
      </c>
      <c r="L33" s="93" t="e">
        <f>VLOOKUP(A1,DIV_03Data!$A$1:$DZU$1000000,557,FALSE)</f>
        <v>#N/A</v>
      </c>
      <c r="M33" s="33" t="e">
        <f>VLOOKUP(A1,DIV_03Data!$A$1:$DZU$1000000,558,FALSE)</f>
        <v>#N/A</v>
      </c>
      <c r="N33" s="34" t="e">
        <f>VLOOKUP(A1,DIV_03Data!$A$1:$DZU$1000000,559,FALSE)</f>
        <v>#N/A</v>
      </c>
      <c r="O33" s="33" t="e">
        <f>VLOOKUP(A1,DIV_03Data!$A$1:$DZU$1000000,560,FALSE)</f>
        <v>#N/A</v>
      </c>
      <c r="P33" s="46" t="e">
        <f>VLOOKUP(A1,DIV_03Data!$A$1:$DZU$1000000,561,FALSE)</f>
        <v>#N/A</v>
      </c>
      <c r="Q33" s="33" t="e">
        <f>VLOOKUP(A1,DIV_03Data!$A$1:$DZU$1000000,562,FALSE)</f>
        <v>#N/A</v>
      </c>
    </row>
    <row r="34" spans="1:17" x14ac:dyDescent="0.35">
      <c r="A34" s="22" t="e">
        <f>VLOOKUP(A1,DIV_03Data!$A$1:$DZU$1000000,563,FALSE)</f>
        <v>#N/A</v>
      </c>
      <c r="B34" s="37" t="e">
        <f>VLOOKUP(A1,DIV_03Data!$A$1:$DZU$1000000,564,FALSE)</f>
        <v>#N/A</v>
      </c>
      <c r="C34" s="38" t="e">
        <f>VLOOKUP(A1,DIV_03Data!$A$1:$DZU$1000000,565,FALSE)</f>
        <v>#N/A</v>
      </c>
      <c r="D34" s="31" t="e">
        <f>VLOOKUP(A1,DIV_03Data!$A$1:$DZU$1000000,566,FALSE)</f>
        <v>#N/A</v>
      </c>
      <c r="E34" s="32" t="e">
        <f>VLOOKUP(A1,DIV_03Data!$A$1:$DZU$1000000,567,FALSE)</f>
        <v>#N/A</v>
      </c>
      <c r="F34" s="34" t="e">
        <f>VLOOKUP(A1,DIV_03Data!$A$1:$DZU$1000000,568,FALSE)</f>
        <v>#N/A</v>
      </c>
      <c r="G34" s="33" t="e">
        <f>VLOOKUP(A1,DIV_03Data!$A$1:$DZU$1000000,569,FALSE)</f>
        <v>#N/A</v>
      </c>
      <c r="H34" s="34" t="e">
        <f>VLOOKUP(A1,DIV_03Data!$A$1:$DZU$1000000,570,FALSE)</f>
        <v>#N/A</v>
      </c>
      <c r="I34" s="33" t="e">
        <f>VLOOKUP(A1,DIV_03Data!$A$1:$DZU$1000000,571,FALSE)</f>
        <v>#N/A</v>
      </c>
      <c r="J34" s="34" t="e">
        <f>VLOOKUP(A1,DIV_03Data!$A$1:$DZU$1000000,572,FALSE)</f>
        <v>#N/A</v>
      </c>
      <c r="K34" s="34" t="e">
        <f>VLOOKUP(A1,DIV_03Data!$A$1:$DZU$1000000,573,FALSE)</f>
        <v>#N/A</v>
      </c>
      <c r="L34" s="93" t="e">
        <f>VLOOKUP(A1,DIV_03Data!$A$1:$DZU$1000000,574,FALSE)</f>
        <v>#N/A</v>
      </c>
      <c r="M34" s="33" t="e">
        <f>VLOOKUP(A1,DIV_03Data!$A$1:$DZU$1000000,575,FALSE)</f>
        <v>#N/A</v>
      </c>
      <c r="N34" s="34" t="e">
        <f>VLOOKUP(A1,DIV_03Data!$A$1:$DZU$1000000,576,FALSE)</f>
        <v>#N/A</v>
      </c>
      <c r="O34" s="33" t="e">
        <f>VLOOKUP(A1,DIV_03Data!$A$1:$DZU$1000000,577,FALSE)</f>
        <v>#N/A</v>
      </c>
      <c r="P34" s="46" t="e">
        <f>VLOOKUP(A1,DIV_03Data!$A$1:$DZU$1000000,578,FALSE)</f>
        <v>#N/A</v>
      </c>
      <c r="Q34" s="33" t="e">
        <f>VLOOKUP(A1,DIV_03Data!$A$1:$DZU$1000000,579,FALSE)</f>
        <v>#N/A</v>
      </c>
    </row>
    <row r="35" spans="1:17" x14ac:dyDescent="0.35">
      <c r="A35" s="22" t="e">
        <f>VLOOKUP(A1,DIV_03Data!$A$1:$DZU$1000000,580,FALSE)</f>
        <v>#N/A</v>
      </c>
      <c r="B35" s="37" t="e">
        <f>VLOOKUP(A1,DIV_03Data!$A$1:$DZU$1000000,581,FALSE)</f>
        <v>#N/A</v>
      </c>
      <c r="C35" s="38" t="e">
        <f>VLOOKUP(A1,DIV_03Data!$A$1:$DZU$1000000,582,FALSE)</f>
        <v>#N/A</v>
      </c>
      <c r="D35" s="31" t="e">
        <f>VLOOKUP(A1,DIV_03Data!$A$1:$DZU$1000000,583,FALSE)</f>
        <v>#N/A</v>
      </c>
      <c r="E35" s="32" t="e">
        <f>VLOOKUP(A1,DIV_03Data!$A$1:$DZU$1000000,584,FALSE)</f>
        <v>#N/A</v>
      </c>
      <c r="F35" s="34" t="e">
        <f>VLOOKUP(A1,DIV_03Data!$A$1:$DZU$1000000,585,FALSE)</f>
        <v>#N/A</v>
      </c>
      <c r="G35" s="33" t="e">
        <f>VLOOKUP(A1,DIV_03Data!$A$1:$DZU$1000000,586,FALSE)</f>
        <v>#N/A</v>
      </c>
      <c r="H35" s="34" t="e">
        <f>VLOOKUP(A1,DIV_03Data!$A$1:$DZU$1000000,587,FALSE)</f>
        <v>#N/A</v>
      </c>
      <c r="I35" s="33" t="e">
        <f>VLOOKUP(A1,DIV_03Data!$A$1:$DZU$1000000,588,FALSE)</f>
        <v>#N/A</v>
      </c>
      <c r="J35" s="34" t="e">
        <f>VLOOKUP(A1,DIV_03Data!$A$1:$DZU$1000000,589,FALSE)</f>
        <v>#N/A</v>
      </c>
      <c r="K35" s="34" t="e">
        <f>VLOOKUP(A1,DIV_03Data!$A$1:$DZU$1000000,590,FALSE)</f>
        <v>#N/A</v>
      </c>
      <c r="L35" s="93" t="e">
        <f>VLOOKUP(A1,DIV_03Data!$A$1:$DZU$1000000,591,FALSE)</f>
        <v>#N/A</v>
      </c>
      <c r="M35" s="33" t="e">
        <f>VLOOKUP(A1,DIV_03Data!$A$1:$DZU$1000000,592,FALSE)</f>
        <v>#N/A</v>
      </c>
      <c r="N35" s="34" t="e">
        <f>VLOOKUP(A1,DIV_03Data!$A$1:$DZU$1000000,593,FALSE)</f>
        <v>#N/A</v>
      </c>
      <c r="O35" s="33" t="e">
        <f>VLOOKUP(A1,DIV_03Data!$A$1:$DZU$1000000,594,FALSE)</f>
        <v>#N/A</v>
      </c>
      <c r="P35" s="46" t="e">
        <f>VLOOKUP(A1,DIV_03Data!$A$1:$DZU$1000000,595,FALSE)</f>
        <v>#N/A</v>
      </c>
      <c r="Q35" s="33" t="e">
        <f>VLOOKUP(A1,DIV_03Data!$A$1:$DZU$1000000,596,FALSE)</f>
        <v>#N/A</v>
      </c>
    </row>
    <row r="36" spans="1:17" x14ac:dyDescent="0.35">
      <c r="A36" s="22" t="e">
        <f>VLOOKUP(A1,DIV_03Data!$A$1:$DZU$1000000,597,FALSE)</f>
        <v>#N/A</v>
      </c>
      <c r="B36" s="37" t="e">
        <f>VLOOKUP(A1,DIV_03Data!$A$1:$DZU$1000000,598,FALSE)</f>
        <v>#N/A</v>
      </c>
      <c r="C36" s="38" t="e">
        <f>VLOOKUP(A1,DIV_03Data!$A$1:$DZU$1000000,599,FALSE)</f>
        <v>#N/A</v>
      </c>
      <c r="D36" s="31" t="e">
        <f>VLOOKUP(A1,DIV_03Data!$A$1:$DZU$1000000,600,FALSE)</f>
        <v>#N/A</v>
      </c>
      <c r="E36" s="32" t="e">
        <f>VLOOKUP(A1,DIV_03Data!$A$1:$DZU$1000000,601,FALSE)</f>
        <v>#N/A</v>
      </c>
      <c r="F36" s="34" t="e">
        <f>VLOOKUP(A1,DIV_03Data!$A$1:$DZU$1000000,602,FALSE)</f>
        <v>#N/A</v>
      </c>
      <c r="G36" s="33" t="e">
        <f>VLOOKUP(A1,DIV_03Data!$A$1:$DZU$1000000,603,FALSE)</f>
        <v>#N/A</v>
      </c>
      <c r="H36" s="34" t="e">
        <f>VLOOKUP(A1,DIV_03Data!$A$1:$DZU$1000000,604,FALSE)</f>
        <v>#N/A</v>
      </c>
      <c r="I36" s="33" t="e">
        <f>VLOOKUP(A1,DIV_03Data!$A$1:$DZU$1000000,605,FALSE)</f>
        <v>#N/A</v>
      </c>
      <c r="J36" s="34" t="e">
        <f>VLOOKUP(A1,DIV_03Data!$A$1:$DZU$1000000,606,FALSE)</f>
        <v>#N/A</v>
      </c>
      <c r="K36" s="34" t="e">
        <f>VLOOKUP(A1,DIV_03Data!$A$1:$DZU$1000000,607,FALSE)</f>
        <v>#N/A</v>
      </c>
      <c r="L36" s="93" t="e">
        <f>VLOOKUP(A1,DIV_03Data!$A$1:$DZU$1000000,608,FALSE)</f>
        <v>#N/A</v>
      </c>
      <c r="M36" s="33" t="e">
        <f>VLOOKUP(A1,DIV_03Data!$A$1:$DZU$1000000,609,FALSE)</f>
        <v>#N/A</v>
      </c>
      <c r="N36" s="34" t="e">
        <f>VLOOKUP(A1,DIV_03Data!$A$1:$DZU$1000000,610,FALSE)</f>
        <v>#N/A</v>
      </c>
      <c r="O36" s="33" t="e">
        <f>VLOOKUP(A1,DIV_03Data!$A$1:$DZU$1000000,611,FALSE)</f>
        <v>#N/A</v>
      </c>
      <c r="P36" s="46" t="e">
        <f>VLOOKUP(A1,DIV_03Data!$A$1:$DZU$1000000,612,FALSE)</f>
        <v>#N/A</v>
      </c>
      <c r="Q36" s="33" t="e">
        <f>VLOOKUP(A1,DIV_03Data!$A$1:$DZU$1000000,613,FALSE)</f>
        <v>#N/A</v>
      </c>
    </row>
    <row r="37" spans="1:17" x14ac:dyDescent="0.35">
      <c r="A37" s="22" t="e">
        <f>VLOOKUP(A1,DIV_03Data!$A$1:$DZU$1000000,614,FALSE)</f>
        <v>#N/A</v>
      </c>
      <c r="B37" s="37" t="e">
        <f>VLOOKUP(A1,DIV_03Data!$A$1:$DZU$1000000,615,FALSE)</f>
        <v>#N/A</v>
      </c>
      <c r="C37" s="38" t="e">
        <f>VLOOKUP(A1,DIV_03Data!$A$1:$DZU$1000000,616,FALSE)</f>
        <v>#N/A</v>
      </c>
      <c r="D37" s="31" t="e">
        <f>VLOOKUP(A1,DIV_03Data!$A$1:$DZU$1000000,617,FALSE)</f>
        <v>#N/A</v>
      </c>
      <c r="E37" s="32" t="e">
        <f>VLOOKUP(A1,DIV_03Data!$A$1:$DZU$1000000,618,FALSE)</f>
        <v>#N/A</v>
      </c>
      <c r="F37" s="34" t="e">
        <f>VLOOKUP(A1,DIV_03Data!$A$1:$DZU$1000000,619,FALSE)</f>
        <v>#N/A</v>
      </c>
      <c r="G37" s="33" t="e">
        <f>VLOOKUP(A1,DIV_03Data!$A$1:$DZU$1000000,620,FALSE)</f>
        <v>#N/A</v>
      </c>
      <c r="H37" s="34" t="e">
        <f>VLOOKUP(A1,DIV_03Data!$A$1:$DZU$1000000,621,FALSE)</f>
        <v>#N/A</v>
      </c>
      <c r="I37" s="33" t="e">
        <f>VLOOKUP(A1,DIV_03Data!$A$1:$DZU$1000000,622,FALSE)</f>
        <v>#N/A</v>
      </c>
      <c r="J37" s="34" t="e">
        <f>VLOOKUP(A1,DIV_03Data!$A$1:$DZU$1000000,623,FALSE)</f>
        <v>#N/A</v>
      </c>
      <c r="K37" s="34" t="e">
        <f>VLOOKUP(A1,DIV_03Data!$A$1:$DZU$1000000,624,FALSE)</f>
        <v>#N/A</v>
      </c>
      <c r="L37" s="93" t="e">
        <f>VLOOKUP(A1,DIV_03Data!$A$1:$DZU$1000000,625,FALSE)</f>
        <v>#N/A</v>
      </c>
      <c r="M37" s="33" t="e">
        <f>VLOOKUP(A1,DIV_03Data!$A$1:$DZU$1000000,626,FALSE)</f>
        <v>#N/A</v>
      </c>
      <c r="N37" s="34" t="e">
        <f>VLOOKUP(A1,DIV_03Data!$A$1:$DZU$1000000,627,FALSE)</f>
        <v>#N/A</v>
      </c>
      <c r="O37" s="33" t="e">
        <f>VLOOKUP(A1,DIV_03Data!$A$1:$DZU$1000000,628,FALSE)</f>
        <v>#N/A</v>
      </c>
      <c r="P37" s="46" t="e">
        <f>VLOOKUP(A1,DIV_03Data!$A$1:$DZU$1000000,629,FALSE)</f>
        <v>#N/A</v>
      </c>
      <c r="Q37" s="33" t="e">
        <f>VLOOKUP(A1,DIV_03Data!$A$1:$DZU$1000000,630,FALSE)</f>
        <v>#N/A</v>
      </c>
    </row>
    <row r="38" spans="1:17" x14ac:dyDescent="0.35">
      <c r="A38" s="22" t="e">
        <f>VLOOKUP(A1,DIV_03Data!$A$1:$DZU$1000000,631,FALSE)</f>
        <v>#N/A</v>
      </c>
      <c r="B38" s="37" t="e">
        <f>VLOOKUP(A1,DIV_03Data!$A$1:$DZU$1000000,632,FALSE)</f>
        <v>#N/A</v>
      </c>
      <c r="C38" s="38" t="e">
        <f>VLOOKUP(A1,DIV_03Data!$A$1:$DZU$1000000,633,FALSE)</f>
        <v>#N/A</v>
      </c>
      <c r="D38" s="31" t="e">
        <f>VLOOKUP(A1,DIV_03Data!$A$1:$DZU$1000000,634,FALSE)</f>
        <v>#N/A</v>
      </c>
      <c r="E38" s="32" t="e">
        <f>VLOOKUP(A1,DIV_03Data!$A$1:$DZU$1000000,635,FALSE)</f>
        <v>#N/A</v>
      </c>
      <c r="F38" s="34" t="e">
        <f>VLOOKUP(A1,DIV_03Data!$A$1:$DZU$1000000,636,FALSE)</f>
        <v>#N/A</v>
      </c>
      <c r="G38" s="33" t="e">
        <f>VLOOKUP(A1,DIV_03Data!$A$1:$DZU$1000000,637,FALSE)</f>
        <v>#N/A</v>
      </c>
      <c r="H38" s="34" t="e">
        <f>VLOOKUP(A1,DIV_03Data!$A$1:$DZU$1000000,638,FALSE)</f>
        <v>#N/A</v>
      </c>
      <c r="I38" s="33" t="e">
        <f>VLOOKUP(A1,DIV_03Data!$A$1:$DZU$1000000,639,FALSE)</f>
        <v>#N/A</v>
      </c>
      <c r="J38" s="34" t="e">
        <f>VLOOKUP(A1,DIV_03Data!$A$1:$DZU$1000000,640,FALSE)</f>
        <v>#N/A</v>
      </c>
      <c r="K38" s="34" t="e">
        <f>VLOOKUP(A1,DIV_03Data!$A$1:$DZU$1000000,641,FALSE)</f>
        <v>#N/A</v>
      </c>
      <c r="L38" s="93" t="e">
        <f>VLOOKUP(A1,DIV_03Data!$A$1:$DZU$1000000,642,FALSE)</f>
        <v>#N/A</v>
      </c>
      <c r="M38" s="33" t="e">
        <f>VLOOKUP(A1,DIV_03Data!$A$1:$DZU$1000000,643,FALSE)</f>
        <v>#N/A</v>
      </c>
      <c r="N38" s="34" t="e">
        <f>VLOOKUP(A1,DIV_03Data!$A$1:$DZU$1000000,644,FALSE)</f>
        <v>#N/A</v>
      </c>
      <c r="O38" s="33" t="e">
        <f>VLOOKUP(A1,DIV_03Data!$A$1:$DZU$1000000,645,FALSE)</f>
        <v>#N/A</v>
      </c>
      <c r="P38" s="46" t="e">
        <f>VLOOKUP(A1,DIV_03Data!$A$1:$DZU$1000000,646,FALSE)</f>
        <v>#N/A</v>
      </c>
      <c r="Q38" s="33" t="e">
        <f>VLOOKUP(A1,DIV_03Data!$A$1:$DZU$1000000,647,FALSE)</f>
        <v>#N/A</v>
      </c>
    </row>
    <row r="39" spans="1:17" x14ac:dyDescent="0.35">
      <c r="A39" s="22" t="e">
        <f>VLOOKUP(A1,DIV_03Data!$A$1:$DZU$1000000,648,FALSE)</f>
        <v>#N/A</v>
      </c>
      <c r="B39" s="37" t="e">
        <f>VLOOKUP(A1,DIV_03Data!$A$1:$DZU$1000000,649,FALSE)</f>
        <v>#N/A</v>
      </c>
      <c r="C39" s="38" t="e">
        <f>VLOOKUP(A1,DIV_03Data!$A$1:$DZU$1000000,650,FALSE)</f>
        <v>#N/A</v>
      </c>
      <c r="D39" s="31" t="e">
        <f>VLOOKUP(A1,DIV_03Data!$A$1:$DZU$1000000,651,FALSE)</f>
        <v>#N/A</v>
      </c>
      <c r="E39" s="32" t="e">
        <f>VLOOKUP(A1,DIV_03Data!$A$1:$DZU$1000000,652,FALSE)</f>
        <v>#N/A</v>
      </c>
      <c r="F39" s="34" t="e">
        <f>VLOOKUP(A1,DIV_03Data!$A$1:$DZU$1000000,653,FALSE)</f>
        <v>#N/A</v>
      </c>
      <c r="G39" s="33" t="e">
        <f>VLOOKUP(A1,DIV_03Data!$A$1:$DZU$1000000,654,FALSE)</f>
        <v>#N/A</v>
      </c>
      <c r="H39" s="34" t="e">
        <f>VLOOKUP(A1,DIV_03Data!$A$1:$DZU$1000000,655,FALSE)</f>
        <v>#N/A</v>
      </c>
      <c r="I39" s="33" t="e">
        <f>VLOOKUP(A1,DIV_03Data!$A$1:$DZU$1000000,656,FALSE)</f>
        <v>#N/A</v>
      </c>
      <c r="J39" s="34" t="e">
        <f>VLOOKUP(A1,DIV_03Data!$A$1:$DZU$1000000,657,FALSE)</f>
        <v>#N/A</v>
      </c>
      <c r="K39" s="34" t="e">
        <f>VLOOKUP(A1,DIV_03Data!$A$1:$DZU$1000000,658,FALSE)</f>
        <v>#N/A</v>
      </c>
      <c r="L39" s="93" t="e">
        <f>VLOOKUP(A1,DIV_03Data!$A$1:$DZU$1000000,659,FALSE)</f>
        <v>#N/A</v>
      </c>
      <c r="M39" s="33" t="e">
        <f>VLOOKUP(A1,DIV_03Data!$A$1:$DZU$1000000,660,FALSE)</f>
        <v>#N/A</v>
      </c>
      <c r="N39" s="34" t="e">
        <f>VLOOKUP(A1,DIV_03Data!$A$1:$DZU$1000000,661,FALSE)</f>
        <v>#N/A</v>
      </c>
      <c r="O39" s="33" t="e">
        <f>VLOOKUP(A1,DIV_03Data!$A$1:$DZU$1000000,662,FALSE)</f>
        <v>#N/A</v>
      </c>
      <c r="P39" s="46" t="e">
        <f>VLOOKUP(A1,DIV_03Data!$A$1:$DZU$1000000,663,FALSE)</f>
        <v>#N/A</v>
      </c>
      <c r="Q39" s="33" t="e">
        <f>VLOOKUP(A1,DIV_03Data!$A$1:$DZU$1000000,664,FALSE)</f>
        <v>#N/A</v>
      </c>
    </row>
    <row r="40" spans="1:17" x14ac:dyDescent="0.35">
      <c r="A40" s="22" t="e">
        <f>VLOOKUP(A1,DIV_03Data!$A$1:$DZU$1000000,665,FALSE)</f>
        <v>#N/A</v>
      </c>
      <c r="B40" s="37" t="e">
        <f>VLOOKUP(A1,DIV_03Data!$A$1:$DZU$1000000,666,FALSE)</f>
        <v>#N/A</v>
      </c>
      <c r="C40" s="38" t="e">
        <f>VLOOKUP(A1,DIV_03Data!$A$1:$DZU$1000000,667,FALSE)</f>
        <v>#N/A</v>
      </c>
      <c r="D40" s="31" t="e">
        <f>VLOOKUP(A1,DIV_03Data!$A$1:$DZU$1000000,668,FALSE)</f>
        <v>#N/A</v>
      </c>
      <c r="E40" s="32" t="e">
        <f>VLOOKUP(A1,DIV_03Data!$A$1:$DZU$1000000,669,FALSE)</f>
        <v>#N/A</v>
      </c>
      <c r="F40" s="34" t="e">
        <f>VLOOKUP(A1,DIV_03Data!$A$1:$DZU$1000000,670,FALSE)</f>
        <v>#N/A</v>
      </c>
      <c r="G40" s="33" t="e">
        <f>VLOOKUP(A1,DIV_03Data!$A$1:$DZU$1000000,671,FALSE)</f>
        <v>#N/A</v>
      </c>
      <c r="H40" s="34" t="e">
        <f>VLOOKUP(A1,DIV_03Data!$A$1:$DZU$1000000,672,FALSE)</f>
        <v>#N/A</v>
      </c>
      <c r="I40" s="33" t="e">
        <f>VLOOKUP(A1,DIV_03Data!$A$1:$DZU$1000000,673,FALSE)</f>
        <v>#N/A</v>
      </c>
      <c r="J40" s="34" t="e">
        <f>VLOOKUP(A1,DIV_03Data!$A$1:$DZU$1000000,674,FALSE)</f>
        <v>#N/A</v>
      </c>
      <c r="K40" s="34" t="e">
        <f>VLOOKUP(A1,DIV_03Data!$A$1:$DZU$1000000,675,FALSE)</f>
        <v>#N/A</v>
      </c>
      <c r="L40" s="93" t="e">
        <f>VLOOKUP(A1,DIV_03Data!$A$1:$DZU$1000000,676,FALSE)</f>
        <v>#N/A</v>
      </c>
      <c r="M40" s="33" t="e">
        <f>VLOOKUP(A1,DIV_03Data!$A$1:$DZU$1000000,677,FALSE)</f>
        <v>#N/A</v>
      </c>
      <c r="N40" s="34" t="e">
        <f>VLOOKUP(A1,DIV_03Data!$A$1:$DZU$1000000,678,FALSE)</f>
        <v>#N/A</v>
      </c>
      <c r="O40" s="33" t="e">
        <f>VLOOKUP(A1,DIV_03Data!$A$1:$DZU$1000000,679,FALSE)</f>
        <v>#N/A</v>
      </c>
      <c r="P40" s="46" t="e">
        <f>VLOOKUP(A1,DIV_03Data!$A$1:$DZU$1000000,680,FALSE)</f>
        <v>#N/A</v>
      </c>
      <c r="Q40" s="33" t="e">
        <f>VLOOKUP(A1,DIV_03Data!$A$1:$DZU$1000000,681,FALSE)</f>
        <v>#N/A</v>
      </c>
    </row>
    <row r="41" spans="1:17" x14ac:dyDescent="0.35">
      <c r="A41" s="22" t="e">
        <f>VLOOKUP(A1,DIV_03Data!$A$1:$DZU$1000000,682,FALSE)</f>
        <v>#N/A</v>
      </c>
      <c r="B41" s="37" t="e">
        <f>VLOOKUP(A1,DIV_03Data!$A$1:$DZU$1000000,683,FALSE)</f>
        <v>#N/A</v>
      </c>
      <c r="C41" s="38" t="e">
        <f>VLOOKUP(A1,DIV_03Data!$A$1:$DZU$1000000,684,FALSE)</f>
        <v>#N/A</v>
      </c>
      <c r="D41" s="31" t="e">
        <f>VLOOKUP(A1,DIV_03Data!$A$1:$DZU$1000000,685,FALSE)</f>
        <v>#N/A</v>
      </c>
      <c r="E41" s="32" t="e">
        <f>VLOOKUP(A1,DIV_03Data!$A$1:$DZU$1000000,686,FALSE)</f>
        <v>#N/A</v>
      </c>
      <c r="F41" s="34" t="e">
        <f>VLOOKUP(A1,DIV_03Data!$A$1:$DZU$1000000,687,FALSE)</f>
        <v>#N/A</v>
      </c>
      <c r="G41" s="33" t="e">
        <f>VLOOKUP(A1,DIV_03Data!$A$1:$DZU$1000000,688,FALSE)</f>
        <v>#N/A</v>
      </c>
      <c r="H41" s="34" t="e">
        <f>VLOOKUP(A1,DIV_03Data!$A$1:$DZU$1000000,689,FALSE)</f>
        <v>#N/A</v>
      </c>
      <c r="I41" s="33" t="e">
        <f>VLOOKUP(A1,DIV_03Data!$A$1:$DZU$1000000,690,FALSE)</f>
        <v>#N/A</v>
      </c>
      <c r="J41" s="34" t="e">
        <f>VLOOKUP(A1,DIV_03Data!$A$1:$DZU$1000000,691,FALSE)</f>
        <v>#N/A</v>
      </c>
      <c r="K41" s="34" t="e">
        <f>VLOOKUP(A1,DIV_03Data!$A$1:$DZU$1000000,692,FALSE)</f>
        <v>#N/A</v>
      </c>
      <c r="L41" s="93" t="e">
        <f>VLOOKUP(A1,DIV_03Data!$A$1:$DZU$1000000,693,FALSE)</f>
        <v>#N/A</v>
      </c>
      <c r="M41" s="33" t="e">
        <f>VLOOKUP(A1,DIV_03Data!$A$1:$DZU$1000000,694,FALSE)</f>
        <v>#N/A</v>
      </c>
      <c r="N41" s="34" t="e">
        <f>VLOOKUP(A1,DIV_03Data!$A$1:$DZU$1000000,695,FALSE)</f>
        <v>#N/A</v>
      </c>
      <c r="O41" s="33" t="e">
        <f>VLOOKUP(A1,DIV_03Data!$A$1:$DZU$1000000,696,FALSE)</f>
        <v>#N/A</v>
      </c>
      <c r="P41" s="46" t="e">
        <f>VLOOKUP(A1,DIV_03Data!$A$1:$DZU$1000000,697,FALSE)</f>
        <v>#N/A</v>
      </c>
      <c r="Q41" s="33" t="e">
        <f>VLOOKUP(A1,DIV_03Data!$A$1:$DZU$1000000,698,FALSE)</f>
        <v>#N/A</v>
      </c>
    </row>
    <row r="42" spans="1:17" x14ac:dyDescent="0.35">
      <c r="A42" s="22" t="e">
        <f>VLOOKUP(A1,DIV_03Data!$A$1:$DZU$1000000,699,FALSE)</f>
        <v>#N/A</v>
      </c>
      <c r="B42" s="37" t="e">
        <f>VLOOKUP(A1,DIV_03Data!$A$1:$DZU$1000000,700,FALSE)</f>
        <v>#N/A</v>
      </c>
      <c r="C42" s="38" t="e">
        <f>VLOOKUP(A1,DIV_03Data!$A$1:$DZU$1000000,701,FALSE)</f>
        <v>#N/A</v>
      </c>
      <c r="D42" s="31" t="e">
        <f>VLOOKUP(A1,DIV_03Data!$A$1:$DZU$1000000,702,FALSE)</f>
        <v>#N/A</v>
      </c>
      <c r="E42" s="32" t="e">
        <f>VLOOKUP(A1,DIV_03Data!$A$1:$DZU$1000000,703,FALSE)</f>
        <v>#N/A</v>
      </c>
      <c r="F42" s="34" t="e">
        <f>VLOOKUP(A1,DIV_03Data!$A$1:$DZU$1000000,704,FALSE)</f>
        <v>#N/A</v>
      </c>
      <c r="G42" s="33" t="e">
        <f>VLOOKUP(A1,DIV_03Data!$A$1:$DZU$1000000,705,FALSE)</f>
        <v>#N/A</v>
      </c>
      <c r="H42" s="34" t="e">
        <f>VLOOKUP(A1,DIV_03Data!$A$1:$DZU$1000000,706,FALSE)</f>
        <v>#N/A</v>
      </c>
      <c r="I42" s="33" t="e">
        <f>VLOOKUP(A1,DIV_03Data!$A$1:$DZU$1000000,707,FALSE)</f>
        <v>#N/A</v>
      </c>
      <c r="J42" s="34" t="e">
        <f>VLOOKUP(A1,DIV_03Data!$A$1:$DZU$1000000,708,FALSE)</f>
        <v>#N/A</v>
      </c>
      <c r="K42" s="34" t="e">
        <f>VLOOKUP(A1,DIV_03Data!$A$1:$DZU$1000000,709,FALSE)</f>
        <v>#N/A</v>
      </c>
      <c r="L42" s="93" t="e">
        <f>VLOOKUP(A1,DIV_03Data!$A$1:$DZU$1000000,710,FALSE)</f>
        <v>#N/A</v>
      </c>
      <c r="M42" s="33" t="e">
        <f>VLOOKUP(A1,DIV_03Data!$A$1:$DZU$1000000,711,FALSE)</f>
        <v>#N/A</v>
      </c>
      <c r="N42" s="34" t="e">
        <f>VLOOKUP(A1,DIV_03Data!$A$1:$DZU$1000000,712,FALSE)</f>
        <v>#N/A</v>
      </c>
      <c r="O42" s="33" t="e">
        <f>VLOOKUP(A1,DIV_03Data!$A$1:$DZU$1000000,713,FALSE)</f>
        <v>#N/A</v>
      </c>
      <c r="P42" s="46" t="e">
        <f>VLOOKUP(A1,DIV_03Data!$A$1:$DZU$1000000,714,FALSE)</f>
        <v>#N/A</v>
      </c>
      <c r="Q42" s="33" t="e">
        <f>VLOOKUP(A1,DIV_03Data!$A$1:$DZU$1000000,715,FALSE)</f>
        <v>#N/A</v>
      </c>
    </row>
    <row r="43" spans="1:17" x14ac:dyDescent="0.35">
      <c r="A43" s="22" t="e">
        <f>VLOOKUP(A1,DIV_03Data!$A$1:$DZU$1000000,716,FALSE)</f>
        <v>#N/A</v>
      </c>
      <c r="B43" s="37" t="e">
        <f>VLOOKUP(A1,DIV_03Data!$A$1:$DZU$1000000,717,FALSE)</f>
        <v>#N/A</v>
      </c>
      <c r="C43" s="38" t="e">
        <f>VLOOKUP(A1,DIV_03Data!$A$1:$DZU$1000000,718,FALSE)</f>
        <v>#N/A</v>
      </c>
      <c r="D43" s="31" t="e">
        <f>VLOOKUP(A1,DIV_03Data!$A$1:$DZU$1000000,719,FALSE)</f>
        <v>#N/A</v>
      </c>
      <c r="E43" s="32" t="e">
        <f>VLOOKUP(A1,DIV_03Data!$A$1:$DZU$1000000,720,FALSE)</f>
        <v>#N/A</v>
      </c>
      <c r="F43" s="34" t="e">
        <f>VLOOKUP(A1,DIV_03Data!$A$1:$DZU$1000000,721,FALSE)</f>
        <v>#N/A</v>
      </c>
      <c r="G43" s="33" t="e">
        <f>VLOOKUP(A1,DIV_03Data!$A$1:$DZU$1000000,722,FALSE)</f>
        <v>#N/A</v>
      </c>
      <c r="H43" s="34" t="e">
        <f>VLOOKUP(A1,DIV_03Data!$A$1:$DZU$1000000,723,FALSE)</f>
        <v>#N/A</v>
      </c>
      <c r="I43" s="33" t="e">
        <f>VLOOKUP(A1,DIV_03Data!$A$1:$DZU$1000000,724,FALSE)</f>
        <v>#N/A</v>
      </c>
      <c r="J43" s="34" t="e">
        <f>VLOOKUP(A1,DIV_03Data!$A$1:$DZU$1000000,725,FALSE)</f>
        <v>#N/A</v>
      </c>
      <c r="K43" s="34" t="e">
        <f>VLOOKUP(A1,DIV_03Data!$A$1:$DZU$1000000,726,FALSE)</f>
        <v>#N/A</v>
      </c>
      <c r="L43" s="93" t="e">
        <f>VLOOKUP(A1,DIV_03Data!$A$1:$DZU$1000000,727,FALSE)</f>
        <v>#N/A</v>
      </c>
      <c r="M43" s="33" t="e">
        <f>VLOOKUP(A1,DIV_03Data!$A$1:$DZU$1000000,728,FALSE)</f>
        <v>#N/A</v>
      </c>
      <c r="N43" s="34" t="e">
        <f>VLOOKUP(A1,DIV_03Data!$A$1:$DZU$1000000,729,FALSE)</f>
        <v>#N/A</v>
      </c>
      <c r="O43" s="33" t="e">
        <f>VLOOKUP(A1,DIV_03Data!$A$1:$DZU$1000000,730,FALSE)</f>
        <v>#N/A</v>
      </c>
      <c r="P43" s="46" t="e">
        <f>VLOOKUP(A1,DIV_03Data!$A$1:$DZU$1000000,731,FALSE)</f>
        <v>#N/A</v>
      </c>
      <c r="Q43" s="33" t="e">
        <f>VLOOKUP(A1,DIV_03Data!$A$1:$DZU$1000000,732,FALSE)</f>
        <v>#N/A</v>
      </c>
    </row>
    <row r="44" spans="1:17" x14ac:dyDescent="0.35">
      <c r="A44" s="22" t="e">
        <f>VLOOKUP(A1,DIV_03Data!$A$1:$DZU$1000000,733,FALSE)</f>
        <v>#N/A</v>
      </c>
      <c r="B44" s="37" t="e">
        <f>VLOOKUP(A1,DIV_03Data!$A$1:$DZU$1000000,734,FALSE)</f>
        <v>#N/A</v>
      </c>
      <c r="C44" s="38" t="e">
        <f>VLOOKUP(A1,DIV_03Data!$A$1:$DZU$1000000,735,FALSE)</f>
        <v>#N/A</v>
      </c>
      <c r="D44" s="31" t="e">
        <f>VLOOKUP(A1,DIV_03Data!$A$1:$DZU$1000000,736,FALSE)</f>
        <v>#N/A</v>
      </c>
      <c r="E44" s="32" t="e">
        <f>VLOOKUP(A1,DIV_03Data!$A$1:$DZU$1000000,737,FALSE)</f>
        <v>#N/A</v>
      </c>
      <c r="F44" s="34" t="e">
        <f>VLOOKUP(A1,DIV_03Data!$A$1:$DZU$1000000,738,FALSE)</f>
        <v>#N/A</v>
      </c>
      <c r="G44" s="33" t="e">
        <f>VLOOKUP(A1,DIV_03Data!$A$1:$DZU$1000000,739,FALSE)</f>
        <v>#N/A</v>
      </c>
      <c r="H44" s="34" t="e">
        <f>VLOOKUP(A1,DIV_03Data!$A$1:$DZU$1000000,740,FALSE)</f>
        <v>#N/A</v>
      </c>
      <c r="I44" s="33" t="e">
        <f>VLOOKUP(A1,DIV_03Data!$A$1:$DZU$1000000,741,FALSE)</f>
        <v>#N/A</v>
      </c>
      <c r="J44" s="34" t="e">
        <f>VLOOKUP(A1,DIV_03Data!$A$1:$DZU$1000000,742,FALSE)</f>
        <v>#N/A</v>
      </c>
      <c r="K44" s="34" t="e">
        <f>VLOOKUP(A1,DIV_03Data!$A$1:$DZU$1000000,743,FALSE)</f>
        <v>#N/A</v>
      </c>
      <c r="L44" s="93" t="e">
        <f>VLOOKUP(A1,DIV_03Data!$A$1:$DZU$1000000,744,FALSE)</f>
        <v>#N/A</v>
      </c>
      <c r="M44" s="33" t="e">
        <f>VLOOKUP(A1,DIV_03Data!$A$1:$DZU$1000000,745,FALSE)</f>
        <v>#N/A</v>
      </c>
      <c r="N44" s="34" t="e">
        <f>VLOOKUP(A1,DIV_03Data!$A$1:$DZU$1000000,746,FALSE)</f>
        <v>#N/A</v>
      </c>
      <c r="O44" s="33" t="e">
        <f>VLOOKUP(A1,DIV_03Data!$A$1:$DZU$1000000,747,FALSE)</f>
        <v>#N/A</v>
      </c>
      <c r="P44" s="46" t="e">
        <f>VLOOKUP(A1,DIV_03Data!$A$1:$DZU$1000000,748,FALSE)</f>
        <v>#N/A</v>
      </c>
      <c r="Q44" s="33" t="e">
        <f>VLOOKUP(A1,DIV_03Data!$A$1:$DZU$1000000,749,FALSE)</f>
        <v>#N/A</v>
      </c>
    </row>
    <row r="45" spans="1:17" x14ac:dyDescent="0.35">
      <c r="A45" s="22" t="e">
        <f>VLOOKUP(A1,DIV_03Data!$A$1:$DZU$1000000,750,FALSE)</f>
        <v>#N/A</v>
      </c>
      <c r="B45" s="37" t="e">
        <f>VLOOKUP(A1,DIV_03Data!$A$1:$DZU$1000000,751,FALSE)</f>
        <v>#N/A</v>
      </c>
      <c r="C45" s="38" t="e">
        <f>VLOOKUP(A1,DIV_03Data!$A$1:$DZU$1000000,752,FALSE)</f>
        <v>#N/A</v>
      </c>
      <c r="D45" s="31" t="e">
        <f>VLOOKUP(A1,DIV_03Data!$A$1:$DZU$1000000,753,FALSE)</f>
        <v>#N/A</v>
      </c>
      <c r="E45" s="32" t="e">
        <f>VLOOKUP(A1,DIV_03Data!$A$1:$DZU$1000000,754,FALSE)</f>
        <v>#N/A</v>
      </c>
      <c r="F45" s="34" t="e">
        <f>VLOOKUP(A1,DIV_03Data!$A$1:$DZU$1000000,755,FALSE)</f>
        <v>#N/A</v>
      </c>
      <c r="G45" s="33" t="e">
        <f>VLOOKUP(A1,DIV_03Data!$A$1:$DZU$1000000,756,FALSE)</f>
        <v>#N/A</v>
      </c>
      <c r="H45" s="34" t="e">
        <f>VLOOKUP(A1,DIV_03Data!$A$1:$DZU$1000000,757,FALSE)</f>
        <v>#N/A</v>
      </c>
      <c r="I45" s="33" t="e">
        <f>VLOOKUP(A1,DIV_03Data!$A$1:$DZU$1000000,758,FALSE)</f>
        <v>#N/A</v>
      </c>
      <c r="J45" s="34" t="e">
        <f>VLOOKUP(A1,DIV_03Data!$A$1:$DZU$1000000,759,FALSE)</f>
        <v>#N/A</v>
      </c>
      <c r="K45" s="34" t="e">
        <f>VLOOKUP(A1,DIV_03Data!$A$1:$DZU$1000000,760,FALSE)</f>
        <v>#N/A</v>
      </c>
      <c r="L45" s="93" t="e">
        <f>VLOOKUP(A1,DIV_03Data!$A$1:$DZU$1000000,761,FALSE)</f>
        <v>#N/A</v>
      </c>
      <c r="M45" s="33" t="e">
        <f>VLOOKUP(A1,DIV_03Data!$A$1:$DZU$1000000,762,FALSE)</f>
        <v>#N/A</v>
      </c>
      <c r="N45" s="34" t="e">
        <f>VLOOKUP(A1,DIV_03Data!$A$1:$DZU$1000000,763,FALSE)</f>
        <v>#N/A</v>
      </c>
      <c r="O45" s="33" t="e">
        <f>VLOOKUP(A1,DIV_03Data!$A$1:$DZU$1000000,764,FALSE)</f>
        <v>#N/A</v>
      </c>
      <c r="P45" s="46" t="e">
        <f>VLOOKUP(A1,DIV_03Data!$A$1:$DZU$1000000,765,FALSE)</f>
        <v>#N/A</v>
      </c>
      <c r="Q45" s="33" t="e">
        <f>VLOOKUP(A1,DIV_03Data!$A$1:$DZU$1000000,766,FALSE)</f>
        <v>#N/A</v>
      </c>
    </row>
    <row r="46" spans="1:17" x14ac:dyDescent="0.35">
      <c r="A46" s="22" t="e">
        <f>VLOOKUP(A1,DIV_03Data!$A$1:$DZU$1000000,767,FALSE)</f>
        <v>#N/A</v>
      </c>
      <c r="B46" s="37" t="e">
        <f>VLOOKUP(A1,DIV_03Data!$A$1:$DZU$1000000,768,FALSE)</f>
        <v>#N/A</v>
      </c>
      <c r="C46" s="38" t="e">
        <f>VLOOKUP(A1,DIV_03Data!$A$1:$DZU$1000000,769,FALSE)</f>
        <v>#N/A</v>
      </c>
      <c r="D46" s="31" t="e">
        <f>VLOOKUP(A1,DIV_03Data!$A$1:$DZU$1000000,770,FALSE)</f>
        <v>#N/A</v>
      </c>
      <c r="E46" s="32" t="e">
        <f>VLOOKUP(A1,DIV_03Data!$A$1:$DZU$1000000,771,FALSE)</f>
        <v>#N/A</v>
      </c>
      <c r="F46" s="34" t="e">
        <f>VLOOKUP(A1,DIV_03Data!$A$1:$DZU$1000000,772,FALSE)</f>
        <v>#N/A</v>
      </c>
      <c r="G46" s="33" t="e">
        <f>VLOOKUP(A1,DIV_03Data!$A$1:$DZU$1000000,773,FALSE)</f>
        <v>#N/A</v>
      </c>
      <c r="H46" s="34" t="e">
        <f>VLOOKUP(A1,DIV_03Data!$A$1:$DZU$1000000,774,FALSE)</f>
        <v>#N/A</v>
      </c>
      <c r="I46" s="33" t="e">
        <f>VLOOKUP(A1,DIV_03Data!$A$1:$DZU$1000000,775,FALSE)</f>
        <v>#N/A</v>
      </c>
      <c r="J46" s="34" t="e">
        <f>VLOOKUP(A1,DIV_03Data!$A$1:$DZU$1000000,776,FALSE)</f>
        <v>#N/A</v>
      </c>
      <c r="K46" s="34" t="e">
        <f>VLOOKUP(A1,DIV_03Data!$A$1:$DZU$1000000,777,FALSE)</f>
        <v>#N/A</v>
      </c>
      <c r="L46" s="93" t="e">
        <f>VLOOKUP(A1,DIV_03Data!$A$1:$DZU$1000000,778,FALSE)</f>
        <v>#N/A</v>
      </c>
      <c r="M46" s="33" t="e">
        <f>VLOOKUP(A1,DIV_03Data!$A$1:$DZU$1000000,779,FALSE)</f>
        <v>#N/A</v>
      </c>
      <c r="N46" s="34" t="e">
        <f>VLOOKUP(A1,DIV_03Data!$A$1:$DZU$1000000,780,FALSE)</f>
        <v>#N/A</v>
      </c>
      <c r="O46" s="33" t="e">
        <f>VLOOKUP(A1,DIV_03Data!$A$1:$DZU$1000000,781,FALSE)</f>
        <v>#N/A</v>
      </c>
      <c r="P46" s="46" t="e">
        <f>VLOOKUP(A1,DIV_03Data!$A$1:$DZU$1000000,782,FALSE)</f>
        <v>#N/A</v>
      </c>
      <c r="Q46" s="33" t="e">
        <f>VLOOKUP(A1,DIV_03Data!$A$1:$DZU$1000000,783,FALSE)</f>
        <v>#N/A</v>
      </c>
    </row>
    <row r="47" spans="1:17" x14ac:dyDescent="0.35">
      <c r="A47" s="22" t="e">
        <f>VLOOKUP(A1,DIV_03Data!$A$1:$DZU$1000000,784,FALSE)</f>
        <v>#N/A</v>
      </c>
      <c r="B47" s="37" t="e">
        <f>VLOOKUP(A1,DIV_03Data!$A$1:$DZU$1000000,785,FALSE)</f>
        <v>#N/A</v>
      </c>
      <c r="C47" s="38" t="e">
        <f>VLOOKUP(A1,DIV_03Data!$A$1:$DZU$1000000,786,FALSE)</f>
        <v>#N/A</v>
      </c>
      <c r="D47" s="31" t="e">
        <f>VLOOKUP(A1,DIV_03Data!$A$1:$DZU$1000000,787,FALSE)</f>
        <v>#N/A</v>
      </c>
      <c r="E47" s="32" t="e">
        <f>VLOOKUP(A1,DIV_03Data!$A$1:$DZU$1000000,788,FALSE)</f>
        <v>#N/A</v>
      </c>
      <c r="F47" s="34" t="e">
        <f>VLOOKUP(A1,DIV_03Data!$A$1:$DZU$1000000,789,FALSE)</f>
        <v>#N/A</v>
      </c>
      <c r="G47" s="33" t="e">
        <f>VLOOKUP(A1,DIV_03Data!$A$1:$DZU$1000000,790,FALSE)</f>
        <v>#N/A</v>
      </c>
      <c r="H47" s="34" t="e">
        <f>VLOOKUP(A1,DIV_03Data!$A$1:$DZU$1000000,791,FALSE)</f>
        <v>#N/A</v>
      </c>
      <c r="I47" s="33" t="e">
        <f>VLOOKUP(A1,DIV_03Data!$A$1:$DZU$1000000,792,FALSE)</f>
        <v>#N/A</v>
      </c>
      <c r="J47" s="34" t="e">
        <f>VLOOKUP(A1,DIV_03Data!$A$1:$DZU$1000000,793,FALSE)</f>
        <v>#N/A</v>
      </c>
      <c r="K47" s="34" t="e">
        <f>VLOOKUP(A1,DIV_03Data!$A$1:$DZU$1000000,794,FALSE)</f>
        <v>#N/A</v>
      </c>
      <c r="L47" s="93" t="e">
        <f>VLOOKUP(A1,DIV_03Data!$A$1:$DZU$1000000,795,FALSE)</f>
        <v>#N/A</v>
      </c>
      <c r="M47" s="33" t="e">
        <f>VLOOKUP(A1,DIV_03Data!$A$1:$DZU$1000000,796,FALSE)</f>
        <v>#N/A</v>
      </c>
      <c r="N47" s="34" t="e">
        <f>VLOOKUP(A1,DIV_03Data!$A$1:$DZU$1000000,797,FALSE)</f>
        <v>#N/A</v>
      </c>
      <c r="O47" s="33" t="e">
        <f>VLOOKUP(A1,DIV_03Data!$A$1:$DZU$1000000,798,FALSE)</f>
        <v>#N/A</v>
      </c>
      <c r="P47" s="46" t="e">
        <f>VLOOKUP(A1,DIV_03Data!$A$1:$DZU$1000000,799,FALSE)</f>
        <v>#N/A</v>
      </c>
      <c r="Q47" s="33" t="e">
        <f>VLOOKUP(A1,DIV_03Data!$A$1:$DZU$1000000,800,FALSE)</f>
        <v>#N/A</v>
      </c>
    </row>
    <row r="48" spans="1:17" x14ac:dyDescent="0.35">
      <c r="A48" s="22" t="e">
        <f>VLOOKUP(A1,DIV_03Data!$A$1:$DZU$1000000,801,FALSE)</f>
        <v>#N/A</v>
      </c>
      <c r="B48" s="37" t="e">
        <f>VLOOKUP(A1,DIV_03Data!$A$1:$DZU$1000000,802,FALSE)</f>
        <v>#N/A</v>
      </c>
      <c r="C48" s="38" t="e">
        <f>VLOOKUP(A1,DIV_03Data!$A$1:$DZU$1000000,803,FALSE)</f>
        <v>#N/A</v>
      </c>
      <c r="D48" s="31" t="e">
        <f>VLOOKUP(A1,DIV_03Data!$A$1:$DZU$1000000,804,FALSE)</f>
        <v>#N/A</v>
      </c>
      <c r="E48" s="32" t="e">
        <f>VLOOKUP(A1,DIV_03Data!$A$1:$DZU$1000000,805,FALSE)</f>
        <v>#N/A</v>
      </c>
      <c r="F48" s="34" t="e">
        <f>VLOOKUP(A1,DIV_03Data!$A$1:$DZU$1000000,806,FALSE)</f>
        <v>#N/A</v>
      </c>
      <c r="G48" s="33" t="e">
        <f>VLOOKUP(A1,DIV_03Data!$A$1:$DZU$1000000,807,FALSE)</f>
        <v>#N/A</v>
      </c>
      <c r="H48" s="34" t="e">
        <f>VLOOKUP(A1,DIV_03Data!$A$1:$DZU$1000000,808,FALSE)</f>
        <v>#N/A</v>
      </c>
      <c r="I48" s="33" t="e">
        <f>VLOOKUP(A1,DIV_03Data!$A$1:$DZU$1000000,809,FALSE)</f>
        <v>#N/A</v>
      </c>
      <c r="J48" s="34" t="e">
        <f>VLOOKUP(A1,DIV_03Data!$A$1:$DZU$1000000,810,FALSE)</f>
        <v>#N/A</v>
      </c>
      <c r="K48" s="34" t="e">
        <f>VLOOKUP(A1,DIV_03Data!$A$1:$DZU$1000000,811,FALSE)</f>
        <v>#N/A</v>
      </c>
      <c r="L48" s="93" t="e">
        <f>VLOOKUP(A1,DIV_03Data!$A$1:$DZU$1000000,812,FALSE)</f>
        <v>#N/A</v>
      </c>
      <c r="M48" s="33" t="e">
        <f>VLOOKUP(A1,DIV_03Data!$A$1:$DZU$1000000,813,FALSE)</f>
        <v>#N/A</v>
      </c>
      <c r="N48" s="34" t="e">
        <f>VLOOKUP(A1,DIV_03Data!$A$1:$DZU$1000000,814,FALSE)</f>
        <v>#N/A</v>
      </c>
      <c r="O48" s="33" t="e">
        <f>VLOOKUP(A1,DIV_03Data!$A$1:$DZU$1000000,815,FALSE)</f>
        <v>#N/A</v>
      </c>
      <c r="P48" s="46" t="e">
        <f>VLOOKUP(A1,DIV_03Data!$A$1:$DZU$1000000,816,FALSE)</f>
        <v>#N/A</v>
      </c>
      <c r="Q48" s="33" t="e">
        <f>VLOOKUP(A1,DIV_03Data!$A$1:$DZU$1000000,817,FALSE)</f>
        <v>#N/A</v>
      </c>
    </row>
    <row r="49" spans="1:17" x14ac:dyDescent="0.35">
      <c r="A49" s="22" t="e">
        <f>VLOOKUP(A1,DIV_03Data!$A$1:$DZU$1000000,818,FALSE)</f>
        <v>#N/A</v>
      </c>
      <c r="B49" s="37" t="e">
        <f>VLOOKUP(A1,DIV_03Data!$A$1:$DZU$1000000,819,FALSE)</f>
        <v>#N/A</v>
      </c>
      <c r="C49" s="38" t="e">
        <f>VLOOKUP(A1,DIV_03Data!$A$1:$DZU$1000000,820,FALSE)</f>
        <v>#N/A</v>
      </c>
      <c r="D49" s="31" t="e">
        <f>VLOOKUP(A1,DIV_03Data!$A$1:$DZU$1000000,821,FALSE)</f>
        <v>#N/A</v>
      </c>
      <c r="E49" s="32" t="e">
        <f>VLOOKUP(A1,DIV_03Data!$A$1:$DZU$1000000,822,FALSE)</f>
        <v>#N/A</v>
      </c>
      <c r="F49" s="34" t="e">
        <f>VLOOKUP(A1,DIV_03Data!$A$1:$DZU$1000000,823,FALSE)</f>
        <v>#N/A</v>
      </c>
      <c r="G49" s="33" t="e">
        <f>VLOOKUP(A1,DIV_03Data!$A$1:$DZU$1000000,824,FALSE)</f>
        <v>#N/A</v>
      </c>
      <c r="H49" s="34" t="e">
        <f>VLOOKUP(A1,DIV_03Data!$A$1:$DZU$1000000,825,FALSE)</f>
        <v>#N/A</v>
      </c>
      <c r="I49" s="33" t="e">
        <f>VLOOKUP(A1,DIV_03Data!$A$1:$DZU$1000000,826,FALSE)</f>
        <v>#N/A</v>
      </c>
      <c r="J49" s="34" t="e">
        <f>VLOOKUP(A1,DIV_03Data!$A$1:$DZU$1000000,827,FALSE)</f>
        <v>#N/A</v>
      </c>
      <c r="K49" s="34" t="e">
        <f>VLOOKUP(A1,DIV_03Data!$A$1:$DZU$1000000,828,FALSE)</f>
        <v>#N/A</v>
      </c>
      <c r="L49" s="93" t="e">
        <f>VLOOKUP(A1,DIV_03Data!$A$1:$DZU$1000000,829,FALSE)</f>
        <v>#N/A</v>
      </c>
      <c r="M49" s="33" t="e">
        <f>VLOOKUP(A1,DIV_03Data!$A$1:$DZU$1000000,830,FALSE)</f>
        <v>#N/A</v>
      </c>
      <c r="N49" s="34" t="e">
        <f>VLOOKUP(A1,DIV_03Data!$A$1:$DZU$1000000,831,FALSE)</f>
        <v>#N/A</v>
      </c>
      <c r="O49" s="33" t="e">
        <f>VLOOKUP(A1,DIV_03Data!$A$1:$DZU$1000000,832,FALSE)</f>
        <v>#N/A</v>
      </c>
      <c r="P49" s="46" t="e">
        <f>VLOOKUP(A1,DIV_03Data!$A$1:$DZU$1000000,833,FALSE)</f>
        <v>#N/A</v>
      </c>
      <c r="Q49" s="33" t="e">
        <f>VLOOKUP(A1,DIV_03Data!$A$1:$DZU$1000000,834,FALSE)</f>
        <v>#N/A</v>
      </c>
    </row>
    <row r="50" spans="1:17" x14ac:dyDescent="0.35">
      <c r="A50" s="22" t="e">
        <f>VLOOKUP(A1,DIV_03Data!$A$1:$DZU$1000000,835,FALSE)</f>
        <v>#N/A</v>
      </c>
      <c r="B50" s="37" t="e">
        <f>VLOOKUP(A1,DIV_03Data!$A$1:$DZU$1000000,836,FALSE)</f>
        <v>#N/A</v>
      </c>
      <c r="C50" s="38" t="e">
        <f>VLOOKUP(A1,DIV_03Data!$A$1:$DZU$1000000,837,FALSE)</f>
        <v>#N/A</v>
      </c>
      <c r="D50" s="31" t="e">
        <f>VLOOKUP(A1,DIV_03Data!$A$1:$DZU$1000000,838,FALSE)</f>
        <v>#N/A</v>
      </c>
      <c r="E50" s="32" t="e">
        <f>VLOOKUP(A1,DIV_03Data!$A$1:$DZU$1000000,839,FALSE)</f>
        <v>#N/A</v>
      </c>
      <c r="F50" s="34" t="e">
        <f>VLOOKUP(A1,DIV_03Data!$A$1:$DZU$1000000,840,FALSE)</f>
        <v>#N/A</v>
      </c>
      <c r="G50" s="33" t="e">
        <f>VLOOKUP(A1,DIV_03Data!$A$1:$DZU$1000000,841,FALSE)</f>
        <v>#N/A</v>
      </c>
      <c r="H50" s="34" t="e">
        <f>VLOOKUP(A1,DIV_03Data!$A$1:$DZU$1000000,842,FALSE)</f>
        <v>#N/A</v>
      </c>
      <c r="I50" s="33" t="e">
        <f>VLOOKUP(A1,DIV_03Data!$A$1:$DZU$1000000,843,FALSE)</f>
        <v>#N/A</v>
      </c>
      <c r="J50" s="34" t="e">
        <f>VLOOKUP(A1,DIV_03Data!$A$1:$DZU$1000000,844,FALSE)</f>
        <v>#N/A</v>
      </c>
      <c r="K50" s="34" t="e">
        <f>VLOOKUP(A1,DIV_03Data!$A$1:$DZU$1000000,845,FALSE)</f>
        <v>#N/A</v>
      </c>
      <c r="L50" s="93" t="e">
        <f>VLOOKUP(A1,DIV_03Data!$A$1:$DZU$1000000,846,FALSE)</f>
        <v>#N/A</v>
      </c>
      <c r="M50" s="33" t="e">
        <f>VLOOKUP(A1,DIV_03Data!$A$1:$DZU$1000000,847,FALSE)</f>
        <v>#N/A</v>
      </c>
      <c r="N50" s="34" t="e">
        <f>VLOOKUP(A1,DIV_03Data!$A$1:$DZU$1000000,848,FALSE)</f>
        <v>#N/A</v>
      </c>
      <c r="O50" s="33" t="e">
        <f>VLOOKUP(A1,DIV_03Data!$A$1:$DZU$1000000,849,FALSE)</f>
        <v>#N/A</v>
      </c>
      <c r="P50" s="46" t="e">
        <f>VLOOKUP(A1,DIV_03Data!$A$1:$DZU$1000000,850,FALSE)</f>
        <v>#N/A</v>
      </c>
      <c r="Q50" s="33" t="e">
        <f>VLOOKUP(A1,DIV_03Data!$A$1:$DZU$1000000,851,FALSE)</f>
        <v>#N/A</v>
      </c>
    </row>
    <row r="51" spans="1:17" x14ac:dyDescent="0.35">
      <c r="A51" s="22" t="e">
        <f>VLOOKUP(A1,DIV_03Data!$A$1:$DZU$1000000,852,FALSE)</f>
        <v>#N/A</v>
      </c>
      <c r="B51" s="37" t="e">
        <f>VLOOKUP(A1,DIV_03Data!$A$1:$DZU$1000000,853,FALSE)</f>
        <v>#N/A</v>
      </c>
      <c r="C51" s="38" t="e">
        <f>VLOOKUP(A1,DIV_03Data!$A$1:$DZU$1000000,854,FALSE)</f>
        <v>#N/A</v>
      </c>
      <c r="D51" s="31" t="e">
        <f>VLOOKUP(A1,DIV_03Data!$A$1:$DZU$1000000,855,FALSE)</f>
        <v>#N/A</v>
      </c>
      <c r="E51" s="32" t="e">
        <f>VLOOKUP(A1,DIV_03Data!$A$1:$DZU$1000000,856,FALSE)</f>
        <v>#N/A</v>
      </c>
      <c r="F51" s="34" t="e">
        <f>VLOOKUP(A1,DIV_03Data!$A$1:$DZU$1000000,857,FALSE)</f>
        <v>#N/A</v>
      </c>
      <c r="G51" s="33" t="e">
        <f>VLOOKUP(A1,DIV_03Data!$A$1:$DZU$1000000,858,FALSE)</f>
        <v>#N/A</v>
      </c>
      <c r="H51" s="34" t="e">
        <f>VLOOKUP(A1,DIV_03Data!$A$1:$DZU$1000000,859,FALSE)</f>
        <v>#N/A</v>
      </c>
      <c r="I51" s="33" t="e">
        <f>VLOOKUP(A1,DIV_03Data!$A$1:$DZU$1000000,860,FALSE)</f>
        <v>#N/A</v>
      </c>
      <c r="J51" s="34" t="e">
        <f>VLOOKUP(A1,DIV_03Data!$A$1:$DZU$1000000,861,FALSE)</f>
        <v>#N/A</v>
      </c>
      <c r="K51" s="34" t="e">
        <f>VLOOKUP(A1,DIV_03Data!$A$1:$DZU$1000000,862,FALSE)</f>
        <v>#N/A</v>
      </c>
      <c r="L51" s="93" t="e">
        <f>VLOOKUP(A1,DIV_03Data!$A$1:$DZU$1000000,863,FALSE)</f>
        <v>#N/A</v>
      </c>
      <c r="M51" s="33" t="e">
        <f>VLOOKUP(A1,DIV_03Data!$A$1:$DZU$1000000,864,FALSE)</f>
        <v>#N/A</v>
      </c>
      <c r="N51" s="34" t="e">
        <f>VLOOKUP(A1,DIV_03Data!$A$1:$DZU$1000000,865,FALSE)</f>
        <v>#N/A</v>
      </c>
      <c r="O51" s="33" t="e">
        <f>VLOOKUP(A1,DIV_03Data!$A$1:$DZU$1000000,866,FALSE)</f>
        <v>#N/A</v>
      </c>
      <c r="P51" s="46" t="e">
        <f>VLOOKUP(A1,DIV_03Data!$A$1:$DZU$1000000,867,FALSE)</f>
        <v>#N/A</v>
      </c>
      <c r="Q51" s="33" t="e">
        <f>VLOOKUP(A1,DIV_03Data!$A$1:$DZU$1000000,868,FALSE)</f>
        <v>#N/A</v>
      </c>
    </row>
    <row r="52" spans="1:17" x14ac:dyDescent="0.35">
      <c r="A52" s="22" t="e">
        <f>VLOOKUP(A1,DIV_03Data!$A$1:$DZU$1000000,869,FALSE)</f>
        <v>#N/A</v>
      </c>
      <c r="B52" s="37" t="e">
        <f>VLOOKUP(A1,DIV_03Data!$A$1:$DZU$1000000,870,FALSE)</f>
        <v>#N/A</v>
      </c>
      <c r="C52" s="38" t="e">
        <f>VLOOKUP(A1,DIV_03Data!$A$1:$DZU$1000000,871,FALSE)</f>
        <v>#N/A</v>
      </c>
      <c r="D52" s="31" t="e">
        <f>VLOOKUP(A1,DIV_03Data!$A$1:$DZU$1000000,872,FALSE)</f>
        <v>#N/A</v>
      </c>
      <c r="E52" s="32" t="e">
        <f>VLOOKUP(A1,DIV_03Data!$A$1:$DZU$1000000,873,FALSE)</f>
        <v>#N/A</v>
      </c>
      <c r="F52" s="34" t="e">
        <f>VLOOKUP(A1,DIV_03Data!$A$1:$DZU$1000000,874,FALSE)</f>
        <v>#N/A</v>
      </c>
      <c r="G52" s="33" t="e">
        <f>VLOOKUP(A1,DIV_03Data!$A$1:$DZU$1000000,875,FALSE)</f>
        <v>#N/A</v>
      </c>
      <c r="H52" s="34" t="e">
        <f>VLOOKUP(A1,DIV_03Data!$A$1:$DZU$1000000,876,FALSE)</f>
        <v>#N/A</v>
      </c>
      <c r="I52" s="33" t="e">
        <f>VLOOKUP(A1,DIV_03Data!$A$1:$DZU$1000000,877,FALSE)</f>
        <v>#N/A</v>
      </c>
      <c r="J52" s="34" t="e">
        <f>VLOOKUP(A1,DIV_03Data!$A$1:$DZU$1000000,878,FALSE)</f>
        <v>#N/A</v>
      </c>
      <c r="K52" s="34" t="e">
        <f>VLOOKUP(A1,DIV_03Data!$A$1:$DZU$1000000,879,FALSE)</f>
        <v>#N/A</v>
      </c>
      <c r="L52" s="93" t="e">
        <f>VLOOKUP(A1,DIV_03Data!$A$1:$DZU$1000000,880,FALSE)</f>
        <v>#N/A</v>
      </c>
      <c r="M52" s="33" t="e">
        <f>VLOOKUP(A1,DIV_03Data!$A$1:$DZU$1000000,881,FALSE)</f>
        <v>#N/A</v>
      </c>
      <c r="N52" s="34" t="e">
        <f>VLOOKUP(A1,DIV_03Data!$A$1:$DZU$1000000,882,FALSE)</f>
        <v>#N/A</v>
      </c>
      <c r="O52" s="33" t="e">
        <f>VLOOKUP(A1,DIV_03Data!$A$1:$DZU$1000000,883,FALSE)</f>
        <v>#N/A</v>
      </c>
      <c r="P52" s="46" t="e">
        <f>VLOOKUP(A1,DIV_03Data!$A$1:$DZU$1000000,884,FALSE)</f>
        <v>#N/A</v>
      </c>
      <c r="Q52" s="33" t="e">
        <f>VLOOKUP(A1,DIV_03Data!$A$1:$DZU$1000000,885,FALSE)</f>
        <v>#N/A</v>
      </c>
    </row>
    <row r="53" spans="1:17" x14ac:dyDescent="0.35">
      <c r="A53" s="22" t="e">
        <f>VLOOKUP(A1,DIV_03Data!$A$1:$DZU$1000000,886,FALSE)</f>
        <v>#N/A</v>
      </c>
      <c r="B53" s="37" t="e">
        <f>VLOOKUP(A1,DIV_03Data!$A$1:$DZU$1000000,887,FALSE)</f>
        <v>#N/A</v>
      </c>
      <c r="C53" s="38" t="e">
        <f>VLOOKUP(A1,DIV_03Data!$A$1:$DZU$1000000,888,FALSE)</f>
        <v>#N/A</v>
      </c>
      <c r="D53" s="31" t="e">
        <f>VLOOKUP(A1,DIV_03Data!$A$1:$DZU$1000000,889,FALSE)</f>
        <v>#N/A</v>
      </c>
      <c r="E53" s="32" t="e">
        <f>VLOOKUP(A1,DIV_03Data!$A$1:$DZU$1000000,890,FALSE)</f>
        <v>#N/A</v>
      </c>
      <c r="F53" s="34" t="e">
        <f>VLOOKUP(A1,DIV_03Data!$A$1:$DZU$1000000,891,FALSE)</f>
        <v>#N/A</v>
      </c>
      <c r="G53" s="33" t="e">
        <f>VLOOKUP(A1,DIV_03Data!$A$1:$DZU$1000000,892,FALSE)</f>
        <v>#N/A</v>
      </c>
      <c r="H53" s="34" t="e">
        <f>VLOOKUP(A1,DIV_03Data!$A$1:$DZU$1000000,893,FALSE)</f>
        <v>#N/A</v>
      </c>
      <c r="I53" s="33" t="e">
        <f>VLOOKUP(A1,DIV_03Data!$A$1:$DZU$1000000,894,FALSE)</f>
        <v>#N/A</v>
      </c>
      <c r="J53" s="34" t="e">
        <f>VLOOKUP(A1,DIV_03Data!$A$1:$DZU$1000000,895,FALSE)</f>
        <v>#N/A</v>
      </c>
      <c r="K53" s="34" t="e">
        <f>VLOOKUP(A1,DIV_03Data!$A$1:$DZU$1000000,896,FALSE)</f>
        <v>#N/A</v>
      </c>
      <c r="L53" s="93" t="e">
        <f>VLOOKUP(A1,DIV_03Data!$A$1:$DZU$1000000,897,FALSE)</f>
        <v>#N/A</v>
      </c>
      <c r="M53" s="33" t="e">
        <f>VLOOKUP(A1,DIV_03Data!$A$1:$DZU$1000000,898,FALSE)</f>
        <v>#N/A</v>
      </c>
      <c r="N53" s="34" t="e">
        <f>VLOOKUP(A1,DIV_03Data!$A$1:$DZU$1000000,899,FALSE)</f>
        <v>#N/A</v>
      </c>
      <c r="O53" s="33" t="e">
        <f>VLOOKUP(A1,DIV_03Data!$A$1:$DZU$1000000,900,FALSE)</f>
        <v>#N/A</v>
      </c>
      <c r="P53" s="46" t="e">
        <f>VLOOKUP(A1,DIV_03Data!$A$1:$DZU$1000000,901,FALSE)</f>
        <v>#N/A</v>
      </c>
      <c r="Q53" s="33" t="e">
        <f>VLOOKUP(A1,DIV_03Data!$A$1:$DZU$1000000,902,FALSE)</f>
        <v>#N/A</v>
      </c>
    </row>
    <row r="54" spans="1:17" x14ac:dyDescent="0.35">
      <c r="A54" s="22" t="e">
        <f>VLOOKUP(A1,DIV_03Data!$A$1:$DZU$1000000,903,FALSE)</f>
        <v>#N/A</v>
      </c>
      <c r="B54" s="37" t="e">
        <f>VLOOKUP(A1,DIV_03Data!$A$1:$DZU$1000000,904,FALSE)</f>
        <v>#N/A</v>
      </c>
      <c r="C54" s="38" t="e">
        <f>VLOOKUP(A1,DIV_03Data!$A$1:$DZU$1000000,905,FALSE)</f>
        <v>#N/A</v>
      </c>
      <c r="D54" s="31" t="e">
        <f>VLOOKUP(A1,DIV_03Data!$A$1:$DZU$1000000,906,FALSE)</f>
        <v>#N/A</v>
      </c>
      <c r="E54" s="32" t="e">
        <f>VLOOKUP(A1,DIV_03Data!$A$1:$DZU$1000000,907,FALSE)</f>
        <v>#N/A</v>
      </c>
      <c r="F54" s="34" t="e">
        <f>VLOOKUP(A1,DIV_03Data!$A$1:$DZU$1000000,908,FALSE)</f>
        <v>#N/A</v>
      </c>
      <c r="G54" s="33" t="e">
        <f>VLOOKUP(A1,DIV_03Data!$A$1:$DZU$1000000,909,FALSE)</f>
        <v>#N/A</v>
      </c>
      <c r="H54" s="34" t="e">
        <f>VLOOKUP(A1,DIV_03Data!$A$1:$DZU$1000000,910,FALSE)</f>
        <v>#N/A</v>
      </c>
      <c r="I54" s="33" t="e">
        <f>VLOOKUP(A1,DIV_03Data!$A$1:$DZU$1000000,911,FALSE)</f>
        <v>#N/A</v>
      </c>
      <c r="J54" s="34" t="e">
        <f>VLOOKUP(A1,DIV_03Data!$A$1:$DZU$1000000,912,FALSE)</f>
        <v>#N/A</v>
      </c>
      <c r="K54" s="34" t="e">
        <f>VLOOKUP(A1,DIV_03Data!$A$1:$DZU$1000000,913,FALSE)</f>
        <v>#N/A</v>
      </c>
      <c r="L54" s="93" t="e">
        <f>VLOOKUP(A1,DIV_03Data!$A$1:$DZU$1000000,914,FALSE)</f>
        <v>#N/A</v>
      </c>
      <c r="M54" s="33" t="e">
        <f>VLOOKUP(A1,DIV_03Data!$A$1:$DZU$1000000,915,FALSE)</f>
        <v>#N/A</v>
      </c>
      <c r="N54" s="34" t="e">
        <f>VLOOKUP(A1,DIV_03Data!$A$1:$DZU$1000000,916,FALSE)</f>
        <v>#N/A</v>
      </c>
      <c r="O54" s="33" t="e">
        <f>VLOOKUP(A1,DIV_03Data!$A$1:$DZU$1000000,917,FALSE)</f>
        <v>#N/A</v>
      </c>
      <c r="P54" s="46" t="e">
        <f>VLOOKUP(A1,DIV_03Data!$A$1:$DZU$1000000,918,FALSE)</f>
        <v>#N/A</v>
      </c>
      <c r="Q54" s="33" t="e">
        <f>VLOOKUP(A1,DIV_03Data!$A$1:$DZU$1000000,919,FALSE)</f>
        <v>#N/A</v>
      </c>
    </row>
    <row r="55" spans="1:17" x14ac:dyDescent="0.35">
      <c r="A55" s="22" t="e">
        <f>VLOOKUP(A1,DIV_03Data!$A$1:$DZU$1000000,920,FALSE)</f>
        <v>#N/A</v>
      </c>
      <c r="B55" s="37" t="e">
        <f>VLOOKUP(A1,DIV_03Data!$A$1:$DZU$1000000,921,FALSE)</f>
        <v>#N/A</v>
      </c>
      <c r="C55" s="38" t="e">
        <f>VLOOKUP(A1,DIV_03Data!$A$1:$DZU$1000000,922,FALSE)</f>
        <v>#N/A</v>
      </c>
      <c r="D55" s="31" t="e">
        <f>VLOOKUP(A1,DIV_03Data!$A$1:$DZU$1000000,923,FALSE)</f>
        <v>#N/A</v>
      </c>
      <c r="E55" s="32" t="e">
        <f>VLOOKUP(A1,DIV_03Data!$A$1:$DZU$1000000,924,FALSE)</f>
        <v>#N/A</v>
      </c>
      <c r="F55" s="34" t="e">
        <f>VLOOKUP(A1,DIV_03Data!$A$1:$DZU$1000000,925,FALSE)</f>
        <v>#N/A</v>
      </c>
      <c r="G55" s="33" t="e">
        <f>VLOOKUP(A1,DIV_03Data!$A$1:$DZU$1000000,926,FALSE)</f>
        <v>#N/A</v>
      </c>
      <c r="H55" s="34" t="e">
        <f>VLOOKUP(A1,DIV_03Data!$A$1:$DZU$1000000,927,FALSE)</f>
        <v>#N/A</v>
      </c>
      <c r="I55" s="33" t="e">
        <f>VLOOKUP(A1,DIV_03Data!$A$1:$DZU$1000000,928,FALSE)</f>
        <v>#N/A</v>
      </c>
      <c r="J55" s="34" t="e">
        <f>VLOOKUP(A1,DIV_03Data!$A$1:$DZU$1000000,929,FALSE)</f>
        <v>#N/A</v>
      </c>
      <c r="K55" s="34" t="e">
        <f>VLOOKUP(A1,DIV_03Data!$A$1:$DZU$1000000,930,FALSE)</f>
        <v>#N/A</v>
      </c>
      <c r="L55" s="93" t="e">
        <f>VLOOKUP(A1,DIV_03Data!$A$1:$DZU$1000000,931,FALSE)</f>
        <v>#N/A</v>
      </c>
      <c r="M55" s="33" t="e">
        <f>VLOOKUP(A1,DIV_03Data!$A$1:$DZU$1000000,932,FALSE)</f>
        <v>#N/A</v>
      </c>
      <c r="N55" s="34" t="e">
        <f>VLOOKUP(A1,DIV_03Data!$A$1:$DZU$1000000,933,FALSE)</f>
        <v>#N/A</v>
      </c>
      <c r="O55" s="33" t="e">
        <f>VLOOKUP(A1,DIV_03Data!$A$1:$DZU$1000000,934,FALSE)</f>
        <v>#N/A</v>
      </c>
      <c r="P55" s="46" t="e">
        <f>VLOOKUP(A1,DIV_03Data!$A$1:$DZU$1000000,935,FALSE)</f>
        <v>#N/A</v>
      </c>
      <c r="Q55" s="33" t="e">
        <f>VLOOKUP(A1,DIV_03Data!$A$1:$DZU$1000000,936,FALSE)</f>
        <v>#N/A</v>
      </c>
    </row>
    <row r="56" spans="1:17" x14ac:dyDescent="0.35">
      <c r="A56" s="22" t="e">
        <f>VLOOKUP(A1,DIV_03Data!$A$1:$DZU$1000000,937,FALSE)</f>
        <v>#N/A</v>
      </c>
      <c r="B56" s="37" t="e">
        <f>VLOOKUP(A1,DIV_03Data!$A$1:$DZU$1000000,938,FALSE)</f>
        <v>#N/A</v>
      </c>
      <c r="C56" s="38" t="e">
        <f>VLOOKUP(A1,DIV_03Data!$A$1:$DZU$1000000,939,FALSE)</f>
        <v>#N/A</v>
      </c>
      <c r="D56" s="31" t="e">
        <f>VLOOKUP(A1,DIV_03Data!$A$1:$DZU$1000000,940,FALSE)</f>
        <v>#N/A</v>
      </c>
      <c r="E56" s="32" t="e">
        <f>VLOOKUP(A1,DIV_03Data!$A$1:$DZU$1000000,941,FALSE)</f>
        <v>#N/A</v>
      </c>
      <c r="F56" s="34" t="e">
        <f>VLOOKUP(A1,DIV_03Data!$A$1:$DZU$1000000,942,FALSE)</f>
        <v>#N/A</v>
      </c>
      <c r="G56" s="33" t="e">
        <f>VLOOKUP(A1,DIV_03Data!$A$1:$DZU$1000000,943,FALSE)</f>
        <v>#N/A</v>
      </c>
      <c r="H56" s="34" t="e">
        <f>VLOOKUP(A1,DIV_03Data!$A$1:$DZU$1000000,944,FALSE)</f>
        <v>#N/A</v>
      </c>
      <c r="I56" s="33" t="e">
        <f>VLOOKUP(A1,DIV_03Data!$A$1:$DZU$1000000,945,FALSE)</f>
        <v>#N/A</v>
      </c>
      <c r="J56" s="34" t="e">
        <f>VLOOKUP(A1,DIV_03Data!$A$1:$DZU$1000000,946,FALSE)</f>
        <v>#N/A</v>
      </c>
      <c r="K56" s="34" t="e">
        <f>VLOOKUP(A1,DIV_03Data!$A$1:$DZU$1000000,947,FALSE)</f>
        <v>#N/A</v>
      </c>
      <c r="L56" s="93" t="e">
        <f>VLOOKUP(A1,DIV_03Data!$A$1:$DZU$1000000,948,FALSE)</f>
        <v>#N/A</v>
      </c>
      <c r="M56" s="33" t="e">
        <f>VLOOKUP(A1,DIV_03Data!$A$1:$DZU$1000000,949,FALSE)</f>
        <v>#N/A</v>
      </c>
      <c r="N56" s="34" t="e">
        <f>VLOOKUP(A1,DIV_03Data!$A$1:$DZU$1000000,950,FALSE)</f>
        <v>#N/A</v>
      </c>
      <c r="O56" s="33" t="e">
        <f>VLOOKUP(A1,DIV_03Data!$A$1:$DZU$1000000,951,FALSE)</f>
        <v>#N/A</v>
      </c>
      <c r="P56" s="46" t="e">
        <f>VLOOKUP(A1,DIV_03Data!$A$1:$DZU$1000000,952,FALSE)</f>
        <v>#N/A</v>
      </c>
      <c r="Q56" s="33" t="e">
        <f>VLOOKUP(A1,DIV_03Data!$A$1:$DZU$1000000,953,FALSE)</f>
        <v>#N/A</v>
      </c>
    </row>
    <row r="57" spans="1:17" x14ac:dyDescent="0.35">
      <c r="A57" s="22" t="e">
        <f>VLOOKUP(A1,DIV_03Data!$A$1:$DZU$1000000,954,FALSE)</f>
        <v>#N/A</v>
      </c>
      <c r="B57" s="37" t="e">
        <f>VLOOKUP(A1,DIV_03Data!$A$1:$DZU$1000000,955,FALSE)</f>
        <v>#N/A</v>
      </c>
      <c r="C57" s="38" t="e">
        <f>VLOOKUP(A1,DIV_03Data!$A$1:$DZU$1000000,956,FALSE)</f>
        <v>#N/A</v>
      </c>
      <c r="D57" s="31" t="e">
        <f>VLOOKUP(A1,DIV_03Data!$A$1:$DZU$1000000,957,FALSE)</f>
        <v>#N/A</v>
      </c>
      <c r="E57" s="32" t="e">
        <f>VLOOKUP(A1,DIV_03Data!$A$1:$DZU$1000000,958,FALSE)</f>
        <v>#N/A</v>
      </c>
      <c r="F57" s="34" t="e">
        <f>VLOOKUP(A1,DIV_03Data!$A$1:$DZU$1000000,959,FALSE)</f>
        <v>#N/A</v>
      </c>
      <c r="G57" s="33" t="e">
        <f>VLOOKUP(A1,DIV_03Data!$A$1:$DZU$1000000,960,FALSE)</f>
        <v>#N/A</v>
      </c>
      <c r="H57" s="34" t="e">
        <f>VLOOKUP(A1,DIV_03Data!$A$1:$DZU$1000000,961,FALSE)</f>
        <v>#N/A</v>
      </c>
      <c r="I57" s="33" t="e">
        <f>VLOOKUP(A1,DIV_03Data!$A$1:$DZU$1000000,962,FALSE)</f>
        <v>#N/A</v>
      </c>
      <c r="J57" s="34" t="e">
        <f>VLOOKUP(A1,DIV_03Data!$A$1:$DZU$1000000,963,FALSE)</f>
        <v>#N/A</v>
      </c>
      <c r="K57" s="34" t="e">
        <f>VLOOKUP(A1,DIV_03Data!$A$1:$DZU$1000000,964,FALSE)</f>
        <v>#N/A</v>
      </c>
      <c r="L57" s="93" t="e">
        <f>VLOOKUP(A1,DIV_03Data!$A$1:$DZU$1000000,965,FALSE)</f>
        <v>#N/A</v>
      </c>
      <c r="M57" s="33" t="e">
        <f>VLOOKUP(A1,DIV_03Data!$A$1:$DZU$1000000,966,FALSE)</f>
        <v>#N/A</v>
      </c>
      <c r="N57" s="34" t="e">
        <f>VLOOKUP(A1,DIV_03Data!$A$1:$DZU$1000000,967,FALSE)</f>
        <v>#N/A</v>
      </c>
      <c r="O57" s="33" t="e">
        <f>VLOOKUP(A1,DIV_03Data!$A$1:$DZU$1000000,968,FALSE)</f>
        <v>#N/A</v>
      </c>
      <c r="P57" s="46" t="e">
        <f>VLOOKUP(A1,DIV_03Data!$A$1:$DZU$1000000,969,FALSE)</f>
        <v>#N/A</v>
      </c>
      <c r="Q57" s="33" t="e">
        <f>VLOOKUP(A1,DIV_03Data!$A$1:$DZU$1000000,970,FALSE)</f>
        <v>#N/A</v>
      </c>
    </row>
    <row r="58" spans="1:17" x14ac:dyDescent="0.35">
      <c r="A58" s="22" t="e">
        <f>VLOOKUP(A1,DIV_03Data!$A$1:$DZU$1000000,971,FALSE)</f>
        <v>#N/A</v>
      </c>
      <c r="B58" s="37" t="e">
        <f>VLOOKUP(A1,DIV_03Data!$A$1:$DZU$1000000,972,FALSE)</f>
        <v>#N/A</v>
      </c>
      <c r="C58" s="38" t="e">
        <f>VLOOKUP(A1,DIV_03Data!$A$1:$DZU$1000000,973,FALSE)</f>
        <v>#N/A</v>
      </c>
      <c r="D58" s="31" t="e">
        <f>VLOOKUP(A1,DIV_03Data!$A$1:$DZU$1000000,974,FALSE)</f>
        <v>#N/A</v>
      </c>
      <c r="E58" s="32" t="e">
        <f>VLOOKUP(A1,DIV_03Data!$A$1:$DZU$1000000,975,FALSE)</f>
        <v>#N/A</v>
      </c>
      <c r="F58" s="34" t="e">
        <f>VLOOKUP(A1,DIV_03Data!$A$1:$DZU$1000000,976,FALSE)</f>
        <v>#N/A</v>
      </c>
      <c r="G58" s="33" t="e">
        <f>VLOOKUP(A1,DIV_03Data!$A$1:$DZU$1000000,977,FALSE)</f>
        <v>#N/A</v>
      </c>
      <c r="H58" s="34" t="e">
        <f>VLOOKUP(A1,DIV_03Data!$A$1:$DZU$1000000,978,FALSE)</f>
        <v>#N/A</v>
      </c>
      <c r="I58" s="33" t="e">
        <f>VLOOKUP(A1,DIV_03Data!$A$1:$DZU$1000000,979,FALSE)</f>
        <v>#N/A</v>
      </c>
      <c r="J58" s="34" t="e">
        <f>VLOOKUP(A1,DIV_03Data!$A$1:$DZU$1000000,980,FALSE)</f>
        <v>#N/A</v>
      </c>
      <c r="K58" s="34" t="e">
        <f>VLOOKUP(A1,DIV_03Data!$A$1:$DZU$1000000,981,FALSE)</f>
        <v>#N/A</v>
      </c>
      <c r="L58" s="93" t="e">
        <f>VLOOKUP(A1,DIV_03Data!$A$1:$DZU$1000000,982,FALSE)</f>
        <v>#N/A</v>
      </c>
      <c r="M58" s="33" t="e">
        <f>VLOOKUP(A1,DIV_03Data!$A$1:$DZU$1000000,983,FALSE)</f>
        <v>#N/A</v>
      </c>
      <c r="N58" s="34" t="e">
        <f>VLOOKUP(A1,DIV_03Data!$A$1:$DZU$1000000,984,FALSE)</f>
        <v>#N/A</v>
      </c>
      <c r="O58" s="33" t="e">
        <f>VLOOKUP(A1,DIV_03Data!$A$1:$DZU$1000000,985,FALSE)</f>
        <v>#N/A</v>
      </c>
      <c r="P58" s="46" t="e">
        <f>VLOOKUP(A1,DIV_03Data!$A$1:$DZU$1000000,986,FALSE)</f>
        <v>#N/A</v>
      </c>
      <c r="Q58" s="33" t="e">
        <f>VLOOKUP(A1,DIV_03Data!$A$1:$DZU$1000000,987,FALSE)</f>
        <v>#N/A</v>
      </c>
    </row>
    <row r="59" spans="1:17" x14ac:dyDescent="0.35">
      <c r="A59" s="22" t="e">
        <f>VLOOKUP(A1,DIV_03Data!$A$1:$DZU$1000000,988,FALSE)</f>
        <v>#N/A</v>
      </c>
      <c r="B59" s="37" t="e">
        <f>VLOOKUP(A1,DIV_03Data!$A$1:$DZU$1000000,989,FALSE)</f>
        <v>#N/A</v>
      </c>
      <c r="C59" s="38" t="e">
        <f>VLOOKUP(A1,DIV_03Data!$A$1:$DZU$1000000,990,FALSE)</f>
        <v>#N/A</v>
      </c>
      <c r="D59" s="31" t="e">
        <f>VLOOKUP(A1,DIV_03Data!$A$1:$DZU$1000000,991,FALSE)</f>
        <v>#N/A</v>
      </c>
      <c r="E59" s="32" t="e">
        <f>VLOOKUP(A1,DIV_03Data!$A$1:$DZU$1000000,992,FALSE)</f>
        <v>#N/A</v>
      </c>
      <c r="F59" s="34" t="e">
        <f>VLOOKUP(A1,DIV_03Data!$A$1:$DZU$1000000,993,FALSE)</f>
        <v>#N/A</v>
      </c>
      <c r="G59" s="33" t="e">
        <f>VLOOKUP(A1,DIV_03Data!$A$1:$DZU$1000000,994,FALSE)</f>
        <v>#N/A</v>
      </c>
      <c r="H59" s="34" t="e">
        <f>VLOOKUP(A1,DIV_03Data!$A$1:$DZU$1000000,995,FALSE)</f>
        <v>#N/A</v>
      </c>
      <c r="I59" s="33" t="e">
        <f>VLOOKUP(A1,DIV_03Data!$A$1:$DZU$1000000,996,FALSE)</f>
        <v>#N/A</v>
      </c>
      <c r="J59" s="34" t="e">
        <f>VLOOKUP(A1,DIV_03Data!$A$1:$DZU$1000000,997,FALSE)</f>
        <v>#N/A</v>
      </c>
      <c r="K59" s="34" t="e">
        <f>VLOOKUP(A1,DIV_03Data!$A$1:$DZU$1000000,998,FALSE)</f>
        <v>#N/A</v>
      </c>
      <c r="L59" s="93" t="e">
        <f>VLOOKUP(A1,DIV_03Data!$A$1:$DZU$1000000,999,FALSE)</f>
        <v>#N/A</v>
      </c>
      <c r="M59" s="33" t="e">
        <f>VLOOKUP(A1,DIV_03Data!$A$1:$DZU$1000000,1000,FALSE)</f>
        <v>#N/A</v>
      </c>
      <c r="N59" s="34" t="e">
        <f>VLOOKUP(A1,DIV_03Data!$A$1:$DZU$1000000,1001,FALSE)</f>
        <v>#N/A</v>
      </c>
      <c r="O59" s="33" t="e">
        <f>VLOOKUP(A1,DIV_03Data!$A$1:$DZU$1000000,1002,FALSE)</f>
        <v>#N/A</v>
      </c>
      <c r="P59" s="46" t="e">
        <f>VLOOKUP(A1,DIV_03Data!$A$1:$DZU$1000000,1003,FALSE)</f>
        <v>#N/A</v>
      </c>
      <c r="Q59" s="33" t="e">
        <f>VLOOKUP(A1,DIV_03Data!$A$1:$DZU$1000000,1004,FALSE)</f>
        <v>#N/A</v>
      </c>
    </row>
    <row r="60" spans="1:17" x14ac:dyDescent="0.35">
      <c r="A60" s="22" t="e">
        <f>VLOOKUP(A1,DIV_03Data!$A$1:$DZU$1000000,1005,FALSE)</f>
        <v>#N/A</v>
      </c>
      <c r="B60" s="37" t="e">
        <f>VLOOKUP(A1,DIV_03Data!$A$1:$DZU$1000000,1006,FALSE)</f>
        <v>#N/A</v>
      </c>
      <c r="C60" s="38" t="e">
        <f>VLOOKUP(A1,DIV_03Data!$A$1:$DZU$1000000,1007,FALSE)</f>
        <v>#N/A</v>
      </c>
      <c r="D60" s="31" t="e">
        <f>VLOOKUP(A1,DIV_03Data!$A$1:$DZU$1000000,1008,FALSE)</f>
        <v>#N/A</v>
      </c>
      <c r="E60" s="32" t="e">
        <f>VLOOKUP(A1,DIV_03Data!$A$1:$DZU$1000000,1009,FALSE)</f>
        <v>#N/A</v>
      </c>
      <c r="F60" s="34" t="e">
        <f>VLOOKUP(A1,DIV_03Data!$A$1:$DZU$1000000,1010,FALSE)</f>
        <v>#N/A</v>
      </c>
      <c r="G60" s="33" t="e">
        <f>VLOOKUP(A1,DIV_03Data!$A$1:$DZU$1000000,1011,FALSE)</f>
        <v>#N/A</v>
      </c>
      <c r="H60" s="34" t="e">
        <f>VLOOKUP(A1,DIV_03Data!$A$1:$DZU$1000000,1012,FALSE)</f>
        <v>#N/A</v>
      </c>
      <c r="I60" s="33" t="e">
        <f>VLOOKUP(A1,DIV_03Data!$A$1:$DZU$1000000,1013,FALSE)</f>
        <v>#N/A</v>
      </c>
      <c r="J60" s="34" t="e">
        <f>VLOOKUP(A1,DIV_03Data!$A$1:$DZU$1000000,1014,FALSE)</f>
        <v>#N/A</v>
      </c>
      <c r="K60" s="34" t="e">
        <f>VLOOKUP(A1,DIV_03Data!$A$1:$DZU$1000000,1015,FALSE)</f>
        <v>#N/A</v>
      </c>
      <c r="L60" s="93" t="e">
        <f>VLOOKUP(A1,DIV_03Data!$A$1:$DZU$1000000,1016,FALSE)</f>
        <v>#N/A</v>
      </c>
      <c r="M60" s="33" t="e">
        <f>VLOOKUP(A1,DIV_03Data!$A$1:$DZU$1000000,1017,FALSE)</f>
        <v>#N/A</v>
      </c>
      <c r="N60" s="34" t="e">
        <f>VLOOKUP(A1,DIV_03Data!$A$1:$DZU$1000000,1018,FALSE)</f>
        <v>#N/A</v>
      </c>
      <c r="O60" s="33" t="e">
        <f>VLOOKUP(A1,DIV_03Data!$A$1:$DZU$1000000,1019,FALSE)</f>
        <v>#N/A</v>
      </c>
      <c r="P60" s="46" t="e">
        <f>VLOOKUP(A1,DIV_03Data!$A$1:$DZU$1000000,1020,FALSE)</f>
        <v>#N/A</v>
      </c>
      <c r="Q60" s="33" t="e">
        <f>VLOOKUP(A1,DIV_03Data!$A$1:$DZU$1000000,1021,FALSE)</f>
        <v>#N/A</v>
      </c>
    </row>
    <row r="61" spans="1:17" x14ac:dyDescent="0.35">
      <c r="A61" s="22" t="e">
        <f>VLOOKUP(A1,DIV_03Data!$A$1:$DZU$1000000,1022,FALSE)</f>
        <v>#N/A</v>
      </c>
      <c r="B61" s="37" t="e">
        <f>VLOOKUP(A1,DIV_03Data!$A$1:$DZU$1000000,1023,FALSE)</f>
        <v>#N/A</v>
      </c>
      <c r="C61" s="38" t="e">
        <f>VLOOKUP(A1,DIV_03Data!$A$1:$DZU$1000000,1024,FALSE)</f>
        <v>#N/A</v>
      </c>
      <c r="D61" s="31" t="e">
        <f>VLOOKUP(A1,DIV_03Data!$A$1:$DZU$1000000,1025,FALSE)</f>
        <v>#N/A</v>
      </c>
      <c r="E61" s="32" t="e">
        <f>VLOOKUP(A1,DIV_03Data!$A$1:$DZU$1000000,1026,FALSE)</f>
        <v>#N/A</v>
      </c>
      <c r="F61" s="34" t="e">
        <f>VLOOKUP(A1,DIV_03Data!$A$1:$DZU$1000000,1027,FALSE)</f>
        <v>#N/A</v>
      </c>
      <c r="G61" s="33" t="e">
        <f>VLOOKUP(A1,DIV_03Data!$A$1:$DZU$1000000,1028,FALSE)</f>
        <v>#N/A</v>
      </c>
      <c r="H61" s="34" t="e">
        <f>VLOOKUP(A1,DIV_03Data!$A$1:$DZU$1000000,1029,FALSE)</f>
        <v>#N/A</v>
      </c>
      <c r="I61" s="33" t="e">
        <f>VLOOKUP(A1,DIV_03Data!$A$1:$DZU$1000000,1030,FALSE)</f>
        <v>#N/A</v>
      </c>
      <c r="J61" s="34" t="e">
        <f>VLOOKUP(A1,DIV_03Data!$A$1:$DZU$1000000,1031,FALSE)</f>
        <v>#N/A</v>
      </c>
      <c r="K61" s="34" t="e">
        <f>VLOOKUP(A1,DIV_03Data!$A$1:$DZU$1000000,1032,FALSE)</f>
        <v>#N/A</v>
      </c>
      <c r="L61" s="93" t="e">
        <f>VLOOKUP(A1,DIV_03Data!$A$1:$DZU$1000000,1033,FALSE)</f>
        <v>#N/A</v>
      </c>
      <c r="M61" s="33" t="e">
        <f>VLOOKUP(A1,DIV_03Data!$A$1:$DZU$1000000,1034,FALSE)</f>
        <v>#N/A</v>
      </c>
      <c r="N61" s="34" t="e">
        <f>VLOOKUP(A1,DIV_03Data!$A$1:$DZU$1000000,1035,FALSE)</f>
        <v>#N/A</v>
      </c>
      <c r="O61" s="33" t="e">
        <f>VLOOKUP(A1,DIV_03Data!$A$1:$DZU$1000000,1036,FALSE)</f>
        <v>#N/A</v>
      </c>
      <c r="P61" s="46" t="e">
        <f>VLOOKUP(A1,DIV_03Data!$A$1:$DZU$1000000,1037,FALSE)</f>
        <v>#N/A</v>
      </c>
      <c r="Q61" s="33" t="e">
        <f>VLOOKUP(A1,DIV_03Data!$A$1:$DZU$1000000,1038,FALSE)</f>
        <v>#N/A</v>
      </c>
    </row>
    <row r="62" spans="1:17" x14ac:dyDescent="0.35">
      <c r="A62" s="22" t="e">
        <f>VLOOKUP(A1,DIV_03Data!$A$1:$DZU$1000000,1039,FALSE)</f>
        <v>#N/A</v>
      </c>
      <c r="B62" s="37" t="e">
        <f>VLOOKUP(A1,DIV_03Data!$A$1:$DZU$1000000,1040,FALSE)</f>
        <v>#N/A</v>
      </c>
      <c r="C62" s="38" t="e">
        <f>VLOOKUP(A1,DIV_03Data!$A$1:$DZU$1000000,1041,FALSE)</f>
        <v>#N/A</v>
      </c>
      <c r="D62" s="31" t="e">
        <f>VLOOKUP(A1,DIV_03Data!$A$1:$DZU$1000000,1042,FALSE)</f>
        <v>#N/A</v>
      </c>
      <c r="E62" s="32" t="e">
        <f>VLOOKUP(A1,DIV_03Data!$A$1:$DZU$1000000,1043,FALSE)</f>
        <v>#N/A</v>
      </c>
      <c r="F62" s="34" t="e">
        <f>VLOOKUP(A1,DIV_03Data!$A$1:$DZU$1000000,1044,FALSE)</f>
        <v>#N/A</v>
      </c>
      <c r="G62" s="33" t="e">
        <f>VLOOKUP(A1,DIV_03Data!$A$1:$DZU$1000000,1045,FALSE)</f>
        <v>#N/A</v>
      </c>
      <c r="H62" s="34" t="e">
        <f>VLOOKUP(A1,DIV_03Data!$A$1:$DZU$1000000,1046,FALSE)</f>
        <v>#N/A</v>
      </c>
      <c r="I62" s="33" t="e">
        <f>VLOOKUP(A1,DIV_03Data!$A$1:$DZU$1000000,1047,FALSE)</f>
        <v>#N/A</v>
      </c>
      <c r="J62" s="34" t="e">
        <f>VLOOKUP(A1,DIV_03Data!$A$1:$DZU$1000000,1048,FALSE)</f>
        <v>#N/A</v>
      </c>
      <c r="K62" s="34" t="e">
        <f>VLOOKUP(A1,DIV_03Data!$A$1:$DZU$1000000,1049,FALSE)</f>
        <v>#N/A</v>
      </c>
      <c r="L62" s="93" t="e">
        <f>VLOOKUP(A1,DIV_03Data!$A$1:$DZU$1000000,1050,FALSE)</f>
        <v>#N/A</v>
      </c>
      <c r="M62" s="33" t="e">
        <f>VLOOKUP(A1,DIV_03Data!$A$1:$DZU$1000000,1051,FALSE)</f>
        <v>#N/A</v>
      </c>
      <c r="N62" s="34" t="e">
        <f>VLOOKUP(A1,DIV_03Data!$A$1:$DZU$1000000,1052,FALSE)</f>
        <v>#N/A</v>
      </c>
      <c r="O62" s="33" t="e">
        <f>VLOOKUP(A1,DIV_03Data!$A$1:$DZU$1000000,1053,FALSE)</f>
        <v>#N/A</v>
      </c>
      <c r="P62" s="46" t="e">
        <f>VLOOKUP(A1,DIV_03Data!$A$1:$DZU$1000000,1054,FALSE)</f>
        <v>#N/A</v>
      </c>
      <c r="Q62" s="33" t="e">
        <f>VLOOKUP(A1,DIV_03Data!$A$1:$DZU$1000000,1055,FALSE)</f>
        <v>#N/A</v>
      </c>
    </row>
    <row r="63" spans="1:17" x14ac:dyDescent="0.35">
      <c r="A63" s="22" t="e">
        <f>VLOOKUP(A1,DIV_03Data!$A$1:$DZU$1000000,1056,FALSE)</f>
        <v>#N/A</v>
      </c>
      <c r="B63" s="37" t="e">
        <f>VLOOKUP(A1,DIV_03Data!$A$1:$DZU$1000000,1057,FALSE)</f>
        <v>#N/A</v>
      </c>
      <c r="C63" s="38" t="e">
        <f>VLOOKUP(A1,DIV_03Data!$A$1:$DZU$1000000,1058,FALSE)</f>
        <v>#N/A</v>
      </c>
      <c r="D63" s="31" t="e">
        <f>VLOOKUP(A1,DIV_03Data!$A$1:$DZU$1000000,1059,FALSE)</f>
        <v>#N/A</v>
      </c>
      <c r="E63" s="32" t="e">
        <f>VLOOKUP(A1,DIV_03Data!$A$1:$DZU$1000000,1060,FALSE)</f>
        <v>#N/A</v>
      </c>
      <c r="F63" s="34" t="e">
        <f>VLOOKUP(A1,DIV_03Data!$A$1:$DZU$1000000,1061,FALSE)</f>
        <v>#N/A</v>
      </c>
      <c r="G63" s="33" t="e">
        <f>VLOOKUP(A1,DIV_03Data!$A$1:$DZU$1000000,1062,FALSE)</f>
        <v>#N/A</v>
      </c>
      <c r="H63" s="34" t="e">
        <f>VLOOKUP(A1,DIV_03Data!$A$1:$DZU$1000000,1063,FALSE)</f>
        <v>#N/A</v>
      </c>
      <c r="I63" s="33" t="e">
        <f>VLOOKUP(A1,DIV_03Data!$A$1:$DZU$1000000,1064,FALSE)</f>
        <v>#N/A</v>
      </c>
      <c r="J63" s="34" t="e">
        <f>VLOOKUP(A1,DIV_03Data!$A$1:$DZU$1000000,1065,FALSE)</f>
        <v>#N/A</v>
      </c>
      <c r="K63" s="34" t="e">
        <f>VLOOKUP(A1,DIV_03Data!$A$1:$DZU$1000000,1066,FALSE)</f>
        <v>#N/A</v>
      </c>
      <c r="L63" s="93" t="e">
        <f>VLOOKUP(A1,DIV_03Data!$A$1:$DZU$1000000,1067,FALSE)</f>
        <v>#N/A</v>
      </c>
      <c r="M63" s="33" t="e">
        <f>VLOOKUP(A1,DIV_03Data!$A$1:$DZU$1000000,1068,FALSE)</f>
        <v>#N/A</v>
      </c>
      <c r="N63" s="34" t="e">
        <f>VLOOKUP(A1,DIV_03Data!$A$1:$DZU$1000000,1069,FALSE)</f>
        <v>#N/A</v>
      </c>
      <c r="O63" s="33" t="e">
        <f>VLOOKUP(A1,DIV_03Data!$A$1:$DZU$1000000,1070,FALSE)</f>
        <v>#N/A</v>
      </c>
      <c r="P63" s="46" t="e">
        <f>VLOOKUP(A1,DIV_03Data!$A$1:$DZU$1000000,1071,FALSE)</f>
        <v>#N/A</v>
      </c>
      <c r="Q63" s="33" t="e">
        <f>VLOOKUP(A1,DIV_03Data!$A$1:$DZU$1000000,1072,FALSE)</f>
        <v>#N/A</v>
      </c>
    </row>
    <row r="64" spans="1:17" x14ac:dyDescent="0.35">
      <c r="A64" s="22" t="e">
        <f>VLOOKUP(A1,DIV_03Data!$A$1:$DZU$1000000,1073,FALSE)</f>
        <v>#N/A</v>
      </c>
      <c r="B64" s="37" t="e">
        <f>VLOOKUP(A1,DIV_03Data!$A$1:$DZU$1000000,1074,FALSE)</f>
        <v>#N/A</v>
      </c>
      <c r="C64" s="38" t="e">
        <f>VLOOKUP(A1,DIV_03Data!$A$1:$DZU$1000000,1075,FALSE)</f>
        <v>#N/A</v>
      </c>
      <c r="D64" s="31" t="e">
        <f>VLOOKUP(A1,DIV_03Data!$A$1:$DZU$1000000,1076,FALSE)</f>
        <v>#N/A</v>
      </c>
      <c r="E64" s="32" t="e">
        <f>VLOOKUP(A1,DIV_03Data!$A$1:$DZU$1000000,1077,FALSE)</f>
        <v>#N/A</v>
      </c>
      <c r="F64" s="34" t="e">
        <f>VLOOKUP(A1,DIV_03Data!$A$1:$DZU$1000000,1078,FALSE)</f>
        <v>#N/A</v>
      </c>
      <c r="G64" s="33" t="e">
        <f>VLOOKUP(A1,DIV_03Data!$A$1:$DZU$1000000,1079,FALSE)</f>
        <v>#N/A</v>
      </c>
      <c r="H64" s="34" t="e">
        <f>VLOOKUP(A1,DIV_03Data!$A$1:$DZU$1000000,1080,FALSE)</f>
        <v>#N/A</v>
      </c>
      <c r="I64" s="33" t="e">
        <f>VLOOKUP(A1,DIV_03Data!$A$1:$DZU$1000000,1081,FALSE)</f>
        <v>#N/A</v>
      </c>
      <c r="J64" s="34" t="e">
        <f>VLOOKUP(A1,DIV_03Data!$A$1:$DZU$1000000,1082,FALSE)</f>
        <v>#N/A</v>
      </c>
      <c r="K64" s="34" t="e">
        <f>VLOOKUP(A1,DIV_03Data!$A$1:$DZU$1000000,1083,FALSE)</f>
        <v>#N/A</v>
      </c>
      <c r="L64" s="93" t="e">
        <f>VLOOKUP(A1,DIV_03Data!$A$1:$DZU$1000000,1084,FALSE)</f>
        <v>#N/A</v>
      </c>
      <c r="M64" s="33" t="e">
        <f>VLOOKUP(A1,DIV_03Data!$A$1:$DZU$1000000,1085,FALSE)</f>
        <v>#N/A</v>
      </c>
      <c r="N64" s="34" t="e">
        <f>VLOOKUP(A1,DIV_03Data!$A$1:$DZU$1000000,1086,FALSE)</f>
        <v>#N/A</v>
      </c>
      <c r="O64" s="33" t="e">
        <f>VLOOKUP(A1,DIV_03Data!$A$1:$DZU$1000000,1087,FALSE)</f>
        <v>#N/A</v>
      </c>
      <c r="P64" s="46" t="e">
        <f>VLOOKUP(A1,DIV_03Data!$A$1:$DZU$1000000,1088,FALSE)</f>
        <v>#N/A</v>
      </c>
      <c r="Q64" s="33" t="e">
        <f>VLOOKUP(A1,DIV_03Data!$A$1:$DZU$1000000,1089,FALSE)</f>
        <v>#N/A</v>
      </c>
    </row>
    <row r="65" spans="1:17" x14ac:dyDescent="0.35">
      <c r="A65" s="22" t="e">
        <f>VLOOKUP(A1,DIV_03Data!$A$1:$DZU$1000000,1090,FALSE)</f>
        <v>#N/A</v>
      </c>
      <c r="B65" s="37" t="e">
        <f>VLOOKUP(A1,DIV_03Data!$A$1:$DZU$1000000,1091,FALSE)</f>
        <v>#N/A</v>
      </c>
      <c r="C65" s="38" t="e">
        <f>VLOOKUP(A1,DIV_03Data!$A$1:$DZU$1000000,1092,FALSE)</f>
        <v>#N/A</v>
      </c>
      <c r="D65" s="31" t="e">
        <f>VLOOKUP(A1,DIV_03Data!$A$1:$DZU$1000000,1093,FALSE)</f>
        <v>#N/A</v>
      </c>
      <c r="E65" s="32" t="e">
        <f>VLOOKUP(A1,DIV_03Data!$A$1:$DZU$1000000,1094,FALSE)</f>
        <v>#N/A</v>
      </c>
      <c r="F65" s="34" t="e">
        <f>VLOOKUP(A1,DIV_03Data!$A$1:$DZU$1000000,1095,FALSE)</f>
        <v>#N/A</v>
      </c>
      <c r="G65" s="33" t="e">
        <f>VLOOKUP(A1,DIV_03Data!$A$1:$DZU$1000000,1096,FALSE)</f>
        <v>#N/A</v>
      </c>
      <c r="H65" s="34" t="e">
        <f>VLOOKUP(A1,DIV_03Data!$A$1:$DZU$1000000,1097,FALSE)</f>
        <v>#N/A</v>
      </c>
      <c r="I65" s="33" t="e">
        <f>VLOOKUP(A1,DIV_03Data!$A$1:$DZU$1000000,1098,FALSE)</f>
        <v>#N/A</v>
      </c>
      <c r="J65" s="34" t="e">
        <f>VLOOKUP(A1,DIV_03Data!$A$1:$DZU$1000000,1099,FALSE)</f>
        <v>#N/A</v>
      </c>
      <c r="K65" s="34" t="e">
        <f>VLOOKUP(A1,DIV_03Data!$A$1:$DZU$1000000,1100,FALSE)</f>
        <v>#N/A</v>
      </c>
      <c r="L65" s="93" t="e">
        <f>VLOOKUP(A1,DIV_03Data!$A$1:$DZU$1000000,1101,FALSE)</f>
        <v>#N/A</v>
      </c>
      <c r="M65" s="33" t="e">
        <f>VLOOKUP(A1,DIV_03Data!$A$1:$DZU$1000000,1102,FALSE)</f>
        <v>#N/A</v>
      </c>
      <c r="N65" s="34" t="e">
        <f>VLOOKUP(A1,DIV_03Data!$A$1:$DZU$1000000,1103,FALSE)</f>
        <v>#N/A</v>
      </c>
      <c r="O65" s="33" t="e">
        <f>VLOOKUP(A1,DIV_03Data!$A$1:$DZU$1000000,1104,FALSE)</f>
        <v>#N/A</v>
      </c>
      <c r="P65" s="46" t="e">
        <f>VLOOKUP(A1,DIV_03Data!$A$1:$DZU$1000000,1105,FALSE)</f>
        <v>#N/A</v>
      </c>
      <c r="Q65" s="33" t="e">
        <f>VLOOKUP(A1,DIV_03Data!$A$1:$DZU$1000000,1106,FALSE)</f>
        <v>#N/A</v>
      </c>
    </row>
    <row r="66" spans="1:17" x14ac:dyDescent="0.35">
      <c r="A66" s="22" t="e">
        <f>VLOOKUP(A1,DIV_03Data!$A$1:$DZU$1000000,1107,FALSE)</f>
        <v>#N/A</v>
      </c>
      <c r="B66" s="37" t="e">
        <f>VLOOKUP(A1,DIV_03Data!$A$1:$DZU$1000000,1108,FALSE)</f>
        <v>#N/A</v>
      </c>
      <c r="C66" s="38" t="e">
        <f>VLOOKUP(A1,DIV_03Data!$A$1:$DZU$1000000,1109,FALSE)</f>
        <v>#N/A</v>
      </c>
      <c r="D66" s="31" t="e">
        <f>VLOOKUP(A1,DIV_03Data!$A$1:$DZU$1000000,1110,FALSE)</f>
        <v>#N/A</v>
      </c>
      <c r="E66" s="32" t="e">
        <f>VLOOKUP(A1,DIV_03Data!$A$1:$DZU$1000000,1111,FALSE)</f>
        <v>#N/A</v>
      </c>
      <c r="F66" s="34" t="e">
        <f>VLOOKUP(A1,DIV_03Data!$A$1:$DZU$1000000,1112,FALSE)</f>
        <v>#N/A</v>
      </c>
      <c r="G66" s="33" t="e">
        <f>VLOOKUP(A1,DIV_03Data!$A$1:$DZU$1000000,1113,FALSE)</f>
        <v>#N/A</v>
      </c>
      <c r="H66" s="34" t="e">
        <f>VLOOKUP(A1,DIV_03Data!$A$1:$DZU$1000000,1114,FALSE)</f>
        <v>#N/A</v>
      </c>
      <c r="I66" s="33" t="e">
        <f>VLOOKUP(A1,DIV_03Data!$A$1:$DZU$1000000,1115,FALSE)</f>
        <v>#N/A</v>
      </c>
      <c r="J66" s="34" t="e">
        <f>VLOOKUP(A1,DIV_03Data!$A$1:$DZU$1000000,1116,FALSE)</f>
        <v>#N/A</v>
      </c>
      <c r="K66" s="34" t="e">
        <f>VLOOKUP(A1,DIV_03Data!$A$1:$DZU$1000000,1117,FALSE)</f>
        <v>#N/A</v>
      </c>
      <c r="L66" s="93" t="e">
        <f>VLOOKUP(A1,DIV_03Data!$A$1:$DZU$1000000,1118,FALSE)</f>
        <v>#N/A</v>
      </c>
      <c r="M66" s="33" t="e">
        <f>VLOOKUP(A1,DIV_03Data!$A$1:$DZU$1000000,1119,FALSE)</f>
        <v>#N/A</v>
      </c>
      <c r="N66" s="34" t="e">
        <f>VLOOKUP(A1,DIV_03Data!$A$1:$DZU$1000000,1120,FALSE)</f>
        <v>#N/A</v>
      </c>
      <c r="O66" s="33" t="e">
        <f>VLOOKUP(A1,DIV_03Data!$A$1:$DZU$1000000,1121,FALSE)</f>
        <v>#N/A</v>
      </c>
      <c r="P66" s="46" t="e">
        <f>VLOOKUP(A1,DIV_03Data!$A$1:$DZU$1000000,1122,FALSE)</f>
        <v>#N/A</v>
      </c>
      <c r="Q66" s="33" t="e">
        <f>VLOOKUP(A1,DIV_03Data!$A$1:$DZU$1000000,1123,FALSE)</f>
        <v>#N/A</v>
      </c>
    </row>
    <row r="67" spans="1:17" x14ac:dyDescent="0.35">
      <c r="A67" s="22" t="e">
        <f>VLOOKUP(A1,DIV_03Data!$A$1:$DZU$1000000,1124,FALSE)</f>
        <v>#N/A</v>
      </c>
      <c r="B67" s="37" t="e">
        <f>VLOOKUP(A1,DIV_03Data!$A$1:$DZU$1000000,1125,FALSE)</f>
        <v>#N/A</v>
      </c>
      <c r="C67" s="38" t="e">
        <f>VLOOKUP(A1,DIV_03Data!$A$1:$DZU$1000000,1126,FALSE)</f>
        <v>#N/A</v>
      </c>
      <c r="D67" s="31" t="e">
        <f>VLOOKUP(A1,DIV_03Data!$A$1:$DZU$1000000,1127,FALSE)</f>
        <v>#N/A</v>
      </c>
      <c r="E67" s="32" t="e">
        <f>VLOOKUP(A1,DIV_03Data!$A$1:$DZU$1000000,1128,FALSE)</f>
        <v>#N/A</v>
      </c>
      <c r="F67" s="34" t="e">
        <f>VLOOKUP(A1,DIV_03Data!$A$1:$DZU$1000000,1129,FALSE)</f>
        <v>#N/A</v>
      </c>
      <c r="G67" s="33" t="e">
        <f>VLOOKUP(A1,DIV_03Data!$A$1:$DZU$1000000,1130,FALSE)</f>
        <v>#N/A</v>
      </c>
      <c r="H67" s="34" t="e">
        <f>VLOOKUP(A1,DIV_03Data!$A$1:$DZU$1000000,1131,FALSE)</f>
        <v>#N/A</v>
      </c>
      <c r="I67" s="33" t="e">
        <f>VLOOKUP(A1,DIV_03Data!$A$1:$DZU$1000000,1132,FALSE)</f>
        <v>#N/A</v>
      </c>
      <c r="J67" s="34" t="e">
        <f>VLOOKUP(A1,DIV_03Data!$A$1:$DZU$1000000,1133,FALSE)</f>
        <v>#N/A</v>
      </c>
      <c r="K67" s="34" t="e">
        <f>VLOOKUP(A1,DIV_03Data!$A$1:$DZU$1000000,1134,FALSE)</f>
        <v>#N/A</v>
      </c>
      <c r="L67" s="93" t="e">
        <f>VLOOKUP(A1,DIV_03Data!$A$1:$DZU$1000000,1135,FALSE)</f>
        <v>#N/A</v>
      </c>
      <c r="M67" s="33" t="e">
        <f>VLOOKUP(A1,DIV_03Data!$A$1:$DZU$1000000,1136,FALSE)</f>
        <v>#N/A</v>
      </c>
      <c r="N67" s="34" t="e">
        <f>VLOOKUP(A1,DIV_03Data!$A$1:$DZU$1000000,1137,FALSE)</f>
        <v>#N/A</v>
      </c>
      <c r="O67" s="33" t="e">
        <f>VLOOKUP(A1,DIV_03Data!$A$1:$DZU$1000000,1138,FALSE)</f>
        <v>#N/A</v>
      </c>
      <c r="P67" s="46" t="e">
        <f>VLOOKUP(A1,DIV_03Data!$A$1:$DZU$1000000,1139,FALSE)</f>
        <v>#N/A</v>
      </c>
      <c r="Q67" s="33" t="e">
        <f>VLOOKUP(A1,DIV_03Data!$A$1:$DZU$1000000,1140,FALSE)</f>
        <v>#N/A</v>
      </c>
    </row>
    <row r="68" spans="1:17" x14ac:dyDescent="0.35">
      <c r="A68" s="22" t="e">
        <f>VLOOKUP(A1,DIV_03Data!$A$1:$DZU$1000000,1141,FALSE)</f>
        <v>#N/A</v>
      </c>
      <c r="B68" s="37" t="e">
        <f>VLOOKUP(A1,DIV_03Data!$A$1:$DZU$1000000,1142,FALSE)</f>
        <v>#N/A</v>
      </c>
      <c r="C68" s="38" t="e">
        <f>VLOOKUP(A1,DIV_03Data!$A$1:$DZU$1000000,1143,FALSE)</f>
        <v>#N/A</v>
      </c>
      <c r="D68" s="31" t="e">
        <f>VLOOKUP(A1,DIV_03Data!$A$1:$DZU$1000000,1144,FALSE)</f>
        <v>#N/A</v>
      </c>
      <c r="E68" s="32" t="e">
        <f>VLOOKUP(A1,DIV_03Data!$A$1:$DZU$1000000,1145,FALSE)</f>
        <v>#N/A</v>
      </c>
      <c r="F68" s="34" t="e">
        <f>VLOOKUP(A1,DIV_03Data!$A$1:$DZU$1000000,1146,FALSE)</f>
        <v>#N/A</v>
      </c>
      <c r="G68" s="33" t="e">
        <f>VLOOKUP(A1,DIV_03Data!$A$1:$DZU$1000000,1147,FALSE)</f>
        <v>#N/A</v>
      </c>
      <c r="H68" s="34" t="e">
        <f>VLOOKUP(A1,DIV_03Data!$A$1:$DZU$1000000,1148,FALSE)</f>
        <v>#N/A</v>
      </c>
      <c r="I68" s="33" t="e">
        <f>VLOOKUP(A1,DIV_03Data!$A$1:$DZU$1000000,1149,FALSE)</f>
        <v>#N/A</v>
      </c>
      <c r="J68" s="34" t="e">
        <f>VLOOKUP(A1,DIV_03Data!$A$1:$DZU$1000000,1150,FALSE)</f>
        <v>#N/A</v>
      </c>
      <c r="K68" s="34" t="e">
        <f>VLOOKUP(A1,DIV_03Data!$A$1:$DZU$1000000,1151,FALSE)</f>
        <v>#N/A</v>
      </c>
      <c r="L68" s="93" t="e">
        <f>VLOOKUP(A1,DIV_03Data!$A$1:$DZU$1000000,1152,FALSE)</f>
        <v>#N/A</v>
      </c>
      <c r="M68" s="33" t="e">
        <f>VLOOKUP(A1,DIV_03Data!$A$1:$DZU$1000000,1153,FALSE)</f>
        <v>#N/A</v>
      </c>
      <c r="N68" s="34" t="e">
        <f>VLOOKUP(A1,DIV_03Data!$A$1:$DZU$1000000,1154,FALSE)</f>
        <v>#N/A</v>
      </c>
      <c r="O68" s="33" t="e">
        <f>VLOOKUP(A1,DIV_03Data!$A$1:$DZU$1000000,1155,FALSE)</f>
        <v>#N/A</v>
      </c>
      <c r="P68" s="46" t="e">
        <f>VLOOKUP(A1,DIV_03Data!$A$1:$DZU$1000000,1156,FALSE)</f>
        <v>#N/A</v>
      </c>
      <c r="Q68" s="33" t="e">
        <f>VLOOKUP(A1,DIV_03Data!$A$1:$DZU$1000000,1157,FALSE)</f>
        <v>#N/A</v>
      </c>
    </row>
    <row r="69" spans="1:17" x14ac:dyDescent="0.35">
      <c r="A69" s="22" t="e">
        <f>VLOOKUP(A1,DIV_03Data!$A$1:$DZU$1000000,1158,FALSE)</f>
        <v>#N/A</v>
      </c>
      <c r="B69" s="37" t="e">
        <f>VLOOKUP(A1,DIV_03Data!$A$1:$DZU$1000000,1159,FALSE)</f>
        <v>#N/A</v>
      </c>
      <c r="C69" s="38" t="e">
        <f>VLOOKUP(A1,DIV_03Data!$A$1:$DZU$1000000,1160,FALSE)</f>
        <v>#N/A</v>
      </c>
      <c r="D69" s="31" t="e">
        <f>VLOOKUP(A1,DIV_03Data!$A$1:$DZU$1000000,1161,FALSE)</f>
        <v>#N/A</v>
      </c>
      <c r="E69" s="32" t="e">
        <f>VLOOKUP(A1,DIV_03Data!$A$1:$DZU$1000000,1162,FALSE)</f>
        <v>#N/A</v>
      </c>
      <c r="F69" s="34" t="e">
        <f>VLOOKUP(A1,DIV_03Data!$A$1:$DZU$1000000,1163,FALSE)</f>
        <v>#N/A</v>
      </c>
      <c r="G69" s="33" t="e">
        <f>VLOOKUP(A1,DIV_03Data!$A$1:$DZU$1000000,1164,FALSE)</f>
        <v>#N/A</v>
      </c>
      <c r="H69" s="34" t="e">
        <f>VLOOKUP(A1,DIV_03Data!$A$1:$DZU$1000000,1165,FALSE)</f>
        <v>#N/A</v>
      </c>
      <c r="I69" s="33" t="e">
        <f>VLOOKUP(A1,DIV_03Data!$A$1:$DZU$1000000,1166,FALSE)</f>
        <v>#N/A</v>
      </c>
      <c r="J69" s="34" t="e">
        <f>VLOOKUP(A1,DIV_03Data!$A$1:$DZU$1000000,1167,FALSE)</f>
        <v>#N/A</v>
      </c>
      <c r="K69" s="34" t="e">
        <f>VLOOKUP(A1,DIV_03Data!$A$1:$DZU$1000000,1168,FALSE)</f>
        <v>#N/A</v>
      </c>
      <c r="L69" s="93" t="e">
        <f>VLOOKUP(A1,DIV_03Data!$A$1:$DZU$1000000,1169,FALSE)</f>
        <v>#N/A</v>
      </c>
      <c r="M69" s="33" t="e">
        <f>VLOOKUP(A1,DIV_03Data!$A$1:$DZU$1000000,1170,FALSE)</f>
        <v>#N/A</v>
      </c>
      <c r="N69" s="34" t="e">
        <f>VLOOKUP(A1,DIV_03Data!$A$1:$DZU$1000000,1171,FALSE)</f>
        <v>#N/A</v>
      </c>
      <c r="O69" s="33" t="e">
        <f>VLOOKUP(A1,DIV_03Data!$A$1:$DZU$1000000,1172,FALSE)</f>
        <v>#N/A</v>
      </c>
      <c r="P69" s="46" t="e">
        <f>VLOOKUP(A1,DIV_03Data!$A$1:$DZU$1000000,1173,FALSE)</f>
        <v>#N/A</v>
      </c>
      <c r="Q69" s="33" t="e">
        <f>VLOOKUP(A1,DIV_03Data!$A$1:$DZU$1000000,1174,FALSE)</f>
        <v>#N/A</v>
      </c>
    </row>
    <row r="70" spans="1:17" x14ac:dyDescent="0.35">
      <c r="A70" s="22" t="e">
        <f>VLOOKUP(A1,DIV_03Data!$A$1:$DZU$1000000,1175,FALSE)</f>
        <v>#N/A</v>
      </c>
      <c r="B70" s="37" t="e">
        <f>VLOOKUP(A1,DIV_03Data!$A$1:$DZU$1000000,1176,FALSE)</f>
        <v>#N/A</v>
      </c>
      <c r="C70" s="38" t="e">
        <f>VLOOKUP(A1,DIV_03Data!$A$1:$DZU$1000000,1177,FALSE)</f>
        <v>#N/A</v>
      </c>
      <c r="D70" s="31" t="e">
        <f>VLOOKUP(A1,DIV_03Data!$A$1:$DZU$1000000,1178,FALSE)</f>
        <v>#N/A</v>
      </c>
      <c r="E70" s="32" t="e">
        <f>VLOOKUP(A1,DIV_03Data!$A$1:$DZU$1000000,1179,FALSE)</f>
        <v>#N/A</v>
      </c>
      <c r="F70" s="34" t="e">
        <f>VLOOKUP(A1,DIV_03Data!$A$1:$DZU$1000000,1180,FALSE)</f>
        <v>#N/A</v>
      </c>
      <c r="G70" s="33" t="e">
        <f>VLOOKUP(A1,DIV_03Data!$A$1:$DZU$1000000,1181,FALSE)</f>
        <v>#N/A</v>
      </c>
      <c r="H70" s="34" t="e">
        <f>VLOOKUP(A1,DIV_03Data!$A$1:$DZU$1000000,1182,FALSE)</f>
        <v>#N/A</v>
      </c>
      <c r="I70" s="33" t="e">
        <f>VLOOKUP(A1,DIV_03Data!$A$1:$DZU$1000000,1183,FALSE)</f>
        <v>#N/A</v>
      </c>
      <c r="J70" s="34" t="e">
        <f>VLOOKUP(A1,DIV_03Data!$A$1:$DZU$1000000,1184,FALSE)</f>
        <v>#N/A</v>
      </c>
      <c r="K70" s="34" t="e">
        <f>VLOOKUP(A1,DIV_03Data!$A$1:$DZU$1000000,1185,FALSE)</f>
        <v>#N/A</v>
      </c>
      <c r="L70" s="93" t="e">
        <f>VLOOKUP(A1,DIV_03Data!$A$1:$DZU$1000000,1186,FALSE)</f>
        <v>#N/A</v>
      </c>
      <c r="M70" s="33" t="e">
        <f>VLOOKUP(A1,DIV_03Data!$A$1:$DZU$1000000,1187,FALSE)</f>
        <v>#N/A</v>
      </c>
      <c r="N70" s="34" t="e">
        <f>VLOOKUP(A1,DIV_03Data!$A$1:$DZU$1000000,1188,FALSE)</f>
        <v>#N/A</v>
      </c>
      <c r="O70" s="33" t="e">
        <f>VLOOKUP(A1,DIV_03Data!$A$1:$DZU$1000000,1189,FALSE)</f>
        <v>#N/A</v>
      </c>
      <c r="P70" s="46" t="e">
        <f>VLOOKUP(A1,DIV_03Data!$A$1:$DZU$1000000,1190,FALSE)</f>
        <v>#N/A</v>
      </c>
      <c r="Q70" s="33" t="e">
        <f>VLOOKUP(A1,DIV_03Data!$A$1:$DZU$1000000,1191,FALSE)</f>
        <v>#N/A</v>
      </c>
    </row>
    <row r="71" spans="1:17" x14ac:dyDescent="0.35">
      <c r="A71" s="22" t="e">
        <f>VLOOKUP(A1,DIV_03Data!$A$1:$DZU$1000000,1192,FALSE)</f>
        <v>#N/A</v>
      </c>
      <c r="B71" s="37" t="e">
        <f>VLOOKUP(A1,DIV_03Data!$A$1:$DZU$1000000,1193,FALSE)</f>
        <v>#N/A</v>
      </c>
      <c r="C71" s="38" t="e">
        <f>VLOOKUP(A1,DIV_03Data!$A$1:$DZU$1000000,1194,FALSE)</f>
        <v>#N/A</v>
      </c>
      <c r="D71" s="31" t="e">
        <f>VLOOKUP(A1,DIV_03Data!$A$1:$DZU$1000000,1195,FALSE)</f>
        <v>#N/A</v>
      </c>
      <c r="E71" s="32" t="e">
        <f>VLOOKUP(A1,DIV_03Data!$A$1:$DZU$1000000,1196,FALSE)</f>
        <v>#N/A</v>
      </c>
      <c r="F71" s="34" t="e">
        <f>VLOOKUP(A1,DIV_03Data!$A$1:$DZU$1000000,1197,FALSE)</f>
        <v>#N/A</v>
      </c>
      <c r="G71" s="33" t="e">
        <f>VLOOKUP(A1,DIV_03Data!$A$1:$DZU$1000000,1198,FALSE)</f>
        <v>#N/A</v>
      </c>
      <c r="H71" s="34" t="e">
        <f>VLOOKUP(A1,DIV_03Data!$A$1:$DZU$1000000,1199,FALSE)</f>
        <v>#N/A</v>
      </c>
      <c r="I71" s="33" t="e">
        <f>VLOOKUP(A1,DIV_03Data!$A$1:$DZU$1000000,1200,FALSE)</f>
        <v>#N/A</v>
      </c>
      <c r="J71" s="34" t="e">
        <f>VLOOKUP(A1,DIV_03Data!$A$1:$DZU$1000000,1201,FALSE)</f>
        <v>#N/A</v>
      </c>
      <c r="K71" s="34" t="e">
        <f>VLOOKUP(A1,DIV_03Data!$A$1:$DZU$1000000,1202,FALSE)</f>
        <v>#N/A</v>
      </c>
      <c r="L71" s="93" t="e">
        <f>VLOOKUP(A1,DIV_03Data!$A$1:$DZU$1000000,1203,FALSE)</f>
        <v>#N/A</v>
      </c>
      <c r="M71" s="33" t="e">
        <f>VLOOKUP(A1,DIV_03Data!$A$1:$DZU$1000000,1204,FALSE)</f>
        <v>#N/A</v>
      </c>
      <c r="N71" s="34" t="e">
        <f>VLOOKUP(A1,DIV_03Data!$A$1:$DZU$1000000,1205,FALSE)</f>
        <v>#N/A</v>
      </c>
      <c r="O71" s="33" t="e">
        <f>VLOOKUP(A1,DIV_03Data!$A$1:$DZU$1000000,1206,FALSE)</f>
        <v>#N/A</v>
      </c>
      <c r="P71" s="46" t="e">
        <f>VLOOKUP(A1,DIV_03Data!$A$1:$DZU$1000000,1207,FALSE)</f>
        <v>#N/A</v>
      </c>
      <c r="Q71" s="33" t="e">
        <f>VLOOKUP(A1,DIV_03Data!$A$1:$DZU$1000000,1208,FALSE)</f>
        <v>#N/A</v>
      </c>
    </row>
    <row r="72" spans="1:17" x14ac:dyDescent="0.35">
      <c r="A72" s="22" t="e">
        <f>VLOOKUP(A1,DIV_03Data!$A$1:$DZU$1000000,1209,FALSE)</f>
        <v>#N/A</v>
      </c>
      <c r="B72" s="37" t="e">
        <f>VLOOKUP(A1,DIV_03Data!$A$1:$DZU$1000000,1210,FALSE)</f>
        <v>#N/A</v>
      </c>
      <c r="C72" s="38" t="e">
        <f>VLOOKUP(A1,DIV_03Data!$A$1:$DZU$1000000,1211,FALSE)</f>
        <v>#N/A</v>
      </c>
      <c r="D72" s="31" t="e">
        <f>VLOOKUP(A1,DIV_03Data!$A$1:$DZU$1000000,1212,FALSE)</f>
        <v>#N/A</v>
      </c>
      <c r="E72" s="32" t="e">
        <f>VLOOKUP(A1,DIV_03Data!$A$1:$DZU$1000000,1213,FALSE)</f>
        <v>#N/A</v>
      </c>
      <c r="F72" s="34" t="e">
        <f>VLOOKUP(A1,DIV_03Data!$A$1:$DZU$1000000,1214,FALSE)</f>
        <v>#N/A</v>
      </c>
      <c r="G72" s="33" t="e">
        <f>VLOOKUP(A1,DIV_03Data!$A$1:$DZU$1000000,1215,FALSE)</f>
        <v>#N/A</v>
      </c>
      <c r="H72" s="34" t="e">
        <f>VLOOKUP(A1,DIV_03Data!$A$1:$DZU$1000000,1216,FALSE)</f>
        <v>#N/A</v>
      </c>
      <c r="I72" s="33" t="e">
        <f>VLOOKUP(A1,DIV_03Data!$A$1:$DZU$1000000,1217,FALSE)</f>
        <v>#N/A</v>
      </c>
      <c r="J72" s="34" t="e">
        <f>VLOOKUP(A1,DIV_03Data!$A$1:$DZU$1000000,1218,FALSE)</f>
        <v>#N/A</v>
      </c>
      <c r="K72" s="34" t="e">
        <f>VLOOKUP(A1,DIV_03Data!$A$1:$DZU$1000000,1219,FALSE)</f>
        <v>#N/A</v>
      </c>
      <c r="L72" s="93" t="e">
        <f>VLOOKUP(A1,DIV_03Data!$A$1:$DZU$1000000,1220,FALSE)</f>
        <v>#N/A</v>
      </c>
      <c r="M72" s="33" t="e">
        <f>VLOOKUP(A1,DIV_03Data!$A$1:$DZU$1000000,1221,FALSE)</f>
        <v>#N/A</v>
      </c>
      <c r="N72" s="34" t="e">
        <f>VLOOKUP(A1,DIV_03Data!$A$1:$DZU$1000000,1222,FALSE)</f>
        <v>#N/A</v>
      </c>
      <c r="O72" s="33" t="e">
        <f>VLOOKUP(A1,DIV_03Data!$A$1:$DZU$1000000,1223,FALSE)</f>
        <v>#N/A</v>
      </c>
      <c r="P72" s="46" t="e">
        <f>VLOOKUP(A1,DIV_03Data!$A$1:$DZU$1000000,1224,FALSE)</f>
        <v>#N/A</v>
      </c>
      <c r="Q72" s="33" t="e">
        <f>VLOOKUP(A1,DIV_03Data!$A$1:$DZU$1000000,1225,FALSE)</f>
        <v>#N/A</v>
      </c>
    </row>
    <row r="73" spans="1:17" x14ac:dyDescent="0.35">
      <c r="A73" s="22" t="e">
        <f>VLOOKUP(A1,DIV_03Data!$A$1:$DZU$1000000,1226,FALSE)</f>
        <v>#N/A</v>
      </c>
      <c r="B73" s="37" t="e">
        <f>VLOOKUP(A1,DIV_03Data!$A$1:$DZU$1000000,1227,FALSE)</f>
        <v>#N/A</v>
      </c>
      <c r="C73" s="38" t="e">
        <f>VLOOKUP(A1,DIV_03Data!$A$1:$DZU$1000000,1228,FALSE)</f>
        <v>#N/A</v>
      </c>
      <c r="D73" s="31" t="e">
        <f>VLOOKUP(A1,DIV_03Data!$A$1:$DZU$1000000,1229,FALSE)</f>
        <v>#N/A</v>
      </c>
      <c r="E73" s="32" t="e">
        <f>VLOOKUP(A1,DIV_03Data!$A$1:$DZU$1000000,1230,FALSE)</f>
        <v>#N/A</v>
      </c>
      <c r="F73" s="34" t="e">
        <f>VLOOKUP(A1,DIV_03Data!$A$1:$DZU$1000000,1231,FALSE)</f>
        <v>#N/A</v>
      </c>
      <c r="G73" s="33" t="e">
        <f>VLOOKUP(A1,DIV_03Data!$A$1:$DZU$1000000,1232,FALSE)</f>
        <v>#N/A</v>
      </c>
      <c r="H73" s="34" t="e">
        <f>VLOOKUP(A1,DIV_03Data!$A$1:$DZU$1000000,1233,FALSE)</f>
        <v>#N/A</v>
      </c>
      <c r="I73" s="33" t="e">
        <f>VLOOKUP(A1,DIV_03Data!$A$1:$DZU$1000000,1234,FALSE)</f>
        <v>#N/A</v>
      </c>
      <c r="J73" s="34" t="e">
        <f>VLOOKUP(A1,DIV_03Data!$A$1:$DZU$1000000,1235,FALSE)</f>
        <v>#N/A</v>
      </c>
      <c r="K73" s="34" t="e">
        <f>VLOOKUP(A1,DIV_03Data!$A$1:$DZU$1000000,1236,FALSE)</f>
        <v>#N/A</v>
      </c>
      <c r="L73" s="93" t="e">
        <f>VLOOKUP(A1,DIV_03Data!$A$1:$DZU$1000000,1237,FALSE)</f>
        <v>#N/A</v>
      </c>
      <c r="M73" s="33" t="e">
        <f>VLOOKUP(A1,DIV_03Data!$A$1:$DZU$1000000,1238,FALSE)</f>
        <v>#N/A</v>
      </c>
      <c r="N73" s="34" t="e">
        <f>VLOOKUP(A1,DIV_03Data!$A$1:$DZU$1000000,1239,FALSE)</f>
        <v>#N/A</v>
      </c>
      <c r="O73" s="33" t="e">
        <f>VLOOKUP(A1,DIV_03Data!$A$1:$DZU$1000000,1240,FALSE)</f>
        <v>#N/A</v>
      </c>
      <c r="P73" s="46" t="e">
        <f>VLOOKUP(A1,DIV_03Data!$A$1:$DZU$1000000,1241,FALSE)</f>
        <v>#N/A</v>
      </c>
      <c r="Q73" s="33" t="e">
        <f>VLOOKUP(A1,DIV_03Data!$A$1:$DZU$1000000,1242,FALSE)</f>
        <v>#N/A</v>
      </c>
    </row>
    <row r="74" spans="1:17" x14ac:dyDescent="0.35">
      <c r="A74" s="22" t="e">
        <f>VLOOKUP(A1,DIV_03Data!$A$1:$DZU$1000000,1243,FALSE)</f>
        <v>#N/A</v>
      </c>
      <c r="B74" s="37" t="e">
        <f>VLOOKUP(A1,DIV_03Data!$A$1:$DZU$1000000,1244,FALSE)</f>
        <v>#N/A</v>
      </c>
      <c r="C74" s="38" t="e">
        <f>VLOOKUP(A1,DIV_03Data!$A$1:$DZU$1000000,1245,FALSE)</f>
        <v>#N/A</v>
      </c>
      <c r="D74" s="31" t="e">
        <f>VLOOKUP(A1,DIV_03Data!$A$1:$DZU$1000000,1246,FALSE)</f>
        <v>#N/A</v>
      </c>
      <c r="E74" s="32" t="e">
        <f>VLOOKUP(A1,DIV_03Data!$A$1:$DZU$1000000,1247,FALSE)</f>
        <v>#N/A</v>
      </c>
      <c r="F74" s="34" t="e">
        <f>VLOOKUP(A1,DIV_03Data!$A$1:$DZU$1000000,1248,FALSE)</f>
        <v>#N/A</v>
      </c>
      <c r="G74" s="33" t="e">
        <f>VLOOKUP(A1,DIV_03Data!$A$1:$DZU$1000000,1249,FALSE)</f>
        <v>#N/A</v>
      </c>
      <c r="H74" s="34" t="e">
        <f>VLOOKUP(A1,DIV_03Data!$A$1:$DZU$1000000,1250,FALSE)</f>
        <v>#N/A</v>
      </c>
      <c r="I74" s="33" t="e">
        <f>VLOOKUP(A1,DIV_03Data!$A$1:$DZU$1000000,1251,FALSE)</f>
        <v>#N/A</v>
      </c>
      <c r="J74" s="34" t="e">
        <f>VLOOKUP(A1,DIV_03Data!$A$1:$DZU$1000000,1252,FALSE)</f>
        <v>#N/A</v>
      </c>
      <c r="K74" s="34" t="e">
        <f>VLOOKUP(A1,DIV_03Data!$A$1:$DZU$1000000,1253,FALSE)</f>
        <v>#N/A</v>
      </c>
      <c r="L74" s="93" t="e">
        <f>VLOOKUP(A1,DIV_03Data!$A$1:$DZU$1000000,1254,FALSE)</f>
        <v>#N/A</v>
      </c>
      <c r="M74" s="33" t="e">
        <f>VLOOKUP(A1,DIV_03Data!$A$1:$DZU$1000000,1255,FALSE)</f>
        <v>#N/A</v>
      </c>
      <c r="N74" s="34" t="e">
        <f>VLOOKUP(A1,DIV_03Data!$A$1:$DZU$1000000,1256,FALSE)</f>
        <v>#N/A</v>
      </c>
      <c r="O74" s="33" t="e">
        <f>VLOOKUP(A1,DIV_03Data!$A$1:$DZU$1000000,1257,FALSE)</f>
        <v>#N/A</v>
      </c>
      <c r="P74" s="46" t="e">
        <f>VLOOKUP(A1,DIV_03Data!$A$1:$DZU$1000000,1258,FALSE)</f>
        <v>#N/A</v>
      </c>
      <c r="Q74" s="33" t="e">
        <f>VLOOKUP(A1,DIV_03Data!$A$1:$DZU$1000000,1259,FALSE)</f>
        <v>#N/A</v>
      </c>
    </row>
    <row r="75" spans="1:17" x14ac:dyDescent="0.35">
      <c r="A75" s="22" t="e">
        <f>VLOOKUP(A1,DIV_03Data!$A$1:$DZU$1000000,1260,FALSE)</f>
        <v>#N/A</v>
      </c>
      <c r="B75" s="37" t="e">
        <f>VLOOKUP(A1,DIV_03Data!$A$1:$DZU$1000000,1261,FALSE)</f>
        <v>#N/A</v>
      </c>
      <c r="C75" s="38" t="e">
        <f>VLOOKUP(A1,DIV_03Data!$A$1:$DZU$1000000,1262,FALSE)</f>
        <v>#N/A</v>
      </c>
      <c r="D75" s="31" t="e">
        <f>VLOOKUP(A1,DIV_03Data!$A$1:$DZU$1000000,1263,FALSE)</f>
        <v>#N/A</v>
      </c>
      <c r="E75" s="32" t="e">
        <f>VLOOKUP(A1,DIV_03Data!$A$1:$DZU$1000000,1264,FALSE)</f>
        <v>#N/A</v>
      </c>
      <c r="F75" s="34" t="e">
        <f>VLOOKUP(A1,DIV_03Data!$A$1:$DZU$1000000,1265,FALSE)</f>
        <v>#N/A</v>
      </c>
      <c r="G75" s="33" t="e">
        <f>VLOOKUP(A1,DIV_03Data!$A$1:$DZU$1000000,1266,FALSE)</f>
        <v>#N/A</v>
      </c>
      <c r="H75" s="34" t="e">
        <f>VLOOKUP(A1,DIV_03Data!$A$1:$DZU$1000000,1267,FALSE)</f>
        <v>#N/A</v>
      </c>
      <c r="I75" s="33" t="e">
        <f>VLOOKUP(A1,DIV_03Data!$A$1:$DZU$1000000,1268,FALSE)</f>
        <v>#N/A</v>
      </c>
      <c r="J75" s="34" t="e">
        <f>VLOOKUP(A1,DIV_03Data!$A$1:$DZU$1000000,1269,FALSE)</f>
        <v>#N/A</v>
      </c>
      <c r="K75" s="34" t="e">
        <f>VLOOKUP(A1,DIV_03Data!$A$1:$DZU$1000000,1270,FALSE)</f>
        <v>#N/A</v>
      </c>
      <c r="L75" s="93" t="e">
        <f>VLOOKUP(A1,DIV_03Data!$A$1:$DZU$1000000,1271,FALSE)</f>
        <v>#N/A</v>
      </c>
      <c r="M75" s="33" t="e">
        <f>VLOOKUP(A1,DIV_03Data!$A$1:$DZU$1000000,1272,FALSE)</f>
        <v>#N/A</v>
      </c>
      <c r="N75" s="34" t="e">
        <f>VLOOKUP(A1,DIV_03Data!$A$1:$DZU$1000000,1273,FALSE)</f>
        <v>#N/A</v>
      </c>
      <c r="O75" s="33" t="e">
        <f>VLOOKUP(A1,DIV_03Data!$A$1:$DZU$1000000,1274,FALSE)</f>
        <v>#N/A</v>
      </c>
      <c r="P75" s="46" t="e">
        <f>VLOOKUP(A1,DIV_03Data!$A$1:$DZU$1000000,1275,FALSE)</f>
        <v>#N/A</v>
      </c>
      <c r="Q75" s="33" t="e">
        <f>VLOOKUP(A1,DIV_03Data!$A$1:$DZU$1000000,1276,FALSE)</f>
        <v>#N/A</v>
      </c>
    </row>
    <row r="76" spans="1:17" x14ac:dyDescent="0.35">
      <c r="A76" s="22" t="e">
        <f>VLOOKUP(A1,DIV_03Data!$A$1:$DZU$1000000,1277,FALSE)</f>
        <v>#N/A</v>
      </c>
      <c r="B76" s="37" t="e">
        <f>VLOOKUP(A1,DIV_03Data!$A$1:$DZU$1000000,1278,FALSE)</f>
        <v>#N/A</v>
      </c>
      <c r="C76" s="38" t="e">
        <f>VLOOKUP(A1,DIV_03Data!$A$1:$DZU$1000000,1279,FALSE)</f>
        <v>#N/A</v>
      </c>
      <c r="D76" s="31" t="e">
        <f>VLOOKUP(A1,DIV_03Data!$A$1:$DZU$1000000,1280,FALSE)</f>
        <v>#N/A</v>
      </c>
      <c r="E76" s="32" t="e">
        <f>VLOOKUP(A1,DIV_03Data!$A$1:$DZU$1000000,1281,FALSE)</f>
        <v>#N/A</v>
      </c>
      <c r="F76" s="34" t="e">
        <f>VLOOKUP(A1,DIV_03Data!$A$1:$DZU$1000000,1282,FALSE)</f>
        <v>#N/A</v>
      </c>
      <c r="G76" s="33" t="e">
        <f>VLOOKUP(A1,DIV_03Data!$A$1:$DZU$1000000,1283,FALSE)</f>
        <v>#N/A</v>
      </c>
      <c r="H76" s="34" t="e">
        <f>VLOOKUP(A1,DIV_03Data!$A$1:$DZU$1000000,1284,FALSE)</f>
        <v>#N/A</v>
      </c>
      <c r="I76" s="33" t="e">
        <f>VLOOKUP(A1,DIV_03Data!$A$1:$DZU$1000000,1285,FALSE)</f>
        <v>#N/A</v>
      </c>
      <c r="J76" s="34" t="e">
        <f>VLOOKUP(A1,DIV_03Data!$A$1:$DZU$1000000,1286,FALSE)</f>
        <v>#N/A</v>
      </c>
      <c r="K76" s="34" t="e">
        <f>VLOOKUP(A1,DIV_03Data!$A$1:$DZU$1000000,1287,FALSE)</f>
        <v>#N/A</v>
      </c>
      <c r="L76" s="93" t="e">
        <f>VLOOKUP(A1,DIV_03Data!$A$1:$DZU$1000000,1288,FALSE)</f>
        <v>#N/A</v>
      </c>
      <c r="M76" s="33" t="e">
        <f>VLOOKUP(A1,DIV_03Data!$A$1:$DZU$1000000,1289,FALSE)</f>
        <v>#N/A</v>
      </c>
      <c r="N76" s="34" t="e">
        <f>VLOOKUP(A1,DIV_03Data!$A$1:$DZU$1000000,1290,FALSE)</f>
        <v>#N/A</v>
      </c>
      <c r="O76" s="33" t="e">
        <f>VLOOKUP(A1,DIV_03Data!$A$1:$DZU$1000000,1291,FALSE)</f>
        <v>#N/A</v>
      </c>
      <c r="P76" s="46" t="e">
        <f>VLOOKUP(A1,DIV_03Data!$A$1:$DZU$1000000,1292,FALSE)</f>
        <v>#N/A</v>
      </c>
      <c r="Q76" s="33" t="e">
        <f>VLOOKUP(A1,DIV_03Data!$A$1:$DZU$1000000,1293,FALSE)</f>
        <v>#N/A</v>
      </c>
    </row>
    <row r="77" spans="1:17" x14ac:dyDescent="0.35">
      <c r="A77" s="22" t="e">
        <f>VLOOKUP(A1,DIV_03Data!$A$1:$DZU$1000000,1294,FALSE)</f>
        <v>#N/A</v>
      </c>
      <c r="B77" s="37" t="e">
        <f>VLOOKUP(A1,DIV_03Data!$A$1:$DZU$1000000,1295,FALSE)</f>
        <v>#N/A</v>
      </c>
      <c r="C77" s="38" t="e">
        <f>VLOOKUP(A1,DIV_03Data!$A$1:$DZU$1000000,1296,FALSE)</f>
        <v>#N/A</v>
      </c>
      <c r="D77" s="31" t="e">
        <f>VLOOKUP(A1,DIV_03Data!$A$1:$DZU$1000000,1297,FALSE)</f>
        <v>#N/A</v>
      </c>
      <c r="E77" s="32" t="e">
        <f>VLOOKUP(A1,DIV_03Data!$A$1:$DZU$1000000,1298,FALSE)</f>
        <v>#N/A</v>
      </c>
      <c r="F77" s="34" t="e">
        <f>VLOOKUP(A1,DIV_03Data!$A$1:$DZU$1000000,1299,FALSE)</f>
        <v>#N/A</v>
      </c>
      <c r="G77" s="33" t="e">
        <f>VLOOKUP(A1,DIV_03Data!$A$1:$DZU$1000000,1300,FALSE)</f>
        <v>#N/A</v>
      </c>
      <c r="H77" s="34" t="e">
        <f>VLOOKUP(A1,DIV_03Data!$A$1:$DZU$1000000,1301,FALSE)</f>
        <v>#N/A</v>
      </c>
      <c r="I77" s="33" t="e">
        <f>VLOOKUP(A1,DIV_03Data!$A$1:$DZU$1000000,1302,FALSE)</f>
        <v>#N/A</v>
      </c>
      <c r="J77" s="34" t="e">
        <f>VLOOKUP(A1,DIV_03Data!$A$1:$DZU$1000000,1303,FALSE)</f>
        <v>#N/A</v>
      </c>
      <c r="K77" s="34" t="e">
        <f>VLOOKUP(A1,DIV_03Data!$A$1:$DZU$1000000,1304,FALSE)</f>
        <v>#N/A</v>
      </c>
      <c r="L77" s="93" t="e">
        <f>VLOOKUP(A1,DIV_03Data!$A$1:$DZU$1000000,1305,FALSE)</f>
        <v>#N/A</v>
      </c>
      <c r="M77" s="33" t="e">
        <f>VLOOKUP(A1,DIV_03Data!$A$1:$DZU$1000000,1306,FALSE)</f>
        <v>#N/A</v>
      </c>
      <c r="N77" s="34" t="e">
        <f>VLOOKUP(A1,DIV_03Data!$A$1:$DZU$1000000,1307,FALSE)</f>
        <v>#N/A</v>
      </c>
      <c r="O77" s="33" t="e">
        <f>VLOOKUP(A1,DIV_03Data!$A$1:$DZU$1000000,1308,FALSE)</f>
        <v>#N/A</v>
      </c>
      <c r="P77" s="46" t="e">
        <f>VLOOKUP(A1,DIV_03Data!$A$1:$DZU$1000000,1309,FALSE)</f>
        <v>#N/A</v>
      </c>
      <c r="Q77" s="33" t="e">
        <f>VLOOKUP(A1,DIV_03Data!$A$1:$DZU$1000000,1310,FALSE)</f>
        <v>#N/A</v>
      </c>
    </row>
    <row r="78" spans="1:17" x14ac:dyDescent="0.35">
      <c r="A78" s="22" t="e">
        <f>VLOOKUP(A1,DIV_03Data!$A$1:$DZU$1000000,1311,FALSE)</f>
        <v>#N/A</v>
      </c>
      <c r="B78" s="37" t="e">
        <f>VLOOKUP(A1,DIV_03Data!$A$1:$DZU$1000000,1312,FALSE)</f>
        <v>#N/A</v>
      </c>
      <c r="C78" s="38" t="e">
        <f>VLOOKUP(A1,DIV_03Data!$A$1:$DZU$1000000,1313,FALSE)</f>
        <v>#N/A</v>
      </c>
      <c r="D78" s="31" t="e">
        <f>VLOOKUP(A1,DIV_03Data!$A$1:$DZU$1000000,1314,FALSE)</f>
        <v>#N/A</v>
      </c>
      <c r="E78" s="32" t="e">
        <f>VLOOKUP(A1,DIV_03Data!$A$1:$DZU$1000000,1315,FALSE)</f>
        <v>#N/A</v>
      </c>
      <c r="F78" s="34" t="e">
        <f>VLOOKUP(A1,DIV_03Data!$A$1:$DZU$1000000,1316,FALSE)</f>
        <v>#N/A</v>
      </c>
      <c r="G78" s="33" t="e">
        <f>VLOOKUP(A1,DIV_03Data!$A$1:$DZU$1000000,1317,FALSE)</f>
        <v>#N/A</v>
      </c>
      <c r="H78" s="34" t="e">
        <f>VLOOKUP(A1,DIV_03Data!$A$1:$DZU$1000000,1318,FALSE)</f>
        <v>#N/A</v>
      </c>
      <c r="I78" s="33" t="e">
        <f>VLOOKUP(A1,DIV_03Data!$A$1:$DZU$1000000,1319,FALSE)</f>
        <v>#N/A</v>
      </c>
      <c r="J78" s="34" t="e">
        <f>VLOOKUP(A1,DIV_03Data!$A$1:$DZU$1000000,1320,FALSE)</f>
        <v>#N/A</v>
      </c>
      <c r="K78" s="34" t="e">
        <f>VLOOKUP(A1,DIV_03Data!$A$1:$DZU$1000000,1321,FALSE)</f>
        <v>#N/A</v>
      </c>
      <c r="L78" s="93" t="e">
        <f>VLOOKUP(A1,DIV_03Data!$A$1:$DZU$1000000,1322,FALSE)</f>
        <v>#N/A</v>
      </c>
      <c r="M78" s="33" t="e">
        <f>VLOOKUP(A1,DIV_03Data!$A$1:$DZU$1000000,1323,FALSE)</f>
        <v>#N/A</v>
      </c>
      <c r="N78" s="34" t="e">
        <f>VLOOKUP(A1,DIV_03Data!$A$1:$DZU$1000000,1324,FALSE)</f>
        <v>#N/A</v>
      </c>
      <c r="O78" s="33" t="e">
        <f>VLOOKUP(A1,DIV_03Data!$A$1:$DZU$1000000,1325,FALSE)</f>
        <v>#N/A</v>
      </c>
      <c r="P78" s="46" t="e">
        <f>VLOOKUP(A1,DIV_03Data!$A$1:$DZU$1000000,1326,FALSE)</f>
        <v>#N/A</v>
      </c>
      <c r="Q78" s="33" t="e">
        <f>VLOOKUP(A1,DIV_03Data!$A$1:$DZU$1000000,1327,FALSE)</f>
        <v>#N/A</v>
      </c>
    </row>
    <row r="79" spans="1:17" x14ac:dyDescent="0.35">
      <c r="A79" s="22" t="e">
        <f>VLOOKUP(A1,DIV_03Data!$A$1:$DZU$1000000,1328,FALSE)</f>
        <v>#N/A</v>
      </c>
      <c r="B79" s="37" t="e">
        <f>VLOOKUP(A1,DIV_03Data!$A$1:$DZU$1000000,1329,FALSE)</f>
        <v>#N/A</v>
      </c>
      <c r="C79" s="38" t="e">
        <f>VLOOKUP(A1,DIV_03Data!$A$1:$DZU$1000000,1330,FALSE)</f>
        <v>#N/A</v>
      </c>
      <c r="D79" s="31" t="e">
        <f>VLOOKUP(A1,DIV_03Data!$A$1:$DZU$1000000,1331,FALSE)</f>
        <v>#N/A</v>
      </c>
      <c r="E79" s="32" t="e">
        <f>VLOOKUP(A1,DIV_03Data!$A$1:$DZU$1000000,1332,FALSE)</f>
        <v>#N/A</v>
      </c>
      <c r="F79" s="34" t="e">
        <f>VLOOKUP(A1,DIV_03Data!$A$1:$DZU$1000000,1333,FALSE)</f>
        <v>#N/A</v>
      </c>
      <c r="G79" s="33" t="e">
        <f>VLOOKUP(A1,DIV_03Data!$A$1:$DZU$1000000,1334,FALSE)</f>
        <v>#N/A</v>
      </c>
      <c r="H79" s="34" t="e">
        <f>VLOOKUP(A1,DIV_03Data!$A$1:$DZU$1000000,1335,FALSE)</f>
        <v>#N/A</v>
      </c>
      <c r="I79" s="33" t="e">
        <f>VLOOKUP(A1,DIV_03Data!$A$1:$DZU$1000000,1336,FALSE)</f>
        <v>#N/A</v>
      </c>
      <c r="J79" s="34" t="e">
        <f>VLOOKUP(A1,DIV_03Data!$A$1:$DZU$1000000,1337,FALSE)</f>
        <v>#N/A</v>
      </c>
      <c r="K79" s="34" t="e">
        <f>VLOOKUP(A1,DIV_03Data!$A$1:$DZU$1000000,1338,FALSE)</f>
        <v>#N/A</v>
      </c>
      <c r="L79" s="93" t="e">
        <f>VLOOKUP(A1,DIV_03Data!$A$1:$DZU$1000000,1339,FALSE)</f>
        <v>#N/A</v>
      </c>
      <c r="M79" s="33" t="e">
        <f>VLOOKUP(A1,DIV_03Data!$A$1:$DZU$1000000,1340,FALSE)</f>
        <v>#N/A</v>
      </c>
      <c r="N79" s="34" t="e">
        <f>VLOOKUP(A1,DIV_03Data!$A$1:$DZU$1000000,1341,FALSE)</f>
        <v>#N/A</v>
      </c>
      <c r="O79" s="33" t="e">
        <f>VLOOKUP(A1,DIV_03Data!$A$1:$DZU$1000000,1342,FALSE)</f>
        <v>#N/A</v>
      </c>
      <c r="P79" s="46" t="e">
        <f>VLOOKUP(A1,DIV_03Data!$A$1:$DZU$1000000,1343,FALSE)</f>
        <v>#N/A</v>
      </c>
      <c r="Q79" s="33" t="e">
        <f>VLOOKUP(A1,DIV_03Data!$A$1:$DZU$1000000,1344,FALSE)</f>
        <v>#N/A</v>
      </c>
    </row>
    <row r="80" spans="1:17" x14ac:dyDescent="0.35">
      <c r="A80" s="22" t="e">
        <f>VLOOKUP(A1,DIV_03Data!$A$1:$DZU$1000000,1345,FALSE)</f>
        <v>#N/A</v>
      </c>
      <c r="B80" s="37" t="e">
        <f>VLOOKUP(A1,DIV_03Data!$A$1:$DZU$1000000,1346,FALSE)</f>
        <v>#N/A</v>
      </c>
      <c r="C80" s="38" t="e">
        <f>VLOOKUP(A1,DIV_03Data!$A$1:$DZU$1000000,1347,FALSE)</f>
        <v>#N/A</v>
      </c>
      <c r="D80" s="31" t="e">
        <f>VLOOKUP(A1,DIV_03Data!$A$1:$DZU$1000000,1348,FALSE)</f>
        <v>#N/A</v>
      </c>
      <c r="E80" s="32" t="e">
        <f>VLOOKUP(A1,DIV_03Data!$A$1:$DZU$1000000,1349,FALSE)</f>
        <v>#N/A</v>
      </c>
      <c r="F80" s="34" t="e">
        <f>VLOOKUP(A1,DIV_03Data!$A$1:$DZU$1000000,1350,FALSE)</f>
        <v>#N/A</v>
      </c>
      <c r="G80" s="33" t="e">
        <f>VLOOKUP(A1,DIV_03Data!$A$1:$DZU$1000000,1351,FALSE)</f>
        <v>#N/A</v>
      </c>
      <c r="H80" s="34" t="e">
        <f>VLOOKUP(A1,DIV_03Data!$A$1:$DZU$1000000,1352,FALSE)</f>
        <v>#N/A</v>
      </c>
      <c r="I80" s="33" t="e">
        <f>VLOOKUP(A1,DIV_03Data!$A$1:$DZU$1000000,1353,FALSE)</f>
        <v>#N/A</v>
      </c>
      <c r="J80" s="34" t="e">
        <f>VLOOKUP(A1,DIV_03Data!$A$1:$DZU$1000000,1354,FALSE)</f>
        <v>#N/A</v>
      </c>
      <c r="K80" s="34" t="e">
        <f>VLOOKUP(A1,DIV_03Data!$A$1:$DZU$1000000,1355,FALSE)</f>
        <v>#N/A</v>
      </c>
      <c r="L80" s="93" t="e">
        <f>VLOOKUP(A1,DIV_03Data!$A$1:$DZU$1000000,1356,FALSE)</f>
        <v>#N/A</v>
      </c>
      <c r="M80" s="33" t="e">
        <f>VLOOKUP(A1,DIV_03Data!$A$1:$DZU$1000000,1357,FALSE)</f>
        <v>#N/A</v>
      </c>
      <c r="N80" s="34" t="e">
        <f>VLOOKUP(A1,DIV_03Data!$A$1:$DZU$1000000,1358,FALSE)</f>
        <v>#N/A</v>
      </c>
      <c r="O80" s="33" t="e">
        <f>VLOOKUP(A1,DIV_03Data!$A$1:$DZU$1000000,1359,FALSE)</f>
        <v>#N/A</v>
      </c>
      <c r="P80" s="46" t="e">
        <f>VLOOKUP(A1,DIV_03Data!$A$1:$DZU$1000000,1360,FALSE)</f>
        <v>#N/A</v>
      </c>
      <c r="Q80" s="33" t="e">
        <f>VLOOKUP(A1,DIV_03Data!$A$1:$DZU$1000000,1361,FALSE)</f>
        <v>#N/A</v>
      </c>
    </row>
    <row r="81" spans="1:17" x14ac:dyDescent="0.35">
      <c r="A81" s="22" t="e">
        <f>VLOOKUP(A1,DIV_03Data!$A$1:$DZU$1000000,1362,FALSE)</f>
        <v>#N/A</v>
      </c>
      <c r="B81" s="37" t="e">
        <f>VLOOKUP(A1,DIV_03Data!$A$1:$DZU$1000000,1363,FALSE)</f>
        <v>#N/A</v>
      </c>
      <c r="C81" s="38" t="e">
        <f>VLOOKUP(A1,DIV_03Data!$A$1:$DZU$1000000,1364,FALSE)</f>
        <v>#N/A</v>
      </c>
      <c r="D81" s="31" t="e">
        <f>VLOOKUP(A1,DIV_03Data!$A$1:$DZU$1000000,1365,FALSE)</f>
        <v>#N/A</v>
      </c>
      <c r="E81" s="32" t="e">
        <f>VLOOKUP(A1,DIV_03Data!$A$1:$DZU$1000000,1366,FALSE)</f>
        <v>#N/A</v>
      </c>
      <c r="F81" s="34" t="e">
        <f>VLOOKUP(A1,DIV_03Data!$A$1:$DZU$1000000,1367,FALSE)</f>
        <v>#N/A</v>
      </c>
      <c r="G81" s="33" t="e">
        <f>VLOOKUP(A1,DIV_03Data!$A$1:$DZU$1000000,1368,FALSE)</f>
        <v>#N/A</v>
      </c>
      <c r="H81" s="34" t="e">
        <f>VLOOKUP(A1,DIV_03Data!$A$1:$DZU$1000000,1369,FALSE)</f>
        <v>#N/A</v>
      </c>
      <c r="I81" s="33" t="e">
        <f>VLOOKUP(A1,DIV_03Data!$A$1:$DZU$1000000,1370,FALSE)</f>
        <v>#N/A</v>
      </c>
      <c r="J81" s="34" t="e">
        <f>VLOOKUP(A1,DIV_03Data!$A$1:$DZU$1000000,1371,FALSE)</f>
        <v>#N/A</v>
      </c>
      <c r="K81" s="34" t="e">
        <f>VLOOKUP(A1,DIV_03Data!$A$1:$DZU$1000000,1372,FALSE)</f>
        <v>#N/A</v>
      </c>
      <c r="L81" s="93" t="e">
        <f>VLOOKUP(A1,DIV_03Data!$A$1:$DZU$1000000,1373,FALSE)</f>
        <v>#N/A</v>
      </c>
      <c r="M81" s="33" t="e">
        <f>VLOOKUP(A1,DIV_03Data!$A$1:$DZU$1000000,1374,FALSE)</f>
        <v>#N/A</v>
      </c>
      <c r="N81" s="34" t="e">
        <f>VLOOKUP(A1,DIV_03Data!$A$1:$DZU$1000000,1375,FALSE)</f>
        <v>#N/A</v>
      </c>
      <c r="O81" s="33" t="e">
        <f>VLOOKUP(A1,DIV_03Data!$A$1:$DZU$1000000,1376,FALSE)</f>
        <v>#N/A</v>
      </c>
      <c r="P81" s="46" t="e">
        <f>VLOOKUP(A1,DIV_03Data!$A$1:$DZU$1000000,1377,FALSE)</f>
        <v>#N/A</v>
      </c>
      <c r="Q81" s="33" t="e">
        <f>VLOOKUP(A1,DIV_03Data!$A$1:$DZU$1000000,1378,FALSE)</f>
        <v>#N/A</v>
      </c>
    </row>
    <row r="82" spans="1:17" x14ac:dyDescent="0.35">
      <c r="A82" s="22" t="e">
        <f>VLOOKUP(A1,DIV_03Data!$A$1:$DZU$1000000,1379,FALSE)</f>
        <v>#N/A</v>
      </c>
      <c r="B82" s="37" t="e">
        <f>VLOOKUP(A1,DIV_03Data!$A$1:$DZU$1000000,1380,FALSE)</f>
        <v>#N/A</v>
      </c>
      <c r="C82" s="38" t="e">
        <f>VLOOKUP(A1,DIV_03Data!$A$1:$DZU$1000000,1381,FALSE)</f>
        <v>#N/A</v>
      </c>
      <c r="D82" s="31" t="e">
        <f>VLOOKUP(A1,DIV_03Data!$A$1:$DZU$1000000,1382,FALSE)</f>
        <v>#N/A</v>
      </c>
      <c r="E82" s="32" t="e">
        <f>VLOOKUP(A1,DIV_03Data!$A$1:$DZU$1000000,1383,FALSE)</f>
        <v>#N/A</v>
      </c>
      <c r="F82" s="34" t="e">
        <f>VLOOKUP(A1,DIV_03Data!$A$1:$DZU$1000000,1384,FALSE)</f>
        <v>#N/A</v>
      </c>
      <c r="G82" s="33" t="e">
        <f>VLOOKUP(A1,DIV_03Data!$A$1:$DZU$1000000,1385,FALSE)</f>
        <v>#N/A</v>
      </c>
      <c r="H82" s="34" t="e">
        <f>VLOOKUP(A1,DIV_03Data!$A$1:$DZU$1000000,1386,FALSE)</f>
        <v>#N/A</v>
      </c>
      <c r="I82" s="33" t="e">
        <f>VLOOKUP(A1,DIV_03Data!$A$1:$DZU$1000000,1387,FALSE)</f>
        <v>#N/A</v>
      </c>
      <c r="J82" s="34" t="e">
        <f>VLOOKUP(A1,DIV_03Data!$A$1:$DZU$1000000,1388,FALSE)</f>
        <v>#N/A</v>
      </c>
      <c r="K82" s="34" t="e">
        <f>VLOOKUP(A1,DIV_03Data!$A$1:$DZU$1000000,1389,FALSE)</f>
        <v>#N/A</v>
      </c>
      <c r="L82" s="93" t="e">
        <f>VLOOKUP(A1,DIV_03Data!$A$1:$DZU$1000000,1390,FALSE)</f>
        <v>#N/A</v>
      </c>
      <c r="M82" s="33" t="e">
        <f>VLOOKUP(A1,DIV_03Data!$A$1:$DZU$1000000,1391,FALSE)</f>
        <v>#N/A</v>
      </c>
      <c r="N82" s="34" t="e">
        <f>VLOOKUP(A1,DIV_03Data!$A$1:$DZU$1000000,1392,FALSE)</f>
        <v>#N/A</v>
      </c>
      <c r="O82" s="33" t="e">
        <f>VLOOKUP(A1,DIV_03Data!$A$1:$DZU$1000000,1393,FALSE)</f>
        <v>#N/A</v>
      </c>
      <c r="P82" s="46" t="e">
        <f>VLOOKUP(A1,DIV_03Data!$A$1:$DZU$1000000,1394,FALSE)</f>
        <v>#N/A</v>
      </c>
      <c r="Q82" s="33" t="e">
        <f>VLOOKUP(A1,DIV_03Data!$A$1:$DZU$1000000,1395,FALSE)</f>
        <v>#N/A</v>
      </c>
    </row>
    <row r="83" spans="1:17" x14ac:dyDescent="0.35">
      <c r="A83" s="22" t="e">
        <f>VLOOKUP(A1,DIV_03Data!$A$1:$DZU$1000000,1396,FALSE)</f>
        <v>#N/A</v>
      </c>
      <c r="B83" s="37" t="e">
        <f>VLOOKUP(A1,DIV_03Data!$A$1:$DZU$1000000,1397,FALSE)</f>
        <v>#N/A</v>
      </c>
      <c r="C83" s="38" t="e">
        <f>VLOOKUP(A1,DIV_03Data!$A$1:$DZU$1000000,1398,FALSE)</f>
        <v>#N/A</v>
      </c>
      <c r="D83" s="31" t="e">
        <f>VLOOKUP(A1,DIV_03Data!$A$1:$DZU$1000000,1399,FALSE)</f>
        <v>#N/A</v>
      </c>
      <c r="E83" s="32" t="e">
        <f>VLOOKUP(A1,DIV_03Data!$A$1:$DZU$1000000,1400,FALSE)</f>
        <v>#N/A</v>
      </c>
      <c r="F83" s="34" t="e">
        <f>VLOOKUP(A1,DIV_03Data!$A$1:$DZU$1000000,1401,FALSE)</f>
        <v>#N/A</v>
      </c>
      <c r="G83" s="33" t="e">
        <f>VLOOKUP(A1,DIV_03Data!$A$1:$DZU$1000000,1402,FALSE)</f>
        <v>#N/A</v>
      </c>
      <c r="H83" s="34" t="e">
        <f>VLOOKUP(A1,DIV_03Data!$A$1:$DZU$1000000,1403,FALSE)</f>
        <v>#N/A</v>
      </c>
      <c r="I83" s="33" t="e">
        <f>VLOOKUP(A1,DIV_03Data!$A$1:$DZU$1000000,1404,FALSE)</f>
        <v>#N/A</v>
      </c>
      <c r="J83" s="34" t="e">
        <f>VLOOKUP(A1,DIV_03Data!$A$1:$DZU$1000000,1405,FALSE)</f>
        <v>#N/A</v>
      </c>
      <c r="K83" s="34" t="e">
        <f>VLOOKUP(A1,DIV_03Data!$A$1:$DZU$1000000,1406,FALSE)</f>
        <v>#N/A</v>
      </c>
      <c r="L83" s="93" t="e">
        <f>VLOOKUP(A1,DIV_03Data!$A$1:$DZU$1000000,1407,FALSE)</f>
        <v>#N/A</v>
      </c>
      <c r="M83" s="33" t="e">
        <f>VLOOKUP(A1,DIV_03Data!$A$1:$DZU$1000000,1408,FALSE)</f>
        <v>#N/A</v>
      </c>
      <c r="N83" s="34" t="e">
        <f>VLOOKUP(A1,DIV_03Data!$A$1:$DZU$1000000,1409,FALSE)</f>
        <v>#N/A</v>
      </c>
      <c r="O83" s="33" t="e">
        <f>VLOOKUP(A1,DIV_03Data!$A$1:$DZU$1000000,1410,FALSE)</f>
        <v>#N/A</v>
      </c>
      <c r="P83" s="46" t="e">
        <f>VLOOKUP(A1,DIV_03Data!$A$1:$DZU$1000000,1411,FALSE)</f>
        <v>#N/A</v>
      </c>
      <c r="Q83" s="33" t="e">
        <f>VLOOKUP(A1,DIV_03Data!$A$1:$DZU$1000000,1412,FALSE)</f>
        <v>#N/A</v>
      </c>
    </row>
    <row r="84" spans="1:17" x14ac:dyDescent="0.35">
      <c r="A84" s="22" t="e">
        <f>VLOOKUP(A1,DIV_03Data!$A$1:$DZU$1000000,1413,FALSE)</f>
        <v>#N/A</v>
      </c>
      <c r="B84" s="37" t="e">
        <f>VLOOKUP(A1,DIV_03Data!$A$1:$DZU$1000000,1414,FALSE)</f>
        <v>#N/A</v>
      </c>
      <c r="C84" s="38" t="e">
        <f>VLOOKUP(A1,DIV_03Data!$A$1:$DZU$1000000,1415,FALSE)</f>
        <v>#N/A</v>
      </c>
      <c r="D84" s="31" t="e">
        <f>VLOOKUP(A1,DIV_03Data!$A$1:$DZU$1000000,1416,FALSE)</f>
        <v>#N/A</v>
      </c>
      <c r="E84" s="32" t="e">
        <f>VLOOKUP(A1,DIV_03Data!$A$1:$DZU$1000000,1417,FALSE)</f>
        <v>#N/A</v>
      </c>
      <c r="F84" s="34" t="e">
        <f>VLOOKUP(A1,DIV_03Data!$A$1:$DZU$1000000,1418,FALSE)</f>
        <v>#N/A</v>
      </c>
      <c r="G84" s="33" t="e">
        <f>VLOOKUP(A1,DIV_03Data!$A$1:$DZU$1000000,1419,FALSE)</f>
        <v>#N/A</v>
      </c>
      <c r="H84" s="34" t="e">
        <f>VLOOKUP(A1,DIV_03Data!$A$1:$DZU$1000000,1420,FALSE)</f>
        <v>#N/A</v>
      </c>
      <c r="I84" s="33" t="e">
        <f>VLOOKUP(A1,DIV_03Data!$A$1:$DZU$1000000,1421,FALSE)</f>
        <v>#N/A</v>
      </c>
      <c r="J84" s="34" t="e">
        <f>VLOOKUP(A1,DIV_03Data!$A$1:$DZU$1000000,1422,FALSE)</f>
        <v>#N/A</v>
      </c>
      <c r="K84" s="34" t="e">
        <f>VLOOKUP(A1,DIV_03Data!$A$1:$DZU$1000000,1423,FALSE)</f>
        <v>#N/A</v>
      </c>
      <c r="L84" s="93" t="e">
        <f>VLOOKUP(A1,DIV_03Data!$A$1:$DZU$1000000,1424,FALSE)</f>
        <v>#N/A</v>
      </c>
      <c r="M84" s="33" t="e">
        <f>VLOOKUP(A1,DIV_03Data!$A$1:$DZU$1000000,1425,FALSE)</f>
        <v>#N/A</v>
      </c>
      <c r="N84" s="34" t="e">
        <f>VLOOKUP(A1,DIV_03Data!$A$1:$DZU$1000000,1426,FALSE)</f>
        <v>#N/A</v>
      </c>
      <c r="O84" s="33" t="e">
        <f>VLOOKUP(A1,DIV_03Data!$A$1:$DZU$1000000,1427,FALSE)</f>
        <v>#N/A</v>
      </c>
      <c r="P84" s="46" t="e">
        <f>VLOOKUP(A1,DIV_03Data!$A$1:$DZU$1000000,1428,FALSE)</f>
        <v>#N/A</v>
      </c>
      <c r="Q84" s="33" t="e">
        <f>VLOOKUP(A1,DIV_03Data!$A$1:$DZU$1000000,1429,FALSE)</f>
        <v>#N/A</v>
      </c>
    </row>
    <row r="85" spans="1:17" x14ac:dyDescent="0.35">
      <c r="A85" s="22" t="e">
        <f>VLOOKUP(A1,DIV_03Data!$A$1:$DZU$1000000,1430,FALSE)</f>
        <v>#N/A</v>
      </c>
      <c r="B85" s="37" t="e">
        <f>VLOOKUP(A1,DIV_03Data!$A$1:$DZU$1000000,1431,FALSE)</f>
        <v>#N/A</v>
      </c>
      <c r="C85" s="38" t="e">
        <f>VLOOKUP(A1,DIV_03Data!$A$1:$DZU$1000000,1432,FALSE)</f>
        <v>#N/A</v>
      </c>
      <c r="D85" s="31" t="e">
        <f>VLOOKUP(A1,DIV_03Data!$A$1:$DZU$1000000,1433,FALSE)</f>
        <v>#N/A</v>
      </c>
      <c r="E85" s="32" t="e">
        <f>VLOOKUP(A1,DIV_03Data!$A$1:$DZU$1000000,1434,FALSE)</f>
        <v>#N/A</v>
      </c>
      <c r="F85" s="34" t="e">
        <f>VLOOKUP(A1,DIV_03Data!$A$1:$DZU$1000000,1435,FALSE)</f>
        <v>#N/A</v>
      </c>
      <c r="G85" s="33" t="e">
        <f>VLOOKUP(A1,DIV_03Data!$A$1:$DZU$1000000,1436,FALSE)</f>
        <v>#N/A</v>
      </c>
      <c r="H85" s="34" t="e">
        <f>VLOOKUP(A1,DIV_03Data!$A$1:$DZU$1000000,1437,FALSE)</f>
        <v>#N/A</v>
      </c>
      <c r="I85" s="33" t="e">
        <f>VLOOKUP(A1,DIV_03Data!$A$1:$DZU$1000000,1438,FALSE)</f>
        <v>#N/A</v>
      </c>
      <c r="J85" s="34" t="e">
        <f>VLOOKUP(A1,DIV_03Data!$A$1:$DZU$1000000,1439,FALSE)</f>
        <v>#N/A</v>
      </c>
      <c r="K85" s="34" t="e">
        <f>VLOOKUP(A1,DIV_03Data!$A$1:$DZU$1000000,1440,FALSE)</f>
        <v>#N/A</v>
      </c>
      <c r="L85" s="93" t="e">
        <f>VLOOKUP(A1,DIV_03Data!$A$1:$DZU$1000000,1441,FALSE)</f>
        <v>#N/A</v>
      </c>
      <c r="M85" s="33" t="e">
        <f>VLOOKUP(A1,DIV_03Data!$A$1:$DZU$1000000,1442,FALSE)</f>
        <v>#N/A</v>
      </c>
      <c r="N85" s="34" t="e">
        <f>VLOOKUP(A1,DIV_03Data!$A$1:$DZU$1000000,1443,FALSE)</f>
        <v>#N/A</v>
      </c>
      <c r="O85" s="33" t="e">
        <f>VLOOKUP(A1,DIV_03Data!$A$1:$DZU$1000000,1444,FALSE)</f>
        <v>#N/A</v>
      </c>
      <c r="P85" s="46" t="e">
        <f>VLOOKUP(A1,DIV_03Data!$A$1:$DZU$1000000,1445,FALSE)</f>
        <v>#N/A</v>
      </c>
      <c r="Q85" s="33" t="e">
        <f>VLOOKUP(A1,DIV_03Data!$A$1:$DZU$1000000,1446,FALSE)</f>
        <v>#N/A</v>
      </c>
    </row>
    <row r="86" spans="1:17" x14ac:dyDescent="0.35">
      <c r="A86" s="22" t="e">
        <f>VLOOKUP(A1,DIV_03Data!$A$1:$DZU$1000000,1447,FALSE)</f>
        <v>#N/A</v>
      </c>
      <c r="B86" s="37" t="e">
        <f>VLOOKUP(A1,DIV_03Data!$A$1:$DZU$1000000,1448,FALSE)</f>
        <v>#N/A</v>
      </c>
      <c r="C86" s="38" t="e">
        <f>VLOOKUP(A1,DIV_03Data!$A$1:$DZU$1000000,1449,FALSE)</f>
        <v>#N/A</v>
      </c>
      <c r="D86" s="31" t="e">
        <f>VLOOKUP(A1,DIV_03Data!$A$1:$DZU$1000000,1450,FALSE)</f>
        <v>#N/A</v>
      </c>
      <c r="E86" s="32" t="e">
        <f>VLOOKUP(A1,DIV_03Data!$A$1:$DZU$1000000,1451,FALSE)</f>
        <v>#N/A</v>
      </c>
      <c r="F86" s="34" t="e">
        <f>VLOOKUP(A1,DIV_03Data!$A$1:$DZU$1000000,1452,FALSE)</f>
        <v>#N/A</v>
      </c>
      <c r="G86" s="33" t="e">
        <f>VLOOKUP(A1,DIV_03Data!$A$1:$DZU$1000000,1453,FALSE)</f>
        <v>#N/A</v>
      </c>
      <c r="H86" s="34" t="e">
        <f>VLOOKUP(A1,DIV_03Data!$A$1:$DZU$1000000,1454,FALSE)</f>
        <v>#N/A</v>
      </c>
      <c r="I86" s="33" t="e">
        <f>VLOOKUP(A1,DIV_03Data!$A$1:$DZU$1000000,1455,FALSE)</f>
        <v>#N/A</v>
      </c>
      <c r="J86" s="34" t="e">
        <f>VLOOKUP(A1,DIV_03Data!$A$1:$DZU$1000000,1456,FALSE)</f>
        <v>#N/A</v>
      </c>
      <c r="K86" s="34" t="e">
        <f>VLOOKUP(A1,DIV_03Data!$A$1:$DZU$1000000,1457,FALSE)</f>
        <v>#N/A</v>
      </c>
      <c r="L86" s="93" t="e">
        <f>VLOOKUP(A1,DIV_03Data!$A$1:$DZU$1000000,1458,FALSE)</f>
        <v>#N/A</v>
      </c>
      <c r="M86" s="33" t="e">
        <f>VLOOKUP(A1,DIV_03Data!$A$1:$DZU$1000000,1459,FALSE)</f>
        <v>#N/A</v>
      </c>
      <c r="N86" s="34" t="e">
        <f>VLOOKUP(A1,DIV_03Data!$A$1:$DZU$1000000,1460,FALSE)</f>
        <v>#N/A</v>
      </c>
      <c r="O86" s="33" t="e">
        <f>VLOOKUP(A1,DIV_03Data!$A$1:$DZU$1000000,1461,FALSE)</f>
        <v>#N/A</v>
      </c>
      <c r="P86" s="46" t="e">
        <f>VLOOKUP(A1,DIV_03Data!$A$1:$DZU$1000000,1462,FALSE)</f>
        <v>#N/A</v>
      </c>
      <c r="Q86" s="33" t="e">
        <f>VLOOKUP(A1,DIV_03Data!$A$1:$DZU$1000000,1463,FALSE)</f>
        <v>#N/A</v>
      </c>
    </row>
    <row r="87" spans="1:17" x14ac:dyDescent="0.35">
      <c r="A87" s="22" t="e">
        <f>VLOOKUP(A1,DIV_03Data!$A$1:$DZU$1000000,1464,FALSE)</f>
        <v>#N/A</v>
      </c>
      <c r="B87" s="37" t="e">
        <f>VLOOKUP(A1,DIV_03Data!$A$1:$DZU$1000000,1465,FALSE)</f>
        <v>#N/A</v>
      </c>
      <c r="C87" s="38" t="e">
        <f>VLOOKUP(A1,DIV_03Data!$A$1:$DZU$1000000,1466,FALSE)</f>
        <v>#N/A</v>
      </c>
      <c r="D87" s="31" t="e">
        <f>VLOOKUP(A1,DIV_03Data!$A$1:$DZU$1000000,1467,FALSE)</f>
        <v>#N/A</v>
      </c>
      <c r="E87" s="32" t="e">
        <f>VLOOKUP(A1,DIV_03Data!$A$1:$DZU$1000000,1468,FALSE)</f>
        <v>#N/A</v>
      </c>
      <c r="F87" s="34" t="e">
        <f>VLOOKUP(A1,DIV_03Data!$A$1:$DZU$1000000,1469,FALSE)</f>
        <v>#N/A</v>
      </c>
      <c r="G87" s="33" t="e">
        <f>VLOOKUP(A1,DIV_03Data!$A$1:$DZU$1000000,1470,FALSE)</f>
        <v>#N/A</v>
      </c>
      <c r="H87" s="34" t="e">
        <f>VLOOKUP(A1,DIV_03Data!$A$1:$DZU$1000000,1471,FALSE)</f>
        <v>#N/A</v>
      </c>
      <c r="I87" s="33" t="e">
        <f>VLOOKUP(A1,DIV_03Data!$A$1:$DZU$1000000,1472,FALSE)</f>
        <v>#N/A</v>
      </c>
      <c r="J87" s="34" t="e">
        <f>VLOOKUP(A1,DIV_03Data!$A$1:$DZU$1000000,1473,FALSE)</f>
        <v>#N/A</v>
      </c>
      <c r="K87" s="34" t="e">
        <f>VLOOKUP(A1,DIV_03Data!$A$1:$DZU$1000000,1474,FALSE)</f>
        <v>#N/A</v>
      </c>
      <c r="L87" s="93" t="e">
        <f>VLOOKUP(A1,DIV_03Data!$A$1:$DZU$1000000,1475,FALSE)</f>
        <v>#N/A</v>
      </c>
      <c r="M87" s="33" t="e">
        <f>VLOOKUP(A1,DIV_03Data!$A$1:$DZU$1000000,1476,FALSE)</f>
        <v>#N/A</v>
      </c>
      <c r="N87" s="34" t="e">
        <f>VLOOKUP(A1,DIV_03Data!$A$1:$DZU$1000000,1477,FALSE)</f>
        <v>#N/A</v>
      </c>
      <c r="O87" s="33" t="e">
        <f>VLOOKUP(A1,DIV_03Data!$A$1:$DZU$1000000,1478,FALSE)</f>
        <v>#N/A</v>
      </c>
      <c r="P87" s="46" t="e">
        <f>VLOOKUP(A1,DIV_03Data!$A$1:$DZU$1000000,1479,FALSE)</f>
        <v>#N/A</v>
      </c>
      <c r="Q87" s="33" t="e">
        <f>VLOOKUP(A1,DIV_03Data!$A$1:$DZU$1000000,1480,FALSE)</f>
        <v>#N/A</v>
      </c>
    </row>
    <row r="88" spans="1:17" x14ac:dyDescent="0.35">
      <c r="A88" s="22" t="e">
        <f>VLOOKUP(A1,DIV_03Data!$A$1:$DZU$1000000,1481,FALSE)</f>
        <v>#N/A</v>
      </c>
      <c r="B88" s="37" t="e">
        <f>VLOOKUP(A1,DIV_03Data!$A$1:$DZU$1000000,1482,FALSE)</f>
        <v>#N/A</v>
      </c>
      <c r="C88" s="38" t="e">
        <f>VLOOKUP(A1,DIV_03Data!$A$1:$DZU$1000000,1483,FALSE)</f>
        <v>#N/A</v>
      </c>
      <c r="D88" s="31" t="e">
        <f>VLOOKUP(A1,DIV_03Data!$A$1:$DZU$1000000,1484,FALSE)</f>
        <v>#N/A</v>
      </c>
      <c r="E88" s="32" t="e">
        <f>VLOOKUP(A1,DIV_03Data!$A$1:$DZU$1000000,1485,FALSE)</f>
        <v>#N/A</v>
      </c>
      <c r="F88" s="34" t="e">
        <f>VLOOKUP(A1,DIV_03Data!$A$1:$DZU$1000000,1486,FALSE)</f>
        <v>#N/A</v>
      </c>
      <c r="G88" s="33" t="e">
        <f>VLOOKUP(A1,DIV_03Data!$A$1:$DZU$1000000,1487,FALSE)</f>
        <v>#N/A</v>
      </c>
      <c r="H88" s="34" t="e">
        <f>VLOOKUP(A1,DIV_03Data!$A$1:$DZU$1000000,1488,FALSE)</f>
        <v>#N/A</v>
      </c>
      <c r="I88" s="33" t="e">
        <f>VLOOKUP(A1,DIV_03Data!$A$1:$DZU$1000000,1489,FALSE)</f>
        <v>#N/A</v>
      </c>
      <c r="J88" s="34" t="e">
        <f>VLOOKUP(A1,DIV_03Data!$A$1:$DZU$1000000,1490,FALSE)</f>
        <v>#N/A</v>
      </c>
      <c r="K88" s="34" t="e">
        <f>VLOOKUP(A1,DIV_03Data!$A$1:$DZU$1000000,1491,FALSE)</f>
        <v>#N/A</v>
      </c>
      <c r="L88" s="93" t="e">
        <f>VLOOKUP(A1,DIV_03Data!$A$1:$DZU$1000000,1492,FALSE)</f>
        <v>#N/A</v>
      </c>
      <c r="M88" s="33" t="e">
        <f>VLOOKUP(A1,DIV_03Data!$A$1:$DZU$1000000,1493,FALSE)</f>
        <v>#N/A</v>
      </c>
      <c r="N88" s="34" t="e">
        <f>VLOOKUP(A1,DIV_03Data!$A$1:$DZU$1000000,1494,FALSE)</f>
        <v>#N/A</v>
      </c>
      <c r="O88" s="33" t="e">
        <f>VLOOKUP(A1,DIV_03Data!$A$1:$DZU$1000000,1495,FALSE)</f>
        <v>#N/A</v>
      </c>
      <c r="P88" s="46" t="e">
        <f>VLOOKUP(A1,DIV_03Data!$A$1:$DZU$1000000,1496,FALSE)</f>
        <v>#N/A</v>
      </c>
      <c r="Q88" s="33" t="e">
        <f>VLOOKUP(A1,DIV_03Data!$A$1:$DZU$1000000,1497,FALSE)</f>
        <v>#N/A</v>
      </c>
    </row>
    <row r="89" spans="1:17" x14ac:dyDescent="0.35">
      <c r="A89" s="22" t="e">
        <f>VLOOKUP(A1,DIV_03Data!$A$1:$DZU$1000000,1498,FALSE)</f>
        <v>#N/A</v>
      </c>
      <c r="B89" s="37" t="e">
        <f>VLOOKUP(A1,DIV_03Data!$A$1:$DZU$1000000,1499,FALSE)</f>
        <v>#N/A</v>
      </c>
      <c r="C89" s="38" t="e">
        <f>VLOOKUP(A1,DIV_03Data!$A$1:$DZU$1000000,1500,FALSE)</f>
        <v>#N/A</v>
      </c>
      <c r="D89" s="31" t="e">
        <f>VLOOKUP(A1,DIV_03Data!$A$1:$DZU$1000000,1501,FALSE)</f>
        <v>#N/A</v>
      </c>
      <c r="E89" s="32" t="e">
        <f>VLOOKUP(A1,DIV_03Data!$A$1:$DZU$1000000,1502,FALSE)</f>
        <v>#N/A</v>
      </c>
      <c r="F89" s="34" t="e">
        <f>VLOOKUP(A1,DIV_03Data!$A$1:$DZU$1000000,1503,FALSE)</f>
        <v>#N/A</v>
      </c>
      <c r="G89" s="33" t="e">
        <f>VLOOKUP(A1,DIV_03Data!$A$1:$DZU$1000000,1504,FALSE)</f>
        <v>#N/A</v>
      </c>
      <c r="H89" s="34" t="e">
        <f>VLOOKUP(A1,DIV_03Data!$A$1:$DZU$1000000,1505,FALSE)</f>
        <v>#N/A</v>
      </c>
      <c r="I89" s="33" t="e">
        <f>VLOOKUP(A1,DIV_03Data!$A$1:$DZU$1000000,1506,FALSE)</f>
        <v>#N/A</v>
      </c>
      <c r="J89" s="34" t="e">
        <f>VLOOKUP(A1,DIV_03Data!$A$1:$DZU$1000000,1507,FALSE)</f>
        <v>#N/A</v>
      </c>
      <c r="K89" s="34" t="e">
        <f>VLOOKUP(A1,DIV_03Data!$A$1:$DZU$1000000,1508,FALSE)</f>
        <v>#N/A</v>
      </c>
      <c r="L89" s="93" t="e">
        <f>VLOOKUP(A1,DIV_03Data!$A$1:$DZU$1000000,1509,FALSE)</f>
        <v>#N/A</v>
      </c>
      <c r="M89" s="33" t="e">
        <f>VLOOKUP(A1,DIV_03Data!$A$1:$DZU$1000000,1510,FALSE)</f>
        <v>#N/A</v>
      </c>
      <c r="N89" s="34" t="e">
        <f>VLOOKUP(A1,DIV_03Data!$A$1:$DZU$1000000,1511,FALSE)</f>
        <v>#N/A</v>
      </c>
      <c r="O89" s="33" t="e">
        <f>VLOOKUP(A1,DIV_03Data!$A$1:$DZU$1000000,1512,FALSE)</f>
        <v>#N/A</v>
      </c>
      <c r="P89" s="46" t="e">
        <f>VLOOKUP(A1,DIV_03Data!$A$1:$DZU$1000000,1513,FALSE)</f>
        <v>#N/A</v>
      </c>
      <c r="Q89" s="33" t="e">
        <f>VLOOKUP(A1,DIV_03Data!$A$1:$DZU$1000000,1514,FALSE)</f>
        <v>#N/A</v>
      </c>
    </row>
    <row r="90" spans="1:17" x14ac:dyDescent="0.35">
      <c r="A90" s="22" t="e">
        <f>VLOOKUP(A1,DIV_03Data!$A$1:$DZU$1000000,1515,FALSE)</f>
        <v>#N/A</v>
      </c>
      <c r="B90" s="37" t="e">
        <f>VLOOKUP(A1,DIV_03Data!$A$1:$DZU$1000000,1516,FALSE)</f>
        <v>#N/A</v>
      </c>
      <c r="C90" s="38" t="e">
        <f>VLOOKUP(A1,DIV_03Data!$A$1:$DZU$1000000,1517,FALSE)</f>
        <v>#N/A</v>
      </c>
      <c r="D90" s="31" t="e">
        <f>VLOOKUP(A1,DIV_03Data!$A$1:$DZU$1000000,1518,FALSE)</f>
        <v>#N/A</v>
      </c>
      <c r="E90" s="32" t="e">
        <f>VLOOKUP(A1,DIV_03Data!$A$1:$DZU$1000000,1519,FALSE)</f>
        <v>#N/A</v>
      </c>
      <c r="F90" s="34" t="e">
        <f>VLOOKUP(A1,DIV_03Data!$A$1:$DZU$1000000,1520,FALSE)</f>
        <v>#N/A</v>
      </c>
      <c r="G90" s="33" t="e">
        <f>VLOOKUP(A1,DIV_03Data!$A$1:$DZU$1000000,1521,FALSE)</f>
        <v>#N/A</v>
      </c>
      <c r="H90" s="34" t="e">
        <f>VLOOKUP(A1,DIV_03Data!$A$1:$DZU$1000000,1522,FALSE)</f>
        <v>#N/A</v>
      </c>
      <c r="I90" s="33" t="e">
        <f>VLOOKUP(A1,DIV_03Data!$A$1:$DZU$1000000,1523,FALSE)</f>
        <v>#N/A</v>
      </c>
      <c r="J90" s="34" t="e">
        <f>VLOOKUP(A1,DIV_03Data!$A$1:$DZU$1000000,1524,FALSE)</f>
        <v>#N/A</v>
      </c>
      <c r="K90" s="34" t="e">
        <f>VLOOKUP(A1,DIV_03Data!$A$1:$DZU$1000000,1525,FALSE)</f>
        <v>#N/A</v>
      </c>
      <c r="L90" s="93" t="e">
        <f>VLOOKUP(A1,DIV_03Data!$A$1:$DZU$1000000,1526,FALSE)</f>
        <v>#N/A</v>
      </c>
      <c r="M90" s="33" t="e">
        <f>VLOOKUP(A1,DIV_03Data!$A$1:$DZU$1000000,1527,FALSE)</f>
        <v>#N/A</v>
      </c>
      <c r="N90" s="34" t="e">
        <f>VLOOKUP(A1,DIV_03Data!$A$1:$DZU$1000000,1528,FALSE)</f>
        <v>#N/A</v>
      </c>
      <c r="O90" s="33" t="e">
        <f>VLOOKUP(A1,DIV_03Data!$A$1:$DZU$1000000,1529,FALSE)</f>
        <v>#N/A</v>
      </c>
      <c r="P90" s="46" t="e">
        <f>VLOOKUP(A1,DIV_03Data!$A$1:$DZU$1000000,1530,FALSE)</f>
        <v>#N/A</v>
      </c>
      <c r="Q90" s="33" t="e">
        <f>VLOOKUP(A1,DIV_03Data!$A$1:$DZU$1000000,1531,FALSE)</f>
        <v>#N/A</v>
      </c>
    </row>
    <row r="91" spans="1:17" x14ac:dyDescent="0.35">
      <c r="A91" s="22" t="e">
        <f>VLOOKUP(A1,DIV_03Data!$A$1:$DZU$1000000,1532,FALSE)</f>
        <v>#N/A</v>
      </c>
      <c r="B91" s="37" t="e">
        <f>VLOOKUP(A1,DIV_03Data!$A$1:$DZU$1000000,1533,FALSE)</f>
        <v>#N/A</v>
      </c>
      <c r="C91" s="38" t="e">
        <f>VLOOKUP(A1,DIV_03Data!$A$1:$DZU$1000000,1534,FALSE)</f>
        <v>#N/A</v>
      </c>
      <c r="D91" s="31" t="e">
        <f>VLOOKUP(A1,DIV_03Data!$A$1:$DZU$1000000,1535,FALSE)</f>
        <v>#N/A</v>
      </c>
      <c r="E91" s="32" t="e">
        <f>VLOOKUP(A1,DIV_03Data!$A$1:$DZU$1000000,1536,FALSE)</f>
        <v>#N/A</v>
      </c>
      <c r="F91" s="34" t="e">
        <f>VLOOKUP(A1,DIV_03Data!$A$1:$DZU$1000000,1537,FALSE)</f>
        <v>#N/A</v>
      </c>
      <c r="G91" s="33" t="e">
        <f>VLOOKUP(A1,DIV_03Data!$A$1:$DZU$1000000,1538,FALSE)</f>
        <v>#N/A</v>
      </c>
      <c r="H91" s="34" t="e">
        <f>VLOOKUP(A1,DIV_03Data!$A$1:$DZU$1000000,1539,FALSE)</f>
        <v>#N/A</v>
      </c>
      <c r="I91" s="33" t="e">
        <f>VLOOKUP(A1,DIV_03Data!$A$1:$DZU$1000000,1540,FALSE)</f>
        <v>#N/A</v>
      </c>
      <c r="J91" s="34" t="e">
        <f>VLOOKUP(A1,DIV_03Data!$A$1:$DZU$1000000,1541,FALSE)</f>
        <v>#N/A</v>
      </c>
      <c r="K91" s="34" t="e">
        <f>VLOOKUP(A1,DIV_03Data!$A$1:$DZU$1000000,1542,FALSE)</f>
        <v>#N/A</v>
      </c>
      <c r="L91" s="93" t="e">
        <f>VLOOKUP(A1,DIV_03Data!$A$1:$DZU$1000000,1543,FALSE)</f>
        <v>#N/A</v>
      </c>
      <c r="M91" s="33" t="e">
        <f>VLOOKUP(A1,DIV_03Data!$A$1:$DZU$1000000,1544,FALSE)</f>
        <v>#N/A</v>
      </c>
      <c r="N91" s="34" t="e">
        <f>VLOOKUP(A1,DIV_03Data!$A$1:$DZU$1000000,1545,FALSE)</f>
        <v>#N/A</v>
      </c>
      <c r="O91" s="33" t="e">
        <f>VLOOKUP(A1,DIV_03Data!$A$1:$DZU$1000000,1546,FALSE)</f>
        <v>#N/A</v>
      </c>
      <c r="P91" s="46" t="e">
        <f>VLOOKUP(A1,DIV_03Data!$A$1:$DZU$1000000,1547,FALSE)</f>
        <v>#N/A</v>
      </c>
      <c r="Q91" s="33" t="e">
        <f>VLOOKUP(A1,DIV_03Data!$A$1:$DZU$1000000,1548,FALSE)</f>
        <v>#N/A</v>
      </c>
    </row>
    <row r="92" spans="1:17" x14ac:dyDescent="0.35">
      <c r="A92" s="22" t="e">
        <f>VLOOKUP(A1,DIV_03Data!$A$1:$DZU$1000000,1549,FALSE)</f>
        <v>#N/A</v>
      </c>
      <c r="B92" s="37" t="e">
        <f>VLOOKUP(A1,DIV_03Data!$A$1:$DZU$1000000,1550,FALSE)</f>
        <v>#N/A</v>
      </c>
      <c r="C92" s="38" t="e">
        <f>VLOOKUP(A1,DIV_03Data!$A$1:$DZU$1000000,1551,FALSE)</f>
        <v>#N/A</v>
      </c>
      <c r="D92" s="31" t="e">
        <f>VLOOKUP(A1,DIV_03Data!$A$1:$DZU$1000000,1552,FALSE)</f>
        <v>#N/A</v>
      </c>
      <c r="E92" s="32" t="e">
        <f>VLOOKUP(A1,DIV_03Data!$A$1:$DZU$1000000,1553,FALSE)</f>
        <v>#N/A</v>
      </c>
      <c r="F92" s="34" t="e">
        <f>VLOOKUP(A1,DIV_03Data!$A$1:$DZU$1000000,1554,FALSE)</f>
        <v>#N/A</v>
      </c>
      <c r="G92" s="33" t="e">
        <f>VLOOKUP(A1,DIV_03Data!$A$1:$DZU$1000000,1555,FALSE)</f>
        <v>#N/A</v>
      </c>
      <c r="H92" s="34" t="e">
        <f>VLOOKUP(A1,DIV_03Data!$A$1:$DZU$1000000,1556,FALSE)</f>
        <v>#N/A</v>
      </c>
      <c r="I92" s="33" t="e">
        <f>VLOOKUP(A1,DIV_03Data!$A$1:$DZU$1000000,1557,FALSE)</f>
        <v>#N/A</v>
      </c>
      <c r="J92" s="34" t="e">
        <f>VLOOKUP(A1,DIV_03Data!$A$1:$DZU$1000000,1558,FALSE)</f>
        <v>#N/A</v>
      </c>
      <c r="K92" s="34" t="e">
        <f>VLOOKUP(A1,DIV_03Data!$A$1:$DZU$1000000,1559,FALSE)</f>
        <v>#N/A</v>
      </c>
      <c r="L92" s="93" t="e">
        <f>VLOOKUP(A1,DIV_03Data!$A$1:$DZU$1000000,1560,FALSE)</f>
        <v>#N/A</v>
      </c>
      <c r="M92" s="33" t="e">
        <f>VLOOKUP(A1,DIV_03Data!$A$1:$DZU$1000000,1561,FALSE)</f>
        <v>#N/A</v>
      </c>
      <c r="N92" s="34" t="e">
        <f>VLOOKUP(A1,DIV_03Data!$A$1:$DZU$1000000,1562,FALSE)</f>
        <v>#N/A</v>
      </c>
      <c r="O92" s="33" t="e">
        <f>VLOOKUP(A1,DIV_03Data!$A$1:$DZU$1000000,1563,FALSE)</f>
        <v>#N/A</v>
      </c>
      <c r="P92" s="46" t="e">
        <f>VLOOKUP(A1,DIV_03Data!$A$1:$DZU$1000000,1564,FALSE)</f>
        <v>#N/A</v>
      </c>
      <c r="Q92" s="33" t="e">
        <f>VLOOKUP(A1,DIV_03Data!$A$1:$DZU$1000000,1565,FALSE)</f>
        <v>#N/A</v>
      </c>
    </row>
    <row r="93" spans="1:17" x14ac:dyDescent="0.35">
      <c r="A93" s="22" t="e">
        <f>VLOOKUP(A1,DIV_03Data!$A$1:$DZU$1000000,1566,FALSE)</f>
        <v>#N/A</v>
      </c>
      <c r="B93" s="37" t="e">
        <f>VLOOKUP(A1,DIV_03Data!$A$1:$DZU$1000000,1567,FALSE)</f>
        <v>#N/A</v>
      </c>
      <c r="C93" s="38" t="e">
        <f>VLOOKUP(A1,DIV_03Data!$A$1:$DZU$1000000,1568,FALSE)</f>
        <v>#N/A</v>
      </c>
      <c r="D93" s="31" t="e">
        <f>VLOOKUP(A1,DIV_03Data!$A$1:$DZU$1000000,1569,FALSE)</f>
        <v>#N/A</v>
      </c>
      <c r="E93" s="32" t="e">
        <f>VLOOKUP(A1,DIV_03Data!$A$1:$DZU$1000000,1570,FALSE)</f>
        <v>#N/A</v>
      </c>
      <c r="F93" s="34" t="e">
        <f>VLOOKUP(A1,DIV_03Data!$A$1:$DZU$1000000,1571,FALSE)</f>
        <v>#N/A</v>
      </c>
      <c r="G93" s="33" t="e">
        <f>VLOOKUP(A1,DIV_03Data!$A$1:$DZU$1000000,1572,FALSE)</f>
        <v>#N/A</v>
      </c>
      <c r="H93" s="34" t="e">
        <f>VLOOKUP(A1,DIV_03Data!$A$1:$DZU$1000000,1573,FALSE)</f>
        <v>#N/A</v>
      </c>
      <c r="I93" s="33" t="e">
        <f>VLOOKUP(A1,DIV_03Data!$A$1:$DZU$1000000,1574,FALSE)</f>
        <v>#N/A</v>
      </c>
      <c r="J93" s="34" t="e">
        <f>VLOOKUP(A1,DIV_03Data!$A$1:$DZU$1000000,1575,FALSE)</f>
        <v>#N/A</v>
      </c>
      <c r="K93" s="34" t="e">
        <f>VLOOKUP(A1,DIV_03Data!$A$1:$DZU$1000000,1576,FALSE)</f>
        <v>#N/A</v>
      </c>
      <c r="L93" s="93" t="e">
        <f>VLOOKUP(A1,DIV_03Data!$A$1:$DZU$1000000,1577,FALSE)</f>
        <v>#N/A</v>
      </c>
      <c r="M93" s="33" t="e">
        <f>VLOOKUP(A1,DIV_03Data!$A$1:$DZU$1000000,1578,FALSE)</f>
        <v>#N/A</v>
      </c>
      <c r="N93" s="34" t="e">
        <f>VLOOKUP(A1,DIV_03Data!$A$1:$DZU$1000000,1579,FALSE)</f>
        <v>#N/A</v>
      </c>
      <c r="O93" s="33" t="e">
        <f>VLOOKUP(A1,DIV_03Data!$A$1:$DZU$1000000,1580,FALSE)</f>
        <v>#N/A</v>
      </c>
      <c r="P93" s="46" t="e">
        <f>VLOOKUP(A1,DIV_03Data!$A$1:$DZU$1000000,1581,FALSE)</f>
        <v>#N/A</v>
      </c>
      <c r="Q93" s="33" t="e">
        <f>VLOOKUP(A1,DIV_03Data!$A$1:$DZU$1000000,1582,FALSE)</f>
        <v>#N/A</v>
      </c>
    </row>
    <row r="94" spans="1:17" x14ac:dyDescent="0.35">
      <c r="A94" s="22" t="e">
        <f>VLOOKUP(A1,DIV_03Data!$A$1:$DZU$1000000,1583,FALSE)</f>
        <v>#N/A</v>
      </c>
      <c r="B94" s="37" t="e">
        <f>VLOOKUP(A1,DIV_03Data!$A$1:$DZU$1000000,1584,FALSE)</f>
        <v>#N/A</v>
      </c>
      <c r="C94" s="38" t="e">
        <f>VLOOKUP(A1,DIV_03Data!$A$1:$DZU$1000000,1585,FALSE)</f>
        <v>#N/A</v>
      </c>
      <c r="D94" s="31" t="e">
        <f>VLOOKUP(A1,DIV_03Data!$A$1:$DZU$1000000,1586,FALSE)</f>
        <v>#N/A</v>
      </c>
      <c r="E94" s="32" t="e">
        <f>VLOOKUP(A1,DIV_03Data!$A$1:$DZU$1000000,1587,FALSE)</f>
        <v>#N/A</v>
      </c>
      <c r="F94" s="34" t="e">
        <f>VLOOKUP(A1,DIV_03Data!$A$1:$DZU$1000000,1588,FALSE)</f>
        <v>#N/A</v>
      </c>
      <c r="G94" s="33" t="e">
        <f>VLOOKUP(A1,DIV_03Data!$A$1:$DZU$1000000,1589,FALSE)</f>
        <v>#N/A</v>
      </c>
      <c r="H94" s="34" t="e">
        <f>VLOOKUP(A1,DIV_03Data!$A$1:$DZU$1000000,1590,FALSE)</f>
        <v>#N/A</v>
      </c>
      <c r="I94" s="33" t="e">
        <f>VLOOKUP(A1,DIV_03Data!$A$1:$DZU$1000000,1591,FALSE)</f>
        <v>#N/A</v>
      </c>
      <c r="J94" s="34" t="e">
        <f>VLOOKUP(A1,DIV_03Data!$A$1:$DZU$1000000,1592,FALSE)</f>
        <v>#N/A</v>
      </c>
      <c r="K94" s="34" t="e">
        <f>VLOOKUP(A1,DIV_03Data!$A$1:$DZU$1000000,1593,FALSE)</f>
        <v>#N/A</v>
      </c>
      <c r="L94" s="93" t="e">
        <f>VLOOKUP(A1,DIV_03Data!$A$1:$DZU$1000000,1594,FALSE)</f>
        <v>#N/A</v>
      </c>
      <c r="M94" s="33" t="e">
        <f>VLOOKUP(A1,DIV_03Data!$A$1:$DZU$1000000,1595,FALSE)</f>
        <v>#N/A</v>
      </c>
      <c r="N94" s="34" t="e">
        <f>VLOOKUP(A1,DIV_03Data!$A$1:$DZU$1000000,1596,FALSE)</f>
        <v>#N/A</v>
      </c>
      <c r="O94" s="33" t="e">
        <f>VLOOKUP(A1,DIV_03Data!$A$1:$DZU$1000000,1597,FALSE)</f>
        <v>#N/A</v>
      </c>
      <c r="P94" s="46" t="e">
        <f>VLOOKUP(A1,DIV_03Data!$A$1:$DZU$1000000,1598,FALSE)</f>
        <v>#N/A</v>
      </c>
      <c r="Q94" s="33" t="e">
        <f>VLOOKUP(A1,DIV_03Data!$A$1:$DZU$1000000,1599,FALSE)</f>
        <v>#N/A</v>
      </c>
    </row>
    <row r="95" spans="1:17" x14ac:dyDescent="0.35">
      <c r="A95" s="22" t="e">
        <f>VLOOKUP(A1,DIV_03Data!$A$1:$DZU$1000000,1600,FALSE)</f>
        <v>#N/A</v>
      </c>
      <c r="B95" s="37" t="e">
        <f>VLOOKUP(A1,DIV_03Data!$A$1:$DZU$1000000,1601,FALSE)</f>
        <v>#N/A</v>
      </c>
      <c r="C95" s="38" t="e">
        <f>VLOOKUP(A1,DIV_03Data!$A$1:$DZU$1000000,1602,FALSE)</f>
        <v>#N/A</v>
      </c>
      <c r="D95" s="31" t="e">
        <f>VLOOKUP(A1,DIV_03Data!$A$1:$DZU$1000000,1603,FALSE)</f>
        <v>#N/A</v>
      </c>
      <c r="E95" s="32" t="e">
        <f>VLOOKUP(A1,DIV_03Data!$A$1:$DZU$1000000,1604,FALSE)</f>
        <v>#N/A</v>
      </c>
      <c r="F95" s="34" t="e">
        <f>VLOOKUP(A1,DIV_03Data!$A$1:$DZU$1000000,1605,FALSE)</f>
        <v>#N/A</v>
      </c>
      <c r="G95" s="33" t="e">
        <f>VLOOKUP(A1,DIV_03Data!$A$1:$DZU$1000000,1606,FALSE)</f>
        <v>#N/A</v>
      </c>
      <c r="H95" s="34" t="e">
        <f>VLOOKUP(A1,DIV_03Data!$A$1:$DZU$1000000,1607,FALSE)</f>
        <v>#N/A</v>
      </c>
      <c r="I95" s="33" t="e">
        <f>VLOOKUP(A1,DIV_03Data!$A$1:$DZU$1000000,1608,FALSE)</f>
        <v>#N/A</v>
      </c>
      <c r="J95" s="34" t="e">
        <f>VLOOKUP(A1,DIV_03Data!$A$1:$DZU$1000000,1609,FALSE)</f>
        <v>#N/A</v>
      </c>
      <c r="K95" s="34" t="e">
        <f>VLOOKUP(A1,DIV_03Data!$A$1:$DZU$1000000,1610,FALSE)</f>
        <v>#N/A</v>
      </c>
      <c r="L95" s="93" t="e">
        <f>VLOOKUP(A1,DIV_03Data!$A$1:$DZU$1000000,1611,FALSE)</f>
        <v>#N/A</v>
      </c>
      <c r="M95" s="33" t="e">
        <f>VLOOKUP(A1,DIV_03Data!$A$1:$DZU$1000000,1612,FALSE)</f>
        <v>#N/A</v>
      </c>
      <c r="N95" s="34" t="e">
        <f>VLOOKUP(A1,DIV_03Data!$A$1:$DZU$1000000,1613,FALSE)</f>
        <v>#N/A</v>
      </c>
      <c r="O95" s="33" t="e">
        <f>VLOOKUP(A1,DIV_03Data!$A$1:$DZU$1000000,1614,FALSE)</f>
        <v>#N/A</v>
      </c>
      <c r="P95" s="46" t="e">
        <f>VLOOKUP(A1,DIV_03Data!$A$1:$DZU$1000000,1615,FALSE)</f>
        <v>#N/A</v>
      </c>
      <c r="Q95" s="33" t="e">
        <f>VLOOKUP(A1,DIV_03Data!$A$1:$DZU$1000000,1616,FALSE)</f>
        <v>#N/A</v>
      </c>
    </row>
    <row r="96" spans="1:17" x14ac:dyDescent="0.35">
      <c r="A96" s="22" t="e">
        <f>VLOOKUP(A1,DIV_03Data!$A$1:$DZU$1000000,1617,FALSE)</f>
        <v>#N/A</v>
      </c>
      <c r="B96" s="37" t="e">
        <f>VLOOKUP(A1,DIV_03Data!$A$1:$DZU$1000000,1618,FALSE)</f>
        <v>#N/A</v>
      </c>
      <c r="C96" s="38" t="e">
        <f>VLOOKUP(A1,DIV_03Data!$A$1:$DZU$1000000,1619,FALSE)</f>
        <v>#N/A</v>
      </c>
      <c r="D96" s="31" t="e">
        <f>VLOOKUP(A1,DIV_03Data!$A$1:$DZU$1000000,1620,FALSE)</f>
        <v>#N/A</v>
      </c>
      <c r="E96" s="32" t="e">
        <f>VLOOKUP(A1,DIV_03Data!$A$1:$DZU$1000000,1621,FALSE)</f>
        <v>#N/A</v>
      </c>
      <c r="F96" s="34" t="e">
        <f>VLOOKUP(A1,DIV_03Data!$A$1:$DZU$1000000,1622,FALSE)</f>
        <v>#N/A</v>
      </c>
      <c r="G96" s="33" t="e">
        <f>VLOOKUP(A1,DIV_03Data!$A$1:$DZU$1000000,1623,FALSE)</f>
        <v>#N/A</v>
      </c>
      <c r="H96" s="34" t="e">
        <f>VLOOKUP(A1,DIV_03Data!$A$1:$DZU$1000000,1624,FALSE)</f>
        <v>#N/A</v>
      </c>
      <c r="I96" s="33" t="e">
        <f>VLOOKUP(A1,DIV_03Data!$A$1:$DZU$1000000,1625,FALSE)</f>
        <v>#N/A</v>
      </c>
      <c r="J96" s="34" t="e">
        <f>VLOOKUP(A1,DIV_03Data!$A$1:$DZU$1000000,1626,FALSE)</f>
        <v>#N/A</v>
      </c>
      <c r="K96" s="34" t="e">
        <f>VLOOKUP(A1,DIV_03Data!$A$1:$DZU$1000000,1627,FALSE)</f>
        <v>#N/A</v>
      </c>
      <c r="L96" s="93" t="e">
        <f>VLOOKUP(A1,DIV_03Data!$A$1:$DZU$1000000,1628,FALSE)</f>
        <v>#N/A</v>
      </c>
      <c r="M96" s="33" t="e">
        <f>VLOOKUP(A1,DIV_03Data!$A$1:$DZU$1000000,1629,FALSE)</f>
        <v>#N/A</v>
      </c>
      <c r="N96" s="34" t="e">
        <f>VLOOKUP(A1,DIV_03Data!$A$1:$DZU$1000000,1630,FALSE)</f>
        <v>#N/A</v>
      </c>
      <c r="O96" s="33" t="e">
        <f>VLOOKUP(A1,DIV_03Data!$A$1:$DZU$1000000,1631,FALSE)</f>
        <v>#N/A</v>
      </c>
      <c r="P96" s="46" t="e">
        <f>VLOOKUP(A1,DIV_03Data!$A$1:$DZU$1000000,1632,FALSE)</f>
        <v>#N/A</v>
      </c>
      <c r="Q96" s="33" t="e">
        <f>VLOOKUP(A1,DIV_03Data!$A$1:$DZU$1000000,1633,FALSE)</f>
        <v>#N/A</v>
      </c>
    </row>
    <row r="97" spans="1:17" x14ac:dyDescent="0.35">
      <c r="A97" s="22" t="e">
        <f>VLOOKUP(A1,DIV_03Data!$A$1:$DZU$1000000,1634,FALSE)</f>
        <v>#N/A</v>
      </c>
      <c r="B97" s="37" t="e">
        <f>VLOOKUP(A1,DIV_03Data!$A$1:$DZU$1000000,1635,FALSE)</f>
        <v>#N/A</v>
      </c>
      <c r="C97" s="38" t="e">
        <f>VLOOKUP(A1,DIV_03Data!$A$1:$DZU$1000000,1636,FALSE)</f>
        <v>#N/A</v>
      </c>
      <c r="D97" s="31" t="e">
        <f>VLOOKUP(A1,DIV_03Data!$A$1:$DZU$1000000,1637,FALSE)</f>
        <v>#N/A</v>
      </c>
      <c r="E97" s="32" t="e">
        <f>VLOOKUP(A1,DIV_03Data!$A$1:$DZU$1000000,1638,FALSE)</f>
        <v>#N/A</v>
      </c>
      <c r="F97" s="34" t="e">
        <f>VLOOKUP(A1,DIV_03Data!$A$1:$DZU$1000000,1639,FALSE)</f>
        <v>#N/A</v>
      </c>
      <c r="G97" s="33" t="e">
        <f>VLOOKUP(A1,DIV_03Data!$A$1:$DZU$1000000,1640,FALSE)</f>
        <v>#N/A</v>
      </c>
      <c r="H97" s="34" t="e">
        <f>VLOOKUP(A1,DIV_03Data!$A$1:$DZU$1000000,1641,FALSE)</f>
        <v>#N/A</v>
      </c>
      <c r="I97" s="33" t="e">
        <f>VLOOKUP(A1,DIV_03Data!$A$1:$DZU$1000000,1642,FALSE)</f>
        <v>#N/A</v>
      </c>
      <c r="J97" s="34" t="e">
        <f>VLOOKUP(A1,DIV_03Data!$A$1:$DZU$1000000,1643,FALSE)</f>
        <v>#N/A</v>
      </c>
      <c r="K97" s="34" t="e">
        <f>VLOOKUP(A1,DIV_03Data!$A$1:$DZU$1000000,1644,FALSE)</f>
        <v>#N/A</v>
      </c>
      <c r="L97" s="93" t="e">
        <f>VLOOKUP(A1,DIV_03Data!$A$1:$DZU$1000000,1645,FALSE)</f>
        <v>#N/A</v>
      </c>
      <c r="M97" s="33" t="e">
        <f>VLOOKUP(A1,DIV_03Data!$A$1:$DZU$1000000,1646,FALSE)</f>
        <v>#N/A</v>
      </c>
      <c r="N97" s="34" t="e">
        <f>VLOOKUP(A1,DIV_03Data!$A$1:$DZU$1000000,1647,FALSE)</f>
        <v>#N/A</v>
      </c>
      <c r="O97" s="33" t="e">
        <f>VLOOKUP(A1,DIV_03Data!$A$1:$DZU$1000000,1648,FALSE)</f>
        <v>#N/A</v>
      </c>
      <c r="P97" s="46" t="e">
        <f>VLOOKUP(A1,DIV_03Data!$A$1:$DZU$1000000,1649,FALSE)</f>
        <v>#N/A</v>
      </c>
      <c r="Q97" s="33" t="e">
        <f>VLOOKUP(A1,DIV_03Data!$A$1:$DZU$1000000,1650,FALSE)</f>
        <v>#N/A</v>
      </c>
    </row>
    <row r="98" spans="1:17" x14ac:dyDescent="0.35">
      <c r="A98" s="22" t="e">
        <f>VLOOKUP(A1,DIV_03Data!$A$1:$DZU$1000000,1651,FALSE)</f>
        <v>#N/A</v>
      </c>
      <c r="B98" s="37" t="e">
        <f>VLOOKUP(A1,DIV_03Data!$A$1:$DZU$1000000,1652,FALSE)</f>
        <v>#N/A</v>
      </c>
      <c r="C98" s="38" t="e">
        <f>VLOOKUP(A1,DIV_03Data!$A$1:$DZU$1000000,1653,FALSE)</f>
        <v>#N/A</v>
      </c>
      <c r="D98" s="31" t="e">
        <f>VLOOKUP(A1,DIV_03Data!$A$1:$DZU$1000000,1654,FALSE)</f>
        <v>#N/A</v>
      </c>
      <c r="E98" s="32" t="e">
        <f>VLOOKUP(A1,DIV_03Data!$A$1:$DZU$1000000,1655,FALSE)</f>
        <v>#N/A</v>
      </c>
      <c r="F98" s="34" t="e">
        <f>VLOOKUP(A1,DIV_03Data!$A$1:$DZU$1000000,1656,FALSE)</f>
        <v>#N/A</v>
      </c>
      <c r="G98" s="33" t="e">
        <f>VLOOKUP(A1,DIV_03Data!$A$1:$DZU$1000000,1657,FALSE)</f>
        <v>#N/A</v>
      </c>
      <c r="H98" s="34" t="e">
        <f>VLOOKUP(A1,DIV_03Data!$A$1:$DZU$1000000,1658,FALSE)</f>
        <v>#N/A</v>
      </c>
      <c r="I98" s="33" t="e">
        <f>VLOOKUP(A1,DIV_03Data!$A$1:$DZU$1000000,1659,FALSE)</f>
        <v>#N/A</v>
      </c>
      <c r="J98" s="34" t="e">
        <f>VLOOKUP(A1,DIV_03Data!$A$1:$DZU$1000000,1660,FALSE)</f>
        <v>#N/A</v>
      </c>
      <c r="K98" s="34" t="e">
        <f>VLOOKUP(A1,DIV_03Data!$A$1:$DZU$1000000,1661,FALSE)</f>
        <v>#N/A</v>
      </c>
      <c r="L98" s="93" t="e">
        <f>VLOOKUP(A1,DIV_03Data!$A$1:$DZU$1000000,1662,FALSE)</f>
        <v>#N/A</v>
      </c>
      <c r="M98" s="33" t="e">
        <f>VLOOKUP(A1,DIV_03Data!$A$1:$DZU$1000000,1663,FALSE)</f>
        <v>#N/A</v>
      </c>
      <c r="N98" s="34" t="e">
        <f>VLOOKUP(A1,DIV_03Data!$A$1:$DZU$1000000,1664,FALSE)</f>
        <v>#N/A</v>
      </c>
      <c r="O98" s="33" t="e">
        <f>VLOOKUP(A1,DIV_03Data!$A$1:$DZU$1000000,1665,FALSE)</f>
        <v>#N/A</v>
      </c>
      <c r="P98" s="46" t="e">
        <f>VLOOKUP(A1,DIV_03Data!$A$1:$DZU$1000000,1666,FALSE)</f>
        <v>#N/A</v>
      </c>
      <c r="Q98" s="33" t="e">
        <f>VLOOKUP(A1,DIV_03Data!$A$1:$DZU$1000000,1667,FALSE)</f>
        <v>#N/A</v>
      </c>
    </row>
    <row r="99" spans="1:17" x14ac:dyDescent="0.35">
      <c r="A99" s="22" t="e">
        <f>VLOOKUP(A1,DIV_03Data!$A$1:$DZU$1000000,1668,FALSE)</f>
        <v>#N/A</v>
      </c>
      <c r="B99" s="37" t="e">
        <f>VLOOKUP(A1,DIV_03Data!$A$1:$DZU$1000000,1669,FALSE)</f>
        <v>#N/A</v>
      </c>
      <c r="C99" s="38" t="e">
        <f>VLOOKUP(A1,DIV_03Data!$A$1:$DZU$1000000,1670,FALSE)</f>
        <v>#N/A</v>
      </c>
      <c r="D99" s="31" t="e">
        <f>VLOOKUP(A1,DIV_03Data!$A$1:$DZU$1000000,1671,FALSE)</f>
        <v>#N/A</v>
      </c>
      <c r="E99" s="32" t="e">
        <f>VLOOKUP(A1,DIV_03Data!$A$1:$DZU$1000000,1672,FALSE)</f>
        <v>#N/A</v>
      </c>
      <c r="F99" s="34" t="e">
        <f>VLOOKUP(A1,DIV_03Data!$A$1:$DZU$1000000,1673,FALSE)</f>
        <v>#N/A</v>
      </c>
      <c r="G99" s="33" t="e">
        <f>VLOOKUP(A1,DIV_03Data!$A$1:$DZU$1000000,1674,FALSE)</f>
        <v>#N/A</v>
      </c>
      <c r="H99" s="34" t="e">
        <f>VLOOKUP(A1,DIV_03Data!$A$1:$DZU$1000000,1675,FALSE)</f>
        <v>#N/A</v>
      </c>
      <c r="I99" s="33" t="e">
        <f>VLOOKUP(A1,DIV_03Data!$A$1:$DZU$1000000,1676,FALSE)</f>
        <v>#N/A</v>
      </c>
      <c r="J99" s="34" t="e">
        <f>VLOOKUP(A1,DIV_03Data!$A$1:$DZU$1000000,1677,FALSE)</f>
        <v>#N/A</v>
      </c>
      <c r="K99" s="34" t="e">
        <f>VLOOKUP(A1,DIV_03Data!$A$1:$DZU$1000000,1678,FALSE)</f>
        <v>#N/A</v>
      </c>
      <c r="L99" s="93" t="e">
        <f>VLOOKUP(A1,DIV_03Data!$A$1:$DZU$1000000,1679,FALSE)</f>
        <v>#N/A</v>
      </c>
      <c r="M99" s="33" t="e">
        <f>VLOOKUP(A1,DIV_03Data!$A$1:$DZU$1000000,1680,FALSE)</f>
        <v>#N/A</v>
      </c>
      <c r="N99" s="34" t="e">
        <f>VLOOKUP(A1,DIV_03Data!$A$1:$DZU$1000000,1681,FALSE)</f>
        <v>#N/A</v>
      </c>
      <c r="O99" s="33" t="e">
        <f>VLOOKUP(A1,DIV_03Data!$A$1:$DZU$1000000,1682,FALSE)</f>
        <v>#N/A</v>
      </c>
      <c r="P99" s="46" t="e">
        <f>VLOOKUP(A1,DIV_03Data!$A$1:$DZU$1000000,1683,FALSE)</f>
        <v>#N/A</v>
      </c>
      <c r="Q99" s="33" t="e">
        <f>VLOOKUP(A1,DIV_03Data!$A$1:$DZU$1000000,1684,FALSE)</f>
        <v>#N/A</v>
      </c>
    </row>
    <row r="100" spans="1:17" x14ac:dyDescent="0.35">
      <c r="A100" s="22" t="e">
        <f>VLOOKUP(A1,DIV_03Data!$A$1:$DZU$1000000,1685,FALSE)</f>
        <v>#N/A</v>
      </c>
      <c r="B100" s="37" t="e">
        <f>VLOOKUP(A1,DIV_03Data!$A$1:$DZU$1000000,1686,FALSE)</f>
        <v>#N/A</v>
      </c>
      <c r="C100" s="38" t="e">
        <f>VLOOKUP(A1,DIV_03Data!$A$1:$DZU$1000000,1687,FALSE)</f>
        <v>#N/A</v>
      </c>
      <c r="D100" s="31" t="e">
        <f>VLOOKUP(A1,DIV_03Data!$A$1:$DZU$1000000,1688,FALSE)</f>
        <v>#N/A</v>
      </c>
      <c r="E100" s="32" t="e">
        <f>VLOOKUP(A1,DIV_03Data!$A$1:$DZU$1000000,1689,FALSE)</f>
        <v>#N/A</v>
      </c>
      <c r="F100" s="34" t="e">
        <f>VLOOKUP(A1,DIV_03Data!$A$1:$DZU$1000000,1690,FALSE)</f>
        <v>#N/A</v>
      </c>
      <c r="G100" s="33" t="e">
        <f>VLOOKUP(A1,DIV_03Data!$A$1:$DZU$1000000,1691,FALSE)</f>
        <v>#N/A</v>
      </c>
      <c r="H100" s="34" t="e">
        <f>VLOOKUP(A1,DIV_03Data!$A$1:$DZU$1000000,1692,FALSE)</f>
        <v>#N/A</v>
      </c>
      <c r="I100" s="33" t="e">
        <f>VLOOKUP(A1,DIV_03Data!$A$1:$DZU$1000000,1693,FALSE)</f>
        <v>#N/A</v>
      </c>
      <c r="J100" s="34" t="e">
        <f>VLOOKUP(A1,DIV_03Data!$A$1:$DZU$1000000,1694,FALSE)</f>
        <v>#N/A</v>
      </c>
      <c r="K100" s="34" t="e">
        <f>VLOOKUP(A1,DIV_03Data!$A$1:$DZU$1000000,1695,FALSE)</f>
        <v>#N/A</v>
      </c>
      <c r="L100" s="93" t="e">
        <f>VLOOKUP(A1,DIV_03Data!$A$1:$DZU$1000000,1696,FALSE)</f>
        <v>#N/A</v>
      </c>
      <c r="M100" s="33" t="e">
        <f>VLOOKUP(A1,DIV_03Data!$A$1:$DZU$1000000,1697,FALSE)</f>
        <v>#N/A</v>
      </c>
      <c r="N100" s="34" t="e">
        <f>VLOOKUP(A1,DIV_03Data!$A$1:$DZU$1000000,1698,FALSE)</f>
        <v>#N/A</v>
      </c>
      <c r="O100" s="33" t="e">
        <f>VLOOKUP(A1,DIV_03Data!$A$1:$DZU$1000000,1699,FALSE)</f>
        <v>#N/A</v>
      </c>
      <c r="P100" s="46" t="e">
        <f>VLOOKUP(A1,DIV_03Data!$A$1:$DZU$1000000,1700,FALSE)</f>
        <v>#N/A</v>
      </c>
      <c r="Q100" s="33" t="e">
        <f>VLOOKUP(A1,DIV_03Data!$A$1:$DZU$1000000,1701,FALSE)</f>
        <v>#N/A</v>
      </c>
    </row>
    <row r="101" spans="1:17" x14ac:dyDescent="0.35">
      <c r="A101" s="22" t="e">
        <f>VLOOKUP(A1,DIV_03Data!$A$1:$DZU$1000000,1702,FALSE)</f>
        <v>#N/A</v>
      </c>
      <c r="B101" s="37" t="e">
        <f>VLOOKUP(A1,DIV_03Data!$A$1:$DZU$1000000,1703,FALSE)</f>
        <v>#N/A</v>
      </c>
      <c r="C101" s="38" t="e">
        <f>VLOOKUP(A1,DIV_03Data!$A$1:$DZU$1000000,1704,FALSE)</f>
        <v>#N/A</v>
      </c>
      <c r="D101" s="31" t="e">
        <f>VLOOKUP(A1,DIV_03Data!$A$1:$DZU$1000000,1705,FALSE)</f>
        <v>#N/A</v>
      </c>
      <c r="E101" s="32" t="e">
        <f>VLOOKUP(A1,DIV_03Data!$A$1:$DZU$1000000,1706,FALSE)</f>
        <v>#N/A</v>
      </c>
      <c r="F101" s="34" t="e">
        <f>VLOOKUP(A1,DIV_03Data!$A$1:$DZU$1000000,1707,FALSE)</f>
        <v>#N/A</v>
      </c>
      <c r="G101" s="33" t="e">
        <f>VLOOKUP(A1,DIV_03Data!$A$1:$DZU$1000000,1708,FALSE)</f>
        <v>#N/A</v>
      </c>
      <c r="H101" s="34" t="e">
        <f>VLOOKUP(A1,DIV_03Data!$A$1:$DZU$1000000,1709,FALSE)</f>
        <v>#N/A</v>
      </c>
      <c r="I101" s="33" t="e">
        <f>VLOOKUP(A1,DIV_03Data!$A$1:$DZU$1000000,1710,FALSE)</f>
        <v>#N/A</v>
      </c>
      <c r="J101" s="34" t="e">
        <f>VLOOKUP(A1,DIV_03Data!$A$1:$DZU$1000000,1711,FALSE)</f>
        <v>#N/A</v>
      </c>
      <c r="K101" s="34" t="e">
        <f>VLOOKUP(A1,DIV_03Data!$A$1:$DZU$1000000,1712,FALSE)</f>
        <v>#N/A</v>
      </c>
      <c r="L101" s="93" t="e">
        <f>VLOOKUP(A1,DIV_03Data!$A$1:$DZU$1000000,1713,FALSE)</f>
        <v>#N/A</v>
      </c>
      <c r="M101" s="33" t="e">
        <f>VLOOKUP(A1,DIV_03Data!$A$1:$DZU$1000000,1714,FALSE)</f>
        <v>#N/A</v>
      </c>
      <c r="N101" s="34" t="e">
        <f>VLOOKUP(A1,DIV_03Data!$A$1:$DZU$1000000,1715,FALSE)</f>
        <v>#N/A</v>
      </c>
      <c r="O101" s="33" t="e">
        <f>VLOOKUP(A1,DIV_03Data!$A$1:$DZU$1000000,1716,FALSE)</f>
        <v>#N/A</v>
      </c>
      <c r="P101" s="46" t="e">
        <f>VLOOKUP(A1,DIV_03Data!$A$1:$DZU$1000000,1717,FALSE)</f>
        <v>#N/A</v>
      </c>
      <c r="Q101" s="33" t="e">
        <f>VLOOKUP(A1,DIV_03Data!$A$1:$DZU$1000000,1718,FALSE)</f>
        <v>#N/A</v>
      </c>
    </row>
    <row r="102" spans="1:17" x14ac:dyDescent="0.35">
      <c r="A102" s="22" t="e">
        <f>VLOOKUP(A1,DIV_03Data!$A$1:$DZU$1000000,1719,FALSE)</f>
        <v>#N/A</v>
      </c>
      <c r="B102" s="37" t="e">
        <f>VLOOKUP(A1,DIV_03Data!$A$1:$DZU$1000000,1720,FALSE)</f>
        <v>#N/A</v>
      </c>
      <c r="C102" s="38" t="e">
        <f>VLOOKUP(A1,DIV_03Data!$A$1:$DZU$1000000,1721,FALSE)</f>
        <v>#N/A</v>
      </c>
      <c r="D102" s="31" t="e">
        <f>VLOOKUP(A1,DIV_03Data!$A$1:$DZU$1000000,1722,FALSE)</f>
        <v>#N/A</v>
      </c>
      <c r="E102" s="32" t="e">
        <f>VLOOKUP(A1,DIV_03Data!$A$1:$DZU$1000000,1723,FALSE)</f>
        <v>#N/A</v>
      </c>
      <c r="F102" s="34" t="e">
        <f>VLOOKUP(A1,DIV_03Data!$A$1:$DZU$1000000,1724,FALSE)</f>
        <v>#N/A</v>
      </c>
      <c r="G102" s="33" t="e">
        <f>VLOOKUP(A1,DIV_03Data!$A$1:$DZU$1000000,1725,FALSE)</f>
        <v>#N/A</v>
      </c>
      <c r="H102" s="34" t="e">
        <f>VLOOKUP(A1,DIV_03Data!$A$1:$DZU$1000000,1726,FALSE)</f>
        <v>#N/A</v>
      </c>
      <c r="I102" s="33" t="e">
        <f>VLOOKUP(A1,DIV_03Data!$A$1:$DZU$1000000,1727,FALSE)</f>
        <v>#N/A</v>
      </c>
      <c r="J102" s="34" t="e">
        <f>VLOOKUP(A1,DIV_03Data!$A$1:$DZU$1000000,1728,FALSE)</f>
        <v>#N/A</v>
      </c>
      <c r="K102" s="34" t="e">
        <f>VLOOKUP(A1,DIV_03Data!$A$1:$DZU$1000000,1729,FALSE)</f>
        <v>#N/A</v>
      </c>
      <c r="L102" s="93" t="e">
        <f>VLOOKUP(A1,DIV_03Data!$A$1:$DZU$1000000,1730,FALSE)</f>
        <v>#N/A</v>
      </c>
      <c r="M102" s="33" t="e">
        <f>VLOOKUP(A1,DIV_03Data!$A$1:$DZU$1000000,1731,FALSE)</f>
        <v>#N/A</v>
      </c>
      <c r="N102" s="34" t="e">
        <f>VLOOKUP(A1,DIV_03Data!$A$1:$DZU$1000000,1732,FALSE)</f>
        <v>#N/A</v>
      </c>
      <c r="O102" s="33" t="e">
        <f>VLOOKUP(A1,DIV_03Data!$A$1:$DZU$1000000,1733,FALSE)</f>
        <v>#N/A</v>
      </c>
      <c r="P102" s="46" t="e">
        <f>VLOOKUP(A1,DIV_03Data!$A$1:$DZU$1000000,1734,FALSE)</f>
        <v>#N/A</v>
      </c>
      <c r="Q102" s="33" t="e">
        <f>VLOOKUP(A1,DIV_03Data!$A$1:$DZU$1000000,1735,FALSE)</f>
        <v>#N/A</v>
      </c>
    </row>
    <row r="103" spans="1:17" x14ac:dyDescent="0.35">
      <c r="A103" s="22" t="e">
        <f>VLOOKUP(A1,DIV_03Data!$A$1:$DZU$1000000,1736,FALSE)</f>
        <v>#N/A</v>
      </c>
      <c r="B103" s="37" t="e">
        <f>VLOOKUP(A1,DIV_03Data!$A$1:$DZU$1000000,1737,FALSE)</f>
        <v>#N/A</v>
      </c>
      <c r="C103" s="38" t="e">
        <f>VLOOKUP(A1,DIV_03Data!$A$1:$DZU$1000000,1738,FALSE)</f>
        <v>#N/A</v>
      </c>
      <c r="D103" s="31" t="e">
        <f>VLOOKUP(A1,DIV_03Data!$A$1:$DZU$1000000,1739,FALSE)</f>
        <v>#N/A</v>
      </c>
      <c r="E103" s="32" t="e">
        <f>VLOOKUP(A1,DIV_03Data!$A$1:$DZU$1000000,1740,FALSE)</f>
        <v>#N/A</v>
      </c>
      <c r="F103" s="34" t="e">
        <f>VLOOKUP(A1,DIV_03Data!$A$1:$DZU$1000000,1741,FALSE)</f>
        <v>#N/A</v>
      </c>
      <c r="G103" s="33" t="e">
        <f>VLOOKUP(A1,DIV_03Data!$A$1:$DZU$1000000,1742,FALSE)</f>
        <v>#N/A</v>
      </c>
      <c r="H103" s="34" t="e">
        <f>VLOOKUP(A1,DIV_03Data!$A$1:$DZU$1000000,1743,FALSE)</f>
        <v>#N/A</v>
      </c>
      <c r="I103" s="33" t="e">
        <f>VLOOKUP(A1,DIV_03Data!$A$1:$DZU$1000000,1744,FALSE)</f>
        <v>#N/A</v>
      </c>
      <c r="J103" s="34" t="e">
        <f>VLOOKUP(A1,DIV_03Data!$A$1:$DZU$1000000,1745,FALSE)</f>
        <v>#N/A</v>
      </c>
      <c r="K103" s="34" t="e">
        <f>VLOOKUP(A1,DIV_03Data!$A$1:$DZU$1000000,1746,FALSE)</f>
        <v>#N/A</v>
      </c>
      <c r="L103" s="93" t="e">
        <f>VLOOKUP(A1,DIV_03Data!$A$1:$DZU$1000000,1747,FALSE)</f>
        <v>#N/A</v>
      </c>
      <c r="M103" s="33" t="e">
        <f>VLOOKUP(A1,DIV_03Data!$A$1:$DZU$1000000,1748,FALSE)</f>
        <v>#N/A</v>
      </c>
      <c r="N103" s="34" t="e">
        <f>VLOOKUP(A1,DIV_03Data!$A$1:$DZU$1000000,1749,FALSE)</f>
        <v>#N/A</v>
      </c>
      <c r="O103" s="33" t="e">
        <f>VLOOKUP(A1,DIV_03Data!$A$1:$DZU$1000000,1750,FALSE)</f>
        <v>#N/A</v>
      </c>
      <c r="P103" s="46" t="e">
        <f>VLOOKUP(A1,DIV_03Data!$A$1:$DZU$1000000,1751,FALSE)</f>
        <v>#N/A</v>
      </c>
      <c r="Q103" s="33" t="e">
        <f>VLOOKUP(A1,DIV_03Data!$A$1:$DZU$1000000,1752,FALSE)</f>
        <v>#N/A</v>
      </c>
    </row>
    <row r="104" spans="1:17" x14ac:dyDescent="0.35">
      <c r="A104" s="22" t="e">
        <f>VLOOKUP(A1,DIV_03Data!$A$1:$DZU$1000000,1753,FALSE)</f>
        <v>#N/A</v>
      </c>
      <c r="B104" s="37" t="e">
        <f>VLOOKUP(A1,DIV_03Data!$A$1:$DZU$1000000,1754,FALSE)</f>
        <v>#N/A</v>
      </c>
      <c r="C104" s="38" t="e">
        <f>VLOOKUP(A1,DIV_03Data!$A$1:$DZU$1000000,1755,FALSE)</f>
        <v>#N/A</v>
      </c>
      <c r="D104" s="31" t="e">
        <f>VLOOKUP(A1,DIV_03Data!$A$1:$DZU$1000000,1756,FALSE)</f>
        <v>#N/A</v>
      </c>
      <c r="E104" s="32" t="e">
        <f>VLOOKUP(A1,DIV_03Data!$A$1:$DZU$1000000,1757,FALSE)</f>
        <v>#N/A</v>
      </c>
      <c r="F104" s="34" t="e">
        <f>VLOOKUP(A1,DIV_03Data!$A$1:$DZU$1000000,1758,FALSE)</f>
        <v>#N/A</v>
      </c>
      <c r="G104" s="33" t="e">
        <f>VLOOKUP(A1,DIV_03Data!$A$1:$DZU$1000000,1759,FALSE)</f>
        <v>#N/A</v>
      </c>
      <c r="H104" s="34" t="e">
        <f>VLOOKUP(A1,DIV_03Data!$A$1:$DZU$1000000,1760,FALSE)</f>
        <v>#N/A</v>
      </c>
      <c r="I104" s="33" t="e">
        <f>VLOOKUP(A1,DIV_03Data!$A$1:$DZU$1000000,1761,FALSE)</f>
        <v>#N/A</v>
      </c>
      <c r="J104" s="34" t="e">
        <f>VLOOKUP(A1,DIV_03Data!$A$1:$DZU$1000000,1762,FALSE)</f>
        <v>#N/A</v>
      </c>
      <c r="K104" s="34" t="e">
        <f>VLOOKUP(A1,DIV_03Data!$A$1:$DZU$1000000,1763,FALSE)</f>
        <v>#N/A</v>
      </c>
      <c r="L104" s="93" t="e">
        <f>VLOOKUP(A1,DIV_03Data!$A$1:$DZU$1000000,1764,FALSE)</f>
        <v>#N/A</v>
      </c>
      <c r="M104" s="33" t="e">
        <f>VLOOKUP(A1,DIV_03Data!$A$1:$DZU$1000000,1765,FALSE)</f>
        <v>#N/A</v>
      </c>
      <c r="N104" s="34" t="e">
        <f>VLOOKUP(A1,DIV_03Data!$A$1:$DZU$1000000,1766,FALSE)</f>
        <v>#N/A</v>
      </c>
      <c r="O104" s="33" t="e">
        <f>VLOOKUP(A1,DIV_03Data!$A$1:$DZU$1000000,1767,FALSE)</f>
        <v>#N/A</v>
      </c>
      <c r="P104" s="46" t="e">
        <f>VLOOKUP(A1,DIV_03Data!$A$1:$DZU$1000000,1768,FALSE)</f>
        <v>#N/A</v>
      </c>
      <c r="Q104" s="33" t="e">
        <f>VLOOKUP(A1,DIV_03Data!$A$1:$DZU$1000000,1769,FALSE)</f>
        <v>#N/A</v>
      </c>
    </row>
    <row r="105" spans="1:17" x14ac:dyDescent="0.35">
      <c r="A105" s="22" t="e">
        <f>VLOOKUP(A1,DIV_03Data!$A$1:$DZU$1000000,1770,FALSE)</f>
        <v>#N/A</v>
      </c>
      <c r="B105" s="37" t="e">
        <f>VLOOKUP(A1,DIV_03Data!$A$1:$DZU$1000000,1771,FALSE)</f>
        <v>#N/A</v>
      </c>
      <c r="C105" s="38" t="e">
        <f>VLOOKUP(A1,DIV_03Data!$A$1:$DZU$1000000,1772,FALSE)</f>
        <v>#N/A</v>
      </c>
      <c r="D105" s="31" t="e">
        <f>VLOOKUP(A1,DIV_03Data!$A$1:$DZU$1000000,1773,FALSE)</f>
        <v>#N/A</v>
      </c>
      <c r="E105" s="32" t="e">
        <f>VLOOKUP(A1,DIV_03Data!$A$1:$DZU$1000000,1774,FALSE)</f>
        <v>#N/A</v>
      </c>
      <c r="F105" s="34" t="e">
        <f>VLOOKUP(A1,DIV_03Data!$A$1:$DZU$1000000,1775,FALSE)</f>
        <v>#N/A</v>
      </c>
      <c r="G105" s="33" t="e">
        <f>VLOOKUP(A1,DIV_03Data!$A$1:$DZU$1000000,1776,FALSE)</f>
        <v>#N/A</v>
      </c>
      <c r="H105" s="34" t="e">
        <f>VLOOKUP(A1,DIV_03Data!$A$1:$DZU$1000000,1777,FALSE)</f>
        <v>#N/A</v>
      </c>
      <c r="I105" s="33" t="e">
        <f>VLOOKUP(A1,DIV_03Data!$A$1:$DZU$1000000,1778,FALSE)</f>
        <v>#N/A</v>
      </c>
      <c r="J105" s="34" t="e">
        <f>VLOOKUP(A1,DIV_03Data!$A$1:$DZU$1000000,1779,FALSE)</f>
        <v>#N/A</v>
      </c>
      <c r="K105" s="34" t="e">
        <f>VLOOKUP(A1,DIV_03Data!$A$1:$DZU$1000000,1780,FALSE)</f>
        <v>#N/A</v>
      </c>
      <c r="L105" s="93" t="e">
        <f>VLOOKUP(A1,DIV_03Data!$A$1:$DZU$1000000,1781,FALSE)</f>
        <v>#N/A</v>
      </c>
      <c r="M105" s="33" t="e">
        <f>VLOOKUP(A1,DIV_03Data!$A$1:$DZU$1000000,1782,FALSE)</f>
        <v>#N/A</v>
      </c>
      <c r="N105" s="34" t="e">
        <f>VLOOKUP(A1,DIV_03Data!$A$1:$DZU$1000000,1783,FALSE)</f>
        <v>#N/A</v>
      </c>
      <c r="O105" s="33" t="e">
        <f>VLOOKUP(A1,DIV_03Data!$A$1:$DZU$1000000,1784,FALSE)</f>
        <v>#N/A</v>
      </c>
      <c r="P105" s="46" t="e">
        <f>VLOOKUP(A1,DIV_03Data!$A$1:$DZU$1000000,1785,FALSE)</f>
        <v>#N/A</v>
      </c>
      <c r="Q105" s="33" t="e">
        <f>VLOOKUP(A1,DIV_03Data!$A$1:$DZU$1000000,1786,FALSE)</f>
        <v>#N/A</v>
      </c>
    </row>
    <row r="106" spans="1:17" x14ac:dyDescent="0.35">
      <c r="A106" s="22" t="e">
        <f>VLOOKUP(A1,DIV_03Data!$A$1:$DZU$1000000,1787,FALSE)</f>
        <v>#N/A</v>
      </c>
      <c r="B106" s="37" t="e">
        <f>VLOOKUP(A1,DIV_03Data!$A$1:$DZU$1000000,1788,FALSE)</f>
        <v>#N/A</v>
      </c>
      <c r="C106" s="38" t="e">
        <f>VLOOKUP(A1,DIV_03Data!$A$1:$DZU$1000000,1789,FALSE)</f>
        <v>#N/A</v>
      </c>
      <c r="D106" s="31" t="e">
        <f>VLOOKUP(A1,DIV_03Data!$A$1:$DZU$1000000,1790,FALSE)</f>
        <v>#N/A</v>
      </c>
      <c r="E106" s="32" t="e">
        <f>VLOOKUP(A1,DIV_03Data!$A$1:$DZU$1000000,1791,FALSE)</f>
        <v>#N/A</v>
      </c>
      <c r="F106" s="34" t="e">
        <f>VLOOKUP(A1,DIV_03Data!$A$1:$DZU$1000000,1792,FALSE)</f>
        <v>#N/A</v>
      </c>
      <c r="G106" s="33" t="e">
        <f>VLOOKUP(A1,DIV_03Data!$A$1:$DZU$1000000,1793,FALSE)</f>
        <v>#N/A</v>
      </c>
      <c r="H106" s="34" t="e">
        <f>VLOOKUP(A1,DIV_03Data!$A$1:$DZU$1000000,1794,FALSE)</f>
        <v>#N/A</v>
      </c>
      <c r="I106" s="33" t="e">
        <f>VLOOKUP(A1,DIV_03Data!$A$1:$DZU$1000000,1795,FALSE)</f>
        <v>#N/A</v>
      </c>
      <c r="J106" s="34" t="e">
        <f>VLOOKUP(A1,DIV_03Data!$A$1:$DZU$1000000,1796,FALSE)</f>
        <v>#N/A</v>
      </c>
      <c r="K106" s="34" t="e">
        <f>VLOOKUP(A1,DIV_03Data!$A$1:$DZU$1000000,1797,FALSE)</f>
        <v>#N/A</v>
      </c>
      <c r="L106" s="93" t="e">
        <f>VLOOKUP(A1,DIV_03Data!$A$1:$DZU$1000000,1798,FALSE)</f>
        <v>#N/A</v>
      </c>
      <c r="M106" s="33" t="e">
        <f>VLOOKUP(A1,DIV_03Data!$A$1:$DZU$1000000,1799,FALSE)</f>
        <v>#N/A</v>
      </c>
      <c r="N106" s="34" t="e">
        <f>VLOOKUP(A1,DIV_03Data!$A$1:$DZU$1000000,1800,FALSE)</f>
        <v>#N/A</v>
      </c>
      <c r="O106" s="33" t="e">
        <f>VLOOKUP(A1,DIV_03Data!$A$1:$DZU$1000000,1801,FALSE)</f>
        <v>#N/A</v>
      </c>
      <c r="P106" s="46" t="e">
        <f>VLOOKUP(A1,DIV_03Data!$A$1:$DZU$1000000,1802,FALSE)</f>
        <v>#N/A</v>
      </c>
      <c r="Q106" s="33" t="e">
        <f>VLOOKUP(A1,DIV_03Data!$A$1:$DZU$1000000,1803,FALSE)</f>
        <v>#N/A</v>
      </c>
    </row>
    <row r="107" spans="1:17" x14ac:dyDescent="0.35">
      <c r="A107" s="22" t="e">
        <f>VLOOKUP(A1,DIV_03Data!$A$1:$DZU$1000000,1804,FALSE)</f>
        <v>#N/A</v>
      </c>
      <c r="B107" s="37" t="e">
        <f>VLOOKUP(A1,DIV_03Data!$A$1:$DZU$1000000,1805,FALSE)</f>
        <v>#N/A</v>
      </c>
      <c r="C107" s="38" t="e">
        <f>VLOOKUP(A1,DIV_03Data!$A$1:$DZU$1000000,1806,FALSE)</f>
        <v>#N/A</v>
      </c>
      <c r="D107" s="31" t="e">
        <f>VLOOKUP(A1,DIV_03Data!$A$1:$DZU$1000000,1807,FALSE)</f>
        <v>#N/A</v>
      </c>
      <c r="E107" s="32" t="e">
        <f>VLOOKUP(A1,DIV_03Data!$A$1:$DZU$1000000,1808,FALSE)</f>
        <v>#N/A</v>
      </c>
      <c r="F107" s="34" t="e">
        <f>VLOOKUP(A1,DIV_03Data!$A$1:$DZU$1000000,1809,FALSE)</f>
        <v>#N/A</v>
      </c>
      <c r="G107" s="33" t="e">
        <f>VLOOKUP(A1,DIV_03Data!$A$1:$DZU$1000000,1810,FALSE)</f>
        <v>#N/A</v>
      </c>
      <c r="H107" s="34" t="e">
        <f>VLOOKUP(A1,DIV_03Data!$A$1:$DZU$1000000,1811,FALSE)</f>
        <v>#N/A</v>
      </c>
      <c r="I107" s="33" t="e">
        <f>VLOOKUP(A1,DIV_03Data!$A$1:$DZU$1000000,1812,FALSE)</f>
        <v>#N/A</v>
      </c>
      <c r="J107" s="34" t="e">
        <f>VLOOKUP(A1,DIV_03Data!$A$1:$DZU$1000000,1813,FALSE)</f>
        <v>#N/A</v>
      </c>
      <c r="K107" s="34" t="e">
        <f>VLOOKUP(A1,DIV_03Data!$A$1:$DZU$1000000,1814,FALSE)</f>
        <v>#N/A</v>
      </c>
      <c r="L107" s="93" t="e">
        <f>VLOOKUP(A1,DIV_03Data!$A$1:$DZU$1000000,1815,FALSE)</f>
        <v>#N/A</v>
      </c>
      <c r="M107" s="33" t="e">
        <f>VLOOKUP(A1,DIV_03Data!$A$1:$DZU$1000000,1816,FALSE)</f>
        <v>#N/A</v>
      </c>
      <c r="N107" s="34" t="e">
        <f>VLOOKUP(A1,DIV_03Data!$A$1:$DZU$1000000,1817,FALSE)</f>
        <v>#N/A</v>
      </c>
      <c r="O107" s="33" t="e">
        <f>VLOOKUP(A1,DIV_03Data!$A$1:$DZU$1000000,1818,FALSE)</f>
        <v>#N/A</v>
      </c>
      <c r="P107" s="46" t="e">
        <f>VLOOKUP(A1,DIV_03Data!$A$1:$DZU$1000000,1819,FALSE)</f>
        <v>#N/A</v>
      </c>
      <c r="Q107" s="33" t="e">
        <f>VLOOKUP(A1,DIV_03Data!$A$1:$DZU$1000000,1820,FALSE)</f>
        <v>#N/A</v>
      </c>
    </row>
    <row r="108" spans="1:17" x14ac:dyDescent="0.35">
      <c r="A108" s="22" t="e">
        <f>VLOOKUP(A1,DIV_03Data!$A$1:$DZU$1000000,1821,FALSE)</f>
        <v>#N/A</v>
      </c>
      <c r="B108" s="37" t="e">
        <f>VLOOKUP(A1,DIV_03Data!$A$1:$DZU$1000000,1822,FALSE)</f>
        <v>#N/A</v>
      </c>
      <c r="C108" s="38" t="e">
        <f>VLOOKUP(A1,DIV_03Data!$A$1:$DZU$1000000,1823,FALSE)</f>
        <v>#N/A</v>
      </c>
      <c r="D108" s="31" t="e">
        <f>VLOOKUP(A1,DIV_03Data!$A$1:$DZU$1000000,1824,FALSE)</f>
        <v>#N/A</v>
      </c>
      <c r="E108" s="32" t="e">
        <f>VLOOKUP(A1,DIV_03Data!$A$1:$DZU$1000000,1825,FALSE)</f>
        <v>#N/A</v>
      </c>
      <c r="F108" s="34" t="e">
        <f>VLOOKUP(A1,DIV_03Data!$A$1:$DZU$1000000,1826,FALSE)</f>
        <v>#N/A</v>
      </c>
      <c r="G108" s="33" t="e">
        <f>VLOOKUP(A1,DIV_03Data!$A$1:$DZU$1000000,1827,FALSE)</f>
        <v>#N/A</v>
      </c>
      <c r="H108" s="34" t="e">
        <f>VLOOKUP(A1,DIV_03Data!$A$1:$DZU$1000000,1828,FALSE)</f>
        <v>#N/A</v>
      </c>
      <c r="I108" s="33" t="e">
        <f>VLOOKUP(A1,DIV_03Data!$A$1:$DZU$1000000,1829,FALSE)</f>
        <v>#N/A</v>
      </c>
      <c r="J108" s="34" t="e">
        <f>VLOOKUP(A1,DIV_03Data!$A$1:$DZU$1000000,1830,FALSE)</f>
        <v>#N/A</v>
      </c>
      <c r="K108" s="34" t="e">
        <f>VLOOKUP(A1,DIV_03Data!$A$1:$DZU$1000000,1831,FALSE)</f>
        <v>#N/A</v>
      </c>
      <c r="L108" s="93" t="e">
        <f>VLOOKUP(A1,DIV_03Data!$A$1:$DZU$1000000,1832,FALSE)</f>
        <v>#N/A</v>
      </c>
      <c r="M108" s="33" t="e">
        <f>VLOOKUP(A1,DIV_03Data!$A$1:$DZU$1000000,1833,FALSE)</f>
        <v>#N/A</v>
      </c>
      <c r="N108" s="34" t="e">
        <f>VLOOKUP(A1,DIV_03Data!$A$1:$DZU$1000000,1834,FALSE)</f>
        <v>#N/A</v>
      </c>
      <c r="O108" s="33" t="e">
        <f>VLOOKUP(A1,DIV_03Data!$A$1:$DZU$1000000,1835,FALSE)</f>
        <v>#N/A</v>
      </c>
      <c r="P108" s="46" t="e">
        <f>VLOOKUP(A1,DIV_03Data!$A$1:$DZU$1000000,1836,FALSE)</f>
        <v>#N/A</v>
      </c>
      <c r="Q108" s="33" t="e">
        <f>VLOOKUP(A1,DIV_03Data!$A$1:$DZU$1000000,1837,FALSE)</f>
        <v>#N/A</v>
      </c>
    </row>
    <row r="109" spans="1:17" x14ac:dyDescent="0.35">
      <c r="A109" s="22" t="e">
        <f>VLOOKUP(A1,DIV_03Data!$A$1:$DZU$1000000,1838,FALSE)</f>
        <v>#N/A</v>
      </c>
      <c r="B109" s="37" t="e">
        <f>VLOOKUP(A1,DIV_03Data!$A$1:$DZU$1000000,1839,FALSE)</f>
        <v>#N/A</v>
      </c>
      <c r="C109" s="38" t="e">
        <f>VLOOKUP(A1,DIV_03Data!$A$1:$DZU$1000000,1840,FALSE)</f>
        <v>#N/A</v>
      </c>
      <c r="D109" s="31" t="e">
        <f>VLOOKUP(A1,DIV_03Data!$A$1:$DZU$1000000,1841,FALSE)</f>
        <v>#N/A</v>
      </c>
      <c r="E109" s="32" t="e">
        <f>VLOOKUP(A1,DIV_03Data!$A$1:$DZU$1000000,1842,FALSE)</f>
        <v>#N/A</v>
      </c>
      <c r="F109" s="34" t="e">
        <f>VLOOKUP(A1,DIV_03Data!$A$1:$DZU$1000000,1843,FALSE)</f>
        <v>#N/A</v>
      </c>
      <c r="G109" s="33" t="e">
        <f>VLOOKUP(A1,DIV_03Data!$A$1:$DZU$1000000,1844,FALSE)</f>
        <v>#N/A</v>
      </c>
      <c r="H109" s="34" t="e">
        <f>VLOOKUP(A1,DIV_03Data!$A$1:$DZU$1000000,1845,FALSE)</f>
        <v>#N/A</v>
      </c>
      <c r="I109" s="33" t="e">
        <f>VLOOKUP(A1,DIV_03Data!$A$1:$DZU$1000000,1846,FALSE)</f>
        <v>#N/A</v>
      </c>
      <c r="J109" s="34" t="e">
        <f>VLOOKUP(A1,DIV_03Data!$A$1:$DZU$1000000,1847,FALSE)</f>
        <v>#N/A</v>
      </c>
      <c r="K109" s="34" t="e">
        <f>VLOOKUP(A1,DIV_03Data!$A$1:$DZU$1000000,1848,FALSE)</f>
        <v>#N/A</v>
      </c>
      <c r="L109" s="93" t="e">
        <f>VLOOKUP(A1,DIV_03Data!$A$1:$DZU$1000000,1849,FALSE)</f>
        <v>#N/A</v>
      </c>
      <c r="M109" s="33" t="e">
        <f>VLOOKUP(A1,DIV_03Data!$A$1:$DZU$1000000,1850,FALSE)</f>
        <v>#N/A</v>
      </c>
      <c r="N109" s="34" t="e">
        <f>VLOOKUP(A1,DIV_03Data!$A$1:$DZU$1000000,1851,FALSE)</f>
        <v>#N/A</v>
      </c>
      <c r="O109" s="33" t="e">
        <f>VLOOKUP(A1,DIV_03Data!$A$1:$DZU$1000000,1852,FALSE)</f>
        <v>#N/A</v>
      </c>
      <c r="P109" s="46" t="e">
        <f>VLOOKUP(A1,DIV_03Data!$A$1:$DZU$1000000,1853,FALSE)</f>
        <v>#N/A</v>
      </c>
      <c r="Q109" s="33" t="e">
        <f>VLOOKUP(A1,DIV_03Data!$A$1:$DZU$1000000,1854,FALSE)</f>
        <v>#N/A</v>
      </c>
    </row>
    <row r="110" spans="1:17" x14ac:dyDescent="0.35">
      <c r="A110" s="22" t="e">
        <f>VLOOKUP(A1,DIV_03Data!$A$1:$DZU$1000000,1855,FALSE)</f>
        <v>#N/A</v>
      </c>
      <c r="B110" s="37" t="e">
        <f>VLOOKUP(A1,DIV_03Data!$A$1:$DZU$1000000,1856,FALSE)</f>
        <v>#N/A</v>
      </c>
      <c r="C110" s="38" t="e">
        <f>VLOOKUP(A1,DIV_03Data!$A$1:$DZU$1000000,1857,FALSE)</f>
        <v>#N/A</v>
      </c>
      <c r="D110" s="31" t="e">
        <f>VLOOKUP(A1,DIV_03Data!$A$1:$DZU$1000000,1858,FALSE)</f>
        <v>#N/A</v>
      </c>
      <c r="E110" s="32" t="e">
        <f>VLOOKUP(A1,DIV_03Data!$A$1:$DZU$1000000,1859,FALSE)</f>
        <v>#N/A</v>
      </c>
      <c r="F110" s="34" t="e">
        <f>VLOOKUP(A1,DIV_03Data!$A$1:$DZU$1000000,1860,FALSE)</f>
        <v>#N/A</v>
      </c>
      <c r="G110" s="33" t="e">
        <f>VLOOKUP(A1,DIV_03Data!$A$1:$DZU$1000000,1861,FALSE)</f>
        <v>#N/A</v>
      </c>
      <c r="H110" s="34" t="e">
        <f>VLOOKUP(A1,DIV_03Data!$A$1:$DZU$1000000,1862,FALSE)</f>
        <v>#N/A</v>
      </c>
      <c r="I110" s="33" t="e">
        <f>VLOOKUP(A1,DIV_03Data!$A$1:$DZU$1000000,1863,FALSE)</f>
        <v>#N/A</v>
      </c>
      <c r="J110" s="34" t="e">
        <f>VLOOKUP(A1,DIV_03Data!$A$1:$DZU$1000000,1864,FALSE)</f>
        <v>#N/A</v>
      </c>
      <c r="K110" s="34" t="e">
        <f>VLOOKUP(A1,DIV_03Data!$A$1:$DZU$1000000,1865,FALSE)</f>
        <v>#N/A</v>
      </c>
      <c r="L110" s="93" t="e">
        <f>VLOOKUP(A1,DIV_03Data!$A$1:$DZU$1000000,1866,FALSE)</f>
        <v>#N/A</v>
      </c>
      <c r="M110" s="33" t="e">
        <f>VLOOKUP(A1,DIV_03Data!$A$1:$DZU$1000000,1867,FALSE)</f>
        <v>#N/A</v>
      </c>
      <c r="N110" s="34" t="e">
        <f>VLOOKUP(A1,DIV_03Data!$A$1:$DZU$1000000,1868,FALSE)</f>
        <v>#N/A</v>
      </c>
      <c r="O110" s="33" t="e">
        <f>VLOOKUP(A1,DIV_03Data!$A$1:$DZU$1000000,1869,FALSE)</f>
        <v>#N/A</v>
      </c>
      <c r="P110" s="46" t="e">
        <f>VLOOKUP(A1,DIV_03Data!$A$1:$DZU$1000000,1870,FALSE)</f>
        <v>#N/A</v>
      </c>
      <c r="Q110" s="33" t="e">
        <f>VLOOKUP(A1,DIV_03Data!$A$1:$DZU$1000000,1871,FALSE)</f>
        <v>#N/A</v>
      </c>
    </row>
    <row r="111" spans="1:17" x14ac:dyDescent="0.35">
      <c r="A111" s="22" t="e">
        <f>VLOOKUP(A1,DIV_03Data!$A$1:$DZU$1000000,1872,FALSE)</f>
        <v>#N/A</v>
      </c>
      <c r="B111" s="37" t="e">
        <f>VLOOKUP(A1,DIV_03Data!$A$1:$DZU$1000000,1873,FALSE)</f>
        <v>#N/A</v>
      </c>
      <c r="C111" s="38" t="e">
        <f>VLOOKUP(A1,DIV_03Data!$A$1:$DZU$1000000,1874,FALSE)</f>
        <v>#N/A</v>
      </c>
      <c r="D111" s="31" t="e">
        <f>VLOOKUP(A1,DIV_03Data!$A$1:$DZU$1000000,1875,FALSE)</f>
        <v>#N/A</v>
      </c>
      <c r="E111" s="32" t="e">
        <f>VLOOKUP(A1,DIV_03Data!$A$1:$DZU$1000000,1876,FALSE)</f>
        <v>#N/A</v>
      </c>
      <c r="F111" s="34" t="e">
        <f>VLOOKUP(A1,DIV_03Data!$A$1:$DZU$1000000,1877,FALSE)</f>
        <v>#N/A</v>
      </c>
      <c r="G111" s="33" t="e">
        <f>VLOOKUP(A1,DIV_03Data!$A$1:$DZU$1000000,1878,FALSE)</f>
        <v>#N/A</v>
      </c>
      <c r="H111" s="34" t="e">
        <f>VLOOKUP(A1,DIV_03Data!$A$1:$DZU$1000000,1879,FALSE)</f>
        <v>#N/A</v>
      </c>
      <c r="I111" s="33" t="e">
        <f>VLOOKUP(A1,DIV_03Data!$A$1:$DZU$1000000,1880,FALSE)</f>
        <v>#N/A</v>
      </c>
      <c r="J111" s="34" t="e">
        <f>VLOOKUP(A1,DIV_03Data!$A$1:$DZU$1000000,1881,FALSE)</f>
        <v>#N/A</v>
      </c>
      <c r="K111" s="34" t="e">
        <f>VLOOKUP(A1,DIV_03Data!$A$1:$DZU$1000000,1882,FALSE)</f>
        <v>#N/A</v>
      </c>
      <c r="L111" s="93" t="e">
        <f>VLOOKUP(A1,DIV_03Data!$A$1:$DZU$1000000,1883,FALSE)</f>
        <v>#N/A</v>
      </c>
      <c r="M111" s="33" t="e">
        <f>VLOOKUP(A1,DIV_03Data!$A$1:$DZU$1000000,1884,FALSE)</f>
        <v>#N/A</v>
      </c>
      <c r="N111" s="34" t="e">
        <f>VLOOKUP(A1,DIV_03Data!$A$1:$DZU$1000000,1885,FALSE)</f>
        <v>#N/A</v>
      </c>
      <c r="O111" s="33" t="e">
        <f>VLOOKUP(A1,DIV_03Data!$A$1:$DZU$1000000,1886,FALSE)</f>
        <v>#N/A</v>
      </c>
      <c r="P111" s="46" t="e">
        <f>VLOOKUP(A1,DIV_03Data!$A$1:$DZU$1000000,1887,FALSE)</f>
        <v>#N/A</v>
      </c>
      <c r="Q111" s="33" t="e">
        <f>VLOOKUP(A1,DIV_03Data!$A$1:$DZU$1000000,1888,FALSE)</f>
        <v>#N/A</v>
      </c>
    </row>
    <row r="112" spans="1:17" x14ac:dyDescent="0.35">
      <c r="A112" s="22" t="e">
        <f>VLOOKUP(A1,DIV_03Data!$A$1:$DZU$1000000,1889,FALSE)</f>
        <v>#N/A</v>
      </c>
      <c r="B112" s="37" t="e">
        <f>VLOOKUP(A1,DIV_03Data!$A$1:$DZU$1000000,1890,FALSE)</f>
        <v>#N/A</v>
      </c>
      <c r="C112" s="38" t="e">
        <f>VLOOKUP(A1,DIV_03Data!$A$1:$DZU$1000000,1891,FALSE)</f>
        <v>#N/A</v>
      </c>
      <c r="D112" s="31" t="e">
        <f>VLOOKUP(A1,DIV_03Data!$A$1:$DZU$1000000,1892,FALSE)</f>
        <v>#N/A</v>
      </c>
      <c r="E112" s="32" t="e">
        <f>VLOOKUP(A1,DIV_03Data!$A$1:$DZU$1000000,1893,FALSE)</f>
        <v>#N/A</v>
      </c>
      <c r="F112" s="34" t="e">
        <f>VLOOKUP(A1,DIV_03Data!$A$1:$DZU$1000000,1894,FALSE)</f>
        <v>#N/A</v>
      </c>
      <c r="G112" s="33" t="e">
        <f>VLOOKUP(A1,DIV_03Data!$A$1:$DZU$1000000,1895,FALSE)</f>
        <v>#N/A</v>
      </c>
      <c r="H112" s="34" t="e">
        <f>VLOOKUP(A1,DIV_03Data!$A$1:$DZU$1000000,1896,FALSE)</f>
        <v>#N/A</v>
      </c>
      <c r="I112" s="33" t="e">
        <f>VLOOKUP(A1,DIV_03Data!$A$1:$DZU$1000000,1897,FALSE)</f>
        <v>#N/A</v>
      </c>
      <c r="J112" s="34" t="e">
        <f>VLOOKUP(A1,DIV_03Data!$A$1:$DZU$1000000,1898,FALSE)</f>
        <v>#N/A</v>
      </c>
      <c r="K112" s="34" t="e">
        <f>VLOOKUP(A1,DIV_03Data!$A$1:$DZU$1000000,1899,FALSE)</f>
        <v>#N/A</v>
      </c>
      <c r="L112" s="93" t="e">
        <f>VLOOKUP(A1,DIV_03Data!$A$1:$DZU$1000000,1900,FALSE)</f>
        <v>#N/A</v>
      </c>
      <c r="M112" s="33" t="e">
        <f>VLOOKUP(A1,DIV_03Data!$A$1:$DZU$1000000,1901,FALSE)</f>
        <v>#N/A</v>
      </c>
      <c r="N112" s="34" t="e">
        <f>VLOOKUP(A1,DIV_03Data!$A$1:$DZU$1000000,1902,FALSE)</f>
        <v>#N/A</v>
      </c>
      <c r="O112" s="33" t="e">
        <f>VLOOKUP(A1,DIV_03Data!$A$1:$DZU$1000000,1903,FALSE)</f>
        <v>#N/A</v>
      </c>
      <c r="P112" s="46" t="e">
        <f>VLOOKUP(A1,DIV_03Data!$A$1:$DZU$1000000,1904,FALSE)</f>
        <v>#N/A</v>
      </c>
      <c r="Q112" s="33" t="e">
        <f>VLOOKUP(A1,DIV_03Data!$A$1:$DZU$1000000,1905,FALSE)</f>
        <v>#N/A</v>
      </c>
    </row>
    <row r="113" spans="1:17" x14ac:dyDescent="0.35">
      <c r="A113" s="22" t="e">
        <f>VLOOKUP(A1,DIV_03Data!$A$1:$DZU$1000000,1906,FALSE)</f>
        <v>#N/A</v>
      </c>
      <c r="B113" s="37" t="e">
        <f>VLOOKUP(A1,DIV_03Data!$A$1:$DZU$1000000,1907,FALSE)</f>
        <v>#N/A</v>
      </c>
      <c r="C113" s="38" t="e">
        <f>VLOOKUP(A1,DIV_03Data!$A$1:$DZU$1000000,1908,FALSE)</f>
        <v>#N/A</v>
      </c>
      <c r="D113" s="31" t="e">
        <f>VLOOKUP(A1,DIV_03Data!$A$1:$DZU$1000000,1909,FALSE)</f>
        <v>#N/A</v>
      </c>
      <c r="E113" s="32" t="e">
        <f>VLOOKUP(A1,DIV_03Data!$A$1:$DZU$1000000,1910,FALSE)</f>
        <v>#N/A</v>
      </c>
      <c r="F113" s="34" t="e">
        <f>VLOOKUP(A1,DIV_03Data!$A$1:$DZU$1000000,1911,FALSE)</f>
        <v>#N/A</v>
      </c>
      <c r="G113" s="33" t="e">
        <f>VLOOKUP(A1,DIV_03Data!$A$1:$DZU$1000000,1912,FALSE)</f>
        <v>#N/A</v>
      </c>
      <c r="H113" s="34" t="e">
        <f>VLOOKUP(A1,DIV_03Data!$A$1:$DZU$1000000,1913,FALSE)</f>
        <v>#N/A</v>
      </c>
      <c r="I113" s="33" t="e">
        <f>VLOOKUP(A1,DIV_03Data!$A$1:$DZU$1000000,1914,FALSE)</f>
        <v>#N/A</v>
      </c>
      <c r="J113" s="34" t="e">
        <f>VLOOKUP(A1,DIV_03Data!$A$1:$DZU$1000000,1915,FALSE)</f>
        <v>#N/A</v>
      </c>
      <c r="K113" s="34" t="e">
        <f>VLOOKUP(A1,DIV_03Data!$A$1:$DZU$1000000,1916,FALSE)</f>
        <v>#N/A</v>
      </c>
      <c r="L113" s="93" t="e">
        <f>VLOOKUP(A1,DIV_03Data!$A$1:$DZU$1000000,1917,FALSE)</f>
        <v>#N/A</v>
      </c>
      <c r="M113" s="33" t="e">
        <f>VLOOKUP(A1,DIV_03Data!$A$1:$DZU$1000000,1918,FALSE)</f>
        <v>#N/A</v>
      </c>
      <c r="N113" s="34" t="e">
        <f>VLOOKUP(A1,DIV_03Data!$A$1:$DZU$1000000,1919,FALSE)</f>
        <v>#N/A</v>
      </c>
      <c r="O113" s="33" t="e">
        <f>VLOOKUP(A1,DIV_03Data!$A$1:$DZU$1000000,1920,FALSE)</f>
        <v>#N/A</v>
      </c>
      <c r="P113" s="46" t="e">
        <f>VLOOKUP(A1,DIV_03Data!$A$1:$DZU$1000000,1921,FALSE)</f>
        <v>#N/A</v>
      </c>
      <c r="Q113" s="33" t="e">
        <f>VLOOKUP(A1,DIV_03Data!$A$1:$DZU$1000000,1922,FALSE)</f>
        <v>#N/A</v>
      </c>
    </row>
    <row r="114" spans="1:17" x14ac:dyDescent="0.35">
      <c r="A114" s="22" t="e">
        <f>VLOOKUP(A1,DIV_03Data!$A$1:$DZU$1000000,1923,FALSE)</f>
        <v>#N/A</v>
      </c>
      <c r="B114" s="37" t="e">
        <f>VLOOKUP(A1,DIV_03Data!$A$1:$DZU$1000000,1924,FALSE)</f>
        <v>#N/A</v>
      </c>
      <c r="C114" s="38" t="e">
        <f>VLOOKUP(A1,DIV_03Data!$A$1:$DZU$1000000,1925,FALSE)</f>
        <v>#N/A</v>
      </c>
      <c r="D114" s="31" t="e">
        <f>VLOOKUP(A1,DIV_03Data!$A$1:$DZU$1000000,1926,FALSE)</f>
        <v>#N/A</v>
      </c>
      <c r="E114" s="32" t="e">
        <f>VLOOKUP(A1,DIV_03Data!$A$1:$DZU$1000000,1927,FALSE)</f>
        <v>#N/A</v>
      </c>
      <c r="F114" s="34" t="e">
        <f>VLOOKUP(A1,DIV_03Data!$A$1:$DZU$1000000,1928,FALSE)</f>
        <v>#N/A</v>
      </c>
      <c r="G114" s="33" t="e">
        <f>VLOOKUP(A1,DIV_03Data!$A$1:$DZU$1000000,1929,FALSE)</f>
        <v>#N/A</v>
      </c>
      <c r="H114" s="34" t="e">
        <f>VLOOKUP(A1,DIV_03Data!$A$1:$DZU$1000000,1930,FALSE)</f>
        <v>#N/A</v>
      </c>
      <c r="I114" s="33" t="e">
        <f>VLOOKUP(A1,DIV_03Data!$A$1:$DZU$1000000,1931,FALSE)</f>
        <v>#N/A</v>
      </c>
      <c r="J114" s="34" t="e">
        <f>VLOOKUP(A1,DIV_03Data!$A$1:$DZU$1000000,1932,FALSE)</f>
        <v>#N/A</v>
      </c>
      <c r="K114" s="34" t="e">
        <f>VLOOKUP(A1,DIV_03Data!$A$1:$DZU$1000000,1933,FALSE)</f>
        <v>#N/A</v>
      </c>
      <c r="L114" s="93" t="e">
        <f>VLOOKUP(A1,DIV_03Data!$A$1:$DZU$1000000,1934,FALSE)</f>
        <v>#N/A</v>
      </c>
      <c r="M114" s="33" t="e">
        <f>VLOOKUP(A1,DIV_03Data!$A$1:$DZU$1000000,1935,FALSE)</f>
        <v>#N/A</v>
      </c>
      <c r="N114" s="34" t="e">
        <f>VLOOKUP(A1,DIV_03Data!$A$1:$DZU$1000000,1936,FALSE)</f>
        <v>#N/A</v>
      </c>
      <c r="O114" s="33" t="e">
        <f>VLOOKUP(A1,DIV_03Data!$A$1:$DZU$1000000,1937,FALSE)</f>
        <v>#N/A</v>
      </c>
      <c r="P114" s="46" t="e">
        <f>VLOOKUP(A1,DIV_03Data!$A$1:$DZU$1000000,1938,FALSE)</f>
        <v>#N/A</v>
      </c>
      <c r="Q114" s="33" t="e">
        <f>VLOOKUP(A1,DIV_03Data!$A$1:$DZU$1000000,1939,FALSE)</f>
        <v>#N/A</v>
      </c>
    </row>
    <row r="115" spans="1:17" x14ac:dyDescent="0.35">
      <c r="A115" s="22" t="e">
        <f>VLOOKUP(A1,DIV_03Data!$A$1:$DZU$1000000,1940,FALSE)</f>
        <v>#N/A</v>
      </c>
      <c r="B115" s="37" t="e">
        <f>VLOOKUP(A1,DIV_03Data!$A$1:$DZU$1000000,1941,FALSE)</f>
        <v>#N/A</v>
      </c>
      <c r="C115" s="38" t="e">
        <f>VLOOKUP(A1,DIV_03Data!$A$1:$DZU$1000000,1942,FALSE)</f>
        <v>#N/A</v>
      </c>
      <c r="D115" s="31" t="e">
        <f>VLOOKUP(A1,DIV_03Data!$A$1:$DZU$1000000,1943,FALSE)</f>
        <v>#N/A</v>
      </c>
      <c r="E115" s="32" t="e">
        <f>VLOOKUP(A1,DIV_03Data!$A$1:$DZU$1000000,1944,FALSE)</f>
        <v>#N/A</v>
      </c>
      <c r="F115" s="34" t="e">
        <f>VLOOKUP(A1,DIV_03Data!$A$1:$DZU$1000000,1945,FALSE)</f>
        <v>#N/A</v>
      </c>
      <c r="G115" s="33" t="e">
        <f>VLOOKUP(A1,DIV_03Data!$A$1:$DZU$1000000,1946,FALSE)</f>
        <v>#N/A</v>
      </c>
      <c r="H115" s="34" t="e">
        <f>VLOOKUP(A1,DIV_03Data!$A$1:$DZU$1000000,1947,FALSE)</f>
        <v>#N/A</v>
      </c>
      <c r="I115" s="33" t="e">
        <f>VLOOKUP(A1,DIV_03Data!$A$1:$DZU$1000000,1948,FALSE)</f>
        <v>#N/A</v>
      </c>
      <c r="J115" s="34" t="e">
        <f>VLOOKUP(A1,DIV_03Data!$A$1:$DZU$1000000,1949,FALSE)</f>
        <v>#N/A</v>
      </c>
      <c r="K115" s="34" t="e">
        <f>VLOOKUP(A1,DIV_03Data!$A$1:$DZU$1000000,1950,FALSE)</f>
        <v>#N/A</v>
      </c>
      <c r="L115" s="93" t="e">
        <f>VLOOKUP(A1,DIV_03Data!$A$1:$DZU$1000000,1951,FALSE)</f>
        <v>#N/A</v>
      </c>
      <c r="M115" s="33" t="e">
        <f>VLOOKUP(A1,DIV_03Data!$A$1:$DZU$1000000,1952,FALSE)</f>
        <v>#N/A</v>
      </c>
      <c r="N115" s="34" t="e">
        <f>VLOOKUP(A1,DIV_03Data!$A$1:$DZU$1000000,1953,FALSE)</f>
        <v>#N/A</v>
      </c>
      <c r="O115" s="33" t="e">
        <f>VLOOKUP(A1,DIV_03Data!$A$1:$DZU$1000000,1954,FALSE)</f>
        <v>#N/A</v>
      </c>
      <c r="P115" s="46" t="e">
        <f>VLOOKUP(A1,DIV_03Data!$A$1:$DZU$1000000,1955,FALSE)</f>
        <v>#N/A</v>
      </c>
      <c r="Q115" s="33" t="e">
        <f>VLOOKUP(A1,DIV_03Data!$A$1:$DZU$1000000,1956,FALSE)</f>
        <v>#N/A</v>
      </c>
    </row>
    <row r="116" spans="1:17" x14ac:dyDescent="0.35">
      <c r="A116" s="22" t="e">
        <f>VLOOKUP(A1,DIV_03Data!$A$1:$DZU$1000000,1957,FALSE)</f>
        <v>#N/A</v>
      </c>
      <c r="B116" s="37" t="e">
        <f>VLOOKUP(A1,DIV_03Data!$A$1:$DZU$1000000,1958,FALSE)</f>
        <v>#N/A</v>
      </c>
      <c r="C116" s="38" t="e">
        <f>VLOOKUP(A1,DIV_03Data!$A$1:$DZU$1000000,1959,FALSE)</f>
        <v>#N/A</v>
      </c>
      <c r="D116" s="31" t="e">
        <f>VLOOKUP(A1,DIV_03Data!$A$1:$DZU$1000000,1960,FALSE)</f>
        <v>#N/A</v>
      </c>
      <c r="E116" s="32" t="e">
        <f>VLOOKUP(A1,DIV_03Data!$A$1:$DZU$1000000,1961,FALSE)</f>
        <v>#N/A</v>
      </c>
      <c r="F116" s="34" t="e">
        <f>VLOOKUP(A1,DIV_03Data!$A$1:$DZU$1000000,1962,FALSE)</f>
        <v>#N/A</v>
      </c>
      <c r="G116" s="33" t="e">
        <f>VLOOKUP(A1,DIV_03Data!$A$1:$DZU$1000000,1963,FALSE)</f>
        <v>#N/A</v>
      </c>
      <c r="H116" s="34" t="e">
        <f>VLOOKUP(A1,DIV_03Data!$A$1:$DZU$1000000,1964,FALSE)</f>
        <v>#N/A</v>
      </c>
      <c r="I116" s="33" t="e">
        <f>VLOOKUP(A1,DIV_03Data!$A$1:$DZU$1000000,1965,FALSE)</f>
        <v>#N/A</v>
      </c>
      <c r="J116" s="34" t="e">
        <f>VLOOKUP(A1,DIV_03Data!$A$1:$DZU$1000000,1966,FALSE)</f>
        <v>#N/A</v>
      </c>
      <c r="K116" s="34" t="e">
        <f>VLOOKUP(A1,DIV_03Data!$A$1:$DZU$1000000,1967,FALSE)</f>
        <v>#N/A</v>
      </c>
      <c r="L116" s="93" t="e">
        <f>VLOOKUP(A1,DIV_03Data!$A$1:$DZU$1000000,1968,FALSE)</f>
        <v>#N/A</v>
      </c>
      <c r="M116" s="33" t="e">
        <f>VLOOKUP(A1,DIV_03Data!$A$1:$DZU$1000000,1969,FALSE)</f>
        <v>#N/A</v>
      </c>
      <c r="N116" s="34" t="e">
        <f>VLOOKUP(A1,DIV_03Data!$A$1:$DZU$1000000,1970,FALSE)</f>
        <v>#N/A</v>
      </c>
      <c r="O116" s="33" t="e">
        <f>VLOOKUP(A1,DIV_03Data!$A$1:$DZU$1000000,1971,FALSE)</f>
        <v>#N/A</v>
      </c>
      <c r="P116" s="46" t="e">
        <f>VLOOKUP(A1,DIV_03Data!$A$1:$DZU$1000000,1972,FALSE)</f>
        <v>#N/A</v>
      </c>
      <c r="Q116" s="33" t="e">
        <f>VLOOKUP(A1,DIV_03Data!$A$1:$DZU$1000000,1973,FALSE)</f>
        <v>#N/A</v>
      </c>
    </row>
    <row r="117" spans="1:17" x14ac:dyDescent="0.35">
      <c r="A117" s="22" t="e">
        <f>VLOOKUP(A1,DIV_03Data!$A$1:$DZU$1000000,1974,FALSE)</f>
        <v>#N/A</v>
      </c>
      <c r="B117" s="37" t="e">
        <f>VLOOKUP(A1,DIV_03Data!$A$1:$DZU$1000000,1975,FALSE)</f>
        <v>#N/A</v>
      </c>
      <c r="C117" s="38" t="e">
        <f>VLOOKUP(A1,DIV_03Data!$A$1:$DZU$1000000,1976,FALSE)</f>
        <v>#N/A</v>
      </c>
      <c r="D117" s="31" t="e">
        <f>VLOOKUP(A1,DIV_03Data!$A$1:$DZU$1000000,1977,FALSE)</f>
        <v>#N/A</v>
      </c>
      <c r="E117" s="32" t="e">
        <f>VLOOKUP(A1,DIV_03Data!$A$1:$DZU$1000000,1978,FALSE)</f>
        <v>#N/A</v>
      </c>
      <c r="F117" s="34" t="e">
        <f>VLOOKUP(A1,DIV_03Data!$A$1:$DZU$1000000,1979,FALSE)</f>
        <v>#N/A</v>
      </c>
      <c r="G117" s="33" t="e">
        <f>VLOOKUP(A1,DIV_03Data!$A$1:$DZU$1000000,1980,FALSE)</f>
        <v>#N/A</v>
      </c>
      <c r="H117" s="34" t="e">
        <f>VLOOKUP(A1,DIV_03Data!$A$1:$DZU$1000000,1981,FALSE)</f>
        <v>#N/A</v>
      </c>
      <c r="I117" s="33" t="e">
        <f>VLOOKUP(A1,DIV_03Data!$A$1:$DZU$1000000,1982,FALSE)</f>
        <v>#N/A</v>
      </c>
      <c r="J117" s="34" t="e">
        <f>VLOOKUP(A1,DIV_03Data!$A$1:$DZU$1000000,1983,FALSE)</f>
        <v>#N/A</v>
      </c>
      <c r="K117" s="34" t="e">
        <f>VLOOKUP(A1,DIV_03Data!$A$1:$DZU$1000000,1984,FALSE)</f>
        <v>#N/A</v>
      </c>
      <c r="L117" s="93" t="e">
        <f>VLOOKUP(A1,DIV_03Data!$A$1:$DZU$1000000,1985,FALSE)</f>
        <v>#N/A</v>
      </c>
      <c r="M117" s="33" t="e">
        <f>VLOOKUP(A1,DIV_03Data!$A$1:$DZU$1000000,1986,FALSE)</f>
        <v>#N/A</v>
      </c>
      <c r="N117" s="34" t="e">
        <f>VLOOKUP(A1,DIV_03Data!$A$1:$DZU$1000000,1987,FALSE)</f>
        <v>#N/A</v>
      </c>
      <c r="O117" s="33" t="e">
        <f>VLOOKUP(A1,DIV_03Data!$A$1:$DZU$1000000,1988,FALSE)</f>
        <v>#N/A</v>
      </c>
      <c r="P117" s="46" t="e">
        <f>VLOOKUP(A1,DIV_03Data!$A$1:$DZU$1000000,1989,FALSE)</f>
        <v>#N/A</v>
      </c>
      <c r="Q117" s="33" t="e">
        <f>VLOOKUP(A1,DIV_03Data!$A$1:$DZU$1000000,1990,FALSE)</f>
        <v>#N/A</v>
      </c>
    </row>
    <row r="118" spans="1:17" x14ac:dyDescent="0.35">
      <c r="A118" s="22" t="e">
        <f>VLOOKUP(A1,DIV_03Data!$A$1:$DZU$1000000,1991,FALSE)</f>
        <v>#N/A</v>
      </c>
      <c r="B118" s="37" t="e">
        <f>VLOOKUP(A1,DIV_03Data!$A$1:$DZU$1000000,1992,FALSE)</f>
        <v>#N/A</v>
      </c>
      <c r="C118" s="38" t="e">
        <f>VLOOKUP(A1,DIV_03Data!$A$1:$DZU$1000000,1993,FALSE)</f>
        <v>#N/A</v>
      </c>
      <c r="D118" s="31" t="e">
        <f>VLOOKUP(A1,DIV_03Data!$A$1:$DZU$1000000,1994,FALSE)</f>
        <v>#N/A</v>
      </c>
      <c r="E118" s="32" t="e">
        <f>VLOOKUP(A1,DIV_03Data!$A$1:$DZU$1000000,1995,FALSE)</f>
        <v>#N/A</v>
      </c>
      <c r="F118" s="34" t="e">
        <f>VLOOKUP(A1,DIV_03Data!$A$1:$DZU$1000000,1996,FALSE)</f>
        <v>#N/A</v>
      </c>
      <c r="G118" s="33" t="e">
        <f>VLOOKUP(A1,DIV_03Data!$A$1:$DZU$1000000,1997,FALSE)</f>
        <v>#N/A</v>
      </c>
      <c r="H118" s="34" t="e">
        <f>VLOOKUP(A1,DIV_03Data!$A$1:$DZU$1000000,1998,FALSE)</f>
        <v>#N/A</v>
      </c>
      <c r="I118" s="33" t="e">
        <f>VLOOKUP(A1,DIV_03Data!$A$1:$DZU$1000000,1999,FALSE)</f>
        <v>#N/A</v>
      </c>
      <c r="J118" s="34" t="e">
        <f>VLOOKUP(A1,DIV_03Data!$A$1:$DZU$1000000,2000,FALSE)</f>
        <v>#N/A</v>
      </c>
      <c r="K118" s="34" t="e">
        <f>VLOOKUP(A1,DIV_03Data!$A$1:$DZU$1000000,2001,FALSE)</f>
        <v>#N/A</v>
      </c>
      <c r="L118" s="93" t="e">
        <f>VLOOKUP(A1,DIV_03Data!$A$1:$DZU$1000000,2002,FALSE)</f>
        <v>#N/A</v>
      </c>
      <c r="M118" s="33" t="e">
        <f>VLOOKUP(A1,DIV_03Data!$A$1:$DZU$1000000,2003,FALSE)</f>
        <v>#N/A</v>
      </c>
      <c r="N118" s="34" t="e">
        <f>VLOOKUP(A1,DIV_03Data!$A$1:$DZU$1000000,2004,FALSE)</f>
        <v>#N/A</v>
      </c>
      <c r="O118" s="33" t="e">
        <f>VLOOKUP(A1,DIV_03Data!$A$1:$DZU$1000000,2005,FALSE)</f>
        <v>#N/A</v>
      </c>
      <c r="P118" s="46" t="e">
        <f>VLOOKUP(A1,DIV_03Data!$A$1:$DZU$1000000,2006,FALSE)</f>
        <v>#N/A</v>
      </c>
      <c r="Q118" s="33" t="e">
        <f>VLOOKUP(A1,DIV_03Data!$A$1:$DZU$1000000,2007,FALSE)</f>
        <v>#N/A</v>
      </c>
    </row>
    <row r="119" spans="1:17" x14ac:dyDescent="0.35">
      <c r="A119" s="22" t="e">
        <f>VLOOKUP(A1,DIV_03Data!$A$1:$DZU$1000000,2008,FALSE)</f>
        <v>#N/A</v>
      </c>
      <c r="B119" s="37" t="e">
        <f>VLOOKUP(A1,DIV_03Data!$A$1:$DZU$1000000,2009,FALSE)</f>
        <v>#N/A</v>
      </c>
      <c r="C119" s="38" t="e">
        <f>VLOOKUP(A1,DIV_03Data!$A$1:$DZU$1000000,2010,FALSE)</f>
        <v>#N/A</v>
      </c>
      <c r="D119" s="31" t="e">
        <f>VLOOKUP(A1,DIV_03Data!$A$1:$DZU$1000000,2011,FALSE)</f>
        <v>#N/A</v>
      </c>
      <c r="E119" s="32" t="e">
        <f>VLOOKUP(A1,DIV_03Data!$A$1:$DZU$1000000,2012,FALSE)</f>
        <v>#N/A</v>
      </c>
      <c r="F119" s="34" t="e">
        <f>VLOOKUP(A1,DIV_03Data!$A$1:$DZU$1000000,2013,FALSE)</f>
        <v>#N/A</v>
      </c>
      <c r="G119" s="33" t="e">
        <f>VLOOKUP(A1,DIV_03Data!$A$1:$DZU$1000000,2014,FALSE)</f>
        <v>#N/A</v>
      </c>
      <c r="H119" s="34" t="e">
        <f>VLOOKUP(A1,DIV_03Data!$A$1:$DZU$1000000,2015,FALSE)</f>
        <v>#N/A</v>
      </c>
      <c r="I119" s="33" t="e">
        <f>VLOOKUP(A1,DIV_03Data!$A$1:$DZU$1000000,2016,FALSE)</f>
        <v>#N/A</v>
      </c>
      <c r="J119" s="34" t="e">
        <f>VLOOKUP(A1,DIV_03Data!$A$1:$DZU$1000000,2017,FALSE)</f>
        <v>#N/A</v>
      </c>
      <c r="K119" s="34" t="e">
        <f>VLOOKUP(A1,DIV_03Data!$A$1:$DZU$1000000,2018,FALSE)</f>
        <v>#N/A</v>
      </c>
      <c r="L119" s="93" t="e">
        <f>VLOOKUP(A1,DIV_03Data!$A$1:$DZU$1000000,2019,FALSE)</f>
        <v>#N/A</v>
      </c>
      <c r="M119" s="33" t="e">
        <f>VLOOKUP(A1,DIV_03Data!$A$1:$DZU$1000000,2020,FALSE)</f>
        <v>#N/A</v>
      </c>
      <c r="N119" s="34" t="e">
        <f>VLOOKUP(A1,DIV_03Data!$A$1:$DZU$1000000,2021,FALSE)</f>
        <v>#N/A</v>
      </c>
      <c r="O119" s="33" t="e">
        <f>VLOOKUP(A1,DIV_03Data!$A$1:$DZU$1000000,2022,FALSE)</f>
        <v>#N/A</v>
      </c>
      <c r="P119" s="46" t="e">
        <f>VLOOKUP(A1,DIV_03Data!$A$1:$DZU$1000000,2023,FALSE)</f>
        <v>#N/A</v>
      </c>
      <c r="Q119" s="33" t="e">
        <f>VLOOKUP(A1,DIV_03Data!$A$1:$DZU$1000000,2024,FALSE)</f>
        <v>#N/A</v>
      </c>
    </row>
    <row r="120" spans="1:17" x14ac:dyDescent="0.35">
      <c r="A120" s="22" t="e">
        <f>VLOOKUP(A1,DIV_03Data!$A$1:$DZU$1000000,2025,FALSE)</f>
        <v>#N/A</v>
      </c>
      <c r="B120" s="37" t="e">
        <f>VLOOKUP(A1,DIV_03Data!$A$1:$DZU$1000000,2026,FALSE)</f>
        <v>#N/A</v>
      </c>
      <c r="C120" s="38" t="e">
        <f>VLOOKUP(A1,DIV_03Data!$A$1:$DZU$1000000,2027,FALSE)</f>
        <v>#N/A</v>
      </c>
      <c r="D120" s="31" t="e">
        <f>VLOOKUP(A1,DIV_03Data!$A$1:$DZU$1000000,2028,FALSE)</f>
        <v>#N/A</v>
      </c>
      <c r="E120" s="32" t="e">
        <f>VLOOKUP(A1,DIV_03Data!$A$1:$DZU$1000000,2029,FALSE)</f>
        <v>#N/A</v>
      </c>
      <c r="F120" s="34" t="e">
        <f>VLOOKUP(A1,DIV_03Data!$A$1:$DZU$1000000,2030,FALSE)</f>
        <v>#N/A</v>
      </c>
      <c r="G120" s="33" t="e">
        <f>VLOOKUP(A1,DIV_03Data!$A$1:$DZU$1000000,2031,FALSE)</f>
        <v>#N/A</v>
      </c>
      <c r="H120" s="34" t="e">
        <f>VLOOKUP(A1,DIV_03Data!$A$1:$DZU$1000000,2032,FALSE)</f>
        <v>#N/A</v>
      </c>
      <c r="I120" s="33" t="e">
        <f>VLOOKUP(A1,DIV_03Data!$A$1:$DZU$1000000,2033,FALSE)</f>
        <v>#N/A</v>
      </c>
      <c r="J120" s="34" t="e">
        <f>VLOOKUP(A1,DIV_03Data!$A$1:$DZU$1000000,2034,FALSE)</f>
        <v>#N/A</v>
      </c>
      <c r="K120" s="34" t="e">
        <f>VLOOKUP(A1,DIV_03Data!$A$1:$DZU$1000000,2035,FALSE)</f>
        <v>#N/A</v>
      </c>
      <c r="L120" s="93" t="e">
        <f>VLOOKUP(A1,DIV_03Data!$A$1:$DZU$1000000,2036,FALSE)</f>
        <v>#N/A</v>
      </c>
      <c r="M120" s="33" t="e">
        <f>VLOOKUP(A1,DIV_03Data!$A$1:$DZU$1000000,2037,FALSE)</f>
        <v>#N/A</v>
      </c>
      <c r="N120" s="34" t="e">
        <f>VLOOKUP(A1,DIV_03Data!$A$1:$DZU$1000000,2038,FALSE)</f>
        <v>#N/A</v>
      </c>
      <c r="O120" s="33" t="e">
        <f>VLOOKUP(A1,DIV_03Data!$A$1:$DZU$1000000,2039,FALSE)</f>
        <v>#N/A</v>
      </c>
      <c r="P120" s="46" t="e">
        <f>VLOOKUP(A1,DIV_03Data!$A$1:$DZU$1000000,2040,FALSE)</f>
        <v>#N/A</v>
      </c>
      <c r="Q120" s="33" t="e">
        <f>VLOOKUP(A1,DIV_03Data!$A$1:$DZU$1000000,2041,FALSE)</f>
        <v>#N/A</v>
      </c>
    </row>
    <row r="121" spans="1:17" x14ac:dyDescent="0.35">
      <c r="A121" s="22" t="e">
        <f>VLOOKUP(A1,DIV_03Data!$A$1:$DZU$1000000,2042,FALSE)</f>
        <v>#N/A</v>
      </c>
      <c r="B121" s="37" t="e">
        <f>VLOOKUP(A1,DIV_03Data!$A$1:$DZU$1000000,2043,FALSE)</f>
        <v>#N/A</v>
      </c>
      <c r="C121" s="38" t="e">
        <f>VLOOKUP(A1,DIV_03Data!$A$1:$DZU$1000000,2044,FALSE)</f>
        <v>#N/A</v>
      </c>
      <c r="D121" s="31" t="e">
        <f>VLOOKUP(A1,DIV_03Data!$A$1:$DZU$1000000,2045,FALSE)</f>
        <v>#N/A</v>
      </c>
      <c r="E121" s="32" t="e">
        <f>VLOOKUP(A1,DIV_03Data!$A$1:$DZU$1000000,2046,FALSE)</f>
        <v>#N/A</v>
      </c>
      <c r="F121" s="34" t="e">
        <f>VLOOKUP(A1,DIV_03Data!$A$1:$DZU$1000000,2047,FALSE)</f>
        <v>#N/A</v>
      </c>
      <c r="G121" s="33" t="e">
        <f>VLOOKUP(A1,DIV_03Data!$A$1:$DZU$1000000,2048,FALSE)</f>
        <v>#N/A</v>
      </c>
      <c r="H121" s="34" t="e">
        <f>VLOOKUP(A1,DIV_03Data!$A$1:$DZU$1000000,2049,FALSE)</f>
        <v>#N/A</v>
      </c>
      <c r="I121" s="33" t="e">
        <f>VLOOKUP(A1,DIV_03Data!$A$1:$DZU$1000000,2050,FALSE)</f>
        <v>#N/A</v>
      </c>
      <c r="J121" s="34" t="e">
        <f>VLOOKUP(A1,DIV_03Data!$A$1:$DZU$1000000,2051,FALSE)</f>
        <v>#N/A</v>
      </c>
      <c r="K121" s="34" t="e">
        <f>VLOOKUP(A1,DIV_03Data!$A$1:$DZU$1000000,2052,FALSE)</f>
        <v>#N/A</v>
      </c>
      <c r="L121" s="93" t="e">
        <f>VLOOKUP(A1,DIV_03Data!$A$1:$DZU$1000000,2053,FALSE)</f>
        <v>#N/A</v>
      </c>
      <c r="M121" s="33" t="e">
        <f>VLOOKUP(A1,DIV_03Data!$A$1:$DZU$1000000,2054,FALSE)</f>
        <v>#N/A</v>
      </c>
      <c r="N121" s="34" t="e">
        <f>VLOOKUP(A1,DIV_03Data!$A$1:$DZU$1000000,2055,FALSE)</f>
        <v>#N/A</v>
      </c>
      <c r="O121" s="33" t="e">
        <f>VLOOKUP(A1,DIV_03Data!$A$1:$DZU$1000000,2056,FALSE)</f>
        <v>#N/A</v>
      </c>
      <c r="P121" s="46" t="e">
        <f>VLOOKUP(A1,DIV_03Data!$A$1:$DZU$1000000,2057,FALSE)</f>
        <v>#N/A</v>
      </c>
      <c r="Q121" s="33" t="e">
        <f>VLOOKUP(A1,DIV_03Data!$A$1:$DZU$1000000,2058,FALSE)</f>
        <v>#N/A</v>
      </c>
    </row>
    <row r="122" spans="1:17" x14ac:dyDescent="0.35">
      <c r="A122" s="22" t="e">
        <f>VLOOKUP(A1,DIV_03Data!$A$1:$DZU$1000000,2059,FALSE)</f>
        <v>#N/A</v>
      </c>
      <c r="B122" s="37" t="e">
        <f>VLOOKUP(A1,DIV_03Data!$A$1:$DZU$1000000,2060,FALSE)</f>
        <v>#N/A</v>
      </c>
      <c r="C122" s="38" t="e">
        <f>VLOOKUP(A1,DIV_03Data!$A$1:$DZU$1000000,2061,FALSE)</f>
        <v>#N/A</v>
      </c>
      <c r="D122" s="31" t="e">
        <f>VLOOKUP(A1,DIV_03Data!$A$1:$DZU$1000000,2062,FALSE)</f>
        <v>#N/A</v>
      </c>
      <c r="E122" s="32" t="e">
        <f>VLOOKUP(A1,DIV_03Data!$A$1:$DZU$1000000,2063,FALSE)</f>
        <v>#N/A</v>
      </c>
      <c r="F122" s="34" t="e">
        <f>VLOOKUP(A1,DIV_03Data!$A$1:$DZU$1000000,2064,FALSE)</f>
        <v>#N/A</v>
      </c>
      <c r="G122" s="33" t="e">
        <f>VLOOKUP(A1,DIV_03Data!$A$1:$DZU$1000000,2065,FALSE)</f>
        <v>#N/A</v>
      </c>
      <c r="H122" s="34" t="e">
        <f>VLOOKUP(A1,DIV_03Data!$A$1:$DZU$1000000,2066,FALSE)</f>
        <v>#N/A</v>
      </c>
      <c r="I122" s="33" t="e">
        <f>VLOOKUP(A1,DIV_03Data!$A$1:$DZU$1000000,2067,FALSE)</f>
        <v>#N/A</v>
      </c>
      <c r="J122" s="34" t="e">
        <f>VLOOKUP(A1,DIV_03Data!$A$1:$DZU$1000000,2068,FALSE)</f>
        <v>#N/A</v>
      </c>
      <c r="K122" s="34" t="e">
        <f>VLOOKUP(A1,DIV_03Data!$A$1:$DZU$1000000,2069,FALSE)</f>
        <v>#N/A</v>
      </c>
      <c r="L122" s="93" t="e">
        <f>VLOOKUP(A1,DIV_03Data!$A$1:$DZU$1000000,2070,FALSE)</f>
        <v>#N/A</v>
      </c>
      <c r="M122" s="33" t="e">
        <f>VLOOKUP(A1,DIV_03Data!$A$1:$DZU$1000000,2071,FALSE)</f>
        <v>#N/A</v>
      </c>
      <c r="N122" s="34" t="e">
        <f>VLOOKUP(A1,DIV_03Data!$A$1:$DZU$1000000,2072,FALSE)</f>
        <v>#N/A</v>
      </c>
      <c r="O122" s="33" t="e">
        <f>VLOOKUP(A1,DIV_03Data!$A$1:$DZU$1000000,2073,FALSE)</f>
        <v>#N/A</v>
      </c>
      <c r="P122" s="46" t="e">
        <f>VLOOKUP(A1,DIV_03Data!$A$1:$DZU$1000000,2074,FALSE)</f>
        <v>#N/A</v>
      </c>
      <c r="Q122" s="33" t="e">
        <f>VLOOKUP(A1,DIV_03Data!$A$1:$DZU$1000000,2075,FALSE)</f>
        <v>#N/A</v>
      </c>
    </row>
    <row r="123" spans="1:17" x14ac:dyDescent="0.35">
      <c r="A123" s="22" t="e">
        <f>VLOOKUP(A1,DIV_03Data!$A$1:$DZU$1000000,2076,FALSE)</f>
        <v>#N/A</v>
      </c>
      <c r="B123" s="37" t="e">
        <f>VLOOKUP(A1,DIV_03Data!$A$1:$DZU$1000000,2077,FALSE)</f>
        <v>#N/A</v>
      </c>
      <c r="C123" s="38" t="e">
        <f>VLOOKUP(A1,DIV_03Data!$A$1:$DZU$1000000,2078,FALSE)</f>
        <v>#N/A</v>
      </c>
      <c r="D123" s="31" t="e">
        <f>VLOOKUP(A1,DIV_03Data!$A$1:$DZU$1000000,2079,FALSE)</f>
        <v>#N/A</v>
      </c>
      <c r="E123" s="32" t="e">
        <f>VLOOKUP(A1,DIV_03Data!$A$1:$DZU$1000000,2080,FALSE)</f>
        <v>#N/A</v>
      </c>
      <c r="F123" s="34" t="e">
        <f>VLOOKUP(A1,DIV_03Data!$A$1:$DZU$1000000,2081,FALSE)</f>
        <v>#N/A</v>
      </c>
      <c r="G123" s="33" t="e">
        <f>VLOOKUP(A1,DIV_03Data!$A$1:$DZU$1000000,2082,FALSE)</f>
        <v>#N/A</v>
      </c>
      <c r="H123" s="34" t="e">
        <f>VLOOKUP(A1,DIV_03Data!$A$1:$DZU$1000000,2083,FALSE)</f>
        <v>#N/A</v>
      </c>
      <c r="I123" s="33" t="e">
        <f>VLOOKUP(A1,DIV_03Data!$A$1:$DZU$1000000,2084,FALSE)</f>
        <v>#N/A</v>
      </c>
      <c r="J123" s="34" t="e">
        <f>VLOOKUP(A1,DIV_03Data!$A$1:$DZU$1000000,2085,FALSE)</f>
        <v>#N/A</v>
      </c>
      <c r="K123" s="34" t="e">
        <f>VLOOKUP(A1,DIV_03Data!$A$1:$DZU$1000000,2086,FALSE)</f>
        <v>#N/A</v>
      </c>
      <c r="L123" s="93" t="e">
        <f>VLOOKUP(A1,DIV_03Data!$A$1:$DZU$1000000,2087,FALSE)</f>
        <v>#N/A</v>
      </c>
      <c r="M123" s="33" t="e">
        <f>VLOOKUP(A1,DIV_03Data!$A$1:$DZU$1000000,2088,FALSE)</f>
        <v>#N/A</v>
      </c>
      <c r="N123" s="34" t="e">
        <f>VLOOKUP(A1,DIV_03Data!$A$1:$DZU$1000000,2089,FALSE)</f>
        <v>#N/A</v>
      </c>
      <c r="O123" s="33" t="e">
        <f>VLOOKUP(A1,DIV_03Data!$A$1:$DZU$1000000,2090,FALSE)</f>
        <v>#N/A</v>
      </c>
      <c r="P123" s="46" t="e">
        <f>VLOOKUP(A1,DIV_03Data!$A$1:$DZU$1000000,2091,FALSE)</f>
        <v>#N/A</v>
      </c>
      <c r="Q123" s="33" t="e">
        <f>VLOOKUP(A1,DIV_03Data!$A$1:$DZU$1000000,2092,FALSE)</f>
        <v>#N/A</v>
      </c>
    </row>
    <row r="124" spans="1:17" x14ac:dyDescent="0.35">
      <c r="A124" s="22" t="e">
        <f>VLOOKUP(A1,DIV_03Data!$A$1:$DZU$1000000,2093,FALSE)</f>
        <v>#N/A</v>
      </c>
      <c r="B124" s="37" t="e">
        <f>VLOOKUP(A1,DIV_03Data!$A$1:$DZU$1000000,2094,FALSE)</f>
        <v>#N/A</v>
      </c>
      <c r="C124" s="38" t="e">
        <f>VLOOKUP(A1,DIV_03Data!$A$1:$DZU$1000000,2095,FALSE)</f>
        <v>#N/A</v>
      </c>
      <c r="D124" s="31" t="e">
        <f>VLOOKUP(A1,DIV_03Data!$A$1:$DZU$1000000,2096,FALSE)</f>
        <v>#N/A</v>
      </c>
      <c r="E124" s="32" t="e">
        <f>VLOOKUP(A1,DIV_03Data!$A$1:$DZU$1000000,2097,FALSE)</f>
        <v>#N/A</v>
      </c>
      <c r="F124" s="34" t="e">
        <f>VLOOKUP(A1,DIV_03Data!$A$1:$DZU$1000000,2098,FALSE)</f>
        <v>#N/A</v>
      </c>
      <c r="G124" s="33" t="e">
        <f>VLOOKUP(A1,DIV_03Data!$A$1:$DZU$1000000,2099,FALSE)</f>
        <v>#N/A</v>
      </c>
      <c r="H124" s="34" t="e">
        <f>VLOOKUP(A1,DIV_03Data!$A$1:$DZU$1000000,2100,FALSE)</f>
        <v>#N/A</v>
      </c>
      <c r="I124" s="33" t="e">
        <f>VLOOKUP(A1,DIV_03Data!$A$1:$DZU$1000000,2101,FALSE)</f>
        <v>#N/A</v>
      </c>
      <c r="J124" s="34" t="e">
        <f>VLOOKUP(A1,DIV_03Data!$A$1:$DZU$1000000,2102,FALSE)</f>
        <v>#N/A</v>
      </c>
      <c r="K124" s="34" t="e">
        <f>VLOOKUP(A1,DIV_03Data!$A$1:$DZU$1000000,2103,FALSE)</f>
        <v>#N/A</v>
      </c>
      <c r="L124" s="93" t="e">
        <f>VLOOKUP(A1,DIV_03Data!$A$1:$DZU$1000000,2104,FALSE)</f>
        <v>#N/A</v>
      </c>
      <c r="M124" s="33" t="e">
        <f>VLOOKUP(A1,DIV_03Data!$A$1:$DZU$1000000,2105,FALSE)</f>
        <v>#N/A</v>
      </c>
      <c r="N124" s="34" t="e">
        <f>VLOOKUP(A1,DIV_03Data!$A$1:$DZU$1000000,2106,FALSE)</f>
        <v>#N/A</v>
      </c>
      <c r="O124" s="33" t="e">
        <f>VLOOKUP(A1,DIV_03Data!$A$1:$DZU$1000000,2107,FALSE)</f>
        <v>#N/A</v>
      </c>
      <c r="P124" s="46" t="e">
        <f>VLOOKUP(A1,DIV_03Data!$A$1:$DZU$1000000,2108,FALSE)</f>
        <v>#N/A</v>
      </c>
      <c r="Q124" s="33" t="e">
        <f>VLOOKUP(A1,DIV_03Data!$A$1:$DZU$1000000,2109,FALSE)</f>
        <v>#N/A</v>
      </c>
    </row>
    <row r="125" spans="1:17" x14ac:dyDescent="0.35">
      <c r="A125" s="22" t="e">
        <f>VLOOKUP(A1,DIV_03Data!$A$1:$DZU$1000000,2110,FALSE)</f>
        <v>#N/A</v>
      </c>
      <c r="B125" s="37" t="e">
        <f>VLOOKUP(A1,DIV_03Data!$A$1:$DZU$1000000,2111,FALSE)</f>
        <v>#N/A</v>
      </c>
      <c r="C125" s="38" t="e">
        <f>VLOOKUP(A1,DIV_03Data!$A$1:$DZU$1000000,2112,FALSE)</f>
        <v>#N/A</v>
      </c>
      <c r="D125" s="31" t="e">
        <f>VLOOKUP(A1,DIV_03Data!$A$1:$DZU$1000000,2113,FALSE)</f>
        <v>#N/A</v>
      </c>
      <c r="E125" s="32" t="e">
        <f>VLOOKUP(A1,DIV_03Data!$A$1:$DZU$1000000,2114,FALSE)</f>
        <v>#N/A</v>
      </c>
      <c r="F125" s="34" t="e">
        <f>VLOOKUP(A1,DIV_03Data!$A$1:$DZU$1000000,2115,FALSE)</f>
        <v>#N/A</v>
      </c>
      <c r="G125" s="33" t="e">
        <f>VLOOKUP(A1,DIV_03Data!$A$1:$DZU$1000000,2116,FALSE)</f>
        <v>#N/A</v>
      </c>
      <c r="H125" s="34" t="e">
        <f>VLOOKUP(A1,DIV_03Data!$A$1:$DZU$1000000,2117,FALSE)</f>
        <v>#N/A</v>
      </c>
      <c r="I125" s="33" t="e">
        <f>VLOOKUP(A1,DIV_03Data!$A$1:$DZU$1000000,2118,FALSE)</f>
        <v>#N/A</v>
      </c>
      <c r="J125" s="34" t="e">
        <f>VLOOKUP(A1,DIV_03Data!$A$1:$DZU$1000000,2119,FALSE)</f>
        <v>#N/A</v>
      </c>
      <c r="K125" s="34" t="e">
        <f>VLOOKUP(A1,DIV_03Data!$A$1:$DZU$1000000,2120,FALSE)</f>
        <v>#N/A</v>
      </c>
      <c r="L125" s="93" t="e">
        <f>VLOOKUP(A1,DIV_03Data!$A$1:$DZU$1000000,2121,FALSE)</f>
        <v>#N/A</v>
      </c>
      <c r="M125" s="33" t="e">
        <f>VLOOKUP(A1,DIV_03Data!$A$1:$DZU$1000000,2122,FALSE)</f>
        <v>#N/A</v>
      </c>
      <c r="N125" s="34" t="e">
        <f>VLOOKUP(A1,DIV_03Data!$A$1:$DZU$1000000,2123,FALSE)</f>
        <v>#N/A</v>
      </c>
      <c r="O125" s="33" t="e">
        <f>VLOOKUP(A1,DIV_03Data!$A$1:$DZU$1000000,2124,FALSE)</f>
        <v>#N/A</v>
      </c>
      <c r="P125" s="46" t="e">
        <f>VLOOKUP(A1,DIV_03Data!$A$1:$DZU$1000000,2125,FALSE)</f>
        <v>#N/A</v>
      </c>
      <c r="Q125" s="33" t="e">
        <f>VLOOKUP(A1,DIV_03Data!$A$1:$DZU$1000000,2126,FALSE)</f>
        <v>#N/A</v>
      </c>
    </row>
    <row r="126" spans="1:17" x14ac:dyDescent="0.35">
      <c r="A126" s="22" t="e">
        <f>VLOOKUP(A1,DIV_03Data!$A$1:$DZU$1000000,2127,FALSE)</f>
        <v>#N/A</v>
      </c>
      <c r="B126" s="37" t="e">
        <f>VLOOKUP(A1,DIV_03Data!$A$1:$DZU$1000000,2128,FALSE)</f>
        <v>#N/A</v>
      </c>
      <c r="C126" s="38" t="e">
        <f>VLOOKUP(A1,DIV_03Data!$A$1:$DZU$1000000,2129,FALSE)</f>
        <v>#N/A</v>
      </c>
      <c r="D126" s="31" t="e">
        <f>VLOOKUP(A1,DIV_03Data!$A$1:$DZU$1000000,2130,FALSE)</f>
        <v>#N/A</v>
      </c>
      <c r="E126" s="32" t="e">
        <f>VLOOKUP(A1,DIV_03Data!$A$1:$DZU$1000000,2131,FALSE)</f>
        <v>#N/A</v>
      </c>
      <c r="F126" s="34" t="e">
        <f>VLOOKUP(A1,DIV_03Data!$A$1:$DZU$1000000,2132,FALSE)</f>
        <v>#N/A</v>
      </c>
      <c r="G126" s="33" t="e">
        <f>VLOOKUP(A1,DIV_03Data!$A$1:$DZU$1000000,2133,FALSE)</f>
        <v>#N/A</v>
      </c>
      <c r="H126" s="34" t="e">
        <f>VLOOKUP(A1,DIV_03Data!$A$1:$DZU$1000000,2134,FALSE)</f>
        <v>#N/A</v>
      </c>
      <c r="I126" s="33" t="e">
        <f>VLOOKUP(A1,DIV_03Data!$A$1:$DZU$1000000,2135,FALSE)</f>
        <v>#N/A</v>
      </c>
      <c r="J126" s="34" t="e">
        <f>VLOOKUP(A1,DIV_03Data!$A$1:$DZU$1000000,2136,FALSE)</f>
        <v>#N/A</v>
      </c>
      <c r="K126" s="34" t="e">
        <f>VLOOKUP(A1,DIV_03Data!$A$1:$DZU$1000000,2137,FALSE)</f>
        <v>#N/A</v>
      </c>
      <c r="L126" s="93" t="e">
        <f>VLOOKUP(A1,DIV_03Data!$A$1:$DZU$1000000,2138,FALSE)</f>
        <v>#N/A</v>
      </c>
      <c r="M126" s="33" t="e">
        <f>VLOOKUP(A1,DIV_03Data!$A$1:$DZU$1000000,2139,FALSE)</f>
        <v>#N/A</v>
      </c>
      <c r="N126" s="34" t="e">
        <f>VLOOKUP(A1,DIV_03Data!$A$1:$DZU$1000000,2140,FALSE)</f>
        <v>#N/A</v>
      </c>
      <c r="O126" s="33" t="e">
        <f>VLOOKUP(A1,DIV_03Data!$A$1:$DZU$1000000,2141,FALSE)</f>
        <v>#N/A</v>
      </c>
      <c r="P126" s="46" t="e">
        <f>VLOOKUP(A1,DIV_03Data!$A$1:$DZU$1000000,2142,FALSE)</f>
        <v>#N/A</v>
      </c>
      <c r="Q126" s="33" t="e">
        <f>VLOOKUP(A1,DIV_03Data!$A$1:$DZU$1000000,2143,FALSE)</f>
        <v>#N/A</v>
      </c>
    </row>
    <row r="127" spans="1:17" x14ac:dyDescent="0.35">
      <c r="A127" s="22" t="e">
        <f>VLOOKUP(A1,DIV_03Data!$A$1:$DZU$1000000,2144,FALSE)</f>
        <v>#N/A</v>
      </c>
      <c r="B127" s="37" t="e">
        <f>VLOOKUP(A1,DIV_03Data!$A$1:$DZU$1000000,2145,FALSE)</f>
        <v>#N/A</v>
      </c>
      <c r="C127" s="38" t="e">
        <f>VLOOKUP(A1,DIV_03Data!$A$1:$DZU$1000000,2146,FALSE)</f>
        <v>#N/A</v>
      </c>
      <c r="D127" s="31" t="e">
        <f>VLOOKUP(A1,DIV_03Data!$A$1:$DZU$1000000,2147,FALSE)</f>
        <v>#N/A</v>
      </c>
      <c r="E127" s="32" t="e">
        <f>VLOOKUP(A1,DIV_03Data!$A$1:$DZU$1000000,2148,FALSE)</f>
        <v>#N/A</v>
      </c>
      <c r="F127" s="34" t="e">
        <f>VLOOKUP(A1,DIV_03Data!$A$1:$DZU$1000000,2149,FALSE)</f>
        <v>#N/A</v>
      </c>
      <c r="G127" s="33" t="e">
        <f>VLOOKUP(A1,DIV_03Data!$A$1:$DZU$1000000,2150,FALSE)</f>
        <v>#N/A</v>
      </c>
      <c r="H127" s="34" t="e">
        <f>VLOOKUP(A1,DIV_03Data!$A$1:$DZU$1000000,2151,FALSE)</f>
        <v>#N/A</v>
      </c>
      <c r="I127" s="33" t="e">
        <f>VLOOKUP(A1,DIV_03Data!$A$1:$DZU$1000000,2152,FALSE)</f>
        <v>#N/A</v>
      </c>
      <c r="J127" s="34" t="e">
        <f>VLOOKUP(A1,DIV_03Data!$A$1:$DZU$1000000,2153,FALSE)</f>
        <v>#N/A</v>
      </c>
      <c r="K127" s="34" t="e">
        <f>VLOOKUP(A1,DIV_03Data!$A$1:$DZU$1000000,2154,FALSE)</f>
        <v>#N/A</v>
      </c>
      <c r="L127" s="93" t="e">
        <f>VLOOKUP(A1,DIV_03Data!$A$1:$DZU$1000000,2155,FALSE)</f>
        <v>#N/A</v>
      </c>
      <c r="M127" s="33" t="e">
        <f>VLOOKUP(A1,DIV_03Data!$A$1:$DZU$1000000,2156,FALSE)</f>
        <v>#N/A</v>
      </c>
      <c r="N127" s="34" t="e">
        <f>VLOOKUP(A1,DIV_03Data!$A$1:$DZU$1000000,2157,FALSE)</f>
        <v>#N/A</v>
      </c>
      <c r="O127" s="33" t="e">
        <f>VLOOKUP(A1,DIV_03Data!$A$1:$DZU$1000000,2158,FALSE)</f>
        <v>#N/A</v>
      </c>
      <c r="P127" s="46" t="e">
        <f>VLOOKUP(A1,DIV_03Data!$A$1:$DZU$1000000,2159,FALSE)</f>
        <v>#N/A</v>
      </c>
      <c r="Q127" s="33" t="e">
        <f>VLOOKUP(A1,DIV_03Data!$A$1:$DZU$1000000,2160,FALSE)</f>
        <v>#N/A</v>
      </c>
    </row>
    <row r="128" spans="1:17" x14ac:dyDescent="0.35">
      <c r="A128" s="22" t="e">
        <f>VLOOKUP(A1,DIV_03Data!$A$1:$DZU$1000000,2161,FALSE)</f>
        <v>#N/A</v>
      </c>
      <c r="B128" s="37" t="e">
        <f>VLOOKUP(A1,DIV_03Data!$A$1:$DZU$1000000,2162,FALSE)</f>
        <v>#N/A</v>
      </c>
      <c r="C128" s="38" t="e">
        <f>VLOOKUP(A1,DIV_03Data!$A$1:$DZU$1000000,2163,FALSE)</f>
        <v>#N/A</v>
      </c>
      <c r="D128" s="31" t="e">
        <f>VLOOKUP(A1,DIV_03Data!$A$1:$DZU$1000000,2164,FALSE)</f>
        <v>#N/A</v>
      </c>
      <c r="E128" s="32" t="e">
        <f>VLOOKUP(A1,DIV_03Data!$A$1:$DZU$1000000,2165,FALSE)</f>
        <v>#N/A</v>
      </c>
      <c r="F128" s="34" t="e">
        <f>VLOOKUP(A1,DIV_03Data!$A$1:$DZU$1000000,2166,FALSE)</f>
        <v>#N/A</v>
      </c>
      <c r="G128" s="33" t="e">
        <f>VLOOKUP(A1,DIV_03Data!$A$1:$DZU$1000000,2167,FALSE)</f>
        <v>#N/A</v>
      </c>
      <c r="H128" s="34" t="e">
        <f>VLOOKUP(A1,DIV_03Data!$A$1:$DZU$1000000,2168,FALSE)</f>
        <v>#N/A</v>
      </c>
      <c r="I128" s="33" t="e">
        <f>VLOOKUP(A1,DIV_03Data!$A$1:$DZU$1000000,2169,FALSE)</f>
        <v>#N/A</v>
      </c>
      <c r="J128" s="34" t="e">
        <f>VLOOKUP(A1,DIV_03Data!$A$1:$DZU$1000000,2170,FALSE)</f>
        <v>#N/A</v>
      </c>
      <c r="K128" s="34" t="e">
        <f>VLOOKUP(A1,DIV_03Data!$A$1:$DZU$1000000,2171,FALSE)</f>
        <v>#N/A</v>
      </c>
      <c r="L128" s="93" t="e">
        <f>VLOOKUP(A1,DIV_03Data!$A$1:$DZU$1000000,2172,FALSE)</f>
        <v>#N/A</v>
      </c>
      <c r="M128" s="33" t="e">
        <f>VLOOKUP(A1,DIV_03Data!$A$1:$DZU$1000000,2173,FALSE)</f>
        <v>#N/A</v>
      </c>
      <c r="N128" s="34" t="e">
        <f>VLOOKUP(A1,DIV_03Data!$A$1:$DZU$1000000,2174,FALSE)</f>
        <v>#N/A</v>
      </c>
      <c r="O128" s="33" t="e">
        <f>VLOOKUP(A1,DIV_03Data!$A$1:$DZU$1000000,2175,FALSE)</f>
        <v>#N/A</v>
      </c>
      <c r="P128" s="46" t="e">
        <f>VLOOKUP(A1,DIV_03Data!$A$1:$DZU$1000000,2176,FALSE)</f>
        <v>#N/A</v>
      </c>
      <c r="Q128" s="33" t="e">
        <f>VLOOKUP(A1,DIV_03Data!$A$1:$DZU$1000000,2177,FALSE)</f>
        <v>#N/A</v>
      </c>
    </row>
    <row r="129" spans="1:17" x14ac:dyDescent="0.35">
      <c r="A129" s="22" t="e">
        <f>VLOOKUP(A1,DIV_03Data!$A$1:$DZU$1000000,2178,FALSE)</f>
        <v>#N/A</v>
      </c>
      <c r="B129" s="37" t="e">
        <f>VLOOKUP(A1,DIV_03Data!$A$1:$DZU$1000000,2179,FALSE)</f>
        <v>#N/A</v>
      </c>
      <c r="C129" s="38" t="e">
        <f>VLOOKUP(A1,DIV_03Data!$A$1:$DZU$1000000,2180,FALSE)</f>
        <v>#N/A</v>
      </c>
      <c r="D129" s="31" t="e">
        <f>VLOOKUP(A1,DIV_03Data!$A$1:$DZU$1000000,2181,FALSE)</f>
        <v>#N/A</v>
      </c>
      <c r="E129" s="32" t="e">
        <f>VLOOKUP(A1,DIV_03Data!$A$1:$DZU$1000000,2182,FALSE)</f>
        <v>#N/A</v>
      </c>
      <c r="F129" s="34" t="e">
        <f>VLOOKUP(A1,DIV_03Data!$A$1:$DZU$1000000,2183,FALSE)</f>
        <v>#N/A</v>
      </c>
      <c r="G129" s="33" t="e">
        <f>VLOOKUP(A1,DIV_03Data!$A$1:$DZU$1000000,2184,FALSE)</f>
        <v>#N/A</v>
      </c>
      <c r="H129" s="34" t="e">
        <f>VLOOKUP(A1,DIV_03Data!$A$1:$DZU$1000000,2185,FALSE)</f>
        <v>#N/A</v>
      </c>
      <c r="I129" s="33" t="e">
        <f>VLOOKUP(A1,DIV_03Data!$A$1:$DZU$1000000,2186,FALSE)</f>
        <v>#N/A</v>
      </c>
      <c r="J129" s="34" t="e">
        <f>VLOOKUP(A1,DIV_03Data!$A$1:$DZU$1000000,2187,FALSE)</f>
        <v>#N/A</v>
      </c>
      <c r="K129" s="34" t="e">
        <f>VLOOKUP(A1,DIV_03Data!$A$1:$DZU$1000000,2188,FALSE)</f>
        <v>#N/A</v>
      </c>
      <c r="L129" s="93" t="e">
        <f>VLOOKUP(A1,DIV_03Data!$A$1:$DZU$1000000,2189,FALSE)</f>
        <v>#N/A</v>
      </c>
      <c r="M129" s="33" t="e">
        <f>VLOOKUP(A1,DIV_03Data!$A$1:$DZU$1000000,2190,FALSE)</f>
        <v>#N/A</v>
      </c>
      <c r="N129" s="34" t="e">
        <f>VLOOKUP(A1,DIV_03Data!$A$1:$DZU$1000000,2191,FALSE)</f>
        <v>#N/A</v>
      </c>
      <c r="O129" s="33" t="e">
        <f>VLOOKUP(A1,DIV_03Data!$A$1:$DZU$1000000,2192,FALSE)</f>
        <v>#N/A</v>
      </c>
      <c r="P129" s="46" t="e">
        <f>VLOOKUP(A1,DIV_03Data!$A$1:$DZU$1000000,2193,FALSE)</f>
        <v>#N/A</v>
      </c>
      <c r="Q129" s="33" t="e">
        <f>VLOOKUP(A1,DIV_03Data!$A$1:$DZU$1000000,2194,FALSE)</f>
        <v>#N/A</v>
      </c>
    </row>
    <row r="130" spans="1:17" x14ac:dyDescent="0.35">
      <c r="A130" s="22" t="e">
        <f>VLOOKUP(A1,DIV_03Data!$A$1:$DZU$1000000,2195,FALSE)</f>
        <v>#N/A</v>
      </c>
      <c r="B130" s="37" t="e">
        <f>VLOOKUP(A1,DIV_03Data!$A$1:$DZU$1000000,2196,FALSE)</f>
        <v>#N/A</v>
      </c>
      <c r="C130" s="38" t="e">
        <f>VLOOKUP(A1,DIV_03Data!$A$1:$DZU$1000000,2197,FALSE)</f>
        <v>#N/A</v>
      </c>
      <c r="D130" s="31" t="e">
        <f>VLOOKUP(A1,DIV_03Data!$A$1:$DZU$1000000,2198,FALSE)</f>
        <v>#N/A</v>
      </c>
      <c r="E130" s="32" t="e">
        <f>VLOOKUP(A1,DIV_03Data!$A$1:$DZU$1000000,2199,FALSE)</f>
        <v>#N/A</v>
      </c>
      <c r="F130" s="34" t="e">
        <f>VLOOKUP(A1,DIV_03Data!$A$1:$DZU$1000000,2200,FALSE)</f>
        <v>#N/A</v>
      </c>
      <c r="G130" s="33" t="e">
        <f>VLOOKUP(A1,DIV_03Data!$A$1:$DZU$1000000,2201,FALSE)</f>
        <v>#N/A</v>
      </c>
      <c r="H130" s="34" t="e">
        <f>VLOOKUP(A1,DIV_03Data!$A$1:$DZU$1000000,2202,FALSE)</f>
        <v>#N/A</v>
      </c>
      <c r="I130" s="33" t="e">
        <f>VLOOKUP(A1,DIV_03Data!$A$1:$DZU$1000000,2203,FALSE)</f>
        <v>#N/A</v>
      </c>
      <c r="J130" s="34" t="e">
        <f>VLOOKUP(A1,DIV_03Data!$A$1:$DZU$1000000,2204,FALSE)</f>
        <v>#N/A</v>
      </c>
      <c r="K130" s="34" t="e">
        <f>VLOOKUP(A1,DIV_03Data!$A$1:$DZU$1000000,2205,FALSE)</f>
        <v>#N/A</v>
      </c>
      <c r="L130" s="93" t="e">
        <f>VLOOKUP(A1,DIV_03Data!$A$1:$DZU$1000000,2206,FALSE)</f>
        <v>#N/A</v>
      </c>
      <c r="M130" s="33" t="e">
        <f>VLOOKUP(A1,DIV_03Data!$A$1:$DZU$1000000,2207,FALSE)</f>
        <v>#N/A</v>
      </c>
      <c r="N130" s="34" t="e">
        <f>VLOOKUP(A1,DIV_03Data!$A$1:$DZU$1000000,2208,FALSE)</f>
        <v>#N/A</v>
      </c>
      <c r="O130" s="33" t="e">
        <f>VLOOKUP(A1,DIV_03Data!$A$1:$DZU$1000000,2209,FALSE)</f>
        <v>#N/A</v>
      </c>
      <c r="P130" s="46" t="e">
        <f>VLOOKUP(A1,DIV_03Data!$A$1:$DZU$1000000,2210,FALSE)</f>
        <v>#N/A</v>
      </c>
      <c r="Q130" s="33" t="e">
        <f>VLOOKUP(A1,DIV_03Data!$A$1:$DZU$1000000,2211,FALSE)</f>
        <v>#N/A</v>
      </c>
    </row>
    <row r="131" spans="1:17" x14ac:dyDescent="0.35">
      <c r="A131" s="22" t="e">
        <f>VLOOKUP(A1,DIV_03Data!$A$1:$DZU$1000000,2212,FALSE)</f>
        <v>#N/A</v>
      </c>
      <c r="B131" s="37" t="e">
        <f>VLOOKUP(A1,DIV_03Data!$A$1:$DZU$1000000,2213,FALSE)</f>
        <v>#N/A</v>
      </c>
      <c r="C131" s="38" t="e">
        <f>VLOOKUP(A1,DIV_03Data!$A$1:$DZU$1000000,2214,FALSE)</f>
        <v>#N/A</v>
      </c>
      <c r="D131" s="31" t="e">
        <f>VLOOKUP(A1,DIV_03Data!$A$1:$DZU$1000000,2215,FALSE)</f>
        <v>#N/A</v>
      </c>
      <c r="E131" s="32" t="e">
        <f>VLOOKUP(A1,DIV_03Data!$A$1:$DZU$1000000,2216,FALSE)</f>
        <v>#N/A</v>
      </c>
      <c r="F131" s="34" t="e">
        <f>VLOOKUP(A1,DIV_03Data!$A$1:$DZU$1000000,2217,FALSE)</f>
        <v>#N/A</v>
      </c>
      <c r="G131" s="33" t="e">
        <f>VLOOKUP(A1,DIV_03Data!$A$1:$DZU$1000000,2218,FALSE)</f>
        <v>#N/A</v>
      </c>
      <c r="H131" s="34" t="e">
        <f>VLOOKUP(A1,DIV_03Data!$A$1:$DZU$1000000,2219,FALSE)</f>
        <v>#N/A</v>
      </c>
      <c r="I131" s="33" t="e">
        <f>VLOOKUP(A1,DIV_03Data!$A$1:$DZU$1000000,2220,FALSE)</f>
        <v>#N/A</v>
      </c>
      <c r="J131" s="34" t="e">
        <f>VLOOKUP(A1,DIV_03Data!$A$1:$DZU$1000000,2221,FALSE)</f>
        <v>#N/A</v>
      </c>
      <c r="K131" s="34" t="e">
        <f>VLOOKUP(A1,DIV_03Data!$A$1:$DZU$1000000,2222,FALSE)</f>
        <v>#N/A</v>
      </c>
      <c r="L131" s="93" t="e">
        <f>VLOOKUP(A1,DIV_03Data!$A$1:$DZU$1000000,2223,FALSE)</f>
        <v>#N/A</v>
      </c>
      <c r="M131" s="33" t="e">
        <f>VLOOKUP(A1,DIV_03Data!$A$1:$DZU$1000000,2224,FALSE)</f>
        <v>#N/A</v>
      </c>
      <c r="N131" s="34" t="e">
        <f>VLOOKUP(A1,DIV_03Data!$A$1:$DZU$1000000,2225,FALSE)</f>
        <v>#N/A</v>
      </c>
      <c r="O131" s="33" t="e">
        <f>VLOOKUP(A1,DIV_03Data!$A$1:$DZU$1000000,2226,FALSE)</f>
        <v>#N/A</v>
      </c>
      <c r="P131" s="46" t="e">
        <f>VLOOKUP(A1,DIV_03Data!$A$1:$DZU$1000000,2227,FALSE)</f>
        <v>#N/A</v>
      </c>
      <c r="Q131" s="33" t="e">
        <f>VLOOKUP(A1,DIV_03Data!$A$1:$DZU$1000000,2228,FALSE)</f>
        <v>#N/A</v>
      </c>
    </row>
    <row r="132" spans="1:17" x14ac:dyDescent="0.35">
      <c r="A132" s="22" t="e">
        <f>VLOOKUP(A1,DIV_03Data!$A$1:$DZU$1000000,2229,FALSE)</f>
        <v>#N/A</v>
      </c>
      <c r="B132" s="37" t="e">
        <f>VLOOKUP(A1,DIV_03Data!$A$1:$DZU$1000000,2230,FALSE)</f>
        <v>#N/A</v>
      </c>
      <c r="C132" s="38" t="e">
        <f>VLOOKUP(A1,DIV_03Data!$A$1:$DZU$1000000,2231,FALSE)</f>
        <v>#N/A</v>
      </c>
      <c r="D132" s="31" t="e">
        <f>VLOOKUP(A1,DIV_03Data!$A$1:$DZU$1000000,2232,FALSE)</f>
        <v>#N/A</v>
      </c>
      <c r="E132" s="32" t="e">
        <f>VLOOKUP(A1,DIV_03Data!$A$1:$DZU$1000000,2233,FALSE)</f>
        <v>#N/A</v>
      </c>
      <c r="F132" s="34" t="e">
        <f>VLOOKUP(A1,DIV_03Data!$A$1:$DZU$1000000,2234,FALSE)</f>
        <v>#N/A</v>
      </c>
      <c r="G132" s="33" t="e">
        <f>VLOOKUP(A1,DIV_03Data!$A$1:$DZU$1000000,2235,FALSE)</f>
        <v>#N/A</v>
      </c>
      <c r="H132" s="34" t="e">
        <f>VLOOKUP(A1,DIV_03Data!$A$1:$DZU$1000000,2236,FALSE)</f>
        <v>#N/A</v>
      </c>
      <c r="I132" s="33" t="e">
        <f>VLOOKUP(A1,DIV_03Data!$A$1:$DZU$1000000,2237,FALSE)</f>
        <v>#N/A</v>
      </c>
      <c r="J132" s="34" t="e">
        <f>VLOOKUP(A1,DIV_03Data!$A$1:$DZU$1000000,2238,FALSE)</f>
        <v>#N/A</v>
      </c>
      <c r="K132" s="34" t="e">
        <f>VLOOKUP(A1,DIV_03Data!$A$1:$DZU$1000000,2239,FALSE)</f>
        <v>#N/A</v>
      </c>
      <c r="L132" s="93" t="e">
        <f>VLOOKUP(A1,DIV_03Data!$A$1:$DZU$1000000,2240,FALSE)</f>
        <v>#N/A</v>
      </c>
      <c r="M132" s="33" t="e">
        <f>VLOOKUP(A1,DIV_03Data!$A$1:$DZU$1000000,2241,FALSE)</f>
        <v>#N/A</v>
      </c>
      <c r="N132" s="34" t="e">
        <f>VLOOKUP(A1,DIV_03Data!$A$1:$DZU$1000000,2242,FALSE)</f>
        <v>#N/A</v>
      </c>
      <c r="O132" s="33" t="e">
        <f>VLOOKUP(A1,DIV_03Data!$A$1:$DZU$1000000,2243,FALSE)</f>
        <v>#N/A</v>
      </c>
      <c r="P132" s="46" t="e">
        <f>VLOOKUP(A1,DIV_03Data!$A$1:$DZU$1000000,2244,FALSE)</f>
        <v>#N/A</v>
      </c>
      <c r="Q132" s="33" t="e">
        <f>VLOOKUP(A1,DIV_03Data!$A$1:$DZU$1000000,2245,FALSE)</f>
        <v>#N/A</v>
      </c>
    </row>
    <row r="133" spans="1:17" x14ac:dyDescent="0.35">
      <c r="A133" s="22" t="e">
        <f>VLOOKUP(A1,DIV_03Data!$A$1:$DZU$1000000,2246,FALSE)</f>
        <v>#N/A</v>
      </c>
      <c r="B133" s="37" t="e">
        <f>VLOOKUP(A1,DIV_03Data!$A$1:$DZU$1000000,2247,FALSE)</f>
        <v>#N/A</v>
      </c>
      <c r="C133" s="38" t="e">
        <f>VLOOKUP(A1,DIV_03Data!$A$1:$DZU$1000000,2248,FALSE)</f>
        <v>#N/A</v>
      </c>
      <c r="D133" s="31" t="e">
        <f>VLOOKUP(A1,DIV_03Data!$A$1:$DZU$1000000,2249,FALSE)</f>
        <v>#N/A</v>
      </c>
      <c r="E133" s="32" t="e">
        <f>VLOOKUP(A1,DIV_03Data!$A$1:$DZU$1000000,2250,FALSE)</f>
        <v>#N/A</v>
      </c>
      <c r="F133" s="34" t="e">
        <f>VLOOKUP(A1,DIV_03Data!$A$1:$DZU$1000000,2251,FALSE)</f>
        <v>#N/A</v>
      </c>
      <c r="G133" s="33" t="e">
        <f>VLOOKUP(A1,DIV_03Data!$A$1:$DZU$1000000,2252,FALSE)</f>
        <v>#N/A</v>
      </c>
      <c r="H133" s="34" t="e">
        <f>VLOOKUP(A1,DIV_03Data!$A$1:$DZU$1000000,2253,FALSE)</f>
        <v>#N/A</v>
      </c>
      <c r="I133" s="33" t="e">
        <f>VLOOKUP(A1,DIV_03Data!$A$1:$DZU$1000000,2254,FALSE)</f>
        <v>#N/A</v>
      </c>
      <c r="J133" s="34" t="e">
        <f>VLOOKUP(A1,DIV_03Data!$A$1:$DZU$1000000,2255,FALSE)</f>
        <v>#N/A</v>
      </c>
      <c r="K133" s="34" t="e">
        <f>VLOOKUP(A1,DIV_03Data!$A$1:$DZU$1000000,2256,FALSE)</f>
        <v>#N/A</v>
      </c>
      <c r="L133" s="93" t="e">
        <f>VLOOKUP(A1,DIV_03Data!$A$1:$DZU$1000000,2257,FALSE)</f>
        <v>#N/A</v>
      </c>
      <c r="M133" s="33" t="e">
        <f>VLOOKUP(A1,DIV_03Data!$A$1:$DZU$1000000,2258,FALSE)</f>
        <v>#N/A</v>
      </c>
      <c r="N133" s="34" t="e">
        <f>VLOOKUP(A1,DIV_03Data!$A$1:$DZU$1000000,2259,FALSE)</f>
        <v>#N/A</v>
      </c>
      <c r="O133" s="33" t="e">
        <f>VLOOKUP(A1,DIV_03Data!$A$1:$DZU$1000000,2260,FALSE)</f>
        <v>#N/A</v>
      </c>
      <c r="P133" s="46" t="e">
        <f>VLOOKUP(A1,DIV_03Data!$A$1:$DZU$1000000,2261,FALSE)</f>
        <v>#N/A</v>
      </c>
      <c r="Q133" s="33" t="e">
        <f>VLOOKUP(A1,DIV_03Data!$A$1:$DZU$1000000,2262,FALSE)</f>
        <v>#N/A</v>
      </c>
    </row>
    <row r="134" spans="1:17" x14ac:dyDescent="0.35">
      <c r="A134" s="22" t="e">
        <f>VLOOKUP(A1,DIV_03Data!$A$1:$DZU$1000000,2263,FALSE)</f>
        <v>#N/A</v>
      </c>
      <c r="B134" s="37" t="e">
        <f>VLOOKUP(A1,DIV_03Data!$A$1:$DZU$1000000,2264,FALSE)</f>
        <v>#N/A</v>
      </c>
      <c r="C134" s="38" t="e">
        <f>VLOOKUP(A1,DIV_03Data!$A$1:$DZU$1000000,2265,FALSE)</f>
        <v>#N/A</v>
      </c>
      <c r="D134" s="31" t="e">
        <f>VLOOKUP(A1,DIV_03Data!$A$1:$DZU$1000000,2266,FALSE)</f>
        <v>#N/A</v>
      </c>
      <c r="E134" s="32" t="e">
        <f>VLOOKUP(A1,DIV_03Data!$A$1:$DZU$1000000,2267,FALSE)</f>
        <v>#N/A</v>
      </c>
      <c r="F134" s="34" t="e">
        <f>VLOOKUP(A1,DIV_03Data!$A$1:$DZU$1000000,2268,FALSE)</f>
        <v>#N/A</v>
      </c>
      <c r="G134" s="33" t="e">
        <f>VLOOKUP(A1,DIV_03Data!$A$1:$DZU$1000000,2269,FALSE)</f>
        <v>#N/A</v>
      </c>
      <c r="H134" s="34" t="e">
        <f>VLOOKUP(A1,DIV_03Data!$A$1:$DZU$1000000,2270,FALSE)</f>
        <v>#N/A</v>
      </c>
      <c r="I134" s="33" t="e">
        <f>VLOOKUP(A1,DIV_03Data!$A$1:$DZU$1000000,2271,FALSE)</f>
        <v>#N/A</v>
      </c>
      <c r="J134" s="34" t="e">
        <f>VLOOKUP(A1,DIV_03Data!$A$1:$DZU$1000000,2272,FALSE)</f>
        <v>#N/A</v>
      </c>
      <c r="K134" s="34" t="e">
        <f>VLOOKUP(A1,DIV_03Data!$A$1:$DZU$1000000,2273,FALSE)</f>
        <v>#N/A</v>
      </c>
      <c r="L134" s="93" t="e">
        <f>VLOOKUP(A1,DIV_03Data!$A$1:$DZU$1000000,2274,FALSE)</f>
        <v>#N/A</v>
      </c>
      <c r="M134" s="33" t="e">
        <f>VLOOKUP(A1,DIV_03Data!$A$1:$DZU$1000000,2275,FALSE)</f>
        <v>#N/A</v>
      </c>
      <c r="N134" s="34" t="e">
        <f>VLOOKUP(A1,DIV_03Data!$A$1:$DZU$1000000,2276,FALSE)</f>
        <v>#N/A</v>
      </c>
      <c r="O134" s="33" t="e">
        <f>VLOOKUP(A1,DIV_03Data!$A$1:$DZU$1000000,2277,FALSE)</f>
        <v>#N/A</v>
      </c>
      <c r="P134" s="46" t="e">
        <f>VLOOKUP(A1,DIV_03Data!$A$1:$DZU$1000000,2278,FALSE)</f>
        <v>#N/A</v>
      </c>
      <c r="Q134" s="33" t="e">
        <f>VLOOKUP(A1,DIV_03Data!$A$1:$DZU$1000000,2279,FALSE)</f>
        <v>#N/A</v>
      </c>
    </row>
    <row r="135" spans="1:17" x14ac:dyDescent="0.35">
      <c r="A135" s="22" t="e">
        <f>VLOOKUP(A1,DIV_03Data!$A$1:$DZU$1000000,2280,FALSE)</f>
        <v>#N/A</v>
      </c>
      <c r="B135" s="37" t="e">
        <f>VLOOKUP(A1,DIV_03Data!$A$1:$DZU$1000000,2281,FALSE)</f>
        <v>#N/A</v>
      </c>
      <c r="C135" s="38" t="e">
        <f>VLOOKUP(A1,DIV_03Data!$A$1:$DZU$1000000,2282,FALSE)</f>
        <v>#N/A</v>
      </c>
      <c r="D135" s="31" t="e">
        <f>VLOOKUP(A1,DIV_03Data!$A$1:$DZU$1000000,2283,FALSE)</f>
        <v>#N/A</v>
      </c>
      <c r="E135" s="32" t="e">
        <f>VLOOKUP(A1,DIV_03Data!$A$1:$DZU$1000000,2284,FALSE)</f>
        <v>#N/A</v>
      </c>
      <c r="F135" s="34" t="e">
        <f>VLOOKUP(A1,DIV_03Data!$A$1:$DZU$1000000,2285,FALSE)</f>
        <v>#N/A</v>
      </c>
      <c r="G135" s="33" t="e">
        <f>VLOOKUP(A1,DIV_03Data!$A$1:$DZU$1000000,2286,FALSE)</f>
        <v>#N/A</v>
      </c>
      <c r="H135" s="34" t="e">
        <f>VLOOKUP(A1,DIV_03Data!$A$1:$DZU$1000000,2287,FALSE)</f>
        <v>#N/A</v>
      </c>
      <c r="I135" s="33" t="e">
        <f>VLOOKUP(A1,DIV_03Data!$A$1:$DZU$1000000,2288,FALSE)</f>
        <v>#N/A</v>
      </c>
      <c r="J135" s="34" t="e">
        <f>VLOOKUP(A1,DIV_03Data!$A$1:$DZU$1000000,2289,FALSE)</f>
        <v>#N/A</v>
      </c>
      <c r="K135" s="34" t="e">
        <f>VLOOKUP(A1,DIV_03Data!$A$1:$DZU$1000000,2290,FALSE)</f>
        <v>#N/A</v>
      </c>
      <c r="L135" s="93" t="e">
        <f>VLOOKUP(A1,DIV_03Data!$A$1:$DZU$1000000,2291,FALSE)</f>
        <v>#N/A</v>
      </c>
      <c r="M135" s="33" t="e">
        <f>VLOOKUP(A1,DIV_03Data!$A$1:$DZU$1000000,2292,FALSE)</f>
        <v>#N/A</v>
      </c>
      <c r="N135" s="34" t="e">
        <f>VLOOKUP(A1,DIV_03Data!$A$1:$DZU$1000000,2293,FALSE)</f>
        <v>#N/A</v>
      </c>
      <c r="O135" s="33" t="e">
        <f>VLOOKUP(A1,DIV_03Data!$A$1:$DZU$1000000,2294,FALSE)</f>
        <v>#N/A</v>
      </c>
      <c r="P135" s="46" t="e">
        <f>VLOOKUP(A1,DIV_03Data!$A$1:$DZU$1000000,2295,FALSE)</f>
        <v>#N/A</v>
      </c>
      <c r="Q135" s="33" t="e">
        <f>VLOOKUP(A1,DIV_03Data!$A$1:$DZU$1000000,2296,FALSE)</f>
        <v>#N/A</v>
      </c>
    </row>
    <row r="136" spans="1:17" x14ac:dyDescent="0.35">
      <c r="A136" s="22" t="e">
        <f>VLOOKUP(A1,DIV_03Data!$A$1:$DZU$1000000,2297,FALSE)</f>
        <v>#N/A</v>
      </c>
      <c r="B136" s="37" t="e">
        <f>VLOOKUP(A1,DIV_03Data!$A$1:$DZU$1000000,2298,FALSE)</f>
        <v>#N/A</v>
      </c>
      <c r="C136" s="38" t="e">
        <f>VLOOKUP(A1,DIV_03Data!$A$1:$DZU$1000000,2299,FALSE)</f>
        <v>#N/A</v>
      </c>
      <c r="D136" s="31" t="e">
        <f>VLOOKUP(A1,DIV_03Data!$A$1:$DZU$1000000,2300,FALSE)</f>
        <v>#N/A</v>
      </c>
      <c r="E136" s="32" t="e">
        <f>VLOOKUP(A1,DIV_03Data!$A$1:$DZU$1000000,2301,FALSE)</f>
        <v>#N/A</v>
      </c>
      <c r="F136" s="34" t="e">
        <f>VLOOKUP(A1,DIV_03Data!$A$1:$DZU$1000000,2302,FALSE)</f>
        <v>#N/A</v>
      </c>
      <c r="G136" s="33" t="e">
        <f>VLOOKUP(A1,DIV_03Data!$A$1:$DZU$1000000,2303,FALSE)</f>
        <v>#N/A</v>
      </c>
      <c r="H136" s="34" t="e">
        <f>VLOOKUP(A1,DIV_03Data!$A$1:$DZU$1000000,2304,FALSE)</f>
        <v>#N/A</v>
      </c>
      <c r="I136" s="33" t="e">
        <f>VLOOKUP(A1,DIV_03Data!$A$1:$DZU$1000000,2305,FALSE)</f>
        <v>#N/A</v>
      </c>
      <c r="J136" s="34" t="e">
        <f>VLOOKUP(A1,DIV_03Data!$A$1:$DZU$1000000,2306,FALSE)</f>
        <v>#N/A</v>
      </c>
      <c r="K136" s="34" t="e">
        <f>VLOOKUP(A1,DIV_03Data!$A$1:$DZU$1000000,2307,FALSE)</f>
        <v>#N/A</v>
      </c>
      <c r="L136" s="93" t="e">
        <f>VLOOKUP(A1,DIV_03Data!$A$1:$DZU$1000000,2308,FALSE)</f>
        <v>#N/A</v>
      </c>
      <c r="M136" s="33" t="e">
        <f>VLOOKUP(A1,DIV_03Data!$A$1:$DZU$1000000,2309,FALSE)</f>
        <v>#N/A</v>
      </c>
      <c r="N136" s="34" t="e">
        <f>VLOOKUP(A1,DIV_03Data!$A$1:$DZU$1000000,2310,FALSE)</f>
        <v>#N/A</v>
      </c>
      <c r="O136" s="33" t="e">
        <f>VLOOKUP(A1,DIV_03Data!$A$1:$DZU$1000000,2311,FALSE)</f>
        <v>#N/A</v>
      </c>
      <c r="P136" s="46" t="e">
        <f>VLOOKUP(A1,DIV_03Data!$A$1:$DZU$1000000,2312,FALSE)</f>
        <v>#N/A</v>
      </c>
      <c r="Q136" s="33" t="e">
        <f>VLOOKUP(A1,DIV_03Data!$A$1:$DZU$1000000,2313,FALSE)</f>
        <v>#N/A</v>
      </c>
    </row>
    <row r="137" spans="1:17" x14ac:dyDescent="0.35">
      <c r="A137" s="22" t="e">
        <f>VLOOKUP(A1,DIV_03Data!$A$1:$DZU$1000000,2314,FALSE)</f>
        <v>#N/A</v>
      </c>
      <c r="B137" s="37" t="e">
        <f>VLOOKUP(A1,DIV_03Data!$A$1:$DZU$1000000,2315,FALSE)</f>
        <v>#N/A</v>
      </c>
      <c r="C137" s="38" t="e">
        <f>VLOOKUP(A1,DIV_03Data!$A$1:$DZU$1000000,2316,FALSE)</f>
        <v>#N/A</v>
      </c>
      <c r="D137" s="31" t="e">
        <f>VLOOKUP(A1,DIV_03Data!$A$1:$DZU$1000000,2317,FALSE)</f>
        <v>#N/A</v>
      </c>
      <c r="E137" s="32" t="e">
        <f>VLOOKUP(A1,DIV_03Data!$A$1:$DZU$1000000,2318,FALSE)</f>
        <v>#N/A</v>
      </c>
      <c r="F137" s="34" t="e">
        <f>VLOOKUP(A1,DIV_03Data!$A$1:$DZU$1000000,2319,FALSE)</f>
        <v>#N/A</v>
      </c>
      <c r="G137" s="33" t="e">
        <f>VLOOKUP(A1,DIV_03Data!$A$1:$DZU$1000000,2320,FALSE)</f>
        <v>#N/A</v>
      </c>
      <c r="H137" s="34" t="e">
        <f>VLOOKUP(A1,DIV_03Data!$A$1:$DZU$1000000,2321,FALSE)</f>
        <v>#N/A</v>
      </c>
      <c r="I137" s="33" t="e">
        <f>VLOOKUP(A1,DIV_03Data!$A$1:$DZU$1000000,2322,FALSE)</f>
        <v>#N/A</v>
      </c>
      <c r="J137" s="34" t="e">
        <f>VLOOKUP(A1,DIV_03Data!$A$1:$DZU$1000000,2323,FALSE)</f>
        <v>#N/A</v>
      </c>
      <c r="K137" s="34" t="e">
        <f>VLOOKUP(A1,DIV_03Data!$A$1:$DZU$1000000,2324,FALSE)</f>
        <v>#N/A</v>
      </c>
      <c r="L137" s="93" t="e">
        <f>VLOOKUP(A1,DIV_03Data!$A$1:$DZU$1000000,2325,FALSE)</f>
        <v>#N/A</v>
      </c>
      <c r="M137" s="33" t="e">
        <f>VLOOKUP(A1,DIV_03Data!$A$1:$DZU$1000000,2326,FALSE)</f>
        <v>#N/A</v>
      </c>
      <c r="N137" s="34" t="e">
        <f>VLOOKUP(A1,DIV_03Data!$A$1:$DZU$1000000,2327,FALSE)</f>
        <v>#N/A</v>
      </c>
      <c r="O137" s="33" t="e">
        <f>VLOOKUP(A1,DIV_03Data!$A$1:$DZU$1000000,2328,FALSE)</f>
        <v>#N/A</v>
      </c>
      <c r="P137" s="46" t="e">
        <f>VLOOKUP(A1,DIV_03Data!$A$1:$DZU$1000000,2329,FALSE)</f>
        <v>#N/A</v>
      </c>
      <c r="Q137" s="33" t="e">
        <f>VLOOKUP(A1,DIV_03Data!$A$1:$DZU$1000000,2330,FALSE)</f>
        <v>#N/A</v>
      </c>
    </row>
    <row r="138" spans="1:17" x14ac:dyDescent="0.35">
      <c r="A138" s="22" t="e">
        <f>VLOOKUP(A1,DIV_03Data!$A$1:$DZU$1000000,2331,FALSE)</f>
        <v>#N/A</v>
      </c>
      <c r="B138" s="37" t="e">
        <f>VLOOKUP(A1,DIV_03Data!$A$1:$DZU$1000000,2332,FALSE)</f>
        <v>#N/A</v>
      </c>
      <c r="C138" s="38" t="e">
        <f>VLOOKUP(A1,DIV_03Data!$A$1:$DZU$1000000,2333,FALSE)</f>
        <v>#N/A</v>
      </c>
      <c r="D138" s="31" t="e">
        <f>VLOOKUP(A1,DIV_03Data!$A$1:$DZU$1000000,2334,FALSE)</f>
        <v>#N/A</v>
      </c>
      <c r="E138" s="32" t="e">
        <f>VLOOKUP(A1,DIV_03Data!$A$1:$DZU$1000000,2335,FALSE)</f>
        <v>#N/A</v>
      </c>
      <c r="F138" s="34" t="e">
        <f>VLOOKUP(A1,DIV_03Data!$A$1:$DZU$1000000,2336,FALSE)</f>
        <v>#N/A</v>
      </c>
      <c r="G138" s="33" t="e">
        <f>VLOOKUP(A1,DIV_03Data!$A$1:$DZU$1000000,2337,FALSE)</f>
        <v>#N/A</v>
      </c>
      <c r="H138" s="34" t="e">
        <f>VLOOKUP(A1,DIV_03Data!$A$1:$DZU$1000000,2338,FALSE)</f>
        <v>#N/A</v>
      </c>
      <c r="I138" s="33" t="e">
        <f>VLOOKUP(A1,DIV_03Data!$A$1:$DZU$1000000,2339,FALSE)</f>
        <v>#N/A</v>
      </c>
      <c r="J138" s="34" t="e">
        <f>VLOOKUP(A1,DIV_03Data!$A$1:$DZU$1000000,2340,FALSE)</f>
        <v>#N/A</v>
      </c>
      <c r="K138" s="34" t="e">
        <f>VLOOKUP(A1,DIV_03Data!$A$1:$DZU$1000000,2341,FALSE)</f>
        <v>#N/A</v>
      </c>
      <c r="L138" s="93" t="e">
        <f>VLOOKUP(A1,DIV_03Data!$A$1:$DZU$1000000,2342,FALSE)</f>
        <v>#N/A</v>
      </c>
      <c r="M138" s="33" t="e">
        <f>VLOOKUP(A1,DIV_03Data!$A$1:$DZU$1000000,2343,FALSE)</f>
        <v>#N/A</v>
      </c>
      <c r="N138" s="34" t="e">
        <f>VLOOKUP(A1,DIV_03Data!$A$1:$DZU$1000000,2344,FALSE)</f>
        <v>#N/A</v>
      </c>
      <c r="O138" s="33" t="e">
        <f>VLOOKUP(A1,DIV_03Data!$A$1:$DZU$1000000,2345,FALSE)</f>
        <v>#N/A</v>
      </c>
      <c r="P138" s="46" t="e">
        <f>VLOOKUP(A1,DIV_03Data!$A$1:$DZU$1000000,2346,FALSE)</f>
        <v>#N/A</v>
      </c>
      <c r="Q138" s="33" t="e">
        <f>VLOOKUP(A1,DIV_03Data!$A$1:$DZU$1000000,2347,FALSE)</f>
        <v>#N/A</v>
      </c>
    </row>
    <row r="139" spans="1:17" x14ac:dyDescent="0.35">
      <c r="A139" s="22" t="e">
        <f>VLOOKUP(A1,DIV_03Data!$A$1:$DZU$1000000,2348,FALSE)</f>
        <v>#N/A</v>
      </c>
      <c r="B139" s="37" t="e">
        <f>VLOOKUP(A1,DIV_03Data!$A$1:$DZU$1000000,2349,FALSE)</f>
        <v>#N/A</v>
      </c>
      <c r="C139" s="38" t="e">
        <f>VLOOKUP(A1,DIV_03Data!$A$1:$DZU$1000000,2350,FALSE)</f>
        <v>#N/A</v>
      </c>
      <c r="D139" s="31" t="e">
        <f>VLOOKUP(A1,DIV_03Data!$A$1:$DZU$1000000,2351,FALSE)</f>
        <v>#N/A</v>
      </c>
      <c r="E139" s="32" t="e">
        <f>VLOOKUP(A1,DIV_03Data!$A$1:$DZU$1000000,2352,FALSE)</f>
        <v>#N/A</v>
      </c>
      <c r="F139" s="34" t="e">
        <f>VLOOKUP(A1,DIV_03Data!$A$1:$DZU$1000000,2353,FALSE)</f>
        <v>#N/A</v>
      </c>
      <c r="G139" s="33" t="e">
        <f>VLOOKUP(A1,DIV_03Data!$A$1:$DZU$1000000,2354,FALSE)</f>
        <v>#N/A</v>
      </c>
      <c r="H139" s="34" t="e">
        <f>VLOOKUP(A1,DIV_03Data!$A$1:$DZU$1000000,2355,FALSE)</f>
        <v>#N/A</v>
      </c>
      <c r="I139" s="33" t="e">
        <f>VLOOKUP(A1,DIV_03Data!$A$1:$DZU$1000000,2356,FALSE)</f>
        <v>#N/A</v>
      </c>
      <c r="J139" s="34" t="e">
        <f>VLOOKUP(A1,DIV_03Data!$A$1:$DZU$1000000,2357,FALSE)</f>
        <v>#N/A</v>
      </c>
      <c r="K139" s="34" t="e">
        <f>VLOOKUP(A1,DIV_03Data!$A$1:$DZU$1000000,2358,FALSE)</f>
        <v>#N/A</v>
      </c>
      <c r="L139" s="93" t="e">
        <f>VLOOKUP(A1,DIV_03Data!$A$1:$DZU$1000000,2359,FALSE)</f>
        <v>#N/A</v>
      </c>
      <c r="M139" s="33" t="e">
        <f>VLOOKUP(A1,DIV_03Data!$A$1:$DZU$1000000,2360,FALSE)</f>
        <v>#N/A</v>
      </c>
      <c r="N139" s="34" t="e">
        <f>VLOOKUP(A1,DIV_03Data!$A$1:$DZU$1000000,2361,FALSE)</f>
        <v>#N/A</v>
      </c>
      <c r="O139" s="33" t="e">
        <f>VLOOKUP(A1,DIV_03Data!$A$1:$DZU$1000000,2362,FALSE)</f>
        <v>#N/A</v>
      </c>
      <c r="P139" s="46" t="e">
        <f>VLOOKUP(A1,DIV_03Data!$A$1:$DZU$1000000,2363,FALSE)</f>
        <v>#N/A</v>
      </c>
      <c r="Q139" s="33" t="e">
        <f>VLOOKUP(A1,DIV_03Data!$A$1:$DZU$1000000,2364,FALSE)</f>
        <v>#N/A</v>
      </c>
    </row>
    <row r="140" spans="1:17" x14ac:dyDescent="0.35">
      <c r="A140" s="22" t="e">
        <f>VLOOKUP(A1,DIV_03Data!$A$1:$DZU$1000000,2365,FALSE)</f>
        <v>#N/A</v>
      </c>
      <c r="B140" s="37" t="e">
        <f>VLOOKUP(A1,DIV_03Data!$A$1:$DZU$1000000,2366,FALSE)</f>
        <v>#N/A</v>
      </c>
      <c r="C140" s="38" t="e">
        <f>VLOOKUP(A1,DIV_03Data!$A$1:$DZU$1000000,2367,FALSE)</f>
        <v>#N/A</v>
      </c>
      <c r="D140" s="31" t="e">
        <f>VLOOKUP(A1,DIV_03Data!$A$1:$DZU$1000000,2368,FALSE)</f>
        <v>#N/A</v>
      </c>
      <c r="E140" s="32" t="e">
        <f>VLOOKUP(A1,DIV_03Data!$A$1:$DZU$1000000,2369,FALSE)</f>
        <v>#N/A</v>
      </c>
      <c r="F140" s="34" t="e">
        <f>VLOOKUP(A1,DIV_03Data!$A$1:$DZU$1000000,2370,FALSE)</f>
        <v>#N/A</v>
      </c>
      <c r="G140" s="33" t="e">
        <f>VLOOKUP(A1,DIV_03Data!$A$1:$DZU$1000000,2371,FALSE)</f>
        <v>#N/A</v>
      </c>
      <c r="H140" s="34" t="e">
        <f>VLOOKUP(A1,DIV_03Data!$A$1:$DZU$1000000,2372,FALSE)</f>
        <v>#N/A</v>
      </c>
      <c r="I140" s="33" t="e">
        <f>VLOOKUP(A1,DIV_03Data!$A$1:$DZU$1000000,2373,FALSE)</f>
        <v>#N/A</v>
      </c>
      <c r="J140" s="34" t="e">
        <f>VLOOKUP(A1,DIV_03Data!$A$1:$DZU$1000000,2374,FALSE)</f>
        <v>#N/A</v>
      </c>
      <c r="K140" s="34" t="e">
        <f>VLOOKUP(A1,DIV_03Data!$A$1:$DZU$1000000,2375,FALSE)</f>
        <v>#N/A</v>
      </c>
      <c r="L140" s="93" t="e">
        <f>VLOOKUP(A1,DIV_03Data!$A$1:$DZU$1000000,2376,FALSE)</f>
        <v>#N/A</v>
      </c>
      <c r="M140" s="33" t="e">
        <f>VLOOKUP(A1,DIV_03Data!$A$1:$DZU$1000000,2377,FALSE)</f>
        <v>#N/A</v>
      </c>
      <c r="N140" s="34" t="e">
        <f>VLOOKUP(A1,DIV_03Data!$A$1:$DZU$1000000,2378,FALSE)</f>
        <v>#N/A</v>
      </c>
      <c r="O140" s="33" t="e">
        <f>VLOOKUP(A1,DIV_03Data!$A$1:$DZU$1000000,2379,FALSE)</f>
        <v>#N/A</v>
      </c>
      <c r="P140" s="46" t="e">
        <f>VLOOKUP(A1,DIV_03Data!$A$1:$DZU$1000000,2380,FALSE)</f>
        <v>#N/A</v>
      </c>
      <c r="Q140" s="33" t="e">
        <f>VLOOKUP(A1,DIV_03Data!$A$1:$DZU$1000000,2381,FALSE)</f>
        <v>#N/A</v>
      </c>
    </row>
    <row r="141" spans="1:17" x14ac:dyDescent="0.35">
      <c r="A141" s="22" t="e">
        <f>VLOOKUP(A1,DIV_03Data!$A$1:$DZU$1000000,2382,FALSE)</f>
        <v>#N/A</v>
      </c>
      <c r="B141" s="37" t="e">
        <f>VLOOKUP(A1,DIV_03Data!$A$1:$DZU$1000000,2383,FALSE)</f>
        <v>#N/A</v>
      </c>
      <c r="C141" s="38" t="e">
        <f>VLOOKUP(A1,DIV_03Data!$A$1:$DZU$1000000,2384,FALSE)</f>
        <v>#N/A</v>
      </c>
      <c r="D141" s="31" t="e">
        <f>VLOOKUP(A1,DIV_03Data!$A$1:$DZU$1000000,2385,FALSE)</f>
        <v>#N/A</v>
      </c>
      <c r="E141" s="32" t="e">
        <f>VLOOKUP(A1,DIV_03Data!$A$1:$DZU$1000000,2386,FALSE)</f>
        <v>#N/A</v>
      </c>
      <c r="F141" s="34" t="e">
        <f>VLOOKUP(A1,DIV_03Data!$A$1:$DZU$1000000,2387,FALSE)</f>
        <v>#N/A</v>
      </c>
      <c r="G141" s="33" t="e">
        <f>VLOOKUP(A1,DIV_03Data!$A$1:$DZU$1000000,2388,FALSE)</f>
        <v>#N/A</v>
      </c>
      <c r="H141" s="34" t="e">
        <f>VLOOKUP(A1,DIV_03Data!$A$1:$DZU$1000000,2389,FALSE)</f>
        <v>#N/A</v>
      </c>
      <c r="I141" s="33" t="e">
        <f>VLOOKUP(A1,DIV_03Data!$A$1:$DZU$1000000,2390,FALSE)</f>
        <v>#N/A</v>
      </c>
      <c r="J141" s="34" t="e">
        <f>VLOOKUP(A1,DIV_03Data!$A$1:$DZU$1000000,2391,FALSE)</f>
        <v>#N/A</v>
      </c>
      <c r="K141" s="34" t="e">
        <f>VLOOKUP(A1,DIV_03Data!$A$1:$DZU$1000000,2392,FALSE)</f>
        <v>#N/A</v>
      </c>
      <c r="L141" s="93" t="e">
        <f>VLOOKUP(A1,DIV_03Data!$A$1:$DZU$1000000,2393,FALSE)</f>
        <v>#N/A</v>
      </c>
      <c r="M141" s="33" t="e">
        <f>VLOOKUP(A1,DIV_03Data!$A$1:$DZU$1000000,2394,FALSE)</f>
        <v>#N/A</v>
      </c>
      <c r="N141" s="34" t="e">
        <f>VLOOKUP(A1,DIV_03Data!$A$1:$DZU$1000000,2395,FALSE)</f>
        <v>#N/A</v>
      </c>
      <c r="O141" s="33" t="e">
        <f>VLOOKUP(A1,DIV_03Data!$A$1:$DZU$1000000,2396,FALSE)</f>
        <v>#N/A</v>
      </c>
      <c r="P141" s="46" t="e">
        <f>VLOOKUP(A1,DIV_03Data!$A$1:$DZU$1000000,2397,FALSE)</f>
        <v>#N/A</v>
      </c>
      <c r="Q141" s="33" t="e">
        <f>VLOOKUP(A1,DIV_03Data!$A$1:$DZU$1000000,2398,FALSE)</f>
        <v>#N/A</v>
      </c>
    </row>
    <row r="142" spans="1:17" x14ac:dyDescent="0.35">
      <c r="A142" s="22" t="e">
        <f>VLOOKUP(A1,DIV_03Data!$A$1:$DZU$1000000,2399,FALSE)</f>
        <v>#N/A</v>
      </c>
      <c r="B142" s="37" t="e">
        <f>VLOOKUP(A1,DIV_03Data!$A$1:$DZU$1000000,2400,FALSE)</f>
        <v>#N/A</v>
      </c>
      <c r="C142" s="38" t="e">
        <f>VLOOKUP(A1,DIV_03Data!$A$1:$DZU$1000000,2401,FALSE)</f>
        <v>#N/A</v>
      </c>
      <c r="D142" s="31" t="e">
        <f>VLOOKUP(A1,DIV_03Data!$A$1:$DZU$1000000,2402,FALSE)</f>
        <v>#N/A</v>
      </c>
      <c r="E142" s="32" t="e">
        <f>VLOOKUP(A1,DIV_03Data!$A$1:$DZU$1000000,2403,FALSE)</f>
        <v>#N/A</v>
      </c>
      <c r="F142" s="34" t="e">
        <f>VLOOKUP(A1,DIV_03Data!$A$1:$DZU$1000000,2404,FALSE)</f>
        <v>#N/A</v>
      </c>
      <c r="G142" s="33" t="e">
        <f>VLOOKUP(A1,DIV_03Data!$A$1:$DZU$1000000,2405,FALSE)</f>
        <v>#N/A</v>
      </c>
      <c r="H142" s="34" t="e">
        <f>VLOOKUP(A1,DIV_03Data!$A$1:$DZU$1000000,2406,FALSE)</f>
        <v>#N/A</v>
      </c>
      <c r="I142" s="33" t="e">
        <f>VLOOKUP(A1,DIV_03Data!$A$1:$DZU$1000000,2407,FALSE)</f>
        <v>#N/A</v>
      </c>
      <c r="J142" s="34" t="e">
        <f>VLOOKUP(A1,DIV_03Data!$A$1:$DZU$1000000,2408,FALSE)</f>
        <v>#N/A</v>
      </c>
      <c r="K142" s="34" t="e">
        <f>VLOOKUP(A1,DIV_03Data!$A$1:$DZU$1000000,2409,FALSE)</f>
        <v>#N/A</v>
      </c>
      <c r="L142" s="93" t="e">
        <f>VLOOKUP(A1,DIV_03Data!$A$1:$DZU$1000000,2410,FALSE)</f>
        <v>#N/A</v>
      </c>
      <c r="M142" s="33" t="e">
        <f>VLOOKUP(A1,DIV_03Data!$A$1:$DZU$1000000,2411,FALSE)</f>
        <v>#N/A</v>
      </c>
      <c r="N142" s="34" t="e">
        <f>VLOOKUP(A1,DIV_03Data!$A$1:$DZU$1000000,2412,FALSE)</f>
        <v>#N/A</v>
      </c>
      <c r="O142" s="33" t="e">
        <f>VLOOKUP(A1,DIV_03Data!$A$1:$DZU$1000000,2413,FALSE)</f>
        <v>#N/A</v>
      </c>
      <c r="P142" s="46" t="e">
        <f>VLOOKUP(A1,DIV_03Data!$A$1:$DZU$1000000,2414,FALSE)</f>
        <v>#N/A</v>
      </c>
      <c r="Q142" s="33" t="e">
        <f>VLOOKUP(A1,DIV_03Data!$A$1:$DZU$1000000,2415,FALSE)</f>
        <v>#N/A</v>
      </c>
    </row>
    <row r="143" spans="1:17" x14ac:dyDescent="0.35">
      <c r="A143" s="22" t="e">
        <f>VLOOKUP(A1,DIV_03Data!$A$1:$DZU$1000000,2416,FALSE)</f>
        <v>#N/A</v>
      </c>
      <c r="B143" s="37" t="e">
        <f>VLOOKUP(A1,DIV_03Data!$A$1:$DZU$1000000,2417,FALSE)</f>
        <v>#N/A</v>
      </c>
      <c r="C143" s="38" t="e">
        <f>VLOOKUP(A1,DIV_03Data!$A$1:$DZU$1000000,2418,FALSE)</f>
        <v>#N/A</v>
      </c>
      <c r="D143" s="31" t="e">
        <f>VLOOKUP(A1,DIV_03Data!$A$1:$DZU$1000000,2419,FALSE)</f>
        <v>#N/A</v>
      </c>
      <c r="E143" s="32" t="e">
        <f>VLOOKUP(A1,DIV_03Data!$A$1:$DZU$1000000,2420,FALSE)</f>
        <v>#N/A</v>
      </c>
      <c r="F143" s="34" t="e">
        <f>VLOOKUP(A1,DIV_03Data!$A$1:$DZU$1000000,2421,FALSE)</f>
        <v>#N/A</v>
      </c>
      <c r="G143" s="33" t="e">
        <f>VLOOKUP(A1,DIV_03Data!$A$1:$DZU$1000000,2422,FALSE)</f>
        <v>#N/A</v>
      </c>
      <c r="H143" s="34" t="e">
        <f>VLOOKUP(A1,DIV_03Data!$A$1:$DZU$1000000,2423,FALSE)</f>
        <v>#N/A</v>
      </c>
      <c r="I143" s="33" t="e">
        <f>VLOOKUP(A1,DIV_03Data!$A$1:$DZU$1000000,2424,FALSE)</f>
        <v>#N/A</v>
      </c>
      <c r="J143" s="34" t="e">
        <f>VLOOKUP(A1,DIV_03Data!$A$1:$DZU$1000000,2425,FALSE)</f>
        <v>#N/A</v>
      </c>
      <c r="K143" s="34" t="e">
        <f>VLOOKUP(A1,DIV_03Data!$A$1:$DZU$1000000,2426,FALSE)</f>
        <v>#N/A</v>
      </c>
      <c r="L143" s="93" t="e">
        <f>VLOOKUP(A1,DIV_03Data!$A$1:$DZU$1000000,2427,FALSE)</f>
        <v>#N/A</v>
      </c>
      <c r="M143" s="33" t="e">
        <f>VLOOKUP(A1,DIV_03Data!$A$1:$DZU$1000000,2428,FALSE)</f>
        <v>#N/A</v>
      </c>
      <c r="N143" s="34" t="e">
        <f>VLOOKUP(A1,DIV_03Data!$A$1:$DZU$1000000,2429,FALSE)</f>
        <v>#N/A</v>
      </c>
      <c r="O143" s="33" t="e">
        <f>VLOOKUP(A1,DIV_03Data!$A$1:$DZU$1000000,2430,FALSE)</f>
        <v>#N/A</v>
      </c>
      <c r="P143" s="46" t="e">
        <f>VLOOKUP(A1,DIV_03Data!$A$1:$DZU$1000000,2431,FALSE)</f>
        <v>#N/A</v>
      </c>
      <c r="Q143" s="33" t="e">
        <f>VLOOKUP(A1,DIV_03Data!$A$1:$DZU$1000000,2432,FALSE)</f>
        <v>#N/A</v>
      </c>
    </row>
    <row r="144" spans="1:17" x14ac:dyDescent="0.35">
      <c r="A144" s="22" t="e">
        <f>VLOOKUP(A1,DIV_03Data!$A$1:$DZU$1000000,2433,FALSE)</f>
        <v>#N/A</v>
      </c>
      <c r="B144" s="37" t="e">
        <f>VLOOKUP(A1,DIV_03Data!$A$1:$DZU$1000000,2434,FALSE)</f>
        <v>#N/A</v>
      </c>
      <c r="C144" s="38" t="e">
        <f>VLOOKUP(A1,DIV_03Data!$A$1:$DZU$1000000,2435,FALSE)</f>
        <v>#N/A</v>
      </c>
      <c r="D144" s="31" t="e">
        <f>VLOOKUP(A1,DIV_03Data!$A$1:$DZU$1000000,2436,FALSE)</f>
        <v>#N/A</v>
      </c>
      <c r="E144" s="32" t="e">
        <f>VLOOKUP(A1,DIV_03Data!$A$1:$DZU$1000000,2437,FALSE)</f>
        <v>#N/A</v>
      </c>
      <c r="F144" s="34" t="e">
        <f>VLOOKUP(A1,DIV_03Data!$A$1:$DZU$1000000,2438,FALSE)</f>
        <v>#N/A</v>
      </c>
      <c r="G144" s="33" t="e">
        <f>VLOOKUP(A1,DIV_03Data!$A$1:$DZU$1000000,2439,FALSE)</f>
        <v>#N/A</v>
      </c>
      <c r="H144" s="34" t="e">
        <f>VLOOKUP(A1,DIV_03Data!$A$1:$DZU$1000000,2440,FALSE)</f>
        <v>#N/A</v>
      </c>
      <c r="I144" s="33" t="e">
        <f>VLOOKUP(A1,DIV_03Data!$A$1:$DZU$1000000,2441,FALSE)</f>
        <v>#N/A</v>
      </c>
      <c r="J144" s="34" t="e">
        <f>VLOOKUP(A1,DIV_03Data!$A$1:$DZU$1000000,2442,FALSE)</f>
        <v>#N/A</v>
      </c>
      <c r="K144" s="34" t="e">
        <f>VLOOKUP(A1,DIV_03Data!$A$1:$DZU$1000000,2443,FALSE)</f>
        <v>#N/A</v>
      </c>
      <c r="L144" s="93" t="e">
        <f>VLOOKUP(A1,DIV_03Data!$A$1:$DZU$1000000,2444,FALSE)</f>
        <v>#N/A</v>
      </c>
      <c r="M144" s="33" t="e">
        <f>VLOOKUP(A1,DIV_03Data!$A$1:$DZU$1000000,2445,FALSE)</f>
        <v>#N/A</v>
      </c>
      <c r="N144" s="34" t="e">
        <f>VLOOKUP(A1,DIV_03Data!$A$1:$DZU$1000000,2446,FALSE)</f>
        <v>#N/A</v>
      </c>
      <c r="O144" s="33" t="e">
        <f>VLOOKUP(A1,DIV_03Data!$A$1:$DZU$1000000,2447,FALSE)</f>
        <v>#N/A</v>
      </c>
      <c r="P144" s="46" t="e">
        <f>VLOOKUP(A1,DIV_03Data!$A$1:$DZU$1000000,2448,FALSE)</f>
        <v>#N/A</v>
      </c>
      <c r="Q144" s="33" t="e">
        <f>VLOOKUP(A1,DIV_03Data!$A$1:$DZU$1000000,2449,FALSE)</f>
        <v>#N/A</v>
      </c>
    </row>
    <row r="145" spans="1:17" x14ac:dyDescent="0.35">
      <c r="A145" s="22" t="e">
        <f>VLOOKUP(A1,DIV_03Data!$A$1:$DZU$1000000,2450,FALSE)</f>
        <v>#N/A</v>
      </c>
      <c r="B145" s="37" t="e">
        <f>VLOOKUP(A1,DIV_03Data!$A$1:$DZU$1000000,2451,FALSE)</f>
        <v>#N/A</v>
      </c>
      <c r="C145" s="38" t="e">
        <f>VLOOKUP(A1,DIV_03Data!$A$1:$DZU$1000000,2452,FALSE)</f>
        <v>#N/A</v>
      </c>
      <c r="D145" s="31" t="e">
        <f>VLOOKUP(A1,DIV_03Data!$A$1:$DZU$1000000,2453,FALSE)</f>
        <v>#N/A</v>
      </c>
      <c r="E145" s="32" t="e">
        <f>VLOOKUP(A1,DIV_03Data!$A$1:$DZU$1000000,2454,FALSE)</f>
        <v>#N/A</v>
      </c>
      <c r="F145" s="34" t="e">
        <f>VLOOKUP(A1,DIV_03Data!$A$1:$DZU$1000000,2455,FALSE)</f>
        <v>#N/A</v>
      </c>
      <c r="G145" s="33" t="e">
        <f>VLOOKUP(A1,DIV_03Data!$A$1:$DZU$1000000,2456,FALSE)</f>
        <v>#N/A</v>
      </c>
      <c r="H145" s="34" t="e">
        <f>VLOOKUP(A1,DIV_03Data!$A$1:$DZU$1000000,2457,FALSE)</f>
        <v>#N/A</v>
      </c>
      <c r="I145" s="33" t="e">
        <f>VLOOKUP(A1,DIV_03Data!$A$1:$DZU$1000000,2458,FALSE)</f>
        <v>#N/A</v>
      </c>
      <c r="J145" s="34" t="e">
        <f>VLOOKUP(A1,DIV_03Data!$A$1:$DZU$1000000,2459,FALSE)</f>
        <v>#N/A</v>
      </c>
      <c r="K145" s="34" t="e">
        <f>VLOOKUP(A1,DIV_03Data!$A$1:$DZU$1000000,2460,FALSE)</f>
        <v>#N/A</v>
      </c>
      <c r="L145" s="93" t="e">
        <f>VLOOKUP(A1,DIV_03Data!$A$1:$DZU$1000000,2461,FALSE)</f>
        <v>#N/A</v>
      </c>
      <c r="M145" s="33" t="e">
        <f>VLOOKUP(A1,DIV_03Data!$A$1:$DZU$1000000,2462,FALSE)</f>
        <v>#N/A</v>
      </c>
      <c r="N145" s="34" t="e">
        <f>VLOOKUP(A1,DIV_03Data!$A$1:$DZU$1000000,2463,FALSE)</f>
        <v>#N/A</v>
      </c>
      <c r="O145" s="33" t="e">
        <f>VLOOKUP(A1,DIV_03Data!$A$1:$DZU$1000000,2464,FALSE)</f>
        <v>#N/A</v>
      </c>
      <c r="P145" s="46" t="e">
        <f>VLOOKUP(A1,DIV_03Data!$A$1:$DZU$1000000,2465,FALSE)</f>
        <v>#N/A</v>
      </c>
      <c r="Q145" s="33" t="e">
        <f>VLOOKUP(A1,DIV_03Data!$A$1:$DZU$1000000,2466,FALSE)</f>
        <v>#N/A</v>
      </c>
    </row>
    <row r="146" spans="1:17" x14ac:dyDescent="0.35">
      <c r="A146" s="22" t="e">
        <f>VLOOKUP(A1,DIV_03Data!$A$1:$DZU$1000000,2467,FALSE)</f>
        <v>#N/A</v>
      </c>
      <c r="B146" s="37" t="e">
        <f>VLOOKUP(A1,DIV_03Data!$A$1:$DZU$1000000,2468,FALSE)</f>
        <v>#N/A</v>
      </c>
      <c r="C146" s="38" t="e">
        <f>VLOOKUP(A1,DIV_03Data!$A$1:$DZU$1000000,2469,FALSE)</f>
        <v>#N/A</v>
      </c>
      <c r="D146" s="31" t="e">
        <f>VLOOKUP(A1,DIV_03Data!$A$1:$DZU$1000000,2470,FALSE)</f>
        <v>#N/A</v>
      </c>
      <c r="E146" s="32" t="e">
        <f>VLOOKUP(A1,DIV_03Data!$A$1:$DZU$1000000,2471,FALSE)</f>
        <v>#N/A</v>
      </c>
      <c r="F146" s="34" t="e">
        <f>VLOOKUP(A1,DIV_03Data!$A$1:$DZU$1000000,2472,FALSE)</f>
        <v>#N/A</v>
      </c>
      <c r="G146" s="33" t="e">
        <f>VLOOKUP(A1,DIV_03Data!$A$1:$DZU$1000000,2473,FALSE)</f>
        <v>#N/A</v>
      </c>
      <c r="H146" s="34" t="e">
        <f>VLOOKUP(A1,DIV_03Data!$A$1:$DZU$1000000,2474,FALSE)</f>
        <v>#N/A</v>
      </c>
      <c r="I146" s="33" t="e">
        <f>VLOOKUP(A1,DIV_03Data!$A$1:$DZU$1000000,2475,FALSE)</f>
        <v>#N/A</v>
      </c>
      <c r="J146" s="34" t="e">
        <f>VLOOKUP(A1,DIV_03Data!$A$1:$DZU$1000000,2476,FALSE)</f>
        <v>#N/A</v>
      </c>
      <c r="K146" s="34" t="e">
        <f>VLOOKUP(A1,DIV_03Data!$A$1:$DZU$1000000,2477,FALSE)</f>
        <v>#N/A</v>
      </c>
      <c r="L146" s="93" t="e">
        <f>VLOOKUP(A1,DIV_03Data!$A$1:$DZU$1000000,2478,FALSE)</f>
        <v>#N/A</v>
      </c>
      <c r="M146" s="33" t="e">
        <f>VLOOKUP(A1,DIV_03Data!$A$1:$DZU$1000000,2479,FALSE)</f>
        <v>#N/A</v>
      </c>
      <c r="N146" s="34" t="e">
        <f>VLOOKUP(A1,DIV_03Data!$A$1:$DZU$1000000,2480,FALSE)</f>
        <v>#N/A</v>
      </c>
      <c r="O146" s="33" t="e">
        <f>VLOOKUP(A1,DIV_03Data!$A$1:$DZU$1000000,2481,FALSE)</f>
        <v>#N/A</v>
      </c>
      <c r="P146" s="46" t="e">
        <f>VLOOKUP(A1,DIV_03Data!$A$1:$DZU$1000000,2482,FALSE)</f>
        <v>#N/A</v>
      </c>
      <c r="Q146" s="33" t="e">
        <f>VLOOKUP(A1,DIV_03Data!$A$1:$DZU$1000000,2483,FALSE)</f>
        <v>#N/A</v>
      </c>
    </row>
    <row r="147" spans="1:17" x14ac:dyDescent="0.35">
      <c r="A147" s="22" t="e">
        <f>VLOOKUP(A1,DIV_03Data!$A$1:$DZU$1000000,2484,FALSE)</f>
        <v>#N/A</v>
      </c>
      <c r="B147" s="37" t="e">
        <f>VLOOKUP(A1,DIV_03Data!$A$1:$DZU$1000000,2485,FALSE)</f>
        <v>#N/A</v>
      </c>
      <c r="C147" s="38" t="e">
        <f>VLOOKUP(A1,DIV_03Data!$A$1:$DZU$1000000,2486,FALSE)</f>
        <v>#N/A</v>
      </c>
      <c r="D147" s="31" t="e">
        <f>VLOOKUP(A1,DIV_03Data!$A$1:$DZU$1000000,2487,FALSE)</f>
        <v>#N/A</v>
      </c>
      <c r="E147" s="32" t="e">
        <f>VLOOKUP(A1,DIV_03Data!$A$1:$DZU$1000000,2488,FALSE)</f>
        <v>#N/A</v>
      </c>
      <c r="F147" s="34" t="e">
        <f>VLOOKUP(A1,DIV_03Data!$A$1:$DZU$1000000,2489,FALSE)</f>
        <v>#N/A</v>
      </c>
      <c r="G147" s="33" t="e">
        <f>VLOOKUP(A1,DIV_03Data!$A$1:$DZU$1000000,2490,FALSE)</f>
        <v>#N/A</v>
      </c>
      <c r="H147" s="34" t="e">
        <f>VLOOKUP(A1,DIV_03Data!$A$1:$DZU$1000000,2491,FALSE)</f>
        <v>#N/A</v>
      </c>
      <c r="I147" s="33" t="e">
        <f>VLOOKUP(A1,DIV_03Data!$A$1:$DZU$1000000,2492,FALSE)</f>
        <v>#N/A</v>
      </c>
      <c r="J147" s="34" t="e">
        <f>VLOOKUP(A1,DIV_03Data!$A$1:$DZU$1000000,2493,FALSE)</f>
        <v>#N/A</v>
      </c>
      <c r="K147" s="34" t="e">
        <f>VLOOKUP(A1,DIV_03Data!$A$1:$DZU$1000000,2494,FALSE)</f>
        <v>#N/A</v>
      </c>
      <c r="L147" s="93" t="e">
        <f>VLOOKUP(A1,DIV_03Data!$A$1:$DZU$1000000,2495,FALSE)</f>
        <v>#N/A</v>
      </c>
      <c r="M147" s="33" t="e">
        <f>VLOOKUP(A1,DIV_03Data!$A$1:$DZU$1000000,2496,FALSE)</f>
        <v>#N/A</v>
      </c>
      <c r="N147" s="34" t="e">
        <f>VLOOKUP(A1,DIV_03Data!$A$1:$DZU$1000000,2497,FALSE)</f>
        <v>#N/A</v>
      </c>
      <c r="O147" s="33" t="e">
        <f>VLOOKUP(A1,DIV_03Data!$A$1:$DZU$1000000,2498,FALSE)</f>
        <v>#N/A</v>
      </c>
      <c r="P147" s="46" t="e">
        <f>VLOOKUP(A1,DIV_03Data!$A$1:$DZU$1000000,2499,FALSE)</f>
        <v>#N/A</v>
      </c>
      <c r="Q147" s="33" t="e">
        <f>VLOOKUP(A1,DIV_03Data!$A$1:$DZU$1000000,2500,FALSE)</f>
        <v>#N/A</v>
      </c>
    </row>
    <row r="148" spans="1:17" x14ac:dyDescent="0.35">
      <c r="A148" s="22" t="e">
        <f>VLOOKUP(A1,DIV_03Data!$A$1:$DZU$1000000,2501,FALSE)</f>
        <v>#N/A</v>
      </c>
      <c r="B148" s="37" t="e">
        <f>VLOOKUP(A1,DIV_03Data!$A$1:$DZU$1000000,2502,FALSE)</f>
        <v>#N/A</v>
      </c>
      <c r="C148" s="38" t="e">
        <f>VLOOKUP(A1,DIV_03Data!$A$1:$DZU$1000000,2503,FALSE)</f>
        <v>#N/A</v>
      </c>
      <c r="D148" s="31" t="e">
        <f>VLOOKUP(A1,DIV_03Data!$A$1:$DZU$1000000,2504,FALSE)</f>
        <v>#N/A</v>
      </c>
      <c r="E148" s="32" t="e">
        <f>VLOOKUP(A1,DIV_03Data!$A$1:$DZU$1000000,2505,FALSE)</f>
        <v>#N/A</v>
      </c>
      <c r="F148" s="34" t="e">
        <f>VLOOKUP(A1,DIV_03Data!$A$1:$DZU$1000000,2506,FALSE)</f>
        <v>#N/A</v>
      </c>
      <c r="G148" s="33" t="e">
        <f>VLOOKUP(A1,DIV_03Data!$A$1:$DZU$1000000,2507,FALSE)</f>
        <v>#N/A</v>
      </c>
      <c r="H148" s="34" t="e">
        <f>VLOOKUP(A1,DIV_03Data!$A$1:$DZU$1000000,2508,FALSE)</f>
        <v>#N/A</v>
      </c>
      <c r="I148" s="33" t="e">
        <f>VLOOKUP(A1,DIV_03Data!$A$1:$DZU$1000000,2509,FALSE)</f>
        <v>#N/A</v>
      </c>
      <c r="J148" s="34" t="e">
        <f>VLOOKUP(A1,DIV_03Data!$A$1:$DZU$1000000,2510,FALSE)</f>
        <v>#N/A</v>
      </c>
      <c r="K148" s="34" t="e">
        <f>VLOOKUP(A1,DIV_03Data!$A$1:$DZU$1000000,2511,FALSE)</f>
        <v>#N/A</v>
      </c>
      <c r="L148" s="93" t="e">
        <f>VLOOKUP(A1,DIV_03Data!$A$1:$DZU$1000000,2512,FALSE)</f>
        <v>#N/A</v>
      </c>
      <c r="M148" s="33" t="e">
        <f>VLOOKUP(A1,DIV_03Data!$A$1:$DZU$1000000,2513,FALSE)</f>
        <v>#N/A</v>
      </c>
      <c r="N148" s="34" t="e">
        <f>VLOOKUP(A1,DIV_03Data!$A$1:$DZU$1000000,2514,FALSE)</f>
        <v>#N/A</v>
      </c>
      <c r="O148" s="33" t="e">
        <f>VLOOKUP(A1,DIV_03Data!$A$1:$DZU$1000000,2515,FALSE)</f>
        <v>#N/A</v>
      </c>
      <c r="P148" s="46" t="e">
        <f>VLOOKUP(A1,DIV_03Data!$A$1:$DZU$1000000,2516,FALSE)</f>
        <v>#N/A</v>
      </c>
      <c r="Q148" s="33" t="e">
        <f>VLOOKUP(A1,DIV_03Data!$A$1:$DZU$1000000,2517,FALSE)</f>
        <v>#N/A</v>
      </c>
    </row>
    <row r="149" spans="1:17" x14ac:dyDescent="0.35">
      <c r="A149" s="22" t="e">
        <f>VLOOKUP(A1,DIV_03Data!$A$1:$DZU$1000000,2518,FALSE)</f>
        <v>#N/A</v>
      </c>
      <c r="B149" s="37" t="e">
        <f>VLOOKUP(A1,DIV_03Data!$A$1:$DZU$1000000,2519,FALSE)</f>
        <v>#N/A</v>
      </c>
      <c r="C149" s="38" t="e">
        <f>VLOOKUP(A1,DIV_03Data!$A$1:$DZU$1000000,2520,FALSE)</f>
        <v>#N/A</v>
      </c>
      <c r="D149" s="31" t="e">
        <f>VLOOKUP(A1,DIV_03Data!$A$1:$DZU$1000000,2521,FALSE)</f>
        <v>#N/A</v>
      </c>
      <c r="E149" s="32" t="e">
        <f>VLOOKUP(A1,DIV_03Data!$A$1:$DZU$1000000,2522,FALSE)</f>
        <v>#N/A</v>
      </c>
      <c r="F149" s="34" t="e">
        <f>VLOOKUP(A1,DIV_03Data!$A$1:$DZU$1000000,2523,FALSE)</f>
        <v>#N/A</v>
      </c>
      <c r="G149" s="33" t="e">
        <f>VLOOKUP(A1,DIV_03Data!$A$1:$DZU$1000000,2524,FALSE)</f>
        <v>#N/A</v>
      </c>
      <c r="H149" s="34" t="e">
        <f>VLOOKUP(A1,DIV_03Data!$A$1:$DZU$1000000,2525,FALSE)</f>
        <v>#N/A</v>
      </c>
      <c r="I149" s="33" t="e">
        <f>VLOOKUP(A1,DIV_03Data!$A$1:$DZU$1000000,2526,FALSE)</f>
        <v>#N/A</v>
      </c>
      <c r="J149" s="34" t="e">
        <f>VLOOKUP(A1,DIV_03Data!$A$1:$DZU$1000000,2527,FALSE)</f>
        <v>#N/A</v>
      </c>
      <c r="K149" s="34" t="e">
        <f>VLOOKUP(A1,DIV_03Data!$A$1:$DZU$1000000,2528,FALSE)</f>
        <v>#N/A</v>
      </c>
      <c r="L149" s="93" t="e">
        <f>VLOOKUP(A1,DIV_03Data!$A$1:$DZU$1000000,2529,FALSE)</f>
        <v>#N/A</v>
      </c>
      <c r="M149" s="33" t="e">
        <f>VLOOKUP(A1,DIV_03Data!$A$1:$DZU$1000000,2530,FALSE)</f>
        <v>#N/A</v>
      </c>
      <c r="N149" s="34" t="e">
        <f>VLOOKUP(A1,DIV_03Data!$A$1:$DZU$1000000,2531,FALSE)</f>
        <v>#N/A</v>
      </c>
      <c r="O149" s="33" t="e">
        <f>VLOOKUP(A1,DIV_03Data!$A$1:$DZU$1000000,2532,FALSE)</f>
        <v>#N/A</v>
      </c>
      <c r="P149" s="46" t="e">
        <f>VLOOKUP(A1,DIV_03Data!$A$1:$DZU$1000000,2533,FALSE)</f>
        <v>#N/A</v>
      </c>
      <c r="Q149" s="33" t="e">
        <f>VLOOKUP(A1,DIV_03Data!$A$1:$DZU$1000000,2534,FALSE)</f>
        <v>#N/A</v>
      </c>
    </row>
    <row r="150" spans="1:17" x14ac:dyDescent="0.35">
      <c r="A150" s="22" t="e">
        <f>VLOOKUP(A1,DIV_03Data!$A$1:$DZU$1000000,2535,FALSE)</f>
        <v>#N/A</v>
      </c>
      <c r="B150" s="37" t="e">
        <f>VLOOKUP(A1,DIV_03Data!$A$1:$DZU$1000000,2536,FALSE)</f>
        <v>#N/A</v>
      </c>
      <c r="C150" s="38" t="e">
        <f>VLOOKUP(A1,DIV_03Data!$A$1:$DZU$1000000,2537,FALSE)</f>
        <v>#N/A</v>
      </c>
      <c r="D150" s="31" t="e">
        <f>VLOOKUP(A1,DIV_03Data!$A$1:$DZU$1000000,2538,FALSE)</f>
        <v>#N/A</v>
      </c>
      <c r="E150" s="32" t="e">
        <f>VLOOKUP(A1,DIV_03Data!$A$1:$DZU$1000000,2539,FALSE)</f>
        <v>#N/A</v>
      </c>
      <c r="F150" s="34" t="e">
        <f>VLOOKUP(A1,DIV_03Data!$A$1:$DZU$1000000,2540,FALSE)</f>
        <v>#N/A</v>
      </c>
      <c r="G150" s="33" t="e">
        <f>VLOOKUP(A1,DIV_03Data!$A$1:$DZU$1000000,2541,FALSE)</f>
        <v>#N/A</v>
      </c>
      <c r="H150" s="34" t="e">
        <f>VLOOKUP(A1,DIV_03Data!$A$1:$DZU$1000000,2542,FALSE)</f>
        <v>#N/A</v>
      </c>
      <c r="I150" s="33" t="e">
        <f>VLOOKUP(A1,DIV_03Data!$A$1:$DZU$1000000,2543,FALSE)</f>
        <v>#N/A</v>
      </c>
      <c r="J150" s="34" t="e">
        <f>VLOOKUP(A1,DIV_03Data!$A$1:$DZU$1000000,2544,FALSE)</f>
        <v>#N/A</v>
      </c>
      <c r="K150" s="34" t="e">
        <f>VLOOKUP(A1,DIV_03Data!$A$1:$DZU$1000000,2545,FALSE)</f>
        <v>#N/A</v>
      </c>
      <c r="L150" s="93" t="e">
        <f>VLOOKUP(A1,DIV_03Data!$A$1:$DZU$1000000,2546,FALSE)</f>
        <v>#N/A</v>
      </c>
      <c r="M150" s="33" t="e">
        <f>VLOOKUP(A1,DIV_03Data!$A$1:$DZU$1000000,2547,FALSE)</f>
        <v>#N/A</v>
      </c>
      <c r="N150" s="34" t="e">
        <f>VLOOKUP(A1,DIV_03Data!$A$1:$DZU$1000000,2548,FALSE)</f>
        <v>#N/A</v>
      </c>
      <c r="O150" s="33" t="e">
        <f>VLOOKUP(A1,DIV_03Data!$A$1:$DZU$1000000,2549,FALSE)</f>
        <v>#N/A</v>
      </c>
      <c r="P150" s="46" t="e">
        <f>VLOOKUP(A1,DIV_03Data!$A$1:$DZU$1000000,2550,FALSE)</f>
        <v>#N/A</v>
      </c>
      <c r="Q150" s="33" t="e">
        <f>VLOOKUP(A1,DIV_03Data!$A$1:$DZU$1000000,2551,FALSE)</f>
        <v>#N/A</v>
      </c>
    </row>
    <row r="151" spans="1:17" x14ac:dyDescent="0.35">
      <c r="A151" s="22" t="e">
        <f>VLOOKUP(A1,DIV_03Data!$A$1:$DZU$1000000,2552,FALSE)</f>
        <v>#N/A</v>
      </c>
      <c r="B151" s="37" t="e">
        <f>VLOOKUP(A1,DIV_03Data!$A$1:$DZU$1000000,2553,FALSE)</f>
        <v>#N/A</v>
      </c>
      <c r="C151" s="38" t="e">
        <f>VLOOKUP(A1,DIV_03Data!$A$1:$DZU$1000000,2554,FALSE)</f>
        <v>#N/A</v>
      </c>
      <c r="D151" s="31" t="e">
        <f>VLOOKUP(A1,DIV_03Data!$A$1:$DZU$1000000,2555,FALSE)</f>
        <v>#N/A</v>
      </c>
      <c r="E151" s="32" t="e">
        <f>VLOOKUP(A1,DIV_03Data!$A$1:$DZU$1000000,2556,FALSE)</f>
        <v>#N/A</v>
      </c>
      <c r="F151" s="34" t="e">
        <f>VLOOKUP(A1,DIV_03Data!$A$1:$DZU$1000000,2557,FALSE)</f>
        <v>#N/A</v>
      </c>
      <c r="G151" s="33" t="e">
        <f>VLOOKUP(A1,DIV_03Data!$A$1:$DZU$1000000,2558,FALSE)</f>
        <v>#N/A</v>
      </c>
      <c r="H151" s="34" t="e">
        <f>VLOOKUP(A1,DIV_03Data!$A$1:$DZU$1000000,2559,FALSE)</f>
        <v>#N/A</v>
      </c>
      <c r="I151" s="33" t="e">
        <f>VLOOKUP(A1,DIV_03Data!$A$1:$DZU$1000000,2560,FALSE)</f>
        <v>#N/A</v>
      </c>
      <c r="J151" s="34" t="e">
        <f>VLOOKUP(A1,DIV_03Data!$A$1:$DZU$1000000,2561,FALSE)</f>
        <v>#N/A</v>
      </c>
      <c r="K151" s="34" t="e">
        <f>VLOOKUP(A1,DIV_03Data!$A$1:$DZU$1000000,2562,FALSE)</f>
        <v>#N/A</v>
      </c>
      <c r="L151" s="93" t="e">
        <f>VLOOKUP(A1,DIV_03Data!$A$1:$DZU$1000000,2563,FALSE)</f>
        <v>#N/A</v>
      </c>
      <c r="M151" s="33" t="e">
        <f>VLOOKUP(A1,DIV_03Data!$A$1:$DZU$1000000,2564,FALSE)</f>
        <v>#N/A</v>
      </c>
      <c r="N151" s="34" t="e">
        <f>VLOOKUP(A1,DIV_03Data!$A$1:$DZU$1000000,2565,FALSE)</f>
        <v>#N/A</v>
      </c>
      <c r="O151" s="33" t="e">
        <f>VLOOKUP(A1,DIV_03Data!$A$1:$DZU$1000000,2566,FALSE)</f>
        <v>#N/A</v>
      </c>
      <c r="P151" s="46" t="e">
        <f>VLOOKUP(A1,DIV_03Data!$A$1:$DZU$1000000,2567,FALSE)</f>
        <v>#N/A</v>
      </c>
      <c r="Q151" s="33" t="e">
        <f>VLOOKUP(A1,DIV_03Data!$A$1:$DZU$1000000,2568,FALSE)</f>
        <v>#N/A</v>
      </c>
    </row>
    <row r="152" spans="1:17" x14ac:dyDescent="0.35">
      <c r="A152" s="22" t="e">
        <f>VLOOKUP(A1,DIV_03Data!$A$1:$DZU$1000000,2569,FALSE)</f>
        <v>#N/A</v>
      </c>
      <c r="B152" s="37" t="e">
        <f>VLOOKUP(A1,DIV_03Data!$A$1:$DZU$1000000,2570,FALSE)</f>
        <v>#N/A</v>
      </c>
      <c r="C152" s="38" t="e">
        <f>VLOOKUP(A1,DIV_03Data!$A$1:$DZU$1000000,2571,FALSE)</f>
        <v>#N/A</v>
      </c>
      <c r="D152" s="31" t="e">
        <f>VLOOKUP(A1,DIV_03Data!$A$1:$DZU$1000000,2572,FALSE)</f>
        <v>#N/A</v>
      </c>
      <c r="E152" s="32" t="e">
        <f>VLOOKUP(A1,DIV_03Data!$A$1:$DZU$1000000,2573,FALSE)</f>
        <v>#N/A</v>
      </c>
      <c r="F152" s="34" t="e">
        <f>VLOOKUP(A1,DIV_03Data!$A$1:$DZU$1000000,2574,FALSE)</f>
        <v>#N/A</v>
      </c>
      <c r="G152" s="33" t="e">
        <f>VLOOKUP(A1,DIV_03Data!$A$1:$DZU$1000000,2575,FALSE)</f>
        <v>#N/A</v>
      </c>
      <c r="H152" s="34" t="e">
        <f>VLOOKUP(A1,DIV_03Data!$A$1:$DZU$1000000,2576,FALSE)</f>
        <v>#N/A</v>
      </c>
      <c r="I152" s="33" t="e">
        <f>VLOOKUP(A1,DIV_03Data!$A$1:$DZU$1000000,2577,FALSE)</f>
        <v>#N/A</v>
      </c>
      <c r="J152" s="34" t="e">
        <f>VLOOKUP(A1,DIV_03Data!$A$1:$DZU$1000000,2578,FALSE)</f>
        <v>#N/A</v>
      </c>
      <c r="K152" s="34" t="e">
        <f>VLOOKUP(A1,DIV_03Data!$A$1:$DZU$1000000,2579,FALSE)</f>
        <v>#N/A</v>
      </c>
      <c r="L152" s="93" t="e">
        <f>VLOOKUP(A1,DIV_03Data!$A$1:$DZU$1000000,2580,FALSE)</f>
        <v>#N/A</v>
      </c>
      <c r="M152" s="33" t="e">
        <f>VLOOKUP(A1,DIV_03Data!$A$1:$DZU$1000000,2581,FALSE)</f>
        <v>#N/A</v>
      </c>
      <c r="N152" s="34" t="e">
        <f>VLOOKUP(A1,DIV_03Data!$A$1:$DZU$1000000,2582,FALSE)</f>
        <v>#N/A</v>
      </c>
      <c r="O152" s="33" t="e">
        <f>VLOOKUP(A1,DIV_03Data!$A$1:$DZU$1000000,2583,FALSE)</f>
        <v>#N/A</v>
      </c>
      <c r="P152" s="46" t="e">
        <f>VLOOKUP(A1,DIV_03Data!$A$1:$DZU$1000000,2584,FALSE)</f>
        <v>#N/A</v>
      </c>
      <c r="Q152" s="33" t="e">
        <f>VLOOKUP(A1,DIV_03Data!$A$1:$DZU$1000000,2585,FALSE)</f>
        <v>#N/A</v>
      </c>
    </row>
    <row r="153" spans="1:17" x14ac:dyDescent="0.35">
      <c r="A153" s="22" t="e">
        <f>VLOOKUP(A1,DIV_03Data!$A$1:$DZU$1000000,2586,FALSE)</f>
        <v>#N/A</v>
      </c>
      <c r="B153" s="37" t="e">
        <f>VLOOKUP(A1,DIV_03Data!$A$1:$DZU$1000000,2587,FALSE)</f>
        <v>#N/A</v>
      </c>
      <c r="C153" s="38" t="e">
        <f>VLOOKUP(A1,DIV_03Data!$A$1:$DZU$1000000,2588,FALSE)</f>
        <v>#N/A</v>
      </c>
      <c r="D153" s="31" t="e">
        <f>VLOOKUP(A1,DIV_03Data!$A$1:$DZU$1000000,2589,FALSE)</f>
        <v>#N/A</v>
      </c>
      <c r="E153" s="32" t="e">
        <f>VLOOKUP(A1,DIV_03Data!$A$1:$DZU$1000000,2590,FALSE)</f>
        <v>#N/A</v>
      </c>
      <c r="F153" s="34" t="e">
        <f>VLOOKUP(A1,DIV_03Data!$A$1:$DZU$1000000,2591,FALSE)</f>
        <v>#N/A</v>
      </c>
      <c r="G153" s="33" t="e">
        <f>VLOOKUP(A1,DIV_03Data!$A$1:$DZU$1000000,2592,FALSE)</f>
        <v>#N/A</v>
      </c>
      <c r="H153" s="34" t="e">
        <f>VLOOKUP(A1,DIV_03Data!$A$1:$DZU$1000000,2593,FALSE)</f>
        <v>#N/A</v>
      </c>
      <c r="I153" s="33" t="e">
        <f>VLOOKUP(A1,DIV_03Data!$A$1:$DZU$1000000,2594,FALSE)</f>
        <v>#N/A</v>
      </c>
      <c r="J153" s="34" t="e">
        <f>VLOOKUP(A1,DIV_03Data!$A$1:$DZU$1000000,2595,FALSE)</f>
        <v>#N/A</v>
      </c>
      <c r="K153" s="34" t="e">
        <f>VLOOKUP(A1,DIV_03Data!$A$1:$DZU$1000000,2596,FALSE)</f>
        <v>#N/A</v>
      </c>
      <c r="L153" s="93" t="e">
        <f>VLOOKUP(A1,DIV_03Data!$A$1:$DZU$1000000,2597,FALSE)</f>
        <v>#N/A</v>
      </c>
      <c r="M153" s="33" t="e">
        <f>VLOOKUP(A1,DIV_03Data!$A$1:$DZU$1000000,2598,FALSE)</f>
        <v>#N/A</v>
      </c>
      <c r="N153" s="34" t="e">
        <f>VLOOKUP(A1,DIV_03Data!$A$1:$DZU$1000000,2599,FALSE)</f>
        <v>#N/A</v>
      </c>
      <c r="O153" s="33" t="e">
        <f>VLOOKUP(A1,DIV_03Data!$A$1:$DZU$1000000,2600,FALSE)</f>
        <v>#N/A</v>
      </c>
      <c r="P153" s="46" t="e">
        <f>VLOOKUP(A1,DIV_03Data!$A$1:$DZU$1000000,2601,FALSE)</f>
        <v>#N/A</v>
      </c>
      <c r="Q153" s="33" t="e">
        <f>VLOOKUP(A1,DIV_03Data!$A$1:$DZU$1000000,2602,FALSE)</f>
        <v>#N/A</v>
      </c>
    </row>
    <row r="154" spans="1:17" x14ac:dyDescent="0.35">
      <c r="A154" s="22" t="e">
        <f>VLOOKUP(A1,DIV_03Data!$A$1:$DZU$1000000,2603,FALSE)</f>
        <v>#N/A</v>
      </c>
      <c r="B154" s="37" t="e">
        <f>VLOOKUP(A1,DIV_03Data!$A$1:$DZU$1000000,2604,FALSE)</f>
        <v>#N/A</v>
      </c>
      <c r="C154" s="38" t="e">
        <f>VLOOKUP(A1,DIV_03Data!$A$1:$DZU$1000000,2605,FALSE)</f>
        <v>#N/A</v>
      </c>
      <c r="D154" s="31" t="e">
        <f>VLOOKUP(A1,DIV_03Data!$A$1:$DZU$1000000,2606,FALSE)</f>
        <v>#N/A</v>
      </c>
      <c r="E154" s="32" t="e">
        <f>VLOOKUP(A1,DIV_03Data!$A$1:$DZU$1000000,2607,FALSE)</f>
        <v>#N/A</v>
      </c>
      <c r="F154" s="34" t="e">
        <f>VLOOKUP(A1,DIV_03Data!$A$1:$DZU$1000000,2608,FALSE)</f>
        <v>#N/A</v>
      </c>
      <c r="G154" s="33" t="e">
        <f>VLOOKUP(A1,DIV_03Data!$A$1:$DZU$1000000,2609,FALSE)</f>
        <v>#N/A</v>
      </c>
      <c r="H154" s="34" t="e">
        <f>VLOOKUP(A1,DIV_03Data!$A$1:$DZU$1000000,2610,FALSE)</f>
        <v>#N/A</v>
      </c>
      <c r="I154" s="33" t="e">
        <f>VLOOKUP(A1,DIV_03Data!$A$1:$DZU$1000000,2611,FALSE)</f>
        <v>#N/A</v>
      </c>
      <c r="J154" s="34" t="e">
        <f>VLOOKUP(A1,DIV_03Data!$A$1:$DZU$1000000,2612,FALSE)</f>
        <v>#N/A</v>
      </c>
      <c r="K154" s="34" t="e">
        <f>VLOOKUP(A1,DIV_03Data!$A$1:$DZU$1000000,2613,FALSE)</f>
        <v>#N/A</v>
      </c>
      <c r="L154" s="93" t="e">
        <f>VLOOKUP(A1,DIV_03Data!$A$1:$DZU$1000000,2614,FALSE)</f>
        <v>#N/A</v>
      </c>
      <c r="M154" s="33" t="e">
        <f>VLOOKUP(A1,DIV_03Data!$A$1:$DZU$1000000,2615,FALSE)</f>
        <v>#N/A</v>
      </c>
      <c r="N154" s="34" t="e">
        <f>VLOOKUP(A1,DIV_03Data!$A$1:$DZU$1000000,2616,FALSE)</f>
        <v>#N/A</v>
      </c>
      <c r="O154" s="33" t="e">
        <f>VLOOKUP(A1,DIV_03Data!$A$1:$DZU$1000000,2617,FALSE)</f>
        <v>#N/A</v>
      </c>
      <c r="P154" s="46" t="e">
        <f>VLOOKUP(A1,DIV_03Data!$A$1:$DZU$1000000,2618,FALSE)</f>
        <v>#N/A</v>
      </c>
      <c r="Q154" s="33" t="e">
        <f>VLOOKUP(A1,DIV_03Data!$A$1:$DZU$1000000,2619,FALSE)</f>
        <v>#N/A</v>
      </c>
    </row>
    <row r="155" spans="1:17" x14ac:dyDescent="0.35">
      <c r="A155" s="22" t="e">
        <f>VLOOKUP(A1,DIV_03Data!$A$1:$DZU$1000000,2620,FALSE)</f>
        <v>#N/A</v>
      </c>
      <c r="B155" s="37" t="e">
        <f>VLOOKUP(A1,DIV_03Data!$A$1:$DZU$1000000,2621,FALSE)</f>
        <v>#N/A</v>
      </c>
      <c r="C155" s="38" t="e">
        <f>VLOOKUP(A1,DIV_03Data!$A$1:$DZU$1000000,2622,FALSE)</f>
        <v>#N/A</v>
      </c>
      <c r="D155" s="31" t="e">
        <f>VLOOKUP(A1,DIV_03Data!$A$1:$DZU$1000000,2623,FALSE)</f>
        <v>#N/A</v>
      </c>
      <c r="E155" s="32" t="e">
        <f>VLOOKUP(A1,DIV_03Data!$A$1:$DZU$1000000,2624,FALSE)</f>
        <v>#N/A</v>
      </c>
      <c r="F155" s="34" t="e">
        <f>VLOOKUP(A1,DIV_03Data!$A$1:$DZU$1000000,2625,FALSE)</f>
        <v>#N/A</v>
      </c>
      <c r="G155" s="33" t="e">
        <f>VLOOKUP(A1,DIV_03Data!$A$1:$DZU$1000000,2626,FALSE)</f>
        <v>#N/A</v>
      </c>
      <c r="H155" s="34" t="e">
        <f>VLOOKUP(A1,DIV_03Data!$A$1:$DZU$1000000,2627,FALSE)</f>
        <v>#N/A</v>
      </c>
      <c r="I155" s="33" t="e">
        <f>VLOOKUP(A1,DIV_03Data!$A$1:$DZU$1000000,2628,FALSE)</f>
        <v>#N/A</v>
      </c>
      <c r="J155" s="34" t="e">
        <f>VLOOKUP(A1,DIV_03Data!$A$1:$DZU$1000000,2629,FALSE)</f>
        <v>#N/A</v>
      </c>
      <c r="K155" s="34" t="e">
        <f>VLOOKUP(A1,DIV_03Data!$A$1:$DZU$1000000,2630,FALSE)</f>
        <v>#N/A</v>
      </c>
      <c r="L155" s="93" t="e">
        <f>VLOOKUP(A1,DIV_03Data!$A$1:$DZU$1000000,2631,FALSE)</f>
        <v>#N/A</v>
      </c>
      <c r="M155" s="33" t="e">
        <f>VLOOKUP(A1,DIV_03Data!$A$1:$DZU$1000000,2632,FALSE)</f>
        <v>#N/A</v>
      </c>
      <c r="N155" s="34" t="e">
        <f>VLOOKUP(A1,DIV_03Data!$A$1:$DZU$1000000,2633,FALSE)</f>
        <v>#N/A</v>
      </c>
      <c r="O155" s="33" t="e">
        <f>VLOOKUP(A1,DIV_03Data!$A$1:$DZU$1000000,2634,FALSE)</f>
        <v>#N/A</v>
      </c>
      <c r="P155" s="46" t="e">
        <f>VLOOKUP(A1,DIV_03Data!$A$1:$DZU$1000000,2635,FALSE)</f>
        <v>#N/A</v>
      </c>
      <c r="Q155" s="33" t="e">
        <f>VLOOKUP(A1,DIV_03Data!$A$1:$DZU$1000000,2636,FALSE)</f>
        <v>#N/A</v>
      </c>
    </row>
    <row r="156" spans="1:17" x14ac:dyDescent="0.35">
      <c r="A156" s="22" t="e">
        <f>VLOOKUP(A1,DIV_03Data!$A$1:$DZU$1000000,2637,FALSE)</f>
        <v>#N/A</v>
      </c>
      <c r="B156" s="37" t="e">
        <f>VLOOKUP(A1,DIV_03Data!$A$1:$DZU$1000000,2638,FALSE)</f>
        <v>#N/A</v>
      </c>
      <c r="C156" s="38" t="e">
        <f>VLOOKUP(A1,DIV_03Data!$A$1:$DZU$1000000,2639,FALSE)</f>
        <v>#N/A</v>
      </c>
      <c r="D156" s="31" t="e">
        <f>VLOOKUP(A1,DIV_03Data!$A$1:$DZU$1000000,2640,FALSE)</f>
        <v>#N/A</v>
      </c>
      <c r="E156" s="32" t="e">
        <f>VLOOKUP(A1,DIV_03Data!$A$1:$DZU$1000000,2641,FALSE)</f>
        <v>#N/A</v>
      </c>
      <c r="F156" s="34" t="e">
        <f>VLOOKUP(A1,DIV_03Data!$A$1:$DZU$1000000,2642,FALSE)</f>
        <v>#N/A</v>
      </c>
      <c r="G156" s="33" t="e">
        <f>VLOOKUP(A1,DIV_03Data!$A$1:$DZU$1000000,2643,FALSE)</f>
        <v>#N/A</v>
      </c>
      <c r="H156" s="34" t="e">
        <f>VLOOKUP(A1,DIV_03Data!$A$1:$DZU$1000000,2644,FALSE)</f>
        <v>#N/A</v>
      </c>
      <c r="I156" s="33" t="e">
        <f>VLOOKUP(A1,DIV_03Data!$A$1:$DZU$1000000,2645,FALSE)</f>
        <v>#N/A</v>
      </c>
      <c r="J156" s="34" t="e">
        <f>VLOOKUP(A1,DIV_03Data!$A$1:$DZU$1000000,2646,FALSE)</f>
        <v>#N/A</v>
      </c>
      <c r="K156" s="34" t="e">
        <f>VLOOKUP(A1,DIV_03Data!$A$1:$DZU$1000000,2647,FALSE)</f>
        <v>#N/A</v>
      </c>
      <c r="L156" s="93" t="e">
        <f>VLOOKUP(A1,DIV_03Data!$A$1:$DZU$1000000,2648,FALSE)</f>
        <v>#N/A</v>
      </c>
      <c r="M156" s="33" t="e">
        <f>VLOOKUP(A1,DIV_03Data!$A$1:$DZU$1000000,2649,FALSE)</f>
        <v>#N/A</v>
      </c>
      <c r="N156" s="34" t="e">
        <f>VLOOKUP(A1,DIV_03Data!$A$1:$DZU$1000000,2650,FALSE)</f>
        <v>#N/A</v>
      </c>
      <c r="O156" s="33" t="e">
        <f>VLOOKUP(A1,DIV_03Data!$A$1:$DZU$1000000,2651,FALSE)</f>
        <v>#N/A</v>
      </c>
      <c r="P156" s="46" t="e">
        <f>VLOOKUP(A1,DIV_03Data!$A$1:$DZU$1000000,2652,FALSE)</f>
        <v>#N/A</v>
      </c>
      <c r="Q156" s="33" t="e">
        <f>VLOOKUP(A1,DIV_03Data!$A$1:$DZU$1000000,2653,FALSE)</f>
        <v>#N/A</v>
      </c>
    </row>
    <row r="157" spans="1:17" x14ac:dyDescent="0.35">
      <c r="A157" s="22" t="e">
        <f>VLOOKUP(A1,DIV_03Data!$A$1:$DZU$1000000,2654,FALSE)</f>
        <v>#N/A</v>
      </c>
      <c r="B157" s="37" t="e">
        <f>VLOOKUP(A1,DIV_03Data!$A$1:$DZU$1000000,2655,FALSE)</f>
        <v>#N/A</v>
      </c>
      <c r="C157" s="38" t="e">
        <f>VLOOKUP(A1,DIV_03Data!$A$1:$DZU$1000000,2656,FALSE)</f>
        <v>#N/A</v>
      </c>
      <c r="D157" s="31" t="e">
        <f>VLOOKUP(A1,DIV_03Data!$A$1:$DZU$1000000,2657,FALSE)</f>
        <v>#N/A</v>
      </c>
      <c r="E157" s="32" t="e">
        <f>VLOOKUP(A1,DIV_03Data!$A$1:$DZU$1000000,2658,FALSE)</f>
        <v>#N/A</v>
      </c>
      <c r="F157" s="34" t="e">
        <f>VLOOKUP(A1,DIV_03Data!$A$1:$DZU$1000000,2659,FALSE)</f>
        <v>#N/A</v>
      </c>
      <c r="G157" s="33" t="e">
        <f>VLOOKUP(A1,DIV_03Data!$A$1:$DZU$1000000,2660,FALSE)</f>
        <v>#N/A</v>
      </c>
      <c r="H157" s="34" t="e">
        <f>VLOOKUP(A1,DIV_03Data!$A$1:$DZU$1000000,2661,FALSE)</f>
        <v>#N/A</v>
      </c>
      <c r="I157" s="33" t="e">
        <f>VLOOKUP(A1,DIV_03Data!$A$1:$DZU$1000000,2662,FALSE)</f>
        <v>#N/A</v>
      </c>
      <c r="J157" s="34" t="e">
        <f>VLOOKUP(A1,DIV_03Data!$A$1:$DZU$1000000,2663,FALSE)</f>
        <v>#N/A</v>
      </c>
      <c r="K157" s="34" t="e">
        <f>VLOOKUP(A1,DIV_03Data!$A$1:$DZU$1000000,2664,FALSE)</f>
        <v>#N/A</v>
      </c>
      <c r="L157" s="93" t="e">
        <f>VLOOKUP(A1,DIV_03Data!$A$1:$DZU$1000000,2665,FALSE)</f>
        <v>#N/A</v>
      </c>
      <c r="M157" s="33" t="e">
        <f>VLOOKUP(A1,DIV_03Data!$A$1:$DZU$1000000,2666,FALSE)</f>
        <v>#N/A</v>
      </c>
      <c r="N157" s="34" t="e">
        <f>VLOOKUP(A1,DIV_03Data!$A$1:$DZU$1000000,2667,FALSE)</f>
        <v>#N/A</v>
      </c>
      <c r="O157" s="33" t="e">
        <f>VLOOKUP(A1,DIV_03Data!$A$1:$DZU$1000000,2668,FALSE)</f>
        <v>#N/A</v>
      </c>
      <c r="P157" s="46" t="e">
        <f>VLOOKUP(A1,DIV_03Data!$A$1:$DZU$1000000,2669,FALSE)</f>
        <v>#N/A</v>
      </c>
      <c r="Q157" s="33" t="e">
        <f>VLOOKUP(A1,DIV_03Data!$A$1:$DZU$1000000,2670,FALSE)</f>
        <v>#N/A</v>
      </c>
    </row>
    <row r="158" spans="1:17" x14ac:dyDescent="0.35">
      <c r="A158" s="22" t="e">
        <f>VLOOKUP(A1,DIV_03Data!$A$1:$DZU$1000000,2671,FALSE)</f>
        <v>#N/A</v>
      </c>
      <c r="B158" s="37" t="e">
        <f>VLOOKUP(A1,DIV_03Data!$A$1:$DZU$1000000,2672,FALSE)</f>
        <v>#N/A</v>
      </c>
      <c r="C158" s="38" t="e">
        <f>VLOOKUP(A1,DIV_03Data!$A$1:$DZU$1000000,2673,FALSE)</f>
        <v>#N/A</v>
      </c>
      <c r="D158" s="31" t="e">
        <f>VLOOKUP(A1,DIV_03Data!$A$1:$DZU$1000000,2674,FALSE)</f>
        <v>#N/A</v>
      </c>
      <c r="E158" s="32" t="e">
        <f>VLOOKUP(A1,DIV_03Data!$A$1:$DZU$1000000,2675,FALSE)</f>
        <v>#N/A</v>
      </c>
      <c r="F158" s="34" t="e">
        <f>VLOOKUP(A1,DIV_03Data!$A$1:$DZU$1000000,2676,FALSE)</f>
        <v>#N/A</v>
      </c>
      <c r="G158" s="33" t="e">
        <f>VLOOKUP(A1,DIV_03Data!$A$1:$DZU$1000000,2677,FALSE)</f>
        <v>#N/A</v>
      </c>
      <c r="H158" s="34" t="e">
        <f>VLOOKUP(A1,DIV_03Data!$A$1:$DZU$1000000,2678,FALSE)</f>
        <v>#N/A</v>
      </c>
      <c r="I158" s="33" t="e">
        <f>VLOOKUP(A1,DIV_03Data!$A$1:$DZU$1000000,2679,FALSE)</f>
        <v>#N/A</v>
      </c>
      <c r="J158" s="34" t="e">
        <f>VLOOKUP(A1,DIV_03Data!$A$1:$DZU$1000000,2680,FALSE)</f>
        <v>#N/A</v>
      </c>
      <c r="K158" s="34" t="e">
        <f>VLOOKUP(A1,DIV_03Data!$A$1:$DZU$1000000,2681,FALSE)</f>
        <v>#N/A</v>
      </c>
      <c r="L158" s="93" t="e">
        <f>VLOOKUP(A1,DIV_03Data!$A$1:$DZU$1000000,2682,FALSE)</f>
        <v>#N/A</v>
      </c>
      <c r="M158" s="33" t="e">
        <f>VLOOKUP(A1,DIV_03Data!$A$1:$DZU$1000000,2683,FALSE)</f>
        <v>#N/A</v>
      </c>
      <c r="N158" s="34" t="e">
        <f>VLOOKUP(A1,DIV_03Data!$A$1:$DZU$1000000,2684,FALSE)</f>
        <v>#N/A</v>
      </c>
      <c r="O158" s="33" t="e">
        <f>VLOOKUP(A1,DIV_03Data!$A$1:$DZU$1000000,2685,FALSE)</f>
        <v>#N/A</v>
      </c>
      <c r="P158" s="46" t="e">
        <f>VLOOKUP(A1,DIV_03Data!$A$1:$DZU$1000000,2686,FALSE)</f>
        <v>#N/A</v>
      </c>
      <c r="Q158" s="33" t="e">
        <f>VLOOKUP(A1,DIV_03Data!$A$1:$DZU$1000000,2687,FALSE)</f>
        <v>#N/A</v>
      </c>
    </row>
    <row r="159" spans="1:17" x14ac:dyDescent="0.35">
      <c r="A159" s="22" t="e">
        <f>VLOOKUP(A1,DIV_03Data!$A$1:$DZU$1000000,2688,FALSE)</f>
        <v>#N/A</v>
      </c>
      <c r="B159" s="37" t="e">
        <f>VLOOKUP(A1,DIV_03Data!$A$1:$DZU$1000000,2689,FALSE)</f>
        <v>#N/A</v>
      </c>
      <c r="C159" s="38" t="e">
        <f>VLOOKUP(A1,DIV_03Data!$A$1:$DZU$1000000,2690,FALSE)</f>
        <v>#N/A</v>
      </c>
      <c r="D159" s="31" t="e">
        <f>VLOOKUP(A1,DIV_03Data!$A$1:$DZU$1000000,2691,FALSE)</f>
        <v>#N/A</v>
      </c>
      <c r="E159" s="32" t="e">
        <f>VLOOKUP(A1,DIV_03Data!$A$1:$DZU$1000000,2692,FALSE)</f>
        <v>#N/A</v>
      </c>
      <c r="F159" s="34" t="e">
        <f>VLOOKUP(A1,DIV_03Data!$A$1:$DZU$1000000,2693,FALSE)</f>
        <v>#N/A</v>
      </c>
      <c r="G159" s="33" t="e">
        <f>VLOOKUP(A1,DIV_03Data!$A$1:$DZU$1000000,2694,FALSE)</f>
        <v>#N/A</v>
      </c>
      <c r="H159" s="34" t="e">
        <f>VLOOKUP(A1,DIV_03Data!$A$1:$DZU$1000000,2695,FALSE)</f>
        <v>#N/A</v>
      </c>
      <c r="I159" s="33" t="e">
        <f>VLOOKUP(A1,DIV_03Data!$A$1:$DZU$1000000,2696,FALSE)</f>
        <v>#N/A</v>
      </c>
      <c r="J159" s="34" t="e">
        <f>VLOOKUP(A1,DIV_03Data!$A$1:$DZU$1000000,2697,FALSE)</f>
        <v>#N/A</v>
      </c>
      <c r="K159" s="34" t="e">
        <f>VLOOKUP(A1,DIV_03Data!$A$1:$DZU$1000000,2698,FALSE)</f>
        <v>#N/A</v>
      </c>
      <c r="L159" s="93" t="e">
        <f>VLOOKUP(A1,DIV_03Data!$A$1:$DZU$1000000,2699,FALSE)</f>
        <v>#N/A</v>
      </c>
      <c r="M159" s="33" t="e">
        <f>VLOOKUP(A1,DIV_03Data!$A$1:$DZU$1000000,2700,FALSE)</f>
        <v>#N/A</v>
      </c>
      <c r="N159" s="34" t="e">
        <f>VLOOKUP(A1,DIV_03Data!$A$1:$DZU$1000000,2701,FALSE)</f>
        <v>#N/A</v>
      </c>
      <c r="O159" s="33" t="e">
        <f>VLOOKUP(A1,DIV_03Data!$A$1:$DZU$1000000,2702,FALSE)</f>
        <v>#N/A</v>
      </c>
      <c r="P159" s="46" t="e">
        <f>VLOOKUP(A1,DIV_03Data!$A$1:$DZU$1000000,2703,FALSE)</f>
        <v>#N/A</v>
      </c>
      <c r="Q159" s="33" t="e">
        <f>VLOOKUP(A1,DIV_03Data!$A$1:$DZU$1000000,2704,FALSE)</f>
        <v>#N/A</v>
      </c>
    </row>
    <row r="160" spans="1:17" x14ac:dyDescent="0.35">
      <c r="A160" s="22" t="e">
        <f>VLOOKUP(A1,DIV_03Data!$A$1:$DZU$1000000,2705,FALSE)</f>
        <v>#N/A</v>
      </c>
      <c r="B160" s="37" t="e">
        <f>VLOOKUP(A1,DIV_03Data!$A$1:$DZU$1000000,2706,FALSE)</f>
        <v>#N/A</v>
      </c>
      <c r="C160" s="38" t="e">
        <f>VLOOKUP(A1,DIV_03Data!$A$1:$DZU$1000000,2707,FALSE)</f>
        <v>#N/A</v>
      </c>
      <c r="D160" s="31" t="e">
        <f>VLOOKUP(A1,DIV_03Data!$A$1:$DZU$1000000,2708,FALSE)</f>
        <v>#N/A</v>
      </c>
      <c r="E160" s="32" t="e">
        <f>VLOOKUP(A1,DIV_03Data!$A$1:$DZU$1000000,2709,FALSE)</f>
        <v>#N/A</v>
      </c>
      <c r="F160" s="34" t="e">
        <f>VLOOKUP(A1,DIV_03Data!$A$1:$DZU$1000000,2710,FALSE)</f>
        <v>#N/A</v>
      </c>
      <c r="G160" s="33" t="e">
        <f>VLOOKUP(A1,DIV_03Data!$A$1:$DZU$1000000,2711,FALSE)</f>
        <v>#N/A</v>
      </c>
      <c r="H160" s="34" t="e">
        <f>VLOOKUP(A1,DIV_03Data!$A$1:$DZU$1000000,2712,FALSE)</f>
        <v>#N/A</v>
      </c>
      <c r="I160" s="33" t="e">
        <f>VLOOKUP(A1,DIV_03Data!$A$1:$DZU$1000000,2713,FALSE)</f>
        <v>#N/A</v>
      </c>
      <c r="J160" s="34" t="e">
        <f>VLOOKUP(A1,DIV_03Data!$A$1:$DZU$1000000,2714,FALSE)</f>
        <v>#N/A</v>
      </c>
      <c r="K160" s="34" t="e">
        <f>VLOOKUP(A1,DIV_03Data!$A$1:$DZU$1000000,2715,FALSE)</f>
        <v>#N/A</v>
      </c>
      <c r="L160" s="93" t="e">
        <f>VLOOKUP(A1,DIV_03Data!$A$1:$DZU$1000000,2716,FALSE)</f>
        <v>#N/A</v>
      </c>
      <c r="M160" s="33" t="e">
        <f>VLOOKUP(A1,DIV_03Data!$A$1:$DZU$1000000,2717,FALSE)</f>
        <v>#N/A</v>
      </c>
      <c r="N160" s="34" t="e">
        <f>VLOOKUP(A1,DIV_03Data!$A$1:$DZU$1000000,2718,FALSE)</f>
        <v>#N/A</v>
      </c>
      <c r="O160" s="33" t="e">
        <f>VLOOKUP(A1,DIV_03Data!$A$1:$DZU$1000000,2719,FALSE)</f>
        <v>#N/A</v>
      </c>
      <c r="P160" s="46" t="e">
        <f>VLOOKUP(A1,DIV_03Data!$A$1:$DZU$1000000,2720,FALSE)</f>
        <v>#N/A</v>
      </c>
      <c r="Q160" s="33" t="e">
        <f>VLOOKUP(A1,DIV_03Data!$A$1:$DZU$1000000,2721,FALSE)</f>
        <v>#N/A</v>
      </c>
    </row>
    <row r="161" spans="1:17" x14ac:dyDescent="0.35">
      <c r="A161" s="22" t="e">
        <f>VLOOKUP(A1,DIV_03Data!$A$1:$DZU$1000000,2722,FALSE)</f>
        <v>#N/A</v>
      </c>
      <c r="B161" s="37" t="e">
        <f>VLOOKUP(A1,DIV_03Data!$A$1:$DZU$1000000,2723,FALSE)</f>
        <v>#N/A</v>
      </c>
      <c r="C161" s="38" t="e">
        <f>VLOOKUP(A1,DIV_03Data!$A$1:$DZU$1000000,2724,FALSE)</f>
        <v>#N/A</v>
      </c>
      <c r="D161" s="31" t="e">
        <f>VLOOKUP(A1,DIV_03Data!$A$1:$DZU$1000000,2725,FALSE)</f>
        <v>#N/A</v>
      </c>
      <c r="E161" s="32" t="e">
        <f>VLOOKUP(A1,DIV_03Data!$A$1:$DZU$1000000,2726,FALSE)</f>
        <v>#N/A</v>
      </c>
      <c r="F161" s="34" t="e">
        <f>VLOOKUP(A1,DIV_03Data!$A$1:$DZU$1000000,2727,FALSE)</f>
        <v>#N/A</v>
      </c>
      <c r="G161" s="33" t="e">
        <f>VLOOKUP(A1,DIV_03Data!$A$1:$DZU$1000000,2728,FALSE)</f>
        <v>#N/A</v>
      </c>
      <c r="H161" s="34" t="e">
        <f>VLOOKUP(A1,DIV_03Data!$A$1:$DZU$1000000,2729,FALSE)</f>
        <v>#N/A</v>
      </c>
      <c r="I161" s="33" t="e">
        <f>VLOOKUP(A1,DIV_03Data!$A$1:$DZU$1000000,2730,FALSE)</f>
        <v>#N/A</v>
      </c>
      <c r="J161" s="34" t="e">
        <f>VLOOKUP(A1,DIV_03Data!$A$1:$DZU$1000000,2731,FALSE)</f>
        <v>#N/A</v>
      </c>
      <c r="K161" s="34" t="e">
        <f>VLOOKUP(A1,DIV_03Data!$A$1:$DZU$1000000,2732,FALSE)</f>
        <v>#N/A</v>
      </c>
      <c r="L161" s="93" t="e">
        <f>VLOOKUP(A1,DIV_03Data!$A$1:$DZU$1000000,2733,FALSE)</f>
        <v>#N/A</v>
      </c>
      <c r="M161" s="33" t="e">
        <f>VLOOKUP(A1,DIV_03Data!$A$1:$DZU$1000000,2734,FALSE)</f>
        <v>#N/A</v>
      </c>
      <c r="N161" s="34" t="e">
        <f>VLOOKUP(A1,DIV_03Data!$A$1:$DZU$1000000,2735,FALSE)</f>
        <v>#N/A</v>
      </c>
      <c r="O161" s="33" t="e">
        <f>VLOOKUP(A1,DIV_03Data!$A$1:$DZU$1000000,2736,FALSE)</f>
        <v>#N/A</v>
      </c>
      <c r="P161" s="46" t="e">
        <f>VLOOKUP(A1,DIV_03Data!$A$1:$DZU$1000000,2737,FALSE)</f>
        <v>#N/A</v>
      </c>
      <c r="Q161" s="33" t="e">
        <f>VLOOKUP(A1,DIV_03Data!$A$1:$DZU$1000000,2738,FALSE)</f>
        <v>#N/A</v>
      </c>
    </row>
    <row r="162" spans="1:17" x14ac:dyDescent="0.35">
      <c r="A162" s="22" t="e">
        <f>VLOOKUP(A1,DIV_03Data!$A$1:$DZU$1000000,2739,FALSE)</f>
        <v>#N/A</v>
      </c>
      <c r="B162" s="37" t="e">
        <f>VLOOKUP(A1,DIV_03Data!$A$1:$DZU$1000000,2740,FALSE)</f>
        <v>#N/A</v>
      </c>
      <c r="C162" s="38" t="e">
        <f>VLOOKUP(A1,DIV_03Data!$A$1:$DZU$1000000,2741,FALSE)</f>
        <v>#N/A</v>
      </c>
      <c r="D162" s="31" t="e">
        <f>VLOOKUP(A1,DIV_03Data!$A$1:$DZU$1000000,2742,FALSE)</f>
        <v>#N/A</v>
      </c>
      <c r="E162" s="32" t="e">
        <f>VLOOKUP(A1,DIV_03Data!$A$1:$DZU$1000000,2743,FALSE)</f>
        <v>#N/A</v>
      </c>
      <c r="F162" s="34" t="e">
        <f>VLOOKUP(A1,DIV_03Data!$A$1:$DZU$1000000,2744,FALSE)</f>
        <v>#N/A</v>
      </c>
      <c r="G162" s="33" t="e">
        <f>VLOOKUP(A1,DIV_03Data!$A$1:$DZU$1000000,2745,FALSE)</f>
        <v>#N/A</v>
      </c>
      <c r="H162" s="34" t="e">
        <f>VLOOKUP(A1,DIV_03Data!$A$1:$DZU$1000000,2746,FALSE)</f>
        <v>#N/A</v>
      </c>
      <c r="I162" s="33" t="e">
        <f>VLOOKUP(A1,DIV_03Data!$A$1:$DZU$1000000,2747,FALSE)</f>
        <v>#N/A</v>
      </c>
      <c r="J162" s="34" t="e">
        <f>VLOOKUP(A1,DIV_03Data!$A$1:$DZU$1000000,2748,FALSE)</f>
        <v>#N/A</v>
      </c>
      <c r="K162" s="34" t="e">
        <f>VLOOKUP(A1,DIV_03Data!$A$1:$DZU$1000000,2749,FALSE)</f>
        <v>#N/A</v>
      </c>
      <c r="L162" s="93" t="e">
        <f>VLOOKUP(A1,DIV_03Data!$A$1:$DZU$1000000,2750,FALSE)</f>
        <v>#N/A</v>
      </c>
      <c r="M162" s="33" t="e">
        <f>VLOOKUP(A1,DIV_03Data!$A$1:$DZU$1000000,2751,FALSE)</f>
        <v>#N/A</v>
      </c>
      <c r="N162" s="34" t="e">
        <f>VLOOKUP(A1,DIV_03Data!$A$1:$DZU$1000000,2752,FALSE)</f>
        <v>#N/A</v>
      </c>
      <c r="O162" s="33" t="e">
        <f>VLOOKUP(A1,DIV_03Data!$A$1:$DZU$1000000,2753,FALSE)</f>
        <v>#N/A</v>
      </c>
      <c r="P162" s="46" t="e">
        <f>VLOOKUP(A1,DIV_03Data!$A$1:$DZU$1000000,2754,FALSE)</f>
        <v>#N/A</v>
      </c>
      <c r="Q162" s="33" t="e">
        <f>VLOOKUP(A1,DIV_03Data!$A$1:$DZU$1000000,2755,FALSE)</f>
        <v>#N/A</v>
      </c>
    </row>
    <row r="163" spans="1:17" x14ac:dyDescent="0.35">
      <c r="A163" s="22" t="e">
        <f>VLOOKUP(A1,DIV_03Data!$A$1:$DZU$1000000,2756,FALSE)</f>
        <v>#N/A</v>
      </c>
      <c r="B163" s="37" t="e">
        <f>VLOOKUP(A1,DIV_03Data!$A$1:$DZU$1000000,2757,FALSE)</f>
        <v>#N/A</v>
      </c>
      <c r="C163" s="38" t="e">
        <f>VLOOKUP(A1,DIV_03Data!$A$1:$DZU$1000000,2758,FALSE)</f>
        <v>#N/A</v>
      </c>
      <c r="D163" s="31" t="e">
        <f>VLOOKUP(A1,DIV_03Data!$A$1:$DZU$1000000,2759,FALSE)</f>
        <v>#N/A</v>
      </c>
      <c r="E163" s="32" t="e">
        <f>VLOOKUP(A1,DIV_03Data!$A$1:$DZU$1000000,2760,FALSE)</f>
        <v>#N/A</v>
      </c>
      <c r="F163" s="34" t="e">
        <f>VLOOKUP(A1,DIV_03Data!$A$1:$DZU$1000000,2761,FALSE)</f>
        <v>#N/A</v>
      </c>
      <c r="G163" s="33" t="e">
        <f>VLOOKUP(A1,DIV_03Data!$A$1:$DZU$1000000,2762,FALSE)</f>
        <v>#N/A</v>
      </c>
      <c r="H163" s="34" t="e">
        <f>VLOOKUP(A1,DIV_03Data!$A$1:$DZU$1000000,2763,FALSE)</f>
        <v>#N/A</v>
      </c>
      <c r="I163" s="33" t="e">
        <f>VLOOKUP(A1,DIV_03Data!$A$1:$DZU$1000000,2764,FALSE)</f>
        <v>#N/A</v>
      </c>
      <c r="J163" s="34" t="e">
        <f>VLOOKUP(A1,DIV_03Data!$A$1:$DZU$1000000,2765,FALSE)</f>
        <v>#N/A</v>
      </c>
      <c r="K163" s="34" t="e">
        <f>VLOOKUP(A1,DIV_03Data!$A$1:$DZU$1000000,2766,FALSE)</f>
        <v>#N/A</v>
      </c>
      <c r="L163" s="93" t="e">
        <f>VLOOKUP(A1,DIV_03Data!$A$1:$DZU$1000000,2767,FALSE)</f>
        <v>#N/A</v>
      </c>
      <c r="M163" s="33" t="e">
        <f>VLOOKUP(A1,DIV_03Data!$A$1:$DZU$1000000,2768,FALSE)</f>
        <v>#N/A</v>
      </c>
      <c r="N163" s="34" t="e">
        <f>VLOOKUP(A1,DIV_03Data!$A$1:$DZU$1000000,2769,FALSE)</f>
        <v>#N/A</v>
      </c>
      <c r="O163" s="33" t="e">
        <f>VLOOKUP(A1,DIV_03Data!$A$1:$DZU$1000000,2770,FALSE)</f>
        <v>#N/A</v>
      </c>
      <c r="P163" s="46" t="e">
        <f>VLOOKUP(A1,DIV_03Data!$A$1:$DZU$1000000,2771,FALSE)</f>
        <v>#N/A</v>
      </c>
      <c r="Q163" s="33" t="e">
        <f>VLOOKUP(A1,DIV_03Data!$A$1:$DZU$1000000,2772,FALSE)</f>
        <v>#N/A</v>
      </c>
    </row>
    <row r="164" spans="1:17" x14ac:dyDescent="0.35">
      <c r="A164" s="22" t="e">
        <f>VLOOKUP(A1,DIV_03Data!$A$1:$DZU$1000000,2773,FALSE)</f>
        <v>#N/A</v>
      </c>
      <c r="B164" s="37" t="e">
        <f>VLOOKUP(A1,DIV_03Data!$A$1:$DZU$1000000,2774,FALSE)</f>
        <v>#N/A</v>
      </c>
      <c r="C164" s="38" t="e">
        <f>VLOOKUP(A1,DIV_03Data!$A$1:$DZU$1000000,2775,FALSE)</f>
        <v>#N/A</v>
      </c>
      <c r="D164" s="31" t="e">
        <f>VLOOKUP(A1,DIV_03Data!$A$1:$DZU$1000000,2776,FALSE)</f>
        <v>#N/A</v>
      </c>
      <c r="E164" s="32" t="e">
        <f>VLOOKUP(A1,DIV_03Data!$A$1:$DZU$1000000,2777,FALSE)</f>
        <v>#N/A</v>
      </c>
      <c r="F164" s="34" t="e">
        <f>VLOOKUP(A1,DIV_03Data!$A$1:$DZU$1000000,2778,FALSE)</f>
        <v>#N/A</v>
      </c>
      <c r="G164" s="33" t="e">
        <f>VLOOKUP(A1,DIV_03Data!$A$1:$DZU$1000000,2779,FALSE)</f>
        <v>#N/A</v>
      </c>
      <c r="H164" s="34" t="e">
        <f>VLOOKUP(A1,DIV_03Data!$A$1:$DZU$1000000,2780,FALSE)</f>
        <v>#N/A</v>
      </c>
      <c r="I164" s="33" t="e">
        <f>VLOOKUP(A1,DIV_03Data!$A$1:$DZU$1000000,2781,FALSE)</f>
        <v>#N/A</v>
      </c>
      <c r="J164" s="34" t="e">
        <f>VLOOKUP(A1,DIV_03Data!$A$1:$DZU$1000000,2782,FALSE)</f>
        <v>#N/A</v>
      </c>
      <c r="K164" s="34" t="e">
        <f>VLOOKUP(A1,DIV_03Data!$A$1:$DZU$1000000,2783,FALSE)</f>
        <v>#N/A</v>
      </c>
      <c r="L164" s="93" t="e">
        <f>VLOOKUP(A1,DIV_03Data!$A$1:$DZU$1000000,2784,FALSE)</f>
        <v>#N/A</v>
      </c>
      <c r="M164" s="33" t="e">
        <f>VLOOKUP(A1,DIV_03Data!$A$1:$DZU$1000000,2785,FALSE)</f>
        <v>#N/A</v>
      </c>
      <c r="N164" s="34" t="e">
        <f>VLOOKUP(A1,DIV_03Data!$A$1:$DZU$1000000,2786,FALSE)</f>
        <v>#N/A</v>
      </c>
      <c r="O164" s="33" t="e">
        <f>VLOOKUP(A1,DIV_03Data!$A$1:$DZU$1000000,2787,FALSE)</f>
        <v>#N/A</v>
      </c>
      <c r="P164" s="46" t="e">
        <f>VLOOKUP(A1,DIV_03Data!$A$1:$DZU$1000000,2788,FALSE)</f>
        <v>#N/A</v>
      </c>
      <c r="Q164" s="33" t="e">
        <f>VLOOKUP(A1,DIV_03Data!$A$1:$DZU$1000000,2789,FALSE)</f>
        <v>#N/A</v>
      </c>
    </row>
    <row r="165" spans="1:17" x14ac:dyDescent="0.35">
      <c r="A165" s="22" t="e">
        <f>VLOOKUP(A1,DIV_03Data!$A$1:$DZU$1000000,2790,FALSE)</f>
        <v>#N/A</v>
      </c>
      <c r="B165" s="37" t="e">
        <f>VLOOKUP(A1,DIV_03Data!$A$1:$DZU$1000000,2791,FALSE)</f>
        <v>#N/A</v>
      </c>
      <c r="C165" s="38" t="e">
        <f>VLOOKUP(A1,DIV_03Data!$A$1:$DZU$1000000,2792,FALSE)</f>
        <v>#N/A</v>
      </c>
      <c r="D165" s="31" t="e">
        <f>VLOOKUP(A1,DIV_03Data!$A$1:$DZU$1000000,2793,FALSE)</f>
        <v>#N/A</v>
      </c>
      <c r="E165" s="32" t="e">
        <f>VLOOKUP(A1,DIV_03Data!$A$1:$DZU$1000000,2794,FALSE)</f>
        <v>#N/A</v>
      </c>
      <c r="F165" s="34" t="e">
        <f>VLOOKUP(A1,DIV_03Data!$A$1:$DZU$1000000,2795,FALSE)</f>
        <v>#N/A</v>
      </c>
      <c r="G165" s="33" t="e">
        <f>VLOOKUP(A1,DIV_03Data!$A$1:$DZU$1000000,2796,FALSE)</f>
        <v>#N/A</v>
      </c>
      <c r="H165" s="34" t="e">
        <f>VLOOKUP(A1,DIV_03Data!$A$1:$DZU$1000000,2797,FALSE)</f>
        <v>#N/A</v>
      </c>
      <c r="I165" s="33" t="e">
        <f>VLOOKUP(A1,DIV_03Data!$A$1:$DZU$1000000,2798,FALSE)</f>
        <v>#N/A</v>
      </c>
      <c r="J165" s="34" t="e">
        <f>VLOOKUP(A1,DIV_03Data!$A$1:$DZU$1000000,2799,FALSE)</f>
        <v>#N/A</v>
      </c>
      <c r="K165" s="34" t="e">
        <f>VLOOKUP(A1,DIV_03Data!$A$1:$DZU$1000000,2800,FALSE)</f>
        <v>#N/A</v>
      </c>
      <c r="L165" s="93" t="e">
        <f>VLOOKUP(A1,DIV_03Data!$A$1:$DZU$1000000,2801,FALSE)</f>
        <v>#N/A</v>
      </c>
      <c r="M165" s="33" t="e">
        <f>VLOOKUP(A1,DIV_03Data!$A$1:$DZU$1000000,2802,FALSE)</f>
        <v>#N/A</v>
      </c>
      <c r="N165" s="34" t="e">
        <f>VLOOKUP(A1,DIV_03Data!$A$1:$DZU$1000000,2803,FALSE)</f>
        <v>#N/A</v>
      </c>
      <c r="O165" s="33" t="e">
        <f>VLOOKUP(A1,DIV_03Data!$A$1:$DZU$1000000,2804,FALSE)</f>
        <v>#N/A</v>
      </c>
      <c r="P165" s="46" t="e">
        <f>VLOOKUP(A1,DIV_03Data!$A$1:$DZU$1000000,2805,FALSE)</f>
        <v>#N/A</v>
      </c>
      <c r="Q165" s="33" t="e">
        <f>VLOOKUP(A1,DIV_03Data!$A$1:$DZU$1000000,2806,FALSE)</f>
        <v>#N/A</v>
      </c>
    </row>
    <row r="166" spans="1:17" x14ac:dyDescent="0.35">
      <c r="A166" s="22" t="e">
        <f>VLOOKUP(A1,DIV_03Data!$A$1:$DZU$1000000,2807,FALSE)</f>
        <v>#N/A</v>
      </c>
      <c r="B166" s="37" t="e">
        <f>VLOOKUP(A1,DIV_03Data!$A$1:$DZU$1000000,2808,FALSE)</f>
        <v>#N/A</v>
      </c>
      <c r="C166" s="38" t="e">
        <f>VLOOKUP(A1,DIV_03Data!$A$1:$DZU$1000000,2809,FALSE)</f>
        <v>#N/A</v>
      </c>
      <c r="D166" s="31" t="e">
        <f>VLOOKUP(A1,DIV_03Data!$A$1:$DZU$1000000,2810,FALSE)</f>
        <v>#N/A</v>
      </c>
      <c r="E166" s="32" t="e">
        <f>VLOOKUP(A1,DIV_03Data!$A$1:$DZU$1000000,2811,FALSE)</f>
        <v>#N/A</v>
      </c>
      <c r="F166" s="34" t="e">
        <f>VLOOKUP(A1,DIV_03Data!$A$1:$DZU$1000000,2812,FALSE)</f>
        <v>#N/A</v>
      </c>
      <c r="G166" s="33" t="e">
        <f>VLOOKUP(A1,DIV_03Data!$A$1:$DZU$1000000,2813,FALSE)</f>
        <v>#N/A</v>
      </c>
      <c r="H166" s="34" t="e">
        <f>VLOOKUP(A1,DIV_03Data!$A$1:$DZU$1000000,2814,FALSE)</f>
        <v>#N/A</v>
      </c>
      <c r="I166" s="33" t="e">
        <f>VLOOKUP(A1,DIV_03Data!$A$1:$DZU$1000000,2815,FALSE)</f>
        <v>#N/A</v>
      </c>
      <c r="J166" s="34" t="e">
        <f>VLOOKUP(A1,DIV_03Data!$A$1:$DZU$1000000,2816,FALSE)</f>
        <v>#N/A</v>
      </c>
      <c r="K166" s="34" t="e">
        <f>VLOOKUP(A1,DIV_03Data!$A$1:$DZU$1000000,2817,FALSE)</f>
        <v>#N/A</v>
      </c>
      <c r="L166" s="93" t="e">
        <f>VLOOKUP(A1,DIV_03Data!$A$1:$DZU$1000000,2818,FALSE)</f>
        <v>#N/A</v>
      </c>
      <c r="M166" s="33" t="e">
        <f>VLOOKUP(A1,DIV_03Data!$A$1:$DZU$1000000,2819,FALSE)</f>
        <v>#N/A</v>
      </c>
      <c r="N166" s="34" t="e">
        <f>VLOOKUP(A1,DIV_03Data!$A$1:$DZU$1000000,2820,FALSE)</f>
        <v>#N/A</v>
      </c>
      <c r="O166" s="33" t="e">
        <f>VLOOKUP(A1,DIV_03Data!$A$1:$DZU$1000000,2821,FALSE)</f>
        <v>#N/A</v>
      </c>
      <c r="P166" s="46" t="e">
        <f>VLOOKUP(A1,DIV_03Data!$A$1:$DZU$1000000,2822,FALSE)</f>
        <v>#N/A</v>
      </c>
      <c r="Q166" s="33" t="e">
        <f>VLOOKUP(A1,DIV_03Data!$A$1:$DZU$1000000,2823,FALSE)</f>
        <v>#N/A</v>
      </c>
    </row>
    <row r="167" spans="1:17" x14ac:dyDescent="0.35">
      <c r="A167" s="22" t="e">
        <f>VLOOKUP(A1,DIV_03Data!$A$1:$DZU$1000000,2824,FALSE)</f>
        <v>#N/A</v>
      </c>
      <c r="B167" s="37" t="e">
        <f>VLOOKUP(A1,DIV_03Data!$A$1:$DZU$1000000,2825,FALSE)</f>
        <v>#N/A</v>
      </c>
      <c r="C167" s="38" t="e">
        <f>VLOOKUP(A1,DIV_03Data!$A$1:$DZU$1000000,2826,FALSE)</f>
        <v>#N/A</v>
      </c>
      <c r="D167" s="31" t="e">
        <f>VLOOKUP(A1,DIV_03Data!$A$1:$DZU$1000000,2827,FALSE)</f>
        <v>#N/A</v>
      </c>
      <c r="E167" s="32" t="e">
        <f>VLOOKUP(A1,DIV_03Data!$A$1:$DZU$1000000,2828,FALSE)</f>
        <v>#N/A</v>
      </c>
      <c r="F167" s="34" t="e">
        <f>VLOOKUP(A1,DIV_03Data!$A$1:$DZU$1000000,2829,FALSE)</f>
        <v>#N/A</v>
      </c>
      <c r="G167" s="33" t="e">
        <f>VLOOKUP(A1,DIV_03Data!$A$1:$DZU$1000000,2830,FALSE)</f>
        <v>#N/A</v>
      </c>
      <c r="H167" s="34" t="e">
        <f>VLOOKUP(A1,DIV_03Data!$A$1:$DZU$1000000,2831,FALSE)</f>
        <v>#N/A</v>
      </c>
      <c r="I167" s="33" t="e">
        <f>VLOOKUP(A1,DIV_03Data!$A$1:$DZU$1000000,2832,FALSE)</f>
        <v>#N/A</v>
      </c>
      <c r="J167" s="34" t="e">
        <f>VLOOKUP(A1,DIV_03Data!$A$1:$DZU$1000000,2833,FALSE)</f>
        <v>#N/A</v>
      </c>
      <c r="K167" s="34" t="e">
        <f>VLOOKUP(A1,DIV_03Data!$A$1:$DZU$1000000,2834,FALSE)</f>
        <v>#N/A</v>
      </c>
      <c r="L167" s="93" t="e">
        <f>VLOOKUP(A1,DIV_03Data!$A$1:$DZU$1000000,2835,FALSE)</f>
        <v>#N/A</v>
      </c>
      <c r="M167" s="33" t="e">
        <f>VLOOKUP(A1,DIV_03Data!$A$1:$DZU$1000000,2836,FALSE)</f>
        <v>#N/A</v>
      </c>
      <c r="N167" s="34" t="e">
        <f>VLOOKUP(A1,DIV_03Data!$A$1:$DZU$1000000,2837,FALSE)</f>
        <v>#N/A</v>
      </c>
      <c r="O167" s="33" t="e">
        <f>VLOOKUP(A1,DIV_03Data!$A$1:$DZU$1000000,2838,FALSE)</f>
        <v>#N/A</v>
      </c>
      <c r="P167" s="46" t="e">
        <f>VLOOKUP(A1,DIV_03Data!$A$1:$DZU$1000000,2839,FALSE)</f>
        <v>#N/A</v>
      </c>
      <c r="Q167" s="33" t="e">
        <f>VLOOKUP(A1,DIV_03Data!$A$1:$DZU$1000000,2840,FALSE)</f>
        <v>#N/A</v>
      </c>
    </row>
    <row r="168" spans="1:17" x14ac:dyDescent="0.35">
      <c r="A168" s="22" t="e">
        <f>VLOOKUP(A1,DIV_03Data!$A$1:$DZU$1000000,2841,FALSE)</f>
        <v>#N/A</v>
      </c>
      <c r="B168" s="37" t="e">
        <f>VLOOKUP(A1,DIV_03Data!$A$1:$DZU$1000000,2842,FALSE)</f>
        <v>#N/A</v>
      </c>
      <c r="C168" s="38" t="e">
        <f>VLOOKUP(A1,DIV_03Data!$A$1:$DZU$1000000,2843,FALSE)</f>
        <v>#N/A</v>
      </c>
      <c r="D168" s="31" t="e">
        <f>VLOOKUP(A1,DIV_03Data!$A$1:$DZU$1000000,2844,FALSE)</f>
        <v>#N/A</v>
      </c>
      <c r="E168" s="32" t="e">
        <f>VLOOKUP(A1,DIV_03Data!$A$1:$DZU$1000000,2845,FALSE)</f>
        <v>#N/A</v>
      </c>
      <c r="F168" s="34" t="e">
        <f>VLOOKUP(A1,DIV_03Data!$A$1:$DZU$1000000,2846,FALSE)</f>
        <v>#N/A</v>
      </c>
      <c r="G168" s="33" t="e">
        <f>VLOOKUP(A1,DIV_03Data!$A$1:$DZU$1000000,2847,FALSE)</f>
        <v>#N/A</v>
      </c>
      <c r="H168" s="34" t="e">
        <f>VLOOKUP(A1,DIV_03Data!$A$1:$DZU$1000000,2848,FALSE)</f>
        <v>#N/A</v>
      </c>
      <c r="I168" s="33" t="e">
        <f>VLOOKUP(A1,DIV_03Data!$A$1:$DZU$1000000,2849,FALSE)</f>
        <v>#N/A</v>
      </c>
      <c r="J168" s="34" t="e">
        <f>VLOOKUP(A1,DIV_03Data!$A$1:$DZU$1000000,2850,FALSE)</f>
        <v>#N/A</v>
      </c>
      <c r="K168" s="34" t="e">
        <f>VLOOKUP(A1,DIV_03Data!$A$1:$DZU$1000000,2851,FALSE)</f>
        <v>#N/A</v>
      </c>
      <c r="L168" s="93" t="e">
        <f>VLOOKUP(A1,DIV_03Data!$A$1:$DZU$1000000,2852,FALSE)</f>
        <v>#N/A</v>
      </c>
      <c r="M168" s="33" t="e">
        <f>VLOOKUP(A1,DIV_03Data!$A$1:$DZU$1000000,2853,FALSE)</f>
        <v>#N/A</v>
      </c>
      <c r="N168" s="34" t="e">
        <f>VLOOKUP(A1,DIV_03Data!$A$1:$DZU$1000000,2854,FALSE)</f>
        <v>#N/A</v>
      </c>
      <c r="O168" s="33" t="e">
        <f>VLOOKUP(A1,DIV_03Data!$A$1:$DZU$1000000,2855,FALSE)</f>
        <v>#N/A</v>
      </c>
      <c r="P168" s="46" t="e">
        <f>VLOOKUP(A1,DIV_03Data!$A$1:$DZU$1000000,2856,FALSE)</f>
        <v>#N/A</v>
      </c>
      <c r="Q168" s="33" t="e">
        <f>VLOOKUP(A1,DIV_03Data!$A$1:$DZU$1000000,2857,FALSE)</f>
        <v>#N/A</v>
      </c>
    </row>
    <row r="169" spans="1:17" x14ac:dyDescent="0.35">
      <c r="A169" s="22" t="e">
        <f>VLOOKUP(A1,DIV_03Data!$A$1:$DZU$1000000,2858,FALSE)</f>
        <v>#N/A</v>
      </c>
      <c r="B169" s="37" t="e">
        <f>VLOOKUP(A1,DIV_03Data!$A$1:$DZU$1000000,2859,FALSE)</f>
        <v>#N/A</v>
      </c>
      <c r="C169" s="38" t="e">
        <f>VLOOKUP(A1,DIV_03Data!$A$1:$DZU$1000000,2860,FALSE)</f>
        <v>#N/A</v>
      </c>
      <c r="D169" s="31" t="e">
        <f>VLOOKUP(A1,DIV_03Data!$A$1:$DZU$1000000,2861,FALSE)</f>
        <v>#N/A</v>
      </c>
      <c r="E169" s="32" t="e">
        <f>VLOOKUP(A1,DIV_03Data!$A$1:$DZU$1000000,2862,FALSE)</f>
        <v>#N/A</v>
      </c>
      <c r="F169" s="34" t="e">
        <f>VLOOKUP(A1,DIV_03Data!$A$1:$DZU$1000000,2863,FALSE)</f>
        <v>#N/A</v>
      </c>
      <c r="G169" s="33" t="e">
        <f>VLOOKUP(A1,DIV_03Data!$A$1:$DZU$1000000,2864,FALSE)</f>
        <v>#N/A</v>
      </c>
      <c r="H169" s="34" t="e">
        <f>VLOOKUP(A1,DIV_03Data!$A$1:$DZU$1000000,2865,FALSE)</f>
        <v>#N/A</v>
      </c>
      <c r="I169" s="33" t="e">
        <f>VLOOKUP(A1,DIV_03Data!$A$1:$DZU$1000000,2866,FALSE)</f>
        <v>#N/A</v>
      </c>
      <c r="J169" s="34" t="e">
        <f>VLOOKUP(A1,DIV_03Data!$A$1:$DZU$1000000,2867,FALSE)</f>
        <v>#N/A</v>
      </c>
      <c r="K169" s="34" t="e">
        <f>VLOOKUP(A1,DIV_03Data!$A$1:$DZU$1000000,2868,FALSE)</f>
        <v>#N/A</v>
      </c>
      <c r="L169" s="93" t="e">
        <f>VLOOKUP(A1,DIV_03Data!$A$1:$DZU$1000000,2869,FALSE)</f>
        <v>#N/A</v>
      </c>
      <c r="M169" s="33" t="e">
        <f>VLOOKUP(A1,DIV_03Data!$A$1:$DZU$1000000,2870,FALSE)</f>
        <v>#N/A</v>
      </c>
      <c r="N169" s="34" t="e">
        <f>VLOOKUP(A1,DIV_03Data!$A$1:$DZU$1000000,2871,FALSE)</f>
        <v>#N/A</v>
      </c>
      <c r="O169" s="33" t="e">
        <f>VLOOKUP(A1,DIV_03Data!$A$1:$DZU$1000000,2872,FALSE)</f>
        <v>#N/A</v>
      </c>
      <c r="P169" s="46" t="e">
        <f>VLOOKUP(A1,DIV_03Data!$A$1:$DZU$1000000,2873,FALSE)</f>
        <v>#N/A</v>
      </c>
      <c r="Q169" s="33" t="e">
        <f>VLOOKUP(A1,DIV_03Data!$A$1:$DZU$1000000,2874,FALSE)</f>
        <v>#N/A</v>
      </c>
    </row>
    <row r="170" spans="1:17" x14ac:dyDescent="0.35">
      <c r="A170" s="22" t="e">
        <f>VLOOKUP(A1,DIV_03Data!$A$1:$DZU$1000000,2875,FALSE)</f>
        <v>#N/A</v>
      </c>
      <c r="B170" s="37" t="e">
        <f>VLOOKUP(A1,DIV_03Data!$A$1:$DZU$1000000,2876,FALSE)</f>
        <v>#N/A</v>
      </c>
      <c r="C170" s="38" t="e">
        <f>VLOOKUP(A1,DIV_03Data!$A$1:$DZU$1000000,2877,FALSE)</f>
        <v>#N/A</v>
      </c>
      <c r="D170" s="31" t="e">
        <f>VLOOKUP(A1,DIV_03Data!$A$1:$DZU$1000000,2878,FALSE)</f>
        <v>#N/A</v>
      </c>
      <c r="E170" s="32" t="e">
        <f>VLOOKUP(A1,DIV_03Data!$A$1:$DZU$1000000,2879,FALSE)</f>
        <v>#N/A</v>
      </c>
      <c r="F170" s="34" t="e">
        <f>VLOOKUP(A1,DIV_03Data!$A$1:$DZU$1000000,2880,FALSE)</f>
        <v>#N/A</v>
      </c>
      <c r="G170" s="33" t="e">
        <f>VLOOKUP(A1,DIV_03Data!$A$1:$DZU$1000000,2881,FALSE)</f>
        <v>#N/A</v>
      </c>
      <c r="H170" s="34" t="e">
        <f>VLOOKUP(A1,DIV_03Data!$A$1:$DZU$1000000,2882,FALSE)</f>
        <v>#N/A</v>
      </c>
      <c r="I170" s="33" t="e">
        <f>VLOOKUP(A1,DIV_03Data!$A$1:$DZU$1000000,2883,FALSE)</f>
        <v>#N/A</v>
      </c>
      <c r="J170" s="34" t="e">
        <f>VLOOKUP(A1,DIV_03Data!$A$1:$DZU$1000000,2884,FALSE)</f>
        <v>#N/A</v>
      </c>
      <c r="K170" s="34" t="e">
        <f>VLOOKUP(A1,DIV_03Data!$A$1:$DZU$1000000,2885,FALSE)</f>
        <v>#N/A</v>
      </c>
      <c r="L170" s="93" t="e">
        <f>VLOOKUP(A1,DIV_03Data!$A$1:$DZU$1000000,2886,FALSE)</f>
        <v>#N/A</v>
      </c>
      <c r="M170" s="33" t="e">
        <f>VLOOKUP(A1,DIV_03Data!$A$1:$DZU$1000000,2887,FALSE)</f>
        <v>#N/A</v>
      </c>
      <c r="N170" s="34" t="e">
        <f>VLOOKUP(A1,DIV_03Data!$A$1:$DZU$1000000,2888,FALSE)</f>
        <v>#N/A</v>
      </c>
      <c r="O170" s="33" t="e">
        <f>VLOOKUP(A1,DIV_03Data!$A$1:$DZU$1000000,2889,FALSE)</f>
        <v>#N/A</v>
      </c>
      <c r="P170" s="46" t="e">
        <f>VLOOKUP(A1,DIV_03Data!$A$1:$DZU$1000000,2890,FALSE)</f>
        <v>#N/A</v>
      </c>
      <c r="Q170" s="33" t="e">
        <f>VLOOKUP(A1,DIV_03Data!$A$1:$DZU$1000000,2891,FALSE)</f>
        <v>#N/A</v>
      </c>
    </row>
    <row r="171" spans="1:17" x14ac:dyDescent="0.35">
      <c r="A171" s="22" t="e">
        <f>VLOOKUP(A1,DIV_03Data!$A$1:$DZU$1000000,2892,FALSE)</f>
        <v>#N/A</v>
      </c>
      <c r="B171" s="37" t="e">
        <f>VLOOKUP(A1,DIV_03Data!$A$1:$DZU$1000000,2893,FALSE)</f>
        <v>#N/A</v>
      </c>
      <c r="C171" s="38" t="e">
        <f>VLOOKUP(A1,DIV_03Data!$A$1:$DZU$1000000,2894,FALSE)</f>
        <v>#N/A</v>
      </c>
      <c r="D171" s="31" t="e">
        <f>VLOOKUP(A1,DIV_03Data!$A$1:$DZU$1000000,2895,FALSE)</f>
        <v>#N/A</v>
      </c>
      <c r="E171" s="32" t="e">
        <f>VLOOKUP(A1,DIV_03Data!$A$1:$DZU$1000000,2896,FALSE)</f>
        <v>#N/A</v>
      </c>
      <c r="F171" s="34" t="e">
        <f>VLOOKUP(A1,DIV_03Data!$A$1:$DZU$1000000,2897,FALSE)</f>
        <v>#N/A</v>
      </c>
      <c r="G171" s="33" t="e">
        <f>VLOOKUP(A1,DIV_03Data!$A$1:$DZU$1000000,2898,FALSE)</f>
        <v>#N/A</v>
      </c>
      <c r="H171" s="34" t="e">
        <f>VLOOKUP(A1,DIV_03Data!$A$1:$DZU$1000000,2899,FALSE)</f>
        <v>#N/A</v>
      </c>
      <c r="I171" s="33" t="e">
        <f>VLOOKUP(A1,DIV_03Data!$A$1:$DZU$1000000,2900,FALSE)</f>
        <v>#N/A</v>
      </c>
      <c r="J171" s="34" t="e">
        <f>VLOOKUP(A1,DIV_03Data!$A$1:$DZU$1000000,2901,FALSE)</f>
        <v>#N/A</v>
      </c>
      <c r="K171" s="34" t="e">
        <f>VLOOKUP(A1,DIV_03Data!$A$1:$DZU$1000000,2902,FALSE)</f>
        <v>#N/A</v>
      </c>
      <c r="L171" s="93" t="e">
        <f>VLOOKUP(A1,DIV_03Data!$A$1:$DZU$1000000,2903,FALSE)</f>
        <v>#N/A</v>
      </c>
      <c r="M171" s="33" t="e">
        <f>VLOOKUP(A1,DIV_03Data!$A$1:$DZU$1000000,2904,FALSE)</f>
        <v>#N/A</v>
      </c>
      <c r="N171" s="34" t="e">
        <f>VLOOKUP(A1,DIV_03Data!$A$1:$DZU$1000000,2905,FALSE)</f>
        <v>#N/A</v>
      </c>
      <c r="O171" s="33" t="e">
        <f>VLOOKUP(A1,DIV_03Data!$A$1:$DZU$1000000,2906,FALSE)</f>
        <v>#N/A</v>
      </c>
      <c r="P171" s="46" t="e">
        <f>VLOOKUP(A1,DIV_03Data!$A$1:$DZU$1000000,2907,FALSE)</f>
        <v>#N/A</v>
      </c>
      <c r="Q171" s="33" t="e">
        <f>VLOOKUP(A1,DIV_03Data!$A$1:$DZU$1000000,2908,FALSE)</f>
        <v>#N/A</v>
      </c>
    </row>
    <row r="172" spans="1:17" x14ac:dyDescent="0.35">
      <c r="A172" s="22" t="e">
        <f>VLOOKUP(A1,DIV_03Data!$A$1:$DZU$1000000,2909,FALSE)</f>
        <v>#N/A</v>
      </c>
      <c r="B172" s="37" t="e">
        <f>VLOOKUP(A1,DIV_03Data!$A$1:$DZU$1000000,2910,FALSE)</f>
        <v>#N/A</v>
      </c>
      <c r="C172" s="38" t="e">
        <f>VLOOKUP(A1,DIV_03Data!$A$1:$DZU$1000000,2911,FALSE)</f>
        <v>#N/A</v>
      </c>
      <c r="D172" s="31" t="e">
        <f>VLOOKUP(A1,DIV_03Data!$A$1:$DZU$1000000,2912,FALSE)</f>
        <v>#N/A</v>
      </c>
      <c r="E172" s="32" t="e">
        <f>VLOOKUP(A1,DIV_03Data!$A$1:$DZU$1000000,2913,FALSE)</f>
        <v>#N/A</v>
      </c>
      <c r="F172" s="34" t="e">
        <f>VLOOKUP(A1,DIV_03Data!$A$1:$DZU$1000000,2914,FALSE)</f>
        <v>#N/A</v>
      </c>
      <c r="G172" s="33" t="e">
        <f>VLOOKUP(A1,DIV_03Data!$A$1:$DZU$1000000,2915,FALSE)</f>
        <v>#N/A</v>
      </c>
      <c r="H172" s="34" t="e">
        <f>VLOOKUP(A1,DIV_03Data!$A$1:$DZU$1000000,2916,FALSE)</f>
        <v>#N/A</v>
      </c>
      <c r="I172" s="33" t="e">
        <f>VLOOKUP(A1,DIV_03Data!$A$1:$DZU$1000000,2917,FALSE)</f>
        <v>#N/A</v>
      </c>
      <c r="J172" s="34" t="e">
        <f>VLOOKUP(A1,DIV_03Data!$A$1:$DZU$1000000,2918,FALSE)</f>
        <v>#N/A</v>
      </c>
      <c r="K172" s="34" t="e">
        <f>VLOOKUP(A1,DIV_03Data!$A$1:$DZU$1000000,2919,FALSE)</f>
        <v>#N/A</v>
      </c>
      <c r="L172" s="93" t="e">
        <f>VLOOKUP(A1,DIV_03Data!$A$1:$DZU$1000000,2920,FALSE)</f>
        <v>#N/A</v>
      </c>
      <c r="M172" s="33" t="e">
        <f>VLOOKUP(A1,DIV_03Data!$A$1:$DZU$1000000,2921,FALSE)</f>
        <v>#N/A</v>
      </c>
      <c r="N172" s="34" t="e">
        <f>VLOOKUP(A1,DIV_03Data!$A$1:$DZU$1000000,2922,FALSE)</f>
        <v>#N/A</v>
      </c>
      <c r="O172" s="33" t="e">
        <f>VLOOKUP(A1,DIV_03Data!$A$1:$DZU$1000000,2923,FALSE)</f>
        <v>#N/A</v>
      </c>
      <c r="P172" s="46" t="e">
        <f>VLOOKUP(A1,DIV_03Data!$A$1:$DZU$1000000,2924,FALSE)</f>
        <v>#N/A</v>
      </c>
      <c r="Q172" s="33" t="e">
        <f>VLOOKUP(A1,DIV_03Data!$A$1:$DZU$1000000,2925,FALSE)</f>
        <v>#N/A</v>
      </c>
    </row>
    <row r="173" spans="1:17" x14ac:dyDescent="0.35">
      <c r="A173" s="22" t="e">
        <f>VLOOKUP(A1,DIV_03Data!$A$1:$DZU$1000000,2926,FALSE)</f>
        <v>#N/A</v>
      </c>
      <c r="B173" s="37" t="e">
        <f>VLOOKUP(A1,DIV_03Data!$A$1:$DZU$1000000,2927,FALSE)</f>
        <v>#N/A</v>
      </c>
      <c r="C173" s="38" t="e">
        <f>VLOOKUP(A1,DIV_03Data!$A$1:$DZU$1000000,2928,FALSE)</f>
        <v>#N/A</v>
      </c>
      <c r="D173" s="31" t="e">
        <f>VLOOKUP(A1,DIV_03Data!$A$1:$DZU$1000000,2929,FALSE)</f>
        <v>#N/A</v>
      </c>
      <c r="E173" s="32" t="e">
        <f>VLOOKUP(A1,DIV_03Data!$A$1:$DZU$1000000,2930,FALSE)</f>
        <v>#N/A</v>
      </c>
      <c r="F173" s="34" t="e">
        <f>VLOOKUP(A1,DIV_03Data!$A$1:$DZU$1000000,2931,FALSE)</f>
        <v>#N/A</v>
      </c>
      <c r="G173" s="33" t="e">
        <f>VLOOKUP(A1,DIV_03Data!$A$1:$DZU$1000000,2932,FALSE)</f>
        <v>#N/A</v>
      </c>
      <c r="H173" s="34" t="e">
        <f>VLOOKUP(A1,DIV_03Data!$A$1:$DZU$1000000,2933,FALSE)</f>
        <v>#N/A</v>
      </c>
      <c r="I173" s="33" t="e">
        <f>VLOOKUP(A1,DIV_03Data!$A$1:$DZU$1000000,2934,FALSE)</f>
        <v>#N/A</v>
      </c>
      <c r="J173" s="34" t="e">
        <f>VLOOKUP(A1,DIV_03Data!$A$1:$DZU$1000000,2935,FALSE)</f>
        <v>#N/A</v>
      </c>
      <c r="K173" s="34" t="e">
        <f>VLOOKUP(A1,DIV_03Data!$A$1:$DZU$1000000,2936,FALSE)</f>
        <v>#N/A</v>
      </c>
      <c r="L173" s="93" t="e">
        <f>VLOOKUP(A1,DIV_03Data!$A$1:$DZU$1000000,2937,FALSE)</f>
        <v>#N/A</v>
      </c>
      <c r="M173" s="33" t="e">
        <f>VLOOKUP(A1,DIV_03Data!$A$1:$DZU$1000000,2938,FALSE)</f>
        <v>#N/A</v>
      </c>
      <c r="N173" s="34" t="e">
        <f>VLOOKUP(A1,DIV_03Data!$A$1:$DZU$1000000,2939,FALSE)</f>
        <v>#N/A</v>
      </c>
      <c r="O173" s="33" t="e">
        <f>VLOOKUP(A1,DIV_03Data!$A$1:$DZU$1000000,2940,FALSE)</f>
        <v>#N/A</v>
      </c>
      <c r="P173" s="46" t="e">
        <f>VLOOKUP(A1,DIV_03Data!$A$1:$DZU$1000000,2941,FALSE)</f>
        <v>#N/A</v>
      </c>
      <c r="Q173" s="33" t="e">
        <f>VLOOKUP(A1,DIV_03Data!$A$1:$DZU$1000000,2942,FALSE)</f>
        <v>#N/A</v>
      </c>
    </row>
    <row r="174" spans="1:17" x14ac:dyDescent="0.35">
      <c r="A174" s="22" t="e">
        <f>VLOOKUP(A1,DIV_03Data!$A$1:$DZU$1000000,2943,FALSE)</f>
        <v>#N/A</v>
      </c>
      <c r="B174" s="37" t="e">
        <f>VLOOKUP(A1,DIV_03Data!$A$1:$DZU$1000000,2944,FALSE)</f>
        <v>#N/A</v>
      </c>
      <c r="C174" s="38" t="e">
        <f>VLOOKUP(A1,DIV_03Data!$A$1:$DZU$1000000,2945,FALSE)</f>
        <v>#N/A</v>
      </c>
      <c r="D174" s="31" t="e">
        <f>VLOOKUP(A1,DIV_03Data!$A$1:$DZU$1000000,2946,FALSE)</f>
        <v>#N/A</v>
      </c>
      <c r="E174" s="32" t="e">
        <f>VLOOKUP(A1,DIV_03Data!$A$1:$DZU$1000000,2947,FALSE)</f>
        <v>#N/A</v>
      </c>
      <c r="F174" s="34" t="e">
        <f>VLOOKUP(A1,DIV_03Data!$A$1:$DZU$1000000,2948,FALSE)</f>
        <v>#N/A</v>
      </c>
      <c r="G174" s="33" t="e">
        <f>VLOOKUP(A1,DIV_03Data!$A$1:$DZU$1000000,2949,FALSE)</f>
        <v>#N/A</v>
      </c>
      <c r="H174" s="34" t="e">
        <f>VLOOKUP(A1,DIV_03Data!$A$1:$DZU$1000000,2950,FALSE)</f>
        <v>#N/A</v>
      </c>
      <c r="I174" s="33" t="e">
        <f>VLOOKUP(A1,DIV_03Data!$A$1:$DZU$1000000,2951,FALSE)</f>
        <v>#N/A</v>
      </c>
      <c r="J174" s="34" t="e">
        <f>VLOOKUP(A1,DIV_03Data!$A$1:$DZU$1000000,2952,FALSE)</f>
        <v>#N/A</v>
      </c>
      <c r="K174" s="34" t="e">
        <f>VLOOKUP(A1,DIV_03Data!$A$1:$DZU$1000000,2953,FALSE)</f>
        <v>#N/A</v>
      </c>
      <c r="L174" s="93" t="e">
        <f>VLOOKUP(A1,DIV_03Data!$A$1:$DZU$1000000,2954,FALSE)</f>
        <v>#N/A</v>
      </c>
      <c r="M174" s="33" t="e">
        <f>VLOOKUP(A1,DIV_03Data!$A$1:$DZU$1000000,2955,FALSE)</f>
        <v>#N/A</v>
      </c>
      <c r="N174" s="34" t="e">
        <f>VLOOKUP(A1,DIV_03Data!$A$1:$DZU$1000000,2956,FALSE)</f>
        <v>#N/A</v>
      </c>
      <c r="O174" s="33" t="e">
        <f>VLOOKUP(A1,DIV_03Data!$A$1:$DZU$1000000,2957,FALSE)</f>
        <v>#N/A</v>
      </c>
      <c r="P174" s="46" t="e">
        <f>VLOOKUP(A1,DIV_03Data!$A$1:$DZU$1000000,2958,FALSE)</f>
        <v>#N/A</v>
      </c>
      <c r="Q174" s="33" t="e">
        <f>VLOOKUP(A1,DIV_03Data!$A$1:$DZU$1000000,2959,FALSE)</f>
        <v>#N/A</v>
      </c>
    </row>
    <row r="175" spans="1:17" x14ac:dyDescent="0.35">
      <c r="A175" s="22" t="e">
        <f>VLOOKUP(A1,DIV_03Data!$A$1:$DZU$1000000,2960,FALSE)</f>
        <v>#N/A</v>
      </c>
      <c r="B175" s="37" t="e">
        <f>VLOOKUP(A1,DIV_03Data!$A$1:$DZU$1000000,2961,FALSE)</f>
        <v>#N/A</v>
      </c>
      <c r="C175" s="38" t="e">
        <f>VLOOKUP(A1,DIV_03Data!$A$1:$DZU$1000000,2962,FALSE)</f>
        <v>#N/A</v>
      </c>
      <c r="D175" s="31" t="e">
        <f>VLOOKUP(A1,DIV_03Data!$A$1:$DZU$1000000,2963,FALSE)</f>
        <v>#N/A</v>
      </c>
      <c r="E175" s="32" t="e">
        <f>VLOOKUP(A1,DIV_03Data!$A$1:$DZU$1000000,2964,FALSE)</f>
        <v>#N/A</v>
      </c>
      <c r="F175" s="34" t="e">
        <f>VLOOKUP(A1,DIV_03Data!$A$1:$DZU$1000000,2965,FALSE)</f>
        <v>#N/A</v>
      </c>
      <c r="G175" s="33" t="e">
        <f>VLOOKUP(A1,DIV_03Data!$A$1:$DZU$1000000,2966,FALSE)</f>
        <v>#N/A</v>
      </c>
      <c r="H175" s="34" t="e">
        <f>VLOOKUP(A1,DIV_03Data!$A$1:$DZU$1000000,2967,FALSE)</f>
        <v>#N/A</v>
      </c>
      <c r="I175" s="33" t="e">
        <f>VLOOKUP(A1,DIV_03Data!$A$1:$DZU$1000000,2968,FALSE)</f>
        <v>#N/A</v>
      </c>
      <c r="J175" s="34" t="e">
        <f>VLOOKUP(A1,DIV_03Data!$A$1:$DZU$1000000,2969,FALSE)</f>
        <v>#N/A</v>
      </c>
      <c r="K175" s="34" t="e">
        <f>VLOOKUP(A1,DIV_03Data!$A$1:$DZU$1000000,2970,FALSE)</f>
        <v>#N/A</v>
      </c>
      <c r="L175" s="93" t="e">
        <f>VLOOKUP(A1,DIV_03Data!$A$1:$DZU$1000000,2971,FALSE)</f>
        <v>#N/A</v>
      </c>
      <c r="M175" s="33" t="e">
        <f>VLOOKUP(A1,DIV_03Data!$A$1:$DZU$1000000,2972,FALSE)</f>
        <v>#N/A</v>
      </c>
      <c r="N175" s="34" t="e">
        <f>VLOOKUP(A1,DIV_03Data!$A$1:$DZU$1000000,2973,FALSE)</f>
        <v>#N/A</v>
      </c>
      <c r="O175" s="33" t="e">
        <f>VLOOKUP(A1,DIV_03Data!$A$1:$DZU$1000000,2974,FALSE)</f>
        <v>#N/A</v>
      </c>
      <c r="P175" s="46" t="e">
        <f>VLOOKUP(A1,DIV_03Data!$A$1:$DZU$1000000,2975,FALSE)</f>
        <v>#N/A</v>
      </c>
      <c r="Q175" s="33" t="e">
        <f>VLOOKUP(A1,DIV_03Data!$A$1:$DZU$1000000,2976,FALSE)</f>
        <v>#N/A</v>
      </c>
    </row>
    <row r="176" spans="1:17" x14ac:dyDescent="0.35">
      <c r="A176" s="22" t="e">
        <f>VLOOKUP(A1,DIV_03Data!$A$1:$DZU$1000000,2977,FALSE)</f>
        <v>#N/A</v>
      </c>
      <c r="B176" s="37" t="e">
        <f>VLOOKUP(A1,DIV_03Data!$A$1:$DZU$1000000,2978,FALSE)</f>
        <v>#N/A</v>
      </c>
      <c r="C176" s="38" t="e">
        <f>VLOOKUP(A1,DIV_03Data!$A$1:$DZU$1000000,2979,FALSE)</f>
        <v>#N/A</v>
      </c>
      <c r="D176" s="31" t="e">
        <f>VLOOKUP(A1,DIV_03Data!$A$1:$DZU$1000000,2980,FALSE)</f>
        <v>#N/A</v>
      </c>
      <c r="E176" s="32" t="e">
        <f>VLOOKUP(A1,DIV_03Data!$A$1:$DZU$1000000,2981,FALSE)</f>
        <v>#N/A</v>
      </c>
      <c r="F176" s="34" t="e">
        <f>VLOOKUP(A1,DIV_03Data!$A$1:$DZU$1000000,2982,FALSE)</f>
        <v>#N/A</v>
      </c>
      <c r="G176" s="33" t="e">
        <f>VLOOKUP(A1,DIV_03Data!$A$1:$DZU$1000000,2983,FALSE)</f>
        <v>#N/A</v>
      </c>
      <c r="H176" s="34" t="e">
        <f>VLOOKUP(A1,DIV_03Data!$A$1:$DZU$1000000,2984,FALSE)</f>
        <v>#N/A</v>
      </c>
      <c r="I176" s="33" t="e">
        <f>VLOOKUP(A1,DIV_03Data!$A$1:$DZU$1000000,2985,FALSE)</f>
        <v>#N/A</v>
      </c>
      <c r="J176" s="34" t="e">
        <f>VLOOKUP(A1,DIV_03Data!$A$1:$DZU$1000000,2986,FALSE)</f>
        <v>#N/A</v>
      </c>
      <c r="K176" s="34" t="e">
        <f>VLOOKUP(A1,DIV_03Data!$A$1:$DZU$1000000,2987,FALSE)</f>
        <v>#N/A</v>
      </c>
      <c r="L176" s="93" t="e">
        <f>VLOOKUP(A1,DIV_03Data!$A$1:$DZU$1000000,2988,FALSE)</f>
        <v>#N/A</v>
      </c>
      <c r="M176" s="33" t="e">
        <f>VLOOKUP(A1,DIV_03Data!$A$1:$DZU$1000000,2989,FALSE)</f>
        <v>#N/A</v>
      </c>
      <c r="N176" s="34" t="e">
        <f>VLOOKUP(A1,DIV_03Data!$A$1:$DZU$1000000,2990,FALSE)</f>
        <v>#N/A</v>
      </c>
      <c r="O176" s="33" t="e">
        <f>VLOOKUP(A1,DIV_03Data!$A$1:$DZU$1000000,2991,FALSE)</f>
        <v>#N/A</v>
      </c>
      <c r="P176" s="46" t="e">
        <f>VLOOKUP(A1,DIV_03Data!$A$1:$DZU$1000000,2992,FALSE)</f>
        <v>#N/A</v>
      </c>
      <c r="Q176" s="33" t="e">
        <f>VLOOKUP(A1,DIV_03Data!$A$1:$DZU$1000000,2993,FALSE)</f>
        <v>#N/A</v>
      </c>
    </row>
    <row r="177" spans="1:17" x14ac:dyDescent="0.35">
      <c r="A177" s="22" t="e">
        <f>VLOOKUP(A1,DIV_03Data!$A$1:$DZU$1000000,2994,FALSE)</f>
        <v>#N/A</v>
      </c>
      <c r="B177" s="37" t="e">
        <f>VLOOKUP(A1,DIV_03Data!$A$1:$DZU$1000000,2995,FALSE)</f>
        <v>#N/A</v>
      </c>
      <c r="C177" s="38" t="e">
        <f>VLOOKUP(A1,DIV_03Data!$A$1:$DZU$1000000,2996,FALSE)</f>
        <v>#N/A</v>
      </c>
      <c r="D177" s="31" t="e">
        <f>VLOOKUP(A1,DIV_03Data!$A$1:$DZU$1000000,2997,FALSE)</f>
        <v>#N/A</v>
      </c>
      <c r="E177" s="32" t="e">
        <f>VLOOKUP(A1,DIV_03Data!$A$1:$DZU$1000000,2998,FALSE)</f>
        <v>#N/A</v>
      </c>
      <c r="F177" s="34" t="e">
        <f>VLOOKUP(A1,DIV_03Data!$A$1:$DZU$1000000,2999,FALSE)</f>
        <v>#N/A</v>
      </c>
      <c r="G177" s="33" t="e">
        <f>VLOOKUP(A1,DIV_03Data!$A$1:$DZU$1000000,3000,FALSE)</f>
        <v>#N/A</v>
      </c>
      <c r="H177" s="34" t="e">
        <f>VLOOKUP(A1,DIV_03Data!$A$1:$DZU$1000000,3001,FALSE)</f>
        <v>#N/A</v>
      </c>
      <c r="I177" s="33" t="e">
        <f>VLOOKUP(A1,DIV_03Data!$A$1:$DZU$1000000,3002,FALSE)</f>
        <v>#N/A</v>
      </c>
      <c r="J177" s="34" t="e">
        <f>VLOOKUP(A1,DIV_03Data!$A$1:$DZU$1000000,3003,FALSE)</f>
        <v>#N/A</v>
      </c>
      <c r="K177" s="34" t="e">
        <f>VLOOKUP(A1,DIV_03Data!$A$1:$DZU$1000000,3004,FALSE)</f>
        <v>#N/A</v>
      </c>
      <c r="L177" s="93" t="e">
        <f>VLOOKUP(A1,DIV_03Data!$A$1:$DZU$1000000,3005,FALSE)</f>
        <v>#N/A</v>
      </c>
      <c r="M177" s="33" t="e">
        <f>VLOOKUP(A1,DIV_03Data!$A$1:$DZU$1000000,3006,FALSE)</f>
        <v>#N/A</v>
      </c>
      <c r="N177" s="34" t="e">
        <f>VLOOKUP(A1,DIV_03Data!$A$1:$DZU$1000000,3007,FALSE)</f>
        <v>#N/A</v>
      </c>
      <c r="O177" s="33" t="e">
        <f>VLOOKUP(A1,DIV_03Data!$A$1:$DZU$1000000,3008,FALSE)</f>
        <v>#N/A</v>
      </c>
      <c r="P177" s="46" t="e">
        <f>VLOOKUP(A1,DIV_03Data!$A$1:$DZU$1000000,3009,FALSE)</f>
        <v>#N/A</v>
      </c>
      <c r="Q177" s="33" t="e">
        <f>VLOOKUP(A1,DIV_03Data!$A$1:$DZU$1000000,3010,FALSE)</f>
        <v>#N/A</v>
      </c>
    </row>
    <row r="178" spans="1:17" x14ac:dyDescent="0.35">
      <c r="A178" s="22" t="e">
        <f>VLOOKUP(A1,DIV_03Data!$A$1:$DZU$1000000,3011,FALSE)</f>
        <v>#N/A</v>
      </c>
      <c r="B178" s="37" t="e">
        <f>VLOOKUP(A1,DIV_03Data!$A$1:$DZU$1000000,3012,FALSE)</f>
        <v>#N/A</v>
      </c>
      <c r="C178" s="38" t="e">
        <f>VLOOKUP(A1,DIV_03Data!$A$1:$DZU$1000000,3013,FALSE)</f>
        <v>#N/A</v>
      </c>
      <c r="D178" s="31" t="e">
        <f>VLOOKUP(A1,DIV_03Data!$A$1:$DZU$1000000,3014,FALSE)</f>
        <v>#N/A</v>
      </c>
      <c r="E178" s="32" t="e">
        <f>VLOOKUP(A1,DIV_03Data!$A$1:$DZU$1000000,3015,FALSE)</f>
        <v>#N/A</v>
      </c>
      <c r="F178" s="34" t="e">
        <f>VLOOKUP(A1,DIV_03Data!$A$1:$DZU$1000000,3016,FALSE)</f>
        <v>#N/A</v>
      </c>
      <c r="G178" s="33" t="e">
        <f>VLOOKUP(A1,DIV_03Data!$A$1:$DZU$1000000,3017,FALSE)</f>
        <v>#N/A</v>
      </c>
      <c r="H178" s="34" t="e">
        <f>VLOOKUP(A1,DIV_03Data!$A$1:$DZU$1000000,3018,FALSE)</f>
        <v>#N/A</v>
      </c>
      <c r="I178" s="33" t="e">
        <f>VLOOKUP(A1,DIV_03Data!$A$1:$DZU$1000000,3019,FALSE)</f>
        <v>#N/A</v>
      </c>
      <c r="J178" s="34" t="e">
        <f>VLOOKUP(A1,DIV_03Data!$A$1:$DZU$1000000,3020,FALSE)</f>
        <v>#N/A</v>
      </c>
      <c r="K178" s="34" t="e">
        <f>VLOOKUP(A1,DIV_03Data!$A$1:$DZU$1000000,3021,FALSE)</f>
        <v>#N/A</v>
      </c>
      <c r="L178" s="93" t="e">
        <f>VLOOKUP(A1,DIV_03Data!$A$1:$DZU$1000000,3022,FALSE)</f>
        <v>#N/A</v>
      </c>
      <c r="M178" s="33" t="e">
        <f>VLOOKUP(A1,DIV_03Data!$A$1:$DZU$1000000,3023,FALSE)</f>
        <v>#N/A</v>
      </c>
      <c r="N178" s="34" t="e">
        <f>VLOOKUP(A1,DIV_03Data!$A$1:$DZU$1000000,3024,FALSE)</f>
        <v>#N/A</v>
      </c>
      <c r="O178" s="33" t="e">
        <f>VLOOKUP(A1,DIV_03Data!$A$1:$DZU$1000000,3025,FALSE)</f>
        <v>#N/A</v>
      </c>
      <c r="P178" s="46" t="e">
        <f>VLOOKUP(A1,DIV_03Data!$A$1:$DZU$1000000,3026,FALSE)</f>
        <v>#N/A</v>
      </c>
      <c r="Q178" s="33" t="e">
        <f>VLOOKUP(A1,DIV_03Data!$A$1:$DZU$1000000,3027,FALSE)</f>
        <v>#N/A</v>
      </c>
    </row>
    <row r="179" spans="1:17" x14ac:dyDescent="0.35">
      <c r="A179" s="22" t="e">
        <f>VLOOKUP(A1,DIV_03Data!$A$1:$DZU$1000000,3028,FALSE)</f>
        <v>#N/A</v>
      </c>
      <c r="B179" s="37" t="e">
        <f>VLOOKUP(A1,DIV_03Data!$A$1:$DZU$1000000,3029,FALSE)</f>
        <v>#N/A</v>
      </c>
      <c r="C179" s="38" t="e">
        <f>VLOOKUP(A1,DIV_03Data!$A$1:$DZU$1000000,3030,FALSE)</f>
        <v>#N/A</v>
      </c>
      <c r="D179" s="31" t="e">
        <f>VLOOKUP(A1,DIV_03Data!$A$1:$DZU$1000000,3031,FALSE)</f>
        <v>#N/A</v>
      </c>
      <c r="E179" s="32" t="e">
        <f>VLOOKUP(A1,DIV_03Data!$A$1:$DZU$1000000,3032,FALSE)</f>
        <v>#N/A</v>
      </c>
      <c r="F179" s="34" t="e">
        <f>VLOOKUP(A1,DIV_03Data!$A$1:$DZU$1000000,3033,FALSE)</f>
        <v>#N/A</v>
      </c>
      <c r="G179" s="33" t="e">
        <f>VLOOKUP(A1,DIV_03Data!$A$1:$DZU$1000000,3034,FALSE)</f>
        <v>#N/A</v>
      </c>
      <c r="H179" s="34" t="e">
        <f>VLOOKUP(A1,DIV_03Data!$A$1:$DZU$1000000,3035,FALSE)</f>
        <v>#N/A</v>
      </c>
      <c r="I179" s="33" t="e">
        <f>VLOOKUP(A1,DIV_03Data!$A$1:$DZU$1000000,3036,FALSE)</f>
        <v>#N/A</v>
      </c>
      <c r="J179" s="34" t="e">
        <f>VLOOKUP(A1,DIV_03Data!$A$1:$DZU$1000000,3037,FALSE)</f>
        <v>#N/A</v>
      </c>
      <c r="K179" s="34" t="e">
        <f>VLOOKUP(A1,DIV_03Data!$A$1:$DZU$1000000,3038,FALSE)</f>
        <v>#N/A</v>
      </c>
      <c r="L179" s="93" t="e">
        <f>VLOOKUP(A1,DIV_03Data!$A$1:$DZU$1000000,3039,FALSE)</f>
        <v>#N/A</v>
      </c>
      <c r="M179" s="33" t="e">
        <f>VLOOKUP(A1,DIV_03Data!$A$1:$DZU$1000000,3040,FALSE)</f>
        <v>#N/A</v>
      </c>
      <c r="N179" s="34" t="e">
        <f>VLOOKUP(A1,DIV_03Data!$A$1:$DZU$1000000,3041,FALSE)</f>
        <v>#N/A</v>
      </c>
      <c r="O179" s="33" t="e">
        <f>VLOOKUP(A1,DIV_03Data!$A$1:$DZU$1000000,3042,FALSE)</f>
        <v>#N/A</v>
      </c>
      <c r="P179" s="46" t="e">
        <f>VLOOKUP(A1,DIV_03Data!$A$1:$DZU$1000000,3043,FALSE)</f>
        <v>#N/A</v>
      </c>
      <c r="Q179" s="33" t="e">
        <f>VLOOKUP(A1,DIV_03Data!$A$1:$DZU$1000000,3044,FALSE)</f>
        <v>#N/A</v>
      </c>
    </row>
    <row r="180" spans="1:17" x14ac:dyDescent="0.35">
      <c r="A180" s="22" t="e">
        <f>VLOOKUP(A1,DIV_03Data!$A$1:$DZU$1000000,3045,FALSE)</f>
        <v>#N/A</v>
      </c>
      <c r="B180" s="37" t="e">
        <f>VLOOKUP(A1,DIV_03Data!$A$1:$DZU$1000000,3046,FALSE)</f>
        <v>#N/A</v>
      </c>
      <c r="C180" s="38" t="e">
        <f>VLOOKUP(A1,DIV_03Data!$A$1:$DZU$1000000,3047,FALSE)</f>
        <v>#N/A</v>
      </c>
      <c r="D180" s="31" t="e">
        <f>VLOOKUP(A1,DIV_03Data!$A$1:$DZU$1000000,3048,FALSE)</f>
        <v>#N/A</v>
      </c>
      <c r="E180" s="32" t="e">
        <f>VLOOKUP(A1,DIV_03Data!$A$1:$DZU$1000000,3049,FALSE)</f>
        <v>#N/A</v>
      </c>
      <c r="F180" s="34" t="e">
        <f>VLOOKUP(A1,DIV_03Data!$A$1:$DZU$1000000,3050,FALSE)</f>
        <v>#N/A</v>
      </c>
      <c r="G180" s="33" t="e">
        <f>VLOOKUP(A1,DIV_03Data!$A$1:$DZU$1000000,3051,FALSE)</f>
        <v>#N/A</v>
      </c>
      <c r="H180" s="34" t="e">
        <f>VLOOKUP(A1,DIV_03Data!$A$1:$DZU$1000000,3052,FALSE)</f>
        <v>#N/A</v>
      </c>
      <c r="I180" s="33" t="e">
        <f>VLOOKUP(A1,DIV_03Data!$A$1:$DZU$1000000,3053,FALSE)</f>
        <v>#N/A</v>
      </c>
      <c r="J180" s="34" t="e">
        <f>VLOOKUP(A1,DIV_03Data!$A$1:$DZU$1000000,3054,FALSE)</f>
        <v>#N/A</v>
      </c>
      <c r="K180" s="34" t="e">
        <f>VLOOKUP(A1,DIV_03Data!$A$1:$DZU$1000000,3055,FALSE)</f>
        <v>#N/A</v>
      </c>
      <c r="L180" s="93" t="e">
        <f>VLOOKUP(A1,DIV_03Data!$A$1:$DZU$1000000,3056,FALSE)</f>
        <v>#N/A</v>
      </c>
      <c r="M180" s="33" t="e">
        <f>VLOOKUP(A1,DIV_03Data!$A$1:$DZU$1000000,3057,FALSE)</f>
        <v>#N/A</v>
      </c>
      <c r="N180" s="34" t="e">
        <f>VLOOKUP(A1,DIV_03Data!$A$1:$DZU$1000000,3058,FALSE)</f>
        <v>#N/A</v>
      </c>
      <c r="O180" s="33" t="e">
        <f>VLOOKUP(A1,DIV_03Data!$A$1:$DZU$1000000,3059,FALSE)</f>
        <v>#N/A</v>
      </c>
      <c r="P180" s="46" t="e">
        <f>VLOOKUP(A1,DIV_03Data!$A$1:$DZU$1000000,3060,FALSE)</f>
        <v>#N/A</v>
      </c>
      <c r="Q180" s="33" t="e">
        <f>VLOOKUP(A1,DIV_03Data!$A$1:$DZU$1000000,3061,FALSE)</f>
        <v>#N/A</v>
      </c>
    </row>
    <row r="181" spans="1:17" x14ac:dyDescent="0.35">
      <c r="A181" s="22" t="e">
        <f>VLOOKUP(A1,DIV_03Data!$A$1:$DZU$1000000,3062,FALSE)</f>
        <v>#N/A</v>
      </c>
      <c r="B181" s="37" t="e">
        <f>VLOOKUP(A1,DIV_03Data!$A$1:$DZU$1000000,3063,FALSE)</f>
        <v>#N/A</v>
      </c>
      <c r="C181" s="38" t="e">
        <f>VLOOKUP(A1,DIV_03Data!$A$1:$DZU$1000000,3064,FALSE)</f>
        <v>#N/A</v>
      </c>
      <c r="D181" s="31" t="e">
        <f>VLOOKUP(A1,DIV_03Data!$A$1:$DZU$1000000,3065,FALSE)</f>
        <v>#N/A</v>
      </c>
      <c r="E181" s="32" t="e">
        <f>VLOOKUP(A1,DIV_03Data!$A$1:$DZU$1000000,3066,FALSE)</f>
        <v>#N/A</v>
      </c>
      <c r="F181" s="34" t="e">
        <f>VLOOKUP(A1,DIV_03Data!$A$1:$DZU$1000000,3067,FALSE)</f>
        <v>#N/A</v>
      </c>
      <c r="G181" s="33" t="e">
        <f>VLOOKUP(A1,DIV_03Data!$A$1:$DZU$1000000,3068,FALSE)</f>
        <v>#N/A</v>
      </c>
      <c r="H181" s="34" t="e">
        <f>VLOOKUP(A1,DIV_03Data!$A$1:$DZU$1000000,3069,FALSE)</f>
        <v>#N/A</v>
      </c>
      <c r="I181" s="33" t="e">
        <f>VLOOKUP(A1,DIV_03Data!$A$1:$DZU$1000000,3070,FALSE)</f>
        <v>#N/A</v>
      </c>
      <c r="J181" s="34" t="e">
        <f>VLOOKUP(A1,DIV_03Data!$A$1:$DZU$1000000,3071,FALSE)</f>
        <v>#N/A</v>
      </c>
      <c r="K181" s="34" t="e">
        <f>VLOOKUP(A1,DIV_03Data!$A$1:$DZU$1000000,3072,FALSE)</f>
        <v>#N/A</v>
      </c>
      <c r="L181" s="93" t="e">
        <f>VLOOKUP(A1,DIV_03Data!$A$1:$DZU$1000000,3073,FALSE)</f>
        <v>#N/A</v>
      </c>
      <c r="M181" s="33" t="e">
        <f>VLOOKUP(A1,DIV_03Data!$A$1:$DZU$1000000,3074,FALSE)</f>
        <v>#N/A</v>
      </c>
      <c r="N181" s="34" t="e">
        <f>VLOOKUP(A1,DIV_03Data!$A$1:$DZU$1000000,3075,FALSE)</f>
        <v>#N/A</v>
      </c>
      <c r="O181" s="33" t="e">
        <f>VLOOKUP(A1,DIV_03Data!$A$1:$DZU$1000000,3076,FALSE)</f>
        <v>#N/A</v>
      </c>
      <c r="P181" s="46" t="e">
        <f>VLOOKUP(A1,DIV_03Data!$A$1:$DZU$1000000,3077,FALSE)</f>
        <v>#N/A</v>
      </c>
      <c r="Q181" s="33" t="e">
        <f>VLOOKUP(A1,DIV_03Data!$A$1:$DZU$1000000,3078,FALSE)</f>
        <v>#N/A</v>
      </c>
    </row>
    <row r="182" spans="1:17" x14ac:dyDescent="0.35">
      <c r="A182" s="22" t="e">
        <f>VLOOKUP(A1,DIV_03Data!$A$1:$DZU$1000000,3079,FALSE)</f>
        <v>#N/A</v>
      </c>
      <c r="B182" s="37" t="e">
        <f>VLOOKUP(A1,DIV_03Data!$A$1:$DZU$1000000,3080,FALSE)</f>
        <v>#N/A</v>
      </c>
      <c r="C182" s="38" t="e">
        <f>VLOOKUP(A1,DIV_03Data!$A$1:$DZU$1000000,3081,FALSE)</f>
        <v>#N/A</v>
      </c>
      <c r="D182" s="31" t="e">
        <f>VLOOKUP(A1,DIV_03Data!$A$1:$DZU$1000000,3082,FALSE)</f>
        <v>#N/A</v>
      </c>
      <c r="E182" s="32" t="e">
        <f>VLOOKUP(A1,DIV_03Data!$A$1:$DZU$1000000,3083,FALSE)</f>
        <v>#N/A</v>
      </c>
      <c r="F182" s="34" t="e">
        <f>VLOOKUP(A1,DIV_03Data!$A$1:$DZU$1000000,3084,FALSE)</f>
        <v>#N/A</v>
      </c>
      <c r="G182" s="33" t="e">
        <f>VLOOKUP(A1,DIV_03Data!$A$1:$DZU$1000000,3085,FALSE)</f>
        <v>#N/A</v>
      </c>
      <c r="H182" s="34" t="e">
        <f>VLOOKUP(A1,DIV_03Data!$A$1:$DZU$1000000,3086,FALSE)</f>
        <v>#N/A</v>
      </c>
      <c r="I182" s="33" t="e">
        <f>VLOOKUP(A1,DIV_03Data!$A$1:$DZU$1000000,3087,FALSE)</f>
        <v>#N/A</v>
      </c>
      <c r="J182" s="34" t="e">
        <f>VLOOKUP(A1,DIV_03Data!$A$1:$DZU$1000000,3088,FALSE)</f>
        <v>#N/A</v>
      </c>
      <c r="K182" s="34" t="e">
        <f>VLOOKUP(A1,DIV_03Data!$A$1:$DZU$1000000,3089,FALSE)</f>
        <v>#N/A</v>
      </c>
      <c r="L182" s="93" t="e">
        <f>VLOOKUP(A1,DIV_03Data!$A$1:$DZU$1000000,3090,FALSE)</f>
        <v>#N/A</v>
      </c>
      <c r="M182" s="33" t="e">
        <f>VLOOKUP(A1,DIV_03Data!$A$1:$DZU$1000000,3091,FALSE)</f>
        <v>#N/A</v>
      </c>
      <c r="N182" s="34" t="e">
        <f>VLOOKUP(A1,DIV_03Data!$A$1:$DZU$1000000,3092,FALSE)</f>
        <v>#N/A</v>
      </c>
      <c r="O182" s="33" t="e">
        <f>VLOOKUP(A1,DIV_03Data!$A$1:$DZU$1000000,3093,FALSE)</f>
        <v>#N/A</v>
      </c>
      <c r="P182" s="46" t="e">
        <f>VLOOKUP(A1,DIV_03Data!$A$1:$DZU$1000000,3094,FALSE)</f>
        <v>#N/A</v>
      </c>
      <c r="Q182" s="33" t="e">
        <f>VLOOKUP(A1,DIV_03Data!$A$1:$DZU$1000000,3095,FALSE)</f>
        <v>#N/A</v>
      </c>
    </row>
    <row r="183" spans="1:17" x14ac:dyDescent="0.35">
      <c r="A183" s="22" t="e">
        <f>VLOOKUP(A1,DIV_03Data!$A$1:$DZU$1000000,3096,FALSE)</f>
        <v>#N/A</v>
      </c>
      <c r="B183" s="37" t="e">
        <f>VLOOKUP(A1,DIV_03Data!$A$1:$DZU$1000000,3097,FALSE)</f>
        <v>#N/A</v>
      </c>
      <c r="C183" s="38" t="e">
        <f>VLOOKUP(A1,DIV_03Data!$A$1:$DZU$1000000,3098,FALSE)</f>
        <v>#N/A</v>
      </c>
      <c r="D183" s="31" t="e">
        <f>VLOOKUP(A1,DIV_03Data!$A$1:$DZU$1000000,3099,FALSE)</f>
        <v>#N/A</v>
      </c>
      <c r="E183" s="32" t="e">
        <f>VLOOKUP(A1,DIV_03Data!$A$1:$DZU$1000000,3100,FALSE)</f>
        <v>#N/A</v>
      </c>
      <c r="F183" s="34" t="e">
        <f>VLOOKUP(A1,DIV_03Data!$A$1:$DZU$1000000,3101,FALSE)</f>
        <v>#N/A</v>
      </c>
      <c r="G183" s="33" t="e">
        <f>VLOOKUP(A1,DIV_03Data!$A$1:$DZU$1000000,3102,FALSE)</f>
        <v>#N/A</v>
      </c>
      <c r="H183" s="34" t="e">
        <f>VLOOKUP(A1,DIV_03Data!$A$1:$DZU$1000000,3103,FALSE)</f>
        <v>#N/A</v>
      </c>
      <c r="I183" s="33" t="e">
        <f>VLOOKUP(A1,DIV_03Data!$A$1:$DZU$1000000,3104,FALSE)</f>
        <v>#N/A</v>
      </c>
      <c r="J183" s="34" t="e">
        <f>VLOOKUP(A1,DIV_03Data!$A$1:$DZU$1000000,3105,FALSE)</f>
        <v>#N/A</v>
      </c>
      <c r="K183" s="34" t="e">
        <f>VLOOKUP(A1,DIV_03Data!$A$1:$DZU$1000000,3106,FALSE)</f>
        <v>#N/A</v>
      </c>
      <c r="L183" s="93" t="e">
        <f>VLOOKUP(A1,DIV_03Data!$A$1:$DZU$1000000,3107,FALSE)</f>
        <v>#N/A</v>
      </c>
      <c r="M183" s="33" t="e">
        <f>VLOOKUP(A1,DIV_03Data!$A$1:$DZU$1000000,3108,FALSE)</f>
        <v>#N/A</v>
      </c>
      <c r="N183" s="34" t="e">
        <f>VLOOKUP(A1,DIV_03Data!$A$1:$DZU$1000000,3109,FALSE)</f>
        <v>#N/A</v>
      </c>
      <c r="O183" s="33" t="e">
        <f>VLOOKUP(A1,DIV_03Data!$A$1:$DZU$1000000,3110,FALSE)</f>
        <v>#N/A</v>
      </c>
      <c r="P183" s="46" t="e">
        <f>VLOOKUP(A1,DIV_03Data!$A$1:$DZU$1000000,3111,FALSE)</f>
        <v>#N/A</v>
      </c>
      <c r="Q183" s="33" t="e">
        <f>VLOOKUP(A1,DIV_03Data!$A$1:$DZU$1000000,3112,FALSE)</f>
        <v>#N/A</v>
      </c>
    </row>
    <row r="184" spans="1:17" x14ac:dyDescent="0.35">
      <c r="A184" s="22" t="e">
        <f>VLOOKUP(A1,DIV_03Data!$A$1:$DZU$1000000,3113,FALSE)</f>
        <v>#N/A</v>
      </c>
      <c r="B184" s="37" t="e">
        <f>VLOOKUP(A1,DIV_03Data!$A$1:$DZU$1000000,3114,FALSE)</f>
        <v>#N/A</v>
      </c>
      <c r="C184" s="38" t="e">
        <f>VLOOKUP(A1,DIV_03Data!$A$1:$DZU$1000000,3115,FALSE)</f>
        <v>#N/A</v>
      </c>
      <c r="D184" s="31" t="e">
        <f>VLOOKUP(A1,DIV_03Data!$A$1:$DZU$1000000,3116,FALSE)</f>
        <v>#N/A</v>
      </c>
      <c r="E184" s="32" t="e">
        <f>VLOOKUP(A1,DIV_03Data!$A$1:$DZU$1000000,3117,FALSE)</f>
        <v>#N/A</v>
      </c>
      <c r="F184" s="34" t="e">
        <f>VLOOKUP(A1,DIV_03Data!$A$1:$DZU$1000000,3118,FALSE)</f>
        <v>#N/A</v>
      </c>
      <c r="G184" s="33" t="e">
        <f>VLOOKUP(A1,DIV_03Data!$A$1:$DZU$1000000,3119,FALSE)</f>
        <v>#N/A</v>
      </c>
      <c r="H184" s="34" t="e">
        <f>VLOOKUP(A1,DIV_03Data!$A$1:$DZU$1000000,3120,FALSE)</f>
        <v>#N/A</v>
      </c>
      <c r="I184" s="33" t="e">
        <f>VLOOKUP(A1,DIV_03Data!$A$1:$DZU$1000000,3121,FALSE)</f>
        <v>#N/A</v>
      </c>
      <c r="J184" s="34" t="e">
        <f>VLOOKUP(A1,DIV_03Data!$A$1:$DZU$1000000,3122,FALSE)</f>
        <v>#N/A</v>
      </c>
      <c r="K184" s="34" t="e">
        <f>VLOOKUP(A1,DIV_03Data!$A$1:$DZU$1000000,3123,FALSE)</f>
        <v>#N/A</v>
      </c>
      <c r="L184" s="93" t="e">
        <f>VLOOKUP(A1,DIV_03Data!$A$1:$DZU$1000000,3124,FALSE)</f>
        <v>#N/A</v>
      </c>
      <c r="M184" s="33" t="e">
        <f>VLOOKUP(A1,DIV_03Data!$A$1:$DZU$1000000,3125,FALSE)</f>
        <v>#N/A</v>
      </c>
      <c r="N184" s="34" t="e">
        <f>VLOOKUP(A1,DIV_03Data!$A$1:$DZU$1000000,3126,FALSE)</f>
        <v>#N/A</v>
      </c>
      <c r="O184" s="33" t="e">
        <f>VLOOKUP(A1,DIV_03Data!$A$1:$DZU$1000000,3127,FALSE)</f>
        <v>#N/A</v>
      </c>
      <c r="P184" s="46" t="e">
        <f>VLOOKUP(A1,DIV_03Data!$A$1:$DZU$1000000,3128,FALSE)</f>
        <v>#N/A</v>
      </c>
      <c r="Q184" s="33" t="e">
        <f>VLOOKUP(A1,DIV_03Data!$A$1:$DZU$1000000,3129,FALSE)</f>
        <v>#N/A</v>
      </c>
    </row>
    <row r="185" spans="1:17" x14ac:dyDescent="0.35">
      <c r="A185" s="22" t="e">
        <f>VLOOKUP(A1,DIV_03Data!$A$1:$DZU$1000000,3130,FALSE)</f>
        <v>#N/A</v>
      </c>
      <c r="B185" s="37" t="e">
        <f>VLOOKUP(A1,DIV_03Data!$A$1:$DZU$1000000,3131,FALSE)</f>
        <v>#N/A</v>
      </c>
      <c r="C185" s="38" t="e">
        <f>VLOOKUP(A1,DIV_03Data!$A$1:$DZU$1000000,3132,FALSE)</f>
        <v>#N/A</v>
      </c>
      <c r="D185" s="31" t="e">
        <f>VLOOKUP(A1,DIV_03Data!$A$1:$DZU$1000000,3133,FALSE)</f>
        <v>#N/A</v>
      </c>
      <c r="E185" s="32" t="e">
        <f>VLOOKUP(A1,DIV_03Data!$A$1:$DZU$1000000,3134,FALSE)</f>
        <v>#N/A</v>
      </c>
      <c r="F185" s="34" t="e">
        <f>VLOOKUP(A1,DIV_03Data!$A$1:$DZU$1000000,3135,FALSE)</f>
        <v>#N/A</v>
      </c>
      <c r="G185" s="33" t="e">
        <f>VLOOKUP(A1,DIV_03Data!$A$1:$DZU$1000000,3136,FALSE)</f>
        <v>#N/A</v>
      </c>
      <c r="H185" s="34" t="e">
        <f>VLOOKUP(A1,DIV_03Data!$A$1:$DZU$1000000,3137,FALSE)</f>
        <v>#N/A</v>
      </c>
      <c r="I185" s="33" t="e">
        <f>VLOOKUP(A1,DIV_03Data!$A$1:$DZU$1000000,3138,FALSE)</f>
        <v>#N/A</v>
      </c>
      <c r="J185" s="34" t="e">
        <f>VLOOKUP(A1,DIV_03Data!$A$1:$DZU$1000000,3139,FALSE)</f>
        <v>#N/A</v>
      </c>
      <c r="K185" s="34" t="e">
        <f>VLOOKUP(A1,DIV_03Data!$A$1:$DZU$1000000,3140,FALSE)</f>
        <v>#N/A</v>
      </c>
      <c r="L185" s="93" t="e">
        <f>VLOOKUP(A1,DIV_03Data!$A$1:$DZU$1000000,3141,FALSE)</f>
        <v>#N/A</v>
      </c>
      <c r="M185" s="33" t="e">
        <f>VLOOKUP(A1,DIV_03Data!$A$1:$DZU$1000000,3142,FALSE)</f>
        <v>#N/A</v>
      </c>
      <c r="N185" s="34" t="e">
        <f>VLOOKUP(A1,DIV_03Data!$A$1:$DZU$1000000,3143,FALSE)</f>
        <v>#N/A</v>
      </c>
      <c r="O185" s="33" t="e">
        <f>VLOOKUP(A1,DIV_03Data!$A$1:$DZU$1000000,3144,FALSE)</f>
        <v>#N/A</v>
      </c>
      <c r="P185" s="46" t="e">
        <f>VLOOKUP(A1,DIV_03Data!$A$1:$DZU$1000000,3145,FALSE)</f>
        <v>#N/A</v>
      </c>
      <c r="Q185" s="33" t="e">
        <f>VLOOKUP(A1,DIV_03Data!$A$1:$DZU$1000000,3146,FALSE)</f>
        <v>#N/A</v>
      </c>
    </row>
    <row r="186" spans="1:17" x14ac:dyDescent="0.35">
      <c r="A186" s="22" t="e">
        <f>VLOOKUP(A1,DIV_03Data!$A$1:$DZU$1000000,3147,FALSE)</f>
        <v>#N/A</v>
      </c>
      <c r="B186" s="37" t="e">
        <f>VLOOKUP(A1,DIV_03Data!$A$1:$DZU$1000000,3148,FALSE)</f>
        <v>#N/A</v>
      </c>
      <c r="C186" s="38" t="e">
        <f>VLOOKUP(A1,DIV_03Data!$A$1:$DZU$1000000,3149,FALSE)</f>
        <v>#N/A</v>
      </c>
      <c r="D186" s="31" t="e">
        <f>VLOOKUP(A1,DIV_03Data!$A$1:$DZU$1000000,3150,FALSE)</f>
        <v>#N/A</v>
      </c>
      <c r="E186" s="32" t="e">
        <f>VLOOKUP(A1,DIV_03Data!$A$1:$DZU$1000000,3151,FALSE)</f>
        <v>#N/A</v>
      </c>
      <c r="F186" s="34" t="e">
        <f>VLOOKUP(A1,DIV_03Data!$A$1:$DZU$1000000,3152,FALSE)</f>
        <v>#N/A</v>
      </c>
      <c r="G186" s="33" t="e">
        <f>VLOOKUP(A1,DIV_03Data!$A$1:$DZU$1000000,3153,FALSE)</f>
        <v>#N/A</v>
      </c>
      <c r="H186" s="34" t="e">
        <f>VLOOKUP(A1,DIV_03Data!$A$1:$DZU$1000000,3154,FALSE)</f>
        <v>#N/A</v>
      </c>
      <c r="I186" s="33" t="e">
        <f>VLOOKUP(A1,DIV_03Data!$A$1:$DZU$1000000,3155,FALSE)</f>
        <v>#N/A</v>
      </c>
      <c r="J186" s="34" t="e">
        <f>VLOOKUP(A1,DIV_03Data!$A$1:$DZU$1000000,3156,FALSE)</f>
        <v>#N/A</v>
      </c>
      <c r="K186" s="34" t="e">
        <f>VLOOKUP(A1,DIV_03Data!$A$1:$DZU$1000000,3157,FALSE)</f>
        <v>#N/A</v>
      </c>
      <c r="L186" s="93" t="e">
        <f>VLOOKUP(A1,DIV_03Data!$A$1:$DZU$1000000,3158,FALSE)</f>
        <v>#N/A</v>
      </c>
      <c r="M186" s="33" t="e">
        <f>VLOOKUP(A1,DIV_03Data!$A$1:$DZU$1000000,3159,FALSE)</f>
        <v>#N/A</v>
      </c>
      <c r="N186" s="34" t="e">
        <f>VLOOKUP(A1,DIV_03Data!$A$1:$DZU$1000000,3160,FALSE)</f>
        <v>#N/A</v>
      </c>
      <c r="O186" s="33" t="e">
        <f>VLOOKUP(A1,DIV_03Data!$A$1:$DZU$1000000,3161,FALSE)</f>
        <v>#N/A</v>
      </c>
      <c r="P186" s="46" t="e">
        <f>VLOOKUP(A1,DIV_03Data!$A$1:$DZU$1000000,3162,FALSE)</f>
        <v>#N/A</v>
      </c>
      <c r="Q186" s="33" t="e">
        <f>VLOOKUP(A1,DIV_03Data!$A$1:$DZU$1000000,3163,FALSE)</f>
        <v>#N/A</v>
      </c>
    </row>
    <row r="187" spans="1:17" x14ac:dyDescent="0.35">
      <c r="A187" s="22" t="e">
        <f>VLOOKUP(A1,DIV_03Data!$A$1:$DZU$1000000,3164,FALSE)</f>
        <v>#N/A</v>
      </c>
      <c r="B187" s="37" t="e">
        <f>VLOOKUP(A1,DIV_03Data!$A$1:$DZU$1000000,3165,FALSE)</f>
        <v>#N/A</v>
      </c>
      <c r="C187" s="38" t="e">
        <f>VLOOKUP(A1,DIV_03Data!$A$1:$DZU$1000000,3166,FALSE)</f>
        <v>#N/A</v>
      </c>
      <c r="D187" s="31" t="e">
        <f>VLOOKUP(A1,DIV_03Data!$A$1:$DZU$1000000,3167,FALSE)</f>
        <v>#N/A</v>
      </c>
      <c r="E187" s="32" t="e">
        <f>VLOOKUP(A1,DIV_03Data!$A$1:$DZU$1000000,3168,FALSE)</f>
        <v>#N/A</v>
      </c>
      <c r="F187" s="34" t="e">
        <f>VLOOKUP(A1,DIV_03Data!$A$1:$DZU$1000000,3169,FALSE)</f>
        <v>#N/A</v>
      </c>
      <c r="G187" s="33" t="e">
        <f>VLOOKUP(A1,DIV_03Data!$A$1:$DZU$1000000,3170,FALSE)</f>
        <v>#N/A</v>
      </c>
      <c r="H187" s="34" t="e">
        <f>VLOOKUP(A1,DIV_03Data!$A$1:$DZU$1000000,3171,FALSE)</f>
        <v>#N/A</v>
      </c>
      <c r="I187" s="33" t="e">
        <f>VLOOKUP(A1,DIV_03Data!$A$1:$DZU$1000000,3172,FALSE)</f>
        <v>#N/A</v>
      </c>
      <c r="J187" s="34" t="e">
        <f>VLOOKUP(A1,DIV_03Data!$A$1:$DZU$1000000,3173,FALSE)</f>
        <v>#N/A</v>
      </c>
      <c r="K187" s="34" t="e">
        <f>VLOOKUP(A1,DIV_03Data!$A$1:$DZU$1000000,3174,FALSE)</f>
        <v>#N/A</v>
      </c>
      <c r="L187" s="93" t="e">
        <f>VLOOKUP(A1,DIV_03Data!$A$1:$DZU$1000000,3175,FALSE)</f>
        <v>#N/A</v>
      </c>
      <c r="M187" s="33" t="e">
        <f>VLOOKUP(A1,DIV_03Data!$A$1:$DZU$1000000,3176,FALSE)</f>
        <v>#N/A</v>
      </c>
      <c r="N187" s="34" t="e">
        <f>VLOOKUP(A1,DIV_03Data!$A$1:$DZU$1000000,3177,FALSE)</f>
        <v>#N/A</v>
      </c>
      <c r="O187" s="33" t="e">
        <f>VLOOKUP(A1,DIV_03Data!$A$1:$DZU$1000000,3178,FALSE)</f>
        <v>#N/A</v>
      </c>
      <c r="P187" s="46" t="e">
        <f>VLOOKUP(A1,DIV_03Data!$A$1:$DZU$1000000,3179,FALSE)</f>
        <v>#N/A</v>
      </c>
      <c r="Q187" s="33" t="e">
        <f>VLOOKUP(A1,DIV_03Data!$A$1:$DZU$1000000,3180,FALSE)</f>
        <v>#N/A</v>
      </c>
    </row>
    <row r="188" spans="1:17" x14ac:dyDescent="0.35">
      <c r="A188" s="22" t="e">
        <f>VLOOKUP(A1,DIV_03Data!$A$1:$DZU$1000000,3181,FALSE)</f>
        <v>#N/A</v>
      </c>
      <c r="B188" s="37" t="e">
        <f>VLOOKUP(A1,DIV_03Data!$A$1:$DZU$1000000,3182,FALSE)</f>
        <v>#N/A</v>
      </c>
      <c r="C188" s="38" t="e">
        <f>VLOOKUP(A1,DIV_03Data!$A$1:$DZU$1000000,3183,FALSE)</f>
        <v>#N/A</v>
      </c>
      <c r="D188" s="31" t="e">
        <f>VLOOKUP(A1,DIV_03Data!$A$1:$DZU$1000000,3184,FALSE)</f>
        <v>#N/A</v>
      </c>
      <c r="E188" s="32" t="e">
        <f>VLOOKUP(A1,DIV_03Data!$A$1:$DZU$1000000,3185,FALSE)</f>
        <v>#N/A</v>
      </c>
      <c r="F188" s="34" t="e">
        <f>VLOOKUP(A1,DIV_03Data!$A$1:$DZU$1000000,3186,FALSE)</f>
        <v>#N/A</v>
      </c>
      <c r="G188" s="33" t="e">
        <f>VLOOKUP(A1,DIV_03Data!$A$1:$DZU$1000000,3187,FALSE)</f>
        <v>#N/A</v>
      </c>
      <c r="H188" s="34" t="e">
        <f>VLOOKUP(A1,DIV_03Data!$A$1:$DZU$1000000,3188,FALSE)</f>
        <v>#N/A</v>
      </c>
      <c r="I188" s="33" t="e">
        <f>VLOOKUP(A1,DIV_03Data!$A$1:$DZU$1000000,3189,FALSE)</f>
        <v>#N/A</v>
      </c>
      <c r="J188" s="34" t="e">
        <f>VLOOKUP(A1,DIV_03Data!$A$1:$DZU$1000000,3190,FALSE)</f>
        <v>#N/A</v>
      </c>
      <c r="K188" s="34" t="e">
        <f>VLOOKUP(A1,DIV_03Data!$A$1:$DZU$1000000,3191,FALSE)</f>
        <v>#N/A</v>
      </c>
      <c r="L188" s="93" t="e">
        <f>VLOOKUP(A1,DIV_03Data!$A$1:$DZU$1000000,3192,FALSE)</f>
        <v>#N/A</v>
      </c>
      <c r="M188" s="33" t="e">
        <f>VLOOKUP(A1,DIV_03Data!$A$1:$DZU$1000000,3193,FALSE)</f>
        <v>#N/A</v>
      </c>
      <c r="N188" s="34" t="e">
        <f>VLOOKUP(A1,DIV_03Data!$A$1:$DZU$1000000,3194,FALSE)</f>
        <v>#N/A</v>
      </c>
      <c r="O188" s="33" t="e">
        <f>VLOOKUP(A1,DIV_03Data!$A$1:$DZU$1000000,3195,FALSE)</f>
        <v>#N/A</v>
      </c>
      <c r="P188" s="46" t="e">
        <f>VLOOKUP(A1,DIV_03Data!$A$1:$DZU$1000000,3196,FALSE)</f>
        <v>#N/A</v>
      </c>
      <c r="Q188" s="33" t="e">
        <f>VLOOKUP(A1,DIV_03Data!$A$1:$DZU$1000000,3197,FALSE)</f>
        <v>#N/A</v>
      </c>
    </row>
    <row r="189" spans="1:17" x14ac:dyDescent="0.35">
      <c r="A189" s="22" t="e">
        <f>VLOOKUP(A1,DIV_03Data!$A$1:$DZU$1000000,3198,FALSE)</f>
        <v>#N/A</v>
      </c>
      <c r="B189" s="37" t="e">
        <f>VLOOKUP(A1,DIV_03Data!$A$1:$DZU$1000000,3199,FALSE)</f>
        <v>#N/A</v>
      </c>
      <c r="C189" s="38" t="e">
        <f>VLOOKUP(A1,DIV_03Data!$A$1:$DZU$1000000,3200,FALSE)</f>
        <v>#N/A</v>
      </c>
      <c r="D189" s="31" t="e">
        <f>VLOOKUP(A1,DIV_03Data!$A$1:$DZU$1000000,3201,FALSE)</f>
        <v>#N/A</v>
      </c>
      <c r="E189" s="32" t="e">
        <f>VLOOKUP(A1,DIV_03Data!$A$1:$DZU$1000000,3202,FALSE)</f>
        <v>#N/A</v>
      </c>
      <c r="F189" s="34" t="e">
        <f>VLOOKUP(A1,DIV_03Data!$A$1:$DZU$1000000,3203,FALSE)</f>
        <v>#N/A</v>
      </c>
      <c r="G189" s="33" t="e">
        <f>VLOOKUP(A1,DIV_03Data!$A$1:$DZU$1000000,3204,FALSE)</f>
        <v>#N/A</v>
      </c>
      <c r="H189" s="34" t="e">
        <f>VLOOKUP(A1,DIV_03Data!$A$1:$DZU$1000000,3205,FALSE)</f>
        <v>#N/A</v>
      </c>
      <c r="I189" s="33" t="e">
        <f>VLOOKUP(A1,DIV_03Data!$A$1:$DZU$1000000,3206,FALSE)</f>
        <v>#N/A</v>
      </c>
      <c r="J189" s="34" t="e">
        <f>VLOOKUP(A1,DIV_03Data!$A$1:$DZU$1000000,3207,FALSE)</f>
        <v>#N/A</v>
      </c>
      <c r="K189" s="34" t="e">
        <f>VLOOKUP(A1,DIV_03Data!$A$1:$DZU$1000000,3208,FALSE)</f>
        <v>#N/A</v>
      </c>
      <c r="L189" s="93" t="e">
        <f>VLOOKUP(A1,DIV_03Data!$A$1:$DZU$1000000,3209,FALSE)</f>
        <v>#N/A</v>
      </c>
      <c r="M189" s="33" t="e">
        <f>VLOOKUP(A1,DIV_03Data!$A$1:$DZU$1000000,3210,FALSE)</f>
        <v>#N/A</v>
      </c>
      <c r="N189" s="34" t="e">
        <f>VLOOKUP(A1,DIV_03Data!$A$1:$DZU$1000000,3211,FALSE)</f>
        <v>#N/A</v>
      </c>
      <c r="O189" s="33" t="e">
        <f>VLOOKUP(A1,DIV_03Data!$A$1:$DZU$1000000,3212,FALSE)</f>
        <v>#N/A</v>
      </c>
      <c r="P189" s="46" t="e">
        <f>VLOOKUP(A1,DIV_03Data!$A$1:$DZU$1000000,3213,FALSE)</f>
        <v>#N/A</v>
      </c>
      <c r="Q189" s="33" t="e">
        <f>VLOOKUP(A1,DIV_03Data!$A$1:$DZU$1000000,3214,FALSE)</f>
        <v>#N/A</v>
      </c>
    </row>
    <row r="190" spans="1:17" x14ac:dyDescent="0.35">
      <c r="A190" s="22" t="e">
        <f>VLOOKUP(A1,DIV_03Data!$A$1:$DZU$1000000,3215,FALSE)</f>
        <v>#N/A</v>
      </c>
      <c r="B190" s="37" t="e">
        <f>VLOOKUP(A1,DIV_03Data!$A$1:$DZU$1000000,3216,FALSE)</f>
        <v>#N/A</v>
      </c>
      <c r="C190" s="38" t="e">
        <f>VLOOKUP(A1,DIV_03Data!$A$1:$DZU$1000000,3217,FALSE)</f>
        <v>#N/A</v>
      </c>
      <c r="D190" s="31" t="e">
        <f>VLOOKUP(A1,DIV_03Data!$A$1:$DZU$1000000,3218,FALSE)</f>
        <v>#N/A</v>
      </c>
      <c r="E190" s="32" t="e">
        <f>VLOOKUP(A1,DIV_03Data!$A$1:$DZU$1000000,3219,FALSE)</f>
        <v>#N/A</v>
      </c>
      <c r="F190" s="34" t="e">
        <f>VLOOKUP(A1,DIV_03Data!$A$1:$DZU$1000000,3220,FALSE)</f>
        <v>#N/A</v>
      </c>
      <c r="G190" s="33" t="e">
        <f>VLOOKUP(A1,DIV_03Data!$A$1:$DZU$1000000,3221,FALSE)</f>
        <v>#N/A</v>
      </c>
      <c r="H190" s="34" t="e">
        <f>VLOOKUP(A1,DIV_03Data!$A$1:$DZU$1000000,3222,FALSE)</f>
        <v>#N/A</v>
      </c>
      <c r="I190" s="33" t="e">
        <f>VLOOKUP(A1,DIV_03Data!$A$1:$DZU$1000000,3223,FALSE)</f>
        <v>#N/A</v>
      </c>
      <c r="J190" s="34" t="e">
        <f>VLOOKUP(A1,DIV_03Data!$A$1:$DZU$1000000,3224,FALSE)</f>
        <v>#N/A</v>
      </c>
      <c r="K190" s="34" t="e">
        <f>VLOOKUP(A1,DIV_03Data!$A$1:$DZU$1000000,3225,FALSE)</f>
        <v>#N/A</v>
      </c>
      <c r="L190" s="93" t="e">
        <f>VLOOKUP(A1,DIV_03Data!$A$1:$DZU$1000000,3226,FALSE)</f>
        <v>#N/A</v>
      </c>
      <c r="M190" s="33" t="e">
        <f>VLOOKUP(A1,DIV_03Data!$A$1:$DZU$1000000,3227,FALSE)</f>
        <v>#N/A</v>
      </c>
      <c r="N190" s="34" t="e">
        <f>VLOOKUP(A1,DIV_03Data!$A$1:$DZU$1000000,3228,FALSE)</f>
        <v>#N/A</v>
      </c>
      <c r="O190" s="33" t="e">
        <f>VLOOKUP(A1,DIV_03Data!$A$1:$DZU$1000000,3229,FALSE)</f>
        <v>#N/A</v>
      </c>
      <c r="P190" s="46" t="e">
        <f>VLOOKUP(A1,DIV_03Data!$A$1:$DZU$1000000,3230,FALSE)</f>
        <v>#N/A</v>
      </c>
      <c r="Q190" s="33" t="e">
        <f>VLOOKUP(A1,DIV_03Data!$A$1:$DZU$1000000,3231,FALSE)</f>
        <v>#N/A</v>
      </c>
    </row>
    <row r="191" spans="1:17" x14ac:dyDescent="0.35">
      <c r="A191" s="22" t="e">
        <f>VLOOKUP(A1,DIV_03Data!$A$1:$DZU$1000000,3232,FALSE)</f>
        <v>#N/A</v>
      </c>
      <c r="B191" s="37" t="e">
        <f>VLOOKUP(A1,DIV_03Data!$A$1:$DZU$1000000,3233,FALSE)</f>
        <v>#N/A</v>
      </c>
      <c r="C191" s="43" t="e">
        <f>VLOOKUP(A1,DIV_03Data!$A$1:$DZU$1000000,3234,FALSE)</f>
        <v>#N/A</v>
      </c>
      <c r="D191" s="31" t="e">
        <f>VLOOKUP(A1,DIV_03Data!$A$1:$DZU$1000000,3235,FALSE)</f>
        <v>#N/A</v>
      </c>
      <c r="E191" s="32" t="e">
        <f>VLOOKUP(A1,DIV_03Data!$A$1:$DZU$1000000,3236,FALSE)</f>
        <v>#N/A</v>
      </c>
      <c r="F191" s="44" t="e">
        <f>VLOOKUP(A1,DIV_03Data!$A$1:$DZU$1000000,3237,FALSE)</f>
        <v>#N/A</v>
      </c>
      <c r="G191" s="45" t="e">
        <f>VLOOKUP(A1,DIV_03Data!$A$1:$DZU$1000000,3238,FALSE)</f>
        <v>#N/A</v>
      </c>
      <c r="H191" s="44" t="e">
        <f>VLOOKUP(A1,DIV_03Data!$A$1:$DZU$1000000,3239,FALSE)</f>
        <v>#N/A</v>
      </c>
      <c r="I191" s="45" t="e">
        <f>VLOOKUP(A1,DIV_03Data!$A$1:$DZU$1000000,3240,FALSE)</f>
        <v>#N/A</v>
      </c>
      <c r="J191" s="34" t="e">
        <f>VLOOKUP(A1,DIV_03Data!$A$1:$DZU$1000000,3241,FALSE)</f>
        <v>#N/A</v>
      </c>
      <c r="K191" s="43" t="e">
        <f>VLOOKUP(A1,DIV_03Data!$A$1:$DZU$1000000,3242,FALSE)</f>
        <v>#N/A</v>
      </c>
      <c r="L191" s="44" t="e">
        <f>VLOOKUP(A1,DIV_03Data!$A$1:$DZU$1000000,3243,FALSE)</f>
        <v>#N/A</v>
      </c>
      <c r="M191" s="45" t="e">
        <f>VLOOKUP(A1,DIV_03Data!$A$1:$DZU$1000000,3244,FALSE)</f>
        <v>#N/A</v>
      </c>
      <c r="N191" s="44" t="e">
        <f>VLOOKUP(A1,DIV_03Data!$A$1:$DZU$1000000,3245,FALSE)</f>
        <v>#N/A</v>
      </c>
      <c r="O191" s="45" t="e">
        <f>VLOOKUP(A1,DIV_03Data!$A$1:$DZU$1000000,3246,FALSE)</f>
        <v>#N/A</v>
      </c>
      <c r="P191" s="46" t="e">
        <f>VLOOKUP(A1,DIV_03Data!$A$1:$DZU$1000000,3247,FALSE)</f>
        <v>#N/A</v>
      </c>
      <c r="Q191" s="45" t="e">
        <f>VLOOKUP(A1,DIV_03Data!$A$1:$DZU$1000000,3248,FALSE)</f>
        <v>#N/A</v>
      </c>
    </row>
    <row r="192" spans="1:17" x14ac:dyDescent="0.35">
      <c r="A192" s="22" t="e">
        <f>VLOOKUP(A1,DIV_03Data!$A$1:$DZU$1000000,3249,FALSE)</f>
        <v>#N/A</v>
      </c>
      <c r="B192" s="37" t="e">
        <f>VLOOKUP(A1,DIV_03Data!$A$1:$DZU$1000000,3250,FALSE)</f>
        <v>#N/A</v>
      </c>
      <c r="C192" s="38" t="e">
        <f>VLOOKUP(A1,DIV_03Data!$A$1:$DZU$1000000,3251,FALSE)</f>
        <v>#N/A</v>
      </c>
      <c r="D192" s="31" t="e">
        <f>VLOOKUP(A1,DIV_03Data!$A$1:$DZU$1000000,3252,FALSE)</f>
        <v>#N/A</v>
      </c>
      <c r="E192" s="32" t="e">
        <f>VLOOKUP(A1,DIV_03Data!$A$1:$DZU$1000000,3253,FALSE)</f>
        <v>#N/A</v>
      </c>
      <c r="F192" s="34" t="e">
        <f>VLOOKUP(A1,DIV_03Data!$A$1:$DZU$1000000,3254,FALSE)</f>
        <v>#N/A</v>
      </c>
      <c r="G192" s="33" t="e">
        <f>VLOOKUP(A1,DIV_03Data!$A$1:$DZU$1000000,3255,FALSE)</f>
        <v>#N/A</v>
      </c>
      <c r="H192" s="34" t="e">
        <f>VLOOKUP(A1,DIV_03Data!$A$1:$DZU$1000000,3256,FALSE)</f>
        <v>#N/A</v>
      </c>
      <c r="I192" s="33" t="e">
        <f>VLOOKUP(A1,DIV_03Data!$A$1:$DZU$1000000,3257,FALSE)</f>
        <v>#N/A</v>
      </c>
      <c r="J192" s="34" t="e">
        <f>VLOOKUP(A1,DIV_03Data!$A$1:$DZU$1000000,3258,FALSE)</f>
        <v>#N/A</v>
      </c>
      <c r="K192" s="34" t="e">
        <f>VLOOKUP(A1,DIV_03Data!$A$1:$DZU$1000000,3259,FALSE)</f>
        <v>#N/A</v>
      </c>
      <c r="L192" s="34" t="e">
        <f>VLOOKUP(A1,DIV_03Data!$A$1:$DZU$1000000,3260,FALSE)</f>
        <v>#N/A</v>
      </c>
      <c r="M192" s="33" t="e">
        <f>VLOOKUP(A1,DIV_03Data!$A$1:$DZU$1000000,3261,FALSE)</f>
        <v>#N/A</v>
      </c>
      <c r="N192" s="34" t="e">
        <f>VLOOKUP(A1,DIV_03Data!$A$1:$DZU$1000000,3262,FALSE)</f>
        <v>#N/A</v>
      </c>
      <c r="O192" s="33" t="e">
        <f>VLOOKUP(A1,DIV_03Data!$A$1:$DZU$1000000,3263,FALSE)</f>
        <v>#N/A</v>
      </c>
      <c r="P192" s="46" t="e">
        <f>VLOOKUP(A1,DIV_03Data!$A$1:$DZU$1000000,3264,FALSE)</f>
        <v>#N/A</v>
      </c>
      <c r="Q192" s="33" t="e">
        <f>VLOOKUP(A1,DIV_03Data!$A$1:$DZU$1000000,3265,FALSE)</f>
        <v>#N/A</v>
      </c>
    </row>
    <row r="193" spans="1:17" x14ac:dyDescent="0.35">
      <c r="A193" s="22" t="e">
        <f>VLOOKUP(A1,DIV_03Data!$A$1:$DZU$1000000,3266,FALSE)</f>
        <v>#N/A</v>
      </c>
      <c r="B193" s="37" t="e">
        <f>VLOOKUP(A1,DIV_03Data!$A$1:$DZU$1000000,3267,FALSE)</f>
        <v>#N/A</v>
      </c>
      <c r="C193" s="30" t="e">
        <f>VLOOKUP(A1,DIV_03Data!$A$1:$DZU$1000000,3268,FALSE)</f>
        <v>#N/A</v>
      </c>
      <c r="D193" s="31" t="e">
        <f>VLOOKUP(A1,DIV_03Data!$A$1:$DZU$1000000,3269,FALSE)</f>
        <v>#N/A</v>
      </c>
      <c r="E193" s="32" t="e">
        <f>VLOOKUP(A1,DIV_03Data!$A$1:$DZU$1000000,3270,FALSE)</f>
        <v>#N/A</v>
      </c>
      <c r="F193" s="34" t="e">
        <f>VLOOKUP(A1,DIV_03Data!$A$1:$DZU$1000000,3271,FALSE)</f>
        <v>#N/A</v>
      </c>
      <c r="G193" s="33" t="e">
        <f>VLOOKUP(A1,DIV_03Data!$A$1:$DZU$1000000,3272,FALSE)</f>
        <v>#N/A</v>
      </c>
      <c r="H193" s="34" t="e">
        <f>VLOOKUP(A1,DIV_03Data!$A$1:$DZU$1000000,3273,FALSE)</f>
        <v>#N/A</v>
      </c>
      <c r="I193" s="33" t="e">
        <f>VLOOKUP(A1,DIV_03Data!$A$1:$DZU$1000000,3274,FALSE)</f>
        <v>#N/A</v>
      </c>
      <c r="J193" s="34" t="e">
        <f>VLOOKUP(A1,DIV_03Data!$A$1:$DZU$1000000,3275,FALSE)</f>
        <v>#N/A</v>
      </c>
      <c r="K193" s="34" t="e">
        <f>VLOOKUP(A1,DIV_03Data!$A$1:$DZU$1000000,3276,FALSE)</f>
        <v>#N/A</v>
      </c>
      <c r="L193" s="34" t="e">
        <f>VLOOKUP(A1,DIV_03Data!$A$1:$DZU$1000000,3277,FALSE)</f>
        <v>#N/A</v>
      </c>
      <c r="M193" s="33" t="e">
        <f>VLOOKUP(A1,DIV_03Data!$A$1:$DZU$1000000,3278,FALSE)</f>
        <v>#N/A</v>
      </c>
      <c r="N193" s="34" t="e">
        <f>VLOOKUP(A1,DIV_03Data!$A$1:$DZU$1000000,3279,FALSE)</f>
        <v>#N/A</v>
      </c>
      <c r="O193" s="33" t="e">
        <f>VLOOKUP(A1,DIV_03Data!$A$1:$DZU$1000000,3280,FALSE)</f>
        <v>#N/A</v>
      </c>
      <c r="P193" s="46" t="e">
        <f>VLOOKUP(A1,DIV_03Data!$A$1:$DZU$1000000,3281,FALSE)</f>
        <v>#N/A</v>
      </c>
      <c r="Q193" s="33" t="e">
        <f>VLOOKUP(A1,DIV_03Data!$A$1:$DZU$1000000,3282,FALSE)</f>
        <v>#N/A</v>
      </c>
    </row>
    <row r="194" spans="1:17" x14ac:dyDescent="0.35">
      <c r="A194" s="22" t="e">
        <f>VLOOKUP(A1,DIV_03Data!$A$1:$DZU$1000000,3283,FALSE)</f>
        <v>#N/A</v>
      </c>
      <c r="B194" s="37" t="e">
        <f>VLOOKUP(A1,DIV_03Data!$A$1:$DZU$1000000,3284,FALSE)</f>
        <v>#N/A</v>
      </c>
      <c r="C194" s="38" t="e">
        <f>VLOOKUP(A1,DIV_03Data!$A$1:$DZU$1000000,3285,FALSE)</f>
        <v>#N/A</v>
      </c>
      <c r="D194" s="31" t="e">
        <f>VLOOKUP(A1,DIV_03Data!$A$1:$DZU$1000000,3286,FALSE)</f>
        <v>#N/A</v>
      </c>
      <c r="E194" s="32" t="e">
        <f>VLOOKUP(A1,DIV_03Data!$A$1:$DZU$1000000,3287,FALSE)</f>
        <v>#N/A</v>
      </c>
      <c r="F194" s="34" t="e">
        <f>VLOOKUP(A1,DIV_03Data!$A$1:$DZU$1000000,3288,FALSE)</f>
        <v>#N/A</v>
      </c>
      <c r="G194" s="33" t="e">
        <f>VLOOKUP(A1,DIV_03Data!$A$1:$DZU$1000000,3289,FALSE)</f>
        <v>#N/A</v>
      </c>
      <c r="H194" s="34" t="e">
        <f>VLOOKUP(A1,DIV_03Data!$A$1:$DZU$1000000,3290,FALSE)</f>
        <v>#N/A</v>
      </c>
      <c r="I194" s="33" t="e">
        <f>VLOOKUP(A1,DIV_03Data!$A$1:$DZU$1000000,3291,FALSE)</f>
        <v>#N/A</v>
      </c>
      <c r="J194" s="34" t="e">
        <f>VLOOKUP(A1,DIV_03Data!$A$1:$DZU$1000000,3292,FALSE)</f>
        <v>#N/A</v>
      </c>
      <c r="K194" s="34" t="e">
        <f>VLOOKUP(A1,DIV_03Data!$A$1:$DZU$1000000,3293,FALSE)</f>
        <v>#N/A</v>
      </c>
      <c r="L194" s="93" t="e">
        <f>VLOOKUP(A1,DIV_03Data!$A$1:$DZU$1000000,3294,FALSE)</f>
        <v>#N/A</v>
      </c>
      <c r="M194" s="33" t="e">
        <f>VLOOKUP(A1,DIV_03Data!$A$1:$DZU$1000000,3295,FALSE)</f>
        <v>#N/A</v>
      </c>
      <c r="N194" s="34" t="e">
        <f>VLOOKUP(A1,DIV_03Data!$A$1:$DZU$1000000,3296,FALSE)</f>
        <v>#N/A</v>
      </c>
      <c r="O194" s="33" t="e">
        <f>VLOOKUP(A1,DIV_03Data!$A$1:$DZU$1000000,3297,FALSE)</f>
        <v>#N/A</v>
      </c>
      <c r="P194" s="46" t="e">
        <f>VLOOKUP(A1,DIV_03Data!$A$1:$DZU$1000000,3298,FALSE)</f>
        <v>#N/A</v>
      </c>
      <c r="Q194" s="33" t="e">
        <f>VLOOKUP(A1,DIV_03Data!$A$1:$DZU$1000000,3299,FALSE)</f>
        <v>#N/A</v>
      </c>
    </row>
    <row r="195" spans="1:17" x14ac:dyDescent="0.35">
      <c r="A195" s="22" t="e">
        <f>VLOOKUP(A1,DIV_03Data!$A$1:$DZU$1000000,3300,FALSE)</f>
        <v>#N/A</v>
      </c>
      <c r="B195" s="37" t="e">
        <f>VLOOKUP(A1,DIV_03Data!$A$1:$DZU$1000000,3301,FALSE)</f>
        <v>#N/A</v>
      </c>
      <c r="C195" s="38" t="e">
        <f>VLOOKUP(A1,DIV_03Data!$A$1:$DZU$1000000,3302,FALSE)</f>
        <v>#N/A</v>
      </c>
      <c r="D195" s="31" t="e">
        <f>VLOOKUP(A1,DIV_03Data!$A$1:$DZU$1000000,3303,FALSE)</f>
        <v>#N/A</v>
      </c>
      <c r="E195" s="32" t="e">
        <f>VLOOKUP(A1,DIV_03Data!$A$1:$DZU$1000000,3304,FALSE)</f>
        <v>#N/A</v>
      </c>
      <c r="F195" s="34" t="e">
        <f>VLOOKUP(A1,DIV_03Data!$A$1:$DZU$1000000,3305,FALSE)</f>
        <v>#N/A</v>
      </c>
      <c r="G195" s="33" t="e">
        <f>VLOOKUP(A1,DIV_03Data!$A$1:$DZU$1000000,3306,FALSE)</f>
        <v>#N/A</v>
      </c>
      <c r="H195" s="34" t="e">
        <f>VLOOKUP(A1,DIV_03Data!$A$1:$DZU$1000000,3307,FALSE)</f>
        <v>#N/A</v>
      </c>
      <c r="I195" s="33" t="e">
        <f>VLOOKUP(A1,DIV_03Data!$A$1:$DZU$1000000,3308,FALSE)</f>
        <v>#N/A</v>
      </c>
      <c r="J195" s="34" t="e">
        <f>VLOOKUP(A1,DIV_03Data!$A$1:$DZU$1000000,3309,FALSE)</f>
        <v>#N/A</v>
      </c>
      <c r="K195" s="34" t="e">
        <f>VLOOKUP(A1,DIV_03Data!$A$1:$DZU$1000000,3310,FALSE)</f>
        <v>#N/A</v>
      </c>
      <c r="L195" s="93" t="e">
        <f>VLOOKUP(A1,DIV_03Data!$A$1:$DZU$1000000,3311,FALSE)</f>
        <v>#N/A</v>
      </c>
      <c r="M195" s="33" t="e">
        <f>VLOOKUP(A1,DIV_03Data!$A$1:$DZU$1000000,3312,FALSE)</f>
        <v>#N/A</v>
      </c>
      <c r="N195" s="34" t="e">
        <f>VLOOKUP(A1,DIV_03Data!$A$1:$DZU$1000000,3313,FALSE)</f>
        <v>#N/A</v>
      </c>
      <c r="O195" s="33" t="e">
        <f>VLOOKUP(A1,DIV_03Data!$A$1:$DZU$1000000,3314,FALSE)</f>
        <v>#N/A</v>
      </c>
      <c r="P195" s="46" t="e">
        <f>VLOOKUP(A1,DIV_03Data!$A$1:$DZU$1000000,3315,FALSE)</f>
        <v>#N/A</v>
      </c>
      <c r="Q195" s="33" t="e">
        <f>VLOOKUP(A1,DIV_03Data!$A$1:$DZU$1000000,3316,FALSE)</f>
        <v>#N/A</v>
      </c>
    </row>
    <row r="196" spans="1:17" x14ac:dyDescent="0.35">
      <c r="A196" s="22" t="e">
        <f>VLOOKUP(A1,DIV_03Data!$A$1:$DZU$1000000,3317,FALSE)</f>
        <v>#N/A</v>
      </c>
      <c r="B196" s="37" t="e">
        <f>VLOOKUP(A1,DIV_03Data!$A$1:$DZU$1000000,3318,FALSE)</f>
        <v>#N/A</v>
      </c>
      <c r="C196" s="38" t="e">
        <f>VLOOKUP(A1,DIV_03Data!$A$1:$DZU$1000000,3319,FALSE)</f>
        <v>#N/A</v>
      </c>
      <c r="D196" s="31" t="e">
        <f>VLOOKUP(A1,DIV_03Data!$A$1:$DZU$1000000,3320,FALSE)</f>
        <v>#N/A</v>
      </c>
      <c r="E196" s="32" t="e">
        <f>VLOOKUP(A1,DIV_03Data!$A$1:$DZU$1000000,3321,FALSE)</f>
        <v>#N/A</v>
      </c>
      <c r="F196" s="34" t="e">
        <f>VLOOKUP(A1,DIV_03Data!$A$1:$DZU$1000000,3322,FALSE)</f>
        <v>#N/A</v>
      </c>
      <c r="G196" s="33" t="e">
        <f>VLOOKUP(A1,DIV_03Data!$A$1:$DZU$1000000,3323,FALSE)</f>
        <v>#N/A</v>
      </c>
      <c r="H196" s="34" t="e">
        <f>VLOOKUP(A1,DIV_03Data!$A$1:$DZU$1000000,3324,FALSE)</f>
        <v>#N/A</v>
      </c>
      <c r="I196" s="33" t="e">
        <f>VLOOKUP(A1,DIV_03Data!$A$1:$DZU$1000000,3325,FALSE)</f>
        <v>#N/A</v>
      </c>
      <c r="J196" s="34" t="e">
        <f>VLOOKUP(A1,DIV_03Data!$A$1:$DZU$1000000,3326,FALSE)</f>
        <v>#N/A</v>
      </c>
      <c r="K196" s="34" t="e">
        <f>VLOOKUP(A1,DIV_03Data!$A$1:$DZU$1000000,3327,FALSE)</f>
        <v>#N/A</v>
      </c>
      <c r="L196" s="93" t="e">
        <f>VLOOKUP(A1,DIV_03Data!$A$1:$DZU$1000000,3328,FALSE)</f>
        <v>#N/A</v>
      </c>
      <c r="M196" s="33" t="e">
        <f>VLOOKUP(A1,DIV_03Data!$A$1:$DZU$1000000,3329,FALSE)</f>
        <v>#N/A</v>
      </c>
      <c r="N196" s="34" t="e">
        <f>VLOOKUP(A1,DIV_03Data!$A$1:$DZU$1000000,3330,FALSE)</f>
        <v>#N/A</v>
      </c>
      <c r="O196" s="33" t="e">
        <f>VLOOKUP(A1,DIV_03Data!$A$1:$DZU$1000000,3331,FALSE)</f>
        <v>#N/A</v>
      </c>
      <c r="P196" s="46" t="e">
        <f>VLOOKUP(A1,DIV_03Data!$A$1:$DZU$1000000,3332,FALSE)</f>
        <v>#N/A</v>
      </c>
      <c r="Q196" s="33" t="e">
        <f>VLOOKUP(A1,DIV_03Data!$A$1:$DZU$1000000,3333,FALSE)</f>
        <v>#N/A</v>
      </c>
    </row>
    <row r="197" spans="1:17" x14ac:dyDescent="0.35">
      <c r="A197" s="22" t="e">
        <f>VLOOKUP(A1,DIV_03Data!$A$1:$DZU$1000000,3334,FALSE)</f>
        <v>#N/A</v>
      </c>
      <c r="B197" s="37" t="e">
        <f>VLOOKUP(A1,DIV_03Data!$A$1:$DZU$1000000,3335,FALSE)</f>
        <v>#N/A</v>
      </c>
      <c r="C197" s="43" t="e">
        <f>VLOOKUP(A1,DIV_03Data!$A$1:$DZU$1000000,3336,FALSE)</f>
        <v>#N/A</v>
      </c>
      <c r="D197" s="31" t="e">
        <f>VLOOKUP(A1,DIV_03Data!$A$1:$DZU$1000000,3337,FALSE)</f>
        <v>#N/A</v>
      </c>
      <c r="E197" s="32" t="e">
        <f>VLOOKUP(A1,DIV_03Data!$A$1:$DZU$1000000,3338,FALSE)</f>
        <v>#N/A</v>
      </c>
      <c r="F197" s="44" t="e">
        <f>VLOOKUP(A1,DIV_03Data!$A$1:$DZU$1000000,3339,FALSE)</f>
        <v>#N/A</v>
      </c>
      <c r="G197" s="45" t="e">
        <f>VLOOKUP(A1,DIV_03Data!$A$1:$DZU$1000000,3340,FALSE)</f>
        <v>#N/A</v>
      </c>
      <c r="H197" s="44" t="e">
        <f>VLOOKUP(A1,DIV_03Data!$A$1:$DZU$1000000,3341,FALSE)</f>
        <v>#N/A</v>
      </c>
      <c r="I197" s="45" t="e">
        <f>VLOOKUP(A1,DIV_03Data!$A$1:$DZU$1000000,3342,FALSE)</f>
        <v>#N/A</v>
      </c>
      <c r="J197" s="34" t="e">
        <f>VLOOKUP(A1,DIV_03Data!$A$1:$DZU$1000000,3343,FALSE)</f>
        <v>#N/A</v>
      </c>
      <c r="K197" s="43" t="e">
        <f>VLOOKUP(A1,DIV_03Data!$A$1:$DZU$1000000,3344,FALSE)</f>
        <v>#N/A</v>
      </c>
      <c r="L197" s="44" t="e">
        <f>VLOOKUP(A1,DIV_03Data!$A$1:$DZU$1000000,3345,FALSE)</f>
        <v>#N/A</v>
      </c>
      <c r="M197" s="45" t="e">
        <f>VLOOKUP(A1,DIV_03Data!$A$1:$DZU$1000000,3346,FALSE)</f>
        <v>#N/A</v>
      </c>
      <c r="N197" s="44" t="e">
        <f>VLOOKUP(A1,DIV_03Data!$A$1:$DZU$1000000,3347,FALSE)</f>
        <v>#N/A</v>
      </c>
      <c r="O197" s="45" t="e">
        <f>VLOOKUP(A1,DIV_03Data!$A$1:$DZU$1000000,3348,FALSE)</f>
        <v>#N/A</v>
      </c>
      <c r="P197" s="36" t="e">
        <f>VLOOKUP(A1,DIV_03Data!$A$1:$DZU$1000000,3349,FALSE)</f>
        <v>#N/A</v>
      </c>
      <c r="Q197" s="45" t="e">
        <f>VLOOKUP(A1,DIV_03Data!$A$1:$DZU$1000000,3350,FALSE)</f>
        <v>#N/A</v>
      </c>
    </row>
    <row r="198" spans="1:17" x14ac:dyDescent="0.35">
      <c r="A198" s="22" t="e">
        <f>VLOOKUP(A1,DIV_03Data!$A$1:$DZU$1000000,3351,FALSE)</f>
        <v>#N/A</v>
      </c>
      <c r="B198" s="37" t="e">
        <f>VLOOKUP(A1,DIV_03Data!$A$1:$DZU$1000000,3352,FALSE)</f>
        <v>#N/A</v>
      </c>
      <c r="C198" s="38" t="e">
        <f>VLOOKUP(A1,DIV_03Data!$A$1:$DZU$1000000,3353,FALSE)</f>
        <v>#N/A</v>
      </c>
      <c r="D198" s="31" t="e">
        <f>VLOOKUP(A1,DIV_03Data!$A$1:$DZU$1000000,3354,FALSE)</f>
        <v>#N/A</v>
      </c>
      <c r="E198" s="32" t="e">
        <f>VLOOKUP(A1,DIV_03Data!$A$1:$DZU$1000000,3355,FALSE)</f>
        <v>#N/A</v>
      </c>
      <c r="F198" s="34" t="e">
        <f>VLOOKUP(A1,DIV_03Data!$A$1:$DZU$1000000,3356,FALSE)</f>
        <v>#N/A</v>
      </c>
      <c r="G198" s="33" t="e">
        <f>VLOOKUP(A1,DIV_03Data!$A$1:$DZU$1000000,3357,FALSE)</f>
        <v>#N/A</v>
      </c>
      <c r="H198" s="34" t="e">
        <f>VLOOKUP(A1,DIV_03Data!$A$1:$DZU$1000000,3358,FALSE)</f>
        <v>#N/A</v>
      </c>
      <c r="I198" s="33" t="e">
        <f>VLOOKUP(A1,DIV_03Data!$A$1:$DZU$1000000,3359,FALSE)</f>
        <v>#N/A</v>
      </c>
      <c r="J198" s="34" t="e">
        <f>VLOOKUP(A1,DIV_03Data!$A$1:$DZU$1000000,3360,FALSE)</f>
        <v>#N/A</v>
      </c>
      <c r="K198" s="34" t="e">
        <f>VLOOKUP(A1,DIV_03Data!$A$1:$DZU$1000000,3361,FALSE)</f>
        <v>#N/A</v>
      </c>
      <c r="L198" s="34" t="e">
        <f>VLOOKUP(A1,DIV_03Data!$A$1:$DZU$1000000,3362,FALSE)</f>
        <v>#N/A</v>
      </c>
      <c r="M198" s="33" t="e">
        <f>VLOOKUP(A1,DIV_03Data!$A$1:$DZU$1000000,3363,FALSE)</f>
        <v>#N/A</v>
      </c>
      <c r="N198" s="34" t="e">
        <f>VLOOKUP(A1,DIV_03Data!$A$1:$DZU$1000000,3364,FALSE)</f>
        <v>#N/A</v>
      </c>
      <c r="O198" s="35" t="e">
        <f>VLOOKUP(A1,DIV_03Data!$A$1:$DZU$1000000,3365,FALSE)</f>
        <v>#N/A</v>
      </c>
      <c r="P198" s="36" t="e">
        <f>VLOOKUP(A1,DIV_03Data!$A$1:$DZU$1000000,3366,FALSE)</f>
        <v>#N/A</v>
      </c>
      <c r="Q198" s="35" t="e">
        <f>VLOOKUP(A1,DIV_03Data!$A$1:$DZU$1000000,3367,FALSE)</f>
        <v>#N/A</v>
      </c>
    </row>
    <row r="199" spans="1:17" x14ac:dyDescent="0.35">
      <c r="A199" s="62" t="e">
        <f>VLOOKUP(A1,DIV_03Data!$A$1:$DZU$1000000,3368,FALSE)</f>
        <v>#N/A</v>
      </c>
      <c r="B199" s="63" t="e">
        <f>VLOOKUP(A1,DIV_03Data!$A$1:$DZU$1000000,3369,FALSE)</f>
        <v>#N/A</v>
      </c>
      <c r="C199" s="64" t="e">
        <f>VLOOKUP(A1,DIV_03Data!$A$1:$DZU$1000000,3370,FALSE)</f>
        <v>#N/A</v>
      </c>
      <c r="D199" s="65" t="e">
        <f>VLOOKUP(A1,DIV_03Data!$A$1:$DZU$1000000,3371,FALSE)</f>
        <v>#N/A</v>
      </c>
      <c r="E199" s="66" t="e">
        <f>VLOOKUP(A1,DIV_03Data!$A$1:$DZU$1000000,3372,FALSE)</f>
        <v>#N/A</v>
      </c>
      <c r="F199" s="67" t="e">
        <f>VLOOKUP(A1,DIV_03Data!$A$1:$DZU$1000000,3373,FALSE)</f>
        <v>#N/A</v>
      </c>
      <c r="G199" s="68" t="e">
        <f>VLOOKUP(A1,DIV_03Data!$A$1:$DZU$1000000,3374,FALSE)</f>
        <v>#N/A</v>
      </c>
      <c r="H199" s="67" t="e">
        <f>VLOOKUP(A1,DIV_03Data!$A$1:$DZU$1000000,3375,FALSE)</f>
        <v>#N/A</v>
      </c>
      <c r="I199" s="68" t="e">
        <f>VLOOKUP(A1,DIV_03Data!$A$1:$DZU$1000000,3376,FALSE)</f>
        <v>#N/A</v>
      </c>
      <c r="J199" s="67" t="e">
        <f>VLOOKUP(A1,DIV_03Data!$A$1:$DZU$1000000,3377,FALSE)</f>
        <v>#N/A</v>
      </c>
      <c r="K199" s="69" t="e">
        <f>VLOOKUP(A1,DIV_03Data!$A$1:$DZU$1000000,3378,FALSE)</f>
        <v>#N/A</v>
      </c>
      <c r="L199" s="67" t="e">
        <f>VLOOKUP(A1,DIV_03Data!$A$1:$DZU$1000000,3379,FALSE)</f>
        <v>#N/A</v>
      </c>
      <c r="M199" s="68" t="e">
        <f>VLOOKUP(A1,DIV_03Data!$A$1:$DZU$1000000,3380,FALSE)</f>
        <v>#N/A</v>
      </c>
      <c r="N199" s="67" t="e">
        <f>VLOOKUP(A1,DIV_03Data!$A$1:$DZU$1000000,3381,FALSE)</f>
        <v>#N/A</v>
      </c>
      <c r="O199" s="68" t="e">
        <f>VLOOKUP(A1,DIV_03Data!$A$1:$DZU$1000000,3382,FALSE)</f>
        <v>#N/A</v>
      </c>
      <c r="P199" s="70" t="e">
        <f>VLOOKUP(A1,DIV_03Data!$A$1:$DZU$1000000,3383,FALSE)</f>
        <v>#N/A</v>
      </c>
      <c r="Q199" s="68" t="e">
        <f>VLOOKUP(A1,DIV_03Data!$A$1:$DZU$1000000,3384,FALSE)</f>
        <v>#N/A</v>
      </c>
    </row>
    <row r="200" spans="1:17" x14ac:dyDescent="0.35">
      <c r="A200" s="1" t="e">
        <f>VLOOKUP(A1,DIV_03Data!$A$1:$DZU$1000000,3385,FALSE)</f>
        <v>#N/A</v>
      </c>
      <c r="B200" s="1" t="e">
        <f>VLOOKUP(A1,DIV_03Data!$A$1:$DZU$1000000,3386,FALSE)</f>
        <v>#N/A</v>
      </c>
      <c r="C200" s="1" t="e">
        <f>VLOOKUP(A1,DIV_03Data!$A$1:$DZU$1000000,3387,FALSE)</f>
        <v>#N/A</v>
      </c>
      <c r="D200" s="1" t="e">
        <f>VLOOKUP(A1,DIV_03Data!$A$1:$DZU$1000000,3388,FALSE)</f>
        <v>#N/A</v>
      </c>
      <c r="E200" s="1" t="e">
        <f>VLOOKUP(A1,DIV_03Data!$A$1:$DZU$1000000,3389,FALSE)</f>
        <v>#N/A</v>
      </c>
      <c r="F200" s="1" t="e">
        <f>VLOOKUP(A1,DIV_03Data!$A$1:$DZU$1000000,3390,FALSE)</f>
        <v>#N/A</v>
      </c>
      <c r="G200" s="1" t="e">
        <f>VLOOKUP(A1,DIV_03Data!$A$1:$DZU$1000000,3391,FALSE)</f>
        <v>#N/A</v>
      </c>
      <c r="H200" s="1" t="e">
        <f>VLOOKUP(A1,DIV_03Data!$A$1:$DZU$1000000,3392,FALSE)</f>
        <v>#N/A</v>
      </c>
      <c r="I200" s="1" t="e">
        <f>VLOOKUP(A1,DIV_03Data!$A$1:$DZU$1000000,3393,FALSE)</f>
        <v>#N/A</v>
      </c>
      <c r="J200" s="1" t="e">
        <f>VLOOKUP(A1,DIV_03Data!$A$1:$DZU$1000000,3394,FALSE)</f>
        <v>#N/A</v>
      </c>
      <c r="K200" s="1" t="e">
        <f>VLOOKUP(A1,DIV_03Data!$A$1:$DZU$1000000,3395,FALSE)</f>
        <v>#N/A</v>
      </c>
      <c r="L200" s="1" t="e">
        <f>VLOOKUP(A1,DIV_03Data!$A$1:$DZU$1000000,3396,FALSE)</f>
        <v>#N/A</v>
      </c>
      <c r="M200" s="1" t="e">
        <f>VLOOKUP(A1,DIV_03Data!$A$1:$DZU$1000000,3397,FALSE)</f>
        <v>#N/A</v>
      </c>
      <c r="N200" s="1" t="e">
        <f>VLOOKUP(A1,DIV_03Data!$A$1:$DZU$1000000,3398,FALSE)</f>
        <v>#N/A</v>
      </c>
      <c r="O200" s="1" t="e">
        <f>VLOOKUP(A1,DIV_03Data!$A$1:$DZU$1000000,3399,FALSE)</f>
        <v>#N/A</v>
      </c>
      <c r="P200" s="1" t="e">
        <f>VLOOKUP(A1,DIV_03Data!$A$1:$DZU$1000000,3400,FALSE)</f>
        <v>#N/A</v>
      </c>
      <c r="Q200" s="78" t="e">
        <f>VLOOKUP(A1,DIV_03Data!$A$1:$DZU$1000000,3401,FALSE)</f>
        <v>#N/A</v>
      </c>
    </row>
  </sheetData>
  <mergeCells count="9">
    <mergeCell ref="J5:K5"/>
    <mergeCell ref="J6:K6"/>
    <mergeCell ref="J7:K7"/>
    <mergeCell ref="B2:L2"/>
    <mergeCell ref="A3:B3"/>
    <mergeCell ref="D3:G3"/>
    <mergeCell ref="J3:K3"/>
    <mergeCell ref="A4:B4"/>
    <mergeCell ref="J4:K4"/>
  </mergeCells>
  <dataValidations count="1">
    <dataValidation type="list" allowBlank="1" showInputMessage="1" showErrorMessage="1" sqref="C16:C190" xr:uid="{CBB3CED3-6AAF-4FB7-B32C-B23EAB4E0D3F}">
      <formula1>$C$205:$C207</formula1>
    </dataValidation>
  </dataValidations>
  <hyperlinks>
    <hyperlink ref="D3" r:id="rId1" display="datamateapp@gmail.com" xr:uid="{5926FABF-C38A-4BA1-BF6D-E89D6F447946}"/>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34177" r:id="rId4" name="Button 1">
              <controlPr defaultSize="0" print="0" autoFill="0" autoPict="0" macro="[0]!ViewInput">
                <anchor moveWithCells="1" sizeWithCells="1">
                  <from>
                    <xdr:col>17</xdr:col>
                    <xdr:colOff>0</xdr:colOff>
                    <xdr:row>2</xdr:row>
                    <xdr:rowOff>50800</xdr:rowOff>
                  </from>
                  <to>
                    <xdr:col>19</xdr:col>
                    <xdr:colOff>44450</xdr:colOff>
                    <xdr:row>4</xdr:row>
                    <xdr:rowOff>95250</xdr:rowOff>
                  </to>
                </anchor>
              </controlPr>
            </control>
          </mc:Choice>
        </mc:AlternateContent>
        <mc:AlternateContent xmlns:mc="http://schemas.openxmlformats.org/markup-compatibility/2006">
          <mc:Choice Requires="x14">
            <control shapeId="434178" r:id="rId5" name="Button 2">
              <controlPr defaultSize="0" print="0" autoFill="0" autoPict="0" macro="[0]!ViewLog">
                <anchor moveWithCells="1" sizeWithCells="1">
                  <from>
                    <xdr:col>17</xdr:col>
                    <xdr:colOff>0</xdr:colOff>
                    <xdr:row>5</xdr:row>
                    <xdr:rowOff>50800</xdr:rowOff>
                  </from>
                  <to>
                    <xdr:col>19</xdr:col>
                    <xdr:colOff>44450</xdr:colOff>
                    <xdr:row>7</xdr:row>
                    <xdr:rowOff>57150</xdr:rowOff>
                  </to>
                </anchor>
              </controlPr>
            </control>
          </mc:Choice>
        </mc:AlternateContent>
        <mc:AlternateContent xmlns:mc="http://schemas.openxmlformats.org/markup-compatibility/2006">
          <mc:Choice Requires="x14">
            <control shapeId="434179" r:id="rId6" name="Button 3">
              <controlPr defaultSize="0" print="0" autoFill="0" autoPict="0" macro="[0]!OpenDataMateAppPage">
                <anchor moveWithCells="1" sizeWithCells="1">
                  <from>
                    <xdr:col>17</xdr:col>
                    <xdr:colOff>0</xdr:colOff>
                    <xdr:row>7</xdr:row>
                    <xdr:rowOff>177800</xdr:rowOff>
                  </from>
                  <to>
                    <xdr:col>19</xdr:col>
                    <xdr:colOff>44450</xdr:colOff>
                    <xdr:row>9</xdr:row>
                    <xdr:rowOff>177800</xdr:rowOff>
                  </to>
                </anchor>
              </controlPr>
            </control>
          </mc:Choice>
        </mc:AlternateContent>
        <mc:AlternateContent xmlns:mc="http://schemas.openxmlformats.org/markup-compatibility/2006">
          <mc:Choice Requires="x14">
            <control shapeId="434180" r:id="rId7" name="Button 4">
              <controlPr defaultSize="0" print="0" autoFill="0" autoPict="0" macro="RefreshView">
                <anchor moveWithCells="1" sizeWithCells="1">
                  <from>
                    <xdr:col>17</xdr:col>
                    <xdr:colOff>0</xdr:colOff>
                    <xdr:row>0</xdr:row>
                    <xdr:rowOff>0</xdr:rowOff>
                  </from>
                  <to>
                    <xdr:col>19</xdr:col>
                    <xdr:colOff>44450</xdr:colOff>
                    <xdr:row>2</xdr:row>
                    <xdr:rowOff>6350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62FCC39-F1D8-4FA6-BC29-BD3FB3CE4A6C}">
          <x14:formula1>
            <xm:f>DIV_02Data!$A:$A</xm:f>
          </x14:formula1>
          <xm:sqref>B2:L2</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183DF4-E3F5-4304-BE8A-01C6AA26609B}">
  <sheetPr codeName="Sheet39"/>
  <dimension ref="A2:B3"/>
  <sheetViews>
    <sheetView zoomScale="75" zoomScaleNormal="75" workbookViewId="0">
      <selection activeCell="C5" sqref="C5"/>
    </sheetView>
  </sheetViews>
  <sheetFormatPr defaultRowHeight="14.5" x14ac:dyDescent="0.35"/>
  <cols>
    <col min="1" max="1" width="28.26953125" style="1" customWidth="1"/>
    <col min="2" max="8" width="13.36328125" style="1" customWidth="1"/>
    <col min="9" max="9" width="50.36328125" style="1" customWidth="1"/>
    <col min="10" max="12" width="8.7265625" style="1"/>
    <col min="13" max="15" width="10.26953125" style="1" customWidth="1"/>
    <col min="16" max="16384" width="8.7265625" style="1"/>
  </cols>
  <sheetData>
    <row r="2" spans="1:2" ht="18.5" x14ac:dyDescent="0.45">
      <c r="A2" s="71" t="str">
        <f>DIV_03Input!A3</f>
        <v>DIV 03</v>
      </c>
    </row>
    <row r="3" spans="1:2" x14ac:dyDescent="0.35">
      <c r="A3" s="1" t="s">
        <v>21395</v>
      </c>
      <c r="B3" s="246">
        <f ca="1">TODAY()</f>
        <v>45603</v>
      </c>
    </row>
  </sheetData>
  <phoneticPr fontId="15"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87" r:id="rId3" name="Button 7">
              <controlPr defaultSize="0" print="0" autoFill="0" autoPict="0" macro="[0]!ViewInput">
                <anchor moveWithCells="1" sizeWithCells="1">
                  <from>
                    <xdr:col>16</xdr:col>
                    <xdr:colOff>603250</xdr:colOff>
                    <xdr:row>0</xdr:row>
                    <xdr:rowOff>0</xdr:rowOff>
                  </from>
                  <to>
                    <xdr:col>19</xdr:col>
                    <xdr:colOff>44450</xdr:colOff>
                    <xdr:row>2</xdr:row>
                    <xdr:rowOff>12700</xdr:rowOff>
                  </to>
                </anchor>
              </controlPr>
            </control>
          </mc:Choice>
        </mc:AlternateContent>
        <mc:AlternateContent xmlns:mc="http://schemas.openxmlformats.org/markup-compatibility/2006">
          <mc:Choice Requires="x14">
            <control shapeId="378888" r:id="rId4" name="Button 8">
              <controlPr defaultSize="0" print="0" autoFill="0" autoPict="0" macro="[0]!ViewView_Print">
                <anchor moveWithCells="1" sizeWithCells="1">
                  <from>
                    <xdr:col>16</xdr:col>
                    <xdr:colOff>603250</xdr:colOff>
                    <xdr:row>2</xdr:row>
                    <xdr:rowOff>38100</xdr:rowOff>
                  </from>
                  <to>
                    <xdr:col>19</xdr:col>
                    <xdr:colOff>44450</xdr:colOff>
                    <xdr:row>4</xdr:row>
                    <xdr:rowOff>50800</xdr:rowOff>
                  </to>
                </anchor>
              </controlPr>
            </control>
          </mc:Choice>
        </mc:AlternateContent>
        <mc:AlternateContent xmlns:mc="http://schemas.openxmlformats.org/markup-compatibility/2006">
          <mc:Choice Requires="x14">
            <control shapeId="378889" r:id="rId5" name="Button 9">
              <controlPr defaultSize="0" print="0" autoFill="0" autoPict="0" macro="[0]!ViewUpdate">
                <anchor moveWithCells="1" sizeWithCells="1">
                  <from>
                    <xdr:col>16</xdr:col>
                    <xdr:colOff>603250</xdr:colOff>
                    <xdr:row>4</xdr:row>
                    <xdr:rowOff>76200</xdr:rowOff>
                  </from>
                  <to>
                    <xdr:col>19</xdr:col>
                    <xdr:colOff>44450</xdr:colOff>
                    <xdr:row>6</xdr:row>
                    <xdr:rowOff>88900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E59E29-2024-4A36-BBA9-DA7951039A18}">
  <sheetPr codeName="Sheet40"/>
  <dimension ref="A1:P1"/>
  <sheetViews>
    <sheetView workbookViewId="0">
      <selection activeCell="B2" sqref="B2"/>
    </sheetView>
  </sheetViews>
  <sheetFormatPr defaultRowHeight="14.5" x14ac:dyDescent="0.35"/>
  <cols>
    <col min="1" max="1" width="8.7265625" style="76"/>
    <col min="2" max="4" width="8.7265625" style="1"/>
    <col min="5" max="5" width="22.08984375" style="76" customWidth="1"/>
    <col min="6" max="6" width="8.7265625" style="76"/>
    <col min="7" max="11" width="11.6328125" style="76" customWidth="1"/>
    <col min="12" max="12" width="12.26953125" style="76" customWidth="1"/>
    <col min="13" max="13" width="34.54296875" style="76" customWidth="1"/>
    <col min="14" max="16" width="8.7265625" style="76"/>
    <col min="17" max="16384" width="8.7265625" style="1"/>
  </cols>
  <sheetData>
    <row r="1" spans="2:16" x14ac:dyDescent="0.35">
      <c r="B1" s="73" t="str">
        <f>DIV_08View_Print!M1</f>
        <v>Update 1</v>
      </c>
      <c r="C1" s="73" t="str">
        <f>DIV_08View_Print!N1</f>
        <v>Update 2</v>
      </c>
      <c r="D1" s="73" t="str">
        <f>DIV_08View_Print!O1</f>
        <v>Update 3</v>
      </c>
      <c r="E1" s="74" t="str">
        <f>SEC_081000!A1</f>
        <v>AREA/FLOOR/ZONE</v>
      </c>
      <c r="F1" s="74" t="str">
        <f>SEC_081000!B1</f>
        <v>Page</v>
      </c>
      <c r="G1" s="74" t="str">
        <f>SEC_081000!C1</f>
        <v>SUB COST</v>
      </c>
      <c r="H1" s="74" t="str">
        <f>SEC_081000!D1</f>
        <v>MAT COST</v>
      </c>
      <c r="I1" s="74" t="str">
        <f>SEC_081000!E1</f>
        <v>LAB COST</v>
      </c>
      <c r="J1" s="74" t="str">
        <f>SEC_081000!F1</f>
        <v>EQUIP COST</v>
      </c>
      <c r="K1" s="74" t="str">
        <f>SEC_081000!G1</f>
        <v>Total Cost</v>
      </c>
      <c r="L1" s="74" t="str">
        <f>SEC_081000!H1</f>
        <v>Date</v>
      </c>
      <c r="M1" s="74" t="str">
        <f>SEC_081000!I1</f>
        <v>Description</v>
      </c>
      <c r="N1" s="74" t="str">
        <f>SEC_081000!J1</f>
        <v>Log 10</v>
      </c>
      <c r="O1" s="74" t="str">
        <f>SEC_081000!K1</f>
        <v>Log 11</v>
      </c>
      <c r="P1" s="75" t="str">
        <f>SEC_081000!L1</f>
        <v>Log 12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35201" r:id="rId3" name="Button 1">
              <controlPr defaultSize="0" print="0" autoFill="0" autoPict="0" macro="[0]!ViewLog">
                <anchor moveWithCells="1" sizeWithCells="1">
                  <from>
                    <xdr:col>17</xdr:col>
                    <xdr:colOff>0</xdr:colOff>
                    <xdr:row>0</xdr:row>
                    <xdr:rowOff>44450</xdr:rowOff>
                  </from>
                  <to>
                    <xdr:col>19</xdr:col>
                    <xdr:colOff>50800</xdr:colOff>
                    <xdr:row>2</xdr:row>
                    <xdr:rowOff>57150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0EE39-059A-42DD-B9C2-FF535FB491F6}">
  <sheetPr codeName="Sheet41"/>
  <dimension ref="S1:AG1"/>
  <sheetViews>
    <sheetView workbookViewId="0"/>
  </sheetViews>
  <sheetFormatPr defaultRowHeight="14.5" x14ac:dyDescent="0.35"/>
  <cols>
    <col min="1" max="16384" width="8.7265625" style="1"/>
  </cols>
  <sheetData>
    <row r="1" spans="19:33" x14ac:dyDescent="0.35">
      <c r="S1" s="1" t="str">
        <f>DIV_03Input!A1</f>
        <v>AREA/FLOOR/ZONE</v>
      </c>
      <c r="T1" s="1" t="str">
        <f>DIV_03Input!B1</f>
        <v>Page</v>
      </c>
      <c r="U1" s="1" t="str">
        <f>DIV_03Input!C1</f>
        <v>SUB COST</v>
      </c>
      <c r="V1" s="1" t="str">
        <f>DIV_03Input!D1</f>
        <v>MAT COST</v>
      </c>
      <c r="W1" s="1" t="str">
        <f>DIV_03Input!E1</f>
        <v>LAB COST</v>
      </c>
      <c r="X1" s="1" t="str">
        <f>DIV_03Input!F1</f>
        <v>EQUIP COST</v>
      </c>
      <c r="Y1" s="1" t="str">
        <f>DIV_03Input!G1</f>
        <v>Total Cost</v>
      </c>
      <c r="Z1" s="1" t="str">
        <f>DIV_03Input!H1</f>
        <v>Date</v>
      </c>
      <c r="AA1" s="1" t="str">
        <f>DIV_03Input!I1</f>
        <v>Description</v>
      </c>
      <c r="AB1" s="1" t="str">
        <f>DIV_03Input!J1</f>
        <v>Log 10</v>
      </c>
      <c r="AC1" s="1" t="str">
        <f>DIV_03Input!K1</f>
        <v>Log 11</v>
      </c>
      <c r="AD1" s="1" t="str">
        <f>DIV_03Input!L1</f>
        <v>Log 12</v>
      </c>
      <c r="AE1" s="1" t="str">
        <f>DIV_03Input!M1</f>
        <v>Update 1</v>
      </c>
      <c r="AF1" s="1" t="str">
        <f>DIV_03Input!N1</f>
        <v>Update 2</v>
      </c>
      <c r="AG1" s="1" t="str">
        <f>DIV_03Input!O1</f>
        <v>Update 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02CC6-E183-4D35-A2DA-AF94576AAF8C}">
  <sheetPr codeName="Sheet42"/>
  <dimension ref="A1:Q933"/>
  <sheetViews>
    <sheetView zoomScale="75" zoomScaleNormal="75" workbookViewId="0"/>
  </sheetViews>
  <sheetFormatPr defaultRowHeight="14.5" x14ac:dyDescent="0.35"/>
  <cols>
    <col min="1" max="1" width="4.54296875" style="1" customWidth="1"/>
    <col min="2" max="2" width="14" style="1" customWidth="1"/>
    <col min="3" max="3" width="77.1796875" style="1" bestFit="1" customWidth="1"/>
    <col min="4" max="4" width="10.7265625" style="1" customWidth="1"/>
    <col min="5" max="5" width="10.1796875" style="1" customWidth="1"/>
    <col min="6" max="6" width="13.26953125" style="1" customWidth="1"/>
    <col min="7" max="7" width="15.1796875" style="1" customWidth="1"/>
    <col min="8" max="8" width="13.26953125" style="1" customWidth="1"/>
    <col min="9" max="9" width="12.7265625" style="1" customWidth="1"/>
    <col min="10" max="10" width="12.26953125" style="1" customWidth="1"/>
    <col min="11" max="11" width="9" style="1" customWidth="1"/>
    <col min="12" max="12" width="13.26953125" style="1" customWidth="1"/>
    <col min="13" max="13" width="12.7265625" style="1" customWidth="1"/>
    <col min="14" max="14" width="13.26953125" style="1" customWidth="1"/>
    <col min="15" max="15" width="12.7265625" style="1" customWidth="1"/>
    <col min="16" max="16" width="13.26953125" style="1" customWidth="1"/>
    <col min="17" max="17" width="21.26953125" style="1" customWidth="1"/>
    <col min="18" max="22" width="8.7265625" style="1"/>
    <col min="23" max="23" width="4.54296875" style="1" customWidth="1"/>
    <col min="24" max="24" width="11.90625" style="1" customWidth="1"/>
    <col min="25" max="25" width="77.1796875" style="1" bestFit="1" customWidth="1"/>
    <col min="26" max="26" width="10.7265625" style="1" customWidth="1"/>
    <col min="27" max="27" width="10.1796875" style="1" customWidth="1"/>
    <col min="28" max="28" width="13.26953125" style="1" customWidth="1"/>
    <col min="29" max="29" width="15.1796875" style="1" customWidth="1"/>
    <col min="30" max="30" width="13.26953125" style="1" customWidth="1"/>
    <col min="31" max="31" width="12.7265625" style="1" customWidth="1"/>
    <col min="32" max="32" width="12.26953125" style="1" customWidth="1"/>
    <col min="33" max="33" width="9" style="1" customWidth="1"/>
    <col min="34" max="34" width="13.26953125" style="1" customWidth="1"/>
    <col min="35" max="35" width="12.7265625" style="1" customWidth="1"/>
    <col min="36" max="36" width="13.26953125" style="1" customWidth="1"/>
    <col min="37" max="37" width="12.7265625" style="1" customWidth="1"/>
    <col min="38" max="38" width="13.26953125" style="1" customWidth="1"/>
    <col min="39" max="39" width="21.26953125" style="1" customWidth="1"/>
    <col min="40" max="16384" width="8.7265625" style="1"/>
  </cols>
  <sheetData>
    <row r="1" spans="1:17" ht="14.5" customHeight="1"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CONCRETE FORMING AND ACCESSORIES</v>
      </c>
      <c r="J2" s="59"/>
      <c r="K2" s="59"/>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03 10 00</v>
      </c>
      <c r="C10" s="24" t="str">
        <f>C206</f>
        <v>CONCRETE FORMING AND ACCESSORIES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CONCRETE FORMING AND ACCESSORIES</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Q200" s="78" t="s">
        <v>21404</v>
      </c>
    </row>
    <row r="201" spans="2:17" x14ac:dyDescent="0.35">
      <c r="C201" s="78" t="s">
        <v>21592</v>
      </c>
    </row>
    <row r="203" spans="2:17" x14ac:dyDescent="0.35">
      <c r="C203" s="77" t="s">
        <v>21399</v>
      </c>
    </row>
    <row r="205" spans="2:17" x14ac:dyDescent="0.35">
      <c r="C205" s="1" t="s">
        <v>21398</v>
      </c>
      <c r="D205" s="1" t="s">
        <v>75</v>
      </c>
      <c r="E205" s="1" t="s">
        <v>13768</v>
      </c>
      <c r="F205" s="2" t="s">
        <v>21397</v>
      </c>
      <c r="G205" s="1" t="s">
        <v>9</v>
      </c>
    </row>
    <row r="206" spans="2:17" x14ac:dyDescent="0.35">
      <c r="B206" s="49" t="s">
        <v>14048</v>
      </c>
      <c r="C206" s="82" t="s">
        <v>14049</v>
      </c>
    </row>
    <row r="207" spans="2:17" x14ac:dyDescent="0.35">
      <c r="B207" s="49" t="s">
        <v>14050</v>
      </c>
      <c r="C207" s="53" t="s">
        <v>14051</v>
      </c>
    </row>
    <row r="208" spans="2:17" x14ac:dyDescent="0.35">
      <c r="B208" s="49" t="s">
        <v>14052</v>
      </c>
      <c r="C208" s="53" t="s">
        <v>14053</v>
      </c>
    </row>
    <row r="209" spans="3:5" x14ac:dyDescent="0.35">
      <c r="C209" s="1" t="s">
        <v>10804</v>
      </c>
      <c r="D209" s="1" t="s">
        <v>20</v>
      </c>
      <c r="E209" s="1">
        <v>3110.1</v>
      </c>
    </row>
    <row r="210" spans="3:5" x14ac:dyDescent="0.35">
      <c r="C210" s="1" t="s">
        <v>10803</v>
      </c>
      <c r="D210" s="1" t="s">
        <v>20</v>
      </c>
      <c r="E210" s="1">
        <v>3110.1019999999999</v>
      </c>
    </row>
    <row r="211" spans="3:5" x14ac:dyDescent="0.35">
      <c r="C211" s="1" t="s">
        <v>10802</v>
      </c>
      <c r="D211" s="1" t="s">
        <v>18</v>
      </c>
      <c r="E211" s="1">
        <v>3110.1030000000001</v>
      </c>
    </row>
    <row r="212" spans="3:5" x14ac:dyDescent="0.35">
      <c r="C212" s="1" t="s">
        <v>10801</v>
      </c>
      <c r="D212" s="1" t="s">
        <v>20</v>
      </c>
      <c r="E212" s="1">
        <v>3110.105</v>
      </c>
    </row>
    <row r="213" spans="3:5" x14ac:dyDescent="0.35">
      <c r="C213" s="1" t="s">
        <v>10800</v>
      </c>
      <c r="D213" s="1" t="s">
        <v>19</v>
      </c>
      <c r="E213" s="1">
        <v>3110.1060000000002</v>
      </c>
    </row>
    <row r="214" spans="3:5" x14ac:dyDescent="0.35">
      <c r="C214" s="1" t="s">
        <v>10799</v>
      </c>
      <c r="D214" s="1" t="s">
        <v>19</v>
      </c>
      <c r="E214" s="1">
        <v>3110.107</v>
      </c>
    </row>
    <row r="215" spans="3:5" x14ac:dyDescent="0.35">
      <c r="C215" s="1" t="s">
        <v>10798</v>
      </c>
      <c r="D215" s="1" t="s">
        <v>19</v>
      </c>
      <c r="E215" s="1">
        <v>3110.1080000000002</v>
      </c>
    </row>
    <row r="216" spans="3:5" x14ac:dyDescent="0.35">
      <c r="C216" s="1" t="s">
        <v>10797</v>
      </c>
      <c r="D216" s="1" t="s">
        <v>20</v>
      </c>
      <c r="E216" s="1">
        <v>3110.11</v>
      </c>
    </row>
    <row r="217" spans="3:5" x14ac:dyDescent="0.35">
      <c r="C217" s="1" t="s">
        <v>10796</v>
      </c>
      <c r="D217" s="1" t="s">
        <v>20</v>
      </c>
      <c r="E217" s="1">
        <v>3110.1149999999998</v>
      </c>
    </row>
    <row r="218" spans="3:5" x14ac:dyDescent="0.35">
      <c r="C218" s="1" t="s">
        <v>10795</v>
      </c>
      <c r="D218" s="1" t="s">
        <v>20</v>
      </c>
      <c r="E218" s="1">
        <v>3110.1179999999999</v>
      </c>
    </row>
    <row r="219" spans="3:5" x14ac:dyDescent="0.35">
      <c r="C219" s="1" t="s">
        <v>10794</v>
      </c>
      <c r="D219" s="1" t="s">
        <v>20</v>
      </c>
      <c r="E219" s="1">
        <v>3110.12</v>
      </c>
    </row>
    <row r="220" spans="3:5" x14ac:dyDescent="0.35">
      <c r="C220" s="1" t="s">
        <v>10793</v>
      </c>
      <c r="D220" s="1" t="s">
        <v>20</v>
      </c>
      <c r="E220" s="1">
        <v>3110.1210000000001</v>
      </c>
    </row>
    <row r="221" spans="3:5" x14ac:dyDescent="0.35">
      <c r="C221" s="1" t="s">
        <v>10792</v>
      </c>
      <c r="D221" s="1" t="s">
        <v>20</v>
      </c>
      <c r="E221" s="1">
        <v>3110.125</v>
      </c>
    </row>
    <row r="222" spans="3:5" x14ac:dyDescent="0.35">
      <c r="C222" s="1" t="s">
        <v>10791</v>
      </c>
      <c r="D222" s="1" t="s">
        <v>20</v>
      </c>
      <c r="E222" s="1">
        <v>3110.1260000000002</v>
      </c>
    </row>
    <row r="223" spans="3:5" x14ac:dyDescent="0.35">
      <c r="C223" s="1" t="s">
        <v>10790</v>
      </c>
      <c r="D223" s="1" t="s">
        <v>20</v>
      </c>
      <c r="E223" s="1">
        <v>3110.13</v>
      </c>
    </row>
    <row r="224" spans="3:5" x14ac:dyDescent="0.35">
      <c r="C224" s="1" t="s">
        <v>10789</v>
      </c>
      <c r="D224" s="1" t="s">
        <v>19</v>
      </c>
      <c r="E224" s="1">
        <v>3110.1350000000002</v>
      </c>
    </row>
    <row r="225" spans="3:5" x14ac:dyDescent="0.35">
      <c r="C225" s="1" t="s">
        <v>10788</v>
      </c>
      <c r="D225" s="1" t="s">
        <v>19</v>
      </c>
      <c r="E225" s="1">
        <v>3110.136</v>
      </c>
    </row>
    <row r="226" spans="3:5" x14ac:dyDescent="0.35">
      <c r="C226" s="1" t="s">
        <v>10787</v>
      </c>
      <c r="D226" s="1" t="s">
        <v>19</v>
      </c>
      <c r="E226" s="1">
        <v>3110.1370000000002</v>
      </c>
    </row>
    <row r="227" spans="3:5" x14ac:dyDescent="0.35">
      <c r="C227" s="1" t="s">
        <v>10786</v>
      </c>
      <c r="D227" s="1" t="s">
        <v>19</v>
      </c>
      <c r="E227" s="1">
        <v>3110.1379999999999</v>
      </c>
    </row>
    <row r="228" spans="3:5" x14ac:dyDescent="0.35">
      <c r="C228" s="1" t="s">
        <v>10785</v>
      </c>
      <c r="D228" s="1" t="s">
        <v>19</v>
      </c>
      <c r="E228" s="1">
        <v>3110.1390000000001</v>
      </c>
    </row>
    <row r="229" spans="3:5" x14ac:dyDescent="0.35">
      <c r="C229" s="1" t="s">
        <v>10784</v>
      </c>
      <c r="D229" s="1" t="s">
        <v>19</v>
      </c>
      <c r="E229" s="1">
        <v>3110.14</v>
      </c>
    </row>
    <row r="230" spans="3:5" x14ac:dyDescent="0.35">
      <c r="C230" s="1" t="s">
        <v>10783</v>
      </c>
      <c r="D230" s="1" t="s">
        <v>19</v>
      </c>
      <c r="E230" s="1">
        <v>3110.1410000000001</v>
      </c>
    </row>
    <row r="231" spans="3:5" x14ac:dyDescent="0.35">
      <c r="C231" s="1" t="s">
        <v>10782</v>
      </c>
      <c r="D231" s="1" t="s">
        <v>19</v>
      </c>
      <c r="E231" s="1">
        <v>3110.1419999999998</v>
      </c>
    </row>
    <row r="232" spans="3:5" x14ac:dyDescent="0.35">
      <c r="C232" s="1" t="s">
        <v>10781</v>
      </c>
      <c r="D232" s="1" t="s">
        <v>19</v>
      </c>
      <c r="E232" s="1">
        <v>3110.143</v>
      </c>
    </row>
    <row r="233" spans="3:5" x14ac:dyDescent="0.35">
      <c r="C233" s="1" t="s">
        <v>10780</v>
      </c>
      <c r="D233" s="1" t="s">
        <v>19</v>
      </c>
      <c r="E233" s="1">
        <v>3110.1439999999998</v>
      </c>
    </row>
    <row r="234" spans="3:5" x14ac:dyDescent="0.35">
      <c r="C234" s="1" t="s">
        <v>10779</v>
      </c>
      <c r="D234" s="1" t="s">
        <v>19</v>
      </c>
      <c r="E234" s="1">
        <v>3110.145</v>
      </c>
    </row>
    <row r="235" spans="3:5" x14ac:dyDescent="0.35">
      <c r="C235" s="1" t="s">
        <v>10778</v>
      </c>
      <c r="D235" s="1" t="s">
        <v>19</v>
      </c>
      <c r="E235" s="1">
        <v>3110.1460000000002</v>
      </c>
    </row>
    <row r="236" spans="3:5" x14ac:dyDescent="0.35">
      <c r="C236" s="1" t="s">
        <v>10777</v>
      </c>
      <c r="D236" s="1" t="s">
        <v>19</v>
      </c>
      <c r="E236" s="1">
        <v>3110.1469999999999</v>
      </c>
    </row>
    <row r="237" spans="3:5" x14ac:dyDescent="0.35">
      <c r="C237" s="1" t="s">
        <v>10776</v>
      </c>
      <c r="D237" s="1" t="s">
        <v>19</v>
      </c>
      <c r="E237" s="1">
        <v>3110.1480000000001</v>
      </c>
    </row>
    <row r="238" spans="3:5" x14ac:dyDescent="0.35">
      <c r="C238" s="1" t="s">
        <v>10775</v>
      </c>
      <c r="D238" s="1" t="s">
        <v>19</v>
      </c>
      <c r="E238" s="1">
        <v>3110.1489999999999</v>
      </c>
    </row>
    <row r="239" spans="3:5" x14ac:dyDescent="0.35">
      <c r="C239" s="1" t="s">
        <v>10774</v>
      </c>
      <c r="D239" s="1" t="s">
        <v>19</v>
      </c>
      <c r="E239" s="1">
        <v>3110.15</v>
      </c>
    </row>
    <row r="240" spans="3:5" x14ac:dyDescent="0.35">
      <c r="C240" s="1" t="s">
        <v>10773</v>
      </c>
      <c r="D240" s="1" t="s">
        <v>19</v>
      </c>
      <c r="E240" s="1">
        <v>3110.1509999999998</v>
      </c>
    </row>
    <row r="241" spans="3:5" x14ac:dyDescent="0.35">
      <c r="C241" s="1" t="s">
        <v>10772</v>
      </c>
      <c r="D241" s="1" t="s">
        <v>19</v>
      </c>
      <c r="E241" s="1">
        <v>3110.152</v>
      </c>
    </row>
    <row r="242" spans="3:5" x14ac:dyDescent="0.35">
      <c r="C242" s="1" t="s">
        <v>10771</v>
      </c>
      <c r="D242" s="1" t="s">
        <v>19</v>
      </c>
      <c r="E242" s="1">
        <v>3110.1529999999998</v>
      </c>
    </row>
    <row r="243" spans="3:5" x14ac:dyDescent="0.35">
      <c r="C243" s="1" t="s">
        <v>10770</v>
      </c>
      <c r="D243" s="1" t="s">
        <v>19</v>
      </c>
      <c r="E243" s="1">
        <v>3110.2</v>
      </c>
    </row>
    <row r="244" spans="3:5" x14ac:dyDescent="0.35">
      <c r="C244" s="1" t="s">
        <v>10770</v>
      </c>
      <c r="D244" s="1" t="s">
        <v>20</v>
      </c>
      <c r="E244" s="1">
        <v>3110.2049999999999</v>
      </c>
    </row>
    <row r="245" spans="3:5" x14ac:dyDescent="0.35">
      <c r="C245" s="1" t="s">
        <v>10769</v>
      </c>
      <c r="D245" s="1" t="s">
        <v>19</v>
      </c>
      <c r="E245" s="1">
        <v>3110.2060000000001</v>
      </c>
    </row>
    <row r="246" spans="3:5" x14ac:dyDescent="0.35">
      <c r="C246" s="1" t="s">
        <v>10769</v>
      </c>
      <c r="D246" s="1" t="s">
        <v>20</v>
      </c>
      <c r="E246" s="1">
        <v>3110.2069999999999</v>
      </c>
    </row>
    <row r="247" spans="3:5" x14ac:dyDescent="0.35">
      <c r="C247" s="1" t="s">
        <v>9387</v>
      </c>
      <c r="D247" s="1" t="s">
        <v>19</v>
      </c>
      <c r="E247" s="1">
        <v>3110.2080000000001</v>
      </c>
    </row>
    <row r="248" spans="3:5" x14ac:dyDescent="0.35">
      <c r="C248" s="1" t="s">
        <v>9387</v>
      </c>
      <c r="D248" s="1" t="s">
        <v>20</v>
      </c>
      <c r="E248" s="1">
        <v>3110.2089999999998</v>
      </c>
    </row>
    <row r="249" spans="3:5" x14ac:dyDescent="0.35">
      <c r="C249" s="1" t="s">
        <v>10768</v>
      </c>
      <c r="D249" s="1" t="s">
        <v>20</v>
      </c>
      <c r="E249" s="1">
        <v>3110.21</v>
      </c>
    </row>
    <row r="250" spans="3:5" x14ac:dyDescent="0.35">
      <c r="C250" s="1" t="s">
        <v>10767</v>
      </c>
      <c r="D250" s="1" t="s">
        <v>19</v>
      </c>
      <c r="E250" s="1">
        <v>3110.22</v>
      </c>
    </row>
    <row r="251" spans="3:5" x14ac:dyDescent="0.35">
      <c r="C251" s="1" t="s">
        <v>10766</v>
      </c>
      <c r="D251" s="1" t="s">
        <v>20</v>
      </c>
      <c r="E251" s="1">
        <v>3110.23</v>
      </c>
    </row>
    <row r="252" spans="3:5" x14ac:dyDescent="0.35">
      <c r="C252" s="1" t="s">
        <v>10765</v>
      </c>
      <c r="D252" s="1" t="s">
        <v>20</v>
      </c>
      <c r="E252" s="1">
        <v>3110.2350000000001</v>
      </c>
    </row>
    <row r="253" spans="3:5" x14ac:dyDescent="0.35">
      <c r="C253" s="1" t="s">
        <v>10764</v>
      </c>
      <c r="D253" s="1" t="s">
        <v>19</v>
      </c>
      <c r="E253" s="1">
        <v>3110.24</v>
      </c>
    </row>
    <row r="254" spans="3:5" x14ac:dyDescent="0.35">
      <c r="C254" s="1" t="s">
        <v>10764</v>
      </c>
      <c r="D254" s="1" t="s">
        <v>20</v>
      </c>
      <c r="E254" s="1">
        <v>3110.241</v>
      </c>
    </row>
    <row r="255" spans="3:5" x14ac:dyDescent="0.35">
      <c r="C255" s="1" t="s">
        <v>10763</v>
      </c>
      <c r="D255" s="1" t="s">
        <v>19</v>
      </c>
      <c r="E255" s="1">
        <v>3110.2449999999999</v>
      </c>
    </row>
    <row r="256" spans="3:5" x14ac:dyDescent="0.35">
      <c r="C256" s="1" t="s">
        <v>10763</v>
      </c>
      <c r="D256" s="1" t="s">
        <v>20</v>
      </c>
      <c r="E256" s="1">
        <v>3110.2460000000001</v>
      </c>
    </row>
    <row r="257" spans="3:5" x14ac:dyDescent="0.35">
      <c r="C257" s="1" t="s">
        <v>10762</v>
      </c>
      <c r="D257" s="1" t="s">
        <v>20</v>
      </c>
      <c r="E257" s="1">
        <v>3110.25</v>
      </c>
    </row>
    <row r="258" spans="3:5" x14ac:dyDescent="0.35">
      <c r="C258" s="1" t="s">
        <v>10761</v>
      </c>
      <c r="D258" s="1" t="s">
        <v>20</v>
      </c>
      <c r="E258" s="1">
        <v>3110.3</v>
      </c>
    </row>
    <row r="259" spans="3:5" x14ac:dyDescent="0.35">
      <c r="C259" s="1" t="s">
        <v>10760</v>
      </c>
      <c r="D259" s="1" t="s">
        <v>20</v>
      </c>
      <c r="E259" s="1">
        <v>3110.3049999999998</v>
      </c>
    </row>
    <row r="260" spans="3:5" x14ac:dyDescent="0.35">
      <c r="C260" s="1" t="s">
        <v>10759</v>
      </c>
      <c r="D260" s="1" t="s">
        <v>20</v>
      </c>
      <c r="E260" s="1">
        <v>3110.31</v>
      </c>
    </row>
    <row r="261" spans="3:5" x14ac:dyDescent="0.35">
      <c r="C261" s="1" t="s">
        <v>10758</v>
      </c>
      <c r="D261" s="1" t="s">
        <v>20</v>
      </c>
      <c r="E261" s="1">
        <v>3110.3150000000001</v>
      </c>
    </row>
    <row r="262" spans="3:5" x14ac:dyDescent="0.35">
      <c r="C262" s="1" t="s">
        <v>10758</v>
      </c>
      <c r="D262" s="1" t="s">
        <v>19</v>
      </c>
      <c r="E262" s="1">
        <v>3110.3159999999998</v>
      </c>
    </row>
    <row r="263" spans="3:5" x14ac:dyDescent="0.35">
      <c r="C263" s="1" t="s">
        <v>10757</v>
      </c>
      <c r="D263" s="1" t="s">
        <v>19</v>
      </c>
      <c r="E263" s="1">
        <v>3110.319</v>
      </c>
    </row>
    <row r="264" spans="3:5" x14ac:dyDescent="0.35">
      <c r="C264" s="1" t="s">
        <v>10756</v>
      </c>
      <c r="D264" s="1" t="s">
        <v>20</v>
      </c>
      <c r="E264" s="1">
        <v>3110.32</v>
      </c>
    </row>
    <row r="265" spans="3:5" x14ac:dyDescent="0.35">
      <c r="C265" s="1" t="s">
        <v>10755</v>
      </c>
      <c r="D265" s="1" t="s">
        <v>20</v>
      </c>
      <c r="E265" s="1">
        <v>3110.3249999999998</v>
      </c>
    </row>
    <row r="266" spans="3:5" x14ac:dyDescent="0.35">
      <c r="C266" s="1" t="s">
        <v>10508</v>
      </c>
      <c r="D266" s="1" t="s">
        <v>20</v>
      </c>
      <c r="E266" s="1">
        <v>3110.326</v>
      </c>
    </row>
    <row r="267" spans="3:5" x14ac:dyDescent="0.35">
      <c r="C267" s="1" t="s">
        <v>10754</v>
      </c>
      <c r="D267" s="1" t="s">
        <v>20</v>
      </c>
      <c r="E267" s="1">
        <v>3110.33</v>
      </c>
    </row>
    <row r="268" spans="3:5" x14ac:dyDescent="0.35">
      <c r="C268" s="1" t="s">
        <v>10753</v>
      </c>
      <c r="D268" s="1" t="s">
        <v>20</v>
      </c>
      <c r="E268" s="1">
        <v>3110.3310000000001</v>
      </c>
    </row>
    <row r="269" spans="3:5" x14ac:dyDescent="0.35">
      <c r="C269" s="1" t="s">
        <v>10752</v>
      </c>
      <c r="D269" s="1" t="s">
        <v>20</v>
      </c>
      <c r="E269" s="1">
        <v>3110.335</v>
      </c>
    </row>
    <row r="270" spans="3:5" x14ac:dyDescent="0.35">
      <c r="C270" s="1" t="s">
        <v>10751</v>
      </c>
      <c r="D270" s="1" t="s">
        <v>20</v>
      </c>
      <c r="E270" s="1">
        <v>3110.3359999999998</v>
      </c>
    </row>
    <row r="271" spans="3:5" x14ac:dyDescent="0.35">
      <c r="C271" s="1" t="s">
        <v>10750</v>
      </c>
      <c r="D271" s="1" t="s">
        <v>20</v>
      </c>
      <c r="E271" s="1">
        <v>3110.34</v>
      </c>
    </row>
    <row r="272" spans="3:5" x14ac:dyDescent="0.35">
      <c r="C272" s="1" t="s">
        <v>10749</v>
      </c>
      <c r="D272" s="1" t="s">
        <v>20</v>
      </c>
      <c r="E272" s="1">
        <v>3110.3409999999999</v>
      </c>
    </row>
    <row r="273" spans="3:5" x14ac:dyDescent="0.35">
      <c r="C273" s="1" t="s">
        <v>10748</v>
      </c>
      <c r="D273" s="1" t="s">
        <v>20</v>
      </c>
      <c r="E273" s="1">
        <v>3110.3449999999998</v>
      </c>
    </row>
    <row r="274" spans="3:5" x14ac:dyDescent="0.35">
      <c r="C274" s="1" t="s">
        <v>10747</v>
      </c>
      <c r="D274" s="1" t="s">
        <v>19</v>
      </c>
      <c r="E274" s="1">
        <v>3110.35</v>
      </c>
    </row>
    <row r="275" spans="3:5" x14ac:dyDescent="0.35">
      <c r="C275" s="1" t="s">
        <v>10746</v>
      </c>
      <c r="D275" s="1" t="s">
        <v>19</v>
      </c>
      <c r="E275" s="1">
        <v>3110.3510000000001</v>
      </c>
    </row>
    <row r="276" spans="3:5" x14ac:dyDescent="0.35">
      <c r="C276" s="1" t="s">
        <v>10745</v>
      </c>
      <c r="D276" s="1" t="s">
        <v>19</v>
      </c>
      <c r="E276" s="1">
        <v>3110.3519999999999</v>
      </c>
    </row>
    <row r="277" spans="3:5" x14ac:dyDescent="0.35">
      <c r="C277" s="1" t="s">
        <v>10744</v>
      </c>
      <c r="D277" s="1" t="s">
        <v>19</v>
      </c>
      <c r="E277" s="1">
        <v>3110.3530000000001</v>
      </c>
    </row>
    <row r="278" spans="3:5" x14ac:dyDescent="0.35">
      <c r="C278" s="1" t="s">
        <v>10743</v>
      </c>
      <c r="D278" s="1" t="s">
        <v>19</v>
      </c>
      <c r="E278" s="1">
        <v>3110.3539999999998</v>
      </c>
    </row>
    <row r="279" spans="3:5" x14ac:dyDescent="0.35">
      <c r="C279" s="1" t="s">
        <v>10742</v>
      </c>
      <c r="D279" s="1" t="s">
        <v>19</v>
      </c>
      <c r="E279" s="1">
        <v>3110.355</v>
      </c>
    </row>
    <row r="280" spans="3:5" x14ac:dyDescent="0.35">
      <c r="C280" s="1" t="s">
        <v>10741</v>
      </c>
      <c r="D280" s="1" t="s">
        <v>19</v>
      </c>
      <c r="E280" s="1">
        <v>3110.3560000000002</v>
      </c>
    </row>
    <row r="281" spans="3:5" x14ac:dyDescent="0.35">
      <c r="C281" s="1" t="s">
        <v>10740</v>
      </c>
      <c r="D281" s="1" t="s">
        <v>19</v>
      </c>
      <c r="E281" s="1">
        <v>3110.357</v>
      </c>
    </row>
    <row r="282" spans="3:5" x14ac:dyDescent="0.35">
      <c r="C282" s="1" t="s">
        <v>10739</v>
      </c>
      <c r="D282" s="1" t="s">
        <v>19</v>
      </c>
      <c r="E282" s="1">
        <v>3110.3580000000002</v>
      </c>
    </row>
    <row r="283" spans="3:5" x14ac:dyDescent="0.35">
      <c r="C283" s="1" t="s">
        <v>10738</v>
      </c>
      <c r="D283" s="1" t="s">
        <v>19</v>
      </c>
      <c r="E283" s="1">
        <v>3110.3589999999999</v>
      </c>
    </row>
    <row r="284" spans="3:5" x14ac:dyDescent="0.35">
      <c r="C284" s="1" t="s">
        <v>10737</v>
      </c>
      <c r="D284" s="1" t="s">
        <v>19</v>
      </c>
      <c r="E284" s="1">
        <v>3110.36</v>
      </c>
    </row>
    <row r="285" spans="3:5" x14ac:dyDescent="0.35">
      <c r="C285" s="1" t="s">
        <v>10736</v>
      </c>
      <c r="D285" s="1" t="s">
        <v>19</v>
      </c>
      <c r="E285" s="1">
        <v>3110.3609999999999</v>
      </c>
    </row>
    <row r="286" spans="3:5" x14ac:dyDescent="0.35">
      <c r="C286" s="1" t="s">
        <v>10735</v>
      </c>
      <c r="D286" s="1" t="s">
        <v>19</v>
      </c>
      <c r="E286" s="1">
        <v>3110.3620000000001</v>
      </c>
    </row>
    <row r="287" spans="3:5" x14ac:dyDescent="0.35">
      <c r="C287" s="1" t="s">
        <v>10734</v>
      </c>
      <c r="D287" s="1" t="s">
        <v>19</v>
      </c>
      <c r="E287" s="1">
        <v>3110.3629999999998</v>
      </c>
    </row>
    <row r="288" spans="3:5" x14ac:dyDescent="0.35">
      <c r="C288" s="1" t="s">
        <v>10733</v>
      </c>
      <c r="D288" s="1" t="s">
        <v>19</v>
      </c>
      <c r="E288" s="1">
        <v>3110.364</v>
      </c>
    </row>
    <row r="289" spans="3:5" x14ac:dyDescent="0.35">
      <c r="C289" s="1" t="s">
        <v>10732</v>
      </c>
      <c r="D289" s="1" t="s">
        <v>19</v>
      </c>
      <c r="E289" s="1">
        <v>3110.3649999999998</v>
      </c>
    </row>
    <row r="290" spans="3:5" x14ac:dyDescent="0.35">
      <c r="C290" s="1" t="s">
        <v>10731</v>
      </c>
      <c r="D290" s="1" t="s">
        <v>19</v>
      </c>
      <c r="E290" s="1">
        <v>3110.366</v>
      </c>
    </row>
    <row r="291" spans="3:5" x14ac:dyDescent="0.35">
      <c r="C291" s="1" t="s">
        <v>10730</v>
      </c>
      <c r="D291" s="1" t="s">
        <v>19</v>
      </c>
      <c r="E291" s="1">
        <v>3110.3670000000002</v>
      </c>
    </row>
    <row r="292" spans="3:5" x14ac:dyDescent="0.35">
      <c r="C292" s="1" t="s">
        <v>10729</v>
      </c>
      <c r="D292" s="1" t="s">
        <v>19</v>
      </c>
      <c r="E292" s="1">
        <v>3110.3679999999999</v>
      </c>
    </row>
    <row r="293" spans="3:5" x14ac:dyDescent="0.35">
      <c r="C293" s="1" t="s">
        <v>10728</v>
      </c>
      <c r="D293" s="1" t="s">
        <v>20</v>
      </c>
      <c r="E293" s="1">
        <v>3110.3760000000002</v>
      </c>
    </row>
    <row r="294" spans="3:5" x14ac:dyDescent="0.35">
      <c r="C294" s="1" t="s">
        <v>10727</v>
      </c>
      <c r="D294" s="1" t="s">
        <v>20</v>
      </c>
      <c r="E294" s="1">
        <v>3110.38</v>
      </c>
    </row>
    <row r="295" spans="3:5" x14ac:dyDescent="0.35">
      <c r="C295" s="1" t="s">
        <v>10726</v>
      </c>
      <c r="D295" s="1" t="s">
        <v>18</v>
      </c>
      <c r="E295" s="1">
        <v>3110.39</v>
      </c>
    </row>
    <row r="296" spans="3:5" x14ac:dyDescent="0.35">
      <c r="C296" s="1" t="s">
        <v>10725</v>
      </c>
      <c r="D296" s="1" t="s">
        <v>18</v>
      </c>
      <c r="E296" s="1">
        <v>3110.3910000000001</v>
      </c>
    </row>
    <row r="297" spans="3:5" x14ac:dyDescent="0.35">
      <c r="C297" s="1" t="s">
        <v>10724</v>
      </c>
      <c r="D297" s="1" t="s">
        <v>18</v>
      </c>
      <c r="E297" s="1">
        <v>3110.3919999999998</v>
      </c>
    </row>
    <row r="298" spans="3:5" x14ac:dyDescent="0.35">
      <c r="C298" s="1" t="s">
        <v>10723</v>
      </c>
      <c r="D298" s="1" t="s">
        <v>18</v>
      </c>
      <c r="E298" s="1">
        <v>3110.393</v>
      </c>
    </row>
    <row r="299" spans="3:5" x14ac:dyDescent="0.35">
      <c r="C299" s="1" t="s">
        <v>10722</v>
      </c>
      <c r="D299" s="1" t="s">
        <v>18</v>
      </c>
      <c r="E299" s="1">
        <v>3110.3939999999998</v>
      </c>
    </row>
    <row r="300" spans="3:5" x14ac:dyDescent="0.35">
      <c r="C300" s="1" t="s">
        <v>10721</v>
      </c>
      <c r="D300" s="1" t="s">
        <v>18</v>
      </c>
      <c r="E300" s="1">
        <v>3110.395</v>
      </c>
    </row>
    <row r="301" spans="3:5" x14ac:dyDescent="0.35">
      <c r="C301" s="1" t="s">
        <v>10720</v>
      </c>
      <c r="D301" s="1" t="s">
        <v>18</v>
      </c>
      <c r="E301" s="1">
        <v>3110.3960000000002</v>
      </c>
    </row>
    <row r="302" spans="3:5" x14ac:dyDescent="0.35">
      <c r="C302" s="1" t="s">
        <v>10719</v>
      </c>
      <c r="D302" s="1" t="s">
        <v>18</v>
      </c>
      <c r="E302" s="1">
        <v>3110.3969999999999</v>
      </c>
    </row>
    <row r="303" spans="3:5" x14ac:dyDescent="0.35">
      <c r="C303" s="1" t="s">
        <v>10718</v>
      </c>
      <c r="D303" s="1" t="s">
        <v>18</v>
      </c>
      <c r="E303" s="1">
        <v>3110.3980000000001</v>
      </c>
    </row>
    <row r="304" spans="3:5" x14ac:dyDescent="0.35">
      <c r="C304" s="1" t="s">
        <v>10414</v>
      </c>
      <c r="D304" s="1" t="s">
        <v>20</v>
      </c>
      <c r="E304" s="1">
        <v>3110.41</v>
      </c>
    </row>
    <row r="305" spans="3:5" x14ac:dyDescent="0.35">
      <c r="C305" s="1" t="s">
        <v>10717</v>
      </c>
      <c r="D305" s="1" t="s">
        <v>20</v>
      </c>
      <c r="E305" s="1">
        <v>3110.5</v>
      </c>
    </row>
    <row r="306" spans="3:5" x14ac:dyDescent="0.35">
      <c r="C306" s="1" t="s">
        <v>10716</v>
      </c>
      <c r="D306" s="1" t="s">
        <v>20</v>
      </c>
      <c r="E306" s="1">
        <v>3110.5050000000001</v>
      </c>
    </row>
    <row r="307" spans="3:5" x14ac:dyDescent="0.35">
      <c r="C307" s="1" t="s">
        <v>10715</v>
      </c>
      <c r="D307" s="1" t="s">
        <v>20</v>
      </c>
      <c r="E307" s="1">
        <v>3110.5059999999999</v>
      </c>
    </row>
    <row r="308" spans="3:5" x14ac:dyDescent="0.35">
      <c r="C308" s="1" t="s">
        <v>10714</v>
      </c>
      <c r="D308" s="1" t="s">
        <v>20</v>
      </c>
      <c r="E308" s="1">
        <v>3110.51</v>
      </c>
    </row>
    <row r="309" spans="3:5" x14ac:dyDescent="0.35">
      <c r="C309" s="1" t="s">
        <v>10713</v>
      </c>
      <c r="D309" s="1" t="s">
        <v>20</v>
      </c>
      <c r="E309" s="1">
        <v>3110.52</v>
      </c>
    </row>
    <row r="310" spans="3:5" x14ac:dyDescent="0.35">
      <c r="C310" s="1" t="s">
        <v>10712</v>
      </c>
      <c r="D310" s="1" t="s">
        <v>19</v>
      </c>
      <c r="E310" s="1">
        <v>3110.53</v>
      </c>
    </row>
    <row r="311" spans="3:5" x14ac:dyDescent="0.35">
      <c r="C311" s="1" t="s">
        <v>10711</v>
      </c>
      <c r="D311" s="1" t="s">
        <v>20</v>
      </c>
      <c r="E311" s="1">
        <v>3110.6</v>
      </c>
    </row>
    <row r="312" spans="3:5" x14ac:dyDescent="0.35">
      <c r="C312" s="1" t="s">
        <v>10710</v>
      </c>
      <c r="D312" s="1" t="s">
        <v>20</v>
      </c>
      <c r="E312" s="1">
        <v>3110.6019999999999</v>
      </c>
    </row>
    <row r="313" spans="3:5" x14ac:dyDescent="0.35">
      <c r="C313" s="1" t="s">
        <v>10709</v>
      </c>
      <c r="D313" s="1" t="s">
        <v>20</v>
      </c>
      <c r="E313" s="1">
        <v>3110.6039999999998</v>
      </c>
    </row>
    <row r="314" spans="3:5" x14ac:dyDescent="0.35">
      <c r="C314" s="1" t="s">
        <v>10708</v>
      </c>
      <c r="D314" s="1" t="s">
        <v>20</v>
      </c>
      <c r="E314" s="1">
        <v>3110.6060000000002</v>
      </c>
    </row>
    <row r="315" spans="3:5" x14ac:dyDescent="0.35">
      <c r="C315" s="1" t="s">
        <v>10707</v>
      </c>
      <c r="D315" s="1" t="s">
        <v>20</v>
      </c>
      <c r="E315" s="1">
        <v>3110.6080000000002</v>
      </c>
    </row>
    <row r="316" spans="3:5" x14ac:dyDescent="0.35">
      <c r="C316" s="1" t="s">
        <v>10706</v>
      </c>
      <c r="D316" s="1" t="s">
        <v>20</v>
      </c>
      <c r="E316" s="1">
        <v>3110.61</v>
      </c>
    </row>
    <row r="317" spans="3:5" x14ac:dyDescent="0.35">
      <c r="C317" s="1" t="s">
        <v>10705</v>
      </c>
      <c r="D317" s="1" t="s">
        <v>20</v>
      </c>
      <c r="E317" s="1">
        <v>3110.6120000000001</v>
      </c>
    </row>
    <row r="318" spans="3:5" x14ac:dyDescent="0.35">
      <c r="C318" s="1" t="s">
        <v>10704</v>
      </c>
      <c r="D318" s="1" t="s">
        <v>20</v>
      </c>
      <c r="E318" s="1">
        <v>3110.614</v>
      </c>
    </row>
    <row r="319" spans="3:5" x14ac:dyDescent="0.35">
      <c r="C319" s="1" t="s">
        <v>10703</v>
      </c>
      <c r="D319" s="1" t="s">
        <v>20</v>
      </c>
      <c r="E319" s="1">
        <v>3110.616</v>
      </c>
    </row>
    <row r="320" spans="3:5" x14ac:dyDescent="0.35">
      <c r="C320" s="1" t="s">
        <v>10702</v>
      </c>
      <c r="D320" s="1" t="s">
        <v>20</v>
      </c>
      <c r="E320" s="1">
        <v>3110.6179999999999</v>
      </c>
    </row>
    <row r="321" spans="3:5" x14ac:dyDescent="0.35">
      <c r="C321" s="1" t="s">
        <v>10701</v>
      </c>
      <c r="D321" s="1" t="s">
        <v>20</v>
      </c>
      <c r="E321" s="1">
        <v>3110.62</v>
      </c>
    </row>
    <row r="322" spans="3:5" x14ac:dyDescent="0.35">
      <c r="C322" s="1" t="s">
        <v>10700</v>
      </c>
      <c r="D322" s="1" t="s">
        <v>20</v>
      </c>
      <c r="E322" s="1">
        <v>3110.6210000000001</v>
      </c>
    </row>
    <row r="323" spans="3:5" x14ac:dyDescent="0.35">
      <c r="C323" s="1" t="s">
        <v>10699</v>
      </c>
      <c r="D323" s="1" t="s">
        <v>20</v>
      </c>
      <c r="E323" s="1">
        <v>3110.623</v>
      </c>
    </row>
    <row r="324" spans="3:5" x14ac:dyDescent="0.35">
      <c r="C324" s="1" t="s">
        <v>10698</v>
      </c>
      <c r="D324" s="1" t="s">
        <v>20</v>
      </c>
      <c r="E324" s="1">
        <v>3110.7</v>
      </c>
    </row>
    <row r="325" spans="3:5" x14ac:dyDescent="0.35">
      <c r="C325" s="1" t="s">
        <v>10697</v>
      </c>
      <c r="D325" s="1" t="s">
        <v>19</v>
      </c>
      <c r="E325" s="1">
        <v>3110.701</v>
      </c>
    </row>
    <row r="326" spans="3:5" x14ac:dyDescent="0.35">
      <c r="C326" s="1" t="s">
        <v>10696</v>
      </c>
      <c r="D326" s="1" t="s">
        <v>20</v>
      </c>
      <c r="E326" s="1">
        <v>3110.7020000000002</v>
      </c>
    </row>
    <row r="327" spans="3:5" x14ac:dyDescent="0.35">
      <c r="C327" s="1" t="s">
        <v>10696</v>
      </c>
      <c r="D327" s="1" t="s">
        <v>19</v>
      </c>
      <c r="E327" s="1">
        <v>3110.703</v>
      </c>
    </row>
    <row r="328" spans="3:5" x14ac:dyDescent="0.35">
      <c r="C328" s="1" t="s">
        <v>10695</v>
      </c>
      <c r="D328" s="1" t="s">
        <v>19</v>
      </c>
      <c r="E328" s="1">
        <v>3110.7049999999999</v>
      </c>
    </row>
    <row r="329" spans="3:5" x14ac:dyDescent="0.35">
      <c r="C329" s="1" t="s">
        <v>10694</v>
      </c>
      <c r="D329" s="1" t="s">
        <v>19</v>
      </c>
      <c r="E329" s="1">
        <v>3110.7060000000001</v>
      </c>
    </row>
    <row r="330" spans="3:5" x14ac:dyDescent="0.35">
      <c r="C330" s="1" t="s">
        <v>10693</v>
      </c>
      <c r="D330" s="1" t="s">
        <v>20</v>
      </c>
      <c r="E330" s="1">
        <v>3111</v>
      </c>
    </row>
    <row r="331" spans="3:5" x14ac:dyDescent="0.35">
      <c r="C331" s="1" t="s">
        <v>10692</v>
      </c>
      <c r="D331" s="1" t="s">
        <v>20</v>
      </c>
      <c r="E331" s="1">
        <v>3111.0250000000001</v>
      </c>
    </row>
    <row r="332" spans="3:5" x14ac:dyDescent="0.35">
      <c r="C332" s="1" t="s">
        <v>10691</v>
      </c>
      <c r="D332" s="1" t="s">
        <v>19</v>
      </c>
      <c r="E332" s="1">
        <v>3111.049</v>
      </c>
    </row>
    <row r="333" spans="3:5" x14ac:dyDescent="0.35">
      <c r="C333" s="1" t="s">
        <v>10691</v>
      </c>
      <c r="D333" s="1" t="s">
        <v>20</v>
      </c>
      <c r="E333" s="1">
        <v>3111.05</v>
      </c>
    </row>
    <row r="334" spans="3:5" x14ac:dyDescent="0.35">
      <c r="C334" s="1" t="s">
        <v>10690</v>
      </c>
      <c r="D334" s="1" t="s">
        <v>19</v>
      </c>
      <c r="E334" s="1">
        <v>3111.0740000000001</v>
      </c>
    </row>
    <row r="335" spans="3:5" x14ac:dyDescent="0.35">
      <c r="C335" s="1" t="s">
        <v>10690</v>
      </c>
      <c r="D335" s="1" t="s">
        <v>20</v>
      </c>
      <c r="E335" s="1">
        <v>3111.0749999999998</v>
      </c>
    </row>
    <row r="336" spans="3:5" x14ac:dyDescent="0.35">
      <c r="C336" s="1" t="s">
        <v>10689</v>
      </c>
      <c r="D336" s="1" t="s">
        <v>20</v>
      </c>
      <c r="E336" s="1">
        <v>3111.076</v>
      </c>
    </row>
    <row r="337" spans="3:5" x14ac:dyDescent="0.35">
      <c r="C337" s="1" t="s">
        <v>10688</v>
      </c>
      <c r="D337" s="1" t="s">
        <v>20</v>
      </c>
      <c r="E337" s="1">
        <v>3111.08</v>
      </c>
    </row>
    <row r="338" spans="3:5" x14ac:dyDescent="0.35">
      <c r="C338" s="1" t="s">
        <v>10687</v>
      </c>
      <c r="D338" s="1" t="s">
        <v>20</v>
      </c>
      <c r="E338" s="1">
        <v>3111.0819999999999</v>
      </c>
    </row>
    <row r="339" spans="3:5" x14ac:dyDescent="0.35">
      <c r="C339" s="1" t="s">
        <v>10686</v>
      </c>
      <c r="D339" s="1" t="s">
        <v>20</v>
      </c>
      <c r="E339" s="1">
        <v>3111.0839999999998</v>
      </c>
    </row>
    <row r="340" spans="3:5" x14ac:dyDescent="0.35">
      <c r="C340" s="1" t="s">
        <v>10685</v>
      </c>
      <c r="D340" s="1" t="s">
        <v>20</v>
      </c>
      <c r="E340" s="1">
        <v>3111.0859999999998</v>
      </c>
    </row>
    <row r="341" spans="3:5" x14ac:dyDescent="0.35">
      <c r="C341" s="1" t="s">
        <v>10684</v>
      </c>
      <c r="D341" s="1" t="s">
        <v>20</v>
      </c>
      <c r="E341" s="1">
        <v>3111.0880000000002</v>
      </c>
    </row>
    <row r="342" spans="3:5" x14ac:dyDescent="0.35">
      <c r="C342" s="1" t="s">
        <v>10683</v>
      </c>
      <c r="D342" s="1" t="s">
        <v>20</v>
      </c>
      <c r="E342" s="1">
        <v>3111.09</v>
      </c>
    </row>
    <row r="343" spans="3:5" x14ac:dyDescent="0.35">
      <c r="C343" s="1" t="s">
        <v>10682</v>
      </c>
      <c r="D343" s="1" t="s">
        <v>20</v>
      </c>
      <c r="E343" s="1">
        <v>3111.0920000000001</v>
      </c>
    </row>
    <row r="344" spans="3:5" x14ac:dyDescent="0.35">
      <c r="C344" s="1" t="s">
        <v>10681</v>
      </c>
      <c r="D344" s="1" t="s">
        <v>20</v>
      </c>
      <c r="E344" s="1">
        <v>3111.0940000000001</v>
      </c>
    </row>
    <row r="345" spans="3:5" x14ac:dyDescent="0.35">
      <c r="C345" s="1" t="s">
        <v>10680</v>
      </c>
      <c r="D345" s="1" t="s">
        <v>20</v>
      </c>
      <c r="E345" s="1">
        <v>3111.096</v>
      </c>
    </row>
    <row r="346" spans="3:5" x14ac:dyDescent="0.35">
      <c r="C346" s="1" t="s">
        <v>10679</v>
      </c>
      <c r="D346" s="1" t="s">
        <v>20</v>
      </c>
      <c r="E346" s="1">
        <v>3111.098</v>
      </c>
    </row>
    <row r="347" spans="3:5" x14ac:dyDescent="0.35">
      <c r="C347" s="1" t="s">
        <v>10678</v>
      </c>
      <c r="D347" s="1" t="s">
        <v>20</v>
      </c>
      <c r="E347" s="1">
        <v>3111.1</v>
      </c>
    </row>
    <row r="348" spans="3:5" x14ac:dyDescent="0.35">
      <c r="C348" s="1" t="s">
        <v>10677</v>
      </c>
      <c r="D348" s="1" t="s">
        <v>20</v>
      </c>
      <c r="E348" s="1">
        <v>3111.1019999999999</v>
      </c>
    </row>
    <row r="349" spans="3:5" x14ac:dyDescent="0.35">
      <c r="C349" s="1" t="s">
        <v>10676</v>
      </c>
      <c r="D349" s="1" t="s">
        <v>20</v>
      </c>
      <c r="E349" s="1">
        <v>3111.1039999999998</v>
      </c>
    </row>
    <row r="350" spans="3:5" x14ac:dyDescent="0.35">
      <c r="C350" s="1" t="s">
        <v>10675</v>
      </c>
      <c r="D350" s="1" t="s">
        <v>20</v>
      </c>
      <c r="E350" s="1">
        <v>3111.1060000000002</v>
      </c>
    </row>
    <row r="351" spans="3:5" x14ac:dyDescent="0.35">
      <c r="C351" s="1" t="s">
        <v>10674</v>
      </c>
      <c r="D351" s="1" t="s">
        <v>20</v>
      </c>
      <c r="E351" s="1">
        <v>3111.1080000000002</v>
      </c>
    </row>
    <row r="352" spans="3:5" x14ac:dyDescent="0.35">
      <c r="C352" s="1" t="s">
        <v>10673</v>
      </c>
      <c r="D352" s="1" t="s">
        <v>20</v>
      </c>
      <c r="E352" s="1">
        <v>3111.11</v>
      </c>
    </row>
    <row r="353" spans="3:5" x14ac:dyDescent="0.35">
      <c r="C353" s="1" t="s">
        <v>10672</v>
      </c>
      <c r="D353" s="1" t="s">
        <v>20</v>
      </c>
      <c r="E353" s="1">
        <v>3111.1120000000001</v>
      </c>
    </row>
    <row r="354" spans="3:5" x14ac:dyDescent="0.35">
      <c r="C354" s="1" t="s">
        <v>10671</v>
      </c>
      <c r="D354" s="1" t="s">
        <v>20</v>
      </c>
      <c r="E354" s="1">
        <v>3111.114</v>
      </c>
    </row>
    <row r="355" spans="3:5" x14ac:dyDescent="0.35">
      <c r="C355" s="1" t="s">
        <v>10670</v>
      </c>
      <c r="D355" s="1" t="s">
        <v>20</v>
      </c>
      <c r="E355" s="1">
        <v>3111.116</v>
      </c>
    </row>
    <row r="356" spans="3:5" x14ac:dyDescent="0.35">
      <c r="C356" s="1" t="s">
        <v>10669</v>
      </c>
      <c r="D356" s="1" t="s">
        <v>20</v>
      </c>
      <c r="E356" s="1">
        <v>3111.1179999999999</v>
      </c>
    </row>
    <row r="357" spans="3:5" x14ac:dyDescent="0.35">
      <c r="C357" s="1" t="s">
        <v>10668</v>
      </c>
      <c r="D357" s="1" t="s">
        <v>20</v>
      </c>
      <c r="E357" s="1">
        <v>3111.13</v>
      </c>
    </row>
    <row r="358" spans="3:5" x14ac:dyDescent="0.35">
      <c r="C358" s="1" t="s">
        <v>10667</v>
      </c>
      <c r="D358" s="1" t="s">
        <v>20</v>
      </c>
      <c r="E358" s="1">
        <v>3111.1320000000001</v>
      </c>
    </row>
    <row r="359" spans="3:5" x14ac:dyDescent="0.35">
      <c r="C359" s="1" t="s">
        <v>10666</v>
      </c>
      <c r="D359" s="1" t="s">
        <v>20</v>
      </c>
      <c r="E359" s="1">
        <v>3111.14</v>
      </c>
    </row>
    <row r="360" spans="3:5" x14ac:dyDescent="0.35">
      <c r="C360" s="1" t="s">
        <v>10665</v>
      </c>
      <c r="D360" s="1" t="s">
        <v>19</v>
      </c>
      <c r="E360" s="1">
        <v>3111.1410000000001</v>
      </c>
    </row>
    <row r="361" spans="3:5" x14ac:dyDescent="0.35">
      <c r="C361" s="1" t="s">
        <v>10664</v>
      </c>
      <c r="D361" s="1" t="s">
        <v>20</v>
      </c>
      <c r="E361" s="1">
        <v>3111.1419999999998</v>
      </c>
    </row>
    <row r="362" spans="3:5" x14ac:dyDescent="0.35">
      <c r="C362" s="1" t="s">
        <v>10663</v>
      </c>
      <c r="D362" s="1" t="s">
        <v>20</v>
      </c>
      <c r="E362" s="1">
        <v>3111.15</v>
      </c>
    </row>
    <row r="363" spans="3:5" x14ac:dyDescent="0.35">
      <c r="C363" s="1" t="s">
        <v>10662</v>
      </c>
      <c r="D363" s="1" t="s">
        <v>20</v>
      </c>
      <c r="E363" s="1">
        <v>3111.152</v>
      </c>
    </row>
    <row r="364" spans="3:5" x14ac:dyDescent="0.35">
      <c r="C364" s="1" t="s">
        <v>10661</v>
      </c>
      <c r="D364" s="1" t="s">
        <v>20</v>
      </c>
      <c r="E364" s="1">
        <v>3111.154</v>
      </c>
    </row>
    <row r="365" spans="3:5" x14ac:dyDescent="0.35">
      <c r="C365" s="1" t="s">
        <v>10660</v>
      </c>
      <c r="D365" s="1" t="s">
        <v>20</v>
      </c>
      <c r="E365" s="1">
        <v>3111.1559999999999</v>
      </c>
    </row>
    <row r="366" spans="3:5" x14ac:dyDescent="0.35">
      <c r="C366" s="1" t="s">
        <v>10659</v>
      </c>
      <c r="D366" s="1" t="s">
        <v>20</v>
      </c>
      <c r="E366" s="1">
        <v>3111.1579999999999</v>
      </c>
    </row>
    <row r="367" spans="3:5" x14ac:dyDescent="0.35">
      <c r="C367" s="1" t="s">
        <v>10658</v>
      </c>
      <c r="D367" s="1" t="s">
        <v>20</v>
      </c>
      <c r="E367" s="1">
        <v>3111.16</v>
      </c>
    </row>
    <row r="368" spans="3:5" x14ac:dyDescent="0.35">
      <c r="C368" s="1" t="s">
        <v>10657</v>
      </c>
      <c r="D368" s="1" t="s">
        <v>20</v>
      </c>
      <c r="E368" s="1">
        <v>3111.1619999999998</v>
      </c>
    </row>
    <row r="369" spans="3:5" x14ac:dyDescent="0.35">
      <c r="C369" s="1" t="s">
        <v>10656</v>
      </c>
      <c r="D369" s="1" t="s">
        <v>20</v>
      </c>
      <c r="E369" s="1">
        <v>3111.1640000000002</v>
      </c>
    </row>
    <row r="370" spans="3:5" x14ac:dyDescent="0.35">
      <c r="C370" s="1" t="s">
        <v>10655</v>
      </c>
      <c r="D370" s="1" t="s">
        <v>20</v>
      </c>
      <c r="E370" s="1">
        <v>3111.1660000000002</v>
      </c>
    </row>
    <row r="371" spans="3:5" x14ac:dyDescent="0.35">
      <c r="C371" s="1" t="s">
        <v>10654</v>
      </c>
      <c r="D371" s="1" t="s">
        <v>20</v>
      </c>
      <c r="E371" s="1">
        <v>3111.1680000000001</v>
      </c>
    </row>
    <row r="372" spans="3:5" x14ac:dyDescent="0.35">
      <c r="C372" s="1" t="s">
        <v>10653</v>
      </c>
      <c r="D372" s="1" t="s">
        <v>20</v>
      </c>
      <c r="E372" s="1">
        <v>3111.17</v>
      </c>
    </row>
    <row r="373" spans="3:5" x14ac:dyDescent="0.35">
      <c r="C373" s="1" t="s">
        <v>10652</v>
      </c>
      <c r="D373" s="1" t="s">
        <v>20</v>
      </c>
      <c r="E373" s="1">
        <v>3111.172</v>
      </c>
    </row>
    <row r="374" spans="3:5" x14ac:dyDescent="0.35">
      <c r="C374" s="1" t="s">
        <v>10651</v>
      </c>
      <c r="D374" s="1" t="s">
        <v>20</v>
      </c>
      <c r="E374" s="1">
        <v>3111.174</v>
      </c>
    </row>
    <row r="375" spans="3:5" x14ac:dyDescent="0.35">
      <c r="C375" s="1" t="s">
        <v>10650</v>
      </c>
      <c r="D375" s="1" t="s">
        <v>20</v>
      </c>
      <c r="E375" s="1">
        <v>3111.1759999999999</v>
      </c>
    </row>
    <row r="376" spans="3:5" x14ac:dyDescent="0.35">
      <c r="C376" s="1" t="s">
        <v>10649</v>
      </c>
      <c r="D376" s="1" t="s">
        <v>20</v>
      </c>
      <c r="E376" s="1">
        <v>3111.1779999999999</v>
      </c>
    </row>
    <row r="377" spans="3:5" x14ac:dyDescent="0.35">
      <c r="C377" s="1" t="s">
        <v>10648</v>
      </c>
      <c r="D377" s="1" t="s">
        <v>20</v>
      </c>
      <c r="E377" s="1">
        <v>3111.18</v>
      </c>
    </row>
    <row r="378" spans="3:5" x14ac:dyDescent="0.35">
      <c r="C378" s="1" t="s">
        <v>10647</v>
      </c>
      <c r="D378" s="1" t="s">
        <v>20</v>
      </c>
      <c r="E378" s="1">
        <v>3111.1819999999998</v>
      </c>
    </row>
    <row r="379" spans="3:5" x14ac:dyDescent="0.35">
      <c r="C379" s="1" t="s">
        <v>10646</v>
      </c>
      <c r="D379" s="1" t="s">
        <v>20</v>
      </c>
      <c r="E379" s="1">
        <v>3111.1840000000002</v>
      </c>
    </row>
    <row r="380" spans="3:5" x14ac:dyDescent="0.35">
      <c r="C380" s="1" t="s">
        <v>10645</v>
      </c>
      <c r="D380" s="1" t="s">
        <v>20</v>
      </c>
      <c r="E380" s="1">
        <v>3111.1860000000001</v>
      </c>
    </row>
    <row r="381" spans="3:5" x14ac:dyDescent="0.35">
      <c r="C381" s="1" t="s">
        <v>10644</v>
      </c>
      <c r="D381" s="1" t="s">
        <v>20</v>
      </c>
      <c r="E381" s="1">
        <v>3111.1880000000001</v>
      </c>
    </row>
    <row r="382" spans="3:5" x14ac:dyDescent="0.35">
      <c r="C382" s="1" t="s">
        <v>10643</v>
      </c>
      <c r="D382" s="1" t="s">
        <v>20</v>
      </c>
      <c r="E382" s="1">
        <v>3111.1889999999999</v>
      </c>
    </row>
    <row r="383" spans="3:5" x14ac:dyDescent="0.35">
      <c r="C383" s="1" t="s">
        <v>10642</v>
      </c>
      <c r="D383" s="1" t="s">
        <v>20</v>
      </c>
      <c r="E383" s="1">
        <v>3111.201</v>
      </c>
    </row>
    <row r="384" spans="3:5" x14ac:dyDescent="0.35">
      <c r="C384" s="1" t="s">
        <v>10641</v>
      </c>
      <c r="D384" s="1" t="s">
        <v>20</v>
      </c>
      <c r="E384" s="1">
        <v>3111.2020000000002</v>
      </c>
    </row>
    <row r="385" spans="3:5" x14ac:dyDescent="0.35">
      <c r="C385" s="1" t="s">
        <v>10640</v>
      </c>
      <c r="D385" s="1" t="s">
        <v>20</v>
      </c>
      <c r="E385" s="1">
        <v>3111.203</v>
      </c>
    </row>
    <row r="386" spans="3:5" x14ac:dyDescent="0.35">
      <c r="C386" s="1" t="s">
        <v>10639</v>
      </c>
      <c r="D386" s="1" t="s">
        <v>20</v>
      </c>
      <c r="E386" s="1">
        <v>3111.2040000000002</v>
      </c>
    </row>
    <row r="387" spans="3:5" x14ac:dyDescent="0.35">
      <c r="C387" s="1" t="s">
        <v>10638</v>
      </c>
      <c r="D387" s="1" t="s">
        <v>20</v>
      </c>
      <c r="E387" s="1">
        <v>3111.2049999999999</v>
      </c>
    </row>
    <row r="388" spans="3:5" x14ac:dyDescent="0.35">
      <c r="C388" s="1" t="s">
        <v>10637</v>
      </c>
      <c r="D388" s="1" t="s">
        <v>20</v>
      </c>
      <c r="E388" s="1">
        <v>3111.2060000000001</v>
      </c>
    </row>
    <row r="389" spans="3:5" x14ac:dyDescent="0.35">
      <c r="C389" s="1" t="s">
        <v>10636</v>
      </c>
      <c r="D389" s="1" t="s">
        <v>20</v>
      </c>
      <c r="E389" s="1">
        <v>3111.2109999999998</v>
      </c>
    </row>
    <row r="390" spans="3:5" x14ac:dyDescent="0.35">
      <c r="C390" s="1" t="s">
        <v>10635</v>
      </c>
      <c r="D390" s="1" t="s">
        <v>20</v>
      </c>
      <c r="E390" s="1">
        <v>3111.212</v>
      </c>
    </row>
    <row r="391" spans="3:5" x14ac:dyDescent="0.35">
      <c r="C391" s="1" t="s">
        <v>10634</v>
      </c>
      <c r="D391" s="1" t="s">
        <v>20</v>
      </c>
      <c r="E391" s="1">
        <v>3111.2130000000002</v>
      </c>
    </row>
    <row r="392" spans="3:5" x14ac:dyDescent="0.35">
      <c r="C392" s="1" t="s">
        <v>10633</v>
      </c>
      <c r="D392" s="1" t="s">
        <v>20</v>
      </c>
      <c r="E392" s="1">
        <v>3111.2139999999999</v>
      </c>
    </row>
    <row r="393" spans="3:5" x14ac:dyDescent="0.35">
      <c r="C393" s="1" t="s">
        <v>10632</v>
      </c>
      <c r="D393" s="1" t="s">
        <v>20</v>
      </c>
      <c r="E393" s="1">
        <v>3111.2150000000001</v>
      </c>
    </row>
    <row r="394" spans="3:5" x14ac:dyDescent="0.35">
      <c r="C394" s="1" t="s">
        <v>10631</v>
      </c>
      <c r="D394" s="1" t="s">
        <v>20</v>
      </c>
      <c r="E394" s="1">
        <v>3111.2159999999999</v>
      </c>
    </row>
    <row r="395" spans="3:5" x14ac:dyDescent="0.35">
      <c r="C395" s="1" t="s">
        <v>10630</v>
      </c>
      <c r="D395" s="1" t="s">
        <v>19</v>
      </c>
      <c r="E395" s="1">
        <v>3111.221</v>
      </c>
    </row>
    <row r="396" spans="3:5" x14ac:dyDescent="0.35">
      <c r="C396" s="1" t="s">
        <v>10629</v>
      </c>
      <c r="D396" s="1" t="s">
        <v>19</v>
      </c>
      <c r="E396" s="1">
        <v>3111.2220000000002</v>
      </c>
    </row>
    <row r="397" spans="3:5" x14ac:dyDescent="0.35">
      <c r="C397" s="1" t="s">
        <v>10628</v>
      </c>
      <c r="D397" s="1" t="s">
        <v>19</v>
      </c>
      <c r="E397" s="1">
        <v>3111.223</v>
      </c>
    </row>
    <row r="398" spans="3:5" x14ac:dyDescent="0.35">
      <c r="C398" s="1" t="s">
        <v>10627</v>
      </c>
      <c r="D398" s="1" t="s">
        <v>19</v>
      </c>
      <c r="E398" s="1">
        <v>3111.2240000000002</v>
      </c>
    </row>
    <row r="399" spans="3:5" x14ac:dyDescent="0.35">
      <c r="C399" s="1" t="s">
        <v>10626</v>
      </c>
      <c r="D399" s="1" t="s">
        <v>19</v>
      </c>
      <c r="E399" s="1">
        <v>3111.2249999999999</v>
      </c>
    </row>
    <row r="400" spans="3:5" x14ac:dyDescent="0.35">
      <c r="C400" s="1" t="s">
        <v>10625</v>
      </c>
      <c r="D400" s="1" t="s">
        <v>19</v>
      </c>
      <c r="E400" s="1">
        <v>3111.2260000000001</v>
      </c>
    </row>
    <row r="401" spans="3:5" x14ac:dyDescent="0.35">
      <c r="C401" s="1" t="s">
        <v>10624</v>
      </c>
      <c r="D401" s="1" t="s">
        <v>19</v>
      </c>
      <c r="E401" s="1">
        <v>3111.2269999999999</v>
      </c>
    </row>
    <row r="402" spans="3:5" x14ac:dyDescent="0.35">
      <c r="C402" s="1" t="s">
        <v>10623</v>
      </c>
      <c r="D402" s="1" t="s">
        <v>19</v>
      </c>
      <c r="E402" s="1">
        <v>3111.2280000000001</v>
      </c>
    </row>
    <row r="403" spans="3:5" x14ac:dyDescent="0.35">
      <c r="C403" s="1" t="s">
        <v>10622</v>
      </c>
      <c r="D403" s="1" t="s">
        <v>19</v>
      </c>
      <c r="E403" s="1">
        <v>3111.2289999999998</v>
      </c>
    </row>
    <row r="404" spans="3:5" x14ac:dyDescent="0.35">
      <c r="C404" s="1" t="s">
        <v>10621</v>
      </c>
      <c r="D404" s="1" t="s">
        <v>19</v>
      </c>
      <c r="E404" s="1">
        <v>3111.23</v>
      </c>
    </row>
    <row r="405" spans="3:5" x14ac:dyDescent="0.35">
      <c r="C405" s="1" t="s">
        <v>10620</v>
      </c>
      <c r="D405" s="1" t="s">
        <v>19</v>
      </c>
      <c r="E405" s="1">
        <v>3111.2310000000002</v>
      </c>
    </row>
    <row r="406" spans="3:5" x14ac:dyDescent="0.35">
      <c r="C406" s="1" t="s">
        <v>10619</v>
      </c>
      <c r="D406" s="1" t="s">
        <v>19</v>
      </c>
      <c r="E406" s="1">
        <v>3111.232</v>
      </c>
    </row>
    <row r="407" spans="3:5" x14ac:dyDescent="0.35">
      <c r="C407" s="1" t="s">
        <v>10618</v>
      </c>
      <c r="D407" s="1" t="s">
        <v>19</v>
      </c>
      <c r="E407" s="1">
        <v>3111.2330000000002</v>
      </c>
    </row>
    <row r="408" spans="3:5" x14ac:dyDescent="0.35">
      <c r="C408" s="1" t="s">
        <v>10617</v>
      </c>
      <c r="D408" s="1" t="s">
        <v>19</v>
      </c>
      <c r="E408" s="1">
        <v>3111.2339999999999</v>
      </c>
    </row>
    <row r="409" spans="3:5" x14ac:dyDescent="0.35">
      <c r="C409" s="1" t="s">
        <v>10616</v>
      </c>
      <c r="D409" s="1" t="s">
        <v>19</v>
      </c>
      <c r="E409" s="1">
        <v>3111.2350000000001</v>
      </c>
    </row>
    <row r="410" spans="3:5" x14ac:dyDescent="0.35">
      <c r="C410" s="1" t="s">
        <v>10615</v>
      </c>
      <c r="D410" s="1" t="s">
        <v>19</v>
      </c>
      <c r="E410" s="1">
        <v>3111.2359999999999</v>
      </c>
    </row>
    <row r="411" spans="3:5" x14ac:dyDescent="0.35">
      <c r="C411" s="1" t="s">
        <v>10614</v>
      </c>
      <c r="D411" s="1" t="s">
        <v>19</v>
      </c>
      <c r="E411" s="1">
        <v>3111.2370000000001</v>
      </c>
    </row>
    <row r="412" spans="3:5" x14ac:dyDescent="0.35">
      <c r="C412" s="1" t="s">
        <v>10613</v>
      </c>
      <c r="D412" s="1" t="s">
        <v>19</v>
      </c>
      <c r="E412" s="1">
        <v>3111.2379999999998</v>
      </c>
    </row>
    <row r="413" spans="3:5" x14ac:dyDescent="0.35">
      <c r="C413" s="1" t="s">
        <v>10612</v>
      </c>
      <c r="D413" s="1" t="s">
        <v>19</v>
      </c>
      <c r="E413" s="1">
        <v>3111.239</v>
      </c>
    </row>
    <row r="414" spans="3:5" x14ac:dyDescent="0.35">
      <c r="C414" s="1" t="s">
        <v>10611</v>
      </c>
      <c r="D414" s="1" t="s">
        <v>19</v>
      </c>
      <c r="E414" s="1">
        <v>3111.24</v>
      </c>
    </row>
    <row r="415" spans="3:5" x14ac:dyDescent="0.35">
      <c r="C415" s="1" t="s">
        <v>10610</v>
      </c>
      <c r="D415" s="1" t="s">
        <v>19</v>
      </c>
      <c r="E415" s="1">
        <v>3111.241</v>
      </c>
    </row>
    <row r="416" spans="3:5" x14ac:dyDescent="0.35">
      <c r="C416" s="1" t="s">
        <v>10609</v>
      </c>
      <c r="D416" s="1" t="s">
        <v>19</v>
      </c>
      <c r="E416" s="1">
        <v>3111.2420000000002</v>
      </c>
    </row>
    <row r="417" spans="3:5" x14ac:dyDescent="0.35">
      <c r="C417" s="1" t="s">
        <v>10608</v>
      </c>
      <c r="D417" s="1" t="s">
        <v>19</v>
      </c>
      <c r="E417" s="1">
        <v>3111.2429999999999</v>
      </c>
    </row>
    <row r="418" spans="3:5" x14ac:dyDescent="0.35">
      <c r="C418" s="1" t="s">
        <v>10607</v>
      </c>
      <c r="D418" s="1" t="s">
        <v>19</v>
      </c>
      <c r="E418" s="1">
        <v>3111.2440000000001</v>
      </c>
    </row>
    <row r="419" spans="3:5" x14ac:dyDescent="0.35">
      <c r="C419" s="1" t="s">
        <v>10606</v>
      </c>
      <c r="D419" s="1" t="s">
        <v>19</v>
      </c>
      <c r="E419" s="1">
        <v>3111.2449999999999</v>
      </c>
    </row>
    <row r="420" spans="3:5" x14ac:dyDescent="0.35">
      <c r="C420" s="1" t="s">
        <v>10605</v>
      </c>
      <c r="D420" s="1" t="s">
        <v>19</v>
      </c>
      <c r="E420" s="1">
        <v>3111.2460000000001</v>
      </c>
    </row>
    <row r="421" spans="3:5" x14ac:dyDescent="0.35">
      <c r="C421" s="1" t="s">
        <v>10604</v>
      </c>
      <c r="D421" s="1" t="s">
        <v>19</v>
      </c>
      <c r="E421" s="1">
        <v>3111.2469999999998</v>
      </c>
    </row>
    <row r="422" spans="3:5" x14ac:dyDescent="0.35">
      <c r="C422" s="1" t="s">
        <v>10603</v>
      </c>
      <c r="D422" s="1" t="s">
        <v>19</v>
      </c>
      <c r="E422" s="1">
        <v>3111.248</v>
      </c>
    </row>
    <row r="423" spans="3:5" x14ac:dyDescent="0.35">
      <c r="C423" s="1" t="s">
        <v>10602</v>
      </c>
      <c r="D423" s="1" t="s">
        <v>19</v>
      </c>
      <c r="E423" s="1">
        <v>3111.2489999999998</v>
      </c>
    </row>
    <row r="424" spans="3:5" x14ac:dyDescent="0.35">
      <c r="C424" s="1" t="s">
        <v>10601</v>
      </c>
      <c r="D424" s="1" t="s">
        <v>19</v>
      </c>
      <c r="E424" s="1">
        <v>3111.25</v>
      </c>
    </row>
    <row r="425" spans="3:5" x14ac:dyDescent="0.35">
      <c r="C425" s="1" t="s">
        <v>10600</v>
      </c>
      <c r="D425" s="1" t="s">
        <v>19</v>
      </c>
      <c r="E425" s="1">
        <v>3111.2510000000002</v>
      </c>
    </row>
    <row r="426" spans="3:5" x14ac:dyDescent="0.35">
      <c r="C426" s="1" t="s">
        <v>10599</v>
      </c>
      <c r="D426" s="1" t="s">
        <v>19</v>
      </c>
      <c r="E426" s="1">
        <v>3111.252</v>
      </c>
    </row>
    <row r="427" spans="3:5" x14ac:dyDescent="0.35">
      <c r="C427" s="1" t="s">
        <v>10598</v>
      </c>
      <c r="D427" s="1" t="s">
        <v>19</v>
      </c>
      <c r="E427" s="1">
        <v>3111.2530000000002</v>
      </c>
    </row>
    <row r="428" spans="3:5" x14ac:dyDescent="0.35">
      <c r="C428" s="1" t="s">
        <v>10597</v>
      </c>
      <c r="D428" s="1" t="s">
        <v>19</v>
      </c>
      <c r="E428" s="1">
        <v>3111.2539999999999</v>
      </c>
    </row>
    <row r="429" spans="3:5" x14ac:dyDescent="0.35">
      <c r="C429" s="1" t="s">
        <v>10596</v>
      </c>
      <c r="D429" s="1" t="s">
        <v>19</v>
      </c>
      <c r="E429" s="1">
        <v>3111.2550000000001</v>
      </c>
    </row>
    <row r="430" spans="3:5" x14ac:dyDescent="0.35">
      <c r="C430" s="1" t="s">
        <v>10595</v>
      </c>
      <c r="D430" s="1" t="s">
        <v>19</v>
      </c>
      <c r="E430" s="1">
        <v>3111.2559999999999</v>
      </c>
    </row>
    <row r="431" spans="3:5" x14ac:dyDescent="0.35">
      <c r="C431" s="1" t="s">
        <v>10594</v>
      </c>
      <c r="D431" s="1" t="s">
        <v>18</v>
      </c>
      <c r="E431" s="1">
        <v>3111.261</v>
      </c>
    </row>
    <row r="432" spans="3:5" x14ac:dyDescent="0.35">
      <c r="C432" s="1" t="s">
        <v>10593</v>
      </c>
      <c r="D432" s="1" t="s">
        <v>18</v>
      </c>
      <c r="E432" s="1">
        <v>3111.2620000000002</v>
      </c>
    </row>
    <row r="433" spans="3:5" x14ac:dyDescent="0.35">
      <c r="C433" s="1" t="s">
        <v>10592</v>
      </c>
      <c r="D433" s="1" t="s">
        <v>18</v>
      </c>
      <c r="E433" s="1">
        <v>3111.2629999999999</v>
      </c>
    </row>
    <row r="434" spans="3:5" x14ac:dyDescent="0.35">
      <c r="C434" s="1" t="s">
        <v>10591</v>
      </c>
      <c r="D434" s="1" t="s">
        <v>18</v>
      </c>
      <c r="E434" s="1">
        <v>3111.2640000000001</v>
      </c>
    </row>
    <row r="435" spans="3:5" x14ac:dyDescent="0.35">
      <c r="C435" s="1" t="s">
        <v>10590</v>
      </c>
      <c r="D435" s="1" t="s">
        <v>18</v>
      </c>
      <c r="E435" s="1">
        <v>3111.2649999999999</v>
      </c>
    </row>
    <row r="436" spans="3:5" x14ac:dyDescent="0.35">
      <c r="C436" s="1" t="s">
        <v>10589</v>
      </c>
      <c r="D436" s="1" t="s">
        <v>18</v>
      </c>
      <c r="E436" s="1">
        <v>3111.2660000000001</v>
      </c>
    </row>
    <row r="437" spans="3:5" x14ac:dyDescent="0.35">
      <c r="C437" s="1" t="s">
        <v>10588</v>
      </c>
      <c r="D437" s="1" t="s">
        <v>18</v>
      </c>
      <c r="E437" s="1">
        <v>3111.2669999999998</v>
      </c>
    </row>
    <row r="438" spans="3:5" x14ac:dyDescent="0.35">
      <c r="C438" s="1" t="s">
        <v>10587</v>
      </c>
      <c r="D438" s="1" t="s">
        <v>18</v>
      </c>
      <c r="E438" s="1">
        <v>3111.268</v>
      </c>
    </row>
    <row r="439" spans="3:5" x14ac:dyDescent="0.35">
      <c r="C439" s="1" t="s">
        <v>10586</v>
      </c>
      <c r="D439" s="1" t="s">
        <v>18</v>
      </c>
      <c r="E439" s="1">
        <v>3111.2689999999998</v>
      </c>
    </row>
    <row r="440" spans="3:5" x14ac:dyDescent="0.35">
      <c r="C440" s="1" t="s">
        <v>10585</v>
      </c>
      <c r="D440" s="1" t="s">
        <v>19</v>
      </c>
      <c r="E440" s="1">
        <v>3111.2710000000002</v>
      </c>
    </row>
    <row r="441" spans="3:5" x14ac:dyDescent="0.35">
      <c r="C441" s="1" t="s">
        <v>10584</v>
      </c>
      <c r="D441" s="1" t="s">
        <v>19</v>
      </c>
      <c r="E441" s="1">
        <v>3111.2719999999999</v>
      </c>
    </row>
    <row r="442" spans="3:5" x14ac:dyDescent="0.35">
      <c r="C442" s="1" t="s">
        <v>10583</v>
      </c>
      <c r="D442" s="1" t="s">
        <v>19</v>
      </c>
      <c r="E442" s="1">
        <v>3111.2730000000001</v>
      </c>
    </row>
    <row r="443" spans="3:5" x14ac:dyDescent="0.35">
      <c r="C443" s="1" t="s">
        <v>10582</v>
      </c>
      <c r="D443" s="1" t="s">
        <v>19</v>
      </c>
      <c r="E443" s="1">
        <v>3111.2739999999999</v>
      </c>
    </row>
    <row r="444" spans="3:5" x14ac:dyDescent="0.35">
      <c r="C444" s="1" t="s">
        <v>10581</v>
      </c>
      <c r="D444" s="1" t="s">
        <v>19</v>
      </c>
      <c r="E444" s="1">
        <v>3111.2750000000001</v>
      </c>
    </row>
    <row r="445" spans="3:5" x14ac:dyDescent="0.35">
      <c r="C445" s="1" t="s">
        <v>10580</v>
      </c>
      <c r="D445" s="1" t="s">
        <v>19</v>
      </c>
      <c r="E445" s="1">
        <v>3111.2759999999998</v>
      </c>
    </row>
    <row r="446" spans="3:5" x14ac:dyDescent="0.35">
      <c r="C446" s="1" t="s">
        <v>10579</v>
      </c>
      <c r="D446" s="1" t="s">
        <v>19</v>
      </c>
      <c r="E446" s="1">
        <v>3111.277</v>
      </c>
    </row>
    <row r="447" spans="3:5" x14ac:dyDescent="0.35">
      <c r="C447" s="1" t="s">
        <v>10578</v>
      </c>
      <c r="D447" s="1" t="s">
        <v>19</v>
      </c>
      <c r="E447" s="1">
        <v>3111.2779999999998</v>
      </c>
    </row>
    <row r="448" spans="3:5" x14ac:dyDescent="0.35">
      <c r="C448" s="1" t="s">
        <v>10577</v>
      </c>
      <c r="D448" s="1" t="s">
        <v>19</v>
      </c>
      <c r="E448" s="1">
        <v>3111.279</v>
      </c>
    </row>
    <row r="449" spans="3:5" x14ac:dyDescent="0.35">
      <c r="C449" s="1" t="s">
        <v>10576</v>
      </c>
      <c r="D449" s="1" t="s">
        <v>19</v>
      </c>
      <c r="E449" s="1">
        <v>3111.28</v>
      </c>
    </row>
    <row r="450" spans="3:5" x14ac:dyDescent="0.35">
      <c r="C450" s="1" t="s">
        <v>10575</v>
      </c>
      <c r="D450" s="1" t="s">
        <v>19</v>
      </c>
      <c r="E450" s="1">
        <v>3111.2809999999999</v>
      </c>
    </row>
    <row r="451" spans="3:5" x14ac:dyDescent="0.35">
      <c r="C451" s="1" t="s">
        <v>10574</v>
      </c>
      <c r="D451" s="1" t="s">
        <v>19</v>
      </c>
      <c r="E451" s="1">
        <v>3111.2820000000002</v>
      </c>
    </row>
    <row r="452" spans="3:5" x14ac:dyDescent="0.35">
      <c r="C452" s="1" t="s">
        <v>10573</v>
      </c>
      <c r="D452" s="1" t="s">
        <v>19</v>
      </c>
      <c r="E452" s="1">
        <v>3111.2829999999999</v>
      </c>
    </row>
    <row r="453" spans="3:5" x14ac:dyDescent="0.35">
      <c r="C453" s="1" t="s">
        <v>10572</v>
      </c>
      <c r="D453" s="1" t="s">
        <v>19</v>
      </c>
      <c r="E453" s="1">
        <v>3111.2840000000001</v>
      </c>
    </row>
    <row r="454" spans="3:5" x14ac:dyDescent="0.35">
      <c r="C454" s="1" t="s">
        <v>10571</v>
      </c>
      <c r="D454" s="1" t="s">
        <v>19</v>
      </c>
      <c r="E454" s="1">
        <v>3111.2849999999999</v>
      </c>
    </row>
    <row r="455" spans="3:5" x14ac:dyDescent="0.35">
      <c r="C455" s="1" t="s">
        <v>10570</v>
      </c>
      <c r="D455" s="1" t="s">
        <v>19</v>
      </c>
      <c r="E455" s="1">
        <v>3111.2860000000001</v>
      </c>
    </row>
    <row r="456" spans="3:5" x14ac:dyDescent="0.35">
      <c r="C456" s="1" t="s">
        <v>10569</v>
      </c>
      <c r="D456" s="1" t="s">
        <v>19</v>
      </c>
      <c r="E456" s="1">
        <v>3111.2869999999998</v>
      </c>
    </row>
    <row r="457" spans="3:5" x14ac:dyDescent="0.35">
      <c r="C457" s="1" t="s">
        <v>10568</v>
      </c>
      <c r="D457" s="1" t="s">
        <v>19</v>
      </c>
      <c r="E457" s="1">
        <v>3111.288</v>
      </c>
    </row>
    <row r="458" spans="3:5" x14ac:dyDescent="0.35">
      <c r="C458" s="1" t="s">
        <v>10567</v>
      </c>
      <c r="D458" s="1" t="s">
        <v>19</v>
      </c>
      <c r="E458" s="1">
        <v>3111.2890000000002</v>
      </c>
    </row>
    <row r="459" spans="3:5" x14ac:dyDescent="0.35">
      <c r="C459" s="1" t="s">
        <v>10566</v>
      </c>
      <c r="D459" s="1" t="s">
        <v>19</v>
      </c>
      <c r="E459" s="1">
        <v>3111.29</v>
      </c>
    </row>
    <row r="460" spans="3:5" x14ac:dyDescent="0.35">
      <c r="C460" s="1" t="s">
        <v>10565</v>
      </c>
      <c r="D460" s="1" t="s">
        <v>19</v>
      </c>
      <c r="E460" s="1">
        <v>3111.2910000000002</v>
      </c>
    </row>
    <row r="461" spans="3:5" x14ac:dyDescent="0.35">
      <c r="C461" s="1" t="s">
        <v>10564</v>
      </c>
      <c r="D461" s="1" t="s">
        <v>19</v>
      </c>
      <c r="E461" s="1">
        <v>3111.2919999999999</v>
      </c>
    </row>
    <row r="462" spans="3:5" x14ac:dyDescent="0.35">
      <c r="C462" s="1" t="s">
        <v>10563</v>
      </c>
      <c r="D462" s="1" t="s">
        <v>19</v>
      </c>
      <c r="E462" s="1">
        <v>3111.3009999999999</v>
      </c>
    </row>
    <row r="463" spans="3:5" x14ac:dyDescent="0.35">
      <c r="C463" s="1" t="s">
        <v>10562</v>
      </c>
      <c r="D463" s="1" t="s">
        <v>19</v>
      </c>
      <c r="E463" s="1">
        <v>3111.3020000000001</v>
      </c>
    </row>
    <row r="464" spans="3:5" x14ac:dyDescent="0.35">
      <c r="C464" s="1" t="s">
        <v>10561</v>
      </c>
      <c r="D464" s="1" t="s">
        <v>19</v>
      </c>
      <c r="E464" s="1">
        <v>3111.3029999999999</v>
      </c>
    </row>
    <row r="465" spans="3:5" x14ac:dyDescent="0.35">
      <c r="C465" s="1" t="s">
        <v>10560</v>
      </c>
      <c r="D465" s="1" t="s">
        <v>19</v>
      </c>
      <c r="E465" s="1">
        <v>3111.3040000000001</v>
      </c>
    </row>
    <row r="466" spans="3:5" x14ac:dyDescent="0.35">
      <c r="C466" s="1" t="s">
        <v>10559</v>
      </c>
      <c r="D466" s="1" t="s">
        <v>19</v>
      </c>
      <c r="E466" s="1">
        <v>3111.3049999999998</v>
      </c>
    </row>
    <row r="467" spans="3:5" x14ac:dyDescent="0.35">
      <c r="C467" s="1" t="s">
        <v>10558</v>
      </c>
      <c r="D467" s="1" t="s">
        <v>19</v>
      </c>
      <c r="E467" s="1">
        <v>3111.306</v>
      </c>
    </row>
    <row r="468" spans="3:5" x14ac:dyDescent="0.35">
      <c r="C468" s="1" t="s">
        <v>10557</v>
      </c>
      <c r="D468" s="1" t="s">
        <v>19</v>
      </c>
      <c r="E468" s="1">
        <v>3111.3069999999998</v>
      </c>
    </row>
    <row r="469" spans="3:5" x14ac:dyDescent="0.35">
      <c r="C469" s="1" t="s">
        <v>10556</v>
      </c>
      <c r="D469" s="1" t="s">
        <v>19</v>
      </c>
      <c r="E469" s="1">
        <v>3111.308</v>
      </c>
    </row>
    <row r="470" spans="3:5" x14ac:dyDescent="0.35">
      <c r="C470" s="1" t="s">
        <v>10555</v>
      </c>
      <c r="D470" s="1" t="s">
        <v>19</v>
      </c>
      <c r="E470" s="1">
        <v>3111.3090000000002</v>
      </c>
    </row>
    <row r="471" spans="3:5" x14ac:dyDescent="0.35">
      <c r="C471" s="1" t="s">
        <v>10554</v>
      </c>
      <c r="D471" s="1" t="s">
        <v>19</v>
      </c>
      <c r="E471" s="1">
        <v>3111.31</v>
      </c>
    </row>
    <row r="472" spans="3:5" x14ac:dyDescent="0.35">
      <c r="C472" s="1" t="s">
        <v>10553</v>
      </c>
      <c r="D472" s="1" t="s">
        <v>19</v>
      </c>
      <c r="E472" s="1">
        <v>3111.3110000000001</v>
      </c>
    </row>
    <row r="473" spans="3:5" x14ac:dyDescent="0.35">
      <c r="C473" s="1" t="s">
        <v>10552</v>
      </c>
      <c r="D473" s="1" t="s">
        <v>19</v>
      </c>
      <c r="E473" s="1">
        <v>3111.3119999999999</v>
      </c>
    </row>
    <row r="474" spans="3:5" x14ac:dyDescent="0.35">
      <c r="C474" s="1" t="s">
        <v>10551</v>
      </c>
      <c r="D474" s="1" t="s">
        <v>19</v>
      </c>
      <c r="E474" s="1">
        <v>3111.3130000000001</v>
      </c>
    </row>
    <row r="475" spans="3:5" x14ac:dyDescent="0.35">
      <c r="C475" s="1" t="s">
        <v>10550</v>
      </c>
      <c r="D475" s="1" t="s">
        <v>19</v>
      </c>
      <c r="E475" s="1">
        <v>3111.3139999999999</v>
      </c>
    </row>
    <row r="476" spans="3:5" x14ac:dyDescent="0.35">
      <c r="C476" s="1" t="s">
        <v>10549</v>
      </c>
      <c r="D476" s="1" t="s">
        <v>19</v>
      </c>
      <c r="E476" s="1">
        <v>3111.3150000000001</v>
      </c>
    </row>
    <row r="477" spans="3:5" x14ac:dyDescent="0.35">
      <c r="C477" s="1" t="s">
        <v>10548</v>
      </c>
      <c r="D477" s="1" t="s">
        <v>19</v>
      </c>
      <c r="E477" s="1">
        <v>3111.3159999999998</v>
      </c>
    </row>
    <row r="478" spans="3:5" x14ac:dyDescent="0.35">
      <c r="C478" s="1" t="s">
        <v>10547</v>
      </c>
      <c r="D478" s="1" t="s">
        <v>19</v>
      </c>
      <c r="E478" s="1">
        <v>3111.317</v>
      </c>
    </row>
    <row r="479" spans="3:5" x14ac:dyDescent="0.35">
      <c r="C479" s="1" t="s">
        <v>10546</v>
      </c>
      <c r="D479" s="1" t="s">
        <v>19</v>
      </c>
      <c r="E479" s="1">
        <v>3111.3180000000002</v>
      </c>
    </row>
    <row r="480" spans="3:5" x14ac:dyDescent="0.35">
      <c r="C480" s="1" t="s">
        <v>10545</v>
      </c>
      <c r="D480" s="1" t="s">
        <v>19</v>
      </c>
      <c r="E480" s="1">
        <v>3111.319</v>
      </c>
    </row>
    <row r="481" spans="3:5" x14ac:dyDescent="0.35">
      <c r="C481" s="1" t="s">
        <v>10544</v>
      </c>
      <c r="D481" s="1" t="s">
        <v>19</v>
      </c>
      <c r="E481" s="1">
        <v>3111.32</v>
      </c>
    </row>
    <row r="482" spans="3:5" x14ac:dyDescent="0.35">
      <c r="C482" s="1" t="s">
        <v>10543</v>
      </c>
      <c r="D482" s="1" t="s">
        <v>19</v>
      </c>
      <c r="E482" s="1">
        <v>3111.3209999999999</v>
      </c>
    </row>
    <row r="483" spans="3:5" x14ac:dyDescent="0.35">
      <c r="C483" s="1" t="s">
        <v>10542</v>
      </c>
      <c r="D483" s="1" t="s">
        <v>19</v>
      </c>
      <c r="E483" s="1">
        <v>3111.3220000000001</v>
      </c>
    </row>
    <row r="484" spans="3:5" x14ac:dyDescent="0.35">
      <c r="C484" s="1" t="s">
        <v>10541</v>
      </c>
      <c r="D484" s="1" t="s">
        <v>19</v>
      </c>
      <c r="E484" s="1">
        <v>3111.3310000000001</v>
      </c>
    </row>
    <row r="485" spans="3:5" x14ac:dyDescent="0.35">
      <c r="C485" s="1" t="s">
        <v>10540</v>
      </c>
      <c r="D485" s="1" t="s">
        <v>19</v>
      </c>
      <c r="E485" s="1">
        <v>3111.3319999999999</v>
      </c>
    </row>
    <row r="486" spans="3:5" x14ac:dyDescent="0.35">
      <c r="C486" s="1" t="s">
        <v>10539</v>
      </c>
      <c r="D486" s="1" t="s">
        <v>19</v>
      </c>
      <c r="E486" s="1">
        <v>3111.3330000000001</v>
      </c>
    </row>
    <row r="487" spans="3:5" x14ac:dyDescent="0.35">
      <c r="C487" s="1" t="s">
        <v>10538</v>
      </c>
      <c r="D487" s="1" t="s">
        <v>19</v>
      </c>
      <c r="E487" s="1">
        <v>3111.3339999999998</v>
      </c>
    </row>
    <row r="488" spans="3:5" x14ac:dyDescent="0.35">
      <c r="C488" s="1" t="s">
        <v>10537</v>
      </c>
      <c r="D488" s="1" t="s">
        <v>19</v>
      </c>
      <c r="E488" s="1">
        <v>3111.335</v>
      </c>
    </row>
    <row r="489" spans="3:5" x14ac:dyDescent="0.35">
      <c r="C489" s="1" t="s">
        <v>10536</v>
      </c>
      <c r="D489" s="1" t="s">
        <v>19</v>
      </c>
      <c r="E489" s="1">
        <v>3111.3359999999998</v>
      </c>
    </row>
    <row r="490" spans="3:5" x14ac:dyDescent="0.35">
      <c r="C490" s="1" t="s">
        <v>10535</v>
      </c>
      <c r="D490" s="1" t="s">
        <v>19</v>
      </c>
      <c r="E490" s="1">
        <v>3111.337</v>
      </c>
    </row>
    <row r="491" spans="3:5" x14ac:dyDescent="0.35">
      <c r="C491" s="1" t="s">
        <v>10534</v>
      </c>
      <c r="D491" s="1" t="s">
        <v>19</v>
      </c>
      <c r="E491" s="1">
        <v>3111.3380000000002</v>
      </c>
    </row>
    <row r="492" spans="3:5" x14ac:dyDescent="0.35">
      <c r="C492" s="1" t="s">
        <v>10533</v>
      </c>
      <c r="D492" s="1" t="s">
        <v>19</v>
      </c>
      <c r="E492" s="1">
        <v>3111.3389999999999</v>
      </c>
    </row>
    <row r="493" spans="3:5" x14ac:dyDescent="0.35">
      <c r="C493" s="1" t="s">
        <v>10532</v>
      </c>
      <c r="D493" s="1" t="s">
        <v>19</v>
      </c>
      <c r="E493" s="1">
        <v>3111.34</v>
      </c>
    </row>
    <row r="494" spans="3:5" x14ac:dyDescent="0.35">
      <c r="C494" s="1" t="s">
        <v>10531</v>
      </c>
      <c r="D494" s="1" t="s">
        <v>19</v>
      </c>
      <c r="E494" s="1">
        <v>3111.3409999999999</v>
      </c>
    </row>
    <row r="495" spans="3:5" x14ac:dyDescent="0.35">
      <c r="C495" s="1" t="s">
        <v>10530</v>
      </c>
      <c r="D495" s="1" t="s">
        <v>19</v>
      </c>
      <c r="E495" s="1">
        <v>3111.3420000000001</v>
      </c>
    </row>
    <row r="496" spans="3:5" x14ac:dyDescent="0.35">
      <c r="C496" s="1" t="s">
        <v>10529</v>
      </c>
      <c r="D496" s="1" t="s">
        <v>19</v>
      </c>
      <c r="E496" s="1">
        <v>3111.3429999999998</v>
      </c>
    </row>
    <row r="497" spans="3:5" x14ac:dyDescent="0.35">
      <c r="C497" s="1" t="s">
        <v>10528</v>
      </c>
      <c r="D497" s="1" t="s">
        <v>20</v>
      </c>
      <c r="E497" s="1">
        <v>3111.348</v>
      </c>
    </row>
    <row r="498" spans="3:5" x14ac:dyDescent="0.35">
      <c r="C498" s="1" t="s">
        <v>10527</v>
      </c>
      <c r="D498" s="1" t="s">
        <v>20</v>
      </c>
      <c r="E498" s="1">
        <v>3111.3490000000002</v>
      </c>
    </row>
    <row r="499" spans="3:5" x14ac:dyDescent="0.35">
      <c r="C499" s="1" t="s">
        <v>10526</v>
      </c>
      <c r="D499" s="1" t="s">
        <v>20</v>
      </c>
      <c r="E499" s="1">
        <v>3111.36</v>
      </c>
    </row>
    <row r="500" spans="3:5" x14ac:dyDescent="0.35">
      <c r="C500" s="1" t="s">
        <v>10525</v>
      </c>
      <c r="D500" s="1" t="s">
        <v>20</v>
      </c>
      <c r="E500" s="1">
        <v>3111.3609999999999</v>
      </c>
    </row>
    <row r="501" spans="3:5" x14ac:dyDescent="0.35">
      <c r="C501" s="1" t="s">
        <v>10524</v>
      </c>
      <c r="D501" s="1" t="s">
        <v>20</v>
      </c>
      <c r="E501" s="1">
        <v>3111.3620000000001</v>
      </c>
    </row>
    <row r="502" spans="3:5" x14ac:dyDescent="0.35">
      <c r="C502" s="1" t="s">
        <v>10523</v>
      </c>
      <c r="D502" s="1" t="s">
        <v>20</v>
      </c>
      <c r="E502" s="1">
        <v>3111.3629999999998</v>
      </c>
    </row>
    <row r="503" spans="3:5" x14ac:dyDescent="0.35">
      <c r="C503" s="1" t="s">
        <v>10522</v>
      </c>
      <c r="D503" s="1" t="s">
        <v>20</v>
      </c>
      <c r="E503" s="1">
        <v>3111.364</v>
      </c>
    </row>
    <row r="504" spans="3:5" x14ac:dyDescent="0.35">
      <c r="C504" s="1" t="s">
        <v>10521</v>
      </c>
      <c r="D504" s="1" t="s">
        <v>20</v>
      </c>
      <c r="E504" s="1">
        <v>3111.3649999999998</v>
      </c>
    </row>
    <row r="505" spans="3:5" x14ac:dyDescent="0.35">
      <c r="C505" s="1" t="s">
        <v>10520</v>
      </c>
      <c r="D505" s="1" t="s">
        <v>20</v>
      </c>
      <c r="E505" s="1">
        <v>3111.366</v>
      </c>
    </row>
    <row r="506" spans="3:5" x14ac:dyDescent="0.35">
      <c r="C506" s="1" t="s">
        <v>10519</v>
      </c>
      <c r="D506" s="1" t="s">
        <v>20</v>
      </c>
      <c r="E506" s="1">
        <v>3111.3670000000002</v>
      </c>
    </row>
    <row r="507" spans="3:5" x14ac:dyDescent="0.35">
      <c r="C507" s="1" t="s">
        <v>10518</v>
      </c>
      <c r="D507" s="1" t="s">
        <v>20</v>
      </c>
      <c r="E507" s="1">
        <v>3111.3679999999999</v>
      </c>
    </row>
    <row r="508" spans="3:5" x14ac:dyDescent="0.35">
      <c r="C508" s="1" t="s">
        <v>10517</v>
      </c>
      <c r="D508" s="1" t="s">
        <v>20</v>
      </c>
      <c r="E508" s="1">
        <v>3111.3690000000001</v>
      </c>
    </row>
    <row r="509" spans="3:5" x14ac:dyDescent="0.35">
      <c r="C509" s="1" t="s">
        <v>10516</v>
      </c>
      <c r="D509" s="1" t="s">
        <v>20</v>
      </c>
      <c r="E509" s="1">
        <v>3111.4009999999998</v>
      </c>
    </row>
    <row r="510" spans="3:5" x14ac:dyDescent="0.35">
      <c r="C510" s="1" t="s">
        <v>10515</v>
      </c>
      <c r="D510" s="1" t="s">
        <v>20</v>
      </c>
      <c r="E510" s="1">
        <v>3111.4029999999998</v>
      </c>
    </row>
    <row r="511" spans="3:5" x14ac:dyDescent="0.35">
      <c r="C511" s="1" t="s">
        <v>10514</v>
      </c>
      <c r="D511" s="1" t="s">
        <v>20</v>
      </c>
      <c r="E511" s="1">
        <v>3111.4050000000002</v>
      </c>
    </row>
    <row r="512" spans="3:5" x14ac:dyDescent="0.35">
      <c r="C512" s="1" t="s">
        <v>10513</v>
      </c>
      <c r="D512" s="1" t="s">
        <v>20</v>
      </c>
      <c r="E512" s="1">
        <v>3111.4070000000002</v>
      </c>
    </row>
    <row r="513" spans="3:5" x14ac:dyDescent="0.35">
      <c r="C513" s="1" t="s">
        <v>10512</v>
      </c>
      <c r="D513" s="1" t="s">
        <v>20</v>
      </c>
      <c r="E513" s="1">
        <v>3111.4090000000001</v>
      </c>
    </row>
    <row r="514" spans="3:5" x14ac:dyDescent="0.35">
      <c r="C514" s="1" t="s">
        <v>10511</v>
      </c>
      <c r="D514" s="1" t="s">
        <v>20</v>
      </c>
      <c r="E514" s="1">
        <v>3111.4110000000001</v>
      </c>
    </row>
    <row r="515" spans="3:5" x14ac:dyDescent="0.35">
      <c r="C515" s="1" t="s">
        <v>10510</v>
      </c>
      <c r="D515" s="1" t="s">
        <v>20</v>
      </c>
      <c r="E515" s="1">
        <v>3111.413</v>
      </c>
    </row>
    <row r="516" spans="3:5" x14ac:dyDescent="0.35">
      <c r="C516" s="1" t="s">
        <v>10509</v>
      </c>
      <c r="D516" s="1" t="s">
        <v>20</v>
      </c>
      <c r="E516" s="1">
        <v>3111.415</v>
      </c>
    </row>
    <row r="517" spans="3:5" x14ac:dyDescent="0.35">
      <c r="C517" s="1" t="s">
        <v>10508</v>
      </c>
      <c r="D517" s="1" t="s">
        <v>20</v>
      </c>
      <c r="E517" s="1">
        <v>3111.42</v>
      </c>
    </row>
    <row r="518" spans="3:5" x14ac:dyDescent="0.35">
      <c r="C518" s="1" t="s">
        <v>10507</v>
      </c>
      <c r="D518" s="1" t="s">
        <v>20</v>
      </c>
      <c r="E518" s="1">
        <v>3111.431</v>
      </c>
    </row>
    <row r="519" spans="3:5" x14ac:dyDescent="0.35">
      <c r="C519" s="1" t="s">
        <v>10506</v>
      </c>
      <c r="D519" s="1" t="s">
        <v>20</v>
      </c>
      <c r="E519" s="1">
        <v>3111.433</v>
      </c>
    </row>
    <row r="520" spans="3:5" x14ac:dyDescent="0.35">
      <c r="C520" s="1" t="s">
        <v>10505</v>
      </c>
      <c r="D520" s="1" t="s">
        <v>20</v>
      </c>
      <c r="E520" s="1">
        <v>3111.4349999999999</v>
      </c>
    </row>
    <row r="521" spans="3:5" x14ac:dyDescent="0.35">
      <c r="C521" s="1" t="s">
        <v>10504</v>
      </c>
      <c r="D521" s="1" t="s">
        <v>20</v>
      </c>
      <c r="E521" s="1">
        <v>3111.4369999999999</v>
      </c>
    </row>
    <row r="522" spans="3:5" x14ac:dyDescent="0.35">
      <c r="C522" s="1" t="s">
        <v>10503</v>
      </c>
      <c r="D522" s="1" t="s">
        <v>20</v>
      </c>
      <c r="E522" s="1">
        <v>3111.4389999999999</v>
      </c>
    </row>
    <row r="523" spans="3:5" x14ac:dyDescent="0.35">
      <c r="C523" s="1" t="s">
        <v>10502</v>
      </c>
      <c r="D523" s="1" t="s">
        <v>20</v>
      </c>
      <c r="E523" s="1">
        <v>3111.4409999999998</v>
      </c>
    </row>
    <row r="524" spans="3:5" x14ac:dyDescent="0.35">
      <c r="C524" s="1" t="s">
        <v>10501</v>
      </c>
      <c r="D524" s="1" t="s">
        <v>20</v>
      </c>
      <c r="E524" s="1">
        <v>3111.4430000000002</v>
      </c>
    </row>
    <row r="525" spans="3:5" x14ac:dyDescent="0.35">
      <c r="C525" s="1" t="s">
        <v>10500</v>
      </c>
      <c r="D525" s="1" t="s">
        <v>20</v>
      </c>
      <c r="E525" s="1">
        <v>3111.4450000000002</v>
      </c>
    </row>
    <row r="526" spans="3:5" x14ac:dyDescent="0.35">
      <c r="C526" s="1" t="s">
        <v>10499</v>
      </c>
      <c r="D526" s="1" t="s">
        <v>20</v>
      </c>
      <c r="E526" s="1">
        <v>3111.45</v>
      </c>
    </row>
    <row r="527" spans="3:5" x14ac:dyDescent="0.35">
      <c r="C527" s="1" t="s">
        <v>10498</v>
      </c>
      <c r="D527" s="1" t="s">
        <v>20</v>
      </c>
      <c r="E527" s="1">
        <v>3111.451</v>
      </c>
    </row>
    <row r="528" spans="3:5" x14ac:dyDescent="0.35">
      <c r="C528" s="1" t="s">
        <v>10497</v>
      </c>
      <c r="D528" s="1" t="s">
        <v>20</v>
      </c>
      <c r="E528" s="1">
        <v>3111.453</v>
      </c>
    </row>
    <row r="529" spans="3:5" x14ac:dyDescent="0.35">
      <c r="C529" s="1" t="s">
        <v>10496</v>
      </c>
      <c r="D529" s="1" t="s">
        <v>20</v>
      </c>
      <c r="E529" s="1">
        <v>3111.4549999999999</v>
      </c>
    </row>
    <row r="530" spans="3:5" x14ac:dyDescent="0.35">
      <c r="C530" s="1" t="s">
        <v>10495</v>
      </c>
      <c r="D530" s="1" t="s">
        <v>20</v>
      </c>
      <c r="E530" s="1">
        <v>3111.4569999999999</v>
      </c>
    </row>
    <row r="531" spans="3:5" x14ac:dyDescent="0.35">
      <c r="C531" s="1" t="s">
        <v>10494</v>
      </c>
      <c r="D531" s="1" t="s">
        <v>20</v>
      </c>
      <c r="E531" s="1">
        <v>3111.4589999999998</v>
      </c>
    </row>
    <row r="532" spans="3:5" x14ac:dyDescent="0.35">
      <c r="C532" s="1" t="s">
        <v>10493</v>
      </c>
      <c r="D532" s="1" t="s">
        <v>20</v>
      </c>
      <c r="E532" s="1">
        <v>3111.4609999999998</v>
      </c>
    </row>
    <row r="533" spans="3:5" x14ac:dyDescent="0.35">
      <c r="C533" s="1" t="s">
        <v>10492</v>
      </c>
      <c r="D533" s="1" t="s">
        <v>20</v>
      </c>
      <c r="E533" s="1">
        <v>3111.4630000000002</v>
      </c>
    </row>
    <row r="534" spans="3:5" x14ac:dyDescent="0.35">
      <c r="C534" s="1" t="s">
        <v>10491</v>
      </c>
      <c r="D534" s="1" t="s">
        <v>20</v>
      </c>
      <c r="E534" s="1">
        <v>3111.4650000000001</v>
      </c>
    </row>
    <row r="535" spans="3:5" x14ac:dyDescent="0.35">
      <c r="C535" s="1" t="s">
        <v>10490</v>
      </c>
      <c r="D535" s="1" t="s">
        <v>20</v>
      </c>
      <c r="E535" s="1">
        <v>3111.47</v>
      </c>
    </row>
    <row r="536" spans="3:5" x14ac:dyDescent="0.35">
      <c r="C536" s="1" t="s">
        <v>10489</v>
      </c>
      <c r="D536" s="1" t="s">
        <v>20</v>
      </c>
      <c r="E536" s="1">
        <v>3111.5010000000002</v>
      </c>
    </row>
    <row r="537" spans="3:5" x14ac:dyDescent="0.35">
      <c r="C537" s="1" t="s">
        <v>10488</v>
      </c>
      <c r="D537" s="1" t="s">
        <v>20</v>
      </c>
      <c r="E537" s="1">
        <v>3111.5030000000002</v>
      </c>
    </row>
    <row r="538" spans="3:5" x14ac:dyDescent="0.35">
      <c r="C538" s="1" t="s">
        <v>10487</v>
      </c>
      <c r="D538" s="1" t="s">
        <v>20</v>
      </c>
      <c r="E538" s="1">
        <v>3111.5050000000001</v>
      </c>
    </row>
    <row r="539" spans="3:5" x14ac:dyDescent="0.35">
      <c r="C539" s="1" t="s">
        <v>10486</v>
      </c>
      <c r="D539" s="1" t="s">
        <v>20</v>
      </c>
      <c r="E539" s="1">
        <v>3111.5070000000001</v>
      </c>
    </row>
    <row r="540" spans="3:5" x14ac:dyDescent="0.35">
      <c r="C540" s="1" t="s">
        <v>10485</v>
      </c>
      <c r="D540" s="1" t="s">
        <v>20</v>
      </c>
      <c r="E540" s="1">
        <v>3111.509</v>
      </c>
    </row>
    <row r="541" spans="3:5" x14ac:dyDescent="0.35">
      <c r="C541" s="1" t="s">
        <v>10484</v>
      </c>
      <c r="D541" s="1" t="s">
        <v>20</v>
      </c>
      <c r="E541" s="1">
        <v>3111.511</v>
      </c>
    </row>
    <row r="542" spans="3:5" x14ac:dyDescent="0.35">
      <c r="C542" s="1" t="s">
        <v>10483</v>
      </c>
      <c r="D542" s="1" t="s">
        <v>20</v>
      </c>
      <c r="E542" s="1">
        <v>3111.5129999999999</v>
      </c>
    </row>
    <row r="543" spans="3:5" x14ac:dyDescent="0.35">
      <c r="C543" s="1" t="s">
        <v>10482</v>
      </c>
      <c r="D543" s="1" t="s">
        <v>20</v>
      </c>
      <c r="E543" s="1">
        <v>3111.5149999999999</v>
      </c>
    </row>
    <row r="544" spans="3:5" x14ac:dyDescent="0.35">
      <c r="C544" s="1" t="s">
        <v>10481</v>
      </c>
      <c r="D544" s="1" t="s">
        <v>20</v>
      </c>
      <c r="E544" s="1">
        <v>3111.5189999999998</v>
      </c>
    </row>
    <row r="545" spans="3:5" x14ac:dyDescent="0.35">
      <c r="C545" s="1" t="s">
        <v>10480</v>
      </c>
      <c r="D545" s="1" t="s">
        <v>20</v>
      </c>
      <c r="E545" s="1">
        <v>3111.52</v>
      </c>
    </row>
    <row r="546" spans="3:5" x14ac:dyDescent="0.35">
      <c r="C546" s="1" t="s">
        <v>10479</v>
      </c>
      <c r="D546" s="1" t="s">
        <v>20</v>
      </c>
      <c r="E546" s="1">
        <v>3111.5210000000002</v>
      </c>
    </row>
    <row r="547" spans="3:5" x14ac:dyDescent="0.35">
      <c r="C547" s="1" t="s">
        <v>10478</v>
      </c>
      <c r="D547" s="1" t="s">
        <v>20</v>
      </c>
      <c r="E547" s="1">
        <v>3111.5219999999999</v>
      </c>
    </row>
    <row r="548" spans="3:5" x14ac:dyDescent="0.35">
      <c r="C548" s="1" t="s">
        <v>10477</v>
      </c>
      <c r="D548" s="1" t="s">
        <v>20</v>
      </c>
      <c r="E548" s="1">
        <v>3111.5230000000001</v>
      </c>
    </row>
    <row r="549" spans="3:5" x14ac:dyDescent="0.35">
      <c r="C549" s="1" t="s">
        <v>10476</v>
      </c>
      <c r="D549" s="1" t="s">
        <v>20</v>
      </c>
      <c r="E549" s="1">
        <v>3111.5239999999999</v>
      </c>
    </row>
    <row r="550" spans="3:5" x14ac:dyDescent="0.35">
      <c r="C550" s="1" t="s">
        <v>10475</v>
      </c>
      <c r="D550" s="1" t="s">
        <v>20</v>
      </c>
      <c r="E550" s="1">
        <v>3111.5250000000001</v>
      </c>
    </row>
    <row r="551" spans="3:5" x14ac:dyDescent="0.35">
      <c r="C551" s="1" t="s">
        <v>10474</v>
      </c>
      <c r="D551" s="1" t="s">
        <v>20</v>
      </c>
      <c r="E551" s="1">
        <v>3111.5259999999998</v>
      </c>
    </row>
    <row r="552" spans="3:5" x14ac:dyDescent="0.35">
      <c r="C552" s="1" t="s">
        <v>10473</v>
      </c>
      <c r="D552" s="1" t="s">
        <v>20</v>
      </c>
      <c r="E552" s="1">
        <v>3111.527</v>
      </c>
    </row>
    <row r="553" spans="3:5" x14ac:dyDescent="0.35">
      <c r="C553" s="1" t="s">
        <v>10472</v>
      </c>
      <c r="D553" s="1" t="s">
        <v>20</v>
      </c>
      <c r="E553" s="1">
        <v>3111.5279999999998</v>
      </c>
    </row>
    <row r="554" spans="3:5" x14ac:dyDescent="0.35">
      <c r="C554" s="1" t="s">
        <v>10471</v>
      </c>
      <c r="D554" s="1" t="s">
        <v>20</v>
      </c>
      <c r="E554" s="1">
        <v>3111.5309999999999</v>
      </c>
    </row>
    <row r="555" spans="3:5" x14ac:dyDescent="0.35">
      <c r="C555" s="1" t="s">
        <v>10470</v>
      </c>
      <c r="D555" s="1" t="s">
        <v>20</v>
      </c>
      <c r="E555" s="1">
        <v>3111.5320000000002</v>
      </c>
    </row>
    <row r="556" spans="3:5" x14ac:dyDescent="0.35">
      <c r="C556" s="1" t="s">
        <v>10469</v>
      </c>
      <c r="D556" s="1" t="s">
        <v>20</v>
      </c>
      <c r="E556" s="1">
        <v>3111.5329999999999</v>
      </c>
    </row>
    <row r="557" spans="3:5" x14ac:dyDescent="0.35">
      <c r="C557" s="1" t="s">
        <v>10468</v>
      </c>
      <c r="D557" s="1" t="s">
        <v>20</v>
      </c>
      <c r="E557" s="1">
        <v>3111.5340000000001</v>
      </c>
    </row>
    <row r="558" spans="3:5" x14ac:dyDescent="0.35">
      <c r="C558" s="1" t="s">
        <v>10467</v>
      </c>
      <c r="D558" s="1" t="s">
        <v>20</v>
      </c>
      <c r="E558" s="1">
        <v>3111.5349999999999</v>
      </c>
    </row>
    <row r="559" spans="3:5" x14ac:dyDescent="0.35">
      <c r="C559" s="1" t="s">
        <v>10466</v>
      </c>
      <c r="D559" s="1" t="s">
        <v>20</v>
      </c>
      <c r="E559" s="1">
        <v>3111.5360000000001</v>
      </c>
    </row>
    <row r="560" spans="3:5" x14ac:dyDescent="0.35">
      <c r="C560" s="1" t="s">
        <v>10465</v>
      </c>
      <c r="D560" s="1" t="s">
        <v>20</v>
      </c>
      <c r="E560" s="1">
        <v>3111.5369999999998</v>
      </c>
    </row>
    <row r="561" spans="3:5" x14ac:dyDescent="0.35">
      <c r="C561" s="1" t="s">
        <v>10464</v>
      </c>
      <c r="D561" s="1" t="s">
        <v>20</v>
      </c>
      <c r="E561" s="1">
        <v>3111.538</v>
      </c>
    </row>
    <row r="562" spans="3:5" x14ac:dyDescent="0.35">
      <c r="C562" s="1" t="s">
        <v>10463</v>
      </c>
      <c r="D562" s="1" t="s">
        <v>20</v>
      </c>
      <c r="E562" s="1">
        <v>3111.5410000000002</v>
      </c>
    </row>
    <row r="563" spans="3:5" x14ac:dyDescent="0.35">
      <c r="C563" s="1" t="s">
        <v>10462</v>
      </c>
      <c r="D563" s="1" t="s">
        <v>20</v>
      </c>
      <c r="E563" s="1">
        <v>3111.5419999999999</v>
      </c>
    </row>
    <row r="564" spans="3:5" x14ac:dyDescent="0.35">
      <c r="C564" s="1" t="s">
        <v>10461</v>
      </c>
      <c r="D564" s="1" t="s">
        <v>20</v>
      </c>
      <c r="E564" s="1">
        <v>3111.5430000000001</v>
      </c>
    </row>
    <row r="565" spans="3:5" x14ac:dyDescent="0.35">
      <c r="C565" s="1" t="s">
        <v>10460</v>
      </c>
      <c r="D565" s="1" t="s">
        <v>20</v>
      </c>
      <c r="E565" s="1">
        <v>3111.5439999999999</v>
      </c>
    </row>
    <row r="566" spans="3:5" x14ac:dyDescent="0.35">
      <c r="C566" s="1" t="s">
        <v>10459</v>
      </c>
      <c r="D566" s="1" t="s">
        <v>20</v>
      </c>
      <c r="E566" s="1">
        <v>3111.5450000000001</v>
      </c>
    </row>
    <row r="567" spans="3:5" x14ac:dyDescent="0.35">
      <c r="C567" s="1" t="s">
        <v>10458</v>
      </c>
      <c r="D567" s="1" t="s">
        <v>20</v>
      </c>
      <c r="E567" s="1">
        <v>3111.5459999999998</v>
      </c>
    </row>
    <row r="568" spans="3:5" x14ac:dyDescent="0.35">
      <c r="C568" s="1" t="s">
        <v>10457</v>
      </c>
      <c r="D568" s="1" t="s">
        <v>20</v>
      </c>
      <c r="E568" s="1">
        <v>3111.547</v>
      </c>
    </row>
    <row r="569" spans="3:5" x14ac:dyDescent="0.35">
      <c r="C569" s="1" t="s">
        <v>10456</v>
      </c>
      <c r="D569" s="1" t="s">
        <v>20</v>
      </c>
      <c r="E569" s="1">
        <v>3111.5479999999998</v>
      </c>
    </row>
    <row r="570" spans="3:5" x14ac:dyDescent="0.35">
      <c r="C570" s="1" t="s">
        <v>10455</v>
      </c>
      <c r="D570" s="1" t="s">
        <v>20</v>
      </c>
      <c r="E570" s="1">
        <v>3111.6</v>
      </c>
    </row>
    <row r="571" spans="3:5" x14ac:dyDescent="0.35">
      <c r="C571" s="1" t="s">
        <v>10454</v>
      </c>
      <c r="D571" s="1" t="s">
        <v>20</v>
      </c>
      <c r="E571" s="1">
        <v>3111.6019999999999</v>
      </c>
    </row>
    <row r="572" spans="3:5" x14ac:dyDescent="0.35">
      <c r="C572" s="1" t="s">
        <v>10453</v>
      </c>
      <c r="D572" s="1" t="s">
        <v>20</v>
      </c>
      <c r="E572" s="1">
        <v>3111.6039999999998</v>
      </c>
    </row>
    <row r="573" spans="3:5" x14ac:dyDescent="0.35">
      <c r="C573" s="1" t="s">
        <v>10452</v>
      </c>
      <c r="D573" s="1" t="s">
        <v>20</v>
      </c>
      <c r="E573" s="1">
        <v>3111.6060000000002</v>
      </c>
    </row>
    <row r="574" spans="3:5" x14ac:dyDescent="0.35">
      <c r="C574" s="1" t="s">
        <v>10451</v>
      </c>
      <c r="D574" s="1" t="s">
        <v>20</v>
      </c>
      <c r="E574" s="1">
        <v>3111.6080000000002</v>
      </c>
    </row>
    <row r="575" spans="3:5" x14ac:dyDescent="0.35">
      <c r="C575" s="1" t="s">
        <v>10450</v>
      </c>
      <c r="D575" s="1" t="s">
        <v>20</v>
      </c>
      <c r="E575" s="1">
        <v>3111.61</v>
      </c>
    </row>
    <row r="576" spans="3:5" x14ac:dyDescent="0.35">
      <c r="C576" s="1" t="s">
        <v>10449</v>
      </c>
      <c r="D576" s="1" t="s">
        <v>20</v>
      </c>
      <c r="E576" s="1">
        <v>3111.6120000000001</v>
      </c>
    </row>
    <row r="577" spans="3:5" x14ac:dyDescent="0.35">
      <c r="C577" s="1" t="s">
        <v>10448</v>
      </c>
      <c r="D577" s="1" t="s">
        <v>20</v>
      </c>
      <c r="E577" s="1">
        <v>3111.614</v>
      </c>
    </row>
    <row r="578" spans="3:5" x14ac:dyDescent="0.35">
      <c r="C578" s="1" t="s">
        <v>10447</v>
      </c>
      <c r="D578" s="1" t="s">
        <v>20</v>
      </c>
      <c r="E578" s="1">
        <v>3111.616</v>
      </c>
    </row>
    <row r="579" spans="3:5" x14ac:dyDescent="0.35">
      <c r="C579" s="1" t="s">
        <v>10446</v>
      </c>
      <c r="D579" s="1" t="s">
        <v>20</v>
      </c>
      <c r="E579" s="1">
        <v>3111.6179999999999</v>
      </c>
    </row>
    <row r="580" spans="3:5" x14ac:dyDescent="0.35">
      <c r="C580" s="1" t="s">
        <v>10445</v>
      </c>
      <c r="D580" s="1" t="s">
        <v>20</v>
      </c>
      <c r="E580" s="1">
        <v>3111.62</v>
      </c>
    </row>
    <row r="581" spans="3:5" x14ac:dyDescent="0.35">
      <c r="C581" s="1" t="s">
        <v>10444</v>
      </c>
      <c r="D581" s="1" t="s">
        <v>20</v>
      </c>
      <c r="E581" s="1">
        <v>3111.6219999999998</v>
      </c>
    </row>
    <row r="582" spans="3:5" x14ac:dyDescent="0.35">
      <c r="C582" s="1" t="s">
        <v>10443</v>
      </c>
      <c r="D582" s="1" t="s">
        <v>20</v>
      </c>
      <c r="E582" s="1">
        <v>3111.6239999999998</v>
      </c>
    </row>
    <row r="583" spans="3:5" x14ac:dyDescent="0.35">
      <c r="C583" s="1" t="s">
        <v>10443</v>
      </c>
      <c r="D583" s="1" t="s">
        <v>19</v>
      </c>
      <c r="E583" s="1">
        <v>3111.625</v>
      </c>
    </row>
    <row r="584" spans="3:5" x14ac:dyDescent="0.35">
      <c r="C584" s="1" t="s">
        <v>10442</v>
      </c>
      <c r="D584" s="1" t="s">
        <v>20</v>
      </c>
      <c r="E584" s="1">
        <v>3111.6260000000002</v>
      </c>
    </row>
    <row r="585" spans="3:5" x14ac:dyDescent="0.35">
      <c r="C585" s="1" t="s">
        <v>10442</v>
      </c>
      <c r="D585" s="1" t="s">
        <v>19</v>
      </c>
      <c r="E585" s="1">
        <v>3111.627</v>
      </c>
    </row>
    <row r="586" spans="3:5" x14ac:dyDescent="0.35">
      <c r="C586" s="1" t="s">
        <v>10441</v>
      </c>
      <c r="D586" s="1" t="s">
        <v>20</v>
      </c>
      <c r="E586" s="1">
        <v>3111.6280000000002</v>
      </c>
    </row>
    <row r="587" spans="3:5" x14ac:dyDescent="0.35">
      <c r="C587" s="1" t="s">
        <v>10441</v>
      </c>
      <c r="D587" s="1" t="s">
        <v>19</v>
      </c>
      <c r="E587" s="1">
        <v>3111.6289999999999</v>
      </c>
    </row>
    <row r="588" spans="3:5" x14ac:dyDescent="0.35">
      <c r="C588" s="1" t="s">
        <v>10440</v>
      </c>
      <c r="D588" s="1" t="s">
        <v>20</v>
      </c>
      <c r="E588" s="1">
        <v>3111.63</v>
      </c>
    </row>
    <row r="589" spans="3:5" x14ac:dyDescent="0.35">
      <c r="C589" s="1" t="s">
        <v>10439</v>
      </c>
      <c r="D589" s="1" t="s">
        <v>20</v>
      </c>
      <c r="E589" s="1">
        <v>3111.6350000000002</v>
      </c>
    </row>
    <row r="590" spans="3:5" x14ac:dyDescent="0.35">
      <c r="C590" s="1" t="s">
        <v>10439</v>
      </c>
      <c r="D590" s="1" t="s">
        <v>19</v>
      </c>
      <c r="E590" s="1">
        <v>3111.636</v>
      </c>
    </row>
    <row r="591" spans="3:5" x14ac:dyDescent="0.35">
      <c r="C591" s="1" t="s">
        <v>10438</v>
      </c>
      <c r="D591" s="1" t="s">
        <v>20</v>
      </c>
      <c r="E591" s="1">
        <v>3111.6909999999998</v>
      </c>
    </row>
    <row r="592" spans="3:5" x14ac:dyDescent="0.35">
      <c r="C592" s="1" t="s">
        <v>10437</v>
      </c>
      <c r="D592" s="1" t="s">
        <v>20</v>
      </c>
      <c r="E592" s="1">
        <v>3111.7</v>
      </c>
    </row>
    <row r="593" spans="3:5" x14ac:dyDescent="0.35">
      <c r="C593" s="1" t="s">
        <v>10436</v>
      </c>
      <c r="D593" s="1" t="s">
        <v>20</v>
      </c>
      <c r="E593" s="1">
        <v>3111.7020000000002</v>
      </c>
    </row>
    <row r="594" spans="3:5" x14ac:dyDescent="0.35">
      <c r="C594" s="1" t="s">
        <v>10435</v>
      </c>
      <c r="D594" s="1" t="s">
        <v>20</v>
      </c>
      <c r="E594" s="1">
        <v>3111.7040000000002</v>
      </c>
    </row>
    <row r="595" spans="3:5" x14ac:dyDescent="0.35">
      <c r="C595" s="1" t="s">
        <v>10434</v>
      </c>
      <c r="D595" s="1" t="s">
        <v>20</v>
      </c>
      <c r="E595" s="1">
        <v>3111.7060000000001</v>
      </c>
    </row>
    <row r="596" spans="3:5" x14ac:dyDescent="0.35">
      <c r="C596" s="1" t="s">
        <v>10433</v>
      </c>
      <c r="D596" s="1" t="s">
        <v>20</v>
      </c>
      <c r="E596" s="1">
        <v>3111.7080000000001</v>
      </c>
    </row>
    <row r="597" spans="3:5" x14ac:dyDescent="0.35">
      <c r="C597" s="1" t="s">
        <v>10432</v>
      </c>
      <c r="D597" s="1" t="s">
        <v>20</v>
      </c>
      <c r="E597" s="1">
        <v>3111.71</v>
      </c>
    </row>
    <row r="598" spans="3:5" x14ac:dyDescent="0.35">
      <c r="C598" s="1" t="s">
        <v>10431</v>
      </c>
      <c r="D598" s="1" t="s">
        <v>20</v>
      </c>
      <c r="E598" s="1">
        <v>3111.712</v>
      </c>
    </row>
    <row r="599" spans="3:5" x14ac:dyDescent="0.35">
      <c r="C599" s="1" t="s">
        <v>10430</v>
      </c>
      <c r="D599" s="1" t="s">
        <v>20</v>
      </c>
      <c r="E599" s="1">
        <v>3111.7139999999999</v>
      </c>
    </row>
    <row r="600" spans="3:5" x14ac:dyDescent="0.35">
      <c r="C600" s="1" t="s">
        <v>10429</v>
      </c>
      <c r="D600" s="1" t="s">
        <v>20</v>
      </c>
      <c r="E600" s="1">
        <v>3111.7159999999999</v>
      </c>
    </row>
    <row r="601" spans="3:5" x14ac:dyDescent="0.35">
      <c r="C601" s="1" t="s">
        <v>10428</v>
      </c>
      <c r="D601" s="1" t="s">
        <v>20</v>
      </c>
      <c r="E601" s="1">
        <v>3111.7179999999998</v>
      </c>
    </row>
    <row r="602" spans="3:5" x14ac:dyDescent="0.35">
      <c r="C602" s="1" t="s">
        <v>10427</v>
      </c>
      <c r="D602" s="1" t="s">
        <v>20</v>
      </c>
      <c r="E602" s="1">
        <v>3111.72</v>
      </c>
    </row>
    <row r="603" spans="3:5" x14ac:dyDescent="0.35">
      <c r="C603" s="1" t="s">
        <v>10426</v>
      </c>
      <c r="D603" s="1" t="s">
        <v>20</v>
      </c>
      <c r="E603" s="1">
        <v>3111.7249999999999</v>
      </c>
    </row>
    <row r="604" spans="3:5" x14ac:dyDescent="0.35">
      <c r="C604" s="1" t="s">
        <v>10425</v>
      </c>
      <c r="D604" s="1" t="s">
        <v>20</v>
      </c>
      <c r="E604" s="1">
        <v>3111.7260000000001</v>
      </c>
    </row>
    <row r="605" spans="3:5" x14ac:dyDescent="0.35">
      <c r="C605" s="1" t="s">
        <v>10424</v>
      </c>
      <c r="D605" s="1" t="s">
        <v>20</v>
      </c>
      <c r="E605" s="1">
        <v>3111.7269999999999</v>
      </c>
    </row>
    <row r="606" spans="3:5" x14ac:dyDescent="0.35">
      <c r="C606" s="1" t="s">
        <v>10423</v>
      </c>
      <c r="D606" s="1" t="s">
        <v>20</v>
      </c>
      <c r="E606" s="1">
        <v>3111.75</v>
      </c>
    </row>
    <row r="607" spans="3:5" x14ac:dyDescent="0.35">
      <c r="C607" s="1" t="s">
        <v>10422</v>
      </c>
      <c r="D607" s="1" t="s">
        <v>19</v>
      </c>
      <c r="E607" s="1">
        <v>3111.8</v>
      </c>
    </row>
    <row r="608" spans="3:5" x14ac:dyDescent="0.35">
      <c r="C608" s="1" t="s">
        <v>10421</v>
      </c>
      <c r="D608" s="1" t="s">
        <v>19</v>
      </c>
      <c r="E608" s="1">
        <v>3111.8009999999999</v>
      </c>
    </row>
    <row r="609" spans="3:5" x14ac:dyDescent="0.35">
      <c r="C609" s="1" t="s">
        <v>10420</v>
      </c>
      <c r="D609" s="1" t="s">
        <v>20</v>
      </c>
      <c r="E609" s="1">
        <v>3111.81</v>
      </c>
    </row>
    <row r="610" spans="3:5" x14ac:dyDescent="0.35">
      <c r="C610" s="1" t="s">
        <v>10419</v>
      </c>
      <c r="D610" s="1" t="s">
        <v>20</v>
      </c>
      <c r="E610" s="1">
        <v>3111.8110000000001</v>
      </c>
    </row>
    <row r="611" spans="3:5" x14ac:dyDescent="0.35">
      <c r="C611" s="1" t="s">
        <v>10418</v>
      </c>
      <c r="D611" s="1" t="s">
        <v>20</v>
      </c>
      <c r="E611" s="1">
        <v>3111.8119999999999</v>
      </c>
    </row>
    <row r="612" spans="3:5" x14ac:dyDescent="0.35">
      <c r="C612" s="1" t="s">
        <v>10417</v>
      </c>
      <c r="D612" s="1" t="s">
        <v>20</v>
      </c>
      <c r="E612" s="1">
        <v>3111.8130000000001</v>
      </c>
    </row>
    <row r="613" spans="3:5" x14ac:dyDescent="0.35">
      <c r="C613" s="1" t="s">
        <v>10416</v>
      </c>
      <c r="D613" s="1" t="s">
        <v>19</v>
      </c>
      <c r="E613" s="1">
        <v>3112.1</v>
      </c>
    </row>
    <row r="614" spans="3:5" x14ac:dyDescent="0.35">
      <c r="C614" s="1" t="s">
        <v>10415</v>
      </c>
      <c r="D614" s="1" t="s">
        <v>20</v>
      </c>
      <c r="E614" s="1">
        <v>3112.12</v>
      </c>
    </row>
    <row r="615" spans="3:5" x14ac:dyDescent="0.35">
      <c r="C615" s="1" t="s">
        <v>10414</v>
      </c>
      <c r="D615" s="1" t="s">
        <v>20</v>
      </c>
      <c r="E615" s="1">
        <v>3112.2</v>
      </c>
    </row>
    <row r="616" spans="3:5" x14ac:dyDescent="0.35">
      <c r="C616" s="1" t="s">
        <v>10413</v>
      </c>
      <c r="D616" s="1" t="s">
        <v>20</v>
      </c>
      <c r="E616" s="1">
        <v>3113</v>
      </c>
    </row>
    <row r="617" spans="3:5" x14ac:dyDescent="0.35">
      <c r="C617" s="1" t="s">
        <v>10412</v>
      </c>
      <c r="D617" s="1" t="s">
        <v>20</v>
      </c>
      <c r="E617" s="1">
        <v>3113.002</v>
      </c>
    </row>
    <row r="618" spans="3:5" x14ac:dyDescent="0.35">
      <c r="C618" s="1" t="s">
        <v>10411</v>
      </c>
      <c r="D618" s="1" t="s">
        <v>20</v>
      </c>
      <c r="E618" s="1">
        <v>3113.05</v>
      </c>
    </row>
    <row r="619" spans="3:5" x14ac:dyDescent="0.35">
      <c r="C619" s="1" t="s">
        <v>10410</v>
      </c>
      <c r="D619" s="1" t="s">
        <v>20</v>
      </c>
      <c r="E619" s="1">
        <v>3113.0520000000001</v>
      </c>
    </row>
    <row r="620" spans="3:5" x14ac:dyDescent="0.35">
      <c r="C620" s="1" t="s">
        <v>10409</v>
      </c>
      <c r="D620" s="1" t="s">
        <v>20</v>
      </c>
      <c r="E620" s="1">
        <v>3113.0540000000001</v>
      </c>
    </row>
    <row r="621" spans="3:5" x14ac:dyDescent="0.35">
      <c r="C621" s="1" t="s">
        <v>10408</v>
      </c>
      <c r="D621" s="1" t="s">
        <v>20</v>
      </c>
      <c r="E621" s="1">
        <v>3113.056</v>
      </c>
    </row>
    <row r="622" spans="3:5" x14ac:dyDescent="0.35">
      <c r="C622" s="1" t="s">
        <v>10407</v>
      </c>
      <c r="D622" s="1" t="s">
        <v>20</v>
      </c>
      <c r="E622" s="1">
        <v>3113.058</v>
      </c>
    </row>
    <row r="623" spans="3:5" x14ac:dyDescent="0.35">
      <c r="C623" s="1" t="s">
        <v>10406</v>
      </c>
      <c r="D623" s="1" t="s">
        <v>20</v>
      </c>
      <c r="E623" s="1">
        <v>3113.06</v>
      </c>
    </row>
    <row r="624" spans="3:5" x14ac:dyDescent="0.35">
      <c r="C624" s="1" t="s">
        <v>10405</v>
      </c>
      <c r="D624" s="1" t="s">
        <v>20</v>
      </c>
      <c r="E624" s="1">
        <v>3113.0619999999999</v>
      </c>
    </row>
    <row r="625" spans="3:5" x14ac:dyDescent="0.35">
      <c r="C625" s="1" t="s">
        <v>10404</v>
      </c>
      <c r="D625" s="1" t="s">
        <v>20</v>
      </c>
      <c r="E625" s="1">
        <v>3113.0639999999999</v>
      </c>
    </row>
    <row r="626" spans="3:5" x14ac:dyDescent="0.35">
      <c r="C626" s="1" t="s">
        <v>10403</v>
      </c>
      <c r="D626" s="1" t="s">
        <v>20</v>
      </c>
      <c r="E626" s="1">
        <v>3113.1</v>
      </c>
    </row>
    <row r="627" spans="3:5" x14ac:dyDescent="0.35">
      <c r="C627" s="1" t="s">
        <v>10402</v>
      </c>
      <c r="D627" s="1" t="s">
        <v>20</v>
      </c>
      <c r="E627" s="1">
        <v>3113.1019999999999</v>
      </c>
    </row>
    <row r="628" spans="3:5" x14ac:dyDescent="0.35">
      <c r="C628" s="1" t="s">
        <v>10401</v>
      </c>
      <c r="D628" s="1" t="s">
        <v>20</v>
      </c>
      <c r="E628" s="1">
        <v>3113.1039999999998</v>
      </c>
    </row>
    <row r="629" spans="3:5" x14ac:dyDescent="0.35">
      <c r="C629" s="1" t="s">
        <v>10400</v>
      </c>
      <c r="D629" s="1" t="s">
        <v>20</v>
      </c>
      <c r="E629" s="1">
        <v>3113.1060000000002</v>
      </c>
    </row>
    <row r="630" spans="3:5" x14ac:dyDescent="0.35">
      <c r="C630" s="1" t="s">
        <v>10399</v>
      </c>
      <c r="D630" s="1" t="s">
        <v>20</v>
      </c>
      <c r="E630" s="1">
        <v>3113.1080000000002</v>
      </c>
    </row>
    <row r="631" spans="3:5" x14ac:dyDescent="0.35">
      <c r="C631" s="1" t="s">
        <v>10398</v>
      </c>
      <c r="D631" s="1" t="s">
        <v>20</v>
      </c>
      <c r="E631" s="1">
        <v>3113.11</v>
      </c>
    </row>
    <row r="632" spans="3:5" x14ac:dyDescent="0.35">
      <c r="C632" s="1" t="s">
        <v>10397</v>
      </c>
      <c r="D632" s="1" t="s">
        <v>20</v>
      </c>
      <c r="E632" s="1">
        <v>3113.1120000000001</v>
      </c>
    </row>
    <row r="633" spans="3:5" x14ac:dyDescent="0.35">
      <c r="C633" s="1" t="s">
        <v>10396</v>
      </c>
      <c r="D633" s="1" t="s">
        <v>20</v>
      </c>
      <c r="E633" s="1">
        <v>3113.114</v>
      </c>
    </row>
    <row r="634" spans="3:5" x14ac:dyDescent="0.35">
      <c r="C634" s="1" t="s">
        <v>10395</v>
      </c>
      <c r="D634" s="1" t="s">
        <v>20</v>
      </c>
      <c r="E634" s="1">
        <v>3113.15</v>
      </c>
    </row>
    <row r="635" spans="3:5" x14ac:dyDescent="0.35">
      <c r="C635" s="1" t="s">
        <v>10394</v>
      </c>
      <c r="D635" s="1" t="s">
        <v>20</v>
      </c>
      <c r="E635" s="1">
        <v>3113.152</v>
      </c>
    </row>
    <row r="636" spans="3:5" x14ac:dyDescent="0.35">
      <c r="C636" s="1" t="s">
        <v>10393</v>
      </c>
      <c r="D636" s="1" t="s">
        <v>20</v>
      </c>
      <c r="E636" s="1">
        <v>3113.154</v>
      </c>
    </row>
    <row r="637" spans="3:5" x14ac:dyDescent="0.35">
      <c r="C637" s="1" t="s">
        <v>10392</v>
      </c>
      <c r="D637" s="1" t="s">
        <v>20</v>
      </c>
      <c r="E637" s="1">
        <v>3113.1559999999999</v>
      </c>
    </row>
    <row r="638" spans="3:5" x14ac:dyDescent="0.35">
      <c r="C638" s="1" t="s">
        <v>10391</v>
      </c>
      <c r="D638" s="1" t="s">
        <v>20</v>
      </c>
      <c r="E638" s="1">
        <v>3113.1579999999999</v>
      </c>
    </row>
    <row r="639" spans="3:5" x14ac:dyDescent="0.35">
      <c r="C639" s="1" t="s">
        <v>10390</v>
      </c>
      <c r="D639" s="1" t="s">
        <v>20</v>
      </c>
      <c r="E639" s="1">
        <v>3113.16</v>
      </c>
    </row>
    <row r="640" spans="3:5" x14ac:dyDescent="0.35">
      <c r="C640" s="1" t="s">
        <v>10389</v>
      </c>
      <c r="D640" s="1" t="s">
        <v>20</v>
      </c>
      <c r="E640" s="1">
        <v>3113.1619999999998</v>
      </c>
    </row>
    <row r="641" spans="3:5" x14ac:dyDescent="0.35">
      <c r="C641" s="1" t="s">
        <v>10388</v>
      </c>
      <c r="D641" s="1" t="s">
        <v>20</v>
      </c>
      <c r="E641" s="1">
        <v>3113.1640000000002</v>
      </c>
    </row>
    <row r="642" spans="3:5" x14ac:dyDescent="0.35">
      <c r="C642" s="1" t="s">
        <v>10387</v>
      </c>
      <c r="D642" s="1" t="s">
        <v>20</v>
      </c>
      <c r="E642" s="1">
        <v>3113.2</v>
      </c>
    </row>
    <row r="643" spans="3:5" x14ac:dyDescent="0.35">
      <c r="C643" s="1" t="s">
        <v>10386</v>
      </c>
      <c r="D643" s="1" t="s">
        <v>20</v>
      </c>
      <c r="E643" s="1">
        <v>3113.2020000000002</v>
      </c>
    </row>
    <row r="644" spans="3:5" x14ac:dyDescent="0.35">
      <c r="C644" s="1" t="s">
        <v>10385</v>
      </c>
      <c r="D644" s="1" t="s">
        <v>20</v>
      </c>
      <c r="E644" s="1">
        <v>3113.2040000000002</v>
      </c>
    </row>
    <row r="645" spans="3:5" x14ac:dyDescent="0.35">
      <c r="C645" s="1" t="s">
        <v>10384</v>
      </c>
      <c r="D645" s="1" t="s">
        <v>20</v>
      </c>
      <c r="E645" s="1">
        <v>3113.2060000000001</v>
      </c>
    </row>
    <row r="646" spans="3:5" x14ac:dyDescent="0.35">
      <c r="C646" s="1" t="s">
        <v>10383</v>
      </c>
      <c r="D646" s="1" t="s">
        <v>20</v>
      </c>
      <c r="E646" s="1">
        <v>3113.2080000000001</v>
      </c>
    </row>
    <row r="647" spans="3:5" x14ac:dyDescent="0.35">
      <c r="C647" s="1" t="s">
        <v>10382</v>
      </c>
      <c r="D647" s="1" t="s">
        <v>20</v>
      </c>
      <c r="E647" s="1">
        <v>3113.21</v>
      </c>
    </row>
    <row r="648" spans="3:5" x14ac:dyDescent="0.35">
      <c r="C648" s="1" t="s">
        <v>10381</v>
      </c>
      <c r="D648" s="1" t="s">
        <v>20</v>
      </c>
      <c r="E648" s="1">
        <v>3113.212</v>
      </c>
    </row>
    <row r="649" spans="3:5" x14ac:dyDescent="0.35">
      <c r="C649" s="1" t="s">
        <v>10380</v>
      </c>
      <c r="D649" s="1" t="s">
        <v>20</v>
      </c>
      <c r="E649" s="1">
        <v>3113.2139999999999</v>
      </c>
    </row>
    <row r="650" spans="3:5" x14ac:dyDescent="0.35">
      <c r="C650" s="1" t="s">
        <v>10379</v>
      </c>
      <c r="D650" s="1" t="s">
        <v>20</v>
      </c>
      <c r="E650" s="1">
        <v>3113.25</v>
      </c>
    </row>
    <row r="651" spans="3:5" x14ac:dyDescent="0.35">
      <c r="C651" s="1" t="s">
        <v>10378</v>
      </c>
      <c r="D651" s="1" t="s">
        <v>20</v>
      </c>
      <c r="E651" s="1">
        <v>3113.2510000000002</v>
      </c>
    </row>
    <row r="652" spans="3:5" x14ac:dyDescent="0.35">
      <c r="C652" s="1" t="s">
        <v>10377</v>
      </c>
      <c r="D652" s="1" t="s">
        <v>20</v>
      </c>
      <c r="E652" s="1">
        <v>3113.2750000000001</v>
      </c>
    </row>
    <row r="653" spans="3:5" x14ac:dyDescent="0.35">
      <c r="C653" s="1" t="s">
        <v>10376</v>
      </c>
      <c r="D653" s="1" t="s">
        <v>20</v>
      </c>
      <c r="E653" s="1">
        <v>3113.2759999999998</v>
      </c>
    </row>
    <row r="654" spans="3:5" x14ac:dyDescent="0.35">
      <c r="C654" s="1" t="s">
        <v>10375</v>
      </c>
      <c r="D654" s="1" t="s">
        <v>20</v>
      </c>
      <c r="E654" s="1">
        <v>3113.3</v>
      </c>
    </row>
    <row r="655" spans="3:5" x14ac:dyDescent="0.35">
      <c r="C655" s="1" t="s">
        <v>10374</v>
      </c>
      <c r="D655" s="1" t="s">
        <v>20</v>
      </c>
      <c r="E655" s="1">
        <v>3113.3020000000001</v>
      </c>
    </row>
    <row r="656" spans="3:5" x14ac:dyDescent="0.35">
      <c r="C656" s="1" t="s">
        <v>10373</v>
      </c>
      <c r="D656" s="1" t="s">
        <v>20</v>
      </c>
      <c r="E656" s="1">
        <v>3113.3040000000001</v>
      </c>
    </row>
    <row r="657" spans="3:5" x14ac:dyDescent="0.35">
      <c r="C657" s="1" t="s">
        <v>10372</v>
      </c>
      <c r="D657" s="1" t="s">
        <v>20</v>
      </c>
      <c r="E657" s="1">
        <v>3113.306</v>
      </c>
    </row>
    <row r="658" spans="3:5" x14ac:dyDescent="0.35">
      <c r="C658" s="1" t="s">
        <v>10371</v>
      </c>
      <c r="D658" s="1" t="s">
        <v>19</v>
      </c>
      <c r="E658" s="1">
        <v>3113.31</v>
      </c>
    </row>
    <row r="659" spans="3:5" x14ac:dyDescent="0.35">
      <c r="C659" s="1" t="s">
        <v>10370</v>
      </c>
      <c r="D659" s="1" t="s">
        <v>19</v>
      </c>
      <c r="E659" s="1">
        <v>3113.3110000000001</v>
      </c>
    </row>
    <row r="660" spans="3:5" x14ac:dyDescent="0.35">
      <c r="C660" s="1" t="s">
        <v>10369</v>
      </c>
      <c r="D660" s="1" t="s">
        <v>20</v>
      </c>
      <c r="E660" s="1">
        <v>3113.3249999999998</v>
      </c>
    </row>
    <row r="661" spans="3:5" x14ac:dyDescent="0.35">
      <c r="C661" s="1" t="s">
        <v>10368</v>
      </c>
      <c r="D661" s="1" t="s">
        <v>20</v>
      </c>
      <c r="E661" s="1">
        <v>3113.3270000000002</v>
      </c>
    </row>
    <row r="662" spans="3:5" x14ac:dyDescent="0.35">
      <c r="C662" s="1" t="s">
        <v>10367</v>
      </c>
      <c r="D662" s="1" t="s">
        <v>20</v>
      </c>
      <c r="E662" s="1">
        <v>3113.3290000000002</v>
      </c>
    </row>
    <row r="663" spans="3:5" x14ac:dyDescent="0.35">
      <c r="C663" s="1" t="s">
        <v>10366</v>
      </c>
      <c r="D663" s="1" t="s">
        <v>20</v>
      </c>
      <c r="E663" s="1">
        <v>3113.3310000000001</v>
      </c>
    </row>
    <row r="664" spans="3:5" x14ac:dyDescent="0.35">
      <c r="C664" s="1" t="s">
        <v>10365</v>
      </c>
      <c r="D664" s="1" t="s">
        <v>20</v>
      </c>
      <c r="E664" s="1">
        <v>3113.35</v>
      </c>
    </row>
    <row r="665" spans="3:5" x14ac:dyDescent="0.35">
      <c r="C665" s="1" t="s">
        <v>10364</v>
      </c>
      <c r="D665" s="1" t="s">
        <v>20</v>
      </c>
      <c r="E665" s="1">
        <v>3113.3519999999999</v>
      </c>
    </row>
    <row r="666" spans="3:5" x14ac:dyDescent="0.35">
      <c r="C666" s="1" t="s">
        <v>10363</v>
      </c>
      <c r="D666" s="1" t="s">
        <v>20</v>
      </c>
      <c r="E666" s="1">
        <v>3113.3539999999998</v>
      </c>
    </row>
    <row r="667" spans="3:5" x14ac:dyDescent="0.35">
      <c r="C667" s="1" t="s">
        <v>10362</v>
      </c>
      <c r="D667" s="1" t="s">
        <v>20</v>
      </c>
      <c r="E667" s="1">
        <v>3113.3560000000002</v>
      </c>
    </row>
    <row r="668" spans="3:5" x14ac:dyDescent="0.35">
      <c r="C668" s="1" t="s">
        <v>10361</v>
      </c>
      <c r="D668" s="1" t="s">
        <v>20</v>
      </c>
      <c r="E668" s="1">
        <v>3113.3580000000002</v>
      </c>
    </row>
    <row r="669" spans="3:5" x14ac:dyDescent="0.35">
      <c r="C669" s="1" t="s">
        <v>10360</v>
      </c>
      <c r="D669" s="1" t="s">
        <v>20</v>
      </c>
      <c r="E669" s="1">
        <v>3113.36</v>
      </c>
    </row>
    <row r="670" spans="3:5" x14ac:dyDescent="0.35">
      <c r="C670" s="1" t="s">
        <v>10359</v>
      </c>
      <c r="D670" s="1" t="s">
        <v>20</v>
      </c>
      <c r="E670" s="1">
        <v>3113.3620000000001</v>
      </c>
    </row>
    <row r="671" spans="3:5" x14ac:dyDescent="0.35">
      <c r="C671" s="1" t="s">
        <v>10358</v>
      </c>
      <c r="D671" s="1" t="s">
        <v>20</v>
      </c>
      <c r="E671" s="1">
        <v>3113.364</v>
      </c>
    </row>
    <row r="672" spans="3:5" x14ac:dyDescent="0.35">
      <c r="C672" s="1" t="s">
        <v>10357</v>
      </c>
      <c r="D672" s="1" t="s">
        <v>20</v>
      </c>
      <c r="E672" s="1">
        <v>3113.366</v>
      </c>
    </row>
    <row r="673" spans="3:5" x14ac:dyDescent="0.35">
      <c r="C673" s="1" t="s">
        <v>10356</v>
      </c>
      <c r="D673" s="1" t="s">
        <v>20</v>
      </c>
      <c r="E673" s="1">
        <v>3113.3679999999999</v>
      </c>
    </row>
    <row r="674" spans="3:5" x14ac:dyDescent="0.35">
      <c r="C674" s="1" t="s">
        <v>10355</v>
      </c>
      <c r="D674" s="1" t="s">
        <v>20</v>
      </c>
      <c r="E674" s="1">
        <v>3113.37</v>
      </c>
    </row>
    <row r="675" spans="3:5" x14ac:dyDescent="0.35">
      <c r="C675" s="1" t="s">
        <v>10354</v>
      </c>
      <c r="D675" s="1" t="s">
        <v>20</v>
      </c>
      <c r="E675" s="1">
        <v>3113.3719999999998</v>
      </c>
    </row>
    <row r="676" spans="3:5" x14ac:dyDescent="0.35">
      <c r="C676" s="1" t="s">
        <v>10353</v>
      </c>
      <c r="D676" s="1" t="s">
        <v>20</v>
      </c>
      <c r="E676" s="1">
        <v>3113.4</v>
      </c>
    </row>
    <row r="677" spans="3:5" x14ac:dyDescent="0.35">
      <c r="C677" s="1" t="s">
        <v>10352</v>
      </c>
      <c r="D677" s="1" t="s">
        <v>20</v>
      </c>
      <c r="E677" s="1">
        <v>3113.402</v>
      </c>
    </row>
    <row r="678" spans="3:5" x14ac:dyDescent="0.35">
      <c r="C678" s="1" t="s">
        <v>10351</v>
      </c>
      <c r="D678" s="1" t="s">
        <v>20</v>
      </c>
      <c r="E678" s="1">
        <v>3113.404</v>
      </c>
    </row>
    <row r="679" spans="3:5" x14ac:dyDescent="0.35">
      <c r="C679" s="1" t="s">
        <v>10350</v>
      </c>
      <c r="D679" s="1" t="s">
        <v>20</v>
      </c>
      <c r="E679" s="1">
        <v>3113.4059999999999</v>
      </c>
    </row>
    <row r="680" spans="3:5" x14ac:dyDescent="0.35">
      <c r="C680" s="1" t="s">
        <v>10349</v>
      </c>
      <c r="D680" s="1" t="s">
        <v>20</v>
      </c>
      <c r="E680" s="1">
        <v>3113.4079999999999</v>
      </c>
    </row>
    <row r="681" spans="3:5" x14ac:dyDescent="0.35">
      <c r="C681" s="1" t="s">
        <v>10348</v>
      </c>
      <c r="D681" s="1" t="s">
        <v>20</v>
      </c>
      <c r="E681" s="1">
        <v>3113.41</v>
      </c>
    </row>
    <row r="682" spans="3:5" x14ac:dyDescent="0.35">
      <c r="C682" s="1" t="s">
        <v>10347</v>
      </c>
      <c r="D682" s="1" t="s">
        <v>20</v>
      </c>
      <c r="E682" s="1">
        <v>3113.4119999999998</v>
      </c>
    </row>
    <row r="683" spans="3:5" x14ac:dyDescent="0.35">
      <c r="C683" s="1" t="s">
        <v>10346</v>
      </c>
      <c r="D683" s="1" t="s">
        <v>20</v>
      </c>
      <c r="E683" s="1">
        <v>3113.4140000000002</v>
      </c>
    </row>
    <row r="684" spans="3:5" x14ac:dyDescent="0.35">
      <c r="C684" s="1" t="s">
        <v>10345</v>
      </c>
      <c r="D684" s="1" t="s">
        <v>20</v>
      </c>
      <c r="E684" s="1">
        <v>3113.4160000000002</v>
      </c>
    </row>
    <row r="685" spans="3:5" x14ac:dyDescent="0.35">
      <c r="C685" s="1" t="s">
        <v>10344</v>
      </c>
      <c r="D685" s="1" t="s">
        <v>20</v>
      </c>
      <c r="E685" s="1">
        <v>3113.4180000000001</v>
      </c>
    </row>
    <row r="686" spans="3:5" x14ac:dyDescent="0.35">
      <c r="C686" s="1" t="s">
        <v>10343</v>
      </c>
      <c r="D686" s="1" t="s">
        <v>20</v>
      </c>
      <c r="E686" s="1">
        <v>3113.42</v>
      </c>
    </row>
    <row r="687" spans="3:5" x14ac:dyDescent="0.35">
      <c r="C687" s="1" t="s">
        <v>10342</v>
      </c>
      <c r="D687" s="1" t="s">
        <v>20</v>
      </c>
      <c r="E687" s="1">
        <v>3113.422</v>
      </c>
    </row>
    <row r="688" spans="3:5" x14ac:dyDescent="0.35">
      <c r="C688" s="1" t="s">
        <v>10341</v>
      </c>
      <c r="D688" s="1" t="s">
        <v>20</v>
      </c>
      <c r="E688" s="1">
        <v>3113.5</v>
      </c>
    </row>
    <row r="689" spans="3:5" x14ac:dyDescent="0.35">
      <c r="C689" s="1" t="s">
        <v>10340</v>
      </c>
      <c r="D689" s="1" t="s">
        <v>20</v>
      </c>
      <c r="E689" s="1">
        <v>3113.502</v>
      </c>
    </row>
    <row r="690" spans="3:5" x14ac:dyDescent="0.35">
      <c r="C690" s="1" t="s">
        <v>10339</v>
      </c>
      <c r="D690" s="1" t="s">
        <v>20</v>
      </c>
      <c r="E690" s="1">
        <v>3113.5039999999999</v>
      </c>
    </row>
    <row r="691" spans="3:5" x14ac:dyDescent="0.35">
      <c r="C691" s="1" t="s">
        <v>10338</v>
      </c>
      <c r="D691" s="1" t="s">
        <v>20</v>
      </c>
      <c r="E691" s="1">
        <v>3113.5059999999999</v>
      </c>
    </row>
    <row r="692" spans="3:5" x14ac:dyDescent="0.35">
      <c r="C692" s="1" t="s">
        <v>10337</v>
      </c>
      <c r="D692" s="1" t="s">
        <v>20</v>
      </c>
      <c r="E692" s="1">
        <v>3113.52</v>
      </c>
    </row>
    <row r="693" spans="3:5" x14ac:dyDescent="0.35">
      <c r="C693" s="1" t="s">
        <v>10336</v>
      </c>
      <c r="D693" s="1" t="s">
        <v>20</v>
      </c>
      <c r="E693" s="1">
        <v>3113.5219999999999</v>
      </c>
    </row>
    <row r="694" spans="3:5" x14ac:dyDescent="0.35">
      <c r="C694" s="1" t="s">
        <v>10335</v>
      </c>
      <c r="D694" s="1" t="s">
        <v>20</v>
      </c>
      <c r="E694" s="1">
        <v>3113.53</v>
      </c>
    </row>
    <row r="695" spans="3:5" x14ac:dyDescent="0.35">
      <c r="C695" s="1" t="s">
        <v>10334</v>
      </c>
      <c r="D695" s="1" t="s">
        <v>20</v>
      </c>
      <c r="E695" s="1">
        <v>3113.5320000000002</v>
      </c>
    </row>
    <row r="696" spans="3:5" x14ac:dyDescent="0.35">
      <c r="C696" s="1" t="s">
        <v>10333</v>
      </c>
      <c r="D696" s="1" t="s">
        <v>20</v>
      </c>
      <c r="E696" s="1">
        <v>3113.54</v>
      </c>
    </row>
    <row r="697" spans="3:5" x14ac:dyDescent="0.35">
      <c r="C697" s="1" t="s">
        <v>10332</v>
      </c>
      <c r="D697" s="1" t="s">
        <v>20</v>
      </c>
      <c r="E697" s="1">
        <v>3113.5419999999999</v>
      </c>
    </row>
    <row r="698" spans="3:5" x14ac:dyDescent="0.35">
      <c r="C698" s="1" t="s">
        <v>10331</v>
      </c>
      <c r="D698" s="1" t="s">
        <v>19</v>
      </c>
      <c r="E698" s="1">
        <v>3113.5439999999999</v>
      </c>
    </row>
    <row r="699" spans="3:5" x14ac:dyDescent="0.35">
      <c r="C699" s="1" t="s">
        <v>10330</v>
      </c>
      <c r="D699" s="1" t="s">
        <v>19</v>
      </c>
      <c r="E699" s="1">
        <v>3113.5459999999998</v>
      </c>
    </row>
    <row r="700" spans="3:5" x14ac:dyDescent="0.35">
      <c r="C700" s="1" t="s">
        <v>10329</v>
      </c>
      <c r="D700" s="1" t="s">
        <v>19</v>
      </c>
      <c r="E700" s="1">
        <v>3114</v>
      </c>
    </row>
    <row r="701" spans="3:5" x14ac:dyDescent="0.35">
      <c r="C701" s="1" t="s">
        <v>10328</v>
      </c>
      <c r="D701" s="1" t="s">
        <v>19</v>
      </c>
      <c r="E701" s="1">
        <v>3114.0010000000002</v>
      </c>
    </row>
    <row r="702" spans="3:5" x14ac:dyDescent="0.35">
      <c r="C702" s="1" t="s">
        <v>10327</v>
      </c>
      <c r="D702" s="1" t="s">
        <v>19</v>
      </c>
      <c r="E702" s="1">
        <v>3114.002</v>
      </c>
    </row>
    <row r="703" spans="3:5" x14ac:dyDescent="0.35">
      <c r="C703" s="1" t="s">
        <v>10326</v>
      </c>
      <c r="D703" s="1" t="s">
        <v>19</v>
      </c>
      <c r="E703" s="1">
        <v>3114.0030000000002</v>
      </c>
    </row>
    <row r="704" spans="3:5" x14ac:dyDescent="0.35">
      <c r="C704" s="1" t="s">
        <v>10325</v>
      </c>
      <c r="D704" s="1" t="s">
        <v>19</v>
      </c>
      <c r="E704" s="1">
        <v>3114.01</v>
      </c>
    </row>
    <row r="705" spans="3:5" x14ac:dyDescent="0.35">
      <c r="C705" s="1" t="s">
        <v>10324</v>
      </c>
      <c r="D705" s="1" t="s">
        <v>19</v>
      </c>
      <c r="E705" s="1">
        <v>3114.011</v>
      </c>
    </row>
    <row r="706" spans="3:5" x14ac:dyDescent="0.35">
      <c r="C706" s="1" t="s">
        <v>10323</v>
      </c>
      <c r="D706" s="1" t="s">
        <v>19</v>
      </c>
      <c r="E706" s="1">
        <v>3114.0120000000002</v>
      </c>
    </row>
    <row r="707" spans="3:5" x14ac:dyDescent="0.35">
      <c r="C707" s="1" t="s">
        <v>10322</v>
      </c>
      <c r="D707" s="1" t="s">
        <v>19</v>
      </c>
      <c r="E707" s="1">
        <v>3114.0129999999999</v>
      </c>
    </row>
    <row r="708" spans="3:5" x14ac:dyDescent="0.35">
      <c r="C708" s="1" t="s">
        <v>10321</v>
      </c>
      <c r="D708" s="1" t="s">
        <v>19</v>
      </c>
      <c r="E708" s="1">
        <v>3114.0140000000001</v>
      </c>
    </row>
    <row r="709" spans="3:5" x14ac:dyDescent="0.35">
      <c r="C709" s="1" t="s">
        <v>10320</v>
      </c>
      <c r="D709" s="1" t="s">
        <v>19</v>
      </c>
      <c r="E709" s="1">
        <v>3114.0149999999999</v>
      </c>
    </row>
    <row r="710" spans="3:5" x14ac:dyDescent="0.35">
      <c r="C710" s="1" t="s">
        <v>10319</v>
      </c>
      <c r="D710" s="1" t="s">
        <v>19</v>
      </c>
      <c r="E710" s="1">
        <v>3114.0160000000001</v>
      </c>
    </row>
    <row r="711" spans="3:5" x14ac:dyDescent="0.35">
      <c r="C711" s="1" t="s">
        <v>10318</v>
      </c>
      <c r="D711" s="1" t="s">
        <v>19</v>
      </c>
      <c r="E711" s="1">
        <v>3114.0169999999998</v>
      </c>
    </row>
    <row r="712" spans="3:5" x14ac:dyDescent="0.35">
      <c r="C712" s="1" t="s">
        <v>10317</v>
      </c>
      <c r="D712" s="1" t="s">
        <v>19</v>
      </c>
      <c r="E712" s="1">
        <v>3114.018</v>
      </c>
    </row>
    <row r="713" spans="3:5" x14ac:dyDescent="0.35">
      <c r="C713" s="1" t="s">
        <v>10316</v>
      </c>
      <c r="D713" s="1" t="s">
        <v>19</v>
      </c>
      <c r="E713" s="1">
        <v>3114.02</v>
      </c>
    </row>
    <row r="714" spans="3:5" x14ac:dyDescent="0.35">
      <c r="C714" s="1" t="s">
        <v>10315</v>
      </c>
      <c r="D714" s="1" t="s">
        <v>19</v>
      </c>
      <c r="E714" s="1">
        <v>3114.1</v>
      </c>
    </row>
    <row r="715" spans="3:5" x14ac:dyDescent="0.35">
      <c r="C715" s="1" t="s">
        <v>10314</v>
      </c>
      <c r="D715" s="1" t="s">
        <v>19</v>
      </c>
      <c r="E715" s="1">
        <v>3114.1010000000001</v>
      </c>
    </row>
    <row r="716" spans="3:5" x14ac:dyDescent="0.35">
      <c r="C716" s="1" t="s">
        <v>10313</v>
      </c>
      <c r="D716" s="1" t="s">
        <v>19</v>
      </c>
      <c r="E716" s="1">
        <v>3114.1019999999999</v>
      </c>
    </row>
    <row r="717" spans="3:5" x14ac:dyDescent="0.35">
      <c r="C717" s="1" t="s">
        <v>10312</v>
      </c>
      <c r="D717" s="1" t="s">
        <v>19</v>
      </c>
      <c r="E717" s="1">
        <v>3114.1030000000001</v>
      </c>
    </row>
    <row r="718" spans="3:5" x14ac:dyDescent="0.35">
      <c r="C718" s="1" t="s">
        <v>10311</v>
      </c>
      <c r="D718" s="1" t="s">
        <v>19</v>
      </c>
      <c r="E718" s="1">
        <v>3114.11</v>
      </c>
    </row>
    <row r="719" spans="3:5" x14ac:dyDescent="0.35">
      <c r="C719" s="1" t="s">
        <v>10310</v>
      </c>
      <c r="D719" s="1" t="s">
        <v>19</v>
      </c>
      <c r="E719" s="1">
        <v>3114.1109999999999</v>
      </c>
    </row>
    <row r="720" spans="3:5" x14ac:dyDescent="0.35">
      <c r="C720" s="1" t="s">
        <v>10309</v>
      </c>
      <c r="D720" s="1" t="s">
        <v>19</v>
      </c>
      <c r="E720" s="1">
        <v>3114.1120000000001</v>
      </c>
    </row>
    <row r="721" spans="3:5" x14ac:dyDescent="0.35">
      <c r="C721" s="1" t="s">
        <v>10308</v>
      </c>
      <c r="D721" s="1" t="s">
        <v>19</v>
      </c>
      <c r="E721" s="1">
        <v>3114.2</v>
      </c>
    </row>
    <row r="722" spans="3:5" x14ac:dyDescent="0.35">
      <c r="C722" s="1" t="s">
        <v>10307</v>
      </c>
      <c r="D722" s="1" t="s">
        <v>18</v>
      </c>
      <c r="E722" s="1">
        <v>3114.2049999999999</v>
      </c>
    </row>
    <row r="723" spans="3:5" x14ac:dyDescent="0.35">
      <c r="C723" s="1" t="s">
        <v>10306</v>
      </c>
      <c r="D723" s="1" t="s">
        <v>20</v>
      </c>
      <c r="E723" s="1">
        <v>3114.21</v>
      </c>
    </row>
    <row r="724" spans="3:5" x14ac:dyDescent="0.35">
      <c r="C724" s="1" t="s">
        <v>10305</v>
      </c>
      <c r="D724" s="1" t="s">
        <v>20</v>
      </c>
      <c r="E724" s="1">
        <v>3114.2109999999998</v>
      </c>
    </row>
    <row r="725" spans="3:5" x14ac:dyDescent="0.35">
      <c r="C725" s="1" t="s">
        <v>10304</v>
      </c>
      <c r="D725" s="1" t="s">
        <v>20</v>
      </c>
      <c r="E725" s="1">
        <v>3114.212</v>
      </c>
    </row>
    <row r="726" spans="3:5" x14ac:dyDescent="0.35">
      <c r="C726" s="1" t="s">
        <v>10303</v>
      </c>
      <c r="D726" s="1" t="s">
        <v>20</v>
      </c>
      <c r="E726" s="1">
        <v>3114.2130000000002</v>
      </c>
    </row>
    <row r="727" spans="3:5" x14ac:dyDescent="0.35">
      <c r="C727" s="1" t="s">
        <v>10302</v>
      </c>
      <c r="D727" s="1" t="s">
        <v>20</v>
      </c>
      <c r="E727" s="1">
        <v>3114.2139999999999</v>
      </c>
    </row>
    <row r="728" spans="3:5" x14ac:dyDescent="0.35">
      <c r="C728" s="1" t="s">
        <v>10301</v>
      </c>
      <c r="D728" s="1" t="s">
        <v>19</v>
      </c>
      <c r="E728" s="1">
        <v>3114.22</v>
      </c>
    </row>
    <row r="729" spans="3:5" x14ac:dyDescent="0.35">
      <c r="C729" s="1" t="s">
        <v>10300</v>
      </c>
      <c r="D729" s="1" t="s">
        <v>19</v>
      </c>
      <c r="E729" s="1">
        <v>3114.221</v>
      </c>
    </row>
    <row r="730" spans="3:5" x14ac:dyDescent="0.35">
      <c r="C730" s="1" t="s">
        <v>10299</v>
      </c>
      <c r="D730" s="1" t="s">
        <v>19</v>
      </c>
      <c r="E730" s="1">
        <v>3114.2220000000002</v>
      </c>
    </row>
    <row r="731" spans="3:5" x14ac:dyDescent="0.35">
      <c r="C731" s="1" t="s">
        <v>10298</v>
      </c>
      <c r="D731" s="1" t="s">
        <v>19</v>
      </c>
      <c r="E731" s="1">
        <v>3114.223</v>
      </c>
    </row>
    <row r="732" spans="3:5" x14ac:dyDescent="0.35">
      <c r="C732" s="1" t="s">
        <v>10297</v>
      </c>
      <c r="D732" s="1" t="s">
        <v>19</v>
      </c>
      <c r="E732" s="1">
        <v>3114.2240000000002</v>
      </c>
    </row>
    <row r="733" spans="3:5" x14ac:dyDescent="0.35">
      <c r="C733" s="1" t="s">
        <v>10296</v>
      </c>
      <c r="D733" s="1" t="s">
        <v>19</v>
      </c>
      <c r="E733" s="1">
        <v>3114.2249999999999</v>
      </c>
    </row>
    <row r="734" spans="3:5" x14ac:dyDescent="0.35">
      <c r="C734" s="1" t="s">
        <v>10295</v>
      </c>
      <c r="D734" s="1" t="s">
        <v>18</v>
      </c>
      <c r="E734" s="1">
        <v>3114.23</v>
      </c>
    </row>
    <row r="735" spans="3:5" x14ac:dyDescent="0.35">
      <c r="C735" s="1" t="s">
        <v>10294</v>
      </c>
      <c r="D735" s="1" t="s">
        <v>18</v>
      </c>
      <c r="E735" s="1">
        <v>3114.2310000000002</v>
      </c>
    </row>
    <row r="736" spans="3:5" x14ac:dyDescent="0.35">
      <c r="C736" s="1" t="s">
        <v>10293</v>
      </c>
      <c r="D736" s="1" t="s">
        <v>18</v>
      </c>
      <c r="E736" s="1">
        <v>3114.232</v>
      </c>
    </row>
    <row r="737" spans="3:5" x14ac:dyDescent="0.35">
      <c r="C737" s="1" t="s">
        <v>10292</v>
      </c>
      <c r="D737" s="1" t="s">
        <v>58</v>
      </c>
      <c r="E737" s="1">
        <v>3114.2510000000002</v>
      </c>
    </row>
    <row r="738" spans="3:5" x14ac:dyDescent="0.35">
      <c r="C738" s="1" t="s">
        <v>10291</v>
      </c>
      <c r="D738" s="1" t="s">
        <v>58</v>
      </c>
      <c r="E738" s="1">
        <v>3114.252</v>
      </c>
    </row>
    <row r="739" spans="3:5" x14ac:dyDescent="0.35">
      <c r="C739" s="1" t="s">
        <v>10290</v>
      </c>
      <c r="D739" s="1" t="s">
        <v>20</v>
      </c>
      <c r="E739" s="1">
        <v>3117.011</v>
      </c>
    </row>
    <row r="740" spans="3:5" x14ac:dyDescent="0.35">
      <c r="C740" s="1" t="s">
        <v>10289</v>
      </c>
      <c r="D740" s="1" t="s">
        <v>20</v>
      </c>
      <c r="E740" s="1">
        <v>3117.0120000000002</v>
      </c>
    </row>
    <row r="741" spans="3:5" x14ac:dyDescent="0.35">
      <c r="C741" s="1" t="s">
        <v>10288</v>
      </c>
      <c r="D741" s="1" t="s">
        <v>20</v>
      </c>
      <c r="E741" s="1">
        <v>3117.0129999999999</v>
      </c>
    </row>
    <row r="742" spans="3:5" x14ac:dyDescent="0.35">
      <c r="C742" s="1" t="s">
        <v>10287</v>
      </c>
      <c r="D742" s="1" t="s">
        <v>20</v>
      </c>
      <c r="E742" s="1">
        <v>3117.0140000000001</v>
      </c>
    </row>
    <row r="743" spans="3:5" x14ac:dyDescent="0.35">
      <c r="C743" s="1" t="s">
        <v>10286</v>
      </c>
      <c r="D743" s="1" t="s">
        <v>20</v>
      </c>
      <c r="E743" s="1">
        <v>3117.0149999999999</v>
      </c>
    </row>
    <row r="744" spans="3:5" x14ac:dyDescent="0.35">
      <c r="C744" s="1" t="s">
        <v>10285</v>
      </c>
      <c r="D744" s="1" t="s">
        <v>20</v>
      </c>
      <c r="E744" s="1">
        <v>3117.0169999999998</v>
      </c>
    </row>
    <row r="745" spans="3:5" x14ac:dyDescent="0.35">
      <c r="C745" s="1" t="s">
        <v>10284</v>
      </c>
      <c r="D745" s="1" t="s">
        <v>20</v>
      </c>
      <c r="E745" s="1">
        <v>3117.018</v>
      </c>
    </row>
    <row r="746" spans="3:5" x14ac:dyDescent="0.35">
      <c r="C746" s="1" t="s">
        <v>10283</v>
      </c>
      <c r="D746" s="1" t="s">
        <v>20</v>
      </c>
      <c r="E746" s="1">
        <v>3117.0189999999998</v>
      </c>
    </row>
    <row r="747" spans="3:5" x14ac:dyDescent="0.35">
      <c r="C747" s="1" t="s">
        <v>10282</v>
      </c>
      <c r="D747" s="1" t="s">
        <v>20</v>
      </c>
      <c r="E747" s="1">
        <v>3117.02</v>
      </c>
    </row>
    <row r="748" spans="3:5" x14ac:dyDescent="0.35">
      <c r="C748" s="1" t="s">
        <v>10281</v>
      </c>
      <c r="D748" s="1" t="s">
        <v>20</v>
      </c>
      <c r="E748" s="1">
        <v>3117.0210000000002</v>
      </c>
    </row>
    <row r="749" spans="3:5" x14ac:dyDescent="0.35">
      <c r="C749" s="1" t="s">
        <v>10280</v>
      </c>
      <c r="D749" s="1" t="s">
        <v>20</v>
      </c>
      <c r="E749" s="1">
        <v>3119.8870000000002</v>
      </c>
    </row>
    <row r="750" spans="3:5" x14ac:dyDescent="0.35">
      <c r="C750" s="1" t="s">
        <v>10279</v>
      </c>
      <c r="D750" s="1" t="s">
        <v>20</v>
      </c>
      <c r="E750" s="1">
        <v>3119.8879999999999</v>
      </c>
    </row>
    <row r="751" spans="3:5" x14ac:dyDescent="0.35">
      <c r="C751" s="1" t="s">
        <v>10278</v>
      </c>
      <c r="D751" s="1" t="s">
        <v>20</v>
      </c>
      <c r="E751" s="1">
        <v>3119.8890000000001</v>
      </c>
    </row>
    <row r="752" spans="3:5" x14ac:dyDescent="0.35">
      <c r="C752" s="1" t="s">
        <v>10277</v>
      </c>
      <c r="D752" s="1" t="s">
        <v>20</v>
      </c>
      <c r="E752" s="1">
        <v>3119.89</v>
      </c>
    </row>
    <row r="753" spans="3:5" x14ac:dyDescent="0.35">
      <c r="C753" s="1" t="s">
        <v>10276</v>
      </c>
      <c r="D753" s="1" t="s">
        <v>20</v>
      </c>
      <c r="E753" s="1">
        <v>3119.8910000000001</v>
      </c>
    </row>
    <row r="754" spans="3:5" x14ac:dyDescent="0.35">
      <c r="C754" s="1" t="s">
        <v>10275</v>
      </c>
      <c r="D754" s="1" t="s">
        <v>20</v>
      </c>
      <c r="E754" s="1">
        <v>3119.8919999999998</v>
      </c>
    </row>
    <row r="755" spans="3:5" x14ac:dyDescent="0.35">
      <c r="C755" s="1" t="s">
        <v>10274</v>
      </c>
      <c r="D755" s="1" t="s">
        <v>20</v>
      </c>
      <c r="E755" s="1">
        <v>3119.893</v>
      </c>
    </row>
    <row r="756" spans="3:5" x14ac:dyDescent="0.35">
      <c r="C756" s="1" t="s">
        <v>10273</v>
      </c>
      <c r="D756" s="1" t="s">
        <v>20</v>
      </c>
      <c r="E756" s="1">
        <v>3119.8939999999998</v>
      </c>
    </row>
    <row r="757" spans="3:5" x14ac:dyDescent="0.35">
      <c r="C757" s="1" t="s">
        <v>10272</v>
      </c>
      <c r="D757" s="1" t="s">
        <v>20</v>
      </c>
      <c r="E757" s="1">
        <v>3119.895</v>
      </c>
    </row>
    <row r="758" spans="3:5" x14ac:dyDescent="0.35">
      <c r="C758" s="1" t="s">
        <v>10271</v>
      </c>
      <c r="D758" s="1" t="s">
        <v>20</v>
      </c>
      <c r="E758" s="1">
        <v>3119.8960000000002</v>
      </c>
    </row>
    <row r="759" spans="3:5" x14ac:dyDescent="0.35">
      <c r="C759" s="1" t="s">
        <v>10270</v>
      </c>
      <c r="D759" s="1" t="s">
        <v>20</v>
      </c>
      <c r="E759" s="1">
        <v>3119.8980000000001</v>
      </c>
    </row>
    <row r="760" spans="3:5" x14ac:dyDescent="0.35">
      <c r="C760" s="1" t="s">
        <v>10269</v>
      </c>
      <c r="D760" s="1" t="s">
        <v>20</v>
      </c>
      <c r="E760" s="1">
        <v>3119.8989999999999</v>
      </c>
    </row>
    <row r="761" spans="3:5" x14ac:dyDescent="0.35">
      <c r="C761" s="1" t="s">
        <v>10268</v>
      </c>
      <c r="D761" s="1" t="s">
        <v>57</v>
      </c>
      <c r="E761" s="1">
        <v>3130.011</v>
      </c>
    </row>
    <row r="762" spans="3:5" x14ac:dyDescent="0.35">
      <c r="C762" s="1" t="s">
        <v>10266</v>
      </c>
      <c r="D762" s="1" t="s">
        <v>19</v>
      </c>
      <c r="E762" s="1">
        <v>3130.0120000000002</v>
      </c>
    </row>
    <row r="763" spans="3:5" x14ac:dyDescent="0.35">
      <c r="C763" s="1" t="s">
        <v>10265</v>
      </c>
      <c r="D763" s="1" t="s">
        <v>19</v>
      </c>
      <c r="E763" s="1">
        <v>3130.0129999999999</v>
      </c>
    </row>
    <row r="764" spans="3:5" x14ac:dyDescent="0.35">
      <c r="C764" s="1" t="s">
        <v>10264</v>
      </c>
      <c r="D764" s="1" t="s">
        <v>19</v>
      </c>
      <c r="E764" s="1">
        <v>3130.0140000000001</v>
      </c>
    </row>
    <row r="765" spans="3:5" x14ac:dyDescent="0.35">
      <c r="C765" s="1" t="s">
        <v>10263</v>
      </c>
      <c r="D765" s="1" t="s">
        <v>19</v>
      </c>
      <c r="E765" s="1">
        <v>3130.0149999999999</v>
      </c>
    </row>
    <row r="766" spans="3:5" x14ac:dyDescent="0.35">
      <c r="C766" s="1" t="s">
        <v>10262</v>
      </c>
      <c r="D766" s="1" t="s">
        <v>19</v>
      </c>
      <c r="E766" s="1">
        <v>3130.0160000000001</v>
      </c>
    </row>
    <row r="767" spans="3:5" x14ac:dyDescent="0.35">
      <c r="C767" s="1" t="s">
        <v>10261</v>
      </c>
      <c r="D767" s="1" t="s">
        <v>19</v>
      </c>
      <c r="E767" s="1">
        <v>3130.0169999999998</v>
      </c>
    </row>
    <row r="768" spans="3:5" x14ac:dyDescent="0.35">
      <c r="C768" s="1" t="s">
        <v>10260</v>
      </c>
      <c r="D768" s="1" t="s">
        <v>19</v>
      </c>
      <c r="E768" s="1">
        <v>3130.018</v>
      </c>
    </row>
    <row r="769" spans="3:5" x14ac:dyDescent="0.35">
      <c r="C769" s="1" t="s">
        <v>10259</v>
      </c>
      <c r="D769" s="1" t="s">
        <v>19</v>
      </c>
      <c r="E769" s="1">
        <v>3130.0189999999998</v>
      </c>
    </row>
    <row r="770" spans="3:5" x14ac:dyDescent="0.35">
      <c r="C770" s="1" t="s">
        <v>10258</v>
      </c>
      <c r="D770" s="1" t="s">
        <v>19</v>
      </c>
      <c r="E770" s="1">
        <v>3130.02</v>
      </c>
    </row>
    <row r="771" spans="3:5" x14ac:dyDescent="0.35">
      <c r="C771" s="1" t="s">
        <v>10257</v>
      </c>
      <c r="D771" s="1" t="s">
        <v>19</v>
      </c>
      <c r="E771" s="1">
        <v>3130.0210000000002</v>
      </c>
    </row>
    <row r="772" spans="3:5" x14ac:dyDescent="0.35">
      <c r="C772" s="1" t="s">
        <v>10256</v>
      </c>
      <c r="D772" s="1" t="s">
        <v>19</v>
      </c>
      <c r="E772" s="1">
        <v>3130.0219999999999</v>
      </c>
    </row>
    <row r="773" spans="3:5" x14ac:dyDescent="0.35">
      <c r="C773" s="1" t="s">
        <v>10255</v>
      </c>
      <c r="D773" s="1" t="s">
        <v>19</v>
      </c>
      <c r="E773" s="1">
        <v>3130.0230000000001</v>
      </c>
    </row>
    <row r="774" spans="3:5" x14ac:dyDescent="0.35">
      <c r="C774" s="1" t="s">
        <v>10254</v>
      </c>
      <c r="D774" s="1" t="s">
        <v>19</v>
      </c>
      <c r="E774" s="1">
        <v>3130.0239999999999</v>
      </c>
    </row>
    <row r="775" spans="3:5" x14ac:dyDescent="0.35">
      <c r="C775" s="1" t="s">
        <v>10253</v>
      </c>
      <c r="D775" s="1" t="s">
        <v>19</v>
      </c>
      <c r="E775" s="1">
        <v>3130.0250000000001</v>
      </c>
    </row>
    <row r="776" spans="3:5" x14ac:dyDescent="0.35">
      <c r="C776" s="1" t="s">
        <v>10252</v>
      </c>
      <c r="D776" s="1" t="s">
        <v>19</v>
      </c>
      <c r="E776" s="1">
        <v>3130.0259999999998</v>
      </c>
    </row>
    <row r="777" spans="3:5" x14ac:dyDescent="0.35">
      <c r="C777" s="1" t="s">
        <v>10251</v>
      </c>
      <c r="D777" s="1" t="s">
        <v>19</v>
      </c>
      <c r="E777" s="1">
        <v>3130.027</v>
      </c>
    </row>
    <row r="778" spans="3:5" x14ac:dyDescent="0.35">
      <c r="C778" s="1" t="s">
        <v>10250</v>
      </c>
      <c r="D778" s="1" t="s">
        <v>19</v>
      </c>
      <c r="E778" s="1">
        <v>3130.0279999999998</v>
      </c>
    </row>
    <row r="779" spans="3:5" x14ac:dyDescent="0.35">
      <c r="C779" s="1" t="s">
        <v>10249</v>
      </c>
      <c r="D779" s="1" t="s">
        <v>19</v>
      </c>
      <c r="E779" s="1">
        <v>3130.029</v>
      </c>
    </row>
    <row r="780" spans="3:5" x14ac:dyDescent="0.35">
      <c r="C780" s="1" t="s">
        <v>10248</v>
      </c>
      <c r="D780" s="1" t="s">
        <v>19</v>
      </c>
      <c r="E780" s="1">
        <v>3130.03</v>
      </c>
    </row>
    <row r="781" spans="3:5" x14ac:dyDescent="0.35">
      <c r="C781" s="1" t="s">
        <v>10247</v>
      </c>
      <c r="D781" s="1" t="s">
        <v>19</v>
      </c>
      <c r="E781" s="1">
        <v>3130.0309999999999</v>
      </c>
    </row>
    <row r="782" spans="3:5" x14ac:dyDescent="0.35">
      <c r="C782" s="1" t="s">
        <v>10246</v>
      </c>
      <c r="D782" s="1" t="s">
        <v>19</v>
      </c>
      <c r="E782" s="1">
        <v>3130.0320000000002</v>
      </c>
    </row>
    <row r="783" spans="3:5" x14ac:dyDescent="0.35">
      <c r="C783" s="1" t="s">
        <v>10245</v>
      </c>
      <c r="D783" s="1" t="s">
        <v>19</v>
      </c>
      <c r="E783" s="1">
        <v>3130.0329999999999</v>
      </c>
    </row>
    <row r="784" spans="3:5" x14ac:dyDescent="0.35">
      <c r="C784" s="1" t="s">
        <v>10244</v>
      </c>
      <c r="D784" s="1" t="s">
        <v>19</v>
      </c>
      <c r="E784" s="1">
        <v>3130.0340000000001</v>
      </c>
    </row>
    <row r="785" spans="3:5" x14ac:dyDescent="0.35">
      <c r="C785" s="1" t="s">
        <v>10243</v>
      </c>
      <c r="D785" s="1" t="s">
        <v>19</v>
      </c>
      <c r="E785" s="1">
        <v>3130.0349999999999</v>
      </c>
    </row>
    <row r="786" spans="3:5" x14ac:dyDescent="0.35">
      <c r="C786" s="1" t="s">
        <v>10242</v>
      </c>
      <c r="D786" s="1" t="s">
        <v>19</v>
      </c>
      <c r="E786" s="1">
        <v>3130.0360000000001</v>
      </c>
    </row>
    <row r="787" spans="3:5" x14ac:dyDescent="0.35">
      <c r="C787" s="1" t="s">
        <v>10241</v>
      </c>
      <c r="D787" s="1" t="s">
        <v>19</v>
      </c>
      <c r="E787" s="1">
        <v>3130.0369999999998</v>
      </c>
    </row>
    <row r="788" spans="3:5" x14ac:dyDescent="0.35">
      <c r="C788" s="1" t="s">
        <v>10240</v>
      </c>
      <c r="D788" s="1" t="s">
        <v>19</v>
      </c>
      <c r="E788" s="1">
        <v>3130.038</v>
      </c>
    </row>
    <row r="789" spans="3:5" x14ac:dyDescent="0.35">
      <c r="C789" s="1" t="s">
        <v>10239</v>
      </c>
      <c r="D789" s="1" t="s">
        <v>19</v>
      </c>
      <c r="E789" s="1">
        <v>3130.0390000000002</v>
      </c>
    </row>
    <row r="790" spans="3:5" x14ac:dyDescent="0.35">
      <c r="C790" s="1" t="s">
        <v>10238</v>
      </c>
      <c r="D790" s="1" t="s">
        <v>19</v>
      </c>
      <c r="E790" s="1">
        <v>3130.04</v>
      </c>
    </row>
    <row r="791" spans="3:5" x14ac:dyDescent="0.35">
      <c r="C791" s="1" t="s">
        <v>10237</v>
      </c>
      <c r="D791" s="1" t="s">
        <v>19</v>
      </c>
      <c r="E791" s="1">
        <v>3130.0410000000002</v>
      </c>
    </row>
    <row r="792" spans="3:5" x14ac:dyDescent="0.35">
      <c r="C792" s="1" t="s">
        <v>10236</v>
      </c>
      <c r="D792" s="1" t="s">
        <v>19</v>
      </c>
      <c r="E792" s="1">
        <v>3130.0419999999999</v>
      </c>
    </row>
    <row r="793" spans="3:5" x14ac:dyDescent="0.35">
      <c r="C793" s="1" t="s">
        <v>10235</v>
      </c>
      <c r="D793" s="1" t="s">
        <v>19</v>
      </c>
      <c r="E793" s="1">
        <v>3130.0430000000001</v>
      </c>
    </row>
    <row r="794" spans="3:5" x14ac:dyDescent="0.35">
      <c r="C794" s="1" t="s">
        <v>10234</v>
      </c>
      <c r="D794" s="1" t="s">
        <v>19</v>
      </c>
      <c r="E794" s="1">
        <v>3130.0439999999999</v>
      </c>
    </row>
    <row r="795" spans="3:5" x14ac:dyDescent="0.35">
      <c r="C795" s="1" t="s">
        <v>10233</v>
      </c>
      <c r="D795" s="1" t="s">
        <v>19</v>
      </c>
      <c r="E795" s="1">
        <v>3130.0450000000001</v>
      </c>
    </row>
    <row r="796" spans="3:5" x14ac:dyDescent="0.35">
      <c r="C796" s="1" t="s">
        <v>10267</v>
      </c>
      <c r="D796" s="1" t="s">
        <v>57</v>
      </c>
      <c r="E796" s="1">
        <v>3130.0459999999998</v>
      </c>
    </row>
    <row r="797" spans="3:5" x14ac:dyDescent="0.35">
      <c r="C797" s="1" t="s">
        <v>10266</v>
      </c>
      <c r="D797" s="1" t="s">
        <v>19</v>
      </c>
      <c r="E797" s="1">
        <v>3130.047</v>
      </c>
    </row>
    <row r="798" spans="3:5" x14ac:dyDescent="0.35">
      <c r="C798" s="1" t="s">
        <v>10265</v>
      </c>
      <c r="D798" s="1" t="s">
        <v>19</v>
      </c>
      <c r="E798" s="1">
        <v>3130.0479999999998</v>
      </c>
    </row>
    <row r="799" spans="3:5" x14ac:dyDescent="0.35">
      <c r="C799" s="1" t="s">
        <v>10264</v>
      </c>
      <c r="D799" s="1" t="s">
        <v>19</v>
      </c>
      <c r="E799" s="1">
        <v>3130.049</v>
      </c>
    </row>
    <row r="800" spans="3:5" x14ac:dyDescent="0.35">
      <c r="C800" s="1" t="s">
        <v>10263</v>
      </c>
      <c r="D800" s="1" t="s">
        <v>19</v>
      </c>
      <c r="E800" s="1">
        <v>3130.05</v>
      </c>
    </row>
    <row r="801" spans="3:5" x14ac:dyDescent="0.35">
      <c r="C801" s="1" t="s">
        <v>10262</v>
      </c>
      <c r="D801" s="1" t="s">
        <v>19</v>
      </c>
      <c r="E801" s="1">
        <v>3130.0509999999999</v>
      </c>
    </row>
    <row r="802" spans="3:5" x14ac:dyDescent="0.35">
      <c r="C802" s="1" t="s">
        <v>10261</v>
      </c>
      <c r="D802" s="1" t="s">
        <v>19</v>
      </c>
      <c r="E802" s="1">
        <v>3130.0520000000001</v>
      </c>
    </row>
    <row r="803" spans="3:5" x14ac:dyDescent="0.35">
      <c r="C803" s="1" t="s">
        <v>10260</v>
      </c>
      <c r="D803" s="1" t="s">
        <v>19</v>
      </c>
      <c r="E803" s="1">
        <v>3130.0529999999999</v>
      </c>
    </row>
    <row r="804" spans="3:5" x14ac:dyDescent="0.35">
      <c r="C804" s="1" t="s">
        <v>10259</v>
      </c>
      <c r="D804" s="1" t="s">
        <v>19</v>
      </c>
      <c r="E804" s="1">
        <v>3130.0540000000001</v>
      </c>
    </row>
    <row r="805" spans="3:5" x14ac:dyDescent="0.35">
      <c r="C805" s="1" t="s">
        <v>10258</v>
      </c>
      <c r="D805" s="1" t="s">
        <v>19</v>
      </c>
      <c r="E805" s="1">
        <v>3130.0549999999998</v>
      </c>
    </row>
    <row r="806" spans="3:5" x14ac:dyDescent="0.35">
      <c r="C806" s="1" t="s">
        <v>10257</v>
      </c>
      <c r="D806" s="1" t="s">
        <v>19</v>
      </c>
      <c r="E806" s="1">
        <v>3130.056</v>
      </c>
    </row>
    <row r="807" spans="3:5" x14ac:dyDescent="0.35">
      <c r="C807" s="1" t="s">
        <v>10256</v>
      </c>
      <c r="D807" s="1" t="s">
        <v>19</v>
      </c>
      <c r="E807" s="1">
        <v>3130.0569999999998</v>
      </c>
    </row>
    <row r="808" spans="3:5" x14ac:dyDescent="0.35">
      <c r="C808" s="1" t="s">
        <v>10255</v>
      </c>
      <c r="D808" s="1" t="s">
        <v>19</v>
      </c>
      <c r="E808" s="1">
        <v>3130.058</v>
      </c>
    </row>
    <row r="809" spans="3:5" x14ac:dyDescent="0.35">
      <c r="C809" s="1" t="s">
        <v>10254</v>
      </c>
      <c r="D809" s="1" t="s">
        <v>19</v>
      </c>
      <c r="E809" s="1">
        <v>3130.0590000000002</v>
      </c>
    </row>
    <row r="810" spans="3:5" x14ac:dyDescent="0.35">
      <c r="C810" s="1" t="s">
        <v>10253</v>
      </c>
      <c r="D810" s="1" t="s">
        <v>19</v>
      </c>
      <c r="E810" s="1">
        <v>3130.06</v>
      </c>
    </row>
    <row r="811" spans="3:5" x14ac:dyDescent="0.35">
      <c r="C811" s="1" t="s">
        <v>10252</v>
      </c>
      <c r="D811" s="1" t="s">
        <v>19</v>
      </c>
      <c r="E811" s="1">
        <v>3130.0610000000001</v>
      </c>
    </row>
    <row r="812" spans="3:5" x14ac:dyDescent="0.35">
      <c r="C812" s="1" t="s">
        <v>10251</v>
      </c>
      <c r="D812" s="1" t="s">
        <v>19</v>
      </c>
      <c r="E812" s="1">
        <v>3130.0619999999999</v>
      </c>
    </row>
    <row r="813" spans="3:5" x14ac:dyDescent="0.35">
      <c r="C813" s="1" t="s">
        <v>10250</v>
      </c>
      <c r="D813" s="1" t="s">
        <v>19</v>
      </c>
      <c r="E813" s="1">
        <v>3130.0630000000001</v>
      </c>
    </row>
    <row r="814" spans="3:5" x14ac:dyDescent="0.35">
      <c r="C814" s="1" t="s">
        <v>10249</v>
      </c>
      <c r="D814" s="1" t="s">
        <v>19</v>
      </c>
      <c r="E814" s="1">
        <v>3130.0639999999999</v>
      </c>
    </row>
    <row r="815" spans="3:5" x14ac:dyDescent="0.35">
      <c r="C815" s="1" t="s">
        <v>10248</v>
      </c>
      <c r="D815" s="1" t="s">
        <v>19</v>
      </c>
      <c r="E815" s="1">
        <v>3130.0650000000001</v>
      </c>
    </row>
    <row r="816" spans="3:5" x14ac:dyDescent="0.35">
      <c r="C816" s="1" t="s">
        <v>10247</v>
      </c>
      <c r="D816" s="1" t="s">
        <v>19</v>
      </c>
      <c r="E816" s="1">
        <v>3130.0659999999998</v>
      </c>
    </row>
    <row r="817" spans="3:5" x14ac:dyDescent="0.35">
      <c r="C817" s="1" t="s">
        <v>10246</v>
      </c>
      <c r="D817" s="1" t="s">
        <v>19</v>
      </c>
      <c r="E817" s="1">
        <v>3130.067</v>
      </c>
    </row>
    <row r="818" spans="3:5" x14ac:dyDescent="0.35">
      <c r="C818" s="1" t="s">
        <v>10245</v>
      </c>
      <c r="D818" s="1" t="s">
        <v>19</v>
      </c>
      <c r="E818" s="1">
        <v>3130.0680000000002</v>
      </c>
    </row>
    <row r="819" spans="3:5" x14ac:dyDescent="0.35">
      <c r="C819" s="1" t="s">
        <v>10244</v>
      </c>
      <c r="D819" s="1" t="s">
        <v>19</v>
      </c>
      <c r="E819" s="1">
        <v>3130.069</v>
      </c>
    </row>
    <row r="820" spans="3:5" x14ac:dyDescent="0.35">
      <c r="C820" s="1" t="s">
        <v>10243</v>
      </c>
      <c r="D820" s="1" t="s">
        <v>19</v>
      </c>
      <c r="E820" s="1">
        <v>3130.07</v>
      </c>
    </row>
    <row r="821" spans="3:5" x14ac:dyDescent="0.35">
      <c r="C821" s="1" t="s">
        <v>10242</v>
      </c>
      <c r="D821" s="1" t="s">
        <v>19</v>
      </c>
      <c r="E821" s="1">
        <v>3130.0709999999999</v>
      </c>
    </row>
    <row r="822" spans="3:5" x14ac:dyDescent="0.35">
      <c r="C822" s="1" t="s">
        <v>10241</v>
      </c>
      <c r="D822" s="1" t="s">
        <v>19</v>
      </c>
      <c r="E822" s="1">
        <v>3130.0720000000001</v>
      </c>
    </row>
    <row r="823" spans="3:5" x14ac:dyDescent="0.35">
      <c r="C823" s="1" t="s">
        <v>10240</v>
      </c>
      <c r="D823" s="1" t="s">
        <v>19</v>
      </c>
      <c r="E823" s="1">
        <v>3130.0729999999999</v>
      </c>
    </row>
    <row r="824" spans="3:5" x14ac:dyDescent="0.35">
      <c r="C824" s="1" t="s">
        <v>10239</v>
      </c>
      <c r="D824" s="1" t="s">
        <v>19</v>
      </c>
      <c r="E824" s="1">
        <v>3130.0740000000001</v>
      </c>
    </row>
    <row r="825" spans="3:5" x14ac:dyDescent="0.35">
      <c r="C825" s="1" t="s">
        <v>10238</v>
      </c>
      <c r="D825" s="1" t="s">
        <v>19</v>
      </c>
      <c r="E825" s="1">
        <v>3130.0749999999998</v>
      </c>
    </row>
    <row r="826" spans="3:5" x14ac:dyDescent="0.35">
      <c r="C826" s="1" t="s">
        <v>10237</v>
      </c>
      <c r="D826" s="1" t="s">
        <v>19</v>
      </c>
      <c r="E826" s="1">
        <v>3130.076</v>
      </c>
    </row>
    <row r="827" spans="3:5" x14ac:dyDescent="0.35">
      <c r="C827" s="1" t="s">
        <v>10236</v>
      </c>
      <c r="D827" s="1" t="s">
        <v>19</v>
      </c>
      <c r="E827" s="1">
        <v>3130.0770000000002</v>
      </c>
    </row>
    <row r="828" spans="3:5" x14ac:dyDescent="0.35">
      <c r="C828" s="1" t="s">
        <v>10235</v>
      </c>
      <c r="D828" s="1" t="s">
        <v>19</v>
      </c>
      <c r="E828" s="1">
        <v>3130.078</v>
      </c>
    </row>
    <row r="829" spans="3:5" x14ac:dyDescent="0.35">
      <c r="C829" s="1" t="s">
        <v>10234</v>
      </c>
      <c r="D829" s="1" t="s">
        <v>19</v>
      </c>
      <c r="E829" s="1">
        <v>3130.0790000000002</v>
      </c>
    </row>
    <row r="830" spans="3:5" x14ac:dyDescent="0.35">
      <c r="C830" s="1" t="s">
        <v>10233</v>
      </c>
      <c r="D830" s="1" t="s">
        <v>19</v>
      </c>
      <c r="E830" s="1">
        <v>3130.08</v>
      </c>
    </row>
    <row r="831" spans="3:5" x14ac:dyDescent="0.35">
      <c r="C831" s="1" t="s">
        <v>10232</v>
      </c>
      <c r="D831" s="1" t="s">
        <v>19</v>
      </c>
      <c r="E831" s="1">
        <v>3130.1</v>
      </c>
    </row>
    <row r="832" spans="3:5" x14ac:dyDescent="0.35">
      <c r="C832" s="1" t="s">
        <v>10231</v>
      </c>
      <c r="D832" s="1" t="s">
        <v>19</v>
      </c>
      <c r="E832" s="1">
        <v>3130.1010000000001</v>
      </c>
    </row>
    <row r="833" spans="3:5" x14ac:dyDescent="0.35">
      <c r="C833" s="1" t="s">
        <v>10230</v>
      </c>
      <c r="D833" s="1" t="s">
        <v>19</v>
      </c>
      <c r="E833" s="1">
        <v>3130.1019999999999</v>
      </c>
    </row>
    <row r="834" spans="3:5" x14ac:dyDescent="0.35">
      <c r="C834" s="1" t="s">
        <v>10229</v>
      </c>
      <c r="D834" s="1" t="s">
        <v>19</v>
      </c>
      <c r="E834" s="1">
        <v>3130.1030000000001</v>
      </c>
    </row>
    <row r="835" spans="3:5" x14ac:dyDescent="0.35">
      <c r="C835" s="1" t="s">
        <v>10228</v>
      </c>
      <c r="D835" s="1" t="s">
        <v>19</v>
      </c>
      <c r="E835" s="1">
        <v>3130.1039999999998</v>
      </c>
    </row>
    <row r="836" spans="3:5" x14ac:dyDescent="0.35">
      <c r="C836" s="1" t="s">
        <v>10227</v>
      </c>
      <c r="D836" s="1" t="s">
        <v>19</v>
      </c>
      <c r="E836" s="1">
        <v>3130.105</v>
      </c>
    </row>
    <row r="837" spans="3:5" x14ac:dyDescent="0.35">
      <c r="C837" s="1" t="s">
        <v>10226</v>
      </c>
      <c r="D837" s="1" t="s">
        <v>19</v>
      </c>
      <c r="E837" s="1">
        <v>3130.1060000000002</v>
      </c>
    </row>
    <row r="838" spans="3:5" x14ac:dyDescent="0.35">
      <c r="C838" s="1" t="s">
        <v>10225</v>
      </c>
      <c r="D838" s="1" t="s">
        <v>19</v>
      </c>
      <c r="E838" s="1">
        <v>3130.107</v>
      </c>
    </row>
    <row r="839" spans="3:5" x14ac:dyDescent="0.35">
      <c r="C839" s="1" t="s">
        <v>10224</v>
      </c>
      <c r="D839" s="1" t="s">
        <v>19</v>
      </c>
      <c r="E839" s="1">
        <v>3130.1210000000001</v>
      </c>
    </row>
    <row r="840" spans="3:5" x14ac:dyDescent="0.35">
      <c r="C840" s="1" t="s">
        <v>10223</v>
      </c>
      <c r="D840" s="1" t="s">
        <v>19</v>
      </c>
      <c r="E840" s="1">
        <v>3130.1219999999998</v>
      </c>
    </row>
    <row r="841" spans="3:5" x14ac:dyDescent="0.35">
      <c r="C841" s="1" t="s">
        <v>10222</v>
      </c>
      <c r="D841" s="1" t="s">
        <v>19</v>
      </c>
      <c r="E841" s="1">
        <v>3130.123</v>
      </c>
    </row>
    <row r="842" spans="3:5" x14ac:dyDescent="0.35">
      <c r="C842" s="1" t="s">
        <v>10221</v>
      </c>
      <c r="D842" s="1" t="s">
        <v>19</v>
      </c>
      <c r="E842" s="1">
        <v>3130.13</v>
      </c>
    </row>
    <row r="843" spans="3:5" x14ac:dyDescent="0.35">
      <c r="C843" s="1" t="s">
        <v>10220</v>
      </c>
      <c r="D843" s="1" t="s">
        <v>19</v>
      </c>
      <c r="E843" s="1">
        <v>3130.1309999999999</v>
      </c>
    </row>
    <row r="844" spans="3:5" x14ac:dyDescent="0.35">
      <c r="C844" s="1" t="s">
        <v>10219</v>
      </c>
      <c r="D844" s="1" t="s">
        <v>19</v>
      </c>
      <c r="E844" s="1">
        <v>3130.1320000000001</v>
      </c>
    </row>
    <row r="845" spans="3:5" x14ac:dyDescent="0.35">
      <c r="C845" s="1" t="s">
        <v>10218</v>
      </c>
      <c r="D845" s="1" t="s">
        <v>19</v>
      </c>
      <c r="E845" s="1">
        <v>3130.1329999999998</v>
      </c>
    </row>
    <row r="846" spans="3:5" x14ac:dyDescent="0.35">
      <c r="C846" s="1" t="s">
        <v>10217</v>
      </c>
      <c r="D846" s="1" t="s">
        <v>57</v>
      </c>
      <c r="E846" s="1">
        <v>3130.5010000000002</v>
      </c>
    </row>
    <row r="847" spans="3:5" x14ac:dyDescent="0.35">
      <c r="C847" s="1" t="s">
        <v>10216</v>
      </c>
      <c r="D847" s="1" t="s">
        <v>58</v>
      </c>
      <c r="E847" s="1">
        <v>3130.502</v>
      </c>
    </row>
    <row r="848" spans="3:5" x14ac:dyDescent="0.35">
      <c r="C848" s="1" t="s">
        <v>10215</v>
      </c>
      <c r="D848" s="1" t="s">
        <v>58</v>
      </c>
      <c r="E848" s="1">
        <v>3130.5030000000002</v>
      </c>
    </row>
    <row r="849" spans="3:5" x14ac:dyDescent="0.35">
      <c r="C849" s="1" t="s">
        <v>10214</v>
      </c>
      <c r="D849" s="1" t="s">
        <v>58</v>
      </c>
      <c r="E849" s="1">
        <v>3130.5039999999999</v>
      </c>
    </row>
    <row r="850" spans="3:5" x14ac:dyDescent="0.35">
      <c r="C850" s="1" t="s">
        <v>10213</v>
      </c>
      <c r="D850" s="1" t="s">
        <v>58</v>
      </c>
      <c r="E850" s="1">
        <v>3130.5050000000001</v>
      </c>
    </row>
    <row r="851" spans="3:5" x14ac:dyDescent="0.35">
      <c r="C851" s="1" t="s">
        <v>10212</v>
      </c>
      <c r="D851" s="1" t="s">
        <v>58</v>
      </c>
      <c r="E851" s="1">
        <v>3130.5059999999999</v>
      </c>
    </row>
    <row r="852" spans="3:5" x14ac:dyDescent="0.35">
      <c r="C852" s="1" t="s">
        <v>10211</v>
      </c>
      <c r="D852" s="1" t="s">
        <v>58</v>
      </c>
      <c r="E852" s="1">
        <v>3130.5120000000002</v>
      </c>
    </row>
    <row r="853" spans="3:5" x14ac:dyDescent="0.35">
      <c r="C853" s="1" t="s">
        <v>10210</v>
      </c>
      <c r="D853" s="1" t="s">
        <v>58</v>
      </c>
      <c r="E853" s="1">
        <v>3130.5129999999999</v>
      </c>
    </row>
    <row r="854" spans="3:5" x14ac:dyDescent="0.35">
      <c r="C854" s="1" t="s">
        <v>10209</v>
      </c>
      <c r="D854" s="1" t="s">
        <v>58</v>
      </c>
      <c r="E854" s="1">
        <v>3130.5140000000001</v>
      </c>
    </row>
    <row r="855" spans="3:5" x14ac:dyDescent="0.35">
      <c r="C855" s="1" t="s">
        <v>10208</v>
      </c>
      <c r="D855" s="1" t="s">
        <v>58</v>
      </c>
      <c r="E855" s="1">
        <v>3130.5149999999999</v>
      </c>
    </row>
    <row r="856" spans="3:5" x14ac:dyDescent="0.35">
      <c r="C856" s="1" t="s">
        <v>10207</v>
      </c>
      <c r="D856" s="1" t="s">
        <v>58</v>
      </c>
      <c r="E856" s="1">
        <v>3130.5160000000001</v>
      </c>
    </row>
    <row r="857" spans="3:5" x14ac:dyDescent="0.35">
      <c r="C857" s="1" t="s">
        <v>10206</v>
      </c>
      <c r="D857" s="1" t="s">
        <v>58</v>
      </c>
      <c r="E857" s="1">
        <v>3130.5219999999999</v>
      </c>
    </row>
    <row r="858" spans="3:5" x14ac:dyDescent="0.35">
      <c r="C858" s="1" t="s">
        <v>10205</v>
      </c>
      <c r="D858" s="1" t="s">
        <v>58</v>
      </c>
      <c r="E858" s="1">
        <v>3130.5230000000001</v>
      </c>
    </row>
    <row r="859" spans="3:5" x14ac:dyDescent="0.35">
      <c r="C859" s="1" t="s">
        <v>10204</v>
      </c>
      <c r="D859" s="1" t="s">
        <v>58</v>
      </c>
      <c r="E859" s="1">
        <v>3130.5239999999999</v>
      </c>
    </row>
    <row r="860" spans="3:5" x14ac:dyDescent="0.35">
      <c r="C860" s="1" t="s">
        <v>10203</v>
      </c>
      <c r="D860" s="1" t="s">
        <v>58</v>
      </c>
      <c r="E860" s="1">
        <v>3130.5250000000001</v>
      </c>
    </row>
    <row r="861" spans="3:5" x14ac:dyDescent="0.35">
      <c r="C861" s="1" t="s">
        <v>10202</v>
      </c>
      <c r="D861" s="1" t="s">
        <v>58</v>
      </c>
      <c r="E861" s="1">
        <v>3130.5259999999998</v>
      </c>
    </row>
    <row r="862" spans="3:5" x14ac:dyDescent="0.35">
      <c r="C862" s="1" t="s">
        <v>10201</v>
      </c>
      <c r="D862" s="1" t="s">
        <v>58</v>
      </c>
      <c r="E862" s="1">
        <v>3130.5320000000002</v>
      </c>
    </row>
    <row r="863" spans="3:5" x14ac:dyDescent="0.35">
      <c r="C863" s="1" t="s">
        <v>10200</v>
      </c>
      <c r="D863" s="1" t="s">
        <v>58</v>
      </c>
      <c r="E863" s="1">
        <v>3130.5329999999999</v>
      </c>
    </row>
    <row r="864" spans="3:5" x14ac:dyDescent="0.35">
      <c r="C864" s="1" t="s">
        <v>10199</v>
      </c>
      <c r="D864" s="1" t="s">
        <v>58</v>
      </c>
      <c r="E864" s="1">
        <v>3130.5340000000001</v>
      </c>
    </row>
    <row r="865" spans="3:5" x14ac:dyDescent="0.35">
      <c r="C865" s="1" t="s">
        <v>10198</v>
      </c>
      <c r="D865" s="1" t="s">
        <v>58</v>
      </c>
      <c r="E865" s="1">
        <v>3130.5349999999999</v>
      </c>
    </row>
    <row r="866" spans="3:5" x14ac:dyDescent="0.35">
      <c r="C866" s="1" t="s">
        <v>10197</v>
      </c>
      <c r="D866" s="1" t="s">
        <v>58</v>
      </c>
      <c r="E866" s="1">
        <v>3130.5360000000001</v>
      </c>
    </row>
    <row r="867" spans="3:5" x14ac:dyDescent="0.35">
      <c r="C867" s="1" t="s">
        <v>10196</v>
      </c>
      <c r="D867" s="1" t="s">
        <v>58</v>
      </c>
      <c r="E867" s="1">
        <v>3130.5419999999999</v>
      </c>
    </row>
    <row r="868" spans="3:5" x14ac:dyDescent="0.35">
      <c r="C868" s="1" t="s">
        <v>10195</v>
      </c>
      <c r="D868" s="1" t="s">
        <v>58</v>
      </c>
      <c r="E868" s="1">
        <v>3130.5430000000001</v>
      </c>
    </row>
    <row r="869" spans="3:5" x14ac:dyDescent="0.35">
      <c r="C869" s="1" t="s">
        <v>10194</v>
      </c>
      <c r="D869" s="1" t="s">
        <v>58</v>
      </c>
      <c r="E869" s="1">
        <v>3130.5439999999999</v>
      </c>
    </row>
    <row r="870" spans="3:5" x14ac:dyDescent="0.35">
      <c r="C870" s="1" t="s">
        <v>10193</v>
      </c>
      <c r="D870" s="1" t="s">
        <v>58</v>
      </c>
      <c r="E870" s="1">
        <v>3130.5450000000001</v>
      </c>
    </row>
    <row r="871" spans="3:5" x14ac:dyDescent="0.35">
      <c r="C871" s="1" t="s">
        <v>10192</v>
      </c>
      <c r="D871" s="1" t="s">
        <v>58</v>
      </c>
      <c r="E871" s="1">
        <v>3130.5459999999998</v>
      </c>
    </row>
    <row r="872" spans="3:5" x14ac:dyDescent="0.35">
      <c r="C872" s="1" t="s">
        <v>10191</v>
      </c>
      <c r="D872" s="1" t="s">
        <v>58</v>
      </c>
      <c r="E872" s="1">
        <v>3130.5520000000001</v>
      </c>
    </row>
    <row r="873" spans="3:5" x14ac:dyDescent="0.35">
      <c r="C873" s="1" t="s">
        <v>10190</v>
      </c>
      <c r="D873" s="1" t="s">
        <v>58</v>
      </c>
      <c r="E873" s="1">
        <v>3130.5529999999999</v>
      </c>
    </row>
    <row r="874" spans="3:5" x14ac:dyDescent="0.35">
      <c r="C874" s="1" t="s">
        <v>10189</v>
      </c>
      <c r="D874" s="1" t="s">
        <v>58</v>
      </c>
      <c r="E874" s="1">
        <v>3130.5540000000001</v>
      </c>
    </row>
    <row r="875" spans="3:5" x14ac:dyDescent="0.35">
      <c r="C875" s="1" t="s">
        <v>10188</v>
      </c>
      <c r="D875" s="1" t="s">
        <v>58</v>
      </c>
      <c r="E875" s="1">
        <v>3130.5549999999998</v>
      </c>
    </row>
    <row r="876" spans="3:5" x14ac:dyDescent="0.35">
      <c r="C876" s="1" t="s">
        <v>10187</v>
      </c>
      <c r="D876" s="1" t="s">
        <v>58</v>
      </c>
      <c r="E876" s="1">
        <v>3130.556</v>
      </c>
    </row>
    <row r="877" spans="3:5" x14ac:dyDescent="0.35">
      <c r="C877" s="1" t="s">
        <v>10186</v>
      </c>
      <c r="D877" s="1" t="s">
        <v>58</v>
      </c>
      <c r="E877" s="1">
        <v>3130.5619999999999</v>
      </c>
    </row>
    <row r="878" spans="3:5" x14ac:dyDescent="0.35">
      <c r="C878" s="1" t="s">
        <v>10185</v>
      </c>
      <c r="D878" s="1" t="s">
        <v>58</v>
      </c>
      <c r="E878" s="1">
        <v>3130.5630000000001</v>
      </c>
    </row>
    <row r="879" spans="3:5" x14ac:dyDescent="0.35">
      <c r="C879" s="1" t="s">
        <v>10184</v>
      </c>
      <c r="D879" s="1" t="s">
        <v>58</v>
      </c>
      <c r="E879" s="1">
        <v>3130.5639999999999</v>
      </c>
    </row>
    <row r="880" spans="3:5" x14ac:dyDescent="0.35">
      <c r="C880" s="1" t="s">
        <v>10183</v>
      </c>
      <c r="D880" s="1" t="s">
        <v>58</v>
      </c>
      <c r="E880" s="1">
        <v>3130.5650000000001</v>
      </c>
    </row>
    <row r="881" spans="3:5" x14ac:dyDescent="0.35">
      <c r="C881" s="1" t="s">
        <v>10182</v>
      </c>
      <c r="D881" s="1" t="s">
        <v>58</v>
      </c>
      <c r="E881" s="1">
        <v>3130.5659999999998</v>
      </c>
    </row>
    <row r="882" spans="3:5" x14ac:dyDescent="0.35">
      <c r="C882" s="1" t="s">
        <v>10181</v>
      </c>
      <c r="D882" s="1" t="s">
        <v>621</v>
      </c>
      <c r="E882" s="1">
        <v>3130.61</v>
      </c>
    </row>
    <row r="883" spans="3:5" x14ac:dyDescent="0.35">
      <c r="C883" s="1" t="s">
        <v>10180</v>
      </c>
      <c r="D883" s="1" t="s">
        <v>62</v>
      </c>
      <c r="E883" s="1">
        <v>3130.6509999999998</v>
      </c>
    </row>
    <row r="884" spans="3:5" x14ac:dyDescent="0.35">
      <c r="C884" s="1" t="s">
        <v>10179</v>
      </c>
      <c r="D884" s="1" t="s">
        <v>62</v>
      </c>
      <c r="E884" s="1">
        <v>3130.652</v>
      </c>
    </row>
    <row r="885" spans="3:5" x14ac:dyDescent="0.35">
      <c r="C885" s="1" t="s">
        <v>10178</v>
      </c>
      <c r="D885" s="1" t="s">
        <v>62</v>
      </c>
      <c r="E885" s="1">
        <v>3130.6529999999998</v>
      </c>
    </row>
    <row r="886" spans="3:5" x14ac:dyDescent="0.35">
      <c r="C886" s="1" t="s">
        <v>10177</v>
      </c>
      <c r="D886" s="1" t="s">
        <v>62</v>
      </c>
      <c r="E886" s="1">
        <v>3130.654</v>
      </c>
    </row>
    <row r="887" spans="3:5" x14ac:dyDescent="0.35">
      <c r="C887" s="1" t="s">
        <v>10176</v>
      </c>
      <c r="D887" s="1" t="s">
        <v>62</v>
      </c>
      <c r="E887" s="1">
        <v>3130.6610000000001</v>
      </c>
    </row>
    <row r="888" spans="3:5" x14ac:dyDescent="0.35">
      <c r="C888" s="1" t="s">
        <v>10175</v>
      </c>
      <c r="D888" s="1" t="s">
        <v>62</v>
      </c>
      <c r="E888" s="1">
        <v>3130.6619999999998</v>
      </c>
    </row>
    <row r="889" spans="3:5" x14ac:dyDescent="0.35">
      <c r="C889" s="1" t="s">
        <v>10174</v>
      </c>
      <c r="D889" s="1" t="s">
        <v>62</v>
      </c>
      <c r="E889" s="1">
        <v>3130.663</v>
      </c>
    </row>
    <row r="890" spans="3:5" x14ac:dyDescent="0.35">
      <c r="C890" s="1" t="s">
        <v>10173</v>
      </c>
      <c r="D890" s="1" t="s">
        <v>62</v>
      </c>
      <c r="E890" s="1">
        <v>3130.6640000000002</v>
      </c>
    </row>
    <row r="891" spans="3:5" x14ac:dyDescent="0.35">
      <c r="C891" s="1" t="s">
        <v>10172</v>
      </c>
      <c r="D891" s="1" t="s">
        <v>19</v>
      </c>
      <c r="E891" s="1">
        <v>3139.9110000000001</v>
      </c>
    </row>
    <row r="892" spans="3:5" x14ac:dyDescent="0.35">
      <c r="C892" s="1" t="s">
        <v>8357</v>
      </c>
      <c r="D892" s="1" t="s">
        <v>19</v>
      </c>
      <c r="E892" s="1">
        <v>3150.1</v>
      </c>
    </row>
    <row r="893" spans="3:5" x14ac:dyDescent="0.35">
      <c r="C893" s="1" t="s">
        <v>10171</v>
      </c>
      <c r="D893" s="1" t="s">
        <v>19</v>
      </c>
      <c r="E893" s="1">
        <v>3150.1010000000001</v>
      </c>
    </row>
    <row r="894" spans="3:5" x14ac:dyDescent="0.35">
      <c r="C894" s="1" t="s">
        <v>10170</v>
      </c>
      <c r="D894" s="1" t="s">
        <v>19</v>
      </c>
      <c r="E894" s="1">
        <v>3150.1019999999999</v>
      </c>
    </row>
    <row r="895" spans="3:5" x14ac:dyDescent="0.35">
      <c r="C895" s="1" t="s">
        <v>10169</v>
      </c>
      <c r="D895" s="1" t="s">
        <v>19</v>
      </c>
      <c r="E895" s="1">
        <v>3150.1030000000001</v>
      </c>
    </row>
    <row r="896" spans="3:5" x14ac:dyDescent="0.35">
      <c r="C896" s="1" t="s">
        <v>10168</v>
      </c>
      <c r="D896" s="1" t="s">
        <v>19</v>
      </c>
      <c r="E896" s="1">
        <v>3150.1039999999998</v>
      </c>
    </row>
    <row r="897" spans="3:5" x14ac:dyDescent="0.35">
      <c r="C897" s="1" t="s">
        <v>10167</v>
      </c>
      <c r="D897" s="1" t="s">
        <v>19</v>
      </c>
      <c r="E897" s="1">
        <v>3150.65</v>
      </c>
    </row>
    <row r="898" spans="3:5" x14ac:dyDescent="0.35">
      <c r="C898" s="1" t="s">
        <v>10166</v>
      </c>
      <c r="D898" s="1" t="s">
        <v>19</v>
      </c>
      <c r="E898" s="1">
        <v>3150.6509999999998</v>
      </c>
    </row>
    <row r="899" spans="3:5" x14ac:dyDescent="0.35">
      <c r="C899" s="1" t="s">
        <v>8358</v>
      </c>
      <c r="D899" s="1" t="s">
        <v>19</v>
      </c>
      <c r="E899" s="1">
        <v>3150.652</v>
      </c>
    </row>
    <row r="900" spans="3:5" x14ac:dyDescent="0.35">
      <c r="C900" s="1" t="s">
        <v>10165</v>
      </c>
      <c r="D900" s="1" t="s">
        <v>19</v>
      </c>
      <c r="E900" s="1">
        <v>3150.6550000000002</v>
      </c>
    </row>
    <row r="901" spans="3:5" x14ac:dyDescent="0.35">
      <c r="C901" s="1" t="s">
        <v>10164</v>
      </c>
      <c r="D901" s="1" t="s">
        <v>19</v>
      </c>
      <c r="E901" s="1">
        <v>3150.6559999999999</v>
      </c>
    </row>
    <row r="902" spans="3:5" x14ac:dyDescent="0.35">
      <c r="C902" s="1" t="s">
        <v>10163</v>
      </c>
      <c r="D902" s="1" t="s">
        <v>19</v>
      </c>
      <c r="E902" s="1">
        <v>3150.6570000000002</v>
      </c>
    </row>
    <row r="903" spans="3:5" x14ac:dyDescent="0.35">
      <c r="C903" s="1" t="s">
        <v>10162</v>
      </c>
      <c r="D903" s="1" t="s">
        <v>20</v>
      </c>
      <c r="E903" s="1">
        <v>3150.7</v>
      </c>
    </row>
    <row r="904" spans="3:5" x14ac:dyDescent="0.35">
      <c r="C904" s="1" t="s">
        <v>10161</v>
      </c>
      <c r="D904" s="1" t="s">
        <v>20</v>
      </c>
      <c r="E904" s="1">
        <v>3150.701</v>
      </c>
    </row>
    <row r="905" spans="3:5" x14ac:dyDescent="0.35">
      <c r="C905" s="1" t="s">
        <v>10160</v>
      </c>
      <c r="D905" s="1" t="s">
        <v>20</v>
      </c>
      <c r="E905" s="1">
        <v>3150.7020000000002</v>
      </c>
    </row>
    <row r="906" spans="3:5" x14ac:dyDescent="0.35">
      <c r="C906" s="1" t="s">
        <v>10159</v>
      </c>
      <c r="D906" s="1" t="s">
        <v>20</v>
      </c>
      <c r="E906" s="1">
        <v>3150.703</v>
      </c>
    </row>
    <row r="907" spans="3:5" x14ac:dyDescent="0.35">
      <c r="C907" s="1" t="s">
        <v>10158</v>
      </c>
      <c r="D907" s="1" t="s">
        <v>19</v>
      </c>
      <c r="E907" s="1">
        <v>3150.71</v>
      </c>
    </row>
    <row r="908" spans="3:5" x14ac:dyDescent="0.35">
      <c r="C908" s="1" t="s">
        <v>10157</v>
      </c>
      <c r="D908" s="1" t="s">
        <v>19</v>
      </c>
      <c r="E908" s="1">
        <v>3150.7109999999998</v>
      </c>
    </row>
    <row r="909" spans="3:5" x14ac:dyDescent="0.35">
      <c r="C909" s="1" t="s">
        <v>10156</v>
      </c>
      <c r="D909" s="1" t="s">
        <v>19</v>
      </c>
      <c r="E909" s="1">
        <v>3150.712</v>
      </c>
    </row>
    <row r="910" spans="3:5" x14ac:dyDescent="0.35">
      <c r="C910" s="1" t="s">
        <v>10155</v>
      </c>
      <c r="D910" s="1" t="s">
        <v>19</v>
      </c>
      <c r="E910" s="1">
        <v>3150.7130000000002</v>
      </c>
    </row>
    <row r="911" spans="3:5" x14ac:dyDescent="0.35">
      <c r="C911" s="1" t="s">
        <v>10154</v>
      </c>
      <c r="D911" s="1" t="s">
        <v>19</v>
      </c>
      <c r="E911" s="1">
        <v>3150.72</v>
      </c>
    </row>
    <row r="912" spans="3:5" x14ac:dyDescent="0.35">
      <c r="C912" s="1" t="s">
        <v>10153</v>
      </c>
      <c r="D912" s="1" t="s">
        <v>19</v>
      </c>
      <c r="E912" s="1">
        <v>3150.721</v>
      </c>
    </row>
    <row r="913" spans="3:5" x14ac:dyDescent="0.35">
      <c r="C913" s="1" t="s">
        <v>10152</v>
      </c>
      <c r="D913" s="1" t="s">
        <v>19</v>
      </c>
      <c r="E913" s="1">
        <v>3150.7220000000002</v>
      </c>
    </row>
    <row r="914" spans="3:5" x14ac:dyDescent="0.35">
      <c r="C914" s="1" t="s">
        <v>10151</v>
      </c>
      <c r="D914" s="1" t="s">
        <v>19</v>
      </c>
      <c r="E914" s="1">
        <v>3150.723</v>
      </c>
    </row>
    <row r="915" spans="3:5" x14ac:dyDescent="0.35">
      <c r="C915" s="1" t="s">
        <v>10150</v>
      </c>
      <c r="D915" s="1" t="s">
        <v>18</v>
      </c>
      <c r="E915" s="1">
        <v>3150.7510000000002</v>
      </c>
    </row>
    <row r="916" spans="3:5" x14ac:dyDescent="0.35">
      <c r="C916" s="1" t="s">
        <v>10149</v>
      </c>
      <c r="D916" s="1" t="s">
        <v>18</v>
      </c>
      <c r="E916" s="1">
        <v>3150.752</v>
      </c>
    </row>
    <row r="917" spans="3:5" x14ac:dyDescent="0.35">
      <c r="C917" s="1" t="s">
        <v>10148</v>
      </c>
      <c r="D917" s="1" t="s">
        <v>57</v>
      </c>
      <c r="E917" s="1">
        <v>3150.76</v>
      </c>
    </row>
    <row r="918" spans="3:5" x14ac:dyDescent="0.35">
      <c r="C918" s="1" t="s">
        <v>10147</v>
      </c>
      <c r="D918" s="1" t="s">
        <v>62</v>
      </c>
      <c r="E918" s="1">
        <v>3150.761</v>
      </c>
    </row>
    <row r="919" spans="3:5" x14ac:dyDescent="0.35">
      <c r="C919" s="1" t="s">
        <v>10146</v>
      </c>
      <c r="D919" s="1" t="s">
        <v>62</v>
      </c>
      <c r="E919" s="1">
        <v>3150.7620000000002</v>
      </c>
    </row>
    <row r="920" spans="3:5" x14ac:dyDescent="0.35">
      <c r="C920" s="1" t="s">
        <v>10145</v>
      </c>
      <c r="D920" s="1" t="s">
        <v>62</v>
      </c>
      <c r="E920" s="1">
        <v>3150.7629999999999</v>
      </c>
    </row>
    <row r="921" spans="3:5" x14ac:dyDescent="0.35">
      <c r="C921" s="1" t="s">
        <v>10144</v>
      </c>
      <c r="D921" s="1" t="s">
        <v>62</v>
      </c>
      <c r="E921" s="1">
        <v>3150.7640000000001</v>
      </c>
    </row>
    <row r="922" spans="3:5" x14ac:dyDescent="0.35">
      <c r="C922" s="1" t="s">
        <v>10143</v>
      </c>
      <c r="D922" s="1" t="s">
        <v>57</v>
      </c>
      <c r="E922" s="1">
        <v>3150.77</v>
      </c>
    </row>
    <row r="923" spans="3:5" x14ac:dyDescent="0.35">
      <c r="C923" s="1" t="s">
        <v>10142</v>
      </c>
      <c r="D923" s="1" t="s">
        <v>62</v>
      </c>
      <c r="E923" s="1">
        <v>3150.7710000000002</v>
      </c>
    </row>
    <row r="924" spans="3:5" x14ac:dyDescent="0.35">
      <c r="C924" s="1" t="s">
        <v>10141</v>
      </c>
      <c r="D924" s="1" t="s">
        <v>19</v>
      </c>
      <c r="E924" s="1">
        <v>3150.8009999999999</v>
      </c>
    </row>
    <row r="925" spans="3:5" x14ac:dyDescent="0.35">
      <c r="C925" s="1" t="s">
        <v>10140</v>
      </c>
      <c r="D925" s="1" t="s">
        <v>19</v>
      </c>
      <c r="E925" s="1">
        <v>3150.8020000000001</v>
      </c>
    </row>
    <row r="926" spans="3:5" x14ac:dyDescent="0.35">
      <c r="C926" s="1" t="s">
        <v>10139</v>
      </c>
      <c r="D926" s="1" t="s">
        <v>19</v>
      </c>
      <c r="E926" s="1">
        <v>3150.8029999999999</v>
      </c>
    </row>
    <row r="927" spans="3:5" x14ac:dyDescent="0.35">
      <c r="C927" s="1" t="s">
        <v>10138</v>
      </c>
      <c r="D927" s="1" t="s">
        <v>19</v>
      </c>
      <c r="E927" s="1">
        <v>3150.8040000000001</v>
      </c>
    </row>
    <row r="928" spans="3:5" x14ac:dyDescent="0.35">
      <c r="C928" s="1" t="s">
        <v>10137</v>
      </c>
      <c r="D928" s="1" t="s">
        <v>19</v>
      </c>
      <c r="E928" s="1">
        <v>3150.8049999999998</v>
      </c>
    </row>
    <row r="929" spans="3:5" x14ac:dyDescent="0.35">
      <c r="C929" s="1" t="s">
        <v>10136</v>
      </c>
      <c r="D929" s="1" t="s">
        <v>20</v>
      </c>
      <c r="E929" s="1">
        <v>3150.9</v>
      </c>
    </row>
    <row r="930" spans="3:5" x14ac:dyDescent="0.35">
      <c r="C930" s="1" t="s">
        <v>10135</v>
      </c>
      <c r="D930" s="1" t="s">
        <v>20</v>
      </c>
      <c r="E930" s="1">
        <v>3150.91</v>
      </c>
    </row>
    <row r="931" spans="3:5" x14ac:dyDescent="0.35">
      <c r="C931" s="1" t="s">
        <v>10134</v>
      </c>
      <c r="D931" s="1" t="s">
        <v>20</v>
      </c>
      <c r="E931" s="1">
        <v>3150.9110000000001</v>
      </c>
    </row>
    <row r="932" spans="3:5" x14ac:dyDescent="0.35">
      <c r="C932" s="1" t="s">
        <v>10133</v>
      </c>
      <c r="D932" s="1" t="s">
        <v>20</v>
      </c>
      <c r="E932" s="1">
        <v>3150.9119999999998</v>
      </c>
    </row>
    <row r="933" spans="3:5" x14ac:dyDescent="0.35">
      <c r="C933" s="1" t="s">
        <v>10132</v>
      </c>
      <c r="D933" s="1" t="s">
        <v>19</v>
      </c>
      <c r="E933" s="1">
        <v>3150.93</v>
      </c>
    </row>
  </sheetData>
  <mergeCells count="9">
    <mergeCell ref="P3:Q3"/>
    <mergeCell ref="J5:K5"/>
    <mergeCell ref="J6:K6"/>
    <mergeCell ref="J7:K7"/>
    <mergeCell ref="A3:B3"/>
    <mergeCell ref="D3:G3"/>
    <mergeCell ref="J3:K3"/>
    <mergeCell ref="A4:B4"/>
    <mergeCell ref="J4:K4"/>
  </mergeCells>
  <dataValidations count="1">
    <dataValidation type="list" allowBlank="1" showInputMessage="1" showErrorMessage="1" sqref="C16:C190" xr:uid="{922D8D7A-4853-4365-A1B5-A6C53F432892}">
      <formula1>$C$205:$C207</formula1>
    </dataValidation>
  </dataValidations>
  <hyperlinks>
    <hyperlink ref="D3" r:id="rId1" display="datamateapp@gmail.com" xr:uid="{14BDCE50-97D7-4F87-829F-2727DE65BF79}"/>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0421" r:id="rId4" name="Button 5">
              <controlPr defaultSize="0" print="0" autoFill="0" autoPict="0" macro="[0]!ExitSEC_031000">
                <anchor moveWithCells="1" sizeWithCells="1">
                  <from>
                    <xdr:col>16</xdr:col>
                    <xdr:colOff>234950</xdr:colOff>
                    <xdr:row>0</xdr:row>
                    <xdr:rowOff>0</xdr:rowOff>
                  </from>
                  <to>
                    <xdr:col>17</xdr:col>
                    <xdr:colOff>19050</xdr:colOff>
                    <xdr:row>2</xdr:row>
                    <xdr:rowOff>6350</xdr:rowOff>
                  </to>
                </anchor>
              </controlPr>
            </control>
          </mc:Choice>
        </mc:AlternateContent>
        <mc:AlternateContent xmlns:mc="http://schemas.openxmlformats.org/markup-compatibility/2006">
          <mc:Choice Requires="x14">
            <control shapeId="60478" r:id="rId5" name="Button 62">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60479" r:id="rId6" name="Button 63">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60480" r:id="rId7" name="Button 64">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60481" r:id="rId8" name="Button 65">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60482" r:id="rId9" name="Button 66">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60483" r:id="rId10" name="Button 67">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60484" r:id="rId11" name="Button 68">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60485" r:id="rId12" name="Button 69">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A2A01-F471-407C-8FC8-94DAEAD14552}">
  <sheetPr codeName="Sheet43"/>
  <dimension ref="A1:Q1754"/>
  <sheetViews>
    <sheetView zoomScale="75" zoomScaleNormal="75" workbookViewId="0">
      <selection activeCell="C4" sqref="C4"/>
    </sheetView>
  </sheetViews>
  <sheetFormatPr defaultRowHeight="14.5" x14ac:dyDescent="0.35"/>
  <cols>
    <col min="1" max="1" width="4.54296875" style="1" customWidth="1"/>
    <col min="2" max="2" width="14" style="1" customWidth="1"/>
    <col min="3" max="3" width="77.1796875" style="1" bestFit="1" customWidth="1"/>
    <col min="4" max="4" width="10.7265625" style="1" customWidth="1"/>
    <col min="5" max="5" width="10.1796875" style="1" customWidth="1"/>
    <col min="6" max="6" width="13.26953125" style="1" customWidth="1"/>
    <col min="7" max="7" width="15.1796875" style="1" customWidth="1"/>
    <col min="8" max="8" width="13.26953125" style="1" customWidth="1"/>
    <col min="9" max="9" width="12.7265625" style="1" customWidth="1"/>
    <col min="10" max="10" width="12.26953125" style="1" customWidth="1"/>
    <col min="11" max="11" width="9" style="1" customWidth="1"/>
    <col min="12" max="12" width="13.26953125" style="1" customWidth="1"/>
    <col min="13" max="13" width="12.7265625" style="1" customWidth="1"/>
    <col min="14" max="14" width="13.26953125" style="1" customWidth="1"/>
    <col min="15" max="15" width="12.7265625" style="1" customWidth="1"/>
    <col min="16" max="16" width="13.26953125" style="1" customWidth="1"/>
    <col min="17" max="17" width="21.26953125" style="1" customWidth="1"/>
    <col min="18" max="22" width="8.7265625" style="1"/>
    <col min="23" max="23" width="4.54296875" style="1" customWidth="1"/>
    <col min="24" max="24" width="11.90625" style="1" customWidth="1"/>
    <col min="25" max="25" width="77.1796875" style="1" bestFit="1" customWidth="1"/>
    <col min="26" max="26" width="10.7265625" style="1" customWidth="1"/>
    <col min="27" max="27" width="10.1796875" style="1" customWidth="1"/>
    <col min="28" max="28" width="13.26953125" style="1" customWidth="1"/>
    <col min="29" max="29" width="15.1796875" style="1" customWidth="1"/>
    <col min="30" max="30" width="13.26953125" style="1" customWidth="1"/>
    <col min="31" max="31" width="12.7265625" style="1" customWidth="1"/>
    <col min="32" max="32" width="12.26953125" style="1" customWidth="1"/>
    <col min="33" max="33" width="9" style="1" customWidth="1"/>
    <col min="34" max="34" width="13.26953125" style="1" customWidth="1"/>
    <col min="35" max="35" width="12.7265625" style="1" customWidth="1"/>
    <col min="36" max="36" width="13.26953125" style="1" customWidth="1"/>
    <col min="37" max="37" width="12.7265625" style="1" customWidth="1"/>
    <col min="38" max="38" width="13.26953125" style="1" customWidth="1"/>
    <col min="39" max="39" width="21.26953125" style="1" customWidth="1"/>
    <col min="40" max="16384" width="8.7265625" style="1"/>
  </cols>
  <sheetData>
    <row r="1" spans="1:17" ht="14.5" customHeight="1"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CONCRETE REINFORCING</v>
      </c>
      <c r="J2" s="59"/>
      <c r="K2" s="59"/>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03 20 00</v>
      </c>
      <c r="C10" s="24" t="str">
        <f>C206</f>
        <v>CONCRETE REINFORCING</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CONCRETE REINFORCING</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Q200" s="78" t="s">
        <v>21404</v>
      </c>
    </row>
    <row r="201" spans="2:17" x14ac:dyDescent="0.35">
      <c r="C201" s="78" t="s">
        <v>21592</v>
      </c>
    </row>
    <row r="203" spans="2:17" x14ac:dyDescent="0.35">
      <c r="C203" s="77" t="s">
        <v>21399</v>
      </c>
    </row>
    <row r="205" spans="2:17" x14ac:dyDescent="0.35">
      <c r="C205" s="1" t="s">
        <v>21398</v>
      </c>
      <c r="D205" s="1" t="s">
        <v>75</v>
      </c>
      <c r="E205" s="1" t="s">
        <v>13768</v>
      </c>
      <c r="F205" s="2" t="s">
        <v>21397</v>
      </c>
      <c r="G205" s="1" t="s">
        <v>9</v>
      </c>
    </row>
    <row r="206" spans="2:17" x14ac:dyDescent="0.35">
      <c r="B206" s="49" t="s">
        <v>14054</v>
      </c>
      <c r="C206" s="82" t="s">
        <v>14055</v>
      </c>
    </row>
    <row r="207" spans="2:17" x14ac:dyDescent="0.35">
      <c r="B207" s="49" t="s">
        <v>14056</v>
      </c>
      <c r="C207" s="53" t="s">
        <v>14057</v>
      </c>
    </row>
    <row r="208" spans="2:17" x14ac:dyDescent="0.35">
      <c r="B208" s="49" t="s">
        <v>14058</v>
      </c>
      <c r="C208" s="53" t="s">
        <v>14059</v>
      </c>
    </row>
    <row r="209" spans="2:5" x14ac:dyDescent="0.35">
      <c r="B209" s="49" t="s">
        <v>14060</v>
      </c>
      <c r="C209" s="53" t="s">
        <v>14061</v>
      </c>
    </row>
    <row r="210" spans="2:5" x14ac:dyDescent="0.35">
      <c r="B210" s="49" t="s">
        <v>14062</v>
      </c>
      <c r="C210" s="53" t="s">
        <v>14063</v>
      </c>
    </row>
    <row r="211" spans="2:5" x14ac:dyDescent="0.35">
      <c r="B211" s="49" t="s">
        <v>14064</v>
      </c>
      <c r="C211" s="53" t="s">
        <v>14065</v>
      </c>
    </row>
    <row r="212" spans="2:5" x14ac:dyDescent="0.35">
      <c r="C212" s="1" t="s">
        <v>10131</v>
      </c>
      <c r="D212" s="1" t="s">
        <v>42</v>
      </c>
      <c r="E212" s="1">
        <v>3210.1060000000002</v>
      </c>
    </row>
    <row r="213" spans="2:5" x14ac:dyDescent="0.35">
      <c r="C213" s="1" t="s">
        <v>10130</v>
      </c>
      <c r="D213" s="1" t="s">
        <v>42</v>
      </c>
      <c r="E213" s="1">
        <v>3210.1089999999999</v>
      </c>
    </row>
    <row r="214" spans="2:5" x14ac:dyDescent="0.35">
      <c r="C214" s="1" t="s">
        <v>10129</v>
      </c>
      <c r="D214" s="1" t="s">
        <v>42</v>
      </c>
      <c r="E214" s="1">
        <v>3210.11</v>
      </c>
    </row>
    <row r="215" spans="2:5" x14ac:dyDescent="0.35">
      <c r="C215" s="1" t="s">
        <v>10128</v>
      </c>
      <c r="D215" s="1" t="s">
        <v>42</v>
      </c>
      <c r="E215" s="1">
        <v>3210.13</v>
      </c>
    </row>
    <row r="216" spans="2:5" x14ac:dyDescent="0.35">
      <c r="C216" s="1" t="s">
        <v>10127</v>
      </c>
      <c r="D216" s="1" t="s">
        <v>42</v>
      </c>
      <c r="E216" s="1">
        <v>3210.14</v>
      </c>
    </row>
    <row r="217" spans="2:5" x14ac:dyDescent="0.35">
      <c r="C217" s="1" t="s">
        <v>10126</v>
      </c>
      <c r="D217" s="1" t="s">
        <v>42</v>
      </c>
      <c r="E217" s="1">
        <v>3210.15</v>
      </c>
    </row>
    <row r="218" spans="2:5" x14ac:dyDescent="0.35">
      <c r="C218" s="1" t="s">
        <v>10125</v>
      </c>
      <c r="D218" s="1" t="s">
        <v>42</v>
      </c>
      <c r="E218" s="1">
        <v>3210.1550000000002</v>
      </c>
    </row>
    <row r="219" spans="2:5" x14ac:dyDescent="0.35">
      <c r="C219" s="1" t="s">
        <v>10124</v>
      </c>
      <c r="D219" s="1" t="s">
        <v>42</v>
      </c>
      <c r="E219" s="1">
        <v>3210.16</v>
      </c>
    </row>
    <row r="220" spans="2:5" x14ac:dyDescent="0.35">
      <c r="C220" s="1" t="s">
        <v>10123</v>
      </c>
      <c r="D220" s="1" t="s">
        <v>42</v>
      </c>
      <c r="E220" s="1">
        <v>3210.165</v>
      </c>
    </row>
    <row r="221" spans="2:5" x14ac:dyDescent="0.35">
      <c r="C221" s="1" t="s">
        <v>10122</v>
      </c>
      <c r="D221" s="1" t="s">
        <v>42</v>
      </c>
      <c r="E221" s="1">
        <v>3210.17</v>
      </c>
    </row>
    <row r="222" spans="2:5" x14ac:dyDescent="0.35">
      <c r="C222" s="1" t="s">
        <v>10121</v>
      </c>
      <c r="D222" s="1" t="s">
        <v>42</v>
      </c>
      <c r="E222" s="1">
        <v>3210.172</v>
      </c>
    </row>
    <row r="223" spans="2:5" x14ac:dyDescent="0.35">
      <c r="C223" s="1" t="s">
        <v>10120</v>
      </c>
      <c r="D223" s="1" t="s">
        <v>42</v>
      </c>
      <c r="E223" s="1">
        <v>3210.2</v>
      </c>
    </row>
    <row r="224" spans="2:5" x14ac:dyDescent="0.35">
      <c r="C224" s="1" t="s">
        <v>10119</v>
      </c>
      <c r="D224" s="1" t="s">
        <v>42</v>
      </c>
      <c r="E224" s="1">
        <v>3210.201</v>
      </c>
    </row>
    <row r="225" spans="3:5" x14ac:dyDescent="0.35">
      <c r="C225" s="1" t="s">
        <v>10118</v>
      </c>
      <c r="D225" s="1" t="s">
        <v>42</v>
      </c>
      <c r="E225" s="1">
        <v>3210.2020000000002</v>
      </c>
    </row>
    <row r="226" spans="3:5" x14ac:dyDescent="0.35">
      <c r="C226" s="1" t="s">
        <v>10117</v>
      </c>
      <c r="D226" s="1" t="s">
        <v>42</v>
      </c>
      <c r="E226" s="1">
        <v>3210.21</v>
      </c>
    </row>
    <row r="227" spans="3:5" x14ac:dyDescent="0.35">
      <c r="C227" s="1" t="s">
        <v>10116</v>
      </c>
      <c r="D227" s="1" t="s">
        <v>42</v>
      </c>
      <c r="E227" s="1">
        <v>3210.22</v>
      </c>
    </row>
    <row r="228" spans="3:5" x14ac:dyDescent="0.35">
      <c r="C228" s="1" t="s">
        <v>10115</v>
      </c>
      <c r="D228" s="1" t="s">
        <v>42</v>
      </c>
      <c r="E228" s="1">
        <v>3210.23</v>
      </c>
    </row>
    <row r="229" spans="3:5" x14ac:dyDescent="0.35">
      <c r="C229" s="1" t="s">
        <v>10114</v>
      </c>
      <c r="D229" s="1" t="s">
        <v>42</v>
      </c>
      <c r="E229" s="1">
        <v>3210.24</v>
      </c>
    </row>
    <row r="230" spans="3:5" x14ac:dyDescent="0.35">
      <c r="C230" s="1" t="s">
        <v>10113</v>
      </c>
      <c r="D230" s="1" t="s">
        <v>42</v>
      </c>
      <c r="E230" s="1">
        <v>3210.3</v>
      </c>
    </row>
    <row r="231" spans="3:5" x14ac:dyDescent="0.35">
      <c r="C231" s="1" t="s">
        <v>10112</v>
      </c>
      <c r="D231" s="1" t="s">
        <v>42</v>
      </c>
      <c r="E231" s="1">
        <v>3210.4</v>
      </c>
    </row>
    <row r="232" spans="3:5" x14ac:dyDescent="0.35">
      <c r="C232" s="1" t="s">
        <v>10111</v>
      </c>
      <c r="D232" s="1" t="s">
        <v>42</v>
      </c>
      <c r="E232" s="1">
        <v>3210.4050000000002</v>
      </c>
    </row>
    <row r="233" spans="3:5" x14ac:dyDescent="0.35">
      <c r="C233" s="1" t="s">
        <v>10110</v>
      </c>
      <c r="D233" s="1" t="s">
        <v>42</v>
      </c>
      <c r="E233" s="1">
        <v>3210.4250000000002</v>
      </c>
    </row>
    <row r="234" spans="3:5" x14ac:dyDescent="0.35">
      <c r="C234" s="1" t="s">
        <v>10109</v>
      </c>
      <c r="D234" s="1" t="s">
        <v>42</v>
      </c>
      <c r="E234" s="1">
        <v>3210.45</v>
      </c>
    </row>
    <row r="235" spans="3:5" x14ac:dyDescent="0.35">
      <c r="C235" s="1" t="s">
        <v>10108</v>
      </c>
      <c r="D235" s="1" t="s">
        <v>42</v>
      </c>
      <c r="E235" s="1">
        <v>3210.5</v>
      </c>
    </row>
    <row r="236" spans="3:5" x14ac:dyDescent="0.35">
      <c r="C236" s="1" t="s">
        <v>10107</v>
      </c>
      <c r="D236" s="1" t="s">
        <v>42</v>
      </c>
      <c r="E236" s="1">
        <v>3210.5250000000001</v>
      </c>
    </row>
    <row r="237" spans="3:5" x14ac:dyDescent="0.35">
      <c r="C237" s="1" t="s">
        <v>10106</v>
      </c>
      <c r="D237" s="1" t="s">
        <v>42</v>
      </c>
      <c r="E237" s="1">
        <v>3210.55</v>
      </c>
    </row>
    <row r="238" spans="3:5" x14ac:dyDescent="0.35">
      <c r="C238" s="1" t="s">
        <v>10105</v>
      </c>
      <c r="D238" s="1" t="s">
        <v>42</v>
      </c>
      <c r="E238" s="1">
        <v>3210.5749999999998</v>
      </c>
    </row>
    <row r="239" spans="3:5" x14ac:dyDescent="0.35">
      <c r="C239" s="1" t="s">
        <v>10104</v>
      </c>
      <c r="D239" s="1" t="s">
        <v>42</v>
      </c>
      <c r="E239" s="1">
        <v>3210.9009999999998</v>
      </c>
    </row>
    <row r="240" spans="3:5" x14ac:dyDescent="0.35">
      <c r="C240" s="1" t="s">
        <v>10103</v>
      </c>
      <c r="D240" s="1" t="s">
        <v>42</v>
      </c>
      <c r="E240" s="1">
        <v>3210.902</v>
      </c>
    </row>
    <row r="241" spans="3:5" x14ac:dyDescent="0.35">
      <c r="C241" s="1" t="s">
        <v>10102</v>
      </c>
      <c r="D241" s="1" t="s">
        <v>42</v>
      </c>
      <c r="E241" s="1">
        <v>3210.9029999999998</v>
      </c>
    </row>
    <row r="242" spans="3:5" x14ac:dyDescent="0.35">
      <c r="C242" s="1" t="s">
        <v>10101</v>
      </c>
      <c r="D242" s="1" t="s">
        <v>42</v>
      </c>
      <c r="E242" s="1">
        <v>3210.904</v>
      </c>
    </row>
    <row r="243" spans="3:5" x14ac:dyDescent="0.35">
      <c r="C243" s="1" t="s">
        <v>10100</v>
      </c>
      <c r="D243" s="1" t="s">
        <v>42</v>
      </c>
      <c r="E243" s="1">
        <v>3210.9050000000002</v>
      </c>
    </row>
    <row r="244" spans="3:5" x14ac:dyDescent="0.35">
      <c r="C244" s="1" t="s">
        <v>10099</v>
      </c>
      <c r="D244" s="1" t="s">
        <v>42</v>
      </c>
      <c r="E244" s="1">
        <v>3210.95</v>
      </c>
    </row>
    <row r="245" spans="3:5" x14ac:dyDescent="0.35">
      <c r="C245" s="1" t="s">
        <v>10098</v>
      </c>
      <c r="D245" s="1" t="s">
        <v>66</v>
      </c>
      <c r="E245" s="1">
        <v>3210.96</v>
      </c>
    </row>
    <row r="246" spans="3:5" x14ac:dyDescent="0.35">
      <c r="C246" s="1" t="s">
        <v>10097</v>
      </c>
      <c r="D246" s="1" t="s">
        <v>66</v>
      </c>
      <c r="E246" s="1">
        <v>3210.9609999999998</v>
      </c>
    </row>
    <row r="247" spans="3:5" x14ac:dyDescent="0.35">
      <c r="C247" s="1" t="s">
        <v>10096</v>
      </c>
      <c r="D247" s="1" t="s">
        <v>3023</v>
      </c>
      <c r="E247" s="1">
        <v>3210.97</v>
      </c>
    </row>
    <row r="248" spans="3:5" x14ac:dyDescent="0.35">
      <c r="C248" s="1" t="s">
        <v>10095</v>
      </c>
      <c r="D248" s="1" t="s">
        <v>3023</v>
      </c>
      <c r="E248" s="1">
        <v>3210.971</v>
      </c>
    </row>
    <row r="249" spans="3:5" x14ac:dyDescent="0.35">
      <c r="C249" s="1" t="s">
        <v>10094</v>
      </c>
      <c r="D249" s="1" t="s">
        <v>3023</v>
      </c>
      <c r="E249" s="1">
        <v>3210.9720000000002</v>
      </c>
    </row>
    <row r="250" spans="3:5" x14ac:dyDescent="0.35">
      <c r="C250" s="1" t="s">
        <v>10093</v>
      </c>
      <c r="D250" s="1" t="s">
        <v>3023</v>
      </c>
      <c r="E250" s="1">
        <v>3210.973</v>
      </c>
    </row>
    <row r="251" spans="3:5" x14ac:dyDescent="0.35">
      <c r="C251" s="1" t="s">
        <v>10092</v>
      </c>
      <c r="D251" s="1" t="s">
        <v>3023</v>
      </c>
      <c r="E251" s="1">
        <v>3210.9740000000002</v>
      </c>
    </row>
    <row r="252" spans="3:5" x14ac:dyDescent="0.35">
      <c r="C252" s="1" t="s">
        <v>10091</v>
      </c>
      <c r="D252" s="1" t="s">
        <v>3023</v>
      </c>
      <c r="E252" s="1">
        <v>3210.98</v>
      </c>
    </row>
    <row r="253" spans="3:5" x14ac:dyDescent="0.35">
      <c r="C253" s="1" t="s">
        <v>10090</v>
      </c>
      <c r="D253" s="1" t="s">
        <v>3023</v>
      </c>
      <c r="E253" s="1">
        <v>3210.9810000000002</v>
      </c>
    </row>
    <row r="254" spans="3:5" x14ac:dyDescent="0.35">
      <c r="C254" s="1" t="s">
        <v>10089</v>
      </c>
      <c r="D254" s="1" t="s">
        <v>3023</v>
      </c>
      <c r="E254" s="1">
        <v>3210.982</v>
      </c>
    </row>
    <row r="255" spans="3:5" x14ac:dyDescent="0.35">
      <c r="C255" s="1" t="s">
        <v>10088</v>
      </c>
      <c r="D255" s="1" t="s">
        <v>3023</v>
      </c>
      <c r="E255" s="1">
        <v>3210.9830000000002</v>
      </c>
    </row>
    <row r="256" spans="3:5" x14ac:dyDescent="0.35">
      <c r="C256" s="1" t="s">
        <v>10087</v>
      </c>
      <c r="D256" s="1" t="s">
        <v>3023</v>
      </c>
      <c r="E256" s="1">
        <v>3210.9839999999999</v>
      </c>
    </row>
    <row r="257" spans="3:5" x14ac:dyDescent="0.35">
      <c r="C257" s="1" t="s">
        <v>10086</v>
      </c>
      <c r="D257" s="1" t="s">
        <v>3023</v>
      </c>
      <c r="E257" s="1">
        <v>3210.99</v>
      </c>
    </row>
    <row r="258" spans="3:5" x14ac:dyDescent="0.35">
      <c r="C258" s="1" t="s">
        <v>10085</v>
      </c>
      <c r="D258" s="1" t="s">
        <v>3023</v>
      </c>
      <c r="E258" s="1">
        <v>3210.991</v>
      </c>
    </row>
    <row r="259" spans="3:5" x14ac:dyDescent="0.35">
      <c r="C259" s="1" t="s">
        <v>10084</v>
      </c>
      <c r="D259" s="1" t="s">
        <v>3023</v>
      </c>
      <c r="E259" s="1">
        <v>3210.9920000000002</v>
      </c>
    </row>
    <row r="260" spans="3:5" x14ac:dyDescent="0.35">
      <c r="C260" s="1" t="s">
        <v>10083</v>
      </c>
      <c r="D260" s="1" t="s">
        <v>3023</v>
      </c>
      <c r="E260" s="1">
        <v>3210.9929999999999</v>
      </c>
    </row>
    <row r="261" spans="3:5" x14ac:dyDescent="0.35">
      <c r="C261" s="1" t="s">
        <v>10082</v>
      </c>
      <c r="D261" s="1" t="s">
        <v>3023</v>
      </c>
      <c r="E261" s="1">
        <v>3210.9940000000001</v>
      </c>
    </row>
    <row r="262" spans="3:5" x14ac:dyDescent="0.35">
      <c r="C262" s="1" t="s">
        <v>10081</v>
      </c>
      <c r="D262" s="1" t="s">
        <v>66</v>
      </c>
      <c r="E262" s="1">
        <v>3211.1</v>
      </c>
    </row>
    <row r="263" spans="3:5" x14ac:dyDescent="0.35">
      <c r="C263" s="1" t="s">
        <v>10080</v>
      </c>
      <c r="D263" s="1" t="s">
        <v>3023</v>
      </c>
      <c r="E263" s="1">
        <v>3211.1010000000001</v>
      </c>
    </row>
    <row r="264" spans="3:5" x14ac:dyDescent="0.35">
      <c r="C264" s="1" t="s">
        <v>10079</v>
      </c>
      <c r="D264" s="1" t="s">
        <v>3023</v>
      </c>
      <c r="E264" s="1">
        <v>3211.1019999999999</v>
      </c>
    </row>
    <row r="265" spans="3:5" x14ac:dyDescent="0.35">
      <c r="C265" s="1" t="s">
        <v>10078</v>
      </c>
      <c r="D265" s="1" t="s">
        <v>3023</v>
      </c>
      <c r="E265" s="1">
        <v>3211.1030000000001</v>
      </c>
    </row>
    <row r="266" spans="3:5" x14ac:dyDescent="0.35">
      <c r="C266" s="1" t="s">
        <v>10077</v>
      </c>
      <c r="D266" s="1" t="s">
        <v>3023</v>
      </c>
      <c r="E266" s="1">
        <v>3211.1039999999998</v>
      </c>
    </row>
    <row r="267" spans="3:5" x14ac:dyDescent="0.35">
      <c r="C267" s="1" t="s">
        <v>10076</v>
      </c>
      <c r="D267" s="1" t="s">
        <v>3023</v>
      </c>
      <c r="E267" s="1">
        <v>3211.105</v>
      </c>
    </row>
    <row r="268" spans="3:5" x14ac:dyDescent="0.35">
      <c r="C268" s="1" t="s">
        <v>10075</v>
      </c>
      <c r="D268" s="1" t="s">
        <v>66</v>
      </c>
      <c r="E268" s="1">
        <v>3211.12</v>
      </c>
    </row>
    <row r="269" spans="3:5" x14ac:dyDescent="0.35">
      <c r="C269" s="1" t="s">
        <v>10074</v>
      </c>
      <c r="D269" s="1" t="s">
        <v>3023</v>
      </c>
      <c r="E269" s="1">
        <v>3211.13</v>
      </c>
    </row>
    <row r="270" spans="3:5" x14ac:dyDescent="0.35">
      <c r="C270" s="1" t="s">
        <v>10073</v>
      </c>
      <c r="D270" s="1" t="s">
        <v>3023</v>
      </c>
      <c r="E270" s="1">
        <v>3211.1309999999999</v>
      </c>
    </row>
    <row r="271" spans="3:5" x14ac:dyDescent="0.35">
      <c r="C271" s="1" t="s">
        <v>10072</v>
      </c>
      <c r="D271" s="1" t="s">
        <v>3023</v>
      </c>
      <c r="E271" s="1">
        <v>3211.1320000000001</v>
      </c>
    </row>
    <row r="272" spans="3:5" x14ac:dyDescent="0.35">
      <c r="C272" s="1" t="s">
        <v>10071</v>
      </c>
      <c r="D272" s="1" t="s">
        <v>3023</v>
      </c>
      <c r="E272" s="1">
        <v>3211.1329999999998</v>
      </c>
    </row>
    <row r="273" spans="3:5" x14ac:dyDescent="0.35">
      <c r="C273" s="1" t="s">
        <v>10070</v>
      </c>
      <c r="D273" s="1" t="s">
        <v>3023</v>
      </c>
      <c r="E273" s="1">
        <v>3211.134</v>
      </c>
    </row>
    <row r="274" spans="3:5" x14ac:dyDescent="0.35">
      <c r="C274" s="1" t="s">
        <v>10061</v>
      </c>
      <c r="D274" s="1" t="s">
        <v>57</v>
      </c>
      <c r="E274" s="1">
        <v>3216.01</v>
      </c>
    </row>
    <row r="275" spans="3:5" x14ac:dyDescent="0.35">
      <c r="C275" s="1" t="s">
        <v>10035</v>
      </c>
      <c r="D275" s="1" t="s">
        <v>57</v>
      </c>
      <c r="E275" s="1">
        <v>3216.011</v>
      </c>
    </row>
    <row r="276" spans="3:5" x14ac:dyDescent="0.35">
      <c r="C276" s="1" t="s">
        <v>10031</v>
      </c>
      <c r="D276" s="1" t="s">
        <v>77</v>
      </c>
      <c r="E276" s="1">
        <v>3216.0120000000002</v>
      </c>
    </row>
    <row r="277" spans="3:5" x14ac:dyDescent="0.35">
      <c r="C277" s="1" t="s">
        <v>10030</v>
      </c>
      <c r="D277" s="1" t="s">
        <v>77</v>
      </c>
      <c r="E277" s="1">
        <v>3216.0129999999999</v>
      </c>
    </row>
    <row r="278" spans="3:5" x14ac:dyDescent="0.35">
      <c r="C278" s="1" t="s">
        <v>10029</v>
      </c>
      <c r="D278" s="1" t="s">
        <v>77</v>
      </c>
      <c r="E278" s="1">
        <v>3216.0140000000001</v>
      </c>
    </row>
    <row r="279" spans="3:5" x14ac:dyDescent="0.35">
      <c r="C279" s="1" t="s">
        <v>10028</v>
      </c>
      <c r="D279" s="1" t="s">
        <v>77</v>
      </c>
      <c r="E279" s="1">
        <v>3216.0149999999999</v>
      </c>
    </row>
    <row r="280" spans="3:5" x14ac:dyDescent="0.35">
      <c r="C280" s="1" t="s">
        <v>10027</v>
      </c>
      <c r="D280" s="1" t="s">
        <v>77</v>
      </c>
      <c r="E280" s="1">
        <v>3216.0160000000001</v>
      </c>
    </row>
    <row r="281" spans="3:5" x14ac:dyDescent="0.35">
      <c r="C281" s="1" t="s">
        <v>10026</v>
      </c>
      <c r="D281" s="1" t="s">
        <v>77</v>
      </c>
      <c r="E281" s="1">
        <v>3216.0169999999998</v>
      </c>
    </row>
    <row r="282" spans="3:5" x14ac:dyDescent="0.35">
      <c r="C282" s="1" t="s">
        <v>10025</v>
      </c>
      <c r="D282" s="1" t="s">
        <v>77</v>
      </c>
      <c r="E282" s="1">
        <v>3216.018</v>
      </c>
    </row>
    <row r="283" spans="3:5" x14ac:dyDescent="0.35">
      <c r="C283" s="1" t="s">
        <v>10024</v>
      </c>
      <c r="D283" s="1" t="s">
        <v>77</v>
      </c>
      <c r="E283" s="1">
        <v>3216.0189999999998</v>
      </c>
    </row>
    <row r="284" spans="3:5" x14ac:dyDescent="0.35">
      <c r="C284" s="1" t="s">
        <v>10023</v>
      </c>
      <c r="D284" s="1" t="s">
        <v>77</v>
      </c>
      <c r="E284" s="1">
        <v>3216.02</v>
      </c>
    </row>
    <row r="285" spans="3:5" x14ac:dyDescent="0.35">
      <c r="C285" s="1" t="s">
        <v>10022</v>
      </c>
      <c r="D285" s="1" t="s">
        <v>77</v>
      </c>
      <c r="E285" s="1">
        <v>3216.0210000000002</v>
      </c>
    </row>
    <row r="286" spans="3:5" x14ac:dyDescent="0.35">
      <c r="C286" s="1" t="s">
        <v>10021</v>
      </c>
      <c r="D286" s="1" t="s">
        <v>77</v>
      </c>
      <c r="E286" s="1">
        <v>3216.0219999999999</v>
      </c>
    </row>
    <row r="287" spans="3:5" x14ac:dyDescent="0.35">
      <c r="C287" s="1" t="s">
        <v>10034</v>
      </c>
      <c r="D287" s="1" t="s">
        <v>57</v>
      </c>
      <c r="E287" s="1">
        <v>3216.0309999999999</v>
      </c>
    </row>
    <row r="288" spans="3:5" x14ac:dyDescent="0.35">
      <c r="C288" s="1" t="s">
        <v>10031</v>
      </c>
      <c r="D288" s="1" t="s">
        <v>77</v>
      </c>
      <c r="E288" s="1">
        <v>3216.0320000000002</v>
      </c>
    </row>
    <row r="289" spans="3:5" x14ac:dyDescent="0.35">
      <c r="C289" s="1" t="s">
        <v>10030</v>
      </c>
      <c r="D289" s="1" t="s">
        <v>77</v>
      </c>
      <c r="E289" s="1">
        <v>3216.0329999999999</v>
      </c>
    </row>
    <row r="290" spans="3:5" x14ac:dyDescent="0.35">
      <c r="C290" s="1" t="s">
        <v>10029</v>
      </c>
      <c r="D290" s="1" t="s">
        <v>77</v>
      </c>
      <c r="E290" s="1">
        <v>3216.0340000000001</v>
      </c>
    </row>
    <row r="291" spans="3:5" x14ac:dyDescent="0.35">
      <c r="C291" s="1" t="s">
        <v>10028</v>
      </c>
      <c r="D291" s="1" t="s">
        <v>77</v>
      </c>
      <c r="E291" s="1">
        <v>3216.0349999999999</v>
      </c>
    </row>
    <row r="292" spans="3:5" x14ac:dyDescent="0.35">
      <c r="C292" s="1" t="s">
        <v>10027</v>
      </c>
      <c r="D292" s="1" t="s">
        <v>77</v>
      </c>
      <c r="E292" s="1">
        <v>3216.0360000000001</v>
      </c>
    </row>
    <row r="293" spans="3:5" x14ac:dyDescent="0.35">
      <c r="C293" s="1" t="s">
        <v>10026</v>
      </c>
      <c r="D293" s="1" t="s">
        <v>77</v>
      </c>
      <c r="E293" s="1">
        <v>3216.0369999999998</v>
      </c>
    </row>
    <row r="294" spans="3:5" x14ac:dyDescent="0.35">
      <c r="C294" s="1" t="s">
        <v>10025</v>
      </c>
      <c r="D294" s="1" t="s">
        <v>77</v>
      </c>
      <c r="E294" s="1">
        <v>3216.038</v>
      </c>
    </row>
    <row r="295" spans="3:5" x14ac:dyDescent="0.35">
      <c r="C295" s="1" t="s">
        <v>10024</v>
      </c>
      <c r="D295" s="1" t="s">
        <v>77</v>
      </c>
      <c r="E295" s="1">
        <v>3216.0390000000002</v>
      </c>
    </row>
    <row r="296" spans="3:5" x14ac:dyDescent="0.35">
      <c r="C296" s="1" t="s">
        <v>10023</v>
      </c>
      <c r="D296" s="1" t="s">
        <v>77</v>
      </c>
      <c r="E296" s="1">
        <v>3216.04</v>
      </c>
    </row>
    <row r="297" spans="3:5" x14ac:dyDescent="0.35">
      <c r="C297" s="1" t="s">
        <v>10022</v>
      </c>
      <c r="D297" s="1" t="s">
        <v>77</v>
      </c>
      <c r="E297" s="1">
        <v>3216.0410000000002</v>
      </c>
    </row>
    <row r="298" spans="3:5" x14ac:dyDescent="0.35">
      <c r="C298" s="1" t="s">
        <v>10021</v>
      </c>
      <c r="D298" s="1" t="s">
        <v>77</v>
      </c>
      <c r="E298" s="1">
        <v>3216.0419999999999</v>
      </c>
    </row>
    <row r="299" spans="3:5" x14ac:dyDescent="0.35">
      <c r="C299" s="1" t="s">
        <v>10033</v>
      </c>
      <c r="D299" s="1" t="s">
        <v>57</v>
      </c>
      <c r="E299" s="1">
        <v>3216.0509999999999</v>
      </c>
    </row>
    <row r="300" spans="3:5" x14ac:dyDescent="0.35">
      <c r="C300" s="1" t="s">
        <v>10031</v>
      </c>
      <c r="D300" s="1" t="s">
        <v>77</v>
      </c>
      <c r="E300" s="1">
        <v>3216.0520000000001</v>
      </c>
    </row>
    <row r="301" spans="3:5" x14ac:dyDescent="0.35">
      <c r="C301" s="1" t="s">
        <v>10030</v>
      </c>
      <c r="D301" s="1" t="s">
        <v>77</v>
      </c>
      <c r="E301" s="1">
        <v>3216.0529999999999</v>
      </c>
    </row>
    <row r="302" spans="3:5" x14ac:dyDescent="0.35">
      <c r="C302" s="1" t="s">
        <v>10029</v>
      </c>
      <c r="D302" s="1" t="s">
        <v>77</v>
      </c>
      <c r="E302" s="1">
        <v>3216.0540000000001</v>
      </c>
    </row>
    <row r="303" spans="3:5" x14ac:dyDescent="0.35">
      <c r="C303" s="1" t="s">
        <v>10028</v>
      </c>
      <c r="D303" s="1" t="s">
        <v>77</v>
      </c>
      <c r="E303" s="1">
        <v>3216.0549999999998</v>
      </c>
    </row>
    <row r="304" spans="3:5" x14ac:dyDescent="0.35">
      <c r="C304" s="1" t="s">
        <v>10027</v>
      </c>
      <c r="D304" s="1" t="s">
        <v>77</v>
      </c>
      <c r="E304" s="1">
        <v>3216.056</v>
      </c>
    </row>
    <row r="305" spans="3:5" x14ac:dyDescent="0.35">
      <c r="C305" s="1" t="s">
        <v>10026</v>
      </c>
      <c r="D305" s="1" t="s">
        <v>77</v>
      </c>
      <c r="E305" s="1">
        <v>3216.0569999999998</v>
      </c>
    </row>
    <row r="306" spans="3:5" x14ac:dyDescent="0.35">
      <c r="C306" s="1" t="s">
        <v>10025</v>
      </c>
      <c r="D306" s="1" t="s">
        <v>77</v>
      </c>
      <c r="E306" s="1">
        <v>3216.058</v>
      </c>
    </row>
    <row r="307" spans="3:5" x14ac:dyDescent="0.35">
      <c r="C307" s="1" t="s">
        <v>10024</v>
      </c>
      <c r="D307" s="1" t="s">
        <v>77</v>
      </c>
      <c r="E307" s="1">
        <v>3216.0590000000002</v>
      </c>
    </row>
    <row r="308" spans="3:5" x14ac:dyDescent="0.35">
      <c r="C308" s="1" t="s">
        <v>10023</v>
      </c>
      <c r="D308" s="1" t="s">
        <v>77</v>
      </c>
      <c r="E308" s="1">
        <v>3216.06</v>
      </c>
    </row>
    <row r="309" spans="3:5" x14ac:dyDescent="0.35">
      <c r="C309" s="1" t="s">
        <v>10022</v>
      </c>
      <c r="D309" s="1" t="s">
        <v>77</v>
      </c>
      <c r="E309" s="1">
        <v>3216.0610000000001</v>
      </c>
    </row>
    <row r="310" spans="3:5" x14ac:dyDescent="0.35">
      <c r="C310" s="1" t="s">
        <v>10021</v>
      </c>
      <c r="D310" s="1" t="s">
        <v>77</v>
      </c>
      <c r="E310" s="1">
        <v>3216.0619999999999</v>
      </c>
    </row>
    <row r="311" spans="3:5" x14ac:dyDescent="0.35">
      <c r="C311" s="1" t="s">
        <v>10032</v>
      </c>
      <c r="D311" s="1" t="s">
        <v>57</v>
      </c>
      <c r="E311" s="1">
        <v>3216.0709999999999</v>
      </c>
    </row>
    <row r="312" spans="3:5" x14ac:dyDescent="0.35">
      <c r="C312" s="1" t="s">
        <v>10031</v>
      </c>
      <c r="D312" s="1" t="s">
        <v>77</v>
      </c>
      <c r="E312" s="1">
        <v>3216.0720000000001</v>
      </c>
    </row>
    <row r="313" spans="3:5" x14ac:dyDescent="0.35">
      <c r="C313" s="1" t="s">
        <v>10030</v>
      </c>
      <c r="D313" s="1" t="s">
        <v>77</v>
      </c>
      <c r="E313" s="1">
        <v>3216.0729999999999</v>
      </c>
    </row>
    <row r="314" spans="3:5" x14ac:dyDescent="0.35">
      <c r="C314" s="1" t="s">
        <v>10029</v>
      </c>
      <c r="D314" s="1" t="s">
        <v>77</v>
      </c>
      <c r="E314" s="1">
        <v>3216.0740000000001</v>
      </c>
    </row>
    <row r="315" spans="3:5" x14ac:dyDescent="0.35">
      <c r="C315" s="1" t="s">
        <v>10028</v>
      </c>
      <c r="D315" s="1" t="s">
        <v>77</v>
      </c>
      <c r="E315" s="1">
        <v>3216.0749999999998</v>
      </c>
    </row>
    <row r="316" spans="3:5" x14ac:dyDescent="0.35">
      <c r="C316" s="1" t="s">
        <v>10027</v>
      </c>
      <c r="D316" s="1" t="s">
        <v>77</v>
      </c>
      <c r="E316" s="1">
        <v>3216.076</v>
      </c>
    </row>
    <row r="317" spans="3:5" x14ac:dyDescent="0.35">
      <c r="C317" s="1" t="s">
        <v>10026</v>
      </c>
      <c r="D317" s="1" t="s">
        <v>77</v>
      </c>
      <c r="E317" s="1">
        <v>3216.0770000000002</v>
      </c>
    </row>
    <row r="318" spans="3:5" x14ac:dyDescent="0.35">
      <c r="C318" s="1" t="s">
        <v>10025</v>
      </c>
      <c r="D318" s="1" t="s">
        <v>77</v>
      </c>
      <c r="E318" s="1">
        <v>3216.078</v>
      </c>
    </row>
    <row r="319" spans="3:5" x14ac:dyDescent="0.35">
      <c r="C319" s="1" t="s">
        <v>10024</v>
      </c>
      <c r="D319" s="1" t="s">
        <v>77</v>
      </c>
      <c r="E319" s="1">
        <v>3216.0790000000002</v>
      </c>
    </row>
    <row r="320" spans="3:5" x14ac:dyDescent="0.35">
      <c r="C320" s="1" t="s">
        <v>10023</v>
      </c>
      <c r="D320" s="1" t="s">
        <v>77</v>
      </c>
      <c r="E320" s="1">
        <v>3216.08</v>
      </c>
    </row>
    <row r="321" spans="3:5" x14ac:dyDescent="0.35">
      <c r="C321" s="1" t="s">
        <v>10022</v>
      </c>
      <c r="D321" s="1" t="s">
        <v>77</v>
      </c>
      <c r="E321" s="1">
        <v>3216.0810000000001</v>
      </c>
    </row>
    <row r="322" spans="3:5" x14ac:dyDescent="0.35">
      <c r="C322" s="1" t="s">
        <v>10021</v>
      </c>
      <c r="D322" s="1" t="s">
        <v>77</v>
      </c>
      <c r="E322" s="1">
        <v>3216.0819999999999</v>
      </c>
    </row>
    <row r="323" spans="3:5" x14ac:dyDescent="0.35">
      <c r="C323" s="1" t="s">
        <v>10060</v>
      </c>
      <c r="D323" s="1" t="s">
        <v>77</v>
      </c>
      <c r="E323" s="1">
        <v>3216.085</v>
      </c>
    </row>
    <row r="324" spans="3:5" x14ac:dyDescent="0.35">
      <c r="C324" s="1" t="s">
        <v>10059</v>
      </c>
      <c r="D324" s="1" t="s">
        <v>57</v>
      </c>
      <c r="E324" s="1">
        <v>3216.09</v>
      </c>
    </row>
    <row r="325" spans="3:5" x14ac:dyDescent="0.35">
      <c r="C325" s="1" t="s">
        <v>10035</v>
      </c>
      <c r="D325" s="1" t="s">
        <v>57</v>
      </c>
      <c r="E325" s="1">
        <v>3216.0909999999999</v>
      </c>
    </row>
    <row r="326" spans="3:5" x14ac:dyDescent="0.35">
      <c r="C326" s="1" t="s">
        <v>10031</v>
      </c>
      <c r="D326" s="1" t="s">
        <v>77</v>
      </c>
      <c r="E326" s="1">
        <v>3216.0920000000001</v>
      </c>
    </row>
    <row r="327" spans="3:5" x14ac:dyDescent="0.35">
      <c r="C327" s="1" t="s">
        <v>10030</v>
      </c>
      <c r="D327" s="1" t="s">
        <v>77</v>
      </c>
      <c r="E327" s="1">
        <v>3216.0929999999998</v>
      </c>
    </row>
    <row r="328" spans="3:5" x14ac:dyDescent="0.35">
      <c r="C328" s="1" t="s">
        <v>10029</v>
      </c>
      <c r="D328" s="1" t="s">
        <v>77</v>
      </c>
      <c r="E328" s="1">
        <v>3216.0940000000001</v>
      </c>
    </row>
    <row r="329" spans="3:5" x14ac:dyDescent="0.35">
      <c r="C329" s="1" t="s">
        <v>10028</v>
      </c>
      <c r="D329" s="1" t="s">
        <v>77</v>
      </c>
      <c r="E329" s="1">
        <v>3216.0949999999998</v>
      </c>
    </row>
    <row r="330" spans="3:5" x14ac:dyDescent="0.35">
      <c r="C330" s="1" t="s">
        <v>10027</v>
      </c>
      <c r="D330" s="1" t="s">
        <v>77</v>
      </c>
      <c r="E330" s="1">
        <v>3216.096</v>
      </c>
    </row>
    <row r="331" spans="3:5" x14ac:dyDescent="0.35">
      <c r="C331" s="1" t="s">
        <v>10026</v>
      </c>
      <c r="D331" s="1" t="s">
        <v>77</v>
      </c>
      <c r="E331" s="1">
        <v>3216.0970000000002</v>
      </c>
    </row>
    <row r="332" spans="3:5" x14ac:dyDescent="0.35">
      <c r="C332" s="1" t="s">
        <v>10025</v>
      </c>
      <c r="D332" s="1" t="s">
        <v>77</v>
      </c>
      <c r="E332" s="1">
        <v>3216.098</v>
      </c>
    </row>
    <row r="333" spans="3:5" x14ac:dyDescent="0.35">
      <c r="C333" s="1" t="s">
        <v>10024</v>
      </c>
      <c r="D333" s="1" t="s">
        <v>77</v>
      </c>
      <c r="E333" s="1">
        <v>3216.0990000000002</v>
      </c>
    </row>
    <row r="334" spans="3:5" x14ac:dyDescent="0.35">
      <c r="C334" s="1" t="s">
        <v>10023</v>
      </c>
      <c r="D334" s="1" t="s">
        <v>77</v>
      </c>
      <c r="E334" s="1">
        <v>3216.1</v>
      </c>
    </row>
    <row r="335" spans="3:5" x14ac:dyDescent="0.35">
      <c r="C335" s="1" t="s">
        <v>10022</v>
      </c>
      <c r="D335" s="1" t="s">
        <v>77</v>
      </c>
      <c r="E335" s="1">
        <v>3216.1010000000001</v>
      </c>
    </row>
    <row r="336" spans="3:5" x14ac:dyDescent="0.35">
      <c r="C336" s="1" t="s">
        <v>10021</v>
      </c>
      <c r="D336" s="1" t="s">
        <v>77</v>
      </c>
      <c r="E336" s="1">
        <v>3216.1019999999999</v>
      </c>
    </row>
    <row r="337" spans="3:5" x14ac:dyDescent="0.35">
      <c r="C337" s="1" t="s">
        <v>10034</v>
      </c>
      <c r="D337" s="1" t="s">
        <v>57</v>
      </c>
      <c r="E337" s="1">
        <v>3216.1109999999999</v>
      </c>
    </row>
    <row r="338" spans="3:5" x14ac:dyDescent="0.35">
      <c r="C338" s="1" t="s">
        <v>10031</v>
      </c>
      <c r="D338" s="1" t="s">
        <v>77</v>
      </c>
      <c r="E338" s="1">
        <v>3216.1120000000001</v>
      </c>
    </row>
    <row r="339" spans="3:5" x14ac:dyDescent="0.35">
      <c r="C339" s="1" t="s">
        <v>10030</v>
      </c>
      <c r="D339" s="1" t="s">
        <v>77</v>
      </c>
      <c r="E339" s="1">
        <v>3216.1129999999998</v>
      </c>
    </row>
    <row r="340" spans="3:5" x14ac:dyDescent="0.35">
      <c r="C340" s="1" t="s">
        <v>10029</v>
      </c>
      <c r="D340" s="1" t="s">
        <v>77</v>
      </c>
      <c r="E340" s="1">
        <v>3216.114</v>
      </c>
    </row>
    <row r="341" spans="3:5" x14ac:dyDescent="0.35">
      <c r="C341" s="1" t="s">
        <v>10028</v>
      </c>
      <c r="D341" s="1" t="s">
        <v>77</v>
      </c>
      <c r="E341" s="1">
        <v>3216.1149999999998</v>
      </c>
    </row>
    <row r="342" spans="3:5" x14ac:dyDescent="0.35">
      <c r="C342" s="1" t="s">
        <v>10027</v>
      </c>
      <c r="D342" s="1" t="s">
        <v>77</v>
      </c>
      <c r="E342" s="1">
        <v>3216.116</v>
      </c>
    </row>
    <row r="343" spans="3:5" x14ac:dyDescent="0.35">
      <c r="C343" s="1" t="s">
        <v>10026</v>
      </c>
      <c r="D343" s="1" t="s">
        <v>77</v>
      </c>
      <c r="E343" s="1">
        <v>3216.1170000000002</v>
      </c>
    </row>
    <row r="344" spans="3:5" x14ac:dyDescent="0.35">
      <c r="C344" s="1" t="s">
        <v>10025</v>
      </c>
      <c r="D344" s="1" t="s">
        <v>77</v>
      </c>
      <c r="E344" s="1">
        <v>3216.1179999999999</v>
      </c>
    </row>
    <row r="345" spans="3:5" x14ac:dyDescent="0.35">
      <c r="C345" s="1" t="s">
        <v>10024</v>
      </c>
      <c r="D345" s="1" t="s">
        <v>77</v>
      </c>
      <c r="E345" s="1">
        <v>3216.1190000000001</v>
      </c>
    </row>
    <row r="346" spans="3:5" x14ac:dyDescent="0.35">
      <c r="C346" s="1" t="s">
        <v>10023</v>
      </c>
      <c r="D346" s="1" t="s">
        <v>77</v>
      </c>
      <c r="E346" s="1">
        <v>3216.12</v>
      </c>
    </row>
    <row r="347" spans="3:5" x14ac:dyDescent="0.35">
      <c r="C347" s="1" t="s">
        <v>10022</v>
      </c>
      <c r="D347" s="1" t="s">
        <v>77</v>
      </c>
      <c r="E347" s="1">
        <v>3216.1210000000001</v>
      </c>
    </row>
    <row r="348" spans="3:5" x14ac:dyDescent="0.35">
      <c r="C348" s="1" t="s">
        <v>10021</v>
      </c>
      <c r="D348" s="1" t="s">
        <v>77</v>
      </c>
      <c r="E348" s="1">
        <v>3216.1219999999998</v>
      </c>
    </row>
    <row r="349" spans="3:5" x14ac:dyDescent="0.35">
      <c r="C349" s="1" t="s">
        <v>10033</v>
      </c>
      <c r="D349" s="1" t="s">
        <v>57</v>
      </c>
      <c r="E349" s="1">
        <v>3216.1309999999999</v>
      </c>
    </row>
    <row r="350" spans="3:5" x14ac:dyDescent="0.35">
      <c r="C350" s="1" t="s">
        <v>10031</v>
      </c>
      <c r="D350" s="1" t="s">
        <v>77</v>
      </c>
      <c r="E350" s="1">
        <v>3216.1320000000001</v>
      </c>
    </row>
    <row r="351" spans="3:5" x14ac:dyDescent="0.35">
      <c r="C351" s="1" t="s">
        <v>10030</v>
      </c>
      <c r="D351" s="1" t="s">
        <v>77</v>
      </c>
      <c r="E351" s="1">
        <v>3216.1329999999998</v>
      </c>
    </row>
    <row r="352" spans="3:5" x14ac:dyDescent="0.35">
      <c r="C352" s="1" t="s">
        <v>10029</v>
      </c>
      <c r="D352" s="1" t="s">
        <v>77</v>
      </c>
      <c r="E352" s="1">
        <v>3216.134</v>
      </c>
    </row>
    <row r="353" spans="3:5" x14ac:dyDescent="0.35">
      <c r="C353" s="1" t="s">
        <v>10028</v>
      </c>
      <c r="D353" s="1" t="s">
        <v>77</v>
      </c>
      <c r="E353" s="1">
        <v>3216.1350000000002</v>
      </c>
    </row>
    <row r="354" spans="3:5" x14ac:dyDescent="0.35">
      <c r="C354" s="1" t="s">
        <v>10027</v>
      </c>
      <c r="D354" s="1" t="s">
        <v>77</v>
      </c>
      <c r="E354" s="1">
        <v>3216.136</v>
      </c>
    </row>
    <row r="355" spans="3:5" x14ac:dyDescent="0.35">
      <c r="C355" s="1" t="s">
        <v>10026</v>
      </c>
      <c r="D355" s="1" t="s">
        <v>77</v>
      </c>
      <c r="E355" s="1">
        <v>3216.1370000000002</v>
      </c>
    </row>
    <row r="356" spans="3:5" x14ac:dyDescent="0.35">
      <c r="C356" s="1" t="s">
        <v>10025</v>
      </c>
      <c r="D356" s="1" t="s">
        <v>77</v>
      </c>
      <c r="E356" s="1">
        <v>3216.1379999999999</v>
      </c>
    </row>
    <row r="357" spans="3:5" x14ac:dyDescent="0.35">
      <c r="C357" s="1" t="s">
        <v>10024</v>
      </c>
      <c r="D357" s="1" t="s">
        <v>77</v>
      </c>
      <c r="E357" s="1">
        <v>3216.1390000000001</v>
      </c>
    </row>
    <row r="358" spans="3:5" x14ac:dyDescent="0.35">
      <c r="C358" s="1" t="s">
        <v>10023</v>
      </c>
      <c r="D358" s="1" t="s">
        <v>77</v>
      </c>
      <c r="E358" s="1">
        <v>3216.14</v>
      </c>
    </row>
    <row r="359" spans="3:5" x14ac:dyDescent="0.35">
      <c r="C359" s="1" t="s">
        <v>10022</v>
      </c>
      <c r="D359" s="1" t="s">
        <v>77</v>
      </c>
      <c r="E359" s="1">
        <v>3216.1410000000001</v>
      </c>
    </row>
    <row r="360" spans="3:5" x14ac:dyDescent="0.35">
      <c r="C360" s="1" t="s">
        <v>10021</v>
      </c>
      <c r="D360" s="1" t="s">
        <v>77</v>
      </c>
      <c r="E360" s="1">
        <v>3216.1419999999998</v>
      </c>
    </row>
    <row r="361" spans="3:5" x14ac:dyDescent="0.35">
      <c r="C361" s="1" t="s">
        <v>10032</v>
      </c>
      <c r="D361" s="1" t="s">
        <v>57</v>
      </c>
      <c r="E361" s="1">
        <v>3216.1509999999998</v>
      </c>
    </row>
    <row r="362" spans="3:5" x14ac:dyDescent="0.35">
      <c r="C362" s="1" t="s">
        <v>10031</v>
      </c>
      <c r="D362" s="1" t="s">
        <v>77</v>
      </c>
      <c r="E362" s="1">
        <v>3216.152</v>
      </c>
    </row>
    <row r="363" spans="3:5" x14ac:dyDescent="0.35">
      <c r="C363" s="1" t="s">
        <v>10030</v>
      </c>
      <c r="D363" s="1" t="s">
        <v>77</v>
      </c>
      <c r="E363" s="1">
        <v>3216.1529999999998</v>
      </c>
    </row>
    <row r="364" spans="3:5" x14ac:dyDescent="0.35">
      <c r="C364" s="1" t="s">
        <v>10029</v>
      </c>
      <c r="D364" s="1" t="s">
        <v>77</v>
      </c>
      <c r="E364" s="1">
        <v>3216.154</v>
      </c>
    </row>
    <row r="365" spans="3:5" x14ac:dyDescent="0.35">
      <c r="C365" s="1" t="s">
        <v>10028</v>
      </c>
      <c r="D365" s="1" t="s">
        <v>77</v>
      </c>
      <c r="E365" s="1">
        <v>3216.1550000000002</v>
      </c>
    </row>
    <row r="366" spans="3:5" x14ac:dyDescent="0.35">
      <c r="C366" s="1" t="s">
        <v>10027</v>
      </c>
      <c r="D366" s="1" t="s">
        <v>77</v>
      </c>
      <c r="E366" s="1">
        <v>3216.1559999999999</v>
      </c>
    </row>
    <row r="367" spans="3:5" x14ac:dyDescent="0.35">
      <c r="C367" s="1" t="s">
        <v>10026</v>
      </c>
      <c r="D367" s="1" t="s">
        <v>77</v>
      </c>
      <c r="E367" s="1">
        <v>3216.1570000000002</v>
      </c>
    </row>
    <row r="368" spans="3:5" x14ac:dyDescent="0.35">
      <c r="C368" s="1" t="s">
        <v>10025</v>
      </c>
      <c r="D368" s="1" t="s">
        <v>77</v>
      </c>
      <c r="E368" s="1">
        <v>3216.1579999999999</v>
      </c>
    </row>
    <row r="369" spans="3:5" x14ac:dyDescent="0.35">
      <c r="C369" s="1" t="s">
        <v>10024</v>
      </c>
      <c r="D369" s="1" t="s">
        <v>77</v>
      </c>
      <c r="E369" s="1">
        <v>3216.1590000000001</v>
      </c>
    </row>
    <row r="370" spans="3:5" x14ac:dyDescent="0.35">
      <c r="C370" s="1" t="s">
        <v>10023</v>
      </c>
      <c r="D370" s="1" t="s">
        <v>77</v>
      </c>
      <c r="E370" s="1">
        <v>3216.16</v>
      </c>
    </row>
    <row r="371" spans="3:5" x14ac:dyDescent="0.35">
      <c r="C371" s="1" t="s">
        <v>10022</v>
      </c>
      <c r="D371" s="1" t="s">
        <v>77</v>
      </c>
      <c r="E371" s="1">
        <v>3216.1610000000001</v>
      </c>
    </row>
    <row r="372" spans="3:5" x14ac:dyDescent="0.35">
      <c r="C372" s="1" t="s">
        <v>10021</v>
      </c>
      <c r="D372" s="1" t="s">
        <v>77</v>
      </c>
      <c r="E372" s="1">
        <v>3216.1619999999998</v>
      </c>
    </row>
    <row r="373" spans="3:5" x14ac:dyDescent="0.35">
      <c r="C373" s="1" t="s">
        <v>10058</v>
      </c>
      <c r="D373" s="1" t="s">
        <v>77</v>
      </c>
      <c r="E373" s="1">
        <v>3216.165</v>
      </c>
    </row>
    <row r="374" spans="3:5" x14ac:dyDescent="0.35">
      <c r="C374" s="1" t="s">
        <v>10057</v>
      </c>
      <c r="D374" s="1" t="s">
        <v>57</v>
      </c>
      <c r="E374" s="1">
        <v>3216.17</v>
      </c>
    </row>
    <row r="375" spans="3:5" x14ac:dyDescent="0.35">
      <c r="C375" s="1" t="s">
        <v>10035</v>
      </c>
      <c r="D375" s="1" t="s">
        <v>57</v>
      </c>
      <c r="E375" s="1">
        <v>3216.1709999999998</v>
      </c>
    </row>
    <row r="376" spans="3:5" x14ac:dyDescent="0.35">
      <c r="C376" s="1" t="s">
        <v>10031</v>
      </c>
      <c r="D376" s="1" t="s">
        <v>77</v>
      </c>
      <c r="E376" s="1">
        <v>3216.172</v>
      </c>
    </row>
    <row r="377" spans="3:5" x14ac:dyDescent="0.35">
      <c r="C377" s="1" t="s">
        <v>10030</v>
      </c>
      <c r="D377" s="1" t="s">
        <v>77</v>
      </c>
      <c r="E377" s="1">
        <v>3216.1729999999998</v>
      </c>
    </row>
    <row r="378" spans="3:5" x14ac:dyDescent="0.35">
      <c r="C378" s="1" t="s">
        <v>10029</v>
      </c>
      <c r="D378" s="1" t="s">
        <v>77</v>
      </c>
      <c r="E378" s="1">
        <v>3216.174</v>
      </c>
    </row>
    <row r="379" spans="3:5" x14ac:dyDescent="0.35">
      <c r="C379" s="1" t="s">
        <v>10028</v>
      </c>
      <c r="D379" s="1" t="s">
        <v>77</v>
      </c>
      <c r="E379" s="1">
        <v>3216.1750000000002</v>
      </c>
    </row>
    <row r="380" spans="3:5" x14ac:dyDescent="0.35">
      <c r="C380" s="1" t="s">
        <v>10027</v>
      </c>
      <c r="D380" s="1" t="s">
        <v>77</v>
      </c>
      <c r="E380" s="1">
        <v>3216.1759999999999</v>
      </c>
    </row>
    <row r="381" spans="3:5" x14ac:dyDescent="0.35">
      <c r="C381" s="1" t="s">
        <v>10026</v>
      </c>
      <c r="D381" s="1" t="s">
        <v>77</v>
      </c>
      <c r="E381" s="1">
        <v>3216.1770000000001</v>
      </c>
    </row>
    <row r="382" spans="3:5" x14ac:dyDescent="0.35">
      <c r="C382" s="1" t="s">
        <v>10025</v>
      </c>
      <c r="D382" s="1" t="s">
        <v>77</v>
      </c>
      <c r="E382" s="1">
        <v>3216.1779999999999</v>
      </c>
    </row>
    <row r="383" spans="3:5" x14ac:dyDescent="0.35">
      <c r="C383" s="1" t="s">
        <v>10024</v>
      </c>
      <c r="D383" s="1" t="s">
        <v>77</v>
      </c>
      <c r="E383" s="1">
        <v>3216.1790000000001</v>
      </c>
    </row>
    <row r="384" spans="3:5" x14ac:dyDescent="0.35">
      <c r="C384" s="1" t="s">
        <v>10023</v>
      </c>
      <c r="D384" s="1" t="s">
        <v>77</v>
      </c>
      <c r="E384" s="1">
        <v>3216.18</v>
      </c>
    </row>
    <row r="385" spans="3:5" x14ac:dyDescent="0.35">
      <c r="C385" s="1" t="s">
        <v>10022</v>
      </c>
      <c r="D385" s="1" t="s">
        <v>77</v>
      </c>
      <c r="E385" s="1">
        <v>3216.181</v>
      </c>
    </row>
    <row r="386" spans="3:5" x14ac:dyDescent="0.35">
      <c r="C386" s="1" t="s">
        <v>10021</v>
      </c>
      <c r="D386" s="1" t="s">
        <v>77</v>
      </c>
      <c r="E386" s="1">
        <v>3216.1819999999998</v>
      </c>
    </row>
    <row r="387" spans="3:5" x14ac:dyDescent="0.35">
      <c r="C387" s="1" t="s">
        <v>10034</v>
      </c>
      <c r="D387" s="1" t="s">
        <v>57</v>
      </c>
      <c r="E387" s="1">
        <v>3216.1909999999998</v>
      </c>
    </row>
    <row r="388" spans="3:5" x14ac:dyDescent="0.35">
      <c r="C388" s="1" t="s">
        <v>10031</v>
      </c>
      <c r="D388" s="1" t="s">
        <v>77</v>
      </c>
      <c r="E388" s="1">
        <v>3216.192</v>
      </c>
    </row>
    <row r="389" spans="3:5" x14ac:dyDescent="0.35">
      <c r="C389" s="1" t="s">
        <v>10030</v>
      </c>
      <c r="D389" s="1" t="s">
        <v>77</v>
      </c>
      <c r="E389" s="1">
        <v>3216.1930000000002</v>
      </c>
    </row>
    <row r="390" spans="3:5" x14ac:dyDescent="0.35">
      <c r="C390" s="1" t="s">
        <v>10029</v>
      </c>
      <c r="D390" s="1" t="s">
        <v>77</v>
      </c>
      <c r="E390" s="1">
        <v>3216.194</v>
      </c>
    </row>
    <row r="391" spans="3:5" x14ac:dyDescent="0.35">
      <c r="C391" s="1" t="s">
        <v>10028</v>
      </c>
      <c r="D391" s="1" t="s">
        <v>77</v>
      </c>
      <c r="E391" s="1">
        <v>3216.1950000000002</v>
      </c>
    </row>
    <row r="392" spans="3:5" x14ac:dyDescent="0.35">
      <c r="C392" s="1" t="s">
        <v>10027</v>
      </c>
      <c r="D392" s="1" t="s">
        <v>77</v>
      </c>
      <c r="E392" s="1">
        <v>3216.1959999999999</v>
      </c>
    </row>
    <row r="393" spans="3:5" x14ac:dyDescent="0.35">
      <c r="C393" s="1" t="s">
        <v>10026</v>
      </c>
      <c r="D393" s="1" t="s">
        <v>77</v>
      </c>
      <c r="E393" s="1">
        <v>3216.1970000000001</v>
      </c>
    </row>
    <row r="394" spans="3:5" x14ac:dyDescent="0.35">
      <c r="C394" s="1" t="s">
        <v>10025</v>
      </c>
      <c r="D394" s="1" t="s">
        <v>77</v>
      </c>
      <c r="E394" s="1">
        <v>3216.1979999999999</v>
      </c>
    </row>
    <row r="395" spans="3:5" x14ac:dyDescent="0.35">
      <c r="C395" s="1" t="s">
        <v>10024</v>
      </c>
      <c r="D395" s="1" t="s">
        <v>77</v>
      </c>
      <c r="E395" s="1">
        <v>3216.1990000000001</v>
      </c>
    </row>
    <row r="396" spans="3:5" x14ac:dyDescent="0.35">
      <c r="C396" s="1" t="s">
        <v>10023</v>
      </c>
      <c r="D396" s="1" t="s">
        <v>77</v>
      </c>
      <c r="E396" s="1">
        <v>3216.2</v>
      </c>
    </row>
    <row r="397" spans="3:5" x14ac:dyDescent="0.35">
      <c r="C397" s="1" t="s">
        <v>10022</v>
      </c>
      <c r="D397" s="1" t="s">
        <v>77</v>
      </c>
      <c r="E397" s="1">
        <v>3216.201</v>
      </c>
    </row>
    <row r="398" spans="3:5" x14ac:dyDescent="0.35">
      <c r="C398" s="1" t="s">
        <v>10021</v>
      </c>
      <c r="D398" s="1" t="s">
        <v>77</v>
      </c>
      <c r="E398" s="1">
        <v>3216.2020000000002</v>
      </c>
    </row>
    <row r="399" spans="3:5" x14ac:dyDescent="0.35">
      <c r="C399" s="1" t="s">
        <v>10033</v>
      </c>
      <c r="D399" s="1" t="s">
        <v>57</v>
      </c>
      <c r="E399" s="1">
        <v>3216.2109999999998</v>
      </c>
    </row>
    <row r="400" spans="3:5" x14ac:dyDescent="0.35">
      <c r="C400" s="1" t="s">
        <v>10031</v>
      </c>
      <c r="D400" s="1" t="s">
        <v>77</v>
      </c>
      <c r="E400" s="1">
        <v>3216.212</v>
      </c>
    </row>
    <row r="401" spans="3:5" x14ac:dyDescent="0.35">
      <c r="C401" s="1" t="s">
        <v>10030</v>
      </c>
      <c r="D401" s="1" t="s">
        <v>77</v>
      </c>
      <c r="E401" s="1">
        <v>3216.2130000000002</v>
      </c>
    </row>
    <row r="402" spans="3:5" x14ac:dyDescent="0.35">
      <c r="C402" s="1" t="s">
        <v>10029</v>
      </c>
      <c r="D402" s="1" t="s">
        <v>77</v>
      </c>
      <c r="E402" s="1">
        <v>3216.2139999999999</v>
      </c>
    </row>
    <row r="403" spans="3:5" x14ac:dyDescent="0.35">
      <c r="C403" s="1" t="s">
        <v>10028</v>
      </c>
      <c r="D403" s="1" t="s">
        <v>77</v>
      </c>
      <c r="E403" s="1">
        <v>3216.2150000000001</v>
      </c>
    </row>
    <row r="404" spans="3:5" x14ac:dyDescent="0.35">
      <c r="C404" s="1" t="s">
        <v>10027</v>
      </c>
      <c r="D404" s="1" t="s">
        <v>77</v>
      </c>
      <c r="E404" s="1">
        <v>3216.2159999999999</v>
      </c>
    </row>
    <row r="405" spans="3:5" x14ac:dyDescent="0.35">
      <c r="C405" s="1" t="s">
        <v>10026</v>
      </c>
      <c r="D405" s="1" t="s">
        <v>77</v>
      </c>
      <c r="E405" s="1">
        <v>3216.2170000000001</v>
      </c>
    </row>
    <row r="406" spans="3:5" x14ac:dyDescent="0.35">
      <c r="C406" s="1" t="s">
        <v>10025</v>
      </c>
      <c r="D406" s="1" t="s">
        <v>77</v>
      </c>
      <c r="E406" s="1">
        <v>3216.2179999999998</v>
      </c>
    </row>
    <row r="407" spans="3:5" x14ac:dyDescent="0.35">
      <c r="C407" s="1" t="s">
        <v>10024</v>
      </c>
      <c r="D407" s="1" t="s">
        <v>77</v>
      </c>
      <c r="E407" s="1">
        <v>3216.2190000000001</v>
      </c>
    </row>
    <row r="408" spans="3:5" x14ac:dyDescent="0.35">
      <c r="C408" s="1" t="s">
        <v>10023</v>
      </c>
      <c r="D408" s="1" t="s">
        <v>77</v>
      </c>
      <c r="E408" s="1">
        <v>3216.22</v>
      </c>
    </row>
    <row r="409" spans="3:5" x14ac:dyDescent="0.35">
      <c r="C409" s="1" t="s">
        <v>10022</v>
      </c>
      <c r="D409" s="1" t="s">
        <v>77</v>
      </c>
      <c r="E409" s="1">
        <v>3216.221</v>
      </c>
    </row>
    <row r="410" spans="3:5" x14ac:dyDescent="0.35">
      <c r="C410" s="1" t="s">
        <v>10021</v>
      </c>
      <c r="D410" s="1" t="s">
        <v>77</v>
      </c>
      <c r="E410" s="1">
        <v>3216.2220000000002</v>
      </c>
    </row>
    <row r="411" spans="3:5" x14ac:dyDescent="0.35">
      <c r="C411" s="1" t="s">
        <v>10032</v>
      </c>
      <c r="D411" s="1" t="s">
        <v>57</v>
      </c>
      <c r="E411" s="1">
        <v>3216.2310000000002</v>
      </c>
    </row>
    <row r="412" spans="3:5" x14ac:dyDescent="0.35">
      <c r="C412" s="1" t="s">
        <v>10031</v>
      </c>
      <c r="D412" s="1" t="s">
        <v>77</v>
      </c>
      <c r="E412" s="1">
        <v>3216.232</v>
      </c>
    </row>
    <row r="413" spans="3:5" x14ac:dyDescent="0.35">
      <c r="C413" s="1" t="s">
        <v>10030</v>
      </c>
      <c r="D413" s="1" t="s">
        <v>77</v>
      </c>
      <c r="E413" s="1">
        <v>3216.2330000000002</v>
      </c>
    </row>
    <row r="414" spans="3:5" x14ac:dyDescent="0.35">
      <c r="C414" s="1" t="s">
        <v>10029</v>
      </c>
      <c r="D414" s="1" t="s">
        <v>77</v>
      </c>
      <c r="E414" s="1">
        <v>3216.2339999999999</v>
      </c>
    </row>
    <row r="415" spans="3:5" x14ac:dyDescent="0.35">
      <c r="C415" s="1" t="s">
        <v>10028</v>
      </c>
      <c r="D415" s="1" t="s">
        <v>77</v>
      </c>
      <c r="E415" s="1">
        <v>3216.2350000000001</v>
      </c>
    </row>
    <row r="416" spans="3:5" x14ac:dyDescent="0.35">
      <c r="C416" s="1" t="s">
        <v>10027</v>
      </c>
      <c r="D416" s="1" t="s">
        <v>77</v>
      </c>
      <c r="E416" s="1">
        <v>3216.2359999999999</v>
      </c>
    </row>
    <row r="417" spans="3:5" x14ac:dyDescent="0.35">
      <c r="C417" s="1" t="s">
        <v>10026</v>
      </c>
      <c r="D417" s="1" t="s">
        <v>77</v>
      </c>
      <c r="E417" s="1">
        <v>3216.2370000000001</v>
      </c>
    </row>
    <row r="418" spans="3:5" x14ac:dyDescent="0.35">
      <c r="C418" s="1" t="s">
        <v>10025</v>
      </c>
      <c r="D418" s="1" t="s">
        <v>77</v>
      </c>
      <c r="E418" s="1">
        <v>3216.2379999999998</v>
      </c>
    </row>
    <row r="419" spans="3:5" x14ac:dyDescent="0.35">
      <c r="C419" s="1" t="s">
        <v>10024</v>
      </c>
      <c r="D419" s="1" t="s">
        <v>77</v>
      </c>
      <c r="E419" s="1">
        <v>3216.239</v>
      </c>
    </row>
    <row r="420" spans="3:5" x14ac:dyDescent="0.35">
      <c r="C420" s="1" t="s">
        <v>10023</v>
      </c>
      <c r="D420" s="1" t="s">
        <v>77</v>
      </c>
      <c r="E420" s="1">
        <v>3216.24</v>
      </c>
    </row>
    <row r="421" spans="3:5" x14ac:dyDescent="0.35">
      <c r="C421" s="1" t="s">
        <v>10022</v>
      </c>
      <c r="D421" s="1" t="s">
        <v>77</v>
      </c>
      <c r="E421" s="1">
        <v>3216.241</v>
      </c>
    </row>
    <row r="422" spans="3:5" x14ac:dyDescent="0.35">
      <c r="C422" s="1" t="s">
        <v>10021</v>
      </c>
      <c r="D422" s="1" t="s">
        <v>77</v>
      </c>
      <c r="E422" s="1">
        <v>3216.2420000000002</v>
      </c>
    </row>
    <row r="423" spans="3:5" x14ac:dyDescent="0.35">
      <c r="C423" s="1" t="s">
        <v>10056</v>
      </c>
      <c r="D423" s="1" t="s">
        <v>77</v>
      </c>
      <c r="E423" s="1">
        <v>3216.2449999999999</v>
      </c>
    </row>
    <row r="424" spans="3:5" x14ac:dyDescent="0.35">
      <c r="C424" s="1" t="s">
        <v>10055</v>
      </c>
      <c r="D424" s="1" t="s">
        <v>57</v>
      </c>
      <c r="E424" s="1">
        <v>3216.25</v>
      </c>
    </row>
    <row r="425" spans="3:5" x14ac:dyDescent="0.35">
      <c r="C425" s="1" t="s">
        <v>10035</v>
      </c>
      <c r="D425" s="1" t="s">
        <v>57</v>
      </c>
      <c r="E425" s="1">
        <v>3216.2510000000002</v>
      </c>
    </row>
    <row r="426" spans="3:5" x14ac:dyDescent="0.35">
      <c r="C426" s="1" t="s">
        <v>10031</v>
      </c>
      <c r="D426" s="1" t="s">
        <v>77</v>
      </c>
      <c r="E426" s="1">
        <v>3216.252</v>
      </c>
    </row>
    <row r="427" spans="3:5" x14ac:dyDescent="0.35">
      <c r="C427" s="1" t="s">
        <v>10030</v>
      </c>
      <c r="D427" s="1" t="s">
        <v>77</v>
      </c>
      <c r="E427" s="1">
        <v>3216.2530000000002</v>
      </c>
    </row>
    <row r="428" spans="3:5" x14ac:dyDescent="0.35">
      <c r="C428" s="1" t="s">
        <v>10029</v>
      </c>
      <c r="D428" s="1" t="s">
        <v>77</v>
      </c>
      <c r="E428" s="1">
        <v>3216.2539999999999</v>
      </c>
    </row>
    <row r="429" spans="3:5" x14ac:dyDescent="0.35">
      <c r="C429" s="1" t="s">
        <v>10028</v>
      </c>
      <c r="D429" s="1" t="s">
        <v>77</v>
      </c>
      <c r="E429" s="1">
        <v>3216.2550000000001</v>
      </c>
    </row>
    <row r="430" spans="3:5" x14ac:dyDescent="0.35">
      <c r="C430" s="1" t="s">
        <v>10027</v>
      </c>
      <c r="D430" s="1" t="s">
        <v>77</v>
      </c>
      <c r="E430" s="1">
        <v>3216.2559999999999</v>
      </c>
    </row>
    <row r="431" spans="3:5" x14ac:dyDescent="0.35">
      <c r="C431" s="1" t="s">
        <v>10026</v>
      </c>
      <c r="D431" s="1" t="s">
        <v>77</v>
      </c>
      <c r="E431" s="1">
        <v>3216.2570000000001</v>
      </c>
    </row>
    <row r="432" spans="3:5" x14ac:dyDescent="0.35">
      <c r="C432" s="1" t="s">
        <v>10025</v>
      </c>
      <c r="D432" s="1" t="s">
        <v>77</v>
      </c>
      <c r="E432" s="1">
        <v>3216.2579999999998</v>
      </c>
    </row>
    <row r="433" spans="3:5" x14ac:dyDescent="0.35">
      <c r="C433" s="1" t="s">
        <v>10024</v>
      </c>
      <c r="D433" s="1" t="s">
        <v>77</v>
      </c>
      <c r="E433" s="1">
        <v>3216.259</v>
      </c>
    </row>
    <row r="434" spans="3:5" x14ac:dyDescent="0.35">
      <c r="C434" s="1" t="s">
        <v>10023</v>
      </c>
      <c r="D434" s="1" t="s">
        <v>77</v>
      </c>
      <c r="E434" s="1">
        <v>3216.26</v>
      </c>
    </row>
    <row r="435" spans="3:5" x14ac:dyDescent="0.35">
      <c r="C435" s="1" t="s">
        <v>10022</v>
      </c>
      <c r="D435" s="1" t="s">
        <v>77</v>
      </c>
      <c r="E435" s="1">
        <v>3216.261</v>
      </c>
    </row>
    <row r="436" spans="3:5" x14ac:dyDescent="0.35">
      <c r="C436" s="1" t="s">
        <v>10021</v>
      </c>
      <c r="D436" s="1" t="s">
        <v>77</v>
      </c>
      <c r="E436" s="1">
        <v>3216.2620000000002</v>
      </c>
    </row>
    <row r="437" spans="3:5" x14ac:dyDescent="0.35">
      <c r="C437" s="1" t="s">
        <v>10034</v>
      </c>
      <c r="D437" s="1" t="s">
        <v>57</v>
      </c>
      <c r="E437" s="1">
        <v>3216.2710000000002</v>
      </c>
    </row>
    <row r="438" spans="3:5" x14ac:dyDescent="0.35">
      <c r="C438" s="1" t="s">
        <v>10031</v>
      </c>
      <c r="D438" s="1" t="s">
        <v>77</v>
      </c>
      <c r="E438" s="1">
        <v>3216.2719999999999</v>
      </c>
    </row>
    <row r="439" spans="3:5" x14ac:dyDescent="0.35">
      <c r="C439" s="1" t="s">
        <v>10030</v>
      </c>
      <c r="D439" s="1" t="s">
        <v>77</v>
      </c>
      <c r="E439" s="1">
        <v>3216.2730000000001</v>
      </c>
    </row>
    <row r="440" spans="3:5" x14ac:dyDescent="0.35">
      <c r="C440" s="1" t="s">
        <v>10029</v>
      </c>
      <c r="D440" s="1" t="s">
        <v>77</v>
      </c>
      <c r="E440" s="1">
        <v>3216.2739999999999</v>
      </c>
    </row>
    <row r="441" spans="3:5" x14ac:dyDescent="0.35">
      <c r="C441" s="1" t="s">
        <v>10028</v>
      </c>
      <c r="D441" s="1" t="s">
        <v>77</v>
      </c>
      <c r="E441" s="1">
        <v>3216.2750000000001</v>
      </c>
    </row>
    <row r="442" spans="3:5" x14ac:dyDescent="0.35">
      <c r="C442" s="1" t="s">
        <v>10027</v>
      </c>
      <c r="D442" s="1" t="s">
        <v>77</v>
      </c>
      <c r="E442" s="1">
        <v>3216.2759999999998</v>
      </c>
    </row>
    <row r="443" spans="3:5" x14ac:dyDescent="0.35">
      <c r="C443" s="1" t="s">
        <v>10026</v>
      </c>
      <c r="D443" s="1" t="s">
        <v>77</v>
      </c>
      <c r="E443" s="1">
        <v>3216.277</v>
      </c>
    </row>
    <row r="444" spans="3:5" x14ac:dyDescent="0.35">
      <c r="C444" s="1" t="s">
        <v>10025</v>
      </c>
      <c r="D444" s="1" t="s">
        <v>77</v>
      </c>
      <c r="E444" s="1">
        <v>3216.2779999999998</v>
      </c>
    </row>
    <row r="445" spans="3:5" x14ac:dyDescent="0.35">
      <c r="C445" s="1" t="s">
        <v>10024</v>
      </c>
      <c r="D445" s="1" t="s">
        <v>77</v>
      </c>
      <c r="E445" s="1">
        <v>3216.279</v>
      </c>
    </row>
    <row r="446" spans="3:5" x14ac:dyDescent="0.35">
      <c r="C446" s="1" t="s">
        <v>10023</v>
      </c>
      <c r="D446" s="1" t="s">
        <v>77</v>
      </c>
      <c r="E446" s="1">
        <v>3216.28</v>
      </c>
    </row>
    <row r="447" spans="3:5" x14ac:dyDescent="0.35">
      <c r="C447" s="1" t="s">
        <v>10022</v>
      </c>
      <c r="D447" s="1" t="s">
        <v>77</v>
      </c>
      <c r="E447" s="1">
        <v>3216.2809999999999</v>
      </c>
    </row>
    <row r="448" spans="3:5" x14ac:dyDescent="0.35">
      <c r="C448" s="1" t="s">
        <v>10021</v>
      </c>
      <c r="D448" s="1" t="s">
        <v>77</v>
      </c>
      <c r="E448" s="1">
        <v>3216.2820000000002</v>
      </c>
    </row>
    <row r="449" spans="3:5" x14ac:dyDescent="0.35">
      <c r="C449" s="1" t="s">
        <v>10033</v>
      </c>
      <c r="D449" s="1" t="s">
        <v>57</v>
      </c>
      <c r="E449" s="1">
        <v>3216.2910000000002</v>
      </c>
    </row>
    <row r="450" spans="3:5" x14ac:dyDescent="0.35">
      <c r="C450" s="1" t="s">
        <v>10031</v>
      </c>
      <c r="D450" s="1" t="s">
        <v>77</v>
      </c>
      <c r="E450" s="1">
        <v>3216.2919999999999</v>
      </c>
    </row>
    <row r="451" spans="3:5" x14ac:dyDescent="0.35">
      <c r="C451" s="1" t="s">
        <v>10030</v>
      </c>
      <c r="D451" s="1" t="s">
        <v>77</v>
      </c>
      <c r="E451" s="1">
        <v>3216.2930000000001</v>
      </c>
    </row>
    <row r="452" spans="3:5" x14ac:dyDescent="0.35">
      <c r="C452" s="1" t="s">
        <v>10029</v>
      </c>
      <c r="D452" s="1" t="s">
        <v>77</v>
      </c>
      <c r="E452" s="1">
        <v>3216.2939999999999</v>
      </c>
    </row>
    <row r="453" spans="3:5" x14ac:dyDescent="0.35">
      <c r="C453" s="1" t="s">
        <v>10028</v>
      </c>
      <c r="D453" s="1" t="s">
        <v>77</v>
      </c>
      <c r="E453" s="1">
        <v>3216.2950000000001</v>
      </c>
    </row>
    <row r="454" spans="3:5" x14ac:dyDescent="0.35">
      <c r="C454" s="1" t="s">
        <v>10027</v>
      </c>
      <c r="D454" s="1" t="s">
        <v>77</v>
      </c>
      <c r="E454" s="1">
        <v>3216.2959999999998</v>
      </c>
    </row>
    <row r="455" spans="3:5" x14ac:dyDescent="0.35">
      <c r="C455" s="1" t="s">
        <v>10026</v>
      </c>
      <c r="D455" s="1" t="s">
        <v>77</v>
      </c>
      <c r="E455" s="1">
        <v>3216.297</v>
      </c>
    </row>
    <row r="456" spans="3:5" x14ac:dyDescent="0.35">
      <c r="C456" s="1" t="s">
        <v>10025</v>
      </c>
      <c r="D456" s="1" t="s">
        <v>77</v>
      </c>
      <c r="E456" s="1">
        <v>3216.2979999999998</v>
      </c>
    </row>
    <row r="457" spans="3:5" x14ac:dyDescent="0.35">
      <c r="C457" s="1" t="s">
        <v>10024</v>
      </c>
      <c r="D457" s="1" t="s">
        <v>77</v>
      </c>
      <c r="E457" s="1">
        <v>3216.299</v>
      </c>
    </row>
    <row r="458" spans="3:5" x14ac:dyDescent="0.35">
      <c r="C458" s="1" t="s">
        <v>10023</v>
      </c>
      <c r="D458" s="1" t="s">
        <v>77</v>
      </c>
      <c r="E458" s="1">
        <v>3216.3</v>
      </c>
    </row>
    <row r="459" spans="3:5" x14ac:dyDescent="0.35">
      <c r="C459" s="1" t="s">
        <v>10022</v>
      </c>
      <c r="D459" s="1" t="s">
        <v>77</v>
      </c>
      <c r="E459" s="1">
        <v>3216.3009999999999</v>
      </c>
    </row>
    <row r="460" spans="3:5" x14ac:dyDescent="0.35">
      <c r="C460" s="1" t="s">
        <v>10021</v>
      </c>
      <c r="D460" s="1" t="s">
        <v>77</v>
      </c>
      <c r="E460" s="1">
        <v>3216.3020000000001</v>
      </c>
    </row>
    <row r="461" spans="3:5" x14ac:dyDescent="0.35">
      <c r="C461" s="1" t="s">
        <v>10032</v>
      </c>
      <c r="D461" s="1" t="s">
        <v>57</v>
      </c>
      <c r="E461" s="1">
        <v>3216.3110000000001</v>
      </c>
    </row>
    <row r="462" spans="3:5" x14ac:dyDescent="0.35">
      <c r="C462" s="1" t="s">
        <v>10031</v>
      </c>
      <c r="D462" s="1" t="s">
        <v>77</v>
      </c>
      <c r="E462" s="1">
        <v>3216.3119999999999</v>
      </c>
    </row>
    <row r="463" spans="3:5" x14ac:dyDescent="0.35">
      <c r="C463" s="1" t="s">
        <v>10030</v>
      </c>
      <c r="D463" s="1" t="s">
        <v>77</v>
      </c>
      <c r="E463" s="1">
        <v>3216.3130000000001</v>
      </c>
    </row>
    <row r="464" spans="3:5" x14ac:dyDescent="0.35">
      <c r="C464" s="1" t="s">
        <v>10029</v>
      </c>
      <c r="D464" s="1" t="s">
        <v>77</v>
      </c>
      <c r="E464" s="1">
        <v>3216.3139999999999</v>
      </c>
    </row>
    <row r="465" spans="3:5" x14ac:dyDescent="0.35">
      <c r="C465" s="1" t="s">
        <v>10028</v>
      </c>
      <c r="D465" s="1" t="s">
        <v>77</v>
      </c>
      <c r="E465" s="1">
        <v>3216.3150000000001</v>
      </c>
    </row>
    <row r="466" spans="3:5" x14ac:dyDescent="0.35">
      <c r="C466" s="1" t="s">
        <v>10027</v>
      </c>
      <c r="D466" s="1" t="s">
        <v>77</v>
      </c>
      <c r="E466" s="1">
        <v>3216.3159999999998</v>
      </c>
    </row>
    <row r="467" spans="3:5" x14ac:dyDescent="0.35">
      <c r="C467" s="1" t="s">
        <v>10026</v>
      </c>
      <c r="D467" s="1" t="s">
        <v>77</v>
      </c>
      <c r="E467" s="1">
        <v>3216.317</v>
      </c>
    </row>
    <row r="468" spans="3:5" x14ac:dyDescent="0.35">
      <c r="C468" s="1" t="s">
        <v>10025</v>
      </c>
      <c r="D468" s="1" t="s">
        <v>77</v>
      </c>
      <c r="E468" s="1">
        <v>3216.3180000000002</v>
      </c>
    </row>
    <row r="469" spans="3:5" x14ac:dyDescent="0.35">
      <c r="C469" s="1" t="s">
        <v>10024</v>
      </c>
      <c r="D469" s="1" t="s">
        <v>77</v>
      </c>
      <c r="E469" s="1">
        <v>3216.319</v>
      </c>
    </row>
    <row r="470" spans="3:5" x14ac:dyDescent="0.35">
      <c r="C470" s="1" t="s">
        <v>10023</v>
      </c>
      <c r="D470" s="1" t="s">
        <v>77</v>
      </c>
      <c r="E470" s="1">
        <v>3216.32</v>
      </c>
    </row>
    <row r="471" spans="3:5" x14ac:dyDescent="0.35">
      <c r="C471" s="1" t="s">
        <v>10022</v>
      </c>
      <c r="D471" s="1" t="s">
        <v>77</v>
      </c>
      <c r="E471" s="1">
        <v>3216.3209999999999</v>
      </c>
    </row>
    <row r="472" spans="3:5" x14ac:dyDescent="0.35">
      <c r="C472" s="1" t="s">
        <v>10021</v>
      </c>
      <c r="D472" s="1" t="s">
        <v>77</v>
      </c>
      <c r="E472" s="1">
        <v>3216.3220000000001</v>
      </c>
    </row>
    <row r="473" spans="3:5" x14ac:dyDescent="0.35">
      <c r="C473" s="1" t="s">
        <v>10054</v>
      </c>
      <c r="D473" s="1" t="s">
        <v>77</v>
      </c>
      <c r="E473" s="1">
        <v>3216.3249999999998</v>
      </c>
    </row>
    <row r="474" spans="3:5" x14ac:dyDescent="0.35">
      <c r="C474" s="1" t="s">
        <v>10053</v>
      </c>
      <c r="D474" s="1" t="s">
        <v>57</v>
      </c>
      <c r="E474" s="1">
        <v>3216.33</v>
      </c>
    </row>
    <row r="475" spans="3:5" x14ac:dyDescent="0.35">
      <c r="C475" s="1" t="s">
        <v>10035</v>
      </c>
      <c r="D475" s="1" t="s">
        <v>57</v>
      </c>
      <c r="E475" s="1">
        <v>3216.3310000000001</v>
      </c>
    </row>
    <row r="476" spans="3:5" x14ac:dyDescent="0.35">
      <c r="C476" s="1" t="s">
        <v>10031</v>
      </c>
      <c r="D476" s="1" t="s">
        <v>77</v>
      </c>
      <c r="E476" s="1">
        <v>3216.3319999999999</v>
      </c>
    </row>
    <row r="477" spans="3:5" x14ac:dyDescent="0.35">
      <c r="C477" s="1" t="s">
        <v>10030</v>
      </c>
      <c r="D477" s="1" t="s">
        <v>77</v>
      </c>
      <c r="E477" s="1">
        <v>3216.3330000000001</v>
      </c>
    </row>
    <row r="478" spans="3:5" x14ac:dyDescent="0.35">
      <c r="C478" s="1" t="s">
        <v>10029</v>
      </c>
      <c r="D478" s="1" t="s">
        <v>77</v>
      </c>
      <c r="E478" s="1">
        <v>3216.3339999999998</v>
      </c>
    </row>
    <row r="479" spans="3:5" x14ac:dyDescent="0.35">
      <c r="C479" s="1" t="s">
        <v>10028</v>
      </c>
      <c r="D479" s="1" t="s">
        <v>77</v>
      </c>
      <c r="E479" s="1">
        <v>3216.335</v>
      </c>
    </row>
    <row r="480" spans="3:5" x14ac:dyDescent="0.35">
      <c r="C480" s="1" t="s">
        <v>10027</v>
      </c>
      <c r="D480" s="1" t="s">
        <v>77</v>
      </c>
      <c r="E480" s="1">
        <v>3216.3359999999998</v>
      </c>
    </row>
    <row r="481" spans="3:5" x14ac:dyDescent="0.35">
      <c r="C481" s="1" t="s">
        <v>10026</v>
      </c>
      <c r="D481" s="1" t="s">
        <v>77</v>
      </c>
      <c r="E481" s="1">
        <v>3216.337</v>
      </c>
    </row>
    <row r="482" spans="3:5" x14ac:dyDescent="0.35">
      <c r="C482" s="1" t="s">
        <v>10025</v>
      </c>
      <c r="D482" s="1" t="s">
        <v>77</v>
      </c>
      <c r="E482" s="1">
        <v>3216.3380000000002</v>
      </c>
    </row>
    <row r="483" spans="3:5" x14ac:dyDescent="0.35">
      <c r="C483" s="1" t="s">
        <v>10024</v>
      </c>
      <c r="D483" s="1" t="s">
        <v>77</v>
      </c>
      <c r="E483" s="1">
        <v>3216.3389999999999</v>
      </c>
    </row>
    <row r="484" spans="3:5" x14ac:dyDescent="0.35">
      <c r="C484" s="1" t="s">
        <v>10023</v>
      </c>
      <c r="D484" s="1" t="s">
        <v>77</v>
      </c>
      <c r="E484" s="1">
        <v>3216.34</v>
      </c>
    </row>
    <row r="485" spans="3:5" x14ac:dyDescent="0.35">
      <c r="C485" s="1" t="s">
        <v>10022</v>
      </c>
      <c r="D485" s="1" t="s">
        <v>77</v>
      </c>
      <c r="E485" s="1">
        <v>3216.3409999999999</v>
      </c>
    </row>
    <row r="486" spans="3:5" x14ac:dyDescent="0.35">
      <c r="C486" s="1" t="s">
        <v>10021</v>
      </c>
      <c r="D486" s="1" t="s">
        <v>77</v>
      </c>
      <c r="E486" s="1">
        <v>3216.3420000000001</v>
      </c>
    </row>
    <row r="487" spans="3:5" x14ac:dyDescent="0.35">
      <c r="C487" s="1" t="s">
        <v>10034</v>
      </c>
      <c r="D487" s="1" t="s">
        <v>57</v>
      </c>
      <c r="E487" s="1">
        <v>3216.3510000000001</v>
      </c>
    </row>
    <row r="488" spans="3:5" x14ac:dyDescent="0.35">
      <c r="C488" s="1" t="s">
        <v>10031</v>
      </c>
      <c r="D488" s="1" t="s">
        <v>77</v>
      </c>
      <c r="E488" s="1">
        <v>3216.3519999999999</v>
      </c>
    </row>
    <row r="489" spans="3:5" x14ac:dyDescent="0.35">
      <c r="C489" s="1" t="s">
        <v>10030</v>
      </c>
      <c r="D489" s="1" t="s">
        <v>77</v>
      </c>
      <c r="E489" s="1">
        <v>3216.3530000000001</v>
      </c>
    </row>
    <row r="490" spans="3:5" x14ac:dyDescent="0.35">
      <c r="C490" s="1" t="s">
        <v>10029</v>
      </c>
      <c r="D490" s="1" t="s">
        <v>77</v>
      </c>
      <c r="E490" s="1">
        <v>3216.3539999999998</v>
      </c>
    </row>
    <row r="491" spans="3:5" x14ac:dyDescent="0.35">
      <c r="C491" s="1" t="s">
        <v>10028</v>
      </c>
      <c r="D491" s="1" t="s">
        <v>77</v>
      </c>
      <c r="E491" s="1">
        <v>3216.355</v>
      </c>
    </row>
    <row r="492" spans="3:5" x14ac:dyDescent="0.35">
      <c r="C492" s="1" t="s">
        <v>10027</v>
      </c>
      <c r="D492" s="1" t="s">
        <v>77</v>
      </c>
      <c r="E492" s="1">
        <v>3216.3560000000002</v>
      </c>
    </row>
    <row r="493" spans="3:5" x14ac:dyDescent="0.35">
      <c r="C493" s="1" t="s">
        <v>10026</v>
      </c>
      <c r="D493" s="1" t="s">
        <v>77</v>
      </c>
      <c r="E493" s="1">
        <v>3216.357</v>
      </c>
    </row>
    <row r="494" spans="3:5" x14ac:dyDescent="0.35">
      <c r="C494" s="1" t="s">
        <v>10025</v>
      </c>
      <c r="D494" s="1" t="s">
        <v>77</v>
      </c>
      <c r="E494" s="1">
        <v>3216.3580000000002</v>
      </c>
    </row>
    <row r="495" spans="3:5" x14ac:dyDescent="0.35">
      <c r="C495" s="1" t="s">
        <v>10024</v>
      </c>
      <c r="D495" s="1" t="s">
        <v>77</v>
      </c>
      <c r="E495" s="1">
        <v>3216.3589999999999</v>
      </c>
    </row>
    <row r="496" spans="3:5" x14ac:dyDescent="0.35">
      <c r="C496" s="1" t="s">
        <v>10023</v>
      </c>
      <c r="D496" s="1" t="s">
        <v>77</v>
      </c>
      <c r="E496" s="1">
        <v>3216.36</v>
      </c>
    </row>
    <row r="497" spans="3:5" x14ac:dyDescent="0.35">
      <c r="C497" s="1" t="s">
        <v>10022</v>
      </c>
      <c r="D497" s="1" t="s">
        <v>77</v>
      </c>
      <c r="E497" s="1">
        <v>3216.3609999999999</v>
      </c>
    </row>
    <row r="498" spans="3:5" x14ac:dyDescent="0.35">
      <c r="C498" s="1" t="s">
        <v>10021</v>
      </c>
      <c r="D498" s="1" t="s">
        <v>77</v>
      </c>
      <c r="E498" s="1">
        <v>3216.3620000000001</v>
      </c>
    </row>
    <row r="499" spans="3:5" x14ac:dyDescent="0.35">
      <c r="C499" s="1" t="s">
        <v>10033</v>
      </c>
      <c r="D499" s="1" t="s">
        <v>57</v>
      </c>
      <c r="E499" s="1">
        <v>3216.3710000000001</v>
      </c>
    </row>
    <row r="500" spans="3:5" x14ac:dyDescent="0.35">
      <c r="C500" s="1" t="s">
        <v>10031</v>
      </c>
      <c r="D500" s="1" t="s">
        <v>77</v>
      </c>
      <c r="E500" s="1">
        <v>3216.3719999999998</v>
      </c>
    </row>
    <row r="501" spans="3:5" x14ac:dyDescent="0.35">
      <c r="C501" s="1" t="s">
        <v>10030</v>
      </c>
      <c r="D501" s="1" t="s">
        <v>77</v>
      </c>
      <c r="E501" s="1">
        <v>3216.373</v>
      </c>
    </row>
    <row r="502" spans="3:5" x14ac:dyDescent="0.35">
      <c r="C502" s="1" t="s">
        <v>10029</v>
      </c>
      <c r="D502" s="1" t="s">
        <v>77</v>
      </c>
      <c r="E502" s="1">
        <v>3216.3739999999998</v>
      </c>
    </row>
    <row r="503" spans="3:5" x14ac:dyDescent="0.35">
      <c r="C503" s="1" t="s">
        <v>10028</v>
      </c>
      <c r="D503" s="1" t="s">
        <v>77</v>
      </c>
      <c r="E503" s="1">
        <v>3216.375</v>
      </c>
    </row>
    <row r="504" spans="3:5" x14ac:dyDescent="0.35">
      <c r="C504" s="1" t="s">
        <v>10027</v>
      </c>
      <c r="D504" s="1" t="s">
        <v>77</v>
      </c>
      <c r="E504" s="1">
        <v>3216.3760000000002</v>
      </c>
    </row>
    <row r="505" spans="3:5" x14ac:dyDescent="0.35">
      <c r="C505" s="1" t="s">
        <v>10026</v>
      </c>
      <c r="D505" s="1" t="s">
        <v>77</v>
      </c>
      <c r="E505" s="1">
        <v>3216.377</v>
      </c>
    </row>
    <row r="506" spans="3:5" x14ac:dyDescent="0.35">
      <c r="C506" s="1" t="s">
        <v>10025</v>
      </c>
      <c r="D506" s="1" t="s">
        <v>77</v>
      </c>
      <c r="E506" s="1">
        <v>3216.3780000000002</v>
      </c>
    </row>
    <row r="507" spans="3:5" x14ac:dyDescent="0.35">
      <c r="C507" s="1" t="s">
        <v>10024</v>
      </c>
      <c r="D507" s="1" t="s">
        <v>77</v>
      </c>
      <c r="E507" s="1">
        <v>3216.3789999999999</v>
      </c>
    </row>
    <row r="508" spans="3:5" x14ac:dyDescent="0.35">
      <c r="C508" s="1" t="s">
        <v>10023</v>
      </c>
      <c r="D508" s="1" t="s">
        <v>77</v>
      </c>
      <c r="E508" s="1">
        <v>3216.38</v>
      </c>
    </row>
    <row r="509" spans="3:5" x14ac:dyDescent="0.35">
      <c r="C509" s="1" t="s">
        <v>10022</v>
      </c>
      <c r="D509" s="1" t="s">
        <v>77</v>
      </c>
      <c r="E509" s="1">
        <v>3216.3809999999999</v>
      </c>
    </row>
    <row r="510" spans="3:5" x14ac:dyDescent="0.35">
      <c r="C510" s="1" t="s">
        <v>10021</v>
      </c>
      <c r="D510" s="1" t="s">
        <v>77</v>
      </c>
      <c r="E510" s="1">
        <v>3216.3820000000001</v>
      </c>
    </row>
    <row r="511" spans="3:5" x14ac:dyDescent="0.35">
      <c r="C511" s="1" t="s">
        <v>10032</v>
      </c>
      <c r="D511" s="1" t="s">
        <v>57</v>
      </c>
      <c r="E511" s="1">
        <v>3216.3910000000001</v>
      </c>
    </row>
    <row r="512" spans="3:5" x14ac:dyDescent="0.35">
      <c r="C512" s="1" t="s">
        <v>10031</v>
      </c>
      <c r="D512" s="1" t="s">
        <v>77</v>
      </c>
      <c r="E512" s="1">
        <v>3216.3919999999998</v>
      </c>
    </row>
    <row r="513" spans="3:5" x14ac:dyDescent="0.35">
      <c r="C513" s="1" t="s">
        <v>10030</v>
      </c>
      <c r="D513" s="1" t="s">
        <v>77</v>
      </c>
      <c r="E513" s="1">
        <v>3216.393</v>
      </c>
    </row>
    <row r="514" spans="3:5" x14ac:dyDescent="0.35">
      <c r="C514" s="1" t="s">
        <v>10029</v>
      </c>
      <c r="D514" s="1" t="s">
        <v>77</v>
      </c>
      <c r="E514" s="1">
        <v>3216.3939999999998</v>
      </c>
    </row>
    <row r="515" spans="3:5" x14ac:dyDescent="0.35">
      <c r="C515" s="1" t="s">
        <v>10028</v>
      </c>
      <c r="D515" s="1" t="s">
        <v>77</v>
      </c>
      <c r="E515" s="1">
        <v>3216.395</v>
      </c>
    </row>
    <row r="516" spans="3:5" x14ac:dyDescent="0.35">
      <c r="C516" s="1" t="s">
        <v>10027</v>
      </c>
      <c r="D516" s="1" t="s">
        <v>77</v>
      </c>
      <c r="E516" s="1">
        <v>3216.3960000000002</v>
      </c>
    </row>
    <row r="517" spans="3:5" x14ac:dyDescent="0.35">
      <c r="C517" s="1" t="s">
        <v>10026</v>
      </c>
      <c r="D517" s="1" t="s">
        <v>77</v>
      </c>
      <c r="E517" s="1">
        <v>3216.3969999999999</v>
      </c>
    </row>
    <row r="518" spans="3:5" x14ac:dyDescent="0.35">
      <c r="C518" s="1" t="s">
        <v>10025</v>
      </c>
      <c r="D518" s="1" t="s">
        <v>77</v>
      </c>
      <c r="E518" s="1">
        <v>3216.3980000000001</v>
      </c>
    </row>
    <row r="519" spans="3:5" x14ac:dyDescent="0.35">
      <c r="C519" s="1" t="s">
        <v>10024</v>
      </c>
      <c r="D519" s="1" t="s">
        <v>77</v>
      </c>
      <c r="E519" s="1">
        <v>3216.3989999999999</v>
      </c>
    </row>
    <row r="520" spans="3:5" x14ac:dyDescent="0.35">
      <c r="C520" s="1" t="s">
        <v>10023</v>
      </c>
      <c r="D520" s="1" t="s">
        <v>77</v>
      </c>
      <c r="E520" s="1">
        <v>3216.4</v>
      </c>
    </row>
    <row r="521" spans="3:5" x14ac:dyDescent="0.35">
      <c r="C521" s="1" t="s">
        <v>10022</v>
      </c>
      <c r="D521" s="1" t="s">
        <v>77</v>
      </c>
      <c r="E521" s="1">
        <v>3216.4009999999998</v>
      </c>
    </row>
    <row r="522" spans="3:5" x14ac:dyDescent="0.35">
      <c r="C522" s="1" t="s">
        <v>10021</v>
      </c>
      <c r="D522" s="1" t="s">
        <v>77</v>
      </c>
      <c r="E522" s="1">
        <v>3216.402</v>
      </c>
    </row>
    <row r="523" spans="3:5" x14ac:dyDescent="0.35">
      <c r="C523" s="1" t="s">
        <v>10052</v>
      </c>
      <c r="D523" s="1" t="s">
        <v>77</v>
      </c>
      <c r="E523" s="1">
        <v>3216.4050000000002</v>
      </c>
    </row>
    <row r="524" spans="3:5" x14ac:dyDescent="0.35">
      <c r="C524" s="1" t="s">
        <v>10051</v>
      </c>
      <c r="D524" s="1" t="s">
        <v>57</v>
      </c>
      <c r="E524" s="1">
        <v>3216.41</v>
      </c>
    </row>
    <row r="525" spans="3:5" x14ac:dyDescent="0.35">
      <c r="C525" s="1" t="s">
        <v>10035</v>
      </c>
      <c r="D525" s="1" t="s">
        <v>57</v>
      </c>
      <c r="E525" s="1">
        <v>3216.4110000000001</v>
      </c>
    </row>
    <row r="526" spans="3:5" x14ac:dyDescent="0.35">
      <c r="C526" s="1" t="s">
        <v>10031</v>
      </c>
      <c r="D526" s="1" t="s">
        <v>77</v>
      </c>
      <c r="E526" s="1">
        <v>3216.4119999999998</v>
      </c>
    </row>
    <row r="527" spans="3:5" x14ac:dyDescent="0.35">
      <c r="C527" s="1" t="s">
        <v>10030</v>
      </c>
      <c r="D527" s="1" t="s">
        <v>77</v>
      </c>
      <c r="E527" s="1">
        <v>3216.413</v>
      </c>
    </row>
    <row r="528" spans="3:5" x14ac:dyDescent="0.35">
      <c r="C528" s="1" t="s">
        <v>10029</v>
      </c>
      <c r="D528" s="1" t="s">
        <v>77</v>
      </c>
      <c r="E528" s="1">
        <v>3216.4140000000002</v>
      </c>
    </row>
    <row r="529" spans="3:5" x14ac:dyDescent="0.35">
      <c r="C529" s="1" t="s">
        <v>10028</v>
      </c>
      <c r="D529" s="1" t="s">
        <v>77</v>
      </c>
      <c r="E529" s="1">
        <v>3216.415</v>
      </c>
    </row>
    <row r="530" spans="3:5" x14ac:dyDescent="0.35">
      <c r="C530" s="1" t="s">
        <v>10027</v>
      </c>
      <c r="D530" s="1" t="s">
        <v>77</v>
      </c>
      <c r="E530" s="1">
        <v>3216.4160000000002</v>
      </c>
    </row>
    <row r="531" spans="3:5" x14ac:dyDescent="0.35">
      <c r="C531" s="1" t="s">
        <v>10026</v>
      </c>
      <c r="D531" s="1" t="s">
        <v>77</v>
      </c>
      <c r="E531" s="1">
        <v>3216.4169999999999</v>
      </c>
    </row>
    <row r="532" spans="3:5" x14ac:dyDescent="0.35">
      <c r="C532" s="1" t="s">
        <v>10025</v>
      </c>
      <c r="D532" s="1" t="s">
        <v>77</v>
      </c>
      <c r="E532" s="1">
        <v>3216.4180000000001</v>
      </c>
    </row>
    <row r="533" spans="3:5" x14ac:dyDescent="0.35">
      <c r="C533" s="1" t="s">
        <v>10024</v>
      </c>
      <c r="D533" s="1" t="s">
        <v>77</v>
      </c>
      <c r="E533" s="1">
        <v>3216.4189999999999</v>
      </c>
    </row>
    <row r="534" spans="3:5" x14ac:dyDescent="0.35">
      <c r="C534" s="1" t="s">
        <v>10023</v>
      </c>
      <c r="D534" s="1" t="s">
        <v>77</v>
      </c>
      <c r="E534" s="1">
        <v>3216.42</v>
      </c>
    </row>
    <row r="535" spans="3:5" x14ac:dyDescent="0.35">
      <c r="C535" s="1" t="s">
        <v>10022</v>
      </c>
      <c r="D535" s="1" t="s">
        <v>77</v>
      </c>
      <c r="E535" s="1">
        <v>3216.4209999999998</v>
      </c>
    </row>
    <row r="536" spans="3:5" x14ac:dyDescent="0.35">
      <c r="C536" s="1" t="s">
        <v>10021</v>
      </c>
      <c r="D536" s="1" t="s">
        <v>77</v>
      </c>
      <c r="E536" s="1">
        <v>3216.422</v>
      </c>
    </row>
    <row r="537" spans="3:5" x14ac:dyDescent="0.35">
      <c r="C537" s="1" t="s">
        <v>10034</v>
      </c>
      <c r="D537" s="1" t="s">
        <v>57</v>
      </c>
      <c r="E537" s="1">
        <v>3216.431</v>
      </c>
    </row>
    <row r="538" spans="3:5" x14ac:dyDescent="0.35">
      <c r="C538" s="1" t="s">
        <v>10031</v>
      </c>
      <c r="D538" s="1" t="s">
        <v>77</v>
      </c>
      <c r="E538" s="1">
        <v>3216.4319999999998</v>
      </c>
    </row>
    <row r="539" spans="3:5" x14ac:dyDescent="0.35">
      <c r="C539" s="1" t="s">
        <v>10030</v>
      </c>
      <c r="D539" s="1" t="s">
        <v>77</v>
      </c>
      <c r="E539" s="1">
        <v>3216.433</v>
      </c>
    </row>
    <row r="540" spans="3:5" x14ac:dyDescent="0.35">
      <c r="C540" s="1" t="s">
        <v>10029</v>
      </c>
      <c r="D540" s="1" t="s">
        <v>77</v>
      </c>
      <c r="E540" s="1">
        <v>3216.4340000000002</v>
      </c>
    </row>
    <row r="541" spans="3:5" x14ac:dyDescent="0.35">
      <c r="C541" s="1" t="s">
        <v>10028</v>
      </c>
      <c r="D541" s="1" t="s">
        <v>77</v>
      </c>
      <c r="E541" s="1">
        <v>3216.4349999999999</v>
      </c>
    </row>
    <row r="542" spans="3:5" x14ac:dyDescent="0.35">
      <c r="C542" s="1" t="s">
        <v>10027</v>
      </c>
      <c r="D542" s="1" t="s">
        <v>77</v>
      </c>
      <c r="E542" s="1">
        <v>3216.4360000000001</v>
      </c>
    </row>
    <row r="543" spans="3:5" x14ac:dyDescent="0.35">
      <c r="C543" s="1" t="s">
        <v>10026</v>
      </c>
      <c r="D543" s="1" t="s">
        <v>77</v>
      </c>
      <c r="E543" s="1">
        <v>3216.4369999999999</v>
      </c>
    </row>
    <row r="544" spans="3:5" x14ac:dyDescent="0.35">
      <c r="C544" s="1" t="s">
        <v>10025</v>
      </c>
      <c r="D544" s="1" t="s">
        <v>77</v>
      </c>
      <c r="E544" s="1">
        <v>3216.4380000000001</v>
      </c>
    </row>
    <row r="545" spans="3:5" x14ac:dyDescent="0.35">
      <c r="C545" s="1" t="s">
        <v>10024</v>
      </c>
      <c r="D545" s="1" t="s">
        <v>77</v>
      </c>
      <c r="E545" s="1">
        <v>3216.4389999999999</v>
      </c>
    </row>
    <row r="546" spans="3:5" x14ac:dyDescent="0.35">
      <c r="C546" s="1" t="s">
        <v>10023</v>
      </c>
      <c r="D546" s="1" t="s">
        <v>77</v>
      </c>
      <c r="E546" s="1">
        <v>3216.44</v>
      </c>
    </row>
    <row r="547" spans="3:5" x14ac:dyDescent="0.35">
      <c r="C547" s="1" t="s">
        <v>10022</v>
      </c>
      <c r="D547" s="1" t="s">
        <v>77</v>
      </c>
      <c r="E547" s="1">
        <v>3216.4409999999998</v>
      </c>
    </row>
    <row r="548" spans="3:5" x14ac:dyDescent="0.35">
      <c r="C548" s="1" t="s">
        <v>10021</v>
      </c>
      <c r="D548" s="1" t="s">
        <v>77</v>
      </c>
      <c r="E548" s="1">
        <v>3216.442</v>
      </c>
    </row>
    <row r="549" spans="3:5" x14ac:dyDescent="0.35">
      <c r="C549" s="1" t="s">
        <v>10033</v>
      </c>
      <c r="D549" s="1" t="s">
        <v>57</v>
      </c>
      <c r="E549" s="1">
        <v>3216.451</v>
      </c>
    </row>
    <row r="550" spans="3:5" x14ac:dyDescent="0.35">
      <c r="C550" s="1" t="s">
        <v>10031</v>
      </c>
      <c r="D550" s="1" t="s">
        <v>77</v>
      </c>
      <c r="E550" s="1">
        <v>3216.4520000000002</v>
      </c>
    </row>
    <row r="551" spans="3:5" x14ac:dyDescent="0.35">
      <c r="C551" s="1" t="s">
        <v>10030</v>
      </c>
      <c r="D551" s="1" t="s">
        <v>77</v>
      </c>
      <c r="E551" s="1">
        <v>3216.453</v>
      </c>
    </row>
    <row r="552" spans="3:5" x14ac:dyDescent="0.35">
      <c r="C552" s="1" t="s">
        <v>10029</v>
      </c>
      <c r="D552" s="1" t="s">
        <v>77</v>
      </c>
      <c r="E552" s="1">
        <v>3216.4540000000002</v>
      </c>
    </row>
    <row r="553" spans="3:5" x14ac:dyDescent="0.35">
      <c r="C553" s="1" t="s">
        <v>10028</v>
      </c>
      <c r="D553" s="1" t="s">
        <v>77</v>
      </c>
      <c r="E553" s="1">
        <v>3216.4549999999999</v>
      </c>
    </row>
    <row r="554" spans="3:5" x14ac:dyDescent="0.35">
      <c r="C554" s="1" t="s">
        <v>10027</v>
      </c>
      <c r="D554" s="1" t="s">
        <v>77</v>
      </c>
      <c r="E554" s="1">
        <v>3216.4560000000001</v>
      </c>
    </row>
    <row r="555" spans="3:5" x14ac:dyDescent="0.35">
      <c r="C555" s="1" t="s">
        <v>10026</v>
      </c>
      <c r="D555" s="1" t="s">
        <v>77</v>
      </c>
      <c r="E555" s="1">
        <v>3216.4569999999999</v>
      </c>
    </row>
    <row r="556" spans="3:5" x14ac:dyDescent="0.35">
      <c r="C556" s="1" t="s">
        <v>10025</v>
      </c>
      <c r="D556" s="1" t="s">
        <v>77</v>
      </c>
      <c r="E556" s="1">
        <v>3216.4580000000001</v>
      </c>
    </row>
    <row r="557" spans="3:5" x14ac:dyDescent="0.35">
      <c r="C557" s="1" t="s">
        <v>10024</v>
      </c>
      <c r="D557" s="1" t="s">
        <v>77</v>
      </c>
      <c r="E557" s="1">
        <v>3216.4589999999998</v>
      </c>
    </row>
    <row r="558" spans="3:5" x14ac:dyDescent="0.35">
      <c r="C558" s="1" t="s">
        <v>10023</v>
      </c>
      <c r="D558" s="1" t="s">
        <v>77</v>
      </c>
      <c r="E558" s="1">
        <v>3216.46</v>
      </c>
    </row>
    <row r="559" spans="3:5" x14ac:dyDescent="0.35">
      <c r="C559" s="1" t="s">
        <v>10022</v>
      </c>
      <c r="D559" s="1" t="s">
        <v>77</v>
      </c>
      <c r="E559" s="1">
        <v>3216.4609999999998</v>
      </c>
    </row>
    <row r="560" spans="3:5" x14ac:dyDescent="0.35">
      <c r="C560" s="1" t="s">
        <v>10021</v>
      </c>
      <c r="D560" s="1" t="s">
        <v>77</v>
      </c>
      <c r="E560" s="1">
        <v>3216.462</v>
      </c>
    </row>
    <row r="561" spans="3:5" x14ac:dyDescent="0.35">
      <c r="C561" s="1" t="s">
        <v>10032</v>
      </c>
      <c r="D561" s="1" t="s">
        <v>57</v>
      </c>
      <c r="E561" s="1">
        <v>3216.471</v>
      </c>
    </row>
    <row r="562" spans="3:5" x14ac:dyDescent="0.35">
      <c r="C562" s="1" t="s">
        <v>10031</v>
      </c>
      <c r="D562" s="1" t="s">
        <v>77</v>
      </c>
      <c r="E562" s="1">
        <v>3216.4720000000002</v>
      </c>
    </row>
    <row r="563" spans="3:5" x14ac:dyDescent="0.35">
      <c r="C563" s="1" t="s">
        <v>10030</v>
      </c>
      <c r="D563" s="1" t="s">
        <v>77</v>
      </c>
      <c r="E563" s="1">
        <v>3216.473</v>
      </c>
    </row>
    <row r="564" spans="3:5" x14ac:dyDescent="0.35">
      <c r="C564" s="1" t="s">
        <v>10029</v>
      </c>
      <c r="D564" s="1" t="s">
        <v>77</v>
      </c>
      <c r="E564" s="1">
        <v>3216.4740000000002</v>
      </c>
    </row>
    <row r="565" spans="3:5" x14ac:dyDescent="0.35">
      <c r="C565" s="1" t="s">
        <v>10028</v>
      </c>
      <c r="D565" s="1" t="s">
        <v>77</v>
      </c>
      <c r="E565" s="1">
        <v>3216.4749999999999</v>
      </c>
    </row>
    <row r="566" spans="3:5" x14ac:dyDescent="0.35">
      <c r="C566" s="1" t="s">
        <v>10027</v>
      </c>
      <c r="D566" s="1" t="s">
        <v>77</v>
      </c>
      <c r="E566" s="1">
        <v>3216.4760000000001</v>
      </c>
    </row>
    <row r="567" spans="3:5" x14ac:dyDescent="0.35">
      <c r="C567" s="1" t="s">
        <v>10026</v>
      </c>
      <c r="D567" s="1" t="s">
        <v>77</v>
      </c>
      <c r="E567" s="1">
        <v>3216.4769999999999</v>
      </c>
    </row>
    <row r="568" spans="3:5" x14ac:dyDescent="0.35">
      <c r="C568" s="1" t="s">
        <v>10025</v>
      </c>
      <c r="D568" s="1" t="s">
        <v>77</v>
      </c>
      <c r="E568" s="1">
        <v>3216.4780000000001</v>
      </c>
    </row>
    <row r="569" spans="3:5" x14ac:dyDescent="0.35">
      <c r="C569" s="1" t="s">
        <v>10024</v>
      </c>
      <c r="D569" s="1" t="s">
        <v>77</v>
      </c>
      <c r="E569" s="1">
        <v>3216.4789999999998</v>
      </c>
    </row>
    <row r="570" spans="3:5" x14ac:dyDescent="0.35">
      <c r="C570" s="1" t="s">
        <v>10023</v>
      </c>
      <c r="D570" s="1" t="s">
        <v>77</v>
      </c>
      <c r="E570" s="1">
        <v>3216.48</v>
      </c>
    </row>
    <row r="571" spans="3:5" x14ac:dyDescent="0.35">
      <c r="C571" s="1" t="s">
        <v>10022</v>
      </c>
      <c r="D571" s="1" t="s">
        <v>77</v>
      </c>
      <c r="E571" s="1">
        <v>3216.4810000000002</v>
      </c>
    </row>
    <row r="572" spans="3:5" x14ac:dyDescent="0.35">
      <c r="C572" s="1" t="s">
        <v>10021</v>
      </c>
      <c r="D572" s="1" t="s">
        <v>77</v>
      </c>
      <c r="E572" s="1">
        <v>3216.482</v>
      </c>
    </row>
    <row r="573" spans="3:5" x14ac:dyDescent="0.35">
      <c r="C573" s="1" t="s">
        <v>10050</v>
      </c>
      <c r="D573" s="1" t="s">
        <v>77</v>
      </c>
      <c r="E573" s="1">
        <v>3216.4850000000001</v>
      </c>
    </row>
    <row r="574" spans="3:5" x14ac:dyDescent="0.35">
      <c r="C574" s="1" t="s">
        <v>10049</v>
      </c>
      <c r="D574" s="1" t="s">
        <v>57</v>
      </c>
      <c r="E574" s="1">
        <v>3216.49</v>
      </c>
    </row>
    <row r="575" spans="3:5" x14ac:dyDescent="0.35">
      <c r="C575" s="1" t="s">
        <v>10035</v>
      </c>
      <c r="D575" s="1" t="s">
        <v>57</v>
      </c>
      <c r="E575" s="1">
        <v>3216.491</v>
      </c>
    </row>
    <row r="576" spans="3:5" x14ac:dyDescent="0.35">
      <c r="C576" s="1" t="s">
        <v>10031</v>
      </c>
      <c r="D576" s="1" t="s">
        <v>77</v>
      </c>
      <c r="E576" s="1">
        <v>3216.4920000000002</v>
      </c>
    </row>
    <row r="577" spans="3:5" x14ac:dyDescent="0.35">
      <c r="C577" s="1" t="s">
        <v>10030</v>
      </c>
      <c r="D577" s="1" t="s">
        <v>77</v>
      </c>
      <c r="E577" s="1">
        <v>3216.4929999999999</v>
      </c>
    </row>
    <row r="578" spans="3:5" x14ac:dyDescent="0.35">
      <c r="C578" s="1" t="s">
        <v>10029</v>
      </c>
      <c r="D578" s="1" t="s">
        <v>77</v>
      </c>
      <c r="E578" s="1">
        <v>3216.4940000000001</v>
      </c>
    </row>
    <row r="579" spans="3:5" x14ac:dyDescent="0.35">
      <c r="C579" s="1" t="s">
        <v>10028</v>
      </c>
      <c r="D579" s="1" t="s">
        <v>77</v>
      </c>
      <c r="E579" s="1">
        <v>3216.4949999999999</v>
      </c>
    </row>
    <row r="580" spans="3:5" x14ac:dyDescent="0.35">
      <c r="C580" s="1" t="s">
        <v>10027</v>
      </c>
      <c r="D580" s="1" t="s">
        <v>77</v>
      </c>
      <c r="E580" s="1">
        <v>3216.4960000000001</v>
      </c>
    </row>
    <row r="581" spans="3:5" x14ac:dyDescent="0.35">
      <c r="C581" s="1" t="s">
        <v>10026</v>
      </c>
      <c r="D581" s="1" t="s">
        <v>77</v>
      </c>
      <c r="E581" s="1">
        <v>3216.4969999999998</v>
      </c>
    </row>
    <row r="582" spans="3:5" x14ac:dyDescent="0.35">
      <c r="C582" s="1" t="s">
        <v>10025</v>
      </c>
      <c r="D582" s="1" t="s">
        <v>77</v>
      </c>
      <c r="E582" s="1">
        <v>3216.498</v>
      </c>
    </row>
    <row r="583" spans="3:5" x14ac:dyDescent="0.35">
      <c r="C583" s="1" t="s">
        <v>10024</v>
      </c>
      <c r="D583" s="1" t="s">
        <v>77</v>
      </c>
      <c r="E583" s="1">
        <v>3216.4989999999998</v>
      </c>
    </row>
    <row r="584" spans="3:5" x14ac:dyDescent="0.35">
      <c r="C584" s="1" t="s">
        <v>10023</v>
      </c>
      <c r="D584" s="1" t="s">
        <v>77</v>
      </c>
      <c r="E584" s="1">
        <v>3216.5</v>
      </c>
    </row>
    <row r="585" spans="3:5" x14ac:dyDescent="0.35">
      <c r="C585" s="1" t="s">
        <v>10022</v>
      </c>
      <c r="D585" s="1" t="s">
        <v>77</v>
      </c>
      <c r="E585" s="1">
        <v>3216.5010000000002</v>
      </c>
    </row>
    <row r="586" spans="3:5" x14ac:dyDescent="0.35">
      <c r="C586" s="1" t="s">
        <v>10021</v>
      </c>
      <c r="D586" s="1" t="s">
        <v>77</v>
      </c>
      <c r="E586" s="1">
        <v>3216.502</v>
      </c>
    </row>
    <row r="587" spans="3:5" x14ac:dyDescent="0.35">
      <c r="C587" s="1" t="s">
        <v>10034</v>
      </c>
      <c r="D587" s="1" t="s">
        <v>57</v>
      </c>
      <c r="E587" s="1">
        <v>3216.511</v>
      </c>
    </row>
    <row r="588" spans="3:5" x14ac:dyDescent="0.35">
      <c r="C588" s="1" t="s">
        <v>10031</v>
      </c>
      <c r="D588" s="1" t="s">
        <v>77</v>
      </c>
      <c r="E588" s="1">
        <v>3216.5120000000002</v>
      </c>
    </row>
    <row r="589" spans="3:5" x14ac:dyDescent="0.35">
      <c r="C589" s="1" t="s">
        <v>10030</v>
      </c>
      <c r="D589" s="1" t="s">
        <v>77</v>
      </c>
      <c r="E589" s="1">
        <v>3216.5129999999999</v>
      </c>
    </row>
    <row r="590" spans="3:5" x14ac:dyDescent="0.35">
      <c r="C590" s="1" t="s">
        <v>10029</v>
      </c>
      <c r="D590" s="1" t="s">
        <v>77</v>
      </c>
      <c r="E590" s="1">
        <v>3216.5140000000001</v>
      </c>
    </row>
    <row r="591" spans="3:5" x14ac:dyDescent="0.35">
      <c r="C591" s="1" t="s">
        <v>10028</v>
      </c>
      <c r="D591" s="1" t="s">
        <v>77</v>
      </c>
      <c r="E591" s="1">
        <v>3216.5149999999999</v>
      </c>
    </row>
    <row r="592" spans="3:5" x14ac:dyDescent="0.35">
      <c r="C592" s="1" t="s">
        <v>10027</v>
      </c>
      <c r="D592" s="1" t="s">
        <v>77</v>
      </c>
      <c r="E592" s="1">
        <v>3216.5160000000001</v>
      </c>
    </row>
    <row r="593" spans="3:5" x14ac:dyDescent="0.35">
      <c r="C593" s="1" t="s">
        <v>10026</v>
      </c>
      <c r="D593" s="1" t="s">
        <v>77</v>
      </c>
      <c r="E593" s="1">
        <v>3216.5169999999998</v>
      </c>
    </row>
    <row r="594" spans="3:5" x14ac:dyDescent="0.35">
      <c r="C594" s="1" t="s">
        <v>10025</v>
      </c>
      <c r="D594" s="1" t="s">
        <v>77</v>
      </c>
      <c r="E594" s="1">
        <v>3216.518</v>
      </c>
    </row>
    <row r="595" spans="3:5" x14ac:dyDescent="0.35">
      <c r="C595" s="1" t="s">
        <v>10024</v>
      </c>
      <c r="D595" s="1" t="s">
        <v>77</v>
      </c>
      <c r="E595" s="1">
        <v>3216.5189999999998</v>
      </c>
    </row>
    <row r="596" spans="3:5" x14ac:dyDescent="0.35">
      <c r="C596" s="1" t="s">
        <v>10023</v>
      </c>
      <c r="D596" s="1" t="s">
        <v>77</v>
      </c>
      <c r="E596" s="1">
        <v>3216.52</v>
      </c>
    </row>
    <row r="597" spans="3:5" x14ac:dyDescent="0.35">
      <c r="C597" s="1" t="s">
        <v>10022</v>
      </c>
      <c r="D597" s="1" t="s">
        <v>77</v>
      </c>
      <c r="E597" s="1">
        <v>3216.5210000000002</v>
      </c>
    </row>
    <row r="598" spans="3:5" x14ac:dyDescent="0.35">
      <c r="C598" s="1" t="s">
        <v>10021</v>
      </c>
      <c r="D598" s="1" t="s">
        <v>77</v>
      </c>
      <c r="E598" s="1">
        <v>3216.5219999999999</v>
      </c>
    </row>
    <row r="599" spans="3:5" x14ac:dyDescent="0.35">
      <c r="C599" s="1" t="s">
        <v>10033</v>
      </c>
      <c r="D599" s="1" t="s">
        <v>57</v>
      </c>
      <c r="E599" s="1">
        <v>3216.5309999999999</v>
      </c>
    </row>
    <row r="600" spans="3:5" x14ac:dyDescent="0.35">
      <c r="C600" s="1" t="s">
        <v>10031</v>
      </c>
      <c r="D600" s="1" t="s">
        <v>77</v>
      </c>
      <c r="E600" s="1">
        <v>3216.5320000000002</v>
      </c>
    </row>
    <row r="601" spans="3:5" x14ac:dyDescent="0.35">
      <c r="C601" s="1" t="s">
        <v>10030</v>
      </c>
      <c r="D601" s="1" t="s">
        <v>77</v>
      </c>
      <c r="E601" s="1">
        <v>3216.5329999999999</v>
      </c>
    </row>
    <row r="602" spans="3:5" x14ac:dyDescent="0.35">
      <c r="C602" s="1" t="s">
        <v>10029</v>
      </c>
      <c r="D602" s="1" t="s">
        <v>77</v>
      </c>
      <c r="E602" s="1">
        <v>3216.5340000000001</v>
      </c>
    </row>
    <row r="603" spans="3:5" x14ac:dyDescent="0.35">
      <c r="C603" s="1" t="s">
        <v>10028</v>
      </c>
      <c r="D603" s="1" t="s">
        <v>77</v>
      </c>
      <c r="E603" s="1">
        <v>3216.5349999999999</v>
      </c>
    </row>
    <row r="604" spans="3:5" x14ac:dyDescent="0.35">
      <c r="C604" s="1" t="s">
        <v>10027</v>
      </c>
      <c r="D604" s="1" t="s">
        <v>77</v>
      </c>
      <c r="E604" s="1">
        <v>3216.5360000000001</v>
      </c>
    </row>
    <row r="605" spans="3:5" x14ac:dyDescent="0.35">
      <c r="C605" s="1" t="s">
        <v>10026</v>
      </c>
      <c r="D605" s="1" t="s">
        <v>77</v>
      </c>
      <c r="E605" s="1">
        <v>3216.5369999999998</v>
      </c>
    </row>
    <row r="606" spans="3:5" x14ac:dyDescent="0.35">
      <c r="C606" s="1" t="s">
        <v>10025</v>
      </c>
      <c r="D606" s="1" t="s">
        <v>77</v>
      </c>
      <c r="E606" s="1">
        <v>3216.538</v>
      </c>
    </row>
    <row r="607" spans="3:5" x14ac:dyDescent="0.35">
      <c r="C607" s="1" t="s">
        <v>10024</v>
      </c>
      <c r="D607" s="1" t="s">
        <v>77</v>
      </c>
      <c r="E607" s="1">
        <v>3216.5390000000002</v>
      </c>
    </row>
    <row r="608" spans="3:5" x14ac:dyDescent="0.35">
      <c r="C608" s="1" t="s">
        <v>10023</v>
      </c>
      <c r="D608" s="1" t="s">
        <v>77</v>
      </c>
      <c r="E608" s="1">
        <v>3216.54</v>
      </c>
    </row>
    <row r="609" spans="3:5" x14ac:dyDescent="0.35">
      <c r="C609" s="1" t="s">
        <v>10022</v>
      </c>
      <c r="D609" s="1" t="s">
        <v>77</v>
      </c>
      <c r="E609" s="1">
        <v>3216.5410000000002</v>
      </c>
    </row>
    <row r="610" spans="3:5" x14ac:dyDescent="0.35">
      <c r="C610" s="1" t="s">
        <v>10021</v>
      </c>
      <c r="D610" s="1" t="s">
        <v>77</v>
      </c>
      <c r="E610" s="1">
        <v>3216.5419999999999</v>
      </c>
    </row>
    <row r="611" spans="3:5" x14ac:dyDescent="0.35">
      <c r="C611" s="1" t="s">
        <v>10032</v>
      </c>
      <c r="D611" s="1" t="s">
        <v>57</v>
      </c>
      <c r="E611" s="1">
        <v>3216.5509999999999</v>
      </c>
    </row>
    <row r="612" spans="3:5" x14ac:dyDescent="0.35">
      <c r="C612" s="1" t="s">
        <v>10031</v>
      </c>
      <c r="D612" s="1" t="s">
        <v>77</v>
      </c>
      <c r="E612" s="1">
        <v>3216.5520000000001</v>
      </c>
    </row>
    <row r="613" spans="3:5" x14ac:dyDescent="0.35">
      <c r="C613" s="1" t="s">
        <v>10030</v>
      </c>
      <c r="D613" s="1" t="s">
        <v>77</v>
      </c>
      <c r="E613" s="1">
        <v>3216.5529999999999</v>
      </c>
    </row>
    <row r="614" spans="3:5" x14ac:dyDescent="0.35">
      <c r="C614" s="1" t="s">
        <v>10029</v>
      </c>
      <c r="D614" s="1" t="s">
        <v>77</v>
      </c>
      <c r="E614" s="1">
        <v>3216.5540000000001</v>
      </c>
    </row>
    <row r="615" spans="3:5" x14ac:dyDescent="0.35">
      <c r="C615" s="1" t="s">
        <v>10028</v>
      </c>
      <c r="D615" s="1" t="s">
        <v>77</v>
      </c>
      <c r="E615" s="1">
        <v>3216.5549999999998</v>
      </c>
    </row>
    <row r="616" spans="3:5" x14ac:dyDescent="0.35">
      <c r="C616" s="1" t="s">
        <v>10027</v>
      </c>
      <c r="D616" s="1" t="s">
        <v>77</v>
      </c>
      <c r="E616" s="1">
        <v>3216.556</v>
      </c>
    </row>
    <row r="617" spans="3:5" x14ac:dyDescent="0.35">
      <c r="C617" s="1" t="s">
        <v>10026</v>
      </c>
      <c r="D617" s="1" t="s">
        <v>77</v>
      </c>
      <c r="E617" s="1">
        <v>3216.5569999999998</v>
      </c>
    </row>
    <row r="618" spans="3:5" x14ac:dyDescent="0.35">
      <c r="C618" s="1" t="s">
        <v>10025</v>
      </c>
      <c r="D618" s="1" t="s">
        <v>77</v>
      </c>
      <c r="E618" s="1">
        <v>3216.558</v>
      </c>
    </row>
    <row r="619" spans="3:5" x14ac:dyDescent="0.35">
      <c r="C619" s="1" t="s">
        <v>10024</v>
      </c>
      <c r="D619" s="1" t="s">
        <v>77</v>
      </c>
      <c r="E619" s="1">
        <v>3216.5590000000002</v>
      </c>
    </row>
    <row r="620" spans="3:5" x14ac:dyDescent="0.35">
      <c r="C620" s="1" t="s">
        <v>10023</v>
      </c>
      <c r="D620" s="1" t="s">
        <v>77</v>
      </c>
      <c r="E620" s="1">
        <v>3216.56</v>
      </c>
    </row>
    <row r="621" spans="3:5" x14ac:dyDescent="0.35">
      <c r="C621" s="1" t="s">
        <v>10022</v>
      </c>
      <c r="D621" s="1" t="s">
        <v>77</v>
      </c>
      <c r="E621" s="1">
        <v>3216.5610000000001</v>
      </c>
    </row>
    <row r="622" spans="3:5" x14ac:dyDescent="0.35">
      <c r="C622" s="1" t="s">
        <v>10021</v>
      </c>
      <c r="D622" s="1" t="s">
        <v>77</v>
      </c>
      <c r="E622" s="1">
        <v>3216.5619999999999</v>
      </c>
    </row>
    <row r="623" spans="3:5" x14ac:dyDescent="0.35">
      <c r="C623" s="1" t="s">
        <v>10048</v>
      </c>
      <c r="D623" s="1" t="s">
        <v>77</v>
      </c>
      <c r="E623" s="1">
        <v>3216.5650000000001</v>
      </c>
    </row>
    <row r="624" spans="3:5" x14ac:dyDescent="0.35">
      <c r="C624" s="1" t="s">
        <v>10047</v>
      </c>
      <c r="D624" s="1" t="s">
        <v>57</v>
      </c>
      <c r="E624" s="1">
        <v>3216.57</v>
      </c>
    </row>
    <row r="625" spans="3:5" x14ac:dyDescent="0.35">
      <c r="C625" s="1" t="s">
        <v>10035</v>
      </c>
      <c r="D625" s="1" t="s">
        <v>57</v>
      </c>
      <c r="E625" s="1">
        <v>3216.5709999999999</v>
      </c>
    </row>
    <row r="626" spans="3:5" x14ac:dyDescent="0.35">
      <c r="C626" s="1" t="s">
        <v>10031</v>
      </c>
      <c r="D626" s="1" t="s">
        <v>77</v>
      </c>
      <c r="E626" s="1">
        <v>3216.5720000000001</v>
      </c>
    </row>
    <row r="627" spans="3:5" x14ac:dyDescent="0.35">
      <c r="C627" s="1" t="s">
        <v>10030</v>
      </c>
      <c r="D627" s="1" t="s">
        <v>77</v>
      </c>
      <c r="E627" s="1">
        <v>3216.5729999999999</v>
      </c>
    </row>
    <row r="628" spans="3:5" x14ac:dyDescent="0.35">
      <c r="C628" s="1" t="s">
        <v>10029</v>
      </c>
      <c r="D628" s="1" t="s">
        <v>77</v>
      </c>
      <c r="E628" s="1">
        <v>3216.5740000000001</v>
      </c>
    </row>
    <row r="629" spans="3:5" x14ac:dyDescent="0.35">
      <c r="C629" s="1" t="s">
        <v>10028</v>
      </c>
      <c r="D629" s="1" t="s">
        <v>77</v>
      </c>
      <c r="E629" s="1">
        <v>3216.5749999999998</v>
      </c>
    </row>
    <row r="630" spans="3:5" x14ac:dyDescent="0.35">
      <c r="C630" s="1" t="s">
        <v>10027</v>
      </c>
      <c r="D630" s="1" t="s">
        <v>77</v>
      </c>
      <c r="E630" s="1">
        <v>3216.576</v>
      </c>
    </row>
    <row r="631" spans="3:5" x14ac:dyDescent="0.35">
      <c r="C631" s="1" t="s">
        <v>10026</v>
      </c>
      <c r="D631" s="1" t="s">
        <v>77</v>
      </c>
      <c r="E631" s="1">
        <v>3216.5770000000002</v>
      </c>
    </row>
    <row r="632" spans="3:5" x14ac:dyDescent="0.35">
      <c r="C632" s="1" t="s">
        <v>10025</v>
      </c>
      <c r="D632" s="1" t="s">
        <v>77</v>
      </c>
      <c r="E632" s="1">
        <v>3216.578</v>
      </c>
    </row>
    <row r="633" spans="3:5" x14ac:dyDescent="0.35">
      <c r="C633" s="1" t="s">
        <v>10024</v>
      </c>
      <c r="D633" s="1" t="s">
        <v>77</v>
      </c>
      <c r="E633" s="1">
        <v>3216.5790000000002</v>
      </c>
    </row>
    <row r="634" spans="3:5" x14ac:dyDescent="0.35">
      <c r="C634" s="1" t="s">
        <v>10023</v>
      </c>
      <c r="D634" s="1" t="s">
        <v>77</v>
      </c>
      <c r="E634" s="1">
        <v>3216.58</v>
      </c>
    </row>
    <row r="635" spans="3:5" x14ac:dyDescent="0.35">
      <c r="C635" s="1" t="s">
        <v>10022</v>
      </c>
      <c r="D635" s="1" t="s">
        <v>77</v>
      </c>
      <c r="E635" s="1">
        <v>3216.5810000000001</v>
      </c>
    </row>
    <row r="636" spans="3:5" x14ac:dyDescent="0.35">
      <c r="C636" s="1" t="s">
        <v>10021</v>
      </c>
      <c r="D636" s="1" t="s">
        <v>77</v>
      </c>
      <c r="E636" s="1">
        <v>3216.5819999999999</v>
      </c>
    </row>
    <row r="637" spans="3:5" x14ac:dyDescent="0.35">
      <c r="C637" s="1" t="s">
        <v>10034</v>
      </c>
      <c r="D637" s="1" t="s">
        <v>57</v>
      </c>
      <c r="E637" s="1">
        <v>3216.5909999999999</v>
      </c>
    </row>
    <row r="638" spans="3:5" x14ac:dyDescent="0.35">
      <c r="C638" s="1" t="s">
        <v>10031</v>
      </c>
      <c r="D638" s="1" t="s">
        <v>77</v>
      </c>
      <c r="E638" s="1">
        <v>3216.5920000000001</v>
      </c>
    </row>
    <row r="639" spans="3:5" x14ac:dyDescent="0.35">
      <c r="C639" s="1" t="s">
        <v>10030</v>
      </c>
      <c r="D639" s="1" t="s">
        <v>77</v>
      </c>
      <c r="E639" s="1">
        <v>3216.5929999999998</v>
      </c>
    </row>
    <row r="640" spans="3:5" x14ac:dyDescent="0.35">
      <c r="C640" s="1" t="s">
        <v>10029</v>
      </c>
      <c r="D640" s="1" t="s">
        <v>77</v>
      </c>
      <c r="E640" s="1">
        <v>3216.5940000000001</v>
      </c>
    </row>
    <row r="641" spans="3:5" x14ac:dyDescent="0.35">
      <c r="C641" s="1" t="s">
        <v>10028</v>
      </c>
      <c r="D641" s="1" t="s">
        <v>77</v>
      </c>
      <c r="E641" s="1">
        <v>3216.5949999999998</v>
      </c>
    </row>
    <row r="642" spans="3:5" x14ac:dyDescent="0.35">
      <c r="C642" s="1" t="s">
        <v>10027</v>
      </c>
      <c r="D642" s="1" t="s">
        <v>77</v>
      </c>
      <c r="E642" s="1">
        <v>3216.596</v>
      </c>
    </row>
    <row r="643" spans="3:5" x14ac:dyDescent="0.35">
      <c r="C643" s="1" t="s">
        <v>10026</v>
      </c>
      <c r="D643" s="1" t="s">
        <v>77</v>
      </c>
      <c r="E643" s="1">
        <v>3216.5970000000002</v>
      </c>
    </row>
    <row r="644" spans="3:5" x14ac:dyDescent="0.35">
      <c r="C644" s="1" t="s">
        <v>10025</v>
      </c>
      <c r="D644" s="1" t="s">
        <v>77</v>
      </c>
      <c r="E644" s="1">
        <v>3216.598</v>
      </c>
    </row>
    <row r="645" spans="3:5" x14ac:dyDescent="0.35">
      <c r="C645" s="1" t="s">
        <v>10024</v>
      </c>
      <c r="D645" s="1" t="s">
        <v>77</v>
      </c>
      <c r="E645" s="1">
        <v>3216.5990000000002</v>
      </c>
    </row>
    <row r="646" spans="3:5" x14ac:dyDescent="0.35">
      <c r="C646" s="1" t="s">
        <v>10023</v>
      </c>
      <c r="D646" s="1" t="s">
        <v>77</v>
      </c>
      <c r="E646" s="1">
        <v>3216.6</v>
      </c>
    </row>
    <row r="647" spans="3:5" x14ac:dyDescent="0.35">
      <c r="C647" s="1" t="s">
        <v>10022</v>
      </c>
      <c r="D647" s="1" t="s">
        <v>77</v>
      </c>
      <c r="E647" s="1">
        <v>3216.6010000000001</v>
      </c>
    </row>
    <row r="648" spans="3:5" x14ac:dyDescent="0.35">
      <c r="C648" s="1" t="s">
        <v>10021</v>
      </c>
      <c r="D648" s="1" t="s">
        <v>77</v>
      </c>
      <c r="E648" s="1">
        <v>3216.6019999999999</v>
      </c>
    </row>
    <row r="649" spans="3:5" x14ac:dyDescent="0.35">
      <c r="C649" s="1" t="s">
        <v>10033</v>
      </c>
      <c r="D649" s="1" t="s">
        <v>57</v>
      </c>
      <c r="E649" s="1">
        <v>3216.6109999999999</v>
      </c>
    </row>
    <row r="650" spans="3:5" x14ac:dyDescent="0.35">
      <c r="C650" s="1" t="s">
        <v>10031</v>
      </c>
      <c r="D650" s="1" t="s">
        <v>77</v>
      </c>
      <c r="E650" s="1">
        <v>3216.6120000000001</v>
      </c>
    </row>
    <row r="651" spans="3:5" x14ac:dyDescent="0.35">
      <c r="C651" s="1" t="s">
        <v>10030</v>
      </c>
      <c r="D651" s="1" t="s">
        <v>77</v>
      </c>
      <c r="E651" s="1">
        <v>3216.6129999999998</v>
      </c>
    </row>
    <row r="652" spans="3:5" x14ac:dyDescent="0.35">
      <c r="C652" s="1" t="s">
        <v>10029</v>
      </c>
      <c r="D652" s="1" t="s">
        <v>77</v>
      </c>
      <c r="E652" s="1">
        <v>3216.614</v>
      </c>
    </row>
    <row r="653" spans="3:5" x14ac:dyDescent="0.35">
      <c r="C653" s="1" t="s">
        <v>10028</v>
      </c>
      <c r="D653" s="1" t="s">
        <v>77</v>
      </c>
      <c r="E653" s="1">
        <v>3216.6149999999998</v>
      </c>
    </row>
    <row r="654" spans="3:5" x14ac:dyDescent="0.35">
      <c r="C654" s="1" t="s">
        <v>10027</v>
      </c>
      <c r="D654" s="1" t="s">
        <v>77</v>
      </c>
      <c r="E654" s="1">
        <v>3216.616</v>
      </c>
    </row>
    <row r="655" spans="3:5" x14ac:dyDescent="0.35">
      <c r="C655" s="1" t="s">
        <v>10026</v>
      </c>
      <c r="D655" s="1" t="s">
        <v>77</v>
      </c>
      <c r="E655" s="1">
        <v>3216.6170000000002</v>
      </c>
    </row>
    <row r="656" spans="3:5" x14ac:dyDescent="0.35">
      <c r="C656" s="1" t="s">
        <v>10025</v>
      </c>
      <c r="D656" s="1" t="s">
        <v>77</v>
      </c>
      <c r="E656" s="1">
        <v>3216.6179999999999</v>
      </c>
    </row>
    <row r="657" spans="3:5" x14ac:dyDescent="0.35">
      <c r="C657" s="1" t="s">
        <v>10024</v>
      </c>
      <c r="D657" s="1" t="s">
        <v>77</v>
      </c>
      <c r="E657" s="1">
        <v>3216.6190000000001</v>
      </c>
    </row>
    <row r="658" spans="3:5" x14ac:dyDescent="0.35">
      <c r="C658" s="1" t="s">
        <v>10023</v>
      </c>
      <c r="D658" s="1" t="s">
        <v>77</v>
      </c>
      <c r="E658" s="1">
        <v>3216.62</v>
      </c>
    </row>
    <row r="659" spans="3:5" x14ac:dyDescent="0.35">
      <c r="C659" s="1" t="s">
        <v>10022</v>
      </c>
      <c r="D659" s="1" t="s">
        <v>77</v>
      </c>
      <c r="E659" s="1">
        <v>3216.6210000000001</v>
      </c>
    </row>
    <row r="660" spans="3:5" x14ac:dyDescent="0.35">
      <c r="C660" s="1" t="s">
        <v>10021</v>
      </c>
      <c r="D660" s="1" t="s">
        <v>77</v>
      </c>
      <c r="E660" s="1">
        <v>3216.6219999999998</v>
      </c>
    </row>
    <row r="661" spans="3:5" x14ac:dyDescent="0.35">
      <c r="C661" s="1" t="s">
        <v>10032</v>
      </c>
      <c r="D661" s="1" t="s">
        <v>57</v>
      </c>
      <c r="E661" s="1">
        <v>3216.6309999999999</v>
      </c>
    </row>
    <row r="662" spans="3:5" x14ac:dyDescent="0.35">
      <c r="C662" s="1" t="s">
        <v>10031</v>
      </c>
      <c r="D662" s="1" t="s">
        <v>77</v>
      </c>
      <c r="E662" s="1">
        <v>3216.6320000000001</v>
      </c>
    </row>
    <row r="663" spans="3:5" x14ac:dyDescent="0.35">
      <c r="C663" s="1" t="s">
        <v>10030</v>
      </c>
      <c r="D663" s="1" t="s">
        <v>77</v>
      </c>
      <c r="E663" s="1">
        <v>3216.6329999999998</v>
      </c>
    </row>
    <row r="664" spans="3:5" x14ac:dyDescent="0.35">
      <c r="C664" s="1" t="s">
        <v>10029</v>
      </c>
      <c r="D664" s="1" t="s">
        <v>77</v>
      </c>
      <c r="E664" s="1">
        <v>3216.634</v>
      </c>
    </row>
    <row r="665" spans="3:5" x14ac:dyDescent="0.35">
      <c r="C665" s="1" t="s">
        <v>10028</v>
      </c>
      <c r="D665" s="1" t="s">
        <v>77</v>
      </c>
      <c r="E665" s="1">
        <v>3216.6350000000002</v>
      </c>
    </row>
    <row r="666" spans="3:5" x14ac:dyDescent="0.35">
      <c r="C666" s="1" t="s">
        <v>10027</v>
      </c>
      <c r="D666" s="1" t="s">
        <v>77</v>
      </c>
      <c r="E666" s="1">
        <v>3216.636</v>
      </c>
    </row>
    <row r="667" spans="3:5" x14ac:dyDescent="0.35">
      <c r="C667" s="1" t="s">
        <v>10026</v>
      </c>
      <c r="D667" s="1" t="s">
        <v>77</v>
      </c>
      <c r="E667" s="1">
        <v>3216.6370000000002</v>
      </c>
    </row>
    <row r="668" spans="3:5" x14ac:dyDescent="0.35">
      <c r="C668" s="1" t="s">
        <v>10025</v>
      </c>
      <c r="D668" s="1" t="s">
        <v>77</v>
      </c>
      <c r="E668" s="1">
        <v>3216.6379999999999</v>
      </c>
    </row>
    <row r="669" spans="3:5" x14ac:dyDescent="0.35">
      <c r="C669" s="1" t="s">
        <v>10024</v>
      </c>
      <c r="D669" s="1" t="s">
        <v>77</v>
      </c>
      <c r="E669" s="1">
        <v>3216.6390000000001</v>
      </c>
    </row>
    <row r="670" spans="3:5" x14ac:dyDescent="0.35">
      <c r="C670" s="1" t="s">
        <v>10023</v>
      </c>
      <c r="D670" s="1" t="s">
        <v>77</v>
      </c>
      <c r="E670" s="1">
        <v>3216.64</v>
      </c>
    </row>
    <row r="671" spans="3:5" x14ac:dyDescent="0.35">
      <c r="C671" s="1" t="s">
        <v>10022</v>
      </c>
      <c r="D671" s="1" t="s">
        <v>77</v>
      </c>
      <c r="E671" s="1">
        <v>3216.6410000000001</v>
      </c>
    </row>
    <row r="672" spans="3:5" x14ac:dyDescent="0.35">
      <c r="C672" s="1" t="s">
        <v>10021</v>
      </c>
      <c r="D672" s="1" t="s">
        <v>77</v>
      </c>
      <c r="E672" s="1">
        <v>3216.6419999999998</v>
      </c>
    </row>
    <row r="673" spans="3:5" x14ac:dyDescent="0.35">
      <c r="C673" s="1" t="s">
        <v>10046</v>
      </c>
      <c r="D673" s="1" t="s">
        <v>77</v>
      </c>
      <c r="E673" s="1">
        <v>3216.645</v>
      </c>
    </row>
    <row r="674" spans="3:5" x14ac:dyDescent="0.35">
      <c r="C674" s="1" t="s">
        <v>10045</v>
      </c>
      <c r="D674" s="1" t="s">
        <v>57</v>
      </c>
      <c r="E674" s="1">
        <v>3216.65</v>
      </c>
    </row>
    <row r="675" spans="3:5" x14ac:dyDescent="0.35">
      <c r="C675" s="1" t="s">
        <v>10035</v>
      </c>
      <c r="D675" s="1" t="s">
        <v>57</v>
      </c>
      <c r="E675" s="1">
        <v>3216.6509999999998</v>
      </c>
    </row>
    <row r="676" spans="3:5" x14ac:dyDescent="0.35">
      <c r="C676" s="1" t="s">
        <v>10031</v>
      </c>
      <c r="D676" s="1" t="s">
        <v>77</v>
      </c>
      <c r="E676" s="1">
        <v>3216.652</v>
      </c>
    </row>
    <row r="677" spans="3:5" x14ac:dyDescent="0.35">
      <c r="C677" s="1" t="s">
        <v>10030</v>
      </c>
      <c r="D677" s="1" t="s">
        <v>77</v>
      </c>
      <c r="E677" s="1">
        <v>3216.6529999999998</v>
      </c>
    </row>
    <row r="678" spans="3:5" x14ac:dyDescent="0.35">
      <c r="C678" s="1" t="s">
        <v>10029</v>
      </c>
      <c r="D678" s="1" t="s">
        <v>77</v>
      </c>
      <c r="E678" s="1">
        <v>3216.654</v>
      </c>
    </row>
    <row r="679" spans="3:5" x14ac:dyDescent="0.35">
      <c r="C679" s="1" t="s">
        <v>10028</v>
      </c>
      <c r="D679" s="1" t="s">
        <v>77</v>
      </c>
      <c r="E679" s="1">
        <v>3216.6550000000002</v>
      </c>
    </row>
    <row r="680" spans="3:5" x14ac:dyDescent="0.35">
      <c r="C680" s="1" t="s">
        <v>10027</v>
      </c>
      <c r="D680" s="1" t="s">
        <v>77</v>
      </c>
      <c r="E680" s="1">
        <v>3216.6559999999999</v>
      </c>
    </row>
    <row r="681" spans="3:5" x14ac:dyDescent="0.35">
      <c r="C681" s="1" t="s">
        <v>10026</v>
      </c>
      <c r="D681" s="1" t="s">
        <v>77</v>
      </c>
      <c r="E681" s="1">
        <v>3216.6570000000002</v>
      </c>
    </row>
    <row r="682" spans="3:5" x14ac:dyDescent="0.35">
      <c r="C682" s="1" t="s">
        <v>10025</v>
      </c>
      <c r="D682" s="1" t="s">
        <v>77</v>
      </c>
      <c r="E682" s="1">
        <v>3216.6579999999999</v>
      </c>
    </row>
    <row r="683" spans="3:5" x14ac:dyDescent="0.35">
      <c r="C683" s="1" t="s">
        <v>10024</v>
      </c>
      <c r="D683" s="1" t="s">
        <v>77</v>
      </c>
      <c r="E683" s="1">
        <v>3216.6590000000001</v>
      </c>
    </row>
    <row r="684" spans="3:5" x14ac:dyDescent="0.35">
      <c r="C684" s="1" t="s">
        <v>10023</v>
      </c>
      <c r="D684" s="1" t="s">
        <v>77</v>
      </c>
      <c r="E684" s="1">
        <v>3216.66</v>
      </c>
    </row>
    <row r="685" spans="3:5" x14ac:dyDescent="0.35">
      <c r="C685" s="1" t="s">
        <v>10022</v>
      </c>
      <c r="D685" s="1" t="s">
        <v>77</v>
      </c>
      <c r="E685" s="1">
        <v>3216.6610000000001</v>
      </c>
    </row>
    <row r="686" spans="3:5" x14ac:dyDescent="0.35">
      <c r="C686" s="1" t="s">
        <v>10021</v>
      </c>
      <c r="D686" s="1" t="s">
        <v>77</v>
      </c>
      <c r="E686" s="1">
        <v>3216.6619999999998</v>
      </c>
    </row>
    <row r="687" spans="3:5" x14ac:dyDescent="0.35">
      <c r="C687" s="1" t="s">
        <v>10034</v>
      </c>
      <c r="D687" s="1" t="s">
        <v>57</v>
      </c>
      <c r="E687" s="1">
        <v>3216.6709999999998</v>
      </c>
    </row>
    <row r="688" spans="3:5" x14ac:dyDescent="0.35">
      <c r="C688" s="1" t="s">
        <v>10031</v>
      </c>
      <c r="D688" s="1" t="s">
        <v>77</v>
      </c>
      <c r="E688" s="1">
        <v>3216.672</v>
      </c>
    </row>
    <row r="689" spans="3:5" x14ac:dyDescent="0.35">
      <c r="C689" s="1" t="s">
        <v>10030</v>
      </c>
      <c r="D689" s="1" t="s">
        <v>77</v>
      </c>
      <c r="E689" s="1">
        <v>3216.6729999999998</v>
      </c>
    </row>
    <row r="690" spans="3:5" x14ac:dyDescent="0.35">
      <c r="C690" s="1" t="s">
        <v>10029</v>
      </c>
      <c r="D690" s="1" t="s">
        <v>77</v>
      </c>
      <c r="E690" s="1">
        <v>3216.674</v>
      </c>
    </row>
    <row r="691" spans="3:5" x14ac:dyDescent="0.35">
      <c r="C691" s="1" t="s">
        <v>10028</v>
      </c>
      <c r="D691" s="1" t="s">
        <v>77</v>
      </c>
      <c r="E691" s="1">
        <v>3216.6750000000002</v>
      </c>
    </row>
    <row r="692" spans="3:5" x14ac:dyDescent="0.35">
      <c r="C692" s="1" t="s">
        <v>10027</v>
      </c>
      <c r="D692" s="1" t="s">
        <v>77</v>
      </c>
      <c r="E692" s="1">
        <v>3216.6759999999999</v>
      </c>
    </row>
    <row r="693" spans="3:5" x14ac:dyDescent="0.35">
      <c r="C693" s="1" t="s">
        <v>10026</v>
      </c>
      <c r="D693" s="1" t="s">
        <v>77</v>
      </c>
      <c r="E693" s="1">
        <v>3216.6770000000001</v>
      </c>
    </row>
    <row r="694" spans="3:5" x14ac:dyDescent="0.35">
      <c r="C694" s="1" t="s">
        <v>10025</v>
      </c>
      <c r="D694" s="1" t="s">
        <v>77</v>
      </c>
      <c r="E694" s="1">
        <v>3216.6779999999999</v>
      </c>
    </row>
    <row r="695" spans="3:5" x14ac:dyDescent="0.35">
      <c r="C695" s="1" t="s">
        <v>10024</v>
      </c>
      <c r="D695" s="1" t="s">
        <v>77</v>
      </c>
      <c r="E695" s="1">
        <v>3216.6790000000001</v>
      </c>
    </row>
    <row r="696" spans="3:5" x14ac:dyDescent="0.35">
      <c r="C696" s="1" t="s">
        <v>10023</v>
      </c>
      <c r="D696" s="1" t="s">
        <v>77</v>
      </c>
      <c r="E696" s="1">
        <v>3216.68</v>
      </c>
    </row>
    <row r="697" spans="3:5" x14ac:dyDescent="0.35">
      <c r="C697" s="1" t="s">
        <v>10022</v>
      </c>
      <c r="D697" s="1" t="s">
        <v>77</v>
      </c>
      <c r="E697" s="1">
        <v>3216.681</v>
      </c>
    </row>
    <row r="698" spans="3:5" x14ac:dyDescent="0.35">
      <c r="C698" s="1" t="s">
        <v>10021</v>
      </c>
      <c r="D698" s="1" t="s">
        <v>77</v>
      </c>
      <c r="E698" s="1">
        <v>3216.6819999999998</v>
      </c>
    </row>
    <row r="699" spans="3:5" x14ac:dyDescent="0.35">
      <c r="C699" s="1" t="s">
        <v>10033</v>
      </c>
      <c r="D699" s="1" t="s">
        <v>57</v>
      </c>
      <c r="E699" s="1">
        <v>3216.6909999999998</v>
      </c>
    </row>
    <row r="700" spans="3:5" x14ac:dyDescent="0.35">
      <c r="C700" s="1" t="s">
        <v>10031</v>
      </c>
      <c r="D700" s="1" t="s">
        <v>77</v>
      </c>
      <c r="E700" s="1">
        <v>3216.692</v>
      </c>
    </row>
    <row r="701" spans="3:5" x14ac:dyDescent="0.35">
      <c r="C701" s="1" t="s">
        <v>10030</v>
      </c>
      <c r="D701" s="1" t="s">
        <v>77</v>
      </c>
      <c r="E701" s="1">
        <v>3216.6930000000002</v>
      </c>
    </row>
    <row r="702" spans="3:5" x14ac:dyDescent="0.35">
      <c r="C702" s="1" t="s">
        <v>10029</v>
      </c>
      <c r="D702" s="1" t="s">
        <v>77</v>
      </c>
      <c r="E702" s="1">
        <v>3216.694</v>
      </c>
    </row>
    <row r="703" spans="3:5" x14ac:dyDescent="0.35">
      <c r="C703" s="1" t="s">
        <v>10028</v>
      </c>
      <c r="D703" s="1" t="s">
        <v>77</v>
      </c>
      <c r="E703" s="1">
        <v>3216.6950000000002</v>
      </c>
    </row>
    <row r="704" spans="3:5" x14ac:dyDescent="0.35">
      <c r="C704" s="1" t="s">
        <v>10027</v>
      </c>
      <c r="D704" s="1" t="s">
        <v>77</v>
      </c>
      <c r="E704" s="1">
        <v>3216.6959999999999</v>
      </c>
    </row>
    <row r="705" spans="3:5" x14ac:dyDescent="0.35">
      <c r="C705" s="1" t="s">
        <v>10026</v>
      </c>
      <c r="D705" s="1" t="s">
        <v>77</v>
      </c>
      <c r="E705" s="1">
        <v>3216.6970000000001</v>
      </c>
    </row>
    <row r="706" spans="3:5" x14ac:dyDescent="0.35">
      <c r="C706" s="1" t="s">
        <v>10025</v>
      </c>
      <c r="D706" s="1" t="s">
        <v>77</v>
      </c>
      <c r="E706" s="1">
        <v>3216.6979999999999</v>
      </c>
    </row>
    <row r="707" spans="3:5" x14ac:dyDescent="0.35">
      <c r="C707" s="1" t="s">
        <v>10024</v>
      </c>
      <c r="D707" s="1" t="s">
        <v>77</v>
      </c>
      <c r="E707" s="1">
        <v>3216.6990000000001</v>
      </c>
    </row>
    <row r="708" spans="3:5" x14ac:dyDescent="0.35">
      <c r="C708" s="1" t="s">
        <v>10023</v>
      </c>
      <c r="D708" s="1" t="s">
        <v>77</v>
      </c>
      <c r="E708" s="1">
        <v>3216.7</v>
      </c>
    </row>
    <row r="709" spans="3:5" x14ac:dyDescent="0.35">
      <c r="C709" s="1" t="s">
        <v>10022</v>
      </c>
      <c r="D709" s="1" t="s">
        <v>77</v>
      </c>
      <c r="E709" s="1">
        <v>3216.701</v>
      </c>
    </row>
    <row r="710" spans="3:5" x14ac:dyDescent="0.35">
      <c r="C710" s="1" t="s">
        <v>10021</v>
      </c>
      <c r="D710" s="1" t="s">
        <v>77</v>
      </c>
      <c r="E710" s="1">
        <v>3216.7020000000002</v>
      </c>
    </row>
    <row r="711" spans="3:5" x14ac:dyDescent="0.35">
      <c r="C711" s="1" t="s">
        <v>10032</v>
      </c>
      <c r="D711" s="1" t="s">
        <v>57</v>
      </c>
      <c r="E711" s="1">
        <v>3216.7109999999998</v>
      </c>
    </row>
    <row r="712" spans="3:5" x14ac:dyDescent="0.35">
      <c r="C712" s="1" t="s">
        <v>10031</v>
      </c>
      <c r="D712" s="1" t="s">
        <v>77</v>
      </c>
      <c r="E712" s="1">
        <v>3216.712</v>
      </c>
    </row>
    <row r="713" spans="3:5" x14ac:dyDescent="0.35">
      <c r="C713" s="1" t="s">
        <v>10030</v>
      </c>
      <c r="D713" s="1" t="s">
        <v>77</v>
      </c>
      <c r="E713" s="1">
        <v>3216.7130000000002</v>
      </c>
    </row>
    <row r="714" spans="3:5" x14ac:dyDescent="0.35">
      <c r="C714" s="1" t="s">
        <v>10029</v>
      </c>
      <c r="D714" s="1" t="s">
        <v>77</v>
      </c>
      <c r="E714" s="1">
        <v>3216.7139999999999</v>
      </c>
    </row>
    <row r="715" spans="3:5" x14ac:dyDescent="0.35">
      <c r="C715" s="1" t="s">
        <v>10028</v>
      </c>
      <c r="D715" s="1" t="s">
        <v>77</v>
      </c>
      <c r="E715" s="1">
        <v>3216.7150000000001</v>
      </c>
    </row>
    <row r="716" spans="3:5" x14ac:dyDescent="0.35">
      <c r="C716" s="1" t="s">
        <v>10027</v>
      </c>
      <c r="D716" s="1" t="s">
        <v>77</v>
      </c>
      <c r="E716" s="1">
        <v>3216.7159999999999</v>
      </c>
    </row>
    <row r="717" spans="3:5" x14ac:dyDescent="0.35">
      <c r="C717" s="1" t="s">
        <v>10026</v>
      </c>
      <c r="D717" s="1" t="s">
        <v>77</v>
      </c>
      <c r="E717" s="1">
        <v>3216.7170000000001</v>
      </c>
    </row>
    <row r="718" spans="3:5" x14ac:dyDescent="0.35">
      <c r="C718" s="1" t="s">
        <v>10025</v>
      </c>
      <c r="D718" s="1" t="s">
        <v>77</v>
      </c>
      <c r="E718" s="1">
        <v>3216.7179999999998</v>
      </c>
    </row>
    <row r="719" spans="3:5" x14ac:dyDescent="0.35">
      <c r="C719" s="1" t="s">
        <v>10024</v>
      </c>
      <c r="D719" s="1" t="s">
        <v>77</v>
      </c>
      <c r="E719" s="1">
        <v>3216.7190000000001</v>
      </c>
    </row>
    <row r="720" spans="3:5" x14ac:dyDescent="0.35">
      <c r="C720" s="1" t="s">
        <v>10023</v>
      </c>
      <c r="D720" s="1" t="s">
        <v>77</v>
      </c>
      <c r="E720" s="1">
        <v>3216.72</v>
      </c>
    </row>
    <row r="721" spans="3:5" x14ac:dyDescent="0.35">
      <c r="C721" s="1" t="s">
        <v>10022</v>
      </c>
      <c r="D721" s="1" t="s">
        <v>77</v>
      </c>
      <c r="E721" s="1">
        <v>3216.721</v>
      </c>
    </row>
    <row r="722" spans="3:5" x14ac:dyDescent="0.35">
      <c r="C722" s="1" t="s">
        <v>10021</v>
      </c>
      <c r="D722" s="1" t="s">
        <v>77</v>
      </c>
      <c r="E722" s="1">
        <v>3216.7220000000002</v>
      </c>
    </row>
    <row r="723" spans="3:5" x14ac:dyDescent="0.35">
      <c r="C723" s="1" t="s">
        <v>10044</v>
      </c>
      <c r="D723" s="1" t="s">
        <v>77</v>
      </c>
      <c r="E723" s="1">
        <v>3216.7249999999999</v>
      </c>
    </row>
    <row r="724" spans="3:5" x14ac:dyDescent="0.35">
      <c r="C724" s="1" t="s">
        <v>10069</v>
      </c>
      <c r="D724" s="1" t="s">
        <v>57</v>
      </c>
      <c r="E724" s="1">
        <v>3216.73</v>
      </c>
    </row>
    <row r="725" spans="3:5" x14ac:dyDescent="0.35">
      <c r="C725" s="1" t="s">
        <v>10035</v>
      </c>
      <c r="D725" s="1" t="s">
        <v>57</v>
      </c>
      <c r="E725" s="1">
        <v>3216.7310000000002</v>
      </c>
    </row>
    <row r="726" spans="3:5" x14ac:dyDescent="0.35">
      <c r="C726" s="1" t="s">
        <v>10031</v>
      </c>
      <c r="D726" s="1" t="s">
        <v>77</v>
      </c>
      <c r="E726" s="1">
        <v>3216.732</v>
      </c>
    </row>
    <row r="727" spans="3:5" x14ac:dyDescent="0.35">
      <c r="C727" s="1" t="s">
        <v>10030</v>
      </c>
      <c r="D727" s="1" t="s">
        <v>77</v>
      </c>
      <c r="E727" s="1">
        <v>3216.7330000000002</v>
      </c>
    </row>
    <row r="728" spans="3:5" x14ac:dyDescent="0.35">
      <c r="C728" s="1" t="s">
        <v>10029</v>
      </c>
      <c r="D728" s="1" t="s">
        <v>77</v>
      </c>
      <c r="E728" s="1">
        <v>3216.7339999999999</v>
      </c>
    </row>
    <row r="729" spans="3:5" x14ac:dyDescent="0.35">
      <c r="C729" s="1" t="s">
        <v>10028</v>
      </c>
      <c r="D729" s="1" t="s">
        <v>77</v>
      </c>
      <c r="E729" s="1">
        <v>3216.7350000000001</v>
      </c>
    </row>
    <row r="730" spans="3:5" x14ac:dyDescent="0.35">
      <c r="C730" s="1" t="s">
        <v>10027</v>
      </c>
      <c r="D730" s="1" t="s">
        <v>77</v>
      </c>
      <c r="E730" s="1">
        <v>3216.7359999999999</v>
      </c>
    </row>
    <row r="731" spans="3:5" x14ac:dyDescent="0.35">
      <c r="C731" s="1" t="s">
        <v>10026</v>
      </c>
      <c r="D731" s="1" t="s">
        <v>77</v>
      </c>
      <c r="E731" s="1">
        <v>3216.7370000000001</v>
      </c>
    </row>
    <row r="732" spans="3:5" x14ac:dyDescent="0.35">
      <c r="C732" s="1" t="s">
        <v>10025</v>
      </c>
      <c r="D732" s="1" t="s">
        <v>77</v>
      </c>
      <c r="E732" s="1">
        <v>3216.7379999999998</v>
      </c>
    </row>
    <row r="733" spans="3:5" x14ac:dyDescent="0.35">
      <c r="C733" s="1" t="s">
        <v>10024</v>
      </c>
      <c r="D733" s="1" t="s">
        <v>77</v>
      </c>
      <c r="E733" s="1">
        <v>3216.739</v>
      </c>
    </row>
    <row r="734" spans="3:5" x14ac:dyDescent="0.35">
      <c r="C734" s="1" t="s">
        <v>10023</v>
      </c>
      <c r="D734" s="1" t="s">
        <v>77</v>
      </c>
      <c r="E734" s="1">
        <v>3216.74</v>
      </c>
    </row>
    <row r="735" spans="3:5" x14ac:dyDescent="0.35">
      <c r="C735" s="1" t="s">
        <v>10022</v>
      </c>
      <c r="D735" s="1" t="s">
        <v>77</v>
      </c>
      <c r="E735" s="1">
        <v>3216.741</v>
      </c>
    </row>
    <row r="736" spans="3:5" x14ac:dyDescent="0.35">
      <c r="C736" s="1" t="s">
        <v>10021</v>
      </c>
      <c r="D736" s="1" t="s">
        <v>77</v>
      </c>
      <c r="E736" s="1">
        <v>3216.7420000000002</v>
      </c>
    </row>
    <row r="737" spans="3:5" x14ac:dyDescent="0.35">
      <c r="C737" s="1" t="s">
        <v>10034</v>
      </c>
      <c r="D737" s="1" t="s">
        <v>57</v>
      </c>
      <c r="E737" s="1">
        <v>3216.7510000000002</v>
      </c>
    </row>
    <row r="738" spans="3:5" x14ac:dyDescent="0.35">
      <c r="C738" s="1" t="s">
        <v>10031</v>
      </c>
      <c r="D738" s="1" t="s">
        <v>77</v>
      </c>
      <c r="E738" s="1">
        <v>3216.752</v>
      </c>
    </row>
    <row r="739" spans="3:5" x14ac:dyDescent="0.35">
      <c r="C739" s="1" t="s">
        <v>10030</v>
      </c>
      <c r="D739" s="1" t="s">
        <v>77</v>
      </c>
      <c r="E739" s="1">
        <v>3216.7530000000002</v>
      </c>
    </row>
    <row r="740" spans="3:5" x14ac:dyDescent="0.35">
      <c r="C740" s="1" t="s">
        <v>10029</v>
      </c>
      <c r="D740" s="1" t="s">
        <v>77</v>
      </c>
      <c r="E740" s="1">
        <v>3216.7539999999999</v>
      </c>
    </row>
    <row r="741" spans="3:5" x14ac:dyDescent="0.35">
      <c r="C741" s="1" t="s">
        <v>10028</v>
      </c>
      <c r="D741" s="1" t="s">
        <v>77</v>
      </c>
      <c r="E741" s="1">
        <v>3216.7550000000001</v>
      </c>
    </row>
    <row r="742" spans="3:5" x14ac:dyDescent="0.35">
      <c r="C742" s="1" t="s">
        <v>10027</v>
      </c>
      <c r="D742" s="1" t="s">
        <v>77</v>
      </c>
      <c r="E742" s="1">
        <v>3216.7559999999999</v>
      </c>
    </row>
    <row r="743" spans="3:5" x14ac:dyDescent="0.35">
      <c r="C743" s="1" t="s">
        <v>10026</v>
      </c>
      <c r="D743" s="1" t="s">
        <v>77</v>
      </c>
      <c r="E743" s="1">
        <v>3216.7570000000001</v>
      </c>
    </row>
    <row r="744" spans="3:5" x14ac:dyDescent="0.35">
      <c r="C744" s="1" t="s">
        <v>10025</v>
      </c>
      <c r="D744" s="1" t="s">
        <v>77</v>
      </c>
      <c r="E744" s="1">
        <v>3216.7579999999998</v>
      </c>
    </row>
    <row r="745" spans="3:5" x14ac:dyDescent="0.35">
      <c r="C745" s="1" t="s">
        <v>10024</v>
      </c>
      <c r="D745" s="1" t="s">
        <v>77</v>
      </c>
      <c r="E745" s="1">
        <v>3216.759</v>
      </c>
    </row>
    <row r="746" spans="3:5" x14ac:dyDescent="0.35">
      <c r="C746" s="1" t="s">
        <v>10023</v>
      </c>
      <c r="D746" s="1" t="s">
        <v>77</v>
      </c>
      <c r="E746" s="1">
        <v>3216.76</v>
      </c>
    </row>
    <row r="747" spans="3:5" x14ac:dyDescent="0.35">
      <c r="C747" s="1" t="s">
        <v>10022</v>
      </c>
      <c r="D747" s="1" t="s">
        <v>77</v>
      </c>
      <c r="E747" s="1">
        <v>3216.761</v>
      </c>
    </row>
    <row r="748" spans="3:5" x14ac:dyDescent="0.35">
      <c r="C748" s="1" t="s">
        <v>10021</v>
      </c>
      <c r="D748" s="1" t="s">
        <v>77</v>
      </c>
      <c r="E748" s="1">
        <v>3216.7620000000002</v>
      </c>
    </row>
    <row r="749" spans="3:5" x14ac:dyDescent="0.35">
      <c r="C749" s="1" t="s">
        <v>10033</v>
      </c>
      <c r="D749" s="1" t="s">
        <v>57</v>
      </c>
      <c r="E749" s="1">
        <v>3216.7710000000002</v>
      </c>
    </row>
    <row r="750" spans="3:5" x14ac:dyDescent="0.35">
      <c r="C750" s="1" t="s">
        <v>10031</v>
      </c>
      <c r="D750" s="1" t="s">
        <v>77</v>
      </c>
      <c r="E750" s="1">
        <v>3216.7719999999999</v>
      </c>
    </row>
    <row r="751" spans="3:5" x14ac:dyDescent="0.35">
      <c r="C751" s="1" t="s">
        <v>10030</v>
      </c>
      <c r="D751" s="1" t="s">
        <v>77</v>
      </c>
      <c r="E751" s="1">
        <v>3216.7730000000001</v>
      </c>
    </row>
    <row r="752" spans="3:5" x14ac:dyDescent="0.35">
      <c r="C752" s="1" t="s">
        <v>10029</v>
      </c>
      <c r="D752" s="1" t="s">
        <v>77</v>
      </c>
      <c r="E752" s="1">
        <v>3216.7739999999999</v>
      </c>
    </row>
    <row r="753" spans="3:5" x14ac:dyDescent="0.35">
      <c r="C753" s="1" t="s">
        <v>10028</v>
      </c>
      <c r="D753" s="1" t="s">
        <v>77</v>
      </c>
      <c r="E753" s="1">
        <v>3216.7750000000001</v>
      </c>
    </row>
    <row r="754" spans="3:5" x14ac:dyDescent="0.35">
      <c r="C754" s="1" t="s">
        <v>10027</v>
      </c>
      <c r="D754" s="1" t="s">
        <v>77</v>
      </c>
      <c r="E754" s="1">
        <v>3216.7759999999998</v>
      </c>
    </row>
    <row r="755" spans="3:5" x14ac:dyDescent="0.35">
      <c r="C755" s="1" t="s">
        <v>10026</v>
      </c>
      <c r="D755" s="1" t="s">
        <v>77</v>
      </c>
      <c r="E755" s="1">
        <v>3216.777</v>
      </c>
    </row>
    <row r="756" spans="3:5" x14ac:dyDescent="0.35">
      <c r="C756" s="1" t="s">
        <v>10025</v>
      </c>
      <c r="D756" s="1" t="s">
        <v>77</v>
      </c>
      <c r="E756" s="1">
        <v>3216.7779999999998</v>
      </c>
    </row>
    <row r="757" spans="3:5" x14ac:dyDescent="0.35">
      <c r="C757" s="1" t="s">
        <v>10024</v>
      </c>
      <c r="D757" s="1" t="s">
        <v>77</v>
      </c>
      <c r="E757" s="1">
        <v>3216.779</v>
      </c>
    </row>
    <row r="758" spans="3:5" x14ac:dyDescent="0.35">
      <c r="C758" s="1" t="s">
        <v>10023</v>
      </c>
      <c r="D758" s="1" t="s">
        <v>77</v>
      </c>
      <c r="E758" s="1">
        <v>3216.78</v>
      </c>
    </row>
    <row r="759" spans="3:5" x14ac:dyDescent="0.35">
      <c r="C759" s="1" t="s">
        <v>10022</v>
      </c>
      <c r="D759" s="1" t="s">
        <v>77</v>
      </c>
      <c r="E759" s="1">
        <v>3216.7809999999999</v>
      </c>
    </row>
    <row r="760" spans="3:5" x14ac:dyDescent="0.35">
      <c r="C760" s="1" t="s">
        <v>10021</v>
      </c>
      <c r="D760" s="1" t="s">
        <v>77</v>
      </c>
      <c r="E760" s="1">
        <v>3216.7820000000002</v>
      </c>
    </row>
    <row r="761" spans="3:5" x14ac:dyDescent="0.35">
      <c r="C761" s="1" t="s">
        <v>10032</v>
      </c>
      <c r="D761" s="1" t="s">
        <v>57</v>
      </c>
      <c r="E761" s="1">
        <v>3216.7910000000002</v>
      </c>
    </row>
    <row r="762" spans="3:5" x14ac:dyDescent="0.35">
      <c r="C762" s="1" t="s">
        <v>10031</v>
      </c>
      <c r="D762" s="1" t="s">
        <v>77</v>
      </c>
      <c r="E762" s="1">
        <v>3216.7919999999999</v>
      </c>
    </row>
    <row r="763" spans="3:5" x14ac:dyDescent="0.35">
      <c r="C763" s="1" t="s">
        <v>10030</v>
      </c>
      <c r="D763" s="1" t="s">
        <v>77</v>
      </c>
      <c r="E763" s="1">
        <v>3216.7930000000001</v>
      </c>
    </row>
    <row r="764" spans="3:5" x14ac:dyDescent="0.35">
      <c r="C764" s="1" t="s">
        <v>10029</v>
      </c>
      <c r="D764" s="1" t="s">
        <v>77</v>
      </c>
      <c r="E764" s="1">
        <v>3216.7939999999999</v>
      </c>
    </row>
    <row r="765" spans="3:5" x14ac:dyDescent="0.35">
      <c r="C765" s="1" t="s">
        <v>10028</v>
      </c>
      <c r="D765" s="1" t="s">
        <v>77</v>
      </c>
      <c r="E765" s="1">
        <v>3216.7950000000001</v>
      </c>
    </row>
    <row r="766" spans="3:5" x14ac:dyDescent="0.35">
      <c r="C766" s="1" t="s">
        <v>10027</v>
      </c>
      <c r="D766" s="1" t="s">
        <v>77</v>
      </c>
      <c r="E766" s="1">
        <v>3216.7959999999998</v>
      </c>
    </row>
    <row r="767" spans="3:5" x14ac:dyDescent="0.35">
      <c r="C767" s="1" t="s">
        <v>10026</v>
      </c>
      <c r="D767" s="1" t="s">
        <v>77</v>
      </c>
      <c r="E767" s="1">
        <v>3216.797</v>
      </c>
    </row>
    <row r="768" spans="3:5" x14ac:dyDescent="0.35">
      <c r="C768" s="1" t="s">
        <v>10025</v>
      </c>
      <c r="D768" s="1" t="s">
        <v>77</v>
      </c>
      <c r="E768" s="1">
        <v>3216.7979999999998</v>
      </c>
    </row>
    <row r="769" spans="3:5" x14ac:dyDescent="0.35">
      <c r="C769" s="1" t="s">
        <v>10024</v>
      </c>
      <c r="D769" s="1" t="s">
        <v>77</v>
      </c>
      <c r="E769" s="1">
        <v>3216.799</v>
      </c>
    </row>
    <row r="770" spans="3:5" x14ac:dyDescent="0.35">
      <c r="C770" s="1" t="s">
        <v>10023</v>
      </c>
      <c r="D770" s="1" t="s">
        <v>77</v>
      </c>
      <c r="E770" s="1">
        <v>3216.8</v>
      </c>
    </row>
    <row r="771" spans="3:5" x14ac:dyDescent="0.35">
      <c r="C771" s="1" t="s">
        <v>10022</v>
      </c>
      <c r="D771" s="1" t="s">
        <v>77</v>
      </c>
      <c r="E771" s="1">
        <v>3216.8009999999999</v>
      </c>
    </row>
    <row r="772" spans="3:5" x14ac:dyDescent="0.35">
      <c r="C772" s="1" t="s">
        <v>10021</v>
      </c>
      <c r="D772" s="1" t="s">
        <v>77</v>
      </c>
      <c r="E772" s="1">
        <v>3216.8020000000001</v>
      </c>
    </row>
    <row r="773" spans="3:5" x14ac:dyDescent="0.35">
      <c r="C773" s="1" t="s">
        <v>10042</v>
      </c>
      <c r="D773" s="1" t="s">
        <v>77</v>
      </c>
      <c r="E773" s="1">
        <v>3216.8049999999998</v>
      </c>
    </row>
    <row r="774" spans="3:5" x14ac:dyDescent="0.35">
      <c r="C774" s="1" t="s">
        <v>10041</v>
      </c>
      <c r="D774" s="1" t="s">
        <v>57</v>
      </c>
      <c r="E774" s="1">
        <v>3216.81</v>
      </c>
    </row>
    <row r="775" spans="3:5" x14ac:dyDescent="0.35">
      <c r="C775" s="1" t="s">
        <v>10035</v>
      </c>
      <c r="D775" s="1" t="s">
        <v>57</v>
      </c>
      <c r="E775" s="1">
        <v>3216.8110000000001</v>
      </c>
    </row>
    <row r="776" spans="3:5" x14ac:dyDescent="0.35">
      <c r="C776" s="1" t="s">
        <v>10031</v>
      </c>
      <c r="D776" s="1" t="s">
        <v>77</v>
      </c>
      <c r="E776" s="1">
        <v>3216.8119999999999</v>
      </c>
    </row>
    <row r="777" spans="3:5" x14ac:dyDescent="0.35">
      <c r="C777" s="1" t="s">
        <v>10030</v>
      </c>
      <c r="D777" s="1" t="s">
        <v>77</v>
      </c>
      <c r="E777" s="1">
        <v>3216.8130000000001</v>
      </c>
    </row>
    <row r="778" spans="3:5" x14ac:dyDescent="0.35">
      <c r="C778" s="1" t="s">
        <v>10029</v>
      </c>
      <c r="D778" s="1" t="s">
        <v>77</v>
      </c>
      <c r="E778" s="1">
        <v>3216.8139999999999</v>
      </c>
    </row>
    <row r="779" spans="3:5" x14ac:dyDescent="0.35">
      <c r="C779" s="1" t="s">
        <v>10028</v>
      </c>
      <c r="D779" s="1" t="s">
        <v>77</v>
      </c>
      <c r="E779" s="1">
        <v>3216.8150000000001</v>
      </c>
    </row>
    <row r="780" spans="3:5" x14ac:dyDescent="0.35">
      <c r="C780" s="1" t="s">
        <v>10027</v>
      </c>
      <c r="D780" s="1" t="s">
        <v>77</v>
      </c>
      <c r="E780" s="1">
        <v>3216.8159999999998</v>
      </c>
    </row>
    <row r="781" spans="3:5" x14ac:dyDescent="0.35">
      <c r="C781" s="1" t="s">
        <v>10026</v>
      </c>
      <c r="D781" s="1" t="s">
        <v>77</v>
      </c>
      <c r="E781" s="1">
        <v>3216.817</v>
      </c>
    </row>
    <row r="782" spans="3:5" x14ac:dyDescent="0.35">
      <c r="C782" s="1" t="s">
        <v>10025</v>
      </c>
      <c r="D782" s="1" t="s">
        <v>77</v>
      </c>
      <c r="E782" s="1">
        <v>3216.8180000000002</v>
      </c>
    </row>
    <row r="783" spans="3:5" x14ac:dyDescent="0.35">
      <c r="C783" s="1" t="s">
        <v>10024</v>
      </c>
      <c r="D783" s="1" t="s">
        <v>77</v>
      </c>
      <c r="E783" s="1">
        <v>3216.819</v>
      </c>
    </row>
    <row r="784" spans="3:5" x14ac:dyDescent="0.35">
      <c r="C784" s="1" t="s">
        <v>10023</v>
      </c>
      <c r="D784" s="1" t="s">
        <v>77</v>
      </c>
      <c r="E784" s="1">
        <v>3216.82</v>
      </c>
    </row>
    <row r="785" spans="3:5" x14ac:dyDescent="0.35">
      <c r="C785" s="1" t="s">
        <v>10022</v>
      </c>
      <c r="D785" s="1" t="s">
        <v>77</v>
      </c>
      <c r="E785" s="1">
        <v>3216.8209999999999</v>
      </c>
    </row>
    <row r="786" spans="3:5" x14ac:dyDescent="0.35">
      <c r="C786" s="1" t="s">
        <v>10021</v>
      </c>
      <c r="D786" s="1" t="s">
        <v>77</v>
      </c>
      <c r="E786" s="1">
        <v>3216.8220000000001</v>
      </c>
    </row>
    <row r="787" spans="3:5" x14ac:dyDescent="0.35">
      <c r="C787" s="1" t="s">
        <v>10034</v>
      </c>
      <c r="D787" s="1" t="s">
        <v>57</v>
      </c>
      <c r="E787" s="1">
        <v>3216.8310000000001</v>
      </c>
    </row>
    <row r="788" spans="3:5" x14ac:dyDescent="0.35">
      <c r="C788" s="1" t="s">
        <v>10031</v>
      </c>
      <c r="D788" s="1" t="s">
        <v>77</v>
      </c>
      <c r="E788" s="1">
        <v>3216.8319999999999</v>
      </c>
    </row>
    <row r="789" spans="3:5" x14ac:dyDescent="0.35">
      <c r="C789" s="1" t="s">
        <v>10030</v>
      </c>
      <c r="D789" s="1" t="s">
        <v>77</v>
      </c>
      <c r="E789" s="1">
        <v>3216.8330000000001</v>
      </c>
    </row>
    <row r="790" spans="3:5" x14ac:dyDescent="0.35">
      <c r="C790" s="1" t="s">
        <v>10029</v>
      </c>
      <c r="D790" s="1" t="s">
        <v>77</v>
      </c>
      <c r="E790" s="1">
        <v>3216.8339999999998</v>
      </c>
    </row>
    <row r="791" spans="3:5" x14ac:dyDescent="0.35">
      <c r="C791" s="1" t="s">
        <v>10028</v>
      </c>
      <c r="D791" s="1" t="s">
        <v>77</v>
      </c>
      <c r="E791" s="1">
        <v>3216.835</v>
      </c>
    </row>
    <row r="792" spans="3:5" x14ac:dyDescent="0.35">
      <c r="C792" s="1" t="s">
        <v>10027</v>
      </c>
      <c r="D792" s="1" t="s">
        <v>77</v>
      </c>
      <c r="E792" s="1">
        <v>3216.8359999999998</v>
      </c>
    </row>
    <row r="793" spans="3:5" x14ac:dyDescent="0.35">
      <c r="C793" s="1" t="s">
        <v>10026</v>
      </c>
      <c r="D793" s="1" t="s">
        <v>77</v>
      </c>
      <c r="E793" s="1">
        <v>3216.837</v>
      </c>
    </row>
    <row r="794" spans="3:5" x14ac:dyDescent="0.35">
      <c r="C794" s="1" t="s">
        <v>10025</v>
      </c>
      <c r="D794" s="1" t="s">
        <v>77</v>
      </c>
      <c r="E794" s="1">
        <v>3216.8380000000002</v>
      </c>
    </row>
    <row r="795" spans="3:5" x14ac:dyDescent="0.35">
      <c r="C795" s="1" t="s">
        <v>10024</v>
      </c>
      <c r="D795" s="1" t="s">
        <v>77</v>
      </c>
      <c r="E795" s="1">
        <v>3216.8389999999999</v>
      </c>
    </row>
    <row r="796" spans="3:5" x14ac:dyDescent="0.35">
      <c r="C796" s="1" t="s">
        <v>10023</v>
      </c>
      <c r="D796" s="1" t="s">
        <v>77</v>
      </c>
      <c r="E796" s="1">
        <v>3216.84</v>
      </c>
    </row>
    <row r="797" spans="3:5" x14ac:dyDescent="0.35">
      <c r="C797" s="1" t="s">
        <v>10022</v>
      </c>
      <c r="D797" s="1" t="s">
        <v>77</v>
      </c>
      <c r="E797" s="1">
        <v>3216.8409999999999</v>
      </c>
    </row>
    <row r="798" spans="3:5" x14ac:dyDescent="0.35">
      <c r="C798" s="1" t="s">
        <v>10021</v>
      </c>
      <c r="D798" s="1" t="s">
        <v>77</v>
      </c>
      <c r="E798" s="1">
        <v>3216.8420000000001</v>
      </c>
    </row>
    <row r="799" spans="3:5" x14ac:dyDescent="0.35">
      <c r="C799" s="1" t="s">
        <v>10033</v>
      </c>
      <c r="D799" s="1" t="s">
        <v>57</v>
      </c>
      <c r="E799" s="1">
        <v>3216.8510000000001</v>
      </c>
    </row>
    <row r="800" spans="3:5" x14ac:dyDescent="0.35">
      <c r="C800" s="1" t="s">
        <v>10031</v>
      </c>
      <c r="D800" s="1" t="s">
        <v>77</v>
      </c>
      <c r="E800" s="1">
        <v>3216.8519999999999</v>
      </c>
    </row>
    <row r="801" spans="3:5" x14ac:dyDescent="0.35">
      <c r="C801" s="1" t="s">
        <v>10030</v>
      </c>
      <c r="D801" s="1" t="s">
        <v>77</v>
      </c>
      <c r="E801" s="1">
        <v>3216.8530000000001</v>
      </c>
    </row>
    <row r="802" spans="3:5" x14ac:dyDescent="0.35">
      <c r="C802" s="1" t="s">
        <v>10029</v>
      </c>
      <c r="D802" s="1" t="s">
        <v>77</v>
      </c>
      <c r="E802" s="1">
        <v>3216.8539999999998</v>
      </c>
    </row>
    <row r="803" spans="3:5" x14ac:dyDescent="0.35">
      <c r="C803" s="1" t="s">
        <v>10028</v>
      </c>
      <c r="D803" s="1" t="s">
        <v>77</v>
      </c>
      <c r="E803" s="1">
        <v>3216.855</v>
      </c>
    </row>
    <row r="804" spans="3:5" x14ac:dyDescent="0.35">
      <c r="C804" s="1" t="s">
        <v>10027</v>
      </c>
      <c r="D804" s="1" t="s">
        <v>77</v>
      </c>
      <c r="E804" s="1">
        <v>3216.8560000000002</v>
      </c>
    </row>
    <row r="805" spans="3:5" x14ac:dyDescent="0.35">
      <c r="C805" s="1" t="s">
        <v>10026</v>
      </c>
      <c r="D805" s="1" t="s">
        <v>77</v>
      </c>
      <c r="E805" s="1">
        <v>3216.857</v>
      </c>
    </row>
    <row r="806" spans="3:5" x14ac:dyDescent="0.35">
      <c r="C806" s="1" t="s">
        <v>10025</v>
      </c>
      <c r="D806" s="1" t="s">
        <v>77</v>
      </c>
      <c r="E806" s="1">
        <v>3216.8580000000002</v>
      </c>
    </row>
    <row r="807" spans="3:5" x14ac:dyDescent="0.35">
      <c r="C807" s="1" t="s">
        <v>10024</v>
      </c>
      <c r="D807" s="1" t="s">
        <v>77</v>
      </c>
      <c r="E807" s="1">
        <v>3216.8589999999999</v>
      </c>
    </row>
    <row r="808" spans="3:5" x14ac:dyDescent="0.35">
      <c r="C808" s="1" t="s">
        <v>10023</v>
      </c>
      <c r="D808" s="1" t="s">
        <v>77</v>
      </c>
      <c r="E808" s="1">
        <v>3216.86</v>
      </c>
    </row>
    <row r="809" spans="3:5" x14ac:dyDescent="0.35">
      <c r="C809" s="1" t="s">
        <v>10022</v>
      </c>
      <c r="D809" s="1" t="s">
        <v>77</v>
      </c>
      <c r="E809" s="1">
        <v>3216.8609999999999</v>
      </c>
    </row>
    <row r="810" spans="3:5" x14ac:dyDescent="0.35">
      <c r="C810" s="1" t="s">
        <v>10021</v>
      </c>
      <c r="D810" s="1" t="s">
        <v>77</v>
      </c>
      <c r="E810" s="1">
        <v>3216.8620000000001</v>
      </c>
    </row>
    <row r="811" spans="3:5" x14ac:dyDescent="0.35">
      <c r="C811" s="1" t="s">
        <v>10032</v>
      </c>
      <c r="D811" s="1" t="s">
        <v>57</v>
      </c>
      <c r="E811" s="1">
        <v>3216.8710000000001</v>
      </c>
    </row>
    <row r="812" spans="3:5" x14ac:dyDescent="0.35">
      <c r="C812" s="1" t="s">
        <v>10031</v>
      </c>
      <c r="D812" s="1" t="s">
        <v>77</v>
      </c>
      <c r="E812" s="1">
        <v>3216.8719999999998</v>
      </c>
    </row>
    <row r="813" spans="3:5" x14ac:dyDescent="0.35">
      <c r="C813" s="1" t="s">
        <v>10030</v>
      </c>
      <c r="D813" s="1" t="s">
        <v>77</v>
      </c>
      <c r="E813" s="1">
        <v>3216.873</v>
      </c>
    </row>
    <row r="814" spans="3:5" x14ac:dyDescent="0.35">
      <c r="C814" s="1" t="s">
        <v>10029</v>
      </c>
      <c r="D814" s="1" t="s">
        <v>77</v>
      </c>
      <c r="E814" s="1">
        <v>3216.8739999999998</v>
      </c>
    </row>
    <row r="815" spans="3:5" x14ac:dyDescent="0.35">
      <c r="C815" s="1" t="s">
        <v>10028</v>
      </c>
      <c r="D815" s="1" t="s">
        <v>77</v>
      </c>
      <c r="E815" s="1">
        <v>3216.875</v>
      </c>
    </row>
    <row r="816" spans="3:5" x14ac:dyDescent="0.35">
      <c r="C816" s="1" t="s">
        <v>10027</v>
      </c>
      <c r="D816" s="1" t="s">
        <v>77</v>
      </c>
      <c r="E816" s="1">
        <v>3216.8760000000002</v>
      </c>
    </row>
    <row r="817" spans="3:5" x14ac:dyDescent="0.35">
      <c r="C817" s="1" t="s">
        <v>10026</v>
      </c>
      <c r="D817" s="1" t="s">
        <v>77</v>
      </c>
      <c r="E817" s="1">
        <v>3216.877</v>
      </c>
    </row>
    <row r="818" spans="3:5" x14ac:dyDescent="0.35">
      <c r="C818" s="1" t="s">
        <v>10025</v>
      </c>
      <c r="D818" s="1" t="s">
        <v>77</v>
      </c>
      <c r="E818" s="1">
        <v>3216.8780000000002</v>
      </c>
    </row>
    <row r="819" spans="3:5" x14ac:dyDescent="0.35">
      <c r="C819" s="1" t="s">
        <v>10024</v>
      </c>
      <c r="D819" s="1" t="s">
        <v>77</v>
      </c>
      <c r="E819" s="1">
        <v>3216.8789999999999</v>
      </c>
    </row>
    <row r="820" spans="3:5" x14ac:dyDescent="0.35">
      <c r="C820" s="1" t="s">
        <v>10023</v>
      </c>
      <c r="D820" s="1" t="s">
        <v>77</v>
      </c>
      <c r="E820" s="1">
        <v>3216.88</v>
      </c>
    </row>
    <row r="821" spans="3:5" x14ac:dyDescent="0.35">
      <c r="C821" s="1" t="s">
        <v>10022</v>
      </c>
      <c r="D821" s="1" t="s">
        <v>77</v>
      </c>
      <c r="E821" s="1">
        <v>3216.8809999999999</v>
      </c>
    </row>
    <row r="822" spans="3:5" x14ac:dyDescent="0.35">
      <c r="C822" s="1" t="s">
        <v>10021</v>
      </c>
      <c r="D822" s="1" t="s">
        <v>77</v>
      </c>
      <c r="E822" s="1">
        <v>3216.8820000000001</v>
      </c>
    </row>
    <row r="823" spans="3:5" x14ac:dyDescent="0.35">
      <c r="C823" s="1" t="s">
        <v>10040</v>
      </c>
      <c r="D823" s="1" t="s">
        <v>77</v>
      </c>
      <c r="E823" s="1">
        <v>3216.8850000000002</v>
      </c>
    </row>
    <row r="824" spans="3:5" x14ac:dyDescent="0.35">
      <c r="C824" s="1" t="s">
        <v>10039</v>
      </c>
      <c r="D824" s="1" t="s">
        <v>57</v>
      </c>
      <c r="E824" s="1">
        <v>3216.89</v>
      </c>
    </row>
    <row r="825" spans="3:5" x14ac:dyDescent="0.35">
      <c r="C825" s="1" t="s">
        <v>10035</v>
      </c>
      <c r="D825" s="1" t="s">
        <v>57</v>
      </c>
      <c r="E825" s="1">
        <v>3216.8910000000001</v>
      </c>
    </row>
    <row r="826" spans="3:5" x14ac:dyDescent="0.35">
      <c r="C826" s="1" t="s">
        <v>10031</v>
      </c>
      <c r="D826" s="1" t="s">
        <v>77</v>
      </c>
      <c r="E826" s="1">
        <v>3216.8919999999998</v>
      </c>
    </row>
    <row r="827" spans="3:5" x14ac:dyDescent="0.35">
      <c r="C827" s="1" t="s">
        <v>10030</v>
      </c>
      <c r="D827" s="1" t="s">
        <v>77</v>
      </c>
      <c r="E827" s="1">
        <v>3216.893</v>
      </c>
    </row>
    <row r="828" spans="3:5" x14ac:dyDescent="0.35">
      <c r="C828" s="1" t="s">
        <v>10029</v>
      </c>
      <c r="D828" s="1" t="s">
        <v>77</v>
      </c>
      <c r="E828" s="1">
        <v>3216.8939999999998</v>
      </c>
    </row>
    <row r="829" spans="3:5" x14ac:dyDescent="0.35">
      <c r="C829" s="1" t="s">
        <v>10028</v>
      </c>
      <c r="D829" s="1" t="s">
        <v>77</v>
      </c>
      <c r="E829" s="1">
        <v>3216.895</v>
      </c>
    </row>
    <row r="830" spans="3:5" x14ac:dyDescent="0.35">
      <c r="C830" s="1" t="s">
        <v>10027</v>
      </c>
      <c r="D830" s="1" t="s">
        <v>77</v>
      </c>
      <c r="E830" s="1">
        <v>3216.8960000000002</v>
      </c>
    </row>
    <row r="831" spans="3:5" x14ac:dyDescent="0.35">
      <c r="C831" s="1" t="s">
        <v>10026</v>
      </c>
      <c r="D831" s="1" t="s">
        <v>77</v>
      </c>
      <c r="E831" s="1">
        <v>3216.8969999999999</v>
      </c>
    </row>
    <row r="832" spans="3:5" x14ac:dyDescent="0.35">
      <c r="C832" s="1" t="s">
        <v>10025</v>
      </c>
      <c r="D832" s="1" t="s">
        <v>77</v>
      </c>
      <c r="E832" s="1">
        <v>3216.8980000000001</v>
      </c>
    </row>
    <row r="833" spans="3:5" x14ac:dyDescent="0.35">
      <c r="C833" s="1" t="s">
        <v>10024</v>
      </c>
      <c r="D833" s="1" t="s">
        <v>77</v>
      </c>
      <c r="E833" s="1">
        <v>3216.8989999999999</v>
      </c>
    </row>
    <row r="834" spans="3:5" x14ac:dyDescent="0.35">
      <c r="C834" s="1" t="s">
        <v>10023</v>
      </c>
      <c r="D834" s="1" t="s">
        <v>77</v>
      </c>
      <c r="E834" s="1">
        <v>3216.9</v>
      </c>
    </row>
    <row r="835" spans="3:5" x14ac:dyDescent="0.35">
      <c r="C835" s="1" t="s">
        <v>10022</v>
      </c>
      <c r="D835" s="1" t="s">
        <v>77</v>
      </c>
      <c r="E835" s="1">
        <v>3216.9009999999998</v>
      </c>
    </row>
    <row r="836" spans="3:5" x14ac:dyDescent="0.35">
      <c r="C836" s="1" t="s">
        <v>10021</v>
      </c>
      <c r="D836" s="1" t="s">
        <v>77</v>
      </c>
      <c r="E836" s="1">
        <v>3216.902</v>
      </c>
    </row>
    <row r="837" spans="3:5" x14ac:dyDescent="0.35">
      <c r="C837" s="1" t="s">
        <v>10034</v>
      </c>
      <c r="D837" s="1" t="s">
        <v>57</v>
      </c>
      <c r="E837" s="1">
        <v>3216.9110000000001</v>
      </c>
    </row>
    <row r="838" spans="3:5" x14ac:dyDescent="0.35">
      <c r="C838" s="1" t="s">
        <v>10031</v>
      </c>
      <c r="D838" s="1" t="s">
        <v>77</v>
      </c>
      <c r="E838" s="1">
        <v>3216.9119999999998</v>
      </c>
    </row>
    <row r="839" spans="3:5" x14ac:dyDescent="0.35">
      <c r="C839" s="1" t="s">
        <v>10030</v>
      </c>
      <c r="D839" s="1" t="s">
        <v>77</v>
      </c>
      <c r="E839" s="1">
        <v>3216.913</v>
      </c>
    </row>
    <row r="840" spans="3:5" x14ac:dyDescent="0.35">
      <c r="C840" s="1" t="s">
        <v>10029</v>
      </c>
      <c r="D840" s="1" t="s">
        <v>77</v>
      </c>
      <c r="E840" s="1">
        <v>3216.9140000000002</v>
      </c>
    </row>
    <row r="841" spans="3:5" x14ac:dyDescent="0.35">
      <c r="C841" s="1" t="s">
        <v>10028</v>
      </c>
      <c r="D841" s="1" t="s">
        <v>77</v>
      </c>
      <c r="E841" s="1">
        <v>3216.915</v>
      </c>
    </row>
    <row r="842" spans="3:5" x14ac:dyDescent="0.35">
      <c r="C842" s="1" t="s">
        <v>10027</v>
      </c>
      <c r="D842" s="1" t="s">
        <v>77</v>
      </c>
      <c r="E842" s="1">
        <v>3216.9160000000002</v>
      </c>
    </row>
    <row r="843" spans="3:5" x14ac:dyDescent="0.35">
      <c r="C843" s="1" t="s">
        <v>10026</v>
      </c>
      <c r="D843" s="1" t="s">
        <v>77</v>
      </c>
      <c r="E843" s="1">
        <v>3216.9169999999999</v>
      </c>
    </row>
    <row r="844" spans="3:5" x14ac:dyDescent="0.35">
      <c r="C844" s="1" t="s">
        <v>10025</v>
      </c>
      <c r="D844" s="1" t="s">
        <v>77</v>
      </c>
      <c r="E844" s="1">
        <v>3216.9180000000001</v>
      </c>
    </row>
    <row r="845" spans="3:5" x14ac:dyDescent="0.35">
      <c r="C845" s="1" t="s">
        <v>10024</v>
      </c>
      <c r="D845" s="1" t="s">
        <v>77</v>
      </c>
      <c r="E845" s="1">
        <v>3216.9189999999999</v>
      </c>
    </row>
    <row r="846" spans="3:5" x14ac:dyDescent="0.35">
      <c r="C846" s="1" t="s">
        <v>10023</v>
      </c>
      <c r="D846" s="1" t="s">
        <v>77</v>
      </c>
      <c r="E846" s="1">
        <v>3216.92</v>
      </c>
    </row>
    <row r="847" spans="3:5" x14ac:dyDescent="0.35">
      <c r="C847" s="1" t="s">
        <v>10022</v>
      </c>
      <c r="D847" s="1" t="s">
        <v>77</v>
      </c>
      <c r="E847" s="1">
        <v>3216.9209999999998</v>
      </c>
    </row>
    <row r="848" spans="3:5" x14ac:dyDescent="0.35">
      <c r="C848" s="1" t="s">
        <v>10021</v>
      </c>
      <c r="D848" s="1" t="s">
        <v>77</v>
      </c>
      <c r="E848" s="1">
        <v>3216.922</v>
      </c>
    </row>
    <row r="849" spans="3:5" x14ac:dyDescent="0.35">
      <c r="C849" s="1" t="s">
        <v>10033</v>
      </c>
      <c r="D849" s="1" t="s">
        <v>57</v>
      </c>
      <c r="E849" s="1">
        <v>3216.931</v>
      </c>
    </row>
    <row r="850" spans="3:5" x14ac:dyDescent="0.35">
      <c r="C850" s="1" t="s">
        <v>10031</v>
      </c>
      <c r="D850" s="1" t="s">
        <v>77</v>
      </c>
      <c r="E850" s="1">
        <v>3216.9319999999998</v>
      </c>
    </row>
    <row r="851" spans="3:5" x14ac:dyDescent="0.35">
      <c r="C851" s="1" t="s">
        <v>10030</v>
      </c>
      <c r="D851" s="1" t="s">
        <v>77</v>
      </c>
      <c r="E851" s="1">
        <v>3216.933</v>
      </c>
    </row>
    <row r="852" spans="3:5" x14ac:dyDescent="0.35">
      <c r="C852" s="1" t="s">
        <v>10029</v>
      </c>
      <c r="D852" s="1" t="s">
        <v>77</v>
      </c>
      <c r="E852" s="1">
        <v>3216.9340000000002</v>
      </c>
    </row>
    <row r="853" spans="3:5" x14ac:dyDescent="0.35">
      <c r="C853" s="1" t="s">
        <v>10028</v>
      </c>
      <c r="D853" s="1" t="s">
        <v>77</v>
      </c>
      <c r="E853" s="1">
        <v>3216.9349999999999</v>
      </c>
    </row>
    <row r="854" spans="3:5" x14ac:dyDescent="0.35">
      <c r="C854" s="1" t="s">
        <v>10027</v>
      </c>
      <c r="D854" s="1" t="s">
        <v>77</v>
      </c>
      <c r="E854" s="1">
        <v>3216.9360000000001</v>
      </c>
    </row>
    <row r="855" spans="3:5" x14ac:dyDescent="0.35">
      <c r="C855" s="1" t="s">
        <v>10026</v>
      </c>
      <c r="D855" s="1" t="s">
        <v>77</v>
      </c>
      <c r="E855" s="1">
        <v>3216.9369999999999</v>
      </c>
    </row>
    <row r="856" spans="3:5" x14ac:dyDescent="0.35">
      <c r="C856" s="1" t="s">
        <v>10025</v>
      </c>
      <c r="D856" s="1" t="s">
        <v>77</v>
      </c>
      <c r="E856" s="1">
        <v>3216.9380000000001</v>
      </c>
    </row>
    <row r="857" spans="3:5" x14ac:dyDescent="0.35">
      <c r="C857" s="1" t="s">
        <v>10024</v>
      </c>
      <c r="D857" s="1" t="s">
        <v>77</v>
      </c>
      <c r="E857" s="1">
        <v>3216.9389999999999</v>
      </c>
    </row>
    <row r="858" spans="3:5" x14ac:dyDescent="0.35">
      <c r="C858" s="1" t="s">
        <v>10023</v>
      </c>
      <c r="D858" s="1" t="s">
        <v>77</v>
      </c>
      <c r="E858" s="1">
        <v>3216.94</v>
      </c>
    </row>
    <row r="859" spans="3:5" x14ac:dyDescent="0.35">
      <c r="C859" s="1" t="s">
        <v>10022</v>
      </c>
      <c r="D859" s="1" t="s">
        <v>77</v>
      </c>
      <c r="E859" s="1">
        <v>3216.9409999999998</v>
      </c>
    </row>
    <row r="860" spans="3:5" x14ac:dyDescent="0.35">
      <c r="C860" s="1" t="s">
        <v>10021</v>
      </c>
      <c r="D860" s="1" t="s">
        <v>77</v>
      </c>
      <c r="E860" s="1">
        <v>3216.942</v>
      </c>
    </row>
    <row r="861" spans="3:5" x14ac:dyDescent="0.35">
      <c r="C861" s="1" t="s">
        <v>10032</v>
      </c>
      <c r="D861" s="1" t="s">
        <v>57</v>
      </c>
      <c r="E861" s="1">
        <v>3216.951</v>
      </c>
    </row>
    <row r="862" spans="3:5" x14ac:dyDescent="0.35">
      <c r="C862" s="1" t="s">
        <v>10031</v>
      </c>
      <c r="D862" s="1" t="s">
        <v>77</v>
      </c>
      <c r="E862" s="1">
        <v>3216.9520000000002</v>
      </c>
    </row>
    <row r="863" spans="3:5" x14ac:dyDescent="0.35">
      <c r="C863" s="1" t="s">
        <v>10030</v>
      </c>
      <c r="D863" s="1" t="s">
        <v>77</v>
      </c>
      <c r="E863" s="1">
        <v>3216.953</v>
      </c>
    </row>
    <row r="864" spans="3:5" x14ac:dyDescent="0.35">
      <c r="C864" s="1" t="s">
        <v>10029</v>
      </c>
      <c r="D864" s="1" t="s">
        <v>77</v>
      </c>
      <c r="E864" s="1">
        <v>3216.9540000000002</v>
      </c>
    </row>
    <row r="865" spans="3:5" x14ac:dyDescent="0.35">
      <c r="C865" s="1" t="s">
        <v>10028</v>
      </c>
      <c r="D865" s="1" t="s">
        <v>77</v>
      </c>
      <c r="E865" s="1">
        <v>3216.9549999999999</v>
      </c>
    </row>
    <row r="866" spans="3:5" x14ac:dyDescent="0.35">
      <c r="C866" s="1" t="s">
        <v>10027</v>
      </c>
      <c r="D866" s="1" t="s">
        <v>77</v>
      </c>
      <c r="E866" s="1">
        <v>3216.9560000000001</v>
      </c>
    </row>
    <row r="867" spans="3:5" x14ac:dyDescent="0.35">
      <c r="C867" s="1" t="s">
        <v>10026</v>
      </c>
      <c r="D867" s="1" t="s">
        <v>77</v>
      </c>
      <c r="E867" s="1">
        <v>3216.9569999999999</v>
      </c>
    </row>
    <row r="868" spans="3:5" x14ac:dyDescent="0.35">
      <c r="C868" s="1" t="s">
        <v>10025</v>
      </c>
      <c r="D868" s="1" t="s">
        <v>77</v>
      </c>
      <c r="E868" s="1">
        <v>3216.9580000000001</v>
      </c>
    </row>
    <row r="869" spans="3:5" x14ac:dyDescent="0.35">
      <c r="C869" s="1" t="s">
        <v>10024</v>
      </c>
      <c r="D869" s="1" t="s">
        <v>77</v>
      </c>
      <c r="E869" s="1">
        <v>3216.9589999999998</v>
      </c>
    </row>
    <row r="870" spans="3:5" x14ac:dyDescent="0.35">
      <c r="C870" s="1" t="s">
        <v>10023</v>
      </c>
      <c r="D870" s="1" t="s">
        <v>77</v>
      </c>
      <c r="E870" s="1">
        <v>3216.96</v>
      </c>
    </row>
    <row r="871" spans="3:5" x14ac:dyDescent="0.35">
      <c r="C871" s="1" t="s">
        <v>10022</v>
      </c>
      <c r="D871" s="1" t="s">
        <v>77</v>
      </c>
      <c r="E871" s="1">
        <v>3216.9609999999998</v>
      </c>
    </row>
    <row r="872" spans="3:5" x14ac:dyDescent="0.35">
      <c r="C872" s="1" t="s">
        <v>10021</v>
      </c>
      <c r="D872" s="1" t="s">
        <v>77</v>
      </c>
      <c r="E872" s="1">
        <v>3216.962</v>
      </c>
    </row>
    <row r="873" spans="3:5" x14ac:dyDescent="0.35">
      <c r="C873" s="1" t="s">
        <v>10068</v>
      </c>
      <c r="D873" s="1" t="s">
        <v>77</v>
      </c>
      <c r="E873" s="1">
        <v>3216.9650000000001</v>
      </c>
    </row>
    <row r="874" spans="3:5" x14ac:dyDescent="0.35">
      <c r="C874" s="1" t="s">
        <v>10036</v>
      </c>
      <c r="D874" s="1" t="s">
        <v>57</v>
      </c>
      <c r="E874" s="1">
        <v>3216.97</v>
      </c>
    </row>
    <row r="875" spans="3:5" x14ac:dyDescent="0.35">
      <c r="C875" s="1" t="s">
        <v>10035</v>
      </c>
      <c r="D875" s="1" t="s">
        <v>57</v>
      </c>
      <c r="E875" s="1">
        <v>3216.971</v>
      </c>
    </row>
    <row r="876" spans="3:5" x14ac:dyDescent="0.35">
      <c r="C876" s="1" t="s">
        <v>10031</v>
      </c>
      <c r="D876" s="1" t="s">
        <v>77</v>
      </c>
      <c r="E876" s="1">
        <v>3216.9720000000002</v>
      </c>
    </row>
    <row r="877" spans="3:5" x14ac:dyDescent="0.35">
      <c r="C877" s="1" t="s">
        <v>10030</v>
      </c>
      <c r="D877" s="1" t="s">
        <v>77</v>
      </c>
      <c r="E877" s="1">
        <v>3216.973</v>
      </c>
    </row>
    <row r="878" spans="3:5" x14ac:dyDescent="0.35">
      <c r="C878" s="1" t="s">
        <v>10029</v>
      </c>
      <c r="D878" s="1" t="s">
        <v>77</v>
      </c>
      <c r="E878" s="1">
        <v>3216.9740000000002</v>
      </c>
    </row>
    <row r="879" spans="3:5" x14ac:dyDescent="0.35">
      <c r="C879" s="1" t="s">
        <v>10028</v>
      </c>
      <c r="D879" s="1" t="s">
        <v>77</v>
      </c>
      <c r="E879" s="1">
        <v>3216.9749999999999</v>
      </c>
    </row>
    <row r="880" spans="3:5" x14ac:dyDescent="0.35">
      <c r="C880" s="1" t="s">
        <v>10027</v>
      </c>
      <c r="D880" s="1" t="s">
        <v>77</v>
      </c>
      <c r="E880" s="1">
        <v>3216.9760000000001</v>
      </c>
    </row>
    <row r="881" spans="3:5" x14ac:dyDescent="0.35">
      <c r="C881" s="1" t="s">
        <v>10026</v>
      </c>
      <c r="D881" s="1" t="s">
        <v>77</v>
      </c>
      <c r="E881" s="1">
        <v>3216.9769999999999</v>
      </c>
    </row>
    <row r="882" spans="3:5" x14ac:dyDescent="0.35">
      <c r="C882" s="1" t="s">
        <v>10025</v>
      </c>
      <c r="D882" s="1" t="s">
        <v>77</v>
      </c>
      <c r="E882" s="1">
        <v>3216.9780000000001</v>
      </c>
    </row>
    <row r="883" spans="3:5" x14ac:dyDescent="0.35">
      <c r="C883" s="1" t="s">
        <v>10024</v>
      </c>
      <c r="D883" s="1" t="s">
        <v>77</v>
      </c>
      <c r="E883" s="1">
        <v>3216.9789999999998</v>
      </c>
    </row>
    <row r="884" spans="3:5" x14ac:dyDescent="0.35">
      <c r="C884" s="1" t="s">
        <v>10023</v>
      </c>
      <c r="D884" s="1" t="s">
        <v>77</v>
      </c>
      <c r="E884" s="1">
        <v>3216.98</v>
      </c>
    </row>
    <row r="885" spans="3:5" x14ac:dyDescent="0.35">
      <c r="C885" s="1" t="s">
        <v>10022</v>
      </c>
      <c r="D885" s="1" t="s">
        <v>77</v>
      </c>
      <c r="E885" s="1">
        <v>3216.9810000000002</v>
      </c>
    </row>
    <row r="886" spans="3:5" x14ac:dyDescent="0.35">
      <c r="C886" s="1" t="s">
        <v>10021</v>
      </c>
      <c r="D886" s="1" t="s">
        <v>77</v>
      </c>
      <c r="E886" s="1">
        <v>3216.982</v>
      </c>
    </row>
    <row r="887" spans="3:5" x14ac:dyDescent="0.35">
      <c r="C887" s="1" t="s">
        <v>10034</v>
      </c>
      <c r="D887" s="1" t="s">
        <v>57</v>
      </c>
      <c r="E887" s="1">
        <v>3216.991</v>
      </c>
    </row>
    <row r="888" spans="3:5" x14ac:dyDescent="0.35">
      <c r="C888" s="1" t="s">
        <v>10031</v>
      </c>
      <c r="D888" s="1" t="s">
        <v>77</v>
      </c>
      <c r="E888" s="1">
        <v>3216.9920000000002</v>
      </c>
    </row>
    <row r="889" spans="3:5" x14ac:dyDescent="0.35">
      <c r="C889" s="1" t="s">
        <v>10030</v>
      </c>
      <c r="D889" s="1" t="s">
        <v>77</v>
      </c>
      <c r="E889" s="1">
        <v>3216.9929999999999</v>
      </c>
    </row>
    <row r="890" spans="3:5" x14ac:dyDescent="0.35">
      <c r="C890" s="1" t="s">
        <v>10029</v>
      </c>
      <c r="D890" s="1" t="s">
        <v>77</v>
      </c>
      <c r="E890" s="1">
        <v>3216.9940000000001</v>
      </c>
    </row>
    <row r="891" spans="3:5" x14ac:dyDescent="0.35">
      <c r="C891" s="1" t="s">
        <v>10028</v>
      </c>
      <c r="D891" s="1" t="s">
        <v>77</v>
      </c>
      <c r="E891" s="1">
        <v>3216.9949999999999</v>
      </c>
    </row>
    <row r="892" spans="3:5" x14ac:dyDescent="0.35">
      <c r="C892" s="1" t="s">
        <v>10027</v>
      </c>
      <c r="D892" s="1" t="s">
        <v>77</v>
      </c>
      <c r="E892" s="1">
        <v>3216.9960000000001</v>
      </c>
    </row>
    <row r="893" spans="3:5" x14ac:dyDescent="0.35">
      <c r="C893" s="1" t="s">
        <v>10026</v>
      </c>
      <c r="D893" s="1" t="s">
        <v>77</v>
      </c>
      <c r="E893" s="1">
        <v>3216.9969999999998</v>
      </c>
    </row>
    <row r="894" spans="3:5" x14ac:dyDescent="0.35">
      <c r="C894" s="1" t="s">
        <v>10025</v>
      </c>
      <c r="D894" s="1" t="s">
        <v>77</v>
      </c>
      <c r="E894" s="1">
        <v>3216.998</v>
      </c>
    </row>
    <row r="895" spans="3:5" x14ac:dyDescent="0.35">
      <c r="C895" s="1" t="s">
        <v>10024</v>
      </c>
      <c r="D895" s="1" t="s">
        <v>77</v>
      </c>
      <c r="E895" s="1">
        <v>3216.9989999999998</v>
      </c>
    </row>
    <row r="896" spans="3:5" x14ac:dyDescent="0.35">
      <c r="C896" s="1" t="s">
        <v>10023</v>
      </c>
      <c r="D896" s="1" t="s">
        <v>77</v>
      </c>
      <c r="E896" s="1">
        <v>3217</v>
      </c>
    </row>
    <row r="897" spans="3:5" x14ac:dyDescent="0.35">
      <c r="C897" s="1" t="s">
        <v>10022</v>
      </c>
      <c r="D897" s="1" t="s">
        <v>77</v>
      </c>
      <c r="E897" s="1">
        <v>3217.0010000000002</v>
      </c>
    </row>
    <row r="898" spans="3:5" x14ac:dyDescent="0.35">
      <c r="C898" s="1" t="s">
        <v>10021</v>
      </c>
      <c r="D898" s="1" t="s">
        <v>77</v>
      </c>
      <c r="E898" s="1">
        <v>3217.002</v>
      </c>
    </row>
    <row r="899" spans="3:5" x14ac:dyDescent="0.35">
      <c r="C899" s="1" t="s">
        <v>10033</v>
      </c>
      <c r="D899" s="1" t="s">
        <v>57</v>
      </c>
      <c r="E899" s="1">
        <v>3217.011</v>
      </c>
    </row>
    <row r="900" spans="3:5" x14ac:dyDescent="0.35">
      <c r="C900" s="1" t="s">
        <v>10031</v>
      </c>
      <c r="D900" s="1" t="s">
        <v>77</v>
      </c>
      <c r="E900" s="1">
        <v>3217.0120000000002</v>
      </c>
    </row>
    <row r="901" spans="3:5" x14ac:dyDescent="0.35">
      <c r="C901" s="1" t="s">
        <v>10030</v>
      </c>
      <c r="D901" s="1" t="s">
        <v>77</v>
      </c>
      <c r="E901" s="1">
        <v>3217.0129999999999</v>
      </c>
    </row>
    <row r="902" spans="3:5" x14ac:dyDescent="0.35">
      <c r="C902" s="1" t="s">
        <v>10029</v>
      </c>
      <c r="D902" s="1" t="s">
        <v>77</v>
      </c>
      <c r="E902" s="1">
        <v>3217.0140000000001</v>
      </c>
    </row>
    <row r="903" spans="3:5" x14ac:dyDescent="0.35">
      <c r="C903" s="1" t="s">
        <v>10028</v>
      </c>
      <c r="D903" s="1" t="s">
        <v>77</v>
      </c>
      <c r="E903" s="1">
        <v>3217.0149999999999</v>
      </c>
    </row>
    <row r="904" spans="3:5" x14ac:dyDescent="0.35">
      <c r="C904" s="1" t="s">
        <v>10027</v>
      </c>
      <c r="D904" s="1" t="s">
        <v>77</v>
      </c>
      <c r="E904" s="1">
        <v>3217.0160000000001</v>
      </c>
    </row>
    <row r="905" spans="3:5" x14ac:dyDescent="0.35">
      <c r="C905" s="1" t="s">
        <v>10026</v>
      </c>
      <c r="D905" s="1" t="s">
        <v>77</v>
      </c>
      <c r="E905" s="1">
        <v>3217.0169999999998</v>
      </c>
    </row>
    <row r="906" spans="3:5" x14ac:dyDescent="0.35">
      <c r="C906" s="1" t="s">
        <v>10025</v>
      </c>
      <c r="D906" s="1" t="s">
        <v>77</v>
      </c>
      <c r="E906" s="1">
        <v>3217.018</v>
      </c>
    </row>
    <row r="907" spans="3:5" x14ac:dyDescent="0.35">
      <c r="C907" s="1" t="s">
        <v>10024</v>
      </c>
      <c r="D907" s="1" t="s">
        <v>77</v>
      </c>
      <c r="E907" s="1">
        <v>3217.0189999999998</v>
      </c>
    </row>
    <row r="908" spans="3:5" x14ac:dyDescent="0.35">
      <c r="C908" s="1" t="s">
        <v>10023</v>
      </c>
      <c r="D908" s="1" t="s">
        <v>77</v>
      </c>
      <c r="E908" s="1">
        <v>3217.02</v>
      </c>
    </row>
    <row r="909" spans="3:5" x14ac:dyDescent="0.35">
      <c r="C909" s="1" t="s">
        <v>10022</v>
      </c>
      <c r="D909" s="1" t="s">
        <v>77</v>
      </c>
      <c r="E909" s="1">
        <v>3217.0210000000002</v>
      </c>
    </row>
    <row r="910" spans="3:5" x14ac:dyDescent="0.35">
      <c r="C910" s="1" t="s">
        <v>10021</v>
      </c>
      <c r="D910" s="1" t="s">
        <v>77</v>
      </c>
      <c r="E910" s="1">
        <v>3217.0219999999999</v>
      </c>
    </row>
    <row r="911" spans="3:5" x14ac:dyDescent="0.35">
      <c r="C911" s="1" t="s">
        <v>10032</v>
      </c>
      <c r="D911" s="1" t="s">
        <v>57</v>
      </c>
      <c r="E911" s="1">
        <v>3217.0309999999999</v>
      </c>
    </row>
    <row r="912" spans="3:5" x14ac:dyDescent="0.35">
      <c r="C912" s="1" t="s">
        <v>10031</v>
      </c>
      <c r="D912" s="1" t="s">
        <v>77</v>
      </c>
      <c r="E912" s="1">
        <v>3217.0320000000002</v>
      </c>
    </row>
    <row r="913" spans="3:5" x14ac:dyDescent="0.35">
      <c r="C913" s="1" t="s">
        <v>10030</v>
      </c>
      <c r="D913" s="1" t="s">
        <v>77</v>
      </c>
      <c r="E913" s="1">
        <v>3217.0329999999999</v>
      </c>
    </row>
    <row r="914" spans="3:5" x14ac:dyDescent="0.35">
      <c r="C914" s="1" t="s">
        <v>10029</v>
      </c>
      <c r="D914" s="1" t="s">
        <v>77</v>
      </c>
      <c r="E914" s="1">
        <v>3217.0340000000001</v>
      </c>
    </row>
    <row r="915" spans="3:5" x14ac:dyDescent="0.35">
      <c r="C915" s="1" t="s">
        <v>10028</v>
      </c>
      <c r="D915" s="1" t="s">
        <v>77</v>
      </c>
      <c r="E915" s="1">
        <v>3217.0349999999999</v>
      </c>
    </row>
    <row r="916" spans="3:5" x14ac:dyDescent="0.35">
      <c r="C916" s="1" t="s">
        <v>10027</v>
      </c>
      <c r="D916" s="1" t="s">
        <v>77</v>
      </c>
      <c r="E916" s="1">
        <v>3217.0360000000001</v>
      </c>
    </row>
    <row r="917" spans="3:5" x14ac:dyDescent="0.35">
      <c r="C917" s="1" t="s">
        <v>10026</v>
      </c>
      <c r="D917" s="1" t="s">
        <v>77</v>
      </c>
      <c r="E917" s="1">
        <v>3217.0369999999998</v>
      </c>
    </row>
    <row r="918" spans="3:5" x14ac:dyDescent="0.35">
      <c r="C918" s="1" t="s">
        <v>10025</v>
      </c>
      <c r="D918" s="1" t="s">
        <v>77</v>
      </c>
      <c r="E918" s="1">
        <v>3217.038</v>
      </c>
    </row>
    <row r="919" spans="3:5" x14ac:dyDescent="0.35">
      <c r="C919" s="1" t="s">
        <v>10024</v>
      </c>
      <c r="D919" s="1" t="s">
        <v>77</v>
      </c>
      <c r="E919" s="1">
        <v>3217.0390000000002</v>
      </c>
    </row>
    <row r="920" spans="3:5" x14ac:dyDescent="0.35">
      <c r="C920" s="1" t="s">
        <v>10023</v>
      </c>
      <c r="D920" s="1" t="s">
        <v>77</v>
      </c>
      <c r="E920" s="1">
        <v>3217.04</v>
      </c>
    </row>
    <row r="921" spans="3:5" x14ac:dyDescent="0.35">
      <c r="C921" s="1" t="s">
        <v>10022</v>
      </c>
      <c r="D921" s="1" t="s">
        <v>77</v>
      </c>
      <c r="E921" s="1">
        <v>3217.0410000000002</v>
      </c>
    </row>
    <row r="922" spans="3:5" x14ac:dyDescent="0.35">
      <c r="C922" s="1" t="s">
        <v>10021</v>
      </c>
      <c r="D922" s="1" t="s">
        <v>77</v>
      </c>
      <c r="E922" s="1">
        <v>3217.0419999999999</v>
      </c>
    </row>
    <row r="923" spans="3:5" x14ac:dyDescent="0.35">
      <c r="C923" s="1" t="s">
        <v>10020</v>
      </c>
      <c r="D923" s="1" t="s">
        <v>77</v>
      </c>
      <c r="E923" s="1">
        <v>3217.0450000000001</v>
      </c>
    </row>
    <row r="924" spans="3:5" x14ac:dyDescent="0.35">
      <c r="C924" s="1" t="s">
        <v>10019</v>
      </c>
      <c r="D924" s="1" t="s">
        <v>77</v>
      </c>
      <c r="E924" s="1">
        <v>3217.0610000000001</v>
      </c>
    </row>
    <row r="925" spans="3:5" x14ac:dyDescent="0.35">
      <c r="C925" s="1" t="s">
        <v>10018</v>
      </c>
      <c r="D925" s="1" t="s">
        <v>77</v>
      </c>
      <c r="E925" s="1">
        <v>3217.0619999999999</v>
      </c>
    </row>
    <row r="926" spans="3:5" x14ac:dyDescent="0.35">
      <c r="C926" s="1" t="s">
        <v>10017</v>
      </c>
      <c r="D926" s="1" t="s">
        <v>77</v>
      </c>
      <c r="E926" s="1">
        <v>3217.0630000000001</v>
      </c>
    </row>
    <row r="927" spans="3:5" x14ac:dyDescent="0.35">
      <c r="C927" s="1" t="s">
        <v>10016</v>
      </c>
      <c r="D927" s="1" t="s">
        <v>77</v>
      </c>
      <c r="E927" s="1">
        <v>3217.0639999999999</v>
      </c>
    </row>
    <row r="928" spans="3:5" x14ac:dyDescent="0.35">
      <c r="C928" s="1" t="s">
        <v>10015</v>
      </c>
      <c r="D928" s="1" t="s">
        <v>77</v>
      </c>
      <c r="E928" s="1">
        <v>3217.0650000000001</v>
      </c>
    </row>
    <row r="929" spans="3:5" x14ac:dyDescent="0.35">
      <c r="C929" s="1" t="s">
        <v>10014</v>
      </c>
      <c r="D929" s="1" t="s">
        <v>77</v>
      </c>
      <c r="E929" s="1">
        <v>3217.0659999999998</v>
      </c>
    </row>
    <row r="930" spans="3:5" x14ac:dyDescent="0.35">
      <c r="C930" s="1" t="s">
        <v>10013</v>
      </c>
      <c r="D930" s="1" t="s">
        <v>77</v>
      </c>
      <c r="E930" s="1">
        <v>3217.067</v>
      </c>
    </row>
    <row r="931" spans="3:5" x14ac:dyDescent="0.35">
      <c r="C931" s="1" t="s">
        <v>10012</v>
      </c>
      <c r="D931" s="1" t="s">
        <v>77</v>
      </c>
      <c r="E931" s="1">
        <v>3217.0680000000002</v>
      </c>
    </row>
    <row r="932" spans="3:5" x14ac:dyDescent="0.35">
      <c r="C932" s="1" t="s">
        <v>10011</v>
      </c>
      <c r="D932" s="1" t="s">
        <v>77</v>
      </c>
      <c r="E932" s="1">
        <v>3217.069</v>
      </c>
    </row>
    <row r="933" spans="3:5" x14ac:dyDescent="0.35">
      <c r="C933" s="1" t="s">
        <v>10010</v>
      </c>
      <c r="D933" s="1" t="s">
        <v>77</v>
      </c>
      <c r="E933" s="1">
        <v>3217.07</v>
      </c>
    </row>
    <row r="934" spans="3:5" x14ac:dyDescent="0.35">
      <c r="C934" s="1" t="s">
        <v>10009</v>
      </c>
      <c r="D934" s="1" t="s">
        <v>77</v>
      </c>
      <c r="E934" s="1">
        <v>3217.0709999999999</v>
      </c>
    </row>
    <row r="935" spans="3:5" x14ac:dyDescent="0.35">
      <c r="C935" s="1" t="s">
        <v>10008</v>
      </c>
      <c r="D935" s="1" t="s">
        <v>77</v>
      </c>
      <c r="E935" s="1">
        <v>3217.08</v>
      </c>
    </row>
    <row r="936" spans="3:5" x14ac:dyDescent="0.35">
      <c r="C936" s="1" t="s">
        <v>10007</v>
      </c>
      <c r="D936" s="1" t="s">
        <v>77</v>
      </c>
      <c r="E936" s="1">
        <v>3217.0810000000001</v>
      </c>
    </row>
    <row r="937" spans="3:5" x14ac:dyDescent="0.35">
      <c r="C937" s="1" t="s">
        <v>10006</v>
      </c>
      <c r="D937" s="1" t="s">
        <v>77</v>
      </c>
      <c r="E937" s="1">
        <v>3217.0819999999999</v>
      </c>
    </row>
    <row r="938" spans="3:5" x14ac:dyDescent="0.35">
      <c r="C938" s="1" t="s">
        <v>10005</v>
      </c>
      <c r="D938" s="1" t="s">
        <v>77</v>
      </c>
      <c r="E938" s="1">
        <v>3217.0830000000001</v>
      </c>
    </row>
    <row r="939" spans="3:5" x14ac:dyDescent="0.35">
      <c r="C939" s="1" t="s">
        <v>10067</v>
      </c>
      <c r="D939" s="1" t="s">
        <v>57</v>
      </c>
      <c r="E939" s="1">
        <v>3217.2</v>
      </c>
    </row>
    <row r="940" spans="3:5" x14ac:dyDescent="0.35">
      <c r="C940" s="1" t="s">
        <v>10066</v>
      </c>
      <c r="D940" s="1" t="s">
        <v>77</v>
      </c>
      <c r="E940" s="1">
        <v>3217.201</v>
      </c>
    </row>
    <row r="941" spans="3:5" x14ac:dyDescent="0.35">
      <c r="C941" s="1" t="s">
        <v>10003</v>
      </c>
      <c r="D941" s="1" t="s">
        <v>77</v>
      </c>
      <c r="E941" s="1">
        <v>3217.2020000000002</v>
      </c>
    </row>
    <row r="942" spans="3:5" x14ac:dyDescent="0.35">
      <c r="C942" s="1" t="s">
        <v>10065</v>
      </c>
      <c r="D942" s="1" t="s">
        <v>77</v>
      </c>
      <c r="E942" s="1">
        <v>3217.203</v>
      </c>
    </row>
    <row r="943" spans="3:5" x14ac:dyDescent="0.35">
      <c r="C943" s="1" t="s">
        <v>10001</v>
      </c>
      <c r="D943" s="1" t="s">
        <v>77</v>
      </c>
      <c r="E943" s="1">
        <v>3217.2040000000002</v>
      </c>
    </row>
    <row r="944" spans="3:5" x14ac:dyDescent="0.35">
      <c r="C944" s="1" t="s">
        <v>10064</v>
      </c>
      <c r="D944" s="1" t="s">
        <v>77</v>
      </c>
      <c r="E944" s="1">
        <v>3217.2049999999999</v>
      </c>
    </row>
    <row r="945" spans="3:5" x14ac:dyDescent="0.35">
      <c r="C945" s="1" t="s">
        <v>9999</v>
      </c>
      <c r="D945" s="1" t="s">
        <v>77</v>
      </c>
      <c r="E945" s="1">
        <v>3217.2060000000001</v>
      </c>
    </row>
    <row r="946" spans="3:5" x14ac:dyDescent="0.35">
      <c r="C946" s="1" t="s">
        <v>10063</v>
      </c>
      <c r="D946" s="1" t="s">
        <v>77</v>
      </c>
      <c r="E946" s="1">
        <v>3217.2069999999999</v>
      </c>
    </row>
    <row r="947" spans="3:5" x14ac:dyDescent="0.35">
      <c r="C947" s="1" t="s">
        <v>9997</v>
      </c>
      <c r="D947" s="1" t="s">
        <v>77</v>
      </c>
      <c r="E947" s="1">
        <v>3217.2080000000001</v>
      </c>
    </row>
    <row r="948" spans="3:5" x14ac:dyDescent="0.35">
      <c r="C948" s="1" t="s">
        <v>10062</v>
      </c>
      <c r="D948" s="1" t="s">
        <v>18</v>
      </c>
      <c r="E948" s="1">
        <v>3217.22</v>
      </c>
    </row>
    <row r="949" spans="3:5" x14ac:dyDescent="0.35">
      <c r="C949" s="1" t="s">
        <v>10061</v>
      </c>
      <c r="D949" s="1" t="s">
        <v>57</v>
      </c>
      <c r="E949" s="1">
        <v>3218.01</v>
      </c>
    </row>
    <row r="950" spans="3:5" x14ac:dyDescent="0.35">
      <c r="C950" s="1" t="s">
        <v>10035</v>
      </c>
      <c r="D950" s="1" t="s">
        <v>57</v>
      </c>
      <c r="E950" s="1">
        <v>3218.011</v>
      </c>
    </row>
    <row r="951" spans="3:5" x14ac:dyDescent="0.35">
      <c r="C951" s="1" t="s">
        <v>10031</v>
      </c>
      <c r="D951" s="1" t="s">
        <v>42</v>
      </c>
      <c r="E951" s="1">
        <v>3218.0120000000002</v>
      </c>
    </row>
    <row r="952" spans="3:5" x14ac:dyDescent="0.35">
      <c r="C952" s="1" t="s">
        <v>10030</v>
      </c>
      <c r="D952" s="1" t="s">
        <v>42</v>
      </c>
      <c r="E952" s="1">
        <v>3218.0129999999999</v>
      </c>
    </row>
    <row r="953" spans="3:5" x14ac:dyDescent="0.35">
      <c r="C953" s="1" t="s">
        <v>10029</v>
      </c>
      <c r="D953" s="1" t="s">
        <v>42</v>
      </c>
      <c r="E953" s="1">
        <v>3218.0140000000001</v>
      </c>
    </row>
    <row r="954" spans="3:5" x14ac:dyDescent="0.35">
      <c r="C954" s="1" t="s">
        <v>10028</v>
      </c>
      <c r="D954" s="1" t="s">
        <v>42</v>
      </c>
      <c r="E954" s="1">
        <v>3218.0149999999999</v>
      </c>
    </row>
    <row r="955" spans="3:5" x14ac:dyDescent="0.35">
      <c r="C955" s="1" t="s">
        <v>10027</v>
      </c>
      <c r="D955" s="1" t="s">
        <v>42</v>
      </c>
      <c r="E955" s="1">
        <v>3218.0160000000001</v>
      </c>
    </row>
    <row r="956" spans="3:5" x14ac:dyDescent="0.35">
      <c r="C956" s="1" t="s">
        <v>10026</v>
      </c>
      <c r="D956" s="1" t="s">
        <v>42</v>
      </c>
      <c r="E956" s="1">
        <v>3218.0169999999998</v>
      </c>
    </row>
    <row r="957" spans="3:5" x14ac:dyDescent="0.35">
      <c r="C957" s="1" t="s">
        <v>10025</v>
      </c>
      <c r="D957" s="1" t="s">
        <v>42</v>
      </c>
      <c r="E957" s="1">
        <v>3218.018</v>
      </c>
    </row>
    <row r="958" spans="3:5" x14ac:dyDescent="0.35">
      <c r="C958" s="1" t="s">
        <v>10024</v>
      </c>
      <c r="D958" s="1" t="s">
        <v>42</v>
      </c>
      <c r="E958" s="1">
        <v>3218.0189999999998</v>
      </c>
    </row>
    <row r="959" spans="3:5" x14ac:dyDescent="0.35">
      <c r="C959" s="1" t="s">
        <v>10023</v>
      </c>
      <c r="D959" s="1" t="s">
        <v>42</v>
      </c>
      <c r="E959" s="1">
        <v>3218.02</v>
      </c>
    </row>
    <row r="960" spans="3:5" x14ac:dyDescent="0.35">
      <c r="C960" s="1" t="s">
        <v>10022</v>
      </c>
      <c r="D960" s="1" t="s">
        <v>42</v>
      </c>
      <c r="E960" s="1">
        <v>3218.0210000000002</v>
      </c>
    </row>
    <row r="961" spans="3:5" x14ac:dyDescent="0.35">
      <c r="C961" s="1" t="s">
        <v>10021</v>
      </c>
      <c r="D961" s="1" t="s">
        <v>42</v>
      </c>
      <c r="E961" s="1">
        <v>3218.0219999999999</v>
      </c>
    </row>
    <row r="962" spans="3:5" x14ac:dyDescent="0.35">
      <c r="C962" s="1" t="s">
        <v>10034</v>
      </c>
      <c r="D962" s="1" t="s">
        <v>57</v>
      </c>
      <c r="E962" s="1">
        <v>3218.0309999999999</v>
      </c>
    </row>
    <row r="963" spans="3:5" x14ac:dyDescent="0.35">
      <c r="C963" s="1" t="s">
        <v>10031</v>
      </c>
      <c r="D963" s="1" t="s">
        <v>42</v>
      </c>
      <c r="E963" s="1">
        <v>3218.0320000000002</v>
      </c>
    </row>
    <row r="964" spans="3:5" x14ac:dyDescent="0.35">
      <c r="C964" s="1" t="s">
        <v>10030</v>
      </c>
      <c r="D964" s="1" t="s">
        <v>42</v>
      </c>
      <c r="E964" s="1">
        <v>3218.0329999999999</v>
      </c>
    </row>
    <row r="965" spans="3:5" x14ac:dyDescent="0.35">
      <c r="C965" s="1" t="s">
        <v>10029</v>
      </c>
      <c r="D965" s="1" t="s">
        <v>42</v>
      </c>
      <c r="E965" s="1">
        <v>3218.0340000000001</v>
      </c>
    </row>
    <row r="966" spans="3:5" x14ac:dyDescent="0.35">
      <c r="C966" s="1" t="s">
        <v>10028</v>
      </c>
      <c r="D966" s="1" t="s">
        <v>42</v>
      </c>
      <c r="E966" s="1">
        <v>3218.0349999999999</v>
      </c>
    </row>
    <row r="967" spans="3:5" x14ac:dyDescent="0.35">
      <c r="C967" s="1" t="s">
        <v>10027</v>
      </c>
      <c r="D967" s="1" t="s">
        <v>42</v>
      </c>
      <c r="E967" s="1">
        <v>3218.0360000000001</v>
      </c>
    </row>
    <row r="968" spans="3:5" x14ac:dyDescent="0.35">
      <c r="C968" s="1" t="s">
        <v>10026</v>
      </c>
      <c r="D968" s="1" t="s">
        <v>42</v>
      </c>
      <c r="E968" s="1">
        <v>3218.0369999999998</v>
      </c>
    </row>
    <row r="969" spans="3:5" x14ac:dyDescent="0.35">
      <c r="C969" s="1" t="s">
        <v>10025</v>
      </c>
      <c r="D969" s="1" t="s">
        <v>42</v>
      </c>
      <c r="E969" s="1">
        <v>3218.038</v>
      </c>
    </row>
    <row r="970" spans="3:5" x14ac:dyDescent="0.35">
      <c r="C970" s="1" t="s">
        <v>10024</v>
      </c>
      <c r="D970" s="1" t="s">
        <v>42</v>
      </c>
      <c r="E970" s="1">
        <v>3218.0390000000002</v>
      </c>
    </row>
    <row r="971" spans="3:5" x14ac:dyDescent="0.35">
      <c r="C971" s="1" t="s">
        <v>10023</v>
      </c>
      <c r="D971" s="1" t="s">
        <v>42</v>
      </c>
      <c r="E971" s="1">
        <v>3218.04</v>
      </c>
    </row>
    <row r="972" spans="3:5" x14ac:dyDescent="0.35">
      <c r="C972" s="1" t="s">
        <v>10022</v>
      </c>
      <c r="D972" s="1" t="s">
        <v>42</v>
      </c>
      <c r="E972" s="1">
        <v>3218.0410000000002</v>
      </c>
    </row>
    <row r="973" spans="3:5" x14ac:dyDescent="0.35">
      <c r="C973" s="1" t="s">
        <v>10021</v>
      </c>
      <c r="D973" s="1" t="s">
        <v>42</v>
      </c>
      <c r="E973" s="1">
        <v>3218.0419999999999</v>
      </c>
    </row>
    <row r="974" spans="3:5" x14ac:dyDescent="0.35">
      <c r="C974" s="1" t="s">
        <v>10033</v>
      </c>
      <c r="D974" s="1" t="s">
        <v>57</v>
      </c>
      <c r="E974" s="1">
        <v>3218.0509999999999</v>
      </c>
    </row>
    <row r="975" spans="3:5" x14ac:dyDescent="0.35">
      <c r="C975" s="1" t="s">
        <v>10031</v>
      </c>
      <c r="D975" s="1" t="s">
        <v>42</v>
      </c>
      <c r="E975" s="1">
        <v>3218.0520000000001</v>
      </c>
    </row>
    <row r="976" spans="3:5" x14ac:dyDescent="0.35">
      <c r="C976" s="1" t="s">
        <v>10030</v>
      </c>
      <c r="D976" s="1" t="s">
        <v>42</v>
      </c>
      <c r="E976" s="1">
        <v>3218.0529999999999</v>
      </c>
    </row>
    <row r="977" spans="3:5" x14ac:dyDescent="0.35">
      <c r="C977" s="1" t="s">
        <v>10029</v>
      </c>
      <c r="D977" s="1" t="s">
        <v>42</v>
      </c>
      <c r="E977" s="1">
        <v>3218.0540000000001</v>
      </c>
    </row>
    <row r="978" spans="3:5" x14ac:dyDescent="0.35">
      <c r="C978" s="1" t="s">
        <v>10028</v>
      </c>
      <c r="D978" s="1" t="s">
        <v>42</v>
      </c>
      <c r="E978" s="1">
        <v>3218.0549999999998</v>
      </c>
    </row>
    <row r="979" spans="3:5" x14ac:dyDescent="0.35">
      <c r="C979" s="1" t="s">
        <v>10027</v>
      </c>
      <c r="D979" s="1" t="s">
        <v>42</v>
      </c>
      <c r="E979" s="1">
        <v>3218.056</v>
      </c>
    </row>
    <row r="980" spans="3:5" x14ac:dyDescent="0.35">
      <c r="C980" s="1" t="s">
        <v>10026</v>
      </c>
      <c r="D980" s="1" t="s">
        <v>42</v>
      </c>
      <c r="E980" s="1">
        <v>3218.0569999999998</v>
      </c>
    </row>
    <row r="981" spans="3:5" x14ac:dyDescent="0.35">
      <c r="C981" s="1" t="s">
        <v>10025</v>
      </c>
      <c r="D981" s="1" t="s">
        <v>42</v>
      </c>
      <c r="E981" s="1">
        <v>3218.058</v>
      </c>
    </row>
    <row r="982" spans="3:5" x14ac:dyDescent="0.35">
      <c r="C982" s="1" t="s">
        <v>10024</v>
      </c>
      <c r="D982" s="1" t="s">
        <v>42</v>
      </c>
      <c r="E982" s="1">
        <v>3218.0590000000002</v>
      </c>
    </row>
    <row r="983" spans="3:5" x14ac:dyDescent="0.35">
      <c r="C983" s="1" t="s">
        <v>10023</v>
      </c>
      <c r="D983" s="1" t="s">
        <v>42</v>
      </c>
      <c r="E983" s="1">
        <v>3218.06</v>
      </c>
    </row>
    <row r="984" spans="3:5" x14ac:dyDescent="0.35">
      <c r="C984" s="1" t="s">
        <v>10022</v>
      </c>
      <c r="D984" s="1" t="s">
        <v>42</v>
      </c>
      <c r="E984" s="1">
        <v>3218.0610000000001</v>
      </c>
    </row>
    <row r="985" spans="3:5" x14ac:dyDescent="0.35">
      <c r="C985" s="1" t="s">
        <v>10021</v>
      </c>
      <c r="D985" s="1" t="s">
        <v>42</v>
      </c>
      <c r="E985" s="1">
        <v>3218.0619999999999</v>
      </c>
    </row>
    <row r="986" spans="3:5" x14ac:dyDescent="0.35">
      <c r="C986" s="1" t="s">
        <v>10032</v>
      </c>
      <c r="D986" s="1" t="s">
        <v>57</v>
      </c>
      <c r="E986" s="1">
        <v>3218.0709999999999</v>
      </c>
    </row>
    <row r="987" spans="3:5" x14ac:dyDescent="0.35">
      <c r="C987" s="1" t="s">
        <v>10031</v>
      </c>
      <c r="D987" s="1" t="s">
        <v>42</v>
      </c>
      <c r="E987" s="1">
        <v>3218.0720000000001</v>
      </c>
    </row>
    <row r="988" spans="3:5" x14ac:dyDescent="0.35">
      <c r="C988" s="1" t="s">
        <v>10030</v>
      </c>
      <c r="D988" s="1" t="s">
        <v>42</v>
      </c>
      <c r="E988" s="1">
        <v>3218.0729999999999</v>
      </c>
    </row>
    <row r="989" spans="3:5" x14ac:dyDescent="0.35">
      <c r="C989" s="1" t="s">
        <v>10029</v>
      </c>
      <c r="D989" s="1" t="s">
        <v>42</v>
      </c>
      <c r="E989" s="1">
        <v>3218.0740000000001</v>
      </c>
    </row>
    <row r="990" spans="3:5" x14ac:dyDescent="0.35">
      <c r="C990" s="1" t="s">
        <v>10028</v>
      </c>
      <c r="D990" s="1" t="s">
        <v>42</v>
      </c>
      <c r="E990" s="1">
        <v>3218.0749999999998</v>
      </c>
    </row>
    <row r="991" spans="3:5" x14ac:dyDescent="0.35">
      <c r="C991" s="1" t="s">
        <v>10027</v>
      </c>
      <c r="D991" s="1" t="s">
        <v>42</v>
      </c>
      <c r="E991" s="1">
        <v>3218.076</v>
      </c>
    </row>
    <row r="992" spans="3:5" x14ac:dyDescent="0.35">
      <c r="C992" s="1" t="s">
        <v>10026</v>
      </c>
      <c r="D992" s="1" t="s">
        <v>42</v>
      </c>
      <c r="E992" s="1">
        <v>3218.0770000000002</v>
      </c>
    </row>
    <row r="993" spans="3:5" x14ac:dyDescent="0.35">
      <c r="C993" s="1" t="s">
        <v>10025</v>
      </c>
      <c r="D993" s="1" t="s">
        <v>42</v>
      </c>
      <c r="E993" s="1">
        <v>3218.078</v>
      </c>
    </row>
    <row r="994" spans="3:5" x14ac:dyDescent="0.35">
      <c r="C994" s="1" t="s">
        <v>10024</v>
      </c>
      <c r="D994" s="1" t="s">
        <v>42</v>
      </c>
      <c r="E994" s="1">
        <v>3218.0790000000002</v>
      </c>
    </row>
    <row r="995" spans="3:5" x14ac:dyDescent="0.35">
      <c r="C995" s="1" t="s">
        <v>10023</v>
      </c>
      <c r="D995" s="1" t="s">
        <v>42</v>
      </c>
      <c r="E995" s="1">
        <v>3218.08</v>
      </c>
    </row>
    <row r="996" spans="3:5" x14ac:dyDescent="0.35">
      <c r="C996" s="1" t="s">
        <v>10022</v>
      </c>
      <c r="D996" s="1" t="s">
        <v>42</v>
      </c>
      <c r="E996" s="1">
        <v>3218.0810000000001</v>
      </c>
    </row>
    <row r="997" spans="3:5" x14ac:dyDescent="0.35">
      <c r="C997" s="1" t="s">
        <v>10021</v>
      </c>
      <c r="D997" s="1" t="s">
        <v>42</v>
      </c>
      <c r="E997" s="1">
        <v>3218.0819999999999</v>
      </c>
    </row>
    <row r="998" spans="3:5" x14ac:dyDescent="0.35">
      <c r="C998" s="1" t="s">
        <v>10060</v>
      </c>
      <c r="D998" s="1" t="s">
        <v>42</v>
      </c>
      <c r="E998" s="1">
        <v>3218.085</v>
      </c>
    </row>
    <row r="999" spans="3:5" x14ac:dyDescent="0.35">
      <c r="C999" s="1" t="s">
        <v>10059</v>
      </c>
      <c r="D999" s="1" t="s">
        <v>57</v>
      </c>
      <c r="E999" s="1">
        <v>3218.09</v>
      </c>
    </row>
    <row r="1000" spans="3:5" x14ac:dyDescent="0.35">
      <c r="C1000" s="1" t="s">
        <v>10035</v>
      </c>
      <c r="D1000" s="1" t="s">
        <v>57</v>
      </c>
      <c r="E1000" s="1">
        <v>3218.0909999999999</v>
      </c>
    </row>
    <row r="1001" spans="3:5" x14ac:dyDescent="0.35">
      <c r="C1001" s="1" t="s">
        <v>10031</v>
      </c>
      <c r="D1001" s="1" t="s">
        <v>42</v>
      </c>
      <c r="E1001" s="1">
        <v>3218.0920000000001</v>
      </c>
    </row>
    <row r="1002" spans="3:5" x14ac:dyDescent="0.35">
      <c r="C1002" s="1" t="s">
        <v>10030</v>
      </c>
      <c r="D1002" s="1" t="s">
        <v>42</v>
      </c>
      <c r="E1002" s="1">
        <v>3218.0929999999998</v>
      </c>
    </row>
    <row r="1003" spans="3:5" x14ac:dyDescent="0.35">
      <c r="C1003" s="1" t="s">
        <v>10029</v>
      </c>
      <c r="D1003" s="1" t="s">
        <v>42</v>
      </c>
      <c r="E1003" s="1">
        <v>3218.0940000000001</v>
      </c>
    </row>
    <row r="1004" spans="3:5" x14ac:dyDescent="0.35">
      <c r="C1004" s="1" t="s">
        <v>10028</v>
      </c>
      <c r="D1004" s="1" t="s">
        <v>42</v>
      </c>
      <c r="E1004" s="1">
        <v>3218.0949999999998</v>
      </c>
    </row>
    <row r="1005" spans="3:5" x14ac:dyDescent="0.35">
      <c r="C1005" s="1" t="s">
        <v>10027</v>
      </c>
      <c r="D1005" s="1" t="s">
        <v>42</v>
      </c>
      <c r="E1005" s="1">
        <v>3218.096</v>
      </c>
    </row>
    <row r="1006" spans="3:5" x14ac:dyDescent="0.35">
      <c r="C1006" s="1" t="s">
        <v>10026</v>
      </c>
      <c r="D1006" s="1" t="s">
        <v>42</v>
      </c>
      <c r="E1006" s="1">
        <v>3218.0970000000002</v>
      </c>
    </row>
    <row r="1007" spans="3:5" x14ac:dyDescent="0.35">
      <c r="C1007" s="1" t="s">
        <v>10025</v>
      </c>
      <c r="D1007" s="1" t="s">
        <v>42</v>
      </c>
      <c r="E1007" s="1">
        <v>3218.098</v>
      </c>
    </row>
    <row r="1008" spans="3:5" x14ac:dyDescent="0.35">
      <c r="C1008" s="1" t="s">
        <v>10024</v>
      </c>
      <c r="D1008" s="1" t="s">
        <v>42</v>
      </c>
      <c r="E1008" s="1">
        <v>3218.0990000000002</v>
      </c>
    </row>
    <row r="1009" spans="3:5" x14ac:dyDescent="0.35">
      <c r="C1009" s="1" t="s">
        <v>10023</v>
      </c>
      <c r="D1009" s="1" t="s">
        <v>42</v>
      </c>
      <c r="E1009" s="1">
        <v>3218.1</v>
      </c>
    </row>
    <row r="1010" spans="3:5" x14ac:dyDescent="0.35">
      <c r="C1010" s="1" t="s">
        <v>10022</v>
      </c>
      <c r="D1010" s="1" t="s">
        <v>42</v>
      </c>
      <c r="E1010" s="1">
        <v>3218.1010000000001</v>
      </c>
    </row>
    <row r="1011" spans="3:5" x14ac:dyDescent="0.35">
      <c r="C1011" s="1" t="s">
        <v>10021</v>
      </c>
      <c r="D1011" s="1" t="s">
        <v>42</v>
      </c>
      <c r="E1011" s="1">
        <v>3218.1019999999999</v>
      </c>
    </row>
    <row r="1012" spans="3:5" x14ac:dyDescent="0.35">
      <c r="C1012" s="1" t="s">
        <v>10034</v>
      </c>
      <c r="D1012" s="1" t="s">
        <v>57</v>
      </c>
      <c r="E1012" s="1">
        <v>3218.1109999999999</v>
      </c>
    </row>
    <row r="1013" spans="3:5" x14ac:dyDescent="0.35">
      <c r="C1013" s="1" t="s">
        <v>10031</v>
      </c>
      <c r="D1013" s="1" t="s">
        <v>42</v>
      </c>
      <c r="E1013" s="1">
        <v>3218.1120000000001</v>
      </c>
    </row>
    <row r="1014" spans="3:5" x14ac:dyDescent="0.35">
      <c r="C1014" s="1" t="s">
        <v>10030</v>
      </c>
      <c r="D1014" s="1" t="s">
        <v>42</v>
      </c>
      <c r="E1014" s="1">
        <v>3218.1129999999998</v>
      </c>
    </row>
    <row r="1015" spans="3:5" x14ac:dyDescent="0.35">
      <c r="C1015" s="1" t="s">
        <v>10029</v>
      </c>
      <c r="D1015" s="1" t="s">
        <v>42</v>
      </c>
      <c r="E1015" s="1">
        <v>3218.114</v>
      </c>
    </row>
    <row r="1016" spans="3:5" x14ac:dyDescent="0.35">
      <c r="C1016" s="1" t="s">
        <v>10028</v>
      </c>
      <c r="D1016" s="1" t="s">
        <v>42</v>
      </c>
      <c r="E1016" s="1">
        <v>3218.1149999999998</v>
      </c>
    </row>
    <row r="1017" spans="3:5" x14ac:dyDescent="0.35">
      <c r="C1017" s="1" t="s">
        <v>10027</v>
      </c>
      <c r="D1017" s="1" t="s">
        <v>42</v>
      </c>
      <c r="E1017" s="1">
        <v>3218.116</v>
      </c>
    </row>
    <row r="1018" spans="3:5" x14ac:dyDescent="0.35">
      <c r="C1018" s="1" t="s">
        <v>10026</v>
      </c>
      <c r="D1018" s="1" t="s">
        <v>42</v>
      </c>
      <c r="E1018" s="1">
        <v>3218.1170000000002</v>
      </c>
    </row>
    <row r="1019" spans="3:5" x14ac:dyDescent="0.35">
      <c r="C1019" s="1" t="s">
        <v>10025</v>
      </c>
      <c r="D1019" s="1" t="s">
        <v>42</v>
      </c>
      <c r="E1019" s="1">
        <v>3218.1179999999999</v>
      </c>
    </row>
    <row r="1020" spans="3:5" x14ac:dyDescent="0.35">
      <c r="C1020" s="1" t="s">
        <v>10024</v>
      </c>
      <c r="D1020" s="1" t="s">
        <v>42</v>
      </c>
      <c r="E1020" s="1">
        <v>3218.1190000000001</v>
      </c>
    </row>
    <row r="1021" spans="3:5" x14ac:dyDescent="0.35">
      <c r="C1021" s="1" t="s">
        <v>10023</v>
      </c>
      <c r="D1021" s="1" t="s">
        <v>42</v>
      </c>
      <c r="E1021" s="1">
        <v>3218.12</v>
      </c>
    </row>
    <row r="1022" spans="3:5" x14ac:dyDescent="0.35">
      <c r="C1022" s="1" t="s">
        <v>10022</v>
      </c>
      <c r="D1022" s="1" t="s">
        <v>42</v>
      </c>
      <c r="E1022" s="1">
        <v>3218.1210000000001</v>
      </c>
    </row>
    <row r="1023" spans="3:5" x14ac:dyDescent="0.35">
      <c r="C1023" s="1" t="s">
        <v>10021</v>
      </c>
      <c r="D1023" s="1" t="s">
        <v>42</v>
      </c>
      <c r="E1023" s="1">
        <v>3218.1219999999998</v>
      </c>
    </row>
    <row r="1024" spans="3:5" x14ac:dyDescent="0.35">
      <c r="C1024" s="1" t="s">
        <v>10033</v>
      </c>
      <c r="D1024" s="1" t="s">
        <v>57</v>
      </c>
      <c r="E1024" s="1">
        <v>3218.1309999999999</v>
      </c>
    </row>
    <row r="1025" spans="3:5" x14ac:dyDescent="0.35">
      <c r="C1025" s="1" t="s">
        <v>10031</v>
      </c>
      <c r="D1025" s="1" t="s">
        <v>42</v>
      </c>
      <c r="E1025" s="1">
        <v>3218.1320000000001</v>
      </c>
    </row>
    <row r="1026" spans="3:5" x14ac:dyDescent="0.35">
      <c r="C1026" s="1" t="s">
        <v>10030</v>
      </c>
      <c r="D1026" s="1" t="s">
        <v>42</v>
      </c>
      <c r="E1026" s="1">
        <v>3218.1329999999998</v>
      </c>
    </row>
    <row r="1027" spans="3:5" x14ac:dyDescent="0.35">
      <c r="C1027" s="1" t="s">
        <v>10029</v>
      </c>
      <c r="D1027" s="1" t="s">
        <v>42</v>
      </c>
      <c r="E1027" s="1">
        <v>3218.134</v>
      </c>
    </row>
    <row r="1028" spans="3:5" x14ac:dyDescent="0.35">
      <c r="C1028" s="1" t="s">
        <v>10028</v>
      </c>
      <c r="D1028" s="1" t="s">
        <v>42</v>
      </c>
      <c r="E1028" s="1">
        <v>3218.1350000000002</v>
      </c>
    </row>
    <row r="1029" spans="3:5" x14ac:dyDescent="0.35">
      <c r="C1029" s="1" t="s">
        <v>10027</v>
      </c>
      <c r="D1029" s="1" t="s">
        <v>42</v>
      </c>
      <c r="E1029" s="1">
        <v>3218.136</v>
      </c>
    </row>
    <row r="1030" spans="3:5" x14ac:dyDescent="0.35">
      <c r="C1030" s="1" t="s">
        <v>10026</v>
      </c>
      <c r="D1030" s="1" t="s">
        <v>42</v>
      </c>
      <c r="E1030" s="1">
        <v>3218.1370000000002</v>
      </c>
    </row>
    <row r="1031" spans="3:5" x14ac:dyDescent="0.35">
      <c r="C1031" s="1" t="s">
        <v>10025</v>
      </c>
      <c r="D1031" s="1" t="s">
        <v>42</v>
      </c>
      <c r="E1031" s="1">
        <v>3218.1379999999999</v>
      </c>
    </row>
    <row r="1032" spans="3:5" x14ac:dyDescent="0.35">
      <c r="C1032" s="1" t="s">
        <v>10024</v>
      </c>
      <c r="D1032" s="1" t="s">
        <v>42</v>
      </c>
      <c r="E1032" s="1">
        <v>3218.1390000000001</v>
      </c>
    </row>
    <row r="1033" spans="3:5" x14ac:dyDescent="0.35">
      <c r="C1033" s="1" t="s">
        <v>10023</v>
      </c>
      <c r="D1033" s="1" t="s">
        <v>42</v>
      </c>
      <c r="E1033" s="1">
        <v>3218.14</v>
      </c>
    </row>
    <row r="1034" spans="3:5" x14ac:dyDescent="0.35">
      <c r="C1034" s="1" t="s">
        <v>10022</v>
      </c>
      <c r="D1034" s="1" t="s">
        <v>42</v>
      </c>
      <c r="E1034" s="1">
        <v>3218.1410000000001</v>
      </c>
    </row>
    <row r="1035" spans="3:5" x14ac:dyDescent="0.35">
      <c r="C1035" s="1" t="s">
        <v>10021</v>
      </c>
      <c r="D1035" s="1" t="s">
        <v>42</v>
      </c>
      <c r="E1035" s="1">
        <v>3218.1419999999998</v>
      </c>
    </row>
    <row r="1036" spans="3:5" x14ac:dyDescent="0.35">
      <c r="C1036" s="1" t="s">
        <v>10032</v>
      </c>
      <c r="D1036" s="1" t="s">
        <v>57</v>
      </c>
      <c r="E1036" s="1">
        <v>3218.1509999999998</v>
      </c>
    </row>
    <row r="1037" spans="3:5" x14ac:dyDescent="0.35">
      <c r="C1037" s="1" t="s">
        <v>10031</v>
      </c>
      <c r="D1037" s="1" t="s">
        <v>42</v>
      </c>
      <c r="E1037" s="1">
        <v>3218.152</v>
      </c>
    </row>
    <row r="1038" spans="3:5" x14ac:dyDescent="0.35">
      <c r="C1038" s="1" t="s">
        <v>10030</v>
      </c>
      <c r="D1038" s="1" t="s">
        <v>42</v>
      </c>
      <c r="E1038" s="1">
        <v>3218.1529999999998</v>
      </c>
    </row>
    <row r="1039" spans="3:5" x14ac:dyDescent="0.35">
      <c r="C1039" s="1" t="s">
        <v>10029</v>
      </c>
      <c r="D1039" s="1" t="s">
        <v>42</v>
      </c>
      <c r="E1039" s="1">
        <v>3218.154</v>
      </c>
    </row>
    <row r="1040" spans="3:5" x14ac:dyDescent="0.35">
      <c r="C1040" s="1" t="s">
        <v>10028</v>
      </c>
      <c r="D1040" s="1" t="s">
        <v>42</v>
      </c>
      <c r="E1040" s="1">
        <v>3218.1550000000002</v>
      </c>
    </row>
    <row r="1041" spans="3:5" x14ac:dyDescent="0.35">
      <c r="C1041" s="1" t="s">
        <v>10027</v>
      </c>
      <c r="D1041" s="1" t="s">
        <v>42</v>
      </c>
      <c r="E1041" s="1">
        <v>3218.1559999999999</v>
      </c>
    </row>
    <row r="1042" spans="3:5" x14ac:dyDescent="0.35">
      <c r="C1042" s="1" t="s">
        <v>10026</v>
      </c>
      <c r="D1042" s="1" t="s">
        <v>42</v>
      </c>
      <c r="E1042" s="1">
        <v>3218.1570000000002</v>
      </c>
    </row>
    <row r="1043" spans="3:5" x14ac:dyDescent="0.35">
      <c r="C1043" s="1" t="s">
        <v>10025</v>
      </c>
      <c r="D1043" s="1" t="s">
        <v>42</v>
      </c>
      <c r="E1043" s="1">
        <v>3218.1579999999999</v>
      </c>
    </row>
    <row r="1044" spans="3:5" x14ac:dyDescent="0.35">
      <c r="C1044" s="1" t="s">
        <v>10024</v>
      </c>
      <c r="D1044" s="1" t="s">
        <v>42</v>
      </c>
      <c r="E1044" s="1">
        <v>3218.1590000000001</v>
      </c>
    </row>
    <row r="1045" spans="3:5" x14ac:dyDescent="0.35">
      <c r="C1045" s="1" t="s">
        <v>10023</v>
      </c>
      <c r="D1045" s="1" t="s">
        <v>42</v>
      </c>
      <c r="E1045" s="1">
        <v>3218.16</v>
      </c>
    </row>
    <row r="1046" spans="3:5" x14ac:dyDescent="0.35">
      <c r="C1046" s="1" t="s">
        <v>10022</v>
      </c>
      <c r="D1046" s="1" t="s">
        <v>42</v>
      </c>
      <c r="E1046" s="1">
        <v>3218.1610000000001</v>
      </c>
    </row>
    <row r="1047" spans="3:5" x14ac:dyDescent="0.35">
      <c r="C1047" s="1" t="s">
        <v>10021</v>
      </c>
      <c r="D1047" s="1" t="s">
        <v>42</v>
      </c>
      <c r="E1047" s="1">
        <v>3218.1619999999998</v>
      </c>
    </row>
    <row r="1048" spans="3:5" x14ac:dyDescent="0.35">
      <c r="C1048" s="1" t="s">
        <v>10058</v>
      </c>
      <c r="D1048" s="1" t="s">
        <v>42</v>
      </c>
      <c r="E1048" s="1">
        <v>3218.165</v>
      </c>
    </row>
    <row r="1049" spans="3:5" x14ac:dyDescent="0.35">
      <c r="C1049" s="1" t="s">
        <v>10057</v>
      </c>
      <c r="D1049" s="1" t="s">
        <v>57</v>
      </c>
      <c r="E1049" s="1">
        <v>3218.17</v>
      </c>
    </row>
    <row r="1050" spans="3:5" x14ac:dyDescent="0.35">
      <c r="C1050" s="1" t="s">
        <v>10035</v>
      </c>
      <c r="D1050" s="1" t="s">
        <v>57</v>
      </c>
      <c r="E1050" s="1">
        <v>3218.1709999999998</v>
      </c>
    </row>
    <row r="1051" spans="3:5" x14ac:dyDescent="0.35">
      <c r="C1051" s="1" t="s">
        <v>10031</v>
      </c>
      <c r="D1051" s="1" t="s">
        <v>42</v>
      </c>
      <c r="E1051" s="1">
        <v>3218.172</v>
      </c>
    </row>
    <row r="1052" spans="3:5" x14ac:dyDescent="0.35">
      <c r="C1052" s="1" t="s">
        <v>10030</v>
      </c>
      <c r="D1052" s="1" t="s">
        <v>42</v>
      </c>
      <c r="E1052" s="1">
        <v>3218.1729999999998</v>
      </c>
    </row>
    <row r="1053" spans="3:5" x14ac:dyDescent="0.35">
      <c r="C1053" s="1" t="s">
        <v>10029</v>
      </c>
      <c r="D1053" s="1" t="s">
        <v>42</v>
      </c>
      <c r="E1053" s="1">
        <v>3218.174</v>
      </c>
    </row>
    <row r="1054" spans="3:5" x14ac:dyDescent="0.35">
      <c r="C1054" s="1" t="s">
        <v>10028</v>
      </c>
      <c r="D1054" s="1" t="s">
        <v>42</v>
      </c>
      <c r="E1054" s="1">
        <v>3218.1750000000002</v>
      </c>
    </row>
    <row r="1055" spans="3:5" x14ac:dyDescent="0.35">
      <c r="C1055" s="1" t="s">
        <v>10027</v>
      </c>
      <c r="D1055" s="1" t="s">
        <v>42</v>
      </c>
      <c r="E1055" s="1">
        <v>3218.1759999999999</v>
      </c>
    </row>
    <row r="1056" spans="3:5" x14ac:dyDescent="0.35">
      <c r="C1056" s="1" t="s">
        <v>10026</v>
      </c>
      <c r="D1056" s="1" t="s">
        <v>42</v>
      </c>
      <c r="E1056" s="1">
        <v>3218.1770000000001</v>
      </c>
    </row>
    <row r="1057" spans="3:5" x14ac:dyDescent="0.35">
      <c r="C1057" s="1" t="s">
        <v>10025</v>
      </c>
      <c r="D1057" s="1" t="s">
        <v>42</v>
      </c>
      <c r="E1057" s="1">
        <v>3218.1779999999999</v>
      </c>
    </row>
    <row r="1058" spans="3:5" x14ac:dyDescent="0.35">
      <c r="C1058" s="1" t="s">
        <v>10024</v>
      </c>
      <c r="D1058" s="1" t="s">
        <v>42</v>
      </c>
      <c r="E1058" s="1">
        <v>3218.1790000000001</v>
      </c>
    </row>
    <row r="1059" spans="3:5" x14ac:dyDescent="0.35">
      <c r="C1059" s="1" t="s">
        <v>10023</v>
      </c>
      <c r="D1059" s="1" t="s">
        <v>42</v>
      </c>
      <c r="E1059" s="1">
        <v>3218.18</v>
      </c>
    </row>
    <row r="1060" spans="3:5" x14ac:dyDescent="0.35">
      <c r="C1060" s="1" t="s">
        <v>10022</v>
      </c>
      <c r="D1060" s="1" t="s">
        <v>42</v>
      </c>
      <c r="E1060" s="1">
        <v>3218.181</v>
      </c>
    </row>
    <row r="1061" spans="3:5" x14ac:dyDescent="0.35">
      <c r="C1061" s="1" t="s">
        <v>10021</v>
      </c>
      <c r="D1061" s="1" t="s">
        <v>42</v>
      </c>
      <c r="E1061" s="1">
        <v>3218.1819999999998</v>
      </c>
    </row>
    <row r="1062" spans="3:5" x14ac:dyDescent="0.35">
      <c r="C1062" s="1" t="s">
        <v>10034</v>
      </c>
      <c r="D1062" s="1" t="s">
        <v>57</v>
      </c>
      <c r="E1062" s="1">
        <v>3218.1909999999998</v>
      </c>
    </row>
    <row r="1063" spans="3:5" x14ac:dyDescent="0.35">
      <c r="C1063" s="1" t="s">
        <v>10031</v>
      </c>
      <c r="D1063" s="1" t="s">
        <v>42</v>
      </c>
      <c r="E1063" s="1">
        <v>3218.192</v>
      </c>
    </row>
    <row r="1064" spans="3:5" x14ac:dyDescent="0.35">
      <c r="C1064" s="1" t="s">
        <v>10030</v>
      </c>
      <c r="D1064" s="1" t="s">
        <v>42</v>
      </c>
      <c r="E1064" s="1">
        <v>3218.1930000000002</v>
      </c>
    </row>
    <row r="1065" spans="3:5" x14ac:dyDescent="0.35">
      <c r="C1065" s="1" t="s">
        <v>10029</v>
      </c>
      <c r="D1065" s="1" t="s">
        <v>42</v>
      </c>
      <c r="E1065" s="1">
        <v>3218.194</v>
      </c>
    </row>
    <row r="1066" spans="3:5" x14ac:dyDescent="0.35">
      <c r="C1066" s="1" t="s">
        <v>10028</v>
      </c>
      <c r="D1066" s="1" t="s">
        <v>42</v>
      </c>
      <c r="E1066" s="1">
        <v>3218.1950000000002</v>
      </c>
    </row>
    <row r="1067" spans="3:5" x14ac:dyDescent="0.35">
      <c r="C1067" s="1" t="s">
        <v>10027</v>
      </c>
      <c r="D1067" s="1" t="s">
        <v>42</v>
      </c>
      <c r="E1067" s="1">
        <v>3218.1959999999999</v>
      </c>
    </row>
    <row r="1068" spans="3:5" x14ac:dyDescent="0.35">
      <c r="C1068" s="1" t="s">
        <v>10026</v>
      </c>
      <c r="D1068" s="1" t="s">
        <v>42</v>
      </c>
      <c r="E1068" s="1">
        <v>3218.1970000000001</v>
      </c>
    </row>
    <row r="1069" spans="3:5" x14ac:dyDescent="0.35">
      <c r="C1069" s="1" t="s">
        <v>10025</v>
      </c>
      <c r="D1069" s="1" t="s">
        <v>42</v>
      </c>
      <c r="E1069" s="1">
        <v>3218.1979999999999</v>
      </c>
    </row>
    <row r="1070" spans="3:5" x14ac:dyDescent="0.35">
      <c r="C1070" s="1" t="s">
        <v>10024</v>
      </c>
      <c r="D1070" s="1" t="s">
        <v>42</v>
      </c>
      <c r="E1070" s="1">
        <v>3218.1990000000001</v>
      </c>
    </row>
    <row r="1071" spans="3:5" x14ac:dyDescent="0.35">
      <c r="C1071" s="1" t="s">
        <v>10023</v>
      </c>
      <c r="D1071" s="1" t="s">
        <v>42</v>
      </c>
      <c r="E1071" s="1">
        <v>3218.2</v>
      </c>
    </row>
    <row r="1072" spans="3:5" x14ac:dyDescent="0.35">
      <c r="C1072" s="1" t="s">
        <v>10022</v>
      </c>
      <c r="D1072" s="1" t="s">
        <v>42</v>
      </c>
      <c r="E1072" s="1">
        <v>3218.201</v>
      </c>
    </row>
    <row r="1073" spans="3:5" x14ac:dyDescent="0.35">
      <c r="C1073" s="1" t="s">
        <v>10021</v>
      </c>
      <c r="D1073" s="1" t="s">
        <v>42</v>
      </c>
      <c r="E1073" s="1">
        <v>3218.2020000000002</v>
      </c>
    </row>
    <row r="1074" spans="3:5" x14ac:dyDescent="0.35">
      <c r="C1074" s="1" t="s">
        <v>10033</v>
      </c>
      <c r="D1074" s="1" t="s">
        <v>57</v>
      </c>
      <c r="E1074" s="1">
        <v>3218.2109999999998</v>
      </c>
    </row>
    <row r="1075" spans="3:5" x14ac:dyDescent="0.35">
      <c r="C1075" s="1" t="s">
        <v>10031</v>
      </c>
      <c r="D1075" s="1" t="s">
        <v>42</v>
      </c>
      <c r="E1075" s="1">
        <v>3218.212</v>
      </c>
    </row>
    <row r="1076" spans="3:5" x14ac:dyDescent="0.35">
      <c r="C1076" s="1" t="s">
        <v>10030</v>
      </c>
      <c r="D1076" s="1" t="s">
        <v>42</v>
      </c>
      <c r="E1076" s="1">
        <v>3218.2130000000002</v>
      </c>
    </row>
    <row r="1077" spans="3:5" x14ac:dyDescent="0.35">
      <c r="C1077" s="1" t="s">
        <v>10029</v>
      </c>
      <c r="D1077" s="1" t="s">
        <v>42</v>
      </c>
      <c r="E1077" s="1">
        <v>3218.2139999999999</v>
      </c>
    </row>
    <row r="1078" spans="3:5" x14ac:dyDescent="0.35">
      <c r="C1078" s="1" t="s">
        <v>10028</v>
      </c>
      <c r="D1078" s="1" t="s">
        <v>42</v>
      </c>
      <c r="E1078" s="1">
        <v>3218.2150000000001</v>
      </c>
    </row>
    <row r="1079" spans="3:5" x14ac:dyDescent="0.35">
      <c r="C1079" s="1" t="s">
        <v>10027</v>
      </c>
      <c r="D1079" s="1" t="s">
        <v>42</v>
      </c>
      <c r="E1079" s="1">
        <v>3218.2159999999999</v>
      </c>
    </row>
    <row r="1080" spans="3:5" x14ac:dyDescent="0.35">
      <c r="C1080" s="1" t="s">
        <v>10026</v>
      </c>
      <c r="D1080" s="1" t="s">
        <v>42</v>
      </c>
      <c r="E1080" s="1">
        <v>3218.2170000000001</v>
      </c>
    </row>
    <row r="1081" spans="3:5" x14ac:dyDescent="0.35">
      <c r="C1081" s="1" t="s">
        <v>10025</v>
      </c>
      <c r="D1081" s="1" t="s">
        <v>42</v>
      </c>
      <c r="E1081" s="1">
        <v>3218.2179999999998</v>
      </c>
    </row>
    <row r="1082" spans="3:5" x14ac:dyDescent="0.35">
      <c r="C1082" s="1" t="s">
        <v>10024</v>
      </c>
      <c r="D1082" s="1" t="s">
        <v>42</v>
      </c>
      <c r="E1082" s="1">
        <v>3218.2190000000001</v>
      </c>
    </row>
    <row r="1083" spans="3:5" x14ac:dyDescent="0.35">
      <c r="C1083" s="1" t="s">
        <v>10023</v>
      </c>
      <c r="D1083" s="1" t="s">
        <v>42</v>
      </c>
      <c r="E1083" s="1">
        <v>3218.22</v>
      </c>
    </row>
    <row r="1084" spans="3:5" x14ac:dyDescent="0.35">
      <c r="C1084" s="1" t="s">
        <v>10022</v>
      </c>
      <c r="D1084" s="1" t="s">
        <v>42</v>
      </c>
      <c r="E1084" s="1">
        <v>3218.221</v>
      </c>
    </row>
    <row r="1085" spans="3:5" x14ac:dyDescent="0.35">
      <c r="C1085" s="1" t="s">
        <v>10021</v>
      </c>
      <c r="D1085" s="1" t="s">
        <v>42</v>
      </c>
      <c r="E1085" s="1">
        <v>3218.2220000000002</v>
      </c>
    </row>
    <row r="1086" spans="3:5" x14ac:dyDescent="0.35">
      <c r="C1086" s="1" t="s">
        <v>10032</v>
      </c>
      <c r="D1086" s="1" t="s">
        <v>57</v>
      </c>
      <c r="E1086" s="1">
        <v>3218.2310000000002</v>
      </c>
    </row>
    <row r="1087" spans="3:5" x14ac:dyDescent="0.35">
      <c r="C1087" s="1" t="s">
        <v>10031</v>
      </c>
      <c r="D1087" s="1" t="s">
        <v>42</v>
      </c>
      <c r="E1087" s="1">
        <v>3218.232</v>
      </c>
    </row>
    <row r="1088" spans="3:5" x14ac:dyDescent="0.35">
      <c r="C1088" s="1" t="s">
        <v>10030</v>
      </c>
      <c r="D1088" s="1" t="s">
        <v>42</v>
      </c>
      <c r="E1088" s="1">
        <v>3218.2330000000002</v>
      </c>
    </row>
    <row r="1089" spans="3:5" x14ac:dyDescent="0.35">
      <c r="C1089" s="1" t="s">
        <v>10029</v>
      </c>
      <c r="D1089" s="1" t="s">
        <v>42</v>
      </c>
      <c r="E1089" s="1">
        <v>3218.2339999999999</v>
      </c>
    </row>
    <row r="1090" spans="3:5" x14ac:dyDescent="0.35">
      <c r="C1090" s="1" t="s">
        <v>10028</v>
      </c>
      <c r="D1090" s="1" t="s">
        <v>42</v>
      </c>
      <c r="E1090" s="1">
        <v>3218.2350000000001</v>
      </c>
    </row>
    <row r="1091" spans="3:5" x14ac:dyDescent="0.35">
      <c r="C1091" s="1" t="s">
        <v>10027</v>
      </c>
      <c r="D1091" s="1" t="s">
        <v>42</v>
      </c>
      <c r="E1091" s="1">
        <v>3218.2359999999999</v>
      </c>
    </row>
    <row r="1092" spans="3:5" x14ac:dyDescent="0.35">
      <c r="C1092" s="1" t="s">
        <v>10026</v>
      </c>
      <c r="D1092" s="1" t="s">
        <v>42</v>
      </c>
      <c r="E1092" s="1">
        <v>3218.2370000000001</v>
      </c>
    </row>
    <row r="1093" spans="3:5" x14ac:dyDescent="0.35">
      <c r="C1093" s="1" t="s">
        <v>10025</v>
      </c>
      <c r="D1093" s="1" t="s">
        <v>42</v>
      </c>
      <c r="E1093" s="1">
        <v>3218.2379999999998</v>
      </c>
    </row>
    <row r="1094" spans="3:5" x14ac:dyDescent="0.35">
      <c r="C1094" s="1" t="s">
        <v>10024</v>
      </c>
      <c r="D1094" s="1" t="s">
        <v>42</v>
      </c>
      <c r="E1094" s="1">
        <v>3218.239</v>
      </c>
    </row>
    <row r="1095" spans="3:5" x14ac:dyDescent="0.35">
      <c r="C1095" s="1" t="s">
        <v>10023</v>
      </c>
      <c r="D1095" s="1" t="s">
        <v>42</v>
      </c>
      <c r="E1095" s="1">
        <v>3218.24</v>
      </c>
    </row>
    <row r="1096" spans="3:5" x14ac:dyDescent="0.35">
      <c r="C1096" s="1" t="s">
        <v>10022</v>
      </c>
      <c r="D1096" s="1" t="s">
        <v>42</v>
      </c>
      <c r="E1096" s="1">
        <v>3218.241</v>
      </c>
    </row>
    <row r="1097" spans="3:5" x14ac:dyDescent="0.35">
      <c r="C1097" s="1" t="s">
        <v>10021</v>
      </c>
      <c r="D1097" s="1" t="s">
        <v>42</v>
      </c>
      <c r="E1097" s="1">
        <v>3218.2420000000002</v>
      </c>
    </row>
    <row r="1098" spans="3:5" x14ac:dyDescent="0.35">
      <c r="C1098" s="1" t="s">
        <v>10056</v>
      </c>
      <c r="D1098" s="1" t="s">
        <v>42</v>
      </c>
      <c r="E1098" s="1">
        <v>3218.2449999999999</v>
      </c>
    </row>
    <row r="1099" spans="3:5" x14ac:dyDescent="0.35">
      <c r="C1099" s="1" t="s">
        <v>10055</v>
      </c>
      <c r="D1099" s="1" t="s">
        <v>57</v>
      </c>
      <c r="E1099" s="1">
        <v>3218.25</v>
      </c>
    </row>
    <row r="1100" spans="3:5" x14ac:dyDescent="0.35">
      <c r="C1100" s="1" t="s">
        <v>10035</v>
      </c>
      <c r="D1100" s="1" t="s">
        <v>57</v>
      </c>
      <c r="E1100" s="1">
        <v>3218.2510000000002</v>
      </c>
    </row>
    <row r="1101" spans="3:5" x14ac:dyDescent="0.35">
      <c r="C1101" s="1" t="s">
        <v>10031</v>
      </c>
      <c r="D1101" s="1" t="s">
        <v>42</v>
      </c>
      <c r="E1101" s="1">
        <v>3218.252</v>
      </c>
    </row>
    <row r="1102" spans="3:5" x14ac:dyDescent="0.35">
      <c r="C1102" s="1" t="s">
        <v>10030</v>
      </c>
      <c r="D1102" s="1" t="s">
        <v>42</v>
      </c>
      <c r="E1102" s="1">
        <v>3218.2530000000002</v>
      </c>
    </row>
    <row r="1103" spans="3:5" x14ac:dyDescent="0.35">
      <c r="C1103" s="1" t="s">
        <v>10029</v>
      </c>
      <c r="D1103" s="1" t="s">
        <v>42</v>
      </c>
      <c r="E1103" s="1">
        <v>3218.2539999999999</v>
      </c>
    </row>
    <row r="1104" spans="3:5" x14ac:dyDescent="0.35">
      <c r="C1104" s="1" t="s">
        <v>10028</v>
      </c>
      <c r="D1104" s="1" t="s">
        <v>42</v>
      </c>
      <c r="E1104" s="1">
        <v>3218.2550000000001</v>
      </c>
    </row>
    <row r="1105" spans="3:5" x14ac:dyDescent="0.35">
      <c r="C1105" s="1" t="s">
        <v>10027</v>
      </c>
      <c r="D1105" s="1" t="s">
        <v>42</v>
      </c>
      <c r="E1105" s="1">
        <v>3218.2559999999999</v>
      </c>
    </row>
    <row r="1106" spans="3:5" x14ac:dyDescent="0.35">
      <c r="C1106" s="1" t="s">
        <v>10026</v>
      </c>
      <c r="D1106" s="1" t="s">
        <v>42</v>
      </c>
      <c r="E1106" s="1">
        <v>3218.2570000000001</v>
      </c>
    </row>
    <row r="1107" spans="3:5" x14ac:dyDescent="0.35">
      <c r="C1107" s="1" t="s">
        <v>10025</v>
      </c>
      <c r="D1107" s="1" t="s">
        <v>42</v>
      </c>
      <c r="E1107" s="1">
        <v>3218.2579999999998</v>
      </c>
    </row>
    <row r="1108" spans="3:5" x14ac:dyDescent="0.35">
      <c r="C1108" s="1" t="s">
        <v>10024</v>
      </c>
      <c r="D1108" s="1" t="s">
        <v>42</v>
      </c>
      <c r="E1108" s="1">
        <v>3218.259</v>
      </c>
    </row>
    <row r="1109" spans="3:5" x14ac:dyDescent="0.35">
      <c r="C1109" s="1" t="s">
        <v>10023</v>
      </c>
      <c r="D1109" s="1" t="s">
        <v>42</v>
      </c>
      <c r="E1109" s="1">
        <v>3218.26</v>
      </c>
    </row>
    <row r="1110" spans="3:5" x14ac:dyDescent="0.35">
      <c r="C1110" s="1" t="s">
        <v>10022</v>
      </c>
      <c r="D1110" s="1" t="s">
        <v>42</v>
      </c>
      <c r="E1110" s="1">
        <v>3218.261</v>
      </c>
    </row>
    <row r="1111" spans="3:5" x14ac:dyDescent="0.35">
      <c r="C1111" s="1" t="s">
        <v>10021</v>
      </c>
      <c r="D1111" s="1" t="s">
        <v>42</v>
      </c>
      <c r="E1111" s="1">
        <v>3218.2620000000002</v>
      </c>
    </row>
    <row r="1112" spans="3:5" x14ac:dyDescent="0.35">
      <c r="C1112" s="1" t="s">
        <v>10034</v>
      </c>
      <c r="D1112" s="1" t="s">
        <v>57</v>
      </c>
      <c r="E1112" s="1">
        <v>3218.2710000000002</v>
      </c>
    </row>
    <row r="1113" spans="3:5" x14ac:dyDescent="0.35">
      <c r="C1113" s="1" t="s">
        <v>10031</v>
      </c>
      <c r="D1113" s="1" t="s">
        <v>42</v>
      </c>
      <c r="E1113" s="1">
        <v>3218.2719999999999</v>
      </c>
    </row>
    <row r="1114" spans="3:5" x14ac:dyDescent="0.35">
      <c r="C1114" s="1" t="s">
        <v>10030</v>
      </c>
      <c r="D1114" s="1" t="s">
        <v>42</v>
      </c>
      <c r="E1114" s="1">
        <v>3218.2730000000001</v>
      </c>
    </row>
    <row r="1115" spans="3:5" x14ac:dyDescent="0.35">
      <c r="C1115" s="1" t="s">
        <v>10029</v>
      </c>
      <c r="D1115" s="1" t="s">
        <v>42</v>
      </c>
      <c r="E1115" s="1">
        <v>3218.2739999999999</v>
      </c>
    </row>
    <row r="1116" spans="3:5" x14ac:dyDescent="0.35">
      <c r="C1116" s="1" t="s">
        <v>10028</v>
      </c>
      <c r="D1116" s="1" t="s">
        <v>42</v>
      </c>
      <c r="E1116" s="1">
        <v>3218.2750000000001</v>
      </c>
    </row>
    <row r="1117" spans="3:5" x14ac:dyDescent="0.35">
      <c r="C1117" s="1" t="s">
        <v>10027</v>
      </c>
      <c r="D1117" s="1" t="s">
        <v>42</v>
      </c>
      <c r="E1117" s="1">
        <v>3218.2759999999998</v>
      </c>
    </row>
    <row r="1118" spans="3:5" x14ac:dyDescent="0.35">
      <c r="C1118" s="1" t="s">
        <v>10026</v>
      </c>
      <c r="D1118" s="1" t="s">
        <v>42</v>
      </c>
      <c r="E1118" s="1">
        <v>3218.277</v>
      </c>
    </row>
    <row r="1119" spans="3:5" x14ac:dyDescent="0.35">
      <c r="C1119" s="1" t="s">
        <v>10025</v>
      </c>
      <c r="D1119" s="1" t="s">
        <v>42</v>
      </c>
      <c r="E1119" s="1">
        <v>3218.2779999999998</v>
      </c>
    </row>
    <row r="1120" spans="3:5" x14ac:dyDescent="0.35">
      <c r="C1120" s="1" t="s">
        <v>10024</v>
      </c>
      <c r="D1120" s="1" t="s">
        <v>42</v>
      </c>
      <c r="E1120" s="1">
        <v>3218.279</v>
      </c>
    </row>
    <row r="1121" spans="3:5" x14ac:dyDescent="0.35">
      <c r="C1121" s="1" t="s">
        <v>10023</v>
      </c>
      <c r="D1121" s="1" t="s">
        <v>42</v>
      </c>
      <c r="E1121" s="1">
        <v>3218.28</v>
      </c>
    </row>
    <row r="1122" spans="3:5" x14ac:dyDescent="0.35">
      <c r="C1122" s="1" t="s">
        <v>10022</v>
      </c>
      <c r="D1122" s="1" t="s">
        <v>42</v>
      </c>
      <c r="E1122" s="1">
        <v>3218.2809999999999</v>
      </c>
    </row>
    <row r="1123" spans="3:5" x14ac:dyDescent="0.35">
      <c r="C1123" s="1" t="s">
        <v>10021</v>
      </c>
      <c r="D1123" s="1" t="s">
        <v>42</v>
      </c>
      <c r="E1123" s="1">
        <v>3218.2820000000002</v>
      </c>
    </row>
    <row r="1124" spans="3:5" x14ac:dyDescent="0.35">
      <c r="C1124" s="1" t="s">
        <v>10033</v>
      </c>
      <c r="D1124" s="1" t="s">
        <v>57</v>
      </c>
      <c r="E1124" s="1">
        <v>3218.2910000000002</v>
      </c>
    </row>
    <row r="1125" spans="3:5" x14ac:dyDescent="0.35">
      <c r="C1125" s="1" t="s">
        <v>10031</v>
      </c>
      <c r="D1125" s="1" t="s">
        <v>42</v>
      </c>
      <c r="E1125" s="1">
        <v>3218.2919999999999</v>
      </c>
    </row>
    <row r="1126" spans="3:5" x14ac:dyDescent="0.35">
      <c r="C1126" s="1" t="s">
        <v>10030</v>
      </c>
      <c r="D1126" s="1" t="s">
        <v>42</v>
      </c>
      <c r="E1126" s="1">
        <v>3218.2930000000001</v>
      </c>
    </row>
    <row r="1127" spans="3:5" x14ac:dyDescent="0.35">
      <c r="C1127" s="1" t="s">
        <v>10029</v>
      </c>
      <c r="D1127" s="1" t="s">
        <v>42</v>
      </c>
      <c r="E1127" s="1">
        <v>3218.2939999999999</v>
      </c>
    </row>
    <row r="1128" spans="3:5" x14ac:dyDescent="0.35">
      <c r="C1128" s="1" t="s">
        <v>10028</v>
      </c>
      <c r="D1128" s="1" t="s">
        <v>42</v>
      </c>
      <c r="E1128" s="1">
        <v>3218.2950000000001</v>
      </c>
    </row>
    <row r="1129" spans="3:5" x14ac:dyDescent="0.35">
      <c r="C1129" s="1" t="s">
        <v>10027</v>
      </c>
      <c r="D1129" s="1" t="s">
        <v>42</v>
      </c>
      <c r="E1129" s="1">
        <v>3218.2959999999998</v>
      </c>
    </row>
    <row r="1130" spans="3:5" x14ac:dyDescent="0.35">
      <c r="C1130" s="1" t="s">
        <v>10026</v>
      </c>
      <c r="D1130" s="1" t="s">
        <v>42</v>
      </c>
      <c r="E1130" s="1">
        <v>3218.297</v>
      </c>
    </row>
    <row r="1131" spans="3:5" x14ac:dyDescent="0.35">
      <c r="C1131" s="1" t="s">
        <v>10025</v>
      </c>
      <c r="D1131" s="1" t="s">
        <v>42</v>
      </c>
      <c r="E1131" s="1">
        <v>3218.2979999999998</v>
      </c>
    </row>
    <row r="1132" spans="3:5" x14ac:dyDescent="0.35">
      <c r="C1132" s="1" t="s">
        <v>10024</v>
      </c>
      <c r="D1132" s="1" t="s">
        <v>42</v>
      </c>
      <c r="E1132" s="1">
        <v>3218.299</v>
      </c>
    </row>
    <row r="1133" spans="3:5" x14ac:dyDescent="0.35">
      <c r="C1133" s="1" t="s">
        <v>10023</v>
      </c>
      <c r="D1133" s="1" t="s">
        <v>42</v>
      </c>
      <c r="E1133" s="1">
        <v>3218.3</v>
      </c>
    </row>
    <row r="1134" spans="3:5" x14ac:dyDescent="0.35">
      <c r="C1134" s="1" t="s">
        <v>10022</v>
      </c>
      <c r="D1134" s="1" t="s">
        <v>42</v>
      </c>
      <c r="E1134" s="1">
        <v>3218.3009999999999</v>
      </c>
    </row>
    <row r="1135" spans="3:5" x14ac:dyDescent="0.35">
      <c r="C1135" s="1" t="s">
        <v>10021</v>
      </c>
      <c r="D1135" s="1" t="s">
        <v>42</v>
      </c>
      <c r="E1135" s="1">
        <v>3218.3020000000001</v>
      </c>
    </row>
    <row r="1136" spans="3:5" x14ac:dyDescent="0.35">
      <c r="C1136" s="1" t="s">
        <v>10032</v>
      </c>
      <c r="D1136" s="1" t="s">
        <v>57</v>
      </c>
      <c r="E1136" s="1">
        <v>3218.3110000000001</v>
      </c>
    </row>
    <row r="1137" spans="3:5" x14ac:dyDescent="0.35">
      <c r="C1137" s="1" t="s">
        <v>10031</v>
      </c>
      <c r="D1137" s="1" t="s">
        <v>42</v>
      </c>
      <c r="E1137" s="1">
        <v>3218.3119999999999</v>
      </c>
    </row>
    <row r="1138" spans="3:5" x14ac:dyDescent="0.35">
      <c r="C1138" s="1" t="s">
        <v>10030</v>
      </c>
      <c r="D1138" s="1" t="s">
        <v>42</v>
      </c>
      <c r="E1138" s="1">
        <v>3218.3130000000001</v>
      </c>
    </row>
    <row r="1139" spans="3:5" x14ac:dyDescent="0.35">
      <c r="C1139" s="1" t="s">
        <v>10029</v>
      </c>
      <c r="D1139" s="1" t="s">
        <v>42</v>
      </c>
      <c r="E1139" s="1">
        <v>3218.3139999999999</v>
      </c>
    </row>
    <row r="1140" spans="3:5" x14ac:dyDescent="0.35">
      <c r="C1140" s="1" t="s">
        <v>10028</v>
      </c>
      <c r="D1140" s="1" t="s">
        <v>42</v>
      </c>
      <c r="E1140" s="1">
        <v>3218.3150000000001</v>
      </c>
    </row>
    <row r="1141" spans="3:5" x14ac:dyDescent="0.35">
      <c r="C1141" s="1" t="s">
        <v>10027</v>
      </c>
      <c r="D1141" s="1" t="s">
        <v>42</v>
      </c>
      <c r="E1141" s="1">
        <v>3218.3159999999998</v>
      </c>
    </row>
    <row r="1142" spans="3:5" x14ac:dyDescent="0.35">
      <c r="C1142" s="1" t="s">
        <v>10026</v>
      </c>
      <c r="D1142" s="1" t="s">
        <v>42</v>
      </c>
      <c r="E1142" s="1">
        <v>3218.317</v>
      </c>
    </row>
    <row r="1143" spans="3:5" x14ac:dyDescent="0.35">
      <c r="C1143" s="1" t="s">
        <v>10025</v>
      </c>
      <c r="D1143" s="1" t="s">
        <v>42</v>
      </c>
      <c r="E1143" s="1">
        <v>3218.3180000000002</v>
      </c>
    </row>
    <row r="1144" spans="3:5" x14ac:dyDescent="0.35">
      <c r="C1144" s="1" t="s">
        <v>10024</v>
      </c>
      <c r="D1144" s="1" t="s">
        <v>42</v>
      </c>
      <c r="E1144" s="1">
        <v>3218.319</v>
      </c>
    </row>
    <row r="1145" spans="3:5" x14ac:dyDescent="0.35">
      <c r="C1145" s="1" t="s">
        <v>10023</v>
      </c>
      <c r="D1145" s="1" t="s">
        <v>42</v>
      </c>
      <c r="E1145" s="1">
        <v>3218.32</v>
      </c>
    </row>
    <row r="1146" spans="3:5" x14ac:dyDescent="0.35">
      <c r="C1146" s="1" t="s">
        <v>10022</v>
      </c>
      <c r="D1146" s="1" t="s">
        <v>42</v>
      </c>
      <c r="E1146" s="1">
        <v>3218.3209999999999</v>
      </c>
    </row>
    <row r="1147" spans="3:5" x14ac:dyDescent="0.35">
      <c r="C1147" s="1" t="s">
        <v>10021</v>
      </c>
      <c r="D1147" s="1" t="s">
        <v>42</v>
      </c>
      <c r="E1147" s="1">
        <v>3218.3220000000001</v>
      </c>
    </row>
    <row r="1148" spans="3:5" x14ac:dyDescent="0.35">
      <c r="C1148" s="1" t="s">
        <v>10054</v>
      </c>
      <c r="D1148" s="1" t="s">
        <v>42</v>
      </c>
      <c r="E1148" s="1">
        <v>3218.3249999999998</v>
      </c>
    </row>
    <row r="1149" spans="3:5" x14ac:dyDescent="0.35">
      <c r="C1149" s="1" t="s">
        <v>10053</v>
      </c>
      <c r="D1149" s="1" t="s">
        <v>57</v>
      </c>
      <c r="E1149" s="1">
        <v>3218.33</v>
      </c>
    </row>
    <row r="1150" spans="3:5" x14ac:dyDescent="0.35">
      <c r="C1150" s="1" t="s">
        <v>10035</v>
      </c>
      <c r="D1150" s="1" t="s">
        <v>57</v>
      </c>
      <c r="E1150" s="1">
        <v>3218.3310000000001</v>
      </c>
    </row>
    <row r="1151" spans="3:5" x14ac:dyDescent="0.35">
      <c r="C1151" s="1" t="s">
        <v>10031</v>
      </c>
      <c r="D1151" s="1" t="s">
        <v>42</v>
      </c>
      <c r="E1151" s="1">
        <v>3218.3319999999999</v>
      </c>
    </row>
    <row r="1152" spans="3:5" x14ac:dyDescent="0.35">
      <c r="C1152" s="1" t="s">
        <v>10030</v>
      </c>
      <c r="D1152" s="1" t="s">
        <v>42</v>
      </c>
      <c r="E1152" s="1">
        <v>3218.3330000000001</v>
      </c>
    </row>
    <row r="1153" spans="3:5" x14ac:dyDescent="0.35">
      <c r="C1153" s="1" t="s">
        <v>10029</v>
      </c>
      <c r="D1153" s="1" t="s">
        <v>42</v>
      </c>
      <c r="E1153" s="1">
        <v>3218.3339999999998</v>
      </c>
    </row>
    <row r="1154" spans="3:5" x14ac:dyDescent="0.35">
      <c r="C1154" s="1" t="s">
        <v>10028</v>
      </c>
      <c r="D1154" s="1" t="s">
        <v>42</v>
      </c>
      <c r="E1154" s="1">
        <v>3218.335</v>
      </c>
    </row>
    <row r="1155" spans="3:5" x14ac:dyDescent="0.35">
      <c r="C1155" s="1" t="s">
        <v>10027</v>
      </c>
      <c r="D1155" s="1" t="s">
        <v>42</v>
      </c>
      <c r="E1155" s="1">
        <v>3218.3359999999998</v>
      </c>
    </row>
    <row r="1156" spans="3:5" x14ac:dyDescent="0.35">
      <c r="C1156" s="1" t="s">
        <v>10026</v>
      </c>
      <c r="D1156" s="1" t="s">
        <v>42</v>
      </c>
      <c r="E1156" s="1">
        <v>3218.337</v>
      </c>
    </row>
    <row r="1157" spans="3:5" x14ac:dyDescent="0.35">
      <c r="C1157" s="1" t="s">
        <v>10025</v>
      </c>
      <c r="D1157" s="1" t="s">
        <v>42</v>
      </c>
      <c r="E1157" s="1">
        <v>3218.3380000000002</v>
      </c>
    </row>
    <row r="1158" spans="3:5" x14ac:dyDescent="0.35">
      <c r="C1158" s="1" t="s">
        <v>10024</v>
      </c>
      <c r="D1158" s="1" t="s">
        <v>42</v>
      </c>
      <c r="E1158" s="1">
        <v>3218.3389999999999</v>
      </c>
    </row>
    <row r="1159" spans="3:5" x14ac:dyDescent="0.35">
      <c r="C1159" s="1" t="s">
        <v>10023</v>
      </c>
      <c r="D1159" s="1" t="s">
        <v>42</v>
      </c>
      <c r="E1159" s="1">
        <v>3218.34</v>
      </c>
    </row>
    <row r="1160" spans="3:5" x14ac:dyDescent="0.35">
      <c r="C1160" s="1" t="s">
        <v>10022</v>
      </c>
      <c r="D1160" s="1" t="s">
        <v>42</v>
      </c>
      <c r="E1160" s="1">
        <v>3218.3409999999999</v>
      </c>
    </row>
    <row r="1161" spans="3:5" x14ac:dyDescent="0.35">
      <c r="C1161" s="1" t="s">
        <v>10021</v>
      </c>
      <c r="D1161" s="1" t="s">
        <v>42</v>
      </c>
      <c r="E1161" s="1">
        <v>3218.3420000000001</v>
      </c>
    </row>
    <row r="1162" spans="3:5" x14ac:dyDescent="0.35">
      <c r="C1162" s="1" t="s">
        <v>10034</v>
      </c>
      <c r="D1162" s="1" t="s">
        <v>57</v>
      </c>
      <c r="E1162" s="1">
        <v>3218.3510000000001</v>
      </c>
    </row>
    <row r="1163" spans="3:5" x14ac:dyDescent="0.35">
      <c r="C1163" s="1" t="s">
        <v>10031</v>
      </c>
      <c r="D1163" s="1" t="s">
        <v>42</v>
      </c>
      <c r="E1163" s="1">
        <v>3218.3519999999999</v>
      </c>
    </row>
    <row r="1164" spans="3:5" x14ac:dyDescent="0.35">
      <c r="C1164" s="1" t="s">
        <v>10030</v>
      </c>
      <c r="D1164" s="1" t="s">
        <v>42</v>
      </c>
      <c r="E1164" s="1">
        <v>3218.3530000000001</v>
      </c>
    </row>
    <row r="1165" spans="3:5" x14ac:dyDescent="0.35">
      <c r="C1165" s="1" t="s">
        <v>10029</v>
      </c>
      <c r="D1165" s="1" t="s">
        <v>42</v>
      </c>
      <c r="E1165" s="1">
        <v>3218.3539999999998</v>
      </c>
    </row>
    <row r="1166" spans="3:5" x14ac:dyDescent="0.35">
      <c r="C1166" s="1" t="s">
        <v>10028</v>
      </c>
      <c r="D1166" s="1" t="s">
        <v>42</v>
      </c>
      <c r="E1166" s="1">
        <v>3218.355</v>
      </c>
    </row>
    <row r="1167" spans="3:5" x14ac:dyDescent="0.35">
      <c r="C1167" s="1" t="s">
        <v>10027</v>
      </c>
      <c r="D1167" s="1" t="s">
        <v>42</v>
      </c>
      <c r="E1167" s="1">
        <v>3218.3560000000002</v>
      </c>
    </row>
    <row r="1168" spans="3:5" x14ac:dyDescent="0.35">
      <c r="C1168" s="1" t="s">
        <v>10026</v>
      </c>
      <c r="D1168" s="1" t="s">
        <v>42</v>
      </c>
      <c r="E1168" s="1">
        <v>3218.357</v>
      </c>
    </row>
    <row r="1169" spans="3:5" x14ac:dyDescent="0.35">
      <c r="C1169" s="1" t="s">
        <v>10025</v>
      </c>
      <c r="D1169" s="1" t="s">
        <v>42</v>
      </c>
      <c r="E1169" s="1">
        <v>3218.3580000000002</v>
      </c>
    </row>
    <row r="1170" spans="3:5" x14ac:dyDescent="0.35">
      <c r="C1170" s="1" t="s">
        <v>10024</v>
      </c>
      <c r="D1170" s="1" t="s">
        <v>42</v>
      </c>
      <c r="E1170" s="1">
        <v>3218.3589999999999</v>
      </c>
    </row>
    <row r="1171" spans="3:5" x14ac:dyDescent="0.35">
      <c r="C1171" s="1" t="s">
        <v>10023</v>
      </c>
      <c r="D1171" s="1" t="s">
        <v>42</v>
      </c>
      <c r="E1171" s="1">
        <v>3218.36</v>
      </c>
    </row>
    <row r="1172" spans="3:5" x14ac:dyDescent="0.35">
      <c r="C1172" s="1" t="s">
        <v>10022</v>
      </c>
      <c r="D1172" s="1" t="s">
        <v>42</v>
      </c>
      <c r="E1172" s="1">
        <v>3218.3609999999999</v>
      </c>
    </row>
    <row r="1173" spans="3:5" x14ac:dyDescent="0.35">
      <c r="C1173" s="1" t="s">
        <v>10021</v>
      </c>
      <c r="D1173" s="1" t="s">
        <v>42</v>
      </c>
      <c r="E1173" s="1">
        <v>3218.3620000000001</v>
      </c>
    </row>
    <row r="1174" spans="3:5" x14ac:dyDescent="0.35">
      <c r="C1174" s="1" t="s">
        <v>10033</v>
      </c>
      <c r="D1174" s="1" t="s">
        <v>57</v>
      </c>
      <c r="E1174" s="1">
        <v>3218.3710000000001</v>
      </c>
    </row>
    <row r="1175" spans="3:5" x14ac:dyDescent="0.35">
      <c r="C1175" s="1" t="s">
        <v>10031</v>
      </c>
      <c r="D1175" s="1" t="s">
        <v>42</v>
      </c>
      <c r="E1175" s="1">
        <v>3218.3719999999998</v>
      </c>
    </row>
    <row r="1176" spans="3:5" x14ac:dyDescent="0.35">
      <c r="C1176" s="1" t="s">
        <v>10030</v>
      </c>
      <c r="D1176" s="1" t="s">
        <v>42</v>
      </c>
      <c r="E1176" s="1">
        <v>3218.373</v>
      </c>
    </row>
    <row r="1177" spans="3:5" x14ac:dyDescent="0.35">
      <c r="C1177" s="1" t="s">
        <v>10029</v>
      </c>
      <c r="D1177" s="1" t="s">
        <v>42</v>
      </c>
      <c r="E1177" s="1">
        <v>3218.3739999999998</v>
      </c>
    </row>
    <row r="1178" spans="3:5" x14ac:dyDescent="0.35">
      <c r="C1178" s="1" t="s">
        <v>10028</v>
      </c>
      <c r="D1178" s="1" t="s">
        <v>42</v>
      </c>
      <c r="E1178" s="1">
        <v>3218.375</v>
      </c>
    </row>
    <row r="1179" spans="3:5" x14ac:dyDescent="0.35">
      <c r="C1179" s="1" t="s">
        <v>10027</v>
      </c>
      <c r="D1179" s="1" t="s">
        <v>42</v>
      </c>
      <c r="E1179" s="1">
        <v>3218.3760000000002</v>
      </c>
    </row>
    <row r="1180" spans="3:5" x14ac:dyDescent="0.35">
      <c r="C1180" s="1" t="s">
        <v>10026</v>
      </c>
      <c r="D1180" s="1" t="s">
        <v>42</v>
      </c>
      <c r="E1180" s="1">
        <v>3218.377</v>
      </c>
    </row>
    <row r="1181" spans="3:5" x14ac:dyDescent="0.35">
      <c r="C1181" s="1" t="s">
        <v>10025</v>
      </c>
      <c r="D1181" s="1" t="s">
        <v>42</v>
      </c>
      <c r="E1181" s="1">
        <v>3218.3780000000002</v>
      </c>
    </row>
    <row r="1182" spans="3:5" x14ac:dyDescent="0.35">
      <c r="C1182" s="1" t="s">
        <v>10024</v>
      </c>
      <c r="D1182" s="1" t="s">
        <v>42</v>
      </c>
      <c r="E1182" s="1">
        <v>3218.3789999999999</v>
      </c>
    </row>
    <row r="1183" spans="3:5" x14ac:dyDescent="0.35">
      <c r="C1183" s="1" t="s">
        <v>10023</v>
      </c>
      <c r="D1183" s="1" t="s">
        <v>42</v>
      </c>
      <c r="E1183" s="1">
        <v>3218.38</v>
      </c>
    </row>
    <row r="1184" spans="3:5" x14ac:dyDescent="0.35">
      <c r="C1184" s="1" t="s">
        <v>10022</v>
      </c>
      <c r="D1184" s="1" t="s">
        <v>42</v>
      </c>
      <c r="E1184" s="1">
        <v>3218.3809999999999</v>
      </c>
    </row>
    <row r="1185" spans="3:5" x14ac:dyDescent="0.35">
      <c r="C1185" s="1" t="s">
        <v>10021</v>
      </c>
      <c r="D1185" s="1" t="s">
        <v>42</v>
      </c>
      <c r="E1185" s="1">
        <v>3218.3820000000001</v>
      </c>
    </row>
    <row r="1186" spans="3:5" x14ac:dyDescent="0.35">
      <c r="C1186" s="1" t="s">
        <v>10032</v>
      </c>
      <c r="D1186" s="1" t="s">
        <v>57</v>
      </c>
      <c r="E1186" s="1">
        <v>3218.3910000000001</v>
      </c>
    </row>
    <row r="1187" spans="3:5" x14ac:dyDescent="0.35">
      <c r="C1187" s="1" t="s">
        <v>10031</v>
      </c>
      <c r="D1187" s="1" t="s">
        <v>42</v>
      </c>
      <c r="E1187" s="1">
        <v>3218.3919999999998</v>
      </c>
    </row>
    <row r="1188" spans="3:5" x14ac:dyDescent="0.35">
      <c r="C1188" s="1" t="s">
        <v>10030</v>
      </c>
      <c r="D1188" s="1" t="s">
        <v>42</v>
      </c>
      <c r="E1188" s="1">
        <v>3218.393</v>
      </c>
    </row>
    <row r="1189" spans="3:5" x14ac:dyDescent="0.35">
      <c r="C1189" s="1" t="s">
        <v>10029</v>
      </c>
      <c r="D1189" s="1" t="s">
        <v>42</v>
      </c>
      <c r="E1189" s="1">
        <v>3218.3939999999998</v>
      </c>
    </row>
    <row r="1190" spans="3:5" x14ac:dyDescent="0.35">
      <c r="C1190" s="1" t="s">
        <v>10028</v>
      </c>
      <c r="D1190" s="1" t="s">
        <v>42</v>
      </c>
      <c r="E1190" s="1">
        <v>3218.395</v>
      </c>
    </row>
    <row r="1191" spans="3:5" x14ac:dyDescent="0.35">
      <c r="C1191" s="1" t="s">
        <v>10027</v>
      </c>
      <c r="D1191" s="1" t="s">
        <v>42</v>
      </c>
      <c r="E1191" s="1">
        <v>3218.3960000000002</v>
      </c>
    </row>
    <row r="1192" spans="3:5" x14ac:dyDescent="0.35">
      <c r="C1192" s="1" t="s">
        <v>10026</v>
      </c>
      <c r="D1192" s="1" t="s">
        <v>42</v>
      </c>
      <c r="E1192" s="1">
        <v>3218.3969999999999</v>
      </c>
    </row>
    <row r="1193" spans="3:5" x14ac:dyDescent="0.35">
      <c r="C1193" s="1" t="s">
        <v>10025</v>
      </c>
      <c r="D1193" s="1" t="s">
        <v>42</v>
      </c>
      <c r="E1193" s="1">
        <v>3218.3980000000001</v>
      </c>
    </row>
    <row r="1194" spans="3:5" x14ac:dyDescent="0.35">
      <c r="C1194" s="1" t="s">
        <v>10024</v>
      </c>
      <c r="D1194" s="1" t="s">
        <v>42</v>
      </c>
      <c r="E1194" s="1">
        <v>3218.3989999999999</v>
      </c>
    </row>
    <row r="1195" spans="3:5" x14ac:dyDescent="0.35">
      <c r="C1195" s="1" t="s">
        <v>10023</v>
      </c>
      <c r="D1195" s="1" t="s">
        <v>42</v>
      </c>
      <c r="E1195" s="1">
        <v>3218.4</v>
      </c>
    </row>
    <row r="1196" spans="3:5" x14ac:dyDescent="0.35">
      <c r="C1196" s="1" t="s">
        <v>10022</v>
      </c>
      <c r="D1196" s="1" t="s">
        <v>42</v>
      </c>
      <c r="E1196" s="1">
        <v>3218.4009999999998</v>
      </c>
    </row>
    <row r="1197" spans="3:5" x14ac:dyDescent="0.35">
      <c r="C1197" s="1" t="s">
        <v>10021</v>
      </c>
      <c r="D1197" s="1" t="s">
        <v>42</v>
      </c>
      <c r="E1197" s="1">
        <v>3218.402</v>
      </c>
    </row>
    <row r="1198" spans="3:5" x14ac:dyDescent="0.35">
      <c r="C1198" s="1" t="s">
        <v>10052</v>
      </c>
      <c r="D1198" s="1" t="s">
        <v>42</v>
      </c>
      <c r="E1198" s="1">
        <v>3218.4050000000002</v>
      </c>
    </row>
    <row r="1199" spans="3:5" x14ac:dyDescent="0.35">
      <c r="C1199" s="1" t="s">
        <v>10051</v>
      </c>
      <c r="D1199" s="1" t="s">
        <v>57</v>
      </c>
      <c r="E1199" s="1">
        <v>3218.41</v>
      </c>
    </row>
    <row r="1200" spans="3:5" x14ac:dyDescent="0.35">
      <c r="C1200" s="1" t="s">
        <v>10035</v>
      </c>
      <c r="D1200" s="1" t="s">
        <v>57</v>
      </c>
      <c r="E1200" s="1">
        <v>3218.4110000000001</v>
      </c>
    </row>
    <row r="1201" spans="3:5" x14ac:dyDescent="0.35">
      <c r="C1201" s="1" t="s">
        <v>10031</v>
      </c>
      <c r="D1201" s="1" t="s">
        <v>42</v>
      </c>
      <c r="E1201" s="1">
        <v>3218.4119999999998</v>
      </c>
    </row>
    <row r="1202" spans="3:5" x14ac:dyDescent="0.35">
      <c r="C1202" s="1" t="s">
        <v>10030</v>
      </c>
      <c r="D1202" s="1" t="s">
        <v>42</v>
      </c>
      <c r="E1202" s="1">
        <v>3218.413</v>
      </c>
    </row>
    <row r="1203" spans="3:5" x14ac:dyDescent="0.35">
      <c r="C1203" s="1" t="s">
        <v>10029</v>
      </c>
      <c r="D1203" s="1" t="s">
        <v>42</v>
      </c>
      <c r="E1203" s="1">
        <v>3218.4140000000002</v>
      </c>
    </row>
    <row r="1204" spans="3:5" x14ac:dyDescent="0.35">
      <c r="C1204" s="1" t="s">
        <v>10028</v>
      </c>
      <c r="D1204" s="1" t="s">
        <v>42</v>
      </c>
      <c r="E1204" s="1">
        <v>3218.415</v>
      </c>
    </row>
    <row r="1205" spans="3:5" x14ac:dyDescent="0.35">
      <c r="C1205" s="1" t="s">
        <v>10027</v>
      </c>
      <c r="D1205" s="1" t="s">
        <v>42</v>
      </c>
      <c r="E1205" s="1">
        <v>3218.4160000000002</v>
      </c>
    </row>
    <row r="1206" spans="3:5" x14ac:dyDescent="0.35">
      <c r="C1206" s="1" t="s">
        <v>10026</v>
      </c>
      <c r="D1206" s="1" t="s">
        <v>42</v>
      </c>
      <c r="E1206" s="1">
        <v>3218.4169999999999</v>
      </c>
    </row>
    <row r="1207" spans="3:5" x14ac:dyDescent="0.35">
      <c r="C1207" s="1" t="s">
        <v>10025</v>
      </c>
      <c r="D1207" s="1" t="s">
        <v>42</v>
      </c>
      <c r="E1207" s="1">
        <v>3218.4180000000001</v>
      </c>
    </row>
    <row r="1208" spans="3:5" x14ac:dyDescent="0.35">
      <c r="C1208" s="1" t="s">
        <v>10024</v>
      </c>
      <c r="D1208" s="1" t="s">
        <v>42</v>
      </c>
      <c r="E1208" s="1">
        <v>3218.4189999999999</v>
      </c>
    </row>
    <row r="1209" spans="3:5" x14ac:dyDescent="0.35">
      <c r="C1209" s="1" t="s">
        <v>10023</v>
      </c>
      <c r="D1209" s="1" t="s">
        <v>42</v>
      </c>
      <c r="E1209" s="1">
        <v>3218.42</v>
      </c>
    </row>
    <row r="1210" spans="3:5" x14ac:dyDescent="0.35">
      <c r="C1210" s="1" t="s">
        <v>10022</v>
      </c>
      <c r="D1210" s="1" t="s">
        <v>42</v>
      </c>
      <c r="E1210" s="1">
        <v>3218.4209999999998</v>
      </c>
    </row>
    <row r="1211" spans="3:5" x14ac:dyDescent="0.35">
      <c r="C1211" s="1" t="s">
        <v>10021</v>
      </c>
      <c r="D1211" s="1" t="s">
        <v>42</v>
      </c>
      <c r="E1211" s="1">
        <v>3218.422</v>
      </c>
    </row>
    <row r="1212" spans="3:5" x14ac:dyDescent="0.35">
      <c r="C1212" s="1" t="s">
        <v>10034</v>
      </c>
      <c r="D1212" s="1" t="s">
        <v>57</v>
      </c>
      <c r="E1212" s="1">
        <v>3218.431</v>
      </c>
    </row>
    <row r="1213" spans="3:5" x14ac:dyDescent="0.35">
      <c r="C1213" s="1" t="s">
        <v>10031</v>
      </c>
      <c r="D1213" s="1" t="s">
        <v>42</v>
      </c>
      <c r="E1213" s="1">
        <v>3218.4319999999998</v>
      </c>
    </row>
    <row r="1214" spans="3:5" x14ac:dyDescent="0.35">
      <c r="C1214" s="1" t="s">
        <v>10030</v>
      </c>
      <c r="D1214" s="1" t="s">
        <v>42</v>
      </c>
      <c r="E1214" s="1">
        <v>3218.433</v>
      </c>
    </row>
    <row r="1215" spans="3:5" x14ac:dyDescent="0.35">
      <c r="C1215" s="1" t="s">
        <v>10029</v>
      </c>
      <c r="D1215" s="1" t="s">
        <v>42</v>
      </c>
      <c r="E1215" s="1">
        <v>3218.4340000000002</v>
      </c>
    </row>
    <row r="1216" spans="3:5" x14ac:dyDescent="0.35">
      <c r="C1216" s="1" t="s">
        <v>10028</v>
      </c>
      <c r="D1216" s="1" t="s">
        <v>42</v>
      </c>
      <c r="E1216" s="1">
        <v>3218.4349999999999</v>
      </c>
    </row>
    <row r="1217" spans="3:5" x14ac:dyDescent="0.35">
      <c r="C1217" s="1" t="s">
        <v>10027</v>
      </c>
      <c r="D1217" s="1" t="s">
        <v>42</v>
      </c>
      <c r="E1217" s="1">
        <v>3218.4360000000001</v>
      </c>
    </row>
    <row r="1218" spans="3:5" x14ac:dyDescent="0.35">
      <c r="C1218" s="1" t="s">
        <v>10026</v>
      </c>
      <c r="D1218" s="1" t="s">
        <v>42</v>
      </c>
      <c r="E1218" s="1">
        <v>3218.4369999999999</v>
      </c>
    </row>
    <row r="1219" spans="3:5" x14ac:dyDescent="0.35">
      <c r="C1219" s="1" t="s">
        <v>10025</v>
      </c>
      <c r="D1219" s="1" t="s">
        <v>42</v>
      </c>
      <c r="E1219" s="1">
        <v>3218.4380000000001</v>
      </c>
    </row>
    <row r="1220" spans="3:5" x14ac:dyDescent="0.35">
      <c r="C1220" s="1" t="s">
        <v>10024</v>
      </c>
      <c r="D1220" s="1" t="s">
        <v>42</v>
      </c>
      <c r="E1220" s="1">
        <v>3218.4389999999999</v>
      </c>
    </row>
    <row r="1221" spans="3:5" x14ac:dyDescent="0.35">
      <c r="C1221" s="1" t="s">
        <v>10023</v>
      </c>
      <c r="D1221" s="1" t="s">
        <v>42</v>
      </c>
      <c r="E1221" s="1">
        <v>3218.44</v>
      </c>
    </row>
    <row r="1222" spans="3:5" x14ac:dyDescent="0.35">
      <c r="C1222" s="1" t="s">
        <v>10022</v>
      </c>
      <c r="D1222" s="1" t="s">
        <v>42</v>
      </c>
      <c r="E1222" s="1">
        <v>3218.4409999999998</v>
      </c>
    </row>
    <row r="1223" spans="3:5" x14ac:dyDescent="0.35">
      <c r="C1223" s="1" t="s">
        <v>10021</v>
      </c>
      <c r="D1223" s="1" t="s">
        <v>42</v>
      </c>
      <c r="E1223" s="1">
        <v>3218.442</v>
      </c>
    </row>
    <row r="1224" spans="3:5" x14ac:dyDescent="0.35">
      <c r="C1224" s="1" t="s">
        <v>10033</v>
      </c>
      <c r="D1224" s="1" t="s">
        <v>57</v>
      </c>
      <c r="E1224" s="1">
        <v>3218.451</v>
      </c>
    </row>
    <row r="1225" spans="3:5" x14ac:dyDescent="0.35">
      <c r="C1225" s="1" t="s">
        <v>10031</v>
      </c>
      <c r="D1225" s="1" t="s">
        <v>42</v>
      </c>
      <c r="E1225" s="1">
        <v>3218.4520000000002</v>
      </c>
    </row>
    <row r="1226" spans="3:5" x14ac:dyDescent="0.35">
      <c r="C1226" s="1" t="s">
        <v>10030</v>
      </c>
      <c r="D1226" s="1" t="s">
        <v>42</v>
      </c>
      <c r="E1226" s="1">
        <v>3218.453</v>
      </c>
    </row>
    <row r="1227" spans="3:5" x14ac:dyDescent="0.35">
      <c r="C1227" s="1" t="s">
        <v>10029</v>
      </c>
      <c r="D1227" s="1" t="s">
        <v>42</v>
      </c>
      <c r="E1227" s="1">
        <v>3218.4540000000002</v>
      </c>
    </row>
    <row r="1228" spans="3:5" x14ac:dyDescent="0.35">
      <c r="C1228" s="1" t="s">
        <v>10028</v>
      </c>
      <c r="D1228" s="1" t="s">
        <v>42</v>
      </c>
      <c r="E1228" s="1">
        <v>3218.4549999999999</v>
      </c>
    </row>
    <row r="1229" spans="3:5" x14ac:dyDescent="0.35">
      <c r="C1229" s="1" t="s">
        <v>10027</v>
      </c>
      <c r="D1229" s="1" t="s">
        <v>42</v>
      </c>
      <c r="E1229" s="1">
        <v>3218.4560000000001</v>
      </c>
    </row>
    <row r="1230" spans="3:5" x14ac:dyDescent="0.35">
      <c r="C1230" s="1" t="s">
        <v>10026</v>
      </c>
      <c r="D1230" s="1" t="s">
        <v>42</v>
      </c>
      <c r="E1230" s="1">
        <v>3218.4569999999999</v>
      </c>
    </row>
    <row r="1231" spans="3:5" x14ac:dyDescent="0.35">
      <c r="C1231" s="1" t="s">
        <v>10025</v>
      </c>
      <c r="D1231" s="1" t="s">
        <v>42</v>
      </c>
      <c r="E1231" s="1">
        <v>3218.4580000000001</v>
      </c>
    </row>
    <row r="1232" spans="3:5" x14ac:dyDescent="0.35">
      <c r="C1232" s="1" t="s">
        <v>10024</v>
      </c>
      <c r="D1232" s="1" t="s">
        <v>42</v>
      </c>
      <c r="E1232" s="1">
        <v>3218.4589999999998</v>
      </c>
    </row>
    <row r="1233" spans="3:5" x14ac:dyDescent="0.35">
      <c r="C1233" s="1" t="s">
        <v>10023</v>
      </c>
      <c r="D1233" s="1" t="s">
        <v>42</v>
      </c>
      <c r="E1233" s="1">
        <v>3218.46</v>
      </c>
    </row>
    <row r="1234" spans="3:5" x14ac:dyDescent="0.35">
      <c r="C1234" s="1" t="s">
        <v>10022</v>
      </c>
      <c r="D1234" s="1" t="s">
        <v>42</v>
      </c>
      <c r="E1234" s="1">
        <v>3218.4609999999998</v>
      </c>
    </row>
    <row r="1235" spans="3:5" x14ac:dyDescent="0.35">
      <c r="C1235" s="1" t="s">
        <v>10021</v>
      </c>
      <c r="D1235" s="1" t="s">
        <v>42</v>
      </c>
      <c r="E1235" s="1">
        <v>3218.462</v>
      </c>
    </row>
    <row r="1236" spans="3:5" x14ac:dyDescent="0.35">
      <c r="C1236" s="1" t="s">
        <v>10032</v>
      </c>
      <c r="D1236" s="1" t="s">
        <v>57</v>
      </c>
      <c r="E1236" s="1">
        <v>3218.471</v>
      </c>
    </row>
    <row r="1237" spans="3:5" x14ac:dyDescent="0.35">
      <c r="C1237" s="1" t="s">
        <v>10031</v>
      </c>
      <c r="D1237" s="1" t="s">
        <v>42</v>
      </c>
      <c r="E1237" s="1">
        <v>3218.4720000000002</v>
      </c>
    </row>
    <row r="1238" spans="3:5" x14ac:dyDescent="0.35">
      <c r="C1238" s="1" t="s">
        <v>10030</v>
      </c>
      <c r="D1238" s="1" t="s">
        <v>42</v>
      </c>
      <c r="E1238" s="1">
        <v>3218.473</v>
      </c>
    </row>
    <row r="1239" spans="3:5" x14ac:dyDescent="0.35">
      <c r="C1239" s="1" t="s">
        <v>10029</v>
      </c>
      <c r="D1239" s="1" t="s">
        <v>42</v>
      </c>
      <c r="E1239" s="1">
        <v>3218.4740000000002</v>
      </c>
    </row>
    <row r="1240" spans="3:5" x14ac:dyDescent="0.35">
      <c r="C1240" s="1" t="s">
        <v>10028</v>
      </c>
      <c r="D1240" s="1" t="s">
        <v>42</v>
      </c>
      <c r="E1240" s="1">
        <v>3218.4749999999999</v>
      </c>
    </row>
    <row r="1241" spans="3:5" x14ac:dyDescent="0.35">
      <c r="C1241" s="1" t="s">
        <v>10027</v>
      </c>
      <c r="D1241" s="1" t="s">
        <v>42</v>
      </c>
      <c r="E1241" s="1">
        <v>3218.4760000000001</v>
      </c>
    </row>
    <row r="1242" spans="3:5" x14ac:dyDescent="0.35">
      <c r="C1242" s="1" t="s">
        <v>10026</v>
      </c>
      <c r="D1242" s="1" t="s">
        <v>42</v>
      </c>
      <c r="E1242" s="1">
        <v>3218.4769999999999</v>
      </c>
    </row>
    <row r="1243" spans="3:5" x14ac:dyDescent="0.35">
      <c r="C1243" s="1" t="s">
        <v>10025</v>
      </c>
      <c r="D1243" s="1" t="s">
        <v>42</v>
      </c>
      <c r="E1243" s="1">
        <v>3218.4780000000001</v>
      </c>
    </row>
    <row r="1244" spans="3:5" x14ac:dyDescent="0.35">
      <c r="C1244" s="1" t="s">
        <v>10024</v>
      </c>
      <c r="D1244" s="1" t="s">
        <v>42</v>
      </c>
      <c r="E1244" s="1">
        <v>3218.4789999999998</v>
      </c>
    </row>
    <row r="1245" spans="3:5" x14ac:dyDescent="0.35">
      <c r="C1245" s="1" t="s">
        <v>10023</v>
      </c>
      <c r="D1245" s="1" t="s">
        <v>42</v>
      </c>
      <c r="E1245" s="1">
        <v>3218.48</v>
      </c>
    </row>
    <row r="1246" spans="3:5" x14ac:dyDescent="0.35">
      <c r="C1246" s="1" t="s">
        <v>10022</v>
      </c>
      <c r="D1246" s="1" t="s">
        <v>42</v>
      </c>
      <c r="E1246" s="1">
        <v>3218.4810000000002</v>
      </c>
    </row>
    <row r="1247" spans="3:5" x14ac:dyDescent="0.35">
      <c r="C1247" s="1" t="s">
        <v>10021</v>
      </c>
      <c r="D1247" s="1" t="s">
        <v>42</v>
      </c>
      <c r="E1247" s="1">
        <v>3218.482</v>
      </c>
    </row>
    <row r="1248" spans="3:5" x14ac:dyDescent="0.35">
      <c r="C1248" s="1" t="s">
        <v>10050</v>
      </c>
      <c r="D1248" s="1" t="s">
        <v>42</v>
      </c>
      <c r="E1248" s="1">
        <v>3218.4850000000001</v>
      </c>
    </row>
    <row r="1249" spans="3:5" x14ac:dyDescent="0.35">
      <c r="C1249" s="1" t="s">
        <v>10049</v>
      </c>
      <c r="D1249" s="1" t="s">
        <v>57</v>
      </c>
      <c r="E1249" s="1">
        <v>3218.49</v>
      </c>
    </row>
    <row r="1250" spans="3:5" x14ac:dyDescent="0.35">
      <c r="C1250" s="1" t="s">
        <v>10035</v>
      </c>
      <c r="D1250" s="1" t="s">
        <v>57</v>
      </c>
      <c r="E1250" s="1">
        <v>3218.491</v>
      </c>
    </row>
    <row r="1251" spans="3:5" x14ac:dyDescent="0.35">
      <c r="C1251" s="1" t="s">
        <v>10031</v>
      </c>
      <c r="D1251" s="1" t="s">
        <v>42</v>
      </c>
      <c r="E1251" s="1">
        <v>3218.4920000000002</v>
      </c>
    </row>
    <row r="1252" spans="3:5" x14ac:dyDescent="0.35">
      <c r="C1252" s="1" t="s">
        <v>10030</v>
      </c>
      <c r="D1252" s="1" t="s">
        <v>42</v>
      </c>
      <c r="E1252" s="1">
        <v>3218.4929999999999</v>
      </c>
    </row>
    <row r="1253" spans="3:5" x14ac:dyDescent="0.35">
      <c r="C1253" s="1" t="s">
        <v>10029</v>
      </c>
      <c r="D1253" s="1" t="s">
        <v>42</v>
      </c>
      <c r="E1253" s="1">
        <v>3218.4940000000001</v>
      </c>
    </row>
    <row r="1254" spans="3:5" x14ac:dyDescent="0.35">
      <c r="C1254" s="1" t="s">
        <v>10028</v>
      </c>
      <c r="D1254" s="1" t="s">
        <v>42</v>
      </c>
      <c r="E1254" s="1">
        <v>3218.4949999999999</v>
      </c>
    </row>
    <row r="1255" spans="3:5" x14ac:dyDescent="0.35">
      <c r="C1255" s="1" t="s">
        <v>10027</v>
      </c>
      <c r="D1255" s="1" t="s">
        <v>42</v>
      </c>
      <c r="E1255" s="1">
        <v>3218.4960000000001</v>
      </c>
    </row>
    <row r="1256" spans="3:5" x14ac:dyDescent="0.35">
      <c r="C1256" s="1" t="s">
        <v>10026</v>
      </c>
      <c r="D1256" s="1" t="s">
        <v>42</v>
      </c>
      <c r="E1256" s="1">
        <v>3218.4969999999998</v>
      </c>
    </row>
    <row r="1257" spans="3:5" x14ac:dyDescent="0.35">
      <c r="C1257" s="1" t="s">
        <v>10025</v>
      </c>
      <c r="D1257" s="1" t="s">
        <v>42</v>
      </c>
      <c r="E1257" s="1">
        <v>3218.498</v>
      </c>
    </row>
    <row r="1258" spans="3:5" x14ac:dyDescent="0.35">
      <c r="C1258" s="1" t="s">
        <v>10024</v>
      </c>
      <c r="D1258" s="1" t="s">
        <v>42</v>
      </c>
      <c r="E1258" s="1">
        <v>3218.4989999999998</v>
      </c>
    </row>
    <row r="1259" spans="3:5" x14ac:dyDescent="0.35">
      <c r="C1259" s="1" t="s">
        <v>10023</v>
      </c>
      <c r="D1259" s="1" t="s">
        <v>42</v>
      </c>
      <c r="E1259" s="1">
        <v>3218.5</v>
      </c>
    </row>
    <row r="1260" spans="3:5" x14ac:dyDescent="0.35">
      <c r="C1260" s="1" t="s">
        <v>10022</v>
      </c>
      <c r="D1260" s="1" t="s">
        <v>42</v>
      </c>
      <c r="E1260" s="1">
        <v>3218.5010000000002</v>
      </c>
    </row>
    <row r="1261" spans="3:5" x14ac:dyDescent="0.35">
      <c r="C1261" s="1" t="s">
        <v>10021</v>
      </c>
      <c r="D1261" s="1" t="s">
        <v>42</v>
      </c>
      <c r="E1261" s="1">
        <v>3218.502</v>
      </c>
    </row>
    <row r="1262" spans="3:5" x14ac:dyDescent="0.35">
      <c r="C1262" s="1" t="s">
        <v>10034</v>
      </c>
      <c r="D1262" s="1" t="s">
        <v>57</v>
      </c>
      <c r="E1262" s="1">
        <v>3218.511</v>
      </c>
    </row>
    <row r="1263" spans="3:5" x14ac:dyDescent="0.35">
      <c r="C1263" s="1" t="s">
        <v>10031</v>
      </c>
      <c r="D1263" s="1" t="s">
        <v>42</v>
      </c>
      <c r="E1263" s="1">
        <v>3218.5120000000002</v>
      </c>
    </row>
    <row r="1264" spans="3:5" x14ac:dyDescent="0.35">
      <c r="C1264" s="1" t="s">
        <v>10030</v>
      </c>
      <c r="D1264" s="1" t="s">
        <v>42</v>
      </c>
      <c r="E1264" s="1">
        <v>3218.5129999999999</v>
      </c>
    </row>
    <row r="1265" spans="3:5" x14ac:dyDescent="0.35">
      <c r="C1265" s="1" t="s">
        <v>10029</v>
      </c>
      <c r="D1265" s="1" t="s">
        <v>42</v>
      </c>
      <c r="E1265" s="1">
        <v>3218.5140000000001</v>
      </c>
    </row>
    <row r="1266" spans="3:5" x14ac:dyDescent="0.35">
      <c r="C1266" s="1" t="s">
        <v>10028</v>
      </c>
      <c r="D1266" s="1" t="s">
        <v>42</v>
      </c>
      <c r="E1266" s="1">
        <v>3218.5149999999999</v>
      </c>
    </row>
    <row r="1267" spans="3:5" x14ac:dyDescent="0.35">
      <c r="C1267" s="1" t="s">
        <v>10027</v>
      </c>
      <c r="D1267" s="1" t="s">
        <v>42</v>
      </c>
      <c r="E1267" s="1">
        <v>3218.5160000000001</v>
      </c>
    </row>
    <row r="1268" spans="3:5" x14ac:dyDescent="0.35">
      <c r="C1268" s="1" t="s">
        <v>10026</v>
      </c>
      <c r="D1268" s="1" t="s">
        <v>42</v>
      </c>
      <c r="E1268" s="1">
        <v>3218.5169999999998</v>
      </c>
    </row>
    <row r="1269" spans="3:5" x14ac:dyDescent="0.35">
      <c r="C1269" s="1" t="s">
        <v>10025</v>
      </c>
      <c r="D1269" s="1" t="s">
        <v>42</v>
      </c>
      <c r="E1269" s="1">
        <v>3218.518</v>
      </c>
    </row>
    <row r="1270" spans="3:5" x14ac:dyDescent="0.35">
      <c r="C1270" s="1" t="s">
        <v>10024</v>
      </c>
      <c r="D1270" s="1" t="s">
        <v>42</v>
      </c>
      <c r="E1270" s="1">
        <v>3218.5189999999998</v>
      </c>
    </row>
    <row r="1271" spans="3:5" x14ac:dyDescent="0.35">
      <c r="C1271" s="1" t="s">
        <v>10023</v>
      </c>
      <c r="D1271" s="1" t="s">
        <v>42</v>
      </c>
      <c r="E1271" s="1">
        <v>3218.52</v>
      </c>
    </row>
    <row r="1272" spans="3:5" x14ac:dyDescent="0.35">
      <c r="C1272" s="1" t="s">
        <v>10022</v>
      </c>
      <c r="D1272" s="1" t="s">
        <v>42</v>
      </c>
      <c r="E1272" s="1">
        <v>3218.5210000000002</v>
      </c>
    </row>
    <row r="1273" spans="3:5" x14ac:dyDescent="0.35">
      <c r="C1273" s="1" t="s">
        <v>10021</v>
      </c>
      <c r="D1273" s="1" t="s">
        <v>42</v>
      </c>
      <c r="E1273" s="1">
        <v>3218.5219999999999</v>
      </c>
    </row>
    <row r="1274" spans="3:5" x14ac:dyDescent="0.35">
      <c r="C1274" s="1" t="s">
        <v>10033</v>
      </c>
      <c r="D1274" s="1" t="s">
        <v>57</v>
      </c>
      <c r="E1274" s="1">
        <v>3218.5309999999999</v>
      </c>
    </row>
    <row r="1275" spans="3:5" x14ac:dyDescent="0.35">
      <c r="C1275" s="1" t="s">
        <v>10031</v>
      </c>
      <c r="D1275" s="1" t="s">
        <v>42</v>
      </c>
      <c r="E1275" s="1">
        <v>3218.5320000000002</v>
      </c>
    </row>
    <row r="1276" spans="3:5" x14ac:dyDescent="0.35">
      <c r="C1276" s="1" t="s">
        <v>10030</v>
      </c>
      <c r="D1276" s="1" t="s">
        <v>42</v>
      </c>
      <c r="E1276" s="1">
        <v>3218.5329999999999</v>
      </c>
    </row>
    <row r="1277" spans="3:5" x14ac:dyDescent="0.35">
      <c r="C1277" s="1" t="s">
        <v>10029</v>
      </c>
      <c r="D1277" s="1" t="s">
        <v>42</v>
      </c>
      <c r="E1277" s="1">
        <v>3218.5340000000001</v>
      </c>
    </row>
    <row r="1278" spans="3:5" x14ac:dyDescent="0.35">
      <c r="C1278" s="1" t="s">
        <v>10028</v>
      </c>
      <c r="D1278" s="1" t="s">
        <v>42</v>
      </c>
      <c r="E1278" s="1">
        <v>3218.5349999999999</v>
      </c>
    </row>
    <row r="1279" spans="3:5" x14ac:dyDescent="0.35">
      <c r="C1279" s="1" t="s">
        <v>10027</v>
      </c>
      <c r="D1279" s="1" t="s">
        <v>42</v>
      </c>
      <c r="E1279" s="1">
        <v>3218.5360000000001</v>
      </c>
    </row>
    <row r="1280" spans="3:5" x14ac:dyDescent="0.35">
      <c r="C1280" s="1" t="s">
        <v>10026</v>
      </c>
      <c r="D1280" s="1" t="s">
        <v>42</v>
      </c>
      <c r="E1280" s="1">
        <v>3218.5369999999998</v>
      </c>
    </row>
    <row r="1281" spans="3:5" x14ac:dyDescent="0.35">
      <c r="C1281" s="1" t="s">
        <v>10025</v>
      </c>
      <c r="D1281" s="1" t="s">
        <v>42</v>
      </c>
      <c r="E1281" s="1">
        <v>3218.538</v>
      </c>
    </row>
    <row r="1282" spans="3:5" x14ac:dyDescent="0.35">
      <c r="C1282" s="1" t="s">
        <v>10024</v>
      </c>
      <c r="D1282" s="1" t="s">
        <v>42</v>
      </c>
      <c r="E1282" s="1">
        <v>3218.5390000000002</v>
      </c>
    </row>
    <row r="1283" spans="3:5" x14ac:dyDescent="0.35">
      <c r="C1283" s="1" t="s">
        <v>10023</v>
      </c>
      <c r="D1283" s="1" t="s">
        <v>42</v>
      </c>
      <c r="E1283" s="1">
        <v>3218.54</v>
      </c>
    </row>
    <row r="1284" spans="3:5" x14ac:dyDescent="0.35">
      <c r="C1284" s="1" t="s">
        <v>10022</v>
      </c>
      <c r="D1284" s="1" t="s">
        <v>42</v>
      </c>
      <c r="E1284" s="1">
        <v>3218.5410000000002</v>
      </c>
    </row>
    <row r="1285" spans="3:5" x14ac:dyDescent="0.35">
      <c r="C1285" s="1" t="s">
        <v>10021</v>
      </c>
      <c r="D1285" s="1" t="s">
        <v>42</v>
      </c>
      <c r="E1285" s="1">
        <v>3218.5419999999999</v>
      </c>
    </row>
    <row r="1286" spans="3:5" x14ac:dyDescent="0.35">
      <c r="C1286" s="1" t="s">
        <v>10032</v>
      </c>
      <c r="D1286" s="1" t="s">
        <v>57</v>
      </c>
      <c r="E1286" s="1">
        <v>3218.5509999999999</v>
      </c>
    </row>
    <row r="1287" spans="3:5" x14ac:dyDescent="0.35">
      <c r="C1287" s="1" t="s">
        <v>10031</v>
      </c>
      <c r="D1287" s="1" t="s">
        <v>42</v>
      </c>
      <c r="E1287" s="1">
        <v>3218.5520000000001</v>
      </c>
    </row>
    <row r="1288" spans="3:5" x14ac:dyDescent="0.35">
      <c r="C1288" s="1" t="s">
        <v>10030</v>
      </c>
      <c r="D1288" s="1" t="s">
        <v>42</v>
      </c>
      <c r="E1288" s="1">
        <v>3218.5529999999999</v>
      </c>
    </row>
    <row r="1289" spans="3:5" x14ac:dyDescent="0.35">
      <c r="C1289" s="1" t="s">
        <v>10029</v>
      </c>
      <c r="D1289" s="1" t="s">
        <v>42</v>
      </c>
      <c r="E1289" s="1">
        <v>3218.5540000000001</v>
      </c>
    </row>
    <row r="1290" spans="3:5" x14ac:dyDescent="0.35">
      <c r="C1290" s="1" t="s">
        <v>10028</v>
      </c>
      <c r="D1290" s="1" t="s">
        <v>42</v>
      </c>
      <c r="E1290" s="1">
        <v>3218.5549999999998</v>
      </c>
    </row>
    <row r="1291" spans="3:5" x14ac:dyDescent="0.35">
      <c r="C1291" s="1" t="s">
        <v>10027</v>
      </c>
      <c r="D1291" s="1" t="s">
        <v>42</v>
      </c>
      <c r="E1291" s="1">
        <v>3218.556</v>
      </c>
    </row>
    <row r="1292" spans="3:5" x14ac:dyDescent="0.35">
      <c r="C1292" s="1" t="s">
        <v>10026</v>
      </c>
      <c r="D1292" s="1" t="s">
        <v>42</v>
      </c>
      <c r="E1292" s="1">
        <v>3218.5569999999998</v>
      </c>
    </row>
    <row r="1293" spans="3:5" x14ac:dyDescent="0.35">
      <c r="C1293" s="1" t="s">
        <v>10025</v>
      </c>
      <c r="D1293" s="1" t="s">
        <v>42</v>
      </c>
      <c r="E1293" s="1">
        <v>3218.558</v>
      </c>
    </row>
    <row r="1294" spans="3:5" x14ac:dyDescent="0.35">
      <c r="C1294" s="1" t="s">
        <v>10024</v>
      </c>
      <c r="D1294" s="1" t="s">
        <v>42</v>
      </c>
      <c r="E1294" s="1">
        <v>3218.5590000000002</v>
      </c>
    </row>
    <row r="1295" spans="3:5" x14ac:dyDescent="0.35">
      <c r="C1295" s="1" t="s">
        <v>10023</v>
      </c>
      <c r="D1295" s="1" t="s">
        <v>42</v>
      </c>
      <c r="E1295" s="1">
        <v>3218.56</v>
      </c>
    </row>
    <row r="1296" spans="3:5" x14ac:dyDescent="0.35">
      <c r="C1296" s="1" t="s">
        <v>10022</v>
      </c>
      <c r="D1296" s="1" t="s">
        <v>42</v>
      </c>
      <c r="E1296" s="1">
        <v>3218.5610000000001</v>
      </c>
    </row>
    <row r="1297" spans="3:5" x14ac:dyDescent="0.35">
      <c r="C1297" s="1" t="s">
        <v>10021</v>
      </c>
      <c r="D1297" s="1" t="s">
        <v>42</v>
      </c>
      <c r="E1297" s="1">
        <v>3218.5619999999999</v>
      </c>
    </row>
    <row r="1298" spans="3:5" x14ac:dyDescent="0.35">
      <c r="C1298" s="1" t="s">
        <v>10048</v>
      </c>
      <c r="D1298" s="1" t="s">
        <v>42</v>
      </c>
      <c r="E1298" s="1">
        <v>3218.5650000000001</v>
      </c>
    </row>
    <row r="1299" spans="3:5" x14ac:dyDescent="0.35">
      <c r="C1299" s="1" t="s">
        <v>10047</v>
      </c>
      <c r="D1299" s="1" t="s">
        <v>57</v>
      </c>
      <c r="E1299" s="1">
        <v>3218.57</v>
      </c>
    </row>
    <row r="1300" spans="3:5" x14ac:dyDescent="0.35">
      <c r="C1300" s="1" t="s">
        <v>10035</v>
      </c>
      <c r="D1300" s="1" t="s">
        <v>57</v>
      </c>
      <c r="E1300" s="1">
        <v>3218.5709999999999</v>
      </c>
    </row>
    <row r="1301" spans="3:5" x14ac:dyDescent="0.35">
      <c r="C1301" s="1" t="s">
        <v>10031</v>
      </c>
      <c r="D1301" s="1" t="s">
        <v>42</v>
      </c>
      <c r="E1301" s="1">
        <v>3218.5720000000001</v>
      </c>
    </row>
    <row r="1302" spans="3:5" x14ac:dyDescent="0.35">
      <c r="C1302" s="1" t="s">
        <v>10030</v>
      </c>
      <c r="D1302" s="1" t="s">
        <v>42</v>
      </c>
      <c r="E1302" s="1">
        <v>3218.5729999999999</v>
      </c>
    </row>
    <row r="1303" spans="3:5" x14ac:dyDescent="0.35">
      <c r="C1303" s="1" t="s">
        <v>10029</v>
      </c>
      <c r="D1303" s="1" t="s">
        <v>42</v>
      </c>
      <c r="E1303" s="1">
        <v>3218.5740000000001</v>
      </c>
    </row>
    <row r="1304" spans="3:5" x14ac:dyDescent="0.35">
      <c r="C1304" s="1" t="s">
        <v>10028</v>
      </c>
      <c r="D1304" s="1" t="s">
        <v>42</v>
      </c>
      <c r="E1304" s="1">
        <v>3218.5749999999998</v>
      </c>
    </row>
    <row r="1305" spans="3:5" x14ac:dyDescent="0.35">
      <c r="C1305" s="1" t="s">
        <v>10027</v>
      </c>
      <c r="D1305" s="1" t="s">
        <v>42</v>
      </c>
      <c r="E1305" s="1">
        <v>3218.576</v>
      </c>
    </row>
    <row r="1306" spans="3:5" x14ac:dyDescent="0.35">
      <c r="C1306" s="1" t="s">
        <v>10026</v>
      </c>
      <c r="D1306" s="1" t="s">
        <v>42</v>
      </c>
      <c r="E1306" s="1">
        <v>3218.5770000000002</v>
      </c>
    </row>
    <row r="1307" spans="3:5" x14ac:dyDescent="0.35">
      <c r="C1307" s="1" t="s">
        <v>10025</v>
      </c>
      <c r="D1307" s="1" t="s">
        <v>42</v>
      </c>
      <c r="E1307" s="1">
        <v>3218.578</v>
      </c>
    </row>
    <row r="1308" spans="3:5" x14ac:dyDescent="0.35">
      <c r="C1308" s="1" t="s">
        <v>10024</v>
      </c>
      <c r="D1308" s="1" t="s">
        <v>42</v>
      </c>
      <c r="E1308" s="1">
        <v>3218.5790000000002</v>
      </c>
    </row>
    <row r="1309" spans="3:5" x14ac:dyDescent="0.35">
      <c r="C1309" s="1" t="s">
        <v>10023</v>
      </c>
      <c r="D1309" s="1" t="s">
        <v>42</v>
      </c>
      <c r="E1309" s="1">
        <v>3218.58</v>
      </c>
    </row>
    <row r="1310" spans="3:5" x14ac:dyDescent="0.35">
      <c r="C1310" s="1" t="s">
        <v>10022</v>
      </c>
      <c r="D1310" s="1" t="s">
        <v>42</v>
      </c>
      <c r="E1310" s="1">
        <v>3218.5810000000001</v>
      </c>
    </row>
    <row r="1311" spans="3:5" x14ac:dyDescent="0.35">
      <c r="C1311" s="1" t="s">
        <v>10021</v>
      </c>
      <c r="D1311" s="1" t="s">
        <v>42</v>
      </c>
      <c r="E1311" s="1">
        <v>3218.5819999999999</v>
      </c>
    </row>
    <row r="1312" spans="3:5" x14ac:dyDescent="0.35">
      <c r="C1312" s="1" t="s">
        <v>10034</v>
      </c>
      <c r="D1312" s="1" t="s">
        <v>57</v>
      </c>
      <c r="E1312" s="1">
        <v>3218.5909999999999</v>
      </c>
    </row>
    <row r="1313" spans="3:5" x14ac:dyDescent="0.35">
      <c r="C1313" s="1" t="s">
        <v>10031</v>
      </c>
      <c r="D1313" s="1" t="s">
        <v>42</v>
      </c>
      <c r="E1313" s="1">
        <v>3218.5920000000001</v>
      </c>
    </row>
    <row r="1314" spans="3:5" x14ac:dyDescent="0.35">
      <c r="C1314" s="1" t="s">
        <v>10030</v>
      </c>
      <c r="D1314" s="1" t="s">
        <v>42</v>
      </c>
      <c r="E1314" s="1">
        <v>3218.5929999999998</v>
      </c>
    </row>
    <row r="1315" spans="3:5" x14ac:dyDescent="0.35">
      <c r="C1315" s="1" t="s">
        <v>10029</v>
      </c>
      <c r="D1315" s="1" t="s">
        <v>42</v>
      </c>
      <c r="E1315" s="1">
        <v>3218.5940000000001</v>
      </c>
    </row>
    <row r="1316" spans="3:5" x14ac:dyDescent="0.35">
      <c r="C1316" s="1" t="s">
        <v>10028</v>
      </c>
      <c r="D1316" s="1" t="s">
        <v>42</v>
      </c>
      <c r="E1316" s="1">
        <v>3218.5949999999998</v>
      </c>
    </row>
    <row r="1317" spans="3:5" x14ac:dyDescent="0.35">
      <c r="C1317" s="1" t="s">
        <v>10027</v>
      </c>
      <c r="D1317" s="1" t="s">
        <v>42</v>
      </c>
      <c r="E1317" s="1">
        <v>3218.596</v>
      </c>
    </row>
    <row r="1318" spans="3:5" x14ac:dyDescent="0.35">
      <c r="C1318" s="1" t="s">
        <v>10026</v>
      </c>
      <c r="D1318" s="1" t="s">
        <v>42</v>
      </c>
      <c r="E1318" s="1">
        <v>3218.5970000000002</v>
      </c>
    </row>
    <row r="1319" spans="3:5" x14ac:dyDescent="0.35">
      <c r="C1319" s="1" t="s">
        <v>10025</v>
      </c>
      <c r="D1319" s="1" t="s">
        <v>42</v>
      </c>
      <c r="E1319" s="1">
        <v>3218.598</v>
      </c>
    </row>
    <row r="1320" spans="3:5" x14ac:dyDescent="0.35">
      <c r="C1320" s="1" t="s">
        <v>10024</v>
      </c>
      <c r="D1320" s="1" t="s">
        <v>42</v>
      </c>
      <c r="E1320" s="1">
        <v>3218.5990000000002</v>
      </c>
    </row>
    <row r="1321" spans="3:5" x14ac:dyDescent="0.35">
      <c r="C1321" s="1" t="s">
        <v>10023</v>
      </c>
      <c r="D1321" s="1" t="s">
        <v>42</v>
      </c>
      <c r="E1321" s="1">
        <v>3218.6</v>
      </c>
    </row>
    <row r="1322" spans="3:5" x14ac:dyDescent="0.35">
      <c r="C1322" s="1" t="s">
        <v>10022</v>
      </c>
      <c r="D1322" s="1" t="s">
        <v>42</v>
      </c>
      <c r="E1322" s="1">
        <v>3218.6010000000001</v>
      </c>
    </row>
    <row r="1323" spans="3:5" x14ac:dyDescent="0.35">
      <c r="C1323" s="1" t="s">
        <v>10021</v>
      </c>
      <c r="D1323" s="1" t="s">
        <v>42</v>
      </c>
      <c r="E1323" s="1">
        <v>3218.6019999999999</v>
      </c>
    </row>
    <row r="1324" spans="3:5" x14ac:dyDescent="0.35">
      <c r="C1324" s="1" t="s">
        <v>10033</v>
      </c>
      <c r="D1324" s="1" t="s">
        <v>57</v>
      </c>
      <c r="E1324" s="1">
        <v>3218.6109999999999</v>
      </c>
    </row>
    <row r="1325" spans="3:5" x14ac:dyDescent="0.35">
      <c r="C1325" s="1" t="s">
        <v>10031</v>
      </c>
      <c r="D1325" s="1" t="s">
        <v>42</v>
      </c>
      <c r="E1325" s="1">
        <v>3218.6120000000001</v>
      </c>
    </row>
    <row r="1326" spans="3:5" x14ac:dyDescent="0.35">
      <c r="C1326" s="1" t="s">
        <v>10030</v>
      </c>
      <c r="D1326" s="1" t="s">
        <v>42</v>
      </c>
      <c r="E1326" s="1">
        <v>3218.6129999999998</v>
      </c>
    </row>
    <row r="1327" spans="3:5" x14ac:dyDescent="0.35">
      <c r="C1327" s="1" t="s">
        <v>10029</v>
      </c>
      <c r="D1327" s="1" t="s">
        <v>42</v>
      </c>
      <c r="E1327" s="1">
        <v>3218.614</v>
      </c>
    </row>
    <row r="1328" spans="3:5" x14ac:dyDescent="0.35">
      <c r="C1328" s="1" t="s">
        <v>10028</v>
      </c>
      <c r="D1328" s="1" t="s">
        <v>42</v>
      </c>
      <c r="E1328" s="1">
        <v>3218.6149999999998</v>
      </c>
    </row>
    <row r="1329" spans="3:5" x14ac:dyDescent="0.35">
      <c r="C1329" s="1" t="s">
        <v>10027</v>
      </c>
      <c r="D1329" s="1" t="s">
        <v>42</v>
      </c>
      <c r="E1329" s="1">
        <v>3218.616</v>
      </c>
    </row>
    <row r="1330" spans="3:5" x14ac:dyDescent="0.35">
      <c r="C1330" s="1" t="s">
        <v>10026</v>
      </c>
      <c r="D1330" s="1" t="s">
        <v>42</v>
      </c>
      <c r="E1330" s="1">
        <v>3218.6170000000002</v>
      </c>
    </row>
    <row r="1331" spans="3:5" x14ac:dyDescent="0.35">
      <c r="C1331" s="1" t="s">
        <v>10025</v>
      </c>
      <c r="D1331" s="1" t="s">
        <v>42</v>
      </c>
      <c r="E1331" s="1">
        <v>3218.6179999999999</v>
      </c>
    </row>
    <row r="1332" spans="3:5" x14ac:dyDescent="0.35">
      <c r="C1332" s="1" t="s">
        <v>10024</v>
      </c>
      <c r="D1332" s="1" t="s">
        <v>42</v>
      </c>
      <c r="E1332" s="1">
        <v>3218.6190000000001</v>
      </c>
    </row>
    <row r="1333" spans="3:5" x14ac:dyDescent="0.35">
      <c r="C1333" s="1" t="s">
        <v>10023</v>
      </c>
      <c r="D1333" s="1" t="s">
        <v>42</v>
      </c>
      <c r="E1333" s="1">
        <v>3218.62</v>
      </c>
    </row>
    <row r="1334" spans="3:5" x14ac:dyDescent="0.35">
      <c r="C1334" s="1" t="s">
        <v>10022</v>
      </c>
      <c r="D1334" s="1" t="s">
        <v>42</v>
      </c>
      <c r="E1334" s="1">
        <v>3218.6210000000001</v>
      </c>
    </row>
    <row r="1335" spans="3:5" x14ac:dyDescent="0.35">
      <c r="C1335" s="1" t="s">
        <v>10021</v>
      </c>
      <c r="D1335" s="1" t="s">
        <v>42</v>
      </c>
      <c r="E1335" s="1">
        <v>3218.6219999999998</v>
      </c>
    </row>
    <row r="1336" spans="3:5" x14ac:dyDescent="0.35">
      <c r="C1336" s="1" t="s">
        <v>10032</v>
      </c>
      <c r="D1336" s="1" t="s">
        <v>57</v>
      </c>
      <c r="E1336" s="1">
        <v>3218.6309999999999</v>
      </c>
    </row>
    <row r="1337" spans="3:5" x14ac:dyDescent="0.35">
      <c r="C1337" s="1" t="s">
        <v>10031</v>
      </c>
      <c r="D1337" s="1" t="s">
        <v>42</v>
      </c>
      <c r="E1337" s="1">
        <v>3218.6320000000001</v>
      </c>
    </row>
    <row r="1338" spans="3:5" x14ac:dyDescent="0.35">
      <c r="C1338" s="1" t="s">
        <v>10030</v>
      </c>
      <c r="D1338" s="1" t="s">
        <v>42</v>
      </c>
      <c r="E1338" s="1">
        <v>3218.6329999999998</v>
      </c>
    </row>
    <row r="1339" spans="3:5" x14ac:dyDescent="0.35">
      <c r="C1339" s="1" t="s">
        <v>10029</v>
      </c>
      <c r="D1339" s="1" t="s">
        <v>42</v>
      </c>
      <c r="E1339" s="1">
        <v>3218.634</v>
      </c>
    </row>
    <row r="1340" spans="3:5" x14ac:dyDescent="0.35">
      <c r="C1340" s="1" t="s">
        <v>10028</v>
      </c>
      <c r="D1340" s="1" t="s">
        <v>42</v>
      </c>
      <c r="E1340" s="1">
        <v>3218.6350000000002</v>
      </c>
    </row>
    <row r="1341" spans="3:5" x14ac:dyDescent="0.35">
      <c r="C1341" s="1" t="s">
        <v>10027</v>
      </c>
      <c r="D1341" s="1" t="s">
        <v>42</v>
      </c>
      <c r="E1341" s="1">
        <v>3218.636</v>
      </c>
    </row>
    <row r="1342" spans="3:5" x14ac:dyDescent="0.35">
      <c r="C1342" s="1" t="s">
        <v>10026</v>
      </c>
      <c r="D1342" s="1" t="s">
        <v>42</v>
      </c>
      <c r="E1342" s="1">
        <v>3218.6370000000002</v>
      </c>
    </row>
    <row r="1343" spans="3:5" x14ac:dyDescent="0.35">
      <c r="C1343" s="1" t="s">
        <v>10025</v>
      </c>
      <c r="D1343" s="1" t="s">
        <v>42</v>
      </c>
      <c r="E1343" s="1">
        <v>3218.6379999999999</v>
      </c>
    </row>
    <row r="1344" spans="3:5" x14ac:dyDescent="0.35">
      <c r="C1344" s="1" t="s">
        <v>10024</v>
      </c>
      <c r="D1344" s="1" t="s">
        <v>42</v>
      </c>
      <c r="E1344" s="1">
        <v>3218.6390000000001</v>
      </c>
    </row>
    <row r="1345" spans="3:5" x14ac:dyDescent="0.35">
      <c r="C1345" s="1" t="s">
        <v>10023</v>
      </c>
      <c r="D1345" s="1" t="s">
        <v>42</v>
      </c>
      <c r="E1345" s="1">
        <v>3218.64</v>
      </c>
    </row>
    <row r="1346" spans="3:5" x14ac:dyDescent="0.35">
      <c r="C1346" s="1" t="s">
        <v>10022</v>
      </c>
      <c r="D1346" s="1" t="s">
        <v>42</v>
      </c>
      <c r="E1346" s="1">
        <v>3218.6410000000001</v>
      </c>
    </row>
    <row r="1347" spans="3:5" x14ac:dyDescent="0.35">
      <c r="C1347" s="1" t="s">
        <v>10021</v>
      </c>
      <c r="D1347" s="1" t="s">
        <v>42</v>
      </c>
      <c r="E1347" s="1">
        <v>3218.6419999999998</v>
      </c>
    </row>
    <row r="1348" spans="3:5" x14ac:dyDescent="0.35">
      <c r="C1348" s="1" t="s">
        <v>10046</v>
      </c>
      <c r="D1348" s="1" t="s">
        <v>42</v>
      </c>
      <c r="E1348" s="1">
        <v>3218.645</v>
      </c>
    </row>
    <row r="1349" spans="3:5" x14ac:dyDescent="0.35">
      <c r="C1349" s="1" t="s">
        <v>10045</v>
      </c>
      <c r="D1349" s="1" t="s">
        <v>57</v>
      </c>
      <c r="E1349" s="1">
        <v>3218.65</v>
      </c>
    </row>
    <row r="1350" spans="3:5" x14ac:dyDescent="0.35">
      <c r="C1350" s="1" t="s">
        <v>10035</v>
      </c>
      <c r="D1350" s="1" t="s">
        <v>57</v>
      </c>
      <c r="E1350" s="1">
        <v>3218.6509999999998</v>
      </c>
    </row>
    <row r="1351" spans="3:5" x14ac:dyDescent="0.35">
      <c r="C1351" s="1" t="s">
        <v>10031</v>
      </c>
      <c r="D1351" s="1" t="s">
        <v>42</v>
      </c>
      <c r="E1351" s="1">
        <v>3218.652</v>
      </c>
    </row>
    <row r="1352" spans="3:5" x14ac:dyDescent="0.35">
      <c r="C1352" s="1" t="s">
        <v>10030</v>
      </c>
      <c r="D1352" s="1" t="s">
        <v>42</v>
      </c>
      <c r="E1352" s="1">
        <v>3218.6529999999998</v>
      </c>
    </row>
    <row r="1353" spans="3:5" x14ac:dyDescent="0.35">
      <c r="C1353" s="1" t="s">
        <v>10029</v>
      </c>
      <c r="D1353" s="1" t="s">
        <v>42</v>
      </c>
      <c r="E1353" s="1">
        <v>3218.654</v>
      </c>
    </row>
    <row r="1354" spans="3:5" x14ac:dyDescent="0.35">
      <c r="C1354" s="1" t="s">
        <v>10028</v>
      </c>
      <c r="D1354" s="1" t="s">
        <v>42</v>
      </c>
      <c r="E1354" s="1">
        <v>3218.6550000000002</v>
      </c>
    </row>
    <row r="1355" spans="3:5" x14ac:dyDescent="0.35">
      <c r="C1355" s="1" t="s">
        <v>10027</v>
      </c>
      <c r="D1355" s="1" t="s">
        <v>42</v>
      </c>
      <c r="E1355" s="1">
        <v>3218.6559999999999</v>
      </c>
    </row>
    <row r="1356" spans="3:5" x14ac:dyDescent="0.35">
      <c r="C1356" s="1" t="s">
        <v>10026</v>
      </c>
      <c r="D1356" s="1" t="s">
        <v>42</v>
      </c>
      <c r="E1356" s="1">
        <v>3218.6570000000002</v>
      </c>
    </row>
    <row r="1357" spans="3:5" x14ac:dyDescent="0.35">
      <c r="C1357" s="1" t="s">
        <v>10025</v>
      </c>
      <c r="D1357" s="1" t="s">
        <v>42</v>
      </c>
      <c r="E1357" s="1">
        <v>3218.6579999999999</v>
      </c>
    </row>
    <row r="1358" spans="3:5" x14ac:dyDescent="0.35">
      <c r="C1358" s="1" t="s">
        <v>10024</v>
      </c>
      <c r="D1358" s="1" t="s">
        <v>42</v>
      </c>
      <c r="E1358" s="1">
        <v>3218.6590000000001</v>
      </c>
    </row>
    <row r="1359" spans="3:5" x14ac:dyDescent="0.35">
      <c r="C1359" s="1" t="s">
        <v>10023</v>
      </c>
      <c r="D1359" s="1" t="s">
        <v>42</v>
      </c>
      <c r="E1359" s="1">
        <v>3218.66</v>
      </c>
    </row>
    <row r="1360" spans="3:5" x14ac:dyDescent="0.35">
      <c r="C1360" s="1" t="s">
        <v>10022</v>
      </c>
      <c r="D1360" s="1" t="s">
        <v>42</v>
      </c>
      <c r="E1360" s="1">
        <v>3218.6610000000001</v>
      </c>
    </row>
    <row r="1361" spans="3:5" x14ac:dyDescent="0.35">
      <c r="C1361" s="1" t="s">
        <v>10021</v>
      </c>
      <c r="D1361" s="1" t="s">
        <v>42</v>
      </c>
      <c r="E1361" s="1">
        <v>3218.6619999999998</v>
      </c>
    </row>
    <row r="1362" spans="3:5" x14ac:dyDescent="0.35">
      <c r="C1362" s="1" t="s">
        <v>10034</v>
      </c>
      <c r="D1362" s="1" t="s">
        <v>57</v>
      </c>
      <c r="E1362" s="1">
        <v>3218.6709999999998</v>
      </c>
    </row>
    <row r="1363" spans="3:5" x14ac:dyDescent="0.35">
      <c r="C1363" s="1" t="s">
        <v>10031</v>
      </c>
      <c r="D1363" s="1" t="s">
        <v>42</v>
      </c>
      <c r="E1363" s="1">
        <v>3218.672</v>
      </c>
    </row>
    <row r="1364" spans="3:5" x14ac:dyDescent="0.35">
      <c r="C1364" s="1" t="s">
        <v>10030</v>
      </c>
      <c r="D1364" s="1" t="s">
        <v>42</v>
      </c>
      <c r="E1364" s="1">
        <v>3218.6729999999998</v>
      </c>
    </row>
    <row r="1365" spans="3:5" x14ac:dyDescent="0.35">
      <c r="C1365" s="1" t="s">
        <v>10029</v>
      </c>
      <c r="D1365" s="1" t="s">
        <v>42</v>
      </c>
      <c r="E1365" s="1">
        <v>3218.674</v>
      </c>
    </row>
    <row r="1366" spans="3:5" x14ac:dyDescent="0.35">
      <c r="C1366" s="1" t="s">
        <v>10028</v>
      </c>
      <c r="D1366" s="1" t="s">
        <v>42</v>
      </c>
      <c r="E1366" s="1">
        <v>3218.6750000000002</v>
      </c>
    </row>
    <row r="1367" spans="3:5" x14ac:dyDescent="0.35">
      <c r="C1367" s="1" t="s">
        <v>10027</v>
      </c>
      <c r="D1367" s="1" t="s">
        <v>42</v>
      </c>
      <c r="E1367" s="1">
        <v>3218.6759999999999</v>
      </c>
    </row>
    <row r="1368" spans="3:5" x14ac:dyDescent="0.35">
      <c r="C1368" s="1" t="s">
        <v>10026</v>
      </c>
      <c r="D1368" s="1" t="s">
        <v>42</v>
      </c>
      <c r="E1368" s="1">
        <v>3218.6770000000001</v>
      </c>
    </row>
    <row r="1369" spans="3:5" x14ac:dyDescent="0.35">
      <c r="C1369" s="1" t="s">
        <v>10025</v>
      </c>
      <c r="D1369" s="1" t="s">
        <v>42</v>
      </c>
      <c r="E1369" s="1">
        <v>3218.6779999999999</v>
      </c>
    </row>
    <row r="1370" spans="3:5" x14ac:dyDescent="0.35">
      <c r="C1370" s="1" t="s">
        <v>10024</v>
      </c>
      <c r="D1370" s="1" t="s">
        <v>42</v>
      </c>
      <c r="E1370" s="1">
        <v>3218.6790000000001</v>
      </c>
    </row>
    <row r="1371" spans="3:5" x14ac:dyDescent="0.35">
      <c r="C1371" s="1" t="s">
        <v>10023</v>
      </c>
      <c r="D1371" s="1" t="s">
        <v>42</v>
      </c>
      <c r="E1371" s="1">
        <v>3218.68</v>
      </c>
    </row>
    <row r="1372" spans="3:5" x14ac:dyDescent="0.35">
      <c r="C1372" s="1" t="s">
        <v>10022</v>
      </c>
      <c r="D1372" s="1" t="s">
        <v>42</v>
      </c>
      <c r="E1372" s="1">
        <v>3218.681</v>
      </c>
    </row>
    <row r="1373" spans="3:5" x14ac:dyDescent="0.35">
      <c r="C1373" s="1" t="s">
        <v>10021</v>
      </c>
      <c r="D1373" s="1" t="s">
        <v>42</v>
      </c>
      <c r="E1373" s="1">
        <v>3218.6819999999998</v>
      </c>
    </row>
    <row r="1374" spans="3:5" x14ac:dyDescent="0.35">
      <c r="C1374" s="1" t="s">
        <v>10033</v>
      </c>
      <c r="D1374" s="1" t="s">
        <v>57</v>
      </c>
      <c r="E1374" s="1">
        <v>3218.6909999999998</v>
      </c>
    </row>
    <row r="1375" spans="3:5" x14ac:dyDescent="0.35">
      <c r="C1375" s="1" t="s">
        <v>10031</v>
      </c>
      <c r="D1375" s="1" t="s">
        <v>42</v>
      </c>
      <c r="E1375" s="1">
        <v>3218.692</v>
      </c>
    </row>
    <row r="1376" spans="3:5" x14ac:dyDescent="0.35">
      <c r="C1376" s="1" t="s">
        <v>10030</v>
      </c>
      <c r="D1376" s="1" t="s">
        <v>42</v>
      </c>
      <c r="E1376" s="1">
        <v>3218.6930000000002</v>
      </c>
    </row>
    <row r="1377" spans="3:5" x14ac:dyDescent="0.35">
      <c r="C1377" s="1" t="s">
        <v>10029</v>
      </c>
      <c r="D1377" s="1" t="s">
        <v>42</v>
      </c>
      <c r="E1377" s="1">
        <v>3218.694</v>
      </c>
    </row>
    <row r="1378" spans="3:5" x14ac:dyDescent="0.35">
      <c r="C1378" s="1" t="s">
        <v>10028</v>
      </c>
      <c r="D1378" s="1" t="s">
        <v>42</v>
      </c>
      <c r="E1378" s="1">
        <v>3218.6950000000002</v>
      </c>
    </row>
    <row r="1379" spans="3:5" x14ac:dyDescent="0.35">
      <c r="C1379" s="1" t="s">
        <v>10027</v>
      </c>
      <c r="D1379" s="1" t="s">
        <v>42</v>
      </c>
      <c r="E1379" s="1">
        <v>3218.6959999999999</v>
      </c>
    </row>
    <row r="1380" spans="3:5" x14ac:dyDescent="0.35">
      <c r="C1380" s="1" t="s">
        <v>10026</v>
      </c>
      <c r="D1380" s="1" t="s">
        <v>42</v>
      </c>
      <c r="E1380" s="1">
        <v>3218.6970000000001</v>
      </c>
    </row>
    <row r="1381" spans="3:5" x14ac:dyDescent="0.35">
      <c r="C1381" s="1" t="s">
        <v>10025</v>
      </c>
      <c r="D1381" s="1" t="s">
        <v>42</v>
      </c>
      <c r="E1381" s="1">
        <v>3218.6979999999999</v>
      </c>
    </row>
    <row r="1382" spans="3:5" x14ac:dyDescent="0.35">
      <c r="C1382" s="1" t="s">
        <v>10024</v>
      </c>
      <c r="D1382" s="1" t="s">
        <v>42</v>
      </c>
      <c r="E1382" s="1">
        <v>3218.6990000000001</v>
      </c>
    </row>
    <row r="1383" spans="3:5" x14ac:dyDescent="0.35">
      <c r="C1383" s="1" t="s">
        <v>10023</v>
      </c>
      <c r="D1383" s="1" t="s">
        <v>42</v>
      </c>
      <c r="E1383" s="1">
        <v>3218.7</v>
      </c>
    </row>
    <row r="1384" spans="3:5" x14ac:dyDescent="0.35">
      <c r="C1384" s="1" t="s">
        <v>10022</v>
      </c>
      <c r="D1384" s="1" t="s">
        <v>42</v>
      </c>
      <c r="E1384" s="1">
        <v>3218.701</v>
      </c>
    </row>
    <row r="1385" spans="3:5" x14ac:dyDescent="0.35">
      <c r="C1385" s="1" t="s">
        <v>10021</v>
      </c>
      <c r="D1385" s="1" t="s">
        <v>42</v>
      </c>
      <c r="E1385" s="1">
        <v>3218.7020000000002</v>
      </c>
    </row>
    <row r="1386" spans="3:5" x14ac:dyDescent="0.35">
      <c r="C1386" s="1" t="s">
        <v>10032</v>
      </c>
      <c r="D1386" s="1" t="s">
        <v>57</v>
      </c>
      <c r="E1386" s="1">
        <v>3218.7109999999998</v>
      </c>
    </row>
    <row r="1387" spans="3:5" x14ac:dyDescent="0.35">
      <c r="C1387" s="1" t="s">
        <v>10031</v>
      </c>
      <c r="D1387" s="1" t="s">
        <v>42</v>
      </c>
      <c r="E1387" s="1">
        <v>3218.712</v>
      </c>
    </row>
    <row r="1388" spans="3:5" x14ac:dyDescent="0.35">
      <c r="C1388" s="1" t="s">
        <v>10030</v>
      </c>
      <c r="D1388" s="1" t="s">
        <v>42</v>
      </c>
      <c r="E1388" s="1">
        <v>3218.7130000000002</v>
      </c>
    </row>
    <row r="1389" spans="3:5" x14ac:dyDescent="0.35">
      <c r="C1389" s="1" t="s">
        <v>10029</v>
      </c>
      <c r="D1389" s="1" t="s">
        <v>42</v>
      </c>
      <c r="E1389" s="1">
        <v>3218.7139999999999</v>
      </c>
    </row>
    <row r="1390" spans="3:5" x14ac:dyDescent="0.35">
      <c r="C1390" s="1" t="s">
        <v>10028</v>
      </c>
      <c r="D1390" s="1" t="s">
        <v>42</v>
      </c>
      <c r="E1390" s="1">
        <v>3218.7150000000001</v>
      </c>
    </row>
    <row r="1391" spans="3:5" x14ac:dyDescent="0.35">
      <c r="C1391" s="1" t="s">
        <v>10027</v>
      </c>
      <c r="D1391" s="1" t="s">
        <v>42</v>
      </c>
      <c r="E1391" s="1">
        <v>3218.7159999999999</v>
      </c>
    </row>
    <row r="1392" spans="3:5" x14ac:dyDescent="0.35">
      <c r="C1392" s="1" t="s">
        <v>10026</v>
      </c>
      <c r="D1392" s="1" t="s">
        <v>42</v>
      </c>
      <c r="E1392" s="1">
        <v>3218.7170000000001</v>
      </c>
    </row>
    <row r="1393" spans="3:5" x14ac:dyDescent="0.35">
      <c r="C1393" s="1" t="s">
        <v>10025</v>
      </c>
      <c r="D1393" s="1" t="s">
        <v>42</v>
      </c>
      <c r="E1393" s="1">
        <v>3218.7179999999998</v>
      </c>
    </row>
    <row r="1394" spans="3:5" x14ac:dyDescent="0.35">
      <c r="C1394" s="1" t="s">
        <v>10024</v>
      </c>
      <c r="D1394" s="1" t="s">
        <v>42</v>
      </c>
      <c r="E1394" s="1">
        <v>3218.7190000000001</v>
      </c>
    </row>
    <row r="1395" spans="3:5" x14ac:dyDescent="0.35">
      <c r="C1395" s="1" t="s">
        <v>10023</v>
      </c>
      <c r="D1395" s="1" t="s">
        <v>42</v>
      </c>
      <c r="E1395" s="1">
        <v>3218.72</v>
      </c>
    </row>
    <row r="1396" spans="3:5" x14ac:dyDescent="0.35">
      <c r="C1396" s="1" t="s">
        <v>10022</v>
      </c>
      <c r="D1396" s="1" t="s">
        <v>42</v>
      </c>
      <c r="E1396" s="1">
        <v>3218.721</v>
      </c>
    </row>
    <row r="1397" spans="3:5" x14ac:dyDescent="0.35">
      <c r="C1397" s="1" t="s">
        <v>10021</v>
      </c>
      <c r="D1397" s="1" t="s">
        <v>42</v>
      </c>
      <c r="E1397" s="1">
        <v>3218.7220000000002</v>
      </c>
    </row>
    <row r="1398" spans="3:5" x14ac:dyDescent="0.35">
      <c r="C1398" s="1" t="s">
        <v>10044</v>
      </c>
      <c r="D1398" s="1" t="s">
        <v>42</v>
      </c>
      <c r="E1398" s="1">
        <v>3218.7249999999999</v>
      </c>
    </row>
    <row r="1399" spans="3:5" x14ac:dyDescent="0.35">
      <c r="C1399" s="1" t="s">
        <v>10043</v>
      </c>
      <c r="D1399" s="1" t="s">
        <v>57</v>
      </c>
      <c r="E1399" s="1">
        <v>3218.73</v>
      </c>
    </row>
    <row r="1400" spans="3:5" x14ac:dyDescent="0.35">
      <c r="C1400" s="1" t="s">
        <v>10035</v>
      </c>
      <c r="D1400" s="1" t="s">
        <v>57</v>
      </c>
      <c r="E1400" s="1">
        <v>3218.7310000000002</v>
      </c>
    </row>
    <row r="1401" spans="3:5" x14ac:dyDescent="0.35">
      <c r="C1401" s="1" t="s">
        <v>10031</v>
      </c>
      <c r="D1401" s="1" t="s">
        <v>42</v>
      </c>
      <c r="E1401" s="1">
        <v>3218.732</v>
      </c>
    </row>
    <row r="1402" spans="3:5" x14ac:dyDescent="0.35">
      <c r="C1402" s="1" t="s">
        <v>10030</v>
      </c>
      <c r="D1402" s="1" t="s">
        <v>42</v>
      </c>
      <c r="E1402" s="1">
        <v>3218.7330000000002</v>
      </c>
    </row>
    <row r="1403" spans="3:5" x14ac:dyDescent="0.35">
      <c r="C1403" s="1" t="s">
        <v>10029</v>
      </c>
      <c r="D1403" s="1" t="s">
        <v>42</v>
      </c>
      <c r="E1403" s="1">
        <v>3218.7339999999999</v>
      </c>
    </row>
    <row r="1404" spans="3:5" x14ac:dyDescent="0.35">
      <c r="C1404" s="1" t="s">
        <v>10028</v>
      </c>
      <c r="D1404" s="1" t="s">
        <v>42</v>
      </c>
      <c r="E1404" s="1">
        <v>3218.7350000000001</v>
      </c>
    </row>
    <row r="1405" spans="3:5" x14ac:dyDescent="0.35">
      <c r="C1405" s="1" t="s">
        <v>10027</v>
      </c>
      <c r="D1405" s="1" t="s">
        <v>42</v>
      </c>
      <c r="E1405" s="1">
        <v>3218.7359999999999</v>
      </c>
    </row>
    <row r="1406" spans="3:5" x14ac:dyDescent="0.35">
      <c r="C1406" s="1" t="s">
        <v>10026</v>
      </c>
      <c r="D1406" s="1" t="s">
        <v>42</v>
      </c>
      <c r="E1406" s="1">
        <v>3218.7370000000001</v>
      </c>
    </row>
    <row r="1407" spans="3:5" x14ac:dyDescent="0.35">
      <c r="C1407" s="1" t="s">
        <v>10025</v>
      </c>
      <c r="D1407" s="1" t="s">
        <v>42</v>
      </c>
      <c r="E1407" s="1">
        <v>3218.7379999999998</v>
      </c>
    </row>
    <row r="1408" spans="3:5" x14ac:dyDescent="0.35">
      <c r="C1408" s="1" t="s">
        <v>10024</v>
      </c>
      <c r="D1408" s="1" t="s">
        <v>42</v>
      </c>
      <c r="E1408" s="1">
        <v>3218.739</v>
      </c>
    </row>
    <row r="1409" spans="3:5" x14ac:dyDescent="0.35">
      <c r="C1409" s="1" t="s">
        <v>10023</v>
      </c>
      <c r="D1409" s="1" t="s">
        <v>42</v>
      </c>
      <c r="E1409" s="1">
        <v>3218.74</v>
      </c>
    </row>
    <row r="1410" spans="3:5" x14ac:dyDescent="0.35">
      <c r="C1410" s="1" t="s">
        <v>10022</v>
      </c>
      <c r="D1410" s="1" t="s">
        <v>42</v>
      </c>
      <c r="E1410" s="1">
        <v>3218.741</v>
      </c>
    </row>
    <row r="1411" spans="3:5" x14ac:dyDescent="0.35">
      <c r="C1411" s="1" t="s">
        <v>10021</v>
      </c>
      <c r="D1411" s="1" t="s">
        <v>42</v>
      </c>
      <c r="E1411" s="1">
        <v>3218.7420000000002</v>
      </c>
    </row>
    <row r="1412" spans="3:5" x14ac:dyDescent="0.35">
      <c r="C1412" s="1" t="s">
        <v>10034</v>
      </c>
      <c r="D1412" s="1" t="s">
        <v>57</v>
      </c>
      <c r="E1412" s="1">
        <v>3218.7510000000002</v>
      </c>
    </row>
    <row r="1413" spans="3:5" x14ac:dyDescent="0.35">
      <c r="C1413" s="1" t="s">
        <v>10031</v>
      </c>
      <c r="D1413" s="1" t="s">
        <v>42</v>
      </c>
      <c r="E1413" s="1">
        <v>3218.752</v>
      </c>
    </row>
    <row r="1414" spans="3:5" x14ac:dyDescent="0.35">
      <c r="C1414" s="1" t="s">
        <v>10030</v>
      </c>
      <c r="D1414" s="1" t="s">
        <v>42</v>
      </c>
      <c r="E1414" s="1">
        <v>3218.7530000000002</v>
      </c>
    </row>
    <row r="1415" spans="3:5" x14ac:dyDescent="0.35">
      <c r="C1415" s="1" t="s">
        <v>10029</v>
      </c>
      <c r="D1415" s="1" t="s">
        <v>42</v>
      </c>
      <c r="E1415" s="1">
        <v>3218.7539999999999</v>
      </c>
    </row>
    <row r="1416" spans="3:5" x14ac:dyDescent="0.35">
      <c r="C1416" s="1" t="s">
        <v>10028</v>
      </c>
      <c r="D1416" s="1" t="s">
        <v>42</v>
      </c>
      <c r="E1416" s="1">
        <v>3218.7550000000001</v>
      </c>
    </row>
    <row r="1417" spans="3:5" x14ac:dyDescent="0.35">
      <c r="C1417" s="1" t="s">
        <v>10027</v>
      </c>
      <c r="D1417" s="1" t="s">
        <v>42</v>
      </c>
      <c r="E1417" s="1">
        <v>3218.7559999999999</v>
      </c>
    </row>
    <row r="1418" spans="3:5" x14ac:dyDescent="0.35">
      <c r="C1418" s="1" t="s">
        <v>10026</v>
      </c>
      <c r="D1418" s="1" t="s">
        <v>42</v>
      </c>
      <c r="E1418" s="1">
        <v>3218.7570000000001</v>
      </c>
    </row>
    <row r="1419" spans="3:5" x14ac:dyDescent="0.35">
      <c r="C1419" s="1" t="s">
        <v>10025</v>
      </c>
      <c r="D1419" s="1" t="s">
        <v>42</v>
      </c>
      <c r="E1419" s="1">
        <v>3218.7579999999998</v>
      </c>
    </row>
    <row r="1420" spans="3:5" x14ac:dyDescent="0.35">
      <c r="C1420" s="1" t="s">
        <v>10024</v>
      </c>
      <c r="D1420" s="1" t="s">
        <v>42</v>
      </c>
      <c r="E1420" s="1">
        <v>3218.759</v>
      </c>
    </row>
    <row r="1421" spans="3:5" x14ac:dyDescent="0.35">
      <c r="C1421" s="1" t="s">
        <v>10023</v>
      </c>
      <c r="D1421" s="1" t="s">
        <v>42</v>
      </c>
      <c r="E1421" s="1">
        <v>3218.76</v>
      </c>
    </row>
    <row r="1422" spans="3:5" x14ac:dyDescent="0.35">
      <c r="C1422" s="1" t="s">
        <v>10022</v>
      </c>
      <c r="D1422" s="1" t="s">
        <v>42</v>
      </c>
      <c r="E1422" s="1">
        <v>3218.761</v>
      </c>
    </row>
    <row r="1423" spans="3:5" x14ac:dyDescent="0.35">
      <c r="C1423" s="1" t="s">
        <v>10021</v>
      </c>
      <c r="D1423" s="1" t="s">
        <v>42</v>
      </c>
      <c r="E1423" s="1">
        <v>3218.7620000000002</v>
      </c>
    </row>
    <row r="1424" spans="3:5" x14ac:dyDescent="0.35">
      <c r="C1424" s="1" t="s">
        <v>10033</v>
      </c>
      <c r="D1424" s="1" t="s">
        <v>57</v>
      </c>
      <c r="E1424" s="1">
        <v>3218.7710000000002</v>
      </c>
    </row>
    <row r="1425" spans="3:5" x14ac:dyDescent="0.35">
      <c r="C1425" s="1" t="s">
        <v>10031</v>
      </c>
      <c r="D1425" s="1" t="s">
        <v>42</v>
      </c>
      <c r="E1425" s="1">
        <v>3218.7719999999999</v>
      </c>
    </row>
    <row r="1426" spans="3:5" x14ac:dyDescent="0.35">
      <c r="C1426" s="1" t="s">
        <v>10030</v>
      </c>
      <c r="D1426" s="1" t="s">
        <v>42</v>
      </c>
      <c r="E1426" s="1">
        <v>3218.7730000000001</v>
      </c>
    </row>
    <row r="1427" spans="3:5" x14ac:dyDescent="0.35">
      <c r="C1427" s="1" t="s">
        <v>10029</v>
      </c>
      <c r="D1427" s="1" t="s">
        <v>42</v>
      </c>
      <c r="E1427" s="1">
        <v>3218.7739999999999</v>
      </c>
    </row>
    <row r="1428" spans="3:5" x14ac:dyDescent="0.35">
      <c r="C1428" s="1" t="s">
        <v>10028</v>
      </c>
      <c r="D1428" s="1" t="s">
        <v>42</v>
      </c>
      <c r="E1428" s="1">
        <v>3218.7750000000001</v>
      </c>
    </row>
    <row r="1429" spans="3:5" x14ac:dyDescent="0.35">
      <c r="C1429" s="1" t="s">
        <v>10027</v>
      </c>
      <c r="D1429" s="1" t="s">
        <v>42</v>
      </c>
      <c r="E1429" s="1">
        <v>3218.7759999999998</v>
      </c>
    </row>
    <row r="1430" spans="3:5" x14ac:dyDescent="0.35">
      <c r="C1430" s="1" t="s">
        <v>10026</v>
      </c>
      <c r="D1430" s="1" t="s">
        <v>42</v>
      </c>
      <c r="E1430" s="1">
        <v>3218.777</v>
      </c>
    </row>
    <row r="1431" spans="3:5" x14ac:dyDescent="0.35">
      <c r="C1431" s="1" t="s">
        <v>10025</v>
      </c>
      <c r="D1431" s="1" t="s">
        <v>42</v>
      </c>
      <c r="E1431" s="1">
        <v>3218.7779999999998</v>
      </c>
    </row>
    <row r="1432" spans="3:5" x14ac:dyDescent="0.35">
      <c r="C1432" s="1" t="s">
        <v>10024</v>
      </c>
      <c r="D1432" s="1" t="s">
        <v>42</v>
      </c>
      <c r="E1432" s="1">
        <v>3218.779</v>
      </c>
    </row>
    <row r="1433" spans="3:5" x14ac:dyDescent="0.35">
      <c r="C1433" s="1" t="s">
        <v>10023</v>
      </c>
      <c r="D1433" s="1" t="s">
        <v>42</v>
      </c>
      <c r="E1433" s="1">
        <v>3218.78</v>
      </c>
    </row>
    <row r="1434" spans="3:5" x14ac:dyDescent="0.35">
      <c r="C1434" s="1" t="s">
        <v>10022</v>
      </c>
      <c r="D1434" s="1" t="s">
        <v>42</v>
      </c>
      <c r="E1434" s="1">
        <v>3218.7809999999999</v>
      </c>
    </row>
    <row r="1435" spans="3:5" x14ac:dyDescent="0.35">
      <c r="C1435" s="1" t="s">
        <v>10021</v>
      </c>
      <c r="D1435" s="1" t="s">
        <v>42</v>
      </c>
      <c r="E1435" s="1">
        <v>3218.7820000000002</v>
      </c>
    </row>
    <row r="1436" spans="3:5" x14ac:dyDescent="0.35">
      <c r="C1436" s="1" t="s">
        <v>10032</v>
      </c>
      <c r="D1436" s="1" t="s">
        <v>57</v>
      </c>
      <c r="E1436" s="1">
        <v>3218.7910000000002</v>
      </c>
    </row>
    <row r="1437" spans="3:5" x14ac:dyDescent="0.35">
      <c r="C1437" s="1" t="s">
        <v>10031</v>
      </c>
      <c r="D1437" s="1" t="s">
        <v>42</v>
      </c>
      <c r="E1437" s="1">
        <v>3218.7919999999999</v>
      </c>
    </row>
    <row r="1438" spans="3:5" x14ac:dyDescent="0.35">
      <c r="C1438" s="1" t="s">
        <v>10030</v>
      </c>
      <c r="D1438" s="1" t="s">
        <v>42</v>
      </c>
      <c r="E1438" s="1">
        <v>3218.7930000000001</v>
      </c>
    </row>
    <row r="1439" spans="3:5" x14ac:dyDescent="0.35">
      <c r="C1439" s="1" t="s">
        <v>10029</v>
      </c>
      <c r="D1439" s="1" t="s">
        <v>42</v>
      </c>
      <c r="E1439" s="1">
        <v>3218.7939999999999</v>
      </c>
    </row>
    <row r="1440" spans="3:5" x14ac:dyDescent="0.35">
      <c r="C1440" s="1" t="s">
        <v>10028</v>
      </c>
      <c r="D1440" s="1" t="s">
        <v>42</v>
      </c>
      <c r="E1440" s="1">
        <v>3218.7950000000001</v>
      </c>
    </row>
    <row r="1441" spans="3:5" x14ac:dyDescent="0.35">
      <c r="C1441" s="1" t="s">
        <v>10027</v>
      </c>
      <c r="D1441" s="1" t="s">
        <v>42</v>
      </c>
      <c r="E1441" s="1">
        <v>3218.7959999999998</v>
      </c>
    </row>
    <row r="1442" spans="3:5" x14ac:dyDescent="0.35">
      <c r="C1442" s="1" t="s">
        <v>10026</v>
      </c>
      <c r="D1442" s="1" t="s">
        <v>42</v>
      </c>
      <c r="E1442" s="1">
        <v>3218.797</v>
      </c>
    </row>
    <row r="1443" spans="3:5" x14ac:dyDescent="0.35">
      <c r="C1443" s="1" t="s">
        <v>10025</v>
      </c>
      <c r="D1443" s="1" t="s">
        <v>42</v>
      </c>
      <c r="E1443" s="1">
        <v>3218.7979999999998</v>
      </c>
    </row>
    <row r="1444" spans="3:5" x14ac:dyDescent="0.35">
      <c r="C1444" s="1" t="s">
        <v>10024</v>
      </c>
      <c r="D1444" s="1" t="s">
        <v>42</v>
      </c>
      <c r="E1444" s="1">
        <v>3218.799</v>
      </c>
    </row>
    <row r="1445" spans="3:5" x14ac:dyDescent="0.35">
      <c r="C1445" s="1" t="s">
        <v>10023</v>
      </c>
      <c r="D1445" s="1" t="s">
        <v>42</v>
      </c>
      <c r="E1445" s="1">
        <v>3218.8</v>
      </c>
    </row>
    <row r="1446" spans="3:5" x14ac:dyDescent="0.35">
      <c r="C1446" s="1" t="s">
        <v>10022</v>
      </c>
      <c r="D1446" s="1" t="s">
        <v>42</v>
      </c>
      <c r="E1446" s="1">
        <v>3218.8009999999999</v>
      </c>
    </row>
    <row r="1447" spans="3:5" x14ac:dyDescent="0.35">
      <c r="C1447" s="1" t="s">
        <v>10021</v>
      </c>
      <c r="D1447" s="1" t="s">
        <v>42</v>
      </c>
      <c r="E1447" s="1">
        <v>3218.8020000000001</v>
      </c>
    </row>
    <row r="1448" spans="3:5" x14ac:dyDescent="0.35">
      <c r="C1448" s="1" t="s">
        <v>10042</v>
      </c>
      <c r="D1448" s="1" t="s">
        <v>42</v>
      </c>
      <c r="E1448" s="1">
        <v>3218.8049999999998</v>
      </c>
    </row>
    <row r="1449" spans="3:5" x14ac:dyDescent="0.35">
      <c r="C1449" s="1" t="s">
        <v>10041</v>
      </c>
      <c r="D1449" s="1" t="s">
        <v>57</v>
      </c>
      <c r="E1449" s="1">
        <v>3218.81</v>
      </c>
    </row>
    <row r="1450" spans="3:5" x14ac:dyDescent="0.35">
      <c r="C1450" s="1" t="s">
        <v>10035</v>
      </c>
      <c r="D1450" s="1" t="s">
        <v>57</v>
      </c>
      <c r="E1450" s="1">
        <v>3218.8110000000001</v>
      </c>
    </row>
    <row r="1451" spans="3:5" x14ac:dyDescent="0.35">
      <c r="C1451" s="1" t="s">
        <v>10031</v>
      </c>
      <c r="D1451" s="1" t="s">
        <v>42</v>
      </c>
      <c r="E1451" s="1">
        <v>3218.8119999999999</v>
      </c>
    </row>
    <row r="1452" spans="3:5" x14ac:dyDescent="0.35">
      <c r="C1452" s="1" t="s">
        <v>10030</v>
      </c>
      <c r="D1452" s="1" t="s">
        <v>42</v>
      </c>
      <c r="E1452" s="1">
        <v>3218.8130000000001</v>
      </c>
    </row>
    <row r="1453" spans="3:5" x14ac:dyDescent="0.35">
      <c r="C1453" s="1" t="s">
        <v>10029</v>
      </c>
      <c r="D1453" s="1" t="s">
        <v>42</v>
      </c>
      <c r="E1453" s="1">
        <v>3218.8139999999999</v>
      </c>
    </row>
    <row r="1454" spans="3:5" x14ac:dyDescent="0.35">
      <c r="C1454" s="1" t="s">
        <v>10028</v>
      </c>
      <c r="D1454" s="1" t="s">
        <v>42</v>
      </c>
      <c r="E1454" s="1">
        <v>3218.8150000000001</v>
      </c>
    </row>
    <row r="1455" spans="3:5" x14ac:dyDescent="0.35">
      <c r="C1455" s="1" t="s">
        <v>10027</v>
      </c>
      <c r="D1455" s="1" t="s">
        <v>42</v>
      </c>
      <c r="E1455" s="1">
        <v>3218.8159999999998</v>
      </c>
    </row>
    <row r="1456" spans="3:5" x14ac:dyDescent="0.35">
      <c r="C1456" s="1" t="s">
        <v>10026</v>
      </c>
      <c r="D1456" s="1" t="s">
        <v>42</v>
      </c>
      <c r="E1456" s="1">
        <v>3218.817</v>
      </c>
    </row>
    <row r="1457" spans="3:5" x14ac:dyDescent="0.35">
      <c r="C1457" s="1" t="s">
        <v>10025</v>
      </c>
      <c r="D1457" s="1" t="s">
        <v>42</v>
      </c>
      <c r="E1457" s="1">
        <v>3218.8180000000002</v>
      </c>
    </row>
    <row r="1458" spans="3:5" x14ac:dyDescent="0.35">
      <c r="C1458" s="1" t="s">
        <v>10024</v>
      </c>
      <c r="D1458" s="1" t="s">
        <v>42</v>
      </c>
      <c r="E1458" s="1">
        <v>3218.819</v>
      </c>
    </row>
    <row r="1459" spans="3:5" x14ac:dyDescent="0.35">
      <c r="C1459" s="1" t="s">
        <v>10023</v>
      </c>
      <c r="D1459" s="1" t="s">
        <v>42</v>
      </c>
      <c r="E1459" s="1">
        <v>3218.82</v>
      </c>
    </row>
    <row r="1460" spans="3:5" x14ac:dyDescent="0.35">
      <c r="C1460" s="1" t="s">
        <v>10022</v>
      </c>
      <c r="D1460" s="1" t="s">
        <v>42</v>
      </c>
      <c r="E1460" s="1">
        <v>3218.8209999999999</v>
      </c>
    </row>
    <row r="1461" spans="3:5" x14ac:dyDescent="0.35">
      <c r="C1461" s="1" t="s">
        <v>10021</v>
      </c>
      <c r="D1461" s="1" t="s">
        <v>42</v>
      </c>
      <c r="E1461" s="1">
        <v>3218.8220000000001</v>
      </c>
    </row>
    <row r="1462" spans="3:5" x14ac:dyDescent="0.35">
      <c r="C1462" s="1" t="s">
        <v>10034</v>
      </c>
      <c r="D1462" s="1" t="s">
        <v>57</v>
      </c>
      <c r="E1462" s="1">
        <v>3218.8310000000001</v>
      </c>
    </row>
    <row r="1463" spans="3:5" x14ac:dyDescent="0.35">
      <c r="C1463" s="1" t="s">
        <v>10031</v>
      </c>
      <c r="D1463" s="1" t="s">
        <v>42</v>
      </c>
      <c r="E1463" s="1">
        <v>3218.8319999999999</v>
      </c>
    </row>
    <row r="1464" spans="3:5" x14ac:dyDescent="0.35">
      <c r="C1464" s="1" t="s">
        <v>10030</v>
      </c>
      <c r="D1464" s="1" t="s">
        <v>42</v>
      </c>
      <c r="E1464" s="1">
        <v>3218.8330000000001</v>
      </c>
    </row>
    <row r="1465" spans="3:5" x14ac:dyDescent="0.35">
      <c r="C1465" s="1" t="s">
        <v>10029</v>
      </c>
      <c r="D1465" s="1" t="s">
        <v>42</v>
      </c>
      <c r="E1465" s="1">
        <v>3218.8339999999998</v>
      </c>
    </row>
    <row r="1466" spans="3:5" x14ac:dyDescent="0.35">
      <c r="C1466" s="1" t="s">
        <v>10028</v>
      </c>
      <c r="D1466" s="1" t="s">
        <v>42</v>
      </c>
      <c r="E1466" s="1">
        <v>3218.835</v>
      </c>
    </row>
    <row r="1467" spans="3:5" x14ac:dyDescent="0.35">
      <c r="C1467" s="1" t="s">
        <v>10027</v>
      </c>
      <c r="D1467" s="1" t="s">
        <v>42</v>
      </c>
      <c r="E1467" s="1">
        <v>3218.8359999999998</v>
      </c>
    </row>
    <row r="1468" spans="3:5" x14ac:dyDescent="0.35">
      <c r="C1468" s="1" t="s">
        <v>10026</v>
      </c>
      <c r="D1468" s="1" t="s">
        <v>42</v>
      </c>
      <c r="E1468" s="1">
        <v>3218.837</v>
      </c>
    </row>
    <row r="1469" spans="3:5" x14ac:dyDescent="0.35">
      <c r="C1469" s="1" t="s">
        <v>10025</v>
      </c>
      <c r="D1469" s="1" t="s">
        <v>42</v>
      </c>
      <c r="E1469" s="1">
        <v>3218.8380000000002</v>
      </c>
    </row>
    <row r="1470" spans="3:5" x14ac:dyDescent="0.35">
      <c r="C1470" s="1" t="s">
        <v>10024</v>
      </c>
      <c r="D1470" s="1" t="s">
        <v>42</v>
      </c>
      <c r="E1470" s="1">
        <v>3218.8389999999999</v>
      </c>
    </row>
    <row r="1471" spans="3:5" x14ac:dyDescent="0.35">
      <c r="C1471" s="1" t="s">
        <v>10023</v>
      </c>
      <c r="D1471" s="1" t="s">
        <v>42</v>
      </c>
      <c r="E1471" s="1">
        <v>3218.84</v>
      </c>
    </row>
    <row r="1472" spans="3:5" x14ac:dyDescent="0.35">
      <c r="C1472" s="1" t="s">
        <v>10022</v>
      </c>
      <c r="D1472" s="1" t="s">
        <v>42</v>
      </c>
      <c r="E1472" s="1">
        <v>3218.8409999999999</v>
      </c>
    </row>
    <row r="1473" spans="3:5" x14ac:dyDescent="0.35">
      <c r="C1473" s="1" t="s">
        <v>10021</v>
      </c>
      <c r="D1473" s="1" t="s">
        <v>42</v>
      </c>
      <c r="E1473" s="1">
        <v>3218.8420000000001</v>
      </c>
    </row>
    <row r="1474" spans="3:5" x14ac:dyDescent="0.35">
      <c r="C1474" s="1" t="s">
        <v>10033</v>
      </c>
      <c r="D1474" s="1" t="s">
        <v>57</v>
      </c>
      <c r="E1474" s="1">
        <v>3218.8510000000001</v>
      </c>
    </row>
    <row r="1475" spans="3:5" x14ac:dyDescent="0.35">
      <c r="C1475" s="1" t="s">
        <v>10031</v>
      </c>
      <c r="D1475" s="1" t="s">
        <v>42</v>
      </c>
      <c r="E1475" s="1">
        <v>3218.8519999999999</v>
      </c>
    </row>
    <row r="1476" spans="3:5" x14ac:dyDescent="0.35">
      <c r="C1476" s="1" t="s">
        <v>10030</v>
      </c>
      <c r="D1476" s="1" t="s">
        <v>42</v>
      </c>
      <c r="E1476" s="1">
        <v>3218.8530000000001</v>
      </c>
    </row>
    <row r="1477" spans="3:5" x14ac:dyDescent="0.35">
      <c r="C1477" s="1" t="s">
        <v>10029</v>
      </c>
      <c r="D1477" s="1" t="s">
        <v>42</v>
      </c>
      <c r="E1477" s="1">
        <v>3218.8539999999998</v>
      </c>
    </row>
    <row r="1478" spans="3:5" x14ac:dyDescent="0.35">
      <c r="C1478" s="1" t="s">
        <v>10028</v>
      </c>
      <c r="D1478" s="1" t="s">
        <v>42</v>
      </c>
      <c r="E1478" s="1">
        <v>3218.855</v>
      </c>
    </row>
    <row r="1479" spans="3:5" x14ac:dyDescent="0.35">
      <c r="C1479" s="1" t="s">
        <v>10027</v>
      </c>
      <c r="D1479" s="1" t="s">
        <v>42</v>
      </c>
      <c r="E1479" s="1">
        <v>3218.8560000000002</v>
      </c>
    </row>
    <row r="1480" spans="3:5" x14ac:dyDescent="0.35">
      <c r="C1480" s="1" t="s">
        <v>10026</v>
      </c>
      <c r="D1480" s="1" t="s">
        <v>42</v>
      </c>
      <c r="E1480" s="1">
        <v>3218.857</v>
      </c>
    </row>
    <row r="1481" spans="3:5" x14ac:dyDescent="0.35">
      <c r="C1481" s="1" t="s">
        <v>10025</v>
      </c>
      <c r="D1481" s="1" t="s">
        <v>42</v>
      </c>
      <c r="E1481" s="1">
        <v>3218.8580000000002</v>
      </c>
    </row>
    <row r="1482" spans="3:5" x14ac:dyDescent="0.35">
      <c r="C1482" s="1" t="s">
        <v>10024</v>
      </c>
      <c r="D1482" s="1" t="s">
        <v>42</v>
      </c>
      <c r="E1482" s="1">
        <v>3218.8589999999999</v>
      </c>
    </row>
    <row r="1483" spans="3:5" x14ac:dyDescent="0.35">
      <c r="C1483" s="1" t="s">
        <v>10023</v>
      </c>
      <c r="D1483" s="1" t="s">
        <v>42</v>
      </c>
      <c r="E1483" s="1">
        <v>3218.86</v>
      </c>
    </row>
    <row r="1484" spans="3:5" x14ac:dyDescent="0.35">
      <c r="C1484" s="1" t="s">
        <v>10022</v>
      </c>
      <c r="D1484" s="1" t="s">
        <v>42</v>
      </c>
      <c r="E1484" s="1">
        <v>3218.8609999999999</v>
      </c>
    </row>
    <row r="1485" spans="3:5" x14ac:dyDescent="0.35">
      <c r="C1485" s="1" t="s">
        <v>10021</v>
      </c>
      <c r="D1485" s="1" t="s">
        <v>42</v>
      </c>
      <c r="E1485" s="1">
        <v>3218.8620000000001</v>
      </c>
    </row>
    <row r="1486" spans="3:5" x14ac:dyDescent="0.35">
      <c r="C1486" s="1" t="s">
        <v>10032</v>
      </c>
      <c r="D1486" s="1" t="s">
        <v>57</v>
      </c>
      <c r="E1486" s="1">
        <v>3218.8710000000001</v>
      </c>
    </row>
    <row r="1487" spans="3:5" x14ac:dyDescent="0.35">
      <c r="C1487" s="1" t="s">
        <v>10031</v>
      </c>
      <c r="D1487" s="1" t="s">
        <v>42</v>
      </c>
      <c r="E1487" s="1">
        <v>3218.8719999999998</v>
      </c>
    </row>
    <row r="1488" spans="3:5" x14ac:dyDescent="0.35">
      <c r="C1488" s="1" t="s">
        <v>10030</v>
      </c>
      <c r="D1488" s="1" t="s">
        <v>42</v>
      </c>
      <c r="E1488" s="1">
        <v>3218.873</v>
      </c>
    </row>
    <row r="1489" spans="3:5" x14ac:dyDescent="0.35">
      <c r="C1489" s="1" t="s">
        <v>10029</v>
      </c>
      <c r="D1489" s="1" t="s">
        <v>42</v>
      </c>
      <c r="E1489" s="1">
        <v>3218.8739999999998</v>
      </c>
    </row>
    <row r="1490" spans="3:5" x14ac:dyDescent="0.35">
      <c r="C1490" s="1" t="s">
        <v>10028</v>
      </c>
      <c r="D1490" s="1" t="s">
        <v>42</v>
      </c>
      <c r="E1490" s="1">
        <v>3218.875</v>
      </c>
    </row>
    <row r="1491" spans="3:5" x14ac:dyDescent="0.35">
      <c r="C1491" s="1" t="s">
        <v>10027</v>
      </c>
      <c r="D1491" s="1" t="s">
        <v>42</v>
      </c>
      <c r="E1491" s="1">
        <v>3218.8760000000002</v>
      </c>
    </row>
    <row r="1492" spans="3:5" x14ac:dyDescent="0.35">
      <c r="C1492" s="1" t="s">
        <v>10026</v>
      </c>
      <c r="D1492" s="1" t="s">
        <v>42</v>
      </c>
      <c r="E1492" s="1">
        <v>3218.877</v>
      </c>
    </row>
    <row r="1493" spans="3:5" x14ac:dyDescent="0.35">
      <c r="C1493" s="1" t="s">
        <v>10025</v>
      </c>
      <c r="D1493" s="1" t="s">
        <v>42</v>
      </c>
      <c r="E1493" s="1">
        <v>3218.8780000000002</v>
      </c>
    </row>
    <row r="1494" spans="3:5" x14ac:dyDescent="0.35">
      <c r="C1494" s="1" t="s">
        <v>10024</v>
      </c>
      <c r="D1494" s="1" t="s">
        <v>42</v>
      </c>
      <c r="E1494" s="1">
        <v>3218.8789999999999</v>
      </c>
    </row>
    <row r="1495" spans="3:5" x14ac:dyDescent="0.35">
      <c r="C1495" s="1" t="s">
        <v>10023</v>
      </c>
      <c r="D1495" s="1" t="s">
        <v>42</v>
      </c>
      <c r="E1495" s="1">
        <v>3218.88</v>
      </c>
    </row>
    <row r="1496" spans="3:5" x14ac:dyDescent="0.35">
      <c r="C1496" s="1" t="s">
        <v>10022</v>
      </c>
      <c r="D1496" s="1" t="s">
        <v>42</v>
      </c>
      <c r="E1496" s="1">
        <v>3218.8809999999999</v>
      </c>
    </row>
    <row r="1497" spans="3:5" x14ac:dyDescent="0.35">
      <c r="C1497" s="1" t="s">
        <v>10021</v>
      </c>
      <c r="D1497" s="1" t="s">
        <v>42</v>
      </c>
      <c r="E1497" s="1">
        <v>3218.8820000000001</v>
      </c>
    </row>
    <row r="1498" spans="3:5" x14ac:dyDescent="0.35">
      <c r="C1498" s="1" t="s">
        <v>10040</v>
      </c>
      <c r="D1498" s="1" t="s">
        <v>42</v>
      </c>
      <c r="E1498" s="1">
        <v>3218.8850000000002</v>
      </c>
    </row>
    <row r="1499" spans="3:5" x14ac:dyDescent="0.35">
      <c r="C1499" s="1" t="s">
        <v>10039</v>
      </c>
      <c r="D1499" s="1" t="s">
        <v>57</v>
      </c>
      <c r="E1499" s="1">
        <v>3218.89</v>
      </c>
    </row>
    <row r="1500" spans="3:5" x14ac:dyDescent="0.35">
      <c r="C1500" s="1" t="s">
        <v>10038</v>
      </c>
      <c r="D1500" s="1" t="s">
        <v>57</v>
      </c>
      <c r="E1500" s="1">
        <v>3218.8910000000001</v>
      </c>
    </row>
    <row r="1501" spans="3:5" x14ac:dyDescent="0.35">
      <c r="C1501" s="1" t="s">
        <v>10031</v>
      </c>
      <c r="D1501" s="1" t="s">
        <v>42</v>
      </c>
      <c r="E1501" s="1">
        <v>3218.8919999999998</v>
      </c>
    </row>
    <row r="1502" spans="3:5" x14ac:dyDescent="0.35">
      <c r="C1502" s="1" t="s">
        <v>10030</v>
      </c>
      <c r="D1502" s="1" t="s">
        <v>42</v>
      </c>
      <c r="E1502" s="1">
        <v>3218.893</v>
      </c>
    </row>
    <row r="1503" spans="3:5" x14ac:dyDescent="0.35">
      <c r="C1503" s="1" t="s">
        <v>10029</v>
      </c>
      <c r="D1503" s="1" t="s">
        <v>42</v>
      </c>
      <c r="E1503" s="1">
        <v>3218.8939999999998</v>
      </c>
    </row>
    <row r="1504" spans="3:5" x14ac:dyDescent="0.35">
      <c r="C1504" s="1" t="s">
        <v>10028</v>
      </c>
      <c r="D1504" s="1" t="s">
        <v>42</v>
      </c>
      <c r="E1504" s="1">
        <v>3218.895</v>
      </c>
    </row>
    <row r="1505" spans="3:5" x14ac:dyDescent="0.35">
      <c r="C1505" s="1" t="s">
        <v>10027</v>
      </c>
      <c r="D1505" s="1" t="s">
        <v>42</v>
      </c>
      <c r="E1505" s="1">
        <v>3218.8960000000002</v>
      </c>
    </row>
    <row r="1506" spans="3:5" x14ac:dyDescent="0.35">
      <c r="C1506" s="1" t="s">
        <v>10026</v>
      </c>
      <c r="D1506" s="1" t="s">
        <v>42</v>
      </c>
      <c r="E1506" s="1">
        <v>3218.8969999999999</v>
      </c>
    </row>
    <row r="1507" spans="3:5" x14ac:dyDescent="0.35">
      <c r="C1507" s="1" t="s">
        <v>10025</v>
      </c>
      <c r="D1507" s="1" t="s">
        <v>42</v>
      </c>
      <c r="E1507" s="1">
        <v>3218.8980000000001</v>
      </c>
    </row>
    <row r="1508" spans="3:5" x14ac:dyDescent="0.35">
      <c r="C1508" s="1" t="s">
        <v>10024</v>
      </c>
      <c r="D1508" s="1" t="s">
        <v>42</v>
      </c>
      <c r="E1508" s="1">
        <v>3218.8989999999999</v>
      </c>
    </row>
    <row r="1509" spans="3:5" x14ac:dyDescent="0.35">
      <c r="C1509" s="1" t="s">
        <v>10023</v>
      </c>
      <c r="D1509" s="1" t="s">
        <v>42</v>
      </c>
      <c r="E1509" s="1">
        <v>3218.9</v>
      </c>
    </row>
    <row r="1510" spans="3:5" x14ac:dyDescent="0.35">
      <c r="C1510" s="1" t="s">
        <v>10022</v>
      </c>
      <c r="D1510" s="1" t="s">
        <v>42</v>
      </c>
      <c r="E1510" s="1">
        <v>3218.9009999999998</v>
      </c>
    </row>
    <row r="1511" spans="3:5" x14ac:dyDescent="0.35">
      <c r="C1511" s="1" t="s">
        <v>10021</v>
      </c>
      <c r="D1511" s="1" t="s">
        <v>42</v>
      </c>
      <c r="E1511" s="1">
        <v>3218.902</v>
      </c>
    </row>
    <row r="1512" spans="3:5" x14ac:dyDescent="0.35">
      <c r="C1512" s="1" t="s">
        <v>10034</v>
      </c>
      <c r="D1512" s="1" t="s">
        <v>57</v>
      </c>
      <c r="E1512" s="1">
        <v>3218.9110000000001</v>
      </c>
    </row>
    <row r="1513" spans="3:5" x14ac:dyDescent="0.35">
      <c r="C1513" s="1" t="s">
        <v>10031</v>
      </c>
      <c r="D1513" s="1" t="s">
        <v>42</v>
      </c>
      <c r="E1513" s="1">
        <v>3218.9119999999998</v>
      </c>
    </row>
    <row r="1514" spans="3:5" x14ac:dyDescent="0.35">
      <c r="C1514" s="1" t="s">
        <v>10030</v>
      </c>
      <c r="D1514" s="1" t="s">
        <v>42</v>
      </c>
      <c r="E1514" s="1">
        <v>3218.913</v>
      </c>
    </row>
    <row r="1515" spans="3:5" x14ac:dyDescent="0.35">
      <c r="C1515" s="1" t="s">
        <v>10029</v>
      </c>
      <c r="D1515" s="1" t="s">
        <v>42</v>
      </c>
      <c r="E1515" s="1">
        <v>3218.9140000000002</v>
      </c>
    </row>
    <row r="1516" spans="3:5" x14ac:dyDescent="0.35">
      <c r="C1516" s="1" t="s">
        <v>10028</v>
      </c>
      <c r="D1516" s="1" t="s">
        <v>42</v>
      </c>
      <c r="E1516" s="1">
        <v>3218.915</v>
      </c>
    </row>
    <row r="1517" spans="3:5" x14ac:dyDescent="0.35">
      <c r="C1517" s="1" t="s">
        <v>10027</v>
      </c>
      <c r="D1517" s="1" t="s">
        <v>42</v>
      </c>
      <c r="E1517" s="1">
        <v>3218.9160000000002</v>
      </c>
    </row>
    <row r="1518" spans="3:5" x14ac:dyDescent="0.35">
      <c r="C1518" s="1" t="s">
        <v>10026</v>
      </c>
      <c r="D1518" s="1" t="s">
        <v>42</v>
      </c>
      <c r="E1518" s="1">
        <v>3218.9169999999999</v>
      </c>
    </row>
    <row r="1519" spans="3:5" x14ac:dyDescent="0.35">
      <c r="C1519" s="1" t="s">
        <v>10025</v>
      </c>
      <c r="D1519" s="1" t="s">
        <v>42</v>
      </c>
      <c r="E1519" s="1">
        <v>3218.9180000000001</v>
      </c>
    </row>
    <row r="1520" spans="3:5" x14ac:dyDescent="0.35">
      <c r="C1520" s="1" t="s">
        <v>10024</v>
      </c>
      <c r="D1520" s="1" t="s">
        <v>42</v>
      </c>
      <c r="E1520" s="1">
        <v>3218.9189999999999</v>
      </c>
    </row>
    <row r="1521" spans="3:5" x14ac:dyDescent="0.35">
      <c r="C1521" s="1" t="s">
        <v>10023</v>
      </c>
      <c r="D1521" s="1" t="s">
        <v>42</v>
      </c>
      <c r="E1521" s="1">
        <v>3218.92</v>
      </c>
    </row>
    <row r="1522" spans="3:5" x14ac:dyDescent="0.35">
      <c r="C1522" s="1" t="s">
        <v>10022</v>
      </c>
      <c r="D1522" s="1" t="s">
        <v>42</v>
      </c>
      <c r="E1522" s="1">
        <v>3218.9209999999998</v>
      </c>
    </row>
    <row r="1523" spans="3:5" x14ac:dyDescent="0.35">
      <c r="C1523" s="1" t="s">
        <v>10021</v>
      </c>
      <c r="D1523" s="1" t="s">
        <v>42</v>
      </c>
      <c r="E1523" s="1">
        <v>3218.922</v>
      </c>
    </row>
    <row r="1524" spans="3:5" x14ac:dyDescent="0.35">
      <c r="C1524" s="1" t="s">
        <v>10033</v>
      </c>
      <c r="D1524" s="1" t="s">
        <v>57</v>
      </c>
      <c r="E1524" s="1">
        <v>3218.931</v>
      </c>
    </row>
    <row r="1525" spans="3:5" x14ac:dyDescent="0.35">
      <c r="C1525" s="1" t="s">
        <v>10031</v>
      </c>
      <c r="D1525" s="1" t="s">
        <v>42</v>
      </c>
      <c r="E1525" s="1">
        <v>3218.9319999999998</v>
      </c>
    </row>
    <row r="1526" spans="3:5" x14ac:dyDescent="0.35">
      <c r="C1526" s="1" t="s">
        <v>10030</v>
      </c>
      <c r="D1526" s="1" t="s">
        <v>42</v>
      </c>
      <c r="E1526" s="1">
        <v>3218.933</v>
      </c>
    </row>
    <row r="1527" spans="3:5" x14ac:dyDescent="0.35">
      <c r="C1527" s="1" t="s">
        <v>10029</v>
      </c>
      <c r="D1527" s="1" t="s">
        <v>42</v>
      </c>
      <c r="E1527" s="1">
        <v>3218.9340000000002</v>
      </c>
    </row>
    <row r="1528" spans="3:5" x14ac:dyDescent="0.35">
      <c r="C1528" s="1" t="s">
        <v>10028</v>
      </c>
      <c r="D1528" s="1" t="s">
        <v>42</v>
      </c>
      <c r="E1528" s="1">
        <v>3218.9349999999999</v>
      </c>
    </row>
    <row r="1529" spans="3:5" x14ac:dyDescent="0.35">
      <c r="C1529" s="1" t="s">
        <v>10027</v>
      </c>
      <c r="D1529" s="1" t="s">
        <v>42</v>
      </c>
      <c r="E1529" s="1">
        <v>3218.9360000000001</v>
      </c>
    </row>
    <row r="1530" spans="3:5" x14ac:dyDescent="0.35">
      <c r="C1530" s="1" t="s">
        <v>10026</v>
      </c>
      <c r="D1530" s="1" t="s">
        <v>42</v>
      </c>
      <c r="E1530" s="1">
        <v>3218.9369999999999</v>
      </c>
    </row>
    <row r="1531" spans="3:5" x14ac:dyDescent="0.35">
      <c r="C1531" s="1" t="s">
        <v>10025</v>
      </c>
      <c r="D1531" s="1" t="s">
        <v>42</v>
      </c>
      <c r="E1531" s="1">
        <v>3218.9380000000001</v>
      </c>
    </row>
    <row r="1532" spans="3:5" x14ac:dyDescent="0.35">
      <c r="C1532" s="1" t="s">
        <v>10024</v>
      </c>
      <c r="D1532" s="1" t="s">
        <v>42</v>
      </c>
      <c r="E1532" s="1">
        <v>3218.9389999999999</v>
      </c>
    </row>
    <row r="1533" spans="3:5" x14ac:dyDescent="0.35">
      <c r="C1533" s="1" t="s">
        <v>10023</v>
      </c>
      <c r="D1533" s="1" t="s">
        <v>42</v>
      </c>
      <c r="E1533" s="1">
        <v>3218.94</v>
      </c>
    </row>
    <row r="1534" spans="3:5" x14ac:dyDescent="0.35">
      <c r="C1534" s="1" t="s">
        <v>10022</v>
      </c>
      <c r="D1534" s="1" t="s">
        <v>42</v>
      </c>
      <c r="E1534" s="1">
        <v>3218.9409999999998</v>
      </c>
    </row>
    <row r="1535" spans="3:5" x14ac:dyDescent="0.35">
      <c r="C1535" s="1" t="s">
        <v>10021</v>
      </c>
      <c r="D1535" s="1" t="s">
        <v>42</v>
      </c>
      <c r="E1535" s="1">
        <v>3218.942</v>
      </c>
    </row>
    <row r="1536" spans="3:5" x14ac:dyDescent="0.35">
      <c r="C1536" s="1" t="s">
        <v>10032</v>
      </c>
      <c r="D1536" s="1" t="s">
        <v>57</v>
      </c>
      <c r="E1536" s="1">
        <v>3218.951</v>
      </c>
    </row>
    <row r="1537" spans="3:5" x14ac:dyDescent="0.35">
      <c r="C1537" s="1" t="s">
        <v>10031</v>
      </c>
      <c r="D1537" s="1" t="s">
        <v>42</v>
      </c>
      <c r="E1537" s="1">
        <v>3218.9520000000002</v>
      </c>
    </row>
    <row r="1538" spans="3:5" x14ac:dyDescent="0.35">
      <c r="C1538" s="1" t="s">
        <v>10030</v>
      </c>
      <c r="D1538" s="1" t="s">
        <v>42</v>
      </c>
      <c r="E1538" s="1">
        <v>3218.953</v>
      </c>
    </row>
    <row r="1539" spans="3:5" x14ac:dyDescent="0.35">
      <c r="C1539" s="1" t="s">
        <v>10029</v>
      </c>
      <c r="D1539" s="1" t="s">
        <v>42</v>
      </c>
      <c r="E1539" s="1">
        <v>3218.9540000000002</v>
      </c>
    </row>
    <row r="1540" spans="3:5" x14ac:dyDescent="0.35">
      <c r="C1540" s="1" t="s">
        <v>10028</v>
      </c>
      <c r="D1540" s="1" t="s">
        <v>42</v>
      </c>
      <c r="E1540" s="1">
        <v>3218.9549999999999</v>
      </c>
    </row>
    <row r="1541" spans="3:5" x14ac:dyDescent="0.35">
      <c r="C1541" s="1" t="s">
        <v>10027</v>
      </c>
      <c r="D1541" s="1" t="s">
        <v>42</v>
      </c>
      <c r="E1541" s="1">
        <v>3218.9560000000001</v>
      </c>
    </row>
    <row r="1542" spans="3:5" x14ac:dyDescent="0.35">
      <c r="C1542" s="1" t="s">
        <v>10026</v>
      </c>
      <c r="D1542" s="1" t="s">
        <v>42</v>
      </c>
      <c r="E1542" s="1">
        <v>3218.9569999999999</v>
      </c>
    </row>
    <row r="1543" spans="3:5" x14ac:dyDescent="0.35">
      <c r="C1543" s="1" t="s">
        <v>10025</v>
      </c>
      <c r="D1543" s="1" t="s">
        <v>42</v>
      </c>
      <c r="E1543" s="1">
        <v>3218.9580000000001</v>
      </c>
    </row>
    <row r="1544" spans="3:5" x14ac:dyDescent="0.35">
      <c r="C1544" s="1" t="s">
        <v>10024</v>
      </c>
      <c r="D1544" s="1" t="s">
        <v>42</v>
      </c>
      <c r="E1544" s="1">
        <v>3218.9589999999998</v>
      </c>
    </row>
    <row r="1545" spans="3:5" x14ac:dyDescent="0.35">
      <c r="C1545" s="1" t="s">
        <v>10023</v>
      </c>
      <c r="D1545" s="1" t="s">
        <v>42</v>
      </c>
      <c r="E1545" s="1">
        <v>3218.96</v>
      </c>
    </row>
    <row r="1546" spans="3:5" x14ac:dyDescent="0.35">
      <c r="C1546" s="1" t="s">
        <v>10022</v>
      </c>
      <c r="D1546" s="1" t="s">
        <v>42</v>
      </c>
      <c r="E1546" s="1">
        <v>3218.9609999999998</v>
      </c>
    </row>
    <row r="1547" spans="3:5" x14ac:dyDescent="0.35">
      <c r="C1547" s="1" t="s">
        <v>10021</v>
      </c>
      <c r="D1547" s="1" t="s">
        <v>42</v>
      </c>
      <c r="E1547" s="1">
        <v>3218.962</v>
      </c>
    </row>
    <row r="1548" spans="3:5" x14ac:dyDescent="0.35">
      <c r="C1548" s="1" t="s">
        <v>10037</v>
      </c>
      <c r="D1548" s="1" t="s">
        <v>42</v>
      </c>
      <c r="E1548" s="1">
        <v>3218.9650000000001</v>
      </c>
    </row>
    <row r="1549" spans="3:5" x14ac:dyDescent="0.35">
      <c r="C1549" s="1" t="s">
        <v>10036</v>
      </c>
      <c r="D1549" s="1" t="s">
        <v>57</v>
      </c>
      <c r="E1549" s="1">
        <v>3218.97</v>
      </c>
    </row>
    <row r="1550" spans="3:5" x14ac:dyDescent="0.35">
      <c r="C1550" s="1" t="s">
        <v>10035</v>
      </c>
      <c r="D1550" s="1" t="s">
        <v>57</v>
      </c>
      <c r="E1550" s="1">
        <v>3218.971</v>
      </c>
    </row>
    <row r="1551" spans="3:5" x14ac:dyDescent="0.35">
      <c r="C1551" s="1" t="s">
        <v>10031</v>
      </c>
      <c r="D1551" s="1" t="s">
        <v>42</v>
      </c>
      <c r="E1551" s="1">
        <v>3218.9720000000002</v>
      </c>
    </row>
    <row r="1552" spans="3:5" x14ac:dyDescent="0.35">
      <c r="C1552" s="1" t="s">
        <v>10030</v>
      </c>
      <c r="D1552" s="1" t="s">
        <v>42</v>
      </c>
      <c r="E1552" s="1">
        <v>3218.973</v>
      </c>
    </row>
    <row r="1553" spans="3:5" x14ac:dyDescent="0.35">
      <c r="C1553" s="1" t="s">
        <v>10029</v>
      </c>
      <c r="D1553" s="1" t="s">
        <v>42</v>
      </c>
      <c r="E1553" s="1">
        <v>3218.9740000000002</v>
      </c>
    </row>
    <row r="1554" spans="3:5" x14ac:dyDescent="0.35">
      <c r="C1554" s="1" t="s">
        <v>10028</v>
      </c>
      <c r="D1554" s="1" t="s">
        <v>42</v>
      </c>
      <c r="E1554" s="1">
        <v>3218.9749999999999</v>
      </c>
    </row>
    <row r="1555" spans="3:5" x14ac:dyDescent="0.35">
      <c r="C1555" s="1" t="s">
        <v>10027</v>
      </c>
      <c r="D1555" s="1" t="s">
        <v>42</v>
      </c>
      <c r="E1555" s="1">
        <v>3218.9760000000001</v>
      </c>
    </row>
    <row r="1556" spans="3:5" x14ac:dyDescent="0.35">
      <c r="C1556" s="1" t="s">
        <v>10026</v>
      </c>
      <c r="D1556" s="1" t="s">
        <v>42</v>
      </c>
      <c r="E1556" s="1">
        <v>3218.9769999999999</v>
      </c>
    </row>
    <row r="1557" spans="3:5" x14ac:dyDescent="0.35">
      <c r="C1557" s="1" t="s">
        <v>10025</v>
      </c>
      <c r="D1557" s="1" t="s">
        <v>42</v>
      </c>
      <c r="E1557" s="1">
        <v>3218.9780000000001</v>
      </c>
    </row>
    <row r="1558" spans="3:5" x14ac:dyDescent="0.35">
      <c r="C1558" s="1" t="s">
        <v>10024</v>
      </c>
      <c r="D1558" s="1" t="s">
        <v>42</v>
      </c>
      <c r="E1558" s="1">
        <v>3218.9789999999998</v>
      </c>
    </row>
    <row r="1559" spans="3:5" x14ac:dyDescent="0.35">
      <c r="C1559" s="1" t="s">
        <v>10023</v>
      </c>
      <c r="D1559" s="1" t="s">
        <v>42</v>
      </c>
      <c r="E1559" s="1">
        <v>3218.98</v>
      </c>
    </row>
    <row r="1560" spans="3:5" x14ac:dyDescent="0.35">
      <c r="C1560" s="1" t="s">
        <v>10022</v>
      </c>
      <c r="D1560" s="1" t="s">
        <v>42</v>
      </c>
      <c r="E1560" s="1">
        <v>3218.9810000000002</v>
      </c>
    </row>
    <row r="1561" spans="3:5" x14ac:dyDescent="0.35">
      <c r="C1561" s="1" t="s">
        <v>10021</v>
      </c>
      <c r="D1561" s="1" t="s">
        <v>42</v>
      </c>
      <c r="E1561" s="1">
        <v>3218.982</v>
      </c>
    </row>
    <row r="1562" spans="3:5" x14ac:dyDescent="0.35">
      <c r="C1562" s="1" t="s">
        <v>10034</v>
      </c>
      <c r="D1562" s="1" t="s">
        <v>57</v>
      </c>
      <c r="E1562" s="1">
        <v>3218.991</v>
      </c>
    </row>
    <row r="1563" spans="3:5" x14ac:dyDescent="0.35">
      <c r="C1563" s="1" t="s">
        <v>10031</v>
      </c>
      <c r="D1563" s="1" t="s">
        <v>42</v>
      </c>
      <c r="E1563" s="1">
        <v>3218.9920000000002</v>
      </c>
    </row>
    <row r="1564" spans="3:5" x14ac:dyDescent="0.35">
      <c r="C1564" s="1" t="s">
        <v>10030</v>
      </c>
      <c r="D1564" s="1" t="s">
        <v>42</v>
      </c>
      <c r="E1564" s="1">
        <v>3218.9929999999999</v>
      </c>
    </row>
    <row r="1565" spans="3:5" x14ac:dyDescent="0.35">
      <c r="C1565" s="1" t="s">
        <v>10029</v>
      </c>
      <c r="D1565" s="1" t="s">
        <v>42</v>
      </c>
      <c r="E1565" s="1">
        <v>3218.9940000000001</v>
      </c>
    </row>
    <row r="1566" spans="3:5" x14ac:dyDescent="0.35">
      <c r="C1566" s="1" t="s">
        <v>10028</v>
      </c>
      <c r="D1566" s="1" t="s">
        <v>42</v>
      </c>
      <c r="E1566" s="1">
        <v>3218.9949999999999</v>
      </c>
    </row>
    <row r="1567" spans="3:5" x14ac:dyDescent="0.35">
      <c r="C1567" s="1" t="s">
        <v>10027</v>
      </c>
      <c r="D1567" s="1" t="s">
        <v>42</v>
      </c>
      <c r="E1567" s="1">
        <v>3218.9960000000001</v>
      </c>
    </row>
    <row r="1568" spans="3:5" x14ac:dyDescent="0.35">
      <c r="C1568" s="1" t="s">
        <v>10026</v>
      </c>
      <c r="D1568" s="1" t="s">
        <v>42</v>
      </c>
      <c r="E1568" s="1">
        <v>3218.9969999999998</v>
      </c>
    </row>
    <row r="1569" spans="3:5" x14ac:dyDescent="0.35">
      <c r="C1569" s="1" t="s">
        <v>10025</v>
      </c>
      <c r="D1569" s="1" t="s">
        <v>42</v>
      </c>
      <c r="E1569" s="1">
        <v>3218.998</v>
      </c>
    </row>
    <row r="1570" spans="3:5" x14ac:dyDescent="0.35">
      <c r="C1570" s="1" t="s">
        <v>10024</v>
      </c>
      <c r="D1570" s="1" t="s">
        <v>42</v>
      </c>
      <c r="E1570" s="1">
        <v>3218.9989999999998</v>
      </c>
    </row>
    <row r="1571" spans="3:5" x14ac:dyDescent="0.35">
      <c r="C1571" s="1" t="s">
        <v>10023</v>
      </c>
      <c r="D1571" s="1" t="s">
        <v>42</v>
      </c>
      <c r="E1571" s="1">
        <v>3219</v>
      </c>
    </row>
    <row r="1572" spans="3:5" x14ac:dyDescent="0.35">
      <c r="C1572" s="1" t="s">
        <v>10022</v>
      </c>
      <c r="D1572" s="1" t="s">
        <v>42</v>
      </c>
      <c r="E1572" s="1">
        <v>3219.0010000000002</v>
      </c>
    </row>
    <row r="1573" spans="3:5" x14ac:dyDescent="0.35">
      <c r="C1573" s="1" t="s">
        <v>10021</v>
      </c>
      <c r="D1573" s="1" t="s">
        <v>42</v>
      </c>
      <c r="E1573" s="1">
        <v>3219.002</v>
      </c>
    </row>
    <row r="1574" spans="3:5" x14ac:dyDescent="0.35">
      <c r="C1574" s="1" t="s">
        <v>10033</v>
      </c>
      <c r="D1574" s="1" t="s">
        <v>57</v>
      </c>
      <c r="E1574" s="1">
        <v>3219.011</v>
      </c>
    </row>
    <row r="1575" spans="3:5" x14ac:dyDescent="0.35">
      <c r="C1575" s="1" t="s">
        <v>10031</v>
      </c>
      <c r="D1575" s="1" t="s">
        <v>42</v>
      </c>
      <c r="E1575" s="1">
        <v>3219.0120000000002</v>
      </c>
    </row>
    <row r="1576" spans="3:5" x14ac:dyDescent="0.35">
      <c r="C1576" s="1" t="s">
        <v>10030</v>
      </c>
      <c r="D1576" s="1" t="s">
        <v>42</v>
      </c>
      <c r="E1576" s="1">
        <v>3219.0129999999999</v>
      </c>
    </row>
    <row r="1577" spans="3:5" x14ac:dyDescent="0.35">
      <c r="C1577" s="1" t="s">
        <v>10029</v>
      </c>
      <c r="D1577" s="1" t="s">
        <v>42</v>
      </c>
      <c r="E1577" s="1">
        <v>3219.0140000000001</v>
      </c>
    </row>
    <row r="1578" spans="3:5" x14ac:dyDescent="0.35">
      <c r="C1578" s="1" t="s">
        <v>10028</v>
      </c>
      <c r="D1578" s="1" t="s">
        <v>42</v>
      </c>
      <c r="E1578" s="1">
        <v>3219.0149999999999</v>
      </c>
    </row>
    <row r="1579" spans="3:5" x14ac:dyDescent="0.35">
      <c r="C1579" s="1" t="s">
        <v>10027</v>
      </c>
      <c r="D1579" s="1" t="s">
        <v>42</v>
      </c>
      <c r="E1579" s="1">
        <v>3219.0160000000001</v>
      </c>
    </row>
    <row r="1580" spans="3:5" x14ac:dyDescent="0.35">
      <c r="C1580" s="1" t="s">
        <v>10026</v>
      </c>
      <c r="D1580" s="1" t="s">
        <v>42</v>
      </c>
      <c r="E1580" s="1">
        <v>3219.0169999999998</v>
      </c>
    </row>
    <row r="1581" spans="3:5" x14ac:dyDescent="0.35">
      <c r="C1581" s="1" t="s">
        <v>10025</v>
      </c>
      <c r="D1581" s="1" t="s">
        <v>42</v>
      </c>
      <c r="E1581" s="1">
        <v>3219.018</v>
      </c>
    </row>
    <row r="1582" spans="3:5" x14ac:dyDescent="0.35">
      <c r="C1582" s="1" t="s">
        <v>10024</v>
      </c>
      <c r="D1582" s="1" t="s">
        <v>42</v>
      </c>
      <c r="E1582" s="1">
        <v>3219.0189999999998</v>
      </c>
    </row>
    <row r="1583" spans="3:5" x14ac:dyDescent="0.35">
      <c r="C1583" s="1" t="s">
        <v>10023</v>
      </c>
      <c r="D1583" s="1" t="s">
        <v>42</v>
      </c>
      <c r="E1583" s="1">
        <v>3219.02</v>
      </c>
    </row>
    <row r="1584" spans="3:5" x14ac:dyDescent="0.35">
      <c r="C1584" s="1" t="s">
        <v>10022</v>
      </c>
      <c r="D1584" s="1" t="s">
        <v>42</v>
      </c>
      <c r="E1584" s="1">
        <v>3219.0210000000002</v>
      </c>
    </row>
    <row r="1585" spans="3:5" x14ac:dyDescent="0.35">
      <c r="C1585" s="1" t="s">
        <v>10021</v>
      </c>
      <c r="D1585" s="1" t="s">
        <v>42</v>
      </c>
      <c r="E1585" s="1">
        <v>3219.0219999999999</v>
      </c>
    </row>
    <row r="1586" spans="3:5" x14ac:dyDescent="0.35">
      <c r="C1586" s="1" t="s">
        <v>10032</v>
      </c>
      <c r="D1586" s="1" t="s">
        <v>57</v>
      </c>
      <c r="E1586" s="1">
        <v>3219.0309999999999</v>
      </c>
    </row>
    <row r="1587" spans="3:5" x14ac:dyDescent="0.35">
      <c r="C1587" s="1" t="s">
        <v>10031</v>
      </c>
      <c r="D1587" s="1" t="s">
        <v>42</v>
      </c>
      <c r="E1587" s="1">
        <v>3219.0320000000002</v>
      </c>
    </row>
    <row r="1588" spans="3:5" x14ac:dyDescent="0.35">
      <c r="C1588" s="1" t="s">
        <v>10030</v>
      </c>
      <c r="D1588" s="1" t="s">
        <v>42</v>
      </c>
      <c r="E1588" s="1">
        <v>3219.0329999999999</v>
      </c>
    </row>
    <row r="1589" spans="3:5" x14ac:dyDescent="0.35">
      <c r="C1589" s="1" t="s">
        <v>10029</v>
      </c>
      <c r="D1589" s="1" t="s">
        <v>42</v>
      </c>
      <c r="E1589" s="1">
        <v>3219.0340000000001</v>
      </c>
    </row>
    <row r="1590" spans="3:5" x14ac:dyDescent="0.35">
      <c r="C1590" s="1" t="s">
        <v>10028</v>
      </c>
      <c r="D1590" s="1" t="s">
        <v>42</v>
      </c>
      <c r="E1590" s="1">
        <v>3219.0349999999999</v>
      </c>
    </row>
    <row r="1591" spans="3:5" x14ac:dyDescent="0.35">
      <c r="C1591" s="1" t="s">
        <v>10027</v>
      </c>
      <c r="D1591" s="1" t="s">
        <v>42</v>
      </c>
      <c r="E1591" s="1">
        <v>3219.0360000000001</v>
      </c>
    </row>
    <row r="1592" spans="3:5" x14ac:dyDescent="0.35">
      <c r="C1592" s="1" t="s">
        <v>10026</v>
      </c>
      <c r="D1592" s="1" t="s">
        <v>42</v>
      </c>
      <c r="E1592" s="1">
        <v>3219.0369999999998</v>
      </c>
    </row>
    <row r="1593" spans="3:5" x14ac:dyDescent="0.35">
      <c r="C1593" s="1" t="s">
        <v>10025</v>
      </c>
      <c r="D1593" s="1" t="s">
        <v>42</v>
      </c>
      <c r="E1593" s="1">
        <v>3219.038</v>
      </c>
    </row>
    <row r="1594" spans="3:5" x14ac:dyDescent="0.35">
      <c r="C1594" s="1" t="s">
        <v>10024</v>
      </c>
      <c r="D1594" s="1" t="s">
        <v>42</v>
      </c>
      <c r="E1594" s="1">
        <v>3219.0390000000002</v>
      </c>
    </row>
    <row r="1595" spans="3:5" x14ac:dyDescent="0.35">
      <c r="C1595" s="1" t="s">
        <v>10023</v>
      </c>
      <c r="D1595" s="1" t="s">
        <v>42</v>
      </c>
      <c r="E1595" s="1">
        <v>3219.04</v>
      </c>
    </row>
    <row r="1596" spans="3:5" x14ac:dyDescent="0.35">
      <c r="C1596" s="1" t="s">
        <v>10022</v>
      </c>
      <c r="D1596" s="1" t="s">
        <v>42</v>
      </c>
      <c r="E1596" s="1">
        <v>3219.0410000000002</v>
      </c>
    </row>
    <row r="1597" spans="3:5" x14ac:dyDescent="0.35">
      <c r="C1597" s="1" t="s">
        <v>10021</v>
      </c>
      <c r="D1597" s="1" t="s">
        <v>42</v>
      </c>
      <c r="E1597" s="1">
        <v>3219.0419999999999</v>
      </c>
    </row>
    <row r="1598" spans="3:5" x14ac:dyDescent="0.35">
      <c r="C1598" s="1" t="s">
        <v>10020</v>
      </c>
      <c r="D1598" s="1" t="s">
        <v>42</v>
      </c>
      <c r="E1598" s="1">
        <v>3219.0450000000001</v>
      </c>
    </row>
    <row r="1599" spans="3:5" x14ac:dyDescent="0.35">
      <c r="C1599" s="1" t="s">
        <v>10019</v>
      </c>
      <c r="D1599" s="1" t="s">
        <v>42</v>
      </c>
      <c r="E1599" s="1">
        <v>3219.0610000000001</v>
      </c>
    </row>
    <row r="1600" spans="3:5" x14ac:dyDescent="0.35">
      <c r="C1600" s="1" t="s">
        <v>10018</v>
      </c>
      <c r="D1600" s="1" t="s">
        <v>42</v>
      </c>
      <c r="E1600" s="1">
        <v>3219.0619999999999</v>
      </c>
    </row>
    <row r="1601" spans="3:5" x14ac:dyDescent="0.35">
      <c r="C1601" s="1" t="s">
        <v>10017</v>
      </c>
      <c r="D1601" s="1" t="s">
        <v>42</v>
      </c>
      <c r="E1601" s="1">
        <v>3219.0630000000001</v>
      </c>
    </row>
    <row r="1602" spans="3:5" x14ac:dyDescent="0.35">
      <c r="C1602" s="1" t="s">
        <v>10016</v>
      </c>
      <c r="D1602" s="1" t="s">
        <v>42</v>
      </c>
      <c r="E1602" s="1">
        <v>3219.0639999999999</v>
      </c>
    </row>
    <row r="1603" spans="3:5" x14ac:dyDescent="0.35">
      <c r="C1603" s="1" t="s">
        <v>10015</v>
      </c>
      <c r="D1603" s="1" t="s">
        <v>42</v>
      </c>
      <c r="E1603" s="1">
        <v>3219.0650000000001</v>
      </c>
    </row>
    <row r="1604" spans="3:5" x14ac:dyDescent="0.35">
      <c r="C1604" s="1" t="s">
        <v>10014</v>
      </c>
      <c r="D1604" s="1" t="s">
        <v>42</v>
      </c>
      <c r="E1604" s="1">
        <v>3219.0659999999998</v>
      </c>
    </row>
    <row r="1605" spans="3:5" x14ac:dyDescent="0.35">
      <c r="C1605" s="1" t="s">
        <v>10013</v>
      </c>
      <c r="D1605" s="1" t="s">
        <v>42</v>
      </c>
      <c r="E1605" s="1">
        <v>3219.067</v>
      </c>
    </row>
    <row r="1606" spans="3:5" x14ac:dyDescent="0.35">
      <c r="C1606" s="1" t="s">
        <v>10012</v>
      </c>
      <c r="D1606" s="1" t="s">
        <v>42</v>
      </c>
      <c r="E1606" s="1">
        <v>3219.0680000000002</v>
      </c>
    </row>
    <row r="1607" spans="3:5" x14ac:dyDescent="0.35">
      <c r="C1607" s="1" t="s">
        <v>10011</v>
      </c>
      <c r="D1607" s="1" t="s">
        <v>42</v>
      </c>
      <c r="E1607" s="1">
        <v>3219.069</v>
      </c>
    </row>
    <row r="1608" spans="3:5" x14ac:dyDescent="0.35">
      <c r="C1608" s="1" t="s">
        <v>10010</v>
      </c>
      <c r="D1608" s="1" t="s">
        <v>42</v>
      </c>
      <c r="E1608" s="1">
        <v>3219.07</v>
      </c>
    </row>
    <row r="1609" spans="3:5" x14ac:dyDescent="0.35">
      <c r="C1609" s="1" t="s">
        <v>10009</v>
      </c>
      <c r="D1609" s="1" t="s">
        <v>42</v>
      </c>
      <c r="E1609" s="1">
        <v>3219.0709999999999</v>
      </c>
    </row>
    <row r="1610" spans="3:5" x14ac:dyDescent="0.35">
      <c r="C1610" s="1" t="s">
        <v>10008</v>
      </c>
      <c r="D1610" s="1" t="s">
        <v>42</v>
      </c>
      <c r="E1610" s="1">
        <v>3219.08</v>
      </c>
    </row>
    <row r="1611" spans="3:5" x14ac:dyDescent="0.35">
      <c r="C1611" s="1" t="s">
        <v>10007</v>
      </c>
      <c r="D1611" s="1" t="s">
        <v>42</v>
      </c>
      <c r="E1611" s="1">
        <v>3219.0810000000001</v>
      </c>
    </row>
    <row r="1612" spans="3:5" x14ac:dyDescent="0.35">
      <c r="C1612" s="1" t="s">
        <v>10006</v>
      </c>
      <c r="D1612" s="1" t="s">
        <v>42</v>
      </c>
      <c r="E1612" s="1">
        <v>3219.0819999999999</v>
      </c>
    </row>
    <row r="1613" spans="3:5" x14ac:dyDescent="0.35">
      <c r="C1613" s="1" t="s">
        <v>10005</v>
      </c>
      <c r="D1613" s="1" t="s">
        <v>42</v>
      </c>
      <c r="E1613" s="1">
        <v>3219.0830000000001</v>
      </c>
    </row>
    <row r="1614" spans="3:5" x14ac:dyDescent="0.35">
      <c r="C1614" s="1" t="s">
        <v>10004</v>
      </c>
      <c r="D1614" s="1" t="s">
        <v>42</v>
      </c>
      <c r="E1614" s="1">
        <v>3219.201</v>
      </c>
    </row>
    <row r="1615" spans="3:5" x14ac:dyDescent="0.35">
      <c r="C1615" s="1" t="s">
        <v>10003</v>
      </c>
      <c r="D1615" s="1" t="s">
        <v>42</v>
      </c>
      <c r="E1615" s="1">
        <v>3219.2020000000002</v>
      </c>
    </row>
    <row r="1616" spans="3:5" x14ac:dyDescent="0.35">
      <c r="C1616" s="1" t="s">
        <v>10002</v>
      </c>
      <c r="D1616" s="1" t="s">
        <v>42</v>
      </c>
      <c r="E1616" s="1">
        <v>3219.203</v>
      </c>
    </row>
    <row r="1617" spans="3:5" x14ac:dyDescent="0.35">
      <c r="C1617" s="1" t="s">
        <v>10001</v>
      </c>
      <c r="D1617" s="1" t="s">
        <v>42</v>
      </c>
      <c r="E1617" s="1">
        <v>3219.2040000000002</v>
      </c>
    </row>
    <row r="1618" spans="3:5" x14ac:dyDescent="0.35">
      <c r="C1618" s="1" t="s">
        <v>10000</v>
      </c>
      <c r="D1618" s="1" t="s">
        <v>42</v>
      </c>
      <c r="E1618" s="1">
        <v>3219.2049999999999</v>
      </c>
    </row>
    <row r="1619" spans="3:5" x14ac:dyDescent="0.35">
      <c r="C1619" s="1" t="s">
        <v>9999</v>
      </c>
      <c r="D1619" s="1" t="s">
        <v>42</v>
      </c>
      <c r="E1619" s="1">
        <v>3219.2060000000001</v>
      </c>
    </row>
    <row r="1620" spans="3:5" x14ac:dyDescent="0.35">
      <c r="C1620" s="1" t="s">
        <v>9998</v>
      </c>
      <c r="D1620" s="1" t="s">
        <v>42</v>
      </c>
      <c r="E1620" s="1">
        <v>3219.2069999999999</v>
      </c>
    </row>
    <row r="1621" spans="3:5" x14ac:dyDescent="0.35">
      <c r="C1621" s="1" t="s">
        <v>9997</v>
      </c>
      <c r="D1621" s="1" t="s">
        <v>42</v>
      </c>
      <c r="E1621" s="1">
        <v>3219.2080000000001</v>
      </c>
    </row>
    <row r="1622" spans="3:5" x14ac:dyDescent="0.35">
      <c r="C1622" s="1" t="s">
        <v>9996</v>
      </c>
      <c r="D1622" s="1" t="s">
        <v>42</v>
      </c>
      <c r="E1622" s="1">
        <v>3219.5010000000002</v>
      </c>
    </row>
    <row r="1623" spans="3:5" x14ac:dyDescent="0.35">
      <c r="C1623" s="1" t="s">
        <v>9995</v>
      </c>
      <c r="D1623" s="1" t="s">
        <v>42</v>
      </c>
      <c r="E1623" s="1">
        <v>3219.502</v>
      </c>
    </row>
    <row r="1624" spans="3:5" x14ac:dyDescent="0.35">
      <c r="C1624" s="1" t="s">
        <v>9994</v>
      </c>
      <c r="D1624" s="1" t="s">
        <v>42</v>
      </c>
      <c r="E1624" s="1">
        <v>3219.5030000000002</v>
      </c>
    </row>
    <row r="1625" spans="3:5" x14ac:dyDescent="0.35">
      <c r="C1625" s="1" t="s">
        <v>9993</v>
      </c>
      <c r="D1625" s="1" t="s">
        <v>42</v>
      </c>
      <c r="E1625" s="1">
        <v>3219.5039999999999</v>
      </c>
    </row>
    <row r="1626" spans="3:5" x14ac:dyDescent="0.35">
      <c r="C1626" s="1" t="s">
        <v>9992</v>
      </c>
      <c r="D1626" s="1" t="s">
        <v>42</v>
      </c>
      <c r="E1626" s="1">
        <v>3219.5050000000001</v>
      </c>
    </row>
    <row r="1627" spans="3:5" x14ac:dyDescent="0.35">
      <c r="C1627" s="1" t="s">
        <v>9991</v>
      </c>
      <c r="D1627" s="1" t="s">
        <v>42</v>
      </c>
      <c r="E1627" s="1">
        <v>3219.5059999999999</v>
      </c>
    </row>
    <row r="1628" spans="3:5" x14ac:dyDescent="0.35">
      <c r="C1628" s="1" t="s">
        <v>9990</v>
      </c>
      <c r="D1628" s="1" t="s">
        <v>42</v>
      </c>
      <c r="E1628" s="1">
        <v>3219.5070000000001</v>
      </c>
    </row>
    <row r="1629" spans="3:5" x14ac:dyDescent="0.35">
      <c r="C1629" s="1" t="s">
        <v>9989</v>
      </c>
      <c r="D1629" s="1" t="s">
        <v>42</v>
      </c>
      <c r="E1629" s="1">
        <v>3219.5079999999998</v>
      </c>
    </row>
    <row r="1630" spans="3:5" x14ac:dyDescent="0.35">
      <c r="C1630" s="1" t="s">
        <v>9988</v>
      </c>
      <c r="D1630" s="1" t="s">
        <v>42</v>
      </c>
      <c r="E1630" s="1">
        <v>3219.509</v>
      </c>
    </row>
    <row r="1631" spans="3:5" x14ac:dyDescent="0.35">
      <c r="C1631" s="1" t="s">
        <v>9987</v>
      </c>
      <c r="D1631" s="1" t="s">
        <v>42</v>
      </c>
      <c r="E1631" s="1">
        <v>3219.51</v>
      </c>
    </row>
    <row r="1632" spans="3:5" x14ac:dyDescent="0.35">
      <c r="C1632" s="1" t="s">
        <v>9986</v>
      </c>
      <c r="D1632" s="1" t="s">
        <v>57</v>
      </c>
      <c r="E1632" s="1">
        <v>3219.6010000000001</v>
      </c>
    </row>
    <row r="1633" spans="3:5" x14ac:dyDescent="0.35">
      <c r="C1633" s="1" t="s">
        <v>9985</v>
      </c>
      <c r="D1633" s="1" t="s">
        <v>19</v>
      </c>
      <c r="E1633" s="1">
        <v>3219.6019999999999</v>
      </c>
    </row>
    <row r="1634" spans="3:5" x14ac:dyDescent="0.35">
      <c r="C1634" s="1" t="s">
        <v>9984</v>
      </c>
      <c r="D1634" s="1" t="s">
        <v>19</v>
      </c>
      <c r="E1634" s="1">
        <v>3219.6030000000001</v>
      </c>
    </row>
    <row r="1635" spans="3:5" x14ac:dyDescent="0.35">
      <c r="C1635" s="1" t="s">
        <v>9983</v>
      </c>
      <c r="D1635" s="1" t="s">
        <v>19</v>
      </c>
      <c r="E1635" s="1">
        <v>3219.6219999999998</v>
      </c>
    </row>
    <row r="1636" spans="3:5" x14ac:dyDescent="0.35">
      <c r="C1636" s="1" t="s">
        <v>9982</v>
      </c>
      <c r="D1636" s="1" t="s">
        <v>19</v>
      </c>
      <c r="E1636" s="1">
        <v>3219.623</v>
      </c>
    </row>
    <row r="1637" spans="3:5" x14ac:dyDescent="0.35">
      <c r="C1637" s="1" t="s">
        <v>9981</v>
      </c>
      <c r="D1637" s="1" t="s">
        <v>18</v>
      </c>
      <c r="E1637" s="1">
        <v>3219.6419999999998</v>
      </c>
    </row>
    <row r="1638" spans="3:5" x14ac:dyDescent="0.35">
      <c r="C1638" s="1" t="s">
        <v>9980</v>
      </c>
      <c r="D1638" s="1" t="s">
        <v>18</v>
      </c>
      <c r="E1638" s="1">
        <v>3219.643</v>
      </c>
    </row>
    <row r="1639" spans="3:5" x14ac:dyDescent="0.35">
      <c r="C1639" s="1" t="s">
        <v>9979</v>
      </c>
      <c r="D1639" s="1" t="s">
        <v>18</v>
      </c>
      <c r="E1639" s="1">
        <v>3219.6619999999998</v>
      </c>
    </row>
    <row r="1640" spans="3:5" x14ac:dyDescent="0.35">
      <c r="C1640" s="1" t="s">
        <v>9978</v>
      </c>
      <c r="D1640" s="1" t="s">
        <v>18</v>
      </c>
      <c r="E1640" s="1">
        <v>3219.663</v>
      </c>
    </row>
    <row r="1641" spans="3:5" x14ac:dyDescent="0.35">
      <c r="C1641" s="1" t="s">
        <v>9977</v>
      </c>
      <c r="D1641" s="1" t="s">
        <v>18</v>
      </c>
      <c r="E1641" s="1">
        <v>3219.6819999999998</v>
      </c>
    </row>
    <row r="1642" spans="3:5" x14ac:dyDescent="0.35">
      <c r="C1642" s="1" t="s">
        <v>9976</v>
      </c>
      <c r="D1642" s="1" t="s">
        <v>18</v>
      </c>
      <c r="E1642" s="1">
        <v>3219.683</v>
      </c>
    </row>
    <row r="1643" spans="3:5" x14ac:dyDescent="0.35">
      <c r="C1643" s="1" t="s">
        <v>9975</v>
      </c>
      <c r="D1643" s="1" t="s">
        <v>18</v>
      </c>
      <c r="E1643" s="1">
        <v>3219.6840000000002</v>
      </c>
    </row>
    <row r="1644" spans="3:5" x14ac:dyDescent="0.35">
      <c r="C1644" s="1" t="s">
        <v>9974</v>
      </c>
      <c r="D1644" s="1" t="s">
        <v>18</v>
      </c>
      <c r="E1644" s="1">
        <v>3219.6849999999999</v>
      </c>
    </row>
    <row r="1645" spans="3:5" x14ac:dyDescent="0.35">
      <c r="C1645" s="1" t="s">
        <v>9973</v>
      </c>
      <c r="D1645" s="1" t="s">
        <v>19</v>
      </c>
      <c r="E1645" s="1">
        <v>3219.7020000000002</v>
      </c>
    </row>
    <row r="1646" spans="3:5" x14ac:dyDescent="0.35">
      <c r="C1646" s="1" t="s">
        <v>9972</v>
      </c>
      <c r="D1646" s="1" t="s">
        <v>19</v>
      </c>
      <c r="E1646" s="1">
        <v>3219.703</v>
      </c>
    </row>
    <row r="1647" spans="3:5" x14ac:dyDescent="0.35">
      <c r="C1647" s="1" t="s">
        <v>9971</v>
      </c>
      <c r="D1647" s="1" t="s">
        <v>19</v>
      </c>
      <c r="E1647" s="1">
        <v>3219.7040000000002</v>
      </c>
    </row>
    <row r="1648" spans="3:5" x14ac:dyDescent="0.35">
      <c r="C1648" s="1" t="s">
        <v>9970</v>
      </c>
      <c r="D1648" s="1" t="s">
        <v>19</v>
      </c>
      <c r="E1648" s="1">
        <v>3219.7049999999999</v>
      </c>
    </row>
    <row r="1649" spans="3:5" x14ac:dyDescent="0.35">
      <c r="C1649" s="1" t="s">
        <v>9969</v>
      </c>
      <c r="D1649" s="1" t="s">
        <v>19</v>
      </c>
      <c r="E1649" s="1">
        <v>3219.712</v>
      </c>
    </row>
    <row r="1650" spans="3:5" x14ac:dyDescent="0.35">
      <c r="C1650" s="1" t="s">
        <v>9968</v>
      </c>
      <c r="D1650" s="1" t="s">
        <v>19</v>
      </c>
      <c r="E1650" s="1">
        <v>3219.7130000000002</v>
      </c>
    </row>
    <row r="1651" spans="3:5" x14ac:dyDescent="0.35">
      <c r="C1651" s="1" t="s">
        <v>9967</v>
      </c>
      <c r="D1651" s="1" t="s">
        <v>19</v>
      </c>
      <c r="E1651" s="1">
        <v>3219.7139999999999</v>
      </c>
    </row>
    <row r="1652" spans="3:5" x14ac:dyDescent="0.35">
      <c r="C1652" s="1" t="s">
        <v>9966</v>
      </c>
      <c r="D1652" s="1" t="s">
        <v>19</v>
      </c>
      <c r="E1652" s="1">
        <v>3219.7150000000001</v>
      </c>
    </row>
    <row r="1653" spans="3:5" x14ac:dyDescent="0.35">
      <c r="C1653" s="1" t="s">
        <v>9965</v>
      </c>
      <c r="D1653" s="1" t="s">
        <v>57</v>
      </c>
      <c r="E1653" s="1">
        <v>3219.75</v>
      </c>
    </row>
    <row r="1654" spans="3:5" x14ac:dyDescent="0.35">
      <c r="C1654" s="1" t="s">
        <v>9964</v>
      </c>
      <c r="D1654" s="1" t="s">
        <v>18</v>
      </c>
      <c r="E1654" s="1">
        <v>3219.7510000000002</v>
      </c>
    </row>
    <row r="1655" spans="3:5" x14ac:dyDescent="0.35">
      <c r="C1655" s="1" t="s">
        <v>9963</v>
      </c>
      <c r="D1655" s="1" t="s">
        <v>18</v>
      </c>
      <c r="E1655" s="1">
        <v>3219.752</v>
      </c>
    </row>
    <row r="1656" spans="3:5" x14ac:dyDescent="0.35">
      <c r="C1656" s="1" t="s">
        <v>9962</v>
      </c>
      <c r="D1656" s="1" t="s">
        <v>18</v>
      </c>
      <c r="E1656" s="1">
        <v>3219.7530000000002</v>
      </c>
    </row>
    <row r="1657" spans="3:5" x14ac:dyDescent="0.35">
      <c r="C1657" s="1" t="s">
        <v>9961</v>
      </c>
      <c r="D1657" s="1" t="s">
        <v>18</v>
      </c>
      <c r="E1657" s="1">
        <v>3219.7539999999999</v>
      </c>
    </row>
    <row r="1658" spans="3:5" x14ac:dyDescent="0.35">
      <c r="C1658" s="1" t="s">
        <v>9960</v>
      </c>
      <c r="D1658" s="1" t="s">
        <v>62</v>
      </c>
      <c r="E1658" s="1">
        <v>3219.7579999999998</v>
      </c>
    </row>
    <row r="1659" spans="3:5" x14ac:dyDescent="0.35">
      <c r="C1659" s="1" t="s">
        <v>9959</v>
      </c>
      <c r="D1659" s="1" t="s">
        <v>9958</v>
      </c>
      <c r="E1659" s="1">
        <v>3219.76</v>
      </c>
    </row>
    <row r="1660" spans="3:5" x14ac:dyDescent="0.35">
      <c r="C1660" s="1" t="s">
        <v>9957</v>
      </c>
      <c r="D1660" s="1" t="s">
        <v>18</v>
      </c>
      <c r="E1660" s="1">
        <v>3219.77</v>
      </c>
    </row>
    <row r="1661" spans="3:5" x14ac:dyDescent="0.35">
      <c r="C1661" s="1" t="s">
        <v>9956</v>
      </c>
      <c r="D1661" s="1" t="s">
        <v>18</v>
      </c>
      <c r="E1661" s="1">
        <v>3219.7710000000002</v>
      </c>
    </row>
    <row r="1662" spans="3:5" x14ac:dyDescent="0.35">
      <c r="C1662" s="1" t="s">
        <v>9955</v>
      </c>
      <c r="D1662" s="1" t="s">
        <v>18</v>
      </c>
      <c r="E1662" s="1">
        <v>3219.7719999999999</v>
      </c>
    </row>
    <row r="1663" spans="3:5" x14ac:dyDescent="0.35">
      <c r="C1663" s="1" t="s">
        <v>9954</v>
      </c>
      <c r="D1663" s="1" t="s">
        <v>18</v>
      </c>
      <c r="E1663" s="1">
        <v>3219.7730000000001</v>
      </c>
    </row>
    <row r="1664" spans="3:5" x14ac:dyDescent="0.35">
      <c r="C1664" s="1" t="s">
        <v>9953</v>
      </c>
      <c r="D1664" s="1" t="s">
        <v>18</v>
      </c>
      <c r="E1664" s="1">
        <v>3219.7739999999999</v>
      </c>
    </row>
    <row r="1665" spans="3:5" x14ac:dyDescent="0.35">
      <c r="C1665" s="1" t="s">
        <v>9952</v>
      </c>
      <c r="D1665" s="1" t="s">
        <v>18</v>
      </c>
      <c r="E1665" s="1">
        <v>3219.7750000000001</v>
      </c>
    </row>
    <row r="1666" spans="3:5" x14ac:dyDescent="0.35">
      <c r="C1666" s="1" t="s">
        <v>9951</v>
      </c>
      <c r="D1666" s="1" t="s">
        <v>18</v>
      </c>
      <c r="E1666" s="1">
        <v>3219.7759999999998</v>
      </c>
    </row>
    <row r="1667" spans="3:5" x14ac:dyDescent="0.35">
      <c r="C1667" s="1" t="s">
        <v>9950</v>
      </c>
      <c r="D1667" s="1" t="s">
        <v>18</v>
      </c>
      <c r="E1667" s="1">
        <v>3219.777</v>
      </c>
    </row>
    <row r="1668" spans="3:5" x14ac:dyDescent="0.35">
      <c r="C1668" s="1" t="s">
        <v>9949</v>
      </c>
      <c r="D1668" s="1" t="s">
        <v>18</v>
      </c>
      <c r="E1668" s="1">
        <v>3219.7779999999998</v>
      </c>
    </row>
    <row r="1669" spans="3:5" x14ac:dyDescent="0.35">
      <c r="C1669" s="1" t="s">
        <v>9948</v>
      </c>
      <c r="D1669" s="1" t="s">
        <v>18</v>
      </c>
      <c r="E1669" s="1">
        <v>3219.779</v>
      </c>
    </row>
    <row r="1670" spans="3:5" x14ac:dyDescent="0.35">
      <c r="C1670" s="1" t="s">
        <v>9947</v>
      </c>
      <c r="D1670" s="1" t="s">
        <v>18</v>
      </c>
      <c r="E1670" s="1">
        <v>3219.78</v>
      </c>
    </row>
    <row r="1671" spans="3:5" x14ac:dyDescent="0.35">
      <c r="C1671" s="1" t="s">
        <v>9946</v>
      </c>
      <c r="D1671" s="1" t="s">
        <v>18</v>
      </c>
      <c r="E1671" s="1">
        <v>3219.7809999999999</v>
      </c>
    </row>
    <row r="1672" spans="3:5" x14ac:dyDescent="0.35">
      <c r="C1672" s="1" t="s">
        <v>9945</v>
      </c>
      <c r="D1672" s="1" t="s">
        <v>18</v>
      </c>
      <c r="E1672" s="1">
        <v>3219.7820000000002</v>
      </c>
    </row>
    <row r="1673" spans="3:5" x14ac:dyDescent="0.35">
      <c r="C1673" s="1" t="s">
        <v>9944</v>
      </c>
      <c r="D1673" s="1" t="s">
        <v>66</v>
      </c>
      <c r="E1673" s="1">
        <v>3219.7890000000002</v>
      </c>
    </row>
    <row r="1674" spans="3:5" x14ac:dyDescent="0.35">
      <c r="C1674" s="1" t="s">
        <v>9943</v>
      </c>
      <c r="D1674" s="1" t="s">
        <v>19</v>
      </c>
      <c r="E1674" s="1">
        <v>3219.79</v>
      </c>
    </row>
    <row r="1675" spans="3:5" x14ac:dyDescent="0.35">
      <c r="C1675" s="1" t="s">
        <v>9942</v>
      </c>
      <c r="D1675" s="1" t="s">
        <v>42</v>
      </c>
      <c r="E1675" s="1">
        <v>3219.7950000000001</v>
      </c>
    </row>
    <row r="1676" spans="3:5" x14ac:dyDescent="0.35">
      <c r="C1676" s="1" t="s">
        <v>9941</v>
      </c>
      <c r="D1676" s="1" t="s">
        <v>42</v>
      </c>
      <c r="E1676" s="1">
        <v>3219.8</v>
      </c>
    </row>
    <row r="1677" spans="3:5" x14ac:dyDescent="0.35">
      <c r="C1677" s="1" t="s">
        <v>9940</v>
      </c>
      <c r="D1677" s="1" t="s">
        <v>42</v>
      </c>
      <c r="E1677" s="1">
        <v>3219.99</v>
      </c>
    </row>
    <row r="1678" spans="3:5" x14ac:dyDescent="0.35">
      <c r="C1678" s="1" t="s">
        <v>9360</v>
      </c>
      <c r="D1678" s="1" t="s">
        <v>1692</v>
      </c>
      <c r="E1678" s="1">
        <v>3220.01</v>
      </c>
    </row>
    <row r="1679" spans="3:5" x14ac:dyDescent="0.35">
      <c r="C1679" s="1" t="s">
        <v>9359</v>
      </c>
      <c r="D1679" s="1" t="s">
        <v>1692</v>
      </c>
      <c r="E1679" s="1">
        <v>3220.011</v>
      </c>
    </row>
    <row r="1680" spans="3:5" x14ac:dyDescent="0.35">
      <c r="C1680" s="1" t="s">
        <v>9358</v>
      </c>
      <c r="D1680" s="1" t="s">
        <v>1692</v>
      </c>
      <c r="E1680" s="1">
        <v>3220.0120000000002</v>
      </c>
    </row>
    <row r="1681" spans="3:5" x14ac:dyDescent="0.35">
      <c r="C1681" s="1" t="s">
        <v>9357</v>
      </c>
      <c r="D1681" s="1" t="s">
        <v>1692</v>
      </c>
      <c r="E1681" s="1">
        <v>3220.0129999999999</v>
      </c>
    </row>
    <row r="1682" spans="3:5" x14ac:dyDescent="0.35">
      <c r="C1682" s="1" t="s">
        <v>9939</v>
      </c>
      <c r="D1682" s="1" t="s">
        <v>64</v>
      </c>
      <c r="E1682" s="1">
        <v>3220.0210000000002</v>
      </c>
    </row>
    <row r="1683" spans="3:5" x14ac:dyDescent="0.35">
      <c r="C1683" s="1" t="s">
        <v>9938</v>
      </c>
      <c r="D1683" s="1" t="s">
        <v>64</v>
      </c>
      <c r="E1683" s="1">
        <v>3220.0219999999999</v>
      </c>
    </row>
    <row r="1684" spans="3:5" x14ac:dyDescent="0.35">
      <c r="C1684" s="1" t="s">
        <v>9937</v>
      </c>
      <c r="D1684" s="1" t="s">
        <v>64</v>
      </c>
      <c r="E1684" s="1">
        <v>3220.0230000000001</v>
      </c>
    </row>
    <row r="1685" spans="3:5" x14ac:dyDescent="0.35">
      <c r="C1685" s="1" t="s">
        <v>9936</v>
      </c>
      <c r="D1685" s="1" t="s">
        <v>64</v>
      </c>
      <c r="E1685" s="1">
        <v>3220.03</v>
      </c>
    </row>
    <row r="1686" spans="3:5" x14ac:dyDescent="0.35">
      <c r="C1686" s="1" t="s">
        <v>9935</v>
      </c>
      <c r="D1686" s="1" t="s">
        <v>64</v>
      </c>
      <c r="E1686" s="1">
        <v>3220.0309999999999</v>
      </c>
    </row>
    <row r="1687" spans="3:5" x14ac:dyDescent="0.35">
      <c r="C1687" s="1" t="s">
        <v>9934</v>
      </c>
      <c r="D1687" s="1" t="s">
        <v>64</v>
      </c>
      <c r="E1687" s="1">
        <v>3220.0320000000002</v>
      </c>
    </row>
    <row r="1688" spans="3:5" x14ac:dyDescent="0.35">
      <c r="C1688" s="1" t="s">
        <v>9933</v>
      </c>
      <c r="D1688" s="1" t="s">
        <v>1692</v>
      </c>
      <c r="E1688" s="1">
        <v>3229.8</v>
      </c>
    </row>
    <row r="1689" spans="3:5" x14ac:dyDescent="0.35">
      <c r="C1689" s="1" t="s">
        <v>9932</v>
      </c>
      <c r="D1689" s="1" t="s">
        <v>66</v>
      </c>
      <c r="E1689" s="1">
        <v>3240.011</v>
      </c>
    </row>
    <row r="1690" spans="3:5" x14ac:dyDescent="0.35">
      <c r="C1690" s="1" t="s">
        <v>9931</v>
      </c>
      <c r="D1690" s="1" t="s">
        <v>66</v>
      </c>
      <c r="E1690" s="1">
        <v>3240.02</v>
      </c>
    </row>
    <row r="1691" spans="3:5" x14ac:dyDescent="0.35">
      <c r="C1691" s="1" t="s">
        <v>9930</v>
      </c>
      <c r="D1691" s="1" t="s">
        <v>66</v>
      </c>
      <c r="E1691" s="1">
        <v>3240.0210000000002</v>
      </c>
    </row>
    <row r="1692" spans="3:5" x14ac:dyDescent="0.35">
      <c r="C1692" s="1" t="s">
        <v>9929</v>
      </c>
      <c r="D1692" s="1" t="s">
        <v>66</v>
      </c>
      <c r="E1692" s="1">
        <v>3240.0219999999999</v>
      </c>
    </row>
    <row r="1693" spans="3:5" x14ac:dyDescent="0.35">
      <c r="C1693" s="1" t="s">
        <v>9928</v>
      </c>
      <c r="D1693" s="1" t="s">
        <v>66</v>
      </c>
      <c r="E1693" s="1">
        <v>3240.0230000000001</v>
      </c>
    </row>
    <row r="1694" spans="3:5" x14ac:dyDescent="0.35">
      <c r="C1694" s="1" t="s">
        <v>9927</v>
      </c>
      <c r="D1694" s="1" t="s">
        <v>66</v>
      </c>
      <c r="E1694" s="1">
        <v>3240.0239999999999</v>
      </c>
    </row>
    <row r="1695" spans="3:5" x14ac:dyDescent="0.35">
      <c r="C1695" s="1" t="s">
        <v>9926</v>
      </c>
      <c r="D1695" s="1" t="s">
        <v>66</v>
      </c>
      <c r="E1695" s="1">
        <v>3240.0250000000001</v>
      </c>
    </row>
    <row r="1696" spans="3:5" x14ac:dyDescent="0.35">
      <c r="C1696" s="1" t="s">
        <v>9925</v>
      </c>
      <c r="D1696" s="1" t="s">
        <v>66</v>
      </c>
      <c r="E1696" s="1">
        <v>3240.0259999999998</v>
      </c>
    </row>
    <row r="1697" spans="3:5" x14ac:dyDescent="0.35">
      <c r="C1697" s="1" t="s">
        <v>9924</v>
      </c>
      <c r="D1697" s="1" t="s">
        <v>66</v>
      </c>
      <c r="E1697" s="1">
        <v>3249.9009999999998</v>
      </c>
    </row>
    <row r="1698" spans="3:5" x14ac:dyDescent="0.35">
      <c r="C1698" s="1" t="s">
        <v>9923</v>
      </c>
      <c r="D1698" s="1" t="s">
        <v>57</v>
      </c>
      <c r="E1698" s="1">
        <v>3250.01</v>
      </c>
    </row>
    <row r="1699" spans="3:5" x14ac:dyDescent="0.35">
      <c r="C1699" s="1" t="s">
        <v>9922</v>
      </c>
      <c r="D1699" s="1" t="s">
        <v>57</v>
      </c>
      <c r="E1699" s="1">
        <v>3250.011</v>
      </c>
    </row>
    <row r="1700" spans="3:5" x14ac:dyDescent="0.35">
      <c r="C1700" s="1" t="s">
        <v>9909</v>
      </c>
      <c r="D1700" s="1" t="s">
        <v>66</v>
      </c>
      <c r="E1700" s="1">
        <v>3250.0120000000002</v>
      </c>
    </row>
    <row r="1701" spans="3:5" x14ac:dyDescent="0.35">
      <c r="C1701" s="1" t="s">
        <v>9908</v>
      </c>
      <c r="D1701" s="1" t="s">
        <v>66</v>
      </c>
      <c r="E1701" s="1">
        <v>3250.0129999999999</v>
      </c>
    </row>
    <row r="1702" spans="3:5" x14ac:dyDescent="0.35">
      <c r="C1702" s="1" t="s">
        <v>9907</v>
      </c>
      <c r="D1702" s="1" t="s">
        <v>66</v>
      </c>
      <c r="E1702" s="1">
        <v>3250.0140000000001</v>
      </c>
    </row>
    <row r="1703" spans="3:5" x14ac:dyDescent="0.35">
      <c r="C1703" s="1" t="s">
        <v>9921</v>
      </c>
      <c r="D1703" s="1" t="s">
        <v>57</v>
      </c>
      <c r="E1703" s="1">
        <v>3250.0149999999999</v>
      </c>
    </row>
    <row r="1704" spans="3:5" x14ac:dyDescent="0.35">
      <c r="C1704" s="1" t="s">
        <v>9909</v>
      </c>
      <c r="D1704" s="1" t="s">
        <v>66</v>
      </c>
      <c r="E1704" s="1">
        <v>3250.0160000000001</v>
      </c>
    </row>
    <row r="1705" spans="3:5" x14ac:dyDescent="0.35">
      <c r="C1705" s="1" t="s">
        <v>9908</v>
      </c>
      <c r="D1705" s="1" t="s">
        <v>66</v>
      </c>
      <c r="E1705" s="1">
        <v>3250.0169999999998</v>
      </c>
    </row>
    <row r="1706" spans="3:5" x14ac:dyDescent="0.35">
      <c r="C1706" s="1" t="s">
        <v>9907</v>
      </c>
      <c r="D1706" s="1" t="s">
        <v>66</v>
      </c>
      <c r="E1706" s="1">
        <v>3250.018</v>
      </c>
    </row>
    <row r="1707" spans="3:5" x14ac:dyDescent="0.35">
      <c r="C1707" s="1" t="s">
        <v>9920</v>
      </c>
      <c r="D1707" s="1" t="s">
        <v>57</v>
      </c>
      <c r="E1707" s="1">
        <v>3250.0210000000002</v>
      </c>
    </row>
    <row r="1708" spans="3:5" x14ac:dyDescent="0.35">
      <c r="C1708" s="1" t="s">
        <v>9909</v>
      </c>
      <c r="D1708" s="1" t="s">
        <v>66</v>
      </c>
      <c r="E1708" s="1">
        <v>3250.0219999999999</v>
      </c>
    </row>
    <row r="1709" spans="3:5" x14ac:dyDescent="0.35">
      <c r="C1709" s="1" t="s">
        <v>9908</v>
      </c>
      <c r="D1709" s="1" t="s">
        <v>66</v>
      </c>
      <c r="E1709" s="1">
        <v>3250.0230000000001</v>
      </c>
    </row>
    <row r="1710" spans="3:5" x14ac:dyDescent="0.35">
      <c r="C1710" s="1" t="s">
        <v>9907</v>
      </c>
      <c r="D1710" s="1" t="s">
        <v>66</v>
      </c>
      <c r="E1710" s="1">
        <v>3250.0239999999999</v>
      </c>
    </row>
    <row r="1711" spans="3:5" x14ac:dyDescent="0.35">
      <c r="C1711" s="1" t="s">
        <v>9919</v>
      </c>
      <c r="D1711" s="1" t="s">
        <v>57</v>
      </c>
      <c r="E1711" s="1">
        <v>3250.0250000000001</v>
      </c>
    </row>
    <row r="1712" spans="3:5" x14ac:dyDescent="0.35">
      <c r="C1712" s="1" t="s">
        <v>9909</v>
      </c>
      <c r="D1712" s="1" t="s">
        <v>66</v>
      </c>
      <c r="E1712" s="1">
        <v>3250.0259999999998</v>
      </c>
    </row>
    <row r="1713" spans="3:5" x14ac:dyDescent="0.35">
      <c r="C1713" s="1" t="s">
        <v>9908</v>
      </c>
      <c r="D1713" s="1" t="s">
        <v>66</v>
      </c>
      <c r="E1713" s="1">
        <v>3250.027</v>
      </c>
    </row>
    <row r="1714" spans="3:5" x14ac:dyDescent="0.35">
      <c r="C1714" s="1" t="s">
        <v>9907</v>
      </c>
      <c r="D1714" s="1" t="s">
        <v>66</v>
      </c>
      <c r="E1714" s="1">
        <v>3250.0279999999998</v>
      </c>
    </row>
    <row r="1715" spans="3:5" x14ac:dyDescent="0.35">
      <c r="C1715" s="1" t="s">
        <v>9918</v>
      </c>
      <c r="D1715" s="1" t="s">
        <v>57</v>
      </c>
      <c r="E1715" s="1">
        <v>3250.0309999999999</v>
      </c>
    </row>
    <row r="1716" spans="3:5" x14ac:dyDescent="0.35">
      <c r="C1716" s="1" t="s">
        <v>9909</v>
      </c>
      <c r="D1716" s="1" t="s">
        <v>66</v>
      </c>
      <c r="E1716" s="1">
        <v>3250.0320000000002</v>
      </c>
    </row>
    <row r="1717" spans="3:5" x14ac:dyDescent="0.35">
      <c r="C1717" s="1" t="s">
        <v>9908</v>
      </c>
      <c r="D1717" s="1" t="s">
        <v>66</v>
      </c>
      <c r="E1717" s="1">
        <v>3250.0329999999999</v>
      </c>
    </row>
    <row r="1718" spans="3:5" x14ac:dyDescent="0.35">
      <c r="C1718" s="1" t="s">
        <v>9907</v>
      </c>
      <c r="D1718" s="1" t="s">
        <v>66</v>
      </c>
      <c r="E1718" s="1">
        <v>3250.0340000000001</v>
      </c>
    </row>
    <row r="1719" spans="3:5" x14ac:dyDescent="0.35">
      <c r="C1719" s="1" t="s">
        <v>9917</v>
      </c>
      <c r="D1719" s="1" t="s">
        <v>57</v>
      </c>
      <c r="E1719" s="1">
        <v>3250.0349999999999</v>
      </c>
    </row>
    <row r="1720" spans="3:5" x14ac:dyDescent="0.35">
      <c r="C1720" s="1" t="s">
        <v>9909</v>
      </c>
      <c r="D1720" s="1" t="s">
        <v>66</v>
      </c>
      <c r="E1720" s="1">
        <v>3250.0360000000001</v>
      </c>
    </row>
    <row r="1721" spans="3:5" x14ac:dyDescent="0.35">
      <c r="C1721" s="1" t="s">
        <v>9908</v>
      </c>
      <c r="D1721" s="1" t="s">
        <v>66</v>
      </c>
      <c r="E1721" s="1">
        <v>3250.0369999999998</v>
      </c>
    </row>
    <row r="1722" spans="3:5" x14ac:dyDescent="0.35">
      <c r="C1722" s="1" t="s">
        <v>9907</v>
      </c>
      <c r="D1722" s="1" t="s">
        <v>66</v>
      </c>
      <c r="E1722" s="1">
        <v>3250.038</v>
      </c>
    </row>
    <row r="1723" spans="3:5" x14ac:dyDescent="0.35">
      <c r="C1723" s="1" t="s">
        <v>9916</v>
      </c>
      <c r="D1723" s="1" t="s">
        <v>57</v>
      </c>
      <c r="E1723" s="1">
        <v>3250.0410000000002</v>
      </c>
    </row>
    <row r="1724" spans="3:5" x14ac:dyDescent="0.35">
      <c r="C1724" s="1" t="s">
        <v>9909</v>
      </c>
      <c r="D1724" s="1" t="s">
        <v>66</v>
      </c>
      <c r="E1724" s="1">
        <v>3250.0419999999999</v>
      </c>
    </row>
    <row r="1725" spans="3:5" x14ac:dyDescent="0.35">
      <c r="C1725" s="1" t="s">
        <v>9908</v>
      </c>
      <c r="D1725" s="1" t="s">
        <v>66</v>
      </c>
      <c r="E1725" s="1">
        <v>3250.0430000000001</v>
      </c>
    </row>
    <row r="1726" spans="3:5" x14ac:dyDescent="0.35">
      <c r="C1726" s="1" t="s">
        <v>9907</v>
      </c>
      <c r="D1726" s="1" t="s">
        <v>66</v>
      </c>
      <c r="E1726" s="1">
        <v>3250.0439999999999</v>
      </c>
    </row>
    <row r="1727" spans="3:5" x14ac:dyDescent="0.35">
      <c r="C1727" s="1" t="s">
        <v>9915</v>
      </c>
      <c r="D1727" s="1" t="s">
        <v>57</v>
      </c>
      <c r="E1727" s="1">
        <v>3250.0450000000001</v>
      </c>
    </row>
    <row r="1728" spans="3:5" x14ac:dyDescent="0.35">
      <c r="C1728" s="1" t="s">
        <v>9909</v>
      </c>
      <c r="D1728" s="1" t="s">
        <v>66</v>
      </c>
      <c r="E1728" s="1">
        <v>3250.0459999999998</v>
      </c>
    </row>
    <row r="1729" spans="3:5" x14ac:dyDescent="0.35">
      <c r="C1729" s="1" t="s">
        <v>9908</v>
      </c>
      <c r="D1729" s="1" t="s">
        <v>66</v>
      </c>
      <c r="E1729" s="1">
        <v>3250.047</v>
      </c>
    </row>
    <row r="1730" spans="3:5" x14ac:dyDescent="0.35">
      <c r="C1730" s="1" t="s">
        <v>9907</v>
      </c>
      <c r="D1730" s="1" t="s">
        <v>66</v>
      </c>
      <c r="E1730" s="1">
        <v>3250.0479999999998</v>
      </c>
    </row>
    <row r="1731" spans="3:5" x14ac:dyDescent="0.35">
      <c r="C1731" s="1" t="s">
        <v>9914</v>
      </c>
      <c r="D1731" s="1" t="s">
        <v>57</v>
      </c>
      <c r="E1731" s="1">
        <v>3250.0509999999999</v>
      </c>
    </row>
    <row r="1732" spans="3:5" x14ac:dyDescent="0.35">
      <c r="C1732" s="1" t="s">
        <v>9909</v>
      </c>
      <c r="D1732" s="1" t="s">
        <v>66</v>
      </c>
      <c r="E1732" s="1">
        <v>3250.0520000000001</v>
      </c>
    </row>
    <row r="1733" spans="3:5" x14ac:dyDescent="0.35">
      <c r="C1733" s="1" t="s">
        <v>9908</v>
      </c>
      <c r="D1733" s="1" t="s">
        <v>66</v>
      </c>
      <c r="E1733" s="1">
        <v>3250.0529999999999</v>
      </c>
    </row>
    <row r="1734" spans="3:5" x14ac:dyDescent="0.35">
      <c r="C1734" s="1" t="s">
        <v>9907</v>
      </c>
      <c r="D1734" s="1" t="s">
        <v>66</v>
      </c>
      <c r="E1734" s="1">
        <v>3250.0540000000001</v>
      </c>
    </row>
    <row r="1735" spans="3:5" x14ac:dyDescent="0.35">
      <c r="C1735" s="1" t="s">
        <v>9913</v>
      </c>
      <c r="D1735" s="1" t="s">
        <v>57</v>
      </c>
      <c r="E1735" s="1">
        <v>3250.0549999999998</v>
      </c>
    </row>
    <row r="1736" spans="3:5" x14ac:dyDescent="0.35">
      <c r="C1736" s="1" t="s">
        <v>9909</v>
      </c>
      <c r="D1736" s="1" t="s">
        <v>66</v>
      </c>
      <c r="E1736" s="1">
        <v>3250.056</v>
      </c>
    </row>
    <row r="1737" spans="3:5" x14ac:dyDescent="0.35">
      <c r="C1737" s="1" t="s">
        <v>9908</v>
      </c>
      <c r="D1737" s="1" t="s">
        <v>66</v>
      </c>
      <c r="E1737" s="1">
        <v>3250.0569999999998</v>
      </c>
    </row>
    <row r="1738" spans="3:5" x14ac:dyDescent="0.35">
      <c r="C1738" s="1" t="s">
        <v>9907</v>
      </c>
      <c r="D1738" s="1" t="s">
        <v>66</v>
      </c>
      <c r="E1738" s="1">
        <v>3250.058</v>
      </c>
    </row>
    <row r="1739" spans="3:5" x14ac:dyDescent="0.35">
      <c r="C1739" s="1" t="s">
        <v>9912</v>
      </c>
      <c r="D1739" s="1" t="s">
        <v>57</v>
      </c>
      <c r="E1739" s="1">
        <v>3250.0610000000001</v>
      </c>
    </row>
    <row r="1740" spans="3:5" x14ac:dyDescent="0.35">
      <c r="C1740" s="1" t="s">
        <v>9909</v>
      </c>
      <c r="D1740" s="1" t="s">
        <v>66</v>
      </c>
      <c r="E1740" s="1">
        <v>3250.0619999999999</v>
      </c>
    </row>
    <row r="1741" spans="3:5" x14ac:dyDescent="0.35">
      <c r="C1741" s="1" t="s">
        <v>9908</v>
      </c>
      <c r="D1741" s="1" t="s">
        <v>66</v>
      </c>
      <c r="E1741" s="1">
        <v>3250.0630000000001</v>
      </c>
    </row>
    <row r="1742" spans="3:5" x14ac:dyDescent="0.35">
      <c r="C1742" s="1" t="s">
        <v>9907</v>
      </c>
      <c r="D1742" s="1" t="s">
        <v>66</v>
      </c>
      <c r="E1742" s="1">
        <v>3250.0639999999999</v>
      </c>
    </row>
    <row r="1743" spans="3:5" x14ac:dyDescent="0.35">
      <c r="C1743" s="1" t="s">
        <v>9911</v>
      </c>
      <c r="D1743" s="1" t="s">
        <v>57</v>
      </c>
      <c r="E1743" s="1">
        <v>3250.0650000000001</v>
      </c>
    </row>
    <row r="1744" spans="3:5" x14ac:dyDescent="0.35">
      <c r="C1744" s="1" t="s">
        <v>9909</v>
      </c>
      <c r="D1744" s="1" t="s">
        <v>66</v>
      </c>
      <c r="E1744" s="1">
        <v>3250.0659999999998</v>
      </c>
    </row>
    <row r="1745" spans="3:5" x14ac:dyDescent="0.35">
      <c r="C1745" s="1" t="s">
        <v>9908</v>
      </c>
      <c r="D1745" s="1" t="s">
        <v>66</v>
      </c>
      <c r="E1745" s="1">
        <v>3250.067</v>
      </c>
    </row>
    <row r="1746" spans="3:5" x14ac:dyDescent="0.35">
      <c r="C1746" s="1" t="s">
        <v>9907</v>
      </c>
      <c r="D1746" s="1" t="s">
        <v>66</v>
      </c>
      <c r="E1746" s="1">
        <v>3250.0680000000002</v>
      </c>
    </row>
    <row r="1747" spans="3:5" x14ac:dyDescent="0.35">
      <c r="C1747" s="1" t="s">
        <v>9910</v>
      </c>
      <c r="D1747" s="1" t="s">
        <v>57</v>
      </c>
      <c r="E1747" s="1">
        <v>3250.0709999999999</v>
      </c>
    </row>
    <row r="1748" spans="3:5" x14ac:dyDescent="0.35">
      <c r="C1748" s="1" t="s">
        <v>9909</v>
      </c>
      <c r="D1748" s="1" t="s">
        <v>66</v>
      </c>
      <c r="E1748" s="1">
        <v>3250.0720000000001</v>
      </c>
    </row>
    <row r="1749" spans="3:5" x14ac:dyDescent="0.35">
      <c r="C1749" s="1" t="s">
        <v>9908</v>
      </c>
      <c r="D1749" s="1" t="s">
        <v>66</v>
      </c>
      <c r="E1749" s="1">
        <v>3250.0729999999999</v>
      </c>
    </row>
    <row r="1750" spans="3:5" x14ac:dyDescent="0.35">
      <c r="C1750" s="1" t="s">
        <v>9907</v>
      </c>
      <c r="D1750" s="1" t="s">
        <v>66</v>
      </c>
      <c r="E1750" s="1">
        <v>3250.0740000000001</v>
      </c>
    </row>
    <row r="1751" spans="3:5" x14ac:dyDescent="0.35">
      <c r="C1751" s="1" t="s">
        <v>9906</v>
      </c>
      <c r="D1751" s="1" t="s">
        <v>66</v>
      </c>
      <c r="E1751" s="1">
        <v>3250.11</v>
      </c>
    </row>
    <row r="1752" spans="3:5" x14ac:dyDescent="0.35">
      <c r="C1752" s="1" t="s">
        <v>9905</v>
      </c>
      <c r="D1752" s="1" t="s">
        <v>66</v>
      </c>
      <c r="E1752" s="1">
        <v>3250.1109999999999</v>
      </c>
    </row>
    <row r="1753" spans="3:5" x14ac:dyDescent="0.35">
      <c r="C1753" s="1" t="s">
        <v>9904</v>
      </c>
      <c r="D1753" s="1" t="s">
        <v>66</v>
      </c>
      <c r="E1753" s="1">
        <v>3250.1120000000001</v>
      </c>
    </row>
    <row r="1754" spans="3:5" x14ac:dyDescent="0.35">
      <c r="C1754" s="1" t="s">
        <v>9903</v>
      </c>
      <c r="D1754" s="1" t="s">
        <v>22</v>
      </c>
      <c r="E1754" s="1">
        <v>3250.1129999999998</v>
      </c>
    </row>
  </sheetData>
  <mergeCells count="9">
    <mergeCell ref="P3:Q3"/>
    <mergeCell ref="J5:K5"/>
    <mergeCell ref="J6:K6"/>
    <mergeCell ref="J7:K7"/>
    <mergeCell ref="A3:B3"/>
    <mergeCell ref="D3:G3"/>
    <mergeCell ref="J3:K3"/>
    <mergeCell ref="A4:B4"/>
    <mergeCell ref="J4:K4"/>
  </mergeCells>
  <dataValidations count="1">
    <dataValidation type="list" allowBlank="1" showInputMessage="1" showErrorMessage="1" sqref="C16:C190" xr:uid="{70F5C31D-4FCA-4D28-807A-D10A76255A59}">
      <formula1>$C$205:$C207</formula1>
    </dataValidation>
  </dataValidations>
  <hyperlinks>
    <hyperlink ref="D3" r:id="rId1" display="datamateapp@gmail.com" xr:uid="{E7ED9607-0A43-4C0A-BD27-CC6E5EC7D879}"/>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1445" r:id="rId4" name="Button 5">
              <controlPr defaultSize="0" print="0" autoFill="0" autoPict="0" macro="[0]!ExitSEC_032000">
                <anchor moveWithCells="1" sizeWithCells="1">
                  <from>
                    <xdr:col>16</xdr:col>
                    <xdr:colOff>234950</xdr:colOff>
                    <xdr:row>0</xdr:row>
                    <xdr:rowOff>0</xdr:rowOff>
                  </from>
                  <to>
                    <xdr:col>17</xdr:col>
                    <xdr:colOff>19050</xdr:colOff>
                    <xdr:row>2</xdr:row>
                    <xdr:rowOff>6350</xdr:rowOff>
                  </to>
                </anchor>
              </controlPr>
            </control>
          </mc:Choice>
        </mc:AlternateContent>
        <mc:AlternateContent xmlns:mc="http://schemas.openxmlformats.org/markup-compatibility/2006">
          <mc:Choice Requires="x14">
            <control shapeId="61502" r:id="rId5" name="Button 62">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61503" r:id="rId6" name="Button 63">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61504" r:id="rId7" name="Button 64">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61505" r:id="rId8" name="Button 65">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61506" r:id="rId9" name="Button 66">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61507" r:id="rId10" name="Button 67">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61508" r:id="rId11" name="Button 68">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61509" r:id="rId12" name="Button 69">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4975-BBEB-470E-95E9-D4E014A2396C}">
  <sheetPr codeName="Sheet44"/>
  <dimension ref="A1:Q1802"/>
  <sheetViews>
    <sheetView zoomScale="75" zoomScaleNormal="75" workbookViewId="0">
      <selection activeCell="C4" sqref="C4"/>
    </sheetView>
  </sheetViews>
  <sheetFormatPr defaultRowHeight="14.5" x14ac:dyDescent="0.35"/>
  <cols>
    <col min="1" max="1" width="4.54296875" style="1" customWidth="1"/>
    <col min="2" max="2" width="14" style="1" customWidth="1"/>
    <col min="3" max="3" width="77.1796875" style="1" bestFit="1" customWidth="1"/>
    <col min="4" max="4" width="10.7265625" style="1" customWidth="1"/>
    <col min="5" max="5" width="10.1796875" style="1" customWidth="1"/>
    <col min="6" max="6" width="13.26953125" style="1" customWidth="1"/>
    <col min="7" max="7" width="15.1796875" style="1" customWidth="1"/>
    <col min="8" max="8" width="13.26953125" style="1" customWidth="1"/>
    <col min="9" max="9" width="12.7265625" style="1" customWidth="1"/>
    <col min="10" max="10" width="12.26953125" style="1" customWidth="1"/>
    <col min="11" max="11" width="9" style="1" customWidth="1"/>
    <col min="12" max="12" width="13.26953125" style="1" customWidth="1"/>
    <col min="13" max="13" width="12.7265625" style="1" customWidth="1"/>
    <col min="14" max="14" width="13.26953125" style="1" customWidth="1"/>
    <col min="15" max="15" width="12.7265625" style="1" customWidth="1"/>
    <col min="16" max="16" width="13.26953125" style="1" customWidth="1"/>
    <col min="17" max="17" width="21.26953125" style="1" customWidth="1"/>
    <col min="18" max="22" width="8.7265625" style="1"/>
    <col min="23" max="23" width="4.54296875" style="1" customWidth="1"/>
    <col min="24" max="24" width="11.90625" style="1" customWidth="1"/>
    <col min="25" max="25" width="77.1796875" style="1" bestFit="1" customWidth="1"/>
    <col min="26" max="26" width="10.7265625" style="1" customWidth="1"/>
    <col min="27" max="27" width="10.1796875" style="1" customWidth="1"/>
    <col min="28" max="28" width="13.26953125" style="1" customWidth="1"/>
    <col min="29" max="29" width="15.1796875" style="1" customWidth="1"/>
    <col min="30" max="30" width="13.26953125" style="1" customWidth="1"/>
    <col min="31" max="31" width="12.7265625" style="1" customWidth="1"/>
    <col min="32" max="32" width="12.26953125" style="1" customWidth="1"/>
    <col min="33" max="33" width="9" style="1" customWidth="1"/>
    <col min="34" max="34" width="13.26953125" style="1" customWidth="1"/>
    <col min="35" max="35" width="12.7265625" style="1" customWidth="1"/>
    <col min="36" max="36" width="13.26953125" style="1" customWidth="1"/>
    <col min="37" max="37" width="12.7265625" style="1" customWidth="1"/>
    <col min="38" max="38" width="13.26953125" style="1" customWidth="1"/>
    <col min="39" max="39" width="21.26953125" style="1" customWidth="1"/>
    <col min="40" max="16384" width="8.7265625" style="1"/>
  </cols>
  <sheetData>
    <row r="1" spans="1:17" ht="14.5" customHeight="1"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CAST-IN-PLACE CONCRETE</v>
      </c>
      <c r="J2" s="59"/>
      <c r="K2" s="59"/>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03 30 00</v>
      </c>
      <c r="C10" s="24" t="str">
        <f>C206</f>
        <v>CAST-IN-PLACE CONCRETE</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CAST-IN-PLACE CONCRETE</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Q200" s="78" t="s">
        <v>21404</v>
      </c>
    </row>
    <row r="201" spans="2:17" x14ac:dyDescent="0.35">
      <c r="C201" s="78" t="s">
        <v>21592</v>
      </c>
    </row>
    <row r="203" spans="2:17" x14ac:dyDescent="0.35">
      <c r="C203" s="77" t="s">
        <v>21399</v>
      </c>
    </row>
    <row r="205" spans="2:17" x14ac:dyDescent="0.35">
      <c r="C205" s="1" t="s">
        <v>21398</v>
      </c>
      <c r="D205" s="1" t="s">
        <v>75</v>
      </c>
      <c r="E205" s="1" t="s">
        <v>13768</v>
      </c>
      <c r="F205" s="2" t="s">
        <v>21397</v>
      </c>
      <c r="G205" s="1" t="s">
        <v>9</v>
      </c>
    </row>
    <row r="206" spans="2:17" x14ac:dyDescent="0.35">
      <c r="B206" s="49" t="s">
        <v>14066</v>
      </c>
      <c r="C206" s="82" t="s">
        <v>14067</v>
      </c>
    </row>
    <row r="207" spans="2:17" x14ac:dyDescent="0.35">
      <c r="B207" s="49" t="s">
        <v>14068</v>
      </c>
      <c r="C207" s="53" t="s">
        <v>14069</v>
      </c>
    </row>
    <row r="208" spans="2:17" x14ac:dyDescent="0.35">
      <c r="B208" s="49" t="s">
        <v>14070</v>
      </c>
      <c r="C208" s="53" t="s">
        <v>14071</v>
      </c>
    </row>
    <row r="209" spans="2:5" x14ac:dyDescent="0.35">
      <c r="B209" s="49" t="s">
        <v>14072</v>
      </c>
      <c r="C209" s="53" t="s">
        <v>14073</v>
      </c>
    </row>
    <row r="210" spans="2:5" x14ac:dyDescent="0.35">
      <c r="B210" s="49" t="s">
        <v>14074</v>
      </c>
      <c r="C210" s="53" t="s">
        <v>14075</v>
      </c>
    </row>
    <row r="211" spans="2:5" x14ac:dyDescent="0.35">
      <c r="B211" s="49" t="s">
        <v>14076</v>
      </c>
      <c r="C211" s="53" t="s">
        <v>14077</v>
      </c>
    </row>
    <row r="212" spans="2:5" x14ac:dyDescent="0.35">
      <c r="B212" s="49" t="s">
        <v>14078</v>
      </c>
      <c r="C212" s="53" t="s">
        <v>14079</v>
      </c>
    </row>
    <row r="213" spans="2:5" x14ac:dyDescent="0.35">
      <c r="B213" s="49" t="s">
        <v>14080</v>
      </c>
      <c r="C213" s="53" t="s">
        <v>14081</v>
      </c>
    </row>
    <row r="214" spans="2:5" x14ac:dyDescent="0.35">
      <c r="C214" s="1" t="s">
        <v>9902</v>
      </c>
      <c r="D214" s="1" t="s">
        <v>57</v>
      </c>
      <c r="E214" s="1">
        <v>3310.1</v>
      </c>
    </row>
    <row r="215" spans="2:5" x14ac:dyDescent="0.35">
      <c r="C215" s="1" t="s">
        <v>9453</v>
      </c>
      <c r="D215" s="1" t="s">
        <v>23</v>
      </c>
      <c r="E215" s="1">
        <v>3310.1010000000001</v>
      </c>
    </row>
    <row r="216" spans="2:5" x14ac:dyDescent="0.35">
      <c r="C216" s="1" t="s">
        <v>9646</v>
      </c>
      <c r="D216" s="1" t="s">
        <v>23</v>
      </c>
      <c r="E216" s="1">
        <v>3310.1019999999999</v>
      </c>
    </row>
    <row r="217" spans="2:5" x14ac:dyDescent="0.35">
      <c r="C217" s="1" t="s">
        <v>9774</v>
      </c>
      <c r="D217" s="1" t="s">
        <v>23</v>
      </c>
      <c r="E217" s="1">
        <v>3310.1030000000001</v>
      </c>
    </row>
    <row r="218" spans="2:5" x14ac:dyDescent="0.35">
      <c r="C218" s="1" t="s">
        <v>9773</v>
      </c>
      <c r="D218" s="1" t="s">
        <v>23</v>
      </c>
      <c r="E218" s="1">
        <v>3310.1039999999998</v>
      </c>
    </row>
    <row r="219" spans="2:5" x14ac:dyDescent="0.35">
      <c r="C219" s="1" t="s">
        <v>9449</v>
      </c>
      <c r="D219" s="1" t="s">
        <v>23</v>
      </c>
      <c r="E219" s="1">
        <v>3310.105</v>
      </c>
    </row>
    <row r="220" spans="2:5" x14ac:dyDescent="0.35">
      <c r="C220" s="1" t="s">
        <v>9642</v>
      </c>
      <c r="D220" s="1" t="s">
        <v>23</v>
      </c>
      <c r="E220" s="1">
        <v>3310.1060000000002</v>
      </c>
    </row>
    <row r="221" spans="2:5" x14ac:dyDescent="0.35">
      <c r="C221" s="1" t="s">
        <v>9784</v>
      </c>
      <c r="D221" s="1" t="s">
        <v>23</v>
      </c>
      <c r="E221" s="1">
        <v>3310.107</v>
      </c>
    </row>
    <row r="222" spans="2:5" x14ac:dyDescent="0.35">
      <c r="C222" s="1" t="s">
        <v>9771</v>
      </c>
      <c r="D222" s="1" t="s">
        <v>23</v>
      </c>
      <c r="E222" s="1">
        <v>3310.1080000000002</v>
      </c>
    </row>
    <row r="223" spans="2:5" x14ac:dyDescent="0.35">
      <c r="C223" s="1" t="s">
        <v>9445</v>
      </c>
      <c r="D223" s="1" t="s">
        <v>23</v>
      </c>
      <c r="E223" s="1">
        <v>3310.1089999999999</v>
      </c>
    </row>
    <row r="224" spans="2:5" x14ac:dyDescent="0.35">
      <c r="C224" s="1" t="s">
        <v>9638</v>
      </c>
      <c r="D224" s="1" t="s">
        <v>23</v>
      </c>
      <c r="E224" s="1">
        <v>3310.11</v>
      </c>
    </row>
    <row r="225" spans="3:5" x14ac:dyDescent="0.35">
      <c r="C225" s="1" t="s">
        <v>9770</v>
      </c>
      <c r="D225" s="1" t="s">
        <v>23</v>
      </c>
      <c r="E225" s="1">
        <v>3310.1109999999999</v>
      </c>
    </row>
    <row r="226" spans="3:5" x14ac:dyDescent="0.35">
      <c r="C226" s="1" t="s">
        <v>9769</v>
      </c>
      <c r="D226" s="1" t="s">
        <v>23</v>
      </c>
      <c r="E226" s="1">
        <v>3310.1120000000001</v>
      </c>
    </row>
    <row r="227" spans="3:5" x14ac:dyDescent="0.35">
      <c r="C227" s="1" t="s">
        <v>9634</v>
      </c>
      <c r="D227" s="1" t="s">
        <v>23</v>
      </c>
      <c r="E227" s="1">
        <v>3310.1129999999998</v>
      </c>
    </row>
    <row r="228" spans="3:5" x14ac:dyDescent="0.35">
      <c r="C228" s="1" t="s">
        <v>9633</v>
      </c>
      <c r="D228" s="1" t="s">
        <v>23</v>
      </c>
      <c r="E228" s="1">
        <v>3310.114</v>
      </c>
    </row>
    <row r="229" spans="3:5" x14ac:dyDescent="0.35">
      <c r="C229" s="1" t="s">
        <v>9788</v>
      </c>
      <c r="D229" s="1" t="s">
        <v>23</v>
      </c>
      <c r="E229" s="1">
        <v>3310.1149999999998</v>
      </c>
    </row>
    <row r="230" spans="3:5" x14ac:dyDescent="0.35">
      <c r="C230" s="1" t="s">
        <v>9781</v>
      </c>
      <c r="D230" s="1" t="s">
        <v>23</v>
      </c>
      <c r="E230" s="1">
        <v>3310.116</v>
      </c>
    </row>
    <row r="231" spans="3:5" x14ac:dyDescent="0.35">
      <c r="C231" s="1" t="s">
        <v>9441</v>
      </c>
      <c r="D231" s="1" t="s">
        <v>23</v>
      </c>
      <c r="E231" s="1">
        <v>3310.1170000000002</v>
      </c>
    </row>
    <row r="232" spans="3:5" x14ac:dyDescent="0.35">
      <c r="C232" s="1" t="s">
        <v>9629</v>
      </c>
      <c r="D232" s="1" t="s">
        <v>23</v>
      </c>
      <c r="E232" s="1">
        <v>3310.1179999999999</v>
      </c>
    </row>
    <row r="233" spans="3:5" x14ac:dyDescent="0.35">
      <c r="C233" s="1" t="s">
        <v>9765</v>
      </c>
      <c r="D233" s="1" t="s">
        <v>23</v>
      </c>
      <c r="E233" s="1">
        <v>3310.1190000000001</v>
      </c>
    </row>
    <row r="234" spans="3:5" x14ac:dyDescent="0.35">
      <c r="C234" s="1" t="s">
        <v>9764</v>
      </c>
      <c r="D234" s="1" t="s">
        <v>23</v>
      </c>
      <c r="E234" s="1">
        <v>3310.12</v>
      </c>
    </row>
    <row r="235" spans="3:5" x14ac:dyDescent="0.35">
      <c r="C235" s="1" t="s">
        <v>9437</v>
      </c>
      <c r="D235" s="1" t="s">
        <v>23</v>
      </c>
      <c r="E235" s="1">
        <v>3310.1210000000001</v>
      </c>
    </row>
    <row r="236" spans="3:5" x14ac:dyDescent="0.35">
      <c r="C236" s="1" t="s">
        <v>9625</v>
      </c>
      <c r="D236" s="1" t="s">
        <v>23</v>
      </c>
      <c r="E236" s="1">
        <v>3310.1219999999998</v>
      </c>
    </row>
    <row r="237" spans="3:5" x14ac:dyDescent="0.35">
      <c r="C237" s="1" t="s">
        <v>9763</v>
      </c>
      <c r="D237" s="1" t="s">
        <v>23</v>
      </c>
      <c r="E237" s="1">
        <v>3310.123</v>
      </c>
    </row>
    <row r="238" spans="3:5" x14ac:dyDescent="0.35">
      <c r="C238" s="1" t="s">
        <v>9762</v>
      </c>
      <c r="D238" s="1" t="s">
        <v>23</v>
      </c>
      <c r="E238" s="1">
        <v>3310.1239999999998</v>
      </c>
    </row>
    <row r="239" spans="3:5" x14ac:dyDescent="0.35">
      <c r="C239" s="1" t="s">
        <v>9429</v>
      </c>
      <c r="D239" s="1" t="s">
        <v>23</v>
      </c>
      <c r="E239" s="1">
        <v>3310.125</v>
      </c>
    </row>
    <row r="240" spans="3:5" x14ac:dyDescent="0.35">
      <c r="C240" s="1" t="s">
        <v>9621</v>
      </c>
      <c r="D240" s="1" t="s">
        <v>23</v>
      </c>
      <c r="E240" s="1">
        <v>3310.1260000000002</v>
      </c>
    </row>
    <row r="241" spans="3:5" x14ac:dyDescent="0.35">
      <c r="C241" s="1" t="s">
        <v>9761</v>
      </c>
      <c r="D241" s="1" t="s">
        <v>23</v>
      </c>
      <c r="E241" s="1">
        <v>3310.127</v>
      </c>
    </row>
    <row r="242" spans="3:5" x14ac:dyDescent="0.35">
      <c r="C242" s="1" t="s">
        <v>9760</v>
      </c>
      <c r="D242" s="1" t="s">
        <v>23</v>
      </c>
      <c r="E242" s="1">
        <v>3310.1280000000002</v>
      </c>
    </row>
    <row r="243" spans="3:5" x14ac:dyDescent="0.35">
      <c r="C243" s="1" t="s">
        <v>9425</v>
      </c>
      <c r="D243" s="1" t="s">
        <v>23</v>
      </c>
      <c r="E243" s="1">
        <v>3310.1289999999999</v>
      </c>
    </row>
    <row r="244" spans="3:5" x14ac:dyDescent="0.35">
      <c r="C244" s="1" t="s">
        <v>9617</v>
      </c>
      <c r="D244" s="1" t="s">
        <v>23</v>
      </c>
      <c r="E244" s="1">
        <v>3310.13</v>
      </c>
    </row>
    <row r="245" spans="3:5" x14ac:dyDescent="0.35">
      <c r="C245" s="1" t="s">
        <v>9759</v>
      </c>
      <c r="D245" s="1" t="s">
        <v>23</v>
      </c>
      <c r="E245" s="1">
        <v>3310.1309999999999</v>
      </c>
    </row>
    <row r="246" spans="3:5" x14ac:dyDescent="0.35">
      <c r="C246" s="1" t="s">
        <v>9758</v>
      </c>
      <c r="D246" s="1" t="s">
        <v>23</v>
      </c>
      <c r="E246" s="1">
        <v>3310.1320000000001</v>
      </c>
    </row>
    <row r="247" spans="3:5" x14ac:dyDescent="0.35">
      <c r="C247" s="1" t="s">
        <v>9901</v>
      </c>
      <c r="D247" s="1" t="s">
        <v>57</v>
      </c>
      <c r="E247" s="1">
        <v>3310.15</v>
      </c>
    </row>
    <row r="248" spans="3:5" x14ac:dyDescent="0.35">
      <c r="C248" s="1" t="s">
        <v>9453</v>
      </c>
      <c r="D248" s="1" t="s">
        <v>23</v>
      </c>
      <c r="E248" s="1">
        <v>3310.1509999999998</v>
      </c>
    </row>
    <row r="249" spans="3:5" x14ac:dyDescent="0.35">
      <c r="C249" s="1" t="s">
        <v>9646</v>
      </c>
      <c r="D249" s="1" t="s">
        <v>23</v>
      </c>
      <c r="E249" s="1">
        <v>3310.152</v>
      </c>
    </row>
    <row r="250" spans="3:5" x14ac:dyDescent="0.35">
      <c r="C250" s="1" t="s">
        <v>9774</v>
      </c>
      <c r="D250" s="1" t="s">
        <v>23</v>
      </c>
      <c r="E250" s="1">
        <v>3310.1529999999998</v>
      </c>
    </row>
    <row r="251" spans="3:5" x14ac:dyDescent="0.35">
      <c r="C251" s="1" t="s">
        <v>9773</v>
      </c>
      <c r="D251" s="1" t="s">
        <v>23</v>
      </c>
      <c r="E251" s="1">
        <v>3310.154</v>
      </c>
    </row>
    <row r="252" spans="3:5" x14ac:dyDescent="0.35">
      <c r="C252" s="1" t="s">
        <v>9449</v>
      </c>
      <c r="D252" s="1" t="s">
        <v>23</v>
      </c>
      <c r="E252" s="1">
        <v>3310.1550000000002</v>
      </c>
    </row>
    <row r="253" spans="3:5" x14ac:dyDescent="0.35">
      <c r="C253" s="1" t="s">
        <v>9642</v>
      </c>
      <c r="D253" s="1" t="s">
        <v>23</v>
      </c>
      <c r="E253" s="1">
        <v>3310.1559999999999</v>
      </c>
    </row>
    <row r="254" spans="3:5" x14ac:dyDescent="0.35">
      <c r="C254" s="1" t="s">
        <v>9784</v>
      </c>
      <c r="D254" s="1" t="s">
        <v>23</v>
      </c>
      <c r="E254" s="1">
        <v>3310.1570000000002</v>
      </c>
    </row>
    <row r="255" spans="3:5" x14ac:dyDescent="0.35">
      <c r="C255" s="1" t="s">
        <v>9771</v>
      </c>
      <c r="D255" s="1" t="s">
        <v>23</v>
      </c>
      <c r="E255" s="1">
        <v>3310.1579999999999</v>
      </c>
    </row>
    <row r="256" spans="3:5" x14ac:dyDescent="0.35">
      <c r="C256" s="1" t="s">
        <v>9445</v>
      </c>
      <c r="D256" s="1" t="s">
        <v>23</v>
      </c>
      <c r="E256" s="1">
        <v>3310.1590000000001</v>
      </c>
    </row>
    <row r="257" spans="3:5" x14ac:dyDescent="0.35">
      <c r="C257" s="1" t="s">
        <v>9638</v>
      </c>
      <c r="D257" s="1" t="s">
        <v>23</v>
      </c>
      <c r="E257" s="1">
        <v>3310.16</v>
      </c>
    </row>
    <row r="258" spans="3:5" x14ac:dyDescent="0.35">
      <c r="C258" s="1" t="s">
        <v>9770</v>
      </c>
      <c r="D258" s="1" t="s">
        <v>23</v>
      </c>
      <c r="E258" s="1">
        <v>3310.1610000000001</v>
      </c>
    </row>
    <row r="259" spans="3:5" x14ac:dyDescent="0.35">
      <c r="C259" s="1" t="s">
        <v>9769</v>
      </c>
      <c r="D259" s="1" t="s">
        <v>23</v>
      </c>
      <c r="E259" s="1">
        <v>3310.1619999999998</v>
      </c>
    </row>
    <row r="260" spans="3:5" x14ac:dyDescent="0.35">
      <c r="C260" s="1" t="s">
        <v>9634</v>
      </c>
      <c r="D260" s="1" t="s">
        <v>23</v>
      </c>
      <c r="E260" s="1">
        <v>3310.163</v>
      </c>
    </row>
    <row r="261" spans="3:5" x14ac:dyDescent="0.35">
      <c r="C261" s="1" t="s">
        <v>9633</v>
      </c>
      <c r="D261" s="1" t="s">
        <v>23</v>
      </c>
      <c r="E261" s="1">
        <v>3310.1640000000002</v>
      </c>
    </row>
    <row r="262" spans="3:5" x14ac:dyDescent="0.35">
      <c r="C262" s="1" t="s">
        <v>9788</v>
      </c>
      <c r="D262" s="1" t="s">
        <v>23</v>
      </c>
      <c r="E262" s="1">
        <v>3310.165</v>
      </c>
    </row>
    <row r="263" spans="3:5" x14ac:dyDescent="0.35">
      <c r="C263" s="1" t="s">
        <v>9781</v>
      </c>
      <c r="D263" s="1" t="s">
        <v>23</v>
      </c>
      <c r="E263" s="1">
        <v>3310.1660000000002</v>
      </c>
    </row>
    <row r="264" spans="3:5" x14ac:dyDescent="0.35">
      <c r="C264" s="1" t="s">
        <v>9441</v>
      </c>
      <c r="D264" s="1" t="s">
        <v>23</v>
      </c>
      <c r="E264" s="1">
        <v>3310.1669999999999</v>
      </c>
    </row>
    <row r="265" spans="3:5" x14ac:dyDescent="0.35">
      <c r="C265" s="1" t="s">
        <v>9629</v>
      </c>
      <c r="D265" s="1" t="s">
        <v>23</v>
      </c>
      <c r="E265" s="1">
        <v>3310.1680000000001</v>
      </c>
    </row>
    <row r="266" spans="3:5" x14ac:dyDescent="0.35">
      <c r="C266" s="1" t="s">
        <v>9765</v>
      </c>
      <c r="D266" s="1" t="s">
        <v>23</v>
      </c>
      <c r="E266" s="1">
        <v>3310.1689999999999</v>
      </c>
    </row>
    <row r="267" spans="3:5" x14ac:dyDescent="0.35">
      <c r="C267" s="1" t="s">
        <v>9764</v>
      </c>
      <c r="D267" s="1" t="s">
        <v>23</v>
      </c>
      <c r="E267" s="1">
        <v>3310.17</v>
      </c>
    </row>
    <row r="268" spans="3:5" x14ac:dyDescent="0.35">
      <c r="C268" s="1" t="s">
        <v>9437</v>
      </c>
      <c r="D268" s="1" t="s">
        <v>23</v>
      </c>
      <c r="E268" s="1">
        <v>3310.1709999999998</v>
      </c>
    </row>
    <row r="269" spans="3:5" x14ac:dyDescent="0.35">
      <c r="C269" s="1" t="s">
        <v>9625</v>
      </c>
      <c r="D269" s="1" t="s">
        <v>23</v>
      </c>
      <c r="E269" s="1">
        <v>3310.172</v>
      </c>
    </row>
    <row r="270" spans="3:5" x14ac:dyDescent="0.35">
      <c r="C270" s="1" t="s">
        <v>9763</v>
      </c>
      <c r="D270" s="1" t="s">
        <v>23</v>
      </c>
      <c r="E270" s="1">
        <v>3310.1729999999998</v>
      </c>
    </row>
    <row r="271" spans="3:5" x14ac:dyDescent="0.35">
      <c r="C271" s="1" t="s">
        <v>9762</v>
      </c>
      <c r="D271" s="1" t="s">
        <v>23</v>
      </c>
      <c r="E271" s="1">
        <v>3310.174</v>
      </c>
    </row>
    <row r="272" spans="3:5" x14ac:dyDescent="0.35">
      <c r="C272" s="1" t="s">
        <v>9429</v>
      </c>
      <c r="D272" s="1" t="s">
        <v>23</v>
      </c>
      <c r="E272" s="1">
        <v>3310.1750000000002</v>
      </c>
    </row>
    <row r="273" spans="3:5" x14ac:dyDescent="0.35">
      <c r="C273" s="1" t="s">
        <v>9621</v>
      </c>
      <c r="D273" s="1" t="s">
        <v>23</v>
      </c>
      <c r="E273" s="1">
        <v>3310.1759999999999</v>
      </c>
    </row>
    <row r="274" spans="3:5" x14ac:dyDescent="0.35">
      <c r="C274" s="1" t="s">
        <v>9761</v>
      </c>
      <c r="D274" s="1" t="s">
        <v>23</v>
      </c>
      <c r="E274" s="1">
        <v>3310.1770000000001</v>
      </c>
    </row>
    <row r="275" spans="3:5" x14ac:dyDescent="0.35">
      <c r="C275" s="1" t="s">
        <v>9760</v>
      </c>
      <c r="D275" s="1" t="s">
        <v>23</v>
      </c>
      <c r="E275" s="1">
        <v>3310.1779999999999</v>
      </c>
    </row>
    <row r="276" spans="3:5" x14ac:dyDescent="0.35">
      <c r="C276" s="1" t="s">
        <v>9425</v>
      </c>
      <c r="D276" s="1" t="s">
        <v>23</v>
      </c>
      <c r="E276" s="1">
        <v>3310.1790000000001</v>
      </c>
    </row>
    <row r="277" spans="3:5" x14ac:dyDescent="0.35">
      <c r="C277" s="1" t="s">
        <v>9617</v>
      </c>
      <c r="D277" s="1" t="s">
        <v>23</v>
      </c>
      <c r="E277" s="1">
        <v>3310.18</v>
      </c>
    </row>
    <row r="278" spans="3:5" x14ac:dyDescent="0.35">
      <c r="C278" s="1" t="s">
        <v>9759</v>
      </c>
      <c r="D278" s="1" t="s">
        <v>23</v>
      </c>
      <c r="E278" s="1">
        <v>3310.181</v>
      </c>
    </row>
    <row r="279" spans="3:5" x14ac:dyDescent="0.35">
      <c r="C279" s="1" t="s">
        <v>9758</v>
      </c>
      <c r="D279" s="1" t="s">
        <v>23</v>
      </c>
      <c r="E279" s="1">
        <v>3310.1819999999998</v>
      </c>
    </row>
    <row r="280" spans="3:5" x14ac:dyDescent="0.35">
      <c r="C280" s="1" t="s">
        <v>9900</v>
      </c>
      <c r="D280" s="1" t="s">
        <v>57</v>
      </c>
      <c r="E280" s="1">
        <v>3310.2</v>
      </c>
    </row>
    <row r="281" spans="3:5" x14ac:dyDescent="0.35">
      <c r="C281" s="1" t="s">
        <v>9453</v>
      </c>
      <c r="D281" s="1" t="s">
        <v>23</v>
      </c>
      <c r="E281" s="1">
        <v>3310.201</v>
      </c>
    </row>
    <row r="282" spans="3:5" x14ac:dyDescent="0.35">
      <c r="C282" s="1" t="s">
        <v>9646</v>
      </c>
      <c r="D282" s="1" t="s">
        <v>23</v>
      </c>
      <c r="E282" s="1">
        <v>3310.2020000000002</v>
      </c>
    </row>
    <row r="283" spans="3:5" x14ac:dyDescent="0.35">
      <c r="C283" s="1" t="s">
        <v>9774</v>
      </c>
      <c r="D283" s="1" t="s">
        <v>23</v>
      </c>
      <c r="E283" s="1">
        <v>3310.203</v>
      </c>
    </row>
    <row r="284" spans="3:5" x14ac:dyDescent="0.35">
      <c r="C284" s="1" t="s">
        <v>9773</v>
      </c>
      <c r="D284" s="1" t="s">
        <v>23</v>
      </c>
      <c r="E284" s="1">
        <v>3310.2040000000002</v>
      </c>
    </row>
    <row r="285" spans="3:5" x14ac:dyDescent="0.35">
      <c r="C285" s="1" t="s">
        <v>9449</v>
      </c>
      <c r="D285" s="1" t="s">
        <v>23</v>
      </c>
      <c r="E285" s="1">
        <v>3310.2049999999999</v>
      </c>
    </row>
    <row r="286" spans="3:5" x14ac:dyDescent="0.35">
      <c r="C286" s="1" t="s">
        <v>9642</v>
      </c>
      <c r="D286" s="1" t="s">
        <v>23</v>
      </c>
      <c r="E286" s="1">
        <v>3310.2060000000001</v>
      </c>
    </row>
    <row r="287" spans="3:5" x14ac:dyDescent="0.35">
      <c r="C287" s="1" t="s">
        <v>9784</v>
      </c>
      <c r="D287" s="1" t="s">
        <v>23</v>
      </c>
      <c r="E287" s="1">
        <v>3310.2069999999999</v>
      </c>
    </row>
    <row r="288" spans="3:5" x14ac:dyDescent="0.35">
      <c r="C288" s="1" t="s">
        <v>9771</v>
      </c>
      <c r="D288" s="1" t="s">
        <v>23</v>
      </c>
      <c r="E288" s="1">
        <v>3310.2080000000001</v>
      </c>
    </row>
    <row r="289" spans="3:5" x14ac:dyDescent="0.35">
      <c r="C289" s="1" t="s">
        <v>9445</v>
      </c>
      <c r="D289" s="1" t="s">
        <v>23</v>
      </c>
      <c r="E289" s="1">
        <v>3310.2089999999998</v>
      </c>
    </row>
    <row r="290" spans="3:5" x14ac:dyDescent="0.35">
      <c r="C290" s="1" t="s">
        <v>9638</v>
      </c>
      <c r="D290" s="1" t="s">
        <v>23</v>
      </c>
      <c r="E290" s="1">
        <v>3310.21</v>
      </c>
    </row>
    <row r="291" spans="3:5" x14ac:dyDescent="0.35">
      <c r="C291" s="1" t="s">
        <v>9770</v>
      </c>
      <c r="D291" s="1" t="s">
        <v>23</v>
      </c>
      <c r="E291" s="1">
        <v>3310.2109999999998</v>
      </c>
    </row>
    <row r="292" spans="3:5" x14ac:dyDescent="0.35">
      <c r="C292" s="1" t="s">
        <v>9769</v>
      </c>
      <c r="D292" s="1" t="s">
        <v>23</v>
      </c>
      <c r="E292" s="1">
        <v>3310.212</v>
      </c>
    </row>
    <row r="293" spans="3:5" x14ac:dyDescent="0.35">
      <c r="C293" s="1" t="s">
        <v>9634</v>
      </c>
      <c r="D293" s="1" t="s">
        <v>23</v>
      </c>
      <c r="E293" s="1">
        <v>3310.2130000000002</v>
      </c>
    </row>
    <row r="294" spans="3:5" x14ac:dyDescent="0.35">
      <c r="C294" s="1" t="s">
        <v>9633</v>
      </c>
      <c r="D294" s="1" t="s">
        <v>23</v>
      </c>
      <c r="E294" s="1">
        <v>3310.2139999999999</v>
      </c>
    </row>
    <row r="295" spans="3:5" x14ac:dyDescent="0.35">
      <c r="C295" s="1" t="s">
        <v>9788</v>
      </c>
      <c r="D295" s="1" t="s">
        <v>23</v>
      </c>
      <c r="E295" s="1">
        <v>3310.2150000000001</v>
      </c>
    </row>
    <row r="296" spans="3:5" x14ac:dyDescent="0.35">
      <c r="C296" s="1" t="s">
        <v>9781</v>
      </c>
      <c r="D296" s="1" t="s">
        <v>23</v>
      </c>
      <c r="E296" s="1">
        <v>3310.2159999999999</v>
      </c>
    </row>
    <row r="297" spans="3:5" x14ac:dyDescent="0.35">
      <c r="C297" s="1" t="s">
        <v>9441</v>
      </c>
      <c r="D297" s="1" t="s">
        <v>23</v>
      </c>
      <c r="E297" s="1">
        <v>3310.2170000000001</v>
      </c>
    </row>
    <row r="298" spans="3:5" x14ac:dyDescent="0.35">
      <c r="C298" s="1" t="s">
        <v>9629</v>
      </c>
      <c r="D298" s="1" t="s">
        <v>23</v>
      </c>
      <c r="E298" s="1">
        <v>3310.2179999999998</v>
      </c>
    </row>
    <row r="299" spans="3:5" x14ac:dyDescent="0.35">
      <c r="C299" s="1" t="s">
        <v>9765</v>
      </c>
      <c r="D299" s="1" t="s">
        <v>23</v>
      </c>
      <c r="E299" s="1">
        <v>3310.2190000000001</v>
      </c>
    </row>
    <row r="300" spans="3:5" x14ac:dyDescent="0.35">
      <c r="C300" s="1" t="s">
        <v>9764</v>
      </c>
      <c r="D300" s="1" t="s">
        <v>23</v>
      </c>
      <c r="E300" s="1">
        <v>3310.22</v>
      </c>
    </row>
    <row r="301" spans="3:5" x14ac:dyDescent="0.35">
      <c r="C301" s="1" t="s">
        <v>9437</v>
      </c>
      <c r="D301" s="1" t="s">
        <v>23</v>
      </c>
      <c r="E301" s="1">
        <v>3310.221</v>
      </c>
    </row>
    <row r="302" spans="3:5" x14ac:dyDescent="0.35">
      <c r="C302" s="1" t="s">
        <v>9625</v>
      </c>
      <c r="D302" s="1" t="s">
        <v>23</v>
      </c>
      <c r="E302" s="1">
        <v>3310.2220000000002</v>
      </c>
    </row>
    <row r="303" spans="3:5" x14ac:dyDescent="0.35">
      <c r="C303" s="1" t="s">
        <v>9763</v>
      </c>
      <c r="D303" s="1" t="s">
        <v>23</v>
      </c>
      <c r="E303" s="1">
        <v>3310.223</v>
      </c>
    </row>
    <row r="304" spans="3:5" x14ac:dyDescent="0.35">
      <c r="C304" s="1" t="s">
        <v>9762</v>
      </c>
      <c r="D304" s="1" t="s">
        <v>23</v>
      </c>
      <c r="E304" s="1">
        <v>3310.2240000000002</v>
      </c>
    </row>
    <row r="305" spans="3:5" x14ac:dyDescent="0.35">
      <c r="C305" s="1" t="s">
        <v>9429</v>
      </c>
      <c r="D305" s="1" t="s">
        <v>23</v>
      </c>
      <c r="E305" s="1">
        <v>3310.2249999999999</v>
      </c>
    </row>
    <row r="306" spans="3:5" x14ac:dyDescent="0.35">
      <c r="C306" s="1" t="s">
        <v>9621</v>
      </c>
      <c r="D306" s="1" t="s">
        <v>23</v>
      </c>
      <c r="E306" s="1">
        <v>3310.2260000000001</v>
      </c>
    </row>
    <row r="307" spans="3:5" x14ac:dyDescent="0.35">
      <c r="C307" s="1" t="s">
        <v>9761</v>
      </c>
      <c r="D307" s="1" t="s">
        <v>23</v>
      </c>
      <c r="E307" s="1">
        <v>3310.2269999999999</v>
      </c>
    </row>
    <row r="308" spans="3:5" x14ac:dyDescent="0.35">
      <c r="C308" s="1" t="s">
        <v>9760</v>
      </c>
      <c r="D308" s="1" t="s">
        <v>23</v>
      </c>
      <c r="E308" s="1">
        <v>3310.2280000000001</v>
      </c>
    </row>
    <row r="309" spans="3:5" x14ac:dyDescent="0.35">
      <c r="C309" s="1" t="s">
        <v>9425</v>
      </c>
      <c r="D309" s="1" t="s">
        <v>23</v>
      </c>
      <c r="E309" s="1">
        <v>3310.2289999999998</v>
      </c>
    </row>
    <row r="310" spans="3:5" x14ac:dyDescent="0.35">
      <c r="C310" s="1" t="s">
        <v>9617</v>
      </c>
      <c r="D310" s="1" t="s">
        <v>23</v>
      </c>
      <c r="E310" s="1">
        <v>3310.23</v>
      </c>
    </row>
    <row r="311" spans="3:5" x14ac:dyDescent="0.35">
      <c r="C311" s="1" t="s">
        <v>9759</v>
      </c>
      <c r="D311" s="1" t="s">
        <v>23</v>
      </c>
      <c r="E311" s="1">
        <v>3310.2310000000002</v>
      </c>
    </row>
    <row r="312" spans="3:5" x14ac:dyDescent="0.35">
      <c r="C312" s="1" t="s">
        <v>9758</v>
      </c>
      <c r="D312" s="1" t="s">
        <v>23</v>
      </c>
      <c r="E312" s="1">
        <v>3310.232</v>
      </c>
    </row>
    <row r="313" spans="3:5" x14ac:dyDescent="0.35">
      <c r="C313" s="1" t="s">
        <v>9899</v>
      </c>
      <c r="D313" s="1" t="s">
        <v>57</v>
      </c>
      <c r="E313" s="1">
        <v>3310.25</v>
      </c>
    </row>
    <row r="314" spans="3:5" x14ac:dyDescent="0.35">
      <c r="C314" s="1" t="s">
        <v>9453</v>
      </c>
      <c r="D314" s="1" t="s">
        <v>23</v>
      </c>
      <c r="E314" s="1">
        <v>3310.2510000000002</v>
      </c>
    </row>
    <row r="315" spans="3:5" x14ac:dyDescent="0.35">
      <c r="C315" s="1" t="s">
        <v>9646</v>
      </c>
      <c r="D315" s="1" t="s">
        <v>23</v>
      </c>
      <c r="E315" s="1">
        <v>3310.252</v>
      </c>
    </row>
    <row r="316" spans="3:5" x14ac:dyDescent="0.35">
      <c r="C316" s="1" t="s">
        <v>9785</v>
      </c>
      <c r="D316" s="1" t="s">
        <v>23</v>
      </c>
      <c r="E316" s="1">
        <v>3310.2530000000002</v>
      </c>
    </row>
    <row r="317" spans="3:5" x14ac:dyDescent="0.35">
      <c r="C317" s="1" t="s">
        <v>9773</v>
      </c>
      <c r="D317" s="1" t="s">
        <v>23</v>
      </c>
      <c r="E317" s="1">
        <v>3310.2539999999999</v>
      </c>
    </row>
    <row r="318" spans="3:5" x14ac:dyDescent="0.35">
      <c r="C318" s="1" t="s">
        <v>9449</v>
      </c>
      <c r="D318" s="1" t="s">
        <v>23</v>
      </c>
      <c r="E318" s="1">
        <v>3310.2550000000001</v>
      </c>
    </row>
    <row r="319" spans="3:5" x14ac:dyDescent="0.35">
      <c r="C319" s="1" t="s">
        <v>9642</v>
      </c>
      <c r="D319" s="1" t="s">
        <v>23</v>
      </c>
      <c r="E319" s="1">
        <v>3310.2559999999999</v>
      </c>
    </row>
    <row r="320" spans="3:5" x14ac:dyDescent="0.35">
      <c r="C320" s="1" t="s">
        <v>9784</v>
      </c>
      <c r="D320" s="1" t="s">
        <v>23</v>
      </c>
      <c r="E320" s="1">
        <v>3310.2570000000001</v>
      </c>
    </row>
    <row r="321" spans="3:5" x14ac:dyDescent="0.35">
      <c r="C321" s="1" t="s">
        <v>9771</v>
      </c>
      <c r="D321" s="1" t="s">
        <v>23</v>
      </c>
      <c r="E321" s="1">
        <v>3310.2579999999998</v>
      </c>
    </row>
    <row r="322" spans="3:5" x14ac:dyDescent="0.35">
      <c r="C322" s="1" t="s">
        <v>9445</v>
      </c>
      <c r="D322" s="1" t="s">
        <v>23</v>
      </c>
      <c r="E322" s="1">
        <v>3310.259</v>
      </c>
    </row>
    <row r="323" spans="3:5" x14ac:dyDescent="0.35">
      <c r="C323" s="1" t="s">
        <v>9638</v>
      </c>
      <c r="D323" s="1" t="s">
        <v>23</v>
      </c>
      <c r="E323" s="1">
        <v>3310.26</v>
      </c>
    </row>
    <row r="324" spans="3:5" x14ac:dyDescent="0.35">
      <c r="C324" s="1" t="s">
        <v>9783</v>
      </c>
      <c r="D324" s="1" t="s">
        <v>23</v>
      </c>
      <c r="E324" s="1">
        <v>3310.261</v>
      </c>
    </row>
    <row r="325" spans="3:5" x14ac:dyDescent="0.35">
      <c r="C325" s="1" t="s">
        <v>9769</v>
      </c>
      <c r="D325" s="1" t="s">
        <v>23</v>
      </c>
      <c r="E325" s="1">
        <v>3310.2620000000002</v>
      </c>
    </row>
    <row r="326" spans="3:5" x14ac:dyDescent="0.35">
      <c r="C326" s="1" t="s">
        <v>9634</v>
      </c>
      <c r="D326" s="1" t="s">
        <v>23</v>
      </c>
      <c r="E326" s="1">
        <v>3310.2629999999999</v>
      </c>
    </row>
    <row r="327" spans="3:5" x14ac:dyDescent="0.35">
      <c r="C327" s="1" t="s">
        <v>9633</v>
      </c>
      <c r="D327" s="1" t="s">
        <v>23</v>
      </c>
      <c r="E327" s="1">
        <v>3310.2640000000001</v>
      </c>
    </row>
    <row r="328" spans="3:5" x14ac:dyDescent="0.35">
      <c r="C328" s="1" t="s">
        <v>9788</v>
      </c>
      <c r="D328" s="1" t="s">
        <v>23</v>
      </c>
      <c r="E328" s="1">
        <v>3310.2649999999999</v>
      </c>
    </row>
    <row r="329" spans="3:5" x14ac:dyDescent="0.35">
      <c r="C329" s="1" t="s">
        <v>9781</v>
      </c>
      <c r="D329" s="1" t="s">
        <v>23</v>
      </c>
      <c r="E329" s="1">
        <v>3310.2660000000001</v>
      </c>
    </row>
    <row r="330" spans="3:5" x14ac:dyDescent="0.35">
      <c r="C330" s="1" t="s">
        <v>9441</v>
      </c>
      <c r="D330" s="1" t="s">
        <v>23</v>
      </c>
      <c r="E330" s="1">
        <v>3310.2669999999998</v>
      </c>
    </row>
    <row r="331" spans="3:5" x14ac:dyDescent="0.35">
      <c r="C331" s="1" t="s">
        <v>9629</v>
      </c>
      <c r="D331" s="1" t="s">
        <v>23</v>
      </c>
      <c r="E331" s="1">
        <v>3310.268</v>
      </c>
    </row>
    <row r="332" spans="3:5" x14ac:dyDescent="0.35">
      <c r="C332" s="1" t="s">
        <v>9765</v>
      </c>
      <c r="D332" s="1" t="s">
        <v>23</v>
      </c>
      <c r="E332" s="1">
        <v>3310.2689999999998</v>
      </c>
    </row>
    <row r="333" spans="3:5" x14ac:dyDescent="0.35">
      <c r="C333" s="1" t="s">
        <v>9764</v>
      </c>
      <c r="D333" s="1" t="s">
        <v>23</v>
      </c>
      <c r="E333" s="1">
        <v>3310.27</v>
      </c>
    </row>
    <row r="334" spans="3:5" x14ac:dyDescent="0.35">
      <c r="C334" s="1" t="s">
        <v>9437</v>
      </c>
      <c r="D334" s="1" t="s">
        <v>23</v>
      </c>
      <c r="E334" s="1">
        <v>3310.2710000000002</v>
      </c>
    </row>
    <row r="335" spans="3:5" x14ac:dyDescent="0.35">
      <c r="C335" s="1" t="s">
        <v>9625</v>
      </c>
      <c r="D335" s="1" t="s">
        <v>23</v>
      </c>
      <c r="E335" s="1">
        <v>3310.2719999999999</v>
      </c>
    </row>
    <row r="336" spans="3:5" x14ac:dyDescent="0.35">
      <c r="C336" s="1" t="s">
        <v>9763</v>
      </c>
      <c r="D336" s="1" t="s">
        <v>23</v>
      </c>
      <c r="E336" s="1">
        <v>3310.2730000000001</v>
      </c>
    </row>
    <row r="337" spans="3:5" x14ac:dyDescent="0.35">
      <c r="C337" s="1" t="s">
        <v>9762</v>
      </c>
      <c r="D337" s="1" t="s">
        <v>23</v>
      </c>
      <c r="E337" s="1">
        <v>3310.2739999999999</v>
      </c>
    </row>
    <row r="338" spans="3:5" x14ac:dyDescent="0.35">
      <c r="C338" s="1" t="s">
        <v>9429</v>
      </c>
      <c r="D338" s="1" t="s">
        <v>23</v>
      </c>
      <c r="E338" s="1">
        <v>3310.2750000000001</v>
      </c>
    </row>
    <row r="339" spans="3:5" x14ac:dyDescent="0.35">
      <c r="C339" s="1" t="s">
        <v>9621</v>
      </c>
      <c r="D339" s="1" t="s">
        <v>23</v>
      </c>
      <c r="E339" s="1">
        <v>3310.2759999999998</v>
      </c>
    </row>
    <row r="340" spans="3:5" x14ac:dyDescent="0.35">
      <c r="C340" s="1" t="s">
        <v>9778</v>
      </c>
      <c r="D340" s="1" t="s">
        <v>23</v>
      </c>
      <c r="E340" s="1">
        <v>3310.277</v>
      </c>
    </row>
    <row r="341" spans="3:5" x14ac:dyDescent="0.35">
      <c r="C341" s="1" t="s">
        <v>9760</v>
      </c>
      <c r="D341" s="1" t="s">
        <v>23</v>
      </c>
      <c r="E341" s="1">
        <v>3310.2779999999998</v>
      </c>
    </row>
    <row r="342" spans="3:5" x14ac:dyDescent="0.35">
      <c r="C342" s="1" t="s">
        <v>9425</v>
      </c>
      <c r="D342" s="1" t="s">
        <v>23</v>
      </c>
      <c r="E342" s="1">
        <v>3310.279</v>
      </c>
    </row>
    <row r="343" spans="3:5" x14ac:dyDescent="0.35">
      <c r="C343" s="1" t="s">
        <v>9617</v>
      </c>
      <c r="D343" s="1" t="s">
        <v>23</v>
      </c>
      <c r="E343" s="1">
        <v>3310.28</v>
      </c>
    </row>
    <row r="344" spans="3:5" x14ac:dyDescent="0.35">
      <c r="C344" s="1" t="s">
        <v>9777</v>
      </c>
      <c r="D344" s="1" t="s">
        <v>23</v>
      </c>
      <c r="E344" s="1">
        <v>3310.2809999999999</v>
      </c>
    </row>
    <row r="345" spans="3:5" x14ac:dyDescent="0.35">
      <c r="C345" s="1" t="s">
        <v>9758</v>
      </c>
      <c r="D345" s="1" t="s">
        <v>23</v>
      </c>
      <c r="E345" s="1">
        <v>3310.2820000000002</v>
      </c>
    </row>
    <row r="346" spans="3:5" x14ac:dyDescent="0.35">
      <c r="C346" s="1" t="s">
        <v>9433</v>
      </c>
      <c r="D346" s="1" t="s">
        <v>23</v>
      </c>
      <c r="E346" s="1">
        <v>3310.2829999999999</v>
      </c>
    </row>
    <row r="347" spans="3:5" x14ac:dyDescent="0.35">
      <c r="C347" s="1" t="s">
        <v>9768</v>
      </c>
      <c r="D347" s="1" t="s">
        <v>23</v>
      </c>
      <c r="E347" s="1">
        <v>3310.2840000000001</v>
      </c>
    </row>
    <row r="348" spans="3:5" x14ac:dyDescent="0.35">
      <c r="C348" s="1" t="s">
        <v>9767</v>
      </c>
      <c r="D348" s="1" t="s">
        <v>23</v>
      </c>
      <c r="E348" s="1">
        <v>3310.2849999999999</v>
      </c>
    </row>
    <row r="349" spans="3:5" x14ac:dyDescent="0.35">
      <c r="C349" s="1" t="s">
        <v>9766</v>
      </c>
      <c r="D349" s="1" t="s">
        <v>23</v>
      </c>
      <c r="E349" s="1">
        <v>3310.2860000000001</v>
      </c>
    </row>
    <row r="350" spans="3:5" x14ac:dyDescent="0.35">
      <c r="C350" s="1" t="s">
        <v>9898</v>
      </c>
      <c r="D350" s="1" t="s">
        <v>57</v>
      </c>
      <c r="E350" s="1">
        <v>3310.29</v>
      </c>
    </row>
    <row r="351" spans="3:5" x14ac:dyDescent="0.35">
      <c r="C351" s="1" t="s">
        <v>9453</v>
      </c>
      <c r="D351" s="1" t="s">
        <v>23</v>
      </c>
      <c r="E351" s="1">
        <v>3310.2910000000002</v>
      </c>
    </row>
    <row r="352" spans="3:5" x14ac:dyDescent="0.35">
      <c r="C352" s="1" t="s">
        <v>9646</v>
      </c>
      <c r="D352" s="1" t="s">
        <v>23</v>
      </c>
      <c r="E352" s="1">
        <v>3310.2919999999999</v>
      </c>
    </row>
    <row r="353" spans="3:5" x14ac:dyDescent="0.35">
      <c r="C353" s="1" t="s">
        <v>9774</v>
      </c>
      <c r="D353" s="1" t="s">
        <v>23</v>
      </c>
      <c r="E353" s="1">
        <v>3310.2930000000001</v>
      </c>
    </row>
    <row r="354" spans="3:5" x14ac:dyDescent="0.35">
      <c r="C354" s="1" t="s">
        <v>9773</v>
      </c>
      <c r="D354" s="1" t="s">
        <v>23</v>
      </c>
      <c r="E354" s="1">
        <v>3310.2959999999998</v>
      </c>
    </row>
    <row r="355" spans="3:5" x14ac:dyDescent="0.35">
      <c r="C355" s="1" t="s">
        <v>9449</v>
      </c>
      <c r="D355" s="1" t="s">
        <v>23</v>
      </c>
      <c r="E355" s="1">
        <v>3310.297</v>
      </c>
    </row>
    <row r="356" spans="3:5" x14ac:dyDescent="0.35">
      <c r="C356" s="1" t="s">
        <v>9642</v>
      </c>
      <c r="D356" s="1" t="s">
        <v>23</v>
      </c>
      <c r="E356" s="1">
        <v>3310.2979999999998</v>
      </c>
    </row>
    <row r="357" spans="3:5" x14ac:dyDescent="0.35">
      <c r="C357" s="1" t="s">
        <v>9772</v>
      </c>
      <c r="D357" s="1" t="s">
        <v>23</v>
      </c>
      <c r="E357" s="1">
        <v>3310.299</v>
      </c>
    </row>
    <row r="358" spans="3:5" x14ac:dyDescent="0.35">
      <c r="C358" s="1" t="s">
        <v>9771</v>
      </c>
      <c r="D358" s="1" t="s">
        <v>23</v>
      </c>
      <c r="E358" s="1">
        <v>3310.3020000000001</v>
      </c>
    </row>
    <row r="359" spans="3:5" x14ac:dyDescent="0.35">
      <c r="C359" s="1" t="s">
        <v>9445</v>
      </c>
      <c r="D359" s="1" t="s">
        <v>23</v>
      </c>
      <c r="E359" s="1">
        <v>3310.3029999999999</v>
      </c>
    </row>
    <row r="360" spans="3:5" x14ac:dyDescent="0.35">
      <c r="C360" s="1" t="s">
        <v>9638</v>
      </c>
      <c r="D360" s="1" t="s">
        <v>23</v>
      </c>
      <c r="E360" s="1">
        <v>3310.3040000000001</v>
      </c>
    </row>
    <row r="361" spans="3:5" x14ac:dyDescent="0.35">
      <c r="C361" s="1" t="s">
        <v>9770</v>
      </c>
      <c r="D361" s="1" t="s">
        <v>23</v>
      </c>
      <c r="E361" s="1">
        <v>3310.3049999999998</v>
      </c>
    </row>
    <row r="362" spans="3:5" x14ac:dyDescent="0.35">
      <c r="C362" s="1" t="s">
        <v>9769</v>
      </c>
      <c r="D362" s="1" t="s">
        <v>23</v>
      </c>
      <c r="E362" s="1">
        <v>3310.308</v>
      </c>
    </row>
    <row r="363" spans="3:5" x14ac:dyDescent="0.35">
      <c r="C363" s="1" t="s">
        <v>9634</v>
      </c>
      <c r="D363" s="1" t="s">
        <v>23</v>
      </c>
      <c r="E363" s="1">
        <v>3310.3090000000002</v>
      </c>
    </row>
    <row r="364" spans="3:5" x14ac:dyDescent="0.35">
      <c r="C364" s="1" t="s">
        <v>9633</v>
      </c>
      <c r="D364" s="1" t="s">
        <v>23</v>
      </c>
      <c r="E364" s="1">
        <v>3310.31</v>
      </c>
    </row>
    <row r="365" spans="3:5" x14ac:dyDescent="0.35">
      <c r="C365" s="1" t="s">
        <v>9788</v>
      </c>
      <c r="D365" s="1" t="s">
        <v>23</v>
      </c>
      <c r="E365" s="1">
        <v>3310.3110000000001</v>
      </c>
    </row>
    <row r="366" spans="3:5" x14ac:dyDescent="0.35">
      <c r="C366" s="1" t="s">
        <v>9781</v>
      </c>
      <c r="D366" s="1" t="s">
        <v>23</v>
      </c>
      <c r="E366" s="1">
        <v>3310.3139999999999</v>
      </c>
    </row>
    <row r="367" spans="3:5" x14ac:dyDescent="0.35">
      <c r="C367" s="1" t="s">
        <v>9441</v>
      </c>
      <c r="D367" s="1" t="s">
        <v>23</v>
      </c>
      <c r="E367" s="1">
        <v>3310.3150000000001</v>
      </c>
    </row>
    <row r="368" spans="3:5" x14ac:dyDescent="0.35">
      <c r="C368" s="1" t="s">
        <v>9629</v>
      </c>
      <c r="D368" s="1" t="s">
        <v>23</v>
      </c>
      <c r="E368" s="1">
        <v>3310.3159999999998</v>
      </c>
    </row>
    <row r="369" spans="3:5" x14ac:dyDescent="0.35">
      <c r="C369" s="1" t="s">
        <v>9765</v>
      </c>
      <c r="D369" s="1" t="s">
        <v>23</v>
      </c>
      <c r="E369" s="1">
        <v>3310.317</v>
      </c>
    </row>
    <row r="370" spans="3:5" x14ac:dyDescent="0.35">
      <c r="C370" s="1" t="s">
        <v>9764</v>
      </c>
      <c r="D370" s="1" t="s">
        <v>23</v>
      </c>
      <c r="E370" s="1">
        <v>3310.32</v>
      </c>
    </row>
    <row r="371" spans="3:5" x14ac:dyDescent="0.35">
      <c r="C371" s="1" t="s">
        <v>9437</v>
      </c>
      <c r="D371" s="1" t="s">
        <v>23</v>
      </c>
      <c r="E371" s="1">
        <v>3310.3209999999999</v>
      </c>
    </row>
    <row r="372" spans="3:5" x14ac:dyDescent="0.35">
      <c r="C372" s="1" t="s">
        <v>9625</v>
      </c>
      <c r="D372" s="1" t="s">
        <v>23</v>
      </c>
      <c r="E372" s="1">
        <v>3310.3220000000001</v>
      </c>
    </row>
    <row r="373" spans="3:5" x14ac:dyDescent="0.35">
      <c r="C373" s="1" t="s">
        <v>9763</v>
      </c>
      <c r="D373" s="1" t="s">
        <v>23</v>
      </c>
      <c r="E373" s="1">
        <v>3310.3229999999999</v>
      </c>
    </row>
    <row r="374" spans="3:5" x14ac:dyDescent="0.35">
      <c r="C374" s="1" t="s">
        <v>9762</v>
      </c>
      <c r="D374" s="1" t="s">
        <v>23</v>
      </c>
      <c r="E374" s="1">
        <v>3310.326</v>
      </c>
    </row>
    <row r="375" spans="3:5" x14ac:dyDescent="0.35">
      <c r="C375" s="1" t="s">
        <v>9429</v>
      </c>
      <c r="D375" s="1" t="s">
        <v>23</v>
      </c>
      <c r="E375" s="1">
        <v>3310.3270000000002</v>
      </c>
    </row>
    <row r="376" spans="3:5" x14ac:dyDescent="0.35">
      <c r="C376" s="1" t="s">
        <v>9621</v>
      </c>
      <c r="D376" s="1" t="s">
        <v>23</v>
      </c>
      <c r="E376" s="1">
        <v>3310.328</v>
      </c>
    </row>
    <row r="377" spans="3:5" x14ac:dyDescent="0.35">
      <c r="C377" s="1" t="s">
        <v>9761</v>
      </c>
      <c r="D377" s="1" t="s">
        <v>23</v>
      </c>
      <c r="E377" s="1">
        <v>3310.3290000000002</v>
      </c>
    </row>
    <row r="378" spans="3:5" x14ac:dyDescent="0.35">
      <c r="C378" s="1" t="s">
        <v>9760</v>
      </c>
      <c r="D378" s="1" t="s">
        <v>23</v>
      </c>
      <c r="E378" s="1">
        <v>3310.3319999999999</v>
      </c>
    </row>
    <row r="379" spans="3:5" x14ac:dyDescent="0.35">
      <c r="C379" s="1" t="s">
        <v>9425</v>
      </c>
      <c r="D379" s="1" t="s">
        <v>23</v>
      </c>
      <c r="E379" s="1">
        <v>3310.3330000000001</v>
      </c>
    </row>
    <row r="380" spans="3:5" x14ac:dyDescent="0.35">
      <c r="C380" s="1" t="s">
        <v>9617</v>
      </c>
      <c r="D380" s="1" t="s">
        <v>23</v>
      </c>
      <c r="E380" s="1">
        <v>3310.3339999999998</v>
      </c>
    </row>
    <row r="381" spans="3:5" x14ac:dyDescent="0.35">
      <c r="C381" s="1" t="s">
        <v>9759</v>
      </c>
      <c r="D381" s="1" t="s">
        <v>23</v>
      </c>
      <c r="E381" s="1">
        <v>3310.335</v>
      </c>
    </row>
    <row r="382" spans="3:5" x14ac:dyDescent="0.35">
      <c r="C382" s="1" t="s">
        <v>9758</v>
      </c>
      <c r="D382" s="1" t="s">
        <v>23</v>
      </c>
      <c r="E382" s="1">
        <v>3310.3380000000002</v>
      </c>
    </row>
    <row r="383" spans="3:5" x14ac:dyDescent="0.35">
      <c r="C383" s="1" t="s">
        <v>9433</v>
      </c>
      <c r="D383" s="1" t="s">
        <v>23</v>
      </c>
      <c r="E383" s="1">
        <v>3310.3389999999999</v>
      </c>
    </row>
    <row r="384" spans="3:5" x14ac:dyDescent="0.35">
      <c r="C384" s="1" t="s">
        <v>9768</v>
      </c>
      <c r="D384" s="1" t="s">
        <v>23</v>
      </c>
      <c r="E384" s="1">
        <v>3310.34</v>
      </c>
    </row>
    <row r="385" spans="3:5" x14ac:dyDescent="0.35">
      <c r="C385" s="1" t="s">
        <v>9767</v>
      </c>
      <c r="D385" s="1" t="s">
        <v>23</v>
      </c>
      <c r="E385" s="1">
        <v>3310.3409999999999</v>
      </c>
    </row>
    <row r="386" spans="3:5" x14ac:dyDescent="0.35">
      <c r="C386" s="1" t="s">
        <v>9766</v>
      </c>
      <c r="D386" s="1" t="s">
        <v>23</v>
      </c>
      <c r="E386" s="1">
        <v>3310.3420000000001</v>
      </c>
    </row>
    <row r="387" spans="3:5" x14ac:dyDescent="0.35">
      <c r="C387" s="1" t="s">
        <v>9897</v>
      </c>
      <c r="D387" s="1" t="s">
        <v>57</v>
      </c>
      <c r="E387" s="1">
        <v>3310.35</v>
      </c>
    </row>
    <row r="388" spans="3:5" x14ac:dyDescent="0.35">
      <c r="C388" s="1" t="s">
        <v>9453</v>
      </c>
      <c r="D388" s="1" t="s">
        <v>23</v>
      </c>
      <c r="E388" s="1">
        <v>3310.3510000000001</v>
      </c>
    </row>
    <row r="389" spans="3:5" x14ac:dyDescent="0.35">
      <c r="C389" s="1" t="s">
        <v>9646</v>
      </c>
      <c r="D389" s="1" t="s">
        <v>23</v>
      </c>
      <c r="E389" s="1">
        <v>3310.3519999999999</v>
      </c>
    </row>
    <row r="390" spans="3:5" x14ac:dyDescent="0.35">
      <c r="C390" s="1" t="s">
        <v>9785</v>
      </c>
      <c r="D390" s="1" t="s">
        <v>23</v>
      </c>
      <c r="E390" s="1">
        <v>3310.3530000000001</v>
      </c>
    </row>
    <row r="391" spans="3:5" x14ac:dyDescent="0.35">
      <c r="C391" s="1" t="s">
        <v>9773</v>
      </c>
      <c r="D391" s="1" t="s">
        <v>23</v>
      </c>
      <c r="E391" s="1">
        <v>3310.3560000000002</v>
      </c>
    </row>
    <row r="392" spans="3:5" x14ac:dyDescent="0.35">
      <c r="C392" s="1" t="s">
        <v>9449</v>
      </c>
      <c r="D392" s="1" t="s">
        <v>23</v>
      </c>
      <c r="E392" s="1">
        <v>3310.357</v>
      </c>
    </row>
    <row r="393" spans="3:5" x14ac:dyDescent="0.35">
      <c r="C393" s="1" t="s">
        <v>9642</v>
      </c>
      <c r="D393" s="1" t="s">
        <v>23</v>
      </c>
      <c r="E393" s="1">
        <v>3310.3580000000002</v>
      </c>
    </row>
    <row r="394" spans="3:5" x14ac:dyDescent="0.35">
      <c r="C394" s="1" t="s">
        <v>9784</v>
      </c>
      <c r="D394" s="1" t="s">
        <v>23</v>
      </c>
      <c r="E394" s="1">
        <v>3310.3589999999999</v>
      </c>
    </row>
    <row r="395" spans="3:5" x14ac:dyDescent="0.35">
      <c r="C395" s="1" t="s">
        <v>9771</v>
      </c>
      <c r="D395" s="1" t="s">
        <v>23</v>
      </c>
      <c r="E395" s="1">
        <v>3310.3620000000001</v>
      </c>
    </row>
    <row r="396" spans="3:5" x14ac:dyDescent="0.35">
      <c r="C396" s="1" t="s">
        <v>9445</v>
      </c>
      <c r="D396" s="1" t="s">
        <v>23</v>
      </c>
      <c r="E396" s="1">
        <v>3310.3629999999998</v>
      </c>
    </row>
    <row r="397" spans="3:5" x14ac:dyDescent="0.35">
      <c r="C397" s="1" t="s">
        <v>9638</v>
      </c>
      <c r="D397" s="1" t="s">
        <v>23</v>
      </c>
      <c r="E397" s="1">
        <v>3310.364</v>
      </c>
    </row>
    <row r="398" spans="3:5" x14ac:dyDescent="0.35">
      <c r="C398" s="1" t="s">
        <v>9783</v>
      </c>
      <c r="D398" s="1" t="s">
        <v>23</v>
      </c>
      <c r="E398" s="1">
        <v>3310.3649999999998</v>
      </c>
    </row>
    <row r="399" spans="3:5" x14ac:dyDescent="0.35">
      <c r="C399" s="1" t="s">
        <v>9769</v>
      </c>
      <c r="D399" s="1" t="s">
        <v>23</v>
      </c>
      <c r="E399" s="1">
        <v>3310.3679999999999</v>
      </c>
    </row>
    <row r="400" spans="3:5" x14ac:dyDescent="0.35">
      <c r="C400" s="1" t="s">
        <v>9634</v>
      </c>
      <c r="D400" s="1" t="s">
        <v>23</v>
      </c>
      <c r="E400" s="1">
        <v>3310.3690000000001</v>
      </c>
    </row>
    <row r="401" spans="3:5" x14ac:dyDescent="0.35">
      <c r="C401" s="1" t="s">
        <v>9633</v>
      </c>
      <c r="D401" s="1" t="s">
        <v>23</v>
      </c>
      <c r="E401" s="1">
        <v>3310.37</v>
      </c>
    </row>
    <row r="402" spans="3:5" x14ac:dyDescent="0.35">
      <c r="C402" s="1" t="s">
        <v>9788</v>
      </c>
      <c r="D402" s="1" t="s">
        <v>23</v>
      </c>
      <c r="E402" s="1">
        <v>3310.3710000000001</v>
      </c>
    </row>
    <row r="403" spans="3:5" x14ac:dyDescent="0.35">
      <c r="C403" s="1" t="s">
        <v>9896</v>
      </c>
      <c r="D403" s="1" t="s">
        <v>23</v>
      </c>
      <c r="E403" s="1">
        <v>3310.3739999999998</v>
      </c>
    </row>
    <row r="404" spans="3:5" x14ac:dyDescent="0.35">
      <c r="C404" s="1" t="s">
        <v>9441</v>
      </c>
      <c r="D404" s="1" t="s">
        <v>23</v>
      </c>
      <c r="E404" s="1">
        <v>3310.375</v>
      </c>
    </row>
    <row r="405" spans="3:5" x14ac:dyDescent="0.35">
      <c r="C405" s="1" t="s">
        <v>9629</v>
      </c>
      <c r="D405" s="1" t="s">
        <v>23</v>
      </c>
      <c r="E405" s="1">
        <v>3310.3760000000002</v>
      </c>
    </row>
    <row r="406" spans="3:5" x14ac:dyDescent="0.35">
      <c r="C406" s="1" t="s">
        <v>9765</v>
      </c>
      <c r="D406" s="1" t="s">
        <v>23</v>
      </c>
      <c r="E406" s="1">
        <v>3310.377</v>
      </c>
    </row>
    <row r="407" spans="3:5" x14ac:dyDescent="0.35">
      <c r="C407" s="1" t="s">
        <v>9764</v>
      </c>
      <c r="D407" s="1" t="s">
        <v>23</v>
      </c>
      <c r="E407" s="1">
        <v>3310.38</v>
      </c>
    </row>
    <row r="408" spans="3:5" x14ac:dyDescent="0.35">
      <c r="C408" s="1" t="s">
        <v>9437</v>
      </c>
      <c r="D408" s="1" t="s">
        <v>23</v>
      </c>
      <c r="E408" s="1">
        <v>3310.3809999999999</v>
      </c>
    </row>
    <row r="409" spans="3:5" x14ac:dyDescent="0.35">
      <c r="C409" s="1" t="s">
        <v>9625</v>
      </c>
      <c r="D409" s="1" t="s">
        <v>23</v>
      </c>
      <c r="E409" s="1">
        <v>3310.3820000000001</v>
      </c>
    </row>
    <row r="410" spans="3:5" x14ac:dyDescent="0.35">
      <c r="C410" s="1" t="s">
        <v>9763</v>
      </c>
      <c r="D410" s="1" t="s">
        <v>23</v>
      </c>
      <c r="E410" s="1">
        <v>3310.3829999999998</v>
      </c>
    </row>
    <row r="411" spans="3:5" x14ac:dyDescent="0.35">
      <c r="C411" s="1" t="s">
        <v>9762</v>
      </c>
      <c r="D411" s="1" t="s">
        <v>23</v>
      </c>
      <c r="E411" s="1">
        <v>3310.386</v>
      </c>
    </row>
    <row r="412" spans="3:5" x14ac:dyDescent="0.35">
      <c r="C412" s="1" t="s">
        <v>9429</v>
      </c>
      <c r="D412" s="1" t="s">
        <v>23</v>
      </c>
      <c r="E412" s="1">
        <v>3310.3870000000002</v>
      </c>
    </row>
    <row r="413" spans="3:5" x14ac:dyDescent="0.35">
      <c r="C413" s="1" t="s">
        <v>9621</v>
      </c>
      <c r="D413" s="1" t="s">
        <v>23</v>
      </c>
      <c r="E413" s="1">
        <v>3310.3879999999999</v>
      </c>
    </row>
    <row r="414" spans="3:5" x14ac:dyDescent="0.35">
      <c r="C414" s="1" t="s">
        <v>9621</v>
      </c>
      <c r="D414" s="1" t="s">
        <v>23</v>
      </c>
      <c r="E414" s="1">
        <v>3310.3890000000001</v>
      </c>
    </row>
    <row r="415" spans="3:5" x14ac:dyDescent="0.35">
      <c r="C415" s="1" t="s">
        <v>9760</v>
      </c>
      <c r="D415" s="1" t="s">
        <v>23</v>
      </c>
      <c r="E415" s="1">
        <v>3310.3919999999998</v>
      </c>
    </row>
    <row r="416" spans="3:5" x14ac:dyDescent="0.35">
      <c r="C416" s="1" t="s">
        <v>9425</v>
      </c>
      <c r="D416" s="1" t="s">
        <v>23</v>
      </c>
      <c r="E416" s="1">
        <v>3310.393</v>
      </c>
    </row>
    <row r="417" spans="3:5" x14ac:dyDescent="0.35">
      <c r="C417" s="1" t="s">
        <v>9617</v>
      </c>
      <c r="D417" s="1" t="s">
        <v>23</v>
      </c>
      <c r="E417" s="1">
        <v>3310.3939999999998</v>
      </c>
    </row>
    <row r="418" spans="3:5" x14ac:dyDescent="0.35">
      <c r="C418" s="1" t="s">
        <v>9759</v>
      </c>
      <c r="D418" s="1" t="s">
        <v>23</v>
      </c>
      <c r="E418" s="1">
        <v>3310.395</v>
      </c>
    </row>
    <row r="419" spans="3:5" x14ac:dyDescent="0.35">
      <c r="C419" s="1" t="s">
        <v>9758</v>
      </c>
      <c r="D419" s="1" t="s">
        <v>23</v>
      </c>
      <c r="E419" s="1">
        <v>3310.3980000000001</v>
      </c>
    </row>
    <row r="420" spans="3:5" x14ac:dyDescent="0.35">
      <c r="C420" s="1" t="s">
        <v>9895</v>
      </c>
      <c r="D420" s="1" t="s">
        <v>23</v>
      </c>
      <c r="E420" s="1">
        <v>3310.3989999999999</v>
      </c>
    </row>
    <row r="421" spans="3:5" x14ac:dyDescent="0.35">
      <c r="C421" s="1" t="s">
        <v>9894</v>
      </c>
      <c r="D421" s="1" t="s">
        <v>23</v>
      </c>
      <c r="E421" s="1">
        <v>3310.4</v>
      </c>
    </row>
    <row r="422" spans="3:5" x14ac:dyDescent="0.35">
      <c r="C422" s="1" t="s">
        <v>9893</v>
      </c>
      <c r="D422" s="1" t="s">
        <v>23</v>
      </c>
      <c r="E422" s="1">
        <v>3310.4009999999998</v>
      </c>
    </row>
    <row r="423" spans="3:5" x14ac:dyDescent="0.35">
      <c r="C423" s="1" t="s">
        <v>9892</v>
      </c>
      <c r="D423" s="1" t="s">
        <v>23</v>
      </c>
      <c r="E423" s="1">
        <v>3310.402</v>
      </c>
    </row>
    <row r="424" spans="3:5" x14ac:dyDescent="0.35">
      <c r="C424" s="1" t="s">
        <v>9891</v>
      </c>
      <c r="D424" s="1" t="s">
        <v>23</v>
      </c>
      <c r="E424" s="1">
        <v>3310.4029999999998</v>
      </c>
    </row>
    <row r="425" spans="3:5" x14ac:dyDescent="0.35">
      <c r="C425" s="1" t="s">
        <v>9890</v>
      </c>
      <c r="D425" s="1" t="s">
        <v>23</v>
      </c>
      <c r="E425" s="1">
        <v>3310.404</v>
      </c>
    </row>
    <row r="426" spans="3:5" x14ac:dyDescent="0.35">
      <c r="C426" s="1" t="s">
        <v>9889</v>
      </c>
      <c r="D426" s="1" t="s">
        <v>23</v>
      </c>
      <c r="E426" s="1">
        <v>3310.4050000000002</v>
      </c>
    </row>
    <row r="427" spans="3:5" x14ac:dyDescent="0.35">
      <c r="C427" s="1" t="s">
        <v>9888</v>
      </c>
      <c r="D427" s="1" t="s">
        <v>23</v>
      </c>
      <c r="E427" s="1">
        <v>3310.4059999999999</v>
      </c>
    </row>
    <row r="428" spans="3:5" x14ac:dyDescent="0.35">
      <c r="C428" s="1" t="s">
        <v>9887</v>
      </c>
      <c r="D428" s="1" t="s">
        <v>23</v>
      </c>
      <c r="E428" s="1">
        <v>3310.4070000000002</v>
      </c>
    </row>
    <row r="429" spans="3:5" x14ac:dyDescent="0.35">
      <c r="C429" s="1" t="s">
        <v>9886</v>
      </c>
      <c r="D429" s="1" t="s">
        <v>23</v>
      </c>
      <c r="E429" s="1">
        <v>3310.4079999999999</v>
      </c>
    </row>
    <row r="430" spans="3:5" x14ac:dyDescent="0.35">
      <c r="C430" s="1" t="s">
        <v>9885</v>
      </c>
      <c r="D430" s="1" t="s">
        <v>23</v>
      </c>
      <c r="E430" s="1">
        <v>3310.4090000000001</v>
      </c>
    </row>
    <row r="431" spans="3:5" x14ac:dyDescent="0.35">
      <c r="C431" s="1" t="s">
        <v>9884</v>
      </c>
      <c r="D431" s="1" t="s">
        <v>23</v>
      </c>
      <c r="E431" s="1">
        <v>3310.41</v>
      </c>
    </row>
    <row r="432" spans="3:5" x14ac:dyDescent="0.35">
      <c r="C432" s="1" t="s">
        <v>9883</v>
      </c>
      <c r="D432" s="1" t="s">
        <v>23</v>
      </c>
      <c r="E432" s="1">
        <v>3310.4110000000001</v>
      </c>
    </row>
    <row r="433" spans="3:5" x14ac:dyDescent="0.35">
      <c r="C433" s="1" t="s">
        <v>9882</v>
      </c>
      <c r="D433" s="1" t="s">
        <v>23</v>
      </c>
      <c r="E433" s="1">
        <v>3310.4119999999998</v>
      </c>
    </row>
    <row r="434" spans="3:5" x14ac:dyDescent="0.35">
      <c r="C434" s="1" t="s">
        <v>9881</v>
      </c>
      <c r="D434" s="1" t="s">
        <v>23</v>
      </c>
      <c r="E434" s="1">
        <v>3310.413</v>
      </c>
    </row>
    <row r="435" spans="3:5" x14ac:dyDescent="0.35">
      <c r="C435" s="1" t="s">
        <v>9880</v>
      </c>
      <c r="D435" s="1" t="s">
        <v>23</v>
      </c>
      <c r="E435" s="1">
        <v>3310.4140000000002</v>
      </c>
    </row>
    <row r="436" spans="3:5" x14ac:dyDescent="0.35">
      <c r="C436" s="1" t="s">
        <v>9879</v>
      </c>
      <c r="D436" s="1" t="s">
        <v>23</v>
      </c>
      <c r="E436" s="1">
        <v>3310.415</v>
      </c>
    </row>
    <row r="437" spans="3:5" x14ac:dyDescent="0.35">
      <c r="C437" s="1" t="s">
        <v>9878</v>
      </c>
      <c r="D437" s="1" t="s">
        <v>23</v>
      </c>
      <c r="E437" s="1">
        <v>3310.4160000000002</v>
      </c>
    </row>
    <row r="438" spans="3:5" x14ac:dyDescent="0.35">
      <c r="C438" s="1" t="s">
        <v>9877</v>
      </c>
      <c r="D438" s="1" t="s">
        <v>23</v>
      </c>
      <c r="E438" s="1">
        <v>3310.4169999999999</v>
      </c>
    </row>
    <row r="439" spans="3:5" x14ac:dyDescent="0.35">
      <c r="C439" s="1" t="s">
        <v>9876</v>
      </c>
      <c r="D439" s="1" t="s">
        <v>23</v>
      </c>
      <c r="E439" s="1">
        <v>3310.4180000000001</v>
      </c>
    </row>
    <row r="440" spans="3:5" x14ac:dyDescent="0.35">
      <c r="C440" s="1" t="s">
        <v>9875</v>
      </c>
      <c r="D440" s="1" t="s">
        <v>23</v>
      </c>
      <c r="E440" s="1">
        <v>3310.4189999999999</v>
      </c>
    </row>
    <row r="441" spans="3:5" x14ac:dyDescent="0.35">
      <c r="C441" s="1" t="s">
        <v>9874</v>
      </c>
      <c r="D441" s="1" t="s">
        <v>23</v>
      </c>
      <c r="E441" s="1">
        <v>3310.42</v>
      </c>
    </row>
    <row r="442" spans="3:5" x14ac:dyDescent="0.35">
      <c r="C442" s="1" t="s">
        <v>9873</v>
      </c>
      <c r="D442" s="1" t="s">
        <v>23</v>
      </c>
      <c r="E442" s="1">
        <v>3310.4209999999998</v>
      </c>
    </row>
    <row r="443" spans="3:5" x14ac:dyDescent="0.35">
      <c r="C443" s="1" t="s">
        <v>9872</v>
      </c>
      <c r="D443" s="1" t="s">
        <v>23</v>
      </c>
      <c r="E443" s="1">
        <v>3310.422</v>
      </c>
    </row>
    <row r="444" spans="3:5" x14ac:dyDescent="0.35">
      <c r="C444" s="1" t="s">
        <v>9871</v>
      </c>
      <c r="D444" s="1" t="s">
        <v>23</v>
      </c>
      <c r="E444" s="1">
        <v>3310.4229999999998</v>
      </c>
    </row>
    <row r="445" spans="3:5" x14ac:dyDescent="0.35">
      <c r="C445" s="1" t="s">
        <v>9870</v>
      </c>
      <c r="D445" s="1" t="s">
        <v>23</v>
      </c>
      <c r="E445" s="1">
        <v>3310.424</v>
      </c>
    </row>
    <row r="446" spans="3:5" x14ac:dyDescent="0.35">
      <c r="C446" s="1" t="s">
        <v>9869</v>
      </c>
      <c r="D446" s="1" t="s">
        <v>18</v>
      </c>
      <c r="E446" s="1">
        <v>3310.43</v>
      </c>
    </row>
    <row r="447" spans="3:5" x14ac:dyDescent="0.35">
      <c r="C447" s="1" t="s">
        <v>9868</v>
      </c>
      <c r="D447" s="1" t="s">
        <v>64</v>
      </c>
      <c r="E447" s="1">
        <v>3310.4349999999999</v>
      </c>
    </row>
    <row r="448" spans="3:5" x14ac:dyDescent="0.35">
      <c r="C448" s="1" t="s">
        <v>9867</v>
      </c>
      <c r="D448" s="1" t="s">
        <v>57</v>
      </c>
      <c r="E448" s="1">
        <v>3310.45</v>
      </c>
    </row>
    <row r="449" spans="3:5" x14ac:dyDescent="0.35">
      <c r="C449" s="1" t="s">
        <v>9453</v>
      </c>
      <c r="D449" s="1" t="s">
        <v>23</v>
      </c>
      <c r="E449" s="1">
        <v>3310.451</v>
      </c>
    </row>
    <row r="450" spans="3:5" x14ac:dyDescent="0.35">
      <c r="C450" s="1" t="s">
        <v>9646</v>
      </c>
      <c r="D450" s="1" t="s">
        <v>23</v>
      </c>
      <c r="E450" s="1">
        <v>3310.4520000000002</v>
      </c>
    </row>
    <row r="451" spans="3:5" x14ac:dyDescent="0.35">
      <c r="C451" s="1" t="s">
        <v>9774</v>
      </c>
      <c r="D451" s="1" t="s">
        <v>23</v>
      </c>
      <c r="E451" s="1">
        <v>3310.453</v>
      </c>
    </row>
    <row r="452" spans="3:5" x14ac:dyDescent="0.35">
      <c r="C452" s="1" t="s">
        <v>9773</v>
      </c>
      <c r="D452" s="1" t="s">
        <v>23</v>
      </c>
      <c r="E452" s="1">
        <v>3310.4560000000001</v>
      </c>
    </row>
    <row r="453" spans="3:5" x14ac:dyDescent="0.35">
      <c r="C453" s="1" t="s">
        <v>9449</v>
      </c>
      <c r="D453" s="1" t="s">
        <v>23</v>
      </c>
      <c r="E453" s="1">
        <v>3310.4569999999999</v>
      </c>
    </row>
    <row r="454" spans="3:5" x14ac:dyDescent="0.35">
      <c r="C454" s="1" t="s">
        <v>9642</v>
      </c>
      <c r="D454" s="1" t="s">
        <v>23</v>
      </c>
      <c r="E454" s="1">
        <v>3310.4580000000001</v>
      </c>
    </row>
    <row r="455" spans="3:5" x14ac:dyDescent="0.35">
      <c r="C455" s="1" t="s">
        <v>9772</v>
      </c>
      <c r="D455" s="1" t="s">
        <v>23</v>
      </c>
      <c r="E455" s="1">
        <v>3310.4589999999998</v>
      </c>
    </row>
    <row r="456" spans="3:5" x14ac:dyDescent="0.35">
      <c r="C456" s="1" t="s">
        <v>9771</v>
      </c>
      <c r="D456" s="1" t="s">
        <v>23</v>
      </c>
      <c r="E456" s="1">
        <v>3310.462</v>
      </c>
    </row>
    <row r="457" spans="3:5" x14ac:dyDescent="0.35">
      <c r="C457" s="1" t="s">
        <v>9445</v>
      </c>
      <c r="D457" s="1" t="s">
        <v>23</v>
      </c>
      <c r="E457" s="1">
        <v>3310.4630000000002</v>
      </c>
    </row>
    <row r="458" spans="3:5" x14ac:dyDescent="0.35">
      <c r="C458" s="1" t="s">
        <v>9638</v>
      </c>
      <c r="D458" s="1" t="s">
        <v>23</v>
      </c>
      <c r="E458" s="1">
        <v>3310.4639999999999</v>
      </c>
    </row>
    <row r="459" spans="3:5" x14ac:dyDescent="0.35">
      <c r="C459" s="1" t="s">
        <v>9770</v>
      </c>
      <c r="D459" s="1" t="s">
        <v>23</v>
      </c>
      <c r="E459" s="1">
        <v>3310.4650000000001</v>
      </c>
    </row>
    <row r="460" spans="3:5" x14ac:dyDescent="0.35">
      <c r="C460" s="1" t="s">
        <v>9769</v>
      </c>
      <c r="D460" s="1" t="s">
        <v>23</v>
      </c>
      <c r="E460" s="1">
        <v>3310.4679999999998</v>
      </c>
    </row>
    <row r="461" spans="3:5" x14ac:dyDescent="0.35">
      <c r="C461" s="1" t="s">
        <v>9634</v>
      </c>
      <c r="D461" s="1" t="s">
        <v>23</v>
      </c>
      <c r="E461" s="1">
        <v>3310.4690000000001</v>
      </c>
    </row>
    <row r="462" spans="3:5" x14ac:dyDescent="0.35">
      <c r="C462" s="1" t="s">
        <v>9633</v>
      </c>
      <c r="D462" s="1" t="s">
        <v>23</v>
      </c>
      <c r="E462" s="1">
        <v>3310.47</v>
      </c>
    </row>
    <row r="463" spans="3:5" x14ac:dyDescent="0.35">
      <c r="C463" s="1" t="s">
        <v>9788</v>
      </c>
      <c r="D463" s="1" t="s">
        <v>23</v>
      </c>
      <c r="E463" s="1">
        <v>3310.471</v>
      </c>
    </row>
    <row r="464" spans="3:5" x14ac:dyDescent="0.35">
      <c r="C464" s="1" t="s">
        <v>9781</v>
      </c>
      <c r="D464" s="1" t="s">
        <v>23</v>
      </c>
      <c r="E464" s="1">
        <v>3310.4740000000002</v>
      </c>
    </row>
    <row r="465" spans="3:5" x14ac:dyDescent="0.35">
      <c r="C465" s="1" t="s">
        <v>9441</v>
      </c>
      <c r="D465" s="1" t="s">
        <v>23</v>
      </c>
      <c r="E465" s="1">
        <v>3310.4749999999999</v>
      </c>
    </row>
    <row r="466" spans="3:5" x14ac:dyDescent="0.35">
      <c r="C466" s="1" t="s">
        <v>9629</v>
      </c>
      <c r="D466" s="1" t="s">
        <v>23</v>
      </c>
      <c r="E466" s="1">
        <v>3310.4760000000001</v>
      </c>
    </row>
    <row r="467" spans="3:5" x14ac:dyDescent="0.35">
      <c r="C467" s="1" t="s">
        <v>9765</v>
      </c>
      <c r="D467" s="1" t="s">
        <v>23</v>
      </c>
      <c r="E467" s="1">
        <v>3310.4769999999999</v>
      </c>
    </row>
    <row r="468" spans="3:5" x14ac:dyDescent="0.35">
      <c r="C468" s="1" t="s">
        <v>9764</v>
      </c>
      <c r="D468" s="1" t="s">
        <v>23</v>
      </c>
      <c r="E468" s="1">
        <v>3310.48</v>
      </c>
    </row>
    <row r="469" spans="3:5" x14ac:dyDescent="0.35">
      <c r="C469" s="1" t="s">
        <v>9437</v>
      </c>
      <c r="D469" s="1" t="s">
        <v>23</v>
      </c>
      <c r="E469" s="1">
        <v>3310.4810000000002</v>
      </c>
    </row>
    <row r="470" spans="3:5" x14ac:dyDescent="0.35">
      <c r="C470" s="1" t="s">
        <v>9625</v>
      </c>
      <c r="D470" s="1" t="s">
        <v>23</v>
      </c>
      <c r="E470" s="1">
        <v>3310.482</v>
      </c>
    </row>
    <row r="471" spans="3:5" x14ac:dyDescent="0.35">
      <c r="C471" s="1" t="s">
        <v>9763</v>
      </c>
      <c r="D471" s="1" t="s">
        <v>23</v>
      </c>
      <c r="E471" s="1">
        <v>3310.4830000000002</v>
      </c>
    </row>
    <row r="472" spans="3:5" x14ac:dyDescent="0.35">
      <c r="C472" s="1" t="s">
        <v>9762</v>
      </c>
      <c r="D472" s="1" t="s">
        <v>23</v>
      </c>
      <c r="E472" s="1">
        <v>3310.4859999999999</v>
      </c>
    </row>
    <row r="473" spans="3:5" x14ac:dyDescent="0.35">
      <c r="C473" s="1" t="s">
        <v>9429</v>
      </c>
      <c r="D473" s="1" t="s">
        <v>23</v>
      </c>
      <c r="E473" s="1">
        <v>3310.4870000000001</v>
      </c>
    </row>
    <row r="474" spans="3:5" x14ac:dyDescent="0.35">
      <c r="C474" s="1" t="s">
        <v>9621</v>
      </c>
      <c r="D474" s="1" t="s">
        <v>23</v>
      </c>
      <c r="E474" s="1">
        <v>3310.4879999999998</v>
      </c>
    </row>
    <row r="475" spans="3:5" x14ac:dyDescent="0.35">
      <c r="C475" s="1" t="s">
        <v>9761</v>
      </c>
      <c r="D475" s="1" t="s">
        <v>23</v>
      </c>
      <c r="E475" s="1">
        <v>3310.489</v>
      </c>
    </row>
    <row r="476" spans="3:5" x14ac:dyDescent="0.35">
      <c r="C476" s="1" t="s">
        <v>9760</v>
      </c>
      <c r="D476" s="1" t="s">
        <v>23</v>
      </c>
      <c r="E476" s="1">
        <v>3310.4920000000002</v>
      </c>
    </row>
    <row r="477" spans="3:5" x14ac:dyDescent="0.35">
      <c r="C477" s="1" t="s">
        <v>9425</v>
      </c>
      <c r="D477" s="1" t="s">
        <v>23</v>
      </c>
      <c r="E477" s="1">
        <v>3310.4929999999999</v>
      </c>
    </row>
    <row r="478" spans="3:5" x14ac:dyDescent="0.35">
      <c r="C478" s="1" t="s">
        <v>9617</v>
      </c>
      <c r="D478" s="1" t="s">
        <v>23</v>
      </c>
      <c r="E478" s="1">
        <v>3310.4940000000001</v>
      </c>
    </row>
    <row r="479" spans="3:5" x14ac:dyDescent="0.35">
      <c r="C479" s="1" t="s">
        <v>9759</v>
      </c>
      <c r="D479" s="1" t="s">
        <v>23</v>
      </c>
      <c r="E479" s="1">
        <v>3310.4949999999999</v>
      </c>
    </row>
    <row r="480" spans="3:5" x14ac:dyDescent="0.35">
      <c r="C480" s="1" t="s">
        <v>9758</v>
      </c>
      <c r="D480" s="1" t="s">
        <v>23</v>
      </c>
      <c r="E480" s="1">
        <v>3310.498</v>
      </c>
    </row>
    <row r="481" spans="3:5" x14ac:dyDescent="0.35">
      <c r="C481" s="1" t="s">
        <v>9866</v>
      </c>
      <c r="D481" s="1" t="s">
        <v>57</v>
      </c>
      <c r="E481" s="1">
        <v>3310.5</v>
      </c>
    </row>
    <row r="482" spans="3:5" x14ac:dyDescent="0.35">
      <c r="C482" s="1" t="s">
        <v>9453</v>
      </c>
      <c r="D482" s="1" t="s">
        <v>23</v>
      </c>
      <c r="E482" s="1">
        <v>3310.5010000000002</v>
      </c>
    </row>
    <row r="483" spans="3:5" x14ac:dyDescent="0.35">
      <c r="C483" s="1" t="s">
        <v>9646</v>
      </c>
      <c r="D483" s="1" t="s">
        <v>23</v>
      </c>
      <c r="E483" s="1">
        <v>3310.502</v>
      </c>
    </row>
    <row r="484" spans="3:5" x14ac:dyDescent="0.35">
      <c r="C484" s="1" t="s">
        <v>9774</v>
      </c>
      <c r="D484" s="1" t="s">
        <v>23</v>
      </c>
      <c r="E484" s="1">
        <v>3310.5030000000002</v>
      </c>
    </row>
    <row r="485" spans="3:5" x14ac:dyDescent="0.35">
      <c r="C485" s="1" t="s">
        <v>9773</v>
      </c>
      <c r="D485" s="1" t="s">
        <v>23</v>
      </c>
      <c r="E485" s="1">
        <v>3310.5059999999999</v>
      </c>
    </row>
    <row r="486" spans="3:5" x14ac:dyDescent="0.35">
      <c r="C486" s="1" t="s">
        <v>9449</v>
      </c>
      <c r="D486" s="1" t="s">
        <v>23</v>
      </c>
      <c r="E486" s="1">
        <v>3310.5070000000001</v>
      </c>
    </row>
    <row r="487" spans="3:5" x14ac:dyDescent="0.35">
      <c r="C487" s="1" t="s">
        <v>9642</v>
      </c>
      <c r="D487" s="1" t="s">
        <v>23</v>
      </c>
      <c r="E487" s="1">
        <v>3310.5079999999998</v>
      </c>
    </row>
    <row r="488" spans="3:5" x14ac:dyDescent="0.35">
      <c r="C488" s="1" t="s">
        <v>9772</v>
      </c>
      <c r="D488" s="1" t="s">
        <v>23</v>
      </c>
      <c r="E488" s="1">
        <v>3310.509</v>
      </c>
    </row>
    <row r="489" spans="3:5" x14ac:dyDescent="0.35">
      <c r="C489" s="1" t="s">
        <v>9771</v>
      </c>
      <c r="D489" s="1" t="s">
        <v>23</v>
      </c>
      <c r="E489" s="1">
        <v>3310.5120000000002</v>
      </c>
    </row>
    <row r="490" spans="3:5" x14ac:dyDescent="0.35">
      <c r="C490" s="1" t="s">
        <v>9445</v>
      </c>
      <c r="D490" s="1" t="s">
        <v>23</v>
      </c>
      <c r="E490" s="1">
        <v>3310.5129999999999</v>
      </c>
    </row>
    <row r="491" spans="3:5" x14ac:dyDescent="0.35">
      <c r="C491" s="1" t="s">
        <v>9638</v>
      </c>
      <c r="D491" s="1" t="s">
        <v>23</v>
      </c>
      <c r="E491" s="1">
        <v>3310.5140000000001</v>
      </c>
    </row>
    <row r="492" spans="3:5" x14ac:dyDescent="0.35">
      <c r="C492" s="1" t="s">
        <v>9770</v>
      </c>
      <c r="D492" s="1" t="s">
        <v>23</v>
      </c>
      <c r="E492" s="1">
        <v>3310.5149999999999</v>
      </c>
    </row>
    <row r="493" spans="3:5" x14ac:dyDescent="0.35">
      <c r="C493" s="1" t="s">
        <v>9769</v>
      </c>
      <c r="D493" s="1" t="s">
        <v>23</v>
      </c>
      <c r="E493" s="1">
        <v>3310.518</v>
      </c>
    </row>
    <row r="494" spans="3:5" x14ac:dyDescent="0.35">
      <c r="C494" s="1" t="s">
        <v>9634</v>
      </c>
      <c r="D494" s="1" t="s">
        <v>23</v>
      </c>
      <c r="E494" s="1">
        <v>3310.5189999999998</v>
      </c>
    </row>
    <row r="495" spans="3:5" x14ac:dyDescent="0.35">
      <c r="C495" s="1" t="s">
        <v>9633</v>
      </c>
      <c r="D495" s="1" t="s">
        <v>23</v>
      </c>
      <c r="E495" s="1">
        <v>3310.52</v>
      </c>
    </row>
    <row r="496" spans="3:5" x14ac:dyDescent="0.35">
      <c r="C496" s="1" t="s">
        <v>9788</v>
      </c>
      <c r="D496" s="1" t="s">
        <v>23</v>
      </c>
      <c r="E496" s="1">
        <v>3310.5210000000002</v>
      </c>
    </row>
    <row r="497" spans="3:5" x14ac:dyDescent="0.35">
      <c r="C497" s="1" t="s">
        <v>9781</v>
      </c>
      <c r="D497" s="1" t="s">
        <v>23</v>
      </c>
      <c r="E497" s="1">
        <v>3310.5239999999999</v>
      </c>
    </row>
    <row r="498" spans="3:5" x14ac:dyDescent="0.35">
      <c r="C498" s="1" t="s">
        <v>9441</v>
      </c>
      <c r="D498" s="1" t="s">
        <v>23</v>
      </c>
      <c r="E498" s="1">
        <v>3310.5250000000001</v>
      </c>
    </row>
    <row r="499" spans="3:5" x14ac:dyDescent="0.35">
      <c r="C499" s="1" t="s">
        <v>9629</v>
      </c>
      <c r="D499" s="1" t="s">
        <v>23</v>
      </c>
      <c r="E499" s="1">
        <v>3310.5259999999998</v>
      </c>
    </row>
    <row r="500" spans="3:5" x14ac:dyDescent="0.35">
      <c r="C500" s="1" t="s">
        <v>9765</v>
      </c>
      <c r="D500" s="1" t="s">
        <v>23</v>
      </c>
      <c r="E500" s="1">
        <v>3310.527</v>
      </c>
    </row>
    <row r="501" spans="3:5" x14ac:dyDescent="0.35">
      <c r="C501" s="1" t="s">
        <v>9764</v>
      </c>
      <c r="D501" s="1" t="s">
        <v>23</v>
      </c>
      <c r="E501" s="1">
        <v>3310.53</v>
      </c>
    </row>
    <row r="502" spans="3:5" x14ac:dyDescent="0.35">
      <c r="C502" s="1" t="s">
        <v>9437</v>
      </c>
      <c r="D502" s="1" t="s">
        <v>23</v>
      </c>
      <c r="E502" s="1">
        <v>3310.5309999999999</v>
      </c>
    </row>
    <row r="503" spans="3:5" x14ac:dyDescent="0.35">
      <c r="C503" s="1" t="s">
        <v>9625</v>
      </c>
      <c r="D503" s="1" t="s">
        <v>23</v>
      </c>
      <c r="E503" s="1">
        <v>3310.5320000000002</v>
      </c>
    </row>
    <row r="504" spans="3:5" x14ac:dyDescent="0.35">
      <c r="C504" s="1" t="s">
        <v>9763</v>
      </c>
      <c r="D504" s="1" t="s">
        <v>23</v>
      </c>
      <c r="E504" s="1">
        <v>3310.5329999999999</v>
      </c>
    </row>
    <row r="505" spans="3:5" x14ac:dyDescent="0.35">
      <c r="C505" s="1" t="s">
        <v>9762</v>
      </c>
      <c r="D505" s="1" t="s">
        <v>23</v>
      </c>
      <c r="E505" s="1">
        <v>3310.5360000000001</v>
      </c>
    </row>
    <row r="506" spans="3:5" x14ac:dyDescent="0.35">
      <c r="C506" s="1" t="s">
        <v>9429</v>
      </c>
      <c r="D506" s="1" t="s">
        <v>23</v>
      </c>
      <c r="E506" s="1">
        <v>3310.5369999999998</v>
      </c>
    </row>
    <row r="507" spans="3:5" x14ac:dyDescent="0.35">
      <c r="C507" s="1" t="s">
        <v>9621</v>
      </c>
      <c r="D507" s="1" t="s">
        <v>23</v>
      </c>
      <c r="E507" s="1">
        <v>3310.538</v>
      </c>
    </row>
    <row r="508" spans="3:5" x14ac:dyDescent="0.35">
      <c r="C508" s="1" t="s">
        <v>9761</v>
      </c>
      <c r="D508" s="1" t="s">
        <v>23</v>
      </c>
      <c r="E508" s="1">
        <v>3310.5390000000002</v>
      </c>
    </row>
    <row r="509" spans="3:5" x14ac:dyDescent="0.35">
      <c r="C509" s="1" t="s">
        <v>9760</v>
      </c>
      <c r="D509" s="1" t="s">
        <v>23</v>
      </c>
      <c r="E509" s="1">
        <v>3310.5419999999999</v>
      </c>
    </row>
    <row r="510" spans="3:5" x14ac:dyDescent="0.35">
      <c r="C510" s="1" t="s">
        <v>9425</v>
      </c>
      <c r="D510" s="1" t="s">
        <v>23</v>
      </c>
      <c r="E510" s="1">
        <v>3310.5430000000001</v>
      </c>
    </row>
    <row r="511" spans="3:5" x14ac:dyDescent="0.35">
      <c r="C511" s="1" t="s">
        <v>9617</v>
      </c>
      <c r="D511" s="1" t="s">
        <v>23</v>
      </c>
      <c r="E511" s="1">
        <v>3310.5439999999999</v>
      </c>
    </row>
    <row r="512" spans="3:5" x14ac:dyDescent="0.35">
      <c r="C512" s="1" t="s">
        <v>9759</v>
      </c>
      <c r="D512" s="1" t="s">
        <v>23</v>
      </c>
      <c r="E512" s="1">
        <v>3310.5450000000001</v>
      </c>
    </row>
    <row r="513" spans="3:5" x14ac:dyDescent="0.35">
      <c r="C513" s="1" t="s">
        <v>9758</v>
      </c>
      <c r="D513" s="1" t="s">
        <v>23</v>
      </c>
      <c r="E513" s="1">
        <v>3310.5479999999998</v>
      </c>
    </row>
    <row r="514" spans="3:5" x14ac:dyDescent="0.35">
      <c r="C514" s="1" t="s">
        <v>9865</v>
      </c>
      <c r="D514" s="1" t="s">
        <v>57</v>
      </c>
      <c r="E514" s="1">
        <v>3310.55</v>
      </c>
    </row>
    <row r="515" spans="3:5" x14ac:dyDescent="0.35">
      <c r="C515" s="1" t="s">
        <v>9453</v>
      </c>
      <c r="D515" s="1" t="s">
        <v>23</v>
      </c>
      <c r="E515" s="1">
        <v>3310.5509999999999</v>
      </c>
    </row>
    <row r="516" spans="3:5" x14ac:dyDescent="0.35">
      <c r="C516" s="1" t="s">
        <v>9646</v>
      </c>
      <c r="D516" s="1" t="s">
        <v>23</v>
      </c>
      <c r="E516" s="1">
        <v>3310.5520000000001</v>
      </c>
    </row>
    <row r="517" spans="3:5" x14ac:dyDescent="0.35">
      <c r="C517" s="1" t="s">
        <v>9785</v>
      </c>
      <c r="D517" s="1" t="s">
        <v>23</v>
      </c>
      <c r="E517" s="1">
        <v>3310.5529999999999</v>
      </c>
    </row>
    <row r="518" spans="3:5" x14ac:dyDescent="0.35">
      <c r="C518" s="1" t="s">
        <v>9773</v>
      </c>
      <c r="D518" s="1" t="s">
        <v>23</v>
      </c>
      <c r="E518" s="1">
        <v>3310.5540000000001</v>
      </c>
    </row>
    <row r="519" spans="3:5" x14ac:dyDescent="0.35">
      <c r="C519" s="1" t="s">
        <v>9449</v>
      </c>
      <c r="D519" s="1" t="s">
        <v>23</v>
      </c>
      <c r="E519" s="1">
        <v>3310.5549999999998</v>
      </c>
    </row>
    <row r="520" spans="3:5" x14ac:dyDescent="0.35">
      <c r="C520" s="1" t="s">
        <v>9642</v>
      </c>
      <c r="D520" s="1" t="s">
        <v>23</v>
      </c>
      <c r="E520" s="1">
        <v>3310.556</v>
      </c>
    </row>
    <row r="521" spans="3:5" x14ac:dyDescent="0.35">
      <c r="C521" s="1" t="s">
        <v>9784</v>
      </c>
      <c r="D521" s="1" t="s">
        <v>23</v>
      </c>
      <c r="E521" s="1">
        <v>3310.5569999999998</v>
      </c>
    </row>
    <row r="522" spans="3:5" x14ac:dyDescent="0.35">
      <c r="C522" s="1" t="s">
        <v>9771</v>
      </c>
      <c r="D522" s="1" t="s">
        <v>23</v>
      </c>
      <c r="E522" s="1">
        <v>3310.558</v>
      </c>
    </row>
    <row r="523" spans="3:5" x14ac:dyDescent="0.35">
      <c r="C523" s="1" t="s">
        <v>9445</v>
      </c>
      <c r="D523" s="1" t="s">
        <v>23</v>
      </c>
      <c r="E523" s="1">
        <v>3310.5590000000002</v>
      </c>
    </row>
    <row r="524" spans="3:5" x14ac:dyDescent="0.35">
      <c r="C524" s="1" t="s">
        <v>9638</v>
      </c>
      <c r="D524" s="1" t="s">
        <v>23</v>
      </c>
      <c r="E524" s="1">
        <v>3310.56</v>
      </c>
    </row>
    <row r="525" spans="3:5" x14ac:dyDescent="0.35">
      <c r="C525" s="1" t="s">
        <v>9783</v>
      </c>
      <c r="D525" s="1" t="s">
        <v>23</v>
      </c>
      <c r="E525" s="1">
        <v>3310.5610000000001</v>
      </c>
    </row>
    <row r="526" spans="3:5" x14ac:dyDescent="0.35">
      <c r="C526" s="1" t="s">
        <v>9769</v>
      </c>
      <c r="D526" s="1" t="s">
        <v>23</v>
      </c>
      <c r="E526" s="1">
        <v>3310.5619999999999</v>
      </c>
    </row>
    <row r="527" spans="3:5" x14ac:dyDescent="0.35">
      <c r="C527" s="1" t="s">
        <v>9634</v>
      </c>
      <c r="D527" s="1" t="s">
        <v>23</v>
      </c>
      <c r="E527" s="1">
        <v>3310.5630000000001</v>
      </c>
    </row>
    <row r="528" spans="3:5" x14ac:dyDescent="0.35">
      <c r="C528" s="1" t="s">
        <v>9633</v>
      </c>
      <c r="D528" s="1" t="s">
        <v>23</v>
      </c>
      <c r="E528" s="1">
        <v>3310.5639999999999</v>
      </c>
    </row>
    <row r="529" spans="3:5" x14ac:dyDescent="0.35">
      <c r="C529" s="1" t="s">
        <v>9788</v>
      </c>
      <c r="D529" s="1" t="s">
        <v>23</v>
      </c>
      <c r="E529" s="1">
        <v>3310.5650000000001</v>
      </c>
    </row>
    <row r="530" spans="3:5" x14ac:dyDescent="0.35">
      <c r="C530" s="1" t="s">
        <v>9781</v>
      </c>
      <c r="D530" s="1" t="s">
        <v>23</v>
      </c>
      <c r="E530" s="1">
        <v>3310.5659999999998</v>
      </c>
    </row>
    <row r="531" spans="3:5" x14ac:dyDescent="0.35">
      <c r="C531" s="1" t="s">
        <v>9441</v>
      </c>
      <c r="D531" s="1" t="s">
        <v>23</v>
      </c>
      <c r="E531" s="1">
        <v>3310.567</v>
      </c>
    </row>
    <row r="532" spans="3:5" x14ac:dyDescent="0.35">
      <c r="C532" s="1" t="s">
        <v>9629</v>
      </c>
      <c r="D532" s="1" t="s">
        <v>23</v>
      </c>
      <c r="E532" s="1">
        <v>3310.5680000000002</v>
      </c>
    </row>
    <row r="533" spans="3:5" x14ac:dyDescent="0.35">
      <c r="C533" s="1" t="s">
        <v>9765</v>
      </c>
      <c r="D533" s="1" t="s">
        <v>23</v>
      </c>
      <c r="E533" s="1">
        <v>3310.569</v>
      </c>
    </row>
    <row r="534" spans="3:5" x14ac:dyDescent="0.35">
      <c r="C534" s="1" t="s">
        <v>9764</v>
      </c>
      <c r="D534" s="1" t="s">
        <v>23</v>
      </c>
      <c r="E534" s="1">
        <v>3310.57</v>
      </c>
    </row>
    <row r="535" spans="3:5" x14ac:dyDescent="0.35">
      <c r="C535" s="1" t="s">
        <v>9437</v>
      </c>
      <c r="D535" s="1" t="s">
        <v>23</v>
      </c>
      <c r="E535" s="1">
        <v>3310.5709999999999</v>
      </c>
    </row>
    <row r="536" spans="3:5" x14ac:dyDescent="0.35">
      <c r="C536" s="1" t="s">
        <v>9625</v>
      </c>
      <c r="D536" s="1" t="s">
        <v>23</v>
      </c>
      <c r="E536" s="1">
        <v>3310.5720000000001</v>
      </c>
    </row>
    <row r="537" spans="3:5" x14ac:dyDescent="0.35">
      <c r="C537" s="1" t="s">
        <v>9763</v>
      </c>
      <c r="D537" s="1" t="s">
        <v>23</v>
      </c>
      <c r="E537" s="1">
        <v>3310.5729999999999</v>
      </c>
    </row>
    <row r="538" spans="3:5" x14ac:dyDescent="0.35">
      <c r="C538" s="1" t="s">
        <v>9762</v>
      </c>
      <c r="D538" s="1" t="s">
        <v>23</v>
      </c>
      <c r="E538" s="1">
        <v>3310.5740000000001</v>
      </c>
    </row>
    <row r="539" spans="3:5" x14ac:dyDescent="0.35">
      <c r="C539" s="1" t="s">
        <v>9433</v>
      </c>
      <c r="D539" s="1" t="s">
        <v>23</v>
      </c>
      <c r="E539" s="1">
        <v>3310.5749999999998</v>
      </c>
    </row>
    <row r="540" spans="3:5" x14ac:dyDescent="0.35">
      <c r="C540" s="1" t="s">
        <v>9768</v>
      </c>
      <c r="D540" s="1" t="s">
        <v>23</v>
      </c>
      <c r="E540" s="1">
        <v>3310.576</v>
      </c>
    </row>
    <row r="541" spans="3:5" x14ac:dyDescent="0.35">
      <c r="C541" s="1" t="s">
        <v>9767</v>
      </c>
      <c r="D541" s="1" t="s">
        <v>23</v>
      </c>
      <c r="E541" s="1">
        <v>3310.5770000000002</v>
      </c>
    </row>
    <row r="542" spans="3:5" x14ac:dyDescent="0.35">
      <c r="C542" s="1" t="s">
        <v>9766</v>
      </c>
      <c r="D542" s="1" t="s">
        <v>23</v>
      </c>
      <c r="E542" s="1">
        <v>3310.578</v>
      </c>
    </row>
    <row r="543" spans="3:5" x14ac:dyDescent="0.35">
      <c r="C543" s="1" t="s">
        <v>9864</v>
      </c>
      <c r="D543" s="1" t="s">
        <v>23</v>
      </c>
      <c r="E543" s="1">
        <v>3310.5790000000002</v>
      </c>
    </row>
    <row r="544" spans="3:5" x14ac:dyDescent="0.35">
      <c r="C544" s="1" t="s">
        <v>9863</v>
      </c>
      <c r="D544" s="1" t="s">
        <v>23</v>
      </c>
      <c r="E544" s="1">
        <v>3310.58</v>
      </c>
    </row>
    <row r="545" spans="3:5" x14ac:dyDescent="0.35">
      <c r="C545" s="1" t="s">
        <v>9862</v>
      </c>
      <c r="D545" s="1" t="s">
        <v>23</v>
      </c>
      <c r="E545" s="1">
        <v>3310.5810000000001</v>
      </c>
    </row>
    <row r="546" spans="3:5" x14ac:dyDescent="0.35">
      <c r="C546" s="1" t="s">
        <v>9861</v>
      </c>
      <c r="D546" s="1" t="s">
        <v>23</v>
      </c>
      <c r="E546" s="1">
        <v>3310.5819999999999</v>
      </c>
    </row>
    <row r="547" spans="3:5" x14ac:dyDescent="0.35">
      <c r="C547" s="1" t="s">
        <v>9429</v>
      </c>
      <c r="D547" s="1" t="s">
        <v>23</v>
      </c>
      <c r="E547" s="1">
        <v>3310.587</v>
      </c>
    </row>
    <row r="548" spans="3:5" x14ac:dyDescent="0.35">
      <c r="C548" s="1" t="s">
        <v>9621</v>
      </c>
      <c r="D548" s="1" t="s">
        <v>23</v>
      </c>
      <c r="E548" s="1">
        <v>3310.5880000000002</v>
      </c>
    </row>
    <row r="549" spans="3:5" x14ac:dyDescent="0.35">
      <c r="C549" s="1" t="s">
        <v>9761</v>
      </c>
      <c r="D549" s="1" t="s">
        <v>23</v>
      </c>
      <c r="E549" s="1">
        <v>3310.5889999999999</v>
      </c>
    </row>
    <row r="550" spans="3:5" x14ac:dyDescent="0.35">
      <c r="C550" s="1" t="s">
        <v>9760</v>
      </c>
      <c r="D550" s="1" t="s">
        <v>23</v>
      </c>
      <c r="E550" s="1">
        <v>3310.5920000000001</v>
      </c>
    </row>
    <row r="551" spans="3:5" x14ac:dyDescent="0.35">
      <c r="C551" s="1" t="s">
        <v>9425</v>
      </c>
      <c r="D551" s="1" t="s">
        <v>23</v>
      </c>
      <c r="E551" s="1">
        <v>3310.5929999999998</v>
      </c>
    </row>
    <row r="552" spans="3:5" x14ac:dyDescent="0.35">
      <c r="C552" s="1" t="s">
        <v>9617</v>
      </c>
      <c r="D552" s="1" t="s">
        <v>23</v>
      </c>
      <c r="E552" s="1">
        <v>3310.5940000000001</v>
      </c>
    </row>
    <row r="553" spans="3:5" x14ac:dyDescent="0.35">
      <c r="C553" s="1" t="s">
        <v>9759</v>
      </c>
      <c r="D553" s="1" t="s">
        <v>23</v>
      </c>
      <c r="E553" s="1">
        <v>3310.5949999999998</v>
      </c>
    </row>
    <row r="554" spans="3:5" x14ac:dyDescent="0.35">
      <c r="C554" s="1" t="s">
        <v>9758</v>
      </c>
      <c r="D554" s="1" t="s">
        <v>23</v>
      </c>
      <c r="E554" s="1">
        <v>3310.598</v>
      </c>
    </row>
    <row r="555" spans="3:5" x14ac:dyDescent="0.35">
      <c r="C555" s="1" t="s">
        <v>9860</v>
      </c>
      <c r="D555" s="1" t="s">
        <v>57</v>
      </c>
      <c r="E555" s="1">
        <v>3310.6</v>
      </c>
    </row>
    <row r="556" spans="3:5" x14ac:dyDescent="0.35">
      <c r="C556" s="1" t="s">
        <v>9824</v>
      </c>
      <c r="D556" s="1" t="s">
        <v>23</v>
      </c>
      <c r="E556" s="1">
        <v>3310.6010000000001</v>
      </c>
    </row>
    <row r="557" spans="3:5" x14ac:dyDescent="0.35">
      <c r="C557" s="1" t="s">
        <v>9823</v>
      </c>
      <c r="D557" s="1" t="s">
        <v>23</v>
      </c>
      <c r="E557" s="1">
        <v>3310.6019999999999</v>
      </c>
    </row>
    <row r="558" spans="3:5" x14ac:dyDescent="0.35">
      <c r="C558" s="1" t="s">
        <v>9822</v>
      </c>
      <c r="D558" s="1" t="s">
        <v>23</v>
      </c>
      <c r="E558" s="1">
        <v>3310.6030000000001</v>
      </c>
    </row>
    <row r="559" spans="3:5" x14ac:dyDescent="0.35">
      <c r="C559" s="1" t="s">
        <v>9821</v>
      </c>
      <c r="D559" s="1" t="s">
        <v>23</v>
      </c>
      <c r="E559" s="1">
        <v>3310.6039999999998</v>
      </c>
    </row>
    <row r="560" spans="3:5" x14ac:dyDescent="0.35">
      <c r="C560" s="1" t="s">
        <v>9820</v>
      </c>
      <c r="D560" s="1" t="s">
        <v>23</v>
      </c>
      <c r="E560" s="1">
        <v>3310.605</v>
      </c>
    </row>
    <row r="561" spans="3:5" x14ac:dyDescent="0.35">
      <c r="C561" s="1" t="s">
        <v>9819</v>
      </c>
      <c r="D561" s="1" t="s">
        <v>23</v>
      </c>
      <c r="E561" s="1">
        <v>3310.6060000000002</v>
      </c>
    </row>
    <row r="562" spans="3:5" x14ac:dyDescent="0.35">
      <c r="C562" s="1" t="s">
        <v>9818</v>
      </c>
      <c r="D562" s="1" t="s">
        <v>23</v>
      </c>
      <c r="E562" s="1">
        <v>3310.607</v>
      </c>
    </row>
    <row r="563" spans="3:5" x14ac:dyDescent="0.35">
      <c r="C563" s="1" t="s">
        <v>9817</v>
      </c>
      <c r="D563" s="1" t="s">
        <v>23</v>
      </c>
      <c r="E563" s="1">
        <v>3310.6080000000002</v>
      </c>
    </row>
    <row r="564" spans="3:5" x14ac:dyDescent="0.35">
      <c r="C564" s="1" t="s">
        <v>9816</v>
      </c>
      <c r="D564" s="1" t="s">
        <v>23</v>
      </c>
      <c r="E564" s="1">
        <v>3310.6089999999999</v>
      </c>
    </row>
    <row r="565" spans="3:5" x14ac:dyDescent="0.35">
      <c r="C565" s="1" t="s">
        <v>9815</v>
      </c>
      <c r="D565" s="1" t="s">
        <v>23</v>
      </c>
      <c r="E565" s="1">
        <v>3310.61</v>
      </c>
    </row>
    <row r="566" spans="3:5" x14ac:dyDescent="0.35">
      <c r="C566" s="1" t="s">
        <v>9814</v>
      </c>
      <c r="D566" s="1" t="s">
        <v>23</v>
      </c>
      <c r="E566" s="1">
        <v>3310.6109999999999</v>
      </c>
    </row>
    <row r="567" spans="3:5" x14ac:dyDescent="0.35">
      <c r="C567" s="1" t="s">
        <v>9813</v>
      </c>
      <c r="D567" s="1" t="s">
        <v>23</v>
      </c>
      <c r="E567" s="1">
        <v>3310.6120000000001</v>
      </c>
    </row>
    <row r="568" spans="3:5" x14ac:dyDescent="0.35">
      <c r="C568" s="1" t="s">
        <v>9812</v>
      </c>
      <c r="D568" s="1" t="s">
        <v>23</v>
      </c>
      <c r="E568" s="1">
        <v>3310.6129999999998</v>
      </c>
    </row>
    <row r="569" spans="3:5" x14ac:dyDescent="0.35">
      <c r="C569" s="1" t="s">
        <v>9811</v>
      </c>
      <c r="D569" s="1" t="s">
        <v>23</v>
      </c>
      <c r="E569" s="1">
        <v>3310.614</v>
      </c>
    </row>
    <row r="570" spans="3:5" x14ac:dyDescent="0.35">
      <c r="C570" s="1" t="s">
        <v>9810</v>
      </c>
      <c r="D570" s="1" t="s">
        <v>23</v>
      </c>
      <c r="E570" s="1">
        <v>3310.6149999999998</v>
      </c>
    </row>
    <row r="571" spans="3:5" x14ac:dyDescent="0.35">
      <c r="C571" s="1" t="s">
        <v>9809</v>
      </c>
      <c r="D571" s="1" t="s">
        <v>23</v>
      </c>
      <c r="E571" s="1">
        <v>3310.616</v>
      </c>
    </row>
    <row r="572" spans="3:5" x14ac:dyDescent="0.35">
      <c r="C572" s="1" t="s">
        <v>9808</v>
      </c>
      <c r="D572" s="1" t="s">
        <v>23</v>
      </c>
      <c r="E572" s="1">
        <v>3310.6170000000002</v>
      </c>
    </row>
    <row r="573" spans="3:5" x14ac:dyDescent="0.35">
      <c r="C573" s="1" t="s">
        <v>9807</v>
      </c>
      <c r="D573" s="1" t="s">
        <v>23</v>
      </c>
      <c r="E573" s="1">
        <v>3310.6179999999999</v>
      </c>
    </row>
    <row r="574" spans="3:5" x14ac:dyDescent="0.35">
      <c r="C574" s="1" t="s">
        <v>9806</v>
      </c>
      <c r="D574" s="1" t="s">
        <v>23</v>
      </c>
      <c r="E574" s="1">
        <v>3310.6190000000001</v>
      </c>
    </row>
    <row r="575" spans="3:5" x14ac:dyDescent="0.35">
      <c r="C575" s="1" t="s">
        <v>9805</v>
      </c>
      <c r="D575" s="1" t="s">
        <v>23</v>
      </c>
      <c r="E575" s="1">
        <v>3310.62</v>
      </c>
    </row>
    <row r="576" spans="3:5" x14ac:dyDescent="0.35">
      <c r="C576" s="1" t="s">
        <v>9804</v>
      </c>
      <c r="D576" s="1" t="s">
        <v>23</v>
      </c>
      <c r="E576" s="1">
        <v>3310.6210000000001</v>
      </c>
    </row>
    <row r="577" spans="3:5" x14ac:dyDescent="0.35">
      <c r="C577" s="1" t="s">
        <v>9803</v>
      </c>
      <c r="D577" s="1" t="s">
        <v>23</v>
      </c>
      <c r="E577" s="1">
        <v>3310.6219999999998</v>
      </c>
    </row>
    <row r="578" spans="3:5" x14ac:dyDescent="0.35">
      <c r="C578" s="1" t="s">
        <v>9802</v>
      </c>
      <c r="D578" s="1" t="s">
        <v>23</v>
      </c>
      <c r="E578" s="1">
        <v>3310.623</v>
      </c>
    </row>
    <row r="579" spans="3:5" x14ac:dyDescent="0.35">
      <c r="C579" s="1" t="s">
        <v>9801</v>
      </c>
      <c r="D579" s="1" t="s">
        <v>23</v>
      </c>
      <c r="E579" s="1">
        <v>3310.6239999999998</v>
      </c>
    </row>
    <row r="580" spans="3:5" x14ac:dyDescent="0.35">
      <c r="C580" s="1" t="s">
        <v>9800</v>
      </c>
      <c r="D580" s="1" t="s">
        <v>23</v>
      </c>
      <c r="E580" s="1">
        <v>3310.625</v>
      </c>
    </row>
    <row r="581" spans="3:5" x14ac:dyDescent="0.35">
      <c r="C581" s="1" t="s">
        <v>9799</v>
      </c>
      <c r="D581" s="1" t="s">
        <v>23</v>
      </c>
      <c r="E581" s="1">
        <v>3310.6260000000002</v>
      </c>
    </row>
    <row r="582" spans="3:5" x14ac:dyDescent="0.35">
      <c r="C582" s="1" t="s">
        <v>9798</v>
      </c>
      <c r="D582" s="1" t="s">
        <v>23</v>
      </c>
      <c r="E582" s="1">
        <v>3310.627</v>
      </c>
    </row>
    <row r="583" spans="3:5" x14ac:dyDescent="0.35">
      <c r="C583" s="1" t="s">
        <v>9797</v>
      </c>
      <c r="D583" s="1" t="s">
        <v>23</v>
      </c>
      <c r="E583" s="1">
        <v>3310.6280000000002</v>
      </c>
    </row>
    <row r="584" spans="3:5" x14ac:dyDescent="0.35">
      <c r="C584" s="1" t="s">
        <v>9859</v>
      </c>
      <c r="D584" s="1" t="s">
        <v>57</v>
      </c>
      <c r="E584" s="1">
        <v>3310.63</v>
      </c>
    </row>
    <row r="585" spans="3:5" x14ac:dyDescent="0.35">
      <c r="C585" s="1" t="s">
        <v>9858</v>
      </c>
      <c r="D585" s="1" t="s">
        <v>23</v>
      </c>
      <c r="E585" s="1">
        <v>3310.6309999999999</v>
      </c>
    </row>
    <row r="586" spans="3:5" x14ac:dyDescent="0.35">
      <c r="C586" s="1" t="s">
        <v>9857</v>
      </c>
      <c r="D586" s="1" t="s">
        <v>23</v>
      </c>
      <c r="E586" s="1">
        <v>3310.6320000000001</v>
      </c>
    </row>
    <row r="587" spans="3:5" x14ac:dyDescent="0.35">
      <c r="C587" s="1" t="s">
        <v>9856</v>
      </c>
      <c r="D587" s="1" t="s">
        <v>23</v>
      </c>
      <c r="E587" s="1">
        <v>3310.6329999999998</v>
      </c>
    </row>
    <row r="588" spans="3:5" x14ac:dyDescent="0.35">
      <c r="C588" s="1" t="s">
        <v>9855</v>
      </c>
      <c r="D588" s="1" t="s">
        <v>23</v>
      </c>
      <c r="E588" s="1">
        <v>3310.634</v>
      </c>
    </row>
    <row r="589" spans="3:5" x14ac:dyDescent="0.35">
      <c r="C589" s="1" t="s">
        <v>9854</v>
      </c>
      <c r="D589" s="1" t="s">
        <v>23</v>
      </c>
      <c r="E589" s="1">
        <v>3310.6350000000002</v>
      </c>
    </row>
    <row r="590" spans="3:5" x14ac:dyDescent="0.35">
      <c r="C590" s="1" t="s">
        <v>9853</v>
      </c>
      <c r="D590" s="1" t="s">
        <v>23</v>
      </c>
      <c r="E590" s="1">
        <v>3310.636</v>
      </c>
    </row>
    <row r="591" spans="3:5" x14ac:dyDescent="0.35">
      <c r="C591" s="1" t="s">
        <v>9852</v>
      </c>
      <c r="D591" s="1" t="s">
        <v>23</v>
      </c>
      <c r="E591" s="1">
        <v>3310.6370000000002</v>
      </c>
    </row>
    <row r="592" spans="3:5" x14ac:dyDescent="0.35">
      <c r="C592" s="1" t="s">
        <v>9851</v>
      </c>
      <c r="D592" s="1" t="s">
        <v>23</v>
      </c>
      <c r="E592" s="1">
        <v>3310.6379999999999</v>
      </c>
    </row>
    <row r="593" spans="3:5" x14ac:dyDescent="0.35">
      <c r="C593" s="1" t="s">
        <v>9850</v>
      </c>
      <c r="D593" s="1" t="s">
        <v>57</v>
      </c>
      <c r="E593" s="1">
        <v>3310.65</v>
      </c>
    </row>
    <row r="594" spans="3:5" x14ac:dyDescent="0.35">
      <c r="C594" s="1" t="s">
        <v>9453</v>
      </c>
      <c r="D594" s="1" t="s">
        <v>23</v>
      </c>
      <c r="E594" s="1">
        <v>3310.6509999999998</v>
      </c>
    </row>
    <row r="595" spans="3:5" x14ac:dyDescent="0.35">
      <c r="C595" s="1" t="s">
        <v>9646</v>
      </c>
      <c r="D595" s="1" t="s">
        <v>23</v>
      </c>
      <c r="E595" s="1">
        <v>3310.652</v>
      </c>
    </row>
    <row r="596" spans="3:5" x14ac:dyDescent="0.35">
      <c r="C596" s="1" t="s">
        <v>9785</v>
      </c>
      <c r="D596" s="1" t="s">
        <v>23</v>
      </c>
      <c r="E596" s="1">
        <v>3310.6529999999998</v>
      </c>
    </row>
    <row r="597" spans="3:5" x14ac:dyDescent="0.35">
      <c r="C597" s="1" t="s">
        <v>9773</v>
      </c>
      <c r="D597" s="1" t="s">
        <v>23</v>
      </c>
      <c r="E597" s="1">
        <v>3310.6559999999999</v>
      </c>
    </row>
    <row r="598" spans="3:5" x14ac:dyDescent="0.35">
      <c r="C598" s="1" t="s">
        <v>9445</v>
      </c>
      <c r="D598" s="1" t="s">
        <v>23</v>
      </c>
      <c r="E598" s="1">
        <v>3310.663</v>
      </c>
    </row>
    <row r="599" spans="3:5" x14ac:dyDescent="0.35">
      <c r="C599" s="1" t="s">
        <v>9638</v>
      </c>
      <c r="D599" s="1" t="s">
        <v>23</v>
      </c>
      <c r="E599" s="1">
        <v>3310.6640000000002</v>
      </c>
    </row>
    <row r="600" spans="3:5" x14ac:dyDescent="0.35">
      <c r="C600" s="1" t="s">
        <v>9783</v>
      </c>
      <c r="D600" s="1" t="s">
        <v>23</v>
      </c>
      <c r="E600" s="1">
        <v>3310.665</v>
      </c>
    </row>
    <row r="601" spans="3:5" x14ac:dyDescent="0.35">
      <c r="C601" s="1" t="s">
        <v>9769</v>
      </c>
      <c r="D601" s="1" t="s">
        <v>23</v>
      </c>
      <c r="E601" s="1">
        <v>3310.6680000000001</v>
      </c>
    </row>
    <row r="602" spans="3:5" x14ac:dyDescent="0.35">
      <c r="C602" s="1" t="s">
        <v>9433</v>
      </c>
      <c r="D602" s="1" t="s">
        <v>23</v>
      </c>
      <c r="E602" s="1">
        <v>3310.6689999999999</v>
      </c>
    </row>
    <row r="603" spans="3:5" x14ac:dyDescent="0.35">
      <c r="C603" s="1" t="s">
        <v>9768</v>
      </c>
      <c r="D603" s="1" t="s">
        <v>23</v>
      </c>
      <c r="E603" s="1">
        <v>3310.67</v>
      </c>
    </row>
    <row r="604" spans="3:5" x14ac:dyDescent="0.35">
      <c r="C604" s="1" t="s">
        <v>9767</v>
      </c>
      <c r="D604" s="1" t="s">
        <v>23</v>
      </c>
      <c r="E604" s="1">
        <v>3310.6709999999998</v>
      </c>
    </row>
    <row r="605" spans="3:5" x14ac:dyDescent="0.35">
      <c r="C605" s="1" t="s">
        <v>9766</v>
      </c>
      <c r="D605" s="1" t="s">
        <v>23</v>
      </c>
      <c r="E605" s="1">
        <v>3310.674</v>
      </c>
    </row>
    <row r="606" spans="3:5" x14ac:dyDescent="0.35">
      <c r="C606" s="1" t="s">
        <v>9849</v>
      </c>
      <c r="D606" s="1" t="s">
        <v>23</v>
      </c>
      <c r="E606" s="1">
        <v>3310.6750000000002</v>
      </c>
    </row>
    <row r="607" spans="3:5" x14ac:dyDescent="0.35">
      <c r="C607" s="1" t="s">
        <v>9629</v>
      </c>
      <c r="D607" s="1" t="s">
        <v>23</v>
      </c>
      <c r="E607" s="1">
        <v>3310.6759999999999</v>
      </c>
    </row>
    <row r="608" spans="3:5" x14ac:dyDescent="0.35">
      <c r="C608" s="1" t="s">
        <v>9780</v>
      </c>
      <c r="D608" s="1" t="s">
        <v>23</v>
      </c>
      <c r="E608" s="1">
        <v>3310.6770000000001</v>
      </c>
    </row>
    <row r="609" spans="3:5" x14ac:dyDescent="0.35">
      <c r="C609" s="1" t="s">
        <v>9764</v>
      </c>
      <c r="D609" s="1" t="s">
        <v>23</v>
      </c>
      <c r="E609" s="1">
        <v>3310.68</v>
      </c>
    </row>
    <row r="610" spans="3:5" x14ac:dyDescent="0.35">
      <c r="C610" s="1" t="s">
        <v>9437</v>
      </c>
      <c r="D610" s="1" t="s">
        <v>23</v>
      </c>
      <c r="E610" s="1">
        <v>3310.681</v>
      </c>
    </row>
    <row r="611" spans="3:5" x14ac:dyDescent="0.35">
      <c r="C611" s="1" t="s">
        <v>9625</v>
      </c>
      <c r="D611" s="1" t="s">
        <v>23</v>
      </c>
      <c r="E611" s="1">
        <v>3310.6819999999998</v>
      </c>
    </row>
    <row r="612" spans="3:5" x14ac:dyDescent="0.35">
      <c r="C612" s="1" t="s">
        <v>9779</v>
      </c>
      <c r="D612" s="1" t="s">
        <v>23</v>
      </c>
      <c r="E612" s="1">
        <v>3310.683</v>
      </c>
    </row>
    <row r="613" spans="3:5" x14ac:dyDescent="0.35">
      <c r="C613" s="1" t="s">
        <v>9762</v>
      </c>
      <c r="D613" s="1" t="s">
        <v>23</v>
      </c>
      <c r="E613" s="1">
        <v>3310.6860000000001</v>
      </c>
    </row>
    <row r="614" spans="3:5" x14ac:dyDescent="0.35">
      <c r="C614" s="1" t="s">
        <v>9429</v>
      </c>
      <c r="D614" s="1" t="s">
        <v>23</v>
      </c>
      <c r="E614" s="1">
        <v>3310.6869999999999</v>
      </c>
    </row>
    <row r="615" spans="3:5" x14ac:dyDescent="0.35">
      <c r="C615" s="1" t="s">
        <v>9621</v>
      </c>
      <c r="D615" s="1" t="s">
        <v>23</v>
      </c>
      <c r="E615" s="1">
        <v>3310.6880000000001</v>
      </c>
    </row>
    <row r="616" spans="3:5" x14ac:dyDescent="0.35">
      <c r="C616" s="1" t="s">
        <v>9761</v>
      </c>
      <c r="D616" s="1" t="s">
        <v>23</v>
      </c>
      <c r="E616" s="1">
        <v>3310.6889999999999</v>
      </c>
    </row>
    <row r="617" spans="3:5" x14ac:dyDescent="0.35">
      <c r="C617" s="1" t="s">
        <v>9760</v>
      </c>
      <c r="D617" s="1" t="s">
        <v>23</v>
      </c>
      <c r="E617" s="1">
        <v>3310.692</v>
      </c>
    </row>
    <row r="618" spans="3:5" x14ac:dyDescent="0.35">
      <c r="C618" s="1" t="s">
        <v>9425</v>
      </c>
      <c r="D618" s="1" t="s">
        <v>23</v>
      </c>
      <c r="E618" s="1">
        <v>3310.6930000000002</v>
      </c>
    </row>
    <row r="619" spans="3:5" x14ac:dyDescent="0.35">
      <c r="C619" s="1" t="s">
        <v>9617</v>
      </c>
      <c r="D619" s="1" t="s">
        <v>23</v>
      </c>
      <c r="E619" s="1">
        <v>3310.694</v>
      </c>
    </row>
    <row r="620" spans="3:5" x14ac:dyDescent="0.35">
      <c r="C620" s="1" t="s">
        <v>9759</v>
      </c>
      <c r="D620" s="1" t="s">
        <v>23</v>
      </c>
      <c r="E620" s="1">
        <v>3310.6950000000002</v>
      </c>
    </row>
    <row r="621" spans="3:5" x14ac:dyDescent="0.35">
      <c r="C621" s="1" t="s">
        <v>9758</v>
      </c>
      <c r="D621" s="1" t="s">
        <v>23</v>
      </c>
      <c r="E621" s="1">
        <v>3310.6979999999999</v>
      </c>
    </row>
    <row r="622" spans="3:5" x14ac:dyDescent="0.35">
      <c r="C622" s="1" t="s">
        <v>9848</v>
      </c>
      <c r="D622" s="1" t="s">
        <v>57</v>
      </c>
      <c r="E622" s="1">
        <v>3310.7</v>
      </c>
    </row>
    <row r="623" spans="3:5" x14ac:dyDescent="0.35">
      <c r="C623" s="1" t="s">
        <v>9824</v>
      </c>
      <c r="D623" s="1" t="s">
        <v>23</v>
      </c>
      <c r="E623" s="1">
        <v>3310.701</v>
      </c>
    </row>
    <row r="624" spans="3:5" x14ac:dyDescent="0.35">
      <c r="C624" s="1" t="s">
        <v>9823</v>
      </c>
      <c r="D624" s="1" t="s">
        <v>23</v>
      </c>
      <c r="E624" s="1">
        <v>3310.7020000000002</v>
      </c>
    </row>
    <row r="625" spans="3:5" x14ac:dyDescent="0.35">
      <c r="C625" s="1" t="s">
        <v>9822</v>
      </c>
      <c r="D625" s="1" t="s">
        <v>23</v>
      </c>
      <c r="E625" s="1">
        <v>3310.703</v>
      </c>
    </row>
    <row r="626" spans="3:5" x14ac:dyDescent="0.35">
      <c r="C626" s="1" t="s">
        <v>9821</v>
      </c>
      <c r="D626" s="1" t="s">
        <v>23</v>
      </c>
      <c r="E626" s="1">
        <v>3310.7040000000002</v>
      </c>
    </row>
    <row r="627" spans="3:5" x14ac:dyDescent="0.35">
      <c r="C627" s="1" t="s">
        <v>9820</v>
      </c>
      <c r="D627" s="1" t="s">
        <v>23</v>
      </c>
      <c r="E627" s="1">
        <v>3310.7049999999999</v>
      </c>
    </row>
    <row r="628" spans="3:5" x14ac:dyDescent="0.35">
      <c r="C628" s="1" t="s">
        <v>9819</v>
      </c>
      <c r="D628" s="1" t="s">
        <v>23</v>
      </c>
      <c r="E628" s="1">
        <v>3310.7060000000001</v>
      </c>
    </row>
    <row r="629" spans="3:5" x14ac:dyDescent="0.35">
      <c r="C629" s="1" t="s">
        <v>9818</v>
      </c>
      <c r="D629" s="1" t="s">
        <v>23</v>
      </c>
      <c r="E629" s="1">
        <v>3310.7069999999999</v>
      </c>
    </row>
    <row r="630" spans="3:5" x14ac:dyDescent="0.35">
      <c r="C630" s="1" t="s">
        <v>9817</v>
      </c>
      <c r="D630" s="1" t="s">
        <v>23</v>
      </c>
      <c r="E630" s="1">
        <v>3310.7080000000001</v>
      </c>
    </row>
    <row r="631" spans="3:5" x14ac:dyDescent="0.35">
      <c r="C631" s="1" t="s">
        <v>9816</v>
      </c>
      <c r="D631" s="1" t="s">
        <v>23</v>
      </c>
      <c r="E631" s="1">
        <v>3310.7089999999998</v>
      </c>
    </row>
    <row r="632" spans="3:5" x14ac:dyDescent="0.35">
      <c r="C632" s="1" t="s">
        <v>9815</v>
      </c>
      <c r="D632" s="1" t="s">
        <v>23</v>
      </c>
      <c r="E632" s="1">
        <v>3310.71</v>
      </c>
    </row>
    <row r="633" spans="3:5" x14ac:dyDescent="0.35">
      <c r="C633" s="1" t="s">
        <v>9814</v>
      </c>
      <c r="D633" s="1" t="s">
        <v>23</v>
      </c>
      <c r="E633" s="1">
        <v>3310.7109999999998</v>
      </c>
    </row>
    <row r="634" spans="3:5" x14ac:dyDescent="0.35">
      <c r="C634" s="1" t="s">
        <v>9813</v>
      </c>
      <c r="D634" s="1" t="s">
        <v>23</v>
      </c>
      <c r="E634" s="1">
        <v>3310.712</v>
      </c>
    </row>
    <row r="635" spans="3:5" x14ac:dyDescent="0.35">
      <c r="C635" s="1" t="s">
        <v>9812</v>
      </c>
      <c r="D635" s="1" t="s">
        <v>23</v>
      </c>
      <c r="E635" s="1">
        <v>3310.7130000000002</v>
      </c>
    </row>
    <row r="636" spans="3:5" x14ac:dyDescent="0.35">
      <c r="C636" s="1" t="s">
        <v>9811</v>
      </c>
      <c r="D636" s="1" t="s">
        <v>23</v>
      </c>
      <c r="E636" s="1">
        <v>3310.7139999999999</v>
      </c>
    </row>
    <row r="637" spans="3:5" x14ac:dyDescent="0.35">
      <c r="C637" s="1" t="s">
        <v>9810</v>
      </c>
      <c r="D637" s="1" t="s">
        <v>23</v>
      </c>
      <c r="E637" s="1">
        <v>3310.7150000000001</v>
      </c>
    </row>
    <row r="638" spans="3:5" x14ac:dyDescent="0.35">
      <c r="C638" s="1" t="s">
        <v>9809</v>
      </c>
      <c r="D638" s="1" t="s">
        <v>23</v>
      </c>
      <c r="E638" s="1">
        <v>3310.7159999999999</v>
      </c>
    </row>
    <row r="639" spans="3:5" x14ac:dyDescent="0.35">
      <c r="C639" s="1" t="s">
        <v>9808</v>
      </c>
      <c r="D639" s="1" t="s">
        <v>23</v>
      </c>
      <c r="E639" s="1">
        <v>3310.7170000000001</v>
      </c>
    </row>
    <row r="640" spans="3:5" x14ac:dyDescent="0.35">
      <c r="C640" s="1" t="s">
        <v>9807</v>
      </c>
      <c r="D640" s="1" t="s">
        <v>23</v>
      </c>
      <c r="E640" s="1">
        <v>3310.7179999999998</v>
      </c>
    </row>
    <row r="641" spans="3:5" x14ac:dyDescent="0.35">
      <c r="C641" s="1" t="s">
        <v>9806</v>
      </c>
      <c r="D641" s="1" t="s">
        <v>23</v>
      </c>
      <c r="E641" s="1">
        <v>3310.7190000000001</v>
      </c>
    </row>
    <row r="642" spans="3:5" x14ac:dyDescent="0.35">
      <c r="C642" s="1" t="s">
        <v>9805</v>
      </c>
      <c r="D642" s="1" t="s">
        <v>23</v>
      </c>
      <c r="E642" s="1">
        <v>3310.72</v>
      </c>
    </row>
    <row r="643" spans="3:5" x14ac:dyDescent="0.35">
      <c r="C643" s="1" t="s">
        <v>9804</v>
      </c>
      <c r="D643" s="1" t="s">
        <v>23</v>
      </c>
      <c r="E643" s="1">
        <v>3310.721</v>
      </c>
    </row>
    <row r="644" spans="3:5" x14ac:dyDescent="0.35">
      <c r="C644" s="1" t="s">
        <v>9803</v>
      </c>
      <c r="D644" s="1" t="s">
        <v>23</v>
      </c>
      <c r="E644" s="1">
        <v>3310.7220000000002</v>
      </c>
    </row>
    <row r="645" spans="3:5" x14ac:dyDescent="0.35">
      <c r="C645" s="1" t="s">
        <v>9802</v>
      </c>
      <c r="D645" s="1" t="s">
        <v>23</v>
      </c>
      <c r="E645" s="1">
        <v>3310.723</v>
      </c>
    </row>
    <row r="646" spans="3:5" x14ac:dyDescent="0.35">
      <c r="C646" s="1" t="s">
        <v>9801</v>
      </c>
      <c r="D646" s="1" t="s">
        <v>23</v>
      </c>
      <c r="E646" s="1">
        <v>3310.7240000000002</v>
      </c>
    </row>
    <row r="647" spans="3:5" x14ac:dyDescent="0.35">
      <c r="C647" s="1" t="s">
        <v>9800</v>
      </c>
      <c r="D647" s="1" t="s">
        <v>23</v>
      </c>
      <c r="E647" s="1">
        <v>3310.7249999999999</v>
      </c>
    </row>
    <row r="648" spans="3:5" x14ac:dyDescent="0.35">
      <c r="C648" s="1" t="s">
        <v>9799</v>
      </c>
      <c r="D648" s="1" t="s">
        <v>23</v>
      </c>
      <c r="E648" s="1">
        <v>3310.7260000000001</v>
      </c>
    </row>
    <row r="649" spans="3:5" x14ac:dyDescent="0.35">
      <c r="C649" s="1" t="s">
        <v>9798</v>
      </c>
      <c r="D649" s="1" t="s">
        <v>23</v>
      </c>
      <c r="E649" s="1">
        <v>3310.7269999999999</v>
      </c>
    </row>
    <row r="650" spans="3:5" x14ac:dyDescent="0.35">
      <c r="C650" s="1" t="s">
        <v>9797</v>
      </c>
      <c r="D650" s="1" t="s">
        <v>23</v>
      </c>
      <c r="E650" s="1">
        <v>3310.7280000000001</v>
      </c>
    </row>
    <row r="651" spans="3:5" x14ac:dyDescent="0.35">
      <c r="C651" s="1" t="s">
        <v>9847</v>
      </c>
      <c r="D651" s="1" t="s">
        <v>57</v>
      </c>
      <c r="E651" s="1">
        <v>3310.75</v>
      </c>
    </row>
    <row r="652" spans="3:5" x14ac:dyDescent="0.35">
      <c r="C652" s="1" t="s">
        <v>9453</v>
      </c>
      <c r="D652" s="1" t="s">
        <v>23</v>
      </c>
      <c r="E652" s="1">
        <v>3310.7510000000002</v>
      </c>
    </row>
    <row r="653" spans="3:5" x14ac:dyDescent="0.35">
      <c r="C653" s="1" t="s">
        <v>9646</v>
      </c>
      <c r="D653" s="1" t="s">
        <v>23</v>
      </c>
      <c r="E653" s="1">
        <v>3310.752</v>
      </c>
    </row>
    <row r="654" spans="3:5" x14ac:dyDescent="0.35">
      <c r="C654" s="1" t="s">
        <v>9785</v>
      </c>
      <c r="D654" s="1" t="s">
        <v>23</v>
      </c>
      <c r="E654" s="1">
        <v>3310.7530000000002</v>
      </c>
    </row>
    <row r="655" spans="3:5" x14ac:dyDescent="0.35">
      <c r="C655" s="1" t="s">
        <v>9773</v>
      </c>
      <c r="D655" s="1" t="s">
        <v>23</v>
      </c>
      <c r="E655" s="1">
        <v>3310.7559999999999</v>
      </c>
    </row>
    <row r="656" spans="3:5" x14ac:dyDescent="0.35">
      <c r="C656" s="1" t="s">
        <v>9445</v>
      </c>
      <c r="D656" s="1" t="s">
        <v>23</v>
      </c>
      <c r="E656" s="1">
        <v>3310.7629999999999</v>
      </c>
    </row>
    <row r="657" spans="3:5" x14ac:dyDescent="0.35">
      <c r="C657" s="1" t="s">
        <v>9638</v>
      </c>
      <c r="D657" s="1" t="s">
        <v>23</v>
      </c>
      <c r="E657" s="1">
        <v>3310.7640000000001</v>
      </c>
    </row>
    <row r="658" spans="3:5" x14ac:dyDescent="0.35">
      <c r="C658" s="1" t="s">
        <v>9783</v>
      </c>
      <c r="D658" s="1" t="s">
        <v>23</v>
      </c>
      <c r="E658" s="1">
        <v>3310.7649999999999</v>
      </c>
    </row>
    <row r="659" spans="3:5" x14ac:dyDescent="0.35">
      <c r="C659" s="1" t="s">
        <v>9769</v>
      </c>
      <c r="D659" s="1" t="s">
        <v>23</v>
      </c>
      <c r="E659" s="1">
        <v>3310.768</v>
      </c>
    </row>
    <row r="660" spans="3:5" x14ac:dyDescent="0.35">
      <c r="C660" s="1" t="s">
        <v>9433</v>
      </c>
      <c r="D660" s="1" t="s">
        <v>23</v>
      </c>
      <c r="E660" s="1">
        <v>3310.7689999999998</v>
      </c>
    </row>
    <row r="661" spans="3:5" x14ac:dyDescent="0.35">
      <c r="C661" s="1" t="s">
        <v>9768</v>
      </c>
      <c r="D661" s="1" t="s">
        <v>23</v>
      </c>
      <c r="E661" s="1">
        <v>3310.77</v>
      </c>
    </row>
    <row r="662" spans="3:5" x14ac:dyDescent="0.35">
      <c r="C662" s="1" t="s">
        <v>9846</v>
      </c>
      <c r="D662" s="1" t="s">
        <v>23</v>
      </c>
      <c r="E662" s="1">
        <v>3310.7710000000002</v>
      </c>
    </row>
    <row r="663" spans="3:5" x14ac:dyDescent="0.35">
      <c r="C663" s="1" t="s">
        <v>9766</v>
      </c>
      <c r="D663" s="1" t="s">
        <v>23</v>
      </c>
      <c r="E663" s="1">
        <v>3310.7739999999999</v>
      </c>
    </row>
    <row r="664" spans="3:5" x14ac:dyDescent="0.35">
      <c r="C664" s="1" t="s">
        <v>9441</v>
      </c>
      <c r="D664" s="1" t="s">
        <v>23</v>
      </c>
      <c r="E664" s="1">
        <v>3310.7750000000001</v>
      </c>
    </row>
    <row r="665" spans="3:5" x14ac:dyDescent="0.35">
      <c r="C665" s="1" t="s">
        <v>9629</v>
      </c>
      <c r="D665" s="1" t="s">
        <v>23</v>
      </c>
      <c r="E665" s="1">
        <v>3310.7759999999998</v>
      </c>
    </row>
    <row r="666" spans="3:5" x14ac:dyDescent="0.35">
      <c r="C666" s="1" t="s">
        <v>9765</v>
      </c>
      <c r="D666" s="1" t="s">
        <v>23</v>
      </c>
      <c r="E666" s="1">
        <v>3310.777</v>
      </c>
    </row>
    <row r="667" spans="3:5" x14ac:dyDescent="0.35">
      <c r="C667" s="1" t="s">
        <v>9764</v>
      </c>
      <c r="D667" s="1" t="s">
        <v>23</v>
      </c>
      <c r="E667" s="1">
        <v>3310.78</v>
      </c>
    </row>
    <row r="668" spans="3:5" x14ac:dyDescent="0.35">
      <c r="C668" s="1" t="s">
        <v>9437</v>
      </c>
      <c r="D668" s="1" t="s">
        <v>23</v>
      </c>
      <c r="E668" s="1">
        <v>3310.7809999999999</v>
      </c>
    </row>
    <row r="669" spans="3:5" x14ac:dyDescent="0.35">
      <c r="C669" s="1" t="s">
        <v>9625</v>
      </c>
      <c r="D669" s="1" t="s">
        <v>23</v>
      </c>
      <c r="E669" s="1">
        <v>3310.7820000000002</v>
      </c>
    </row>
    <row r="670" spans="3:5" x14ac:dyDescent="0.35">
      <c r="C670" s="1" t="s">
        <v>9763</v>
      </c>
      <c r="D670" s="1" t="s">
        <v>23</v>
      </c>
      <c r="E670" s="1">
        <v>3310.7829999999999</v>
      </c>
    </row>
    <row r="671" spans="3:5" x14ac:dyDescent="0.35">
      <c r="C671" s="1" t="s">
        <v>9762</v>
      </c>
      <c r="D671" s="1" t="s">
        <v>23</v>
      </c>
      <c r="E671" s="1">
        <v>3310.7860000000001</v>
      </c>
    </row>
    <row r="672" spans="3:5" x14ac:dyDescent="0.35">
      <c r="C672" s="1" t="s">
        <v>9429</v>
      </c>
      <c r="D672" s="1" t="s">
        <v>23</v>
      </c>
      <c r="E672" s="1">
        <v>3310.7869999999998</v>
      </c>
    </row>
    <row r="673" spans="3:5" x14ac:dyDescent="0.35">
      <c r="C673" s="1" t="s">
        <v>9621</v>
      </c>
      <c r="D673" s="1" t="s">
        <v>23</v>
      </c>
      <c r="E673" s="1">
        <v>3310.788</v>
      </c>
    </row>
    <row r="674" spans="3:5" x14ac:dyDescent="0.35">
      <c r="C674" s="1" t="s">
        <v>9761</v>
      </c>
      <c r="D674" s="1" t="s">
        <v>23</v>
      </c>
      <c r="E674" s="1">
        <v>3310.7890000000002</v>
      </c>
    </row>
    <row r="675" spans="3:5" x14ac:dyDescent="0.35">
      <c r="C675" s="1" t="s">
        <v>9760</v>
      </c>
      <c r="D675" s="1" t="s">
        <v>23</v>
      </c>
      <c r="E675" s="1">
        <v>3310.7919999999999</v>
      </c>
    </row>
    <row r="676" spans="3:5" x14ac:dyDescent="0.35">
      <c r="C676" s="1" t="s">
        <v>9425</v>
      </c>
      <c r="D676" s="1" t="s">
        <v>23</v>
      </c>
      <c r="E676" s="1">
        <v>3310.7930000000001</v>
      </c>
    </row>
    <row r="677" spans="3:5" x14ac:dyDescent="0.35">
      <c r="C677" s="1" t="s">
        <v>9617</v>
      </c>
      <c r="D677" s="1" t="s">
        <v>23</v>
      </c>
      <c r="E677" s="1">
        <v>3310.7939999999999</v>
      </c>
    </row>
    <row r="678" spans="3:5" x14ac:dyDescent="0.35">
      <c r="C678" s="1" t="s">
        <v>9759</v>
      </c>
      <c r="D678" s="1" t="s">
        <v>23</v>
      </c>
      <c r="E678" s="1">
        <v>3310.7950000000001</v>
      </c>
    </row>
    <row r="679" spans="3:5" x14ac:dyDescent="0.35">
      <c r="C679" s="1" t="s">
        <v>9758</v>
      </c>
      <c r="D679" s="1" t="s">
        <v>23</v>
      </c>
      <c r="E679" s="1">
        <v>3310.7979999999998</v>
      </c>
    </row>
    <row r="680" spans="3:5" x14ac:dyDescent="0.35">
      <c r="C680" s="1" t="s">
        <v>9845</v>
      </c>
      <c r="D680" s="1" t="s">
        <v>57</v>
      </c>
      <c r="E680" s="1">
        <v>3310.8</v>
      </c>
    </row>
    <row r="681" spans="3:5" x14ac:dyDescent="0.35">
      <c r="C681" s="1" t="s">
        <v>9453</v>
      </c>
      <c r="D681" s="1" t="s">
        <v>23</v>
      </c>
      <c r="E681" s="1">
        <v>3310.8009999999999</v>
      </c>
    </row>
    <row r="682" spans="3:5" x14ac:dyDescent="0.35">
      <c r="C682" s="1" t="s">
        <v>9646</v>
      </c>
      <c r="D682" s="1" t="s">
        <v>23</v>
      </c>
      <c r="E682" s="1">
        <v>3310.8020000000001</v>
      </c>
    </row>
    <row r="683" spans="3:5" x14ac:dyDescent="0.35">
      <c r="C683" s="1" t="s">
        <v>9774</v>
      </c>
      <c r="D683" s="1" t="s">
        <v>23</v>
      </c>
      <c r="E683" s="1">
        <v>3310.8029999999999</v>
      </c>
    </row>
    <row r="684" spans="3:5" x14ac:dyDescent="0.35">
      <c r="C684" s="1" t="s">
        <v>9773</v>
      </c>
      <c r="D684" s="1" t="s">
        <v>23</v>
      </c>
      <c r="E684" s="1">
        <v>3310.8040000000001</v>
      </c>
    </row>
    <row r="685" spans="3:5" x14ac:dyDescent="0.35">
      <c r="C685" s="1" t="s">
        <v>9449</v>
      </c>
      <c r="D685" s="1" t="s">
        <v>23</v>
      </c>
      <c r="E685" s="1">
        <v>3310.8049999999998</v>
      </c>
    </row>
    <row r="686" spans="3:5" x14ac:dyDescent="0.35">
      <c r="C686" s="1" t="s">
        <v>9642</v>
      </c>
      <c r="D686" s="1" t="s">
        <v>23</v>
      </c>
      <c r="E686" s="1">
        <v>3310.806</v>
      </c>
    </row>
    <row r="687" spans="3:5" x14ac:dyDescent="0.35">
      <c r="C687" s="1" t="s">
        <v>9784</v>
      </c>
      <c r="D687" s="1" t="s">
        <v>23</v>
      </c>
      <c r="E687" s="1">
        <v>3310.8069999999998</v>
      </c>
    </row>
    <row r="688" spans="3:5" x14ac:dyDescent="0.35">
      <c r="C688" s="1" t="s">
        <v>9771</v>
      </c>
      <c r="D688" s="1" t="s">
        <v>23</v>
      </c>
      <c r="E688" s="1">
        <v>3310.808</v>
      </c>
    </row>
    <row r="689" spans="3:5" x14ac:dyDescent="0.35">
      <c r="C689" s="1" t="s">
        <v>9445</v>
      </c>
      <c r="D689" s="1" t="s">
        <v>23</v>
      </c>
      <c r="E689" s="1">
        <v>3310.8110000000001</v>
      </c>
    </row>
    <row r="690" spans="3:5" x14ac:dyDescent="0.35">
      <c r="C690" s="1" t="s">
        <v>9638</v>
      </c>
      <c r="D690" s="1" t="s">
        <v>23</v>
      </c>
      <c r="E690" s="1">
        <v>3310.8119999999999</v>
      </c>
    </row>
    <row r="691" spans="3:5" x14ac:dyDescent="0.35">
      <c r="C691" s="1" t="s">
        <v>9770</v>
      </c>
      <c r="D691" s="1" t="s">
        <v>23</v>
      </c>
      <c r="E691" s="1">
        <v>3310.8130000000001</v>
      </c>
    </row>
    <row r="692" spans="3:5" x14ac:dyDescent="0.35">
      <c r="C692" s="1" t="s">
        <v>9769</v>
      </c>
      <c r="D692" s="1" t="s">
        <v>23</v>
      </c>
      <c r="E692" s="1">
        <v>3310.8139999999999</v>
      </c>
    </row>
    <row r="693" spans="3:5" x14ac:dyDescent="0.35">
      <c r="C693" s="1" t="s">
        <v>9441</v>
      </c>
      <c r="D693" s="1" t="s">
        <v>23</v>
      </c>
      <c r="E693" s="1">
        <v>3310.8150000000001</v>
      </c>
    </row>
    <row r="694" spans="3:5" x14ac:dyDescent="0.35">
      <c r="C694" s="1" t="s">
        <v>9629</v>
      </c>
      <c r="D694" s="1" t="s">
        <v>23</v>
      </c>
      <c r="E694" s="1">
        <v>3310.8159999999998</v>
      </c>
    </row>
    <row r="695" spans="3:5" x14ac:dyDescent="0.35">
      <c r="C695" s="1" t="s">
        <v>9765</v>
      </c>
      <c r="D695" s="1" t="s">
        <v>23</v>
      </c>
      <c r="E695" s="1">
        <v>3310.817</v>
      </c>
    </row>
    <row r="696" spans="3:5" x14ac:dyDescent="0.35">
      <c r="C696" s="1" t="s">
        <v>9764</v>
      </c>
      <c r="D696" s="1" t="s">
        <v>23</v>
      </c>
      <c r="E696" s="1">
        <v>3310.8180000000002</v>
      </c>
    </row>
    <row r="697" spans="3:5" x14ac:dyDescent="0.35">
      <c r="C697" s="1" t="s">
        <v>9437</v>
      </c>
      <c r="D697" s="1" t="s">
        <v>23</v>
      </c>
      <c r="E697" s="1">
        <v>3310.8209999999999</v>
      </c>
    </row>
    <row r="698" spans="3:5" x14ac:dyDescent="0.35">
      <c r="C698" s="1" t="s">
        <v>9625</v>
      </c>
      <c r="D698" s="1" t="s">
        <v>23</v>
      </c>
      <c r="E698" s="1">
        <v>3310.8220000000001</v>
      </c>
    </row>
    <row r="699" spans="3:5" x14ac:dyDescent="0.35">
      <c r="C699" s="1" t="s">
        <v>9763</v>
      </c>
      <c r="D699" s="1" t="s">
        <v>23</v>
      </c>
      <c r="E699" s="1">
        <v>3310.8229999999999</v>
      </c>
    </row>
    <row r="700" spans="3:5" x14ac:dyDescent="0.35">
      <c r="C700" s="1" t="s">
        <v>9762</v>
      </c>
      <c r="D700" s="1" t="s">
        <v>23</v>
      </c>
      <c r="E700" s="1">
        <v>3310.8240000000001</v>
      </c>
    </row>
    <row r="701" spans="3:5" x14ac:dyDescent="0.35">
      <c r="C701" s="1" t="s">
        <v>9429</v>
      </c>
      <c r="D701" s="1" t="s">
        <v>23</v>
      </c>
      <c r="E701" s="1">
        <v>3310.8249999999998</v>
      </c>
    </row>
    <row r="702" spans="3:5" x14ac:dyDescent="0.35">
      <c r="C702" s="1" t="s">
        <v>9621</v>
      </c>
      <c r="D702" s="1" t="s">
        <v>23</v>
      </c>
      <c r="E702" s="1">
        <v>3310.826</v>
      </c>
    </row>
    <row r="703" spans="3:5" x14ac:dyDescent="0.35">
      <c r="C703" s="1" t="s">
        <v>9761</v>
      </c>
      <c r="D703" s="1" t="s">
        <v>23</v>
      </c>
      <c r="E703" s="1">
        <v>3310.8270000000002</v>
      </c>
    </row>
    <row r="704" spans="3:5" x14ac:dyDescent="0.35">
      <c r="C704" s="1" t="s">
        <v>9760</v>
      </c>
      <c r="D704" s="1" t="s">
        <v>23</v>
      </c>
      <c r="E704" s="1">
        <v>3310.828</v>
      </c>
    </row>
    <row r="705" spans="3:5" x14ac:dyDescent="0.35">
      <c r="C705" s="1" t="s">
        <v>9425</v>
      </c>
      <c r="D705" s="1" t="s">
        <v>23</v>
      </c>
      <c r="E705" s="1">
        <v>3310.8310000000001</v>
      </c>
    </row>
    <row r="706" spans="3:5" x14ac:dyDescent="0.35">
      <c r="C706" s="1" t="s">
        <v>9617</v>
      </c>
      <c r="D706" s="1" t="s">
        <v>23</v>
      </c>
      <c r="E706" s="1">
        <v>3310.8319999999999</v>
      </c>
    </row>
    <row r="707" spans="3:5" x14ac:dyDescent="0.35">
      <c r="C707" s="1" t="s">
        <v>9759</v>
      </c>
      <c r="D707" s="1" t="s">
        <v>23</v>
      </c>
      <c r="E707" s="1">
        <v>3310.8330000000001</v>
      </c>
    </row>
    <row r="708" spans="3:5" x14ac:dyDescent="0.35">
      <c r="C708" s="1" t="s">
        <v>9758</v>
      </c>
      <c r="D708" s="1" t="s">
        <v>23</v>
      </c>
      <c r="E708" s="1">
        <v>3310.8339999999998</v>
      </c>
    </row>
    <row r="709" spans="3:5" x14ac:dyDescent="0.35">
      <c r="C709" s="1" t="s">
        <v>9844</v>
      </c>
      <c r="D709" s="1" t="s">
        <v>57</v>
      </c>
      <c r="E709" s="1">
        <v>3310.85</v>
      </c>
    </row>
    <row r="710" spans="3:5" x14ac:dyDescent="0.35">
      <c r="C710" s="1" t="s">
        <v>9453</v>
      </c>
      <c r="D710" s="1" t="s">
        <v>23</v>
      </c>
      <c r="E710" s="1">
        <v>3310.8510000000001</v>
      </c>
    </row>
    <row r="711" spans="3:5" x14ac:dyDescent="0.35">
      <c r="C711" s="1" t="s">
        <v>9646</v>
      </c>
      <c r="D711" s="1" t="s">
        <v>23</v>
      </c>
      <c r="E711" s="1">
        <v>3310.8519999999999</v>
      </c>
    </row>
    <row r="712" spans="3:5" x14ac:dyDescent="0.35">
      <c r="C712" s="1" t="s">
        <v>9774</v>
      </c>
      <c r="D712" s="1" t="s">
        <v>23</v>
      </c>
      <c r="E712" s="1">
        <v>3310.8530000000001</v>
      </c>
    </row>
    <row r="713" spans="3:5" x14ac:dyDescent="0.35">
      <c r="C713" s="1" t="s">
        <v>9773</v>
      </c>
      <c r="D713" s="1" t="s">
        <v>23</v>
      </c>
      <c r="E713" s="1">
        <v>3310.8539999999998</v>
      </c>
    </row>
    <row r="714" spans="3:5" x14ac:dyDescent="0.35">
      <c r="C714" s="1" t="s">
        <v>9449</v>
      </c>
      <c r="D714" s="1" t="s">
        <v>23</v>
      </c>
      <c r="E714" s="1">
        <v>3310.855</v>
      </c>
    </row>
    <row r="715" spans="3:5" x14ac:dyDescent="0.35">
      <c r="C715" s="1" t="s">
        <v>9642</v>
      </c>
      <c r="D715" s="1" t="s">
        <v>23</v>
      </c>
      <c r="E715" s="1">
        <v>3310.8560000000002</v>
      </c>
    </row>
    <row r="716" spans="3:5" x14ac:dyDescent="0.35">
      <c r="C716" s="1" t="s">
        <v>9784</v>
      </c>
      <c r="D716" s="1" t="s">
        <v>23</v>
      </c>
      <c r="E716" s="1">
        <v>3310.857</v>
      </c>
    </row>
    <row r="717" spans="3:5" x14ac:dyDescent="0.35">
      <c r="C717" s="1" t="s">
        <v>9771</v>
      </c>
      <c r="D717" s="1" t="s">
        <v>23</v>
      </c>
      <c r="E717" s="1">
        <v>3310.8580000000002</v>
      </c>
    </row>
    <row r="718" spans="3:5" x14ac:dyDescent="0.35">
      <c r="C718" s="1" t="s">
        <v>9445</v>
      </c>
      <c r="D718" s="1" t="s">
        <v>23</v>
      </c>
      <c r="E718" s="1">
        <v>3310.8609999999999</v>
      </c>
    </row>
    <row r="719" spans="3:5" x14ac:dyDescent="0.35">
      <c r="C719" s="1" t="s">
        <v>9638</v>
      </c>
      <c r="D719" s="1" t="s">
        <v>23</v>
      </c>
      <c r="E719" s="1">
        <v>3310.8620000000001</v>
      </c>
    </row>
    <row r="720" spans="3:5" x14ac:dyDescent="0.35">
      <c r="C720" s="1" t="s">
        <v>9770</v>
      </c>
      <c r="D720" s="1" t="s">
        <v>23</v>
      </c>
      <c r="E720" s="1">
        <v>3310.8629999999998</v>
      </c>
    </row>
    <row r="721" spans="3:5" x14ac:dyDescent="0.35">
      <c r="C721" s="1" t="s">
        <v>9769</v>
      </c>
      <c r="D721" s="1" t="s">
        <v>23</v>
      </c>
      <c r="E721" s="1">
        <v>3310.864</v>
      </c>
    </row>
    <row r="722" spans="3:5" x14ac:dyDescent="0.35">
      <c r="C722" s="1" t="s">
        <v>9441</v>
      </c>
      <c r="D722" s="1" t="s">
        <v>23</v>
      </c>
      <c r="E722" s="1">
        <v>3310.8649999999998</v>
      </c>
    </row>
    <row r="723" spans="3:5" x14ac:dyDescent="0.35">
      <c r="C723" s="1" t="s">
        <v>9629</v>
      </c>
      <c r="D723" s="1" t="s">
        <v>23</v>
      </c>
      <c r="E723" s="1">
        <v>3310.866</v>
      </c>
    </row>
    <row r="724" spans="3:5" x14ac:dyDescent="0.35">
      <c r="C724" s="1" t="s">
        <v>9765</v>
      </c>
      <c r="D724" s="1" t="s">
        <v>23</v>
      </c>
      <c r="E724" s="1">
        <v>3310.8670000000002</v>
      </c>
    </row>
    <row r="725" spans="3:5" x14ac:dyDescent="0.35">
      <c r="C725" s="1" t="s">
        <v>9764</v>
      </c>
      <c r="D725" s="1" t="s">
        <v>23</v>
      </c>
      <c r="E725" s="1">
        <v>3310.8679999999999</v>
      </c>
    </row>
    <row r="726" spans="3:5" x14ac:dyDescent="0.35">
      <c r="C726" s="1" t="s">
        <v>9437</v>
      </c>
      <c r="D726" s="1" t="s">
        <v>23</v>
      </c>
      <c r="E726" s="1">
        <v>3310.8710000000001</v>
      </c>
    </row>
    <row r="727" spans="3:5" x14ac:dyDescent="0.35">
      <c r="C727" s="1" t="s">
        <v>9625</v>
      </c>
      <c r="D727" s="1" t="s">
        <v>23</v>
      </c>
      <c r="E727" s="1">
        <v>3310.8719999999998</v>
      </c>
    </row>
    <row r="728" spans="3:5" x14ac:dyDescent="0.35">
      <c r="C728" s="1" t="s">
        <v>9763</v>
      </c>
      <c r="D728" s="1" t="s">
        <v>23</v>
      </c>
      <c r="E728" s="1">
        <v>3310.873</v>
      </c>
    </row>
    <row r="729" spans="3:5" x14ac:dyDescent="0.35">
      <c r="C729" s="1" t="s">
        <v>9762</v>
      </c>
      <c r="D729" s="1" t="s">
        <v>23</v>
      </c>
      <c r="E729" s="1">
        <v>3310.8739999999998</v>
      </c>
    </row>
    <row r="730" spans="3:5" x14ac:dyDescent="0.35">
      <c r="C730" s="1" t="s">
        <v>9429</v>
      </c>
      <c r="D730" s="1" t="s">
        <v>23</v>
      </c>
      <c r="E730" s="1">
        <v>3310.875</v>
      </c>
    </row>
    <row r="731" spans="3:5" x14ac:dyDescent="0.35">
      <c r="C731" s="1" t="s">
        <v>9621</v>
      </c>
      <c r="D731" s="1" t="s">
        <v>23</v>
      </c>
      <c r="E731" s="1">
        <v>3310.8760000000002</v>
      </c>
    </row>
    <row r="732" spans="3:5" x14ac:dyDescent="0.35">
      <c r="C732" s="1" t="s">
        <v>9761</v>
      </c>
      <c r="D732" s="1" t="s">
        <v>23</v>
      </c>
      <c r="E732" s="1">
        <v>3310.877</v>
      </c>
    </row>
    <row r="733" spans="3:5" x14ac:dyDescent="0.35">
      <c r="C733" s="1" t="s">
        <v>9760</v>
      </c>
      <c r="D733" s="1" t="s">
        <v>23</v>
      </c>
      <c r="E733" s="1">
        <v>3310.8780000000002</v>
      </c>
    </row>
    <row r="734" spans="3:5" x14ac:dyDescent="0.35">
      <c r="C734" s="1" t="s">
        <v>9425</v>
      </c>
      <c r="D734" s="1" t="s">
        <v>23</v>
      </c>
      <c r="E734" s="1">
        <v>3310.8809999999999</v>
      </c>
    </row>
    <row r="735" spans="3:5" x14ac:dyDescent="0.35">
      <c r="C735" s="1" t="s">
        <v>9617</v>
      </c>
      <c r="D735" s="1" t="s">
        <v>23</v>
      </c>
      <c r="E735" s="1">
        <v>3310.8820000000001</v>
      </c>
    </row>
    <row r="736" spans="3:5" x14ac:dyDescent="0.35">
      <c r="C736" s="1" t="s">
        <v>9759</v>
      </c>
      <c r="D736" s="1" t="s">
        <v>23</v>
      </c>
      <c r="E736" s="1">
        <v>3310.8829999999998</v>
      </c>
    </row>
    <row r="737" spans="3:5" x14ac:dyDescent="0.35">
      <c r="C737" s="1" t="s">
        <v>9758</v>
      </c>
      <c r="D737" s="1" t="s">
        <v>23</v>
      </c>
      <c r="E737" s="1">
        <v>3310.884</v>
      </c>
    </row>
    <row r="738" spans="3:5" x14ac:dyDescent="0.35">
      <c r="C738" s="1" t="s">
        <v>9843</v>
      </c>
      <c r="D738" s="1" t="s">
        <v>57</v>
      </c>
      <c r="E738" s="1">
        <v>3311.1</v>
      </c>
    </row>
    <row r="739" spans="3:5" x14ac:dyDescent="0.35">
      <c r="C739" s="1" t="s">
        <v>9453</v>
      </c>
      <c r="D739" s="1" t="s">
        <v>23</v>
      </c>
      <c r="E739" s="1">
        <v>3311.1010000000001</v>
      </c>
    </row>
    <row r="740" spans="3:5" x14ac:dyDescent="0.35">
      <c r="C740" s="1" t="s">
        <v>9646</v>
      </c>
      <c r="D740" s="1" t="s">
        <v>23</v>
      </c>
      <c r="E740" s="1">
        <v>3311.1019999999999</v>
      </c>
    </row>
    <row r="741" spans="3:5" x14ac:dyDescent="0.35">
      <c r="C741" s="1" t="s">
        <v>9774</v>
      </c>
      <c r="D741" s="1" t="s">
        <v>23</v>
      </c>
      <c r="E741" s="1">
        <v>3311.1030000000001</v>
      </c>
    </row>
    <row r="742" spans="3:5" x14ac:dyDescent="0.35">
      <c r="C742" s="1" t="s">
        <v>9773</v>
      </c>
      <c r="D742" s="1" t="s">
        <v>23</v>
      </c>
      <c r="E742" s="1">
        <v>3311.1060000000002</v>
      </c>
    </row>
    <row r="743" spans="3:5" x14ac:dyDescent="0.35">
      <c r="C743" s="1" t="s">
        <v>9449</v>
      </c>
      <c r="D743" s="1" t="s">
        <v>23</v>
      </c>
      <c r="E743" s="1">
        <v>3311.107</v>
      </c>
    </row>
    <row r="744" spans="3:5" x14ac:dyDescent="0.35">
      <c r="C744" s="1" t="s">
        <v>9642</v>
      </c>
      <c r="D744" s="1" t="s">
        <v>23</v>
      </c>
      <c r="E744" s="1">
        <v>3311.1080000000002</v>
      </c>
    </row>
    <row r="745" spans="3:5" x14ac:dyDescent="0.35">
      <c r="C745" s="1" t="s">
        <v>9772</v>
      </c>
      <c r="D745" s="1" t="s">
        <v>23</v>
      </c>
      <c r="E745" s="1">
        <v>3311.1089999999999</v>
      </c>
    </row>
    <row r="746" spans="3:5" x14ac:dyDescent="0.35">
      <c r="C746" s="1" t="s">
        <v>9771</v>
      </c>
      <c r="D746" s="1" t="s">
        <v>23</v>
      </c>
      <c r="E746" s="1">
        <v>3311.1120000000001</v>
      </c>
    </row>
    <row r="747" spans="3:5" x14ac:dyDescent="0.35">
      <c r="C747" s="1" t="s">
        <v>9445</v>
      </c>
      <c r="D747" s="1" t="s">
        <v>23</v>
      </c>
      <c r="E747" s="1">
        <v>3311.1129999999998</v>
      </c>
    </row>
    <row r="748" spans="3:5" x14ac:dyDescent="0.35">
      <c r="C748" s="1" t="s">
        <v>9638</v>
      </c>
      <c r="D748" s="1" t="s">
        <v>23</v>
      </c>
      <c r="E748" s="1">
        <v>3311.114</v>
      </c>
    </row>
    <row r="749" spans="3:5" x14ac:dyDescent="0.35">
      <c r="C749" s="1" t="s">
        <v>9770</v>
      </c>
      <c r="D749" s="1" t="s">
        <v>23</v>
      </c>
      <c r="E749" s="1">
        <v>3311.1149999999998</v>
      </c>
    </row>
    <row r="750" spans="3:5" x14ac:dyDescent="0.35">
      <c r="C750" s="1" t="s">
        <v>9769</v>
      </c>
      <c r="D750" s="1" t="s">
        <v>23</v>
      </c>
      <c r="E750" s="1">
        <v>3311.1179999999999</v>
      </c>
    </row>
    <row r="751" spans="3:5" x14ac:dyDescent="0.35">
      <c r="C751" s="1" t="s">
        <v>9634</v>
      </c>
      <c r="D751" s="1" t="s">
        <v>23</v>
      </c>
      <c r="E751" s="1">
        <v>3311.1190000000001</v>
      </c>
    </row>
    <row r="752" spans="3:5" x14ac:dyDescent="0.35">
      <c r="C752" s="1" t="s">
        <v>9633</v>
      </c>
      <c r="D752" s="1" t="s">
        <v>23</v>
      </c>
      <c r="E752" s="1">
        <v>3311.12</v>
      </c>
    </row>
    <row r="753" spans="3:5" x14ac:dyDescent="0.35">
      <c r="C753" s="1" t="s">
        <v>9788</v>
      </c>
      <c r="D753" s="1" t="s">
        <v>23</v>
      </c>
      <c r="E753" s="1">
        <v>3311.1210000000001</v>
      </c>
    </row>
    <row r="754" spans="3:5" x14ac:dyDescent="0.35">
      <c r="C754" s="1" t="s">
        <v>9781</v>
      </c>
      <c r="D754" s="1" t="s">
        <v>23</v>
      </c>
      <c r="E754" s="1">
        <v>3311.1239999999998</v>
      </c>
    </row>
    <row r="755" spans="3:5" x14ac:dyDescent="0.35">
      <c r="C755" s="1" t="s">
        <v>9441</v>
      </c>
      <c r="D755" s="1" t="s">
        <v>23</v>
      </c>
      <c r="E755" s="1">
        <v>3311.125</v>
      </c>
    </row>
    <row r="756" spans="3:5" x14ac:dyDescent="0.35">
      <c r="C756" s="1" t="s">
        <v>9629</v>
      </c>
      <c r="D756" s="1" t="s">
        <v>23</v>
      </c>
      <c r="E756" s="1">
        <v>3311.1260000000002</v>
      </c>
    </row>
    <row r="757" spans="3:5" x14ac:dyDescent="0.35">
      <c r="C757" s="1" t="s">
        <v>9765</v>
      </c>
      <c r="D757" s="1" t="s">
        <v>23</v>
      </c>
      <c r="E757" s="1">
        <v>3311.127</v>
      </c>
    </row>
    <row r="758" spans="3:5" x14ac:dyDescent="0.35">
      <c r="C758" s="1" t="s">
        <v>9764</v>
      </c>
      <c r="D758" s="1" t="s">
        <v>23</v>
      </c>
      <c r="E758" s="1">
        <v>3311.13</v>
      </c>
    </row>
    <row r="759" spans="3:5" x14ac:dyDescent="0.35">
      <c r="C759" s="1" t="s">
        <v>9437</v>
      </c>
      <c r="D759" s="1" t="s">
        <v>23</v>
      </c>
      <c r="E759" s="1">
        <v>3311.1309999999999</v>
      </c>
    </row>
    <row r="760" spans="3:5" x14ac:dyDescent="0.35">
      <c r="C760" s="1" t="s">
        <v>9625</v>
      </c>
      <c r="D760" s="1" t="s">
        <v>23</v>
      </c>
      <c r="E760" s="1">
        <v>3311.1320000000001</v>
      </c>
    </row>
    <row r="761" spans="3:5" x14ac:dyDescent="0.35">
      <c r="C761" s="1" t="s">
        <v>9763</v>
      </c>
      <c r="D761" s="1" t="s">
        <v>23</v>
      </c>
      <c r="E761" s="1">
        <v>3311.1329999999998</v>
      </c>
    </row>
    <row r="762" spans="3:5" x14ac:dyDescent="0.35">
      <c r="C762" s="1" t="s">
        <v>9762</v>
      </c>
      <c r="D762" s="1" t="s">
        <v>23</v>
      </c>
      <c r="E762" s="1">
        <v>3311.136</v>
      </c>
    </row>
    <row r="763" spans="3:5" x14ac:dyDescent="0.35">
      <c r="C763" s="1" t="s">
        <v>9429</v>
      </c>
      <c r="D763" s="1" t="s">
        <v>23</v>
      </c>
      <c r="E763" s="1">
        <v>3311.1370000000002</v>
      </c>
    </row>
    <row r="764" spans="3:5" x14ac:dyDescent="0.35">
      <c r="C764" s="1" t="s">
        <v>9621</v>
      </c>
      <c r="D764" s="1" t="s">
        <v>23</v>
      </c>
      <c r="E764" s="1">
        <v>3311.1379999999999</v>
      </c>
    </row>
    <row r="765" spans="3:5" x14ac:dyDescent="0.35">
      <c r="C765" s="1" t="s">
        <v>9761</v>
      </c>
      <c r="D765" s="1" t="s">
        <v>23</v>
      </c>
      <c r="E765" s="1">
        <v>3311.1390000000001</v>
      </c>
    </row>
    <row r="766" spans="3:5" x14ac:dyDescent="0.35">
      <c r="C766" s="1" t="s">
        <v>9760</v>
      </c>
      <c r="D766" s="1" t="s">
        <v>23</v>
      </c>
      <c r="E766" s="1">
        <v>3311.1419999999998</v>
      </c>
    </row>
    <row r="767" spans="3:5" x14ac:dyDescent="0.35">
      <c r="C767" s="1" t="s">
        <v>9425</v>
      </c>
      <c r="D767" s="1" t="s">
        <v>23</v>
      </c>
      <c r="E767" s="1">
        <v>3311.143</v>
      </c>
    </row>
    <row r="768" spans="3:5" x14ac:dyDescent="0.35">
      <c r="C768" s="1" t="s">
        <v>9617</v>
      </c>
      <c r="D768" s="1" t="s">
        <v>23</v>
      </c>
      <c r="E768" s="1">
        <v>3311.1439999999998</v>
      </c>
    </row>
    <row r="769" spans="3:5" x14ac:dyDescent="0.35">
      <c r="C769" s="1" t="s">
        <v>9759</v>
      </c>
      <c r="D769" s="1" t="s">
        <v>23</v>
      </c>
      <c r="E769" s="1">
        <v>3311.145</v>
      </c>
    </row>
    <row r="770" spans="3:5" x14ac:dyDescent="0.35">
      <c r="C770" s="1" t="s">
        <v>9758</v>
      </c>
      <c r="D770" s="1" t="s">
        <v>23</v>
      </c>
      <c r="E770" s="1">
        <v>3311.1480000000001</v>
      </c>
    </row>
    <row r="771" spans="3:5" x14ac:dyDescent="0.35">
      <c r="C771" s="1" t="s">
        <v>9842</v>
      </c>
      <c r="D771" s="1" t="s">
        <v>57</v>
      </c>
      <c r="E771" s="1">
        <v>3311.15</v>
      </c>
    </row>
    <row r="772" spans="3:5" x14ac:dyDescent="0.35">
      <c r="C772" s="1" t="s">
        <v>9453</v>
      </c>
      <c r="D772" s="1" t="s">
        <v>23</v>
      </c>
      <c r="E772" s="1">
        <v>3311.1509999999998</v>
      </c>
    </row>
    <row r="773" spans="3:5" x14ac:dyDescent="0.35">
      <c r="C773" s="1" t="s">
        <v>9646</v>
      </c>
      <c r="D773" s="1" t="s">
        <v>23</v>
      </c>
      <c r="E773" s="1">
        <v>3311.152</v>
      </c>
    </row>
    <row r="774" spans="3:5" x14ac:dyDescent="0.35">
      <c r="C774" s="1" t="s">
        <v>9774</v>
      </c>
      <c r="D774" s="1" t="s">
        <v>23</v>
      </c>
      <c r="E774" s="1">
        <v>3311.1529999999998</v>
      </c>
    </row>
    <row r="775" spans="3:5" x14ac:dyDescent="0.35">
      <c r="C775" s="1" t="s">
        <v>9773</v>
      </c>
      <c r="D775" s="1" t="s">
        <v>23</v>
      </c>
      <c r="E775" s="1">
        <v>3311.1559999999999</v>
      </c>
    </row>
    <row r="776" spans="3:5" x14ac:dyDescent="0.35">
      <c r="C776" s="1" t="s">
        <v>9449</v>
      </c>
      <c r="D776" s="1" t="s">
        <v>23</v>
      </c>
      <c r="E776" s="1">
        <v>3311.1570000000002</v>
      </c>
    </row>
    <row r="777" spans="3:5" x14ac:dyDescent="0.35">
      <c r="C777" s="1" t="s">
        <v>9642</v>
      </c>
      <c r="D777" s="1" t="s">
        <v>23</v>
      </c>
      <c r="E777" s="1">
        <v>3311.1579999999999</v>
      </c>
    </row>
    <row r="778" spans="3:5" x14ac:dyDescent="0.35">
      <c r="C778" s="1" t="s">
        <v>9772</v>
      </c>
      <c r="D778" s="1" t="s">
        <v>23</v>
      </c>
      <c r="E778" s="1">
        <v>3311.1590000000001</v>
      </c>
    </row>
    <row r="779" spans="3:5" x14ac:dyDescent="0.35">
      <c r="C779" s="1" t="s">
        <v>9771</v>
      </c>
      <c r="D779" s="1" t="s">
        <v>23</v>
      </c>
      <c r="E779" s="1">
        <v>3311.1619999999998</v>
      </c>
    </row>
    <row r="780" spans="3:5" x14ac:dyDescent="0.35">
      <c r="C780" s="1" t="s">
        <v>9445</v>
      </c>
      <c r="D780" s="1" t="s">
        <v>23</v>
      </c>
      <c r="E780" s="1">
        <v>3311.163</v>
      </c>
    </row>
    <row r="781" spans="3:5" x14ac:dyDescent="0.35">
      <c r="C781" s="1" t="s">
        <v>9638</v>
      </c>
      <c r="D781" s="1" t="s">
        <v>23</v>
      </c>
      <c r="E781" s="1">
        <v>3311.1640000000002</v>
      </c>
    </row>
    <row r="782" spans="3:5" x14ac:dyDescent="0.35">
      <c r="C782" s="1" t="s">
        <v>9770</v>
      </c>
      <c r="D782" s="1" t="s">
        <v>23</v>
      </c>
      <c r="E782" s="1">
        <v>3311.165</v>
      </c>
    </row>
    <row r="783" spans="3:5" x14ac:dyDescent="0.35">
      <c r="C783" s="1" t="s">
        <v>9769</v>
      </c>
      <c r="D783" s="1" t="s">
        <v>23</v>
      </c>
      <c r="E783" s="1">
        <v>3311.1680000000001</v>
      </c>
    </row>
    <row r="784" spans="3:5" x14ac:dyDescent="0.35">
      <c r="C784" s="1" t="s">
        <v>9634</v>
      </c>
      <c r="D784" s="1" t="s">
        <v>23</v>
      </c>
      <c r="E784" s="1">
        <v>3311.1689999999999</v>
      </c>
    </row>
    <row r="785" spans="3:5" x14ac:dyDescent="0.35">
      <c r="C785" s="1" t="s">
        <v>9633</v>
      </c>
      <c r="D785" s="1" t="s">
        <v>23</v>
      </c>
      <c r="E785" s="1">
        <v>3311.17</v>
      </c>
    </row>
    <row r="786" spans="3:5" x14ac:dyDescent="0.35">
      <c r="C786" s="1" t="s">
        <v>9788</v>
      </c>
      <c r="D786" s="1" t="s">
        <v>23</v>
      </c>
      <c r="E786" s="1">
        <v>3311.1709999999998</v>
      </c>
    </row>
    <row r="787" spans="3:5" x14ac:dyDescent="0.35">
      <c r="C787" s="1" t="s">
        <v>9781</v>
      </c>
      <c r="D787" s="1" t="s">
        <v>23</v>
      </c>
      <c r="E787" s="1">
        <v>3311.174</v>
      </c>
    </row>
    <row r="788" spans="3:5" x14ac:dyDescent="0.35">
      <c r="C788" s="1" t="s">
        <v>9441</v>
      </c>
      <c r="D788" s="1" t="s">
        <v>23</v>
      </c>
      <c r="E788" s="1">
        <v>3311.1750000000002</v>
      </c>
    </row>
    <row r="789" spans="3:5" x14ac:dyDescent="0.35">
      <c r="C789" s="1" t="s">
        <v>9629</v>
      </c>
      <c r="D789" s="1" t="s">
        <v>23</v>
      </c>
      <c r="E789" s="1">
        <v>3311.1759999999999</v>
      </c>
    </row>
    <row r="790" spans="3:5" x14ac:dyDescent="0.35">
      <c r="C790" s="1" t="s">
        <v>9765</v>
      </c>
      <c r="D790" s="1" t="s">
        <v>23</v>
      </c>
      <c r="E790" s="1">
        <v>3311.1770000000001</v>
      </c>
    </row>
    <row r="791" spans="3:5" x14ac:dyDescent="0.35">
      <c r="C791" s="1" t="s">
        <v>9764</v>
      </c>
      <c r="D791" s="1" t="s">
        <v>23</v>
      </c>
      <c r="E791" s="1">
        <v>3311.18</v>
      </c>
    </row>
    <row r="792" spans="3:5" x14ac:dyDescent="0.35">
      <c r="C792" s="1" t="s">
        <v>9437</v>
      </c>
      <c r="D792" s="1" t="s">
        <v>23</v>
      </c>
      <c r="E792" s="1">
        <v>3311.181</v>
      </c>
    </row>
    <row r="793" spans="3:5" x14ac:dyDescent="0.35">
      <c r="C793" s="1" t="s">
        <v>9625</v>
      </c>
      <c r="D793" s="1" t="s">
        <v>23</v>
      </c>
      <c r="E793" s="1">
        <v>3311.1819999999998</v>
      </c>
    </row>
    <row r="794" spans="3:5" x14ac:dyDescent="0.35">
      <c r="C794" s="1" t="s">
        <v>9763</v>
      </c>
      <c r="D794" s="1" t="s">
        <v>23</v>
      </c>
      <c r="E794" s="1">
        <v>3311.183</v>
      </c>
    </row>
    <row r="795" spans="3:5" x14ac:dyDescent="0.35">
      <c r="C795" s="1" t="s">
        <v>9762</v>
      </c>
      <c r="D795" s="1" t="s">
        <v>23</v>
      </c>
      <c r="E795" s="1">
        <v>3311.1860000000001</v>
      </c>
    </row>
    <row r="796" spans="3:5" x14ac:dyDescent="0.35">
      <c r="C796" s="1" t="s">
        <v>9429</v>
      </c>
      <c r="D796" s="1" t="s">
        <v>23</v>
      </c>
      <c r="E796" s="1">
        <v>3311.1869999999999</v>
      </c>
    </row>
    <row r="797" spans="3:5" x14ac:dyDescent="0.35">
      <c r="C797" s="1" t="s">
        <v>9621</v>
      </c>
      <c r="D797" s="1" t="s">
        <v>23</v>
      </c>
      <c r="E797" s="1">
        <v>3311.1880000000001</v>
      </c>
    </row>
    <row r="798" spans="3:5" x14ac:dyDescent="0.35">
      <c r="C798" s="1" t="s">
        <v>9761</v>
      </c>
      <c r="D798" s="1" t="s">
        <v>23</v>
      </c>
      <c r="E798" s="1">
        <v>3311.1889999999999</v>
      </c>
    </row>
    <row r="799" spans="3:5" x14ac:dyDescent="0.35">
      <c r="C799" s="1" t="s">
        <v>9760</v>
      </c>
      <c r="D799" s="1" t="s">
        <v>23</v>
      </c>
      <c r="E799" s="1">
        <v>3311.192</v>
      </c>
    </row>
    <row r="800" spans="3:5" x14ac:dyDescent="0.35">
      <c r="C800" s="1" t="s">
        <v>9425</v>
      </c>
      <c r="D800" s="1" t="s">
        <v>23</v>
      </c>
      <c r="E800" s="1">
        <v>3311.1930000000002</v>
      </c>
    </row>
    <row r="801" spans="3:5" x14ac:dyDescent="0.35">
      <c r="C801" s="1" t="s">
        <v>9617</v>
      </c>
      <c r="D801" s="1" t="s">
        <v>23</v>
      </c>
      <c r="E801" s="1">
        <v>3311.194</v>
      </c>
    </row>
    <row r="802" spans="3:5" x14ac:dyDescent="0.35">
      <c r="C802" s="1" t="s">
        <v>9759</v>
      </c>
      <c r="D802" s="1" t="s">
        <v>23</v>
      </c>
      <c r="E802" s="1">
        <v>3311.1950000000002</v>
      </c>
    </row>
    <row r="803" spans="3:5" x14ac:dyDescent="0.35">
      <c r="C803" s="1" t="s">
        <v>9758</v>
      </c>
      <c r="D803" s="1" t="s">
        <v>23</v>
      </c>
      <c r="E803" s="1">
        <v>3311.1979999999999</v>
      </c>
    </row>
    <row r="804" spans="3:5" x14ac:dyDescent="0.35">
      <c r="C804" s="1" t="s">
        <v>9841</v>
      </c>
      <c r="D804" s="1" t="s">
        <v>57</v>
      </c>
      <c r="E804" s="1">
        <v>3311.2</v>
      </c>
    </row>
    <row r="805" spans="3:5" x14ac:dyDescent="0.35">
      <c r="C805" s="1" t="s">
        <v>9453</v>
      </c>
      <c r="D805" s="1" t="s">
        <v>23</v>
      </c>
      <c r="E805" s="1">
        <v>3311.201</v>
      </c>
    </row>
    <row r="806" spans="3:5" x14ac:dyDescent="0.35">
      <c r="C806" s="1" t="s">
        <v>9646</v>
      </c>
      <c r="D806" s="1" t="s">
        <v>23</v>
      </c>
      <c r="E806" s="1">
        <v>3311.2020000000002</v>
      </c>
    </row>
    <row r="807" spans="3:5" x14ac:dyDescent="0.35">
      <c r="C807" s="1" t="s">
        <v>9774</v>
      </c>
      <c r="D807" s="1" t="s">
        <v>23</v>
      </c>
      <c r="E807" s="1">
        <v>3311.203</v>
      </c>
    </row>
    <row r="808" spans="3:5" x14ac:dyDescent="0.35">
      <c r="C808" s="1" t="s">
        <v>9840</v>
      </c>
      <c r="D808" s="1" t="s">
        <v>23</v>
      </c>
      <c r="E808" s="1">
        <v>3311.2040000000002</v>
      </c>
    </row>
    <row r="809" spans="3:5" x14ac:dyDescent="0.35">
      <c r="C809" s="1" t="s">
        <v>9773</v>
      </c>
      <c r="D809" s="1" t="s">
        <v>23</v>
      </c>
      <c r="E809" s="1">
        <v>3311.2060000000001</v>
      </c>
    </row>
    <row r="810" spans="3:5" x14ac:dyDescent="0.35">
      <c r="C810" s="1" t="s">
        <v>9449</v>
      </c>
      <c r="D810" s="1" t="s">
        <v>23</v>
      </c>
      <c r="E810" s="1">
        <v>3311.2069999999999</v>
      </c>
    </row>
    <row r="811" spans="3:5" x14ac:dyDescent="0.35">
      <c r="C811" s="1" t="s">
        <v>9642</v>
      </c>
      <c r="D811" s="1" t="s">
        <v>23</v>
      </c>
      <c r="E811" s="1">
        <v>3311.2080000000001</v>
      </c>
    </row>
    <row r="812" spans="3:5" x14ac:dyDescent="0.35">
      <c r="C812" s="1" t="s">
        <v>9772</v>
      </c>
      <c r="D812" s="1" t="s">
        <v>23</v>
      </c>
      <c r="E812" s="1">
        <v>3311.2089999999998</v>
      </c>
    </row>
    <row r="813" spans="3:5" x14ac:dyDescent="0.35">
      <c r="C813" s="1" t="s">
        <v>9839</v>
      </c>
      <c r="D813" s="1" t="s">
        <v>23</v>
      </c>
      <c r="E813" s="1">
        <v>3311.21</v>
      </c>
    </row>
    <row r="814" spans="3:5" x14ac:dyDescent="0.35">
      <c r="C814" s="1" t="s">
        <v>9771</v>
      </c>
      <c r="D814" s="1" t="s">
        <v>23</v>
      </c>
      <c r="E814" s="1">
        <v>3311.212</v>
      </c>
    </row>
    <row r="815" spans="3:5" x14ac:dyDescent="0.35">
      <c r="C815" s="1" t="s">
        <v>9445</v>
      </c>
      <c r="D815" s="1" t="s">
        <v>23</v>
      </c>
      <c r="E815" s="1">
        <v>3311.2130000000002</v>
      </c>
    </row>
    <row r="816" spans="3:5" x14ac:dyDescent="0.35">
      <c r="C816" s="1" t="s">
        <v>9638</v>
      </c>
      <c r="D816" s="1" t="s">
        <v>23</v>
      </c>
      <c r="E816" s="1">
        <v>3311.2139999999999</v>
      </c>
    </row>
    <row r="817" spans="3:5" x14ac:dyDescent="0.35">
      <c r="C817" s="1" t="s">
        <v>9770</v>
      </c>
      <c r="D817" s="1" t="s">
        <v>23</v>
      </c>
      <c r="E817" s="1">
        <v>3311.2150000000001</v>
      </c>
    </row>
    <row r="818" spans="3:5" x14ac:dyDescent="0.35">
      <c r="C818" s="1" t="s">
        <v>9838</v>
      </c>
      <c r="D818" s="1" t="s">
        <v>23</v>
      </c>
      <c r="E818" s="1">
        <v>3311.2159999999999</v>
      </c>
    </row>
    <row r="819" spans="3:5" x14ac:dyDescent="0.35">
      <c r="C819" s="1" t="s">
        <v>9769</v>
      </c>
      <c r="D819" s="1" t="s">
        <v>23</v>
      </c>
      <c r="E819" s="1">
        <v>3311.2179999999998</v>
      </c>
    </row>
    <row r="820" spans="3:5" x14ac:dyDescent="0.35">
      <c r="C820" s="1" t="s">
        <v>9634</v>
      </c>
      <c r="D820" s="1" t="s">
        <v>23</v>
      </c>
      <c r="E820" s="1">
        <v>3311.2190000000001</v>
      </c>
    </row>
    <row r="821" spans="3:5" x14ac:dyDescent="0.35">
      <c r="C821" s="1" t="s">
        <v>9633</v>
      </c>
      <c r="D821" s="1" t="s">
        <v>23</v>
      </c>
      <c r="E821" s="1">
        <v>3311.22</v>
      </c>
    </row>
    <row r="822" spans="3:5" x14ac:dyDescent="0.35">
      <c r="C822" s="1" t="s">
        <v>9788</v>
      </c>
      <c r="D822" s="1" t="s">
        <v>23</v>
      </c>
      <c r="E822" s="1">
        <v>3311.221</v>
      </c>
    </row>
    <row r="823" spans="3:5" x14ac:dyDescent="0.35">
      <c r="C823" s="1" t="s">
        <v>9837</v>
      </c>
      <c r="D823" s="1" t="s">
        <v>23</v>
      </c>
      <c r="E823" s="1">
        <v>3311.2220000000002</v>
      </c>
    </row>
    <row r="824" spans="3:5" x14ac:dyDescent="0.35">
      <c r="C824" s="1" t="s">
        <v>9781</v>
      </c>
      <c r="D824" s="1" t="s">
        <v>23</v>
      </c>
      <c r="E824" s="1">
        <v>3311.2240000000002</v>
      </c>
    </row>
    <row r="825" spans="3:5" x14ac:dyDescent="0.35">
      <c r="C825" s="1" t="s">
        <v>9441</v>
      </c>
      <c r="D825" s="1" t="s">
        <v>23</v>
      </c>
      <c r="E825" s="1">
        <v>3311.2249999999999</v>
      </c>
    </row>
    <row r="826" spans="3:5" x14ac:dyDescent="0.35">
      <c r="C826" s="1" t="s">
        <v>9629</v>
      </c>
      <c r="D826" s="1" t="s">
        <v>23</v>
      </c>
      <c r="E826" s="1">
        <v>3311.2260000000001</v>
      </c>
    </row>
    <row r="827" spans="3:5" x14ac:dyDescent="0.35">
      <c r="C827" s="1" t="s">
        <v>9765</v>
      </c>
      <c r="D827" s="1" t="s">
        <v>23</v>
      </c>
      <c r="E827" s="1">
        <v>3311.2269999999999</v>
      </c>
    </row>
    <row r="828" spans="3:5" x14ac:dyDescent="0.35">
      <c r="C828" s="1" t="s">
        <v>9836</v>
      </c>
      <c r="D828" s="1" t="s">
        <v>23</v>
      </c>
      <c r="E828" s="1">
        <v>3311.2280000000001</v>
      </c>
    </row>
    <row r="829" spans="3:5" x14ac:dyDescent="0.35">
      <c r="C829" s="1" t="s">
        <v>9764</v>
      </c>
      <c r="D829" s="1" t="s">
        <v>23</v>
      </c>
      <c r="E829" s="1">
        <v>3311.23</v>
      </c>
    </row>
    <row r="830" spans="3:5" x14ac:dyDescent="0.35">
      <c r="C830" s="1" t="s">
        <v>9437</v>
      </c>
      <c r="D830" s="1" t="s">
        <v>23</v>
      </c>
      <c r="E830" s="1">
        <v>3311.2310000000002</v>
      </c>
    </row>
    <row r="831" spans="3:5" x14ac:dyDescent="0.35">
      <c r="C831" s="1" t="s">
        <v>9625</v>
      </c>
      <c r="D831" s="1" t="s">
        <v>23</v>
      </c>
      <c r="E831" s="1">
        <v>3311.232</v>
      </c>
    </row>
    <row r="832" spans="3:5" x14ac:dyDescent="0.35">
      <c r="C832" s="1" t="s">
        <v>9763</v>
      </c>
      <c r="D832" s="1" t="s">
        <v>23</v>
      </c>
      <c r="E832" s="1">
        <v>3311.2330000000002</v>
      </c>
    </row>
    <row r="833" spans="3:5" x14ac:dyDescent="0.35">
      <c r="C833" s="1" t="s">
        <v>9835</v>
      </c>
      <c r="D833" s="1" t="s">
        <v>23</v>
      </c>
      <c r="E833" s="1">
        <v>3311.2339999999999</v>
      </c>
    </row>
    <row r="834" spans="3:5" x14ac:dyDescent="0.35">
      <c r="C834" s="1" t="s">
        <v>9762</v>
      </c>
      <c r="D834" s="1" t="s">
        <v>23</v>
      </c>
      <c r="E834" s="1">
        <v>3311.2359999999999</v>
      </c>
    </row>
    <row r="835" spans="3:5" x14ac:dyDescent="0.35">
      <c r="C835" s="1" t="s">
        <v>9429</v>
      </c>
      <c r="D835" s="1" t="s">
        <v>23</v>
      </c>
      <c r="E835" s="1">
        <v>3311.2370000000001</v>
      </c>
    </row>
    <row r="836" spans="3:5" x14ac:dyDescent="0.35">
      <c r="C836" s="1" t="s">
        <v>9621</v>
      </c>
      <c r="D836" s="1" t="s">
        <v>23</v>
      </c>
      <c r="E836" s="1">
        <v>3311.2379999999998</v>
      </c>
    </row>
    <row r="837" spans="3:5" x14ac:dyDescent="0.35">
      <c r="C837" s="1" t="s">
        <v>9761</v>
      </c>
      <c r="D837" s="1" t="s">
        <v>23</v>
      </c>
      <c r="E837" s="1">
        <v>3311.239</v>
      </c>
    </row>
    <row r="838" spans="3:5" x14ac:dyDescent="0.35">
      <c r="C838" s="1" t="s">
        <v>9834</v>
      </c>
      <c r="D838" s="1" t="s">
        <v>23</v>
      </c>
      <c r="E838" s="1">
        <v>3311.24</v>
      </c>
    </row>
    <row r="839" spans="3:5" x14ac:dyDescent="0.35">
      <c r="C839" s="1" t="s">
        <v>9760</v>
      </c>
      <c r="D839" s="1" t="s">
        <v>23</v>
      </c>
      <c r="E839" s="1">
        <v>3311.2420000000002</v>
      </c>
    </row>
    <row r="840" spans="3:5" x14ac:dyDescent="0.35">
      <c r="C840" s="1" t="s">
        <v>9425</v>
      </c>
      <c r="D840" s="1" t="s">
        <v>23</v>
      </c>
      <c r="E840" s="1">
        <v>3311.2429999999999</v>
      </c>
    </row>
    <row r="841" spans="3:5" x14ac:dyDescent="0.35">
      <c r="C841" s="1" t="s">
        <v>9617</v>
      </c>
      <c r="D841" s="1" t="s">
        <v>23</v>
      </c>
      <c r="E841" s="1">
        <v>3311.2440000000001</v>
      </c>
    </row>
    <row r="842" spans="3:5" x14ac:dyDescent="0.35">
      <c r="C842" s="1" t="s">
        <v>9759</v>
      </c>
      <c r="D842" s="1" t="s">
        <v>23</v>
      </c>
      <c r="E842" s="1">
        <v>3311.2449999999999</v>
      </c>
    </row>
    <row r="843" spans="3:5" x14ac:dyDescent="0.35">
      <c r="C843" s="1" t="s">
        <v>9833</v>
      </c>
      <c r="D843" s="1" t="s">
        <v>23</v>
      </c>
      <c r="E843" s="1">
        <v>3311.2460000000001</v>
      </c>
    </row>
    <row r="844" spans="3:5" x14ac:dyDescent="0.35">
      <c r="C844" s="1" t="s">
        <v>9758</v>
      </c>
      <c r="D844" s="1" t="s">
        <v>23</v>
      </c>
      <c r="E844" s="1">
        <v>3311.248</v>
      </c>
    </row>
    <row r="845" spans="3:5" x14ac:dyDescent="0.35">
      <c r="C845" s="1" t="s">
        <v>9832</v>
      </c>
      <c r="D845" s="1" t="s">
        <v>57</v>
      </c>
      <c r="E845" s="1">
        <v>3311.4</v>
      </c>
    </row>
    <row r="846" spans="3:5" x14ac:dyDescent="0.35">
      <c r="C846" s="1" t="s">
        <v>9453</v>
      </c>
      <c r="D846" s="1" t="s">
        <v>23</v>
      </c>
      <c r="E846" s="1">
        <v>3311.4009999999998</v>
      </c>
    </row>
    <row r="847" spans="3:5" x14ac:dyDescent="0.35">
      <c r="C847" s="1" t="s">
        <v>9646</v>
      </c>
      <c r="D847" s="1" t="s">
        <v>23</v>
      </c>
      <c r="E847" s="1">
        <v>3311.402</v>
      </c>
    </row>
    <row r="848" spans="3:5" x14ac:dyDescent="0.35">
      <c r="C848" s="1" t="s">
        <v>9774</v>
      </c>
      <c r="D848" s="1" t="s">
        <v>23</v>
      </c>
      <c r="E848" s="1">
        <v>3311.4029999999998</v>
      </c>
    </row>
    <row r="849" spans="3:5" x14ac:dyDescent="0.35">
      <c r="C849" s="1" t="s">
        <v>9773</v>
      </c>
      <c r="D849" s="1" t="s">
        <v>23</v>
      </c>
      <c r="E849" s="1">
        <v>3311.4059999999999</v>
      </c>
    </row>
    <row r="850" spans="3:5" x14ac:dyDescent="0.35">
      <c r="C850" s="1" t="s">
        <v>9449</v>
      </c>
      <c r="D850" s="1" t="s">
        <v>23</v>
      </c>
      <c r="E850" s="1">
        <v>3311.4070000000002</v>
      </c>
    </row>
    <row r="851" spans="3:5" x14ac:dyDescent="0.35">
      <c r="C851" s="1" t="s">
        <v>9642</v>
      </c>
      <c r="D851" s="1" t="s">
        <v>23</v>
      </c>
      <c r="E851" s="1">
        <v>3311.4079999999999</v>
      </c>
    </row>
    <row r="852" spans="3:5" x14ac:dyDescent="0.35">
      <c r="C852" s="1" t="s">
        <v>9772</v>
      </c>
      <c r="D852" s="1" t="s">
        <v>23</v>
      </c>
      <c r="E852" s="1">
        <v>3311.4090000000001</v>
      </c>
    </row>
    <row r="853" spans="3:5" x14ac:dyDescent="0.35">
      <c r="C853" s="1" t="s">
        <v>9771</v>
      </c>
      <c r="D853" s="1" t="s">
        <v>23</v>
      </c>
      <c r="E853" s="1">
        <v>3311.4119999999998</v>
      </c>
    </row>
    <row r="854" spans="3:5" x14ac:dyDescent="0.35">
      <c r="C854" s="1" t="s">
        <v>9445</v>
      </c>
      <c r="D854" s="1" t="s">
        <v>23</v>
      </c>
      <c r="E854" s="1">
        <v>3311.413</v>
      </c>
    </row>
    <row r="855" spans="3:5" x14ac:dyDescent="0.35">
      <c r="C855" s="1" t="s">
        <v>9638</v>
      </c>
      <c r="D855" s="1" t="s">
        <v>23</v>
      </c>
      <c r="E855" s="1">
        <v>3311.4140000000002</v>
      </c>
    </row>
    <row r="856" spans="3:5" x14ac:dyDescent="0.35">
      <c r="C856" s="1" t="s">
        <v>9770</v>
      </c>
      <c r="D856" s="1" t="s">
        <v>23</v>
      </c>
      <c r="E856" s="1">
        <v>3311.415</v>
      </c>
    </row>
    <row r="857" spans="3:5" x14ac:dyDescent="0.35">
      <c r="C857" s="1" t="s">
        <v>9769</v>
      </c>
      <c r="D857" s="1" t="s">
        <v>23</v>
      </c>
      <c r="E857" s="1">
        <v>3311.4180000000001</v>
      </c>
    </row>
    <row r="858" spans="3:5" x14ac:dyDescent="0.35">
      <c r="C858" s="1" t="s">
        <v>9634</v>
      </c>
      <c r="D858" s="1" t="s">
        <v>23</v>
      </c>
      <c r="E858" s="1">
        <v>3311.4189999999999</v>
      </c>
    </row>
    <row r="859" spans="3:5" x14ac:dyDescent="0.35">
      <c r="C859" s="1" t="s">
        <v>9633</v>
      </c>
      <c r="D859" s="1" t="s">
        <v>23</v>
      </c>
      <c r="E859" s="1">
        <v>3311.42</v>
      </c>
    </row>
    <row r="860" spans="3:5" x14ac:dyDescent="0.35">
      <c r="C860" s="1" t="s">
        <v>9788</v>
      </c>
      <c r="D860" s="1" t="s">
        <v>23</v>
      </c>
      <c r="E860" s="1">
        <v>3311.4209999999998</v>
      </c>
    </row>
    <row r="861" spans="3:5" x14ac:dyDescent="0.35">
      <c r="C861" s="1" t="s">
        <v>9781</v>
      </c>
      <c r="D861" s="1" t="s">
        <v>23</v>
      </c>
      <c r="E861" s="1">
        <v>3311.424</v>
      </c>
    </row>
    <row r="862" spans="3:5" x14ac:dyDescent="0.35">
      <c r="C862" s="1" t="s">
        <v>9441</v>
      </c>
      <c r="D862" s="1" t="s">
        <v>23</v>
      </c>
      <c r="E862" s="1">
        <v>3311.4250000000002</v>
      </c>
    </row>
    <row r="863" spans="3:5" x14ac:dyDescent="0.35">
      <c r="C863" s="1" t="s">
        <v>9629</v>
      </c>
      <c r="D863" s="1" t="s">
        <v>23</v>
      </c>
      <c r="E863" s="1">
        <v>3311.4259999999999</v>
      </c>
    </row>
    <row r="864" spans="3:5" x14ac:dyDescent="0.35">
      <c r="C864" s="1" t="s">
        <v>9765</v>
      </c>
      <c r="D864" s="1" t="s">
        <v>23</v>
      </c>
      <c r="E864" s="1">
        <v>3311.4270000000001</v>
      </c>
    </row>
    <row r="865" spans="3:5" x14ac:dyDescent="0.35">
      <c r="C865" s="1" t="s">
        <v>9764</v>
      </c>
      <c r="D865" s="1" t="s">
        <v>23</v>
      </c>
      <c r="E865" s="1">
        <v>3311.43</v>
      </c>
    </row>
    <row r="866" spans="3:5" x14ac:dyDescent="0.35">
      <c r="C866" s="1" t="s">
        <v>9437</v>
      </c>
      <c r="D866" s="1" t="s">
        <v>23</v>
      </c>
      <c r="E866" s="1">
        <v>3311.431</v>
      </c>
    </row>
    <row r="867" spans="3:5" x14ac:dyDescent="0.35">
      <c r="C867" s="1" t="s">
        <v>9625</v>
      </c>
      <c r="D867" s="1" t="s">
        <v>23</v>
      </c>
      <c r="E867" s="1">
        <v>3311.4319999999998</v>
      </c>
    </row>
    <row r="868" spans="3:5" x14ac:dyDescent="0.35">
      <c r="C868" s="1" t="s">
        <v>9763</v>
      </c>
      <c r="D868" s="1" t="s">
        <v>23</v>
      </c>
      <c r="E868" s="1">
        <v>3311.433</v>
      </c>
    </row>
    <row r="869" spans="3:5" x14ac:dyDescent="0.35">
      <c r="C869" s="1" t="s">
        <v>9762</v>
      </c>
      <c r="D869" s="1" t="s">
        <v>23</v>
      </c>
      <c r="E869" s="1">
        <v>3311.4360000000001</v>
      </c>
    </row>
    <row r="870" spans="3:5" x14ac:dyDescent="0.35">
      <c r="C870" s="1" t="s">
        <v>9429</v>
      </c>
      <c r="D870" s="1" t="s">
        <v>23</v>
      </c>
      <c r="E870" s="1">
        <v>3311.4369999999999</v>
      </c>
    </row>
    <row r="871" spans="3:5" x14ac:dyDescent="0.35">
      <c r="C871" s="1" t="s">
        <v>9621</v>
      </c>
      <c r="D871" s="1" t="s">
        <v>23</v>
      </c>
      <c r="E871" s="1">
        <v>3311.4380000000001</v>
      </c>
    </row>
    <row r="872" spans="3:5" x14ac:dyDescent="0.35">
      <c r="C872" s="1" t="s">
        <v>9761</v>
      </c>
      <c r="D872" s="1" t="s">
        <v>23</v>
      </c>
      <c r="E872" s="1">
        <v>3311.4389999999999</v>
      </c>
    </row>
    <row r="873" spans="3:5" x14ac:dyDescent="0.35">
      <c r="C873" s="1" t="s">
        <v>9760</v>
      </c>
      <c r="D873" s="1" t="s">
        <v>23</v>
      </c>
      <c r="E873" s="1">
        <v>3311.442</v>
      </c>
    </row>
    <row r="874" spans="3:5" x14ac:dyDescent="0.35">
      <c r="C874" s="1" t="s">
        <v>9425</v>
      </c>
      <c r="D874" s="1" t="s">
        <v>23</v>
      </c>
      <c r="E874" s="1">
        <v>3311.4430000000002</v>
      </c>
    </row>
    <row r="875" spans="3:5" x14ac:dyDescent="0.35">
      <c r="C875" s="1" t="s">
        <v>9617</v>
      </c>
      <c r="D875" s="1" t="s">
        <v>23</v>
      </c>
      <c r="E875" s="1">
        <v>3311.444</v>
      </c>
    </row>
    <row r="876" spans="3:5" x14ac:dyDescent="0.35">
      <c r="C876" s="1" t="s">
        <v>9759</v>
      </c>
      <c r="D876" s="1" t="s">
        <v>23</v>
      </c>
      <c r="E876" s="1">
        <v>3311.4450000000002</v>
      </c>
    </row>
    <row r="877" spans="3:5" x14ac:dyDescent="0.35">
      <c r="C877" s="1" t="s">
        <v>9758</v>
      </c>
      <c r="D877" s="1" t="s">
        <v>23</v>
      </c>
      <c r="E877" s="1">
        <v>3311.4479999999999</v>
      </c>
    </row>
    <row r="878" spans="3:5" x14ac:dyDescent="0.35">
      <c r="C878" s="1" t="s">
        <v>9831</v>
      </c>
      <c r="D878" s="1" t="s">
        <v>57</v>
      </c>
      <c r="E878" s="1">
        <v>3311.45</v>
      </c>
    </row>
    <row r="879" spans="3:5" x14ac:dyDescent="0.35">
      <c r="C879" s="1" t="s">
        <v>9824</v>
      </c>
      <c r="D879" s="1" t="s">
        <v>23</v>
      </c>
      <c r="E879" s="1">
        <v>3311.451</v>
      </c>
    </row>
    <row r="880" spans="3:5" x14ac:dyDescent="0.35">
      <c r="C880" s="1" t="s">
        <v>9823</v>
      </c>
      <c r="D880" s="1" t="s">
        <v>23</v>
      </c>
      <c r="E880" s="1">
        <v>3311.4520000000002</v>
      </c>
    </row>
    <row r="881" spans="3:5" x14ac:dyDescent="0.35">
      <c r="C881" s="1" t="s">
        <v>9822</v>
      </c>
      <c r="D881" s="1" t="s">
        <v>23</v>
      </c>
      <c r="E881" s="1">
        <v>3311.453</v>
      </c>
    </row>
    <row r="882" spans="3:5" x14ac:dyDescent="0.35">
      <c r="C882" s="1" t="s">
        <v>9821</v>
      </c>
      <c r="D882" s="1" t="s">
        <v>23</v>
      </c>
      <c r="E882" s="1">
        <v>3311.4540000000002</v>
      </c>
    </row>
    <row r="883" spans="3:5" x14ac:dyDescent="0.35">
      <c r="C883" s="1" t="s">
        <v>9820</v>
      </c>
      <c r="D883" s="1" t="s">
        <v>23</v>
      </c>
      <c r="E883" s="1">
        <v>3311.4549999999999</v>
      </c>
    </row>
    <row r="884" spans="3:5" x14ac:dyDescent="0.35">
      <c r="C884" s="1" t="s">
        <v>9819</v>
      </c>
      <c r="D884" s="1" t="s">
        <v>23</v>
      </c>
      <c r="E884" s="1">
        <v>3311.4560000000001</v>
      </c>
    </row>
    <row r="885" spans="3:5" x14ac:dyDescent="0.35">
      <c r="C885" s="1" t="s">
        <v>9818</v>
      </c>
      <c r="D885" s="1" t="s">
        <v>23</v>
      </c>
      <c r="E885" s="1">
        <v>3311.4569999999999</v>
      </c>
    </row>
    <row r="886" spans="3:5" x14ac:dyDescent="0.35">
      <c r="C886" s="1" t="s">
        <v>9817</v>
      </c>
      <c r="D886" s="1" t="s">
        <v>23</v>
      </c>
      <c r="E886" s="1">
        <v>3311.4580000000001</v>
      </c>
    </row>
    <row r="887" spans="3:5" x14ac:dyDescent="0.35">
      <c r="C887" s="1" t="s">
        <v>9816</v>
      </c>
      <c r="D887" s="1" t="s">
        <v>23</v>
      </c>
      <c r="E887" s="1">
        <v>3311.4589999999998</v>
      </c>
    </row>
    <row r="888" spans="3:5" x14ac:dyDescent="0.35">
      <c r="C888" s="1" t="s">
        <v>9815</v>
      </c>
      <c r="D888" s="1" t="s">
        <v>23</v>
      </c>
      <c r="E888" s="1">
        <v>3311.46</v>
      </c>
    </row>
    <row r="889" spans="3:5" x14ac:dyDescent="0.35">
      <c r="C889" s="1" t="s">
        <v>9814</v>
      </c>
      <c r="D889" s="1" t="s">
        <v>23</v>
      </c>
      <c r="E889" s="1">
        <v>3311.4609999999998</v>
      </c>
    </row>
    <row r="890" spans="3:5" x14ac:dyDescent="0.35">
      <c r="C890" s="1" t="s">
        <v>9813</v>
      </c>
      <c r="D890" s="1" t="s">
        <v>23</v>
      </c>
      <c r="E890" s="1">
        <v>3311.462</v>
      </c>
    </row>
    <row r="891" spans="3:5" x14ac:dyDescent="0.35">
      <c r="C891" s="1" t="s">
        <v>9812</v>
      </c>
      <c r="D891" s="1" t="s">
        <v>23</v>
      </c>
      <c r="E891" s="1">
        <v>3311.4630000000002</v>
      </c>
    </row>
    <row r="892" spans="3:5" x14ac:dyDescent="0.35">
      <c r="C892" s="1" t="s">
        <v>9811</v>
      </c>
      <c r="D892" s="1" t="s">
        <v>23</v>
      </c>
      <c r="E892" s="1">
        <v>3311.4639999999999</v>
      </c>
    </row>
    <row r="893" spans="3:5" x14ac:dyDescent="0.35">
      <c r="C893" s="1" t="s">
        <v>9810</v>
      </c>
      <c r="D893" s="1" t="s">
        <v>23</v>
      </c>
      <c r="E893" s="1">
        <v>3311.4650000000001</v>
      </c>
    </row>
    <row r="894" spans="3:5" x14ac:dyDescent="0.35">
      <c r="C894" s="1" t="s">
        <v>9809</v>
      </c>
      <c r="D894" s="1" t="s">
        <v>23</v>
      </c>
      <c r="E894" s="1">
        <v>3311.4659999999999</v>
      </c>
    </row>
    <row r="895" spans="3:5" x14ac:dyDescent="0.35">
      <c r="C895" s="1" t="s">
        <v>9808</v>
      </c>
      <c r="D895" s="1" t="s">
        <v>23</v>
      </c>
      <c r="E895" s="1">
        <v>3311.4670000000001</v>
      </c>
    </row>
    <row r="896" spans="3:5" x14ac:dyDescent="0.35">
      <c r="C896" s="1" t="s">
        <v>9807</v>
      </c>
      <c r="D896" s="1" t="s">
        <v>23</v>
      </c>
      <c r="E896" s="1">
        <v>3311.4679999999998</v>
      </c>
    </row>
    <row r="897" spans="3:5" x14ac:dyDescent="0.35">
      <c r="C897" s="1" t="s">
        <v>9806</v>
      </c>
      <c r="D897" s="1" t="s">
        <v>23</v>
      </c>
      <c r="E897" s="1">
        <v>3311.4690000000001</v>
      </c>
    </row>
    <row r="898" spans="3:5" x14ac:dyDescent="0.35">
      <c r="C898" s="1" t="s">
        <v>9805</v>
      </c>
      <c r="D898" s="1" t="s">
        <v>23</v>
      </c>
      <c r="E898" s="1">
        <v>3311.47</v>
      </c>
    </row>
    <row r="899" spans="3:5" x14ac:dyDescent="0.35">
      <c r="C899" s="1" t="s">
        <v>9804</v>
      </c>
      <c r="D899" s="1" t="s">
        <v>23</v>
      </c>
      <c r="E899" s="1">
        <v>3311.471</v>
      </c>
    </row>
    <row r="900" spans="3:5" x14ac:dyDescent="0.35">
      <c r="C900" s="1" t="s">
        <v>9803</v>
      </c>
      <c r="D900" s="1" t="s">
        <v>23</v>
      </c>
      <c r="E900" s="1">
        <v>3311.4720000000002</v>
      </c>
    </row>
    <row r="901" spans="3:5" x14ac:dyDescent="0.35">
      <c r="C901" s="1" t="s">
        <v>9802</v>
      </c>
      <c r="D901" s="1" t="s">
        <v>23</v>
      </c>
      <c r="E901" s="1">
        <v>3311.473</v>
      </c>
    </row>
    <row r="902" spans="3:5" x14ac:dyDescent="0.35">
      <c r="C902" s="1" t="s">
        <v>9801</v>
      </c>
      <c r="D902" s="1" t="s">
        <v>23</v>
      </c>
      <c r="E902" s="1">
        <v>3311.4740000000002</v>
      </c>
    </row>
    <row r="903" spans="3:5" x14ac:dyDescent="0.35">
      <c r="C903" s="1" t="s">
        <v>9800</v>
      </c>
      <c r="D903" s="1" t="s">
        <v>23</v>
      </c>
      <c r="E903" s="1">
        <v>3311.4749999999999</v>
      </c>
    </row>
    <row r="904" spans="3:5" x14ac:dyDescent="0.35">
      <c r="C904" s="1" t="s">
        <v>9799</v>
      </c>
      <c r="D904" s="1" t="s">
        <v>23</v>
      </c>
      <c r="E904" s="1">
        <v>3311.4760000000001</v>
      </c>
    </row>
    <row r="905" spans="3:5" x14ac:dyDescent="0.35">
      <c r="C905" s="1" t="s">
        <v>9798</v>
      </c>
      <c r="D905" s="1" t="s">
        <v>23</v>
      </c>
      <c r="E905" s="1">
        <v>3311.4769999999999</v>
      </c>
    </row>
    <row r="906" spans="3:5" x14ac:dyDescent="0.35">
      <c r="C906" s="1" t="s">
        <v>9797</v>
      </c>
      <c r="D906" s="1" t="s">
        <v>23</v>
      </c>
      <c r="E906" s="1">
        <v>3311.4780000000001</v>
      </c>
    </row>
    <row r="907" spans="3:5" x14ac:dyDescent="0.35">
      <c r="C907" s="1" t="s">
        <v>9830</v>
      </c>
      <c r="D907" s="1" t="s">
        <v>57</v>
      </c>
      <c r="E907" s="1">
        <v>3311.5</v>
      </c>
    </row>
    <row r="908" spans="3:5" x14ac:dyDescent="0.35">
      <c r="C908" s="1" t="s">
        <v>9453</v>
      </c>
      <c r="D908" s="1" t="s">
        <v>23</v>
      </c>
      <c r="E908" s="1">
        <v>3311.5010000000002</v>
      </c>
    </row>
    <row r="909" spans="3:5" x14ac:dyDescent="0.35">
      <c r="C909" s="1" t="s">
        <v>9646</v>
      </c>
      <c r="D909" s="1" t="s">
        <v>23</v>
      </c>
      <c r="E909" s="1">
        <v>3311.502</v>
      </c>
    </row>
    <row r="910" spans="3:5" x14ac:dyDescent="0.35">
      <c r="C910" s="1" t="s">
        <v>9785</v>
      </c>
      <c r="D910" s="1" t="s">
        <v>23</v>
      </c>
      <c r="E910" s="1">
        <v>3311.5030000000002</v>
      </c>
    </row>
    <row r="911" spans="3:5" x14ac:dyDescent="0.35">
      <c r="C911" s="1" t="s">
        <v>9773</v>
      </c>
      <c r="D911" s="1" t="s">
        <v>23</v>
      </c>
      <c r="E911" s="1">
        <v>3311.5059999999999</v>
      </c>
    </row>
    <row r="912" spans="3:5" x14ac:dyDescent="0.35">
      <c r="C912" s="1" t="s">
        <v>9449</v>
      </c>
      <c r="D912" s="1" t="s">
        <v>23</v>
      </c>
      <c r="E912" s="1">
        <v>3311.5070000000001</v>
      </c>
    </row>
    <row r="913" spans="3:5" x14ac:dyDescent="0.35">
      <c r="C913" s="1" t="s">
        <v>9642</v>
      </c>
      <c r="D913" s="1" t="s">
        <v>23</v>
      </c>
      <c r="E913" s="1">
        <v>3311.5079999999998</v>
      </c>
    </row>
    <row r="914" spans="3:5" x14ac:dyDescent="0.35">
      <c r="C914" s="1" t="s">
        <v>9784</v>
      </c>
      <c r="D914" s="1" t="s">
        <v>23</v>
      </c>
      <c r="E914" s="1">
        <v>3311.509</v>
      </c>
    </row>
    <row r="915" spans="3:5" x14ac:dyDescent="0.35">
      <c r="C915" s="1" t="s">
        <v>9771</v>
      </c>
      <c r="D915" s="1" t="s">
        <v>23</v>
      </c>
      <c r="E915" s="1">
        <v>3311.5120000000002</v>
      </c>
    </row>
    <row r="916" spans="3:5" x14ac:dyDescent="0.35">
      <c r="C916" s="1" t="s">
        <v>9445</v>
      </c>
      <c r="D916" s="1" t="s">
        <v>23</v>
      </c>
      <c r="E916" s="1">
        <v>3311.5129999999999</v>
      </c>
    </row>
    <row r="917" spans="3:5" x14ac:dyDescent="0.35">
      <c r="C917" s="1" t="s">
        <v>9638</v>
      </c>
      <c r="D917" s="1" t="s">
        <v>23</v>
      </c>
      <c r="E917" s="1">
        <v>3311.5140000000001</v>
      </c>
    </row>
    <row r="918" spans="3:5" x14ac:dyDescent="0.35">
      <c r="C918" s="1" t="s">
        <v>9783</v>
      </c>
      <c r="D918" s="1" t="s">
        <v>23</v>
      </c>
      <c r="E918" s="1">
        <v>3311.5149999999999</v>
      </c>
    </row>
    <row r="919" spans="3:5" x14ac:dyDescent="0.35">
      <c r="C919" s="1" t="s">
        <v>9769</v>
      </c>
      <c r="D919" s="1" t="s">
        <v>23</v>
      </c>
      <c r="E919" s="1">
        <v>3311.518</v>
      </c>
    </row>
    <row r="920" spans="3:5" x14ac:dyDescent="0.35">
      <c r="C920" s="1" t="s">
        <v>9634</v>
      </c>
      <c r="D920" s="1" t="s">
        <v>23</v>
      </c>
      <c r="E920" s="1">
        <v>3311.5189999999998</v>
      </c>
    </row>
    <row r="921" spans="3:5" x14ac:dyDescent="0.35">
      <c r="C921" s="1" t="s">
        <v>9633</v>
      </c>
      <c r="D921" s="1" t="s">
        <v>23</v>
      </c>
      <c r="E921" s="1">
        <v>3311.52</v>
      </c>
    </row>
    <row r="922" spans="3:5" x14ac:dyDescent="0.35">
      <c r="C922" s="1" t="s">
        <v>9782</v>
      </c>
      <c r="D922" s="1" t="s">
        <v>23</v>
      </c>
      <c r="E922" s="1">
        <v>3311.5210000000002</v>
      </c>
    </row>
    <row r="923" spans="3:5" x14ac:dyDescent="0.35">
      <c r="C923" s="1" t="s">
        <v>9781</v>
      </c>
      <c r="D923" s="1" t="s">
        <v>23</v>
      </c>
      <c r="E923" s="1">
        <v>3311.5239999999999</v>
      </c>
    </row>
    <row r="924" spans="3:5" x14ac:dyDescent="0.35">
      <c r="C924" s="1" t="s">
        <v>9441</v>
      </c>
      <c r="D924" s="1" t="s">
        <v>23</v>
      </c>
      <c r="E924" s="1">
        <v>3311.5250000000001</v>
      </c>
    </row>
    <row r="925" spans="3:5" x14ac:dyDescent="0.35">
      <c r="C925" s="1" t="s">
        <v>9629</v>
      </c>
      <c r="D925" s="1" t="s">
        <v>23</v>
      </c>
      <c r="E925" s="1">
        <v>3311.5259999999998</v>
      </c>
    </row>
    <row r="926" spans="3:5" x14ac:dyDescent="0.35">
      <c r="C926" s="1" t="s">
        <v>9765</v>
      </c>
      <c r="D926" s="1" t="s">
        <v>23</v>
      </c>
      <c r="E926" s="1">
        <v>3311.527</v>
      </c>
    </row>
    <row r="927" spans="3:5" x14ac:dyDescent="0.35">
      <c r="C927" s="1" t="s">
        <v>9764</v>
      </c>
      <c r="D927" s="1" t="s">
        <v>23</v>
      </c>
      <c r="E927" s="1">
        <v>3311.53</v>
      </c>
    </row>
    <row r="928" spans="3:5" x14ac:dyDescent="0.35">
      <c r="C928" s="1" t="s">
        <v>9437</v>
      </c>
      <c r="D928" s="1" t="s">
        <v>23</v>
      </c>
      <c r="E928" s="1">
        <v>3311.5309999999999</v>
      </c>
    </row>
    <row r="929" spans="3:5" x14ac:dyDescent="0.35">
      <c r="C929" s="1" t="s">
        <v>9625</v>
      </c>
      <c r="D929" s="1" t="s">
        <v>23</v>
      </c>
      <c r="E929" s="1">
        <v>3311.5320000000002</v>
      </c>
    </row>
    <row r="930" spans="3:5" x14ac:dyDescent="0.35">
      <c r="C930" s="1" t="s">
        <v>9763</v>
      </c>
      <c r="D930" s="1" t="s">
        <v>23</v>
      </c>
      <c r="E930" s="1">
        <v>3311.5329999999999</v>
      </c>
    </row>
    <row r="931" spans="3:5" x14ac:dyDescent="0.35">
      <c r="C931" s="1" t="s">
        <v>9762</v>
      </c>
      <c r="D931" s="1" t="s">
        <v>23</v>
      </c>
      <c r="E931" s="1">
        <v>3311.5360000000001</v>
      </c>
    </row>
    <row r="932" spans="3:5" x14ac:dyDescent="0.35">
      <c r="C932" s="1" t="s">
        <v>9429</v>
      </c>
      <c r="D932" s="1" t="s">
        <v>23</v>
      </c>
      <c r="E932" s="1">
        <v>3311.5369999999998</v>
      </c>
    </row>
    <row r="933" spans="3:5" x14ac:dyDescent="0.35">
      <c r="C933" s="1" t="s">
        <v>9621</v>
      </c>
      <c r="D933" s="1" t="s">
        <v>23</v>
      </c>
      <c r="E933" s="1">
        <v>3311.538</v>
      </c>
    </row>
    <row r="934" spans="3:5" x14ac:dyDescent="0.35">
      <c r="C934" s="1" t="s">
        <v>9778</v>
      </c>
      <c r="D934" s="1" t="s">
        <v>23</v>
      </c>
      <c r="E934" s="1">
        <v>3311.5390000000002</v>
      </c>
    </row>
    <row r="935" spans="3:5" x14ac:dyDescent="0.35">
      <c r="C935" s="1" t="s">
        <v>9760</v>
      </c>
      <c r="D935" s="1" t="s">
        <v>23</v>
      </c>
      <c r="E935" s="1">
        <v>3311.5419999999999</v>
      </c>
    </row>
    <row r="936" spans="3:5" x14ac:dyDescent="0.35">
      <c r="C936" s="1" t="s">
        <v>9425</v>
      </c>
      <c r="D936" s="1" t="s">
        <v>23</v>
      </c>
      <c r="E936" s="1">
        <v>3311.5430000000001</v>
      </c>
    </row>
    <row r="937" spans="3:5" x14ac:dyDescent="0.35">
      <c r="C937" s="1" t="s">
        <v>9617</v>
      </c>
      <c r="D937" s="1" t="s">
        <v>23</v>
      </c>
      <c r="E937" s="1">
        <v>3311.5439999999999</v>
      </c>
    </row>
    <row r="938" spans="3:5" x14ac:dyDescent="0.35">
      <c r="C938" s="1" t="s">
        <v>9777</v>
      </c>
      <c r="D938" s="1" t="s">
        <v>23</v>
      </c>
      <c r="E938" s="1">
        <v>3311.5450000000001</v>
      </c>
    </row>
    <row r="939" spans="3:5" x14ac:dyDescent="0.35">
      <c r="C939" s="1" t="s">
        <v>9758</v>
      </c>
      <c r="D939" s="1" t="s">
        <v>23</v>
      </c>
      <c r="E939" s="1">
        <v>3311.5479999999998</v>
      </c>
    </row>
    <row r="940" spans="3:5" x14ac:dyDescent="0.35">
      <c r="C940" s="1" t="s">
        <v>9829</v>
      </c>
      <c r="D940" s="1" t="s">
        <v>23</v>
      </c>
      <c r="E940" s="1">
        <v>3311.549</v>
      </c>
    </row>
    <row r="941" spans="3:5" x14ac:dyDescent="0.35">
      <c r="C941" s="1" t="s">
        <v>9828</v>
      </c>
      <c r="D941" s="1" t="s">
        <v>23</v>
      </c>
      <c r="E941" s="1">
        <v>3311.55</v>
      </c>
    </row>
    <row r="942" spans="3:5" x14ac:dyDescent="0.35">
      <c r="C942" s="1" t="s">
        <v>9827</v>
      </c>
      <c r="D942" s="1" t="s">
        <v>20</v>
      </c>
      <c r="E942" s="1">
        <v>3311.558</v>
      </c>
    </row>
    <row r="943" spans="3:5" x14ac:dyDescent="0.35">
      <c r="C943" s="1" t="s">
        <v>9826</v>
      </c>
      <c r="D943" s="1" t="s">
        <v>20</v>
      </c>
      <c r="E943" s="1">
        <v>3311.5590000000002</v>
      </c>
    </row>
    <row r="944" spans="3:5" x14ac:dyDescent="0.35">
      <c r="C944" s="1" t="s">
        <v>9825</v>
      </c>
      <c r="D944" s="1" t="s">
        <v>57</v>
      </c>
      <c r="E944" s="1">
        <v>3311.56</v>
      </c>
    </row>
    <row r="945" spans="3:5" x14ac:dyDescent="0.35">
      <c r="C945" s="1" t="s">
        <v>9824</v>
      </c>
      <c r="D945" s="1" t="s">
        <v>23</v>
      </c>
      <c r="E945" s="1">
        <v>3311.5610000000001</v>
      </c>
    </row>
    <row r="946" spans="3:5" x14ac:dyDescent="0.35">
      <c r="C946" s="1" t="s">
        <v>9823</v>
      </c>
      <c r="D946" s="1" t="s">
        <v>23</v>
      </c>
      <c r="E946" s="1">
        <v>3311.5619999999999</v>
      </c>
    </row>
    <row r="947" spans="3:5" x14ac:dyDescent="0.35">
      <c r="C947" s="1" t="s">
        <v>9822</v>
      </c>
      <c r="D947" s="1" t="s">
        <v>23</v>
      </c>
      <c r="E947" s="1">
        <v>3311.5630000000001</v>
      </c>
    </row>
    <row r="948" spans="3:5" x14ac:dyDescent="0.35">
      <c r="C948" s="1" t="s">
        <v>9821</v>
      </c>
      <c r="D948" s="1" t="s">
        <v>23</v>
      </c>
      <c r="E948" s="1">
        <v>3311.5639999999999</v>
      </c>
    </row>
    <row r="949" spans="3:5" x14ac:dyDescent="0.35">
      <c r="C949" s="1" t="s">
        <v>9820</v>
      </c>
      <c r="D949" s="1" t="s">
        <v>23</v>
      </c>
      <c r="E949" s="1">
        <v>3311.5650000000001</v>
      </c>
    </row>
    <row r="950" spans="3:5" x14ac:dyDescent="0.35">
      <c r="C950" s="1" t="s">
        <v>9819</v>
      </c>
      <c r="D950" s="1" t="s">
        <v>23</v>
      </c>
      <c r="E950" s="1">
        <v>3311.5659999999998</v>
      </c>
    </row>
    <row r="951" spans="3:5" x14ac:dyDescent="0.35">
      <c r="C951" s="1" t="s">
        <v>9818</v>
      </c>
      <c r="D951" s="1" t="s">
        <v>23</v>
      </c>
      <c r="E951" s="1">
        <v>3311.567</v>
      </c>
    </row>
    <row r="952" spans="3:5" x14ac:dyDescent="0.35">
      <c r="C952" s="1" t="s">
        <v>9817</v>
      </c>
      <c r="D952" s="1" t="s">
        <v>23</v>
      </c>
      <c r="E952" s="1">
        <v>3311.5680000000002</v>
      </c>
    </row>
    <row r="953" spans="3:5" x14ac:dyDescent="0.35">
      <c r="C953" s="1" t="s">
        <v>9816</v>
      </c>
      <c r="D953" s="1" t="s">
        <v>23</v>
      </c>
      <c r="E953" s="1">
        <v>3311.569</v>
      </c>
    </row>
    <row r="954" spans="3:5" x14ac:dyDescent="0.35">
      <c r="C954" s="1" t="s">
        <v>9815</v>
      </c>
      <c r="D954" s="1" t="s">
        <v>23</v>
      </c>
      <c r="E954" s="1">
        <v>3311.57</v>
      </c>
    </row>
    <row r="955" spans="3:5" x14ac:dyDescent="0.35">
      <c r="C955" s="1" t="s">
        <v>9814</v>
      </c>
      <c r="D955" s="1" t="s">
        <v>23</v>
      </c>
      <c r="E955" s="1">
        <v>3311.5709999999999</v>
      </c>
    </row>
    <row r="956" spans="3:5" x14ac:dyDescent="0.35">
      <c r="C956" s="1" t="s">
        <v>9813</v>
      </c>
      <c r="D956" s="1" t="s">
        <v>23</v>
      </c>
      <c r="E956" s="1">
        <v>3311.5720000000001</v>
      </c>
    </row>
    <row r="957" spans="3:5" x14ac:dyDescent="0.35">
      <c r="C957" s="1" t="s">
        <v>9812</v>
      </c>
      <c r="D957" s="1" t="s">
        <v>23</v>
      </c>
      <c r="E957" s="1">
        <v>3311.5729999999999</v>
      </c>
    </row>
    <row r="958" spans="3:5" x14ac:dyDescent="0.35">
      <c r="C958" s="1" t="s">
        <v>9811</v>
      </c>
      <c r="D958" s="1" t="s">
        <v>23</v>
      </c>
      <c r="E958" s="1">
        <v>3311.5740000000001</v>
      </c>
    </row>
    <row r="959" spans="3:5" x14ac:dyDescent="0.35">
      <c r="C959" s="1" t="s">
        <v>9810</v>
      </c>
      <c r="D959" s="1" t="s">
        <v>23</v>
      </c>
      <c r="E959" s="1">
        <v>3311.5749999999998</v>
      </c>
    </row>
    <row r="960" spans="3:5" x14ac:dyDescent="0.35">
      <c r="C960" s="1" t="s">
        <v>9809</v>
      </c>
      <c r="D960" s="1" t="s">
        <v>23</v>
      </c>
      <c r="E960" s="1">
        <v>3311.576</v>
      </c>
    </row>
    <row r="961" spans="3:5" x14ac:dyDescent="0.35">
      <c r="C961" s="1" t="s">
        <v>9808</v>
      </c>
      <c r="D961" s="1" t="s">
        <v>23</v>
      </c>
      <c r="E961" s="1">
        <v>3311.5770000000002</v>
      </c>
    </row>
    <row r="962" spans="3:5" x14ac:dyDescent="0.35">
      <c r="C962" s="1" t="s">
        <v>9807</v>
      </c>
      <c r="D962" s="1" t="s">
        <v>23</v>
      </c>
      <c r="E962" s="1">
        <v>3311.578</v>
      </c>
    </row>
    <row r="963" spans="3:5" x14ac:dyDescent="0.35">
      <c r="C963" s="1" t="s">
        <v>9806</v>
      </c>
      <c r="D963" s="1" t="s">
        <v>23</v>
      </c>
      <c r="E963" s="1">
        <v>3311.5790000000002</v>
      </c>
    </row>
    <row r="964" spans="3:5" x14ac:dyDescent="0.35">
      <c r="C964" s="1" t="s">
        <v>9805</v>
      </c>
      <c r="D964" s="1" t="s">
        <v>23</v>
      </c>
      <c r="E964" s="1">
        <v>3311.58</v>
      </c>
    </row>
    <row r="965" spans="3:5" x14ac:dyDescent="0.35">
      <c r="C965" s="1" t="s">
        <v>9804</v>
      </c>
      <c r="D965" s="1" t="s">
        <v>23</v>
      </c>
      <c r="E965" s="1">
        <v>3311.5810000000001</v>
      </c>
    </row>
    <row r="966" spans="3:5" x14ac:dyDescent="0.35">
      <c r="C966" s="1" t="s">
        <v>9803</v>
      </c>
      <c r="D966" s="1" t="s">
        <v>23</v>
      </c>
      <c r="E966" s="1">
        <v>3311.5819999999999</v>
      </c>
    </row>
    <row r="967" spans="3:5" x14ac:dyDescent="0.35">
      <c r="C967" s="1" t="s">
        <v>9802</v>
      </c>
      <c r="D967" s="1" t="s">
        <v>23</v>
      </c>
      <c r="E967" s="1">
        <v>3311.5830000000001</v>
      </c>
    </row>
    <row r="968" spans="3:5" x14ac:dyDescent="0.35">
      <c r="C968" s="1" t="s">
        <v>9801</v>
      </c>
      <c r="D968" s="1" t="s">
        <v>23</v>
      </c>
      <c r="E968" s="1">
        <v>3311.5839999999998</v>
      </c>
    </row>
    <row r="969" spans="3:5" x14ac:dyDescent="0.35">
      <c r="C969" s="1" t="s">
        <v>9800</v>
      </c>
      <c r="D969" s="1" t="s">
        <v>23</v>
      </c>
      <c r="E969" s="1">
        <v>3311.585</v>
      </c>
    </row>
    <row r="970" spans="3:5" x14ac:dyDescent="0.35">
      <c r="C970" s="1" t="s">
        <v>9799</v>
      </c>
      <c r="D970" s="1" t="s">
        <v>23</v>
      </c>
      <c r="E970" s="1">
        <v>3311.5859999999998</v>
      </c>
    </row>
    <row r="971" spans="3:5" x14ac:dyDescent="0.35">
      <c r="C971" s="1" t="s">
        <v>9798</v>
      </c>
      <c r="D971" s="1" t="s">
        <v>23</v>
      </c>
      <c r="E971" s="1">
        <v>3311.587</v>
      </c>
    </row>
    <row r="972" spans="3:5" x14ac:dyDescent="0.35">
      <c r="C972" s="1" t="s">
        <v>9797</v>
      </c>
      <c r="D972" s="1" t="s">
        <v>23</v>
      </c>
      <c r="E972" s="1">
        <v>3311.5880000000002</v>
      </c>
    </row>
    <row r="973" spans="3:5" x14ac:dyDescent="0.35">
      <c r="C973" s="1" t="s">
        <v>9796</v>
      </c>
      <c r="D973" s="1" t="s">
        <v>57</v>
      </c>
      <c r="E973" s="1">
        <v>3311.6</v>
      </c>
    </row>
    <row r="974" spans="3:5" x14ac:dyDescent="0.35">
      <c r="C974" s="1" t="s">
        <v>9453</v>
      </c>
      <c r="D974" s="1" t="s">
        <v>23</v>
      </c>
      <c r="E974" s="1">
        <v>3311.6010000000001</v>
      </c>
    </row>
    <row r="975" spans="3:5" x14ac:dyDescent="0.35">
      <c r="C975" s="1" t="s">
        <v>9646</v>
      </c>
      <c r="D975" s="1" t="s">
        <v>23</v>
      </c>
      <c r="E975" s="1">
        <v>3311.6019999999999</v>
      </c>
    </row>
    <row r="976" spans="3:5" x14ac:dyDescent="0.35">
      <c r="C976" s="1" t="s">
        <v>9785</v>
      </c>
      <c r="D976" s="1" t="s">
        <v>23</v>
      </c>
      <c r="E976" s="1">
        <v>3311.6030000000001</v>
      </c>
    </row>
    <row r="977" spans="3:5" x14ac:dyDescent="0.35">
      <c r="C977" s="1" t="s">
        <v>9773</v>
      </c>
      <c r="D977" s="1" t="s">
        <v>23</v>
      </c>
      <c r="E977" s="1">
        <v>3311.6039999999998</v>
      </c>
    </row>
    <row r="978" spans="3:5" x14ac:dyDescent="0.35">
      <c r="C978" s="1" t="s">
        <v>9449</v>
      </c>
      <c r="D978" s="1" t="s">
        <v>23</v>
      </c>
      <c r="E978" s="1">
        <v>3311.605</v>
      </c>
    </row>
    <row r="979" spans="3:5" x14ac:dyDescent="0.35">
      <c r="C979" s="1" t="s">
        <v>9642</v>
      </c>
      <c r="D979" s="1" t="s">
        <v>23</v>
      </c>
      <c r="E979" s="1">
        <v>3311.6060000000002</v>
      </c>
    </row>
    <row r="980" spans="3:5" x14ac:dyDescent="0.35">
      <c r="C980" s="1" t="s">
        <v>9784</v>
      </c>
      <c r="D980" s="1" t="s">
        <v>23</v>
      </c>
      <c r="E980" s="1">
        <v>3311.607</v>
      </c>
    </row>
    <row r="981" spans="3:5" x14ac:dyDescent="0.35">
      <c r="C981" s="1" t="s">
        <v>9771</v>
      </c>
      <c r="D981" s="1" t="s">
        <v>23</v>
      </c>
      <c r="E981" s="1">
        <v>3311.6080000000002</v>
      </c>
    </row>
    <row r="982" spans="3:5" x14ac:dyDescent="0.35">
      <c r="C982" s="1" t="s">
        <v>9445</v>
      </c>
      <c r="D982" s="1" t="s">
        <v>23</v>
      </c>
      <c r="E982" s="1">
        <v>3311.6089999999999</v>
      </c>
    </row>
    <row r="983" spans="3:5" x14ac:dyDescent="0.35">
      <c r="C983" s="1" t="s">
        <v>9638</v>
      </c>
      <c r="D983" s="1" t="s">
        <v>23</v>
      </c>
      <c r="E983" s="1">
        <v>3311.61</v>
      </c>
    </row>
    <row r="984" spans="3:5" x14ac:dyDescent="0.35">
      <c r="C984" s="1" t="s">
        <v>9783</v>
      </c>
      <c r="D984" s="1" t="s">
        <v>23</v>
      </c>
      <c r="E984" s="1">
        <v>3311.6109999999999</v>
      </c>
    </row>
    <row r="985" spans="3:5" x14ac:dyDescent="0.35">
      <c r="C985" s="1" t="s">
        <v>9769</v>
      </c>
      <c r="D985" s="1" t="s">
        <v>23</v>
      </c>
      <c r="E985" s="1">
        <v>3311.6120000000001</v>
      </c>
    </row>
    <row r="986" spans="3:5" x14ac:dyDescent="0.35">
      <c r="C986" s="1" t="s">
        <v>9634</v>
      </c>
      <c r="D986" s="1" t="s">
        <v>23</v>
      </c>
      <c r="E986" s="1">
        <v>3311.6129999999998</v>
      </c>
    </row>
    <row r="987" spans="3:5" x14ac:dyDescent="0.35">
      <c r="C987" s="1" t="s">
        <v>9633</v>
      </c>
      <c r="D987" s="1" t="s">
        <v>23</v>
      </c>
      <c r="E987" s="1">
        <v>3311.614</v>
      </c>
    </row>
    <row r="988" spans="3:5" x14ac:dyDescent="0.35">
      <c r="C988" s="1" t="s">
        <v>9782</v>
      </c>
      <c r="D988" s="1" t="s">
        <v>23</v>
      </c>
      <c r="E988" s="1">
        <v>3311.6149999999998</v>
      </c>
    </row>
    <row r="989" spans="3:5" x14ac:dyDescent="0.35">
      <c r="C989" s="1" t="s">
        <v>9781</v>
      </c>
      <c r="D989" s="1" t="s">
        <v>23</v>
      </c>
      <c r="E989" s="1">
        <v>3311.616</v>
      </c>
    </row>
    <row r="990" spans="3:5" x14ac:dyDescent="0.35">
      <c r="C990" s="1" t="s">
        <v>9441</v>
      </c>
      <c r="D990" s="1" t="s">
        <v>23</v>
      </c>
      <c r="E990" s="1">
        <v>3311.6170000000002</v>
      </c>
    </row>
    <row r="991" spans="3:5" x14ac:dyDescent="0.35">
      <c r="C991" s="1" t="s">
        <v>9629</v>
      </c>
      <c r="D991" s="1" t="s">
        <v>23</v>
      </c>
      <c r="E991" s="1">
        <v>3311.6179999999999</v>
      </c>
    </row>
    <row r="992" spans="3:5" x14ac:dyDescent="0.35">
      <c r="C992" s="1" t="s">
        <v>9780</v>
      </c>
      <c r="D992" s="1" t="s">
        <v>23</v>
      </c>
      <c r="E992" s="1">
        <v>3311.6190000000001</v>
      </c>
    </row>
    <row r="993" spans="3:5" x14ac:dyDescent="0.35">
      <c r="C993" s="1" t="s">
        <v>9764</v>
      </c>
      <c r="D993" s="1" t="s">
        <v>23</v>
      </c>
      <c r="E993" s="1">
        <v>3311.62</v>
      </c>
    </row>
    <row r="994" spans="3:5" x14ac:dyDescent="0.35">
      <c r="C994" s="1" t="s">
        <v>9437</v>
      </c>
      <c r="D994" s="1" t="s">
        <v>23</v>
      </c>
      <c r="E994" s="1">
        <v>3311.6210000000001</v>
      </c>
    </row>
    <row r="995" spans="3:5" x14ac:dyDescent="0.35">
      <c r="C995" s="1" t="s">
        <v>9625</v>
      </c>
      <c r="D995" s="1" t="s">
        <v>23</v>
      </c>
      <c r="E995" s="1">
        <v>3311.6219999999998</v>
      </c>
    </row>
    <row r="996" spans="3:5" x14ac:dyDescent="0.35">
      <c r="C996" s="1" t="s">
        <v>9779</v>
      </c>
      <c r="D996" s="1" t="s">
        <v>23</v>
      </c>
      <c r="E996" s="1">
        <v>3311.623</v>
      </c>
    </row>
    <row r="997" spans="3:5" x14ac:dyDescent="0.35">
      <c r="C997" s="1" t="s">
        <v>9762</v>
      </c>
      <c r="D997" s="1" t="s">
        <v>23</v>
      </c>
      <c r="E997" s="1">
        <v>3311.6239999999998</v>
      </c>
    </row>
    <row r="998" spans="3:5" x14ac:dyDescent="0.35">
      <c r="C998" s="1" t="s">
        <v>9429</v>
      </c>
      <c r="D998" s="1" t="s">
        <v>23</v>
      </c>
      <c r="E998" s="1">
        <v>3311.625</v>
      </c>
    </row>
    <row r="999" spans="3:5" x14ac:dyDescent="0.35">
      <c r="C999" s="1" t="s">
        <v>9621</v>
      </c>
      <c r="D999" s="1" t="s">
        <v>23</v>
      </c>
      <c r="E999" s="1">
        <v>3311.6260000000002</v>
      </c>
    </row>
    <row r="1000" spans="3:5" x14ac:dyDescent="0.35">
      <c r="C1000" s="1" t="s">
        <v>9778</v>
      </c>
      <c r="D1000" s="1" t="s">
        <v>23</v>
      </c>
      <c r="E1000" s="1">
        <v>3311.627</v>
      </c>
    </row>
    <row r="1001" spans="3:5" x14ac:dyDescent="0.35">
      <c r="C1001" s="1" t="s">
        <v>9760</v>
      </c>
      <c r="D1001" s="1" t="s">
        <v>23</v>
      </c>
      <c r="E1001" s="1">
        <v>3311.6280000000002</v>
      </c>
    </row>
    <row r="1002" spans="3:5" x14ac:dyDescent="0.35">
      <c r="C1002" s="1" t="s">
        <v>9425</v>
      </c>
      <c r="D1002" s="1" t="s">
        <v>23</v>
      </c>
      <c r="E1002" s="1">
        <v>3311.6289999999999</v>
      </c>
    </row>
    <row r="1003" spans="3:5" x14ac:dyDescent="0.35">
      <c r="C1003" s="1" t="s">
        <v>9617</v>
      </c>
      <c r="D1003" s="1" t="s">
        <v>23</v>
      </c>
      <c r="E1003" s="1">
        <v>3311.63</v>
      </c>
    </row>
    <row r="1004" spans="3:5" x14ac:dyDescent="0.35">
      <c r="C1004" s="1" t="s">
        <v>9777</v>
      </c>
      <c r="D1004" s="1" t="s">
        <v>23</v>
      </c>
      <c r="E1004" s="1">
        <v>3311.6309999999999</v>
      </c>
    </row>
    <row r="1005" spans="3:5" x14ac:dyDescent="0.35">
      <c r="C1005" s="1" t="s">
        <v>9758</v>
      </c>
      <c r="D1005" s="1" t="s">
        <v>23</v>
      </c>
      <c r="E1005" s="1">
        <v>3311.6320000000001</v>
      </c>
    </row>
    <row r="1006" spans="3:5" x14ac:dyDescent="0.35">
      <c r="C1006" s="1" t="s">
        <v>9791</v>
      </c>
      <c r="D1006" s="1" t="s">
        <v>23</v>
      </c>
      <c r="E1006" s="1">
        <v>3311.6329999999998</v>
      </c>
    </row>
    <row r="1007" spans="3:5" x14ac:dyDescent="0.35">
      <c r="C1007" s="1" t="s">
        <v>9795</v>
      </c>
      <c r="D1007" s="1" t="s">
        <v>23</v>
      </c>
      <c r="E1007" s="1">
        <v>3311.634</v>
      </c>
    </row>
    <row r="1008" spans="3:5" x14ac:dyDescent="0.35">
      <c r="C1008" s="1" t="s">
        <v>9794</v>
      </c>
      <c r="D1008" s="1" t="s">
        <v>20</v>
      </c>
      <c r="E1008" s="1">
        <v>3311.64</v>
      </c>
    </row>
    <row r="1009" spans="3:5" x14ac:dyDescent="0.35">
      <c r="C1009" s="1" t="s">
        <v>9793</v>
      </c>
      <c r="D1009" s="1" t="s">
        <v>20</v>
      </c>
      <c r="E1009" s="1">
        <v>3311.6410000000001</v>
      </c>
    </row>
    <row r="1010" spans="3:5" x14ac:dyDescent="0.35">
      <c r="C1010" s="1" t="s">
        <v>9792</v>
      </c>
      <c r="D1010" s="1" t="s">
        <v>57</v>
      </c>
      <c r="E1010" s="1">
        <v>3311.7</v>
      </c>
    </row>
    <row r="1011" spans="3:5" x14ac:dyDescent="0.35">
      <c r="C1011" s="1" t="s">
        <v>9453</v>
      </c>
      <c r="D1011" s="1" t="s">
        <v>23</v>
      </c>
      <c r="E1011" s="1">
        <v>3311.701</v>
      </c>
    </row>
    <row r="1012" spans="3:5" x14ac:dyDescent="0.35">
      <c r="C1012" s="1" t="s">
        <v>9646</v>
      </c>
      <c r="D1012" s="1" t="s">
        <v>23</v>
      </c>
      <c r="E1012" s="1">
        <v>3311.7020000000002</v>
      </c>
    </row>
    <row r="1013" spans="3:5" x14ac:dyDescent="0.35">
      <c r="C1013" s="1" t="s">
        <v>9785</v>
      </c>
      <c r="D1013" s="1" t="s">
        <v>23</v>
      </c>
      <c r="E1013" s="1">
        <v>3311.703</v>
      </c>
    </row>
    <row r="1014" spans="3:5" x14ac:dyDescent="0.35">
      <c r="C1014" s="1" t="s">
        <v>9773</v>
      </c>
      <c r="D1014" s="1" t="s">
        <v>23</v>
      </c>
      <c r="E1014" s="1">
        <v>3311.7060000000001</v>
      </c>
    </row>
    <row r="1015" spans="3:5" x14ac:dyDescent="0.35">
      <c r="C1015" s="1" t="s">
        <v>9449</v>
      </c>
      <c r="D1015" s="1" t="s">
        <v>23</v>
      </c>
      <c r="E1015" s="1">
        <v>3311.7069999999999</v>
      </c>
    </row>
    <row r="1016" spans="3:5" x14ac:dyDescent="0.35">
      <c r="C1016" s="1" t="s">
        <v>9642</v>
      </c>
      <c r="D1016" s="1" t="s">
        <v>23</v>
      </c>
      <c r="E1016" s="1">
        <v>3311.7080000000001</v>
      </c>
    </row>
    <row r="1017" spans="3:5" x14ac:dyDescent="0.35">
      <c r="C1017" s="1" t="s">
        <v>9784</v>
      </c>
      <c r="D1017" s="1" t="s">
        <v>23</v>
      </c>
      <c r="E1017" s="1">
        <v>3311.7089999999998</v>
      </c>
    </row>
    <row r="1018" spans="3:5" x14ac:dyDescent="0.35">
      <c r="C1018" s="1" t="s">
        <v>9771</v>
      </c>
      <c r="D1018" s="1" t="s">
        <v>23</v>
      </c>
      <c r="E1018" s="1">
        <v>3311.712</v>
      </c>
    </row>
    <row r="1019" spans="3:5" x14ac:dyDescent="0.35">
      <c r="C1019" s="1" t="s">
        <v>9445</v>
      </c>
      <c r="D1019" s="1" t="s">
        <v>23</v>
      </c>
      <c r="E1019" s="1">
        <v>3311.7130000000002</v>
      </c>
    </row>
    <row r="1020" spans="3:5" x14ac:dyDescent="0.35">
      <c r="C1020" s="1" t="s">
        <v>9638</v>
      </c>
      <c r="D1020" s="1" t="s">
        <v>23</v>
      </c>
      <c r="E1020" s="1">
        <v>3311.7139999999999</v>
      </c>
    </row>
    <row r="1021" spans="3:5" x14ac:dyDescent="0.35">
      <c r="C1021" s="1" t="s">
        <v>9783</v>
      </c>
      <c r="D1021" s="1" t="s">
        <v>23</v>
      </c>
      <c r="E1021" s="1">
        <v>3311.7150000000001</v>
      </c>
    </row>
    <row r="1022" spans="3:5" x14ac:dyDescent="0.35">
      <c r="C1022" s="1" t="s">
        <v>9769</v>
      </c>
      <c r="D1022" s="1" t="s">
        <v>23</v>
      </c>
      <c r="E1022" s="1">
        <v>3311.7179999999998</v>
      </c>
    </row>
    <row r="1023" spans="3:5" x14ac:dyDescent="0.35">
      <c r="C1023" s="1" t="s">
        <v>9634</v>
      </c>
      <c r="D1023" s="1" t="s">
        <v>23</v>
      </c>
      <c r="E1023" s="1">
        <v>3311.7190000000001</v>
      </c>
    </row>
    <row r="1024" spans="3:5" x14ac:dyDescent="0.35">
      <c r="C1024" s="1" t="s">
        <v>9633</v>
      </c>
      <c r="D1024" s="1" t="s">
        <v>23</v>
      </c>
      <c r="E1024" s="1">
        <v>3311.72</v>
      </c>
    </row>
    <row r="1025" spans="3:5" x14ac:dyDescent="0.35">
      <c r="C1025" s="1" t="s">
        <v>9782</v>
      </c>
      <c r="D1025" s="1" t="s">
        <v>23</v>
      </c>
      <c r="E1025" s="1">
        <v>3311.721</v>
      </c>
    </row>
    <row r="1026" spans="3:5" x14ac:dyDescent="0.35">
      <c r="C1026" s="1" t="s">
        <v>9781</v>
      </c>
      <c r="D1026" s="1" t="s">
        <v>23</v>
      </c>
      <c r="E1026" s="1">
        <v>3311.7240000000002</v>
      </c>
    </row>
    <row r="1027" spans="3:5" x14ac:dyDescent="0.35">
      <c r="C1027" s="1" t="s">
        <v>9441</v>
      </c>
      <c r="D1027" s="1" t="s">
        <v>23</v>
      </c>
      <c r="E1027" s="1">
        <v>3311.7249999999999</v>
      </c>
    </row>
    <row r="1028" spans="3:5" x14ac:dyDescent="0.35">
      <c r="C1028" s="1" t="s">
        <v>9629</v>
      </c>
      <c r="D1028" s="1" t="s">
        <v>23</v>
      </c>
      <c r="E1028" s="1">
        <v>3311.7260000000001</v>
      </c>
    </row>
    <row r="1029" spans="3:5" x14ac:dyDescent="0.35">
      <c r="C1029" s="1" t="s">
        <v>9780</v>
      </c>
      <c r="D1029" s="1" t="s">
        <v>23</v>
      </c>
      <c r="E1029" s="1">
        <v>3311.7269999999999</v>
      </c>
    </row>
    <row r="1030" spans="3:5" x14ac:dyDescent="0.35">
      <c r="C1030" s="1" t="s">
        <v>9764</v>
      </c>
      <c r="D1030" s="1" t="s">
        <v>23</v>
      </c>
      <c r="E1030" s="1">
        <v>3311.73</v>
      </c>
    </row>
    <row r="1031" spans="3:5" x14ac:dyDescent="0.35">
      <c r="C1031" s="1" t="s">
        <v>9437</v>
      </c>
      <c r="D1031" s="1" t="s">
        <v>23</v>
      </c>
      <c r="E1031" s="1">
        <v>3311.7310000000002</v>
      </c>
    </row>
    <row r="1032" spans="3:5" x14ac:dyDescent="0.35">
      <c r="C1032" s="1" t="s">
        <v>9625</v>
      </c>
      <c r="D1032" s="1" t="s">
        <v>23</v>
      </c>
      <c r="E1032" s="1">
        <v>3311.732</v>
      </c>
    </row>
    <row r="1033" spans="3:5" x14ac:dyDescent="0.35">
      <c r="C1033" s="1" t="s">
        <v>9779</v>
      </c>
      <c r="D1033" s="1" t="s">
        <v>23</v>
      </c>
      <c r="E1033" s="1">
        <v>3311.7330000000002</v>
      </c>
    </row>
    <row r="1034" spans="3:5" x14ac:dyDescent="0.35">
      <c r="C1034" s="1" t="s">
        <v>9762</v>
      </c>
      <c r="D1034" s="1" t="s">
        <v>23</v>
      </c>
      <c r="E1034" s="1">
        <v>3311.7359999999999</v>
      </c>
    </row>
    <row r="1035" spans="3:5" x14ac:dyDescent="0.35">
      <c r="C1035" s="1" t="s">
        <v>9429</v>
      </c>
      <c r="D1035" s="1" t="s">
        <v>23</v>
      </c>
      <c r="E1035" s="1">
        <v>3311.7370000000001</v>
      </c>
    </row>
    <row r="1036" spans="3:5" x14ac:dyDescent="0.35">
      <c r="C1036" s="1" t="s">
        <v>9621</v>
      </c>
      <c r="D1036" s="1" t="s">
        <v>23</v>
      </c>
      <c r="E1036" s="1">
        <v>3311.7379999999998</v>
      </c>
    </row>
    <row r="1037" spans="3:5" x14ac:dyDescent="0.35">
      <c r="C1037" s="1" t="s">
        <v>9778</v>
      </c>
      <c r="D1037" s="1" t="s">
        <v>23</v>
      </c>
      <c r="E1037" s="1">
        <v>3311.739</v>
      </c>
    </row>
    <row r="1038" spans="3:5" x14ac:dyDescent="0.35">
      <c r="C1038" s="1" t="s">
        <v>9760</v>
      </c>
      <c r="D1038" s="1" t="s">
        <v>23</v>
      </c>
      <c r="E1038" s="1">
        <v>3311.7420000000002</v>
      </c>
    </row>
    <row r="1039" spans="3:5" x14ac:dyDescent="0.35">
      <c r="C1039" s="1" t="s">
        <v>9425</v>
      </c>
      <c r="D1039" s="1" t="s">
        <v>23</v>
      </c>
      <c r="E1039" s="1">
        <v>3311.7429999999999</v>
      </c>
    </row>
    <row r="1040" spans="3:5" x14ac:dyDescent="0.35">
      <c r="C1040" s="1" t="s">
        <v>9617</v>
      </c>
      <c r="D1040" s="1" t="s">
        <v>23</v>
      </c>
      <c r="E1040" s="1">
        <v>3311.7440000000001</v>
      </c>
    </row>
    <row r="1041" spans="3:5" x14ac:dyDescent="0.35">
      <c r="C1041" s="1" t="s">
        <v>9777</v>
      </c>
      <c r="D1041" s="1" t="s">
        <v>23</v>
      </c>
      <c r="E1041" s="1">
        <v>3311.7449999999999</v>
      </c>
    </row>
    <row r="1042" spans="3:5" x14ac:dyDescent="0.35">
      <c r="C1042" s="1" t="s">
        <v>9758</v>
      </c>
      <c r="D1042" s="1" t="s">
        <v>23</v>
      </c>
      <c r="E1042" s="1">
        <v>3311.748</v>
      </c>
    </row>
    <row r="1043" spans="3:5" x14ac:dyDescent="0.35">
      <c r="C1043" s="1" t="s">
        <v>9791</v>
      </c>
      <c r="D1043" s="1" t="s">
        <v>23</v>
      </c>
      <c r="E1043" s="1">
        <v>3311.7489999999998</v>
      </c>
    </row>
    <row r="1044" spans="3:5" x14ac:dyDescent="0.35">
      <c r="C1044" s="1" t="s">
        <v>9790</v>
      </c>
      <c r="D1044" s="1" t="s">
        <v>23</v>
      </c>
      <c r="E1044" s="1">
        <v>3311.75</v>
      </c>
    </row>
    <row r="1045" spans="3:5" x14ac:dyDescent="0.35">
      <c r="C1045" s="1" t="s">
        <v>9789</v>
      </c>
      <c r="D1045" s="1" t="s">
        <v>57</v>
      </c>
      <c r="E1045" s="1">
        <v>3311.8</v>
      </c>
    </row>
    <row r="1046" spans="3:5" x14ac:dyDescent="0.35">
      <c r="C1046" s="1" t="s">
        <v>9453</v>
      </c>
      <c r="D1046" s="1" t="s">
        <v>23</v>
      </c>
      <c r="E1046" s="1">
        <v>3311.8009999999999</v>
      </c>
    </row>
    <row r="1047" spans="3:5" x14ac:dyDescent="0.35">
      <c r="C1047" s="1" t="s">
        <v>9646</v>
      </c>
      <c r="D1047" s="1" t="s">
        <v>23</v>
      </c>
      <c r="E1047" s="1">
        <v>3311.8020000000001</v>
      </c>
    </row>
    <row r="1048" spans="3:5" x14ac:dyDescent="0.35">
      <c r="C1048" s="1" t="s">
        <v>9774</v>
      </c>
      <c r="D1048" s="1" t="s">
        <v>23</v>
      </c>
      <c r="E1048" s="1">
        <v>3311.8029999999999</v>
      </c>
    </row>
    <row r="1049" spans="3:5" x14ac:dyDescent="0.35">
      <c r="C1049" s="1" t="s">
        <v>9773</v>
      </c>
      <c r="D1049" s="1" t="s">
        <v>23</v>
      </c>
      <c r="E1049" s="1">
        <v>3311.806</v>
      </c>
    </row>
    <row r="1050" spans="3:5" x14ac:dyDescent="0.35">
      <c r="C1050" s="1" t="s">
        <v>9449</v>
      </c>
      <c r="D1050" s="1" t="s">
        <v>23</v>
      </c>
      <c r="E1050" s="1">
        <v>3311.8069999999998</v>
      </c>
    </row>
    <row r="1051" spans="3:5" x14ac:dyDescent="0.35">
      <c r="C1051" s="1" t="s">
        <v>9642</v>
      </c>
      <c r="D1051" s="1" t="s">
        <v>23</v>
      </c>
      <c r="E1051" s="1">
        <v>3311.808</v>
      </c>
    </row>
    <row r="1052" spans="3:5" x14ac:dyDescent="0.35">
      <c r="C1052" s="1" t="s">
        <v>9772</v>
      </c>
      <c r="D1052" s="1" t="s">
        <v>23</v>
      </c>
      <c r="E1052" s="1">
        <v>3311.8090000000002</v>
      </c>
    </row>
    <row r="1053" spans="3:5" x14ac:dyDescent="0.35">
      <c r="C1053" s="1" t="s">
        <v>9771</v>
      </c>
      <c r="D1053" s="1" t="s">
        <v>23</v>
      </c>
      <c r="E1053" s="1">
        <v>3311.8119999999999</v>
      </c>
    </row>
    <row r="1054" spans="3:5" x14ac:dyDescent="0.35">
      <c r="C1054" s="1" t="s">
        <v>9445</v>
      </c>
      <c r="D1054" s="1" t="s">
        <v>23</v>
      </c>
      <c r="E1054" s="1">
        <v>3311.8130000000001</v>
      </c>
    </row>
    <row r="1055" spans="3:5" x14ac:dyDescent="0.35">
      <c r="C1055" s="1" t="s">
        <v>9638</v>
      </c>
      <c r="D1055" s="1" t="s">
        <v>23</v>
      </c>
      <c r="E1055" s="1">
        <v>3311.8139999999999</v>
      </c>
    </row>
    <row r="1056" spans="3:5" x14ac:dyDescent="0.35">
      <c r="C1056" s="1" t="s">
        <v>9770</v>
      </c>
      <c r="D1056" s="1" t="s">
        <v>23</v>
      </c>
      <c r="E1056" s="1">
        <v>3311.8150000000001</v>
      </c>
    </row>
    <row r="1057" spans="3:5" x14ac:dyDescent="0.35">
      <c r="C1057" s="1" t="s">
        <v>9769</v>
      </c>
      <c r="D1057" s="1" t="s">
        <v>23</v>
      </c>
      <c r="E1057" s="1">
        <v>3311.8180000000002</v>
      </c>
    </row>
    <row r="1058" spans="3:5" x14ac:dyDescent="0.35">
      <c r="C1058" s="1" t="s">
        <v>9634</v>
      </c>
      <c r="D1058" s="1" t="s">
        <v>23</v>
      </c>
      <c r="E1058" s="1">
        <v>3311.819</v>
      </c>
    </row>
    <row r="1059" spans="3:5" x14ac:dyDescent="0.35">
      <c r="C1059" s="1" t="s">
        <v>9633</v>
      </c>
      <c r="D1059" s="1" t="s">
        <v>23</v>
      </c>
      <c r="E1059" s="1">
        <v>3311.82</v>
      </c>
    </row>
    <row r="1060" spans="3:5" x14ac:dyDescent="0.35">
      <c r="C1060" s="1" t="s">
        <v>9788</v>
      </c>
      <c r="D1060" s="1" t="s">
        <v>23</v>
      </c>
      <c r="E1060" s="1">
        <v>3311.8209999999999</v>
      </c>
    </row>
    <row r="1061" spans="3:5" x14ac:dyDescent="0.35">
      <c r="C1061" s="1" t="s">
        <v>9781</v>
      </c>
      <c r="D1061" s="1" t="s">
        <v>23</v>
      </c>
      <c r="E1061" s="1">
        <v>3311.8240000000001</v>
      </c>
    </row>
    <row r="1062" spans="3:5" x14ac:dyDescent="0.35">
      <c r="C1062" s="1" t="s">
        <v>9441</v>
      </c>
      <c r="D1062" s="1" t="s">
        <v>23</v>
      </c>
      <c r="E1062" s="1">
        <v>3311.8249999999998</v>
      </c>
    </row>
    <row r="1063" spans="3:5" x14ac:dyDescent="0.35">
      <c r="C1063" s="1" t="s">
        <v>9629</v>
      </c>
      <c r="D1063" s="1" t="s">
        <v>23</v>
      </c>
      <c r="E1063" s="1">
        <v>3311.826</v>
      </c>
    </row>
    <row r="1064" spans="3:5" x14ac:dyDescent="0.35">
      <c r="C1064" s="1" t="s">
        <v>9765</v>
      </c>
      <c r="D1064" s="1" t="s">
        <v>23</v>
      </c>
      <c r="E1064" s="1">
        <v>3311.8270000000002</v>
      </c>
    </row>
    <row r="1065" spans="3:5" x14ac:dyDescent="0.35">
      <c r="C1065" s="1" t="s">
        <v>9764</v>
      </c>
      <c r="D1065" s="1" t="s">
        <v>23</v>
      </c>
      <c r="E1065" s="1">
        <v>3311.83</v>
      </c>
    </row>
    <row r="1066" spans="3:5" x14ac:dyDescent="0.35">
      <c r="C1066" s="1" t="s">
        <v>9437</v>
      </c>
      <c r="D1066" s="1" t="s">
        <v>23</v>
      </c>
      <c r="E1066" s="1">
        <v>3311.8310000000001</v>
      </c>
    </row>
    <row r="1067" spans="3:5" x14ac:dyDescent="0.35">
      <c r="C1067" s="1" t="s">
        <v>9625</v>
      </c>
      <c r="D1067" s="1" t="s">
        <v>23</v>
      </c>
      <c r="E1067" s="1">
        <v>3311.8319999999999</v>
      </c>
    </row>
    <row r="1068" spans="3:5" x14ac:dyDescent="0.35">
      <c r="C1068" s="1" t="s">
        <v>9763</v>
      </c>
      <c r="D1068" s="1" t="s">
        <v>23</v>
      </c>
      <c r="E1068" s="1">
        <v>3311.8330000000001</v>
      </c>
    </row>
    <row r="1069" spans="3:5" x14ac:dyDescent="0.35">
      <c r="C1069" s="1" t="s">
        <v>9762</v>
      </c>
      <c r="D1069" s="1" t="s">
        <v>23</v>
      </c>
      <c r="E1069" s="1">
        <v>3311.8359999999998</v>
      </c>
    </row>
    <row r="1070" spans="3:5" x14ac:dyDescent="0.35">
      <c r="C1070" s="1" t="s">
        <v>9429</v>
      </c>
      <c r="D1070" s="1" t="s">
        <v>23</v>
      </c>
      <c r="E1070" s="1">
        <v>3311.837</v>
      </c>
    </row>
    <row r="1071" spans="3:5" x14ac:dyDescent="0.35">
      <c r="C1071" s="1" t="s">
        <v>9621</v>
      </c>
      <c r="D1071" s="1" t="s">
        <v>23</v>
      </c>
      <c r="E1071" s="1">
        <v>3311.8380000000002</v>
      </c>
    </row>
    <row r="1072" spans="3:5" x14ac:dyDescent="0.35">
      <c r="C1072" s="1" t="s">
        <v>9761</v>
      </c>
      <c r="D1072" s="1" t="s">
        <v>23</v>
      </c>
      <c r="E1072" s="1">
        <v>3311.8389999999999</v>
      </c>
    </row>
    <row r="1073" spans="3:5" x14ac:dyDescent="0.35">
      <c r="C1073" s="1" t="s">
        <v>9760</v>
      </c>
      <c r="D1073" s="1" t="s">
        <v>23</v>
      </c>
      <c r="E1073" s="1">
        <v>3311.8420000000001</v>
      </c>
    </row>
    <row r="1074" spans="3:5" x14ac:dyDescent="0.35">
      <c r="C1074" s="1" t="s">
        <v>9425</v>
      </c>
      <c r="D1074" s="1" t="s">
        <v>23</v>
      </c>
      <c r="E1074" s="1">
        <v>3311.8429999999998</v>
      </c>
    </row>
    <row r="1075" spans="3:5" x14ac:dyDescent="0.35">
      <c r="C1075" s="1" t="s">
        <v>9617</v>
      </c>
      <c r="D1075" s="1" t="s">
        <v>23</v>
      </c>
      <c r="E1075" s="1">
        <v>3311.8440000000001</v>
      </c>
    </row>
    <row r="1076" spans="3:5" x14ac:dyDescent="0.35">
      <c r="C1076" s="1" t="s">
        <v>9759</v>
      </c>
      <c r="D1076" s="1" t="s">
        <v>23</v>
      </c>
      <c r="E1076" s="1">
        <v>3311.8449999999998</v>
      </c>
    </row>
    <row r="1077" spans="3:5" x14ac:dyDescent="0.35">
      <c r="C1077" s="1" t="s">
        <v>9758</v>
      </c>
      <c r="D1077" s="1" t="s">
        <v>23</v>
      </c>
      <c r="E1077" s="1">
        <v>3311.848</v>
      </c>
    </row>
    <row r="1078" spans="3:5" x14ac:dyDescent="0.35">
      <c r="C1078" s="1" t="s">
        <v>9787</v>
      </c>
      <c r="D1078" s="1" t="s">
        <v>57</v>
      </c>
      <c r="E1078" s="1">
        <v>3311.85</v>
      </c>
    </row>
    <row r="1079" spans="3:5" x14ac:dyDescent="0.35">
      <c r="C1079" s="1" t="s">
        <v>9453</v>
      </c>
      <c r="D1079" s="1" t="s">
        <v>23</v>
      </c>
      <c r="E1079" s="1">
        <v>3311.8510000000001</v>
      </c>
    </row>
    <row r="1080" spans="3:5" x14ac:dyDescent="0.35">
      <c r="C1080" s="1" t="s">
        <v>9646</v>
      </c>
      <c r="D1080" s="1" t="s">
        <v>23</v>
      </c>
      <c r="E1080" s="1">
        <v>3311.8519999999999</v>
      </c>
    </row>
    <row r="1081" spans="3:5" x14ac:dyDescent="0.35">
      <c r="C1081" s="1" t="s">
        <v>9774</v>
      </c>
      <c r="D1081" s="1" t="s">
        <v>23</v>
      </c>
      <c r="E1081" s="1">
        <v>3311.8530000000001</v>
      </c>
    </row>
    <row r="1082" spans="3:5" x14ac:dyDescent="0.35">
      <c r="C1082" s="1" t="s">
        <v>9773</v>
      </c>
      <c r="D1082" s="1" t="s">
        <v>23</v>
      </c>
      <c r="E1082" s="1">
        <v>3311.8560000000002</v>
      </c>
    </row>
    <row r="1083" spans="3:5" x14ac:dyDescent="0.35">
      <c r="C1083" s="1" t="s">
        <v>9449</v>
      </c>
      <c r="D1083" s="1" t="s">
        <v>23</v>
      </c>
      <c r="E1083" s="1">
        <v>3311.857</v>
      </c>
    </row>
    <row r="1084" spans="3:5" x14ac:dyDescent="0.35">
      <c r="C1084" s="1" t="s">
        <v>9642</v>
      </c>
      <c r="D1084" s="1" t="s">
        <v>23</v>
      </c>
      <c r="E1084" s="1">
        <v>3311.8580000000002</v>
      </c>
    </row>
    <row r="1085" spans="3:5" x14ac:dyDescent="0.35">
      <c r="C1085" s="1" t="s">
        <v>9772</v>
      </c>
      <c r="D1085" s="1" t="s">
        <v>23</v>
      </c>
      <c r="E1085" s="1">
        <v>3311.8589999999999</v>
      </c>
    </row>
    <row r="1086" spans="3:5" x14ac:dyDescent="0.35">
      <c r="C1086" s="1" t="s">
        <v>9771</v>
      </c>
      <c r="D1086" s="1" t="s">
        <v>23</v>
      </c>
      <c r="E1086" s="1">
        <v>3311.8620000000001</v>
      </c>
    </row>
    <row r="1087" spans="3:5" x14ac:dyDescent="0.35">
      <c r="C1087" s="1" t="s">
        <v>9445</v>
      </c>
      <c r="D1087" s="1" t="s">
        <v>23</v>
      </c>
      <c r="E1087" s="1">
        <v>3311.8629999999998</v>
      </c>
    </row>
    <row r="1088" spans="3:5" x14ac:dyDescent="0.35">
      <c r="C1088" s="1" t="s">
        <v>9638</v>
      </c>
      <c r="D1088" s="1" t="s">
        <v>23</v>
      </c>
      <c r="E1088" s="1">
        <v>3311.864</v>
      </c>
    </row>
    <row r="1089" spans="3:5" x14ac:dyDescent="0.35">
      <c r="C1089" s="1" t="s">
        <v>9770</v>
      </c>
      <c r="D1089" s="1" t="s">
        <v>23</v>
      </c>
      <c r="E1089" s="1">
        <v>3311.8649999999998</v>
      </c>
    </row>
    <row r="1090" spans="3:5" x14ac:dyDescent="0.35">
      <c r="C1090" s="1" t="s">
        <v>9769</v>
      </c>
      <c r="D1090" s="1" t="s">
        <v>23</v>
      </c>
      <c r="E1090" s="1">
        <v>3311.8679999999999</v>
      </c>
    </row>
    <row r="1091" spans="3:5" x14ac:dyDescent="0.35">
      <c r="C1091" s="1" t="s">
        <v>9634</v>
      </c>
      <c r="D1091" s="1" t="s">
        <v>23</v>
      </c>
      <c r="E1091" s="1">
        <v>3311.8690000000001</v>
      </c>
    </row>
    <row r="1092" spans="3:5" x14ac:dyDescent="0.35">
      <c r="C1092" s="1" t="s">
        <v>9633</v>
      </c>
      <c r="D1092" s="1" t="s">
        <v>23</v>
      </c>
      <c r="E1092" s="1">
        <v>3311.87</v>
      </c>
    </row>
    <row r="1093" spans="3:5" x14ac:dyDescent="0.35">
      <c r="C1093" s="1" t="s">
        <v>9782</v>
      </c>
      <c r="D1093" s="1" t="s">
        <v>23</v>
      </c>
      <c r="E1093" s="1">
        <v>3311.8710000000001</v>
      </c>
    </row>
    <row r="1094" spans="3:5" x14ac:dyDescent="0.35">
      <c r="C1094" s="1" t="s">
        <v>9781</v>
      </c>
      <c r="D1094" s="1" t="s">
        <v>23</v>
      </c>
      <c r="E1094" s="1">
        <v>3311.8739999999998</v>
      </c>
    </row>
    <row r="1095" spans="3:5" x14ac:dyDescent="0.35">
      <c r="C1095" s="1" t="s">
        <v>9441</v>
      </c>
      <c r="D1095" s="1" t="s">
        <v>23</v>
      </c>
      <c r="E1095" s="1">
        <v>3311.875</v>
      </c>
    </row>
    <row r="1096" spans="3:5" x14ac:dyDescent="0.35">
      <c r="C1096" s="1" t="s">
        <v>9629</v>
      </c>
      <c r="D1096" s="1" t="s">
        <v>23</v>
      </c>
      <c r="E1096" s="1">
        <v>3311.8760000000002</v>
      </c>
    </row>
    <row r="1097" spans="3:5" x14ac:dyDescent="0.35">
      <c r="C1097" s="1" t="s">
        <v>9780</v>
      </c>
      <c r="D1097" s="1" t="s">
        <v>23</v>
      </c>
      <c r="E1097" s="1">
        <v>3311.877</v>
      </c>
    </row>
    <row r="1098" spans="3:5" x14ac:dyDescent="0.35">
      <c r="C1098" s="1" t="s">
        <v>9764</v>
      </c>
      <c r="D1098" s="1" t="s">
        <v>23</v>
      </c>
      <c r="E1098" s="1">
        <v>3311.88</v>
      </c>
    </row>
    <row r="1099" spans="3:5" x14ac:dyDescent="0.35">
      <c r="C1099" s="1" t="s">
        <v>9437</v>
      </c>
      <c r="D1099" s="1" t="s">
        <v>23</v>
      </c>
      <c r="E1099" s="1">
        <v>3311.8809999999999</v>
      </c>
    </row>
    <row r="1100" spans="3:5" x14ac:dyDescent="0.35">
      <c r="C1100" s="1" t="s">
        <v>9625</v>
      </c>
      <c r="D1100" s="1" t="s">
        <v>23</v>
      </c>
      <c r="E1100" s="1">
        <v>3311.8820000000001</v>
      </c>
    </row>
    <row r="1101" spans="3:5" x14ac:dyDescent="0.35">
      <c r="C1101" s="1" t="s">
        <v>9779</v>
      </c>
      <c r="D1101" s="1" t="s">
        <v>23</v>
      </c>
      <c r="E1101" s="1">
        <v>3311.8829999999998</v>
      </c>
    </row>
    <row r="1102" spans="3:5" x14ac:dyDescent="0.35">
      <c r="C1102" s="1" t="s">
        <v>9762</v>
      </c>
      <c r="D1102" s="1" t="s">
        <v>23</v>
      </c>
      <c r="E1102" s="1">
        <v>3311.886</v>
      </c>
    </row>
    <row r="1103" spans="3:5" x14ac:dyDescent="0.35">
      <c r="C1103" s="1" t="s">
        <v>9429</v>
      </c>
      <c r="D1103" s="1" t="s">
        <v>23</v>
      </c>
      <c r="E1103" s="1">
        <v>3311.8870000000002</v>
      </c>
    </row>
    <row r="1104" spans="3:5" x14ac:dyDescent="0.35">
      <c r="C1104" s="1" t="s">
        <v>9621</v>
      </c>
      <c r="D1104" s="1" t="s">
        <v>23</v>
      </c>
      <c r="E1104" s="1">
        <v>3311.8879999999999</v>
      </c>
    </row>
    <row r="1105" spans="3:5" x14ac:dyDescent="0.35">
      <c r="C1105" s="1" t="s">
        <v>9778</v>
      </c>
      <c r="D1105" s="1" t="s">
        <v>23</v>
      </c>
      <c r="E1105" s="1">
        <v>3311.8890000000001</v>
      </c>
    </row>
    <row r="1106" spans="3:5" x14ac:dyDescent="0.35">
      <c r="C1106" s="1" t="s">
        <v>9760</v>
      </c>
      <c r="D1106" s="1" t="s">
        <v>23</v>
      </c>
      <c r="E1106" s="1">
        <v>3311.8919999999998</v>
      </c>
    </row>
    <row r="1107" spans="3:5" x14ac:dyDescent="0.35">
      <c r="C1107" s="1" t="s">
        <v>9425</v>
      </c>
      <c r="D1107" s="1" t="s">
        <v>23</v>
      </c>
      <c r="E1107" s="1">
        <v>3311.893</v>
      </c>
    </row>
    <row r="1108" spans="3:5" x14ac:dyDescent="0.35">
      <c r="C1108" s="1" t="s">
        <v>9617</v>
      </c>
      <c r="D1108" s="1" t="s">
        <v>23</v>
      </c>
      <c r="E1108" s="1">
        <v>3311.8939999999998</v>
      </c>
    </row>
    <row r="1109" spans="3:5" x14ac:dyDescent="0.35">
      <c r="C1109" s="1" t="s">
        <v>9777</v>
      </c>
      <c r="D1109" s="1" t="s">
        <v>23</v>
      </c>
      <c r="E1109" s="1">
        <v>3311.895</v>
      </c>
    </row>
    <row r="1110" spans="3:5" x14ac:dyDescent="0.35">
      <c r="C1110" s="1" t="s">
        <v>9758</v>
      </c>
      <c r="D1110" s="1" t="s">
        <v>23</v>
      </c>
      <c r="E1110" s="1">
        <v>3311.8980000000001</v>
      </c>
    </row>
    <row r="1111" spans="3:5" x14ac:dyDescent="0.35">
      <c r="C1111" s="1" t="s">
        <v>9786</v>
      </c>
      <c r="D1111" s="1" t="s">
        <v>57</v>
      </c>
      <c r="E1111" s="1">
        <v>3311.9</v>
      </c>
    </row>
    <row r="1112" spans="3:5" x14ac:dyDescent="0.35">
      <c r="C1112" s="1" t="s">
        <v>9453</v>
      </c>
      <c r="D1112" s="1" t="s">
        <v>23</v>
      </c>
      <c r="E1112" s="1">
        <v>3311.9009999999998</v>
      </c>
    </row>
    <row r="1113" spans="3:5" x14ac:dyDescent="0.35">
      <c r="C1113" s="1" t="s">
        <v>9646</v>
      </c>
      <c r="D1113" s="1" t="s">
        <v>23</v>
      </c>
      <c r="E1113" s="1">
        <v>3311.902</v>
      </c>
    </row>
    <row r="1114" spans="3:5" x14ac:dyDescent="0.35">
      <c r="C1114" s="1" t="s">
        <v>9785</v>
      </c>
      <c r="D1114" s="1" t="s">
        <v>23</v>
      </c>
      <c r="E1114" s="1">
        <v>3311.9029999999998</v>
      </c>
    </row>
    <row r="1115" spans="3:5" x14ac:dyDescent="0.35">
      <c r="C1115" s="1" t="s">
        <v>9773</v>
      </c>
      <c r="D1115" s="1" t="s">
        <v>23</v>
      </c>
      <c r="E1115" s="1">
        <v>3311.9059999999999</v>
      </c>
    </row>
    <row r="1116" spans="3:5" x14ac:dyDescent="0.35">
      <c r="C1116" s="1" t="s">
        <v>9449</v>
      </c>
      <c r="D1116" s="1" t="s">
        <v>23</v>
      </c>
      <c r="E1116" s="1">
        <v>3311.9070000000002</v>
      </c>
    </row>
    <row r="1117" spans="3:5" x14ac:dyDescent="0.35">
      <c r="C1117" s="1" t="s">
        <v>9642</v>
      </c>
      <c r="D1117" s="1" t="s">
        <v>23</v>
      </c>
      <c r="E1117" s="1">
        <v>3311.9079999999999</v>
      </c>
    </row>
    <row r="1118" spans="3:5" x14ac:dyDescent="0.35">
      <c r="C1118" s="1" t="s">
        <v>9784</v>
      </c>
      <c r="D1118" s="1" t="s">
        <v>23</v>
      </c>
      <c r="E1118" s="1">
        <v>3311.9090000000001</v>
      </c>
    </row>
    <row r="1119" spans="3:5" x14ac:dyDescent="0.35">
      <c r="C1119" s="1" t="s">
        <v>9771</v>
      </c>
      <c r="D1119" s="1" t="s">
        <v>23</v>
      </c>
      <c r="E1119" s="1">
        <v>3311.9119999999998</v>
      </c>
    </row>
    <row r="1120" spans="3:5" x14ac:dyDescent="0.35">
      <c r="C1120" s="1" t="s">
        <v>9445</v>
      </c>
      <c r="D1120" s="1" t="s">
        <v>23</v>
      </c>
      <c r="E1120" s="1">
        <v>3311.913</v>
      </c>
    </row>
    <row r="1121" spans="3:5" x14ac:dyDescent="0.35">
      <c r="C1121" s="1" t="s">
        <v>9638</v>
      </c>
      <c r="D1121" s="1" t="s">
        <v>23</v>
      </c>
      <c r="E1121" s="1">
        <v>3311.9140000000002</v>
      </c>
    </row>
    <row r="1122" spans="3:5" x14ac:dyDescent="0.35">
      <c r="C1122" s="1" t="s">
        <v>9783</v>
      </c>
      <c r="D1122" s="1" t="s">
        <v>23</v>
      </c>
      <c r="E1122" s="1">
        <v>3311.915</v>
      </c>
    </row>
    <row r="1123" spans="3:5" x14ac:dyDescent="0.35">
      <c r="C1123" s="1" t="s">
        <v>9769</v>
      </c>
      <c r="D1123" s="1" t="s">
        <v>23</v>
      </c>
      <c r="E1123" s="1">
        <v>3311.9180000000001</v>
      </c>
    </row>
    <row r="1124" spans="3:5" x14ac:dyDescent="0.35">
      <c r="C1124" s="1" t="s">
        <v>9634</v>
      </c>
      <c r="D1124" s="1" t="s">
        <v>23</v>
      </c>
      <c r="E1124" s="1">
        <v>3311.9189999999999</v>
      </c>
    </row>
    <row r="1125" spans="3:5" x14ac:dyDescent="0.35">
      <c r="C1125" s="1" t="s">
        <v>9633</v>
      </c>
      <c r="D1125" s="1" t="s">
        <v>23</v>
      </c>
      <c r="E1125" s="1">
        <v>3311.92</v>
      </c>
    </row>
    <row r="1126" spans="3:5" x14ac:dyDescent="0.35">
      <c r="C1126" s="1" t="s">
        <v>9782</v>
      </c>
      <c r="D1126" s="1" t="s">
        <v>23</v>
      </c>
      <c r="E1126" s="1">
        <v>3311.9209999999998</v>
      </c>
    </row>
    <row r="1127" spans="3:5" x14ac:dyDescent="0.35">
      <c r="C1127" s="1" t="s">
        <v>9781</v>
      </c>
      <c r="D1127" s="1" t="s">
        <v>23</v>
      </c>
      <c r="E1127" s="1">
        <v>3311.924</v>
      </c>
    </row>
    <row r="1128" spans="3:5" x14ac:dyDescent="0.35">
      <c r="C1128" s="1" t="s">
        <v>9441</v>
      </c>
      <c r="D1128" s="1" t="s">
        <v>23</v>
      </c>
      <c r="E1128" s="1">
        <v>3311.9250000000002</v>
      </c>
    </row>
    <row r="1129" spans="3:5" x14ac:dyDescent="0.35">
      <c r="C1129" s="1" t="s">
        <v>9629</v>
      </c>
      <c r="D1129" s="1" t="s">
        <v>23</v>
      </c>
      <c r="E1129" s="1">
        <v>3311.9259999999999</v>
      </c>
    </row>
    <row r="1130" spans="3:5" x14ac:dyDescent="0.35">
      <c r="C1130" s="1" t="s">
        <v>9780</v>
      </c>
      <c r="D1130" s="1" t="s">
        <v>23</v>
      </c>
      <c r="E1130" s="1">
        <v>3311.9270000000001</v>
      </c>
    </row>
    <row r="1131" spans="3:5" x14ac:dyDescent="0.35">
      <c r="C1131" s="1" t="s">
        <v>9764</v>
      </c>
      <c r="D1131" s="1" t="s">
        <v>23</v>
      </c>
      <c r="E1131" s="1">
        <v>3311.93</v>
      </c>
    </row>
    <row r="1132" spans="3:5" x14ac:dyDescent="0.35">
      <c r="C1132" s="1" t="s">
        <v>9437</v>
      </c>
      <c r="D1132" s="1" t="s">
        <v>23</v>
      </c>
      <c r="E1132" s="1">
        <v>3311.931</v>
      </c>
    </row>
    <row r="1133" spans="3:5" x14ac:dyDescent="0.35">
      <c r="C1133" s="1" t="s">
        <v>9625</v>
      </c>
      <c r="D1133" s="1" t="s">
        <v>23</v>
      </c>
      <c r="E1133" s="1">
        <v>3311.9319999999998</v>
      </c>
    </row>
    <row r="1134" spans="3:5" x14ac:dyDescent="0.35">
      <c r="C1134" s="1" t="s">
        <v>9779</v>
      </c>
      <c r="D1134" s="1" t="s">
        <v>23</v>
      </c>
      <c r="E1134" s="1">
        <v>3311.933</v>
      </c>
    </row>
    <row r="1135" spans="3:5" x14ac:dyDescent="0.35">
      <c r="C1135" s="1" t="s">
        <v>9762</v>
      </c>
      <c r="D1135" s="1" t="s">
        <v>23</v>
      </c>
      <c r="E1135" s="1">
        <v>3311.9360000000001</v>
      </c>
    </row>
    <row r="1136" spans="3:5" x14ac:dyDescent="0.35">
      <c r="C1136" s="1" t="s">
        <v>9429</v>
      </c>
      <c r="D1136" s="1" t="s">
        <v>23</v>
      </c>
      <c r="E1136" s="1">
        <v>3311.9369999999999</v>
      </c>
    </row>
    <row r="1137" spans="3:5" x14ac:dyDescent="0.35">
      <c r="C1137" s="1" t="s">
        <v>9621</v>
      </c>
      <c r="D1137" s="1" t="s">
        <v>23</v>
      </c>
      <c r="E1137" s="1">
        <v>3311.9380000000001</v>
      </c>
    </row>
    <row r="1138" spans="3:5" x14ac:dyDescent="0.35">
      <c r="C1138" s="1" t="s">
        <v>9778</v>
      </c>
      <c r="D1138" s="1" t="s">
        <v>23</v>
      </c>
      <c r="E1138" s="1">
        <v>3311.9389999999999</v>
      </c>
    </row>
    <row r="1139" spans="3:5" x14ac:dyDescent="0.35">
      <c r="C1139" s="1" t="s">
        <v>9760</v>
      </c>
      <c r="D1139" s="1" t="s">
        <v>23</v>
      </c>
      <c r="E1139" s="1">
        <v>3311.942</v>
      </c>
    </row>
    <row r="1140" spans="3:5" x14ac:dyDescent="0.35">
      <c r="C1140" s="1" t="s">
        <v>9425</v>
      </c>
      <c r="D1140" s="1" t="s">
        <v>23</v>
      </c>
      <c r="E1140" s="1">
        <v>3311.9430000000002</v>
      </c>
    </row>
    <row r="1141" spans="3:5" x14ac:dyDescent="0.35">
      <c r="C1141" s="1" t="s">
        <v>9617</v>
      </c>
      <c r="D1141" s="1" t="s">
        <v>23</v>
      </c>
      <c r="E1141" s="1">
        <v>3311.944</v>
      </c>
    </row>
    <row r="1142" spans="3:5" x14ac:dyDescent="0.35">
      <c r="C1142" s="1" t="s">
        <v>9777</v>
      </c>
      <c r="D1142" s="1" t="s">
        <v>23</v>
      </c>
      <c r="E1142" s="1">
        <v>3311.9450000000002</v>
      </c>
    </row>
    <row r="1143" spans="3:5" x14ac:dyDescent="0.35">
      <c r="C1143" s="1" t="s">
        <v>9758</v>
      </c>
      <c r="D1143" s="1" t="s">
        <v>23</v>
      </c>
      <c r="E1143" s="1">
        <v>3311.9479999999999</v>
      </c>
    </row>
    <row r="1144" spans="3:5" x14ac:dyDescent="0.35">
      <c r="C1144" s="1" t="s">
        <v>9776</v>
      </c>
      <c r="D1144" s="1" t="s">
        <v>23</v>
      </c>
      <c r="E1144" s="1">
        <v>3311.95</v>
      </c>
    </row>
    <row r="1145" spans="3:5" x14ac:dyDescent="0.35">
      <c r="C1145" s="1" t="s">
        <v>9558</v>
      </c>
      <c r="D1145" s="1" t="s">
        <v>57</v>
      </c>
      <c r="E1145" s="1">
        <v>3312.1</v>
      </c>
    </row>
    <row r="1146" spans="3:5" x14ac:dyDescent="0.35">
      <c r="C1146" s="1" t="s">
        <v>9453</v>
      </c>
      <c r="D1146" s="1" t="s">
        <v>23</v>
      </c>
      <c r="E1146" s="1">
        <v>3312.1010000000001</v>
      </c>
    </row>
    <row r="1147" spans="3:5" x14ac:dyDescent="0.35">
      <c r="C1147" s="1" t="s">
        <v>9646</v>
      </c>
      <c r="D1147" s="1" t="s">
        <v>23</v>
      </c>
      <c r="E1147" s="1">
        <v>3312.1019999999999</v>
      </c>
    </row>
    <row r="1148" spans="3:5" x14ac:dyDescent="0.35">
      <c r="C1148" s="1" t="s">
        <v>9774</v>
      </c>
      <c r="D1148" s="1" t="s">
        <v>23</v>
      </c>
      <c r="E1148" s="1">
        <v>3312.1030000000001</v>
      </c>
    </row>
    <row r="1149" spans="3:5" x14ac:dyDescent="0.35">
      <c r="C1149" s="1" t="s">
        <v>9773</v>
      </c>
      <c r="D1149" s="1" t="s">
        <v>23</v>
      </c>
      <c r="E1149" s="1">
        <v>3312.1060000000002</v>
      </c>
    </row>
    <row r="1150" spans="3:5" x14ac:dyDescent="0.35">
      <c r="C1150" s="1" t="s">
        <v>9449</v>
      </c>
      <c r="D1150" s="1" t="s">
        <v>23</v>
      </c>
      <c r="E1150" s="1">
        <v>3312.107</v>
      </c>
    </row>
    <row r="1151" spans="3:5" x14ac:dyDescent="0.35">
      <c r="C1151" s="1" t="s">
        <v>9642</v>
      </c>
      <c r="D1151" s="1" t="s">
        <v>23</v>
      </c>
      <c r="E1151" s="1">
        <v>3312.1080000000002</v>
      </c>
    </row>
    <row r="1152" spans="3:5" x14ac:dyDescent="0.35">
      <c r="C1152" s="1" t="s">
        <v>9772</v>
      </c>
      <c r="D1152" s="1" t="s">
        <v>23</v>
      </c>
      <c r="E1152" s="1">
        <v>3312.1089999999999</v>
      </c>
    </row>
    <row r="1153" spans="3:5" x14ac:dyDescent="0.35">
      <c r="C1153" s="1" t="s">
        <v>9771</v>
      </c>
      <c r="D1153" s="1" t="s">
        <v>23</v>
      </c>
      <c r="E1153" s="1">
        <v>3312.1120000000001</v>
      </c>
    </row>
    <row r="1154" spans="3:5" x14ac:dyDescent="0.35">
      <c r="C1154" s="1" t="s">
        <v>9445</v>
      </c>
      <c r="D1154" s="1" t="s">
        <v>23</v>
      </c>
      <c r="E1154" s="1">
        <v>3312.1129999999998</v>
      </c>
    </row>
    <row r="1155" spans="3:5" x14ac:dyDescent="0.35">
      <c r="C1155" s="1" t="s">
        <v>9638</v>
      </c>
      <c r="D1155" s="1" t="s">
        <v>23</v>
      </c>
      <c r="E1155" s="1">
        <v>3312.114</v>
      </c>
    </row>
    <row r="1156" spans="3:5" x14ac:dyDescent="0.35">
      <c r="C1156" s="1" t="s">
        <v>9770</v>
      </c>
      <c r="D1156" s="1" t="s">
        <v>23</v>
      </c>
      <c r="E1156" s="1">
        <v>3312.1149999999998</v>
      </c>
    </row>
    <row r="1157" spans="3:5" x14ac:dyDescent="0.35">
      <c r="C1157" s="1" t="s">
        <v>9769</v>
      </c>
      <c r="D1157" s="1" t="s">
        <v>23</v>
      </c>
      <c r="E1157" s="1">
        <v>3312.1179999999999</v>
      </c>
    </row>
    <row r="1158" spans="3:5" x14ac:dyDescent="0.35">
      <c r="C1158" s="1" t="s">
        <v>9433</v>
      </c>
      <c r="D1158" s="1" t="s">
        <v>23</v>
      </c>
      <c r="E1158" s="1">
        <v>3312.1190000000001</v>
      </c>
    </row>
    <row r="1159" spans="3:5" x14ac:dyDescent="0.35">
      <c r="C1159" s="1" t="s">
        <v>9768</v>
      </c>
      <c r="D1159" s="1" t="s">
        <v>23</v>
      </c>
      <c r="E1159" s="1">
        <v>3312.12</v>
      </c>
    </row>
    <row r="1160" spans="3:5" x14ac:dyDescent="0.35">
      <c r="C1160" s="1" t="s">
        <v>9767</v>
      </c>
      <c r="D1160" s="1" t="s">
        <v>23</v>
      </c>
      <c r="E1160" s="1">
        <v>3312.1210000000001</v>
      </c>
    </row>
    <row r="1161" spans="3:5" x14ac:dyDescent="0.35">
      <c r="C1161" s="1" t="s">
        <v>9766</v>
      </c>
      <c r="D1161" s="1" t="s">
        <v>23</v>
      </c>
      <c r="E1161" s="1">
        <v>3312.1239999999998</v>
      </c>
    </row>
    <row r="1162" spans="3:5" x14ac:dyDescent="0.35">
      <c r="C1162" s="1" t="s">
        <v>9441</v>
      </c>
      <c r="D1162" s="1" t="s">
        <v>23</v>
      </c>
      <c r="E1162" s="1">
        <v>3312.125</v>
      </c>
    </row>
    <row r="1163" spans="3:5" x14ac:dyDescent="0.35">
      <c r="C1163" s="1" t="s">
        <v>9629</v>
      </c>
      <c r="D1163" s="1" t="s">
        <v>23</v>
      </c>
      <c r="E1163" s="1">
        <v>3312.1260000000002</v>
      </c>
    </row>
    <row r="1164" spans="3:5" x14ac:dyDescent="0.35">
      <c r="C1164" s="1" t="s">
        <v>9765</v>
      </c>
      <c r="D1164" s="1" t="s">
        <v>23</v>
      </c>
      <c r="E1164" s="1">
        <v>3312.127</v>
      </c>
    </row>
    <row r="1165" spans="3:5" x14ac:dyDescent="0.35">
      <c r="C1165" s="1" t="s">
        <v>9764</v>
      </c>
      <c r="D1165" s="1" t="s">
        <v>23</v>
      </c>
      <c r="E1165" s="1">
        <v>3312.13</v>
      </c>
    </row>
    <row r="1166" spans="3:5" x14ac:dyDescent="0.35">
      <c r="C1166" s="1" t="s">
        <v>9437</v>
      </c>
      <c r="D1166" s="1" t="s">
        <v>23</v>
      </c>
      <c r="E1166" s="1">
        <v>3312.1309999999999</v>
      </c>
    </row>
    <row r="1167" spans="3:5" x14ac:dyDescent="0.35">
      <c r="C1167" s="1" t="s">
        <v>9625</v>
      </c>
      <c r="D1167" s="1" t="s">
        <v>23</v>
      </c>
      <c r="E1167" s="1">
        <v>3312.1320000000001</v>
      </c>
    </row>
    <row r="1168" spans="3:5" x14ac:dyDescent="0.35">
      <c r="C1168" s="1" t="s">
        <v>9763</v>
      </c>
      <c r="D1168" s="1" t="s">
        <v>23</v>
      </c>
      <c r="E1168" s="1">
        <v>3312.1329999999998</v>
      </c>
    </row>
    <row r="1169" spans="3:5" x14ac:dyDescent="0.35">
      <c r="C1169" s="1" t="s">
        <v>9762</v>
      </c>
      <c r="D1169" s="1" t="s">
        <v>23</v>
      </c>
      <c r="E1169" s="1">
        <v>3312.136</v>
      </c>
    </row>
    <row r="1170" spans="3:5" x14ac:dyDescent="0.35">
      <c r="C1170" s="1" t="s">
        <v>9429</v>
      </c>
      <c r="D1170" s="1" t="s">
        <v>23</v>
      </c>
      <c r="E1170" s="1">
        <v>3312.1370000000002</v>
      </c>
    </row>
    <row r="1171" spans="3:5" x14ac:dyDescent="0.35">
      <c r="C1171" s="1" t="s">
        <v>9621</v>
      </c>
      <c r="D1171" s="1" t="s">
        <v>23</v>
      </c>
      <c r="E1171" s="1">
        <v>3312.1379999999999</v>
      </c>
    </row>
    <row r="1172" spans="3:5" x14ac:dyDescent="0.35">
      <c r="C1172" s="1" t="s">
        <v>9761</v>
      </c>
      <c r="D1172" s="1" t="s">
        <v>23</v>
      </c>
      <c r="E1172" s="1">
        <v>3312.1390000000001</v>
      </c>
    </row>
    <row r="1173" spans="3:5" x14ac:dyDescent="0.35">
      <c r="C1173" s="1" t="s">
        <v>9760</v>
      </c>
      <c r="D1173" s="1" t="s">
        <v>23</v>
      </c>
      <c r="E1173" s="1">
        <v>3312.1419999999998</v>
      </c>
    </row>
    <row r="1174" spans="3:5" x14ac:dyDescent="0.35">
      <c r="C1174" s="1" t="s">
        <v>9425</v>
      </c>
      <c r="D1174" s="1" t="s">
        <v>23</v>
      </c>
      <c r="E1174" s="1">
        <v>3312.143</v>
      </c>
    </row>
    <row r="1175" spans="3:5" x14ac:dyDescent="0.35">
      <c r="C1175" s="1" t="s">
        <v>9617</v>
      </c>
      <c r="D1175" s="1" t="s">
        <v>23</v>
      </c>
      <c r="E1175" s="1">
        <v>3312.1439999999998</v>
      </c>
    </row>
    <row r="1176" spans="3:5" x14ac:dyDescent="0.35">
      <c r="C1176" s="1" t="s">
        <v>9759</v>
      </c>
      <c r="D1176" s="1" t="s">
        <v>23</v>
      </c>
      <c r="E1176" s="1">
        <v>3312.145</v>
      </c>
    </row>
    <row r="1177" spans="3:5" x14ac:dyDescent="0.35">
      <c r="C1177" s="1" t="s">
        <v>9758</v>
      </c>
      <c r="D1177" s="1" t="s">
        <v>23</v>
      </c>
      <c r="E1177" s="1">
        <v>3312.1480000000001</v>
      </c>
    </row>
    <row r="1178" spans="3:5" x14ac:dyDescent="0.35">
      <c r="C1178" s="1" t="s">
        <v>9775</v>
      </c>
      <c r="D1178" s="1" t="s">
        <v>57</v>
      </c>
      <c r="E1178" s="1">
        <v>3312.15</v>
      </c>
    </row>
    <row r="1179" spans="3:5" x14ac:dyDescent="0.35">
      <c r="C1179" s="1" t="s">
        <v>9453</v>
      </c>
      <c r="D1179" s="1" t="s">
        <v>23</v>
      </c>
      <c r="E1179" s="1">
        <v>3312.1509999999998</v>
      </c>
    </row>
    <row r="1180" spans="3:5" x14ac:dyDescent="0.35">
      <c r="C1180" s="1" t="s">
        <v>9646</v>
      </c>
      <c r="D1180" s="1" t="s">
        <v>23</v>
      </c>
      <c r="E1180" s="1">
        <v>3312.152</v>
      </c>
    </row>
    <row r="1181" spans="3:5" x14ac:dyDescent="0.35">
      <c r="C1181" s="1" t="s">
        <v>9774</v>
      </c>
      <c r="D1181" s="1" t="s">
        <v>23</v>
      </c>
      <c r="E1181" s="1">
        <v>3312.1529999999998</v>
      </c>
    </row>
    <row r="1182" spans="3:5" x14ac:dyDescent="0.35">
      <c r="C1182" s="1" t="s">
        <v>9773</v>
      </c>
      <c r="D1182" s="1" t="s">
        <v>23</v>
      </c>
      <c r="E1182" s="1">
        <v>3312.1559999999999</v>
      </c>
    </row>
    <row r="1183" spans="3:5" x14ac:dyDescent="0.35">
      <c r="C1183" s="1" t="s">
        <v>9449</v>
      </c>
      <c r="D1183" s="1" t="s">
        <v>23</v>
      </c>
      <c r="E1183" s="1">
        <v>3312.1570000000002</v>
      </c>
    </row>
    <row r="1184" spans="3:5" x14ac:dyDescent="0.35">
      <c r="C1184" s="1" t="s">
        <v>9642</v>
      </c>
      <c r="D1184" s="1" t="s">
        <v>23</v>
      </c>
      <c r="E1184" s="1">
        <v>3312.1579999999999</v>
      </c>
    </row>
    <row r="1185" spans="3:5" x14ac:dyDescent="0.35">
      <c r="C1185" s="1" t="s">
        <v>9772</v>
      </c>
      <c r="D1185" s="1" t="s">
        <v>23</v>
      </c>
      <c r="E1185" s="1">
        <v>3312.1590000000001</v>
      </c>
    </row>
    <row r="1186" spans="3:5" x14ac:dyDescent="0.35">
      <c r="C1186" s="1" t="s">
        <v>9771</v>
      </c>
      <c r="D1186" s="1" t="s">
        <v>23</v>
      </c>
      <c r="E1186" s="1">
        <v>3312.1619999999998</v>
      </c>
    </row>
    <row r="1187" spans="3:5" x14ac:dyDescent="0.35">
      <c r="C1187" s="1" t="s">
        <v>9445</v>
      </c>
      <c r="D1187" s="1" t="s">
        <v>23</v>
      </c>
      <c r="E1187" s="1">
        <v>3312.163</v>
      </c>
    </row>
    <row r="1188" spans="3:5" x14ac:dyDescent="0.35">
      <c r="C1188" s="1" t="s">
        <v>9638</v>
      </c>
      <c r="D1188" s="1" t="s">
        <v>23</v>
      </c>
      <c r="E1188" s="1">
        <v>3312.1640000000002</v>
      </c>
    </row>
    <row r="1189" spans="3:5" x14ac:dyDescent="0.35">
      <c r="C1189" s="1" t="s">
        <v>9770</v>
      </c>
      <c r="D1189" s="1" t="s">
        <v>23</v>
      </c>
      <c r="E1189" s="1">
        <v>3312.165</v>
      </c>
    </row>
    <row r="1190" spans="3:5" x14ac:dyDescent="0.35">
      <c r="C1190" s="1" t="s">
        <v>9769</v>
      </c>
      <c r="D1190" s="1" t="s">
        <v>23</v>
      </c>
      <c r="E1190" s="1">
        <v>3312.1680000000001</v>
      </c>
    </row>
    <row r="1191" spans="3:5" x14ac:dyDescent="0.35">
      <c r="C1191" s="1" t="s">
        <v>9433</v>
      </c>
      <c r="D1191" s="1" t="s">
        <v>23</v>
      </c>
      <c r="E1191" s="1">
        <v>3312.1689999999999</v>
      </c>
    </row>
    <row r="1192" spans="3:5" x14ac:dyDescent="0.35">
      <c r="C1192" s="1" t="s">
        <v>9768</v>
      </c>
      <c r="D1192" s="1" t="s">
        <v>23</v>
      </c>
      <c r="E1192" s="1">
        <v>3312.17</v>
      </c>
    </row>
    <row r="1193" spans="3:5" x14ac:dyDescent="0.35">
      <c r="C1193" s="1" t="s">
        <v>9767</v>
      </c>
      <c r="D1193" s="1" t="s">
        <v>23</v>
      </c>
      <c r="E1193" s="1">
        <v>3312.1709999999998</v>
      </c>
    </row>
    <row r="1194" spans="3:5" x14ac:dyDescent="0.35">
      <c r="C1194" s="1" t="s">
        <v>9766</v>
      </c>
      <c r="D1194" s="1" t="s">
        <v>23</v>
      </c>
      <c r="E1194" s="1">
        <v>3312.174</v>
      </c>
    </row>
    <row r="1195" spans="3:5" x14ac:dyDescent="0.35">
      <c r="C1195" s="1" t="s">
        <v>9441</v>
      </c>
      <c r="D1195" s="1" t="s">
        <v>23</v>
      </c>
      <c r="E1195" s="1">
        <v>3312.1750000000002</v>
      </c>
    </row>
    <row r="1196" spans="3:5" x14ac:dyDescent="0.35">
      <c r="C1196" s="1" t="s">
        <v>9629</v>
      </c>
      <c r="D1196" s="1" t="s">
        <v>23</v>
      </c>
      <c r="E1196" s="1">
        <v>3312.1759999999999</v>
      </c>
    </row>
    <row r="1197" spans="3:5" x14ac:dyDescent="0.35">
      <c r="C1197" s="1" t="s">
        <v>9765</v>
      </c>
      <c r="D1197" s="1" t="s">
        <v>23</v>
      </c>
      <c r="E1197" s="1">
        <v>3312.1770000000001</v>
      </c>
    </row>
    <row r="1198" spans="3:5" x14ac:dyDescent="0.35">
      <c r="C1198" s="1" t="s">
        <v>9764</v>
      </c>
      <c r="D1198" s="1" t="s">
        <v>23</v>
      </c>
      <c r="E1198" s="1">
        <v>3312.18</v>
      </c>
    </row>
    <row r="1199" spans="3:5" x14ac:dyDescent="0.35">
      <c r="C1199" s="1" t="s">
        <v>9437</v>
      </c>
      <c r="D1199" s="1" t="s">
        <v>23</v>
      </c>
      <c r="E1199" s="1">
        <v>3312.181</v>
      </c>
    </row>
    <row r="1200" spans="3:5" x14ac:dyDescent="0.35">
      <c r="C1200" s="1" t="s">
        <v>9625</v>
      </c>
      <c r="D1200" s="1" t="s">
        <v>23</v>
      </c>
      <c r="E1200" s="1">
        <v>3312.1819999999998</v>
      </c>
    </row>
    <row r="1201" spans="3:5" x14ac:dyDescent="0.35">
      <c r="C1201" s="1" t="s">
        <v>9763</v>
      </c>
      <c r="D1201" s="1" t="s">
        <v>23</v>
      </c>
      <c r="E1201" s="1">
        <v>3312.183</v>
      </c>
    </row>
    <row r="1202" spans="3:5" x14ac:dyDescent="0.35">
      <c r="C1202" s="1" t="s">
        <v>9762</v>
      </c>
      <c r="D1202" s="1" t="s">
        <v>23</v>
      </c>
      <c r="E1202" s="1">
        <v>3312.1860000000001</v>
      </c>
    </row>
    <row r="1203" spans="3:5" x14ac:dyDescent="0.35">
      <c r="C1203" s="1" t="s">
        <v>9429</v>
      </c>
      <c r="D1203" s="1" t="s">
        <v>23</v>
      </c>
      <c r="E1203" s="1">
        <v>3312.1869999999999</v>
      </c>
    </row>
    <row r="1204" spans="3:5" x14ac:dyDescent="0.35">
      <c r="C1204" s="1" t="s">
        <v>9621</v>
      </c>
      <c r="D1204" s="1" t="s">
        <v>23</v>
      </c>
      <c r="E1204" s="1">
        <v>3312.1880000000001</v>
      </c>
    </row>
    <row r="1205" spans="3:5" x14ac:dyDescent="0.35">
      <c r="C1205" s="1" t="s">
        <v>9761</v>
      </c>
      <c r="D1205" s="1" t="s">
        <v>23</v>
      </c>
      <c r="E1205" s="1">
        <v>3312.1889999999999</v>
      </c>
    </row>
    <row r="1206" spans="3:5" x14ac:dyDescent="0.35">
      <c r="C1206" s="1" t="s">
        <v>9760</v>
      </c>
      <c r="D1206" s="1" t="s">
        <v>23</v>
      </c>
      <c r="E1206" s="1">
        <v>3312.192</v>
      </c>
    </row>
    <row r="1207" spans="3:5" x14ac:dyDescent="0.35">
      <c r="C1207" s="1" t="s">
        <v>9425</v>
      </c>
      <c r="D1207" s="1" t="s">
        <v>23</v>
      </c>
      <c r="E1207" s="1">
        <v>3312.1930000000002</v>
      </c>
    </row>
    <row r="1208" spans="3:5" x14ac:dyDescent="0.35">
      <c r="C1208" s="1" t="s">
        <v>9617</v>
      </c>
      <c r="D1208" s="1" t="s">
        <v>23</v>
      </c>
      <c r="E1208" s="1">
        <v>3312.194</v>
      </c>
    </row>
    <row r="1209" spans="3:5" x14ac:dyDescent="0.35">
      <c r="C1209" s="1" t="s">
        <v>9759</v>
      </c>
      <c r="D1209" s="1" t="s">
        <v>23</v>
      </c>
      <c r="E1209" s="1">
        <v>3312.1950000000002</v>
      </c>
    </row>
    <row r="1210" spans="3:5" x14ac:dyDescent="0.35">
      <c r="C1210" s="1" t="s">
        <v>9758</v>
      </c>
      <c r="D1210" s="1" t="s">
        <v>23</v>
      </c>
      <c r="E1210" s="1">
        <v>3312.1979999999999</v>
      </c>
    </row>
    <row r="1211" spans="3:5" x14ac:dyDescent="0.35">
      <c r="C1211" s="1" t="s">
        <v>9757</v>
      </c>
      <c r="D1211" s="1" t="s">
        <v>23</v>
      </c>
      <c r="E1211" s="1">
        <v>3312.2</v>
      </c>
    </row>
    <row r="1212" spans="3:5" x14ac:dyDescent="0.35">
      <c r="C1212" s="1" t="s">
        <v>9756</v>
      </c>
      <c r="D1212" s="1" t="s">
        <v>23</v>
      </c>
      <c r="E1212" s="1">
        <v>3313.1</v>
      </c>
    </row>
    <row r="1213" spans="3:5" x14ac:dyDescent="0.35">
      <c r="C1213" s="1" t="s">
        <v>9755</v>
      </c>
      <c r="D1213" s="1" t="s">
        <v>23</v>
      </c>
      <c r="E1213" s="1">
        <v>3313.105</v>
      </c>
    </row>
    <row r="1214" spans="3:5" x14ac:dyDescent="0.35">
      <c r="C1214" s="1" t="s">
        <v>9754</v>
      </c>
      <c r="D1214" s="1" t="s">
        <v>23</v>
      </c>
      <c r="E1214" s="1">
        <v>3313.11</v>
      </c>
    </row>
    <row r="1215" spans="3:5" x14ac:dyDescent="0.35">
      <c r="C1215" s="1" t="s">
        <v>9753</v>
      </c>
      <c r="D1215" s="1" t="s">
        <v>23</v>
      </c>
      <c r="E1215" s="1">
        <v>3313.1149999999998</v>
      </c>
    </row>
    <row r="1216" spans="3:5" x14ac:dyDescent="0.35">
      <c r="C1216" s="1" t="s">
        <v>9752</v>
      </c>
      <c r="D1216" s="1" t="s">
        <v>23</v>
      </c>
      <c r="E1216" s="1">
        <v>3313.1179999999999</v>
      </c>
    </row>
    <row r="1217" spans="3:5" x14ac:dyDescent="0.35">
      <c r="C1217" s="1" t="s">
        <v>9751</v>
      </c>
      <c r="D1217" s="1" t="s">
        <v>23</v>
      </c>
      <c r="E1217" s="1">
        <v>3313.12</v>
      </c>
    </row>
    <row r="1218" spans="3:5" x14ac:dyDescent="0.35">
      <c r="C1218" s="1" t="s">
        <v>9750</v>
      </c>
      <c r="D1218" s="1" t="s">
        <v>23</v>
      </c>
      <c r="E1218" s="1">
        <v>3313.125</v>
      </c>
    </row>
    <row r="1219" spans="3:5" x14ac:dyDescent="0.35">
      <c r="C1219" s="1" t="s">
        <v>9749</v>
      </c>
      <c r="D1219" s="1" t="s">
        <v>23</v>
      </c>
      <c r="E1219" s="1">
        <v>3313.13</v>
      </c>
    </row>
    <row r="1220" spans="3:5" x14ac:dyDescent="0.35">
      <c r="C1220" s="1" t="s">
        <v>9748</v>
      </c>
      <c r="D1220" s="1" t="s">
        <v>23</v>
      </c>
      <c r="E1220" s="1">
        <v>3313.1350000000002</v>
      </c>
    </row>
    <row r="1221" spans="3:5" x14ac:dyDescent="0.35">
      <c r="C1221" s="1" t="s">
        <v>9747</v>
      </c>
      <c r="D1221" s="1" t="s">
        <v>23</v>
      </c>
      <c r="E1221" s="1">
        <v>3313.1370000000002</v>
      </c>
    </row>
    <row r="1222" spans="3:5" x14ac:dyDescent="0.35">
      <c r="C1222" s="1" t="s">
        <v>9746</v>
      </c>
      <c r="D1222" s="1" t="s">
        <v>23</v>
      </c>
      <c r="E1222" s="1">
        <v>3313.14</v>
      </c>
    </row>
    <row r="1223" spans="3:5" x14ac:dyDescent="0.35">
      <c r="C1223" s="1" t="s">
        <v>9745</v>
      </c>
      <c r="D1223" s="1" t="s">
        <v>23</v>
      </c>
      <c r="E1223" s="1">
        <v>3313.145</v>
      </c>
    </row>
    <row r="1224" spans="3:5" x14ac:dyDescent="0.35">
      <c r="C1224" s="1" t="s">
        <v>9744</v>
      </c>
      <c r="D1224" s="1" t="s">
        <v>23</v>
      </c>
      <c r="E1224" s="1">
        <v>3313.15</v>
      </c>
    </row>
    <row r="1225" spans="3:5" x14ac:dyDescent="0.35">
      <c r="C1225" s="1" t="s">
        <v>9743</v>
      </c>
      <c r="D1225" s="1" t="s">
        <v>23</v>
      </c>
      <c r="E1225" s="1">
        <v>3313.1550000000002</v>
      </c>
    </row>
    <row r="1226" spans="3:5" x14ac:dyDescent="0.35">
      <c r="C1226" s="1" t="s">
        <v>9742</v>
      </c>
      <c r="D1226" s="1" t="s">
        <v>23</v>
      </c>
      <c r="E1226" s="1">
        <v>3313.16</v>
      </c>
    </row>
    <row r="1227" spans="3:5" x14ac:dyDescent="0.35">
      <c r="C1227" s="1" t="s">
        <v>9741</v>
      </c>
      <c r="D1227" s="1" t="s">
        <v>23</v>
      </c>
      <c r="E1227" s="1">
        <v>3313.165</v>
      </c>
    </row>
    <row r="1228" spans="3:5" x14ac:dyDescent="0.35">
      <c r="C1228" s="1" t="s">
        <v>9740</v>
      </c>
      <c r="D1228" s="1" t="s">
        <v>23</v>
      </c>
      <c r="E1228" s="1">
        <v>3313.17</v>
      </c>
    </row>
    <row r="1229" spans="3:5" x14ac:dyDescent="0.35">
      <c r="C1229" s="1" t="s">
        <v>9739</v>
      </c>
      <c r="D1229" s="1" t="s">
        <v>23</v>
      </c>
      <c r="E1229" s="1">
        <v>3313.1750000000002</v>
      </c>
    </row>
    <row r="1230" spans="3:5" x14ac:dyDescent="0.35">
      <c r="C1230" s="1" t="s">
        <v>9738</v>
      </c>
      <c r="D1230" s="1" t="s">
        <v>23</v>
      </c>
      <c r="E1230" s="1">
        <v>3313.1759999999999</v>
      </c>
    </row>
    <row r="1231" spans="3:5" x14ac:dyDescent="0.35">
      <c r="C1231" s="1" t="s">
        <v>9737</v>
      </c>
      <c r="D1231" s="1" t="s">
        <v>23</v>
      </c>
      <c r="E1231" s="1">
        <v>3313.18</v>
      </c>
    </row>
    <row r="1232" spans="3:5" x14ac:dyDescent="0.35">
      <c r="C1232" s="1" t="s">
        <v>9736</v>
      </c>
      <c r="D1232" s="1" t="s">
        <v>23</v>
      </c>
      <c r="E1232" s="1">
        <v>3313.2</v>
      </c>
    </row>
    <row r="1233" spans="3:5" x14ac:dyDescent="0.35">
      <c r="C1233" s="1" t="s">
        <v>9735</v>
      </c>
      <c r="D1233" s="1" t="s">
        <v>23</v>
      </c>
      <c r="E1233" s="1">
        <v>3313.2049999999999</v>
      </c>
    </row>
    <row r="1234" spans="3:5" x14ac:dyDescent="0.35">
      <c r="C1234" s="1" t="s">
        <v>9734</v>
      </c>
      <c r="D1234" s="1" t="s">
        <v>23</v>
      </c>
      <c r="E1234" s="1">
        <v>3313.21</v>
      </c>
    </row>
    <row r="1235" spans="3:5" x14ac:dyDescent="0.35">
      <c r="C1235" s="1" t="s">
        <v>9733</v>
      </c>
      <c r="D1235" s="1" t="s">
        <v>23</v>
      </c>
      <c r="E1235" s="1">
        <v>3313.2150000000001</v>
      </c>
    </row>
    <row r="1236" spans="3:5" x14ac:dyDescent="0.35">
      <c r="C1236" s="1" t="s">
        <v>9732</v>
      </c>
      <c r="D1236" s="1" t="s">
        <v>23</v>
      </c>
      <c r="E1236" s="1">
        <v>3313.22</v>
      </c>
    </row>
    <row r="1237" spans="3:5" x14ac:dyDescent="0.35">
      <c r="C1237" s="1" t="s">
        <v>9731</v>
      </c>
      <c r="D1237" s="1" t="s">
        <v>23</v>
      </c>
      <c r="E1237" s="1">
        <v>3313.2249999999999</v>
      </c>
    </row>
    <row r="1238" spans="3:5" x14ac:dyDescent="0.35">
      <c r="C1238" s="1" t="s">
        <v>9730</v>
      </c>
      <c r="D1238" s="1" t="s">
        <v>23</v>
      </c>
      <c r="E1238" s="1">
        <v>3313.23</v>
      </c>
    </row>
    <row r="1239" spans="3:5" x14ac:dyDescent="0.35">
      <c r="C1239" s="1" t="s">
        <v>9729</v>
      </c>
      <c r="D1239" s="1" t="s">
        <v>23</v>
      </c>
      <c r="E1239" s="1">
        <v>3313.24</v>
      </c>
    </row>
    <row r="1240" spans="3:5" x14ac:dyDescent="0.35">
      <c r="C1240" s="1" t="s">
        <v>9728</v>
      </c>
      <c r="D1240" s="1" t="s">
        <v>23</v>
      </c>
      <c r="E1240" s="1">
        <v>3313.25</v>
      </c>
    </row>
    <row r="1241" spans="3:5" x14ac:dyDescent="0.35">
      <c r="C1241" s="1" t="s">
        <v>9727</v>
      </c>
      <c r="D1241" s="1" t="s">
        <v>23</v>
      </c>
      <c r="E1241" s="1">
        <v>3313.28</v>
      </c>
    </row>
    <row r="1242" spans="3:5" x14ac:dyDescent="0.35">
      <c r="C1242" s="1" t="s">
        <v>9726</v>
      </c>
      <c r="D1242" s="1" t="s">
        <v>18</v>
      </c>
      <c r="E1242" s="1">
        <v>3313.3</v>
      </c>
    </row>
    <row r="1243" spans="3:5" x14ac:dyDescent="0.35">
      <c r="C1243" s="1" t="s">
        <v>9725</v>
      </c>
      <c r="D1243" s="1" t="s">
        <v>18</v>
      </c>
      <c r="E1243" s="1">
        <v>3313.3049999999998</v>
      </c>
    </row>
    <row r="1244" spans="3:5" x14ac:dyDescent="0.35">
      <c r="C1244" s="1" t="s">
        <v>9724</v>
      </c>
      <c r="D1244" s="1" t="s">
        <v>57</v>
      </c>
      <c r="E1244" s="1">
        <v>3314.1</v>
      </c>
    </row>
    <row r="1245" spans="3:5" x14ac:dyDescent="0.35">
      <c r="C1245" s="1" t="s">
        <v>9453</v>
      </c>
      <c r="D1245" s="1" t="s">
        <v>23</v>
      </c>
      <c r="E1245" s="1">
        <v>3314.1010000000001</v>
      </c>
    </row>
    <row r="1246" spans="3:5" x14ac:dyDescent="0.35">
      <c r="C1246" s="1" t="s">
        <v>9452</v>
      </c>
      <c r="D1246" s="1" t="s">
        <v>23</v>
      </c>
      <c r="E1246" s="1">
        <v>3314.1019999999999</v>
      </c>
    </row>
    <row r="1247" spans="3:5" x14ac:dyDescent="0.35">
      <c r="C1247" s="1" t="s">
        <v>9717</v>
      </c>
      <c r="D1247" s="1" t="s">
        <v>23</v>
      </c>
      <c r="E1247" s="1">
        <v>3314.1030000000001</v>
      </c>
    </row>
    <row r="1248" spans="3:5" x14ac:dyDescent="0.35">
      <c r="C1248" s="1" t="s">
        <v>9716</v>
      </c>
      <c r="D1248" s="1" t="s">
        <v>23</v>
      </c>
      <c r="E1248" s="1">
        <v>3314.1039999999998</v>
      </c>
    </row>
    <row r="1249" spans="3:5" x14ac:dyDescent="0.35">
      <c r="C1249" s="1" t="s">
        <v>9723</v>
      </c>
      <c r="D1249" s="1" t="s">
        <v>23</v>
      </c>
      <c r="E1249" s="1">
        <v>3314.105</v>
      </c>
    </row>
    <row r="1250" spans="3:5" x14ac:dyDescent="0.35">
      <c r="C1250" s="1" t="s">
        <v>9449</v>
      </c>
      <c r="D1250" s="1" t="s">
        <v>23</v>
      </c>
      <c r="E1250" s="1">
        <v>3314.1060000000002</v>
      </c>
    </row>
    <row r="1251" spans="3:5" x14ac:dyDescent="0.35">
      <c r="C1251" s="1" t="s">
        <v>9448</v>
      </c>
      <c r="D1251" s="1" t="s">
        <v>23</v>
      </c>
      <c r="E1251" s="1">
        <v>3314.107</v>
      </c>
    </row>
    <row r="1252" spans="3:5" x14ac:dyDescent="0.35">
      <c r="C1252" s="1" t="s">
        <v>9714</v>
      </c>
      <c r="D1252" s="1" t="s">
        <v>23</v>
      </c>
      <c r="E1252" s="1">
        <v>3314.1080000000002</v>
      </c>
    </row>
    <row r="1253" spans="3:5" x14ac:dyDescent="0.35">
      <c r="C1253" s="1" t="s">
        <v>9713</v>
      </c>
      <c r="D1253" s="1" t="s">
        <v>23</v>
      </c>
      <c r="E1253" s="1">
        <v>3314.1089999999999</v>
      </c>
    </row>
    <row r="1254" spans="3:5" x14ac:dyDescent="0.35">
      <c r="C1254" s="1" t="s">
        <v>9712</v>
      </c>
      <c r="D1254" s="1" t="s">
        <v>23</v>
      </c>
      <c r="E1254" s="1">
        <v>3314.11</v>
      </c>
    </row>
    <row r="1255" spans="3:5" x14ac:dyDescent="0.35">
      <c r="C1255" s="1" t="s">
        <v>9445</v>
      </c>
      <c r="D1255" s="1" t="s">
        <v>23</v>
      </c>
      <c r="E1255" s="1">
        <v>3314.1109999999999</v>
      </c>
    </row>
    <row r="1256" spans="3:5" x14ac:dyDescent="0.35">
      <c r="C1256" s="1" t="s">
        <v>9444</v>
      </c>
      <c r="D1256" s="1" t="s">
        <v>23</v>
      </c>
      <c r="E1256" s="1">
        <v>3314.1120000000001</v>
      </c>
    </row>
    <row r="1257" spans="3:5" x14ac:dyDescent="0.35">
      <c r="C1257" s="1" t="s">
        <v>9711</v>
      </c>
      <c r="D1257" s="1" t="s">
        <v>23</v>
      </c>
      <c r="E1257" s="1">
        <v>3314.1129999999998</v>
      </c>
    </row>
    <row r="1258" spans="3:5" x14ac:dyDescent="0.35">
      <c r="C1258" s="1" t="s">
        <v>9710</v>
      </c>
      <c r="D1258" s="1" t="s">
        <v>23</v>
      </c>
      <c r="E1258" s="1">
        <v>3314.114</v>
      </c>
    </row>
    <row r="1259" spans="3:5" x14ac:dyDescent="0.35">
      <c r="C1259" s="1" t="s">
        <v>9709</v>
      </c>
      <c r="D1259" s="1" t="s">
        <v>23</v>
      </c>
      <c r="E1259" s="1">
        <v>3314.1149999999998</v>
      </c>
    </row>
    <row r="1260" spans="3:5" x14ac:dyDescent="0.35">
      <c r="C1260" s="1" t="s">
        <v>9634</v>
      </c>
      <c r="D1260" s="1" t="s">
        <v>23</v>
      </c>
      <c r="E1260" s="1">
        <v>3314.116</v>
      </c>
    </row>
    <row r="1261" spans="3:5" x14ac:dyDescent="0.35">
      <c r="C1261" s="1" t="s">
        <v>9708</v>
      </c>
      <c r="D1261" s="1" t="s">
        <v>23</v>
      </c>
      <c r="E1261" s="1">
        <v>3314.1170000000002</v>
      </c>
    </row>
    <row r="1262" spans="3:5" x14ac:dyDescent="0.35">
      <c r="C1262" s="1" t="s">
        <v>9707</v>
      </c>
      <c r="D1262" s="1" t="s">
        <v>23</v>
      </c>
      <c r="E1262" s="1">
        <v>3314.1179999999999</v>
      </c>
    </row>
    <row r="1263" spans="3:5" x14ac:dyDescent="0.35">
      <c r="C1263" s="1" t="s">
        <v>9706</v>
      </c>
      <c r="D1263" s="1" t="s">
        <v>23</v>
      </c>
      <c r="E1263" s="1">
        <v>3314.1190000000001</v>
      </c>
    </row>
    <row r="1264" spans="3:5" x14ac:dyDescent="0.35">
      <c r="C1264" s="1" t="s">
        <v>9705</v>
      </c>
      <c r="D1264" s="1" t="s">
        <v>23</v>
      </c>
      <c r="E1264" s="1">
        <v>3314.12</v>
      </c>
    </row>
    <row r="1265" spans="3:5" x14ac:dyDescent="0.35">
      <c r="C1265" s="1" t="s">
        <v>9441</v>
      </c>
      <c r="D1265" s="1" t="s">
        <v>23</v>
      </c>
      <c r="E1265" s="1">
        <v>3314.1210000000001</v>
      </c>
    </row>
    <row r="1266" spans="3:5" x14ac:dyDescent="0.35">
      <c r="C1266" s="1" t="s">
        <v>9440</v>
      </c>
      <c r="D1266" s="1" t="s">
        <v>23</v>
      </c>
      <c r="E1266" s="1">
        <v>3314.1219999999998</v>
      </c>
    </row>
    <row r="1267" spans="3:5" x14ac:dyDescent="0.35">
      <c r="C1267" s="1" t="s">
        <v>9704</v>
      </c>
      <c r="D1267" s="1" t="s">
        <v>23</v>
      </c>
      <c r="E1267" s="1">
        <v>3314.123</v>
      </c>
    </row>
    <row r="1268" spans="3:5" x14ac:dyDescent="0.35">
      <c r="C1268" s="1" t="s">
        <v>9703</v>
      </c>
      <c r="D1268" s="1" t="s">
        <v>23</v>
      </c>
      <c r="E1268" s="1">
        <v>3314.1239999999998</v>
      </c>
    </row>
    <row r="1269" spans="3:5" x14ac:dyDescent="0.35">
      <c r="C1269" s="1" t="s">
        <v>9702</v>
      </c>
      <c r="D1269" s="1" t="s">
        <v>23</v>
      </c>
      <c r="E1269" s="1">
        <v>3314.125</v>
      </c>
    </row>
    <row r="1270" spans="3:5" x14ac:dyDescent="0.35">
      <c r="C1270" s="1" t="s">
        <v>9437</v>
      </c>
      <c r="D1270" s="1" t="s">
        <v>23</v>
      </c>
      <c r="E1270" s="1">
        <v>3314.1260000000002</v>
      </c>
    </row>
    <row r="1271" spans="3:5" x14ac:dyDescent="0.35">
      <c r="C1271" s="1" t="s">
        <v>9436</v>
      </c>
      <c r="D1271" s="1" t="s">
        <v>23</v>
      </c>
      <c r="E1271" s="1">
        <v>3314.127</v>
      </c>
    </row>
    <row r="1272" spans="3:5" x14ac:dyDescent="0.35">
      <c r="C1272" s="1" t="s">
        <v>9701</v>
      </c>
      <c r="D1272" s="1" t="s">
        <v>23</v>
      </c>
      <c r="E1272" s="1">
        <v>3314.1280000000002</v>
      </c>
    </row>
    <row r="1273" spans="3:5" x14ac:dyDescent="0.35">
      <c r="C1273" s="1" t="s">
        <v>9700</v>
      </c>
      <c r="D1273" s="1" t="s">
        <v>23</v>
      </c>
      <c r="E1273" s="1">
        <v>3314.1289999999999</v>
      </c>
    </row>
    <row r="1274" spans="3:5" x14ac:dyDescent="0.35">
      <c r="C1274" s="1" t="s">
        <v>9699</v>
      </c>
      <c r="D1274" s="1" t="s">
        <v>23</v>
      </c>
      <c r="E1274" s="1">
        <v>3314.13</v>
      </c>
    </row>
    <row r="1275" spans="3:5" x14ac:dyDescent="0.35">
      <c r="C1275" s="1" t="s">
        <v>9429</v>
      </c>
      <c r="D1275" s="1" t="s">
        <v>23</v>
      </c>
      <c r="E1275" s="1">
        <v>3314.1309999999999</v>
      </c>
    </row>
    <row r="1276" spans="3:5" x14ac:dyDescent="0.35">
      <c r="C1276" s="1" t="s">
        <v>9428</v>
      </c>
      <c r="D1276" s="1" t="s">
        <v>23</v>
      </c>
      <c r="E1276" s="1">
        <v>3314.1320000000001</v>
      </c>
    </row>
    <row r="1277" spans="3:5" x14ac:dyDescent="0.35">
      <c r="C1277" s="1" t="s">
        <v>9698</v>
      </c>
      <c r="D1277" s="1" t="s">
        <v>23</v>
      </c>
      <c r="E1277" s="1">
        <v>3314.1329999999998</v>
      </c>
    </row>
    <row r="1278" spans="3:5" x14ac:dyDescent="0.35">
      <c r="C1278" s="1" t="s">
        <v>9697</v>
      </c>
      <c r="D1278" s="1" t="s">
        <v>23</v>
      </c>
      <c r="E1278" s="1">
        <v>3314.134</v>
      </c>
    </row>
    <row r="1279" spans="3:5" x14ac:dyDescent="0.35">
      <c r="C1279" s="1" t="s">
        <v>9696</v>
      </c>
      <c r="D1279" s="1" t="s">
        <v>23</v>
      </c>
      <c r="E1279" s="1">
        <v>3314.1350000000002</v>
      </c>
    </row>
    <row r="1280" spans="3:5" x14ac:dyDescent="0.35">
      <c r="C1280" s="1" t="s">
        <v>9425</v>
      </c>
      <c r="D1280" s="1" t="s">
        <v>23</v>
      </c>
      <c r="E1280" s="1">
        <v>3314.136</v>
      </c>
    </row>
    <row r="1281" spans="3:5" x14ac:dyDescent="0.35">
      <c r="C1281" s="1" t="s">
        <v>9424</v>
      </c>
      <c r="D1281" s="1" t="s">
        <v>23</v>
      </c>
      <c r="E1281" s="1">
        <v>3314.1370000000002</v>
      </c>
    </row>
    <row r="1282" spans="3:5" x14ac:dyDescent="0.35">
      <c r="C1282" s="1" t="s">
        <v>9695</v>
      </c>
      <c r="D1282" s="1" t="s">
        <v>23</v>
      </c>
      <c r="E1282" s="1">
        <v>3314.1379999999999</v>
      </c>
    </row>
    <row r="1283" spans="3:5" x14ac:dyDescent="0.35">
      <c r="C1283" s="1" t="s">
        <v>9694</v>
      </c>
      <c r="D1283" s="1" t="s">
        <v>23</v>
      </c>
      <c r="E1283" s="1">
        <v>3314.1390000000001</v>
      </c>
    </row>
    <row r="1284" spans="3:5" x14ac:dyDescent="0.35">
      <c r="C1284" s="1" t="s">
        <v>9693</v>
      </c>
      <c r="D1284" s="1" t="s">
        <v>23</v>
      </c>
      <c r="E1284" s="1">
        <v>3314.14</v>
      </c>
    </row>
    <row r="1285" spans="3:5" x14ac:dyDescent="0.35">
      <c r="C1285" s="1" t="s">
        <v>9722</v>
      </c>
      <c r="D1285" s="1" t="s">
        <v>57</v>
      </c>
      <c r="E1285" s="1">
        <v>3314.15</v>
      </c>
    </row>
    <row r="1286" spans="3:5" x14ac:dyDescent="0.35">
      <c r="C1286" s="1" t="s">
        <v>9453</v>
      </c>
      <c r="D1286" s="1" t="s">
        <v>23</v>
      </c>
      <c r="E1286" s="1">
        <v>3314.1509999999998</v>
      </c>
    </row>
    <row r="1287" spans="3:5" x14ac:dyDescent="0.35">
      <c r="C1287" s="1" t="s">
        <v>9721</v>
      </c>
      <c r="D1287" s="1" t="s">
        <v>23</v>
      </c>
      <c r="E1287" s="1">
        <v>3314.152</v>
      </c>
    </row>
    <row r="1288" spans="3:5" x14ac:dyDescent="0.35">
      <c r="C1288" s="1" t="s">
        <v>9720</v>
      </c>
      <c r="D1288" s="1" t="s">
        <v>23</v>
      </c>
      <c r="E1288" s="1">
        <v>3314.1529999999998</v>
      </c>
    </row>
    <row r="1289" spans="3:5" x14ac:dyDescent="0.35">
      <c r="C1289" s="1" t="s">
        <v>9716</v>
      </c>
      <c r="D1289" s="1" t="s">
        <v>23</v>
      </c>
      <c r="E1289" s="1">
        <v>3314.154</v>
      </c>
    </row>
    <row r="1290" spans="3:5" x14ac:dyDescent="0.35">
      <c r="C1290" s="1" t="s">
        <v>9715</v>
      </c>
      <c r="D1290" s="1" t="s">
        <v>23</v>
      </c>
      <c r="E1290" s="1">
        <v>3314.1550000000002</v>
      </c>
    </row>
    <row r="1291" spans="3:5" x14ac:dyDescent="0.35">
      <c r="C1291" s="1" t="s">
        <v>9449</v>
      </c>
      <c r="D1291" s="1" t="s">
        <v>23</v>
      </c>
      <c r="E1291" s="1">
        <v>3314.1559999999999</v>
      </c>
    </row>
    <row r="1292" spans="3:5" x14ac:dyDescent="0.35">
      <c r="C1292" s="1" t="s">
        <v>9448</v>
      </c>
      <c r="D1292" s="1" t="s">
        <v>23</v>
      </c>
      <c r="E1292" s="1">
        <v>3314.1570000000002</v>
      </c>
    </row>
    <row r="1293" spans="3:5" x14ac:dyDescent="0.35">
      <c r="C1293" s="1" t="s">
        <v>9714</v>
      </c>
      <c r="D1293" s="1" t="s">
        <v>23</v>
      </c>
      <c r="E1293" s="1">
        <v>3314.1579999999999</v>
      </c>
    </row>
    <row r="1294" spans="3:5" x14ac:dyDescent="0.35">
      <c r="C1294" s="1" t="s">
        <v>9713</v>
      </c>
      <c r="D1294" s="1" t="s">
        <v>23</v>
      </c>
      <c r="E1294" s="1">
        <v>3314.1590000000001</v>
      </c>
    </row>
    <row r="1295" spans="3:5" x14ac:dyDescent="0.35">
      <c r="C1295" s="1" t="s">
        <v>9712</v>
      </c>
      <c r="D1295" s="1" t="s">
        <v>23</v>
      </c>
      <c r="E1295" s="1">
        <v>3314.16</v>
      </c>
    </row>
    <row r="1296" spans="3:5" x14ac:dyDescent="0.35">
      <c r="C1296" s="1" t="s">
        <v>9445</v>
      </c>
      <c r="D1296" s="1" t="s">
        <v>23</v>
      </c>
      <c r="E1296" s="1">
        <v>3314.1610000000001</v>
      </c>
    </row>
    <row r="1297" spans="3:5" x14ac:dyDescent="0.35">
      <c r="C1297" s="1" t="s">
        <v>9444</v>
      </c>
      <c r="D1297" s="1" t="s">
        <v>23</v>
      </c>
      <c r="E1297" s="1">
        <v>3314.1619999999998</v>
      </c>
    </row>
    <row r="1298" spans="3:5" x14ac:dyDescent="0.35">
      <c r="C1298" s="1" t="s">
        <v>9711</v>
      </c>
      <c r="D1298" s="1" t="s">
        <v>23</v>
      </c>
      <c r="E1298" s="1">
        <v>3314.163</v>
      </c>
    </row>
    <row r="1299" spans="3:5" x14ac:dyDescent="0.35">
      <c r="C1299" s="1" t="s">
        <v>9710</v>
      </c>
      <c r="D1299" s="1" t="s">
        <v>23</v>
      </c>
      <c r="E1299" s="1">
        <v>3314.1640000000002</v>
      </c>
    </row>
    <row r="1300" spans="3:5" x14ac:dyDescent="0.35">
      <c r="C1300" s="1" t="s">
        <v>9709</v>
      </c>
      <c r="D1300" s="1" t="s">
        <v>23</v>
      </c>
      <c r="E1300" s="1">
        <v>3314.165</v>
      </c>
    </row>
    <row r="1301" spans="3:5" x14ac:dyDescent="0.35">
      <c r="C1301" s="1" t="s">
        <v>9634</v>
      </c>
      <c r="D1301" s="1" t="s">
        <v>23</v>
      </c>
      <c r="E1301" s="1">
        <v>3314.1660000000002</v>
      </c>
    </row>
    <row r="1302" spans="3:5" x14ac:dyDescent="0.35">
      <c r="C1302" s="1" t="s">
        <v>9708</v>
      </c>
      <c r="D1302" s="1" t="s">
        <v>23</v>
      </c>
      <c r="E1302" s="1">
        <v>3314.1669999999999</v>
      </c>
    </row>
    <row r="1303" spans="3:5" x14ac:dyDescent="0.35">
      <c r="C1303" s="1" t="s">
        <v>9707</v>
      </c>
      <c r="D1303" s="1" t="s">
        <v>23</v>
      </c>
      <c r="E1303" s="1">
        <v>3314.1680000000001</v>
      </c>
    </row>
    <row r="1304" spans="3:5" x14ac:dyDescent="0.35">
      <c r="C1304" s="1" t="s">
        <v>9706</v>
      </c>
      <c r="D1304" s="1" t="s">
        <v>23</v>
      </c>
      <c r="E1304" s="1">
        <v>3314.1689999999999</v>
      </c>
    </row>
    <row r="1305" spans="3:5" x14ac:dyDescent="0.35">
      <c r="C1305" s="1" t="s">
        <v>9705</v>
      </c>
      <c r="D1305" s="1" t="s">
        <v>23</v>
      </c>
      <c r="E1305" s="1">
        <v>3314.17</v>
      </c>
    </row>
    <row r="1306" spans="3:5" x14ac:dyDescent="0.35">
      <c r="C1306" s="1" t="s">
        <v>9441</v>
      </c>
      <c r="D1306" s="1" t="s">
        <v>23</v>
      </c>
      <c r="E1306" s="1">
        <v>3314.1709999999998</v>
      </c>
    </row>
    <row r="1307" spans="3:5" x14ac:dyDescent="0.35">
      <c r="C1307" s="1" t="s">
        <v>9440</v>
      </c>
      <c r="D1307" s="1" t="s">
        <v>23</v>
      </c>
      <c r="E1307" s="1">
        <v>3314.172</v>
      </c>
    </row>
    <row r="1308" spans="3:5" x14ac:dyDescent="0.35">
      <c r="C1308" s="1" t="s">
        <v>9719</v>
      </c>
      <c r="D1308" s="1" t="s">
        <v>23</v>
      </c>
      <c r="E1308" s="1">
        <v>3314.1729999999998</v>
      </c>
    </row>
    <row r="1309" spans="3:5" x14ac:dyDescent="0.35">
      <c r="C1309" s="1" t="s">
        <v>9703</v>
      </c>
      <c r="D1309" s="1" t="s">
        <v>23</v>
      </c>
      <c r="E1309" s="1">
        <v>3314.174</v>
      </c>
    </row>
    <row r="1310" spans="3:5" x14ac:dyDescent="0.35">
      <c r="C1310" s="1" t="s">
        <v>9702</v>
      </c>
      <c r="D1310" s="1" t="s">
        <v>23</v>
      </c>
      <c r="E1310" s="1">
        <v>3314.1750000000002</v>
      </c>
    </row>
    <row r="1311" spans="3:5" x14ac:dyDescent="0.35">
      <c r="C1311" s="1" t="s">
        <v>9437</v>
      </c>
      <c r="D1311" s="1" t="s">
        <v>23</v>
      </c>
      <c r="E1311" s="1">
        <v>3314.1759999999999</v>
      </c>
    </row>
    <row r="1312" spans="3:5" x14ac:dyDescent="0.35">
      <c r="C1312" s="1" t="s">
        <v>9436</v>
      </c>
      <c r="D1312" s="1" t="s">
        <v>23</v>
      </c>
      <c r="E1312" s="1">
        <v>3314.1770000000001</v>
      </c>
    </row>
    <row r="1313" spans="3:5" x14ac:dyDescent="0.35">
      <c r="C1313" s="1" t="s">
        <v>9701</v>
      </c>
      <c r="D1313" s="1" t="s">
        <v>23</v>
      </c>
      <c r="E1313" s="1">
        <v>3314.1779999999999</v>
      </c>
    </row>
    <row r="1314" spans="3:5" x14ac:dyDescent="0.35">
      <c r="C1314" s="1" t="s">
        <v>9700</v>
      </c>
      <c r="D1314" s="1" t="s">
        <v>23</v>
      </c>
      <c r="E1314" s="1">
        <v>3314.1790000000001</v>
      </c>
    </row>
    <row r="1315" spans="3:5" x14ac:dyDescent="0.35">
      <c r="C1315" s="1" t="s">
        <v>9699</v>
      </c>
      <c r="D1315" s="1" t="s">
        <v>23</v>
      </c>
      <c r="E1315" s="1">
        <v>3314.18</v>
      </c>
    </row>
    <row r="1316" spans="3:5" x14ac:dyDescent="0.35">
      <c r="C1316" s="1" t="s">
        <v>9429</v>
      </c>
      <c r="D1316" s="1" t="s">
        <v>23</v>
      </c>
      <c r="E1316" s="1">
        <v>3314.181</v>
      </c>
    </row>
    <row r="1317" spans="3:5" x14ac:dyDescent="0.35">
      <c r="C1317" s="1" t="s">
        <v>9428</v>
      </c>
      <c r="D1317" s="1" t="s">
        <v>23</v>
      </c>
      <c r="E1317" s="1">
        <v>3314.1819999999998</v>
      </c>
    </row>
    <row r="1318" spans="3:5" x14ac:dyDescent="0.35">
      <c r="C1318" s="1" t="s">
        <v>9698</v>
      </c>
      <c r="D1318" s="1" t="s">
        <v>23</v>
      </c>
      <c r="E1318" s="1">
        <v>3314.183</v>
      </c>
    </row>
    <row r="1319" spans="3:5" x14ac:dyDescent="0.35">
      <c r="C1319" s="1" t="s">
        <v>9697</v>
      </c>
      <c r="D1319" s="1" t="s">
        <v>23</v>
      </c>
      <c r="E1319" s="1">
        <v>3314.1840000000002</v>
      </c>
    </row>
    <row r="1320" spans="3:5" x14ac:dyDescent="0.35">
      <c r="C1320" s="1" t="s">
        <v>9696</v>
      </c>
      <c r="D1320" s="1" t="s">
        <v>23</v>
      </c>
      <c r="E1320" s="1">
        <v>3314.1849999999999</v>
      </c>
    </row>
    <row r="1321" spans="3:5" x14ac:dyDescent="0.35">
      <c r="C1321" s="1" t="s">
        <v>9425</v>
      </c>
      <c r="D1321" s="1" t="s">
        <v>23</v>
      </c>
      <c r="E1321" s="1">
        <v>3314.1860000000001</v>
      </c>
    </row>
    <row r="1322" spans="3:5" x14ac:dyDescent="0.35">
      <c r="C1322" s="1" t="s">
        <v>9424</v>
      </c>
      <c r="D1322" s="1" t="s">
        <v>23</v>
      </c>
      <c r="E1322" s="1">
        <v>3314.1869999999999</v>
      </c>
    </row>
    <row r="1323" spans="3:5" x14ac:dyDescent="0.35">
      <c r="C1323" s="1" t="s">
        <v>9695</v>
      </c>
      <c r="D1323" s="1" t="s">
        <v>23</v>
      </c>
      <c r="E1323" s="1">
        <v>3314.1880000000001</v>
      </c>
    </row>
    <row r="1324" spans="3:5" x14ac:dyDescent="0.35">
      <c r="C1324" s="1" t="s">
        <v>9694</v>
      </c>
      <c r="D1324" s="1" t="s">
        <v>23</v>
      </c>
      <c r="E1324" s="1">
        <v>3314.1889999999999</v>
      </c>
    </row>
    <row r="1325" spans="3:5" x14ac:dyDescent="0.35">
      <c r="C1325" s="1" t="s">
        <v>9693</v>
      </c>
      <c r="D1325" s="1" t="s">
        <v>23</v>
      </c>
      <c r="E1325" s="1">
        <v>3314.19</v>
      </c>
    </row>
    <row r="1326" spans="3:5" x14ac:dyDescent="0.35">
      <c r="C1326" s="1" t="s">
        <v>9718</v>
      </c>
      <c r="D1326" s="1" t="s">
        <v>57</v>
      </c>
      <c r="E1326" s="1">
        <v>3314.2</v>
      </c>
    </row>
    <row r="1327" spans="3:5" x14ac:dyDescent="0.35">
      <c r="C1327" s="1" t="s">
        <v>9453</v>
      </c>
      <c r="D1327" s="1" t="s">
        <v>23</v>
      </c>
      <c r="E1327" s="1">
        <v>3314.201</v>
      </c>
    </row>
    <row r="1328" spans="3:5" x14ac:dyDescent="0.35">
      <c r="C1328" s="1" t="s">
        <v>9452</v>
      </c>
      <c r="D1328" s="1" t="s">
        <v>23</v>
      </c>
      <c r="E1328" s="1">
        <v>3314.2020000000002</v>
      </c>
    </row>
    <row r="1329" spans="3:5" x14ac:dyDescent="0.35">
      <c r="C1329" s="1" t="s">
        <v>9717</v>
      </c>
      <c r="D1329" s="1" t="s">
        <v>23</v>
      </c>
      <c r="E1329" s="1">
        <v>3314.203</v>
      </c>
    </row>
    <row r="1330" spans="3:5" x14ac:dyDescent="0.35">
      <c r="C1330" s="1" t="s">
        <v>9716</v>
      </c>
      <c r="D1330" s="1" t="s">
        <v>23</v>
      </c>
      <c r="E1330" s="1">
        <v>3314.2040000000002</v>
      </c>
    </row>
    <row r="1331" spans="3:5" x14ac:dyDescent="0.35">
      <c r="C1331" s="1" t="s">
        <v>9715</v>
      </c>
      <c r="D1331" s="1" t="s">
        <v>23</v>
      </c>
      <c r="E1331" s="1">
        <v>3314.2049999999999</v>
      </c>
    </row>
    <row r="1332" spans="3:5" x14ac:dyDescent="0.35">
      <c r="C1332" s="1" t="s">
        <v>9449</v>
      </c>
      <c r="D1332" s="1" t="s">
        <v>23</v>
      </c>
      <c r="E1332" s="1">
        <v>3314.2060000000001</v>
      </c>
    </row>
    <row r="1333" spans="3:5" x14ac:dyDescent="0.35">
      <c r="C1333" s="1" t="s">
        <v>9448</v>
      </c>
      <c r="D1333" s="1" t="s">
        <v>23</v>
      </c>
      <c r="E1333" s="1">
        <v>3314.2069999999999</v>
      </c>
    </row>
    <row r="1334" spans="3:5" x14ac:dyDescent="0.35">
      <c r="C1334" s="1" t="s">
        <v>9714</v>
      </c>
      <c r="D1334" s="1" t="s">
        <v>23</v>
      </c>
      <c r="E1334" s="1">
        <v>3314.2080000000001</v>
      </c>
    </row>
    <row r="1335" spans="3:5" x14ac:dyDescent="0.35">
      <c r="C1335" s="1" t="s">
        <v>9713</v>
      </c>
      <c r="D1335" s="1" t="s">
        <v>23</v>
      </c>
      <c r="E1335" s="1">
        <v>3314.2089999999998</v>
      </c>
    </row>
    <row r="1336" spans="3:5" x14ac:dyDescent="0.35">
      <c r="C1336" s="1" t="s">
        <v>9712</v>
      </c>
      <c r="D1336" s="1" t="s">
        <v>23</v>
      </c>
      <c r="E1336" s="1">
        <v>3314.21</v>
      </c>
    </row>
    <row r="1337" spans="3:5" x14ac:dyDescent="0.35">
      <c r="C1337" s="1" t="s">
        <v>9445</v>
      </c>
      <c r="D1337" s="1" t="s">
        <v>23</v>
      </c>
      <c r="E1337" s="1">
        <v>3314.2109999999998</v>
      </c>
    </row>
    <row r="1338" spans="3:5" x14ac:dyDescent="0.35">
      <c r="C1338" s="1" t="s">
        <v>9444</v>
      </c>
      <c r="D1338" s="1" t="s">
        <v>23</v>
      </c>
      <c r="E1338" s="1">
        <v>3314.212</v>
      </c>
    </row>
    <row r="1339" spans="3:5" x14ac:dyDescent="0.35">
      <c r="C1339" s="1" t="s">
        <v>9711</v>
      </c>
      <c r="D1339" s="1" t="s">
        <v>23</v>
      </c>
      <c r="E1339" s="1">
        <v>3314.2130000000002</v>
      </c>
    </row>
    <row r="1340" spans="3:5" x14ac:dyDescent="0.35">
      <c r="C1340" s="1" t="s">
        <v>9710</v>
      </c>
      <c r="D1340" s="1" t="s">
        <v>23</v>
      </c>
      <c r="E1340" s="1">
        <v>3314.2139999999999</v>
      </c>
    </row>
    <row r="1341" spans="3:5" x14ac:dyDescent="0.35">
      <c r="C1341" s="1" t="s">
        <v>9709</v>
      </c>
      <c r="D1341" s="1" t="s">
        <v>23</v>
      </c>
      <c r="E1341" s="1">
        <v>3314.2150000000001</v>
      </c>
    </row>
    <row r="1342" spans="3:5" x14ac:dyDescent="0.35">
      <c r="C1342" s="1" t="s">
        <v>9634</v>
      </c>
      <c r="D1342" s="1" t="s">
        <v>23</v>
      </c>
      <c r="E1342" s="1">
        <v>3314.2159999999999</v>
      </c>
    </row>
    <row r="1343" spans="3:5" x14ac:dyDescent="0.35">
      <c r="C1343" s="1" t="s">
        <v>9708</v>
      </c>
      <c r="D1343" s="1" t="s">
        <v>23</v>
      </c>
      <c r="E1343" s="1">
        <v>3314.2170000000001</v>
      </c>
    </row>
    <row r="1344" spans="3:5" x14ac:dyDescent="0.35">
      <c r="C1344" s="1" t="s">
        <v>9707</v>
      </c>
      <c r="D1344" s="1" t="s">
        <v>23</v>
      </c>
      <c r="E1344" s="1">
        <v>3314.2179999999998</v>
      </c>
    </row>
    <row r="1345" spans="3:5" x14ac:dyDescent="0.35">
      <c r="C1345" s="1" t="s">
        <v>9706</v>
      </c>
      <c r="D1345" s="1" t="s">
        <v>23</v>
      </c>
      <c r="E1345" s="1">
        <v>3314.2190000000001</v>
      </c>
    </row>
    <row r="1346" spans="3:5" x14ac:dyDescent="0.35">
      <c r="C1346" s="1" t="s">
        <v>9705</v>
      </c>
      <c r="D1346" s="1" t="s">
        <v>23</v>
      </c>
      <c r="E1346" s="1">
        <v>3314.22</v>
      </c>
    </row>
    <row r="1347" spans="3:5" x14ac:dyDescent="0.35">
      <c r="C1347" s="1" t="s">
        <v>9441</v>
      </c>
      <c r="D1347" s="1" t="s">
        <v>23</v>
      </c>
      <c r="E1347" s="1">
        <v>3314.221</v>
      </c>
    </row>
    <row r="1348" spans="3:5" x14ac:dyDescent="0.35">
      <c r="C1348" s="1" t="s">
        <v>9440</v>
      </c>
      <c r="D1348" s="1" t="s">
        <v>23</v>
      </c>
      <c r="E1348" s="1">
        <v>3314.2220000000002</v>
      </c>
    </row>
    <row r="1349" spans="3:5" x14ac:dyDescent="0.35">
      <c r="C1349" s="1" t="s">
        <v>9704</v>
      </c>
      <c r="D1349" s="1" t="s">
        <v>23</v>
      </c>
      <c r="E1349" s="1">
        <v>3314.223</v>
      </c>
    </row>
    <row r="1350" spans="3:5" x14ac:dyDescent="0.35">
      <c r="C1350" s="1" t="s">
        <v>9703</v>
      </c>
      <c r="D1350" s="1" t="s">
        <v>23</v>
      </c>
      <c r="E1350" s="1">
        <v>3314.2240000000002</v>
      </c>
    </row>
    <row r="1351" spans="3:5" x14ac:dyDescent="0.35">
      <c r="C1351" s="1" t="s">
        <v>9702</v>
      </c>
      <c r="D1351" s="1" t="s">
        <v>23</v>
      </c>
      <c r="E1351" s="1">
        <v>3314.2249999999999</v>
      </c>
    </row>
    <row r="1352" spans="3:5" x14ac:dyDescent="0.35">
      <c r="C1352" s="1" t="s">
        <v>9437</v>
      </c>
      <c r="D1352" s="1" t="s">
        <v>23</v>
      </c>
      <c r="E1352" s="1">
        <v>3314.2260000000001</v>
      </c>
    </row>
    <row r="1353" spans="3:5" x14ac:dyDescent="0.35">
      <c r="C1353" s="1" t="s">
        <v>9436</v>
      </c>
      <c r="D1353" s="1" t="s">
        <v>23</v>
      </c>
      <c r="E1353" s="1">
        <v>3314.2269999999999</v>
      </c>
    </row>
    <row r="1354" spans="3:5" x14ac:dyDescent="0.35">
      <c r="C1354" s="1" t="s">
        <v>9701</v>
      </c>
      <c r="D1354" s="1" t="s">
        <v>23</v>
      </c>
      <c r="E1354" s="1">
        <v>3314.2280000000001</v>
      </c>
    </row>
    <row r="1355" spans="3:5" x14ac:dyDescent="0.35">
      <c r="C1355" s="1" t="s">
        <v>9700</v>
      </c>
      <c r="D1355" s="1" t="s">
        <v>23</v>
      </c>
      <c r="E1355" s="1">
        <v>3314.2289999999998</v>
      </c>
    </row>
    <row r="1356" spans="3:5" x14ac:dyDescent="0.35">
      <c r="C1356" s="1" t="s">
        <v>9699</v>
      </c>
      <c r="D1356" s="1" t="s">
        <v>23</v>
      </c>
      <c r="E1356" s="1">
        <v>3314.23</v>
      </c>
    </row>
    <row r="1357" spans="3:5" x14ac:dyDescent="0.35">
      <c r="C1357" s="1" t="s">
        <v>9429</v>
      </c>
      <c r="D1357" s="1" t="s">
        <v>23</v>
      </c>
      <c r="E1357" s="1">
        <v>3314.2310000000002</v>
      </c>
    </row>
    <row r="1358" spans="3:5" x14ac:dyDescent="0.35">
      <c r="C1358" s="1" t="s">
        <v>9428</v>
      </c>
      <c r="D1358" s="1" t="s">
        <v>23</v>
      </c>
      <c r="E1358" s="1">
        <v>3314.232</v>
      </c>
    </row>
    <row r="1359" spans="3:5" x14ac:dyDescent="0.35">
      <c r="C1359" s="1" t="s">
        <v>9698</v>
      </c>
      <c r="D1359" s="1" t="s">
        <v>23</v>
      </c>
      <c r="E1359" s="1">
        <v>3314.2330000000002</v>
      </c>
    </row>
    <row r="1360" spans="3:5" x14ac:dyDescent="0.35">
      <c r="C1360" s="1" t="s">
        <v>9697</v>
      </c>
      <c r="D1360" s="1" t="s">
        <v>23</v>
      </c>
      <c r="E1360" s="1">
        <v>3314.2339999999999</v>
      </c>
    </row>
    <row r="1361" spans="3:5" x14ac:dyDescent="0.35">
      <c r="C1361" s="1" t="s">
        <v>9696</v>
      </c>
      <c r="D1361" s="1" t="s">
        <v>23</v>
      </c>
      <c r="E1361" s="1">
        <v>3314.2350000000001</v>
      </c>
    </row>
    <row r="1362" spans="3:5" x14ac:dyDescent="0.35">
      <c r="C1362" s="1" t="s">
        <v>9425</v>
      </c>
      <c r="D1362" s="1" t="s">
        <v>23</v>
      </c>
      <c r="E1362" s="1">
        <v>3314.2359999999999</v>
      </c>
    </row>
    <row r="1363" spans="3:5" x14ac:dyDescent="0.35">
      <c r="C1363" s="1" t="s">
        <v>9424</v>
      </c>
      <c r="D1363" s="1" t="s">
        <v>23</v>
      </c>
      <c r="E1363" s="1">
        <v>3314.2370000000001</v>
      </c>
    </row>
    <row r="1364" spans="3:5" x14ac:dyDescent="0.35">
      <c r="C1364" s="1" t="s">
        <v>9695</v>
      </c>
      <c r="D1364" s="1" t="s">
        <v>23</v>
      </c>
      <c r="E1364" s="1">
        <v>3314.2379999999998</v>
      </c>
    </row>
    <row r="1365" spans="3:5" x14ac:dyDescent="0.35">
      <c r="C1365" s="1" t="s">
        <v>9694</v>
      </c>
      <c r="D1365" s="1" t="s">
        <v>23</v>
      </c>
      <c r="E1365" s="1">
        <v>3314.239</v>
      </c>
    </row>
    <row r="1366" spans="3:5" x14ac:dyDescent="0.35">
      <c r="C1366" s="1" t="s">
        <v>9693</v>
      </c>
      <c r="D1366" s="1" t="s">
        <v>23</v>
      </c>
      <c r="E1366" s="1">
        <v>3314.24</v>
      </c>
    </row>
    <row r="1367" spans="3:5" x14ac:dyDescent="0.35">
      <c r="C1367" s="1" t="s">
        <v>9692</v>
      </c>
      <c r="D1367" s="1" t="s">
        <v>57</v>
      </c>
      <c r="E1367" s="1">
        <v>3314.25</v>
      </c>
    </row>
    <row r="1368" spans="3:5" x14ac:dyDescent="0.35">
      <c r="C1368" s="1" t="s">
        <v>9453</v>
      </c>
      <c r="D1368" s="1" t="s">
        <v>23</v>
      </c>
      <c r="E1368" s="1">
        <v>3314.2510000000002</v>
      </c>
    </row>
    <row r="1369" spans="3:5" x14ac:dyDescent="0.35">
      <c r="C1369" s="1" t="s">
        <v>9646</v>
      </c>
      <c r="D1369" s="1" t="s">
        <v>23</v>
      </c>
      <c r="E1369" s="1">
        <v>3314.252</v>
      </c>
    </row>
    <row r="1370" spans="3:5" x14ac:dyDescent="0.35">
      <c r="C1370" s="1" t="s">
        <v>9645</v>
      </c>
      <c r="D1370" s="1" t="s">
        <v>23</v>
      </c>
      <c r="E1370" s="1">
        <v>3314.2530000000002</v>
      </c>
    </row>
    <row r="1371" spans="3:5" x14ac:dyDescent="0.35">
      <c r="C1371" s="1" t="s">
        <v>9644</v>
      </c>
      <c r="D1371" s="1" t="s">
        <v>23</v>
      </c>
      <c r="E1371" s="1">
        <v>3314.2539999999999</v>
      </c>
    </row>
    <row r="1372" spans="3:5" x14ac:dyDescent="0.35">
      <c r="C1372" s="1" t="s">
        <v>9643</v>
      </c>
      <c r="D1372" s="1" t="s">
        <v>23</v>
      </c>
      <c r="E1372" s="1">
        <v>3314.2550000000001</v>
      </c>
    </row>
    <row r="1373" spans="3:5" x14ac:dyDescent="0.35">
      <c r="C1373" s="1" t="s">
        <v>9449</v>
      </c>
      <c r="D1373" s="1" t="s">
        <v>23</v>
      </c>
      <c r="E1373" s="1">
        <v>3314.2559999999999</v>
      </c>
    </row>
    <row r="1374" spans="3:5" x14ac:dyDescent="0.35">
      <c r="C1374" s="1" t="s">
        <v>9642</v>
      </c>
      <c r="D1374" s="1" t="s">
        <v>23</v>
      </c>
      <c r="E1374" s="1">
        <v>3314.2570000000001</v>
      </c>
    </row>
    <row r="1375" spans="3:5" x14ac:dyDescent="0.35">
      <c r="C1375" s="1" t="s">
        <v>9641</v>
      </c>
      <c r="D1375" s="1" t="s">
        <v>23</v>
      </c>
      <c r="E1375" s="1">
        <v>3314.2579999999998</v>
      </c>
    </row>
    <row r="1376" spans="3:5" x14ac:dyDescent="0.35">
      <c r="C1376" s="1" t="s">
        <v>9640</v>
      </c>
      <c r="D1376" s="1" t="s">
        <v>23</v>
      </c>
      <c r="E1376" s="1">
        <v>3314.259</v>
      </c>
    </row>
    <row r="1377" spans="3:5" x14ac:dyDescent="0.35">
      <c r="C1377" s="1" t="s">
        <v>9639</v>
      </c>
      <c r="D1377" s="1" t="s">
        <v>23</v>
      </c>
      <c r="E1377" s="1">
        <v>3314.26</v>
      </c>
    </row>
    <row r="1378" spans="3:5" x14ac:dyDescent="0.35">
      <c r="C1378" s="1" t="s">
        <v>9445</v>
      </c>
      <c r="D1378" s="1" t="s">
        <v>23</v>
      </c>
      <c r="E1378" s="1">
        <v>3314.261</v>
      </c>
    </row>
    <row r="1379" spans="3:5" x14ac:dyDescent="0.35">
      <c r="C1379" s="1" t="s">
        <v>9638</v>
      </c>
      <c r="D1379" s="1" t="s">
        <v>23</v>
      </c>
      <c r="E1379" s="1">
        <v>3314.2620000000002</v>
      </c>
    </row>
    <row r="1380" spans="3:5" x14ac:dyDescent="0.35">
      <c r="C1380" s="1" t="s">
        <v>9637</v>
      </c>
      <c r="D1380" s="1" t="s">
        <v>23</v>
      </c>
      <c r="E1380" s="1">
        <v>3314.2629999999999</v>
      </c>
    </row>
    <row r="1381" spans="3:5" x14ac:dyDescent="0.35">
      <c r="C1381" s="1" t="s">
        <v>9636</v>
      </c>
      <c r="D1381" s="1" t="s">
        <v>23</v>
      </c>
      <c r="E1381" s="1">
        <v>3314.2640000000001</v>
      </c>
    </row>
    <row r="1382" spans="3:5" x14ac:dyDescent="0.35">
      <c r="C1382" s="1" t="s">
        <v>9635</v>
      </c>
      <c r="D1382" s="1" t="s">
        <v>23</v>
      </c>
      <c r="E1382" s="1">
        <v>3314.2649999999999</v>
      </c>
    </row>
    <row r="1383" spans="3:5" x14ac:dyDescent="0.35">
      <c r="C1383" s="1" t="s">
        <v>9634</v>
      </c>
      <c r="D1383" s="1" t="s">
        <v>23</v>
      </c>
      <c r="E1383" s="1">
        <v>3314.2660000000001</v>
      </c>
    </row>
    <row r="1384" spans="3:5" x14ac:dyDescent="0.35">
      <c r="C1384" s="1" t="s">
        <v>9633</v>
      </c>
      <c r="D1384" s="1" t="s">
        <v>23</v>
      </c>
      <c r="E1384" s="1">
        <v>3314.2669999999998</v>
      </c>
    </row>
    <row r="1385" spans="3:5" x14ac:dyDescent="0.35">
      <c r="C1385" s="1" t="s">
        <v>9632</v>
      </c>
      <c r="D1385" s="1" t="s">
        <v>23</v>
      </c>
      <c r="E1385" s="1">
        <v>3314.268</v>
      </c>
    </row>
    <row r="1386" spans="3:5" x14ac:dyDescent="0.35">
      <c r="C1386" s="1" t="s">
        <v>9631</v>
      </c>
      <c r="D1386" s="1" t="s">
        <v>23</v>
      </c>
      <c r="E1386" s="1">
        <v>3314.2689999999998</v>
      </c>
    </row>
    <row r="1387" spans="3:5" x14ac:dyDescent="0.35">
      <c r="C1387" s="1" t="s">
        <v>9630</v>
      </c>
      <c r="D1387" s="1" t="s">
        <v>23</v>
      </c>
      <c r="E1387" s="1">
        <v>3314.27</v>
      </c>
    </row>
    <row r="1388" spans="3:5" x14ac:dyDescent="0.35">
      <c r="C1388" s="1" t="s">
        <v>9441</v>
      </c>
      <c r="D1388" s="1" t="s">
        <v>23</v>
      </c>
      <c r="E1388" s="1">
        <v>3314.2710000000002</v>
      </c>
    </row>
    <row r="1389" spans="3:5" x14ac:dyDescent="0.35">
      <c r="C1389" s="1" t="s">
        <v>9629</v>
      </c>
      <c r="D1389" s="1" t="s">
        <v>23</v>
      </c>
      <c r="E1389" s="1">
        <v>3314.2719999999999</v>
      </c>
    </row>
    <row r="1390" spans="3:5" x14ac:dyDescent="0.35">
      <c r="C1390" s="1" t="s">
        <v>9628</v>
      </c>
      <c r="D1390" s="1" t="s">
        <v>23</v>
      </c>
      <c r="E1390" s="1">
        <v>3314.2730000000001</v>
      </c>
    </row>
    <row r="1391" spans="3:5" x14ac:dyDescent="0.35">
      <c r="C1391" s="1" t="s">
        <v>9627</v>
      </c>
      <c r="D1391" s="1" t="s">
        <v>23</v>
      </c>
      <c r="E1391" s="1">
        <v>3314.2739999999999</v>
      </c>
    </row>
    <row r="1392" spans="3:5" x14ac:dyDescent="0.35">
      <c r="C1392" s="1" t="s">
        <v>9691</v>
      </c>
      <c r="D1392" s="1" t="s">
        <v>23</v>
      </c>
      <c r="E1392" s="1">
        <v>3314.2750000000001</v>
      </c>
    </row>
    <row r="1393" spans="3:5" x14ac:dyDescent="0.35">
      <c r="C1393" s="1" t="s">
        <v>9437</v>
      </c>
      <c r="D1393" s="1" t="s">
        <v>23</v>
      </c>
      <c r="E1393" s="1">
        <v>3314.2759999999998</v>
      </c>
    </row>
    <row r="1394" spans="3:5" x14ac:dyDescent="0.35">
      <c r="C1394" s="1" t="s">
        <v>9625</v>
      </c>
      <c r="D1394" s="1" t="s">
        <v>23</v>
      </c>
      <c r="E1394" s="1">
        <v>3314.277</v>
      </c>
    </row>
    <row r="1395" spans="3:5" x14ac:dyDescent="0.35">
      <c r="C1395" s="1" t="s">
        <v>9624</v>
      </c>
      <c r="D1395" s="1" t="s">
        <v>23</v>
      </c>
      <c r="E1395" s="1">
        <v>3314.2779999999998</v>
      </c>
    </row>
    <row r="1396" spans="3:5" x14ac:dyDescent="0.35">
      <c r="C1396" s="1" t="s">
        <v>9690</v>
      </c>
      <c r="D1396" s="1" t="s">
        <v>23</v>
      </c>
      <c r="E1396" s="1">
        <v>3314.279</v>
      </c>
    </row>
    <row r="1397" spans="3:5" x14ac:dyDescent="0.35">
      <c r="C1397" s="1" t="s">
        <v>9622</v>
      </c>
      <c r="D1397" s="1" t="s">
        <v>23</v>
      </c>
      <c r="E1397" s="1">
        <v>3314.28</v>
      </c>
    </row>
    <row r="1398" spans="3:5" x14ac:dyDescent="0.35">
      <c r="C1398" s="1" t="s">
        <v>9429</v>
      </c>
      <c r="D1398" s="1" t="s">
        <v>23</v>
      </c>
      <c r="E1398" s="1">
        <v>3314.2809999999999</v>
      </c>
    </row>
    <row r="1399" spans="3:5" x14ac:dyDescent="0.35">
      <c r="C1399" s="1" t="s">
        <v>9621</v>
      </c>
      <c r="D1399" s="1" t="s">
        <v>23</v>
      </c>
      <c r="E1399" s="1">
        <v>3314.2820000000002</v>
      </c>
    </row>
    <row r="1400" spans="3:5" x14ac:dyDescent="0.35">
      <c r="C1400" s="1" t="s">
        <v>9620</v>
      </c>
      <c r="D1400" s="1" t="s">
        <v>23</v>
      </c>
      <c r="E1400" s="1">
        <v>3314.2829999999999</v>
      </c>
    </row>
    <row r="1401" spans="3:5" x14ac:dyDescent="0.35">
      <c r="C1401" s="1" t="s">
        <v>9619</v>
      </c>
      <c r="D1401" s="1" t="s">
        <v>23</v>
      </c>
      <c r="E1401" s="1">
        <v>3314.2840000000001</v>
      </c>
    </row>
    <row r="1402" spans="3:5" x14ac:dyDescent="0.35">
      <c r="C1402" s="1" t="s">
        <v>9618</v>
      </c>
      <c r="D1402" s="1" t="s">
        <v>23</v>
      </c>
      <c r="E1402" s="1">
        <v>3314.2849999999999</v>
      </c>
    </row>
    <row r="1403" spans="3:5" x14ac:dyDescent="0.35">
      <c r="C1403" s="1" t="s">
        <v>9425</v>
      </c>
      <c r="D1403" s="1" t="s">
        <v>23</v>
      </c>
      <c r="E1403" s="1">
        <v>3314.2860000000001</v>
      </c>
    </row>
    <row r="1404" spans="3:5" x14ac:dyDescent="0.35">
      <c r="C1404" s="1" t="s">
        <v>9617</v>
      </c>
      <c r="D1404" s="1" t="s">
        <v>23</v>
      </c>
      <c r="E1404" s="1">
        <v>3314.2869999999998</v>
      </c>
    </row>
    <row r="1405" spans="3:5" x14ac:dyDescent="0.35">
      <c r="C1405" s="1" t="s">
        <v>9616</v>
      </c>
      <c r="D1405" s="1" t="s">
        <v>23</v>
      </c>
      <c r="E1405" s="1">
        <v>3314.288</v>
      </c>
    </row>
    <row r="1406" spans="3:5" x14ac:dyDescent="0.35">
      <c r="C1406" s="1" t="s">
        <v>9615</v>
      </c>
      <c r="D1406" s="1" t="s">
        <v>23</v>
      </c>
      <c r="E1406" s="1">
        <v>3314.2890000000002</v>
      </c>
    </row>
    <row r="1407" spans="3:5" x14ac:dyDescent="0.35">
      <c r="C1407" s="1" t="s">
        <v>9614</v>
      </c>
      <c r="D1407" s="1" t="s">
        <v>23</v>
      </c>
      <c r="E1407" s="1">
        <v>3314.29</v>
      </c>
    </row>
    <row r="1408" spans="3:5" x14ac:dyDescent="0.35">
      <c r="C1408" s="1" t="s">
        <v>9689</v>
      </c>
      <c r="D1408" s="1" t="s">
        <v>23</v>
      </c>
      <c r="E1408" s="1">
        <v>3314.2910000000002</v>
      </c>
    </row>
    <row r="1409" spans="3:5" x14ac:dyDescent="0.35">
      <c r="C1409" s="1" t="s">
        <v>9688</v>
      </c>
      <c r="D1409" s="1" t="s">
        <v>23</v>
      </c>
      <c r="E1409" s="1">
        <v>3314.2919999999999</v>
      </c>
    </row>
    <row r="1410" spans="3:5" x14ac:dyDescent="0.35">
      <c r="C1410" s="1" t="s">
        <v>9687</v>
      </c>
      <c r="D1410" s="1" t="s">
        <v>23</v>
      </c>
      <c r="E1410" s="1">
        <v>3314.2930000000001</v>
      </c>
    </row>
    <row r="1411" spans="3:5" x14ac:dyDescent="0.35">
      <c r="C1411" s="1" t="s">
        <v>9686</v>
      </c>
      <c r="D1411" s="1" t="s">
        <v>23</v>
      </c>
      <c r="E1411" s="1">
        <v>3314.2939999999999</v>
      </c>
    </row>
    <row r="1412" spans="3:5" x14ac:dyDescent="0.35">
      <c r="C1412" s="1" t="s">
        <v>9685</v>
      </c>
      <c r="D1412" s="1" t="s">
        <v>23</v>
      </c>
      <c r="E1412" s="1">
        <v>3314.2950000000001</v>
      </c>
    </row>
    <row r="1413" spans="3:5" x14ac:dyDescent="0.35">
      <c r="C1413" s="1" t="s">
        <v>9684</v>
      </c>
      <c r="D1413" s="1" t="s">
        <v>57</v>
      </c>
      <c r="E1413" s="1">
        <v>3314.3</v>
      </c>
    </row>
    <row r="1414" spans="3:5" x14ac:dyDescent="0.35">
      <c r="C1414" s="1" t="s">
        <v>9453</v>
      </c>
      <c r="D1414" s="1" t="s">
        <v>23</v>
      </c>
      <c r="E1414" s="1">
        <v>3314.3009999999999</v>
      </c>
    </row>
    <row r="1415" spans="3:5" x14ac:dyDescent="0.35">
      <c r="C1415" s="1" t="s">
        <v>9646</v>
      </c>
      <c r="D1415" s="1" t="s">
        <v>23</v>
      </c>
      <c r="E1415" s="1">
        <v>3314.3020000000001</v>
      </c>
    </row>
    <row r="1416" spans="3:5" x14ac:dyDescent="0.35">
      <c r="C1416" s="1" t="s">
        <v>9645</v>
      </c>
      <c r="D1416" s="1" t="s">
        <v>23</v>
      </c>
      <c r="E1416" s="1">
        <v>3314.3029999999999</v>
      </c>
    </row>
    <row r="1417" spans="3:5" x14ac:dyDescent="0.35">
      <c r="C1417" s="1" t="s">
        <v>9644</v>
      </c>
      <c r="D1417" s="1" t="s">
        <v>23</v>
      </c>
      <c r="E1417" s="1">
        <v>3314.3040000000001</v>
      </c>
    </row>
    <row r="1418" spans="3:5" x14ac:dyDescent="0.35">
      <c r="C1418" s="1" t="s">
        <v>9643</v>
      </c>
      <c r="D1418" s="1" t="s">
        <v>23</v>
      </c>
      <c r="E1418" s="1">
        <v>3314.3049999999998</v>
      </c>
    </row>
    <row r="1419" spans="3:5" x14ac:dyDescent="0.35">
      <c r="C1419" s="1" t="s">
        <v>9449</v>
      </c>
      <c r="D1419" s="1" t="s">
        <v>23</v>
      </c>
      <c r="E1419" s="1">
        <v>3314.306</v>
      </c>
    </row>
    <row r="1420" spans="3:5" x14ac:dyDescent="0.35">
      <c r="C1420" s="1" t="s">
        <v>9642</v>
      </c>
      <c r="D1420" s="1" t="s">
        <v>23</v>
      </c>
      <c r="E1420" s="1">
        <v>3314.3069999999998</v>
      </c>
    </row>
    <row r="1421" spans="3:5" x14ac:dyDescent="0.35">
      <c r="C1421" s="1" t="s">
        <v>9641</v>
      </c>
      <c r="D1421" s="1" t="s">
        <v>23</v>
      </c>
      <c r="E1421" s="1">
        <v>3314.308</v>
      </c>
    </row>
    <row r="1422" spans="3:5" x14ac:dyDescent="0.35">
      <c r="C1422" s="1" t="s">
        <v>9640</v>
      </c>
      <c r="D1422" s="1" t="s">
        <v>23</v>
      </c>
      <c r="E1422" s="1">
        <v>3314.3090000000002</v>
      </c>
    </row>
    <row r="1423" spans="3:5" x14ac:dyDescent="0.35">
      <c r="C1423" s="1" t="s">
        <v>9639</v>
      </c>
      <c r="D1423" s="1" t="s">
        <v>23</v>
      </c>
      <c r="E1423" s="1">
        <v>3314.31</v>
      </c>
    </row>
    <row r="1424" spans="3:5" x14ac:dyDescent="0.35">
      <c r="C1424" s="1" t="s">
        <v>9445</v>
      </c>
      <c r="D1424" s="1" t="s">
        <v>23</v>
      </c>
      <c r="E1424" s="1">
        <v>3314.3110000000001</v>
      </c>
    </row>
    <row r="1425" spans="3:5" x14ac:dyDescent="0.35">
      <c r="C1425" s="1" t="s">
        <v>9638</v>
      </c>
      <c r="D1425" s="1" t="s">
        <v>23</v>
      </c>
      <c r="E1425" s="1">
        <v>3314.3119999999999</v>
      </c>
    </row>
    <row r="1426" spans="3:5" x14ac:dyDescent="0.35">
      <c r="C1426" s="1" t="s">
        <v>9637</v>
      </c>
      <c r="D1426" s="1" t="s">
        <v>23</v>
      </c>
      <c r="E1426" s="1">
        <v>3314.3130000000001</v>
      </c>
    </row>
    <row r="1427" spans="3:5" x14ac:dyDescent="0.35">
      <c r="C1427" s="1" t="s">
        <v>9636</v>
      </c>
      <c r="D1427" s="1" t="s">
        <v>23</v>
      </c>
      <c r="E1427" s="1">
        <v>3314.3139999999999</v>
      </c>
    </row>
    <row r="1428" spans="3:5" x14ac:dyDescent="0.35">
      <c r="C1428" s="1" t="s">
        <v>9635</v>
      </c>
      <c r="D1428" s="1" t="s">
        <v>23</v>
      </c>
      <c r="E1428" s="1">
        <v>3314.3150000000001</v>
      </c>
    </row>
    <row r="1429" spans="3:5" x14ac:dyDescent="0.35">
      <c r="C1429" s="1" t="s">
        <v>9634</v>
      </c>
      <c r="D1429" s="1" t="s">
        <v>23</v>
      </c>
      <c r="E1429" s="1">
        <v>3314.3159999999998</v>
      </c>
    </row>
    <row r="1430" spans="3:5" x14ac:dyDescent="0.35">
      <c r="C1430" s="1" t="s">
        <v>9633</v>
      </c>
      <c r="D1430" s="1" t="s">
        <v>23</v>
      </c>
      <c r="E1430" s="1">
        <v>3314.317</v>
      </c>
    </row>
    <row r="1431" spans="3:5" x14ac:dyDescent="0.35">
      <c r="C1431" s="1" t="s">
        <v>9632</v>
      </c>
      <c r="D1431" s="1" t="s">
        <v>23</v>
      </c>
      <c r="E1431" s="1">
        <v>3314.3180000000002</v>
      </c>
    </row>
    <row r="1432" spans="3:5" x14ac:dyDescent="0.35">
      <c r="C1432" s="1" t="s">
        <v>9631</v>
      </c>
      <c r="D1432" s="1" t="s">
        <v>23</v>
      </c>
      <c r="E1432" s="1">
        <v>3314.319</v>
      </c>
    </row>
    <row r="1433" spans="3:5" x14ac:dyDescent="0.35">
      <c r="C1433" s="1" t="s">
        <v>9630</v>
      </c>
      <c r="D1433" s="1" t="s">
        <v>23</v>
      </c>
      <c r="E1433" s="1">
        <v>3314.32</v>
      </c>
    </row>
    <row r="1434" spans="3:5" x14ac:dyDescent="0.35">
      <c r="C1434" s="1" t="s">
        <v>9441</v>
      </c>
      <c r="D1434" s="1" t="s">
        <v>23</v>
      </c>
      <c r="E1434" s="1">
        <v>3314.3209999999999</v>
      </c>
    </row>
    <row r="1435" spans="3:5" x14ac:dyDescent="0.35">
      <c r="C1435" s="1" t="s">
        <v>9629</v>
      </c>
      <c r="D1435" s="1" t="s">
        <v>23</v>
      </c>
      <c r="E1435" s="1">
        <v>3314.3220000000001</v>
      </c>
    </row>
    <row r="1436" spans="3:5" x14ac:dyDescent="0.35">
      <c r="C1436" s="1" t="s">
        <v>9628</v>
      </c>
      <c r="D1436" s="1" t="s">
        <v>23</v>
      </c>
      <c r="E1436" s="1">
        <v>3314.3229999999999</v>
      </c>
    </row>
    <row r="1437" spans="3:5" x14ac:dyDescent="0.35">
      <c r="C1437" s="1" t="s">
        <v>9627</v>
      </c>
      <c r="D1437" s="1" t="s">
        <v>23</v>
      </c>
      <c r="E1437" s="1">
        <v>3314.3240000000001</v>
      </c>
    </row>
    <row r="1438" spans="3:5" x14ac:dyDescent="0.35">
      <c r="C1438" s="1" t="s">
        <v>9626</v>
      </c>
      <c r="D1438" s="1" t="s">
        <v>23</v>
      </c>
      <c r="E1438" s="1">
        <v>3314.3249999999998</v>
      </c>
    </row>
    <row r="1439" spans="3:5" x14ac:dyDescent="0.35">
      <c r="C1439" s="1" t="s">
        <v>9437</v>
      </c>
      <c r="D1439" s="1" t="s">
        <v>23</v>
      </c>
      <c r="E1439" s="1">
        <v>3314.326</v>
      </c>
    </row>
    <row r="1440" spans="3:5" x14ac:dyDescent="0.35">
      <c r="C1440" s="1" t="s">
        <v>9625</v>
      </c>
      <c r="D1440" s="1" t="s">
        <v>23</v>
      </c>
      <c r="E1440" s="1">
        <v>3314.3270000000002</v>
      </c>
    </row>
    <row r="1441" spans="3:5" x14ac:dyDescent="0.35">
      <c r="C1441" s="1" t="s">
        <v>9624</v>
      </c>
      <c r="D1441" s="1" t="s">
        <v>23</v>
      </c>
      <c r="E1441" s="1">
        <v>3314.328</v>
      </c>
    </row>
    <row r="1442" spans="3:5" x14ac:dyDescent="0.35">
      <c r="C1442" s="1" t="s">
        <v>9623</v>
      </c>
      <c r="D1442" s="1" t="s">
        <v>23</v>
      </c>
      <c r="E1442" s="1">
        <v>3314.3290000000002</v>
      </c>
    </row>
    <row r="1443" spans="3:5" x14ac:dyDescent="0.35">
      <c r="C1443" s="1" t="s">
        <v>9622</v>
      </c>
      <c r="D1443" s="1" t="s">
        <v>23</v>
      </c>
      <c r="E1443" s="1">
        <v>3314.33</v>
      </c>
    </row>
    <row r="1444" spans="3:5" x14ac:dyDescent="0.35">
      <c r="C1444" s="1" t="s">
        <v>9429</v>
      </c>
      <c r="D1444" s="1" t="s">
        <v>23</v>
      </c>
      <c r="E1444" s="1">
        <v>3314.3310000000001</v>
      </c>
    </row>
    <row r="1445" spans="3:5" x14ac:dyDescent="0.35">
      <c r="C1445" s="1" t="s">
        <v>9621</v>
      </c>
      <c r="D1445" s="1" t="s">
        <v>23</v>
      </c>
      <c r="E1445" s="1">
        <v>3314.3319999999999</v>
      </c>
    </row>
    <row r="1446" spans="3:5" x14ac:dyDescent="0.35">
      <c r="C1446" s="1" t="s">
        <v>9620</v>
      </c>
      <c r="D1446" s="1" t="s">
        <v>23</v>
      </c>
      <c r="E1446" s="1">
        <v>3314.3330000000001</v>
      </c>
    </row>
    <row r="1447" spans="3:5" x14ac:dyDescent="0.35">
      <c r="C1447" s="1" t="s">
        <v>9619</v>
      </c>
      <c r="D1447" s="1" t="s">
        <v>23</v>
      </c>
      <c r="E1447" s="1">
        <v>3314.3339999999998</v>
      </c>
    </row>
    <row r="1448" spans="3:5" x14ac:dyDescent="0.35">
      <c r="C1448" s="1" t="s">
        <v>9618</v>
      </c>
      <c r="D1448" s="1" t="s">
        <v>23</v>
      </c>
      <c r="E1448" s="1">
        <v>3314.335</v>
      </c>
    </row>
    <row r="1449" spans="3:5" x14ac:dyDescent="0.35">
      <c r="C1449" s="1" t="s">
        <v>9425</v>
      </c>
      <c r="D1449" s="1" t="s">
        <v>23</v>
      </c>
      <c r="E1449" s="1">
        <v>3314.3359999999998</v>
      </c>
    </row>
    <row r="1450" spans="3:5" x14ac:dyDescent="0.35">
      <c r="C1450" s="1" t="s">
        <v>9617</v>
      </c>
      <c r="D1450" s="1" t="s">
        <v>23</v>
      </c>
      <c r="E1450" s="1">
        <v>3314.337</v>
      </c>
    </row>
    <row r="1451" spans="3:5" x14ac:dyDescent="0.35">
      <c r="C1451" s="1" t="s">
        <v>9616</v>
      </c>
      <c r="D1451" s="1" t="s">
        <v>23</v>
      </c>
      <c r="E1451" s="1">
        <v>3314.3380000000002</v>
      </c>
    </row>
    <row r="1452" spans="3:5" x14ac:dyDescent="0.35">
      <c r="C1452" s="1" t="s">
        <v>9615</v>
      </c>
      <c r="D1452" s="1" t="s">
        <v>23</v>
      </c>
      <c r="E1452" s="1">
        <v>3314.3389999999999</v>
      </c>
    </row>
    <row r="1453" spans="3:5" x14ac:dyDescent="0.35">
      <c r="C1453" s="1" t="s">
        <v>9614</v>
      </c>
      <c r="D1453" s="1" t="s">
        <v>23</v>
      </c>
      <c r="E1453" s="1">
        <v>3314.34</v>
      </c>
    </row>
    <row r="1454" spans="3:5" x14ac:dyDescent="0.35">
      <c r="C1454" s="1" t="s">
        <v>9683</v>
      </c>
      <c r="D1454" s="1" t="s">
        <v>57</v>
      </c>
      <c r="E1454" s="1">
        <v>3314.35</v>
      </c>
    </row>
    <row r="1455" spans="3:5" x14ac:dyDescent="0.35">
      <c r="C1455" s="1" t="s">
        <v>9453</v>
      </c>
      <c r="D1455" s="1" t="s">
        <v>23</v>
      </c>
      <c r="E1455" s="1">
        <v>3314.3510000000001</v>
      </c>
    </row>
    <row r="1456" spans="3:5" x14ac:dyDescent="0.35">
      <c r="C1456" s="1" t="s">
        <v>9646</v>
      </c>
      <c r="D1456" s="1" t="s">
        <v>23</v>
      </c>
      <c r="E1456" s="1">
        <v>3314.3519999999999</v>
      </c>
    </row>
    <row r="1457" spans="3:5" x14ac:dyDescent="0.35">
      <c r="C1457" s="1" t="s">
        <v>9645</v>
      </c>
      <c r="D1457" s="1" t="s">
        <v>23</v>
      </c>
      <c r="E1457" s="1">
        <v>3314.3530000000001</v>
      </c>
    </row>
    <row r="1458" spans="3:5" x14ac:dyDescent="0.35">
      <c r="C1458" s="1" t="s">
        <v>9644</v>
      </c>
      <c r="D1458" s="1" t="s">
        <v>23</v>
      </c>
      <c r="E1458" s="1">
        <v>3314.3539999999998</v>
      </c>
    </row>
    <row r="1459" spans="3:5" x14ac:dyDescent="0.35">
      <c r="C1459" s="1" t="s">
        <v>9643</v>
      </c>
      <c r="D1459" s="1" t="s">
        <v>23</v>
      </c>
      <c r="E1459" s="1">
        <v>3314.355</v>
      </c>
    </row>
    <row r="1460" spans="3:5" x14ac:dyDescent="0.35">
      <c r="C1460" s="1" t="s">
        <v>9449</v>
      </c>
      <c r="D1460" s="1" t="s">
        <v>23</v>
      </c>
      <c r="E1460" s="1">
        <v>3314.3560000000002</v>
      </c>
    </row>
    <row r="1461" spans="3:5" x14ac:dyDescent="0.35">
      <c r="C1461" s="1" t="s">
        <v>9642</v>
      </c>
      <c r="D1461" s="1" t="s">
        <v>23</v>
      </c>
      <c r="E1461" s="1">
        <v>3314.357</v>
      </c>
    </row>
    <row r="1462" spans="3:5" x14ac:dyDescent="0.35">
      <c r="C1462" s="1" t="s">
        <v>9641</v>
      </c>
      <c r="D1462" s="1" t="s">
        <v>23</v>
      </c>
      <c r="E1462" s="1">
        <v>3314.3580000000002</v>
      </c>
    </row>
    <row r="1463" spans="3:5" x14ac:dyDescent="0.35">
      <c r="C1463" s="1" t="s">
        <v>9640</v>
      </c>
      <c r="D1463" s="1" t="s">
        <v>23</v>
      </c>
      <c r="E1463" s="1">
        <v>3314.3589999999999</v>
      </c>
    </row>
    <row r="1464" spans="3:5" x14ac:dyDescent="0.35">
      <c r="C1464" s="1" t="s">
        <v>9639</v>
      </c>
      <c r="D1464" s="1" t="s">
        <v>23</v>
      </c>
      <c r="E1464" s="1">
        <v>3314.36</v>
      </c>
    </row>
    <row r="1465" spans="3:5" x14ac:dyDescent="0.35">
      <c r="C1465" s="1" t="s">
        <v>9445</v>
      </c>
      <c r="D1465" s="1" t="s">
        <v>23</v>
      </c>
      <c r="E1465" s="1">
        <v>3314.3609999999999</v>
      </c>
    </row>
    <row r="1466" spans="3:5" x14ac:dyDescent="0.35">
      <c r="C1466" s="1" t="s">
        <v>9638</v>
      </c>
      <c r="D1466" s="1" t="s">
        <v>23</v>
      </c>
      <c r="E1466" s="1">
        <v>3314.3620000000001</v>
      </c>
    </row>
    <row r="1467" spans="3:5" x14ac:dyDescent="0.35">
      <c r="C1467" s="1" t="s">
        <v>9637</v>
      </c>
      <c r="D1467" s="1" t="s">
        <v>23</v>
      </c>
      <c r="E1467" s="1">
        <v>3314.3629999999998</v>
      </c>
    </row>
    <row r="1468" spans="3:5" x14ac:dyDescent="0.35">
      <c r="C1468" s="1" t="s">
        <v>9636</v>
      </c>
      <c r="D1468" s="1" t="s">
        <v>23</v>
      </c>
      <c r="E1468" s="1">
        <v>3314.364</v>
      </c>
    </row>
    <row r="1469" spans="3:5" x14ac:dyDescent="0.35">
      <c r="C1469" s="1" t="s">
        <v>9635</v>
      </c>
      <c r="D1469" s="1" t="s">
        <v>23</v>
      </c>
      <c r="E1469" s="1">
        <v>3314.3649999999998</v>
      </c>
    </row>
    <row r="1470" spans="3:5" x14ac:dyDescent="0.35">
      <c r="C1470" s="1" t="s">
        <v>9634</v>
      </c>
      <c r="D1470" s="1" t="s">
        <v>23</v>
      </c>
      <c r="E1470" s="1">
        <v>3314.366</v>
      </c>
    </row>
    <row r="1471" spans="3:5" x14ac:dyDescent="0.35">
      <c r="C1471" s="1" t="s">
        <v>9633</v>
      </c>
      <c r="D1471" s="1" t="s">
        <v>23</v>
      </c>
      <c r="E1471" s="1">
        <v>3314.3670000000002</v>
      </c>
    </row>
    <row r="1472" spans="3:5" x14ac:dyDescent="0.35">
      <c r="C1472" s="1" t="s">
        <v>9632</v>
      </c>
      <c r="D1472" s="1" t="s">
        <v>23</v>
      </c>
      <c r="E1472" s="1">
        <v>3314.3679999999999</v>
      </c>
    </row>
    <row r="1473" spans="3:5" x14ac:dyDescent="0.35">
      <c r="C1473" s="1" t="s">
        <v>9631</v>
      </c>
      <c r="D1473" s="1" t="s">
        <v>23</v>
      </c>
      <c r="E1473" s="1">
        <v>3314.3690000000001</v>
      </c>
    </row>
    <row r="1474" spans="3:5" x14ac:dyDescent="0.35">
      <c r="C1474" s="1" t="s">
        <v>9630</v>
      </c>
      <c r="D1474" s="1" t="s">
        <v>23</v>
      </c>
      <c r="E1474" s="1">
        <v>3314.37</v>
      </c>
    </row>
    <row r="1475" spans="3:5" x14ac:dyDescent="0.35">
      <c r="C1475" s="1" t="s">
        <v>9441</v>
      </c>
      <c r="D1475" s="1" t="s">
        <v>23</v>
      </c>
      <c r="E1475" s="1">
        <v>3314.3710000000001</v>
      </c>
    </row>
    <row r="1476" spans="3:5" x14ac:dyDescent="0.35">
      <c r="C1476" s="1" t="s">
        <v>9629</v>
      </c>
      <c r="D1476" s="1" t="s">
        <v>23</v>
      </c>
      <c r="E1476" s="1">
        <v>3314.3719999999998</v>
      </c>
    </row>
    <row r="1477" spans="3:5" x14ac:dyDescent="0.35">
      <c r="C1477" s="1" t="s">
        <v>9628</v>
      </c>
      <c r="D1477" s="1" t="s">
        <v>23</v>
      </c>
      <c r="E1477" s="1">
        <v>3314.373</v>
      </c>
    </row>
    <row r="1478" spans="3:5" x14ac:dyDescent="0.35">
      <c r="C1478" s="1" t="s">
        <v>9627</v>
      </c>
      <c r="D1478" s="1" t="s">
        <v>23</v>
      </c>
      <c r="E1478" s="1">
        <v>3314.3739999999998</v>
      </c>
    </row>
    <row r="1479" spans="3:5" x14ac:dyDescent="0.35">
      <c r="C1479" s="1" t="s">
        <v>9626</v>
      </c>
      <c r="D1479" s="1" t="s">
        <v>23</v>
      </c>
      <c r="E1479" s="1">
        <v>3314.375</v>
      </c>
    </row>
    <row r="1480" spans="3:5" x14ac:dyDescent="0.35">
      <c r="C1480" s="1" t="s">
        <v>9437</v>
      </c>
      <c r="D1480" s="1" t="s">
        <v>23</v>
      </c>
      <c r="E1480" s="1">
        <v>3314.3760000000002</v>
      </c>
    </row>
    <row r="1481" spans="3:5" x14ac:dyDescent="0.35">
      <c r="C1481" s="1" t="s">
        <v>9625</v>
      </c>
      <c r="D1481" s="1" t="s">
        <v>23</v>
      </c>
      <c r="E1481" s="1">
        <v>3314.377</v>
      </c>
    </row>
    <row r="1482" spans="3:5" x14ac:dyDescent="0.35">
      <c r="C1482" s="1" t="s">
        <v>9624</v>
      </c>
      <c r="D1482" s="1" t="s">
        <v>23</v>
      </c>
      <c r="E1482" s="1">
        <v>3314.3780000000002</v>
      </c>
    </row>
    <row r="1483" spans="3:5" x14ac:dyDescent="0.35">
      <c r="C1483" s="1" t="s">
        <v>9623</v>
      </c>
      <c r="D1483" s="1" t="s">
        <v>23</v>
      </c>
      <c r="E1483" s="1">
        <v>3314.3789999999999</v>
      </c>
    </row>
    <row r="1484" spans="3:5" x14ac:dyDescent="0.35">
      <c r="C1484" s="1" t="s">
        <v>9622</v>
      </c>
      <c r="D1484" s="1" t="s">
        <v>23</v>
      </c>
      <c r="E1484" s="1">
        <v>3314.38</v>
      </c>
    </row>
    <row r="1485" spans="3:5" x14ac:dyDescent="0.35">
      <c r="C1485" s="1" t="s">
        <v>9429</v>
      </c>
      <c r="D1485" s="1" t="s">
        <v>23</v>
      </c>
      <c r="E1485" s="1">
        <v>3314.3809999999999</v>
      </c>
    </row>
    <row r="1486" spans="3:5" x14ac:dyDescent="0.35">
      <c r="C1486" s="1" t="s">
        <v>9621</v>
      </c>
      <c r="D1486" s="1" t="s">
        <v>23</v>
      </c>
      <c r="E1486" s="1">
        <v>3314.3820000000001</v>
      </c>
    </row>
    <row r="1487" spans="3:5" x14ac:dyDescent="0.35">
      <c r="C1487" s="1" t="s">
        <v>9620</v>
      </c>
      <c r="D1487" s="1" t="s">
        <v>23</v>
      </c>
      <c r="E1487" s="1">
        <v>3314.3829999999998</v>
      </c>
    </row>
    <row r="1488" spans="3:5" x14ac:dyDescent="0.35">
      <c r="C1488" s="1" t="s">
        <v>9619</v>
      </c>
      <c r="D1488" s="1" t="s">
        <v>23</v>
      </c>
      <c r="E1488" s="1">
        <v>3314.384</v>
      </c>
    </row>
    <row r="1489" spans="3:5" x14ac:dyDescent="0.35">
      <c r="C1489" s="1" t="s">
        <v>9618</v>
      </c>
      <c r="D1489" s="1" t="s">
        <v>23</v>
      </c>
      <c r="E1489" s="1">
        <v>3314.3850000000002</v>
      </c>
    </row>
    <row r="1490" spans="3:5" x14ac:dyDescent="0.35">
      <c r="C1490" s="1" t="s">
        <v>9425</v>
      </c>
      <c r="D1490" s="1" t="s">
        <v>23</v>
      </c>
      <c r="E1490" s="1">
        <v>3314.386</v>
      </c>
    </row>
    <row r="1491" spans="3:5" x14ac:dyDescent="0.35">
      <c r="C1491" s="1" t="s">
        <v>9617</v>
      </c>
      <c r="D1491" s="1" t="s">
        <v>23</v>
      </c>
      <c r="E1491" s="1">
        <v>3314.3870000000002</v>
      </c>
    </row>
    <row r="1492" spans="3:5" x14ac:dyDescent="0.35">
      <c r="C1492" s="1" t="s">
        <v>9616</v>
      </c>
      <c r="D1492" s="1" t="s">
        <v>23</v>
      </c>
      <c r="E1492" s="1">
        <v>3314.3879999999999</v>
      </c>
    </row>
    <row r="1493" spans="3:5" x14ac:dyDescent="0.35">
      <c r="C1493" s="1" t="s">
        <v>9615</v>
      </c>
      <c r="D1493" s="1" t="s">
        <v>23</v>
      </c>
      <c r="E1493" s="1">
        <v>3314.3890000000001</v>
      </c>
    </row>
    <row r="1494" spans="3:5" x14ac:dyDescent="0.35">
      <c r="C1494" s="1" t="s">
        <v>9614</v>
      </c>
      <c r="D1494" s="1" t="s">
        <v>23</v>
      </c>
      <c r="E1494" s="1">
        <v>3314.39</v>
      </c>
    </row>
    <row r="1495" spans="3:5" x14ac:dyDescent="0.35">
      <c r="C1495" s="1" t="s">
        <v>9682</v>
      </c>
      <c r="D1495" s="1" t="s">
        <v>57</v>
      </c>
      <c r="E1495" s="1">
        <v>3314.4</v>
      </c>
    </row>
    <row r="1496" spans="3:5" x14ac:dyDescent="0.35">
      <c r="C1496" s="1" t="s">
        <v>9453</v>
      </c>
      <c r="D1496" s="1" t="s">
        <v>23</v>
      </c>
      <c r="E1496" s="1">
        <v>3314.4009999999998</v>
      </c>
    </row>
    <row r="1497" spans="3:5" x14ac:dyDescent="0.35">
      <c r="C1497" s="1" t="s">
        <v>9681</v>
      </c>
      <c r="D1497" s="1" t="s">
        <v>23</v>
      </c>
      <c r="E1497" s="1">
        <v>3314.402</v>
      </c>
    </row>
    <row r="1498" spans="3:5" x14ac:dyDescent="0.35">
      <c r="C1498" s="1" t="s">
        <v>9680</v>
      </c>
      <c r="D1498" s="1" t="s">
        <v>23</v>
      </c>
      <c r="E1498" s="1">
        <v>3314.4029999999998</v>
      </c>
    </row>
    <row r="1499" spans="3:5" x14ac:dyDescent="0.35">
      <c r="C1499" s="1" t="s">
        <v>9679</v>
      </c>
      <c r="D1499" s="1" t="s">
        <v>23</v>
      </c>
      <c r="E1499" s="1">
        <v>3314.404</v>
      </c>
    </row>
    <row r="1500" spans="3:5" x14ac:dyDescent="0.35">
      <c r="C1500" s="1" t="s">
        <v>9678</v>
      </c>
      <c r="D1500" s="1" t="s">
        <v>23</v>
      </c>
      <c r="E1500" s="1">
        <v>3314.4050000000002</v>
      </c>
    </row>
    <row r="1501" spans="3:5" x14ac:dyDescent="0.35">
      <c r="C1501" s="1" t="s">
        <v>9449</v>
      </c>
      <c r="D1501" s="1" t="s">
        <v>23</v>
      </c>
      <c r="E1501" s="1">
        <v>3314.4059999999999</v>
      </c>
    </row>
    <row r="1502" spans="3:5" x14ac:dyDescent="0.35">
      <c r="C1502" s="1" t="s">
        <v>9677</v>
      </c>
      <c r="D1502" s="1" t="s">
        <v>23</v>
      </c>
      <c r="E1502" s="1">
        <v>3314.4070000000002</v>
      </c>
    </row>
    <row r="1503" spans="3:5" x14ac:dyDescent="0.35">
      <c r="C1503" s="1" t="s">
        <v>9676</v>
      </c>
      <c r="D1503" s="1" t="s">
        <v>23</v>
      </c>
      <c r="E1503" s="1">
        <v>3314.4079999999999</v>
      </c>
    </row>
    <row r="1504" spans="3:5" x14ac:dyDescent="0.35">
      <c r="C1504" s="1" t="s">
        <v>9675</v>
      </c>
      <c r="D1504" s="1" t="s">
        <v>23</v>
      </c>
      <c r="E1504" s="1">
        <v>3314.4090000000001</v>
      </c>
    </row>
    <row r="1505" spans="3:5" x14ac:dyDescent="0.35">
      <c r="C1505" s="1" t="s">
        <v>9674</v>
      </c>
      <c r="D1505" s="1" t="s">
        <v>23</v>
      </c>
      <c r="E1505" s="1">
        <v>3314.41</v>
      </c>
    </row>
    <row r="1506" spans="3:5" x14ac:dyDescent="0.35">
      <c r="C1506" s="1" t="s">
        <v>9445</v>
      </c>
      <c r="D1506" s="1" t="s">
        <v>23</v>
      </c>
      <c r="E1506" s="1">
        <v>3314.4110000000001</v>
      </c>
    </row>
    <row r="1507" spans="3:5" x14ac:dyDescent="0.35">
      <c r="C1507" s="1" t="s">
        <v>9673</v>
      </c>
      <c r="D1507" s="1" t="s">
        <v>23</v>
      </c>
      <c r="E1507" s="1">
        <v>3314.4119999999998</v>
      </c>
    </row>
    <row r="1508" spans="3:5" x14ac:dyDescent="0.35">
      <c r="C1508" s="1" t="s">
        <v>9672</v>
      </c>
      <c r="D1508" s="1" t="s">
        <v>23</v>
      </c>
      <c r="E1508" s="1">
        <v>3314.413</v>
      </c>
    </row>
    <row r="1509" spans="3:5" x14ac:dyDescent="0.35">
      <c r="C1509" s="1" t="s">
        <v>9671</v>
      </c>
      <c r="D1509" s="1" t="s">
        <v>23</v>
      </c>
      <c r="E1509" s="1">
        <v>3314.4140000000002</v>
      </c>
    </row>
    <row r="1510" spans="3:5" x14ac:dyDescent="0.35">
      <c r="C1510" s="1" t="s">
        <v>9670</v>
      </c>
      <c r="D1510" s="1" t="s">
        <v>23</v>
      </c>
      <c r="E1510" s="1">
        <v>3314.415</v>
      </c>
    </row>
    <row r="1511" spans="3:5" x14ac:dyDescent="0.35">
      <c r="C1511" s="1" t="s">
        <v>9634</v>
      </c>
      <c r="D1511" s="1" t="s">
        <v>23</v>
      </c>
      <c r="E1511" s="1">
        <v>3314.4160000000002</v>
      </c>
    </row>
    <row r="1512" spans="3:5" x14ac:dyDescent="0.35">
      <c r="C1512" s="1" t="s">
        <v>9669</v>
      </c>
      <c r="D1512" s="1" t="s">
        <v>23</v>
      </c>
      <c r="E1512" s="1">
        <v>3314.4169999999999</v>
      </c>
    </row>
    <row r="1513" spans="3:5" x14ac:dyDescent="0.35">
      <c r="C1513" s="1" t="s">
        <v>9668</v>
      </c>
      <c r="D1513" s="1" t="s">
        <v>23</v>
      </c>
      <c r="E1513" s="1">
        <v>3314.4180000000001</v>
      </c>
    </row>
    <row r="1514" spans="3:5" x14ac:dyDescent="0.35">
      <c r="C1514" s="1" t="s">
        <v>9667</v>
      </c>
      <c r="D1514" s="1" t="s">
        <v>23</v>
      </c>
      <c r="E1514" s="1">
        <v>3314.4189999999999</v>
      </c>
    </row>
    <row r="1515" spans="3:5" x14ac:dyDescent="0.35">
      <c r="C1515" s="1" t="s">
        <v>9666</v>
      </c>
      <c r="D1515" s="1" t="s">
        <v>23</v>
      </c>
      <c r="E1515" s="1">
        <v>3314.42</v>
      </c>
    </row>
    <row r="1516" spans="3:5" x14ac:dyDescent="0.35">
      <c r="C1516" s="1" t="s">
        <v>9441</v>
      </c>
      <c r="D1516" s="1" t="s">
        <v>23</v>
      </c>
      <c r="E1516" s="1">
        <v>3314.4209999999998</v>
      </c>
    </row>
    <row r="1517" spans="3:5" x14ac:dyDescent="0.35">
      <c r="C1517" s="1" t="s">
        <v>9665</v>
      </c>
      <c r="D1517" s="1" t="s">
        <v>23</v>
      </c>
      <c r="E1517" s="1">
        <v>3314.422</v>
      </c>
    </row>
    <row r="1518" spans="3:5" x14ac:dyDescent="0.35">
      <c r="C1518" s="1" t="s">
        <v>9664</v>
      </c>
      <c r="D1518" s="1" t="s">
        <v>23</v>
      </c>
      <c r="E1518" s="1">
        <v>3314.4229999999998</v>
      </c>
    </row>
    <row r="1519" spans="3:5" x14ac:dyDescent="0.35">
      <c r="C1519" s="1" t="s">
        <v>9663</v>
      </c>
      <c r="D1519" s="1" t="s">
        <v>23</v>
      </c>
      <c r="E1519" s="1">
        <v>3314.424</v>
      </c>
    </row>
    <row r="1520" spans="3:5" x14ac:dyDescent="0.35">
      <c r="C1520" s="1" t="s">
        <v>9662</v>
      </c>
      <c r="D1520" s="1" t="s">
        <v>23</v>
      </c>
      <c r="E1520" s="1">
        <v>3314.4250000000002</v>
      </c>
    </row>
    <row r="1521" spans="3:5" x14ac:dyDescent="0.35">
      <c r="C1521" s="1" t="s">
        <v>9437</v>
      </c>
      <c r="D1521" s="1" t="s">
        <v>23</v>
      </c>
      <c r="E1521" s="1">
        <v>3314.4259999999999</v>
      </c>
    </row>
    <row r="1522" spans="3:5" x14ac:dyDescent="0.35">
      <c r="C1522" s="1" t="s">
        <v>9661</v>
      </c>
      <c r="D1522" s="1" t="s">
        <v>23</v>
      </c>
      <c r="E1522" s="1">
        <v>3314.4270000000001</v>
      </c>
    </row>
    <row r="1523" spans="3:5" x14ac:dyDescent="0.35">
      <c r="C1523" s="1" t="s">
        <v>9660</v>
      </c>
      <c r="D1523" s="1" t="s">
        <v>23</v>
      </c>
      <c r="E1523" s="1">
        <v>3314.4279999999999</v>
      </c>
    </row>
    <row r="1524" spans="3:5" x14ac:dyDescent="0.35">
      <c r="C1524" s="1" t="s">
        <v>9659</v>
      </c>
      <c r="D1524" s="1" t="s">
        <v>23</v>
      </c>
      <c r="E1524" s="1">
        <v>3314.4290000000001</v>
      </c>
    </row>
    <row r="1525" spans="3:5" x14ac:dyDescent="0.35">
      <c r="C1525" s="1" t="s">
        <v>9658</v>
      </c>
      <c r="D1525" s="1" t="s">
        <v>23</v>
      </c>
      <c r="E1525" s="1">
        <v>3314.43</v>
      </c>
    </row>
    <row r="1526" spans="3:5" x14ac:dyDescent="0.35">
      <c r="C1526" s="1" t="s">
        <v>9429</v>
      </c>
      <c r="D1526" s="1" t="s">
        <v>23</v>
      </c>
      <c r="E1526" s="1">
        <v>3314.431</v>
      </c>
    </row>
    <row r="1527" spans="3:5" x14ac:dyDescent="0.35">
      <c r="C1527" s="1" t="s">
        <v>9657</v>
      </c>
      <c r="D1527" s="1" t="s">
        <v>23</v>
      </c>
      <c r="E1527" s="1">
        <v>3314.4319999999998</v>
      </c>
    </row>
    <row r="1528" spans="3:5" x14ac:dyDescent="0.35">
      <c r="C1528" s="1" t="s">
        <v>9656</v>
      </c>
      <c r="D1528" s="1" t="s">
        <v>23</v>
      </c>
      <c r="E1528" s="1">
        <v>3314.433</v>
      </c>
    </row>
    <row r="1529" spans="3:5" x14ac:dyDescent="0.35">
      <c r="C1529" s="1" t="s">
        <v>9655</v>
      </c>
      <c r="D1529" s="1" t="s">
        <v>23</v>
      </c>
      <c r="E1529" s="1">
        <v>3314.4340000000002</v>
      </c>
    </row>
    <row r="1530" spans="3:5" x14ac:dyDescent="0.35">
      <c r="C1530" s="1" t="s">
        <v>9654</v>
      </c>
      <c r="D1530" s="1" t="s">
        <v>23</v>
      </c>
      <c r="E1530" s="1">
        <v>3314.4349999999999</v>
      </c>
    </row>
    <row r="1531" spans="3:5" x14ac:dyDescent="0.35">
      <c r="C1531" s="1" t="s">
        <v>9425</v>
      </c>
      <c r="D1531" s="1" t="s">
        <v>23</v>
      </c>
      <c r="E1531" s="1">
        <v>3314.4360000000001</v>
      </c>
    </row>
    <row r="1532" spans="3:5" x14ac:dyDescent="0.35">
      <c r="C1532" s="1" t="s">
        <v>9653</v>
      </c>
      <c r="D1532" s="1" t="s">
        <v>23</v>
      </c>
      <c r="E1532" s="1">
        <v>3314.4369999999999</v>
      </c>
    </row>
    <row r="1533" spans="3:5" x14ac:dyDescent="0.35">
      <c r="C1533" s="1" t="s">
        <v>9652</v>
      </c>
      <c r="D1533" s="1" t="s">
        <v>23</v>
      </c>
      <c r="E1533" s="1">
        <v>3314.4380000000001</v>
      </c>
    </row>
    <row r="1534" spans="3:5" x14ac:dyDescent="0.35">
      <c r="C1534" s="1" t="s">
        <v>9651</v>
      </c>
      <c r="D1534" s="1" t="s">
        <v>23</v>
      </c>
      <c r="E1534" s="1">
        <v>3314.4389999999999</v>
      </c>
    </row>
    <row r="1535" spans="3:5" x14ac:dyDescent="0.35">
      <c r="C1535" s="1" t="s">
        <v>9650</v>
      </c>
      <c r="D1535" s="1" t="s">
        <v>23</v>
      </c>
      <c r="E1535" s="1">
        <v>3314.44</v>
      </c>
    </row>
    <row r="1536" spans="3:5" x14ac:dyDescent="0.35">
      <c r="C1536" s="1" t="s">
        <v>9649</v>
      </c>
      <c r="D1536" s="1" t="s">
        <v>57</v>
      </c>
      <c r="E1536" s="1">
        <v>3314.45</v>
      </c>
    </row>
    <row r="1537" spans="3:5" x14ac:dyDescent="0.35">
      <c r="C1537" s="1" t="s">
        <v>9453</v>
      </c>
      <c r="D1537" s="1" t="s">
        <v>23</v>
      </c>
      <c r="E1537" s="1">
        <v>3314.451</v>
      </c>
    </row>
    <row r="1538" spans="3:5" x14ac:dyDescent="0.35">
      <c r="C1538" s="1" t="s">
        <v>9646</v>
      </c>
      <c r="D1538" s="1" t="s">
        <v>23</v>
      </c>
      <c r="E1538" s="1">
        <v>3314.4520000000002</v>
      </c>
    </row>
    <row r="1539" spans="3:5" x14ac:dyDescent="0.35">
      <c r="C1539" s="1" t="s">
        <v>9645</v>
      </c>
      <c r="D1539" s="1" t="s">
        <v>23</v>
      </c>
      <c r="E1539" s="1">
        <v>3314.453</v>
      </c>
    </row>
    <row r="1540" spans="3:5" x14ac:dyDescent="0.35">
      <c r="C1540" s="1" t="s">
        <v>9644</v>
      </c>
      <c r="D1540" s="1" t="s">
        <v>23</v>
      </c>
      <c r="E1540" s="1">
        <v>3314.4540000000002</v>
      </c>
    </row>
    <row r="1541" spans="3:5" x14ac:dyDescent="0.35">
      <c r="C1541" s="1" t="s">
        <v>9643</v>
      </c>
      <c r="D1541" s="1" t="s">
        <v>23</v>
      </c>
      <c r="E1541" s="1">
        <v>3314.4549999999999</v>
      </c>
    </row>
    <row r="1542" spans="3:5" x14ac:dyDescent="0.35">
      <c r="C1542" s="1" t="s">
        <v>9449</v>
      </c>
      <c r="D1542" s="1" t="s">
        <v>23</v>
      </c>
      <c r="E1542" s="1">
        <v>3314.4560000000001</v>
      </c>
    </row>
    <row r="1543" spans="3:5" x14ac:dyDescent="0.35">
      <c r="C1543" s="1" t="s">
        <v>9642</v>
      </c>
      <c r="D1543" s="1" t="s">
        <v>23</v>
      </c>
      <c r="E1543" s="1">
        <v>3314.4569999999999</v>
      </c>
    </row>
    <row r="1544" spans="3:5" x14ac:dyDescent="0.35">
      <c r="C1544" s="1" t="s">
        <v>9641</v>
      </c>
      <c r="D1544" s="1" t="s">
        <v>23</v>
      </c>
      <c r="E1544" s="1">
        <v>3314.4580000000001</v>
      </c>
    </row>
    <row r="1545" spans="3:5" x14ac:dyDescent="0.35">
      <c r="C1545" s="1" t="s">
        <v>9640</v>
      </c>
      <c r="D1545" s="1" t="s">
        <v>23</v>
      </c>
      <c r="E1545" s="1">
        <v>3314.4589999999998</v>
      </c>
    </row>
    <row r="1546" spans="3:5" x14ac:dyDescent="0.35">
      <c r="C1546" s="1" t="s">
        <v>9639</v>
      </c>
      <c r="D1546" s="1" t="s">
        <v>23</v>
      </c>
      <c r="E1546" s="1">
        <v>3314.46</v>
      </c>
    </row>
    <row r="1547" spans="3:5" x14ac:dyDescent="0.35">
      <c r="C1547" s="1" t="s">
        <v>9445</v>
      </c>
      <c r="D1547" s="1" t="s">
        <v>23</v>
      </c>
      <c r="E1547" s="1">
        <v>3314.4609999999998</v>
      </c>
    </row>
    <row r="1548" spans="3:5" x14ac:dyDescent="0.35">
      <c r="C1548" s="1" t="s">
        <v>9638</v>
      </c>
      <c r="D1548" s="1" t="s">
        <v>23</v>
      </c>
      <c r="E1548" s="1">
        <v>3314.462</v>
      </c>
    </row>
    <row r="1549" spans="3:5" x14ac:dyDescent="0.35">
      <c r="C1549" s="1" t="s">
        <v>9637</v>
      </c>
      <c r="D1549" s="1" t="s">
        <v>23</v>
      </c>
      <c r="E1549" s="1">
        <v>3314.4630000000002</v>
      </c>
    </row>
    <row r="1550" spans="3:5" x14ac:dyDescent="0.35">
      <c r="C1550" s="1" t="s">
        <v>9636</v>
      </c>
      <c r="D1550" s="1" t="s">
        <v>23</v>
      </c>
      <c r="E1550" s="1">
        <v>3314.4639999999999</v>
      </c>
    </row>
    <row r="1551" spans="3:5" x14ac:dyDescent="0.35">
      <c r="C1551" s="1" t="s">
        <v>9635</v>
      </c>
      <c r="D1551" s="1" t="s">
        <v>23</v>
      </c>
      <c r="E1551" s="1">
        <v>3314.4650000000001</v>
      </c>
    </row>
    <row r="1552" spans="3:5" x14ac:dyDescent="0.35">
      <c r="C1552" s="1" t="s">
        <v>9634</v>
      </c>
      <c r="D1552" s="1" t="s">
        <v>23</v>
      </c>
      <c r="E1552" s="1">
        <v>3314.4659999999999</v>
      </c>
    </row>
    <row r="1553" spans="3:5" x14ac:dyDescent="0.35">
      <c r="C1553" s="1" t="s">
        <v>9633</v>
      </c>
      <c r="D1553" s="1" t="s">
        <v>23</v>
      </c>
      <c r="E1553" s="1">
        <v>3314.4670000000001</v>
      </c>
    </row>
    <row r="1554" spans="3:5" x14ac:dyDescent="0.35">
      <c r="C1554" s="1" t="s">
        <v>9632</v>
      </c>
      <c r="D1554" s="1" t="s">
        <v>23</v>
      </c>
      <c r="E1554" s="1">
        <v>3314.4679999999998</v>
      </c>
    </row>
    <row r="1555" spans="3:5" x14ac:dyDescent="0.35">
      <c r="C1555" s="1" t="s">
        <v>9631</v>
      </c>
      <c r="D1555" s="1" t="s">
        <v>23</v>
      </c>
      <c r="E1555" s="1">
        <v>3314.4690000000001</v>
      </c>
    </row>
    <row r="1556" spans="3:5" x14ac:dyDescent="0.35">
      <c r="C1556" s="1" t="s">
        <v>9630</v>
      </c>
      <c r="D1556" s="1" t="s">
        <v>23</v>
      </c>
      <c r="E1556" s="1">
        <v>3314.47</v>
      </c>
    </row>
    <row r="1557" spans="3:5" x14ac:dyDescent="0.35">
      <c r="C1557" s="1" t="s">
        <v>9441</v>
      </c>
      <c r="D1557" s="1" t="s">
        <v>23</v>
      </c>
      <c r="E1557" s="1">
        <v>3314.471</v>
      </c>
    </row>
    <row r="1558" spans="3:5" x14ac:dyDescent="0.35">
      <c r="C1558" s="1" t="s">
        <v>9629</v>
      </c>
      <c r="D1558" s="1" t="s">
        <v>23</v>
      </c>
      <c r="E1558" s="1">
        <v>3314.4720000000002</v>
      </c>
    </row>
    <row r="1559" spans="3:5" x14ac:dyDescent="0.35">
      <c r="C1559" s="1" t="s">
        <v>9628</v>
      </c>
      <c r="D1559" s="1" t="s">
        <v>23</v>
      </c>
      <c r="E1559" s="1">
        <v>3314.473</v>
      </c>
    </row>
    <row r="1560" spans="3:5" x14ac:dyDescent="0.35">
      <c r="C1560" s="1" t="s">
        <v>9627</v>
      </c>
      <c r="D1560" s="1" t="s">
        <v>23</v>
      </c>
      <c r="E1560" s="1">
        <v>3314.4740000000002</v>
      </c>
    </row>
    <row r="1561" spans="3:5" x14ac:dyDescent="0.35">
      <c r="C1561" s="1" t="s">
        <v>9626</v>
      </c>
      <c r="D1561" s="1" t="s">
        <v>23</v>
      </c>
      <c r="E1561" s="1">
        <v>3314.4749999999999</v>
      </c>
    </row>
    <row r="1562" spans="3:5" x14ac:dyDescent="0.35">
      <c r="C1562" s="1" t="s">
        <v>9437</v>
      </c>
      <c r="D1562" s="1" t="s">
        <v>23</v>
      </c>
      <c r="E1562" s="1">
        <v>3314.4760000000001</v>
      </c>
    </row>
    <row r="1563" spans="3:5" x14ac:dyDescent="0.35">
      <c r="C1563" s="1" t="s">
        <v>9625</v>
      </c>
      <c r="D1563" s="1" t="s">
        <v>23</v>
      </c>
      <c r="E1563" s="1">
        <v>3314.4769999999999</v>
      </c>
    </row>
    <row r="1564" spans="3:5" x14ac:dyDescent="0.35">
      <c r="C1564" s="1" t="s">
        <v>9624</v>
      </c>
      <c r="D1564" s="1" t="s">
        <v>23</v>
      </c>
      <c r="E1564" s="1">
        <v>3314.4780000000001</v>
      </c>
    </row>
    <row r="1565" spans="3:5" x14ac:dyDescent="0.35">
      <c r="C1565" s="1" t="s">
        <v>9623</v>
      </c>
      <c r="D1565" s="1" t="s">
        <v>23</v>
      </c>
      <c r="E1565" s="1">
        <v>3314.4789999999998</v>
      </c>
    </row>
    <row r="1566" spans="3:5" x14ac:dyDescent="0.35">
      <c r="C1566" s="1" t="s">
        <v>9622</v>
      </c>
      <c r="D1566" s="1" t="s">
        <v>23</v>
      </c>
      <c r="E1566" s="1">
        <v>3314.48</v>
      </c>
    </row>
    <row r="1567" spans="3:5" x14ac:dyDescent="0.35">
      <c r="C1567" s="1" t="s">
        <v>9429</v>
      </c>
      <c r="D1567" s="1" t="s">
        <v>23</v>
      </c>
      <c r="E1567" s="1">
        <v>3314.4810000000002</v>
      </c>
    </row>
    <row r="1568" spans="3:5" x14ac:dyDescent="0.35">
      <c r="C1568" s="1" t="s">
        <v>9621</v>
      </c>
      <c r="D1568" s="1" t="s">
        <v>23</v>
      </c>
      <c r="E1568" s="1">
        <v>3314.482</v>
      </c>
    </row>
    <row r="1569" spans="3:5" x14ac:dyDescent="0.35">
      <c r="C1569" s="1" t="s">
        <v>9620</v>
      </c>
      <c r="D1569" s="1" t="s">
        <v>23</v>
      </c>
      <c r="E1569" s="1">
        <v>3314.4830000000002</v>
      </c>
    </row>
    <row r="1570" spans="3:5" x14ac:dyDescent="0.35">
      <c r="C1570" s="1" t="s">
        <v>9619</v>
      </c>
      <c r="D1570" s="1" t="s">
        <v>23</v>
      </c>
      <c r="E1570" s="1">
        <v>3314.4839999999999</v>
      </c>
    </row>
    <row r="1571" spans="3:5" x14ac:dyDescent="0.35">
      <c r="C1571" s="1" t="s">
        <v>9618</v>
      </c>
      <c r="D1571" s="1" t="s">
        <v>23</v>
      </c>
      <c r="E1571" s="1">
        <v>3314.4850000000001</v>
      </c>
    </row>
    <row r="1572" spans="3:5" x14ac:dyDescent="0.35">
      <c r="C1572" s="1" t="s">
        <v>9425</v>
      </c>
      <c r="D1572" s="1" t="s">
        <v>23</v>
      </c>
      <c r="E1572" s="1">
        <v>3314.4859999999999</v>
      </c>
    </row>
    <row r="1573" spans="3:5" x14ac:dyDescent="0.35">
      <c r="C1573" s="1" t="s">
        <v>9617</v>
      </c>
      <c r="D1573" s="1" t="s">
        <v>23</v>
      </c>
      <c r="E1573" s="1">
        <v>3314.4870000000001</v>
      </c>
    </row>
    <row r="1574" spans="3:5" x14ac:dyDescent="0.35">
      <c r="C1574" s="1" t="s">
        <v>9616</v>
      </c>
      <c r="D1574" s="1" t="s">
        <v>23</v>
      </c>
      <c r="E1574" s="1">
        <v>3314.4879999999998</v>
      </c>
    </row>
    <row r="1575" spans="3:5" x14ac:dyDescent="0.35">
      <c r="C1575" s="1" t="s">
        <v>9615</v>
      </c>
      <c r="D1575" s="1" t="s">
        <v>23</v>
      </c>
      <c r="E1575" s="1">
        <v>3314.489</v>
      </c>
    </row>
    <row r="1576" spans="3:5" x14ac:dyDescent="0.35">
      <c r="C1576" s="1" t="s">
        <v>9614</v>
      </c>
      <c r="D1576" s="1" t="s">
        <v>23</v>
      </c>
      <c r="E1576" s="1">
        <v>3314.49</v>
      </c>
    </row>
    <row r="1577" spans="3:5" x14ac:dyDescent="0.35">
      <c r="C1577" s="1" t="s">
        <v>9648</v>
      </c>
      <c r="D1577" s="1" t="s">
        <v>57</v>
      </c>
      <c r="E1577" s="1">
        <v>3314.5</v>
      </c>
    </row>
    <row r="1578" spans="3:5" x14ac:dyDescent="0.35">
      <c r="C1578" s="1" t="s">
        <v>9453</v>
      </c>
      <c r="D1578" s="1" t="s">
        <v>23</v>
      </c>
      <c r="E1578" s="1">
        <v>3314.5010000000002</v>
      </c>
    </row>
    <row r="1579" spans="3:5" x14ac:dyDescent="0.35">
      <c r="C1579" s="1" t="s">
        <v>9646</v>
      </c>
      <c r="D1579" s="1" t="s">
        <v>23</v>
      </c>
      <c r="E1579" s="1">
        <v>3314.502</v>
      </c>
    </row>
    <row r="1580" spans="3:5" x14ac:dyDescent="0.35">
      <c r="C1580" s="1" t="s">
        <v>9645</v>
      </c>
      <c r="D1580" s="1" t="s">
        <v>23</v>
      </c>
      <c r="E1580" s="1">
        <v>3314.5030000000002</v>
      </c>
    </row>
    <row r="1581" spans="3:5" x14ac:dyDescent="0.35">
      <c r="C1581" s="1" t="s">
        <v>9644</v>
      </c>
      <c r="D1581" s="1" t="s">
        <v>23</v>
      </c>
      <c r="E1581" s="1">
        <v>3314.5039999999999</v>
      </c>
    </row>
    <row r="1582" spans="3:5" x14ac:dyDescent="0.35">
      <c r="C1582" s="1" t="s">
        <v>9643</v>
      </c>
      <c r="D1582" s="1" t="s">
        <v>23</v>
      </c>
      <c r="E1582" s="1">
        <v>3314.5050000000001</v>
      </c>
    </row>
    <row r="1583" spans="3:5" x14ac:dyDescent="0.35">
      <c r="C1583" s="1" t="s">
        <v>9449</v>
      </c>
      <c r="D1583" s="1" t="s">
        <v>23</v>
      </c>
      <c r="E1583" s="1">
        <v>3314.5059999999999</v>
      </c>
    </row>
    <row r="1584" spans="3:5" x14ac:dyDescent="0.35">
      <c r="C1584" s="1" t="s">
        <v>9642</v>
      </c>
      <c r="D1584" s="1" t="s">
        <v>23</v>
      </c>
      <c r="E1584" s="1">
        <v>3314.5070000000001</v>
      </c>
    </row>
    <row r="1585" spans="3:5" x14ac:dyDescent="0.35">
      <c r="C1585" s="1" t="s">
        <v>9641</v>
      </c>
      <c r="D1585" s="1" t="s">
        <v>23</v>
      </c>
      <c r="E1585" s="1">
        <v>3314.5079999999998</v>
      </c>
    </row>
    <row r="1586" spans="3:5" x14ac:dyDescent="0.35">
      <c r="C1586" s="1" t="s">
        <v>9640</v>
      </c>
      <c r="D1586" s="1" t="s">
        <v>23</v>
      </c>
      <c r="E1586" s="1">
        <v>3314.509</v>
      </c>
    </row>
    <row r="1587" spans="3:5" x14ac:dyDescent="0.35">
      <c r="C1587" s="1" t="s">
        <v>9639</v>
      </c>
      <c r="D1587" s="1" t="s">
        <v>23</v>
      </c>
      <c r="E1587" s="1">
        <v>3314.51</v>
      </c>
    </row>
    <row r="1588" spans="3:5" x14ac:dyDescent="0.35">
      <c r="C1588" s="1" t="s">
        <v>9445</v>
      </c>
      <c r="D1588" s="1" t="s">
        <v>23</v>
      </c>
      <c r="E1588" s="1">
        <v>3314.511</v>
      </c>
    </row>
    <row r="1589" spans="3:5" x14ac:dyDescent="0.35">
      <c r="C1589" s="1" t="s">
        <v>9638</v>
      </c>
      <c r="D1589" s="1" t="s">
        <v>23</v>
      </c>
      <c r="E1589" s="1">
        <v>3314.5120000000002</v>
      </c>
    </row>
    <row r="1590" spans="3:5" x14ac:dyDescent="0.35">
      <c r="C1590" s="1" t="s">
        <v>9637</v>
      </c>
      <c r="D1590" s="1" t="s">
        <v>23</v>
      </c>
      <c r="E1590" s="1">
        <v>3314.5129999999999</v>
      </c>
    </row>
    <row r="1591" spans="3:5" x14ac:dyDescent="0.35">
      <c r="C1591" s="1" t="s">
        <v>9636</v>
      </c>
      <c r="D1591" s="1" t="s">
        <v>23</v>
      </c>
      <c r="E1591" s="1">
        <v>3314.5140000000001</v>
      </c>
    </row>
    <row r="1592" spans="3:5" x14ac:dyDescent="0.35">
      <c r="C1592" s="1" t="s">
        <v>9635</v>
      </c>
      <c r="D1592" s="1" t="s">
        <v>23</v>
      </c>
      <c r="E1592" s="1">
        <v>3314.5149999999999</v>
      </c>
    </row>
    <row r="1593" spans="3:5" x14ac:dyDescent="0.35">
      <c r="C1593" s="1" t="s">
        <v>9634</v>
      </c>
      <c r="D1593" s="1" t="s">
        <v>23</v>
      </c>
      <c r="E1593" s="1">
        <v>3314.5160000000001</v>
      </c>
    </row>
    <row r="1594" spans="3:5" x14ac:dyDescent="0.35">
      <c r="C1594" s="1" t="s">
        <v>9633</v>
      </c>
      <c r="D1594" s="1" t="s">
        <v>23</v>
      </c>
      <c r="E1594" s="1">
        <v>3314.5169999999998</v>
      </c>
    </row>
    <row r="1595" spans="3:5" x14ac:dyDescent="0.35">
      <c r="C1595" s="1" t="s">
        <v>9632</v>
      </c>
      <c r="D1595" s="1" t="s">
        <v>23</v>
      </c>
      <c r="E1595" s="1">
        <v>3314.518</v>
      </c>
    </row>
    <row r="1596" spans="3:5" x14ac:dyDescent="0.35">
      <c r="C1596" s="1" t="s">
        <v>9631</v>
      </c>
      <c r="D1596" s="1" t="s">
        <v>23</v>
      </c>
      <c r="E1596" s="1">
        <v>3314.5189999999998</v>
      </c>
    </row>
    <row r="1597" spans="3:5" x14ac:dyDescent="0.35">
      <c r="C1597" s="1" t="s">
        <v>9630</v>
      </c>
      <c r="D1597" s="1" t="s">
        <v>23</v>
      </c>
      <c r="E1597" s="1">
        <v>3314.52</v>
      </c>
    </row>
    <row r="1598" spans="3:5" x14ac:dyDescent="0.35">
      <c r="C1598" s="1" t="s">
        <v>9441</v>
      </c>
      <c r="D1598" s="1" t="s">
        <v>23</v>
      </c>
      <c r="E1598" s="1">
        <v>3314.5210000000002</v>
      </c>
    </row>
    <row r="1599" spans="3:5" x14ac:dyDescent="0.35">
      <c r="C1599" s="1" t="s">
        <v>9629</v>
      </c>
      <c r="D1599" s="1" t="s">
        <v>23</v>
      </c>
      <c r="E1599" s="1">
        <v>3314.5219999999999</v>
      </c>
    </row>
    <row r="1600" spans="3:5" x14ac:dyDescent="0.35">
      <c r="C1600" s="1" t="s">
        <v>9628</v>
      </c>
      <c r="D1600" s="1" t="s">
        <v>23</v>
      </c>
      <c r="E1600" s="1">
        <v>3314.5230000000001</v>
      </c>
    </row>
    <row r="1601" spans="3:5" x14ac:dyDescent="0.35">
      <c r="C1601" s="1" t="s">
        <v>9627</v>
      </c>
      <c r="D1601" s="1" t="s">
        <v>23</v>
      </c>
      <c r="E1601" s="1">
        <v>3314.5239999999999</v>
      </c>
    </row>
    <row r="1602" spans="3:5" x14ac:dyDescent="0.35">
      <c r="C1602" s="1" t="s">
        <v>9626</v>
      </c>
      <c r="D1602" s="1" t="s">
        <v>23</v>
      </c>
      <c r="E1602" s="1">
        <v>3314.5250000000001</v>
      </c>
    </row>
    <row r="1603" spans="3:5" x14ac:dyDescent="0.35">
      <c r="C1603" s="1" t="s">
        <v>9437</v>
      </c>
      <c r="D1603" s="1" t="s">
        <v>23</v>
      </c>
      <c r="E1603" s="1">
        <v>3314.5259999999998</v>
      </c>
    </row>
    <row r="1604" spans="3:5" x14ac:dyDescent="0.35">
      <c r="C1604" s="1" t="s">
        <v>9625</v>
      </c>
      <c r="D1604" s="1" t="s">
        <v>23</v>
      </c>
      <c r="E1604" s="1">
        <v>3314.527</v>
      </c>
    </row>
    <row r="1605" spans="3:5" x14ac:dyDescent="0.35">
      <c r="C1605" s="1" t="s">
        <v>9624</v>
      </c>
      <c r="D1605" s="1" t="s">
        <v>23</v>
      </c>
      <c r="E1605" s="1">
        <v>3314.5279999999998</v>
      </c>
    </row>
    <row r="1606" spans="3:5" x14ac:dyDescent="0.35">
      <c r="C1606" s="1" t="s">
        <v>9623</v>
      </c>
      <c r="D1606" s="1" t="s">
        <v>23</v>
      </c>
      <c r="E1606" s="1">
        <v>3314.529</v>
      </c>
    </row>
    <row r="1607" spans="3:5" x14ac:dyDescent="0.35">
      <c r="C1607" s="1" t="s">
        <v>9622</v>
      </c>
      <c r="D1607" s="1" t="s">
        <v>23</v>
      </c>
      <c r="E1607" s="1">
        <v>3314.53</v>
      </c>
    </row>
    <row r="1608" spans="3:5" x14ac:dyDescent="0.35">
      <c r="C1608" s="1" t="s">
        <v>9429</v>
      </c>
      <c r="D1608" s="1" t="s">
        <v>23</v>
      </c>
      <c r="E1608" s="1">
        <v>3314.5309999999999</v>
      </c>
    </row>
    <row r="1609" spans="3:5" x14ac:dyDescent="0.35">
      <c r="C1609" s="1" t="s">
        <v>9621</v>
      </c>
      <c r="D1609" s="1" t="s">
        <v>23</v>
      </c>
      <c r="E1609" s="1">
        <v>3314.5320000000002</v>
      </c>
    </row>
    <row r="1610" spans="3:5" x14ac:dyDescent="0.35">
      <c r="C1610" s="1" t="s">
        <v>9620</v>
      </c>
      <c r="D1610" s="1" t="s">
        <v>23</v>
      </c>
      <c r="E1610" s="1">
        <v>3314.5329999999999</v>
      </c>
    </row>
    <row r="1611" spans="3:5" x14ac:dyDescent="0.35">
      <c r="C1611" s="1" t="s">
        <v>9619</v>
      </c>
      <c r="D1611" s="1" t="s">
        <v>23</v>
      </c>
      <c r="E1611" s="1">
        <v>3314.5340000000001</v>
      </c>
    </row>
    <row r="1612" spans="3:5" x14ac:dyDescent="0.35">
      <c r="C1612" s="1" t="s">
        <v>9618</v>
      </c>
      <c r="D1612" s="1" t="s">
        <v>23</v>
      </c>
      <c r="E1612" s="1">
        <v>3314.5349999999999</v>
      </c>
    </row>
    <row r="1613" spans="3:5" x14ac:dyDescent="0.35">
      <c r="C1613" s="1" t="s">
        <v>9425</v>
      </c>
      <c r="D1613" s="1" t="s">
        <v>23</v>
      </c>
      <c r="E1613" s="1">
        <v>3314.5360000000001</v>
      </c>
    </row>
    <row r="1614" spans="3:5" x14ac:dyDescent="0.35">
      <c r="C1614" s="1" t="s">
        <v>9617</v>
      </c>
      <c r="D1614" s="1" t="s">
        <v>23</v>
      </c>
      <c r="E1614" s="1">
        <v>3314.5369999999998</v>
      </c>
    </row>
    <row r="1615" spans="3:5" x14ac:dyDescent="0.35">
      <c r="C1615" s="1" t="s">
        <v>9616</v>
      </c>
      <c r="D1615" s="1" t="s">
        <v>23</v>
      </c>
      <c r="E1615" s="1">
        <v>3314.538</v>
      </c>
    </row>
    <row r="1616" spans="3:5" x14ac:dyDescent="0.35">
      <c r="C1616" s="1" t="s">
        <v>9615</v>
      </c>
      <c r="D1616" s="1" t="s">
        <v>23</v>
      </c>
      <c r="E1616" s="1">
        <v>3314.5390000000002</v>
      </c>
    </row>
    <row r="1617" spans="3:5" x14ac:dyDescent="0.35">
      <c r="C1617" s="1" t="s">
        <v>9614</v>
      </c>
      <c r="D1617" s="1" t="s">
        <v>23</v>
      </c>
      <c r="E1617" s="1">
        <v>3314.54</v>
      </c>
    </row>
    <row r="1618" spans="3:5" x14ac:dyDescent="0.35">
      <c r="C1618" s="1" t="s">
        <v>9647</v>
      </c>
      <c r="D1618" s="1" t="s">
        <v>57</v>
      </c>
      <c r="E1618" s="1">
        <v>3314.55</v>
      </c>
    </row>
    <row r="1619" spans="3:5" x14ac:dyDescent="0.35">
      <c r="C1619" s="1" t="s">
        <v>9453</v>
      </c>
      <c r="D1619" s="1" t="s">
        <v>23</v>
      </c>
      <c r="E1619" s="1">
        <v>3314.5509999999999</v>
      </c>
    </row>
    <row r="1620" spans="3:5" x14ac:dyDescent="0.35">
      <c r="C1620" s="1" t="s">
        <v>9646</v>
      </c>
      <c r="D1620" s="1" t="s">
        <v>23</v>
      </c>
      <c r="E1620" s="1">
        <v>3314.5520000000001</v>
      </c>
    </row>
    <row r="1621" spans="3:5" x14ac:dyDescent="0.35">
      <c r="C1621" s="1" t="s">
        <v>9645</v>
      </c>
      <c r="D1621" s="1" t="s">
        <v>23</v>
      </c>
      <c r="E1621" s="1">
        <v>3314.5529999999999</v>
      </c>
    </row>
    <row r="1622" spans="3:5" x14ac:dyDescent="0.35">
      <c r="C1622" s="1" t="s">
        <v>9644</v>
      </c>
      <c r="D1622" s="1" t="s">
        <v>23</v>
      </c>
      <c r="E1622" s="1">
        <v>3314.5540000000001</v>
      </c>
    </row>
    <row r="1623" spans="3:5" x14ac:dyDescent="0.35">
      <c r="C1623" s="1" t="s">
        <v>9643</v>
      </c>
      <c r="D1623" s="1" t="s">
        <v>23</v>
      </c>
      <c r="E1623" s="1">
        <v>3314.5549999999998</v>
      </c>
    </row>
    <row r="1624" spans="3:5" x14ac:dyDescent="0.35">
      <c r="C1624" s="1" t="s">
        <v>9449</v>
      </c>
      <c r="D1624" s="1" t="s">
        <v>23</v>
      </c>
      <c r="E1624" s="1">
        <v>3314.556</v>
      </c>
    </row>
    <row r="1625" spans="3:5" x14ac:dyDescent="0.35">
      <c r="C1625" s="1" t="s">
        <v>9642</v>
      </c>
      <c r="D1625" s="1" t="s">
        <v>23</v>
      </c>
      <c r="E1625" s="1">
        <v>3314.5569999999998</v>
      </c>
    </row>
    <row r="1626" spans="3:5" x14ac:dyDescent="0.35">
      <c r="C1626" s="1" t="s">
        <v>9641</v>
      </c>
      <c r="D1626" s="1" t="s">
        <v>23</v>
      </c>
      <c r="E1626" s="1">
        <v>3314.558</v>
      </c>
    </row>
    <row r="1627" spans="3:5" x14ac:dyDescent="0.35">
      <c r="C1627" s="1" t="s">
        <v>9640</v>
      </c>
      <c r="D1627" s="1" t="s">
        <v>23</v>
      </c>
      <c r="E1627" s="1">
        <v>3314.5590000000002</v>
      </c>
    </row>
    <row r="1628" spans="3:5" x14ac:dyDescent="0.35">
      <c r="C1628" s="1" t="s">
        <v>9639</v>
      </c>
      <c r="D1628" s="1" t="s">
        <v>23</v>
      </c>
      <c r="E1628" s="1">
        <v>3314.56</v>
      </c>
    </row>
    <row r="1629" spans="3:5" x14ac:dyDescent="0.35">
      <c r="C1629" s="1" t="s">
        <v>9445</v>
      </c>
      <c r="D1629" s="1" t="s">
        <v>23</v>
      </c>
      <c r="E1629" s="1">
        <v>3314.5610000000001</v>
      </c>
    </row>
    <row r="1630" spans="3:5" x14ac:dyDescent="0.35">
      <c r="C1630" s="1" t="s">
        <v>9638</v>
      </c>
      <c r="D1630" s="1" t="s">
        <v>23</v>
      </c>
      <c r="E1630" s="1">
        <v>3314.5619999999999</v>
      </c>
    </row>
    <row r="1631" spans="3:5" x14ac:dyDescent="0.35">
      <c r="C1631" s="1" t="s">
        <v>9637</v>
      </c>
      <c r="D1631" s="1" t="s">
        <v>23</v>
      </c>
      <c r="E1631" s="1">
        <v>3314.5630000000001</v>
      </c>
    </row>
    <row r="1632" spans="3:5" x14ac:dyDescent="0.35">
      <c r="C1632" s="1" t="s">
        <v>9636</v>
      </c>
      <c r="D1632" s="1" t="s">
        <v>23</v>
      </c>
      <c r="E1632" s="1">
        <v>3314.5639999999999</v>
      </c>
    </row>
    <row r="1633" spans="3:5" x14ac:dyDescent="0.35">
      <c r="C1633" s="1" t="s">
        <v>9635</v>
      </c>
      <c r="D1633" s="1" t="s">
        <v>23</v>
      </c>
      <c r="E1633" s="1">
        <v>3314.5650000000001</v>
      </c>
    </row>
    <row r="1634" spans="3:5" x14ac:dyDescent="0.35">
      <c r="C1634" s="1" t="s">
        <v>9634</v>
      </c>
      <c r="D1634" s="1" t="s">
        <v>23</v>
      </c>
      <c r="E1634" s="1">
        <v>3314.5659999999998</v>
      </c>
    </row>
    <row r="1635" spans="3:5" x14ac:dyDescent="0.35">
      <c r="C1635" s="1" t="s">
        <v>9633</v>
      </c>
      <c r="D1635" s="1" t="s">
        <v>23</v>
      </c>
      <c r="E1635" s="1">
        <v>3314.567</v>
      </c>
    </row>
    <row r="1636" spans="3:5" x14ac:dyDescent="0.35">
      <c r="C1636" s="1" t="s">
        <v>9632</v>
      </c>
      <c r="D1636" s="1" t="s">
        <v>23</v>
      </c>
      <c r="E1636" s="1">
        <v>3314.5680000000002</v>
      </c>
    </row>
    <row r="1637" spans="3:5" x14ac:dyDescent="0.35">
      <c r="C1637" s="1" t="s">
        <v>9631</v>
      </c>
      <c r="D1637" s="1" t="s">
        <v>23</v>
      </c>
      <c r="E1637" s="1">
        <v>3314.569</v>
      </c>
    </row>
    <row r="1638" spans="3:5" x14ac:dyDescent="0.35">
      <c r="C1638" s="1" t="s">
        <v>9630</v>
      </c>
      <c r="D1638" s="1" t="s">
        <v>23</v>
      </c>
      <c r="E1638" s="1">
        <v>3314.57</v>
      </c>
    </row>
    <row r="1639" spans="3:5" x14ac:dyDescent="0.35">
      <c r="C1639" s="1" t="s">
        <v>9441</v>
      </c>
      <c r="D1639" s="1" t="s">
        <v>23</v>
      </c>
      <c r="E1639" s="1">
        <v>3314.5709999999999</v>
      </c>
    </row>
    <row r="1640" spans="3:5" x14ac:dyDescent="0.35">
      <c r="C1640" s="1" t="s">
        <v>9629</v>
      </c>
      <c r="D1640" s="1" t="s">
        <v>23</v>
      </c>
      <c r="E1640" s="1">
        <v>3314.5720000000001</v>
      </c>
    </row>
    <row r="1641" spans="3:5" x14ac:dyDescent="0.35">
      <c r="C1641" s="1" t="s">
        <v>9628</v>
      </c>
      <c r="D1641" s="1" t="s">
        <v>23</v>
      </c>
      <c r="E1641" s="1">
        <v>3314.5729999999999</v>
      </c>
    </row>
    <row r="1642" spans="3:5" x14ac:dyDescent="0.35">
      <c r="C1642" s="1" t="s">
        <v>9627</v>
      </c>
      <c r="D1642" s="1" t="s">
        <v>23</v>
      </c>
      <c r="E1642" s="1">
        <v>3314.5740000000001</v>
      </c>
    </row>
    <row r="1643" spans="3:5" x14ac:dyDescent="0.35">
      <c r="C1643" s="1" t="s">
        <v>9626</v>
      </c>
      <c r="D1643" s="1" t="s">
        <v>23</v>
      </c>
      <c r="E1643" s="1">
        <v>3314.5749999999998</v>
      </c>
    </row>
    <row r="1644" spans="3:5" x14ac:dyDescent="0.35">
      <c r="C1644" s="1" t="s">
        <v>9437</v>
      </c>
      <c r="D1644" s="1" t="s">
        <v>23</v>
      </c>
      <c r="E1644" s="1">
        <v>3314.576</v>
      </c>
    </row>
    <row r="1645" spans="3:5" x14ac:dyDescent="0.35">
      <c r="C1645" s="1" t="s">
        <v>9625</v>
      </c>
      <c r="D1645" s="1" t="s">
        <v>23</v>
      </c>
      <c r="E1645" s="1">
        <v>3314.5770000000002</v>
      </c>
    </row>
    <row r="1646" spans="3:5" x14ac:dyDescent="0.35">
      <c r="C1646" s="1" t="s">
        <v>9624</v>
      </c>
      <c r="D1646" s="1" t="s">
        <v>23</v>
      </c>
      <c r="E1646" s="1">
        <v>3314.578</v>
      </c>
    </row>
    <row r="1647" spans="3:5" x14ac:dyDescent="0.35">
      <c r="C1647" s="1" t="s">
        <v>9623</v>
      </c>
      <c r="D1647" s="1" t="s">
        <v>23</v>
      </c>
      <c r="E1647" s="1">
        <v>3314.5790000000002</v>
      </c>
    </row>
    <row r="1648" spans="3:5" x14ac:dyDescent="0.35">
      <c r="C1648" s="1" t="s">
        <v>9622</v>
      </c>
      <c r="D1648" s="1" t="s">
        <v>23</v>
      </c>
      <c r="E1648" s="1">
        <v>3314.58</v>
      </c>
    </row>
    <row r="1649" spans="3:5" x14ac:dyDescent="0.35">
      <c r="C1649" s="1" t="s">
        <v>9429</v>
      </c>
      <c r="D1649" s="1" t="s">
        <v>23</v>
      </c>
      <c r="E1649" s="1">
        <v>3314.5810000000001</v>
      </c>
    </row>
    <row r="1650" spans="3:5" x14ac:dyDescent="0.35">
      <c r="C1650" s="1" t="s">
        <v>9621</v>
      </c>
      <c r="D1650" s="1" t="s">
        <v>23</v>
      </c>
      <c r="E1650" s="1">
        <v>3314.5819999999999</v>
      </c>
    </row>
    <row r="1651" spans="3:5" x14ac:dyDescent="0.35">
      <c r="C1651" s="1" t="s">
        <v>9620</v>
      </c>
      <c r="D1651" s="1" t="s">
        <v>23</v>
      </c>
      <c r="E1651" s="1">
        <v>3314.5830000000001</v>
      </c>
    </row>
    <row r="1652" spans="3:5" x14ac:dyDescent="0.35">
      <c r="C1652" s="1" t="s">
        <v>9619</v>
      </c>
      <c r="D1652" s="1" t="s">
        <v>23</v>
      </c>
      <c r="E1652" s="1">
        <v>3314.5839999999998</v>
      </c>
    </row>
    <row r="1653" spans="3:5" x14ac:dyDescent="0.35">
      <c r="C1653" s="1" t="s">
        <v>9618</v>
      </c>
      <c r="D1653" s="1" t="s">
        <v>23</v>
      </c>
      <c r="E1653" s="1">
        <v>3314.585</v>
      </c>
    </row>
    <row r="1654" spans="3:5" x14ac:dyDescent="0.35">
      <c r="C1654" s="1" t="s">
        <v>9425</v>
      </c>
      <c r="D1654" s="1" t="s">
        <v>23</v>
      </c>
      <c r="E1654" s="1">
        <v>3314.5859999999998</v>
      </c>
    </row>
    <row r="1655" spans="3:5" x14ac:dyDescent="0.35">
      <c r="C1655" s="1" t="s">
        <v>9617</v>
      </c>
      <c r="D1655" s="1" t="s">
        <v>23</v>
      </c>
      <c r="E1655" s="1">
        <v>3314.587</v>
      </c>
    </row>
    <row r="1656" spans="3:5" x14ac:dyDescent="0.35">
      <c r="C1656" s="1" t="s">
        <v>9616</v>
      </c>
      <c r="D1656" s="1" t="s">
        <v>23</v>
      </c>
      <c r="E1656" s="1">
        <v>3314.5880000000002</v>
      </c>
    </row>
    <row r="1657" spans="3:5" x14ac:dyDescent="0.35">
      <c r="C1657" s="1" t="s">
        <v>9615</v>
      </c>
      <c r="D1657" s="1" t="s">
        <v>23</v>
      </c>
      <c r="E1657" s="1">
        <v>3314.5889999999999</v>
      </c>
    </row>
    <row r="1658" spans="3:5" x14ac:dyDescent="0.35">
      <c r="C1658" s="1" t="s">
        <v>9614</v>
      </c>
      <c r="D1658" s="1" t="s">
        <v>23</v>
      </c>
      <c r="E1658" s="1">
        <v>3314.59</v>
      </c>
    </row>
    <row r="1659" spans="3:5" x14ac:dyDescent="0.35">
      <c r="C1659" s="1" t="s">
        <v>9613</v>
      </c>
      <c r="D1659" s="1" t="s">
        <v>23</v>
      </c>
      <c r="E1659" s="1">
        <v>3314.99</v>
      </c>
    </row>
    <row r="1660" spans="3:5" x14ac:dyDescent="0.35">
      <c r="C1660" s="1" t="s">
        <v>9612</v>
      </c>
      <c r="D1660" s="1" t="s">
        <v>23</v>
      </c>
      <c r="E1660" s="1">
        <v>3315.1</v>
      </c>
    </row>
    <row r="1661" spans="3:5" x14ac:dyDescent="0.35">
      <c r="C1661" s="1" t="s">
        <v>9611</v>
      </c>
      <c r="D1661" s="1" t="s">
        <v>23</v>
      </c>
      <c r="E1661" s="1">
        <v>3315.1010000000001</v>
      </c>
    </row>
    <row r="1662" spans="3:5" x14ac:dyDescent="0.35">
      <c r="C1662" s="1" t="s">
        <v>9610</v>
      </c>
      <c r="D1662" s="1" t="s">
        <v>23</v>
      </c>
      <c r="E1662" s="1">
        <v>3315.1019999999999</v>
      </c>
    </row>
    <row r="1663" spans="3:5" x14ac:dyDescent="0.35">
      <c r="C1663" s="1" t="s">
        <v>9609</v>
      </c>
      <c r="D1663" s="1" t="s">
        <v>23</v>
      </c>
      <c r="E1663" s="1">
        <v>3315.11</v>
      </c>
    </row>
    <row r="1664" spans="3:5" x14ac:dyDescent="0.35">
      <c r="C1664" s="1" t="s">
        <v>9608</v>
      </c>
      <c r="D1664" s="1" t="s">
        <v>23</v>
      </c>
      <c r="E1664" s="1">
        <v>3315.1109999999999</v>
      </c>
    </row>
    <row r="1665" spans="3:5" x14ac:dyDescent="0.35">
      <c r="C1665" s="1" t="s">
        <v>9607</v>
      </c>
      <c r="D1665" s="1" t="s">
        <v>23</v>
      </c>
      <c r="E1665" s="1">
        <v>3315.1120000000001</v>
      </c>
    </row>
    <row r="1666" spans="3:5" x14ac:dyDescent="0.35">
      <c r="C1666" s="1" t="s">
        <v>9606</v>
      </c>
      <c r="D1666" s="1" t="s">
        <v>23</v>
      </c>
      <c r="E1666" s="1">
        <v>3315.12</v>
      </c>
    </row>
    <row r="1667" spans="3:5" x14ac:dyDescent="0.35">
      <c r="C1667" s="1" t="s">
        <v>9605</v>
      </c>
      <c r="D1667" s="1" t="s">
        <v>23</v>
      </c>
      <c r="E1667" s="1">
        <v>3315.1210000000001</v>
      </c>
    </row>
    <row r="1668" spans="3:5" x14ac:dyDescent="0.35">
      <c r="C1668" s="1" t="s">
        <v>9604</v>
      </c>
      <c r="D1668" s="1" t="s">
        <v>23</v>
      </c>
      <c r="E1668" s="1">
        <v>3315.1219999999998</v>
      </c>
    </row>
    <row r="1669" spans="3:5" x14ac:dyDescent="0.35">
      <c r="C1669" s="1" t="s">
        <v>9603</v>
      </c>
      <c r="D1669" s="1" t="s">
        <v>23</v>
      </c>
      <c r="E1669" s="1">
        <v>3315.13</v>
      </c>
    </row>
    <row r="1670" spans="3:5" x14ac:dyDescent="0.35">
      <c r="C1670" s="1" t="s">
        <v>9602</v>
      </c>
      <c r="D1670" s="1" t="s">
        <v>23</v>
      </c>
      <c r="E1670" s="1">
        <v>3315.14</v>
      </c>
    </row>
    <row r="1671" spans="3:5" x14ac:dyDescent="0.35">
      <c r="C1671" s="1" t="s">
        <v>9601</v>
      </c>
      <c r="D1671" s="1" t="s">
        <v>23</v>
      </c>
      <c r="E1671" s="1">
        <v>3315.1410000000001</v>
      </c>
    </row>
    <row r="1672" spans="3:5" x14ac:dyDescent="0.35">
      <c r="C1672" s="1" t="s">
        <v>9600</v>
      </c>
      <c r="D1672" s="1" t="s">
        <v>23</v>
      </c>
      <c r="E1672" s="1">
        <v>3315.1419999999998</v>
      </c>
    </row>
    <row r="1673" spans="3:5" x14ac:dyDescent="0.35">
      <c r="C1673" s="1" t="s">
        <v>9599</v>
      </c>
      <c r="D1673" s="1" t="s">
        <v>19</v>
      </c>
      <c r="E1673" s="1">
        <v>3315.971</v>
      </c>
    </row>
    <row r="1674" spans="3:5" x14ac:dyDescent="0.35">
      <c r="C1674" s="1" t="s">
        <v>9598</v>
      </c>
      <c r="D1674" s="1" t="s">
        <v>18</v>
      </c>
      <c r="E1674" s="1">
        <v>3315.9720000000002</v>
      </c>
    </row>
    <row r="1675" spans="3:5" x14ac:dyDescent="0.35">
      <c r="C1675" s="1" t="s">
        <v>9597</v>
      </c>
      <c r="D1675" s="1" t="s">
        <v>18</v>
      </c>
      <c r="E1675" s="1">
        <v>3315.973</v>
      </c>
    </row>
    <row r="1676" spans="3:5" x14ac:dyDescent="0.35">
      <c r="C1676" s="1" t="s">
        <v>9596</v>
      </c>
      <c r="D1676" s="1" t="s">
        <v>20</v>
      </c>
      <c r="E1676" s="1">
        <v>3315.9740000000002</v>
      </c>
    </row>
    <row r="1677" spans="3:5" x14ac:dyDescent="0.35">
      <c r="C1677" s="1" t="s">
        <v>9595</v>
      </c>
      <c r="D1677" s="1" t="s">
        <v>19</v>
      </c>
      <c r="E1677" s="1">
        <v>3315.9749999999999</v>
      </c>
    </row>
    <row r="1678" spans="3:5" x14ac:dyDescent="0.35">
      <c r="C1678" s="1" t="s">
        <v>9594</v>
      </c>
      <c r="D1678" s="1" t="s">
        <v>20</v>
      </c>
      <c r="E1678" s="1">
        <v>3315.9760000000001</v>
      </c>
    </row>
    <row r="1679" spans="3:5" x14ac:dyDescent="0.35">
      <c r="C1679" s="1" t="s">
        <v>9593</v>
      </c>
      <c r="D1679" s="1" t="s">
        <v>19</v>
      </c>
      <c r="E1679" s="1">
        <v>3315.9769999999999</v>
      </c>
    </row>
    <row r="1680" spans="3:5" x14ac:dyDescent="0.35">
      <c r="C1680" s="1" t="s">
        <v>9592</v>
      </c>
      <c r="D1680" s="1" t="s">
        <v>19</v>
      </c>
      <c r="E1680" s="1">
        <v>3315.9780000000001</v>
      </c>
    </row>
    <row r="1681" spans="3:5" x14ac:dyDescent="0.35">
      <c r="C1681" s="1" t="s">
        <v>9591</v>
      </c>
      <c r="D1681" s="1" t="s">
        <v>20</v>
      </c>
      <c r="E1681" s="1">
        <v>3315.9789999999998</v>
      </c>
    </row>
    <row r="1682" spans="3:5" x14ac:dyDescent="0.35">
      <c r="C1682" s="1" t="s">
        <v>9590</v>
      </c>
      <c r="D1682" s="1" t="s">
        <v>20</v>
      </c>
      <c r="E1682" s="1">
        <v>3315.98</v>
      </c>
    </row>
    <row r="1683" spans="3:5" x14ac:dyDescent="0.35">
      <c r="C1683" s="1" t="s">
        <v>9589</v>
      </c>
      <c r="D1683" s="1" t="s">
        <v>20</v>
      </c>
      <c r="E1683" s="1">
        <v>3315.9810000000002</v>
      </c>
    </row>
    <row r="1684" spans="3:5" x14ac:dyDescent="0.35">
      <c r="C1684" s="1" t="s">
        <v>9588</v>
      </c>
      <c r="D1684" s="1" t="s">
        <v>20</v>
      </c>
      <c r="E1684" s="1">
        <v>3315.982</v>
      </c>
    </row>
    <row r="1685" spans="3:5" x14ac:dyDescent="0.35">
      <c r="C1685" s="1" t="s">
        <v>9587</v>
      </c>
      <c r="D1685" s="1" t="s">
        <v>18</v>
      </c>
      <c r="E1685" s="1">
        <v>3315.9830000000002</v>
      </c>
    </row>
    <row r="1686" spans="3:5" x14ac:dyDescent="0.35">
      <c r="C1686" s="1" t="s">
        <v>9586</v>
      </c>
      <c r="D1686" s="1" t="s">
        <v>18</v>
      </c>
      <c r="E1686" s="1">
        <v>3315.9839999999999</v>
      </c>
    </row>
    <row r="1687" spans="3:5" x14ac:dyDescent="0.35">
      <c r="C1687" s="1" t="s">
        <v>9585</v>
      </c>
      <c r="D1687" s="1" t="s">
        <v>19</v>
      </c>
      <c r="E1687" s="1">
        <v>3315.9850000000001</v>
      </c>
    </row>
    <row r="1688" spans="3:5" x14ac:dyDescent="0.35">
      <c r="C1688" s="1" t="s">
        <v>9584</v>
      </c>
      <c r="D1688" s="1" t="s">
        <v>20</v>
      </c>
      <c r="E1688" s="1">
        <v>3315.9859999999999</v>
      </c>
    </row>
    <row r="1689" spans="3:5" x14ac:dyDescent="0.35">
      <c r="C1689" s="1" t="s">
        <v>9583</v>
      </c>
      <c r="D1689" s="1" t="s">
        <v>18</v>
      </c>
      <c r="E1689" s="1">
        <v>3315.9870000000001</v>
      </c>
    </row>
    <row r="1690" spans="3:5" x14ac:dyDescent="0.35">
      <c r="C1690" s="1" t="s">
        <v>9582</v>
      </c>
      <c r="D1690" s="1" t="s">
        <v>18</v>
      </c>
      <c r="E1690" s="1">
        <v>3315.9879999999998</v>
      </c>
    </row>
    <row r="1691" spans="3:5" x14ac:dyDescent="0.35">
      <c r="C1691" s="1" t="s">
        <v>9581</v>
      </c>
      <c r="D1691" s="1" t="s">
        <v>19</v>
      </c>
      <c r="E1691" s="1">
        <v>3315.989</v>
      </c>
    </row>
    <row r="1692" spans="3:5" x14ac:dyDescent="0.35">
      <c r="C1692" s="1" t="s">
        <v>9580</v>
      </c>
      <c r="D1692" s="1" t="s">
        <v>20</v>
      </c>
      <c r="E1692" s="1">
        <v>3315.99</v>
      </c>
    </row>
    <row r="1693" spans="3:5" x14ac:dyDescent="0.35">
      <c r="C1693" s="1" t="s">
        <v>9563</v>
      </c>
      <c r="D1693" s="1" t="s">
        <v>20</v>
      </c>
      <c r="E1693" s="1">
        <v>3315.991</v>
      </c>
    </row>
    <row r="1694" spans="3:5" x14ac:dyDescent="0.35">
      <c r="C1694" s="1" t="s">
        <v>9579</v>
      </c>
      <c r="D1694" s="1" t="s">
        <v>18</v>
      </c>
      <c r="E1694" s="1">
        <v>3315.9920000000002</v>
      </c>
    </row>
    <row r="1695" spans="3:5" x14ac:dyDescent="0.35">
      <c r="C1695" s="1" t="s">
        <v>9578</v>
      </c>
      <c r="D1695" s="1" t="s">
        <v>19</v>
      </c>
      <c r="E1695" s="1">
        <v>3315.9929999999999</v>
      </c>
    </row>
    <row r="1696" spans="3:5" x14ac:dyDescent="0.35">
      <c r="C1696" s="1" t="s">
        <v>9577</v>
      </c>
      <c r="D1696" s="1" t="s">
        <v>19</v>
      </c>
      <c r="E1696" s="1">
        <v>3315.9940000000001</v>
      </c>
    </row>
    <row r="1697" spans="3:5" x14ac:dyDescent="0.35">
      <c r="C1697" s="1" t="s">
        <v>9576</v>
      </c>
      <c r="D1697" s="1" t="s">
        <v>19</v>
      </c>
      <c r="E1697" s="1">
        <v>3315.9949999999999</v>
      </c>
    </row>
    <row r="1698" spans="3:5" x14ac:dyDescent="0.35">
      <c r="C1698" s="1" t="s">
        <v>9575</v>
      </c>
      <c r="D1698" s="1" t="s">
        <v>20</v>
      </c>
      <c r="E1698" s="1">
        <v>3315.9960000000001</v>
      </c>
    </row>
    <row r="1699" spans="3:5" x14ac:dyDescent="0.35">
      <c r="C1699" s="1" t="s">
        <v>9574</v>
      </c>
      <c r="D1699" s="1" t="s">
        <v>19</v>
      </c>
      <c r="E1699" s="1">
        <v>3315.9969999999998</v>
      </c>
    </row>
    <row r="1700" spans="3:5" x14ac:dyDescent="0.35">
      <c r="C1700" s="1" t="s">
        <v>9573</v>
      </c>
      <c r="D1700" s="1" t="s">
        <v>58</v>
      </c>
      <c r="E1700" s="1">
        <v>3316.011</v>
      </c>
    </row>
    <row r="1701" spans="3:5" x14ac:dyDescent="0.35">
      <c r="C1701" s="1" t="s">
        <v>9572</v>
      </c>
      <c r="D1701" s="1" t="s">
        <v>62</v>
      </c>
      <c r="E1701" s="1">
        <v>3316.0120000000002</v>
      </c>
    </row>
    <row r="1702" spans="3:5" x14ac:dyDescent="0.35">
      <c r="C1702" s="1" t="s">
        <v>9571</v>
      </c>
      <c r="D1702" s="1" t="s">
        <v>58</v>
      </c>
      <c r="E1702" s="1">
        <v>3316.0129999999999</v>
      </c>
    </row>
    <row r="1703" spans="3:5" x14ac:dyDescent="0.35">
      <c r="C1703" s="1" t="s">
        <v>9570</v>
      </c>
      <c r="D1703" s="1" t="s">
        <v>62</v>
      </c>
      <c r="E1703" s="1">
        <v>3316.0140000000001</v>
      </c>
    </row>
    <row r="1704" spans="3:5" x14ac:dyDescent="0.35">
      <c r="C1704" s="1" t="s">
        <v>9569</v>
      </c>
      <c r="D1704" s="1" t="s">
        <v>621</v>
      </c>
      <c r="E1704" s="1">
        <v>3316.0149999999999</v>
      </c>
    </row>
    <row r="1705" spans="3:5" x14ac:dyDescent="0.35">
      <c r="C1705" s="1" t="s">
        <v>9568</v>
      </c>
      <c r="D1705" s="1" t="s">
        <v>621</v>
      </c>
      <c r="E1705" s="1">
        <v>3316.0160000000001</v>
      </c>
    </row>
    <row r="1706" spans="3:5" x14ac:dyDescent="0.35">
      <c r="C1706" s="1" t="s">
        <v>9567</v>
      </c>
      <c r="D1706" s="1" t="s">
        <v>621</v>
      </c>
      <c r="E1706" s="1">
        <v>3316.0189999999998</v>
      </c>
    </row>
    <row r="1707" spans="3:5" x14ac:dyDescent="0.35">
      <c r="C1707" s="1" t="s">
        <v>9566</v>
      </c>
      <c r="D1707" s="1" t="s">
        <v>621</v>
      </c>
      <c r="E1707" s="1">
        <v>3316.0210000000002</v>
      </c>
    </row>
    <row r="1708" spans="3:5" x14ac:dyDescent="0.35">
      <c r="C1708" s="1" t="s">
        <v>9565</v>
      </c>
      <c r="D1708" s="1" t="s">
        <v>621</v>
      </c>
      <c r="E1708" s="1">
        <v>3316.0219999999999</v>
      </c>
    </row>
    <row r="1709" spans="3:5" x14ac:dyDescent="0.35">
      <c r="C1709" s="1" t="s">
        <v>9564</v>
      </c>
      <c r="D1709" s="1" t="s">
        <v>621</v>
      </c>
      <c r="E1709" s="1">
        <v>3316.0230000000001</v>
      </c>
    </row>
    <row r="1710" spans="3:5" x14ac:dyDescent="0.35">
      <c r="C1710" s="1" t="s">
        <v>9563</v>
      </c>
      <c r="D1710" s="1" t="s">
        <v>621</v>
      </c>
      <c r="E1710" s="1">
        <v>3316.0239999999999</v>
      </c>
    </row>
    <row r="1711" spans="3:5" x14ac:dyDescent="0.35">
      <c r="C1711" s="1" t="s">
        <v>9562</v>
      </c>
      <c r="D1711" s="1" t="s">
        <v>621</v>
      </c>
      <c r="E1711" s="1">
        <v>3316.0250000000001</v>
      </c>
    </row>
    <row r="1712" spans="3:5" x14ac:dyDescent="0.35">
      <c r="C1712" s="1" t="s">
        <v>9561</v>
      </c>
      <c r="D1712" s="1" t="s">
        <v>62</v>
      </c>
      <c r="E1712" s="1">
        <v>3316.03</v>
      </c>
    </row>
    <row r="1713" spans="3:5" x14ac:dyDescent="0.35">
      <c r="C1713" s="1" t="s">
        <v>9560</v>
      </c>
      <c r="D1713" s="1" t="s">
        <v>62</v>
      </c>
      <c r="E1713" s="1">
        <v>3316.0309999999999</v>
      </c>
    </row>
    <row r="1714" spans="3:5" x14ac:dyDescent="0.35">
      <c r="C1714" s="1" t="s">
        <v>9559</v>
      </c>
      <c r="D1714" s="1" t="s">
        <v>3053</v>
      </c>
      <c r="E1714" s="1">
        <v>3316.0320000000002</v>
      </c>
    </row>
    <row r="1715" spans="3:5" x14ac:dyDescent="0.35">
      <c r="C1715" s="1" t="s">
        <v>9558</v>
      </c>
      <c r="D1715" s="1" t="s">
        <v>23</v>
      </c>
      <c r="E1715" s="1">
        <v>3319.884</v>
      </c>
    </row>
    <row r="1716" spans="3:5" x14ac:dyDescent="0.35">
      <c r="C1716" s="1" t="s">
        <v>9557</v>
      </c>
      <c r="D1716" s="1" t="s">
        <v>23</v>
      </c>
      <c r="E1716" s="1">
        <v>3319.8850000000002</v>
      </c>
    </row>
    <row r="1717" spans="3:5" x14ac:dyDescent="0.35">
      <c r="C1717" s="1" t="s">
        <v>9556</v>
      </c>
      <c r="D1717" s="1" t="s">
        <v>23</v>
      </c>
      <c r="E1717" s="1">
        <v>3319.886</v>
      </c>
    </row>
    <row r="1718" spans="3:5" x14ac:dyDescent="0.35">
      <c r="C1718" s="1" t="s">
        <v>9555</v>
      </c>
      <c r="D1718" s="1" t="s">
        <v>23</v>
      </c>
      <c r="E1718" s="1">
        <v>3319.8870000000002</v>
      </c>
    </row>
    <row r="1719" spans="3:5" x14ac:dyDescent="0.35">
      <c r="C1719" s="1" t="s">
        <v>9554</v>
      </c>
      <c r="D1719" s="1" t="s">
        <v>23</v>
      </c>
      <c r="E1719" s="1">
        <v>3319.8879999999999</v>
      </c>
    </row>
    <row r="1720" spans="3:5" x14ac:dyDescent="0.35">
      <c r="C1720" s="1" t="s">
        <v>9553</v>
      </c>
      <c r="D1720" s="1" t="s">
        <v>23</v>
      </c>
      <c r="E1720" s="1">
        <v>3319.8890000000001</v>
      </c>
    </row>
    <row r="1721" spans="3:5" x14ac:dyDescent="0.35">
      <c r="C1721" s="1" t="s">
        <v>9552</v>
      </c>
      <c r="D1721" s="1" t="s">
        <v>23</v>
      </c>
      <c r="E1721" s="1">
        <v>3319.89</v>
      </c>
    </row>
    <row r="1722" spans="3:5" x14ac:dyDescent="0.35">
      <c r="C1722" s="1" t="s">
        <v>9551</v>
      </c>
      <c r="D1722" s="1" t="s">
        <v>23</v>
      </c>
      <c r="E1722" s="1">
        <v>3319.8910000000001</v>
      </c>
    </row>
    <row r="1723" spans="3:5" x14ac:dyDescent="0.35">
      <c r="C1723" s="1" t="s">
        <v>9550</v>
      </c>
      <c r="D1723" s="1" t="s">
        <v>23</v>
      </c>
      <c r="E1723" s="1">
        <v>3319.8919999999998</v>
      </c>
    </row>
    <row r="1724" spans="3:5" x14ac:dyDescent="0.35">
      <c r="C1724" s="1" t="s">
        <v>9549</v>
      </c>
      <c r="D1724" s="1" t="s">
        <v>23</v>
      </c>
      <c r="E1724" s="1">
        <v>3319.893</v>
      </c>
    </row>
    <row r="1725" spans="3:5" x14ac:dyDescent="0.35">
      <c r="C1725" s="1" t="s">
        <v>9548</v>
      </c>
      <c r="D1725" s="1" t="s">
        <v>23</v>
      </c>
      <c r="E1725" s="1">
        <v>3319.8939999999998</v>
      </c>
    </row>
    <row r="1726" spans="3:5" x14ac:dyDescent="0.35">
      <c r="C1726" s="1" t="s">
        <v>9547</v>
      </c>
      <c r="D1726" s="1" t="s">
        <v>23</v>
      </c>
      <c r="E1726" s="1">
        <v>3319.895</v>
      </c>
    </row>
    <row r="1727" spans="3:5" x14ac:dyDescent="0.35">
      <c r="C1727" s="1" t="s">
        <v>9546</v>
      </c>
      <c r="D1727" s="1" t="s">
        <v>23</v>
      </c>
      <c r="E1727" s="1">
        <v>3319.8960000000002</v>
      </c>
    </row>
    <row r="1728" spans="3:5" x14ac:dyDescent="0.35">
      <c r="C1728" s="1" t="s">
        <v>9545</v>
      </c>
      <c r="D1728" s="1" t="s">
        <v>23</v>
      </c>
      <c r="E1728" s="1">
        <v>3319.8969999999999</v>
      </c>
    </row>
    <row r="1729" spans="3:5" x14ac:dyDescent="0.35">
      <c r="C1729" s="1" t="s">
        <v>9544</v>
      </c>
      <c r="D1729" s="1" t="s">
        <v>23</v>
      </c>
      <c r="E1729" s="1">
        <v>3319.8980000000001</v>
      </c>
    </row>
    <row r="1730" spans="3:5" x14ac:dyDescent="0.35">
      <c r="C1730" s="1" t="s">
        <v>9543</v>
      </c>
      <c r="D1730" s="1" t="s">
        <v>23</v>
      </c>
      <c r="E1730" s="1">
        <v>3319.8989999999999</v>
      </c>
    </row>
    <row r="1731" spans="3:5" x14ac:dyDescent="0.35">
      <c r="C1731" s="1" t="s">
        <v>9542</v>
      </c>
      <c r="D1731" s="1" t="s">
        <v>23</v>
      </c>
      <c r="E1731" s="1">
        <v>3319.98</v>
      </c>
    </row>
    <row r="1732" spans="3:5" x14ac:dyDescent="0.35">
      <c r="C1732" s="1" t="s">
        <v>9541</v>
      </c>
      <c r="D1732" s="1" t="s">
        <v>23</v>
      </c>
      <c r="E1732" s="1">
        <v>3324.1109999999999</v>
      </c>
    </row>
    <row r="1733" spans="3:5" x14ac:dyDescent="0.35">
      <c r="C1733" s="1" t="s">
        <v>9540</v>
      </c>
      <c r="D1733" s="1" t="s">
        <v>23</v>
      </c>
      <c r="E1733" s="1">
        <v>3324.1120000000001</v>
      </c>
    </row>
    <row r="1734" spans="3:5" x14ac:dyDescent="0.35">
      <c r="C1734" s="1" t="s">
        <v>9539</v>
      </c>
      <c r="D1734" s="1" t="s">
        <v>23</v>
      </c>
      <c r="E1734" s="1">
        <v>3324.1129999999998</v>
      </c>
    </row>
    <row r="1735" spans="3:5" x14ac:dyDescent="0.35">
      <c r="C1735" s="1" t="s">
        <v>9538</v>
      </c>
      <c r="D1735" s="1" t="s">
        <v>23</v>
      </c>
      <c r="E1735" s="1">
        <v>3324.114</v>
      </c>
    </row>
    <row r="1736" spans="3:5" x14ac:dyDescent="0.35">
      <c r="C1736" s="1" t="s">
        <v>9537</v>
      </c>
      <c r="D1736" s="1" t="s">
        <v>23</v>
      </c>
      <c r="E1736" s="1">
        <v>3324.1149999999998</v>
      </c>
    </row>
    <row r="1737" spans="3:5" x14ac:dyDescent="0.35">
      <c r="C1737" s="1" t="s">
        <v>9536</v>
      </c>
      <c r="D1737" s="1" t="s">
        <v>23</v>
      </c>
      <c r="E1737" s="1">
        <v>3324.116</v>
      </c>
    </row>
    <row r="1738" spans="3:5" x14ac:dyDescent="0.35">
      <c r="C1738" s="1" t="s">
        <v>9535</v>
      </c>
      <c r="D1738" s="1" t="s">
        <v>23</v>
      </c>
      <c r="E1738" s="1">
        <v>3324.1170000000002</v>
      </c>
    </row>
    <row r="1739" spans="3:5" x14ac:dyDescent="0.35">
      <c r="C1739" s="1" t="s">
        <v>9534</v>
      </c>
      <c r="D1739" s="1" t="s">
        <v>23</v>
      </c>
      <c r="E1739" s="1">
        <v>3324.1179999999999</v>
      </c>
    </row>
    <row r="1740" spans="3:5" x14ac:dyDescent="0.35">
      <c r="C1740" s="1" t="s">
        <v>9533</v>
      </c>
      <c r="D1740" s="1" t="s">
        <v>23</v>
      </c>
      <c r="E1740" s="1">
        <v>3324.1190000000001</v>
      </c>
    </row>
    <row r="1741" spans="3:5" x14ac:dyDescent="0.35">
      <c r="C1741" s="1" t="s">
        <v>9532</v>
      </c>
      <c r="D1741" s="1" t="s">
        <v>20</v>
      </c>
      <c r="E1741" s="1">
        <v>3329.8</v>
      </c>
    </row>
    <row r="1742" spans="3:5" x14ac:dyDescent="0.35">
      <c r="C1742" s="1" t="s">
        <v>9531</v>
      </c>
      <c r="D1742" s="1" t="s">
        <v>20</v>
      </c>
      <c r="E1742" s="1">
        <v>3350.11</v>
      </c>
    </row>
    <row r="1743" spans="3:5" x14ac:dyDescent="0.35">
      <c r="C1743" s="1" t="s">
        <v>9530</v>
      </c>
      <c r="D1743" s="1" t="s">
        <v>20</v>
      </c>
      <c r="E1743" s="1">
        <v>3350.1109999999999</v>
      </c>
    </row>
    <row r="1744" spans="3:5" x14ac:dyDescent="0.35">
      <c r="C1744" s="1" t="s">
        <v>9529</v>
      </c>
      <c r="D1744" s="1" t="s">
        <v>621</v>
      </c>
      <c r="E1744" s="1">
        <v>3350.1120000000001</v>
      </c>
    </row>
    <row r="1745" spans="3:5" x14ac:dyDescent="0.35">
      <c r="C1745" s="1" t="s">
        <v>9528</v>
      </c>
      <c r="D1745" s="1" t="s">
        <v>621</v>
      </c>
      <c r="E1745" s="1">
        <v>3350.1129999999998</v>
      </c>
    </row>
    <row r="1746" spans="3:5" x14ac:dyDescent="0.35">
      <c r="C1746" s="1" t="s">
        <v>9527</v>
      </c>
      <c r="D1746" s="1" t="s">
        <v>20</v>
      </c>
      <c r="E1746" s="1">
        <v>3350.1149999999998</v>
      </c>
    </row>
    <row r="1747" spans="3:5" x14ac:dyDescent="0.35">
      <c r="C1747" s="1" t="s">
        <v>9526</v>
      </c>
      <c r="D1747" s="1" t="s">
        <v>20</v>
      </c>
      <c r="E1747" s="1">
        <v>3350.116</v>
      </c>
    </row>
    <row r="1748" spans="3:5" x14ac:dyDescent="0.35">
      <c r="C1748" s="1" t="s">
        <v>9525</v>
      </c>
      <c r="D1748" s="1" t="s">
        <v>20</v>
      </c>
      <c r="E1748" s="1">
        <v>3350.12</v>
      </c>
    </row>
    <row r="1749" spans="3:5" x14ac:dyDescent="0.35">
      <c r="C1749" s="1" t="s">
        <v>9524</v>
      </c>
      <c r="D1749" s="1" t="s">
        <v>20</v>
      </c>
      <c r="E1749" s="1">
        <v>3350.1210000000001</v>
      </c>
    </row>
    <row r="1750" spans="3:5" x14ac:dyDescent="0.35">
      <c r="C1750" s="1" t="s">
        <v>9523</v>
      </c>
      <c r="D1750" s="1" t="s">
        <v>20</v>
      </c>
      <c r="E1750" s="1">
        <v>3350.1219999999998</v>
      </c>
    </row>
    <row r="1751" spans="3:5" x14ac:dyDescent="0.35">
      <c r="C1751" s="1" t="s">
        <v>9522</v>
      </c>
      <c r="D1751" s="1" t="s">
        <v>20</v>
      </c>
      <c r="E1751" s="1">
        <v>3350.123</v>
      </c>
    </row>
    <row r="1752" spans="3:5" x14ac:dyDescent="0.35">
      <c r="C1752" s="1" t="s">
        <v>9521</v>
      </c>
      <c r="D1752" s="1" t="s">
        <v>20</v>
      </c>
      <c r="E1752" s="1">
        <v>3350.1239999999998</v>
      </c>
    </row>
    <row r="1753" spans="3:5" x14ac:dyDescent="0.35">
      <c r="C1753" s="1" t="s">
        <v>9520</v>
      </c>
      <c r="D1753" s="1" t="s">
        <v>20</v>
      </c>
      <c r="E1753" s="1">
        <v>3350.125</v>
      </c>
    </row>
    <row r="1754" spans="3:5" x14ac:dyDescent="0.35">
      <c r="C1754" s="1" t="s">
        <v>9519</v>
      </c>
      <c r="D1754" s="1" t="s">
        <v>20</v>
      </c>
      <c r="E1754" s="1">
        <v>3350.1260000000002</v>
      </c>
    </row>
    <row r="1755" spans="3:5" x14ac:dyDescent="0.35">
      <c r="C1755" s="1" t="s">
        <v>9518</v>
      </c>
      <c r="D1755" s="1" t="s">
        <v>20</v>
      </c>
      <c r="E1755" s="1">
        <v>3350.127</v>
      </c>
    </row>
    <row r="1756" spans="3:5" x14ac:dyDescent="0.35">
      <c r="C1756" s="1" t="s">
        <v>9517</v>
      </c>
      <c r="D1756" s="1" t="s">
        <v>20</v>
      </c>
      <c r="E1756" s="1">
        <v>3350.1280000000002</v>
      </c>
    </row>
    <row r="1757" spans="3:5" x14ac:dyDescent="0.35">
      <c r="C1757" s="1" t="s">
        <v>9516</v>
      </c>
      <c r="D1757" s="1" t="s">
        <v>20</v>
      </c>
      <c r="E1757" s="1">
        <v>3350.1289999999999</v>
      </c>
    </row>
    <row r="1758" spans="3:5" x14ac:dyDescent="0.35">
      <c r="C1758" s="1" t="s">
        <v>9515</v>
      </c>
      <c r="D1758" s="1" t="s">
        <v>20</v>
      </c>
      <c r="E1758" s="1">
        <v>3350.13</v>
      </c>
    </row>
    <row r="1759" spans="3:5" x14ac:dyDescent="0.35">
      <c r="C1759" s="1" t="s">
        <v>9514</v>
      </c>
      <c r="D1759" s="1" t="s">
        <v>20</v>
      </c>
      <c r="E1759" s="1">
        <v>3350.1309999999999</v>
      </c>
    </row>
    <row r="1760" spans="3:5" x14ac:dyDescent="0.35">
      <c r="C1760" s="1" t="s">
        <v>9496</v>
      </c>
      <c r="D1760" s="1" t="s">
        <v>20</v>
      </c>
      <c r="E1760" s="1">
        <v>3350.1320000000001</v>
      </c>
    </row>
    <row r="1761" spans="3:5" x14ac:dyDescent="0.35">
      <c r="C1761" s="1" t="s">
        <v>9513</v>
      </c>
      <c r="D1761" s="1" t="s">
        <v>20</v>
      </c>
      <c r="E1761" s="1">
        <v>3350.1329999999998</v>
      </c>
    </row>
    <row r="1762" spans="3:5" x14ac:dyDescent="0.35">
      <c r="C1762" s="1" t="s">
        <v>9512</v>
      </c>
      <c r="D1762" s="1" t="s">
        <v>20</v>
      </c>
      <c r="E1762" s="1">
        <v>3350.134</v>
      </c>
    </row>
    <row r="1763" spans="3:5" x14ac:dyDescent="0.35">
      <c r="C1763" s="1" t="s">
        <v>9511</v>
      </c>
      <c r="D1763" s="1" t="s">
        <v>20</v>
      </c>
      <c r="E1763" s="1">
        <v>3350.14</v>
      </c>
    </row>
    <row r="1764" spans="3:5" x14ac:dyDescent="0.35">
      <c r="C1764" s="1" t="s">
        <v>9510</v>
      </c>
      <c r="D1764" s="1" t="s">
        <v>20</v>
      </c>
      <c r="E1764" s="1">
        <v>3350.1419999999998</v>
      </c>
    </row>
    <row r="1765" spans="3:5" x14ac:dyDescent="0.35">
      <c r="C1765" s="1" t="s">
        <v>9509</v>
      </c>
      <c r="D1765" s="1" t="s">
        <v>20</v>
      </c>
      <c r="E1765" s="1">
        <v>3350.143</v>
      </c>
    </row>
    <row r="1766" spans="3:5" x14ac:dyDescent="0.35">
      <c r="C1766" s="1" t="s">
        <v>9508</v>
      </c>
      <c r="D1766" s="1" t="s">
        <v>20</v>
      </c>
      <c r="E1766" s="1">
        <v>3350.1439999999998</v>
      </c>
    </row>
    <row r="1767" spans="3:5" x14ac:dyDescent="0.35">
      <c r="C1767" s="1" t="s">
        <v>9507</v>
      </c>
      <c r="D1767" s="1" t="s">
        <v>20</v>
      </c>
      <c r="E1767" s="1">
        <v>3350.145</v>
      </c>
    </row>
    <row r="1768" spans="3:5" x14ac:dyDescent="0.35">
      <c r="C1768" s="1" t="s">
        <v>9506</v>
      </c>
      <c r="D1768" s="1" t="s">
        <v>20</v>
      </c>
      <c r="E1768" s="1">
        <v>3350.1460000000002</v>
      </c>
    </row>
    <row r="1769" spans="3:5" x14ac:dyDescent="0.35">
      <c r="C1769" s="1" t="s">
        <v>9505</v>
      </c>
      <c r="D1769" s="1" t="s">
        <v>20</v>
      </c>
      <c r="E1769" s="1">
        <v>3350.1480000000001</v>
      </c>
    </row>
    <row r="1770" spans="3:5" x14ac:dyDescent="0.35">
      <c r="C1770" s="1" t="s">
        <v>9504</v>
      </c>
      <c r="D1770" s="1" t="s">
        <v>20</v>
      </c>
      <c r="E1770" s="1">
        <v>3350.1489999999999</v>
      </c>
    </row>
    <row r="1771" spans="3:5" x14ac:dyDescent="0.35">
      <c r="C1771" s="1" t="s">
        <v>9503</v>
      </c>
      <c r="D1771" s="1" t="s">
        <v>20</v>
      </c>
      <c r="E1771" s="1">
        <v>3350.15</v>
      </c>
    </row>
    <row r="1772" spans="3:5" x14ac:dyDescent="0.35">
      <c r="C1772" s="1" t="s">
        <v>9502</v>
      </c>
      <c r="D1772" s="1" t="s">
        <v>20</v>
      </c>
      <c r="E1772" s="1">
        <v>3350.154</v>
      </c>
    </row>
    <row r="1773" spans="3:5" x14ac:dyDescent="0.35">
      <c r="C1773" s="1" t="s">
        <v>9480</v>
      </c>
      <c r="D1773" s="1" t="s">
        <v>20</v>
      </c>
      <c r="E1773" s="1">
        <v>3350.16</v>
      </c>
    </row>
    <row r="1774" spans="3:5" x14ac:dyDescent="0.35">
      <c r="C1774" s="1" t="s">
        <v>9501</v>
      </c>
      <c r="D1774" s="1" t="s">
        <v>20</v>
      </c>
      <c r="E1774" s="1">
        <v>3350.17</v>
      </c>
    </row>
    <row r="1775" spans="3:5" x14ac:dyDescent="0.35">
      <c r="C1775" s="1" t="s">
        <v>9500</v>
      </c>
      <c r="D1775" s="1" t="s">
        <v>18</v>
      </c>
      <c r="E1775" s="1">
        <v>3350.1750000000002</v>
      </c>
    </row>
    <row r="1776" spans="3:5" x14ac:dyDescent="0.35">
      <c r="C1776" s="1" t="s">
        <v>9499</v>
      </c>
      <c r="D1776" s="1" t="s">
        <v>20</v>
      </c>
      <c r="E1776" s="1">
        <v>3350.2</v>
      </c>
    </row>
    <row r="1777" spans="3:5" x14ac:dyDescent="0.35">
      <c r="C1777" s="1" t="s">
        <v>9498</v>
      </c>
      <c r="D1777" s="1" t="s">
        <v>20</v>
      </c>
      <c r="E1777" s="1">
        <v>3350.201</v>
      </c>
    </row>
    <row r="1778" spans="3:5" x14ac:dyDescent="0.35">
      <c r="C1778" s="1" t="s">
        <v>9497</v>
      </c>
      <c r="D1778" s="1" t="s">
        <v>20</v>
      </c>
      <c r="E1778" s="1">
        <v>3350.2109999999998</v>
      </c>
    </row>
    <row r="1779" spans="3:5" x14ac:dyDescent="0.35">
      <c r="C1779" s="1" t="s">
        <v>9496</v>
      </c>
      <c r="D1779" s="1" t="s">
        <v>20</v>
      </c>
      <c r="E1779" s="1">
        <v>3350.212</v>
      </c>
    </row>
    <row r="1780" spans="3:5" x14ac:dyDescent="0.35">
      <c r="C1780" s="1" t="s">
        <v>9495</v>
      </c>
      <c r="D1780" s="1" t="s">
        <v>20</v>
      </c>
      <c r="E1780" s="1">
        <v>3350.2130000000002</v>
      </c>
    </row>
    <row r="1781" spans="3:5" x14ac:dyDescent="0.35">
      <c r="C1781" s="1" t="s">
        <v>9494</v>
      </c>
      <c r="D1781" s="1" t="s">
        <v>20</v>
      </c>
      <c r="E1781" s="1">
        <v>3350.22</v>
      </c>
    </row>
    <row r="1782" spans="3:5" x14ac:dyDescent="0.35">
      <c r="C1782" s="1" t="s">
        <v>9493</v>
      </c>
      <c r="D1782" s="1" t="s">
        <v>20</v>
      </c>
      <c r="E1782" s="1">
        <v>3350.2249999999999</v>
      </c>
    </row>
    <row r="1783" spans="3:5" x14ac:dyDescent="0.35">
      <c r="C1783" s="1" t="s">
        <v>9492</v>
      </c>
      <c r="D1783" s="1" t="s">
        <v>621</v>
      </c>
      <c r="E1783" s="1">
        <v>3359.9009999999998</v>
      </c>
    </row>
    <row r="1784" spans="3:5" x14ac:dyDescent="0.35">
      <c r="C1784" s="1" t="s">
        <v>9479</v>
      </c>
      <c r="D1784" s="1" t="s">
        <v>20</v>
      </c>
      <c r="E1784" s="1">
        <v>3360.1109999999999</v>
      </c>
    </row>
    <row r="1785" spans="3:5" x14ac:dyDescent="0.35">
      <c r="C1785" s="1" t="s">
        <v>9491</v>
      </c>
      <c r="D1785" s="1" t="s">
        <v>20</v>
      </c>
      <c r="E1785" s="1">
        <v>3360.1129999999998</v>
      </c>
    </row>
    <row r="1786" spans="3:5" x14ac:dyDescent="0.35">
      <c r="C1786" s="1" t="s">
        <v>9490</v>
      </c>
      <c r="D1786" s="1" t="s">
        <v>20</v>
      </c>
      <c r="E1786" s="1">
        <v>3360.12</v>
      </c>
    </row>
    <row r="1787" spans="3:5" x14ac:dyDescent="0.35">
      <c r="C1787" s="1" t="s">
        <v>9489</v>
      </c>
      <c r="D1787" s="1" t="s">
        <v>20</v>
      </c>
      <c r="E1787" s="1">
        <v>3360.1210000000001</v>
      </c>
    </row>
    <row r="1788" spans="3:5" x14ac:dyDescent="0.35">
      <c r="C1788" s="1" t="s">
        <v>9488</v>
      </c>
      <c r="D1788" s="1" t="s">
        <v>20</v>
      </c>
      <c r="E1788" s="1">
        <v>3360.1219999999998</v>
      </c>
    </row>
    <row r="1789" spans="3:5" x14ac:dyDescent="0.35">
      <c r="C1789" s="1" t="s">
        <v>9487</v>
      </c>
      <c r="D1789" s="1" t="s">
        <v>20</v>
      </c>
      <c r="E1789" s="1">
        <v>3360.13</v>
      </c>
    </row>
    <row r="1790" spans="3:5" x14ac:dyDescent="0.35">
      <c r="C1790" s="1" t="s">
        <v>9486</v>
      </c>
      <c r="D1790" s="1" t="s">
        <v>20</v>
      </c>
      <c r="E1790" s="1">
        <v>3360.1309999999999</v>
      </c>
    </row>
    <row r="1791" spans="3:5" x14ac:dyDescent="0.35">
      <c r="C1791" s="1" t="s">
        <v>9485</v>
      </c>
      <c r="D1791" s="1" t="s">
        <v>20</v>
      </c>
      <c r="E1791" s="1">
        <v>3360.1320000000001</v>
      </c>
    </row>
    <row r="1792" spans="3:5" x14ac:dyDescent="0.35">
      <c r="C1792" s="1" t="s">
        <v>9484</v>
      </c>
      <c r="D1792" s="1" t="s">
        <v>20</v>
      </c>
      <c r="E1792" s="1">
        <v>3360.1329999999998</v>
      </c>
    </row>
    <row r="1793" spans="3:5" x14ac:dyDescent="0.35">
      <c r="C1793" s="1" t="s">
        <v>9483</v>
      </c>
      <c r="D1793" s="1" t="s">
        <v>20</v>
      </c>
      <c r="E1793" s="1">
        <v>3360.14</v>
      </c>
    </row>
    <row r="1794" spans="3:5" x14ac:dyDescent="0.35">
      <c r="C1794" s="1" t="s">
        <v>9482</v>
      </c>
      <c r="D1794" s="1" t="s">
        <v>20</v>
      </c>
      <c r="E1794" s="1">
        <v>3360.201</v>
      </c>
    </row>
    <row r="1795" spans="3:5" x14ac:dyDescent="0.35">
      <c r="C1795" s="1" t="s">
        <v>9481</v>
      </c>
      <c r="D1795" s="1" t="s">
        <v>20</v>
      </c>
      <c r="E1795" s="1">
        <v>3360.2040000000002</v>
      </c>
    </row>
    <row r="1796" spans="3:5" x14ac:dyDescent="0.35">
      <c r="C1796" s="1" t="s">
        <v>9480</v>
      </c>
      <c r="D1796" s="1" t="s">
        <v>20</v>
      </c>
      <c r="E1796" s="1">
        <v>3360.2089999999998</v>
      </c>
    </row>
    <row r="1797" spans="3:5" x14ac:dyDescent="0.35">
      <c r="C1797" s="1" t="s">
        <v>9479</v>
      </c>
      <c r="D1797" s="1" t="s">
        <v>20</v>
      </c>
      <c r="E1797" s="1">
        <v>3360.221</v>
      </c>
    </row>
    <row r="1798" spans="3:5" x14ac:dyDescent="0.35">
      <c r="C1798" s="1" t="s">
        <v>9478</v>
      </c>
      <c r="D1798" s="1" t="s">
        <v>621</v>
      </c>
      <c r="E1798" s="1">
        <v>3369.9009999999998</v>
      </c>
    </row>
    <row r="1799" spans="3:5" x14ac:dyDescent="0.35">
      <c r="C1799" s="1" t="s">
        <v>9477</v>
      </c>
      <c r="D1799" s="1" t="s">
        <v>20</v>
      </c>
      <c r="E1799" s="1">
        <v>3390.01</v>
      </c>
    </row>
    <row r="1800" spans="3:5" x14ac:dyDescent="0.35">
      <c r="C1800" s="1" t="s">
        <v>9476</v>
      </c>
      <c r="D1800" s="1" t="s">
        <v>20</v>
      </c>
      <c r="E1800" s="1">
        <v>3390.011</v>
      </c>
    </row>
    <row r="1801" spans="3:5" x14ac:dyDescent="0.35">
      <c r="C1801" s="1" t="s">
        <v>9475</v>
      </c>
      <c r="D1801" s="1" t="s">
        <v>20</v>
      </c>
      <c r="E1801" s="1">
        <v>3390.0120000000002</v>
      </c>
    </row>
    <row r="1802" spans="3:5" x14ac:dyDescent="0.35">
      <c r="C1802" s="1" t="s">
        <v>9474</v>
      </c>
      <c r="D1802" s="1" t="s">
        <v>621</v>
      </c>
      <c r="E1802" s="1">
        <v>3399.8090000000002</v>
      </c>
    </row>
  </sheetData>
  <mergeCells count="9">
    <mergeCell ref="P3:Q3"/>
    <mergeCell ref="J5:K5"/>
    <mergeCell ref="J6:K6"/>
    <mergeCell ref="J7:K7"/>
    <mergeCell ref="A3:B3"/>
    <mergeCell ref="D3:G3"/>
    <mergeCell ref="J3:K3"/>
    <mergeCell ref="A4:B4"/>
    <mergeCell ref="J4:K4"/>
  </mergeCells>
  <dataValidations count="1">
    <dataValidation type="list" allowBlank="1" showInputMessage="1" showErrorMessage="1" sqref="C16:C190" xr:uid="{C0E34C50-1C1A-4642-B817-B1A0099700E0}">
      <formula1>$C$205:$C207</formula1>
    </dataValidation>
  </dataValidations>
  <hyperlinks>
    <hyperlink ref="D3" r:id="rId1" display="datamateapp@gmail.com" xr:uid="{3252F720-DF21-4EF3-AEE0-637E102F3716}"/>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2602" r:id="rId4" name="Button 138">
              <controlPr defaultSize="0" print="0" autoFill="0" autoPict="0" macro="[0]!ExitSEC_033000">
                <anchor moveWithCells="1" sizeWithCells="1">
                  <from>
                    <xdr:col>16</xdr:col>
                    <xdr:colOff>209550</xdr:colOff>
                    <xdr:row>0</xdr:row>
                    <xdr:rowOff>0</xdr:rowOff>
                  </from>
                  <to>
                    <xdr:col>16</xdr:col>
                    <xdr:colOff>1479550</xdr:colOff>
                    <xdr:row>2</xdr:row>
                    <xdr:rowOff>12700</xdr:rowOff>
                  </to>
                </anchor>
              </controlPr>
            </control>
          </mc:Choice>
        </mc:AlternateContent>
        <mc:AlternateContent xmlns:mc="http://schemas.openxmlformats.org/markup-compatibility/2006">
          <mc:Choice Requires="x14">
            <control shapeId="62631" r:id="rId5" name="Button 167">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62632" r:id="rId6" name="Button 168">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62633" r:id="rId7" name="Button 169">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62634" r:id="rId8" name="Button 170">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62635" r:id="rId9" name="Button 171">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62636" r:id="rId10" name="Button 172">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62637" r:id="rId11" name="Button 173">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62638" r:id="rId12" name="Button 174">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3D45D-D655-4955-8E62-5E0B1CBDD111}">
  <sheetPr codeName="Sheet45"/>
  <dimension ref="A1:Q407"/>
  <sheetViews>
    <sheetView zoomScale="75" zoomScaleNormal="75" workbookViewId="0">
      <selection activeCell="C4" sqref="C4"/>
    </sheetView>
  </sheetViews>
  <sheetFormatPr defaultRowHeight="14.5" x14ac:dyDescent="0.35"/>
  <cols>
    <col min="1" max="1" width="4.54296875" style="1" customWidth="1"/>
    <col min="2" max="2" width="14" style="1" customWidth="1"/>
    <col min="3" max="3" width="77.1796875" style="1" bestFit="1" customWidth="1"/>
    <col min="4" max="4" width="10.7265625" style="1" customWidth="1"/>
    <col min="5" max="5" width="10.1796875" style="1" customWidth="1"/>
    <col min="6" max="6" width="13.26953125" style="1" customWidth="1"/>
    <col min="7" max="7" width="15.1796875" style="1" customWidth="1"/>
    <col min="8" max="8" width="13.26953125" style="1" customWidth="1"/>
    <col min="9" max="9" width="12.7265625" style="1" customWidth="1"/>
    <col min="10" max="10" width="12.26953125" style="1" customWidth="1"/>
    <col min="11" max="11" width="9" style="1" customWidth="1"/>
    <col min="12" max="12" width="13.26953125" style="1" customWidth="1"/>
    <col min="13" max="13" width="12.7265625" style="1" customWidth="1"/>
    <col min="14" max="14" width="13.26953125" style="1" customWidth="1"/>
    <col min="15" max="15" width="12.7265625" style="1" customWidth="1"/>
    <col min="16" max="16" width="13.26953125" style="1" customWidth="1"/>
    <col min="17" max="17" width="21.26953125" style="1" customWidth="1"/>
    <col min="18" max="22" width="8.7265625" style="1"/>
    <col min="23" max="23" width="4.54296875" style="1" customWidth="1"/>
    <col min="24" max="24" width="11.90625" style="1" customWidth="1"/>
    <col min="25" max="25" width="77.1796875" style="1" bestFit="1" customWidth="1"/>
    <col min="26" max="26" width="10.7265625" style="1" customWidth="1"/>
    <col min="27" max="27" width="10.1796875" style="1" customWidth="1"/>
    <col min="28" max="28" width="13.26953125" style="1" customWidth="1"/>
    <col min="29" max="29" width="15.1796875" style="1" customWidth="1"/>
    <col min="30" max="30" width="13.26953125" style="1" customWidth="1"/>
    <col min="31" max="31" width="12.7265625" style="1" customWidth="1"/>
    <col min="32" max="32" width="12.26953125" style="1" customWidth="1"/>
    <col min="33" max="33" width="9" style="1" customWidth="1"/>
    <col min="34" max="34" width="13.26953125" style="1" customWidth="1"/>
    <col min="35" max="35" width="12.7265625" style="1" customWidth="1"/>
    <col min="36" max="36" width="13.26953125" style="1" customWidth="1"/>
    <col min="37" max="37" width="12.7265625" style="1" customWidth="1"/>
    <col min="38" max="38" width="13.26953125" style="1" customWidth="1"/>
    <col min="39" max="39" width="21.26953125" style="1" customWidth="1"/>
    <col min="40" max="16384" width="8.7265625" style="1"/>
  </cols>
  <sheetData>
    <row r="1" spans="1:17" ht="14.5" customHeight="1"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PRECAST CONCRETE</v>
      </c>
      <c r="J2" s="59"/>
      <c r="K2" s="59"/>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03 40 00</v>
      </c>
      <c r="C10" s="24" t="str">
        <f>C206</f>
        <v>PRECAST CONCRETE</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PRECAST CONCRETE</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Q200" s="78" t="s">
        <v>21404</v>
      </c>
    </row>
    <row r="201" spans="2:17" x14ac:dyDescent="0.35">
      <c r="C201" s="78" t="s">
        <v>21592</v>
      </c>
    </row>
    <row r="203" spans="2:17" x14ac:dyDescent="0.35">
      <c r="C203" s="77" t="s">
        <v>21399</v>
      </c>
    </row>
    <row r="205" spans="2:17" x14ac:dyDescent="0.35">
      <c r="C205" s="1" t="s">
        <v>21398</v>
      </c>
      <c r="D205" s="1" t="s">
        <v>75</v>
      </c>
      <c r="E205" s="1" t="s">
        <v>13768</v>
      </c>
      <c r="F205" s="2" t="s">
        <v>21397</v>
      </c>
      <c r="G205" s="1" t="s">
        <v>9</v>
      </c>
    </row>
    <row r="206" spans="2:17" x14ac:dyDescent="0.35">
      <c r="B206" s="49" t="s">
        <v>14082</v>
      </c>
      <c r="C206" s="82" t="s">
        <v>14083</v>
      </c>
    </row>
    <row r="207" spans="2:17" x14ac:dyDescent="0.35">
      <c r="B207" s="49" t="s">
        <v>14084</v>
      </c>
      <c r="C207" s="53" t="s">
        <v>14085</v>
      </c>
    </row>
    <row r="208" spans="2:17" x14ac:dyDescent="0.35">
      <c r="B208" s="49" t="s">
        <v>14086</v>
      </c>
      <c r="C208" s="53" t="s">
        <v>14087</v>
      </c>
    </row>
    <row r="209" spans="2:5" x14ac:dyDescent="0.35">
      <c r="B209" s="49" t="s">
        <v>14088</v>
      </c>
      <c r="C209" s="53" t="s">
        <v>14089</v>
      </c>
    </row>
    <row r="210" spans="2:5" x14ac:dyDescent="0.35">
      <c r="B210" s="49" t="s">
        <v>14090</v>
      </c>
      <c r="C210" s="53" t="s">
        <v>14091</v>
      </c>
    </row>
    <row r="211" spans="2:5" x14ac:dyDescent="0.35">
      <c r="B211" s="49" t="s">
        <v>14092</v>
      </c>
      <c r="C211" s="53" t="s">
        <v>14093</v>
      </c>
    </row>
    <row r="212" spans="2:5" x14ac:dyDescent="0.35">
      <c r="C212" s="53" t="s">
        <v>14083</v>
      </c>
      <c r="D212" s="1" t="s">
        <v>19</v>
      </c>
      <c r="E212" s="1">
        <v>3410.125</v>
      </c>
    </row>
    <row r="213" spans="2:5" x14ac:dyDescent="0.35">
      <c r="C213" s="1" t="s">
        <v>9473</v>
      </c>
      <c r="D213" s="1" t="s">
        <v>18</v>
      </c>
      <c r="E213" s="1">
        <v>3410.2</v>
      </c>
    </row>
    <row r="214" spans="2:5" x14ac:dyDescent="0.35">
      <c r="C214" s="1" t="s">
        <v>9472</v>
      </c>
      <c r="D214" s="1" t="s">
        <v>20</v>
      </c>
      <c r="E214" s="1">
        <v>3410.21</v>
      </c>
    </row>
    <row r="215" spans="2:5" x14ac:dyDescent="0.35">
      <c r="C215" s="1" t="s">
        <v>9471</v>
      </c>
      <c r="D215" s="1" t="s">
        <v>20</v>
      </c>
      <c r="E215" s="1">
        <v>3410.3</v>
      </c>
    </row>
    <row r="216" spans="2:5" x14ac:dyDescent="0.35">
      <c r="C216" s="1" t="s">
        <v>9470</v>
      </c>
      <c r="D216" s="1" t="s">
        <v>20</v>
      </c>
      <c r="E216" s="1">
        <v>3410.31</v>
      </c>
    </row>
    <row r="217" spans="2:5" x14ac:dyDescent="0.35">
      <c r="C217" s="1" t="s">
        <v>9469</v>
      </c>
      <c r="D217" s="1" t="s">
        <v>20</v>
      </c>
      <c r="E217" s="1">
        <v>3410.32</v>
      </c>
    </row>
    <row r="218" spans="2:5" x14ac:dyDescent="0.35">
      <c r="C218" s="1" t="s">
        <v>9468</v>
      </c>
      <c r="D218" s="1" t="s">
        <v>20</v>
      </c>
      <c r="E218" s="1">
        <v>3410.33</v>
      </c>
    </row>
    <row r="219" spans="2:5" x14ac:dyDescent="0.35">
      <c r="C219" s="1" t="s">
        <v>9467</v>
      </c>
      <c r="D219" s="1" t="s">
        <v>20</v>
      </c>
      <c r="E219" s="1">
        <v>3411</v>
      </c>
    </row>
    <row r="220" spans="2:5" x14ac:dyDescent="0.35">
      <c r="C220" s="1" t="s">
        <v>9466</v>
      </c>
      <c r="D220" s="1" t="s">
        <v>62</v>
      </c>
      <c r="E220" s="1">
        <v>3411.011</v>
      </c>
    </row>
    <row r="221" spans="2:5" x14ac:dyDescent="0.35">
      <c r="C221" s="1" t="s">
        <v>9465</v>
      </c>
      <c r="D221" s="1" t="s">
        <v>62</v>
      </c>
      <c r="E221" s="1">
        <v>3411.0120000000002</v>
      </c>
    </row>
    <row r="222" spans="2:5" x14ac:dyDescent="0.35">
      <c r="C222" s="1" t="s">
        <v>9464</v>
      </c>
      <c r="D222" s="1" t="s">
        <v>621</v>
      </c>
      <c r="E222" s="1">
        <v>3411.0129999999999</v>
      </c>
    </row>
    <row r="223" spans="2:5" x14ac:dyDescent="0.35">
      <c r="C223" s="1" t="s">
        <v>9463</v>
      </c>
      <c r="D223" s="1" t="s">
        <v>19</v>
      </c>
      <c r="E223" s="1">
        <v>3418.1109999999999</v>
      </c>
    </row>
    <row r="224" spans="2:5" x14ac:dyDescent="0.35">
      <c r="C224" s="1" t="s">
        <v>9462</v>
      </c>
      <c r="D224" s="1" t="s">
        <v>57</v>
      </c>
      <c r="E224" s="1">
        <v>3470</v>
      </c>
    </row>
    <row r="225" spans="3:5" x14ac:dyDescent="0.35">
      <c r="C225" s="1" t="s">
        <v>9461</v>
      </c>
      <c r="D225" s="1" t="s">
        <v>57</v>
      </c>
      <c r="E225" s="1">
        <v>3470.0010000000002</v>
      </c>
    </row>
    <row r="226" spans="3:5" x14ac:dyDescent="0.35">
      <c r="C226" s="1" t="s">
        <v>9460</v>
      </c>
      <c r="D226" s="1" t="s">
        <v>23</v>
      </c>
      <c r="E226" s="1">
        <v>3470.002</v>
      </c>
    </row>
    <row r="227" spans="3:5" x14ac:dyDescent="0.35">
      <c r="C227" s="1" t="s">
        <v>9459</v>
      </c>
      <c r="D227" s="1" t="s">
        <v>23</v>
      </c>
      <c r="E227" s="1">
        <v>3470.0030000000002</v>
      </c>
    </row>
    <row r="228" spans="3:5" x14ac:dyDescent="0.35">
      <c r="C228" s="1" t="s">
        <v>9458</v>
      </c>
      <c r="D228" s="1" t="s">
        <v>23</v>
      </c>
      <c r="E228" s="1">
        <v>3470.0039999999999</v>
      </c>
    </row>
    <row r="229" spans="3:5" x14ac:dyDescent="0.35">
      <c r="C229" s="1" t="s">
        <v>9457</v>
      </c>
      <c r="D229" s="1" t="s">
        <v>23</v>
      </c>
      <c r="E229" s="1">
        <v>3470.0050000000001</v>
      </c>
    </row>
    <row r="230" spans="3:5" x14ac:dyDescent="0.35">
      <c r="C230" s="1" t="s">
        <v>9456</v>
      </c>
      <c r="D230" s="1" t="s">
        <v>23</v>
      </c>
      <c r="E230" s="1">
        <v>3470.0059999999999</v>
      </c>
    </row>
    <row r="231" spans="3:5" x14ac:dyDescent="0.35">
      <c r="C231" s="1" t="s">
        <v>9455</v>
      </c>
      <c r="D231" s="1" t="s">
        <v>23</v>
      </c>
      <c r="E231" s="1">
        <v>3470.0070000000001</v>
      </c>
    </row>
    <row r="232" spans="3:5" x14ac:dyDescent="0.35">
      <c r="C232" s="1" t="s">
        <v>9453</v>
      </c>
      <c r="D232" s="1" t="s">
        <v>23</v>
      </c>
      <c r="E232" s="1">
        <v>3470.0079999999998</v>
      </c>
    </row>
    <row r="233" spans="3:5" x14ac:dyDescent="0.35">
      <c r="C233" s="1" t="s">
        <v>9452</v>
      </c>
      <c r="D233" s="1" t="s">
        <v>23</v>
      </c>
      <c r="E233" s="1">
        <v>3470.009</v>
      </c>
    </row>
    <row r="234" spans="3:5" x14ac:dyDescent="0.35">
      <c r="C234" s="1" t="s">
        <v>9451</v>
      </c>
      <c r="D234" s="1" t="s">
        <v>23</v>
      </c>
      <c r="E234" s="1">
        <v>3470.0120000000002</v>
      </c>
    </row>
    <row r="235" spans="3:5" x14ac:dyDescent="0.35">
      <c r="C235" s="1" t="s">
        <v>9450</v>
      </c>
      <c r="D235" s="1" t="s">
        <v>23</v>
      </c>
      <c r="E235" s="1">
        <v>3470.0129999999999</v>
      </c>
    </row>
    <row r="236" spans="3:5" x14ac:dyDescent="0.35">
      <c r="C236" s="1" t="s">
        <v>9449</v>
      </c>
      <c r="D236" s="1" t="s">
        <v>23</v>
      </c>
      <c r="E236" s="1">
        <v>3470.0140000000001</v>
      </c>
    </row>
    <row r="237" spans="3:5" x14ac:dyDescent="0.35">
      <c r="C237" s="1" t="s">
        <v>9448</v>
      </c>
      <c r="D237" s="1" t="s">
        <v>23</v>
      </c>
      <c r="E237" s="1">
        <v>3470.0149999999999</v>
      </c>
    </row>
    <row r="238" spans="3:5" x14ac:dyDescent="0.35">
      <c r="C238" s="1" t="s">
        <v>9447</v>
      </c>
      <c r="D238" s="1" t="s">
        <v>23</v>
      </c>
      <c r="E238" s="1">
        <v>3470.0160000000001</v>
      </c>
    </row>
    <row r="239" spans="3:5" x14ac:dyDescent="0.35">
      <c r="C239" s="1" t="s">
        <v>9446</v>
      </c>
      <c r="D239" s="1" t="s">
        <v>23</v>
      </c>
      <c r="E239" s="1">
        <v>3470.0169999999998</v>
      </c>
    </row>
    <row r="240" spans="3:5" x14ac:dyDescent="0.35">
      <c r="C240" s="1" t="s">
        <v>9445</v>
      </c>
      <c r="D240" s="1" t="s">
        <v>23</v>
      </c>
      <c r="E240" s="1">
        <v>3470.018</v>
      </c>
    </row>
    <row r="241" spans="3:5" x14ac:dyDescent="0.35">
      <c r="C241" s="1" t="s">
        <v>9444</v>
      </c>
      <c r="D241" s="1" t="s">
        <v>23</v>
      </c>
      <c r="E241" s="1">
        <v>3470.0189999999998</v>
      </c>
    </row>
    <row r="242" spans="3:5" x14ac:dyDescent="0.35">
      <c r="C242" s="1" t="s">
        <v>9443</v>
      </c>
      <c r="D242" s="1" t="s">
        <v>23</v>
      </c>
      <c r="E242" s="1">
        <v>3470.0219999999999</v>
      </c>
    </row>
    <row r="243" spans="3:5" x14ac:dyDescent="0.35">
      <c r="C243" s="1" t="s">
        <v>9442</v>
      </c>
      <c r="D243" s="1" t="s">
        <v>23</v>
      </c>
      <c r="E243" s="1">
        <v>3470.0230000000001</v>
      </c>
    </row>
    <row r="244" spans="3:5" x14ac:dyDescent="0.35">
      <c r="C244" s="1" t="s">
        <v>9441</v>
      </c>
      <c r="D244" s="1" t="s">
        <v>23</v>
      </c>
      <c r="E244" s="1">
        <v>3470.0239999999999</v>
      </c>
    </row>
    <row r="245" spans="3:5" x14ac:dyDescent="0.35">
      <c r="C245" s="1" t="s">
        <v>9440</v>
      </c>
      <c r="D245" s="1" t="s">
        <v>23</v>
      </c>
      <c r="E245" s="1">
        <v>3470.0250000000001</v>
      </c>
    </row>
    <row r="246" spans="3:5" x14ac:dyDescent="0.35">
      <c r="C246" s="1" t="s">
        <v>9439</v>
      </c>
      <c r="D246" s="1" t="s">
        <v>23</v>
      </c>
      <c r="E246" s="1">
        <v>3470.0259999999998</v>
      </c>
    </row>
    <row r="247" spans="3:5" x14ac:dyDescent="0.35">
      <c r="C247" s="1" t="s">
        <v>9438</v>
      </c>
      <c r="D247" s="1" t="s">
        <v>23</v>
      </c>
      <c r="E247" s="1">
        <v>3470.027</v>
      </c>
    </row>
    <row r="248" spans="3:5" x14ac:dyDescent="0.35">
      <c r="C248" s="1" t="s">
        <v>9437</v>
      </c>
      <c r="D248" s="1" t="s">
        <v>23</v>
      </c>
      <c r="E248" s="1">
        <v>3470.0279999999998</v>
      </c>
    </row>
    <row r="249" spans="3:5" x14ac:dyDescent="0.35">
      <c r="C249" s="1" t="s">
        <v>9436</v>
      </c>
      <c r="D249" s="1" t="s">
        <v>23</v>
      </c>
      <c r="E249" s="1">
        <v>3470.029</v>
      </c>
    </row>
    <row r="250" spans="3:5" x14ac:dyDescent="0.35">
      <c r="C250" s="1" t="s">
        <v>9435</v>
      </c>
      <c r="D250" s="1" t="s">
        <v>23</v>
      </c>
      <c r="E250" s="1">
        <v>3470.0320000000002</v>
      </c>
    </row>
    <row r="251" spans="3:5" x14ac:dyDescent="0.35">
      <c r="C251" s="1" t="s">
        <v>9434</v>
      </c>
      <c r="D251" s="1" t="s">
        <v>23</v>
      </c>
      <c r="E251" s="1">
        <v>3470.0329999999999</v>
      </c>
    </row>
    <row r="252" spans="3:5" x14ac:dyDescent="0.35">
      <c r="C252" s="1" t="s">
        <v>9433</v>
      </c>
      <c r="D252" s="1" t="s">
        <v>23</v>
      </c>
      <c r="E252" s="1">
        <v>3470.0340000000001</v>
      </c>
    </row>
    <row r="253" spans="3:5" x14ac:dyDescent="0.35">
      <c r="C253" s="1" t="s">
        <v>9432</v>
      </c>
      <c r="D253" s="1" t="s">
        <v>23</v>
      </c>
      <c r="E253" s="1">
        <v>3470.0349999999999</v>
      </c>
    </row>
    <row r="254" spans="3:5" x14ac:dyDescent="0.35">
      <c r="C254" s="1" t="s">
        <v>9431</v>
      </c>
      <c r="D254" s="1" t="s">
        <v>23</v>
      </c>
      <c r="E254" s="1">
        <v>3470.0360000000001</v>
      </c>
    </row>
    <row r="255" spans="3:5" x14ac:dyDescent="0.35">
      <c r="C255" s="1" t="s">
        <v>9430</v>
      </c>
      <c r="D255" s="1" t="s">
        <v>23</v>
      </c>
      <c r="E255" s="1">
        <v>3470.0369999999998</v>
      </c>
    </row>
    <row r="256" spans="3:5" x14ac:dyDescent="0.35">
      <c r="C256" s="1" t="s">
        <v>9429</v>
      </c>
      <c r="D256" s="1" t="s">
        <v>23</v>
      </c>
      <c r="E256" s="1">
        <v>3470.038</v>
      </c>
    </row>
    <row r="257" spans="3:5" x14ac:dyDescent="0.35">
      <c r="C257" s="1" t="s">
        <v>9428</v>
      </c>
      <c r="D257" s="1" t="s">
        <v>23</v>
      </c>
      <c r="E257" s="1">
        <v>3470.0390000000002</v>
      </c>
    </row>
    <row r="258" spans="3:5" x14ac:dyDescent="0.35">
      <c r="C258" s="1" t="s">
        <v>9427</v>
      </c>
      <c r="D258" s="1" t="s">
        <v>57</v>
      </c>
      <c r="E258" s="1">
        <v>3470.0410000000002</v>
      </c>
    </row>
    <row r="259" spans="3:5" x14ac:dyDescent="0.35">
      <c r="C259" s="1" t="s">
        <v>9426</v>
      </c>
      <c r="D259" s="1" t="s">
        <v>23</v>
      </c>
      <c r="E259" s="1">
        <v>3470.0419999999999</v>
      </c>
    </row>
    <row r="260" spans="3:5" x14ac:dyDescent="0.35">
      <c r="C260" s="1" t="s">
        <v>9425</v>
      </c>
      <c r="D260" s="1" t="s">
        <v>23</v>
      </c>
      <c r="E260" s="1">
        <v>3470.0430000000001</v>
      </c>
    </row>
    <row r="261" spans="3:5" x14ac:dyDescent="0.35">
      <c r="C261" s="1" t="s">
        <v>9424</v>
      </c>
      <c r="D261" s="1" t="s">
        <v>23</v>
      </c>
      <c r="E261" s="1">
        <v>3470.0439999999999</v>
      </c>
    </row>
    <row r="262" spans="3:5" x14ac:dyDescent="0.35">
      <c r="C262" s="1" t="s">
        <v>9423</v>
      </c>
      <c r="D262" s="1" t="s">
        <v>23</v>
      </c>
      <c r="E262" s="1">
        <v>3470.0450000000001</v>
      </c>
    </row>
    <row r="263" spans="3:5" x14ac:dyDescent="0.35">
      <c r="C263" s="1" t="s">
        <v>9422</v>
      </c>
      <c r="D263" s="1" t="s">
        <v>23</v>
      </c>
      <c r="E263" s="1">
        <v>3470.0459999999998</v>
      </c>
    </row>
    <row r="264" spans="3:5" x14ac:dyDescent="0.35">
      <c r="C264" s="1" t="s">
        <v>9454</v>
      </c>
      <c r="D264" s="1" t="s">
        <v>23</v>
      </c>
      <c r="E264" s="1">
        <v>3470.047</v>
      </c>
    </row>
    <row r="265" spans="3:5" x14ac:dyDescent="0.35">
      <c r="C265" s="1" t="s">
        <v>9453</v>
      </c>
      <c r="D265" s="1" t="s">
        <v>23</v>
      </c>
      <c r="E265" s="1">
        <v>3470.0479999999998</v>
      </c>
    </row>
    <row r="266" spans="3:5" x14ac:dyDescent="0.35">
      <c r="C266" s="1" t="s">
        <v>9452</v>
      </c>
      <c r="D266" s="1" t="s">
        <v>23</v>
      </c>
      <c r="E266" s="1">
        <v>3470.049</v>
      </c>
    </row>
    <row r="267" spans="3:5" x14ac:dyDescent="0.35">
      <c r="C267" s="1" t="s">
        <v>9451</v>
      </c>
      <c r="D267" s="1" t="s">
        <v>23</v>
      </c>
      <c r="E267" s="1">
        <v>3470.0520000000001</v>
      </c>
    </row>
    <row r="268" spans="3:5" x14ac:dyDescent="0.35">
      <c r="C268" s="1" t="s">
        <v>9450</v>
      </c>
      <c r="D268" s="1" t="s">
        <v>23</v>
      </c>
      <c r="E268" s="1">
        <v>3470.0529999999999</v>
      </c>
    </row>
    <row r="269" spans="3:5" x14ac:dyDescent="0.35">
      <c r="C269" s="1" t="s">
        <v>9449</v>
      </c>
      <c r="D269" s="1" t="s">
        <v>23</v>
      </c>
      <c r="E269" s="1">
        <v>3470.0540000000001</v>
      </c>
    </row>
    <row r="270" spans="3:5" x14ac:dyDescent="0.35">
      <c r="C270" s="1" t="s">
        <v>9448</v>
      </c>
      <c r="D270" s="1" t="s">
        <v>23</v>
      </c>
      <c r="E270" s="1">
        <v>3470.0549999999998</v>
      </c>
    </row>
    <row r="271" spans="3:5" x14ac:dyDescent="0.35">
      <c r="C271" s="1" t="s">
        <v>9447</v>
      </c>
      <c r="D271" s="1" t="s">
        <v>23</v>
      </c>
      <c r="E271" s="1">
        <v>3470.056</v>
      </c>
    </row>
    <row r="272" spans="3:5" x14ac:dyDescent="0.35">
      <c r="C272" s="1" t="s">
        <v>9446</v>
      </c>
      <c r="D272" s="1" t="s">
        <v>23</v>
      </c>
      <c r="E272" s="1">
        <v>3470.0569999999998</v>
      </c>
    </row>
    <row r="273" spans="3:5" x14ac:dyDescent="0.35">
      <c r="C273" s="1" t="s">
        <v>9445</v>
      </c>
      <c r="D273" s="1" t="s">
        <v>23</v>
      </c>
      <c r="E273" s="1">
        <v>3470.058</v>
      </c>
    </row>
    <row r="274" spans="3:5" x14ac:dyDescent="0.35">
      <c r="C274" s="1" t="s">
        <v>9444</v>
      </c>
      <c r="D274" s="1" t="s">
        <v>23</v>
      </c>
      <c r="E274" s="1">
        <v>3470.0590000000002</v>
      </c>
    </row>
    <row r="275" spans="3:5" x14ac:dyDescent="0.35">
      <c r="C275" s="1" t="s">
        <v>9443</v>
      </c>
      <c r="D275" s="1" t="s">
        <v>23</v>
      </c>
      <c r="E275" s="1">
        <v>3470.0619999999999</v>
      </c>
    </row>
    <row r="276" spans="3:5" x14ac:dyDescent="0.35">
      <c r="C276" s="1" t="s">
        <v>9442</v>
      </c>
      <c r="D276" s="1" t="s">
        <v>23</v>
      </c>
      <c r="E276" s="1">
        <v>3470.0630000000001</v>
      </c>
    </row>
    <row r="277" spans="3:5" x14ac:dyDescent="0.35">
      <c r="C277" s="1" t="s">
        <v>9441</v>
      </c>
      <c r="D277" s="1" t="s">
        <v>23</v>
      </c>
      <c r="E277" s="1">
        <v>3470.0639999999999</v>
      </c>
    </row>
    <row r="278" spans="3:5" x14ac:dyDescent="0.35">
      <c r="C278" s="1" t="s">
        <v>9440</v>
      </c>
      <c r="D278" s="1" t="s">
        <v>23</v>
      </c>
      <c r="E278" s="1">
        <v>3470.0650000000001</v>
      </c>
    </row>
    <row r="279" spans="3:5" x14ac:dyDescent="0.35">
      <c r="C279" s="1" t="s">
        <v>9439</v>
      </c>
      <c r="D279" s="1" t="s">
        <v>23</v>
      </c>
      <c r="E279" s="1">
        <v>3470.0659999999998</v>
      </c>
    </row>
    <row r="280" spans="3:5" x14ac:dyDescent="0.35">
      <c r="C280" s="1" t="s">
        <v>9438</v>
      </c>
      <c r="D280" s="1" t="s">
        <v>23</v>
      </c>
      <c r="E280" s="1">
        <v>3470.067</v>
      </c>
    </row>
    <row r="281" spans="3:5" x14ac:dyDescent="0.35">
      <c r="C281" s="1" t="s">
        <v>9437</v>
      </c>
      <c r="D281" s="1" t="s">
        <v>23</v>
      </c>
      <c r="E281" s="1">
        <v>3470.0680000000002</v>
      </c>
    </row>
    <row r="282" spans="3:5" x14ac:dyDescent="0.35">
      <c r="C282" s="1" t="s">
        <v>9436</v>
      </c>
      <c r="D282" s="1" t="s">
        <v>23</v>
      </c>
      <c r="E282" s="1">
        <v>3470.069</v>
      </c>
    </row>
    <row r="283" spans="3:5" x14ac:dyDescent="0.35">
      <c r="C283" s="1" t="s">
        <v>9435</v>
      </c>
      <c r="D283" s="1" t="s">
        <v>23</v>
      </c>
      <c r="E283" s="1">
        <v>3470.0720000000001</v>
      </c>
    </row>
    <row r="284" spans="3:5" x14ac:dyDescent="0.35">
      <c r="C284" s="1" t="s">
        <v>9434</v>
      </c>
      <c r="D284" s="1" t="s">
        <v>23</v>
      </c>
      <c r="E284" s="1">
        <v>3470.0729999999999</v>
      </c>
    </row>
    <row r="285" spans="3:5" x14ac:dyDescent="0.35">
      <c r="C285" s="1" t="s">
        <v>9433</v>
      </c>
      <c r="D285" s="1" t="s">
        <v>23</v>
      </c>
      <c r="E285" s="1">
        <v>3470.0740000000001</v>
      </c>
    </row>
    <row r="286" spans="3:5" x14ac:dyDescent="0.35">
      <c r="C286" s="1" t="s">
        <v>9432</v>
      </c>
      <c r="D286" s="1" t="s">
        <v>23</v>
      </c>
      <c r="E286" s="1">
        <v>3470.0749999999998</v>
      </c>
    </row>
    <row r="287" spans="3:5" x14ac:dyDescent="0.35">
      <c r="C287" s="1" t="s">
        <v>9431</v>
      </c>
      <c r="D287" s="1" t="s">
        <v>23</v>
      </c>
      <c r="E287" s="1">
        <v>3470.076</v>
      </c>
    </row>
    <row r="288" spans="3:5" x14ac:dyDescent="0.35">
      <c r="C288" s="1" t="s">
        <v>9430</v>
      </c>
      <c r="D288" s="1" t="s">
        <v>23</v>
      </c>
      <c r="E288" s="1">
        <v>3470.0770000000002</v>
      </c>
    </row>
    <row r="289" spans="3:5" x14ac:dyDescent="0.35">
      <c r="C289" s="1" t="s">
        <v>9429</v>
      </c>
      <c r="D289" s="1" t="s">
        <v>23</v>
      </c>
      <c r="E289" s="1">
        <v>3470.078</v>
      </c>
    </row>
    <row r="290" spans="3:5" x14ac:dyDescent="0.35">
      <c r="C290" s="1" t="s">
        <v>9428</v>
      </c>
      <c r="D290" s="1" t="s">
        <v>23</v>
      </c>
      <c r="E290" s="1">
        <v>3470.0790000000002</v>
      </c>
    </row>
    <row r="291" spans="3:5" x14ac:dyDescent="0.35">
      <c r="C291" s="1" t="s">
        <v>9427</v>
      </c>
      <c r="D291" s="1" t="s">
        <v>20</v>
      </c>
      <c r="E291" s="1">
        <v>3470.1010000000001</v>
      </c>
    </row>
    <row r="292" spans="3:5" x14ac:dyDescent="0.35">
      <c r="C292" s="1" t="s">
        <v>9426</v>
      </c>
      <c r="D292" s="1" t="s">
        <v>20</v>
      </c>
      <c r="E292" s="1">
        <v>3470.1019999999999</v>
      </c>
    </row>
    <row r="293" spans="3:5" x14ac:dyDescent="0.35">
      <c r="C293" s="1" t="s">
        <v>9425</v>
      </c>
      <c r="D293" s="1" t="s">
        <v>20</v>
      </c>
      <c r="E293" s="1">
        <v>3470.1030000000001</v>
      </c>
    </row>
    <row r="294" spans="3:5" x14ac:dyDescent="0.35">
      <c r="C294" s="1" t="s">
        <v>9424</v>
      </c>
      <c r="D294" s="1" t="s">
        <v>20</v>
      </c>
      <c r="E294" s="1">
        <v>3470.1039999999998</v>
      </c>
    </row>
    <row r="295" spans="3:5" x14ac:dyDescent="0.35">
      <c r="C295" s="1" t="s">
        <v>9423</v>
      </c>
      <c r="D295" s="1" t="s">
        <v>20</v>
      </c>
      <c r="E295" s="1">
        <v>3470.105</v>
      </c>
    </row>
    <row r="296" spans="3:5" x14ac:dyDescent="0.35">
      <c r="C296" s="1" t="s">
        <v>9422</v>
      </c>
      <c r="D296" s="1" t="s">
        <v>20</v>
      </c>
      <c r="E296" s="1">
        <v>3470.1060000000002</v>
      </c>
    </row>
    <row r="297" spans="3:5" x14ac:dyDescent="0.35">
      <c r="C297" s="1" t="s">
        <v>9421</v>
      </c>
      <c r="D297" s="1" t="s">
        <v>20</v>
      </c>
      <c r="E297" s="1">
        <v>3470.107</v>
      </c>
    </row>
    <row r="298" spans="3:5" x14ac:dyDescent="0.35">
      <c r="C298" s="1" t="s">
        <v>9420</v>
      </c>
      <c r="D298" s="1" t="s">
        <v>57</v>
      </c>
      <c r="E298" s="1">
        <v>3470.12</v>
      </c>
    </row>
    <row r="299" spans="3:5" x14ac:dyDescent="0.35">
      <c r="C299" s="1" t="s">
        <v>9419</v>
      </c>
      <c r="D299" s="1" t="s">
        <v>20</v>
      </c>
      <c r="E299" s="1">
        <v>3470.1210000000001</v>
      </c>
    </row>
    <row r="300" spans="3:5" x14ac:dyDescent="0.35">
      <c r="C300" s="1" t="s">
        <v>9418</v>
      </c>
      <c r="D300" s="1" t="s">
        <v>20</v>
      </c>
      <c r="E300" s="1">
        <v>3470.1219999999998</v>
      </c>
    </row>
    <row r="301" spans="3:5" x14ac:dyDescent="0.35">
      <c r="C301" s="1" t="s">
        <v>9417</v>
      </c>
      <c r="D301" s="1" t="s">
        <v>20</v>
      </c>
      <c r="E301" s="1">
        <v>3470.123</v>
      </c>
    </row>
    <row r="302" spans="3:5" x14ac:dyDescent="0.35">
      <c r="C302" s="1" t="s">
        <v>9416</v>
      </c>
      <c r="D302" s="1" t="s">
        <v>20</v>
      </c>
      <c r="E302" s="1">
        <v>3470.13</v>
      </c>
    </row>
    <row r="303" spans="3:5" x14ac:dyDescent="0.35">
      <c r="C303" s="1" t="s">
        <v>9415</v>
      </c>
      <c r="D303" s="1" t="s">
        <v>20</v>
      </c>
      <c r="E303" s="1">
        <v>3470.1309999999999</v>
      </c>
    </row>
    <row r="304" spans="3:5" x14ac:dyDescent="0.35">
      <c r="C304" s="1" t="s">
        <v>47</v>
      </c>
      <c r="D304" s="1" t="s">
        <v>20</v>
      </c>
      <c r="E304" s="1">
        <v>3470.1320000000001</v>
      </c>
    </row>
    <row r="305" spans="3:5" x14ac:dyDescent="0.35">
      <c r="C305" s="1" t="s">
        <v>9414</v>
      </c>
      <c r="D305" s="1" t="s">
        <v>20</v>
      </c>
      <c r="E305" s="1">
        <v>3470.14</v>
      </c>
    </row>
    <row r="306" spans="3:5" x14ac:dyDescent="0.35">
      <c r="C306" s="1" t="s">
        <v>9413</v>
      </c>
      <c r="D306" s="1" t="s">
        <v>20</v>
      </c>
      <c r="E306" s="1">
        <v>3470.1410000000001</v>
      </c>
    </row>
    <row r="307" spans="3:5" x14ac:dyDescent="0.35">
      <c r="C307" s="1" t="s">
        <v>9412</v>
      </c>
      <c r="D307" s="1" t="s">
        <v>20</v>
      </c>
      <c r="E307" s="1">
        <v>3470.1419999999998</v>
      </c>
    </row>
    <row r="308" spans="3:5" x14ac:dyDescent="0.35">
      <c r="C308" s="1" t="s">
        <v>9411</v>
      </c>
      <c r="D308" s="1" t="s">
        <v>20</v>
      </c>
      <c r="E308" s="1">
        <v>3470.1509999999998</v>
      </c>
    </row>
    <row r="309" spans="3:5" x14ac:dyDescent="0.35">
      <c r="C309" s="1" t="s">
        <v>9410</v>
      </c>
      <c r="D309" s="1" t="s">
        <v>20</v>
      </c>
      <c r="E309" s="1">
        <v>3470.152</v>
      </c>
    </row>
    <row r="310" spans="3:5" x14ac:dyDescent="0.35">
      <c r="C310" s="1" t="s">
        <v>9409</v>
      </c>
      <c r="D310" s="1" t="s">
        <v>20</v>
      </c>
      <c r="E310" s="1">
        <v>3470.1529999999998</v>
      </c>
    </row>
    <row r="311" spans="3:5" x14ac:dyDescent="0.35">
      <c r="C311" s="1" t="s">
        <v>9408</v>
      </c>
      <c r="D311" s="1" t="s">
        <v>20</v>
      </c>
      <c r="E311" s="1">
        <v>3470.154</v>
      </c>
    </row>
    <row r="312" spans="3:5" x14ac:dyDescent="0.35">
      <c r="C312" s="1" t="s">
        <v>9407</v>
      </c>
      <c r="D312" s="1" t="s">
        <v>20</v>
      </c>
      <c r="E312" s="1">
        <v>3470.1550000000002</v>
      </c>
    </row>
    <row r="313" spans="3:5" x14ac:dyDescent="0.35">
      <c r="C313" s="1" t="s">
        <v>9406</v>
      </c>
      <c r="D313" s="1" t="s">
        <v>20</v>
      </c>
      <c r="E313" s="1">
        <v>3470.1559999999999</v>
      </c>
    </row>
    <row r="314" spans="3:5" x14ac:dyDescent="0.35">
      <c r="C314" s="1" t="s">
        <v>9405</v>
      </c>
      <c r="D314" s="1" t="s">
        <v>20</v>
      </c>
      <c r="E314" s="1">
        <v>3470.1570000000002</v>
      </c>
    </row>
    <row r="315" spans="3:5" x14ac:dyDescent="0.35">
      <c r="C315" s="1" t="s">
        <v>9404</v>
      </c>
      <c r="D315" s="1" t="s">
        <v>20</v>
      </c>
      <c r="E315" s="1">
        <v>3470.1709999999998</v>
      </c>
    </row>
    <row r="316" spans="3:5" x14ac:dyDescent="0.35">
      <c r="C316" s="1" t="s">
        <v>9403</v>
      </c>
      <c r="D316" s="1" t="s">
        <v>42</v>
      </c>
      <c r="E316" s="1">
        <v>3470.172</v>
      </c>
    </row>
    <row r="317" spans="3:5" x14ac:dyDescent="0.35">
      <c r="C317" s="1" t="s">
        <v>9402</v>
      </c>
      <c r="D317" s="1" t="s">
        <v>42</v>
      </c>
      <c r="E317" s="1">
        <v>3470.1729999999998</v>
      </c>
    </row>
    <row r="318" spans="3:5" x14ac:dyDescent="0.35">
      <c r="C318" s="1" t="s">
        <v>9401</v>
      </c>
      <c r="D318" s="1" t="s">
        <v>42</v>
      </c>
      <c r="E318" s="1">
        <v>3470.174</v>
      </c>
    </row>
    <row r="319" spans="3:5" x14ac:dyDescent="0.35">
      <c r="C319" s="1" t="s">
        <v>9400</v>
      </c>
      <c r="D319" s="1" t="s">
        <v>42</v>
      </c>
      <c r="E319" s="1">
        <v>3470.1750000000002</v>
      </c>
    </row>
    <row r="320" spans="3:5" x14ac:dyDescent="0.35">
      <c r="C320" s="1" t="s">
        <v>9399</v>
      </c>
      <c r="D320" s="1" t="s">
        <v>20</v>
      </c>
      <c r="E320" s="1">
        <v>3470.1759999999999</v>
      </c>
    </row>
    <row r="321" spans="3:5" x14ac:dyDescent="0.35">
      <c r="C321" s="1" t="s">
        <v>9398</v>
      </c>
      <c r="D321" s="1" t="s">
        <v>20</v>
      </c>
      <c r="E321" s="1">
        <v>3470.181</v>
      </c>
    </row>
    <row r="322" spans="3:5" x14ac:dyDescent="0.35">
      <c r="C322" s="1" t="s">
        <v>9397</v>
      </c>
      <c r="D322" s="1" t="s">
        <v>20</v>
      </c>
      <c r="E322" s="1">
        <v>3470.1819999999998</v>
      </c>
    </row>
    <row r="323" spans="3:5" x14ac:dyDescent="0.35">
      <c r="C323" s="1" t="s">
        <v>9396</v>
      </c>
      <c r="D323" s="1" t="s">
        <v>20</v>
      </c>
      <c r="E323" s="1">
        <v>3470.183</v>
      </c>
    </row>
    <row r="324" spans="3:5" x14ac:dyDescent="0.35">
      <c r="C324" s="1" t="s">
        <v>9395</v>
      </c>
      <c r="D324" s="1" t="s">
        <v>19</v>
      </c>
      <c r="E324" s="1">
        <v>3470.1909999999998</v>
      </c>
    </row>
    <row r="325" spans="3:5" x14ac:dyDescent="0.35">
      <c r="C325" s="1" t="s">
        <v>9394</v>
      </c>
      <c r="D325" s="1" t="s">
        <v>19</v>
      </c>
      <c r="E325" s="1">
        <v>3470.192</v>
      </c>
    </row>
    <row r="326" spans="3:5" x14ac:dyDescent="0.35">
      <c r="C326" s="1" t="s">
        <v>9393</v>
      </c>
      <c r="D326" s="1" t="s">
        <v>57</v>
      </c>
      <c r="E326" s="1">
        <v>3470.5010000000002</v>
      </c>
    </row>
    <row r="327" spans="3:5" x14ac:dyDescent="0.35">
      <c r="C327" s="1" t="s">
        <v>9392</v>
      </c>
      <c r="D327" s="1" t="s">
        <v>19</v>
      </c>
      <c r="E327" s="1">
        <v>3470.502</v>
      </c>
    </row>
    <row r="328" spans="3:5" x14ac:dyDescent="0.35">
      <c r="C328" s="1" t="s">
        <v>9391</v>
      </c>
      <c r="D328" s="1" t="s">
        <v>19</v>
      </c>
      <c r="E328" s="1">
        <v>3470.5030000000002</v>
      </c>
    </row>
    <row r="329" spans="3:5" x14ac:dyDescent="0.35">
      <c r="C329" s="1" t="s">
        <v>9390</v>
      </c>
      <c r="D329" s="1" t="s">
        <v>19</v>
      </c>
      <c r="E329" s="1">
        <v>3470.5039999999999</v>
      </c>
    </row>
    <row r="330" spans="3:5" x14ac:dyDescent="0.35">
      <c r="C330" s="1" t="s">
        <v>9389</v>
      </c>
      <c r="D330" s="1" t="s">
        <v>19</v>
      </c>
      <c r="E330" s="1">
        <v>3470.5050000000001</v>
      </c>
    </row>
    <row r="331" spans="3:5" x14ac:dyDescent="0.35">
      <c r="C331" s="1" t="s">
        <v>9388</v>
      </c>
      <c r="D331" s="1" t="s">
        <v>19</v>
      </c>
      <c r="E331" s="1">
        <v>3470.5059999999999</v>
      </c>
    </row>
    <row r="332" spans="3:5" x14ac:dyDescent="0.35">
      <c r="C332" s="1" t="s">
        <v>9387</v>
      </c>
      <c r="D332" s="1" t="s">
        <v>19</v>
      </c>
      <c r="E332" s="1">
        <v>3470.511</v>
      </c>
    </row>
    <row r="333" spans="3:5" x14ac:dyDescent="0.35">
      <c r="C333" s="1" t="s">
        <v>9386</v>
      </c>
      <c r="D333" s="1" t="s">
        <v>19</v>
      </c>
      <c r="E333" s="1">
        <v>3470.5120000000002</v>
      </c>
    </row>
    <row r="334" spans="3:5" x14ac:dyDescent="0.35">
      <c r="C334" s="1" t="s">
        <v>9385</v>
      </c>
      <c r="D334" s="1" t="s">
        <v>19</v>
      </c>
      <c r="E334" s="1">
        <v>3470.5129999999999</v>
      </c>
    </row>
    <row r="335" spans="3:5" x14ac:dyDescent="0.35">
      <c r="C335" s="1" t="s">
        <v>9384</v>
      </c>
      <c r="D335" s="1" t="s">
        <v>19</v>
      </c>
      <c r="E335" s="1">
        <v>3470.5140000000001</v>
      </c>
    </row>
    <row r="336" spans="3:5" x14ac:dyDescent="0.35">
      <c r="C336" s="1" t="s">
        <v>9383</v>
      </c>
      <c r="D336" s="1" t="s">
        <v>19</v>
      </c>
      <c r="E336" s="1">
        <v>3470.5149999999999</v>
      </c>
    </row>
    <row r="337" spans="3:5" x14ac:dyDescent="0.35">
      <c r="C337" s="1" t="s">
        <v>9382</v>
      </c>
      <c r="D337" s="1" t="s">
        <v>19</v>
      </c>
      <c r="E337" s="1">
        <v>3470.5210000000002</v>
      </c>
    </row>
    <row r="338" spans="3:5" x14ac:dyDescent="0.35">
      <c r="C338" s="1" t="s">
        <v>9381</v>
      </c>
      <c r="D338" s="1" t="s">
        <v>18</v>
      </c>
      <c r="E338" s="1">
        <v>3470.54</v>
      </c>
    </row>
    <row r="339" spans="3:5" x14ac:dyDescent="0.35">
      <c r="C339" s="1" t="s">
        <v>9380</v>
      </c>
      <c r="D339" s="1" t="s">
        <v>18</v>
      </c>
      <c r="E339" s="1">
        <v>3470.5410000000002</v>
      </c>
    </row>
    <row r="340" spans="3:5" x14ac:dyDescent="0.35">
      <c r="C340" s="1" t="s">
        <v>9379</v>
      </c>
      <c r="D340" s="1" t="s">
        <v>19</v>
      </c>
      <c r="E340" s="1">
        <v>3470.5509999999999</v>
      </c>
    </row>
    <row r="341" spans="3:5" x14ac:dyDescent="0.35">
      <c r="C341" s="1" t="s">
        <v>9378</v>
      </c>
      <c r="D341" s="1" t="s">
        <v>20</v>
      </c>
      <c r="E341" s="1">
        <v>3470.56</v>
      </c>
    </row>
    <row r="342" spans="3:5" x14ac:dyDescent="0.35">
      <c r="C342" s="1" t="s">
        <v>9377</v>
      </c>
      <c r="D342" s="1" t="s">
        <v>20</v>
      </c>
      <c r="E342" s="1">
        <v>3470.5610000000001</v>
      </c>
    </row>
    <row r="343" spans="3:5" x14ac:dyDescent="0.35">
      <c r="C343" s="1" t="s">
        <v>9376</v>
      </c>
      <c r="D343" s="1" t="s">
        <v>20</v>
      </c>
      <c r="E343" s="1">
        <v>3470.567</v>
      </c>
    </row>
    <row r="344" spans="3:5" x14ac:dyDescent="0.35">
      <c r="C344" s="1" t="s">
        <v>9375</v>
      </c>
      <c r="D344" s="1" t="s">
        <v>20</v>
      </c>
      <c r="E344" s="1">
        <v>3470.5680000000002</v>
      </c>
    </row>
    <row r="345" spans="3:5" x14ac:dyDescent="0.35">
      <c r="C345" s="1" t="s">
        <v>9374</v>
      </c>
      <c r="D345" s="1" t="s">
        <v>20</v>
      </c>
      <c r="E345" s="1">
        <v>3470.569</v>
      </c>
    </row>
    <row r="346" spans="3:5" x14ac:dyDescent="0.35">
      <c r="C346" s="1" t="s">
        <v>9373</v>
      </c>
      <c r="D346" s="1" t="s">
        <v>20</v>
      </c>
      <c r="E346" s="1">
        <v>3470.58</v>
      </c>
    </row>
    <row r="347" spans="3:5" x14ac:dyDescent="0.35">
      <c r="C347" s="1" t="s">
        <v>9372</v>
      </c>
      <c r="D347" s="1" t="s">
        <v>19</v>
      </c>
      <c r="E347" s="1">
        <v>3470.5810000000001</v>
      </c>
    </row>
    <row r="348" spans="3:5" x14ac:dyDescent="0.35">
      <c r="C348" s="1" t="s">
        <v>9371</v>
      </c>
      <c r="D348" s="1" t="s">
        <v>20</v>
      </c>
      <c r="E348" s="1">
        <v>3470.585</v>
      </c>
    </row>
    <row r="349" spans="3:5" x14ac:dyDescent="0.35">
      <c r="C349" s="1" t="s">
        <v>9370</v>
      </c>
      <c r="D349" s="1" t="s">
        <v>65</v>
      </c>
      <c r="E349" s="1">
        <v>3470.5859999999998</v>
      </c>
    </row>
    <row r="350" spans="3:5" x14ac:dyDescent="0.35">
      <c r="C350" s="1" t="s">
        <v>9369</v>
      </c>
      <c r="D350" s="1" t="s">
        <v>20</v>
      </c>
      <c r="E350" s="1">
        <v>3470.587</v>
      </c>
    </row>
    <row r="351" spans="3:5" x14ac:dyDescent="0.35">
      <c r="C351" s="1" t="s">
        <v>9368</v>
      </c>
      <c r="D351" s="1" t="s">
        <v>20</v>
      </c>
      <c r="E351" s="1">
        <v>3470.5949999999998</v>
      </c>
    </row>
    <row r="352" spans="3:5" x14ac:dyDescent="0.35">
      <c r="C352" s="1" t="s">
        <v>9367</v>
      </c>
      <c r="D352" s="1" t="s">
        <v>42</v>
      </c>
      <c r="E352" s="1">
        <v>3470.65</v>
      </c>
    </row>
    <row r="353" spans="3:5" x14ac:dyDescent="0.35">
      <c r="C353" s="1" t="s">
        <v>9366</v>
      </c>
      <c r="D353" s="1" t="s">
        <v>1692</v>
      </c>
      <c r="E353" s="1">
        <v>3470.6610000000001</v>
      </c>
    </row>
    <row r="354" spans="3:5" x14ac:dyDescent="0.35">
      <c r="C354" s="1" t="s">
        <v>9365</v>
      </c>
      <c r="D354" s="1" t="s">
        <v>1692</v>
      </c>
      <c r="E354" s="1">
        <v>3470.6619999999998</v>
      </c>
    </row>
    <row r="355" spans="3:5" x14ac:dyDescent="0.35">
      <c r="C355" s="1" t="s">
        <v>9364</v>
      </c>
      <c r="D355" s="1" t="s">
        <v>1692</v>
      </c>
      <c r="E355" s="1">
        <v>3470.663</v>
      </c>
    </row>
    <row r="356" spans="3:5" x14ac:dyDescent="0.35">
      <c r="C356" s="1" t="s">
        <v>9363</v>
      </c>
      <c r="D356" s="1" t="s">
        <v>1692</v>
      </c>
      <c r="E356" s="1">
        <v>3470.6640000000002</v>
      </c>
    </row>
    <row r="357" spans="3:5" x14ac:dyDescent="0.35">
      <c r="C357" s="1" t="s">
        <v>9362</v>
      </c>
      <c r="D357" s="1" t="s">
        <v>18</v>
      </c>
      <c r="E357" s="1">
        <v>3470.701</v>
      </c>
    </row>
    <row r="358" spans="3:5" x14ac:dyDescent="0.35">
      <c r="C358" s="1" t="s">
        <v>9361</v>
      </c>
      <c r="D358" s="1" t="s">
        <v>18</v>
      </c>
      <c r="E358" s="1">
        <v>3470.7020000000002</v>
      </c>
    </row>
    <row r="359" spans="3:5" x14ac:dyDescent="0.35">
      <c r="C359" s="1" t="s">
        <v>9360</v>
      </c>
      <c r="D359" s="1" t="s">
        <v>18</v>
      </c>
      <c r="E359" s="1">
        <v>3470.703</v>
      </c>
    </row>
    <row r="360" spans="3:5" x14ac:dyDescent="0.35">
      <c r="C360" s="1" t="s">
        <v>9359</v>
      </c>
      <c r="D360" s="1" t="s">
        <v>18</v>
      </c>
      <c r="E360" s="1">
        <v>3470.7040000000002</v>
      </c>
    </row>
    <row r="361" spans="3:5" x14ac:dyDescent="0.35">
      <c r="C361" s="1" t="s">
        <v>9358</v>
      </c>
      <c r="D361" s="1" t="s">
        <v>18</v>
      </c>
      <c r="E361" s="1">
        <v>3470.7109999999998</v>
      </c>
    </row>
    <row r="362" spans="3:5" x14ac:dyDescent="0.35">
      <c r="C362" s="1" t="s">
        <v>9357</v>
      </c>
      <c r="D362" s="1" t="s">
        <v>19</v>
      </c>
      <c r="E362" s="1">
        <v>3470.72</v>
      </c>
    </row>
    <row r="363" spans="3:5" x14ac:dyDescent="0.35">
      <c r="C363" s="1" t="s">
        <v>9356</v>
      </c>
      <c r="D363" s="1" t="s">
        <v>57</v>
      </c>
      <c r="E363" s="1">
        <v>3470.7310000000002</v>
      </c>
    </row>
    <row r="364" spans="3:5" x14ac:dyDescent="0.35">
      <c r="C364" s="1" t="s">
        <v>9355</v>
      </c>
      <c r="D364" s="1" t="s">
        <v>18</v>
      </c>
      <c r="E364" s="1">
        <v>3470.732</v>
      </c>
    </row>
    <row r="365" spans="3:5" x14ac:dyDescent="0.35">
      <c r="C365" s="1" t="s">
        <v>9354</v>
      </c>
      <c r="D365" s="1" t="s">
        <v>18</v>
      </c>
      <c r="E365" s="1">
        <v>3470.7330000000002</v>
      </c>
    </row>
    <row r="366" spans="3:5" x14ac:dyDescent="0.35">
      <c r="C366" s="1" t="s">
        <v>9353</v>
      </c>
      <c r="D366" s="1" t="s">
        <v>18</v>
      </c>
      <c r="E366" s="1">
        <v>3470.7339999999999</v>
      </c>
    </row>
    <row r="367" spans="3:5" x14ac:dyDescent="0.35">
      <c r="C367" s="1" t="s">
        <v>9352</v>
      </c>
      <c r="D367" s="1" t="s">
        <v>57</v>
      </c>
      <c r="E367" s="1">
        <v>3470.741</v>
      </c>
    </row>
    <row r="368" spans="3:5" x14ac:dyDescent="0.35">
      <c r="C368" s="1" t="s">
        <v>9351</v>
      </c>
      <c r="D368" s="1" t="s">
        <v>18</v>
      </c>
      <c r="E368" s="1">
        <v>3470.7420000000002</v>
      </c>
    </row>
    <row r="369" spans="3:5" x14ac:dyDescent="0.35">
      <c r="C369" s="1" t="s">
        <v>9350</v>
      </c>
      <c r="D369" s="1" t="s">
        <v>18</v>
      </c>
      <c r="E369" s="1">
        <v>3470.7429999999999</v>
      </c>
    </row>
    <row r="370" spans="3:5" x14ac:dyDescent="0.35">
      <c r="C370" s="1" t="s">
        <v>9349</v>
      </c>
      <c r="D370" s="1" t="s">
        <v>57</v>
      </c>
      <c r="E370" s="1">
        <v>3470.8009999999999</v>
      </c>
    </row>
    <row r="371" spans="3:5" x14ac:dyDescent="0.35">
      <c r="C371" s="1" t="s">
        <v>9348</v>
      </c>
      <c r="D371" s="1" t="s">
        <v>18</v>
      </c>
      <c r="E371" s="1">
        <v>3470.8020000000001</v>
      </c>
    </row>
    <row r="372" spans="3:5" x14ac:dyDescent="0.35">
      <c r="C372" s="1" t="s">
        <v>9347</v>
      </c>
      <c r="D372" s="1" t="s">
        <v>18</v>
      </c>
      <c r="E372" s="1">
        <v>3470.8029999999999</v>
      </c>
    </row>
    <row r="373" spans="3:5" x14ac:dyDescent="0.35">
      <c r="C373" s="1" t="s">
        <v>9346</v>
      </c>
      <c r="D373" s="1" t="s">
        <v>18</v>
      </c>
      <c r="E373" s="1">
        <v>3470.8040000000001</v>
      </c>
    </row>
    <row r="374" spans="3:5" x14ac:dyDescent="0.35">
      <c r="C374" s="1" t="s">
        <v>9345</v>
      </c>
      <c r="D374" s="1" t="s">
        <v>18</v>
      </c>
      <c r="E374" s="1">
        <v>3470.8049999999998</v>
      </c>
    </row>
    <row r="375" spans="3:5" x14ac:dyDescent="0.35">
      <c r="C375" s="1" t="s">
        <v>9344</v>
      </c>
      <c r="D375" s="1" t="s">
        <v>18</v>
      </c>
      <c r="E375" s="1">
        <v>3470.806</v>
      </c>
    </row>
    <row r="376" spans="3:5" x14ac:dyDescent="0.35">
      <c r="C376" s="1" t="s">
        <v>9343</v>
      </c>
      <c r="D376" s="1" t="s">
        <v>18</v>
      </c>
      <c r="E376" s="1">
        <v>3470.8069999999998</v>
      </c>
    </row>
    <row r="377" spans="3:5" x14ac:dyDescent="0.35">
      <c r="C377" s="1" t="s">
        <v>9342</v>
      </c>
      <c r="D377" s="1" t="s">
        <v>18</v>
      </c>
      <c r="E377" s="1">
        <v>3470.8310000000001</v>
      </c>
    </row>
    <row r="378" spans="3:5" x14ac:dyDescent="0.35">
      <c r="C378" s="1" t="s">
        <v>9341</v>
      </c>
      <c r="D378" s="1" t="s">
        <v>18</v>
      </c>
      <c r="E378" s="1">
        <v>3470.8319999999999</v>
      </c>
    </row>
    <row r="379" spans="3:5" x14ac:dyDescent="0.35">
      <c r="C379" s="1" t="s">
        <v>9340</v>
      </c>
      <c r="D379" s="1" t="s">
        <v>18</v>
      </c>
      <c r="E379" s="1">
        <v>3470.8330000000001</v>
      </c>
    </row>
    <row r="380" spans="3:5" x14ac:dyDescent="0.35">
      <c r="C380" s="1" t="s">
        <v>9339</v>
      </c>
      <c r="D380" s="1" t="s">
        <v>18</v>
      </c>
      <c r="E380" s="1">
        <v>3470.8339999999998</v>
      </c>
    </row>
    <row r="381" spans="3:5" x14ac:dyDescent="0.35">
      <c r="C381" s="1" t="s">
        <v>9338</v>
      </c>
      <c r="D381" s="1" t="s">
        <v>18</v>
      </c>
      <c r="E381" s="1">
        <v>3470.85</v>
      </c>
    </row>
    <row r="382" spans="3:5" x14ac:dyDescent="0.35">
      <c r="C382" s="1" t="s">
        <v>9337</v>
      </c>
      <c r="D382" s="1" t="s">
        <v>18</v>
      </c>
      <c r="E382" s="1">
        <v>3470.8510000000001</v>
      </c>
    </row>
    <row r="383" spans="3:5" x14ac:dyDescent="0.35">
      <c r="C383" s="1" t="s">
        <v>9336</v>
      </c>
      <c r="D383" s="1" t="s">
        <v>19</v>
      </c>
      <c r="E383" s="1">
        <v>3470.8519999999999</v>
      </c>
    </row>
    <row r="384" spans="3:5" x14ac:dyDescent="0.35">
      <c r="C384" s="1" t="s">
        <v>9335</v>
      </c>
      <c r="D384" s="1" t="s">
        <v>18</v>
      </c>
      <c r="E384" s="1">
        <v>3470.8530000000001</v>
      </c>
    </row>
    <row r="385" spans="3:5" x14ac:dyDescent="0.35">
      <c r="C385" s="1" t="s">
        <v>9334</v>
      </c>
      <c r="D385" s="1" t="s">
        <v>20</v>
      </c>
      <c r="E385" s="1">
        <v>3470.87</v>
      </c>
    </row>
    <row r="386" spans="3:5" x14ac:dyDescent="0.35">
      <c r="C386" s="1" t="s">
        <v>9333</v>
      </c>
      <c r="D386" s="1" t="s">
        <v>8333</v>
      </c>
      <c r="E386" s="1">
        <v>3470.88</v>
      </c>
    </row>
    <row r="387" spans="3:5" x14ac:dyDescent="0.35">
      <c r="C387" s="1" t="s">
        <v>9332</v>
      </c>
      <c r="D387" s="1" t="s">
        <v>9327</v>
      </c>
      <c r="E387" s="1">
        <v>3470.8809999999999</v>
      </c>
    </row>
    <row r="388" spans="3:5" x14ac:dyDescent="0.35">
      <c r="C388" s="1" t="s">
        <v>9331</v>
      </c>
      <c r="D388" s="1" t="s">
        <v>9325</v>
      </c>
      <c r="E388" s="1">
        <v>3470.8820000000001</v>
      </c>
    </row>
    <row r="389" spans="3:5" x14ac:dyDescent="0.35">
      <c r="C389" s="1" t="s">
        <v>9330</v>
      </c>
      <c r="D389" s="1" t="s">
        <v>18</v>
      </c>
      <c r="E389" s="1">
        <v>3470.89</v>
      </c>
    </row>
    <row r="390" spans="3:5" x14ac:dyDescent="0.35">
      <c r="C390" s="1" t="s">
        <v>9329</v>
      </c>
      <c r="D390" s="1" t="s">
        <v>23</v>
      </c>
      <c r="E390" s="1">
        <v>3470.9110000000001</v>
      </c>
    </row>
    <row r="391" spans="3:5" x14ac:dyDescent="0.35">
      <c r="C391" s="1" t="s">
        <v>9328</v>
      </c>
      <c r="D391" s="1" t="s">
        <v>23</v>
      </c>
      <c r="E391" s="1">
        <v>3470.92</v>
      </c>
    </row>
    <row r="392" spans="3:5" x14ac:dyDescent="0.35">
      <c r="C392" s="1" t="s">
        <v>9326</v>
      </c>
      <c r="D392" s="1" t="s">
        <v>23</v>
      </c>
      <c r="E392" s="1">
        <v>3470.9209999999998</v>
      </c>
    </row>
    <row r="393" spans="3:5" x14ac:dyDescent="0.35">
      <c r="C393" s="1" t="s">
        <v>9326</v>
      </c>
      <c r="D393" s="1" t="s">
        <v>23</v>
      </c>
      <c r="E393" s="1">
        <v>3470.922</v>
      </c>
    </row>
    <row r="394" spans="3:5" x14ac:dyDescent="0.35">
      <c r="C394" s="1" t="s">
        <v>9326</v>
      </c>
      <c r="D394" s="1" t="s">
        <v>23</v>
      </c>
      <c r="E394" s="1">
        <v>3470.9229999999998</v>
      </c>
    </row>
    <row r="395" spans="3:5" x14ac:dyDescent="0.35">
      <c r="C395" s="1" t="s">
        <v>9324</v>
      </c>
      <c r="D395" s="1" t="s">
        <v>23</v>
      </c>
      <c r="E395" s="1">
        <v>3470.924</v>
      </c>
    </row>
    <row r="396" spans="3:5" x14ac:dyDescent="0.35">
      <c r="C396" s="1" t="s">
        <v>9323</v>
      </c>
      <c r="D396" s="1" t="s">
        <v>23</v>
      </c>
      <c r="E396" s="1">
        <v>3470.9250000000002</v>
      </c>
    </row>
    <row r="397" spans="3:5" x14ac:dyDescent="0.35">
      <c r="C397" s="1" t="s">
        <v>9322</v>
      </c>
      <c r="D397" s="1" t="s">
        <v>18</v>
      </c>
      <c r="E397" s="1">
        <v>3471.99</v>
      </c>
    </row>
    <row r="398" spans="3:5" x14ac:dyDescent="0.35">
      <c r="C398" s="1" t="s">
        <v>9321</v>
      </c>
      <c r="D398" s="1" t="s">
        <v>18</v>
      </c>
      <c r="E398" s="1">
        <v>3471.991</v>
      </c>
    </row>
    <row r="399" spans="3:5" x14ac:dyDescent="0.35">
      <c r="C399" s="1" t="s">
        <v>9320</v>
      </c>
      <c r="D399" s="1" t="s">
        <v>18</v>
      </c>
      <c r="E399" s="1">
        <v>3471.9949999999999</v>
      </c>
    </row>
    <row r="400" spans="3:5" x14ac:dyDescent="0.35">
      <c r="C400" s="1" t="s">
        <v>9319</v>
      </c>
      <c r="D400" s="1" t="s">
        <v>18</v>
      </c>
      <c r="E400" s="1">
        <v>3471.9960000000001</v>
      </c>
    </row>
    <row r="401" spans="3:5" x14ac:dyDescent="0.35">
      <c r="C401" s="1" t="s">
        <v>9318</v>
      </c>
      <c r="D401" s="1" t="s">
        <v>20</v>
      </c>
      <c r="E401" s="1">
        <v>3473.1</v>
      </c>
    </row>
    <row r="402" spans="3:5" x14ac:dyDescent="0.35">
      <c r="C402" s="1" t="s">
        <v>9317</v>
      </c>
    </row>
    <row r="403" spans="3:5" x14ac:dyDescent="0.35">
      <c r="C403" s="1" t="s">
        <v>9316</v>
      </c>
    </row>
    <row r="404" spans="3:5" x14ac:dyDescent="0.35">
      <c r="C404" s="1" t="s">
        <v>9315</v>
      </c>
    </row>
    <row r="405" spans="3:5" x14ac:dyDescent="0.35">
      <c r="C405" s="1" t="s">
        <v>9314</v>
      </c>
    </row>
    <row r="406" spans="3:5" x14ac:dyDescent="0.35">
      <c r="C406" s="1" t="s">
        <v>9313</v>
      </c>
    </row>
    <row r="407" spans="3:5" x14ac:dyDescent="0.35">
      <c r="C407" s="1" t="s">
        <v>9312</v>
      </c>
    </row>
  </sheetData>
  <mergeCells count="9">
    <mergeCell ref="P3:Q3"/>
    <mergeCell ref="J5:K5"/>
    <mergeCell ref="J6:K6"/>
    <mergeCell ref="J7:K7"/>
    <mergeCell ref="A3:B3"/>
    <mergeCell ref="D3:G3"/>
    <mergeCell ref="J3:K3"/>
    <mergeCell ref="A4:B4"/>
    <mergeCell ref="J4:K4"/>
  </mergeCells>
  <dataValidations count="1">
    <dataValidation type="list" allowBlank="1" showInputMessage="1" showErrorMessage="1" sqref="C16:C190" xr:uid="{56410705-8C40-4B2D-B6A7-CDA9733DA886}">
      <formula1>$C$205:$C207</formula1>
    </dataValidation>
  </dataValidations>
  <hyperlinks>
    <hyperlink ref="D3" r:id="rId1" display="datamateapp@gmail.com" xr:uid="{85B8C771-040C-4235-AA20-7DB4C72FD01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3493" r:id="rId4" name="Button 5">
              <controlPr defaultSize="0" print="0" autoFill="0" autoPict="0" macro="[0]!ExitSEC_034000">
                <anchor moveWithCells="1" sizeWithCells="1">
                  <from>
                    <xdr:col>16</xdr:col>
                    <xdr:colOff>209550</xdr:colOff>
                    <xdr:row>0</xdr:row>
                    <xdr:rowOff>0</xdr:rowOff>
                  </from>
                  <to>
                    <xdr:col>16</xdr:col>
                    <xdr:colOff>1479550</xdr:colOff>
                    <xdr:row>2</xdr:row>
                    <xdr:rowOff>6350</xdr:rowOff>
                  </to>
                </anchor>
              </controlPr>
            </control>
          </mc:Choice>
        </mc:AlternateContent>
        <mc:AlternateContent xmlns:mc="http://schemas.openxmlformats.org/markup-compatibility/2006">
          <mc:Choice Requires="x14">
            <control shapeId="63549" r:id="rId5" name="Button 61">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63550" r:id="rId6" name="Button 62">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63551" r:id="rId7" name="Button 6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63552" r:id="rId8" name="Button 64">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63553" r:id="rId9" name="Button 65">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63554" r:id="rId10" name="Button 66">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63555" r:id="rId11" name="Button 67">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63556" r:id="rId12" name="Button 68">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71660-4D3C-47EB-B7D3-1EBD700A1A5C}">
  <sheetPr codeName="Sheet46"/>
  <dimension ref="A1:Q244"/>
  <sheetViews>
    <sheetView zoomScale="75" zoomScaleNormal="75" workbookViewId="0">
      <selection activeCell="C4" sqref="C4"/>
    </sheetView>
  </sheetViews>
  <sheetFormatPr defaultRowHeight="14.5" x14ac:dyDescent="0.35"/>
  <cols>
    <col min="1" max="1" width="4.54296875" style="1" customWidth="1"/>
    <col min="2" max="2" width="14" style="1" customWidth="1"/>
    <col min="3" max="3" width="77.1796875" style="1" bestFit="1" customWidth="1"/>
    <col min="4" max="4" width="10.7265625" style="1" customWidth="1"/>
    <col min="5" max="5" width="10.1796875" style="1" customWidth="1"/>
    <col min="6" max="6" width="13.26953125" style="1" customWidth="1"/>
    <col min="7" max="7" width="15.1796875" style="1" customWidth="1"/>
    <col min="8" max="8" width="13.26953125" style="1" customWidth="1"/>
    <col min="9" max="9" width="12.7265625" style="1" customWidth="1"/>
    <col min="10" max="10" width="12.26953125" style="1" customWidth="1"/>
    <col min="11" max="11" width="9" style="1" customWidth="1"/>
    <col min="12" max="12" width="13.26953125" style="1" customWidth="1"/>
    <col min="13" max="13" width="12.7265625" style="1" customWidth="1"/>
    <col min="14" max="14" width="13.26953125" style="1" customWidth="1"/>
    <col min="15" max="15" width="12.7265625" style="1" customWidth="1"/>
    <col min="16" max="16" width="13.26953125" style="1" customWidth="1"/>
    <col min="17" max="17" width="21.26953125" style="1" customWidth="1"/>
    <col min="18" max="22" width="8.7265625" style="1"/>
    <col min="23" max="23" width="4.54296875" style="1" customWidth="1"/>
    <col min="24" max="24" width="11.90625" style="1" customWidth="1"/>
    <col min="25" max="25" width="77.1796875" style="1" bestFit="1" customWidth="1"/>
    <col min="26" max="26" width="10.7265625" style="1" customWidth="1"/>
    <col min="27" max="27" width="10.1796875" style="1" customWidth="1"/>
    <col min="28" max="28" width="13.26953125" style="1" customWidth="1"/>
    <col min="29" max="29" width="15.1796875" style="1" customWidth="1"/>
    <col min="30" max="30" width="13.26953125" style="1" customWidth="1"/>
    <col min="31" max="31" width="12.7265625" style="1" customWidth="1"/>
    <col min="32" max="32" width="12.26953125" style="1" customWidth="1"/>
    <col min="33" max="33" width="9" style="1" customWidth="1"/>
    <col min="34" max="34" width="13.26953125" style="1" customWidth="1"/>
    <col min="35" max="35" width="12.7265625" style="1" customWidth="1"/>
    <col min="36" max="36" width="13.26953125" style="1" customWidth="1"/>
    <col min="37" max="37" width="12.7265625" style="1" customWidth="1"/>
    <col min="38" max="38" width="13.26953125" style="1" customWidth="1"/>
    <col min="39" max="39" width="21.26953125" style="1" customWidth="1"/>
    <col min="40" max="16384" width="8.7265625" style="1"/>
  </cols>
  <sheetData>
    <row r="1" spans="1:17" ht="14.5" customHeight="1"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CAST DECKS AND UNDERLAYMENT</v>
      </c>
      <c r="J2" s="59"/>
      <c r="K2" s="59"/>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03 50 00</v>
      </c>
      <c r="C10" s="24" t="str">
        <f>C206</f>
        <v>CAST DECKS AND UNDERLAYMENT</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CAST DECKS AND UNDERLAYMENT</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Q200" s="78" t="s">
        <v>21404</v>
      </c>
    </row>
    <row r="201" spans="2:17" x14ac:dyDescent="0.35">
      <c r="C201" s="78" t="s">
        <v>21592</v>
      </c>
    </row>
    <row r="203" spans="2:17" x14ac:dyDescent="0.35">
      <c r="C203" s="77" t="s">
        <v>21399</v>
      </c>
    </row>
    <row r="205" spans="2:17" x14ac:dyDescent="0.35">
      <c r="C205" s="1" t="s">
        <v>21398</v>
      </c>
      <c r="D205" s="1" t="s">
        <v>75</v>
      </c>
      <c r="E205" s="1" t="s">
        <v>13768</v>
      </c>
      <c r="F205" s="2" t="s">
        <v>21397</v>
      </c>
      <c r="G205" s="1" t="s">
        <v>9</v>
      </c>
    </row>
    <row r="206" spans="2:17" x14ac:dyDescent="0.35">
      <c r="B206" s="49" t="s">
        <v>14094</v>
      </c>
      <c r="C206" s="82" t="s">
        <v>14095</v>
      </c>
    </row>
    <row r="207" spans="2:17" x14ac:dyDescent="0.35">
      <c r="B207" s="49" t="s">
        <v>14096</v>
      </c>
      <c r="C207" s="53" t="s">
        <v>14097</v>
      </c>
    </row>
    <row r="208" spans="2:17" x14ac:dyDescent="0.35">
      <c r="B208" s="49" t="s">
        <v>14098</v>
      </c>
      <c r="C208" s="53" t="s">
        <v>14099</v>
      </c>
    </row>
    <row r="209" spans="2:5" x14ac:dyDescent="0.35">
      <c r="B209" s="49" t="s">
        <v>14100</v>
      </c>
      <c r="C209" s="53" t="s">
        <v>14101</v>
      </c>
    </row>
    <row r="210" spans="2:5" x14ac:dyDescent="0.35">
      <c r="B210" s="49" t="s">
        <v>14102</v>
      </c>
      <c r="C210" s="53" t="s">
        <v>14103</v>
      </c>
    </row>
    <row r="211" spans="2:5" x14ac:dyDescent="0.35">
      <c r="C211" s="1" t="s">
        <v>9311</v>
      </c>
      <c r="D211" s="1" t="s">
        <v>20</v>
      </c>
      <c r="E211" s="1">
        <v>3510.1</v>
      </c>
    </row>
    <row r="212" spans="2:5" x14ac:dyDescent="0.35">
      <c r="C212" s="1" t="s">
        <v>9310</v>
      </c>
      <c r="D212" s="1" t="s">
        <v>20</v>
      </c>
      <c r="E212" s="1">
        <v>3510.11</v>
      </c>
    </row>
    <row r="213" spans="2:5" x14ac:dyDescent="0.35">
      <c r="C213" s="1" t="s">
        <v>9309</v>
      </c>
      <c r="D213" s="1" t="s">
        <v>20</v>
      </c>
      <c r="E213" s="1">
        <v>3510.12</v>
      </c>
    </row>
    <row r="214" spans="2:5" x14ac:dyDescent="0.35">
      <c r="C214" s="1" t="s">
        <v>9308</v>
      </c>
      <c r="D214" s="1" t="s">
        <v>20</v>
      </c>
      <c r="E214" s="1">
        <v>3510.13</v>
      </c>
    </row>
    <row r="215" spans="2:5" x14ac:dyDescent="0.35">
      <c r="C215" s="1" t="s">
        <v>9307</v>
      </c>
      <c r="D215" s="1" t="s">
        <v>20</v>
      </c>
      <c r="E215" s="1">
        <v>3510.15</v>
      </c>
    </row>
    <row r="216" spans="2:5" x14ac:dyDescent="0.35">
      <c r="C216" s="1" t="s">
        <v>9306</v>
      </c>
      <c r="D216" s="1" t="s">
        <v>20</v>
      </c>
      <c r="E216" s="1">
        <v>3510.2</v>
      </c>
    </row>
    <row r="217" spans="2:5" x14ac:dyDescent="0.35">
      <c r="C217" s="1" t="s">
        <v>9305</v>
      </c>
      <c r="D217" s="1" t="s">
        <v>20</v>
      </c>
      <c r="E217" s="1">
        <v>3510.201</v>
      </c>
    </row>
    <row r="218" spans="2:5" x14ac:dyDescent="0.35">
      <c r="C218" s="1" t="s">
        <v>9304</v>
      </c>
      <c r="D218" s="1" t="s">
        <v>20</v>
      </c>
      <c r="E218" s="1">
        <v>3510.2020000000002</v>
      </c>
    </row>
    <row r="219" spans="2:5" x14ac:dyDescent="0.35">
      <c r="C219" s="1" t="s">
        <v>9303</v>
      </c>
      <c r="D219" s="1" t="s">
        <v>20</v>
      </c>
      <c r="E219" s="1">
        <v>3510.203</v>
      </c>
    </row>
    <row r="220" spans="2:5" x14ac:dyDescent="0.35">
      <c r="C220" s="1" t="s">
        <v>9302</v>
      </c>
      <c r="D220" s="1" t="s">
        <v>20</v>
      </c>
      <c r="E220" s="1">
        <v>3510.2040000000002</v>
      </c>
    </row>
    <row r="221" spans="2:5" x14ac:dyDescent="0.35">
      <c r="C221" s="1" t="s">
        <v>9301</v>
      </c>
      <c r="D221" s="1" t="s">
        <v>20</v>
      </c>
      <c r="E221" s="1">
        <v>3510.2049999999999</v>
      </c>
    </row>
    <row r="222" spans="2:5" x14ac:dyDescent="0.35">
      <c r="C222" s="1" t="s">
        <v>9300</v>
      </c>
      <c r="D222" s="1" t="s">
        <v>20</v>
      </c>
      <c r="E222" s="1">
        <v>3510.21</v>
      </c>
    </row>
    <row r="223" spans="2:5" x14ac:dyDescent="0.35">
      <c r="C223" s="1" t="s">
        <v>9299</v>
      </c>
      <c r="D223" s="1" t="s">
        <v>20</v>
      </c>
      <c r="E223" s="1">
        <v>3510.2109999999998</v>
      </c>
    </row>
    <row r="224" spans="2:5" x14ac:dyDescent="0.35">
      <c r="C224" s="1" t="s">
        <v>9298</v>
      </c>
      <c r="D224" s="1" t="s">
        <v>20</v>
      </c>
      <c r="E224" s="1">
        <v>3510.212</v>
      </c>
    </row>
    <row r="225" spans="3:5" x14ac:dyDescent="0.35">
      <c r="C225" s="1" t="s">
        <v>9297</v>
      </c>
      <c r="D225" s="1" t="s">
        <v>20</v>
      </c>
      <c r="E225" s="1">
        <v>3510.2130000000002</v>
      </c>
    </row>
    <row r="226" spans="3:5" x14ac:dyDescent="0.35">
      <c r="C226" s="1" t="s">
        <v>9296</v>
      </c>
      <c r="D226" s="1" t="s">
        <v>20</v>
      </c>
      <c r="E226" s="1">
        <v>3519.99</v>
      </c>
    </row>
    <row r="227" spans="3:5" x14ac:dyDescent="0.35">
      <c r="C227" s="1" t="s">
        <v>9295</v>
      </c>
      <c r="D227" s="1" t="s">
        <v>20</v>
      </c>
      <c r="E227" s="1">
        <v>3520.1</v>
      </c>
    </row>
    <row r="228" spans="3:5" x14ac:dyDescent="0.35">
      <c r="C228" s="1" t="s">
        <v>9294</v>
      </c>
      <c r="D228" s="1" t="s">
        <v>20</v>
      </c>
      <c r="E228" s="1">
        <v>3520.11</v>
      </c>
    </row>
    <row r="229" spans="3:5" x14ac:dyDescent="0.35">
      <c r="C229" s="1" t="s">
        <v>9293</v>
      </c>
      <c r="D229" s="1" t="s">
        <v>23</v>
      </c>
      <c r="E229" s="1">
        <v>3520.12</v>
      </c>
    </row>
    <row r="230" spans="3:5" x14ac:dyDescent="0.35">
      <c r="C230" s="1" t="s">
        <v>9292</v>
      </c>
      <c r="D230" s="1" t="s">
        <v>23</v>
      </c>
      <c r="E230" s="1">
        <v>3520.1320000000001</v>
      </c>
    </row>
    <row r="231" spans="3:5" x14ac:dyDescent="0.35">
      <c r="C231" s="1" t="s">
        <v>9291</v>
      </c>
      <c r="D231" s="1" t="s">
        <v>20</v>
      </c>
      <c r="E231" s="1">
        <v>3520.1329999999998</v>
      </c>
    </row>
    <row r="232" spans="3:5" x14ac:dyDescent="0.35">
      <c r="C232" s="1" t="s">
        <v>9290</v>
      </c>
      <c r="D232" s="1" t="s">
        <v>20</v>
      </c>
      <c r="E232" s="1">
        <v>3520.134</v>
      </c>
    </row>
    <row r="233" spans="3:5" x14ac:dyDescent="0.35">
      <c r="C233" s="1" t="s">
        <v>9289</v>
      </c>
      <c r="D233" s="1" t="s">
        <v>23</v>
      </c>
      <c r="E233" s="1">
        <v>3530.011</v>
      </c>
    </row>
    <row r="234" spans="3:5" x14ac:dyDescent="0.35">
      <c r="C234" s="1" t="s">
        <v>9288</v>
      </c>
      <c r="D234" s="1" t="s">
        <v>23</v>
      </c>
      <c r="E234" s="1">
        <v>3530.0210000000002</v>
      </c>
    </row>
    <row r="235" spans="3:5" x14ac:dyDescent="0.35">
      <c r="C235" s="1" t="s">
        <v>9287</v>
      </c>
      <c r="D235" s="1" t="s">
        <v>23</v>
      </c>
      <c r="E235" s="1">
        <v>3530.0309999999999</v>
      </c>
    </row>
    <row r="236" spans="3:5" x14ac:dyDescent="0.35">
      <c r="C236" s="1" t="s">
        <v>9286</v>
      </c>
      <c r="D236" s="1" t="s">
        <v>23</v>
      </c>
      <c r="E236" s="1">
        <v>3530.0410000000002</v>
      </c>
    </row>
    <row r="237" spans="3:5" x14ac:dyDescent="0.35">
      <c r="C237" s="1" t="s">
        <v>9285</v>
      </c>
      <c r="D237" s="1" t="s">
        <v>23</v>
      </c>
      <c r="E237" s="1">
        <v>3530.0419999999999</v>
      </c>
    </row>
    <row r="238" spans="3:5" x14ac:dyDescent="0.35">
      <c r="C238" s="1" t="s">
        <v>9284</v>
      </c>
      <c r="D238" s="1" t="s">
        <v>20</v>
      </c>
      <c r="E238" s="1">
        <v>3530.1</v>
      </c>
    </row>
    <row r="239" spans="3:5" x14ac:dyDescent="0.35">
      <c r="C239" s="1" t="s">
        <v>9283</v>
      </c>
      <c r="D239" s="1" t="s">
        <v>23</v>
      </c>
      <c r="E239" s="1">
        <v>3540.011</v>
      </c>
    </row>
    <row r="240" spans="3:5" x14ac:dyDescent="0.35">
      <c r="C240" s="1" t="s">
        <v>9282</v>
      </c>
      <c r="D240" s="1" t="s">
        <v>23</v>
      </c>
      <c r="E240" s="1">
        <v>3540.0120000000002</v>
      </c>
    </row>
    <row r="241" spans="3:5" x14ac:dyDescent="0.35">
      <c r="C241" s="1" t="s">
        <v>9281</v>
      </c>
      <c r="D241" s="1" t="s">
        <v>23</v>
      </c>
      <c r="E241" s="1">
        <v>3540.0129999999999</v>
      </c>
    </row>
    <row r="242" spans="3:5" x14ac:dyDescent="0.35">
      <c r="C242" s="1" t="s">
        <v>9280</v>
      </c>
      <c r="D242" s="1" t="s">
        <v>23</v>
      </c>
      <c r="E242" s="1">
        <v>3540.0140000000001</v>
      </c>
    </row>
    <row r="243" spans="3:5" x14ac:dyDescent="0.35">
      <c r="C243" s="1" t="s">
        <v>9279</v>
      </c>
      <c r="D243" s="1" t="s">
        <v>20</v>
      </c>
      <c r="E243" s="1">
        <v>3540.1010000000001</v>
      </c>
    </row>
    <row r="244" spans="3:5" x14ac:dyDescent="0.35">
      <c r="C244" s="1" t="s">
        <v>9278</v>
      </c>
      <c r="D244" s="1" t="s">
        <v>20</v>
      </c>
      <c r="E244" s="1">
        <v>3540.1019999999999</v>
      </c>
    </row>
  </sheetData>
  <mergeCells count="9">
    <mergeCell ref="P3:Q3"/>
    <mergeCell ref="J5:K5"/>
    <mergeCell ref="J6:K6"/>
    <mergeCell ref="J7:K7"/>
    <mergeCell ref="A3:B3"/>
    <mergeCell ref="D3:G3"/>
    <mergeCell ref="J3:K3"/>
    <mergeCell ref="A4:B4"/>
    <mergeCell ref="J4:K4"/>
  </mergeCells>
  <dataValidations count="1">
    <dataValidation type="list" allowBlank="1" showInputMessage="1" showErrorMessage="1" sqref="C16:C190" xr:uid="{AE8FD20F-F957-4ABA-8EF4-2D6C8BBDBDD9}">
      <formula1>$C$205:$C207</formula1>
    </dataValidation>
  </dataValidations>
  <hyperlinks>
    <hyperlink ref="D3" r:id="rId1" display="datamateapp@gmail.com" xr:uid="{FEBEB440-8245-4734-9050-74989C785045}"/>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4517" r:id="rId4" name="Button 5">
              <controlPr defaultSize="0" print="0" autoFill="0" autoPict="0" macro="[0]!ExitSEC_035000">
                <anchor moveWithCells="1" sizeWithCells="1">
                  <from>
                    <xdr:col>16</xdr:col>
                    <xdr:colOff>254000</xdr:colOff>
                    <xdr:row>0</xdr:row>
                    <xdr:rowOff>0</xdr:rowOff>
                  </from>
                  <to>
                    <xdr:col>17</xdr:col>
                    <xdr:colOff>31750</xdr:colOff>
                    <xdr:row>2</xdr:row>
                    <xdr:rowOff>6350</xdr:rowOff>
                  </to>
                </anchor>
              </controlPr>
            </control>
          </mc:Choice>
        </mc:AlternateContent>
        <mc:AlternateContent xmlns:mc="http://schemas.openxmlformats.org/markup-compatibility/2006">
          <mc:Choice Requires="x14">
            <control shapeId="64552" r:id="rId5" name="Button 40">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64553" r:id="rId6" name="Button 41">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64554" r:id="rId7" name="Button 42">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64555" r:id="rId8" name="Button 43">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64556" r:id="rId9" name="Button 44">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64557" r:id="rId10" name="Button 45">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64558" r:id="rId11" name="Button 46">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64559" r:id="rId12" name="Button 47">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804F5-F50E-405C-85F4-A433D71FF3E3}">
  <sheetPr codeName="Sheet47"/>
  <dimension ref="A1:Q211"/>
  <sheetViews>
    <sheetView zoomScale="75" zoomScaleNormal="75" workbookViewId="0">
      <selection activeCell="C4" sqref="C4"/>
    </sheetView>
  </sheetViews>
  <sheetFormatPr defaultRowHeight="14.5" x14ac:dyDescent="0.35"/>
  <cols>
    <col min="1" max="1" width="4.54296875" style="1" customWidth="1"/>
    <col min="2" max="2" width="14" style="1" customWidth="1"/>
    <col min="3" max="3" width="77.1796875" style="1" bestFit="1" customWidth="1"/>
    <col min="4" max="4" width="10.7265625" style="1" customWidth="1"/>
    <col min="5" max="5" width="10.1796875" style="1" customWidth="1"/>
    <col min="6" max="6" width="13.26953125" style="1" customWidth="1"/>
    <col min="7" max="7" width="15.1796875" style="1" customWidth="1"/>
    <col min="8" max="8" width="13.26953125" style="1" customWidth="1"/>
    <col min="9" max="9" width="12.7265625" style="1" customWidth="1"/>
    <col min="10" max="10" width="12.26953125" style="1" customWidth="1"/>
    <col min="11" max="11" width="9" style="1" customWidth="1"/>
    <col min="12" max="12" width="13.26953125" style="1" customWidth="1"/>
    <col min="13" max="13" width="12.7265625" style="1" customWidth="1"/>
    <col min="14" max="14" width="13.26953125" style="1" customWidth="1"/>
    <col min="15" max="15" width="12.7265625" style="1" customWidth="1"/>
    <col min="16" max="16" width="13.26953125" style="1" customWidth="1"/>
    <col min="17" max="17" width="21.26953125" style="1" customWidth="1"/>
    <col min="18" max="22" width="8.7265625" style="1"/>
    <col min="23" max="23" width="4.54296875" style="1" customWidth="1"/>
    <col min="24" max="24" width="11.90625" style="1" customWidth="1"/>
    <col min="25" max="25" width="77.1796875" style="1" bestFit="1" customWidth="1"/>
    <col min="26" max="26" width="10.7265625" style="1" customWidth="1"/>
    <col min="27" max="27" width="10.1796875" style="1" customWidth="1"/>
    <col min="28" max="28" width="13.26953125" style="1" customWidth="1"/>
    <col min="29" max="29" width="15.1796875" style="1" customWidth="1"/>
    <col min="30" max="30" width="13.26953125" style="1" customWidth="1"/>
    <col min="31" max="31" width="12.7265625" style="1" customWidth="1"/>
    <col min="32" max="32" width="12.26953125" style="1" customWidth="1"/>
    <col min="33" max="33" width="9" style="1" customWidth="1"/>
    <col min="34" max="34" width="13.26953125" style="1" customWidth="1"/>
    <col min="35" max="35" width="12.7265625" style="1" customWidth="1"/>
    <col min="36" max="36" width="13.26953125" style="1" customWidth="1"/>
    <col min="37" max="37" width="12.7265625" style="1" customWidth="1"/>
    <col min="38" max="38" width="13.26953125" style="1" customWidth="1"/>
    <col min="39" max="39" width="21.26953125" style="1" customWidth="1"/>
    <col min="40" max="16384" width="8.7265625" style="1"/>
  </cols>
  <sheetData>
    <row r="1" spans="1:17" ht="14.5" customHeight="1"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GROUTING</v>
      </c>
      <c r="J2" s="59"/>
      <c r="K2" s="59"/>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03 60 00</v>
      </c>
      <c r="C10" s="24" t="str">
        <f>C206</f>
        <v>GROUTING</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GROUTING</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Q200" s="78" t="s">
        <v>21404</v>
      </c>
    </row>
    <row r="201" spans="2:17" x14ac:dyDescent="0.35">
      <c r="C201" s="78" t="s">
        <v>21592</v>
      </c>
    </row>
    <row r="203" spans="2:17" x14ac:dyDescent="0.35">
      <c r="C203" s="77" t="s">
        <v>21399</v>
      </c>
    </row>
    <row r="205" spans="2:17" x14ac:dyDescent="0.35">
      <c r="C205" s="1" t="s">
        <v>21398</v>
      </c>
      <c r="D205" s="1" t="s">
        <v>75</v>
      </c>
      <c r="E205" s="1" t="s">
        <v>13768</v>
      </c>
      <c r="F205" s="2" t="s">
        <v>21397</v>
      </c>
      <c r="G205" s="1" t="s">
        <v>9</v>
      </c>
    </row>
    <row r="206" spans="2:17" x14ac:dyDescent="0.35">
      <c r="B206" s="49" t="s">
        <v>14104</v>
      </c>
      <c r="C206" s="82" t="s">
        <v>14105</v>
      </c>
    </row>
    <row r="207" spans="2:17" x14ac:dyDescent="0.35">
      <c r="B207" s="49" t="s">
        <v>14106</v>
      </c>
      <c r="C207" s="53" t="s">
        <v>14107</v>
      </c>
    </row>
    <row r="208" spans="2:17" x14ac:dyDescent="0.35">
      <c r="B208" s="49" t="s">
        <v>14108</v>
      </c>
      <c r="C208" s="53" t="s">
        <v>14109</v>
      </c>
    </row>
    <row r="209" spans="2:5" x14ac:dyDescent="0.35">
      <c r="B209" s="49" t="s">
        <v>14110</v>
      </c>
      <c r="C209" s="53" t="s">
        <v>14111</v>
      </c>
    </row>
    <row r="210" spans="2:5" x14ac:dyDescent="0.35">
      <c r="B210" s="49" t="s">
        <v>14112</v>
      </c>
      <c r="C210" s="53" t="s">
        <v>14113</v>
      </c>
    </row>
    <row r="211" spans="2:5" x14ac:dyDescent="0.35">
      <c r="C211" s="1" t="s">
        <v>9277</v>
      </c>
      <c r="D211" s="1" t="s">
        <v>23</v>
      </c>
      <c r="E211" s="1">
        <v>3600.1010000000001</v>
      </c>
    </row>
  </sheetData>
  <mergeCells count="9">
    <mergeCell ref="P3:Q3"/>
    <mergeCell ref="J5:K5"/>
    <mergeCell ref="J6:K6"/>
    <mergeCell ref="J7:K7"/>
    <mergeCell ref="A3:B3"/>
    <mergeCell ref="D3:G3"/>
    <mergeCell ref="J3:K3"/>
    <mergeCell ref="A4:B4"/>
    <mergeCell ref="J4:K4"/>
  </mergeCells>
  <dataValidations count="1">
    <dataValidation type="list" allowBlank="1" showInputMessage="1" showErrorMessage="1" sqref="C16:C190" xr:uid="{0D477443-F5C2-4F16-9412-6C253C14A8F9}">
      <formula1>$C$205:$C207</formula1>
    </dataValidation>
  </dataValidations>
  <hyperlinks>
    <hyperlink ref="D3" r:id="rId1" display="datamateapp@gmail.com" xr:uid="{EE7FAC47-150B-473B-9C27-05EE6E27EF4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5541" r:id="rId4" name="Button 5">
              <controlPr defaultSize="0" print="0" autoFill="0" autoPict="0" macro="[0]!ExitSEC_036000">
                <anchor moveWithCells="1" sizeWithCells="1">
                  <from>
                    <xdr:col>16</xdr:col>
                    <xdr:colOff>234950</xdr:colOff>
                    <xdr:row>0</xdr:row>
                    <xdr:rowOff>0</xdr:rowOff>
                  </from>
                  <to>
                    <xdr:col>17</xdr:col>
                    <xdr:colOff>19050</xdr:colOff>
                    <xdr:row>2</xdr:row>
                    <xdr:rowOff>6350</xdr:rowOff>
                  </to>
                </anchor>
              </controlPr>
            </control>
          </mc:Choice>
        </mc:AlternateContent>
        <mc:AlternateContent xmlns:mc="http://schemas.openxmlformats.org/markup-compatibility/2006">
          <mc:Choice Requires="x14">
            <control shapeId="65577" r:id="rId5" name="Button 41">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65578" r:id="rId6" name="Button 42">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65579" r:id="rId7" name="Button 4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65580" r:id="rId8" name="Button 44">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65581" r:id="rId9" name="Button 45">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65582" r:id="rId10" name="Button 46">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65583" r:id="rId11" name="Button 47">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65584" r:id="rId12" name="Button 48">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8CF72-B018-46AA-BEFD-89A9995A290F}">
  <sheetPr codeName="Sheet48"/>
  <dimension ref="A1:Q208"/>
  <sheetViews>
    <sheetView zoomScale="75" zoomScaleNormal="75" workbookViewId="0">
      <selection activeCell="C4" sqref="C4"/>
    </sheetView>
  </sheetViews>
  <sheetFormatPr defaultRowHeight="14.5" x14ac:dyDescent="0.35"/>
  <cols>
    <col min="1" max="1" width="4.54296875" style="1" customWidth="1"/>
    <col min="2" max="2" width="14" style="1" customWidth="1"/>
    <col min="3" max="3" width="77.1796875" style="1" bestFit="1" customWidth="1"/>
    <col min="4" max="4" width="10.7265625" style="1" customWidth="1"/>
    <col min="5" max="5" width="10.1796875" style="1" customWidth="1"/>
    <col min="6" max="6" width="13.26953125" style="1" customWidth="1"/>
    <col min="7" max="7" width="15.1796875" style="1" customWidth="1"/>
    <col min="8" max="8" width="13.26953125" style="1" customWidth="1"/>
    <col min="9" max="9" width="12.7265625" style="1" customWidth="1"/>
    <col min="10" max="10" width="12.26953125" style="1" customWidth="1"/>
    <col min="11" max="11" width="9" style="1" customWidth="1"/>
    <col min="12" max="12" width="13.26953125" style="1" customWidth="1"/>
    <col min="13" max="13" width="12.7265625" style="1" customWidth="1"/>
    <col min="14" max="14" width="13.26953125" style="1" customWidth="1"/>
    <col min="15" max="15" width="12.7265625" style="1" customWidth="1"/>
    <col min="16" max="16" width="13.26953125" style="1" customWidth="1"/>
    <col min="17" max="17" width="21.26953125" style="1" customWidth="1"/>
    <col min="18" max="22" width="8.7265625" style="1"/>
    <col min="23" max="23" width="4.54296875" style="1" customWidth="1"/>
    <col min="24" max="24" width="11.90625" style="1" customWidth="1"/>
    <col min="25" max="25" width="77.1796875" style="1" bestFit="1" customWidth="1"/>
    <col min="26" max="26" width="10.7265625" style="1" customWidth="1"/>
    <col min="27" max="27" width="10.1796875" style="1" customWidth="1"/>
    <col min="28" max="28" width="13.26953125" style="1" customWidth="1"/>
    <col min="29" max="29" width="15.1796875" style="1" customWidth="1"/>
    <col min="30" max="30" width="13.26953125" style="1" customWidth="1"/>
    <col min="31" max="31" width="12.7265625" style="1" customWidth="1"/>
    <col min="32" max="32" width="12.26953125" style="1" customWidth="1"/>
    <col min="33" max="33" width="9" style="1" customWidth="1"/>
    <col min="34" max="34" width="13.26953125" style="1" customWidth="1"/>
    <col min="35" max="35" width="12.7265625" style="1" customWidth="1"/>
    <col min="36" max="36" width="13.26953125" style="1" customWidth="1"/>
    <col min="37" max="37" width="12.7265625" style="1" customWidth="1"/>
    <col min="38" max="38" width="13.26953125" style="1" customWidth="1"/>
    <col min="39" max="39" width="21.26953125" style="1" customWidth="1"/>
    <col min="40" max="16384" width="8.7265625" style="1"/>
  </cols>
  <sheetData>
    <row r="1" spans="1:17" ht="14.5" customHeight="1"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MASS CONCRETE</v>
      </c>
      <c r="J2" s="59"/>
      <c r="K2" s="59"/>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03 70 00</v>
      </c>
      <c r="C10" s="24" t="str">
        <f>C206</f>
        <v>MASS CONCRETE</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MASS CONCRETE</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Q200" s="78" t="s">
        <v>21404</v>
      </c>
    </row>
    <row r="201" spans="2:17" x14ac:dyDescent="0.35">
      <c r="C201" s="78" t="s">
        <v>21592</v>
      </c>
    </row>
    <row r="203" spans="2:17" x14ac:dyDescent="0.35">
      <c r="C203" s="77" t="s">
        <v>21399</v>
      </c>
    </row>
    <row r="205" spans="2:17" x14ac:dyDescent="0.35">
      <c r="C205" s="1" t="s">
        <v>21398</v>
      </c>
      <c r="D205" s="1" t="s">
        <v>75</v>
      </c>
      <c r="E205" s="1" t="s">
        <v>13768</v>
      </c>
      <c r="F205" s="2" t="s">
        <v>21397</v>
      </c>
      <c r="G205" s="1" t="s">
        <v>9</v>
      </c>
    </row>
    <row r="206" spans="2:17" x14ac:dyDescent="0.35">
      <c r="B206" s="49" t="s">
        <v>14114</v>
      </c>
      <c r="C206" s="82" t="s">
        <v>14115</v>
      </c>
    </row>
    <row r="207" spans="2:17" x14ac:dyDescent="0.35">
      <c r="B207" s="49" t="s">
        <v>14116</v>
      </c>
      <c r="C207" s="53" t="s">
        <v>14117</v>
      </c>
    </row>
    <row r="208" spans="2:17" x14ac:dyDescent="0.35">
      <c r="B208" s="49" t="s">
        <v>14118</v>
      </c>
      <c r="C208" s="53" t="s">
        <v>14119</v>
      </c>
    </row>
  </sheetData>
  <mergeCells count="9">
    <mergeCell ref="P3:Q3"/>
    <mergeCell ref="J5:K5"/>
    <mergeCell ref="J6:K6"/>
    <mergeCell ref="J7:K7"/>
    <mergeCell ref="A3:B3"/>
    <mergeCell ref="D3:G3"/>
    <mergeCell ref="J3:K3"/>
    <mergeCell ref="A4:B4"/>
    <mergeCell ref="J4:K4"/>
  </mergeCells>
  <dataValidations count="1">
    <dataValidation type="list" allowBlank="1" showInputMessage="1" showErrorMessage="1" sqref="C16:C190" xr:uid="{A8E54BA1-14A8-4ADF-BBD7-C035F946EB42}">
      <formula1>$C$205:$C207</formula1>
    </dataValidation>
  </dataValidations>
  <hyperlinks>
    <hyperlink ref="D3" r:id="rId1" display="datamateapp@gmail.com" xr:uid="{F42AB43C-4E60-44BE-995A-803DB4511B1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6565" r:id="rId4" name="Button 5">
              <controlPr defaultSize="0" print="0" autoFill="0" autoPict="0" macro="[0]!ExitSEC_037000">
                <anchor moveWithCells="1" sizeWithCells="1">
                  <from>
                    <xdr:col>16</xdr:col>
                    <xdr:colOff>222250</xdr:colOff>
                    <xdr:row>0</xdr:row>
                    <xdr:rowOff>0</xdr:rowOff>
                  </from>
                  <to>
                    <xdr:col>17</xdr:col>
                    <xdr:colOff>0</xdr:colOff>
                    <xdr:row>2</xdr:row>
                    <xdr:rowOff>6350</xdr:rowOff>
                  </to>
                </anchor>
              </controlPr>
            </control>
          </mc:Choice>
        </mc:AlternateContent>
        <mc:AlternateContent xmlns:mc="http://schemas.openxmlformats.org/markup-compatibility/2006">
          <mc:Choice Requires="x14">
            <control shapeId="66602" r:id="rId5" name="Button 42">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66603" r:id="rId6" name="Button 43">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66604" r:id="rId7" name="Button 44">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66605" r:id="rId8" name="Button 45">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66606" r:id="rId9" name="Button 46">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66607" r:id="rId10" name="Button 47">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66608" r:id="rId11" name="Button 48">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66609" r:id="rId12" name="Button 49">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B8C20-8FA4-4043-BB47-4CBD1F9BC5D7}">
  <sheetPr codeName="Sheet49"/>
  <dimension ref="A1:Q208"/>
  <sheetViews>
    <sheetView zoomScale="75" zoomScaleNormal="75" workbookViewId="0">
      <selection activeCell="C4" sqref="C4"/>
    </sheetView>
  </sheetViews>
  <sheetFormatPr defaultRowHeight="14.5" x14ac:dyDescent="0.35"/>
  <cols>
    <col min="1" max="1" width="4.54296875" style="1" customWidth="1"/>
    <col min="2" max="2" width="14" style="1" customWidth="1"/>
    <col min="3" max="3" width="77.1796875" style="1" bestFit="1" customWidth="1"/>
    <col min="4" max="4" width="10.7265625" style="1" customWidth="1"/>
    <col min="5" max="5" width="10.1796875" style="1" customWidth="1"/>
    <col min="6" max="6" width="13.26953125" style="1" customWidth="1"/>
    <col min="7" max="7" width="15.1796875" style="1" customWidth="1"/>
    <col min="8" max="8" width="13.26953125" style="1" customWidth="1"/>
    <col min="9" max="9" width="12.7265625" style="1" customWidth="1"/>
    <col min="10" max="10" width="12.26953125" style="1" customWidth="1"/>
    <col min="11" max="11" width="9" style="1" customWidth="1"/>
    <col min="12" max="12" width="13.26953125" style="1" customWidth="1"/>
    <col min="13" max="13" width="12.7265625" style="1" customWidth="1"/>
    <col min="14" max="14" width="13.26953125" style="1" customWidth="1"/>
    <col min="15" max="15" width="12.7265625" style="1" customWidth="1"/>
    <col min="16" max="16" width="13.26953125" style="1" customWidth="1"/>
    <col min="17" max="17" width="21.26953125" style="1" customWidth="1"/>
    <col min="18" max="22" width="8.7265625" style="1"/>
    <col min="23" max="23" width="4.54296875" style="1" customWidth="1"/>
    <col min="24" max="24" width="11.90625" style="1" customWidth="1"/>
    <col min="25" max="25" width="77.1796875" style="1" bestFit="1" customWidth="1"/>
    <col min="26" max="26" width="10.7265625" style="1" customWidth="1"/>
    <col min="27" max="27" width="10.1796875" style="1" customWidth="1"/>
    <col min="28" max="28" width="13.26953125" style="1" customWidth="1"/>
    <col min="29" max="29" width="15.1796875" style="1" customWidth="1"/>
    <col min="30" max="30" width="13.26953125" style="1" customWidth="1"/>
    <col min="31" max="31" width="12.7265625" style="1" customWidth="1"/>
    <col min="32" max="32" width="12.26953125" style="1" customWidth="1"/>
    <col min="33" max="33" width="9" style="1" customWidth="1"/>
    <col min="34" max="34" width="13.26953125" style="1" customWidth="1"/>
    <col min="35" max="35" width="12.7265625" style="1" customWidth="1"/>
    <col min="36" max="36" width="13.26953125" style="1" customWidth="1"/>
    <col min="37" max="37" width="12.7265625" style="1" customWidth="1"/>
    <col min="38" max="38" width="13.26953125" style="1" customWidth="1"/>
    <col min="39" max="39" width="21.26953125" style="1" customWidth="1"/>
    <col min="40" max="16384" width="8.7265625" style="1"/>
  </cols>
  <sheetData>
    <row r="1" spans="1:17" ht="14.5" customHeight="1"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CONCRETE CUTTING AND BORING</v>
      </c>
      <c r="J2" s="59"/>
      <c r="K2" s="59"/>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03 80 00</v>
      </c>
      <c r="C10" s="24" t="str">
        <f>C206</f>
        <v>CONCRETE CUTTING AND BORING</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CONCRETE CUTTING AND BORING</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Q200" s="78" t="s">
        <v>21404</v>
      </c>
    </row>
    <row r="201" spans="2:17" x14ac:dyDescent="0.35">
      <c r="C201" s="78" t="s">
        <v>21592</v>
      </c>
    </row>
    <row r="203" spans="2:17" x14ac:dyDescent="0.35">
      <c r="C203" s="77" t="s">
        <v>21399</v>
      </c>
    </row>
    <row r="205" spans="2:17" x14ac:dyDescent="0.35">
      <c r="C205" s="1" t="s">
        <v>21398</v>
      </c>
      <c r="D205" s="1" t="s">
        <v>75</v>
      </c>
      <c r="E205" s="1" t="s">
        <v>13768</v>
      </c>
      <c r="F205" s="2" t="s">
        <v>21397</v>
      </c>
      <c r="G205" s="1" t="s">
        <v>9</v>
      </c>
    </row>
    <row r="206" spans="2:17" x14ac:dyDescent="0.35">
      <c r="B206" s="49" t="s">
        <v>14120</v>
      </c>
      <c r="C206" s="82" t="s">
        <v>14121</v>
      </c>
    </row>
    <row r="207" spans="2:17" x14ac:dyDescent="0.35">
      <c r="B207" s="49" t="s">
        <v>14122</v>
      </c>
      <c r="C207" s="53" t="s">
        <v>14123</v>
      </c>
    </row>
    <row r="208" spans="2:17" x14ac:dyDescent="0.35">
      <c r="B208" s="49" t="s">
        <v>14124</v>
      </c>
      <c r="C208" s="53" t="s">
        <v>14125</v>
      </c>
    </row>
  </sheetData>
  <mergeCells count="9">
    <mergeCell ref="P3:Q3"/>
    <mergeCell ref="J5:K5"/>
    <mergeCell ref="J6:K6"/>
    <mergeCell ref="J7:K7"/>
    <mergeCell ref="A3:B3"/>
    <mergeCell ref="D3:G3"/>
    <mergeCell ref="J3:K3"/>
    <mergeCell ref="A4:B4"/>
    <mergeCell ref="J4:K4"/>
  </mergeCells>
  <dataValidations count="1">
    <dataValidation type="list" allowBlank="1" showInputMessage="1" showErrorMessage="1" sqref="C16:C190" xr:uid="{772187F2-4390-4D32-A19E-D278602A8C66}">
      <formula1>$C$205:$C207</formula1>
    </dataValidation>
  </dataValidations>
  <hyperlinks>
    <hyperlink ref="D3" r:id="rId1" display="datamateapp@gmail.com" xr:uid="{30DAB032-D495-44D6-A2C5-B8F7D81A6575}"/>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7589" r:id="rId4" name="Button 5">
              <controlPr defaultSize="0" print="0" autoFill="0" autoPict="0" macro="[0]!ExitSEC_038000">
                <anchor moveWithCells="1" sizeWithCells="1">
                  <from>
                    <xdr:col>16</xdr:col>
                    <xdr:colOff>209550</xdr:colOff>
                    <xdr:row>0</xdr:row>
                    <xdr:rowOff>0</xdr:rowOff>
                  </from>
                  <to>
                    <xdr:col>16</xdr:col>
                    <xdr:colOff>1479550</xdr:colOff>
                    <xdr:row>2</xdr:row>
                    <xdr:rowOff>6350</xdr:rowOff>
                  </to>
                </anchor>
              </controlPr>
            </control>
          </mc:Choice>
        </mc:AlternateContent>
        <mc:AlternateContent xmlns:mc="http://schemas.openxmlformats.org/markup-compatibility/2006">
          <mc:Choice Requires="x14">
            <control shapeId="67650" r:id="rId5" name="Button 66">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67651" r:id="rId6" name="Button 67">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67652" r:id="rId7" name="Button 68">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67653" r:id="rId8" name="Button 69">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67654" r:id="rId9" name="Button 70">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67655" r:id="rId10" name="Button 71">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67656" r:id="rId11" name="Button 72">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67657" r:id="rId12" name="Button 73">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1BB98-98A9-49D9-83B3-3BA38E028B00}">
  <sheetPr codeName="Sheet20"/>
  <dimension ref="A1:Q206"/>
  <sheetViews>
    <sheetView zoomScale="75" zoomScaleNormal="75" workbookViewId="0">
      <selection activeCell="A3" sqref="A3:B3"/>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UNIT MASONRY</v>
      </c>
      <c r="J2" s="59"/>
      <c r="K2" s="59"/>
      <c r="L2" s="1"/>
      <c r="M2" s="59"/>
      <c r="N2" s="59"/>
      <c r="O2" s="60"/>
      <c r="P2" s="57"/>
      <c r="Q2" s="57"/>
    </row>
    <row r="3" spans="1:17" ht="15" thickBot="1" x14ac:dyDescent="0.4">
      <c r="A3" s="446" t="s">
        <v>21539</v>
      </c>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7"/>
      <c r="Q3" s="8"/>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40"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04 20 00</v>
      </c>
      <c r="C10" s="24" t="str">
        <f>C206</f>
        <v>UNIT MASONRY</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UNIT MASONRY</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21402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14129</v>
      </c>
      <c r="C206" s="251" t="s">
        <v>14130</v>
      </c>
      <c r="D206" s="1"/>
      <c r="E206" s="1"/>
      <c r="F206" s="1"/>
      <c r="G206" s="1"/>
      <c r="H206" s="1"/>
      <c r="I206" s="1"/>
      <c r="J206" s="1"/>
      <c r="K206" s="1"/>
      <c r="L206" s="1"/>
      <c r="M206" s="1"/>
      <c r="N206" s="1"/>
      <c r="O206" s="1"/>
      <c r="P206" s="1"/>
      <c r="Q206" s="1"/>
    </row>
  </sheetData>
  <mergeCells count="8">
    <mergeCell ref="J6:K6"/>
    <mergeCell ref="J7:K7"/>
    <mergeCell ref="A3:B3"/>
    <mergeCell ref="D3:G3"/>
    <mergeCell ref="J3:K3"/>
    <mergeCell ref="A4:B4"/>
    <mergeCell ref="J4:K4"/>
    <mergeCell ref="J5:K5"/>
  </mergeCells>
  <dataValidations count="3">
    <dataValidation type="list" allowBlank="1" showInputMessage="1" showErrorMessage="1" sqref="C16" xr:uid="{93D43989-5A03-455D-91D8-22045D64394F}">
      <formula1>$C$205:$C207</formula1>
    </dataValidation>
    <dataValidation type="list" allowBlank="1" showInputMessage="1" showErrorMessage="1" sqref="C17:C25" xr:uid="{7427A4A9-7EAB-4C5A-87D9-50F92B38D94D}">
      <formula1>$C$205:$C207</formula1>
    </dataValidation>
    <dataValidation type="list" allowBlank="1" showInputMessage="1" showErrorMessage="1" sqref="C26:C190" xr:uid="{F5B667B1-6144-4FB0-AF87-B1A8A416535F}">
      <formula1>$C$205:$C207</formula1>
    </dataValidation>
  </dataValidations>
  <hyperlinks>
    <hyperlink ref="D3" r:id="rId1" display="datamateapp@gmail.com" xr:uid="{DDCC5851-FCD2-4E5B-B45B-A9838F4D739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88769" r:id="rId4" name="Button 1">
              <controlPr defaultSize="0" print="0" autoFill="0" autoPict="0" macro="[0]!ExitDIV_04Sheets">
                <anchor moveWithCells="1" sizeWithCells="1">
                  <from>
                    <xdr:col>14</xdr:col>
                    <xdr:colOff>831850</xdr:colOff>
                    <xdr:row>0</xdr:row>
                    <xdr:rowOff>0</xdr:rowOff>
                  </from>
                  <to>
                    <xdr:col>16</xdr:col>
                    <xdr:colOff>1479550</xdr:colOff>
                    <xdr:row>2</xdr:row>
                    <xdr:rowOff>12700</xdr:rowOff>
                  </to>
                </anchor>
              </controlPr>
            </control>
          </mc:Choice>
        </mc:AlternateContent>
        <mc:AlternateContent xmlns:mc="http://schemas.openxmlformats.org/markup-compatibility/2006">
          <mc:Choice Requires="x14">
            <control shapeId="288770" r:id="rId5" name="Button 2">
              <controlPr defaultSize="0" print="0" autoFill="0" autoPict="0">
                <anchor moveWithCells="1" sizeWithCells="1">
                  <from>
                    <xdr:col>17</xdr:col>
                    <xdr:colOff>0</xdr:colOff>
                    <xdr:row>0</xdr:row>
                    <xdr:rowOff>0</xdr:rowOff>
                  </from>
                  <to>
                    <xdr:col>19</xdr:col>
                    <xdr:colOff>50800</xdr:colOff>
                    <xdr:row>2</xdr:row>
                    <xdr:rowOff>19050</xdr:rowOff>
                  </to>
                </anchor>
              </controlPr>
            </control>
          </mc:Choice>
        </mc:AlternateContent>
        <mc:AlternateContent xmlns:mc="http://schemas.openxmlformats.org/markup-compatibility/2006">
          <mc:Choice Requires="x14">
            <control shapeId="288771" r:id="rId6" name="Button 3">
              <controlPr defaultSize="0" print="0" autoFill="0" autoPict="0" macro="[0]!ClearContentsAndDropdowns">
                <anchor moveWithCells="1" sizeWithCells="1">
                  <from>
                    <xdr:col>17</xdr:col>
                    <xdr:colOff>0</xdr:colOff>
                    <xdr:row>2</xdr:row>
                    <xdr:rowOff>184150</xdr:rowOff>
                  </from>
                  <to>
                    <xdr:col>19</xdr:col>
                    <xdr:colOff>50800</xdr:colOff>
                    <xdr:row>5</xdr:row>
                    <xdr:rowOff>25400</xdr:rowOff>
                  </to>
                </anchor>
              </controlPr>
            </control>
          </mc:Choice>
        </mc:AlternateContent>
        <mc:AlternateContent xmlns:mc="http://schemas.openxmlformats.org/markup-compatibility/2006">
          <mc:Choice Requires="x14">
            <control shapeId="288772" r:id="rId7" name="Button 4">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63500</xdr:rowOff>
                  </to>
                </anchor>
              </controlPr>
            </control>
          </mc:Choice>
        </mc:AlternateContent>
        <mc:AlternateContent xmlns:mc="http://schemas.openxmlformats.org/markup-compatibility/2006">
          <mc:Choice Requires="x14">
            <control shapeId="288773" r:id="rId8" name="Button 5">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76200</xdr:rowOff>
                  </to>
                </anchor>
              </controlPr>
            </control>
          </mc:Choice>
        </mc:AlternateContent>
        <mc:AlternateContent xmlns:mc="http://schemas.openxmlformats.org/markup-compatibility/2006">
          <mc:Choice Requires="x14">
            <control shapeId="288774" r:id="rId9" name="Button 6">
              <controlPr defaultSize="0" print="0" autoFill="0" autoPict="0" macro="[0]!Dashboard">
                <anchor moveWithCells="1" sizeWithCells="1">
                  <from>
                    <xdr:col>17</xdr:col>
                    <xdr:colOff>0</xdr:colOff>
                    <xdr:row>11</xdr:row>
                    <xdr:rowOff>12700</xdr:rowOff>
                  </from>
                  <to>
                    <xdr:col>19</xdr:col>
                    <xdr:colOff>50800</xdr:colOff>
                    <xdr:row>13</xdr:row>
                    <xdr:rowOff>31750</xdr:rowOff>
                  </to>
                </anchor>
              </controlPr>
            </control>
          </mc:Choice>
        </mc:AlternateContent>
        <mc:AlternateContent xmlns:mc="http://schemas.openxmlformats.org/markup-compatibility/2006">
          <mc:Choice Requires="x14">
            <control shapeId="288775" r:id="rId10" name="Button 7">
              <controlPr defaultSize="0" print="0" autoFill="0" autoPict="0" macro="[0]!ViewLog">
                <anchor moveWithCells="1" sizeWithCells="1">
                  <from>
                    <xdr:col>17</xdr:col>
                    <xdr:colOff>0</xdr:colOff>
                    <xdr:row>14</xdr:row>
                    <xdr:rowOff>12700</xdr:rowOff>
                  </from>
                  <to>
                    <xdr:col>19</xdr:col>
                    <xdr:colOff>50800</xdr:colOff>
                    <xdr:row>16</xdr:row>
                    <xdr:rowOff>31750</xdr:rowOff>
                  </to>
                </anchor>
              </controlPr>
            </control>
          </mc:Choice>
        </mc:AlternateContent>
        <mc:AlternateContent xmlns:mc="http://schemas.openxmlformats.org/markup-compatibility/2006">
          <mc:Choice Requires="x14">
            <control shapeId="288776" r:id="rId11" name="Button 8">
              <controlPr defaultSize="0" print="0" autoFill="0" autoPict="0" macro="[0]!ViewView_Print">
                <anchor moveWithCells="1" sizeWithCells="1">
                  <from>
                    <xdr:col>17</xdr:col>
                    <xdr:colOff>0</xdr:colOff>
                    <xdr:row>17</xdr:row>
                    <xdr:rowOff>19050</xdr:rowOff>
                  </from>
                  <to>
                    <xdr:col>19</xdr:col>
                    <xdr:colOff>50800</xdr:colOff>
                    <xdr:row>19</xdr:row>
                    <xdr:rowOff>38100</xdr:rowOff>
                  </to>
                </anchor>
              </controlPr>
            </control>
          </mc:Choice>
        </mc:AlternateContent>
        <mc:AlternateContent xmlns:mc="http://schemas.openxmlformats.org/markup-compatibility/2006">
          <mc:Choice Requires="x14">
            <control shapeId="288777" r:id="rId12" name="Button 9">
              <controlPr defaultSize="0" print="0" autoFill="0" autoPict="0" macro="[0]!OpenDataMateAppPage">
                <anchor moveWithCells="1" sizeWithCells="1">
                  <from>
                    <xdr:col>17</xdr:col>
                    <xdr:colOff>0</xdr:colOff>
                    <xdr:row>20</xdr:row>
                    <xdr:rowOff>25400</xdr:rowOff>
                  </from>
                  <to>
                    <xdr:col>19</xdr:col>
                    <xdr:colOff>50800</xdr:colOff>
                    <xdr:row>22</xdr:row>
                    <xdr:rowOff>44450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883FF-4E71-4328-9940-0A2DCD43859A}">
  <sheetPr codeName="Sheet51"/>
  <dimension ref="A1:Q200"/>
  <sheetViews>
    <sheetView zoomScale="75" zoomScaleNormal="75" workbookViewId="0">
      <selection activeCell="I23" sqref="I23"/>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7" t="str">
        <f>DIV_04View_Print!B2</f>
        <v>AREA/FLOOR/ZONE- Page- SUB COST- MAT COST- LAB COST- EQUIP COST- Total Cost- Date- Description- Log 10- Log 11- Log 12</v>
      </c>
      <c r="B1" s="57"/>
      <c r="C1" s="57"/>
      <c r="D1" s="57"/>
      <c r="E1" s="57"/>
      <c r="F1" s="57"/>
      <c r="G1" s="57"/>
      <c r="H1" s="57"/>
      <c r="I1" s="57"/>
      <c r="J1" s="57"/>
      <c r="K1" s="57"/>
      <c r="L1" s="57"/>
      <c r="M1" s="57" t="str">
        <f>DIV_02Input!M1</f>
        <v>Update 1</v>
      </c>
      <c r="N1" s="57" t="str">
        <f>DIV_02Input!N1</f>
        <v>Update 2</v>
      </c>
      <c r="O1" s="57" t="str">
        <f>DIV_02Input!O1</f>
        <v>Update 3</v>
      </c>
      <c r="P1" s="57"/>
      <c r="Q1" s="57"/>
    </row>
    <row r="2" spans="1:17" x14ac:dyDescent="0.35">
      <c r="A2" s="57"/>
      <c r="B2" s="436" t="s">
        <v>21420</v>
      </c>
      <c r="C2" s="436"/>
      <c r="D2" s="436"/>
      <c r="E2" s="436"/>
      <c r="F2" s="436"/>
      <c r="G2" s="436"/>
      <c r="H2" s="436"/>
      <c r="I2" s="436"/>
      <c r="J2" s="436"/>
      <c r="K2" s="436"/>
      <c r="L2" s="436"/>
      <c r="M2" s="1"/>
      <c r="N2" s="1"/>
      <c r="O2" s="1"/>
      <c r="P2" s="57"/>
      <c r="Q2" s="57"/>
    </row>
    <row r="3" spans="1:17" ht="15" thickBot="1" x14ac:dyDescent="0.4">
      <c r="A3" s="446" t="e">
        <f>VLOOKUP(A1,DIV_04Data!$A$1:$DZU$1000000,36,FALSE)</f>
        <v>#N/A</v>
      </c>
      <c r="B3" s="425"/>
      <c r="C3" s="103" t="e">
        <f>VLOOKUP(A1,DIV_04Data!$A$1:$DZU$1000000,38,FALSE)</f>
        <v>#N/A</v>
      </c>
      <c r="D3" s="447" t="e">
        <f>VLOOKUP(A1,DIV_04Data!$A$1:$DZU$1000000,39,FALSE)</f>
        <v>#N/A</v>
      </c>
      <c r="E3" s="448"/>
      <c r="F3" s="448"/>
      <c r="G3" s="448"/>
      <c r="H3" s="6" t="e">
        <f>VLOOKUP(A1,DIV_04Data!$A$1:$DZU$1000000,43,FALSE)</f>
        <v>#N/A</v>
      </c>
      <c r="I3" s="6" t="e">
        <f>VLOOKUP(A1,DIV_04Data!$A$1:$DZU$1000000,44,FALSE)</f>
        <v>#N/A</v>
      </c>
      <c r="J3" s="449" t="e">
        <f>VLOOKUP(A1,DIV_04Data!$A$1:$DZU$1000000,45,FALSE)</f>
        <v>#N/A</v>
      </c>
      <c r="K3" s="450"/>
      <c r="L3" s="100" t="e">
        <f>VLOOKUP(A1,DIV_04Data!$A$1:$DZU$1000000,47,FALSE)</f>
        <v>#N/A</v>
      </c>
      <c r="M3" s="8" t="e">
        <f>VLOOKUP(A1,DIV_04Data!$A$1:$DZU$1000000,48,FALSE)</f>
        <v>#N/A</v>
      </c>
      <c r="N3" s="6" t="e">
        <f>VLOOKUP(A1,DIV_04Data!$A$1:$DZU$1000000,49,FALSE)</f>
        <v>#N/A</v>
      </c>
      <c r="O3" s="8" t="e">
        <f>VLOOKUP(A1,DIV_04Data!$A$1:$DZU$1000000,50,FALSE)</f>
        <v>#N/A</v>
      </c>
      <c r="P3" s="7" t="e">
        <f>VLOOKUP(A1,DIV_04Data!$A$1:$DZU$1000000,51,FALSE)</f>
        <v>#N/A</v>
      </c>
      <c r="Q3" s="8" t="e">
        <f>VLOOKUP(A1,DIV_04Data!$A$1:$DZU$1000000,52,FALSE)</f>
        <v>#N/A</v>
      </c>
    </row>
    <row r="4" spans="1:17" ht="15" thickBot="1" x14ac:dyDescent="0.4">
      <c r="A4" s="451" t="e">
        <f>VLOOKUP(A1,DIV_04Data!$A$1:$DZU$1000000,53,FALSE)</f>
        <v>#N/A</v>
      </c>
      <c r="B4" s="452"/>
      <c r="C4" s="79" t="e">
        <f>VLOOKUP(A1,DIV_04Data!$A$1:$DZU$1000000,55,FALSE)</f>
        <v>#N/A</v>
      </c>
      <c r="D4" s="6" t="e">
        <f>VLOOKUP(A1,DIV_04Data!$A$1:$DZU$1000000,56,FALSE)</f>
        <v>#N/A</v>
      </c>
      <c r="E4" s="5" t="e">
        <f>VLOOKUP(A1,DIV_04Data!$A$1:$DZU$1000000,57,FALSE)</f>
        <v>#N/A</v>
      </c>
      <c r="F4" s="61" t="e">
        <f>VLOOKUP(A1,DIV_04Data!$A$1:$DZU$1000000,58,FALSE)</f>
        <v>#N/A</v>
      </c>
      <c r="G4" s="8" t="e">
        <f>VLOOKUP(A1,DIV_04Data!$A$1:$DZU$1000000,59,FALSE)</f>
        <v>#N/A</v>
      </c>
      <c r="H4" s="6" t="e">
        <f>VLOOKUP(A1,DIV_04Data!$A$1:$DZU$1000000,60,FALSE)</f>
        <v>#N/A</v>
      </c>
      <c r="I4" s="6" t="e">
        <f>VLOOKUP(A1,DIV_04Data!$A$1:$DZU$1000000,61,FALSE)</f>
        <v>#N/A</v>
      </c>
      <c r="J4" s="443" t="e">
        <f>VLOOKUP(A1,DIV_04Data!$A$1:$DZU$1000000,62,FALSE)</f>
        <v>#N/A</v>
      </c>
      <c r="K4" s="444"/>
      <c r="L4" s="102" t="e">
        <f>VLOOKUP(A1,DIV_04Data!$A$1:$DZU$1000000,64,FALSE)</f>
        <v>#N/A</v>
      </c>
      <c r="M4" s="9" t="e">
        <f>VLOOKUP(A1,DIV_04Data!$A$1:$DZU$1000000,65,FALSE)</f>
        <v>#N/A</v>
      </c>
      <c r="N4" s="31" t="e">
        <f>VLOOKUP(A1,DIV_04Data!$A$1:$DZU$1000000,66,FALSE)</f>
        <v>#N/A</v>
      </c>
      <c r="O4" s="98" t="e">
        <f>VLOOKUP(A1,DIV_04Data!$A$1:$DZU$1000000,67,FALSE)</f>
        <v>#N/A</v>
      </c>
      <c r="P4" s="7" t="e">
        <f>VLOOKUP(A1,DIV_04Data!$A$1:$DZU$1000000,68,FALSE)</f>
        <v>#N/A</v>
      </c>
      <c r="Q4" s="10" t="e">
        <f>VLOOKUP(A1,DIV_04Data!$A$1:$DZU$1000000,69,FALSE)</f>
        <v>#N/A</v>
      </c>
    </row>
    <row r="5" spans="1:17" ht="15" thickBot="1" x14ac:dyDescent="0.4">
      <c r="A5" s="3" t="e">
        <f>VLOOKUP(A1,DIV_04Data!$A$1:$DZU$1000000,70,FALSE)</f>
        <v>#N/A</v>
      </c>
      <c r="B5" s="4" t="e">
        <f>VLOOKUP(A1,DIV_04Data!$A$1:$DZU$1000000,71,FALSE)</f>
        <v>#N/A</v>
      </c>
      <c r="C5" s="5" t="e">
        <f>VLOOKUP(A1,DIV_04Data!$A$1:$DZU$1000000,72,FALSE)</f>
        <v>#N/A</v>
      </c>
      <c r="D5" s="6" t="e">
        <f>VLOOKUP(A1,DIV_04Data!$A$1:$DZU$1000000,73,FALSE)</f>
        <v>#N/A</v>
      </c>
      <c r="E5" s="7" t="e">
        <f>VLOOKUP(A1,DIV_04Data!$A$1:$DZU$1000000,74,FALSE)</f>
        <v>#N/A</v>
      </c>
      <c r="F5" s="6" t="e">
        <f>VLOOKUP(A1,DIV_04Data!$A$1:$DZU$1000000,75,FALSE)</f>
        <v>#N/A</v>
      </c>
      <c r="G5" s="8" t="e">
        <f>VLOOKUP(A1,DIV_04Data!$A$1:$DZU$1000000,76,FALSE)</f>
        <v>#N/A</v>
      </c>
      <c r="H5" s="6" t="e">
        <f>VLOOKUP(A1,DIV_04Data!$A$1:$DZU$1000000,77,FALSE)</f>
        <v>#N/A</v>
      </c>
      <c r="I5" s="6" t="e">
        <f>VLOOKUP(A1,DIV_04Data!$A$1:$DZU$1000000,78,FALSE)</f>
        <v>#N/A</v>
      </c>
      <c r="J5" s="443" t="e">
        <f>VLOOKUP(A1,DIV_04Data!$A$1:$DZU$1000000,79,FALSE)</f>
        <v>#N/A</v>
      </c>
      <c r="K5" s="444"/>
      <c r="L5" s="11" t="e">
        <f>VLOOKUP(A1,DIV_04Data!$A$1:$DZU$1000000,81,FALSE)</f>
        <v>#N/A</v>
      </c>
      <c r="M5" s="91" t="e">
        <f>VLOOKUP(A1,DIV_04Data!$A$1:$DZU$1000000,82,FALSE)</f>
        <v>#N/A</v>
      </c>
      <c r="N5" s="31" t="e">
        <f>VLOOKUP(A1,DIV_04Data!$A$1:$DZU$1000000,83,FALSE)</f>
        <v>#N/A</v>
      </c>
      <c r="O5" s="96" t="e">
        <f>VLOOKUP(A1,DIV_04Data!$A$1:$DZU$1000000,84,FALSE)</f>
        <v>#N/A</v>
      </c>
      <c r="P5" s="86" t="e">
        <f>VLOOKUP(A1,DIV_04Data!$A$1:$DZU$1000000,85,FALSE)</f>
        <v>#N/A</v>
      </c>
      <c r="Q5" s="8" t="e">
        <f>VLOOKUP(A1,DIV_04Data!$A$1:$DZU$1000000,86,FALSE)</f>
        <v>#N/A</v>
      </c>
    </row>
    <row r="6" spans="1:17" ht="15" thickBot="1" x14ac:dyDescent="0.4">
      <c r="A6" s="3" t="e">
        <f>VLOOKUP(A1,DIV_04Data!$A$1:$DZU$1000000,87,FALSE)</f>
        <v>#N/A</v>
      </c>
      <c r="B6" s="4" t="e">
        <f>VLOOKUP(A1,DIV_04Data!$A$1:$DZU$1000000,88,FALSE)</f>
        <v>#N/A</v>
      </c>
      <c r="C6" s="5" t="e">
        <f>VLOOKUP(A1,DIV_04Data!$A$1:$DZU$1000000,89,FALSE)</f>
        <v>#N/A</v>
      </c>
      <c r="D6" s="6" t="e">
        <f>VLOOKUP(A1,DIV_04Data!$A$1:$DZU$1000000,90,FALSE)</f>
        <v>#N/A</v>
      </c>
      <c r="E6" s="7" t="e">
        <f>VLOOKUP(A1,DIV_04Data!$A$1:$DZU$1000000,91,FALSE)</f>
        <v>#N/A</v>
      </c>
      <c r="F6" s="6" t="e">
        <f>VLOOKUP(A1,DIV_04Data!$A$1:$DZU$1000000,92,FALSE)</f>
        <v>#N/A</v>
      </c>
      <c r="G6" s="10" t="e">
        <f>VLOOKUP(A1,DIV_04Data!$A$1:$DZU$1000000,93,FALSE)</f>
        <v>#N/A</v>
      </c>
      <c r="H6" s="12" t="e">
        <f>VLOOKUP(A1,DIV_04Data!$A$1:$DZU$1000000,94,FALSE)</f>
        <v>#N/A</v>
      </c>
      <c r="I6" s="13" t="e">
        <f>VLOOKUP(A1,DIV_04Data!$A$1:$DZU$1000000,95,FALSE)</f>
        <v>#N/A</v>
      </c>
      <c r="J6" s="445" t="e">
        <f>VLOOKUP(A1,DIV_04Data!$A$1:$DZU$1000000,96,FALSE)</f>
        <v>#N/A</v>
      </c>
      <c r="K6" s="444"/>
      <c r="L6" s="11" t="e">
        <f>VLOOKUP(A1,DIV_04Data!$A$1:$DZU$1000000,98,FALSE)</f>
        <v>#N/A</v>
      </c>
      <c r="M6" s="9" t="e">
        <f>VLOOKUP(A1,DIV_04Data!$A$1:$DZU$1000000,99,FALSE)</f>
        <v>#N/A</v>
      </c>
      <c r="N6" s="31" t="e">
        <f>VLOOKUP(A1,DIV_04Data!$A$1:$DZU$1000000,100,FALSE)</f>
        <v>#N/A</v>
      </c>
      <c r="O6" s="97" t="e">
        <f>VLOOKUP(A1,DIV_04Data!$A$1:$DZU$1000000,101,FALSE)</f>
        <v>#N/A</v>
      </c>
      <c r="P6" s="7" t="e">
        <f>VLOOKUP(A1,DIV_04Data!$A$1:$DZU$1000000,102,FALSE)</f>
        <v>#N/A</v>
      </c>
      <c r="Q6" s="8" t="e">
        <f>VLOOKUP(A1,DIV_04Data!$A$1:$DZU$1000000,103,FALSE)</f>
        <v>#N/A</v>
      </c>
    </row>
    <row r="7" spans="1:17" x14ac:dyDescent="0.35">
      <c r="A7" s="3" t="e">
        <f>VLOOKUP(A1,DIV_04Data!$A$1:$DZU$1000000,104,FALSE)</f>
        <v>#N/A</v>
      </c>
      <c r="B7" s="4" t="e">
        <f>VLOOKUP(A1,DIV_04Data!$A$1:$DZU$1000000,105,FALSE)</f>
        <v>#N/A</v>
      </c>
      <c r="C7" s="84" t="e">
        <f>VLOOKUP(A1,DIV_04Data!$A$1:$DZU$1000000,106,FALSE)</f>
        <v>#N/A</v>
      </c>
      <c r="D7" s="6" t="e">
        <f>VLOOKUP(A1,DIV_04Data!$A$1:$DZU$1000000,107,FALSE)</f>
        <v>#N/A</v>
      </c>
      <c r="E7" s="7" t="e">
        <f>VLOOKUP(A1,DIV_04Data!$A$1:$DZU$1000000,108,FALSE)</f>
        <v>#N/A</v>
      </c>
      <c r="F7" s="6" t="e">
        <f>VLOOKUP(A1,DIV_04Data!$A$1:$DZU$1000000,109,FALSE)</f>
        <v>#N/A</v>
      </c>
      <c r="G7" s="7" t="e">
        <f>VLOOKUP(A1,DIV_04Data!$A$1:$DZU$1000000,110,FALSE)</f>
        <v>#N/A</v>
      </c>
      <c r="H7" s="14" t="e">
        <f>VLOOKUP(A1,DIV_04Data!$A$1:$DZU$1000000,111,FALSE)</f>
        <v>#N/A</v>
      </c>
      <c r="I7" s="6" t="e">
        <f>VLOOKUP(A1,DIV_04Data!$A$1:$DZU$1000000,112,FALSE)</f>
        <v>#N/A</v>
      </c>
      <c r="J7" s="443" t="e">
        <f>VLOOKUP(A1,DIV_04Data!$A$1:$DZU$1000000,113,FALSE)</f>
        <v>#N/A</v>
      </c>
      <c r="K7" s="444"/>
      <c r="L7" s="11" t="e">
        <f>VLOOKUP(A1,DIV_04Data!$A$1:$DZU$1000000,115,FALSE)</f>
        <v>#N/A</v>
      </c>
      <c r="M7" s="6" t="e">
        <f>VLOOKUP(A1,DIV_04Data!$A$1:$DZU$1000000,116,FALSE)</f>
        <v>#N/A</v>
      </c>
      <c r="N7" s="31" t="e">
        <f>VLOOKUP(A1,DIV_04Data!$A$1:$DZU$1000000,117,FALSE)</f>
        <v>#N/A</v>
      </c>
      <c r="O7" s="96" t="e">
        <f>VLOOKUP(A1,DIV_04Data!$A$1:$DZU$1000000,118,FALSE)</f>
        <v>#N/A</v>
      </c>
      <c r="P7" s="90" t="e">
        <f>VLOOKUP(A1,DIV_04Data!$A$1:$DZU$1000000,119,FALSE)</f>
        <v>#N/A</v>
      </c>
      <c r="Q7" s="90" t="e">
        <f>VLOOKUP(A1,DIV_04Data!$A$1:$DZU$1000000,120,FALSE)</f>
        <v>#N/A</v>
      </c>
    </row>
    <row r="8" spans="1:17" ht="15" thickBot="1" x14ac:dyDescent="0.4">
      <c r="A8" s="3" t="e">
        <f>VLOOKUP(A1,DIV_04Data!$A$1:$DZU$1000000,121,FALSE)</f>
        <v>#N/A</v>
      </c>
      <c r="B8" s="4" t="e">
        <f>VLOOKUP(A1,DIV_04Data!$A$1:$DZU$1000000,122,FALSE)</f>
        <v>#N/A</v>
      </c>
      <c r="C8" s="86" t="e">
        <f>VLOOKUP(A1,DIV_04Data!$A$1:$DZU$1000000,123,FALSE)</f>
        <v>#N/A</v>
      </c>
      <c r="D8" s="6" t="e">
        <f>VLOOKUP(A1,DIV_04Data!$A$1:$DZU$1000000,124,FALSE)</f>
        <v>#N/A</v>
      </c>
      <c r="E8" s="7" t="e">
        <f>VLOOKUP(A1,DIV_04Data!$A$1:$DZU$1000000,125,FALSE)</f>
        <v>#N/A</v>
      </c>
      <c r="F8" s="6" t="e">
        <f>VLOOKUP(A1,DIV_04Data!$A$1:$DZU$1000000,126,FALSE)</f>
        <v>#N/A</v>
      </c>
      <c r="G8" s="6" t="e">
        <f>VLOOKUP(A1,DIV_04Data!$A$1:$DZU$1000000,127,FALSE)</f>
        <v>#N/A</v>
      </c>
      <c r="H8" s="6" t="e">
        <f>VLOOKUP(A1,DIV_04Data!$A$1:$DZU$1000000,128,FALSE)</f>
        <v>#N/A</v>
      </c>
      <c r="I8" s="6" t="e">
        <f>VLOOKUP(A1,DIV_04Data!$A$1:$DZU$1000000,129,FALSE)</f>
        <v>#N/A</v>
      </c>
      <c r="J8" s="6" t="e">
        <f>VLOOKUP(A1,DIV_04Data!$A$1:$DZU$1000000,130,FALSE)</f>
        <v>#N/A</v>
      </c>
      <c r="K8" s="6" t="e">
        <f>VLOOKUP(A1,DIV_04Data!$A$1:$DZU$1000000,131,FALSE)</f>
        <v>#N/A</v>
      </c>
      <c r="L8" s="83" t="e">
        <f>VLOOKUP(A1,DIV_04Data!$A$1:$DZU$1000000,132,FALSE)</f>
        <v>#N/A</v>
      </c>
      <c r="M8" s="6" t="e">
        <f>VLOOKUP(A1,DIV_04Data!$A$1:$DZU$1000000,133,FALSE)</f>
        <v>#N/A</v>
      </c>
      <c r="N8" s="6" t="e">
        <f>VLOOKUP(A1,DIV_04Data!$A$1:$DZU$1000000,134,FALSE)</f>
        <v>#N/A</v>
      </c>
      <c r="O8" s="95" t="e">
        <f>VLOOKUP(A1,DIV_04Data!$A$1:$DZU$1000000,135,FALSE)</f>
        <v>#N/A</v>
      </c>
      <c r="P8" s="6" t="e">
        <f>VLOOKUP(A1,DIV_04Data!$A$1:$DZU$1000000,136,FALSE)</f>
        <v>#N/A</v>
      </c>
      <c r="Q8" s="6" t="e">
        <f>VLOOKUP(A1,DIV_04Data!$A$1:$DZU$1000000,137,FALSE)</f>
        <v>#N/A</v>
      </c>
    </row>
    <row r="9" spans="1:17" ht="15" thickBot="1" x14ac:dyDescent="0.4">
      <c r="A9" s="15" t="e">
        <f>VLOOKUP(A1,DIV_04Data!$A$1:$DZU$1000000,138,FALSE)</f>
        <v>#N/A</v>
      </c>
      <c r="B9" s="16" t="e">
        <f>VLOOKUP(A1,DIV_04Data!$A$1:$DZU$1000000,139,FALSE)</f>
        <v>#N/A</v>
      </c>
      <c r="C9" s="17" t="e">
        <f>VLOOKUP(A1,DIV_04Data!$A$1:$DZU$1000000,140,FALSE)</f>
        <v>#N/A</v>
      </c>
      <c r="D9" s="18" t="e">
        <f>VLOOKUP(A1,DIV_04Data!$A$1:$DZU$1000000,141,FALSE)</f>
        <v>#N/A</v>
      </c>
      <c r="E9" s="19" t="e">
        <f>VLOOKUP(A1,DIV_04Data!$A$1:$DZU$1000000,142,FALSE)</f>
        <v>#N/A</v>
      </c>
      <c r="F9" s="16" t="e">
        <f>VLOOKUP(A1,DIV_04Data!$A$1:$DZU$1000000,143,FALSE)</f>
        <v>#N/A</v>
      </c>
      <c r="G9" s="20" t="e">
        <f>VLOOKUP(A1,DIV_04Data!$A$1:$DZU$1000000,144,FALSE)</f>
        <v>#N/A</v>
      </c>
      <c r="H9" s="16" t="e">
        <f>VLOOKUP(A1,DIV_04Data!$A$1:$DZU$1000000,145,FALSE)</f>
        <v>#N/A</v>
      </c>
      <c r="I9" s="20" t="e">
        <f>VLOOKUP(A1,DIV_04Data!$A$1:$DZU$1000000,146,FALSE)</f>
        <v>#N/A</v>
      </c>
      <c r="J9" s="21" t="e">
        <f>VLOOKUP(A1,DIV_04Data!$A$1:$DZU$1000000,147,FALSE)</f>
        <v>#N/A</v>
      </c>
      <c r="K9" s="16" t="e">
        <f>VLOOKUP(A1,DIV_04Data!$A$1:$DZU$1000000,148,FALSE)</f>
        <v>#N/A</v>
      </c>
      <c r="L9" s="21" t="e">
        <f>VLOOKUP(A1,DIV_04Data!$A$1:$DZU$1000000,149,FALSE)</f>
        <v>#N/A</v>
      </c>
      <c r="M9" s="20" t="e">
        <f>VLOOKUP(A1,DIV_04Data!$A$1:$DZU$1000000,150,FALSE)</f>
        <v>#N/A</v>
      </c>
      <c r="N9" s="16" t="e">
        <f>VLOOKUP(A1,DIV_04Data!$A$1:$DZU$1000000,151,FALSE)</f>
        <v>#N/A</v>
      </c>
      <c r="O9" s="20" t="e">
        <f>VLOOKUP(A1,DIV_04Data!$A$1:$DZU$1000000,152,FALSE)</f>
        <v>#N/A</v>
      </c>
      <c r="P9" s="18" t="e">
        <f>VLOOKUP(A1,DIV_04Data!$A$1:$DZU$1000000,153,FALSE)</f>
        <v>#N/A</v>
      </c>
      <c r="Q9" s="20" t="e">
        <f>VLOOKUP(A1,DIV_04Data!$A$1:$DZU$1000000,154,FALSE)</f>
        <v>#N/A</v>
      </c>
    </row>
    <row r="10" spans="1:17" ht="15" thickBot="1" x14ac:dyDescent="0.4">
      <c r="A10" s="22" t="e">
        <f>VLOOKUP(A1,DIV_04Data!$A$1:$DZU$1000000,155,FALSE)</f>
        <v>#N/A</v>
      </c>
      <c r="B10" s="23" t="e">
        <f>VLOOKUP(A1,DIV_04Data!$A$1:$DZU$1000000,156,FALSE)</f>
        <v>#N/A</v>
      </c>
      <c r="C10" s="24" t="e">
        <f>VLOOKUP(A1,DIV_04Data!$A$1:$DZU$1000000,157,FALSE)</f>
        <v>#N/A</v>
      </c>
      <c r="D10" s="25" t="e">
        <f>VLOOKUP(A1,DIV_04Data!$A$1:$DZU$1000000,158,FALSE)</f>
        <v>#N/A</v>
      </c>
      <c r="E10" s="26" t="e">
        <f>VLOOKUP(A1,DIV_04Data!$A$1:$DZU$1000000,159,FALSE)</f>
        <v>#N/A</v>
      </c>
      <c r="F10" s="27" t="e">
        <f>VLOOKUP(A1,DIV_04Data!$A$1:$DZU$1000000,160,FALSE)</f>
        <v>#N/A</v>
      </c>
      <c r="G10" s="28" t="e">
        <f>VLOOKUP(A1,DIV_04Data!$A$1:$DZU$1000000,161,FALSE)</f>
        <v>#N/A</v>
      </c>
      <c r="H10" s="27" t="e">
        <f>VLOOKUP(A1,DIV_04Data!$A$1:$DZU$1000000,162,FALSE)</f>
        <v>#N/A</v>
      </c>
      <c r="I10" s="28" t="e">
        <f>VLOOKUP(A1,DIV_04Data!$A$1:$DZU$1000000,163,FALSE)</f>
        <v>#N/A</v>
      </c>
      <c r="J10" s="27" t="e">
        <f>VLOOKUP(A1,DIV_04Data!$A$1:$DZU$1000000,164,FALSE)</f>
        <v>#N/A</v>
      </c>
      <c r="K10" s="27" t="e">
        <f>VLOOKUP(A1,DIV_04Data!$A$1:$DZU$1000000,165,FALSE)</f>
        <v>#N/A</v>
      </c>
      <c r="L10" s="27" t="e">
        <f>VLOOKUP(A1,DIV_04Data!$A$1:$DZU$1000000,166,FALSE)</f>
        <v>#N/A</v>
      </c>
      <c r="M10" s="28" t="e">
        <f>VLOOKUP(A1,DIV_04Data!$A$1:$DZU$1000000,167,FALSE)</f>
        <v>#N/A</v>
      </c>
      <c r="N10" s="27" t="e">
        <f>VLOOKUP(A1,DIV_04Data!$A$1:$DZU$1000000,168,FALSE)</f>
        <v>#N/A</v>
      </c>
      <c r="O10" s="28" t="e">
        <f>VLOOKUP(A1,DIV_04Data!$A$1:$DZU$1000000,169,FALSE)</f>
        <v>#N/A</v>
      </c>
      <c r="P10" s="25" t="e">
        <f>VLOOKUP(A1,DIV_04Data!$A$1:$DZU$1000000,170,FALSE)</f>
        <v>#N/A</v>
      </c>
      <c r="Q10" s="28" t="e">
        <f>VLOOKUP(A1,DIV_04Data!$A$1:$DZU$1000000,171,FALSE)</f>
        <v>#N/A</v>
      </c>
    </row>
    <row r="11" spans="1:17" x14ac:dyDescent="0.35">
      <c r="A11" s="22" t="e">
        <f>VLOOKUP(A1,DIV_04Data!$A$1:$DZU$1000000,172,FALSE)</f>
        <v>#N/A</v>
      </c>
      <c r="B11" s="29" t="e">
        <f>VLOOKUP(A1,DIV_04Data!$A$1:$DZU$1000000,173,FALSE)</f>
        <v>#N/A</v>
      </c>
      <c r="C11" s="30" t="e">
        <f>VLOOKUP(A1,DIV_04Data!$A$1:$DZU$1000000,174,FALSE)</f>
        <v>#N/A</v>
      </c>
      <c r="D11" s="31" t="e">
        <f>VLOOKUP(A1,DIV_04Data!$A$1:$DZU$1000000,175,FALSE)</f>
        <v>#N/A</v>
      </c>
      <c r="E11" s="32" t="e">
        <f>VLOOKUP(A1,DIV_04Data!$A$1:$DZU$1000000,176,FALSE)</f>
        <v>#N/A</v>
      </c>
      <c r="F11" s="34" t="e">
        <f>VLOOKUP(A1,DIV_04Data!$A$1:$DZU$1000000,177,FALSE)</f>
        <v>#N/A</v>
      </c>
      <c r="G11" s="33" t="e">
        <f>VLOOKUP(A1,DIV_04Data!$A$1:$DZU$1000000,178,FALSE)</f>
        <v>#N/A</v>
      </c>
      <c r="H11" s="34" t="e">
        <f>VLOOKUP(A1,DIV_04Data!$A$1:$DZU$1000000,179,FALSE)</f>
        <v>#N/A</v>
      </c>
      <c r="I11" s="33" t="e">
        <f>VLOOKUP(A1,DIV_04Data!$A$1:$DZU$1000000,180,FALSE)</f>
        <v>#N/A</v>
      </c>
      <c r="J11" s="34" t="e">
        <f>VLOOKUP(A1,DIV_04Data!$A$1:$DZU$1000000,181,FALSE)</f>
        <v>#N/A</v>
      </c>
      <c r="K11" s="34" t="e">
        <f>VLOOKUP(A1,DIV_04Data!$A$1:$DZU$1000000,182,FALSE)</f>
        <v>#N/A</v>
      </c>
      <c r="L11" s="34" t="e">
        <f>VLOOKUP(A1,DIV_04Data!$A$1:$DZU$1000000,183,FALSE)</f>
        <v>#N/A</v>
      </c>
      <c r="M11" s="33" t="e">
        <f>VLOOKUP(A1,DIV_04Data!$A$1:$DZU$1000000,184,FALSE)</f>
        <v>#N/A</v>
      </c>
      <c r="N11" s="34" t="e">
        <f>VLOOKUP(A1,DIV_04Data!$A$1:$DZU$1000000,185,FALSE)</f>
        <v>#N/A</v>
      </c>
      <c r="O11" s="35" t="e">
        <f>VLOOKUP(A1,DIV_04Data!$A$1:$DZU$1000000,186,FALSE)</f>
        <v>#N/A</v>
      </c>
      <c r="P11" s="31" t="e">
        <f>VLOOKUP(A1,DIV_04Data!$A$1:$DZU$1000000,187,FALSE)</f>
        <v>#N/A</v>
      </c>
      <c r="Q11" s="35" t="e">
        <f>VLOOKUP(A1,DIV_04Data!$A$1:$DZU$1000000,188,FALSE)</f>
        <v>#N/A</v>
      </c>
    </row>
    <row r="12" spans="1:17" x14ac:dyDescent="0.35">
      <c r="A12" s="22" t="e">
        <f>VLOOKUP(A1,DIV_04Data!$A$1:$DZU$1000000,189,FALSE)</f>
        <v>#N/A</v>
      </c>
      <c r="B12" s="29" t="e">
        <f>VLOOKUP(A1,DIV_04Data!$A$1:$DZU$1000000,190,FALSE)</f>
        <v>#N/A</v>
      </c>
      <c r="C12" s="30" t="e">
        <f>VLOOKUP(A1,DIV_04Data!$A$1:$DZU$1000000,191,FALSE)</f>
        <v>#N/A</v>
      </c>
      <c r="D12" s="31" t="e">
        <f>VLOOKUP(A1,DIV_04Data!$A$1:$DZU$1000000,192,FALSE)</f>
        <v>#N/A</v>
      </c>
      <c r="E12" s="32" t="e">
        <f>VLOOKUP(A1,DIV_04Data!$A$1:$DZU$1000000,193,FALSE)</f>
        <v>#N/A</v>
      </c>
      <c r="F12" s="34" t="e">
        <f>VLOOKUP(A1,DIV_04Data!$A$1:$DZU$1000000,194,FALSE)</f>
        <v>#N/A</v>
      </c>
      <c r="G12" s="33" t="e">
        <f>VLOOKUP(A1,DIV_04Data!$A$1:$DZU$1000000,195,FALSE)</f>
        <v>#N/A</v>
      </c>
      <c r="H12" s="34" t="e">
        <f>VLOOKUP(A1,DIV_04Data!$A$1:$DZU$1000000,196,FALSE)</f>
        <v>#N/A</v>
      </c>
      <c r="I12" s="33" t="e">
        <f>VLOOKUP(A1,DIV_04Data!$A$1:$DZU$1000000,197,FALSE)</f>
        <v>#N/A</v>
      </c>
      <c r="J12" s="34" t="e">
        <f>VLOOKUP(A1,DIV_04Data!$A$1:$DZU$1000000,198,FALSE)</f>
        <v>#N/A</v>
      </c>
      <c r="K12" s="34" t="e">
        <f>VLOOKUP(A1,DIV_04Data!$A$1:$DZU$1000000,199,FALSE)</f>
        <v>#N/A</v>
      </c>
      <c r="L12" s="34" t="e">
        <f>VLOOKUP(A1,DIV_04Data!$A$1:$DZU$1000000,200,FALSE)</f>
        <v>#N/A</v>
      </c>
      <c r="M12" s="33" t="e">
        <f>VLOOKUP(A1,DIV_04Data!$A$1:$DZU$1000000,201,FALSE)</f>
        <v>#N/A</v>
      </c>
      <c r="N12" s="34" t="e">
        <f>VLOOKUP(A1,DIV_04Data!$A$1:$DZU$1000000,202,FALSE)</f>
        <v>#N/A</v>
      </c>
      <c r="O12" s="35" t="e">
        <f>VLOOKUP(A1,DIV_04Data!$A$1:$DZU$1000000,203,FALSE)</f>
        <v>#N/A</v>
      </c>
      <c r="P12" s="31" t="e">
        <f>VLOOKUP(A1,DIV_04Data!$A$1:$DZU$1000000,204,FALSE)</f>
        <v>#N/A</v>
      </c>
      <c r="Q12" s="35" t="e">
        <f>VLOOKUP(A1,DIV_04Data!$A$1:$DZU$1000000,205,FALSE)</f>
        <v>#N/A</v>
      </c>
    </row>
    <row r="13" spans="1:17" x14ac:dyDescent="0.35">
      <c r="A13" s="22" t="e">
        <f>VLOOKUP(A1,DIV_04Data!$A$1:$DZU$1000000,206,FALSE)</f>
        <v>#N/A</v>
      </c>
      <c r="B13" s="37" t="e">
        <f>VLOOKUP(A1,DIV_04Data!$A$1:$DZU$1000000,207,FALSE)</f>
        <v>#N/A</v>
      </c>
      <c r="C13" s="38" t="e">
        <f>VLOOKUP(A1,DIV_04Data!$A$1:$DZU$1000000,208,FALSE)</f>
        <v>#N/A</v>
      </c>
      <c r="D13" s="31" t="e">
        <f>VLOOKUP(A1,DIV_04Data!$A$1:$DZU$1000000,209,FALSE)</f>
        <v>#N/A</v>
      </c>
      <c r="E13" s="32" t="e">
        <f>VLOOKUP(A1,DIV_04Data!$A$1:$DZU$1000000,210,FALSE)</f>
        <v>#N/A</v>
      </c>
      <c r="F13" s="93" t="e">
        <f>VLOOKUP(A1,DIV_04Data!$A$1:$DZU$1000000,211,FALSE)</f>
        <v>#N/A</v>
      </c>
      <c r="G13" s="33" t="e">
        <f>VLOOKUP(A1,DIV_04Data!$A$1:$DZU$1000000,212,FALSE)</f>
        <v>#N/A</v>
      </c>
      <c r="H13" s="93" t="e">
        <f>VLOOKUP(A1,DIV_04Data!$A$1:$DZU$1000000,213,FALSE)</f>
        <v>#N/A</v>
      </c>
      <c r="I13" s="33" t="e">
        <f>VLOOKUP(A1,DIV_04Data!$A$1:$DZU$1000000,214,FALSE)</f>
        <v>#N/A</v>
      </c>
      <c r="J13" s="34" t="e">
        <f>VLOOKUP(A1,DIV_04Data!$A$1:$DZU$1000000,215,FALSE)</f>
        <v>#N/A</v>
      </c>
      <c r="K13" s="34" t="e">
        <f>VLOOKUP(A1,DIV_04Data!$A$1:$DZU$1000000,216,FALSE)</f>
        <v>#N/A</v>
      </c>
      <c r="L13" s="93" t="e">
        <f>VLOOKUP(A1,DIV_04Data!$A$1:$DZU$1000000,217,FALSE)</f>
        <v>#N/A</v>
      </c>
      <c r="M13" s="33" t="e">
        <f>VLOOKUP(A1,DIV_04Data!$A$1:$DZU$1000000,218,FALSE)</f>
        <v>#N/A</v>
      </c>
      <c r="N13" s="93" t="e">
        <f>VLOOKUP(A1,DIV_04Data!$A$1:$DZU$1000000,219,FALSE)</f>
        <v>#N/A</v>
      </c>
      <c r="O13" s="33" t="e">
        <f>VLOOKUP(A1,DIV_04Data!$A$1:$DZU$1000000,220,FALSE)</f>
        <v>#N/A</v>
      </c>
      <c r="P13" s="46" t="e">
        <f>VLOOKUP(A1,DIV_04Data!$A$1:$DZU$1000000,221,FALSE)</f>
        <v>#N/A</v>
      </c>
      <c r="Q13" s="33" t="e">
        <f>VLOOKUP(A1,DIV_04Data!$A$1:$DZU$1000000,222,FALSE)</f>
        <v>#N/A</v>
      </c>
    </row>
    <row r="14" spans="1:17" x14ac:dyDescent="0.35">
      <c r="A14" s="22" t="e">
        <f>VLOOKUP(A1,DIV_04Data!$A$1:$DZU$1000000,223,FALSE)</f>
        <v>#N/A</v>
      </c>
      <c r="B14" s="37" t="e">
        <f>VLOOKUP(A1,DIV_04Data!$A$1:$DZU$1000000,224,FALSE)</f>
        <v>#N/A</v>
      </c>
      <c r="C14" s="38" t="e">
        <f>VLOOKUP(A1,DIV_04Data!$A$1:$DZU$1000000,225,FALSE)</f>
        <v>#N/A</v>
      </c>
      <c r="D14" s="31" t="e">
        <f>VLOOKUP(A1,DIV_04Data!$A$1:$DZU$1000000,226,FALSE)</f>
        <v>#N/A</v>
      </c>
      <c r="E14" s="32" t="e">
        <f>VLOOKUP(A1,DIV_04Data!$A$1:$DZU$1000000,227,FALSE)</f>
        <v>#N/A</v>
      </c>
      <c r="F14" s="34" t="e">
        <f>VLOOKUP(A1,DIV_04Data!$A$1:$DZU$1000000,228,FALSE)</f>
        <v>#N/A</v>
      </c>
      <c r="G14" s="33" t="e">
        <f>VLOOKUP(A1,DIV_04Data!$A$1:$DZU$1000000,229,FALSE)</f>
        <v>#N/A</v>
      </c>
      <c r="H14" s="34" t="e">
        <f>VLOOKUP(A1,DIV_04Data!$A$1:$DZU$1000000,230,FALSE)</f>
        <v>#N/A</v>
      </c>
      <c r="I14" s="33" t="e">
        <f>VLOOKUP(A1,DIV_04Data!$A$1:$DZU$1000000,231,FALSE)</f>
        <v>#N/A</v>
      </c>
      <c r="J14" s="34" t="e">
        <f>VLOOKUP(A1,DIV_04Data!$A$1:$DZU$1000000,232,FALSE)</f>
        <v>#N/A</v>
      </c>
      <c r="K14" s="34" t="e">
        <f>VLOOKUP(A1,DIV_04Data!$A$1:$DZU$1000000,233,FALSE)</f>
        <v>#N/A</v>
      </c>
      <c r="L14" s="34" t="e">
        <f>VLOOKUP(A1,DIV_04Data!$A$1:$DZU$1000000,234,FALSE)</f>
        <v>#N/A</v>
      </c>
      <c r="M14" s="33" t="e">
        <f>VLOOKUP(A1,DIV_04Data!$A$1:$DZU$1000000,235,FALSE)</f>
        <v>#N/A</v>
      </c>
      <c r="N14" s="34" t="e">
        <f>VLOOKUP(A1,DIV_04Data!$A$1:$DZU$1000000,236,FALSE)</f>
        <v>#N/A</v>
      </c>
      <c r="O14" s="33" t="e">
        <f>VLOOKUP(A1,DIV_04Data!$A$1:$DZU$1000000,237,FALSE)</f>
        <v>#N/A</v>
      </c>
      <c r="P14" s="46" t="e">
        <f>VLOOKUP(A1,DIV_04Data!$A$1:$DZU$1000000,238,FALSE)</f>
        <v>#N/A</v>
      </c>
      <c r="Q14" s="33" t="e">
        <f>VLOOKUP(A1,DIV_04Data!$A$1:$DZU$1000000,239,FALSE)</f>
        <v>#N/A</v>
      </c>
    </row>
    <row r="15" spans="1:17" x14ac:dyDescent="0.35">
      <c r="A15" s="22" t="e">
        <f>VLOOKUP(A1,DIV_04Data!$A$1:$DZU$1000000,240,FALSE)</f>
        <v>#N/A</v>
      </c>
      <c r="B15" s="37" t="e">
        <f>VLOOKUP(A1,DIV_04Data!$A$1:$DZU$1000000,241,FALSE)</f>
        <v>#N/A</v>
      </c>
      <c r="C15" s="38" t="e">
        <f>VLOOKUP(A1,DIV_04Data!$A$1:$DZU$1000000,242,FALSE)</f>
        <v>#N/A</v>
      </c>
      <c r="D15" s="31" t="e">
        <f>VLOOKUP(A1,DIV_04Data!$A$1:$DZU$1000000,243,FALSE)</f>
        <v>#N/A</v>
      </c>
      <c r="E15" s="32" t="e">
        <f>VLOOKUP(A1,DIV_04Data!$A$1:$DZU$1000000,244,FALSE)</f>
        <v>#N/A</v>
      </c>
      <c r="F15" s="34" t="e">
        <f>VLOOKUP(A1,DIV_04Data!$A$1:$DZU$1000000,245,FALSE)</f>
        <v>#N/A</v>
      </c>
      <c r="G15" s="33" t="e">
        <f>VLOOKUP(A1,DIV_04Data!$A$1:$DZU$1000000,246,FALSE)</f>
        <v>#N/A</v>
      </c>
      <c r="H15" s="34" t="e">
        <f>VLOOKUP(A1,DIV_04Data!$A$1:$DZU$1000000,247,FALSE)</f>
        <v>#N/A</v>
      </c>
      <c r="I15" s="33" t="e">
        <f>VLOOKUP(A1,DIV_04Data!$A$1:$DZU$1000000,248,FALSE)</f>
        <v>#N/A</v>
      </c>
      <c r="J15" s="34" t="e">
        <f>VLOOKUP(A1,DIV_04Data!$A$1:$DZU$1000000,249,FALSE)</f>
        <v>#N/A</v>
      </c>
      <c r="K15" s="34" t="e">
        <f>VLOOKUP(A1,DIV_04Data!$A$1:$DZU$1000000,250,FALSE)</f>
        <v>#N/A</v>
      </c>
      <c r="L15" s="34" t="e">
        <f>VLOOKUP(A1,DIV_04Data!$A$1:$DZU$1000000,251,FALSE)</f>
        <v>#N/A</v>
      </c>
      <c r="M15" s="33" t="e">
        <f>VLOOKUP(A1,DIV_04Data!$A$1:$DZU$1000000,252,FALSE)</f>
        <v>#N/A</v>
      </c>
      <c r="N15" s="34" t="e">
        <f>VLOOKUP(A1,DIV_04Data!$A$1:$DZU$1000000,253,FALSE)</f>
        <v>#N/A</v>
      </c>
      <c r="O15" s="33" t="e">
        <f>VLOOKUP(A1,DIV_04Data!$A$1:$DZU$1000000,254,FALSE)</f>
        <v>#N/A</v>
      </c>
      <c r="P15" s="31" t="e">
        <f>VLOOKUP(A1,DIV_04Data!$A$1:$DZU$1000000,255,FALSE)</f>
        <v>#N/A</v>
      </c>
      <c r="Q15" s="33" t="e">
        <f>VLOOKUP(A1,DIV_04Data!$A$1:$DZU$1000000,256,FALSE)</f>
        <v>#N/A</v>
      </c>
    </row>
    <row r="16" spans="1:17" x14ac:dyDescent="0.35">
      <c r="A16" s="22" t="e">
        <f>VLOOKUP(A1,DIV_04Data!$A$1:$DZU$1000000,257,FALSE)</f>
        <v>#N/A</v>
      </c>
      <c r="B16" s="37" t="e">
        <f>VLOOKUP(A1,DIV_04Data!$A$1:$DZU$1000000,258,FALSE)</f>
        <v>#N/A</v>
      </c>
      <c r="C16" s="38" t="e">
        <f>VLOOKUP(A1,DIV_04Data!$A$1:$DZU$1000000,259,FALSE)</f>
        <v>#N/A</v>
      </c>
      <c r="D16" s="31" t="e">
        <f>VLOOKUP(A1,DIV_04Data!$A$1:$DZU$1000000,260,FALSE)</f>
        <v>#N/A</v>
      </c>
      <c r="E16" s="32" t="e">
        <f>VLOOKUP(A1,DIV_04Data!$A$1:$DZU$1000000,261,FALSE)</f>
        <v>#N/A</v>
      </c>
      <c r="F16" s="34" t="e">
        <f>VLOOKUP(A1,DIV_04Data!$A$1:$DZU$1000000,262,FALSE)</f>
        <v>#N/A</v>
      </c>
      <c r="G16" s="33" t="e">
        <f>VLOOKUP(A1,DIV_04Data!$A$1:$DZU$1000000,263,FALSE)</f>
        <v>#N/A</v>
      </c>
      <c r="H16" s="34" t="e">
        <f>VLOOKUP(A1,DIV_04Data!$A$1:$DZU$1000000,264,FALSE)</f>
        <v>#N/A</v>
      </c>
      <c r="I16" s="33" t="e">
        <f>VLOOKUP(A1,DIV_04Data!$A$1:$DZU$1000000,265,FALSE)</f>
        <v>#N/A</v>
      </c>
      <c r="J16" s="34" t="e">
        <f>VLOOKUP(A1,DIV_04Data!$A$1:$DZU$1000000,266,FALSE)</f>
        <v>#N/A</v>
      </c>
      <c r="K16" s="34" t="e">
        <f>VLOOKUP(A1,DIV_04Data!$A$1:$DZU$1000000,267,FALSE)</f>
        <v>#N/A</v>
      </c>
      <c r="L16" s="93" t="e">
        <f>VLOOKUP(A1,DIV_04Data!$A$1:$DZU$1000000,268,FALSE)</f>
        <v>#N/A</v>
      </c>
      <c r="M16" s="33" t="e">
        <f>VLOOKUP(A1,DIV_04Data!$A$1:$DZU$1000000,269,FALSE)</f>
        <v>#N/A</v>
      </c>
      <c r="N16" s="34" t="e">
        <f>VLOOKUP(A1,DIV_04Data!$A$1:$DZU$1000000,270,FALSE)</f>
        <v>#N/A</v>
      </c>
      <c r="O16" s="33" t="e">
        <f>VLOOKUP(A1,DIV_04Data!$A$1:$DZU$1000000,271,FALSE)</f>
        <v>#N/A</v>
      </c>
      <c r="P16" s="46" t="e">
        <f>VLOOKUP(A1,DIV_04Data!$A$1:$DZU$1000000,272,FALSE)</f>
        <v>#N/A</v>
      </c>
      <c r="Q16" s="33" t="e">
        <f>VLOOKUP(A1,DIV_04Data!$A$1:$DZU$1000000,273,FALSE)</f>
        <v>#N/A</v>
      </c>
    </row>
    <row r="17" spans="1:17" x14ac:dyDescent="0.35">
      <c r="A17" s="22" t="e">
        <f>VLOOKUP(A1,DIV_04Data!$A$1:$DZU$1000000,274,FALSE)</f>
        <v>#N/A</v>
      </c>
      <c r="B17" s="37" t="e">
        <f>VLOOKUP(A1,DIV_04Data!$A$1:$DZU$1000000,275,FALSE)</f>
        <v>#N/A</v>
      </c>
      <c r="C17" s="38" t="e">
        <f>VLOOKUP(A1,DIV_04Data!$A$1:$DZU$1000000,276,FALSE)</f>
        <v>#N/A</v>
      </c>
      <c r="D17" s="31" t="e">
        <f>VLOOKUP(A1,DIV_04Data!$A$1:$DZU$1000000,277,FALSE)</f>
        <v>#N/A</v>
      </c>
      <c r="E17" s="32" t="e">
        <f>VLOOKUP(A1,DIV_04Data!$A$1:$DZU$1000000,278,FALSE)</f>
        <v>#N/A</v>
      </c>
      <c r="F17" s="34" t="e">
        <f>VLOOKUP(A1,DIV_04Data!$A$1:$DZU$1000000,279,FALSE)</f>
        <v>#N/A</v>
      </c>
      <c r="G17" s="33" t="e">
        <f>VLOOKUP(A1,DIV_04Data!$A$1:$DZU$1000000,280,FALSE)</f>
        <v>#N/A</v>
      </c>
      <c r="H17" s="34" t="e">
        <f>VLOOKUP(A1,DIV_04Data!$A$1:$DZU$1000000,281,FALSE)</f>
        <v>#N/A</v>
      </c>
      <c r="I17" s="33" t="e">
        <f>VLOOKUP(A1,DIV_04Data!$A$1:$DZU$1000000,282,FALSE)</f>
        <v>#N/A</v>
      </c>
      <c r="J17" s="34" t="e">
        <f>VLOOKUP(A1,DIV_04Data!$A$1:$DZU$1000000,283,FALSE)</f>
        <v>#N/A</v>
      </c>
      <c r="K17" s="34" t="e">
        <f>VLOOKUP(A1,DIV_04Data!$A$1:$DZU$1000000,284,FALSE)</f>
        <v>#N/A</v>
      </c>
      <c r="L17" s="93" t="e">
        <f>VLOOKUP(A1,DIV_04Data!$A$1:$DZU$1000000,285,FALSE)</f>
        <v>#N/A</v>
      </c>
      <c r="M17" s="33" t="e">
        <f>VLOOKUP(A1,DIV_04Data!$A$1:$DZU$1000000,286,FALSE)</f>
        <v>#N/A</v>
      </c>
      <c r="N17" s="34" t="e">
        <f>VLOOKUP(A1,DIV_04Data!$A$1:$DZU$1000000,287,FALSE)</f>
        <v>#N/A</v>
      </c>
      <c r="O17" s="33" t="e">
        <f>VLOOKUP(A1,DIV_04Data!$A$1:$DZU$1000000,288,FALSE)</f>
        <v>#N/A</v>
      </c>
      <c r="P17" s="46" t="e">
        <f>VLOOKUP(A1,DIV_04Data!$A$1:$DZU$1000000,289,FALSE)</f>
        <v>#N/A</v>
      </c>
      <c r="Q17" s="33" t="e">
        <f>VLOOKUP(A1,DIV_04Data!$A$1:$DZU$1000000,290,FALSE)</f>
        <v>#N/A</v>
      </c>
    </row>
    <row r="18" spans="1:17" x14ac:dyDescent="0.35">
      <c r="A18" s="22" t="e">
        <f>VLOOKUP(A1,DIV_04Data!$A$1:$DZU$1000000,291,FALSE)</f>
        <v>#N/A</v>
      </c>
      <c r="B18" s="37" t="e">
        <f>VLOOKUP(A1,DIV_04Data!$A$1:$DZU$1000000,292,FALSE)</f>
        <v>#N/A</v>
      </c>
      <c r="C18" s="38" t="e">
        <f>VLOOKUP(A1,DIV_04Data!$A$1:$DZU$1000000,293,FALSE)</f>
        <v>#N/A</v>
      </c>
      <c r="D18" s="31" t="e">
        <f>VLOOKUP(A1,DIV_04Data!$A$1:$DZU$1000000,294,FALSE)</f>
        <v>#N/A</v>
      </c>
      <c r="E18" s="32" t="e">
        <f>VLOOKUP(A1,DIV_04Data!$A$1:$DZU$1000000,295,FALSE)</f>
        <v>#N/A</v>
      </c>
      <c r="F18" s="34" t="e">
        <f>VLOOKUP(A1,DIV_04Data!$A$1:$DZU$1000000,296,FALSE)</f>
        <v>#N/A</v>
      </c>
      <c r="G18" s="33" t="e">
        <f>VLOOKUP(A1,DIV_04Data!$A$1:$DZU$1000000,297,FALSE)</f>
        <v>#N/A</v>
      </c>
      <c r="H18" s="34" t="e">
        <f>VLOOKUP(A1,DIV_04Data!$A$1:$DZU$1000000,298,FALSE)</f>
        <v>#N/A</v>
      </c>
      <c r="I18" s="33" t="e">
        <f>VLOOKUP(A1,DIV_04Data!$A$1:$DZU$1000000,299,FALSE)</f>
        <v>#N/A</v>
      </c>
      <c r="J18" s="34" t="e">
        <f>VLOOKUP(A1,DIV_04Data!$A$1:$DZU$1000000,300,FALSE)</f>
        <v>#N/A</v>
      </c>
      <c r="K18" s="34" t="e">
        <f>VLOOKUP(A1,DIV_04Data!$A$1:$DZU$1000000,301,FALSE)</f>
        <v>#N/A</v>
      </c>
      <c r="L18" s="93" t="e">
        <f>VLOOKUP(A1,DIV_04Data!$A$1:$DZU$1000000,302,FALSE)</f>
        <v>#N/A</v>
      </c>
      <c r="M18" s="33" t="e">
        <f>VLOOKUP(A1,DIV_04Data!$A$1:$DZU$1000000,303,FALSE)</f>
        <v>#N/A</v>
      </c>
      <c r="N18" s="34" t="e">
        <f>VLOOKUP(A1,DIV_04Data!$A$1:$DZU$1000000,304,FALSE)</f>
        <v>#N/A</v>
      </c>
      <c r="O18" s="33" t="e">
        <f>VLOOKUP(A1,DIV_04Data!$A$1:$DZU$1000000,305,FALSE)</f>
        <v>#N/A</v>
      </c>
      <c r="P18" s="46" t="e">
        <f>VLOOKUP(A1,DIV_04Data!$A$1:$DZU$1000000,306,FALSE)</f>
        <v>#N/A</v>
      </c>
      <c r="Q18" s="33" t="e">
        <f>VLOOKUP(A1,DIV_04Data!$A$1:$DZU$1000000,307,FALSE)</f>
        <v>#N/A</v>
      </c>
    </row>
    <row r="19" spans="1:17" x14ac:dyDescent="0.35">
      <c r="A19" s="22" t="e">
        <f>VLOOKUP(A1,DIV_04Data!$A$1:$DZU$1000000,308,FALSE)</f>
        <v>#N/A</v>
      </c>
      <c r="B19" s="37" t="e">
        <f>VLOOKUP(A1,DIV_04Data!$A$1:$DZU$1000000,309,FALSE)</f>
        <v>#N/A</v>
      </c>
      <c r="C19" s="38" t="e">
        <f>VLOOKUP(A1,DIV_04Data!$A$1:$DZU$1000000,310,FALSE)</f>
        <v>#N/A</v>
      </c>
      <c r="D19" s="31" t="e">
        <f>VLOOKUP(A1,DIV_04Data!$A$1:$DZU$1000000,311,FALSE)</f>
        <v>#N/A</v>
      </c>
      <c r="E19" s="32" t="e">
        <f>VLOOKUP(A1,DIV_04Data!$A$1:$DZU$1000000,312,FALSE)</f>
        <v>#N/A</v>
      </c>
      <c r="F19" s="34" t="e">
        <f>VLOOKUP(A1,DIV_04Data!$A$1:$DZU$1000000,313,FALSE)</f>
        <v>#N/A</v>
      </c>
      <c r="G19" s="33" t="e">
        <f>VLOOKUP(A1,DIV_04Data!$A$1:$DZU$1000000,314,FALSE)</f>
        <v>#N/A</v>
      </c>
      <c r="H19" s="34" t="e">
        <f>VLOOKUP(A1,DIV_04Data!$A$1:$DZU$1000000,315,FALSE)</f>
        <v>#N/A</v>
      </c>
      <c r="I19" s="33" t="e">
        <f>VLOOKUP(A1,DIV_04Data!$A$1:$DZU$1000000,316,FALSE)</f>
        <v>#N/A</v>
      </c>
      <c r="J19" s="34" t="e">
        <f>VLOOKUP(A1,DIV_04Data!$A$1:$DZU$1000000,317,FALSE)</f>
        <v>#N/A</v>
      </c>
      <c r="K19" s="34" t="e">
        <f>VLOOKUP(A1,DIV_04Data!$A$1:$DZU$1000000,318,FALSE)</f>
        <v>#N/A</v>
      </c>
      <c r="L19" s="93" t="e">
        <f>VLOOKUP(A1,DIV_04Data!$A$1:$DZU$1000000,319,FALSE)</f>
        <v>#N/A</v>
      </c>
      <c r="M19" s="33" t="e">
        <f>VLOOKUP(A1,DIV_04Data!$A$1:$DZU$1000000,320,FALSE)</f>
        <v>#N/A</v>
      </c>
      <c r="N19" s="34" t="e">
        <f>VLOOKUP(A1,DIV_04Data!$A$1:$DZU$1000000,321,FALSE)</f>
        <v>#N/A</v>
      </c>
      <c r="O19" s="33" t="e">
        <f>VLOOKUP(A1,DIV_04Data!$A$1:$DZU$1000000,322,FALSE)</f>
        <v>#N/A</v>
      </c>
      <c r="P19" s="46" t="e">
        <f>VLOOKUP(A1,DIV_04Data!$A$1:$DZU$1000000,323,FALSE)</f>
        <v>#N/A</v>
      </c>
      <c r="Q19" s="33" t="e">
        <f>VLOOKUP(A1,DIV_04Data!$A$1:$DZU$1000000,324,FALSE)</f>
        <v>#N/A</v>
      </c>
    </row>
    <row r="20" spans="1:17" x14ac:dyDescent="0.35">
      <c r="A20" s="22" t="e">
        <f>VLOOKUP(A1,DIV_04Data!$A$1:$DZU$1000000,325,FALSE)</f>
        <v>#N/A</v>
      </c>
      <c r="B20" s="37" t="e">
        <f>VLOOKUP(A1,DIV_04Data!$A$1:$DZU$1000000,326,FALSE)</f>
        <v>#N/A</v>
      </c>
      <c r="C20" s="38" t="e">
        <f>VLOOKUP(A1,DIV_04Data!$A$1:$DZU$1000000,327,FALSE)</f>
        <v>#N/A</v>
      </c>
      <c r="D20" s="31" t="e">
        <f>VLOOKUP(A1,DIV_04Data!$A$1:$DZU$1000000,328,FALSE)</f>
        <v>#N/A</v>
      </c>
      <c r="E20" s="32" t="e">
        <f>VLOOKUP(A1,DIV_04Data!$A$1:$DZU$1000000,329,FALSE)</f>
        <v>#N/A</v>
      </c>
      <c r="F20" s="34" t="e">
        <f>VLOOKUP(A1,DIV_04Data!$A$1:$DZU$1000000,330,FALSE)</f>
        <v>#N/A</v>
      </c>
      <c r="G20" s="33" t="e">
        <f>VLOOKUP(A1,DIV_04Data!$A$1:$DZU$1000000,331,FALSE)</f>
        <v>#N/A</v>
      </c>
      <c r="H20" s="34" t="e">
        <f>VLOOKUP(A1,DIV_04Data!$A$1:$DZU$1000000,332,FALSE)</f>
        <v>#N/A</v>
      </c>
      <c r="I20" s="33" t="e">
        <f>VLOOKUP(A1,DIV_04Data!$A$1:$DZU$1000000,333,FALSE)</f>
        <v>#N/A</v>
      </c>
      <c r="J20" s="34" t="e">
        <f>VLOOKUP(A1,DIV_04Data!$A$1:$DZU$1000000,334,FALSE)</f>
        <v>#N/A</v>
      </c>
      <c r="K20" s="34" t="e">
        <f>VLOOKUP(A1,DIV_04Data!$A$1:$DZU$1000000,335,FALSE)</f>
        <v>#N/A</v>
      </c>
      <c r="L20" s="93" t="e">
        <f>VLOOKUP(A1,DIV_04Data!$A$1:$DZU$1000000,336,FALSE)</f>
        <v>#N/A</v>
      </c>
      <c r="M20" s="33" t="e">
        <f>VLOOKUP(A1,DIV_04Data!$A$1:$DZU$1000000,337,FALSE)</f>
        <v>#N/A</v>
      </c>
      <c r="N20" s="34" t="e">
        <f>VLOOKUP(A1,DIV_04Data!$A$1:$DZU$1000000,338,FALSE)</f>
        <v>#N/A</v>
      </c>
      <c r="O20" s="33" t="e">
        <f>VLOOKUP(A1,DIV_04Data!$A$1:$DZU$1000000,339,FALSE)</f>
        <v>#N/A</v>
      </c>
      <c r="P20" s="46" t="e">
        <f>VLOOKUP(A1,DIV_04Data!$A$1:$DZU$1000000,340,FALSE)</f>
        <v>#N/A</v>
      </c>
      <c r="Q20" s="33" t="e">
        <f>VLOOKUP(A1,DIV_04Data!$A$1:$DZU$1000000,341,FALSE)</f>
        <v>#N/A</v>
      </c>
    </row>
    <row r="21" spans="1:17" x14ac:dyDescent="0.35">
      <c r="A21" s="22" t="e">
        <f>VLOOKUP(A1,DIV_04Data!$A$1:$DZU$1000000,342,FALSE)</f>
        <v>#N/A</v>
      </c>
      <c r="B21" s="37" t="e">
        <f>VLOOKUP(A1,DIV_04Data!$A$1:$DZU$1000000,343,FALSE)</f>
        <v>#N/A</v>
      </c>
      <c r="C21" s="38" t="e">
        <f>VLOOKUP(A1,DIV_04Data!$A$1:$DZU$1000000,344,FALSE)</f>
        <v>#N/A</v>
      </c>
      <c r="D21" s="31" t="e">
        <f>VLOOKUP(A1,DIV_04Data!$A$1:$DZU$1000000,345,FALSE)</f>
        <v>#N/A</v>
      </c>
      <c r="E21" s="32" t="e">
        <f>VLOOKUP(A1,DIV_04Data!$A$1:$DZU$1000000,346,FALSE)</f>
        <v>#N/A</v>
      </c>
      <c r="F21" s="34" t="e">
        <f>VLOOKUP(A1,DIV_04Data!$A$1:$DZU$1000000,347,FALSE)</f>
        <v>#N/A</v>
      </c>
      <c r="G21" s="33" t="e">
        <f>VLOOKUP(A1,DIV_04Data!$A$1:$DZU$1000000,348,FALSE)</f>
        <v>#N/A</v>
      </c>
      <c r="H21" s="34" t="e">
        <f>VLOOKUP(A1,DIV_04Data!$A$1:$DZU$1000000,349,FALSE)</f>
        <v>#N/A</v>
      </c>
      <c r="I21" s="33" t="e">
        <f>VLOOKUP(A1,DIV_04Data!$A$1:$DZU$1000000,350,FALSE)</f>
        <v>#N/A</v>
      </c>
      <c r="J21" s="34" t="e">
        <f>VLOOKUP(A1,DIV_04Data!$A$1:$DZU$1000000,351,FALSE)</f>
        <v>#N/A</v>
      </c>
      <c r="K21" s="34" t="e">
        <f>VLOOKUP(A1,DIV_04Data!$A$1:$DZU$1000000,352,FALSE)</f>
        <v>#N/A</v>
      </c>
      <c r="L21" s="93" t="e">
        <f>VLOOKUP(A1,DIV_04Data!$A$1:$DZU$1000000,353,FALSE)</f>
        <v>#N/A</v>
      </c>
      <c r="M21" s="33" t="e">
        <f>VLOOKUP(A1,DIV_04Data!$A$1:$DZU$1000000,354,FALSE)</f>
        <v>#N/A</v>
      </c>
      <c r="N21" s="34" t="e">
        <f>VLOOKUP(A1,DIV_04Data!$A$1:$DZU$1000000,355,FALSE)</f>
        <v>#N/A</v>
      </c>
      <c r="O21" s="33" t="e">
        <f>VLOOKUP(A1,DIV_04Data!$A$1:$DZU$1000000,356,FALSE)</f>
        <v>#N/A</v>
      </c>
      <c r="P21" s="46" t="e">
        <f>VLOOKUP(A1,DIV_04Data!$A$1:$DZU$1000000,357,FALSE)</f>
        <v>#N/A</v>
      </c>
      <c r="Q21" s="33" t="e">
        <f>VLOOKUP(A1,DIV_04Data!$A$1:$DZU$1000000,358,FALSE)</f>
        <v>#N/A</v>
      </c>
    </row>
    <row r="22" spans="1:17" x14ac:dyDescent="0.35">
      <c r="A22" s="22" t="e">
        <f>VLOOKUP(A1,DIV_04Data!$A$1:$DZU$1000000,359,FALSE)</f>
        <v>#N/A</v>
      </c>
      <c r="B22" s="37" t="e">
        <f>VLOOKUP(A1,DIV_04Data!$A$1:$DZU$1000000,360,FALSE)</f>
        <v>#N/A</v>
      </c>
      <c r="C22" s="38" t="e">
        <f>VLOOKUP(A1,DIV_04Data!$A$1:$DZU$1000000,361,FALSE)</f>
        <v>#N/A</v>
      </c>
      <c r="D22" s="31" t="e">
        <f>VLOOKUP(A1,DIV_04Data!$A$1:$DZU$1000000,362,FALSE)</f>
        <v>#N/A</v>
      </c>
      <c r="E22" s="32" t="e">
        <f>VLOOKUP(A1,DIV_04Data!$A$1:$DZU$1000000,363,FALSE)</f>
        <v>#N/A</v>
      </c>
      <c r="F22" s="34" t="e">
        <f>VLOOKUP(A1,DIV_04Data!$A$1:$DZU$1000000,364,FALSE)</f>
        <v>#N/A</v>
      </c>
      <c r="G22" s="33" t="e">
        <f>VLOOKUP(A1,DIV_04Data!$A$1:$DZU$1000000,365,FALSE)</f>
        <v>#N/A</v>
      </c>
      <c r="H22" s="34" t="e">
        <f>VLOOKUP(A1,DIV_04Data!$A$1:$DZU$1000000,366,FALSE)</f>
        <v>#N/A</v>
      </c>
      <c r="I22" s="33" t="e">
        <f>VLOOKUP(A1,DIV_04Data!$A$1:$DZU$1000000,367,FALSE)</f>
        <v>#N/A</v>
      </c>
      <c r="J22" s="34" t="e">
        <f>VLOOKUP(A1,DIV_04Data!$A$1:$DZU$1000000,368,FALSE)</f>
        <v>#N/A</v>
      </c>
      <c r="K22" s="34" t="e">
        <f>VLOOKUP(A1,DIV_04Data!$A$1:$DZU$1000000,369,FALSE)</f>
        <v>#N/A</v>
      </c>
      <c r="L22" s="93" t="e">
        <f>VLOOKUP(A1,DIV_04Data!$A$1:$DZU$1000000,370,FALSE)</f>
        <v>#N/A</v>
      </c>
      <c r="M22" s="33" t="e">
        <f>VLOOKUP(A1,DIV_04Data!$A$1:$DZU$1000000,371,FALSE)</f>
        <v>#N/A</v>
      </c>
      <c r="N22" s="34" t="e">
        <f>VLOOKUP(A1,DIV_04Data!$A$1:$DZU$1000000,372,FALSE)</f>
        <v>#N/A</v>
      </c>
      <c r="O22" s="33" t="e">
        <f>VLOOKUP(A1,DIV_04Data!$A$1:$DZU$1000000,373,FALSE)</f>
        <v>#N/A</v>
      </c>
      <c r="P22" s="46" t="e">
        <f>VLOOKUP(A1,DIV_04Data!$A$1:$DZU$1000000,374,FALSE)</f>
        <v>#N/A</v>
      </c>
      <c r="Q22" s="33" t="e">
        <f>VLOOKUP(A1,DIV_04Data!$A$1:$DZU$1000000,375,FALSE)</f>
        <v>#N/A</v>
      </c>
    </row>
    <row r="23" spans="1:17" x14ac:dyDescent="0.35">
      <c r="A23" s="22" t="e">
        <f>VLOOKUP(A1,DIV_04Data!$A$1:$DZU$1000000,376,FALSE)</f>
        <v>#N/A</v>
      </c>
      <c r="B23" s="37" t="e">
        <f>VLOOKUP(A1,DIV_04Data!$A$1:$DZU$1000000,377,FALSE)</f>
        <v>#N/A</v>
      </c>
      <c r="C23" s="38" t="e">
        <f>VLOOKUP(A1,DIV_04Data!$A$1:$DZU$1000000,378,FALSE)</f>
        <v>#N/A</v>
      </c>
      <c r="D23" s="31" t="e">
        <f>VLOOKUP(A1,DIV_04Data!$A$1:$DZU$1000000,379,FALSE)</f>
        <v>#N/A</v>
      </c>
      <c r="E23" s="32" t="e">
        <f>VLOOKUP(A1,DIV_04Data!$A$1:$DZU$1000000,380,FALSE)</f>
        <v>#N/A</v>
      </c>
      <c r="F23" s="34" t="e">
        <f>VLOOKUP(A1,DIV_04Data!$A$1:$DZU$1000000,381,FALSE)</f>
        <v>#N/A</v>
      </c>
      <c r="G23" s="33" t="e">
        <f>VLOOKUP(A1,DIV_04Data!$A$1:$DZU$1000000,382,FALSE)</f>
        <v>#N/A</v>
      </c>
      <c r="H23" s="34" t="e">
        <f>VLOOKUP(A1,DIV_04Data!$A$1:$DZU$1000000,383,FALSE)</f>
        <v>#N/A</v>
      </c>
      <c r="I23" s="33" t="e">
        <f>VLOOKUP(A1,DIV_04Data!$A$1:$DZU$1000000,384,FALSE)</f>
        <v>#N/A</v>
      </c>
      <c r="J23" s="34" t="e">
        <f>VLOOKUP(A1,DIV_04Data!$A$1:$DZU$1000000,385,FALSE)</f>
        <v>#N/A</v>
      </c>
      <c r="K23" s="34" t="e">
        <f>VLOOKUP(A1,DIV_04Data!$A$1:$DZU$1000000,386,FALSE)</f>
        <v>#N/A</v>
      </c>
      <c r="L23" s="93" t="e">
        <f>VLOOKUP(A1,DIV_04Data!$A$1:$DZU$1000000,387,FALSE)</f>
        <v>#N/A</v>
      </c>
      <c r="M23" s="33" t="e">
        <f>VLOOKUP(A1,DIV_04Data!$A$1:$DZU$1000000,388,FALSE)</f>
        <v>#N/A</v>
      </c>
      <c r="N23" s="34" t="e">
        <f>VLOOKUP(A1,DIV_04Data!$A$1:$DZU$1000000,389,FALSE)</f>
        <v>#N/A</v>
      </c>
      <c r="O23" s="33" t="e">
        <f>VLOOKUP(A1,DIV_04Data!$A$1:$DZU$1000000,390,FALSE)</f>
        <v>#N/A</v>
      </c>
      <c r="P23" s="46" t="e">
        <f>VLOOKUP(A1,DIV_04Data!$A$1:$DZU$1000000,391,FALSE)</f>
        <v>#N/A</v>
      </c>
      <c r="Q23" s="33" t="e">
        <f>VLOOKUP(A1,DIV_04Data!$A$1:$DZU$1000000,392,FALSE)</f>
        <v>#N/A</v>
      </c>
    </row>
    <row r="24" spans="1:17" x14ac:dyDescent="0.35">
      <c r="A24" s="22" t="e">
        <f>VLOOKUP(A1,DIV_04Data!$A$1:$DZU$1000000,393,FALSE)</f>
        <v>#N/A</v>
      </c>
      <c r="B24" s="37" t="e">
        <f>VLOOKUP(A1,DIV_04Data!$A$1:$DZU$1000000,394,FALSE)</f>
        <v>#N/A</v>
      </c>
      <c r="C24" s="38" t="e">
        <f>VLOOKUP(A1,DIV_04Data!$A$1:$DZU$1000000,395,FALSE)</f>
        <v>#N/A</v>
      </c>
      <c r="D24" s="31" t="e">
        <f>VLOOKUP(A1,DIV_04Data!$A$1:$DZU$1000000,396,FALSE)</f>
        <v>#N/A</v>
      </c>
      <c r="E24" s="32" t="e">
        <f>VLOOKUP(A1,DIV_04Data!$A$1:$DZU$1000000,397,FALSE)</f>
        <v>#N/A</v>
      </c>
      <c r="F24" s="34" t="e">
        <f>VLOOKUP(A1,DIV_04Data!$A$1:$DZU$1000000,398,FALSE)</f>
        <v>#N/A</v>
      </c>
      <c r="G24" s="33" t="e">
        <f>VLOOKUP(A1,DIV_04Data!$A$1:$DZU$1000000,399,FALSE)</f>
        <v>#N/A</v>
      </c>
      <c r="H24" s="34" t="e">
        <f>VLOOKUP(A1,DIV_04Data!$A$1:$DZU$1000000,400,FALSE)</f>
        <v>#N/A</v>
      </c>
      <c r="I24" s="33" t="e">
        <f>VLOOKUP(A1,DIV_04Data!$A$1:$DZU$1000000,401,FALSE)</f>
        <v>#N/A</v>
      </c>
      <c r="J24" s="34" t="e">
        <f>VLOOKUP(A1,DIV_04Data!$A$1:$DZU$1000000,402,FALSE)</f>
        <v>#N/A</v>
      </c>
      <c r="K24" s="34" t="e">
        <f>VLOOKUP(A1,DIV_04Data!$A$1:$DZU$1000000,403,FALSE)</f>
        <v>#N/A</v>
      </c>
      <c r="L24" s="93" t="e">
        <f>VLOOKUP(A1,DIV_04Data!$A$1:$DZU$1000000,404,FALSE)</f>
        <v>#N/A</v>
      </c>
      <c r="M24" s="33" t="e">
        <f>VLOOKUP(A1,DIV_04Data!$A$1:$DZU$1000000,405,FALSE)</f>
        <v>#N/A</v>
      </c>
      <c r="N24" s="34" t="e">
        <f>VLOOKUP(A1,DIV_04Data!$A$1:$DZU$1000000,406,FALSE)</f>
        <v>#N/A</v>
      </c>
      <c r="O24" s="33" t="e">
        <f>VLOOKUP(A1,DIV_04Data!$A$1:$DZU$1000000,407,FALSE)</f>
        <v>#N/A</v>
      </c>
      <c r="P24" s="46" t="e">
        <f>VLOOKUP(A1,DIV_04Data!$A$1:$DZU$1000000,408,FALSE)</f>
        <v>#N/A</v>
      </c>
      <c r="Q24" s="33" t="e">
        <f>VLOOKUP(A1,DIV_04Data!$A$1:$DZU$1000000,409,FALSE)</f>
        <v>#N/A</v>
      </c>
    </row>
    <row r="25" spans="1:17" x14ac:dyDescent="0.35">
      <c r="A25" s="22" t="e">
        <f>VLOOKUP(A1,DIV_04Data!$A$1:$DZU$1000000,410,FALSE)</f>
        <v>#N/A</v>
      </c>
      <c r="B25" s="37" t="e">
        <f>VLOOKUP(A1,DIV_04Data!$A$1:$DZU$1000000,411,FALSE)</f>
        <v>#N/A</v>
      </c>
      <c r="C25" s="38" t="e">
        <f>VLOOKUP(A1,DIV_04Data!$A$1:$DZU$1000000,412,FALSE)</f>
        <v>#N/A</v>
      </c>
      <c r="D25" s="31" t="e">
        <f>VLOOKUP(A1,DIV_04Data!$A$1:$DZU$1000000,413,FALSE)</f>
        <v>#N/A</v>
      </c>
      <c r="E25" s="32" t="e">
        <f>VLOOKUP(A1,DIV_04Data!$A$1:$DZU$1000000,414,FALSE)</f>
        <v>#N/A</v>
      </c>
      <c r="F25" s="34" t="e">
        <f>VLOOKUP(A1,DIV_04Data!$A$1:$DZU$1000000,415,FALSE)</f>
        <v>#N/A</v>
      </c>
      <c r="G25" s="33" t="e">
        <f>VLOOKUP(A1,DIV_04Data!$A$1:$DZU$1000000,416,FALSE)</f>
        <v>#N/A</v>
      </c>
      <c r="H25" s="34" t="e">
        <f>VLOOKUP(A1,DIV_04Data!$A$1:$DZU$1000000,417,FALSE)</f>
        <v>#N/A</v>
      </c>
      <c r="I25" s="33" t="e">
        <f>VLOOKUP(A1,DIV_04Data!$A$1:$DZU$1000000,418,FALSE)</f>
        <v>#N/A</v>
      </c>
      <c r="J25" s="34" t="e">
        <f>VLOOKUP(A1,DIV_04Data!$A$1:$DZU$1000000,419,FALSE)</f>
        <v>#N/A</v>
      </c>
      <c r="K25" s="34" t="e">
        <f>VLOOKUP(A1,DIV_04Data!$A$1:$DZU$1000000,420,FALSE)</f>
        <v>#N/A</v>
      </c>
      <c r="L25" s="93" t="e">
        <f>VLOOKUP(A1,DIV_04Data!$A$1:$DZU$1000000,421,FALSE)</f>
        <v>#N/A</v>
      </c>
      <c r="M25" s="33" t="e">
        <f>VLOOKUP(A1,DIV_04Data!$A$1:$DZU$1000000,422,FALSE)</f>
        <v>#N/A</v>
      </c>
      <c r="N25" s="34" t="e">
        <f>VLOOKUP(A1,DIV_04Data!$A$1:$DZU$1000000,423,FALSE)</f>
        <v>#N/A</v>
      </c>
      <c r="O25" s="33" t="e">
        <f>VLOOKUP(A1,DIV_04Data!$A$1:$DZU$1000000,424,FALSE)</f>
        <v>#N/A</v>
      </c>
      <c r="P25" s="46" t="e">
        <f>VLOOKUP(A1,DIV_04Data!$A$1:$DZU$1000000,425,FALSE)</f>
        <v>#N/A</v>
      </c>
      <c r="Q25" s="33" t="e">
        <f>VLOOKUP(A1,DIV_04Data!$A$1:$DZU$1000000,426,FALSE)</f>
        <v>#N/A</v>
      </c>
    </row>
    <row r="26" spans="1:17" x14ac:dyDescent="0.35">
      <c r="A26" s="22" t="e">
        <f>VLOOKUP(A1,DIV_04Data!$A$1:$DZU$1000000,427,FALSE)</f>
        <v>#N/A</v>
      </c>
      <c r="B26" s="37" t="e">
        <f>VLOOKUP(A1,DIV_04Data!$A$1:$DZU$1000000,428,FALSE)</f>
        <v>#N/A</v>
      </c>
      <c r="C26" s="38" t="e">
        <f>VLOOKUP(A1,DIV_04Data!$A$1:$DZU$1000000,429,FALSE)</f>
        <v>#N/A</v>
      </c>
      <c r="D26" s="31" t="e">
        <f>VLOOKUP(A1,DIV_04Data!$A$1:$DZU$1000000,430,FALSE)</f>
        <v>#N/A</v>
      </c>
      <c r="E26" s="32" t="e">
        <f>VLOOKUP(A1,DIV_04Data!$A$1:$DZU$1000000,431,FALSE)</f>
        <v>#N/A</v>
      </c>
      <c r="F26" s="34" t="e">
        <f>VLOOKUP(A1,DIV_04Data!$A$1:$DZU$1000000,432,FALSE)</f>
        <v>#N/A</v>
      </c>
      <c r="G26" s="33" t="e">
        <f>VLOOKUP(A1,DIV_04Data!$A$1:$DZU$1000000,433,FALSE)</f>
        <v>#N/A</v>
      </c>
      <c r="H26" s="34" t="e">
        <f>VLOOKUP(A1,DIV_04Data!$A$1:$DZU$1000000,434,FALSE)</f>
        <v>#N/A</v>
      </c>
      <c r="I26" s="33" t="e">
        <f>VLOOKUP(A1,DIV_04Data!$A$1:$DZU$1000000,435,FALSE)</f>
        <v>#N/A</v>
      </c>
      <c r="J26" s="34" t="e">
        <f>VLOOKUP(A1,DIV_04Data!$A$1:$DZU$1000000,436,FALSE)</f>
        <v>#N/A</v>
      </c>
      <c r="K26" s="34" t="e">
        <f>VLOOKUP(A1,DIV_04Data!$A$1:$DZU$1000000,437,FALSE)</f>
        <v>#N/A</v>
      </c>
      <c r="L26" s="93" t="e">
        <f>VLOOKUP(A1,DIV_04Data!$A$1:$DZU$1000000,438,FALSE)</f>
        <v>#N/A</v>
      </c>
      <c r="M26" s="33" t="e">
        <f>VLOOKUP(A1,DIV_04Data!$A$1:$DZU$1000000,439,FALSE)</f>
        <v>#N/A</v>
      </c>
      <c r="N26" s="34" t="e">
        <f>VLOOKUP(A1,DIV_04Data!$A$1:$DZU$1000000,440,FALSE)</f>
        <v>#N/A</v>
      </c>
      <c r="O26" s="33" t="e">
        <f>VLOOKUP(A1,DIV_04Data!$A$1:$DZU$1000000,441,FALSE)</f>
        <v>#N/A</v>
      </c>
      <c r="P26" s="46" t="e">
        <f>VLOOKUP(A1,DIV_04Data!$A$1:$DZU$1000000,442,FALSE)</f>
        <v>#N/A</v>
      </c>
      <c r="Q26" s="33" t="e">
        <f>VLOOKUP(A1,DIV_04Data!$A$1:$DZU$1000000,443,FALSE)</f>
        <v>#N/A</v>
      </c>
    </row>
    <row r="27" spans="1:17" x14ac:dyDescent="0.35">
      <c r="A27" s="22" t="e">
        <f>VLOOKUP(A1,DIV_04Data!$A$1:$DZU$1000000,444,FALSE)</f>
        <v>#N/A</v>
      </c>
      <c r="B27" s="37" t="e">
        <f>VLOOKUP(A1,DIV_04Data!$A$1:$DZU$1000000,445,FALSE)</f>
        <v>#N/A</v>
      </c>
      <c r="C27" s="38" t="e">
        <f>VLOOKUP(A1,DIV_04Data!$A$1:$DZU$1000000,446,FALSE)</f>
        <v>#N/A</v>
      </c>
      <c r="D27" s="31" t="e">
        <f>VLOOKUP(A1,DIV_04Data!$A$1:$DZU$1000000,447,FALSE)</f>
        <v>#N/A</v>
      </c>
      <c r="E27" s="32" t="e">
        <f>VLOOKUP(A1,DIV_04Data!$A$1:$DZU$1000000,448,FALSE)</f>
        <v>#N/A</v>
      </c>
      <c r="F27" s="34" t="e">
        <f>VLOOKUP(A1,DIV_04Data!$A$1:$DZU$1000000,449,FALSE)</f>
        <v>#N/A</v>
      </c>
      <c r="G27" s="33" t="e">
        <f>VLOOKUP(A1,DIV_04Data!$A$1:$DZU$1000000,450,FALSE)</f>
        <v>#N/A</v>
      </c>
      <c r="H27" s="34" t="e">
        <f>VLOOKUP(A1,DIV_04Data!$A$1:$DZU$1000000,451,FALSE)</f>
        <v>#N/A</v>
      </c>
      <c r="I27" s="33" t="e">
        <f>VLOOKUP(A1,DIV_04Data!$A$1:$DZU$1000000,452,FALSE)</f>
        <v>#N/A</v>
      </c>
      <c r="J27" s="34" t="e">
        <f>VLOOKUP(A1,DIV_04Data!$A$1:$DZU$1000000,453,FALSE)</f>
        <v>#N/A</v>
      </c>
      <c r="K27" s="34" t="e">
        <f>VLOOKUP(A1,DIV_04Data!$A$1:$DZU$1000000,454,FALSE)</f>
        <v>#N/A</v>
      </c>
      <c r="L27" s="93" t="e">
        <f>VLOOKUP(A1,DIV_04Data!$A$1:$DZU$1000000,455,FALSE)</f>
        <v>#N/A</v>
      </c>
      <c r="M27" s="33" t="e">
        <f>VLOOKUP(A1,DIV_04Data!$A$1:$DZU$1000000,456,FALSE)</f>
        <v>#N/A</v>
      </c>
      <c r="N27" s="34" t="e">
        <f>VLOOKUP(A1,DIV_04Data!$A$1:$DZU$1000000,457,FALSE)</f>
        <v>#N/A</v>
      </c>
      <c r="O27" s="33" t="e">
        <f>VLOOKUP(A1,DIV_04Data!$A$1:$DZU$1000000,458,FALSE)</f>
        <v>#N/A</v>
      </c>
      <c r="P27" s="46" t="e">
        <f>VLOOKUP(A1,DIV_04Data!$A$1:$DZU$1000000,459,FALSE)</f>
        <v>#N/A</v>
      </c>
      <c r="Q27" s="33" t="e">
        <f>VLOOKUP(A1,DIV_04Data!$A$1:$DZU$1000000,460,FALSE)</f>
        <v>#N/A</v>
      </c>
    </row>
    <row r="28" spans="1:17" x14ac:dyDescent="0.35">
      <c r="A28" s="22" t="e">
        <f>VLOOKUP(A1,DIV_04Data!$A$1:$DZU$1000000,461,FALSE)</f>
        <v>#N/A</v>
      </c>
      <c r="B28" s="37" t="e">
        <f>VLOOKUP(A1,DIV_04Data!$A$1:$DZU$1000000,462,FALSE)</f>
        <v>#N/A</v>
      </c>
      <c r="C28" s="38" t="e">
        <f>VLOOKUP(A1,DIV_04Data!$A$1:$DZU$1000000,463,FALSE)</f>
        <v>#N/A</v>
      </c>
      <c r="D28" s="31" t="e">
        <f>VLOOKUP(A1,DIV_04Data!$A$1:$DZU$1000000,464,FALSE)</f>
        <v>#N/A</v>
      </c>
      <c r="E28" s="32" t="e">
        <f>VLOOKUP(A1,DIV_04Data!$A$1:$DZU$1000000,465,FALSE)</f>
        <v>#N/A</v>
      </c>
      <c r="F28" s="34" t="e">
        <f>VLOOKUP(A1,DIV_04Data!$A$1:$DZU$1000000,466,FALSE)</f>
        <v>#N/A</v>
      </c>
      <c r="G28" s="33" t="e">
        <f>VLOOKUP(A1,DIV_04Data!$A$1:$DZU$1000000,467,FALSE)</f>
        <v>#N/A</v>
      </c>
      <c r="H28" s="34" t="e">
        <f>VLOOKUP(A1,DIV_04Data!$A$1:$DZU$1000000,468,FALSE)</f>
        <v>#N/A</v>
      </c>
      <c r="I28" s="33" t="e">
        <f>VLOOKUP(A1,DIV_04Data!$A$1:$DZU$1000000,469,FALSE)</f>
        <v>#N/A</v>
      </c>
      <c r="J28" s="34" t="e">
        <f>VLOOKUP(A1,DIV_04Data!$A$1:$DZU$1000000,470,FALSE)</f>
        <v>#N/A</v>
      </c>
      <c r="K28" s="34" t="e">
        <f>VLOOKUP(A1,DIV_04Data!$A$1:$DZU$1000000,471,FALSE)</f>
        <v>#N/A</v>
      </c>
      <c r="L28" s="93" t="e">
        <f>VLOOKUP(A1,DIV_04Data!$A$1:$DZU$1000000,472,FALSE)</f>
        <v>#N/A</v>
      </c>
      <c r="M28" s="33" t="e">
        <f>VLOOKUP(A1,DIV_04Data!$A$1:$DZU$1000000,473,FALSE)</f>
        <v>#N/A</v>
      </c>
      <c r="N28" s="34" t="e">
        <f>VLOOKUP(A1,DIV_04Data!$A$1:$DZU$1000000,474,FALSE)</f>
        <v>#N/A</v>
      </c>
      <c r="O28" s="33" t="e">
        <f>VLOOKUP(A1,DIV_04Data!$A$1:$DZU$1000000,475,FALSE)</f>
        <v>#N/A</v>
      </c>
      <c r="P28" s="46" t="e">
        <f>VLOOKUP(A1,DIV_04Data!$A$1:$DZU$1000000,476,FALSE)</f>
        <v>#N/A</v>
      </c>
      <c r="Q28" s="33" t="e">
        <f>VLOOKUP(A1,DIV_04Data!$A$1:$DZU$1000000,477,FALSE)</f>
        <v>#N/A</v>
      </c>
    </row>
    <row r="29" spans="1:17" x14ac:dyDescent="0.35">
      <c r="A29" s="22" t="e">
        <f>VLOOKUP(A1,DIV_04Data!$A$1:$DZU$1000000,478,FALSE)</f>
        <v>#N/A</v>
      </c>
      <c r="B29" s="37" t="e">
        <f>VLOOKUP(A1,DIV_04Data!$A$1:$DZU$1000000,479,FALSE)</f>
        <v>#N/A</v>
      </c>
      <c r="C29" s="38" t="e">
        <f>VLOOKUP(A1,DIV_04Data!$A$1:$DZU$1000000,480,FALSE)</f>
        <v>#N/A</v>
      </c>
      <c r="D29" s="31" t="e">
        <f>VLOOKUP(A1,DIV_04Data!$A$1:$DZU$1000000,481,FALSE)</f>
        <v>#N/A</v>
      </c>
      <c r="E29" s="32" t="e">
        <f>VLOOKUP(A1,DIV_04Data!$A$1:$DZU$1000000,482,FALSE)</f>
        <v>#N/A</v>
      </c>
      <c r="F29" s="34" t="e">
        <f>VLOOKUP(A1,DIV_04Data!$A$1:$DZU$1000000,483,FALSE)</f>
        <v>#N/A</v>
      </c>
      <c r="G29" s="33" t="e">
        <f>VLOOKUP(A1,DIV_04Data!$A$1:$DZU$1000000,484,FALSE)</f>
        <v>#N/A</v>
      </c>
      <c r="H29" s="34" t="e">
        <f>VLOOKUP(A1,DIV_04Data!$A$1:$DZU$1000000,485,FALSE)</f>
        <v>#N/A</v>
      </c>
      <c r="I29" s="33" t="e">
        <f>VLOOKUP(A1,DIV_04Data!$A$1:$DZU$1000000,486,FALSE)</f>
        <v>#N/A</v>
      </c>
      <c r="J29" s="34" t="e">
        <f>VLOOKUP(A1,DIV_04Data!$A$1:$DZU$1000000,487,FALSE)</f>
        <v>#N/A</v>
      </c>
      <c r="K29" s="34" t="e">
        <f>VLOOKUP(A1,DIV_04Data!$A$1:$DZU$1000000,488,FALSE)</f>
        <v>#N/A</v>
      </c>
      <c r="L29" s="93" t="e">
        <f>VLOOKUP(A1,DIV_04Data!$A$1:$DZU$1000000,489,FALSE)</f>
        <v>#N/A</v>
      </c>
      <c r="M29" s="33" t="e">
        <f>VLOOKUP(A1,DIV_04Data!$A$1:$DZU$1000000,490,FALSE)</f>
        <v>#N/A</v>
      </c>
      <c r="N29" s="34" t="e">
        <f>VLOOKUP(A1,DIV_04Data!$A$1:$DZU$1000000,491,FALSE)</f>
        <v>#N/A</v>
      </c>
      <c r="O29" s="33" t="e">
        <f>VLOOKUP(A1,DIV_04Data!$A$1:$DZU$1000000,492,FALSE)</f>
        <v>#N/A</v>
      </c>
      <c r="P29" s="46" t="e">
        <f>VLOOKUP(A1,DIV_04Data!$A$1:$DZU$1000000,493,FALSE)</f>
        <v>#N/A</v>
      </c>
      <c r="Q29" s="33" t="e">
        <f>VLOOKUP(A1,DIV_04Data!$A$1:$DZU$1000000,494,FALSE)</f>
        <v>#N/A</v>
      </c>
    </row>
    <row r="30" spans="1:17" x14ac:dyDescent="0.35">
      <c r="A30" s="22" t="e">
        <f>VLOOKUP(A1,DIV_04Data!$A$1:$DZU$1000000,495,FALSE)</f>
        <v>#N/A</v>
      </c>
      <c r="B30" s="37" t="e">
        <f>VLOOKUP(A1,DIV_04Data!$A$1:$DZU$1000000,496,FALSE)</f>
        <v>#N/A</v>
      </c>
      <c r="C30" s="38" t="e">
        <f>VLOOKUP(A1,DIV_04Data!$A$1:$DZU$1000000,497,FALSE)</f>
        <v>#N/A</v>
      </c>
      <c r="D30" s="31" t="e">
        <f>VLOOKUP(A1,DIV_04Data!$A$1:$DZU$1000000,498,FALSE)</f>
        <v>#N/A</v>
      </c>
      <c r="E30" s="32" t="e">
        <f>VLOOKUP(A1,DIV_04Data!$A$1:$DZU$1000000,499,FALSE)</f>
        <v>#N/A</v>
      </c>
      <c r="F30" s="34" t="e">
        <f>VLOOKUP(A1,DIV_04Data!$A$1:$DZU$1000000,500,FALSE)</f>
        <v>#N/A</v>
      </c>
      <c r="G30" s="33" t="e">
        <f>VLOOKUP(A1,DIV_04Data!$A$1:$DZU$1000000,501,FALSE)</f>
        <v>#N/A</v>
      </c>
      <c r="H30" s="34" t="e">
        <f>VLOOKUP(A1,DIV_04Data!$A$1:$DZU$1000000,502,FALSE)</f>
        <v>#N/A</v>
      </c>
      <c r="I30" s="33" t="e">
        <f>VLOOKUP(A1,DIV_04Data!$A$1:$DZU$1000000,503,FALSE)</f>
        <v>#N/A</v>
      </c>
      <c r="J30" s="34" t="e">
        <f>VLOOKUP(A1,DIV_04Data!$A$1:$DZU$1000000,504,FALSE)</f>
        <v>#N/A</v>
      </c>
      <c r="K30" s="34" t="e">
        <f>VLOOKUP(A1,DIV_04Data!$A$1:$DZU$1000000,505,FALSE)</f>
        <v>#N/A</v>
      </c>
      <c r="L30" s="93" t="e">
        <f>VLOOKUP(A1,DIV_04Data!$A$1:$DZU$1000000,506,FALSE)</f>
        <v>#N/A</v>
      </c>
      <c r="M30" s="33" t="e">
        <f>VLOOKUP(A1,DIV_04Data!$A$1:$DZU$1000000,507,FALSE)</f>
        <v>#N/A</v>
      </c>
      <c r="N30" s="34" t="e">
        <f>VLOOKUP(A1,DIV_04Data!$A$1:$DZU$1000000,508,FALSE)</f>
        <v>#N/A</v>
      </c>
      <c r="O30" s="33" t="e">
        <f>VLOOKUP(A1,DIV_04Data!$A$1:$DZU$1000000,509,FALSE)</f>
        <v>#N/A</v>
      </c>
      <c r="P30" s="46" t="e">
        <f>VLOOKUP(A1,DIV_04Data!$A$1:$DZU$1000000,510,FALSE)</f>
        <v>#N/A</v>
      </c>
      <c r="Q30" s="33" t="e">
        <f>VLOOKUP(A1,DIV_04Data!$A$1:$DZU$1000000,511,FALSE)</f>
        <v>#N/A</v>
      </c>
    </row>
    <row r="31" spans="1:17" x14ac:dyDescent="0.35">
      <c r="A31" s="22" t="e">
        <f>VLOOKUP(A1,DIV_04Data!$A$1:$DZU$1000000,512,FALSE)</f>
        <v>#N/A</v>
      </c>
      <c r="B31" s="37" t="e">
        <f>VLOOKUP(A1,DIV_04Data!$A$1:$DZU$1000000,513,FALSE)</f>
        <v>#N/A</v>
      </c>
      <c r="C31" s="38" t="e">
        <f>VLOOKUP(A1,DIV_04Data!$A$1:$DZU$1000000,514,FALSE)</f>
        <v>#N/A</v>
      </c>
      <c r="D31" s="31" t="e">
        <f>VLOOKUP(A1,DIV_04Data!$A$1:$DZU$1000000,515,FALSE)</f>
        <v>#N/A</v>
      </c>
      <c r="E31" s="32" t="e">
        <f>VLOOKUP(A1,DIV_04Data!$A$1:$DZU$1000000,516,FALSE)</f>
        <v>#N/A</v>
      </c>
      <c r="F31" s="34" t="e">
        <f>VLOOKUP(A1,DIV_04Data!$A$1:$DZU$1000000,517,FALSE)</f>
        <v>#N/A</v>
      </c>
      <c r="G31" s="33" t="e">
        <f>VLOOKUP(A1,DIV_04Data!$A$1:$DZU$1000000,518,FALSE)</f>
        <v>#N/A</v>
      </c>
      <c r="H31" s="34" t="e">
        <f>VLOOKUP(A1,DIV_04Data!$A$1:$DZU$1000000,519,FALSE)</f>
        <v>#N/A</v>
      </c>
      <c r="I31" s="33" t="e">
        <f>VLOOKUP(A1,DIV_04Data!$A$1:$DZU$1000000,520,FALSE)</f>
        <v>#N/A</v>
      </c>
      <c r="J31" s="34" t="e">
        <f>VLOOKUP(A1,DIV_04Data!$A$1:$DZU$1000000,521,FALSE)</f>
        <v>#N/A</v>
      </c>
      <c r="K31" s="34" t="e">
        <f>VLOOKUP(A1,DIV_04Data!$A$1:$DZU$1000000,522,FALSE)</f>
        <v>#N/A</v>
      </c>
      <c r="L31" s="93" t="e">
        <f>VLOOKUP(A1,DIV_04Data!$A$1:$DZU$1000000,523,FALSE)</f>
        <v>#N/A</v>
      </c>
      <c r="M31" s="33" t="e">
        <f>VLOOKUP(A1,DIV_04Data!$A$1:$DZU$1000000,524,FALSE)</f>
        <v>#N/A</v>
      </c>
      <c r="N31" s="34" t="e">
        <f>VLOOKUP(A1,DIV_04Data!$A$1:$DZU$1000000,525,FALSE)</f>
        <v>#N/A</v>
      </c>
      <c r="O31" s="33" t="e">
        <f>VLOOKUP(A1,DIV_04Data!$A$1:$DZU$1000000,526,FALSE)</f>
        <v>#N/A</v>
      </c>
      <c r="P31" s="46" t="e">
        <f>VLOOKUP(A1,DIV_04Data!$A$1:$DZU$1000000,527,FALSE)</f>
        <v>#N/A</v>
      </c>
      <c r="Q31" s="33" t="e">
        <f>VLOOKUP(A1,DIV_04Data!$A$1:$DZU$1000000,528,FALSE)</f>
        <v>#N/A</v>
      </c>
    </row>
    <row r="32" spans="1:17" x14ac:dyDescent="0.35">
      <c r="A32" s="22" t="e">
        <f>VLOOKUP(A1,DIV_04Data!$A$1:$DZU$1000000,529,FALSE)</f>
        <v>#N/A</v>
      </c>
      <c r="B32" s="37" t="e">
        <f>VLOOKUP(A1,DIV_04Data!$A$1:$DZU$1000000,530,FALSE)</f>
        <v>#N/A</v>
      </c>
      <c r="C32" s="38" t="e">
        <f>VLOOKUP(A1,DIV_04Data!$A$1:$DZU$1000000,531,FALSE)</f>
        <v>#N/A</v>
      </c>
      <c r="D32" s="31" t="e">
        <f>VLOOKUP(A1,DIV_04Data!$A$1:$DZU$1000000,532,FALSE)</f>
        <v>#N/A</v>
      </c>
      <c r="E32" s="32" t="e">
        <f>VLOOKUP(A1,DIV_04Data!$A$1:$DZU$1000000,533,FALSE)</f>
        <v>#N/A</v>
      </c>
      <c r="F32" s="34" t="e">
        <f>VLOOKUP(A1,DIV_04Data!$A$1:$DZU$1000000,534,FALSE)</f>
        <v>#N/A</v>
      </c>
      <c r="G32" s="33" t="e">
        <f>VLOOKUP(A1,DIV_04Data!$A$1:$DZU$1000000,535,FALSE)</f>
        <v>#N/A</v>
      </c>
      <c r="H32" s="34" t="e">
        <f>VLOOKUP(A1,DIV_04Data!$A$1:$DZU$1000000,536,FALSE)</f>
        <v>#N/A</v>
      </c>
      <c r="I32" s="33" t="e">
        <f>VLOOKUP(A1,DIV_04Data!$A$1:$DZU$1000000,537,FALSE)</f>
        <v>#N/A</v>
      </c>
      <c r="J32" s="34" t="e">
        <f>VLOOKUP(A1,DIV_04Data!$A$1:$DZU$1000000,538,FALSE)</f>
        <v>#N/A</v>
      </c>
      <c r="K32" s="34" t="e">
        <f>VLOOKUP(A1,DIV_04Data!$A$1:$DZU$1000000,539,FALSE)</f>
        <v>#N/A</v>
      </c>
      <c r="L32" s="93" t="e">
        <f>VLOOKUP(A1,DIV_04Data!$A$1:$DZU$1000000,540,FALSE)</f>
        <v>#N/A</v>
      </c>
      <c r="M32" s="33" t="e">
        <f>VLOOKUP(A1,DIV_04Data!$A$1:$DZU$1000000,541,FALSE)</f>
        <v>#N/A</v>
      </c>
      <c r="N32" s="34" t="e">
        <f>VLOOKUP(A1,DIV_04Data!$A$1:$DZU$1000000,542,FALSE)</f>
        <v>#N/A</v>
      </c>
      <c r="O32" s="33" t="e">
        <f>VLOOKUP(A1,DIV_04Data!$A$1:$DZU$1000000,543,FALSE)</f>
        <v>#N/A</v>
      </c>
      <c r="P32" s="46" t="e">
        <f>VLOOKUP(A1,DIV_04Data!$A$1:$DZU$1000000,544,FALSE)</f>
        <v>#N/A</v>
      </c>
      <c r="Q32" s="33" t="e">
        <f>VLOOKUP(A1,DIV_04Data!$A$1:$DZU$1000000,545,FALSE)</f>
        <v>#N/A</v>
      </c>
    </row>
    <row r="33" spans="1:17" x14ac:dyDescent="0.35">
      <c r="A33" s="22" t="e">
        <f>VLOOKUP(A1,DIV_04Data!$A$1:$DZU$1000000,546,FALSE)</f>
        <v>#N/A</v>
      </c>
      <c r="B33" s="37" t="e">
        <f>VLOOKUP(A1,DIV_04Data!$A$1:$DZU$1000000,547,FALSE)</f>
        <v>#N/A</v>
      </c>
      <c r="C33" s="38" t="e">
        <f>VLOOKUP(A1,DIV_04Data!$A$1:$DZU$1000000,548,FALSE)</f>
        <v>#N/A</v>
      </c>
      <c r="D33" s="31" t="e">
        <f>VLOOKUP(A1,DIV_04Data!$A$1:$DZU$1000000,549,FALSE)</f>
        <v>#N/A</v>
      </c>
      <c r="E33" s="32" t="e">
        <f>VLOOKUP(A1,DIV_04Data!$A$1:$DZU$1000000,550,FALSE)</f>
        <v>#N/A</v>
      </c>
      <c r="F33" s="34" t="e">
        <f>VLOOKUP(A1,DIV_04Data!$A$1:$DZU$1000000,551,FALSE)</f>
        <v>#N/A</v>
      </c>
      <c r="G33" s="33" t="e">
        <f>VLOOKUP(A1,DIV_04Data!$A$1:$DZU$1000000,552,FALSE)</f>
        <v>#N/A</v>
      </c>
      <c r="H33" s="34" t="e">
        <f>VLOOKUP(A1,DIV_04Data!$A$1:$DZU$1000000,553,FALSE)</f>
        <v>#N/A</v>
      </c>
      <c r="I33" s="33" t="e">
        <f>VLOOKUP(A1,DIV_04Data!$A$1:$DZU$1000000,554,FALSE)</f>
        <v>#N/A</v>
      </c>
      <c r="J33" s="34" t="e">
        <f>VLOOKUP(A1,DIV_04Data!$A$1:$DZU$1000000,555,FALSE)</f>
        <v>#N/A</v>
      </c>
      <c r="K33" s="34" t="e">
        <f>VLOOKUP(A1,DIV_04Data!$A$1:$DZU$1000000,556,FALSE)</f>
        <v>#N/A</v>
      </c>
      <c r="L33" s="93" t="e">
        <f>VLOOKUP(A1,DIV_04Data!$A$1:$DZU$1000000,557,FALSE)</f>
        <v>#N/A</v>
      </c>
      <c r="M33" s="33" t="e">
        <f>VLOOKUP(A1,DIV_04Data!$A$1:$DZU$1000000,558,FALSE)</f>
        <v>#N/A</v>
      </c>
      <c r="N33" s="34" t="e">
        <f>VLOOKUP(A1,DIV_04Data!$A$1:$DZU$1000000,559,FALSE)</f>
        <v>#N/A</v>
      </c>
      <c r="O33" s="33" t="e">
        <f>VLOOKUP(A1,DIV_04Data!$A$1:$DZU$1000000,560,FALSE)</f>
        <v>#N/A</v>
      </c>
      <c r="P33" s="46" t="e">
        <f>VLOOKUP(A1,DIV_04Data!$A$1:$DZU$1000000,561,FALSE)</f>
        <v>#N/A</v>
      </c>
      <c r="Q33" s="33" t="e">
        <f>VLOOKUP(A1,DIV_04Data!$A$1:$DZU$1000000,562,FALSE)</f>
        <v>#N/A</v>
      </c>
    </row>
    <row r="34" spans="1:17" x14ac:dyDescent="0.35">
      <c r="A34" s="22" t="e">
        <f>VLOOKUP(A1,DIV_04Data!$A$1:$DZU$1000000,563,FALSE)</f>
        <v>#N/A</v>
      </c>
      <c r="B34" s="37" t="e">
        <f>VLOOKUP(A1,DIV_04Data!$A$1:$DZU$1000000,564,FALSE)</f>
        <v>#N/A</v>
      </c>
      <c r="C34" s="38" t="e">
        <f>VLOOKUP(A1,DIV_04Data!$A$1:$DZU$1000000,565,FALSE)</f>
        <v>#N/A</v>
      </c>
      <c r="D34" s="31" t="e">
        <f>VLOOKUP(A1,DIV_04Data!$A$1:$DZU$1000000,566,FALSE)</f>
        <v>#N/A</v>
      </c>
      <c r="E34" s="32" t="e">
        <f>VLOOKUP(A1,DIV_04Data!$A$1:$DZU$1000000,567,FALSE)</f>
        <v>#N/A</v>
      </c>
      <c r="F34" s="34" t="e">
        <f>VLOOKUP(A1,DIV_04Data!$A$1:$DZU$1000000,568,FALSE)</f>
        <v>#N/A</v>
      </c>
      <c r="G34" s="33" t="e">
        <f>VLOOKUP(A1,DIV_04Data!$A$1:$DZU$1000000,569,FALSE)</f>
        <v>#N/A</v>
      </c>
      <c r="H34" s="34" t="e">
        <f>VLOOKUP(A1,DIV_04Data!$A$1:$DZU$1000000,570,FALSE)</f>
        <v>#N/A</v>
      </c>
      <c r="I34" s="33" t="e">
        <f>VLOOKUP(A1,DIV_04Data!$A$1:$DZU$1000000,571,FALSE)</f>
        <v>#N/A</v>
      </c>
      <c r="J34" s="34" t="e">
        <f>VLOOKUP(A1,DIV_04Data!$A$1:$DZU$1000000,572,FALSE)</f>
        <v>#N/A</v>
      </c>
      <c r="K34" s="34" t="e">
        <f>VLOOKUP(A1,DIV_04Data!$A$1:$DZU$1000000,573,FALSE)</f>
        <v>#N/A</v>
      </c>
      <c r="L34" s="93" t="e">
        <f>VLOOKUP(A1,DIV_04Data!$A$1:$DZU$1000000,574,FALSE)</f>
        <v>#N/A</v>
      </c>
      <c r="M34" s="33" t="e">
        <f>VLOOKUP(A1,DIV_04Data!$A$1:$DZU$1000000,575,FALSE)</f>
        <v>#N/A</v>
      </c>
      <c r="N34" s="34" t="e">
        <f>VLOOKUP(A1,DIV_04Data!$A$1:$DZU$1000000,576,FALSE)</f>
        <v>#N/A</v>
      </c>
      <c r="O34" s="33" t="e">
        <f>VLOOKUP(A1,DIV_04Data!$A$1:$DZU$1000000,577,FALSE)</f>
        <v>#N/A</v>
      </c>
      <c r="P34" s="46" t="e">
        <f>VLOOKUP(A1,DIV_04Data!$A$1:$DZU$1000000,578,FALSE)</f>
        <v>#N/A</v>
      </c>
      <c r="Q34" s="33" t="e">
        <f>VLOOKUP(A1,DIV_04Data!$A$1:$DZU$1000000,579,FALSE)</f>
        <v>#N/A</v>
      </c>
    </row>
    <row r="35" spans="1:17" x14ac:dyDescent="0.35">
      <c r="A35" s="22" t="e">
        <f>VLOOKUP(A1,DIV_04Data!$A$1:$DZU$1000000,580,FALSE)</f>
        <v>#N/A</v>
      </c>
      <c r="B35" s="37" t="e">
        <f>VLOOKUP(A1,DIV_04Data!$A$1:$DZU$1000000,581,FALSE)</f>
        <v>#N/A</v>
      </c>
      <c r="C35" s="38" t="e">
        <f>VLOOKUP(A1,DIV_04Data!$A$1:$DZU$1000000,582,FALSE)</f>
        <v>#N/A</v>
      </c>
      <c r="D35" s="31" t="e">
        <f>VLOOKUP(A1,DIV_04Data!$A$1:$DZU$1000000,583,FALSE)</f>
        <v>#N/A</v>
      </c>
      <c r="E35" s="32" t="e">
        <f>VLOOKUP(A1,DIV_04Data!$A$1:$DZU$1000000,584,FALSE)</f>
        <v>#N/A</v>
      </c>
      <c r="F35" s="34" t="e">
        <f>VLOOKUP(A1,DIV_04Data!$A$1:$DZU$1000000,585,FALSE)</f>
        <v>#N/A</v>
      </c>
      <c r="G35" s="33" t="e">
        <f>VLOOKUP(A1,DIV_04Data!$A$1:$DZU$1000000,586,FALSE)</f>
        <v>#N/A</v>
      </c>
      <c r="H35" s="34" t="e">
        <f>VLOOKUP(A1,DIV_04Data!$A$1:$DZU$1000000,587,FALSE)</f>
        <v>#N/A</v>
      </c>
      <c r="I35" s="33" t="e">
        <f>VLOOKUP(A1,DIV_04Data!$A$1:$DZU$1000000,588,FALSE)</f>
        <v>#N/A</v>
      </c>
      <c r="J35" s="34" t="e">
        <f>VLOOKUP(A1,DIV_04Data!$A$1:$DZU$1000000,589,FALSE)</f>
        <v>#N/A</v>
      </c>
      <c r="K35" s="34" t="e">
        <f>VLOOKUP(A1,DIV_04Data!$A$1:$DZU$1000000,590,FALSE)</f>
        <v>#N/A</v>
      </c>
      <c r="L35" s="93" t="e">
        <f>VLOOKUP(A1,DIV_04Data!$A$1:$DZU$1000000,591,FALSE)</f>
        <v>#N/A</v>
      </c>
      <c r="M35" s="33" t="e">
        <f>VLOOKUP(A1,DIV_04Data!$A$1:$DZU$1000000,592,FALSE)</f>
        <v>#N/A</v>
      </c>
      <c r="N35" s="34" t="e">
        <f>VLOOKUP(A1,DIV_04Data!$A$1:$DZU$1000000,593,FALSE)</f>
        <v>#N/A</v>
      </c>
      <c r="O35" s="33" t="e">
        <f>VLOOKUP(A1,DIV_04Data!$A$1:$DZU$1000000,594,FALSE)</f>
        <v>#N/A</v>
      </c>
      <c r="P35" s="46" t="e">
        <f>VLOOKUP(A1,DIV_04Data!$A$1:$DZU$1000000,595,FALSE)</f>
        <v>#N/A</v>
      </c>
      <c r="Q35" s="33" t="e">
        <f>VLOOKUP(A1,DIV_04Data!$A$1:$DZU$1000000,596,FALSE)</f>
        <v>#N/A</v>
      </c>
    </row>
    <row r="36" spans="1:17" x14ac:dyDescent="0.35">
      <c r="A36" s="22" t="e">
        <f>VLOOKUP(A1,DIV_04Data!$A$1:$DZU$1000000,597,FALSE)</f>
        <v>#N/A</v>
      </c>
      <c r="B36" s="37" t="e">
        <f>VLOOKUP(A1,DIV_04Data!$A$1:$DZU$1000000,598,FALSE)</f>
        <v>#N/A</v>
      </c>
      <c r="C36" s="38" t="e">
        <f>VLOOKUP(A1,DIV_04Data!$A$1:$DZU$1000000,599,FALSE)</f>
        <v>#N/A</v>
      </c>
      <c r="D36" s="31" t="e">
        <f>VLOOKUP(A1,DIV_04Data!$A$1:$DZU$1000000,600,FALSE)</f>
        <v>#N/A</v>
      </c>
      <c r="E36" s="32" t="e">
        <f>VLOOKUP(A1,DIV_04Data!$A$1:$DZU$1000000,601,FALSE)</f>
        <v>#N/A</v>
      </c>
      <c r="F36" s="34" t="e">
        <f>VLOOKUP(A1,DIV_04Data!$A$1:$DZU$1000000,602,FALSE)</f>
        <v>#N/A</v>
      </c>
      <c r="G36" s="33" t="e">
        <f>VLOOKUP(A1,DIV_04Data!$A$1:$DZU$1000000,603,FALSE)</f>
        <v>#N/A</v>
      </c>
      <c r="H36" s="34" t="e">
        <f>VLOOKUP(A1,DIV_04Data!$A$1:$DZU$1000000,604,FALSE)</f>
        <v>#N/A</v>
      </c>
      <c r="I36" s="33" t="e">
        <f>VLOOKUP(A1,DIV_04Data!$A$1:$DZU$1000000,605,FALSE)</f>
        <v>#N/A</v>
      </c>
      <c r="J36" s="34" t="e">
        <f>VLOOKUP(A1,DIV_04Data!$A$1:$DZU$1000000,606,FALSE)</f>
        <v>#N/A</v>
      </c>
      <c r="K36" s="34" t="e">
        <f>VLOOKUP(A1,DIV_04Data!$A$1:$DZU$1000000,607,FALSE)</f>
        <v>#N/A</v>
      </c>
      <c r="L36" s="93" t="e">
        <f>VLOOKUP(A1,DIV_04Data!$A$1:$DZU$1000000,608,FALSE)</f>
        <v>#N/A</v>
      </c>
      <c r="M36" s="33" t="e">
        <f>VLOOKUP(A1,DIV_04Data!$A$1:$DZU$1000000,609,FALSE)</f>
        <v>#N/A</v>
      </c>
      <c r="N36" s="34" t="e">
        <f>VLOOKUP(A1,DIV_04Data!$A$1:$DZU$1000000,610,FALSE)</f>
        <v>#N/A</v>
      </c>
      <c r="O36" s="33" t="e">
        <f>VLOOKUP(A1,DIV_04Data!$A$1:$DZU$1000000,611,FALSE)</f>
        <v>#N/A</v>
      </c>
      <c r="P36" s="46" t="e">
        <f>VLOOKUP(A1,DIV_04Data!$A$1:$DZU$1000000,612,FALSE)</f>
        <v>#N/A</v>
      </c>
      <c r="Q36" s="33" t="e">
        <f>VLOOKUP(A1,DIV_04Data!$A$1:$DZU$1000000,613,FALSE)</f>
        <v>#N/A</v>
      </c>
    </row>
    <row r="37" spans="1:17" x14ac:dyDescent="0.35">
      <c r="A37" s="22" t="e">
        <f>VLOOKUP(A1,DIV_04Data!$A$1:$DZU$1000000,614,FALSE)</f>
        <v>#N/A</v>
      </c>
      <c r="B37" s="37" t="e">
        <f>VLOOKUP(A1,DIV_04Data!$A$1:$DZU$1000000,615,FALSE)</f>
        <v>#N/A</v>
      </c>
      <c r="C37" s="38" t="e">
        <f>VLOOKUP(A1,DIV_04Data!$A$1:$DZU$1000000,616,FALSE)</f>
        <v>#N/A</v>
      </c>
      <c r="D37" s="31" t="e">
        <f>VLOOKUP(A1,DIV_04Data!$A$1:$DZU$1000000,617,FALSE)</f>
        <v>#N/A</v>
      </c>
      <c r="E37" s="32" t="e">
        <f>VLOOKUP(A1,DIV_04Data!$A$1:$DZU$1000000,618,FALSE)</f>
        <v>#N/A</v>
      </c>
      <c r="F37" s="34" t="e">
        <f>VLOOKUP(A1,DIV_04Data!$A$1:$DZU$1000000,619,FALSE)</f>
        <v>#N/A</v>
      </c>
      <c r="G37" s="33" t="e">
        <f>VLOOKUP(A1,DIV_04Data!$A$1:$DZU$1000000,620,FALSE)</f>
        <v>#N/A</v>
      </c>
      <c r="H37" s="34" t="e">
        <f>VLOOKUP(A1,DIV_04Data!$A$1:$DZU$1000000,621,FALSE)</f>
        <v>#N/A</v>
      </c>
      <c r="I37" s="33" t="e">
        <f>VLOOKUP(A1,DIV_04Data!$A$1:$DZU$1000000,622,FALSE)</f>
        <v>#N/A</v>
      </c>
      <c r="J37" s="34" t="e">
        <f>VLOOKUP(A1,DIV_04Data!$A$1:$DZU$1000000,623,FALSE)</f>
        <v>#N/A</v>
      </c>
      <c r="K37" s="34" t="e">
        <f>VLOOKUP(A1,DIV_04Data!$A$1:$DZU$1000000,624,FALSE)</f>
        <v>#N/A</v>
      </c>
      <c r="L37" s="93" t="e">
        <f>VLOOKUP(A1,DIV_04Data!$A$1:$DZU$1000000,625,FALSE)</f>
        <v>#N/A</v>
      </c>
      <c r="M37" s="33" t="e">
        <f>VLOOKUP(A1,DIV_04Data!$A$1:$DZU$1000000,626,FALSE)</f>
        <v>#N/A</v>
      </c>
      <c r="N37" s="34" t="e">
        <f>VLOOKUP(A1,DIV_04Data!$A$1:$DZU$1000000,627,FALSE)</f>
        <v>#N/A</v>
      </c>
      <c r="O37" s="33" t="e">
        <f>VLOOKUP(A1,DIV_04Data!$A$1:$DZU$1000000,628,FALSE)</f>
        <v>#N/A</v>
      </c>
      <c r="P37" s="46" t="e">
        <f>VLOOKUP(A1,DIV_04Data!$A$1:$DZU$1000000,629,FALSE)</f>
        <v>#N/A</v>
      </c>
      <c r="Q37" s="33" t="e">
        <f>VLOOKUP(A1,DIV_04Data!$A$1:$DZU$1000000,630,FALSE)</f>
        <v>#N/A</v>
      </c>
    </row>
    <row r="38" spans="1:17" x14ac:dyDescent="0.35">
      <c r="A38" s="22" t="e">
        <f>VLOOKUP(A1,DIV_04Data!$A$1:$DZU$1000000,631,FALSE)</f>
        <v>#N/A</v>
      </c>
      <c r="B38" s="37" t="e">
        <f>VLOOKUP(A1,DIV_04Data!$A$1:$DZU$1000000,632,FALSE)</f>
        <v>#N/A</v>
      </c>
      <c r="C38" s="38" t="e">
        <f>VLOOKUP(A1,DIV_04Data!$A$1:$DZU$1000000,633,FALSE)</f>
        <v>#N/A</v>
      </c>
      <c r="D38" s="31" t="e">
        <f>VLOOKUP(A1,DIV_04Data!$A$1:$DZU$1000000,634,FALSE)</f>
        <v>#N/A</v>
      </c>
      <c r="E38" s="32" t="e">
        <f>VLOOKUP(A1,DIV_04Data!$A$1:$DZU$1000000,635,FALSE)</f>
        <v>#N/A</v>
      </c>
      <c r="F38" s="34" t="e">
        <f>VLOOKUP(A1,DIV_04Data!$A$1:$DZU$1000000,636,FALSE)</f>
        <v>#N/A</v>
      </c>
      <c r="G38" s="33" t="e">
        <f>VLOOKUP(A1,DIV_04Data!$A$1:$DZU$1000000,637,FALSE)</f>
        <v>#N/A</v>
      </c>
      <c r="H38" s="34" t="e">
        <f>VLOOKUP(A1,DIV_04Data!$A$1:$DZU$1000000,638,FALSE)</f>
        <v>#N/A</v>
      </c>
      <c r="I38" s="33" t="e">
        <f>VLOOKUP(A1,DIV_04Data!$A$1:$DZU$1000000,639,FALSE)</f>
        <v>#N/A</v>
      </c>
      <c r="J38" s="34" t="e">
        <f>VLOOKUP(A1,DIV_04Data!$A$1:$DZU$1000000,640,FALSE)</f>
        <v>#N/A</v>
      </c>
      <c r="K38" s="34" t="e">
        <f>VLOOKUP(A1,DIV_04Data!$A$1:$DZU$1000000,641,FALSE)</f>
        <v>#N/A</v>
      </c>
      <c r="L38" s="93" t="e">
        <f>VLOOKUP(A1,DIV_04Data!$A$1:$DZU$1000000,642,FALSE)</f>
        <v>#N/A</v>
      </c>
      <c r="M38" s="33" t="e">
        <f>VLOOKUP(A1,DIV_04Data!$A$1:$DZU$1000000,643,FALSE)</f>
        <v>#N/A</v>
      </c>
      <c r="N38" s="34" t="e">
        <f>VLOOKUP(A1,DIV_04Data!$A$1:$DZU$1000000,644,FALSE)</f>
        <v>#N/A</v>
      </c>
      <c r="O38" s="33" t="e">
        <f>VLOOKUP(A1,DIV_04Data!$A$1:$DZU$1000000,645,FALSE)</f>
        <v>#N/A</v>
      </c>
      <c r="P38" s="46" t="e">
        <f>VLOOKUP(A1,DIV_04Data!$A$1:$DZU$1000000,646,FALSE)</f>
        <v>#N/A</v>
      </c>
      <c r="Q38" s="33" t="e">
        <f>VLOOKUP(A1,DIV_04Data!$A$1:$DZU$1000000,647,FALSE)</f>
        <v>#N/A</v>
      </c>
    </row>
    <row r="39" spans="1:17" x14ac:dyDescent="0.35">
      <c r="A39" s="22" t="e">
        <f>VLOOKUP(A1,DIV_04Data!$A$1:$DZU$1000000,648,FALSE)</f>
        <v>#N/A</v>
      </c>
      <c r="B39" s="37" t="e">
        <f>VLOOKUP(A1,DIV_04Data!$A$1:$DZU$1000000,649,FALSE)</f>
        <v>#N/A</v>
      </c>
      <c r="C39" s="38" t="e">
        <f>VLOOKUP(A1,DIV_04Data!$A$1:$DZU$1000000,650,FALSE)</f>
        <v>#N/A</v>
      </c>
      <c r="D39" s="31" t="e">
        <f>VLOOKUP(A1,DIV_04Data!$A$1:$DZU$1000000,651,FALSE)</f>
        <v>#N/A</v>
      </c>
      <c r="E39" s="32" t="e">
        <f>VLOOKUP(A1,DIV_04Data!$A$1:$DZU$1000000,652,FALSE)</f>
        <v>#N/A</v>
      </c>
      <c r="F39" s="34" t="e">
        <f>VLOOKUP(A1,DIV_04Data!$A$1:$DZU$1000000,653,FALSE)</f>
        <v>#N/A</v>
      </c>
      <c r="G39" s="33" t="e">
        <f>VLOOKUP(A1,DIV_04Data!$A$1:$DZU$1000000,654,FALSE)</f>
        <v>#N/A</v>
      </c>
      <c r="H39" s="34" t="e">
        <f>VLOOKUP(A1,DIV_04Data!$A$1:$DZU$1000000,655,FALSE)</f>
        <v>#N/A</v>
      </c>
      <c r="I39" s="33" t="e">
        <f>VLOOKUP(A1,DIV_04Data!$A$1:$DZU$1000000,656,FALSE)</f>
        <v>#N/A</v>
      </c>
      <c r="J39" s="34" t="e">
        <f>VLOOKUP(A1,DIV_04Data!$A$1:$DZU$1000000,657,FALSE)</f>
        <v>#N/A</v>
      </c>
      <c r="K39" s="34" t="e">
        <f>VLOOKUP(A1,DIV_04Data!$A$1:$DZU$1000000,658,FALSE)</f>
        <v>#N/A</v>
      </c>
      <c r="L39" s="93" t="e">
        <f>VLOOKUP(A1,DIV_04Data!$A$1:$DZU$1000000,659,FALSE)</f>
        <v>#N/A</v>
      </c>
      <c r="M39" s="33" t="e">
        <f>VLOOKUP(A1,DIV_04Data!$A$1:$DZU$1000000,660,FALSE)</f>
        <v>#N/A</v>
      </c>
      <c r="N39" s="34" t="e">
        <f>VLOOKUP(A1,DIV_04Data!$A$1:$DZU$1000000,661,FALSE)</f>
        <v>#N/A</v>
      </c>
      <c r="O39" s="33" t="e">
        <f>VLOOKUP(A1,DIV_04Data!$A$1:$DZU$1000000,662,FALSE)</f>
        <v>#N/A</v>
      </c>
      <c r="P39" s="46" t="e">
        <f>VLOOKUP(A1,DIV_04Data!$A$1:$DZU$1000000,663,FALSE)</f>
        <v>#N/A</v>
      </c>
      <c r="Q39" s="33" t="e">
        <f>VLOOKUP(A1,DIV_04Data!$A$1:$DZU$1000000,664,FALSE)</f>
        <v>#N/A</v>
      </c>
    </row>
    <row r="40" spans="1:17" x14ac:dyDescent="0.35">
      <c r="A40" s="22" t="e">
        <f>VLOOKUP(A1,DIV_04Data!$A$1:$DZU$1000000,665,FALSE)</f>
        <v>#N/A</v>
      </c>
      <c r="B40" s="37" t="e">
        <f>VLOOKUP(A1,DIV_04Data!$A$1:$DZU$1000000,666,FALSE)</f>
        <v>#N/A</v>
      </c>
      <c r="C40" s="38" t="e">
        <f>VLOOKUP(A1,DIV_04Data!$A$1:$DZU$1000000,667,FALSE)</f>
        <v>#N/A</v>
      </c>
      <c r="D40" s="31" t="e">
        <f>VLOOKUP(A1,DIV_04Data!$A$1:$DZU$1000000,668,FALSE)</f>
        <v>#N/A</v>
      </c>
      <c r="E40" s="32" t="e">
        <f>VLOOKUP(A1,DIV_04Data!$A$1:$DZU$1000000,669,FALSE)</f>
        <v>#N/A</v>
      </c>
      <c r="F40" s="34" t="e">
        <f>VLOOKUP(A1,DIV_04Data!$A$1:$DZU$1000000,670,FALSE)</f>
        <v>#N/A</v>
      </c>
      <c r="G40" s="33" t="e">
        <f>VLOOKUP(A1,DIV_04Data!$A$1:$DZU$1000000,671,FALSE)</f>
        <v>#N/A</v>
      </c>
      <c r="H40" s="34" t="e">
        <f>VLOOKUP(A1,DIV_04Data!$A$1:$DZU$1000000,672,FALSE)</f>
        <v>#N/A</v>
      </c>
      <c r="I40" s="33" t="e">
        <f>VLOOKUP(A1,DIV_04Data!$A$1:$DZU$1000000,673,FALSE)</f>
        <v>#N/A</v>
      </c>
      <c r="J40" s="34" t="e">
        <f>VLOOKUP(A1,DIV_04Data!$A$1:$DZU$1000000,674,FALSE)</f>
        <v>#N/A</v>
      </c>
      <c r="K40" s="34" t="e">
        <f>VLOOKUP(A1,DIV_04Data!$A$1:$DZU$1000000,675,FALSE)</f>
        <v>#N/A</v>
      </c>
      <c r="L40" s="93" t="e">
        <f>VLOOKUP(A1,DIV_04Data!$A$1:$DZU$1000000,676,FALSE)</f>
        <v>#N/A</v>
      </c>
      <c r="M40" s="33" t="e">
        <f>VLOOKUP(A1,DIV_04Data!$A$1:$DZU$1000000,677,FALSE)</f>
        <v>#N/A</v>
      </c>
      <c r="N40" s="34" t="e">
        <f>VLOOKUP(A1,DIV_04Data!$A$1:$DZU$1000000,678,FALSE)</f>
        <v>#N/A</v>
      </c>
      <c r="O40" s="33" t="e">
        <f>VLOOKUP(A1,DIV_04Data!$A$1:$DZU$1000000,679,FALSE)</f>
        <v>#N/A</v>
      </c>
      <c r="P40" s="46" t="e">
        <f>VLOOKUP(A1,DIV_04Data!$A$1:$DZU$1000000,680,FALSE)</f>
        <v>#N/A</v>
      </c>
      <c r="Q40" s="33" t="e">
        <f>VLOOKUP(A1,DIV_04Data!$A$1:$DZU$1000000,681,FALSE)</f>
        <v>#N/A</v>
      </c>
    </row>
    <row r="41" spans="1:17" x14ac:dyDescent="0.35">
      <c r="A41" s="22" t="e">
        <f>VLOOKUP(A1,DIV_04Data!$A$1:$DZU$1000000,682,FALSE)</f>
        <v>#N/A</v>
      </c>
      <c r="B41" s="37" t="e">
        <f>VLOOKUP(A1,DIV_04Data!$A$1:$DZU$1000000,683,FALSE)</f>
        <v>#N/A</v>
      </c>
      <c r="C41" s="38" t="e">
        <f>VLOOKUP(A1,DIV_04Data!$A$1:$DZU$1000000,684,FALSE)</f>
        <v>#N/A</v>
      </c>
      <c r="D41" s="31" t="e">
        <f>VLOOKUP(A1,DIV_04Data!$A$1:$DZU$1000000,685,FALSE)</f>
        <v>#N/A</v>
      </c>
      <c r="E41" s="32" t="e">
        <f>VLOOKUP(A1,DIV_04Data!$A$1:$DZU$1000000,686,FALSE)</f>
        <v>#N/A</v>
      </c>
      <c r="F41" s="34" t="e">
        <f>VLOOKUP(A1,DIV_04Data!$A$1:$DZU$1000000,687,FALSE)</f>
        <v>#N/A</v>
      </c>
      <c r="G41" s="33" t="e">
        <f>VLOOKUP(A1,DIV_04Data!$A$1:$DZU$1000000,688,FALSE)</f>
        <v>#N/A</v>
      </c>
      <c r="H41" s="34" t="e">
        <f>VLOOKUP(A1,DIV_04Data!$A$1:$DZU$1000000,689,FALSE)</f>
        <v>#N/A</v>
      </c>
      <c r="I41" s="33" t="e">
        <f>VLOOKUP(A1,DIV_04Data!$A$1:$DZU$1000000,690,FALSE)</f>
        <v>#N/A</v>
      </c>
      <c r="J41" s="34" t="e">
        <f>VLOOKUP(A1,DIV_04Data!$A$1:$DZU$1000000,691,FALSE)</f>
        <v>#N/A</v>
      </c>
      <c r="K41" s="34" t="e">
        <f>VLOOKUP(A1,DIV_04Data!$A$1:$DZU$1000000,692,FALSE)</f>
        <v>#N/A</v>
      </c>
      <c r="L41" s="93" t="e">
        <f>VLOOKUP(A1,DIV_04Data!$A$1:$DZU$1000000,693,FALSE)</f>
        <v>#N/A</v>
      </c>
      <c r="M41" s="33" t="e">
        <f>VLOOKUP(A1,DIV_04Data!$A$1:$DZU$1000000,694,FALSE)</f>
        <v>#N/A</v>
      </c>
      <c r="N41" s="34" t="e">
        <f>VLOOKUP(A1,DIV_04Data!$A$1:$DZU$1000000,695,FALSE)</f>
        <v>#N/A</v>
      </c>
      <c r="O41" s="33" t="e">
        <f>VLOOKUP(A1,DIV_04Data!$A$1:$DZU$1000000,696,FALSE)</f>
        <v>#N/A</v>
      </c>
      <c r="P41" s="46" t="e">
        <f>VLOOKUP(A1,DIV_04Data!$A$1:$DZU$1000000,697,FALSE)</f>
        <v>#N/A</v>
      </c>
      <c r="Q41" s="33" t="e">
        <f>VLOOKUP(A1,DIV_04Data!$A$1:$DZU$1000000,698,FALSE)</f>
        <v>#N/A</v>
      </c>
    </row>
    <row r="42" spans="1:17" x14ac:dyDescent="0.35">
      <c r="A42" s="22" t="e">
        <f>VLOOKUP(A1,DIV_04Data!$A$1:$DZU$1000000,699,FALSE)</f>
        <v>#N/A</v>
      </c>
      <c r="B42" s="37" t="e">
        <f>VLOOKUP(A1,DIV_04Data!$A$1:$DZU$1000000,700,FALSE)</f>
        <v>#N/A</v>
      </c>
      <c r="C42" s="38" t="e">
        <f>VLOOKUP(A1,DIV_04Data!$A$1:$DZU$1000000,701,FALSE)</f>
        <v>#N/A</v>
      </c>
      <c r="D42" s="31" t="e">
        <f>VLOOKUP(A1,DIV_04Data!$A$1:$DZU$1000000,702,FALSE)</f>
        <v>#N/A</v>
      </c>
      <c r="E42" s="32" t="e">
        <f>VLOOKUP(A1,DIV_04Data!$A$1:$DZU$1000000,703,FALSE)</f>
        <v>#N/A</v>
      </c>
      <c r="F42" s="34" t="e">
        <f>VLOOKUP(A1,DIV_04Data!$A$1:$DZU$1000000,704,FALSE)</f>
        <v>#N/A</v>
      </c>
      <c r="G42" s="33" t="e">
        <f>VLOOKUP(A1,DIV_04Data!$A$1:$DZU$1000000,705,FALSE)</f>
        <v>#N/A</v>
      </c>
      <c r="H42" s="34" t="e">
        <f>VLOOKUP(A1,DIV_04Data!$A$1:$DZU$1000000,706,FALSE)</f>
        <v>#N/A</v>
      </c>
      <c r="I42" s="33" t="e">
        <f>VLOOKUP(A1,DIV_04Data!$A$1:$DZU$1000000,707,FALSE)</f>
        <v>#N/A</v>
      </c>
      <c r="J42" s="34" t="e">
        <f>VLOOKUP(A1,DIV_04Data!$A$1:$DZU$1000000,708,FALSE)</f>
        <v>#N/A</v>
      </c>
      <c r="K42" s="34" t="e">
        <f>VLOOKUP(A1,DIV_04Data!$A$1:$DZU$1000000,709,FALSE)</f>
        <v>#N/A</v>
      </c>
      <c r="L42" s="93" t="e">
        <f>VLOOKUP(A1,DIV_04Data!$A$1:$DZU$1000000,710,FALSE)</f>
        <v>#N/A</v>
      </c>
      <c r="M42" s="33" t="e">
        <f>VLOOKUP(A1,DIV_04Data!$A$1:$DZU$1000000,711,FALSE)</f>
        <v>#N/A</v>
      </c>
      <c r="N42" s="34" t="e">
        <f>VLOOKUP(A1,DIV_04Data!$A$1:$DZU$1000000,712,FALSE)</f>
        <v>#N/A</v>
      </c>
      <c r="O42" s="33" t="e">
        <f>VLOOKUP(A1,DIV_04Data!$A$1:$DZU$1000000,713,FALSE)</f>
        <v>#N/A</v>
      </c>
      <c r="P42" s="46" t="e">
        <f>VLOOKUP(A1,DIV_04Data!$A$1:$DZU$1000000,714,FALSE)</f>
        <v>#N/A</v>
      </c>
      <c r="Q42" s="33" t="e">
        <f>VLOOKUP(A1,DIV_04Data!$A$1:$DZU$1000000,715,FALSE)</f>
        <v>#N/A</v>
      </c>
    </row>
    <row r="43" spans="1:17" x14ac:dyDescent="0.35">
      <c r="A43" s="22" t="e">
        <f>VLOOKUP(A1,DIV_04Data!$A$1:$DZU$1000000,716,FALSE)</f>
        <v>#N/A</v>
      </c>
      <c r="B43" s="37" t="e">
        <f>VLOOKUP(A1,DIV_04Data!$A$1:$DZU$1000000,717,FALSE)</f>
        <v>#N/A</v>
      </c>
      <c r="C43" s="38" t="e">
        <f>VLOOKUP(A1,DIV_04Data!$A$1:$DZU$1000000,718,FALSE)</f>
        <v>#N/A</v>
      </c>
      <c r="D43" s="31" t="e">
        <f>VLOOKUP(A1,DIV_04Data!$A$1:$DZU$1000000,719,FALSE)</f>
        <v>#N/A</v>
      </c>
      <c r="E43" s="32" t="e">
        <f>VLOOKUP(A1,DIV_04Data!$A$1:$DZU$1000000,720,FALSE)</f>
        <v>#N/A</v>
      </c>
      <c r="F43" s="34" t="e">
        <f>VLOOKUP(A1,DIV_04Data!$A$1:$DZU$1000000,721,FALSE)</f>
        <v>#N/A</v>
      </c>
      <c r="G43" s="33" t="e">
        <f>VLOOKUP(A1,DIV_04Data!$A$1:$DZU$1000000,722,FALSE)</f>
        <v>#N/A</v>
      </c>
      <c r="H43" s="34" t="e">
        <f>VLOOKUP(A1,DIV_04Data!$A$1:$DZU$1000000,723,FALSE)</f>
        <v>#N/A</v>
      </c>
      <c r="I43" s="33" t="e">
        <f>VLOOKUP(A1,DIV_04Data!$A$1:$DZU$1000000,724,FALSE)</f>
        <v>#N/A</v>
      </c>
      <c r="J43" s="34" t="e">
        <f>VLOOKUP(A1,DIV_04Data!$A$1:$DZU$1000000,725,FALSE)</f>
        <v>#N/A</v>
      </c>
      <c r="K43" s="34" t="e">
        <f>VLOOKUP(A1,DIV_04Data!$A$1:$DZU$1000000,726,FALSE)</f>
        <v>#N/A</v>
      </c>
      <c r="L43" s="93" t="e">
        <f>VLOOKUP(A1,DIV_04Data!$A$1:$DZU$1000000,727,FALSE)</f>
        <v>#N/A</v>
      </c>
      <c r="M43" s="33" t="e">
        <f>VLOOKUP(A1,DIV_04Data!$A$1:$DZU$1000000,728,FALSE)</f>
        <v>#N/A</v>
      </c>
      <c r="N43" s="34" t="e">
        <f>VLOOKUP(A1,DIV_04Data!$A$1:$DZU$1000000,729,FALSE)</f>
        <v>#N/A</v>
      </c>
      <c r="O43" s="33" t="e">
        <f>VLOOKUP(A1,DIV_04Data!$A$1:$DZU$1000000,730,FALSE)</f>
        <v>#N/A</v>
      </c>
      <c r="P43" s="46" t="e">
        <f>VLOOKUP(A1,DIV_04Data!$A$1:$DZU$1000000,731,FALSE)</f>
        <v>#N/A</v>
      </c>
      <c r="Q43" s="33" t="e">
        <f>VLOOKUP(A1,DIV_04Data!$A$1:$DZU$1000000,732,FALSE)</f>
        <v>#N/A</v>
      </c>
    </row>
    <row r="44" spans="1:17" x14ac:dyDescent="0.35">
      <c r="A44" s="22" t="e">
        <f>VLOOKUP(A1,DIV_04Data!$A$1:$DZU$1000000,733,FALSE)</f>
        <v>#N/A</v>
      </c>
      <c r="B44" s="37" t="e">
        <f>VLOOKUP(A1,DIV_04Data!$A$1:$DZU$1000000,734,FALSE)</f>
        <v>#N/A</v>
      </c>
      <c r="C44" s="38" t="e">
        <f>VLOOKUP(A1,DIV_04Data!$A$1:$DZU$1000000,735,FALSE)</f>
        <v>#N/A</v>
      </c>
      <c r="D44" s="31" t="e">
        <f>VLOOKUP(A1,DIV_04Data!$A$1:$DZU$1000000,736,FALSE)</f>
        <v>#N/A</v>
      </c>
      <c r="E44" s="32" t="e">
        <f>VLOOKUP(A1,DIV_04Data!$A$1:$DZU$1000000,737,FALSE)</f>
        <v>#N/A</v>
      </c>
      <c r="F44" s="34" t="e">
        <f>VLOOKUP(A1,DIV_04Data!$A$1:$DZU$1000000,738,FALSE)</f>
        <v>#N/A</v>
      </c>
      <c r="G44" s="33" t="e">
        <f>VLOOKUP(A1,DIV_04Data!$A$1:$DZU$1000000,739,FALSE)</f>
        <v>#N/A</v>
      </c>
      <c r="H44" s="34" t="e">
        <f>VLOOKUP(A1,DIV_04Data!$A$1:$DZU$1000000,740,FALSE)</f>
        <v>#N/A</v>
      </c>
      <c r="I44" s="33" t="e">
        <f>VLOOKUP(A1,DIV_04Data!$A$1:$DZU$1000000,741,FALSE)</f>
        <v>#N/A</v>
      </c>
      <c r="J44" s="34" t="e">
        <f>VLOOKUP(A1,DIV_04Data!$A$1:$DZU$1000000,742,FALSE)</f>
        <v>#N/A</v>
      </c>
      <c r="K44" s="34" t="e">
        <f>VLOOKUP(A1,DIV_04Data!$A$1:$DZU$1000000,743,FALSE)</f>
        <v>#N/A</v>
      </c>
      <c r="L44" s="93" t="e">
        <f>VLOOKUP(A1,DIV_04Data!$A$1:$DZU$1000000,744,FALSE)</f>
        <v>#N/A</v>
      </c>
      <c r="M44" s="33" t="e">
        <f>VLOOKUP(A1,DIV_04Data!$A$1:$DZU$1000000,745,FALSE)</f>
        <v>#N/A</v>
      </c>
      <c r="N44" s="34" t="e">
        <f>VLOOKUP(A1,DIV_04Data!$A$1:$DZU$1000000,746,FALSE)</f>
        <v>#N/A</v>
      </c>
      <c r="O44" s="33" t="e">
        <f>VLOOKUP(A1,DIV_04Data!$A$1:$DZU$1000000,747,FALSE)</f>
        <v>#N/A</v>
      </c>
      <c r="P44" s="46" t="e">
        <f>VLOOKUP(A1,DIV_04Data!$A$1:$DZU$1000000,748,FALSE)</f>
        <v>#N/A</v>
      </c>
      <c r="Q44" s="33" t="e">
        <f>VLOOKUP(A1,DIV_04Data!$A$1:$DZU$1000000,749,FALSE)</f>
        <v>#N/A</v>
      </c>
    </row>
    <row r="45" spans="1:17" x14ac:dyDescent="0.35">
      <c r="A45" s="22" t="e">
        <f>VLOOKUP(A1,DIV_04Data!$A$1:$DZU$1000000,750,FALSE)</f>
        <v>#N/A</v>
      </c>
      <c r="B45" s="37" t="e">
        <f>VLOOKUP(A1,DIV_04Data!$A$1:$DZU$1000000,751,FALSE)</f>
        <v>#N/A</v>
      </c>
      <c r="C45" s="38" t="e">
        <f>VLOOKUP(A1,DIV_04Data!$A$1:$DZU$1000000,752,FALSE)</f>
        <v>#N/A</v>
      </c>
      <c r="D45" s="31" t="e">
        <f>VLOOKUP(A1,DIV_04Data!$A$1:$DZU$1000000,753,FALSE)</f>
        <v>#N/A</v>
      </c>
      <c r="E45" s="32" t="e">
        <f>VLOOKUP(A1,DIV_04Data!$A$1:$DZU$1000000,754,FALSE)</f>
        <v>#N/A</v>
      </c>
      <c r="F45" s="34" t="e">
        <f>VLOOKUP(A1,DIV_04Data!$A$1:$DZU$1000000,755,FALSE)</f>
        <v>#N/A</v>
      </c>
      <c r="G45" s="33" t="e">
        <f>VLOOKUP(A1,DIV_04Data!$A$1:$DZU$1000000,756,FALSE)</f>
        <v>#N/A</v>
      </c>
      <c r="H45" s="34" t="e">
        <f>VLOOKUP(A1,DIV_04Data!$A$1:$DZU$1000000,757,FALSE)</f>
        <v>#N/A</v>
      </c>
      <c r="I45" s="33" t="e">
        <f>VLOOKUP(A1,DIV_04Data!$A$1:$DZU$1000000,758,FALSE)</f>
        <v>#N/A</v>
      </c>
      <c r="J45" s="34" t="e">
        <f>VLOOKUP(A1,DIV_04Data!$A$1:$DZU$1000000,759,FALSE)</f>
        <v>#N/A</v>
      </c>
      <c r="K45" s="34" t="e">
        <f>VLOOKUP(A1,DIV_04Data!$A$1:$DZU$1000000,760,FALSE)</f>
        <v>#N/A</v>
      </c>
      <c r="L45" s="93" t="e">
        <f>VLOOKUP(A1,DIV_04Data!$A$1:$DZU$1000000,761,FALSE)</f>
        <v>#N/A</v>
      </c>
      <c r="M45" s="33" t="e">
        <f>VLOOKUP(A1,DIV_04Data!$A$1:$DZU$1000000,762,FALSE)</f>
        <v>#N/A</v>
      </c>
      <c r="N45" s="34" t="e">
        <f>VLOOKUP(A1,DIV_04Data!$A$1:$DZU$1000000,763,FALSE)</f>
        <v>#N/A</v>
      </c>
      <c r="O45" s="33" t="e">
        <f>VLOOKUP(A1,DIV_04Data!$A$1:$DZU$1000000,764,FALSE)</f>
        <v>#N/A</v>
      </c>
      <c r="P45" s="46" t="e">
        <f>VLOOKUP(A1,DIV_04Data!$A$1:$DZU$1000000,765,FALSE)</f>
        <v>#N/A</v>
      </c>
      <c r="Q45" s="33" t="e">
        <f>VLOOKUP(A1,DIV_04Data!$A$1:$DZU$1000000,766,FALSE)</f>
        <v>#N/A</v>
      </c>
    </row>
    <row r="46" spans="1:17" x14ac:dyDescent="0.35">
      <c r="A46" s="22" t="e">
        <f>VLOOKUP(A1,DIV_04Data!$A$1:$DZU$1000000,767,FALSE)</f>
        <v>#N/A</v>
      </c>
      <c r="B46" s="37" t="e">
        <f>VLOOKUP(A1,DIV_04Data!$A$1:$DZU$1000000,768,FALSE)</f>
        <v>#N/A</v>
      </c>
      <c r="C46" s="38" t="e">
        <f>VLOOKUP(A1,DIV_04Data!$A$1:$DZU$1000000,769,FALSE)</f>
        <v>#N/A</v>
      </c>
      <c r="D46" s="31" t="e">
        <f>VLOOKUP(A1,DIV_04Data!$A$1:$DZU$1000000,770,FALSE)</f>
        <v>#N/A</v>
      </c>
      <c r="E46" s="32" t="e">
        <f>VLOOKUP(A1,DIV_04Data!$A$1:$DZU$1000000,771,FALSE)</f>
        <v>#N/A</v>
      </c>
      <c r="F46" s="34" t="e">
        <f>VLOOKUP(A1,DIV_04Data!$A$1:$DZU$1000000,772,FALSE)</f>
        <v>#N/A</v>
      </c>
      <c r="G46" s="33" t="e">
        <f>VLOOKUP(A1,DIV_04Data!$A$1:$DZU$1000000,773,FALSE)</f>
        <v>#N/A</v>
      </c>
      <c r="H46" s="34" t="e">
        <f>VLOOKUP(A1,DIV_04Data!$A$1:$DZU$1000000,774,FALSE)</f>
        <v>#N/A</v>
      </c>
      <c r="I46" s="33" t="e">
        <f>VLOOKUP(A1,DIV_04Data!$A$1:$DZU$1000000,775,FALSE)</f>
        <v>#N/A</v>
      </c>
      <c r="J46" s="34" t="e">
        <f>VLOOKUP(A1,DIV_04Data!$A$1:$DZU$1000000,776,FALSE)</f>
        <v>#N/A</v>
      </c>
      <c r="K46" s="34" t="e">
        <f>VLOOKUP(A1,DIV_04Data!$A$1:$DZU$1000000,777,FALSE)</f>
        <v>#N/A</v>
      </c>
      <c r="L46" s="93" t="e">
        <f>VLOOKUP(A1,DIV_04Data!$A$1:$DZU$1000000,778,FALSE)</f>
        <v>#N/A</v>
      </c>
      <c r="M46" s="33" t="e">
        <f>VLOOKUP(A1,DIV_04Data!$A$1:$DZU$1000000,779,FALSE)</f>
        <v>#N/A</v>
      </c>
      <c r="N46" s="34" t="e">
        <f>VLOOKUP(A1,DIV_04Data!$A$1:$DZU$1000000,780,FALSE)</f>
        <v>#N/A</v>
      </c>
      <c r="O46" s="33" t="e">
        <f>VLOOKUP(A1,DIV_04Data!$A$1:$DZU$1000000,781,FALSE)</f>
        <v>#N/A</v>
      </c>
      <c r="P46" s="46" t="e">
        <f>VLOOKUP(A1,DIV_04Data!$A$1:$DZU$1000000,782,FALSE)</f>
        <v>#N/A</v>
      </c>
      <c r="Q46" s="33" t="e">
        <f>VLOOKUP(A1,DIV_04Data!$A$1:$DZU$1000000,783,FALSE)</f>
        <v>#N/A</v>
      </c>
    </row>
    <row r="47" spans="1:17" x14ac:dyDescent="0.35">
      <c r="A47" s="22" t="e">
        <f>VLOOKUP(A1,DIV_04Data!$A$1:$DZU$1000000,784,FALSE)</f>
        <v>#N/A</v>
      </c>
      <c r="B47" s="37" t="e">
        <f>VLOOKUP(A1,DIV_04Data!$A$1:$DZU$1000000,785,FALSE)</f>
        <v>#N/A</v>
      </c>
      <c r="C47" s="38" t="e">
        <f>VLOOKUP(A1,DIV_04Data!$A$1:$DZU$1000000,786,FALSE)</f>
        <v>#N/A</v>
      </c>
      <c r="D47" s="31" t="e">
        <f>VLOOKUP(A1,DIV_04Data!$A$1:$DZU$1000000,787,FALSE)</f>
        <v>#N/A</v>
      </c>
      <c r="E47" s="32" t="e">
        <f>VLOOKUP(A1,DIV_04Data!$A$1:$DZU$1000000,788,FALSE)</f>
        <v>#N/A</v>
      </c>
      <c r="F47" s="34" t="e">
        <f>VLOOKUP(A1,DIV_04Data!$A$1:$DZU$1000000,789,FALSE)</f>
        <v>#N/A</v>
      </c>
      <c r="G47" s="33" t="e">
        <f>VLOOKUP(A1,DIV_04Data!$A$1:$DZU$1000000,790,FALSE)</f>
        <v>#N/A</v>
      </c>
      <c r="H47" s="34" t="e">
        <f>VLOOKUP(A1,DIV_04Data!$A$1:$DZU$1000000,791,FALSE)</f>
        <v>#N/A</v>
      </c>
      <c r="I47" s="33" t="e">
        <f>VLOOKUP(A1,DIV_04Data!$A$1:$DZU$1000000,792,FALSE)</f>
        <v>#N/A</v>
      </c>
      <c r="J47" s="34" t="e">
        <f>VLOOKUP(A1,DIV_04Data!$A$1:$DZU$1000000,793,FALSE)</f>
        <v>#N/A</v>
      </c>
      <c r="K47" s="34" t="e">
        <f>VLOOKUP(A1,DIV_04Data!$A$1:$DZU$1000000,794,FALSE)</f>
        <v>#N/A</v>
      </c>
      <c r="L47" s="93" t="e">
        <f>VLOOKUP(A1,DIV_04Data!$A$1:$DZU$1000000,795,FALSE)</f>
        <v>#N/A</v>
      </c>
      <c r="M47" s="33" t="e">
        <f>VLOOKUP(A1,DIV_04Data!$A$1:$DZU$1000000,796,FALSE)</f>
        <v>#N/A</v>
      </c>
      <c r="N47" s="34" t="e">
        <f>VLOOKUP(A1,DIV_04Data!$A$1:$DZU$1000000,797,FALSE)</f>
        <v>#N/A</v>
      </c>
      <c r="O47" s="33" t="e">
        <f>VLOOKUP(A1,DIV_04Data!$A$1:$DZU$1000000,798,FALSE)</f>
        <v>#N/A</v>
      </c>
      <c r="P47" s="46" t="e">
        <f>VLOOKUP(A1,DIV_04Data!$A$1:$DZU$1000000,799,FALSE)</f>
        <v>#N/A</v>
      </c>
      <c r="Q47" s="33" t="e">
        <f>VLOOKUP(A1,DIV_04Data!$A$1:$DZU$1000000,800,FALSE)</f>
        <v>#N/A</v>
      </c>
    </row>
    <row r="48" spans="1:17" x14ac:dyDescent="0.35">
      <c r="A48" s="22" t="e">
        <f>VLOOKUP(A1,DIV_04Data!$A$1:$DZU$1000000,801,FALSE)</f>
        <v>#N/A</v>
      </c>
      <c r="B48" s="37" t="e">
        <f>VLOOKUP(A1,DIV_04Data!$A$1:$DZU$1000000,802,FALSE)</f>
        <v>#N/A</v>
      </c>
      <c r="C48" s="38" t="e">
        <f>VLOOKUP(A1,DIV_04Data!$A$1:$DZU$1000000,803,FALSE)</f>
        <v>#N/A</v>
      </c>
      <c r="D48" s="31" t="e">
        <f>VLOOKUP(A1,DIV_04Data!$A$1:$DZU$1000000,804,FALSE)</f>
        <v>#N/A</v>
      </c>
      <c r="E48" s="32" t="e">
        <f>VLOOKUP(A1,DIV_04Data!$A$1:$DZU$1000000,805,FALSE)</f>
        <v>#N/A</v>
      </c>
      <c r="F48" s="34" t="e">
        <f>VLOOKUP(A1,DIV_04Data!$A$1:$DZU$1000000,806,FALSE)</f>
        <v>#N/A</v>
      </c>
      <c r="G48" s="33" t="e">
        <f>VLOOKUP(A1,DIV_04Data!$A$1:$DZU$1000000,807,FALSE)</f>
        <v>#N/A</v>
      </c>
      <c r="H48" s="34" t="e">
        <f>VLOOKUP(A1,DIV_04Data!$A$1:$DZU$1000000,808,FALSE)</f>
        <v>#N/A</v>
      </c>
      <c r="I48" s="33" t="e">
        <f>VLOOKUP(A1,DIV_04Data!$A$1:$DZU$1000000,809,FALSE)</f>
        <v>#N/A</v>
      </c>
      <c r="J48" s="34" t="e">
        <f>VLOOKUP(A1,DIV_04Data!$A$1:$DZU$1000000,810,FALSE)</f>
        <v>#N/A</v>
      </c>
      <c r="K48" s="34" t="e">
        <f>VLOOKUP(A1,DIV_04Data!$A$1:$DZU$1000000,811,FALSE)</f>
        <v>#N/A</v>
      </c>
      <c r="L48" s="93" t="e">
        <f>VLOOKUP(A1,DIV_04Data!$A$1:$DZU$1000000,812,FALSE)</f>
        <v>#N/A</v>
      </c>
      <c r="M48" s="33" t="e">
        <f>VLOOKUP(A1,DIV_04Data!$A$1:$DZU$1000000,813,FALSE)</f>
        <v>#N/A</v>
      </c>
      <c r="N48" s="34" t="e">
        <f>VLOOKUP(A1,DIV_04Data!$A$1:$DZU$1000000,814,FALSE)</f>
        <v>#N/A</v>
      </c>
      <c r="O48" s="33" t="e">
        <f>VLOOKUP(A1,DIV_04Data!$A$1:$DZU$1000000,815,FALSE)</f>
        <v>#N/A</v>
      </c>
      <c r="P48" s="46" t="e">
        <f>VLOOKUP(A1,DIV_04Data!$A$1:$DZU$1000000,816,FALSE)</f>
        <v>#N/A</v>
      </c>
      <c r="Q48" s="33" t="e">
        <f>VLOOKUP(A1,DIV_04Data!$A$1:$DZU$1000000,817,FALSE)</f>
        <v>#N/A</v>
      </c>
    </row>
    <row r="49" spans="1:17" x14ac:dyDescent="0.35">
      <c r="A49" s="22" t="e">
        <f>VLOOKUP(A1,DIV_04Data!$A$1:$DZU$1000000,818,FALSE)</f>
        <v>#N/A</v>
      </c>
      <c r="B49" s="37" t="e">
        <f>VLOOKUP(A1,DIV_04Data!$A$1:$DZU$1000000,819,FALSE)</f>
        <v>#N/A</v>
      </c>
      <c r="C49" s="38" t="e">
        <f>VLOOKUP(A1,DIV_04Data!$A$1:$DZU$1000000,820,FALSE)</f>
        <v>#N/A</v>
      </c>
      <c r="D49" s="31" t="e">
        <f>VLOOKUP(A1,DIV_04Data!$A$1:$DZU$1000000,821,FALSE)</f>
        <v>#N/A</v>
      </c>
      <c r="E49" s="32" t="e">
        <f>VLOOKUP(A1,DIV_04Data!$A$1:$DZU$1000000,822,FALSE)</f>
        <v>#N/A</v>
      </c>
      <c r="F49" s="34" t="e">
        <f>VLOOKUP(A1,DIV_04Data!$A$1:$DZU$1000000,823,FALSE)</f>
        <v>#N/A</v>
      </c>
      <c r="G49" s="33" t="e">
        <f>VLOOKUP(A1,DIV_04Data!$A$1:$DZU$1000000,824,FALSE)</f>
        <v>#N/A</v>
      </c>
      <c r="H49" s="34" t="e">
        <f>VLOOKUP(A1,DIV_04Data!$A$1:$DZU$1000000,825,FALSE)</f>
        <v>#N/A</v>
      </c>
      <c r="I49" s="33" t="e">
        <f>VLOOKUP(A1,DIV_04Data!$A$1:$DZU$1000000,826,FALSE)</f>
        <v>#N/A</v>
      </c>
      <c r="J49" s="34" t="e">
        <f>VLOOKUP(A1,DIV_04Data!$A$1:$DZU$1000000,827,FALSE)</f>
        <v>#N/A</v>
      </c>
      <c r="K49" s="34" t="e">
        <f>VLOOKUP(A1,DIV_04Data!$A$1:$DZU$1000000,828,FALSE)</f>
        <v>#N/A</v>
      </c>
      <c r="L49" s="93" t="e">
        <f>VLOOKUP(A1,DIV_04Data!$A$1:$DZU$1000000,829,FALSE)</f>
        <v>#N/A</v>
      </c>
      <c r="M49" s="33" t="e">
        <f>VLOOKUP(A1,DIV_04Data!$A$1:$DZU$1000000,830,FALSE)</f>
        <v>#N/A</v>
      </c>
      <c r="N49" s="34" t="e">
        <f>VLOOKUP(A1,DIV_04Data!$A$1:$DZU$1000000,831,FALSE)</f>
        <v>#N/A</v>
      </c>
      <c r="O49" s="33" t="e">
        <f>VLOOKUP(A1,DIV_04Data!$A$1:$DZU$1000000,832,FALSE)</f>
        <v>#N/A</v>
      </c>
      <c r="P49" s="46" t="e">
        <f>VLOOKUP(A1,DIV_04Data!$A$1:$DZU$1000000,833,FALSE)</f>
        <v>#N/A</v>
      </c>
      <c r="Q49" s="33" t="e">
        <f>VLOOKUP(A1,DIV_04Data!$A$1:$DZU$1000000,834,FALSE)</f>
        <v>#N/A</v>
      </c>
    </row>
    <row r="50" spans="1:17" x14ac:dyDescent="0.35">
      <c r="A50" s="22" t="e">
        <f>VLOOKUP(A1,DIV_04Data!$A$1:$DZU$1000000,835,FALSE)</f>
        <v>#N/A</v>
      </c>
      <c r="B50" s="37" t="e">
        <f>VLOOKUP(A1,DIV_04Data!$A$1:$DZU$1000000,836,FALSE)</f>
        <v>#N/A</v>
      </c>
      <c r="C50" s="38" t="e">
        <f>VLOOKUP(A1,DIV_04Data!$A$1:$DZU$1000000,837,FALSE)</f>
        <v>#N/A</v>
      </c>
      <c r="D50" s="31" t="e">
        <f>VLOOKUP(A1,DIV_04Data!$A$1:$DZU$1000000,838,FALSE)</f>
        <v>#N/A</v>
      </c>
      <c r="E50" s="32" t="e">
        <f>VLOOKUP(A1,DIV_04Data!$A$1:$DZU$1000000,839,FALSE)</f>
        <v>#N/A</v>
      </c>
      <c r="F50" s="34" t="e">
        <f>VLOOKUP(A1,DIV_04Data!$A$1:$DZU$1000000,840,FALSE)</f>
        <v>#N/A</v>
      </c>
      <c r="G50" s="33" t="e">
        <f>VLOOKUP(A1,DIV_04Data!$A$1:$DZU$1000000,841,FALSE)</f>
        <v>#N/A</v>
      </c>
      <c r="H50" s="34" t="e">
        <f>VLOOKUP(A1,DIV_04Data!$A$1:$DZU$1000000,842,FALSE)</f>
        <v>#N/A</v>
      </c>
      <c r="I50" s="33" t="e">
        <f>VLOOKUP(A1,DIV_04Data!$A$1:$DZU$1000000,843,FALSE)</f>
        <v>#N/A</v>
      </c>
      <c r="J50" s="34" t="e">
        <f>VLOOKUP(A1,DIV_04Data!$A$1:$DZU$1000000,844,FALSE)</f>
        <v>#N/A</v>
      </c>
      <c r="K50" s="34" t="e">
        <f>VLOOKUP(A1,DIV_04Data!$A$1:$DZU$1000000,845,FALSE)</f>
        <v>#N/A</v>
      </c>
      <c r="L50" s="93" t="e">
        <f>VLOOKUP(A1,DIV_04Data!$A$1:$DZU$1000000,846,FALSE)</f>
        <v>#N/A</v>
      </c>
      <c r="M50" s="33" t="e">
        <f>VLOOKUP(A1,DIV_04Data!$A$1:$DZU$1000000,847,FALSE)</f>
        <v>#N/A</v>
      </c>
      <c r="N50" s="34" t="e">
        <f>VLOOKUP(A1,DIV_04Data!$A$1:$DZU$1000000,848,FALSE)</f>
        <v>#N/A</v>
      </c>
      <c r="O50" s="33" t="e">
        <f>VLOOKUP(A1,DIV_04Data!$A$1:$DZU$1000000,849,FALSE)</f>
        <v>#N/A</v>
      </c>
      <c r="P50" s="46" t="e">
        <f>VLOOKUP(A1,DIV_04Data!$A$1:$DZU$1000000,850,FALSE)</f>
        <v>#N/A</v>
      </c>
      <c r="Q50" s="33" t="e">
        <f>VLOOKUP(A1,DIV_04Data!$A$1:$DZU$1000000,851,FALSE)</f>
        <v>#N/A</v>
      </c>
    </row>
    <row r="51" spans="1:17" x14ac:dyDescent="0.35">
      <c r="A51" s="22" t="e">
        <f>VLOOKUP(A1,DIV_04Data!$A$1:$DZU$1000000,852,FALSE)</f>
        <v>#N/A</v>
      </c>
      <c r="B51" s="37" t="e">
        <f>VLOOKUP(A1,DIV_04Data!$A$1:$DZU$1000000,853,FALSE)</f>
        <v>#N/A</v>
      </c>
      <c r="C51" s="38" t="e">
        <f>VLOOKUP(A1,DIV_04Data!$A$1:$DZU$1000000,854,FALSE)</f>
        <v>#N/A</v>
      </c>
      <c r="D51" s="31" t="e">
        <f>VLOOKUP(A1,DIV_04Data!$A$1:$DZU$1000000,855,FALSE)</f>
        <v>#N/A</v>
      </c>
      <c r="E51" s="32" t="e">
        <f>VLOOKUP(A1,DIV_04Data!$A$1:$DZU$1000000,856,FALSE)</f>
        <v>#N/A</v>
      </c>
      <c r="F51" s="34" t="e">
        <f>VLOOKUP(A1,DIV_04Data!$A$1:$DZU$1000000,857,FALSE)</f>
        <v>#N/A</v>
      </c>
      <c r="G51" s="33" t="e">
        <f>VLOOKUP(A1,DIV_04Data!$A$1:$DZU$1000000,858,FALSE)</f>
        <v>#N/A</v>
      </c>
      <c r="H51" s="34" t="e">
        <f>VLOOKUP(A1,DIV_04Data!$A$1:$DZU$1000000,859,FALSE)</f>
        <v>#N/A</v>
      </c>
      <c r="I51" s="33" t="e">
        <f>VLOOKUP(A1,DIV_04Data!$A$1:$DZU$1000000,860,FALSE)</f>
        <v>#N/A</v>
      </c>
      <c r="J51" s="34" t="e">
        <f>VLOOKUP(A1,DIV_04Data!$A$1:$DZU$1000000,861,FALSE)</f>
        <v>#N/A</v>
      </c>
      <c r="K51" s="34" t="e">
        <f>VLOOKUP(A1,DIV_04Data!$A$1:$DZU$1000000,862,FALSE)</f>
        <v>#N/A</v>
      </c>
      <c r="L51" s="93" t="e">
        <f>VLOOKUP(A1,DIV_04Data!$A$1:$DZU$1000000,863,FALSE)</f>
        <v>#N/A</v>
      </c>
      <c r="M51" s="33" t="e">
        <f>VLOOKUP(A1,DIV_04Data!$A$1:$DZU$1000000,864,FALSE)</f>
        <v>#N/A</v>
      </c>
      <c r="N51" s="34" t="e">
        <f>VLOOKUP(A1,DIV_04Data!$A$1:$DZU$1000000,865,FALSE)</f>
        <v>#N/A</v>
      </c>
      <c r="O51" s="33" t="e">
        <f>VLOOKUP(A1,DIV_04Data!$A$1:$DZU$1000000,866,FALSE)</f>
        <v>#N/A</v>
      </c>
      <c r="P51" s="46" t="e">
        <f>VLOOKUP(A1,DIV_04Data!$A$1:$DZU$1000000,867,FALSE)</f>
        <v>#N/A</v>
      </c>
      <c r="Q51" s="33" t="e">
        <f>VLOOKUP(A1,DIV_04Data!$A$1:$DZU$1000000,868,FALSE)</f>
        <v>#N/A</v>
      </c>
    </row>
    <row r="52" spans="1:17" x14ac:dyDescent="0.35">
      <c r="A52" s="22" t="e">
        <f>VLOOKUP(A1,DIV_04Data!$A$1:$DZU$1000000,869,FALSE)</f>
        <v>#N/A</v>
      </c>
      <c r="B52" s="37" t="e">
        <f>VLOOKUP(A1,DIV_04Data!$A$1:$DZU$1000000,870,FALSE)</f>
        <v>#N/A</v>
      </c>
      <c r="C52" s="38" t="e">
        <f>VLOOKUP(A1,DIV_04Data!$A$1:$DZU$1000000,871,FALSE)</f>
        <v>#N/A</v>
      </c>
      <c r="D52" s="31" t="e">
        <f>VLOOKUP(A1,DIV_04Data!$A$1:$DZU$1000000,872,FALSE)</f>
        <v>#N/A</v>
      </c>
      <c r="E52" s="32" t="e">
        <f>VLOOKUP(A1,DIV_04Data!$A$1:$DZU$1000000,873,FALSE)</f>
        <v>#N/A</v>
      </c>
      <c r="F52" s="34" t="e">
        <f>VLOOKUP(A1,DIV_04Data!$A$1:$DZU$1000000,874,FALSE)</f>
        <v>#N/A</v>
      </c>
      <c r="G52" s="33" t="e">
        <f>VLOOKUP(A1,DIV_04Data!$A$1:$DZU$1000000,875,FALSE)</f>
        <v>#N/A</v>
      </c>
      <c r="H52" s="34" t="e">
        <f>VLOOKUP(A1,DIV_04Data!$A$1:$DZU$1000000,876,FALSE)</f>
        <v>#N/A</v>
      </c>
      <c r="I52" s="33" t="e">
        <f>VLOOKUP(A1,DIV_04Data!$A$1:$DZU$1000000,877,FALSE)</f>
        <v>#N/A</v>
      </c>
      <c r="J52" s="34" t="e">
        <f>VLOOKUP(A1,DIV_04Data!$A$1:$DZU$1000000,878,FALSE)</f>
        <v>#N/A</v>
      </c>
      <c r="K52" s="34" t="e">
        <f>VLOOKUP(A1,DIV_04Data!$A$1:$DZU$1000000,879,FALSE)</f>
        <v>#N/A</v>
      </c>
      <c r="L52" s="93" t="e">
        <f>VLOOKUP(A1,DIV_04Data!$A$1:$DZU$1000000,880,FALSE)</f>
        <v>#N/A</v>
      </c>
      <c r="M52" s="33" t="e">
        <f>VLOOKUP(A1,DIV_04Data!$A$1:$DZU$1000000,881,FALSE)</f>
        <v>#N/A</v>
      </c>
      <c r="N52" s="34" t="e">
        <f>VLOOKUP(A1,DIV_04Data!$A$1:$DZU$1000000,882,FALSE)</f>
        <v>#N/A</v>
      </c>
      <c r="O52" s="33" t="e">
        <f>VLOOKUP(A1,DIV_04Data!$A$1:$DZU$1000000,883,FALSE)</f>
        <v>#N/A</v>
      </c>
      <c r="P52" s="46" t="e">
        <f>VLOOKUP(A1,DIV_04Data!$A$1:$DZU$1000000,884,FALSE)</f>
        <v>#N/A</v>
      </c>
      <c r="Q52" s="33" t="e">
        <f>VLOOKUP(A1,DIV_04Data!$A$1:$DZU$1000000,885,FALSE)</f>
        <v>#N/A</v>
      </c>
    </row>
    <row r="53" spans="1:17" x14ac:dyDescent="0.35">
      <c r="A53" s="22" t="e">
        <f>VLOOKUP(A1,DIV_04Data!$A$1:$DZU$1000000,886,FALSE)</f>
        <v>#N/A</v>
      </c>
      <c r="B53" s="37" t="e">
        <f>VLOOKUP(A1,DIV_04Data!$A$1:$DZU$1000000,887,FALSE)</f>
        <v>#N/A</v>
      </c>
      <c r="C53" s="38" t="e">
        <f>VLOOKUP(A1,DIV_04Data!$A$1:$DZU$1000000,888,FALSE)</f>
        <v>#N/A</v>
      </c>
      <c r="D53" s="31" t="e">
        <f>VLOOKUP(A1,DIV_04Data!$A$1:$DZU$1000000,889,FALSE)</f>
        <v>#N/A</v>
      </c>
      <c r="E53" s="32" t="e">
        <f>VLOOKUP(A1,DIV_04Data!$A$1:$DZU$1000000,890,FALSE)</f>
        <v>#N/A</v>
      </c>
      <c r="F53" s="34" t="e">
        <f>VLOOKUP(A1,DIV_04Data!$A$1:$DZU$1000000,891,FALSE)</f>
        <v>#N/A</v>
      </c>
      <c r="G53" s="33" t="e">
        <f>VLOOKUP(A1,DIV_04Data!$A$1:$DZU$1000000,892,FALSE)</f>
        <v>#N/A</v>
      </c>
      <c r="H53" s="34" t="e">
        <f>VLOOKUP(A1,DIV_04Data!$A$1:$DZU$1000000,893,FALSE)</f>
        <v>#N/A</v>
      </c>
      <c r="I53" s="33" t="e">
        <f>VLOOKUP(A1,DIV_04Data!$A$1:$DZU$1000000,894,FALSE)</f>
        <v>#N/A</v>
      </c>
      <c r="J53" s="34" t="e">
        <f>VLOOKUP(A1,DIV_04Data!$A$1:$DZU$1000000,895,FALSE)</f>
        <v>#N/A</v>
      </c>
      <c r="K53" s="34" t="e">
        <f>VLOOKUP(A1,DIV_04Data!$A$1:$DZU$1000000,896,FALSE)</f>
        <v>#N/A</v>
      </c>
      <c r="L53" s="93" t="e">
        <f>VLOOKUP(A1,DIV_04Data!$A$1:$DZU$1000000,897,FALSE)</f>
        <v>#N/A</v>
      </c>
      <c r="M53" s="33" t="e">
        <f>VLOOKUP(A1,DIV_04Data!$A$1:$DZU$1000000,898,FALSE)</f>
        <v>#N/A</v>
      </c>
      <c r="N53" s="34" t="e">
        <f>VLOOKUP(A1,DIV_04Data!$A$1:$DZU$1000000,899,FALSE)</f>
        <v>#N/A</v>
      </c>
      <c r="O53" s="33" t="e">
        <f>VLOOKUP(A1,DIV_04Data!$A$1:$DZU$1000000,900,FALSE)</f>
        <v>#N/A</v>
      </c>
      <c r="P53" s="46" t="e">
        <f>VLOOKUP(A1,DIV_04Data!$A$1:$DZU$1000000,901,FALSE)</f>
        <v>#N/A</v>
      </c>
      <c r="Q53" s="33" t="e">
        <f>VLOOKUP(A1,DIV_04Data!$A$1:$DZU$1000000,902,FALSE)</f>
        <v>#N/A</v>
      </c>
    </row>
    <row r="54" spans="1:17" x14ac:dyDescent="0.35">
      <c r="A54" s="22" t="e">
        <f>VLOOKUP(A1,DIV_04Data!$A$1:$DZU$1000000,903,FALSE)</f>
        <v>#N/A</v>
      </c>
      <c r="B54" s="37" t="e">
        <f>VLOOKUP(A1,DIV_04Data!$A$1:$DZU$1000000,904,FALSE)</f>
        <v>#N/A</v>
      </c>
      <c r="C54" s="38" t="e">
        <f>VLOOKUP(A1,DIV_04Data!$A$1:$DZU$1000000,905,FALSE)</f>
        <v>#N/A</v>
      </c>
      <c r="D54" s="31" t="e">
        <f>VLOOKUP(A1,DIV_04Data!$A$1:$DZU$1000000,906,FALSE)</f>
        <v>#N/A</v>
      </c>
      <c r="E54" s="32" t="e">
        <f>VLOOKUP(A1,DIV_04Data!$A$1:$DZU$1000000,907,FALSE)</f>
        <v>#N/A</v>
      </c>
      <c r="F54" s="34" t="e">
        <f>VLOOKUP(A1,DIV_04Data!$A$1:$DZU$1000000,908,FALSE)</f>
        <v>#N/A</v>
      </c>
      <c r="G54" s="33" t="e">
        <f>VLOOKUP(A1,DIV_04Data!$A$1:$DZU$1000000,909,FALSE)</f>
        <v>#N/A</v>
      </c>
      <c r="H54" s="34" t="e">
        <f>VLOOKUP(A1,DIV_04Data!$A$1:$DZU$1000000,910,FALSE)</f>
        <v>#N/A</v>
      </c>
      <c r="I54" s="33" t="e">
        <f>VLOOKUP(A1,DIV_04Data!$A$1:$DZU$1000000,911,FALSE)</f>
        <v>#N/A</v>
      </c>
      <c r="J54" s="34" t="e">
        <f>VLOOKUP(A1,DIV_04Data!$A$1:$DZU$1000000,912,FALSE)</f>
        <v>#N/A</v>
      </c>
      <c r="K54" s="34" t="e">
        <f>VLOOKUP(A1,DIV_04Data!$A$1:$DZU$1000000,913,FALSE)</f>
        <v>#N/A</v>
      </c>
      <c r="L54" s="93" t="e">
        <f>VLOOKUP(A1,DIV_04Data!$A$1:$DZU$1000000,914,FALSE)</f>
        <v>#N/A</v>
      </c>
      <c r="M54" s="33" t="e">
        <f>VLOOKUP(A1,DIV_04Data!$A$1:$DZU$1000000,915,FALSE)</f>
        <v>#N/A</v>
      </c>
      <c r="N54" s="34" t="e">
        <f>VLOOKUP(A1,DIV_04Data!$A$1:$DZU$1000000,916,FALSE)</f>
        <v>#N/A</v>
      </c>
      <c r="O54" s="33" t="e">
        <f>VLOOKUP(A1,DIV_04Data!$A$1:$DZU$1000000,917,FALSE)</f>
        <v>#N/A</v>
      </c>
      <c r="P54" s="46" t="e">
        <f>VLOOKUP(A1,DIV_04Data!$A$1:$DZU$1000000,918,FALSE)</f>
        <v>#N/A</v>
      </c>
      <c r="Q54" s="33" t="e">
        <f>VLOOKUP(A1,DIV_04Data!$A$1:$DZU$1000000,919,FALSE)</f>
        <v>#N/A</v>
      </c>
    </row>
    <row r="55" spans="1:17" x14ac:dyDescent="0.35">
      <c r="A55" s="22" t="e">
        <f>VLOOKUP(A1,DIV_04Data!$A$1:$DZU$1000000,920,FALSE)</f>
        <v>#N/A</v>
      </c>
      <c r="B55" s="37" t="e">
        <f>VLOOKUP(A1,DIV_04Data!$A$1:$DZU$1000000,921,FALSE)</f>
        <v>#N/A</v>
      </c>
      <c r="C55" s="38" t="e">
        <f>VLOOKUP(A1,DIV_04Data!$A$1:$DZU$1000000,922,FALSE)</f>
        <v>#N/A</v>
      </c>
      <c r="D55" s="31" t="e">
        <f>VLOOKUP(A1,DIV_04Data!$A$1:$DZU$1000000,923,FALSE)</f>
        <v>#N/A</v>
      </c>
      <c r="E55" s="32" t="e">
        <f>VLOOKUP(A1,DIV_04Data!$A$1:$DZU$1000000,924,FALSE)</f>
        <v>#N/A</v>
      </c>
      <c r="F55" s="34" t="e">
        <f>VLOOKUP(A1,DIV_04Data!$A$1:$DZU$1000000,925,FALSE)</f>
        <v>#N/A</v>
      </c>
      <c r="G55" s="33" t="e">
        <f>VLOOKUP(A1,DIV_04Data!$A$1:$DZU$1000000,926,FALSE)</f>
        <v>#N/A</v>
      </c>
      <c r="H55" s="34" t="e">
        <f>VLOOKUP(A1,DIV_04Data!$A$1:$DZU$1000000,927,FALSE)</f>
        <v>#N/A</v>
      </c>
      <c r="I55" s="33" t="e">
        <f>VLOOKUP(A1,DIV_04Data!$A$1:$DZU$1000000,928,FALSE)</f>
        <v>#N/A</v>
      </c>
      <c r="J55" s="34" t="e">
        <f>VLOOKUP(A1,DIV_04Data!$A$1:$DZU$1000000,929,FALSE)</f>
        <v>#N/A</v>
      </c>
      <c r="K55" s="34" t="e">
        <f>VLOOKUP(A1,DIV_04Data!$A$1:$DZU$1000000,930,FALSE)</f>
        <v>#N/A</v>
      </c>
      <c r="L55" s="93" t="e">
        <f>VLOOKUP(A1,DIV_04Data!$A$1:$DZU$1000000,931,FALSE)</f>
        <v>#N/A</v>
      </c>
      <c r="M55" s="33" t="e">
        <f>VLOOKUP(A1,DIV_04Data!$A$1:$DZU$1000000,932,FALSE)</f>
        <v>#N/A</v>
      </c>
      <c r="N55" s="34" t="e">
        <f>VLOOKUP(A1,DIV_04Data!$A$1:$DZU$1000000,933,FALSE)</f>
        <v>#N/A</v>
      </c>
      <c r="O55" s="33" t="e">
        <f>VLOOKUP(A1,DIV_04Data!$A$1:$DZU$1000000,934,FALSE)</f>
        <v>#N/A</v>
      </c>
      <c r="P55" s="46" t="e">
        <f>VLOOKUP(A1,DIV_04Data!$A$1:$DZU$1000000,935,FALSE)</f>
        <v>#N/A</v>
      </c>
      <c r="Q55" s="33" t="e">
        <f>VLOOKUP(A1,DIV_04Data!$A$1:$DZU$1000000,936,FALSE)</f>
        <v>#N/A</v>
      </c>
    </row>
    <row r="56" spans="1:17" x14ac:dyDescent="0.35">
      <c r="A56" s="22" t="e">
        <f>VLOOKUP(A1,DIV_04Data!$A$1:$DZU$1000000,937,FALSE)</f>
        <v>#N/A</v>
      </c>
      <c r="B56" s="37" t="e">
        <f>VLOOKUP(A1,DIV_04Data!$A$1:$DZU$1000000,938,FALSE)</f>
        <v>#N/A</v>
      </c>
      <c r="C56" s="38" t="e">
        <f>VLOOKUP(A1,DIV_04Data!$A$1:$DZU$1000000,939,FALSE)</f>
        <v>#N/A</v>
      </c>
      <c r="D56" s="31" t="e">
        <f>VLOOKUP(A1,DIV_04Data!$A$1:$DZU$1000000,940,FALSE)</f>
        <v>#N/A</v>
      </c>
      <c r="E56" s="32" t="e">
        <f>VLOOKUP(A1,DIV_04Data!$A$1:$DZU$1000000,941,FALSE)</f>
        <v>#N/A</v>
      </c>
      <c r="F56" s="34" t="e">
        <f>VLOOKUP(A1,DIV_04Data!$A$1:$DZU$1000000,942,FALSE)</f>
        <v>#N/A</v>
      </c>
      <c r="G56" s="33" t="e">
        <f>VLOOKUP(A1,DIV_04Data!$A$1:$DZU$1000000,943,FALSE)</f>
        <v>#N/A</v>
      </c>
      <c r="H56" s="34" t="e">
        <f>VLOOKUP(A1,DIV_04Data!$A$1:$DZU$1000000,944,FALSE)</f>
        <v>#N/A</v>
      </c>
      <c r="I56" s="33" t="e">
        <f>VLOOKUP(A1,DIV_04Data!$A$1:$DZU$1000000,945,FALSE)</f>
        <v>#N/A</v>
      </c>
      <c r="J56" s="34" t="e">
        <f>VLOOKUP(A1,DIV_04Data!$A$1:$DZU$1000000,946,FALSE)</f>
        <v>#N/A</v>
      </c>
      <c r="K56" s="34" t="e">
        <f>VLOOKUP(A1,DIV_04Data!$A$1:$DZU$1000000,947,FALSE)</f>
        <v>#N/A</v>
      </c>
      <c r="L56" s="93" t="e">
        <f>VLOOKUP(A1,DIV_04Data!$A$1:$DZU$1000000,948,FALSE)</f>
        <v>#N/A</v>
      </c>
      <c r="M56" s="33" t="e">
        <f>VLOOKUP(A1,DIV_04Data!$A$1:$DZU$1000000,949,FALSE)</f>
        <v>#N/A</v>
      </c>
      <c r="N56" s="34" t="e">
        <f>VLOOKUP(A1,DIV_04Data!$A$1:$DZU$1000000,950,FALSE)</f>
        <v>#N/A</v>
      </c>
      <c r="O56" s="33" t="e">
        <f>VLOOKUP(A1,DIV_04Data!$A$1:$DZU$1000000,951,FALSE)</f>
        <v>#N/A</v>
      </c>
      <c r="P56" s="46" t="e">
        <f>VLOOKUP(A1,DIV_04Data!$A$1:$DZU$1000000,952,FALSE)</f>
        <v>#N/A</v>
      </c>
      <c r="Q56" s="33" t="e">
        <f>VLOOKUP(A1,DIV_04Data!$A$1:$DZU$1000000,953,FALSE)</f>
        <v>#N/A</v>
      </c>
    </row>
    <row r="57" spans="1:17" x14ac:dyDescent="0.35">
      <c r="A57" s="22" t="e">
        <f>VLOOKUP(A1,DIV_04Data!$A$1:$DZU$1000000,954,FALSE)</f>
        <v>#N/A</v>
      </c>
      <c r="B57" s="37" t="e">
        <f>VLOOKUP(A1,DIV_04Data!$A$1:$DZU$1000000,955,FALSE)</f>
        <v>#N/A</v>
      </c>
      <c r="C57" s="38" t="e">
        <f>VLOOKUP(A1,DIV_04Data!$A$1:$DZU$1000000,956,FALSE)</f>
        <v>#N/A</v>
      </c>
      <c r="D57" s="31" t="e">
        <f>VLOOKUP(A1,DIV_04Data!$A$1:$DZU$1000000,957,FALSE)</f>
        <v>#N/A</v>
      </c>
      <c r="E57" s="32" t="e">
        <f>VLOOKUP(A1,DIV_04Data!$A$1:$DZU$1000000,958,FALSE)</f>
        <v>#N/A</v>
      </c>
      <c r="F57" s="34" t="e">
        <f>VLOOKUP(A1,DIV_04Data!$A$1:$DZU$1000000,959,FALSE)</f>
        <v>#N/A</v>
      </c>
      <c r="G57" s="33" t="e">
        <f>VLOOKUP(A1,DIV_04Data!$A$1:$DZU$1000000,960,FALSE)</f>
        <v>#N/A</v>
      </c>
      <c r="H57" s="34" t="e">
        <f>VLOOKUP(A1,DIV_04Data!$A$1:$DZU$1000000,961,FALSE)</f>
        <v>#N/A</v>
      </c>
      <c r="I57" s="33" t="e">
        <f>VLOOKUP(A1,DIV_04Data!$A$1:$DZU$1000000,962,FALSE)</f>
        <v>#N/A</v>
      </c>
      <c r="J57" s="34" t="e">
        <f>VLOOKUP(A1,DIV_04Data!$A$1:$DZU$1000000,963,FALSE)</f>
        <v>#N/A</v>
      </c>
      <c r="K57" s="34" t="e">
        <f>VLOOKUP(A1,DIV_04Data!$A$1:$DZU$1000000,964,FALSE)</f>
        <v>#N/A</v>
      </c>
      <c r="L57" s="93" t="e">
        <f>VLOOKUP(A1,DIV_04Data!$A$1:$DZU$1000000,965,FALSE)</f>
        <v>#N/A</v>
      </c>
      <c r="M57" s="33" t="e">
        <f>VLOOKUP(A1,DIV_04Data!$A$1:$DZU$1000000,966,FALSE)</f>
        <v>#N/A</v>
      </c>
      <c r="N57" s="34" t="e">
        <f>VLOOKUP(A1,DIV_04Data!$A$1:$DZU$1000000,967,FALSE)</f>
        <v>#N/A</v>
      </c>
      <c r="O57" s="33" t="e">
        <f>VLOOKUP(A1,DIV_04Data!$A$1:$DZU$1000000,968,FALSE)</f>
        <v>#N/A</v>
      </c>
      <c r="P57" s="46" t="e">
        <f>VLOOKUP(A1,DIV_04Data!$A$1:$DZU$1000000,969,FALSE)</f>
        <v>#N/A</v>
      </c>
      <c r="Q57" s="33" t="e">
        <f>VLOOKUP(A1,DIV_04Data!$A$1:$DZU$1000000,970,FALSE)</f>
        <v>#N/A</v>
      </c>
    </row>
    <row r="58" spans="1:17" x14ac:dyDescent="0.35">
      <c r="A58" s="22" t="e">
        <f>VLOOKUP(A1,DIV_04Data!$A$1:$DZU$1000000,971,FALSE)</f>
        <v>#N/A</v>
      </c>
      <c r="B58" s="37" t="e">
        <f>VLOOKUP(A1,DIV_04Data!$A$1:$DZU$1000000,972,FALSE)</f>
        <v>#N/A</v>
      </c>
      <c r="C58" s="38" t="e">
        <f>VLOOKUP(A1,DIV_04Data!$A$1:$DZU$1000000,973,FALSE)</f>
        <v>#N/A</v>
      </c>
      <c r="D58" s="31" t="e">
        <f>VLOOKUP(A1,DIV_04Data!$A$1:$DZU$1000000,974,FALSE)</f>
        <v>#N/A</v>
      </c>
      <c r="E58" s="32" t="e">
        <f>VLOOKUP(A1,DIV_04Data!$A$1:$DZU$1000000,975,FALSE)</f>
        <v>#N/A</v>
      </c>
      <c r="F58" s="34" t="e">
        <f>VLOOKUP(A1,DIV_04Data!$A$1:$DZU$1000000,976,FALSE)</f>
        <v>#N/A</v>
      </c>
      <c r="G58" s="33" t="e">
        <f>VLOOKUP(A1,DIV_04Data!$A$1:$DZU$1000000,977,FALSE)</f>
        <v>#N/A</v>
      </c>
      <c r="H58" s="34" t="e">
        <f>VLOOKUP(A1,DIV_04Data!$A$1:$DZU$1000000,978,FALSE)</f>
        <v>#N/A</v>
      </c>
      <c r="I58" s="33" t="e">
        <f>VLOOKUP(A1,DIV_04Data!$A$1:$DZU$1000000,979,FALSE)</f>
        <v>#N/A</v>
      </c>
      <c r="J58" s="34" t="e">
        <f>VLOOKUP(A1,DIV_04Data!$A$1:$DZU$1000000,980,FALSE)</f>
        <v>#N/A</v>
      </c>
      <c r="K58" s="34" t="e">
        <f>VLOOKUP(A1,DIV_04Data!$A$1:$DZU$1000000,981,FALSE)</f>
        <v>#N/A</v>
      </c>
      <c r="L58" s="93" t="e">
        <f>VLOOKUP(A1,DIV_04Data!$A$1:$DZU$1000000,982,FALSE)</f>
        <v>#N/A</v>
      </c>
      <c r="M58" s="33" t="e">
        <f>VLOOKUP(A1,DIV_04Data!$A$1:$DZU$1000000,983,FALSE)</f>
        <v>#N/A</v>
      </c>
      <c r="N58" s="34" t="e">
        <f>VLOOKUP(A1,DIV_04Data!$A$1:$DZU$1000000,984,FALSE)</f>
        <v>#N/A</v>
      </c>
      <c r="O58" s="33" t="e">
        <f>VLOOKUP(A1,DIV_04Data!$A$1:$DZU$1000000,985,FALSE)</f>
        <v>#N/A</v>
      </c>
      <c r="P58" s="46" t="e">
        <f>VLOOKUP(A1,DIV_04Data!$A$1:$DZU$1000000,986,FALSE)</f>
        <v>#N/A</v>
      </c>
      <c r="Q58" s="33" t="e">
        <f>VLOOKUP(A1,DIV_04Data!$A$1:$DZU$1000000,987,FALSE)</f>
        <v>#N/A</v>
      </c>
    </row>
    <row r="59" spans="1:17" x14ac:dyDescent="0.35">
      <c r="A59" s="22" t="e">
        <f>VLOOKUP(A1,DIV_04Data!$A$1:$DZU$1000000,988,FALSE)</f>
        <v>#N/A</v>
      </c>
      <c r="B59" s="37" t="e">
        <f>VLOOKUP(A1,DIV_04Data!$A$1:$DZU$1000000,989,FALSE)</f>
        <v>#N/A</v>
      </c>
      <c r="C59" s="38" t="e">
        <f>VLOOKUP(A1,DIV_04Data!$A$1:$DZU$1000000,990,FALSE)</f>
        <v>#N/A</v>
      </c>
      <c r="D59" s="31" t="e">
        <f>VLOOKUP(A1,DIV_04Data!$A$1:$DZU$1000000,991,FALSE)</f>
        <v>#N/A</v>
      </c>
      <c r="E59" s="32" t="e">
        <f>VLOOKUP(A1,DIV_04Data!$A$1:$DZU$1000000,992,FALSE)</f>
        <v>#N/A</v>
      </c>
      <c r="F59" s="34" t="e">
        <f>VLOOKUP(A1,DIV_04Data!$A$1:$DZU$1000000,993,FALSE)</f>
        <v>#N/A</v>
      </c>
      <c r="G59" s="33" t="e">
        <f>VLOOKUP(A1,DIV_04Data!$A$1:$DZU$1000000,994,FALSE)</f>
        <v>#N/A</v>
      </c>
      <c r="H59" s="34" t="e">
        <f>VLOOKUP(A1,DIV_04Data!$A$1:$DZU$1000000,995,FALSE)</f>
        <v>#N/A</v>
      </c>
      <c r="I59" s="33" t="e">
        <f>VLOOKUP(A1,DIV_04Data!$A$1:$DZU$1000000,996,FALSE)</f>
        <v>#N/A</v>
      </c>
      <c r="J59" s="34" t="e">
        <f>VLOOKUP(A1,DIV_04Data!$A$1:$DZU$1000000,997,FALSE)</f>
        <v>#N/A</v>
      </c>
      <c r="K59" s="34" t="e">
        <f>VLOOKUP(A1,DIV_04Data!$A$1:$DZU$1000000,998,FALSE)</f>
        <v>#N/A</v>
      </c>
      <c r="L59" s="93" t="e">
        <f>VLOOKUP(A1,DIV_04Data!$A$1:$DZU$1000000,999,FALSE)</f>
        <v>#N/A</v>
      </c>
      <c r="M59" s="33" t="e">
        <f>VLOOKUP(A1,DIV_04Data!$A$1:$DZU$1000000,1000,FALSE)</f>
        <v>#N/A</v>
      </c>
      <c r="N59" s="34" t="e">
        <f>VLOOKUP(A1,DIV_04Data!$A$1:$DZU$1000000,1001,FALSE)</f>
        <v>#N/A</v>
      </c>
      <c r="O59" s="33" t="e">
        <f>VLOOKUP(A1,DIV_04Data!$A$1:$DZU$1000000,1002,FALSE)</f>
        <v>#N/A</v>
      </c>
      <c r="P59" s="46" t="e">
        <f>VLOOKUP(A1,DIV_04Data!$A$1:$DZU$1000000,1003,FALSE)</f>
        <v>#N/A</v>
      </c>
      <c r="Q59" s="33" t="e">
        <f>VLOOKUP(A1,DIV_04Data!$A$1:$DZU$1000000,1004,FALSE)</f>
        <v>#N/A</v>
      </c>
    </row>
    <row r="60" spans="1:17" x14ac:dyDescent="0.35">
      <c r="A60" s="22" t="e">
        <f>VLOOKUP(A1,DIV_04Data!$A$1:$DZU$1000000,1005,FALSE)</f>
        <v>#N/A</v>
      </c>
      <c r="B60" s="37" t="e">
        <f>VLOOKUP(A1,DIV_04Data!$A$1:$DZU$1000000,1006,FALSE)</f>
        <v>#N/A</v>
      </c>
      <c r="C60" s="38" t="e">
        <f>VLOOKUP(A1,DIV_04Data!$A$1:$DZU$1000000,1007,FALSE)</f>
        <v>#N/A</v>
      </c>
      <c r="D60" s="31" t="e">
        <f>VLOOKUP(A1,DIV_04Data!$A$1:$DZU$1000000,1008,FALSE)</f>
        <v>#N/A</v>
      </c>
      <c r="E60" s="32" t="e">
        <f>VLOOKUP(A1,DIV_04Data!$A$1:$DZU$1000000,1009,FALSE)</f>
        <v>#N/A</v>
      </c>
      <c r="F60" s="34" t="e">
        <f>VLOOKUP(A1,DIV_04Data!$A$1:$DZU$1000000,1010,FALSE)</f>
        <v>#N/A</v>
      </c>
      <c r="G60" s="33" t="e">
        <f>VLOOKUP(A1,DIV_04Data!$A$1:$DZU$1000000,1011,FALSE)</f>
        <v>#N/A</v>
      </c>
      <c r="H60" s="34" t="e">
        <f>VLOOKUP(A1,DIV_04Data!$A$1:$DZU$1000000,1012,FALSE)</f>
        <v>#N/A</v>
      </c>
      <c r="I60" s="33" t="e">
        <f>VLOOKUP(A1,DIV_04Data!$A$1:$DZU$1000000,1013,FALSE)</f>
        <v>#N/A</v>
      </c>
      <c r="J60" s="34" t="e">
        <f>VLOOKUP(A1,DIV_04Data!$A$1:$DZU$1000000,1014,FALSE)</f>
        <v>#N/A</v>
      </c>
      <c r="K60" s="34" t="e">
        <f>VLOOKUP(A1,DIV_04Data!$A$1:$DZU$1000000,1015,FALSE)</f>
        <v>#N/A</v>
      </c>
      <c r="L60" s="93" t="e">
        <f>VLOOKUP(A1,DIV_04Data!$A$1:$DZU$1000000,1016,FALSE)</f>
        <v>#N/A</v>
      </c>
      <c r="M60" s="33" t="e">
        <f>VLOOKUP(A1,DIV_04Data!$A$1:$DZU$1000000,1017,FALSE)</f>
        <v>#N/A</v>
      </c>
      <c r="N60" s="34" t="e">
        <f>VLOOKUP(A1,DIV_04Data!$A$1:$DZU$1000000,1018,FALSE)</f>
        <v>#N/A</v>
      </c>
      <c r="O60" s="33" t="e">
        <f>VLOOKUP(A1,DIV_04Data!$A$1:$DZU$1000000,1019,FALSE)</f>
        <v>#N/A</v>
      </c>
      <c r="P60" s="46" t="e">
        <f>VLOOKUP(A1,DIV_04Data!$A$1:$DZU$1000000,1020,FALSE)</f>
        <v>#N/A</v>
      </c>
      <c r="Q60" s="33" t="e">
        <f>VLOOKUP(A1,DIV_04Data!$A$1:$DZU$1000000,1021,FALSE)</f>
        <v>#N/A</v>
      </c>
    </row>
    <row r="61" spans="1:17" x14ac:dyDescent="0.35">
      <c r="A61" s="22" t="e">
        <f>VLOOKUP(A1,DIV_04Data!$A$1:$DZU$1000000,1022,FALSE)</f>
        <v>#N/A</v>
      </c>
      <c r="B61" s="37" t="e">
        <f>VLOOKUP(A1,DIV_04Data!$A$1:$DZU$1000000,1023,FALSE)</f>
        <v>#N/A</v>
      </c>
      <c r="C61" s="38" t="e">
        <f>VLOOKUP(A1,DIV_04Data!$A$1:$DZU$1000000,1024,FALSE)</f>
        <v>#N/A</v>
      </c>
      <c r="D61" s="31" t="e">
        <f>VLOOKUP(A1,DIV_04Data!$A$1:$DZU$1000000,1025,FALSE)</f>
        <v>#N/A</v>
      </c>
      <c r="E61" s="32" t="e">
        <f>VLOOKUP(A1,DIV_04Data!$A$1:$DZU$1000000,1026,FALSE)</f>
        <v>#N/A</v>
      </c>
      <c r="F61" s="34" t="e">
        <f>VLOOKUP(A1,DIV_04Data!$A$1:$DZU$1000000,1027,FALSE)</f>
        <v>#N/A</v>
      </c>
      <c r="G61" s="33" t="e">
        <f>VLOOKUP(A1,DIV_04Data!$A$1:$DZU$1000000,1028,FALSE)</f>
        <v>#N/A</v>
      </c>
      <c r="H61" s="34" t="e">
        <f>VLOOKUP(A1,DIV_04Data!$A$1:$DZU$1000000,1029,FALSE)</f>
        <v>#N/A</v>
      </c>
      <c r="I61" s="33" t="e">
        <f>VLOOKUP(A1,DIV_04Data!$A$1:$DZU$1000000,1030,FALSE)</f>
        <v>#N/A</v>
      </c>
      <c r="J61" s="34" t="e">
        <f>VLOOKUP(A1,DIV_04Data!$A$1:$DZU$1000000,1031,FALSE)</f>
        <v>#N/A</v>
      </c>
      <c r="K61" s="34" t="e">
        <f>VLOOKUP(A1,DIV_04Data!$A$1:$DZU$1000000,1032,FALSE)</f>
        <v>#N/A</v>
      </c>
      <c r="L61" s="93" t="e">
        <f>VLOOKUP(A1,DIV_04Data!$A$1:$DZU$1000000,1033,FALSE)</f>
        <v>#N/A</v>
      </c>
      <c r="M61" s="33" t="e">
        <f>VLOOKUP(A1,DIV_04Data!$A$1:$DZU$1000000,1034,FALSE)</f>
        <v>#N/A</v>
      </c>
      <c r="N61" s="34" t="e">
        <f>VLOOKUP(A1,DIV_04Data!$A$1:$DZU$1000000,1035,FALSE)</f>
        <v>#N/A</v>
      </c>
      <c r="O61" s="33" t="e">
        <f>VLOOKUP(A1,DIV_04Data!$A$1:$DZU$1000000,1036,FALSE)</f>
        <v>#N/A</v>
      </c>
      <c r="P61" s="46" t="e">
        <f>VLOOKUP(A1,DIV_04Data!$A$1:$DZU$1000000,1037,FALSE)</f>
        <v>#N/A</v>
      </c>
      <c r="Q61" s="33" t="e">
        <f>VLOOKUP(A1,DIV_04Data!$A$1:$DZU$1000000,1038,FALSE)</f>
        <v>#N/A</v>
      </c>
    </row>
    <row r="62" spans="1:17" x14ac:dyDescent="0.35">
      <c r="A62" s="22" t="e">
        <f>VLOOKUP(A1,DIV_04Data!$A$1:$DZU$1000000,1039,FALSE)</f>
        <v>#N/A</v>
      </c>
      <c r="B62" s="37" t="e">
        <f>VLOOKUP(A1,DIV_04Data!$A$1:$DZU$1000000,1040,FALSE)</f>
        <v>#N/A</v>
      </c>
      <c r="C62" s="38" t="e">
        <f>VLOOKUP(A1,DIV_04Data!$A$1:$DZU$1000000,1041,FALSE)</f>
        <v>#N/A</v>
      </c>
      <c r="D62" s="31" t="e">
        <f>VLOOKUP(A1,DIV_04Data!$A$1:$DZU$1000000,1042,FALSE)</f>
        <v>#N/A</v>
      </c>
      <c r="E62" s="32" t="e">
        <f>VLOOKUP(A1,DIV_04Data!$A$1:$DZU$1000000,1043,FALSE)</f>
        <v>#N/A</v>
      </c>
      <c r="F62" s="34" t="e">
        <f>VLOOKUP(A1,DIV_04Data!$A$1:$DZU$1000000,1044,FALSE)</f>
        <v>#N/A</v>
      </c>
      <c r="G62" s="33" t="e">
        <f>VLOOKUP(A1,DIV_04Data!$A$1:$DZU$1000000,1045,FALSE)</f>
        <v>#N/A</v>
      </c>
      <c r="H62" s="34" t="e">
        <f>VLOOKUP(A1,DIV_04Data!$A$1:$DZU$1000000,1046,FALSE)</f>
        <v>#N/A</v>
      </c>
      <c r="I62" s="33" t="e">
        <f>VLOOKUP(A1,DIV_04Data!$A$1:$DZU$1000000,1047,FALSE)</f>
        <v>#N/A</v>
      </c>
      <c r="J62" s="34" t="e">
        <f>VLOOKUP(A1,DIV_04Data!$A$1:$DZU$1000000,1048,FALSE)</f>
        <v>#N/A</v>
      </c>
      <c r="K62" s="34" t="e">
        <f>VLOOKUP(A1,DIV_04Data!$A$1:$DZU$1000000,1049,FALSE)</f>
        <v>#N/A</v>
      </c>
      <c r="L62" s="93" t="e">
        <f>VLOOKUP(A1,DIV_04Data!$A$1:$DZU$1000000,1050,FALSE)</f>
        <v>#N/A</v>
      </c>
      <c r="M62" s="33" t="e">
        <f>VLOOKUP(A1,DIV_04Data!$A$1:$DZU$1000000,1051,FALSE)</f>
        <v>#N/A</v>
      </c>
      <c r="N62" s="34" t="e">
        <f>VLOOKUP(A1,DIV_04Data!$A$1:$DZU$1000000,1052,FALSE)</f>
        <v>#N/A</v>
      </c>
      <c r="O62" s="33" t="e">
        <f>VLOOKUP(A1,DIV_04Data!$A$1:$DZU$1000000,1053,FALSE)</f>
        <v>#N/A</v>
      </c>
      <c r="P62" s="46" t="e">
        <f>VLOOKUP(A1,DIV_04Data!$A$1:$DZU$1000000,1054,FALSE)</f>
        <v>#N/A</v>
      </c>
      <c r="Q62" s="33" t="e">
        <f>VLOOKUP(A1,DIV_04Data!$A$1:$DZU$1000000,1055,FALSE)</f>
        <v>#N/A</v>
      </c>
    </row>
    <row r="63" spans="1:17" x14ac:dyDescent="0.35">
      <c r="A63" s="22" t="e">
        <f>VLOOKUP(A1,DIV_04Data!$A$1:$DZU$1000000,1056,FALSE)</f>
        <v>#N/A</v>
      </c>
      <c r="B63" s="37" t="e">
        <f>VLOOKUP(A1,DIV_04Data!$A$1:$DZU$1000000,1057,FALSE)</f>
        <v>#N/A</v>
      </c>
      <c r="C63" s="38" t="e">
        <f>VLOOKUP(A1,DIV_04Data!$A$1:$DZU$1000000,1058,FALSE)</f>
        <v>#N/A</v>
      </c>
      <c r="D63" s="31" t="e">
        <f>VLOOKUP(A1,DIV_04Data!$A$1:$DZU$1000000,1059,FALSE)</f>
        <v>#N/A</v>
      </c>
      <c r="E63" s="32" t="e">
        <f>VLOOKUP(A1,DIV_04Data!$A$1:$DZU$1000000,1060,FALSE)</f>
        <v>#N/A</v>
      </c>
      <c r="F63" s="34" t="e">
        <f>VLOOKUP(A1,DIV_04Data!$A$1:$DZU$1000000,1061,FALSE)</f>
        <v>#N/A</v>
      </c>
      <c r="G63" s="33" t="e">
        <f>VLOOKUP(A1,DIV_04Data!$A$1:$DZU$1000000,1062,FALSE)</f>
        <v>#N/A</v>
      </c>
      <c r="H63" s="34" t="e">
        <f>VLOOKUP(A1,DIV_04Data!$A$1:$DZU$1000000,1063,FALSE)</f>
        <v>#N/A</v>
      </c>
      <c r="I63" s="33" t="e">
        <f>VLOOKUP(A1,DIV_04Data!$A$1:$DZU$1000000,1064,FALSE)</f>
        <v>#N/A</v>
      </c>
      <c r="J63" s="34" t="e">
        <f>VLOOKUP(A1,DIV_04Data!$A$1:$DZU$1000000,1065,FALSE)</f>
        <v>#N/A</v>
      </c>
      <c r="K63" s="34" t="e">
        <f>VLOOKUP(A1,DIV_04Data!$A$1:$DZU$1000000,1066,FALSE)</f>
        <v>#N/A</v>
      </c>
      <c r="L63" s="93" t="e">
        <f>VLOOKUP(A1,DIV_04Data!$A$1:$DZU$1000000,1067,FALSE)</f>
        <v>#N/A</v>
      </c>
      <c r="M63" s="33" t="e">
        <f>VLOOKUP(A1,DIV_04Data!$A$1:$DZU$1000000,1068,FALSE)</f>
        <v>#N/A</v>
      </c>
      <c r="N63" s="34" t="e">
        <f>VLOOKUP(A1,DIV_04Data!$A$1:$DZU$1000000,1069,FALSE)</f>
        <v>#N/A</v>
      </c>
      <c r="O63" s="33" t="e">
        <f>VLOOKUP(A1,DIV_04Data!$A$1:$DZU$1000000,1070,FALSE)</f>
        <v>#N/A</v>
      </c>
      <c r="P63" s="46" t="e">
        <f>VLOOKUP(A1,DIV_04Data!$A$1:$DZU$1000000,1071,FALSE)</f>
        <v>#N/A</v>
      </c>
      <c r="Q63" s="33" t="e">
        <f>VLOOKUP(A1,DIV_04Data!$A$1:$DZU$1000000,1072,FALSE)</f>
        <v>#N/A</v>
      </c>
    </row>
    <row r="64" spans="1:17" x14ac:dyDescent="0.35">
      <c r="A64" s="22" t="e">
        <f>VLOOKUP(A1,DIV_04Data!$A$1:$DZU$1000000,1073,FALSE)</f>
        <v>#N/A</v>
      </c>
      <c r="B64" s="37" t="e">
        <f>VLOOKUP(A1,DIV_04Data!$A$1:$DZU$1000000,1074,FALSE)</f>
        <v>#N/A</v>
      </c>
      <c r="C64" s="38" t="e">
        <f>VLOOKUP(A1,DIV_04Data!$A$1:$DZU$1000000,1075,FALSE)</f>
        <v>#N/A</v>
      </c>
      <c r="D64" s="31" t="e">
        <f>VLOOKUP(A1,DIV_04Data!$A$1:$DZU$1000000,1076,FALSE)</f>
        <v>#N/A</v>
      </c>
      <c r="E64" s="32" t="e">
        <f>VLOOKUP(A1,DIV_04Data!$A$1:$DZU$1000000,1077,FALSE)</f>
        <v>#N/A</v>
      </c>
      <c r="F64" s="34" t="e">
        <f>VLOOKUP(A1,DIV_04Data!$A$1:$DZU$1000000,1078,FALSE)</f>
        <v>#N/A</v>
      </c>
      <c r="G64" s="33" t="e">
        <f>VLOOKUP(A1,DIV_04Data!$A$1:$DZU$1000000,1079,FALSE)</f>
        <v>#N/A</v>
      </c>
      <c r="H64" s="34" t="e">
        <f>VLOOKUP(A1,DIV_04Data!$A$1:$DZU$1000000,1080,FALSE)</f>
        <v>#N/A</v>
      </c>
      <c r="I64" s="33" t="e">
        <f>VLOOKUP(A1,DIV_04Data!$A$1:$DZU$1000000,1081,FALSE)</f>
        <v>#N/A</v>
      </c>
      <c r="J64" s="34" t="e">
        <f>VLOOKUP(A1,DIV_04Data!$A$1:$DZU$1000000,1082,FALSE)</f>
        <v>#N/A</v>
      </c>
      <c r="K64" s="34" t="e">
        <f>VLOOKUP(A1,DIV_04Data!$A$1:$DZU$1000000,1083,FALSE)</f>
        <v>#N/A</v>
      </c>
      <c r="L64" s="93" t="e">
        <f>VLOOKUP(A1,DIV_04Data!$A$1:$DZU$1000000,1084,FALSE)</f>
        <v>#N/A</v>
      </c>
      <c r="M64" s="33" t="e">
        <f>VLOOKUP(A1,DIV_04Data!$A$1:$DZU$1000000,1085,FALSE)</f>
        <v>#N/A</v>
      </c>
      <c r="N64" s="34" t="e">
        <f>VLOOKUP(A1,DIV_04Data!$A$1:$DZU$1000000,1086,FALSE)</f>
        <v>#N/A</v>
      </c>
      <c r="O64" s="33" t="e">
        <f>VLOOKUP(A1,DIV_04Data!$A$1:$DZU$1000000,1087,FALSE)</f>
        <v>#N/A</v>
      </c>
      <c r="P64" s="46" t="e">
        <f>VLOOKUP(A1,DIV_04Data!$A$1:$DZU$1000000,1088,FALSE)</f>
        <v>#N/A</v>
      </c>
      <c r="Q64" s="33" t="e">
        <f>VLOOKUP(A1,DIV_04Data!$A$1:$DZU$1000000,1089,FALSE)</f>
        <v>#N/A</v>
      </c>
    </row>
    <row r="65" spans="1:17" x14ac:dyDescent="0.35">
      <c r="A65" s="22" t="e">
        <f>VLOOKUP(A1,DIV_04Data!$A$1:$DZU$1000000,1090,FALSE)</f>
        <v>#N/A</v>
      </c>
      <c r="B65" s="37" t="e">
        <f>VLOOKUP(A1,DIV_04Data!$A$1:$DZU$1000000,1091,FALSE)</f>
        <v>#N/A</v>
      </c>
      <c r="C65" s="38" t="e">
        <f>VLOOKUP(A1,DIV_04Data!$A$1:$DZU$1000000,1092,FALSE)</f>
        <v>#N/A</v>
      </c>
      <c r="D65" s="31" t="e">
        <f>VLOOKUP(A1,DIV_04Data!$A$1:$DZU$1000000,1093,FALSE)</f>
        <v>#N/A</v>
      </c>
      <c r="E65" s="32" t="e">
        <f>VLOOKUP(A1,DIV_04Data!$A$1:$DZU$1000000,1094,FALSE)</f>
        <v>#N/A</v>
      </c>
      <c r="F65" s="34" t="e">
        <f>VLOOKUP(A1,DIV_04Data!$A$1:$DZU$1000000,1095,FALSE)</f>
        <v>#N/A</v>
      </c>
      <c r="G65" s="33" t="e">
        <f>VLOOKUP(A1,DIV_04Data!$A$1:$DZU$1000000,1096,FALSE)</f>
        <v>#N/A</v>
      </c>
      <c r="H65" s="34" t="e">
        <f>VLOOKUP(A1,DIV_04Data!$A$1:$DZU$1000000,1097,FALSE)</f>
        <v>#N/A</v>
      </c>
      <c r="I65" s="33" t="e">
        <f>VLOOKUP(A1,DIV_04Data!$A$1:$DZU$1000000,1098,FALSE)</f>
        <v>#N/A</v>
      </c>
      <c r="J65" s="34" t="e">
        <f>VLOOKUP(A1,DIV_04Data!$A$1:$DZU$1000000,1099,FALSE)</f>
        <v>#N/A</v>
      </c>
      <c r="K65" s="34" t="e">
        <f>VLOOKUP(A1,DIV_04Data!$A$1:$DZU$1000000,1100,FALSE)</f>
        <v>#N/A</v>
      </c>
      <c r="L65" s="93" t="e">
        <f>VLOOKUP(A1,DIV_04Data!$A$1:$DZU$1000000,1101,FALSE)</f>
        <v>#N/A</v>
      </c>
      <c r="M65" s="33" t="e">
        <f>VLOOKUP(A1,DIV_04Data!$A$1:$DZU$1000000,1102,FALSE)</f>
        <v>#N/A</v>
      </c>
      <c r="N65" s="34" t="e">
        <f>VLOOKUP(A1,DIV_04Data!$A$1:$DZU$1000000,1103,FALSE)</f>
        <v>#N/A</v>
      </c>
      <c r="O65" s="33" t="e">
        <f>VLOOKUP(A1,DIV_04Data!$A$1:$DZU$1000000,1104,FALSE)</f>
        <v>#N/A</v>
      </c>
      <c r="P65" s="46" t="e">
        <f>VLOOKUP(A1,DIV_04Data!$A$1:$DZU$1000000,1105,FALSE)</f>
        <v>#N/A</v>
      </c>
      <c r="Q65" s="33" t="e">
        <f>VLOOKUP(A1,DIV_04Data!$A$1:$DZU$1000000,1106,FALSE)</f>
        <v>#N/A</v>
      </c>
    </row>
    <row r="66" spans="1:17" x14ac:dyDescent="0.35">
      <c r="A66" s="22" t="e">
        <f>VLOOKUP(A1,DIV_04Data!$A$1:$DZU$1000000,1107,FALSE)</f>
        <v>#N/A</v>
      </c>
      <c r="B66" s="37" t="e">
        <f>VLOOKUP(A1,DIV_04Data!$A$1:$DZU$1000000,1108,FALSE)</f>
        <v>#N/A</v>
      </c>
      <c r="C66" s="38" t="e">
        <f>VLOOKUP(A1,DIV_04Data!$A$1:$DZU$1000000,1109,FALSE)</f>
        <v>#N/A</v>
      </c>
      <c r="D66" s="31" t="e">
        <f>VLOOKUP(A1,DIV_04Data!$A$1:$DZU$1000000,1110,FALSE)</f>
        <v>#N/A</v>
      </c>
      <c r="E66" s="32" t="e">
        <f>VLOOKUP(A1,DIV_04Data!$A$1:$DZU$1000000,1111,FALSE)</f>
        <v>#N/A</v>
      </c>
      <c r="F66" s="34" t="e">
        <f>VLOOKUP(A1,DIV_04Data!$A$1:$DZU$1000000,1112,FALSE)</f>
        <v>#N/A</v>
      </c>
      <c r="G66" s="33" t="e">
        <f>VLOOKUP(A1,DIV_04Data!$A$1:$DZU$1000000,1113,FALSE)</f>
        <v>#N/A</v>
      </c>
      <c r="H66" s="34" t="e">
        <f>VLOOKUP(A1,DIV_04Data!$A$1:$DZU$1000000,1114,FALSE)</f>
        <v>#N/A</v>
      </c>
      <c r="I66" s="33" t="e">
        <f>VLOOKUP(A1,DIV_04Data!$A$1:$DZU$1000000,1115,FALSE)</f>
        <v>#N/A</v>
      </c>
      <c r="J66" s="34" t="e">
        <f>VLOOKUP(A1,DIV_04Data!$A$1:$DZU$1000000,1116,FALSE)</f>
        <v>#N/A</v>
      </c>
      <c r="K66" s="34" t="e">
        <f>VLOOKUP(A1,DIV_04Data!$A$1:$DZU$1000000,1117,FALSE)</f>
        <v>#N/A</v>
      </c>
      <c r="L66" s="93" t="e">
        <f>VLOOKUP(A1,DIV_04Data!$A$1:$DZU$1000000,1118,FALSE)</f>
        <v>#N/A</v>
      </c>
      <c r="M66" s="33" t="e">
        <f>VLOOKUP(A1,DIV_04Data!$A$1:$DZU$1000000,1119,FALSE)</f>
        <v>#N/A</v>
      </c>
      <c r="N66" s="34" t="e">
        <f>VLOOKUP(A1,DIV_04Data!$A$1:$DZU$1000000,1120,FALSE)</f>
        <v>#N/A</v>
      </c>
      <c r="O66" s="33" t="e">
        <f>VLOOKUP(A1,DIV_04Data!$A$1:$DZU$1000000,1121,FALSE)</f>
        <v>#N/A</v>
      </c>
      <c r="P66" s="46" t="e">
        <f>VLOOKUP(A1,DIV_04Data!$A$1:$DZU$1000000,1122,FALSE)</f>
        <v>#N/A</v>
      </c>
      <c r="Q66" s="33" t="e">
        <f>VLOOKUP(A1,DIV_04Data!$A$1:$DZU$1000000,1123,FALSE)</f>
        <v>#N/A</v>
      </c>
    </row>
    <row r="67" spans="1:17" x14ac:dyDescent="0.35">
      <c r="A67" s="22" t="e">
        <f>VLOOKUP(A1,DIV_04Data!$A$1:$DZU$1000000,1124,FALSE)</f>
        <v>#N/A</v>
      </c>
      <c r="B67" s="37" t="e">
        <f>VLOOKUP(A1,DIV_04Data!$A$1:$DZU$1000000,1125,FALSE)</f>
        <v>#N/A</v>
      </c>
      <c r="C67" s="38" t="e">
        <f>VLOOKUP(A1,DIV_04Data!$A$1:$DZU$1000000,1126,FALSE)</f>
        <v>#N/A</v>
      </c>
      <c r="D67" s="31" t="e">
        <f>VLOOKUP(A1,DIV_04Data!$A$1:$DZU$1000000,1127,FALSE)</f>
        <v>#N/A</v>
      </c>
      <c r="E67" s="32" t="e">
        <f>VLOOKUP(A1,DIV_04Data!$A$1:$DZU$1000000,1128,FALSE)</f>
        <v>#N/A</v>
      </c>
      <c r="F67" s="34" t="e">
        <f>VLOOKUP(A1,DIV_04Data!$A$1:$DZU$1000000,1129,FALSE)</f>
        <v>#N/A</v>
      </c>
      <c r="G67" s="33" t="e">
        <f>VLOOKUP(A1,DIV_04Data!$A$1:$DZU$1000000,1130,FALSE)</f>
        <v>#N/A</v>
      </c>
      <c r="H67" s="34" t="e">
        <f>VLOOKUP(A1,DIV_04Data!$A$1:$DZU$1000000,1131,FALSE)</f>
        <v>#N/A</v>
      </c>
      <c r="I67" s="33" t="e">
        <f>VLOOKUP(A1,DIV_04Data!$A$1:$DZU$1000000,1132,FALSE)</f>
        <v>#N/A</v>
      </c>
      <c r="J67" s="34" t="e">
        <f>VLOOKUP(A1,DIV_04Data!$A$1:$DZU$1000000,1133,FALSE)</f>
        <v>#N/A</v>
      </c>
      <c r="K67" s="34" t="e">
        <f>VLOOKUP(A1,DIV_04Data!$A$1:$DZU$1000000,1134,FALSE)</f>
        <v>#N/A</v>
      </c>
      <c r="L67" s="93" t="e">
        <f>VLOOKUP(A1,DIV_04Data!$A$1:$DZU$1000000,1135,FALSE)</f>
        <v>#N/A</v>
      </c>
      <c r="M67" s="33" t="e">
        <f>VLOOKUP(A1,DIV_04Data!$A$1:$DZU$1000000,1136,FALSE)</f>
        <v>#N/A</v>
      </c>
      <c r="N67" s="34" t="e">
        <f>VLOOKUP(A1,DIV_04Data!$A$1:$DZU$1000000,1137,FALSE)</f>
        <v>#N/A</v>
      </c>
      <c r="O67" s="33" t="e">
        <f>VLOOKUP(A1,DIV_04Data!$A$1:$DZU$1000000,1138,FALSE)</f>
        <v>#N/A</v>
      </c>
      <c r="P67" s="46" t="e">
        <f>VLOOKUP(A1,DIV_04Data!$A$1:$DZU$1000000,1139,FALSE)</f>
        <v>#N/A</v>
      </c>
      <c r="Q67" s="33" t="e">
        <f>VLOOKUP(A1,DIV_04Data!$A$1:$DZU$1000000,1140,FALSE)</f>
        <v>#N/A</v>
      </c>
    </row>
    <row r="68" spans="1:17" x14ac:dyDescent="0.35">
      <c r="A68" s="22" t="e">
        <f>VLOOKUP(A1,DIV_04Data!$A$1:$DZU$1000000,1141,FALSE)</f>
        <v>#N/A</v>
      </c>
      <c r="B68" s="37" t="e">
        <f>VLOOKUP(A1,DIV_04Data!$A$1:$DZU$1000000,1142,FALSE)</f>
        <v>#N/A</v>
      </c>
      <c r="C68" s="38" t="e">
        <f>VLOOKUP(A1,DIV_04Data!$A$1:$DZU$1000000,1143,FALSE)</f>
        <v>#N/A</v>
      </c>
      <c r="D68" s="31" t="e">
        <f>VLOOKUP(A1,DIV_04Data!$A$1:$DZU$1000000,1144,FALSE)</f>
        <v>#N/A</v>
      </c>
      <c r="E68" s="32" t="e">
        <f>VLOOKUP(A1,DIV_04Data!$A$1:$DZU$1000000,1145,FALSE)</f>
        <v>#N/A</v>
      </c>
      <c r="F68" s="34" t="e">
        <f>VLOOKUP(A1,DIV_04Data!$A$1:$DZU$1000000,1146,FALSE)</f>
        <v>#N/A</v>
      </c>
      <c r="G68" s="33" t="e">
        <f>VLOOKUP(A1,DIV_04Data!$A$1:$DZU$1000000,1147,FALSE)</f>
        <v>#N/A</v>
      </c>
      <c r="H68" s="34" t="e">
        <f>VLOOKUP(A1,DIV_04Data!$A$1:$DZU$1000000,1148,FALSE)</f>
        <v>#N/A</v>
      </c>
      <c r="I68" s="33" t="e">
        <f>VLOOKUP(A1,DIV_04Data!$A$1:$DZU$1000000,1149,FALSE)</f>
        <v>#N/A</v>
      </c>
      <c r="J68" s="34" t="e">
        <f>VLOOKUP(A1,DIV_04Data!$A$1:$DZU$1000000,1150,FALSE)</f>
        <v>#N/A</v>
      </c>
      <c r="K68" s="34" t="e">
        <f>VLOOKUP(A1,DIV_04Data!$A$1:$DZU$1000000,1151,FALSE)</f>
        <v>#N/A</v>
      </c>
      <c r="L68" s="93" t="e">
        <f>VLOOKUP(A1,DIV_04Data!$A$1:$DZU$1000000,1152,FALSE)</f>
        <v>#N/A</v>
      </c>
      <c r="M68" s="33" t="e">
        <f>VLOOKUP(A1,DIV_04Data!$A$1:$DZU$1000000,1153,FALSE)</f>
        <v>#N/A</v>
      </c>
      <c r="N68" s="34" t="e">
        <f>VLOOKUP(A1,DIV_04Data!$A$1:$DZU$1000000,1154,FALSE)</f>
        <v>#N/A</v>
      </c>
      <c r="O68" s="33" t="e">
        <f>VLOOKUP(A1,DIV_04Data!$A$1:$DZU$1000000,1155,FALSE)</f>
        <v>#N/A</v>
      </c>
      <c r="P68" s="46" t="e">
        <f>VLOOKUP(A1,DIV_04Data!$A$1:$DZU$1000000,1156,FALSE)</f>
        <v>#N/A</v>
      </c>
      <c r="Q68" s="33" t="e">
        <f>VLOOKUP(A1,DIV_04Data!$A$1:$DZU$1000000,1157,FALSE)</f>
        <v>#N/A</v>
      </c>
    </row>
    <row r="69" spans="1:17" x14ac:dyDescent="0.35">
      <c r="A69" s="22" t="e">
        <f>VLOOKUP(A1,DIV_04Data!$A$1:$DZU$1000000,1158,FALSE)</f>
        <v>#N/A</v>
      </c>
      <c r="B69" s="37" t="e">
        <f>VLOOKUP(A1,DIV_04Data!$A$1:$DZU$1000000,1159,FALSE)</f>
        <v>#N/A</v>
      </c>
      <c r="C69" s="38" t="e">
        <f>VLOOKUP(A1,DIV_04Data!$A$1:$DZU$1000000,1160,FALSE)</f>
        <v>#N/A</v>
      </c>
      <c r="D69" s="31" t="e">
        <f>VLOOKUP(A1,DIV_04Data!$A$1:$DZU$1000000,1161,FALSE)</f>
        <v>#N/A</v>
      </c>
      <c r="E69" s="32" t="e">
        <f>VLOOKUP(A1,DIV_04Data!$A$1:$DZU$1000000,1162,FALSE)</f>
        <v>#N/A</v>
      </c>
      <c r="F69" s="34" t="e">
        <f>VLOOKUP(A1,DIV_04Data!$A$1:$DZU$1000000,1163,FALSE)</f>
        <v>#N/A</v>
      </c>
      <c r="G69" s="33" t="e">
        <f>VLOOKUP(A1,DIV_04Data!$A$1:$DZU$1000000,1164,FALSE)</f>
        <v>#N/A</v>
      </c>
      <c r="H69" s="34" t="e">
        <f>VLOOKUP(A1,DIV_04Data!$A$1:$DZU$1000000,1165,FALSE)</f>
        <v>#N/A</v>
      </c>
      <c r="I69" s="33" t="e">
        <f>VLOOKUP(A1,DIV_04Data!$A$1:$DZU$1000000,1166,FALSE)</f>
        <v>#N/A</v>
      </c>
      <c r="J69" s="34" t="e">
        <f>VLOOKUP(A1,DIV_04Data!$A$1:$DZU$1000000,1167,FALSE)</f>
        <v>#N/A</v>
      </c>
      <c r="K69" s="34" t="e">
        <f>VLOOKUP(A1,DIV_04Data!$A$1:$DZU$1000000,1168,FALSE)</f>
        <v>#N/A</v>
      </c>
      <c r="L69" s="93" t="e">
        <f>VLOOKUP(A1,DIV_04Data!$A$1:$DZU$1000000,1169,FALSE)</f>
        <v>#N/A</v>
      </c>
      <c r="M69" s="33" t="e">
        <f>VLOOKUP(A1,DIV_04Data!$A$1:$DZU$1000000,1170,FALSE)</f>
        <v>#N/A</v>
      </c>
      <c r="N69" s="34" t="e">
        <f>VLOOKUP(A1,DIV_04Data!$A$1:$DZU$1000000,1171,FALSE)</f>
        <v>#N/A</v>
      </c>
      <c r="O69" s="33" t="e">
        <f>VLOOKUP(A1,DIV_04Data!$A$1:$DZU$1000000,1172,FALSE)</f>
        <v>#N/A</v>
      </c>
      <c r="P69" s="46" t="e">
        <f>VLOOKUP(A1,DIV_04Data!$A$1:$DZU$1000000,1173,FALSE)</f>
        <v>#N/A</v>
      </c>
      <c r="Q69" s="33" t="e">
        <f>VLOOKUP(A1,DIV_04Data!$A$1:$DZU$1000000,1174,FALSE)</f>
        <v>#N/A</v>
      </c>
    </row>
    <row r="70" spans="1:17" x14ac:dyDescent="0.35">
      <c r="A70" s="22" t="e">
        <f>VLOOKUP(A1,DIV_04Data!$A$1:$DZU$1000000,1175,FALSE)</f>
        <v>#N/A</v>
      </c>
      <c r="B70" s="37" t="e">
        <f>VLOOKUP(A1,DIV_04Data!$A$1:$DZU$1000000,1176,FALSE)</f>
        <v>#N/A</v>
      </c>
      <c r="C70" s="38" t="e">
        <f>VLOOKUP(A1,DIV_04Data!$A$1:$DZU$1000000,1177,FALSE)</f>
        <v>#N/A</v>
      </c>
      <c r="D70" s="31" t="e">
        <f>VLOOKUP(A1,DIV_04Data!$A$1:$DZU$1000000,1178,FALSE)</f>
        <v>#N/A</v>
      </c>
      <c r="E70" s="32" t="e">
        <f>VLOOKUP(A1,DIV_04Data!$A$1:$DZU$1000000,1179,FALSE)</f>
        <v>#N/A</v>
      </c>
      <c r="F70" s="34" t="e">
        <f>VLOOKUP(A1,DIV_04Data!$A$1:$DZU$1000000,1180,FALSE)</f>
        <v>#N/A</v>
      </c>
      <c r="G70" s="33" t="e">
        <f>VLOOKUP(A1,DIV_04Data!$A$1:$DZU$1000000,1181,FALSE)</f>
        <v>#N/A</v>
      </c>
      <c r="H70" s="34" t="e">
        <f>VLOOKUP(A1,DIV_04Data!$A$1:$DZU$1000000,1182,FALSE)</f>
        <v>#N/A</v>
      </c>
      <c r="I70" s="33" t="e">
        <f>VLOOKUP(A1,DIV_04Data!$A$1:$DZU$1000000,1183,FALSE)</f>
        <v>#N/A</v>
      </c>
      <c r="J70" s="34" t="e">
        <f>VLOOKUP(A1,DIV_04Data!$A$1:$DZU$1000000,1184,FALSE)</f>
        <v>#N/A</v>
      </c>
      <c r="K70" s="34" t="e">
        <f>VLOOKUP(A1,DIV_04Data!$A$1:$DZU$1000000,1185,FALSE)</f>
        <v>#N/A</v>
      </c>
      <c r="L70" s="93" t="e">
        <f>VLOOKUP(A1,DIV_04Data!$A$1:$DZU$1000000,1186,FALSE)</f>
        <v>#N/A</v>
      </c>
      <c r="M70" s="33" t="e">
        <f>VLOOKUP(A1,DIV_04Data!$A$1:$DZU$1000000,1187,FALSE)</f>
        <v>#N/A</v>
      </c>
      <c r="N70" s="34" t="e">
        <f>VLOOKUP(A1,DIV_04Data!$A$1:$DZU$1000000,1188,FALSE)</f>
        <v>#N/A</v>
      </c>
      <c r="O70" s="33" t="e">
        <f>VLOOKUP(A1,DIV_04Data!$A$1:$DZU$1000000,1189,FALSE)</f>
        <v>#N/A</v>
      </c>
      <c r="P70" s="46" t="e">
        <f>VLOOKUP(A1,DIV_04Data!$A$1:$DZU$1000000,1190,FALSE)</f>
        <v>#N/A</v>
      </c>
      <c r="Q70" s="33" t="e">
        <f>VLOOKUP(A1,DIV_04Data!$A$1:$DZU$1000000,1191,FALSE)</f>
        <v>#N/A</v>
      </c>
    </row>
    <row r="71" spans="1:17" x14ac:dyDescent="0.35">
      <c r="A71" s="22" t="e">
        <f>VLOOKUP(A1,DIV_04Data!$A$1:$DZU$1000000,1192,FALSE)</f>
        <v>#N/A</v>
      </c>
      <c r="B71" s="37" t="e">
        <f>VLOOKUP(A1,DIV_04Data!$A$1:$DZU$1000000,1193,FALSE)</f>
        <v>#N/A</v>
      </c>
      <c r="C71" s="38" t="e">
        <f>VLOOKUP(A1,DIV_04Data!$A$1:$DZU$1000000,1194,FALSE)</f>
        <v>#N/A</v>
      </c>
      <c r="D71" s="31" t="e">
        <f>VLOOKUP(A1,DIV_04Data!$A$1:$DZU$1000000,1195,FALSE)</f>
        <v>#N/A</v>
      </c>
      <c r="E71" s="32" t="e">
        <f>VLOOKUP(A1,DIV_04Data!$A$1:$DZU$1000000,1196,FALSE)</f>
        <v>#N/A</v>
      </c>
      <c r="F71" s="34" t="e">
        <f>VLOOKUP(A1,DIV_04Data!$A$1:$DZU$1000000,1197,FALSE)</f>
        <v>#N/A</v>
      </c>
      <c r="G71" s="33" t="e">
        <f>VLOOKUP(A1,DIV_04Data!$A$1:$DZU$1000000,1198,FALSE)</f>
        <v>#N/A</v>
      </c>
      <c r="H71" s="34" t="e">
        <f>VLOOKUP(A1,DIV_04Data!$A$1:$DZU$1000000,1199,FALSE)</f>
        <v>#N/A</v>
      </c>
      <c r="I71" s="33" t="e">
        <f>VLOOKUP(A1,DIV_04Data!$A$1:$DZU$1000000,1200,FALSE)</f>
        <v>#N/A</v>
      </c>
      <c r="J71" s="34" t="e">
        <f>VLOOKUP(A1,DIV_04Data!$A$1:$DZU$1000000,1201,FALSE)</f>
        <v>#N/A</v>
      </c>
      <c r="K71" s="34" t="e">
        <f>VLOOKUP(A1,DIV_04Data!$A$1:$DZU$1000000,1202,FALSE)</f>
        <v>#N/A</v>
      </c>
      <c r="L71" s="93" t="e">
        <f>VLOOKUP(A1,DIV_04Data!$A$1:$DZU$1000000,1203,FALSE)</f>
        <v>#N/A</v>
      </c>
      <c r="M71" s="33" t="e">
        <f>VLOOKUP(A1,DIV_04Data!$A$1:$DZU$1000000,1204,FALSE)</f>
        <v>#N/A</v>
      </c>
      <c r="N71" s="34" t="e">
        <f>VLOOKUP(A1,DIV_04Data!$A$1:$DZU$1000000,1205,FALSE)</f>
        <v>#N/A</v>
      </c>
      <c r="O71" s="33" t="e">
        <f>VLOOKUP(A1,DIV_04Data!$A$1:$DZU$1000000,1206,FALSE)</f>
        <v>#N/A</v>
      </c>
      <c r="P71" s="46" t="e">
        <f>VLOOKUP(A1,DIV_04Data!$A$1:$DZU$1000000,1207,FALSE)</f>
        <v>#N/A</v>
      </c>
      <c r="Q71" s="33" t="e">
        <f>VLOOKUP(A1,DIV_04Data!$A$1:$DZU$1000000,1208,FALSE)</f>
        <v>#N/A</v>
      </c>
    </row>
    <row r="72" spans="1:17" x14ac:dyDescent="0.35">
      <c r="A72" s="22" t="e">
        <f>VLOOKUP(A1,DIV_04Data!$A$1:$DZU$1000000,1209,FALSE)</f>
        <v>#N/A</v>
      </c>
      <c r="B72" s="37" t="e">
        <f>VLOOKUP(A1,DIV_04Data!$A$1:$DZU$1000000,1210,FALSE)</f>
        <v>#N/A</v>
      </c>
      <c r="C72" s="38" t="e">
        <f>VLOOKUP(A1,DIV_04Data!$A$1:$DZU$1000000,1211,FALSE)</f>
        <v>#N/A</v>
      </c>
      <c r="D72" s="31" t="e">
        <f>VLOOKUP(A1,DIV_04Data!$A$1:$DZU$1000000,1212,FALSE)</f>
        <v>#N/A</v>
      </c>
      <c r="E72" s="32" t="e">
        <f>VLOOKUP(A1,DIV_04Data!$A$1:$DZU$1000000,1213,FALSE)</f>
        <v>#N/A</v>
      </c>
      <c r="F72" s="34" t="e">
        <f>VLOOKUP(A1,DIV_04Data!$A$1:$DZU$1000000,1214,FALSE)</f>
        <v>#N/A</v>
      </c>
      <c r="G72" s="33" t="e">
        <f>VLOOKUP(A1,DIV_04Data!$A$1:$DZU$1000000,1215,FALSE)</f>
        <v>#N/A</v>
      </c>
      <c r="H72" s="34" t="e">
        <f>VLOOKUP(A1,DIV_04Data!$A$1:$DZU$1000000,1216,FALSE)</f>
        <v>#N/A</v>
      </c>
      <c r="I72" s="33" t="e">
        <f>VLOOKUP(A1,DIV_04Data!$A$1:$DZU$1000000,1217,FALSE)</f>
        <v>#N/A</v>
      </c>
      <c r="J72" s="34" t="e">
        <f>VLOOKUP(A1,DIV_04Data!$A$1:$DZU$1000000,1218,FALSE)</f>
        <v>#N/A</v>
      </c>
      <c r="K72" s="34" t="e">
        <f>VLOOKUP(A1,DIV_04Data!$A$1:$DZU$1000000,1219,FALSE)</f>
        <v>#N/A</v>
      </c>
      <c r="L72" s="93" t="e">
        <f>VLOOKUP(A1,DIV_04Data!$A$1:$DZU$1000000,1220,FALSE)</f>
        <v>#N/A</v>
      </c>
      <c r="M72" s="33" t="e">
        <f>VLOOKUP(A1,DIV_04Data!$A$1:$DZU$1000000,1221,FALSE)</f>
        <v>#N/A</v>
      </c>
      <c r="N72" s="34" t="e">
        <f>VLOOKUP(A1,DIV_04Data!$A$1:$DZU$1000000,1222,FALSE)</f>
        <v>#N/A</v>
      </c>
      <c r="O72" s="33" t="e">
        <f>VLOOKUP(A1,DIV_04Data!$A$1:$DZU$1000000,1223,FALSE)</f>
        <v>#N/A</v>
      </c>
      <c r="P72" s="46" t="e">
        <f>VLOOKUP(A1,DIV_04Data!$A$1:$DZU$1000000,1224,FALSE)</f>
        <v>#N/A</v>
      </c>
      <c r="Q72" s="33" t="e">
        <f>VLOOKUP(A1,DIV_04Data!$A$1:$DZU$1000000,1225,FALSE)</f>
        <v>#N/A</v>
      </c>
    </row>
    <row r="73" spans="1:17" x14ac:dyDescent="0.35">
      <c r="A73" s="22" t="e">
        <f>VLOOKUP(A1,DIV_04Data!$A$1:$DZU$1000000,1226,FALSE)</f>
        <v>#N/A</v>
      </c>
      <c r="B73" s="37" t="e">
        <f>VLOOKUP(A1,DIV_04Data!$A$1:$DZU$1000000,1227,FALSE)</f>
        <v>#N/A</v>
      </c>
      <c r="C73" s="38" t="e">
        <f>VLOOKUP(A1,DIV_04Data!$A$1:$DZU$1000000,1228,FALSE)</f>
        <v>#N/A</v>
      </c>
      <c r="D73" s="31" t="e">
        <f>VLOOKUP(A1,DIV_04Data!$A$1:$DZU$1000000,1229,FALSE)</f>
        <v>#N/A</v>
      </c>
      <c r="E73" s="32" t="e">
        <f>VLOOKUP(A1,DIV_04Data!$A$1:$DZU$1000000,1230,FALSE)</f>
        <v>#N/A</v>
      </c>
      <c r="F73" s="34" t="e">
        <f>VLOOKUP(A1,DIV_04Data!$A$1:$DZU$1000000,1231,FALSE)</f>
        <v>#N/A</v>
      </c>
      <c r="G73" s="33" t="e">
        <f>VLOOKUP(A1,DIV_04Data!$A$1:$DZU$1000000,1232,FALSE)</f>
        <v>#N/A</v>
      </c>
      <c r="H73" s="34" t="e">
        <f>VLOOKUP(A1,DIV_04Data!$A$1:$DZU$1000000,1233,FALSE)</f>
        <v>#N/A</v>
      </c>
      <c r="I73" s="33" t="e">
        <f>VLOOKUP(A1,DIV_04Data!$A$1:$DZU$1000000,1234,FALSE)</f>
        <v>#N/A</v>
      </c>
      <c r="J73" s="34" t="e">
        <f>VLOOKUP(A1,DIV_04Data!$A$1:$DZU$1000000,1235,FALSE)</f>
        <v>#N/A</v>
      </c>
      <c r="K73" s="34" t="e">
        <f>VLOOKUP(A1,DIV_04Data!$A$1:$DZU$1000000,1236,FALSE)</f>
        <v>#N/A</v>
      </c>
      <c r="L73" s="93" t="e">
        <f>VLOOKUP(A1,DIV_04Data!$A$1:$DZU$1000000,1237,FALSE)</f>
        <v>#N/A</v>
      </c>
      <c r="M73" s="33" t="e">
        <f>VLOOKUP(A1,DIV_04Data!$A$1:$DZU$1000000,1238,FALSE)</f>
        <v>#N/A</v>
      </c>
      <c r="N73" s="34" t="e">
        <f>VLOOKUP(A1,DIV_04Data!$A$1:$DZU$1000000,1239,FALSE)</f>
        <v>#N/A</v>
      </c>
      <c r="O73" s="33" t="e">
        <f>VLOOKUP(A1,DIV_04Data!$A$1:$DZU$1000000,1240,FALSE)</f>
        <v>#N/A</v>
      </c>
      <c r="P73" s="46" t="e">
        <f>VLOOKUP(A1,DIV_04Data!$A$1:$DZU$1000000,1241,FALSE)</f>
        <v>#N/A</v>
      </c>
      <c r="Q73" s="33" t="e">
        <f>VLOOKUP(A1,DIV_04Data!$A$1:$DZU$1000000,1242,FALSE)</f>
        <v>#N/A</v>
      </c>
    </row>
    <row r="74" spans="1:17" x14ac:dyDescent="0.35">
      <c r="A74" s="22" t="e">
        <f>VLOOKUP(A1,DIV_04Data!$A$1:$DZU$1000000,1243,FALSE)</f>
        <v>#N/A</v>
      </c>
      <c r="B74" s="37" t="e">
        <f>VLOOKUP(A1,DIV_04Data!$A$1:$DZU$1000000,1244,FALSE)</f>
        <v>#N/A</v>
      </c>
      <c r="C74" s="38" t="e">
        <f>VLOOKUP(A1,DIV_04Data!$A$1:$DZU$1000000,1245,FALSE)</f>
        <v>#N/A</v>
      </c>
      <c r="D74" s="31" t="e">
        <f>VLOOKUP(A1,DIV_04Data!$A$1:$DZU$1000000,1246,FALSE)</f>
        <v>#N/A</v>
      </c>
      <c r="E74" s="32" t="e">
        <f>VLOOKUP(A1,DIV_04Data!$A$1:$DZU$1000000,1247,FALSE)</f>
        <v>#N/A</v>
      </c>
      <c r="F74" s="34" t="e">
        <f>VLOOKUP(A1,DIV_04Data!$A$1:$DZU$1000000,1248,FALSE)</f>
        <v>#N/A</v>
      </c>
      <c r="G74" s="33" t="e">
        <f>VLOOKUP(A1,DIV_04Data!$A$1:$DZU$1000000,1249,FALSE)</f>
        <v>#N/A</v>
      </c>
      <c r="H74" s="34" t="e">
        <f>VLOOKUP(A1,DIV_04Data!$A$1:$DZU$1000000,1250,FALSE)</f>
        <v>#N/A</v>
      </c>
      <c r="I74" s="33" t="e">
        <f>VLOOKUP(A1,DIV_04Data!$A$1:$DZU$1000000,1251,FALSE)</f>
        <v>#N/A</v>
      </c>
      <c r="J74" s="34" t="e">
        <f>VLOOKUP(A1,DIV_04Data!$A$1:$DZU$1000000,1252,FALSE)</f>
        <v>#N/A</v>
      </c>
      <c r="K74" s="34" t="e">
        <f>VLOOKUP(A1,DIV_04Data!$A$1:$DZU$1000000,1253,FALSE)</f>
        <v>#N/A</v>
      </c>
      <c r="L74" s="93" t="e">
        <f>VLOOKUP(A1,DIV_04Data!$A$1:$DZU$1000000,1254,FALSE)</f>
        <v>#N/A</v>
      </c>
      <c r="M74" s="33" t="e">
        <f>VLOOKUP(A1,DIV_04Data!$A$1:$DZU$1000000,1255,FALSE)</f>
        <v>#N/A</v>
      </c>
      <c r="N74" s="34" t="e">
        <f>VLOOKUP(A1,DIV_04Data!$A$1:$DZU$1000000,1256,FALSE)</f>
        <v>#N/A</v>
      </c>
      <c r="O74" s="33" t="e">
        <f>VLOOKUP(A1,DIV_04Data!$A$1:$DZU$1000000,1257,FALSE)</f>
        <v>#N/A</v>
      </c>
      <c r="P74" s="46" t="e">
        <f>VLOOKUP(A1,DIV_04Data!$A$1:$DZU$1000000,1258,FALSE)</f>
        <v>#N/A</v>
      </c>
      <c r="Q74" s="33" t="e">
        <f>VLOOKUP(A1,DIV_04Data!$A$1:$DZU$1000000,1259,FALSE)</f>
        <v>#N/A</v>
      </c>
    </row>
    <row r="75" spans="1:17" x14ac:dyDescent="0.35">
      <c r="A75" s="22" t="e">
        <f>VLOOKUP(A1,DIV_04Data!$A$1:$DZU$1000000,1260,FALSE)</f>
        <v>#N/A</v>
      </c>
      <c r="B75" s="37" t="e">
        <f>VLOOKUP(A1,DIV_04Data!$A$1:$DZU$1000000,1261,FALSE)</f>
        <v>#N/A</v>
      </c>
      <c r="C75" s="38" t="e">
        <f>VLOOKUP(A1,DIV_04Data!$A$1:$DZU$1000000,1262,FALSE)</f>
        <v>#N/A</v>
      </c>
      <c r="D75" s="31" t="e">
        <f>VLOOKUP(A1,DIV_04Data!$A$1:$DZU$1000000,1263,FALSE)</f>
        <v>#N/A</v>
      </c>
      <c r="E75" s="32" t="e">
        <f>VLOOKUP(A1,DIV_04Data!$A$1:$DZU$1000000,1264,FALSE)</f>
        <v>#N/A</v>
      </c>
      <c r="F75" s="34" t="e">
        <f>VLOOKUP(A1,DIV_04Data!$A$1:$DZU$1000000,1265,FALSE)</f>
        <v>#N/A</v>
      </c>
      <c r="G75" s="33" t="e">
        <f>VLOOKUP(A1,DIV_04Data!$A$1:$DZU$1000000,1266,FALSE)</f>
        <v>#N/A</v>
      </c>
      <c r="H75" s="34" t="e">
        <f>VLOOKUP(A1,DIV_04Data!$A$1:$DZU$1000000,1267,FALSE)</f>
        <v>#N/A</v>
      </c>
      <c r="I75" s="33" t="e">
        <f>VLOOKUP(A1,DIV_04Data!$A$1:$DZU$1000000,1268,FALSE)</f>
        <v>#N/A</v>
      </c>
      <c r="J75" s="34" t="e">
        <f>VLOOKUP(A1,DIV_04Data!$A$1:$DZU$1000000,1269,FALSE)</f>
        <v>#N/A</v>
      </c>
      <c r="K75" s="34" t="e">
        <f>VLOOKUP(A1,DIV_04Data!$A$1:$DZU$1000000,1270,FALSE)</f>
        <v>#N/A</v>
      </c>
      <c r="L75" s="93" t="e">
        <f>VLOOKUP(A1,DIV_04Data!$A$1:$DZU$1000000,1271,FALSE)</f>
        <v>#N/A</v>
      </c>
      <c r="M75" s="33" t="e">
        <f>VLOOKUP(A1,DIV_04Data!$A$1:$DZU$1000000,1272,FALSE)</f>
        <v>#N/A</v>
      </c>
      <c r="N75" s="34" t="e">
        <f>VLOOKUP(A1,DIV_04Data!$A$1:$DZU$1000000,1273,FALSE)</f>
        <v>#N/A</v>
      </c>
      <c r="O75" s="33" t="e">
        <f>VLOOKUP(A1,DIV_04Data!$A$1:$DZU$1000000,1274,FALSE)</f>
        <v>#N/A</v>
      </c>
      <c r="P75" s="46" t="e">
        <f>VLOOKUP(A1,DIV_04Data!$A$1:$DZU$1000000,1275,FALSE)</f>
        <v>#N/A</v>
      </c>
      <c r="Q75" s="33" t="e">
        <f>VLOOKUP(A1,DIV_04Data!$A$1:$DZU$1000000,1276,FALSE)</f>
        <v>#N/A</v>
      </c>
    </row>
    <row r="76" spans="1:17" x14ac:dyDescent="0.35">
      <c r="A76" s="22" t="e">
        <f>VLOOKUP(A1,DIV_04Data!$A$1:$DZU$1000000,1277,FALSE)</f>
        <v>#N/A</v>
      </c>
      <c r="B76" s="37" t="e">
        <f>VLOOKUP(A1,DIV_04Data!$A$1:$DZU$1000000,1278,FALSE)</f>
        <v>#N/A</v>
      </c>
      <c r="C76" s="38" t="e">
        <f>VLOOKUP(A1,DIV_04Data!$A$1:$DZU$1000000,1279,FALSE)</f>
        <v>#N/A</v>
      </c>
      <c r="D76" s="31" t="e">
        <f>VLOOKUP(A1,DIV_04Data!$A$1:$DZU$1000000,1280,FALSE)</f>
        <v>#N/A</v>
      </c>
      <c r="E76" s="32" t="e">
        <f>VLOOKUP(A1,DIV_04Data!$A$1:$DZU$1000000,1281,FALSE)</f>
        <v>#N/A</v>
      </c>
      <c r="F76" s="34" t="e">
        <f>VLOOKUP(A1,DIV_04Data!$A$1:$DZU$1000000,1282,FALSE)</f>
        <v>#N/A</v>
      </c>
      <c r="G76" s="33" t="e">
        <f>VLOOKUP(A1,DIV_04Data!$A$1:$DZU$1000000,1283,FALSE)</f>
        <v>#N/A</v>
      </c>
      <c r="H76" s="34" t="e">
        <f>VLOOKUP(A1,DIV_04Data!$A$1:$DZU$1000000,1284,FALSE)</f>
        <v>#N/A</v>
      </c>
      <c r="I76" s="33" t="e">
        <f>VLOOKUP(A1,DIV_04Data!$A$1:$DZU$1000000,1285,FALSE)</f>
        <v>#N/A</v>
      </c>
      <c r="J76" s="34" t="e">
        <f>VLOOKUP(A1,DIV_04Data!$A$1:$DZU$1000000,1286,FALSE)</f>
        <v>#N/A</v>
      </c>
      <c r="K76" s="34" t="e">
        <f>VLOOKUP(A1,DIV_04Data!$A$1:$DZU$1000000,1287,FALSE)</f>
        <v>#N/A</v>
      </c>
      <c r="L76" s="93" t="e">
        <f>VLOOKUP(A1,DIV_04Data!$A$1:$DZU$1000000,1288,FALSE)</f>
        <v>#N/A</v>
      </c>
      <c r="M76" s="33" t="e">
        <f>VLOOKUP(A1,DIV_04Data!$A$1:$DZU$1000000,1289,FALSE)</f>
        <v>#N/A</v>
      </c>
      <c r="N76" s="34" t="e">
        <f>VLOOKUP(A1,DIV_04Data!$A$1:$DZU$1000000,1290,FALSE)</f>
        <v>#N/A</v>
      </c>
      <c r="O76" s="33" t="e">
        <f>VLOOKUP(A1,DIV_04Data!$A$1:$DZU$1000000,1291,FALSE)</f>
        <v>#N/A</v>
      </c>
      <c r="P76" s="46" t="e">
        <f>VLOOKUP(A1,DIV_04Data!$A$1:$DZU$1000000,1292,FALSE)</f>
        <v>#N/A</v>
      </c>
      <c r="Q76" s="33" t="e">
        <f>VLOOKUP(A1,DIV_04Data!$A$1:$DZU$1000000,1293,FALSE)</f>
        <v>#N/A</v>
      </c>
    </row>
    <row r="77" spans="1:17" x14ac:dyDescent="0.35">
      <c r="A77" s="22" t="e">
        <f>VLOOKUP(A1,DIV_04Data!$A$1:$DZU$1000000,1294,FALSE)</f>
        <v>#N/A</v>
      </c>
      <c r="B77" s="37" t="e">
        <f>VLOOKUP(A1,DIV_04Data!$A$1:$DZU$1000000,1295,FALSE)</f>
        <v>#N/A</v>
      </c>
      <c r="C77" s="38" t="e">
        <f>VLOOKUP(A1,DIV_04Data!$A$1:$DZU$1000000,1296,FALSE)</f>
        <v>#N/A</v>
      </c>
      <c r="D77" s="31" t="e">
        <f>VLOOKUP(A1,DIV_04Data!$A$1:$DZU$1000000,1297,FALSE)</f>
        <v>#N/A</v>
      </c>
      <c r="E77" s="32" t="e">
        <f>VLOOKUP(A1,DIV_04Data!$A$1:$DZU$1000000,1298,FALSE)</f>
        <v>#N/A</v>
      </c>
      <c r="F77" s="34" t="e">
        <f>VLOOKUP(A1,DIV_04Data!$A$1:$DZU$1000000,1299,FALSE)</f>
        <v>#N/A</v>
      </c>
      <c r="G77" s="33" t="e">
        <f>VLOOKUP(A1,DIV_04Data!$A$1:$DZU$1000000,1300,FALSE)</f>
        <v>#N/A</v>
      </c>
      <c r="H77" s="34" t="e">
        <f>VLOOKUP(A1,DIV_04Data!$A$1:$DZU$1000000,1301,FALSE)</f>
        <v>#N/A</v>
      </c>
      <c r="I77" s="33" t="e">
        <f>VLOOKUP(A1,DIV_04Data!$A$1:$DZU$1000000,1302,FALSE)</f>
        <v>#N/A</v>
      </c>
      <c r="J77" s="34" t="e">
        <f>VLOOKUP(A1,DIV_04Data!$A$1:$DZU$1000000,1303,FALSE)</f>
        <v>#N/A</v>
      </c>
      <c r="K77" s="34" t="e">
        <f>VLOOKUP(A1,DIV_04Data!$A$1:$DZU$1000000,1304,FALSE)</f>
        <v>#N/A</v>
      </c>
      <c r="L77" s="93" t="e">
        <f>VLOOKUP(A1,DIV_04Data!$A$1:$DZU$1000000,1305,FALSE)</f>
        <v>#N/A</v>
      </c>
      <c r="M77" s="33" t="e">
        <f>VLOOKUP(A1,DIV_04Data!$A$1:$DZU$1000000,1306,FALSE)</f>
        <v>#N/A</v>
      </c>
      <c r="N77" s="34" t="e">
        <f>VLOOKUP(A1,DIV_04Data!$A$1:$DZU$1000000,1307,FALSE)</f>
        <v>#N/A</v>
      </c>
      <c r="O77" s="33" t="e">
        <f>VLOOKUP(A1,DIV_04Data!$A$1:$DZU$1000000,1308,FALSE)</f>
        <v>#N/A</v>
      </c>
      <c r="P77" s="46" t="e">
        <f>VLOOKUP(A1,DIV_04Data!$A$1:$DZU$1000000,1309,FALSE)</f>
        <v>#N/A</v>
      </c>
      <c r="Q77" s="33" t="e">
        <f>VLOOKUP(A1,DIV_04Data!$A$1:$DZU$1000000,1310,FALSE)</f>
        <v>#N/A</v>
      </c>
    </row>
    <row r="78" spans="1:17" x14ac:dyDescent="0.35">
      <c r="A78" s="22" t="e">
        <f>VLOOKUP(A1,DIV_04Data!$A$1:$DZU$1000000,1311,FALSE)</f>
        <v>#N/A</v>
      </c>
      <c r="B78" s="37" t="e">
        <f>VLOOKUP(A1,DIV_04Data!$A$1:$DZU$1000000,1312,FALSE)</f>
        <v>#N/A</v>
      </c>
      <c r="C78" s="38" t="e">
        <f>VLOOKUP(A1,DIV_04Data!$A$1:$DZU$1000000,1313,FALSE)</f>
        <v>#N/A</v>
      </c>
      <c r="D78" s="31" t="e">
        <f>VLOOKUP(A1,DIV_04Data!$A$1:$DZU$1000000,1314,FALSE)</f>
        <v>#N/A</v>
      </c>
      <c r="E78" s="32" t="e">
        <f>VLOOKUP(A1,DIV_04Data!$A$1:$DZU$1000000,1315,FALSE)</f>
        <v>#N/A</v>
      </c>
      <c r="F78" s="34" t="e">
        <f>VLOOKUP(A1,DIV_04Data!$A$1:$DZU$1000000,1316,FALSE)</f>
        <v>#N/A</v>
      </c>
      <c r="G78" s="33" t="e">
        <f>VLOOKUP(A1,DIV_04Data!$A$1:$DZU$1000000,1317,FALSE)</f>
        <v>#N/A</v>
      </c>
      <c r="H78" s="34" t="e">
        <f>VLOOKUP(A1,DIV_04Data!$A$1:$DZU$1000000,1318,FALSE)</f>
        <v>#N/A</v>
      </c>
      <c r="I78" s="33" t="e">
        <f>VLOOKUP(A1,DIV_04Data!$A$1:$DZU$1000000,1319,FALSE)</f>
        <v>#N/A</v>
      </c>
      <c r="J78" s="34" t="e">
        <f>VLOOKUP(A1,DIV_04Data!$A$1:$DZU$1000000,1320,FALSE)</f>
        <v>#N/A</v>
      </c>
      <c r="K78" s="34" t="e">
        <f>VLOOKUP(A1,DIV_04Data!$A$1:$DZU$1000000,1321,FALSE)</f>
        <v>#N/A</v>
      </c>
      <c r="L78" s="93" t="e">
        <f>VLOOKUP(A1,DIV_04Data!$A$1:$DZU$1000000,1322,FALSE)</f>
        <v>#N/A</v>
      </c>
      <c r="M78" s="33" t="e">
        <f>VLOOKUP(A1,DIV_04Data!$A$1:$DZU$1000000,1323,FALSE)</f>
        <v>#N/A</v>
      </c>
      <c r="N78" s="34" t="e">
        <f>VLOOKUP(A1,DIV_04Data!$A$1:$DZU$1000000,1324,FALSE)</f>
        <v>#N/A</v>
      </c>
      <c r="O78" s="33" t="e">
        <f>VLOOKUP(A1,DIV_04Data!$A$1:$DZU$1000000,1325,FALSE)</f>
        <v>#N/A</v>
      </c>
      <c r="P78" s="46" t="e">
        <f>VLOOKUP(A1,DIV_04Data!$A$1:$DZU$1000000,1326,FALSE)</f>
        <v>#N/A</v>
      </c>
      <c r="Q78" s="33" t="e">
        <f>VLOOKUP(A1,DIV_04Data!$A$1:$DZU$1000000,1327,FALSE)</f>
        <v>#N/A</v>
      </c>
    </row>
    <row r="79" spans="1:17" x14ac:dyDescent="0.35">
      <c r="A79" s="22" t="e">
        <f>VLOOKUP(A1,DIV_04Data!$A$1:$DZU$1000000,1328,FALSE)</f>
        <v>#N/A</v>
      </c>
      <c r="B79" s="37" t="e">
        <f>VLOOKUP(A1,DIV_04Data!$A$1:$DZU$1000000,1329,FALSE)</f>
        <v>#N/A</v>
      </c>
      <c r="C79" s="38" t="e">
        <f>VLOOKUP(A1,DIV_04Data!$A$1:$DZU$1000000,1330,FALSE)</f>
        <v>#N/A</v>
      </c>
      <c r="D79" s="31" t="e">
        <f>VLOOKUP(A1,DIV_04Data!$A$1:$DZU$1000000,1331,FALSE)</f>
        <v>#N/A</v>
      </c>
      <c r="E79" s="32" t="e">
        <f>VLOOKUP(A1,DIV_04Data!$A$1:$DZU$1000000,1332,FALSE)</f>
        <v>#N/A</v>
      </c>
      <c r="F79" s="34" t="e">
        <f>VLOOKUP(A1,DIV_04Data!$A$1:$DZU$1000000,1333,FALSE)</f>
        <v>#N/A</v>
      </c>
      <c r="G79" s="33" t="e">
        <f>VLOOKUP(A1,DIV_04Data!$A$1:$DZU$1000000,1334,FALSE)</f>
        <v>#N/A</v>
      </c>
      <c r="H79" s="34" t="e">
        <f>VLOOKUP(A1,DIV_04Data!$A$1:$DZU$1000000,1335,FALSE)</f>
        <v>#N/A</v>
      </c>
      <c r="I79" s="33" t="e">
        <f>VLOOKUP(A1,DIV_04Data!$A$1:$DZU$1000000,1336,FALSE)</f>
        <v>#N/A</v>
      </c>
      <c r="J79" s="34" t="e">
        <f>VLOOKUP(A1,DIV_04Data!$A$1:$DZU$1000000,1337,FALSE)</f>
        <v>#N/A</v>
      </c>
      <c r="K79" s="34" t="e">
        <f>VLOOKUP(A1,DIV_04Data!$A$1:$DZU$1000000,1338,FALSE)</f>
        <v>#N/A</v>
      </c>
      <c r="L79" s="93" t="e">
        <f>VLOOKUP(A1,DIV_04Data!$A$1:$DZU$1000000,1339,FALSE)</f>
        <v>#N/A</v>
      </c>
      <c r="M79" s="33" t="e">
        <f>VLOOKUP(A1,DIV_04Data!$A$1:$DZU$1000000,1340,FALSE)</f>
        <v>#N/A</v>
      </c>
      <c r="N79" s="34" t="e">
        <f>VLOOKUP(A1,DIV_04Data!$A$1:$DZU$1000000,1341,FALSE)</f>
        <v>#N/A</v>
      </c>
      <c r="O79" s="33" t="e">
        <f>VLOOKUP(A1,DIV_04Data!$A$1:$DZU$1000000,1342,FALSE)</f>
        <v>#N/A</v>
      </c>
      <c r="P79" s="46" t="e">
        <f>VLOOKUP(A1,DIV_04Data!$A$1:$DZU$1000000,1343,FALSE)</f>
        <v>#N/A</v>
      </c>
      <c r="Q79" s="33" t="e">
        <f>VLOOKUP(A1,DIV_04Data!$A$1:$DZU$1000000,1344,FALSE)</f>
        <v>#N/A</v>
      </c>
    </row>
    <row r="80" spans="1:17" x14ac:dyDescent="0.35">
      <c r="A80" s="22" t="e">
        <f>VLOOKUP(A1,DIV_04Data!$A$1:$DZU$1000000,1345,FALSE)</f>
        <v>#N/A</v>
      </c>
      <c r="B80" s="37" t="e">
        <f>VLOOKUP(A1,DIV_04Data!$A$1:$DZU$1000000,1346,FALSE)</f>
        <v>#N/A</v>
      </c>
      <c r="C80" s="38" t="e">
        <f>VLOOKUP(A1,DIV_04Data!$A$1:$DZU$1000000,1347,FALSE)</f>
        <v>#N/A</v>
      </c>
      <c r="D80" s="31" t="e">
        <f>VLOOKUP(A1,DIV_04Data!$A$1:$DZU$1000000,1348,FALSE)</f>
        <v>#N/A</v>
      </c>
      <c r="E80" s="32" t="e">
        <f>VLOOKUP(A1,DIV_04Data!$A$1:$DZU$1000000,1349,FALSE)</f>
        <v>#N/A</v>
      </c>
      <c r="F80" s="34" t="e">
        <f>VLOOKUP(A1,DIV_04Data!$A$1:$DZU$1000000,1350,FALSE)</f>
        <v>#N/A</v>
      </c>
      <c r="G80" s="33" t="e">
        <f>VLOOKUP(A1,DIV_04Data!$A$1:$DZU$1000000,1351,FALSE)</f>
        <v>#N/A</v>
      </c>
      <c r="H80" s="34" t="e">
        <f>VLOOKUP(A1,DIV_04Data!$A$1:$DZU$1000000,1352,FALSE)</f>
        <v>#N/A</v>
      </c>
      <c r="I80" s="33" t="e">
        <f>VLOOKUP(A1,DIV_04Data!$A$1:$DZU$1000000,1353,FALSE)</f>
        <v>#N/A</v>
      </c>
      <c r="J80" s="34" t="e">
        <f>VLOOKUP(A1,DIV_04Data!$A$1:$DZU$1000000,1354,FALSE)</f>
        <v>#N/A</v>
      </c>
      <c r="K80" s="34" t="e">
        <f>VLOOKUP(A1,DIV_04Data!$A$1:$DZU$1000000,1355,FALSE)</f>
        <v>#N/A</v>
      </c>
      <c r="L80" s="93" t="e">
        <f>VLOOKUP(A1,DIV_04Data!$A$1:$DZU$1000000,1356,FALSE)</f>
        <v>#N/A</v>
      </c>
      <c r="M80" s="33" t="e">
        <f>VLOOKUP(A1,DIV_04Data!$A$1:$DZU$1000000,1357,FALSE)</f>
        <v>#N/A</v>
      </c>
      <c r="N80" s="34" t="e">
        <f>VLOOKUP(A1,DIV_04Data!$A$1:$DZU$1000000,1358,FALSE)</f>
        <v>#N/A</v>
      </c>
      <c r="O80" s="33" t="e">
        <f>VLOOKUP(A1,DIV_04Data!$A$1:$DZU$1000000,1359,FALSE)</f>
        <v>#N/A</v>
      </c>
      <c r="P80" s="46" t="e">
        <f>VLOOKUP(A1,DIV_04Data!$A$1:$DZU$1000000,1360,FALSE)</f>
        <v>#N/A</v>
      </c>
      <c r="Q80" s="33" t="e">
        <f>VLOOKUP(A1,DIV_04Data!$A$1:$DZU$1000000,1361,FALSE)</f>
        <v>#N/A</v>
      </c>
    </row>
    <row r="81" spans="1:17" x14ac:dyDescent="0.35">
      <c r="A81" s="22" t="e">
        <f>VLOOKUP(A1,DIV_04Data!$A$1:$DZU$1000000,1362,FALSE)</f>
        <v>#N/A</v>
      </c>
      <c r="B81" s="37" t="e">
        <f>VLOOKUP(A1,DIV_04Data!$A$1:$DZU$1000000,1363,FALSE)</f>
        <v>#N/A</v>
      </c>
      <c r="C81" s="38" t="e">
        <f>VLOOKUP(A1,DIV_04Data!$A$1:$DZU$1000000,1364,FALSE)</f>
        <v>#N/A</v>
      </c>
      <c r="D81" s="31" t="e">
        <f>VLOOKUP(A1,DIV_04Data!$A$1:$DZU$1000000,1365,FALSE)</f>
        <v>#N/A</v>
      </c>
      <c r="E81" s="32" t="e">
        <f>VLOOKUP(A1,DIV_04Data!$A$1:$DZU$1000000,1366,FALSE)</f>
        <v>#N/A</v>
      </c>
      <c r="F81" s="34" t="e">
        <f>VLOOKUP(A1,DIV_04Data!$A$1:$DZU$1000000,1367,FALSE)</f>
        <v>#N/A</v>
      </c>
      <c r="G81" s="33" t="e">
        <f>VLOOKUP(A1,DIV_04Data!$A$1:$DZU$1000000,1368,FALSE)</f>
        <v>#N/A</v>
      </c>
      <c r="H81" s="34" t="e">
        <f>VLOOKUP(A1,DIV_04Data!$A$1:$DZU$1000000,1369,FALSE)</f>
        <v>#N/A</v>
      </c>
      <c r="I81" s="33" t="e">
        <f>VLOOKUP(A1,DIV_04Data!$A$1:$DZU$1000000,1370,FALSE)</f>
        <v>#N/A</v>
      </c>
      <c r="J81" s="34" t="e">
        <f>VLOOKUP(A1,DIV_04Data!$A$1:$DZU$1000000,1371,FALSE)</f>
        <v>#N/A</v>
      </c>
      <c r="K81" s="34" t="e">
        <f>VLOOKUP(A1,DIV_04Data!$A$1:$DZU$1000000,1372,FALSE)</f>
        <v>#N/A</v>
      </c>
      <c r="L81" s="93" t="e">
        <f>VLOOKUP(A1,DIV_04Data!$A$1:$DZU$1000000,1373,FALSE)</f>
        <v>#N/A</v>
      </c>
      <c r="M81" s="33" t="e">
        <f>VLOOKUP(A1,DIV_04Data!$A$1:$DZU$1000000,1374,FALSE)</f>
        <v>#N/A</v>
      </c>
      <c r="N81" s="34" t="e">
        <f>VLOOKUP(A1,DIV_04Data!$A$1:$DZU$1000000,1375,FALSE)</f>
        <v>#N/A</v>
      </c>
      <c r="O81" s="33" t="e">
        <f>VLOOKUP(A1,DIV_04Data!$A$1:$DZU$1000000,1376,FALSE)</f>
        <v>#N/A</v>
      </c>
      <c r="P81" s="46" t="e">
        <f>VLOOKUP(A1,DIV_04Data!$A$1:$DZU$1000000,1377,FALSE)</f>
        <v>#N/A</v>
      </c>
      <c r="Q81" s="33" t="e">
        <f>VLOOKUP(A1,DIV_04Data!$A$1:$DZU$1000000,1378,FALSE)</f>
        <v>#N/A</v>
      </c>
    </row>
    <row r="82" spans="1:17" x14ac:dyDescent="0.35">
      <c r="A82" s="22" t="e">
        <f>VLOOKUP(A1,DIV_04Data!$A$1:$DZU$1000000,1379,FALSE)</f>
        <v>#N/A</v>
      </c>
      <c r="B82" s="37" t="e">
        <f>VLOOKUP(A1,DIV_04Data!$A$1:$DZU$1000000,1380,FALSE)</f>
        <v>#N/A</v>
      </c>
      <c r="C82" s="38" t="e">
        <f>VLOOKUP(A1,DIV_04Data!$A$1:$DZU$1000000,1381,FALSE)</f>
        <v>#N/A</v>
      </c>
      <c r="D82" s="31" t="e">
        <f>VLOOKUP(A1,DIV_04Data!$A$1:$DZU$1000000,1382,FALSE)</f>
        <v>#N/A</v>
      </c>
      <c r="E82" s="32" t="e">
        <f>VLOOKUP(A1,DIV_04Data!$A$1:$DZU$1000000,1383,FALSE)</f>
        <v>#N/A</v>
      </c>
      <c r="F82" s="34" t="e">
        <f>VLOOKUP(A1,DIV_04Data!$A$1:$DZU$1000000,1384,FALSE)</f>
        <v>#N/A</v>
      </c>
      <c r="G82" s="33" t="e">
        <f>VLOOKUP(A1,DIV_04Data!$A$1:$DZU$1000000,1385,FALSE)</f>
        <v>#N/A</v>
      </c>
      <c r="H82" s="34" t="e">
        <f>VLOOKUP(A1,DIV_04Data!$A$1:$DZU$1000000,1386,FALSE)</f>
        <v>#N/A</v>
      </c>
      <c r="I82" s="33" t="e">
        <f>VLOOKUP(A1,DIV_04Data!$A$1:$DZU$1000000,1387,FALSE)</f>
        <v>#N/A</v>
      </c>
      <c r="J82" s="34" t="e">
        <f>VLOOKUP(A1,DIV_04Data!$A$1:$DZU$1000000,1388,FALSE)</f>
        <v>#N/A</v>
      </c>
      <c r="K82" s="34" t="e">
        <f>VLOOKUP(A1,DIV_04Data!$A$1:$DZU$1000000,1389,FALSE)</f>
        <v>#N/A</v>
      </c>
      <c r="L82" s="93" t="e">
        <f>VLOOKUP(A1,DIV_04Data!$A$1:$DZU$1000000,1390,FALSE)</f>
        <v>#N/A</v>
      </c>
      <c r="M82" s="33" t="e">
        <f>VLOOKUP(A1,DIV_04Data!$A$1:$DZU$1000000,1391,FALSE)</f>
        <v>#N/A</v>
      </c>
      <c r="N82" s="34" t="e">
        <f>VLOOKUP(A1,DIV_04Data!$A$1:$DZU$1000000,1392,FALSE)</f>
        <v>#N/A</v>
      </c>
      <c r="O82" s="33" t="e">
        <f>VLOOKUP(A1,DIV_04Data!$A$1:$DZU$1000000,1393,FALSE)</f>
        <v>#N/A</v>
      </c>
      <c r="P82" s="46" t="e">
        <f>VLOOKUP(A1,DIV_04Data!$A$1:$DZU$1000000,1394,FALSE)</f>
        <v>#N/A</v>
      </c>
      <c r="Q82" s="33" t="e">
        <f>VLOOKUP(A1,DIV_04Data!$A$1:$DZU$1000000,1395,FALSE)</f>
        <v>#N/A</v>
      </c>
    </row>
    <row r="83" spans="1:17" x14ac:dyDescent="0.35">
      <c r="A83" s="22" t="e">
        <f>VLOOKUP(A1,DIV_04Data!$A$1:$DZU$1000000,1396,FALSE)</f>
        <v>#N/A</v>
      </c>
      <c r="B83" s="37" t="e">
        <f>VLOOKUP(A1,DIV_04Data!$A$1:$DZU$1000000,1397,FALSE)</f>
        <v>#N/A</v>
      </c>
      <c r="C83" s="38" t="e">
        <f>VLOOKUP(A1,DIV_04Data!$A$1:$DZU$1000000,1398,FALSE)</f>
        <v>#N/A</v>
      </c>
      <c r="D83" s="31" t="e">
        <f>VLOOKUP(A1,DIV_04Data!$A$1:$DZU$1000000,1399,FALSE)</f>
        <v>#N/A</v>
      </c>
      <c r="E83" s="32" t="e">
        <f>VLOOKUP(A1,DIV_04Data!$A$1:$DZU$1000000,1400,FALSE)</f>
        <v>#N/A</v>
      </c>
      <c r="F83" s="34" t="e">
        <f>VLOOKUP(A1,DIV_04Data!$A$1:$DZU$1000000,1401,FALSE)</f>
        <v>#N/A</v>
      </c>
      <c r="G83" s="33" t="e">
        <f>VLOOKUP(A1,DIV_04Data!$A$1:$DZU$1000000,1402,FALSE)</f>
        <v>#N/A</v>
      </c>
      <c r="H83" s="34" t="e">
        <f>VLOOKUP(A1,DIV_04Data!$A$1:$DZU$1000000,1403,FALSE)</f>
        <v>#N/A</v>
      </c>
      <c r="I83" s="33" t="e">
        <f>VLOOKUP(A1,DIV_04Data!$A$1:$DZU$1000000,1404,FALSE)</f>
        <v>#N/A</v>
      </c>
      <c r="J83" s="34" t="e">
        <f>VLOOKUP(A1,DIV_04Data!$A$1:$DZU$1000000,1405,FALSE)</f>
        <v>#N/A</v>
      </c>
      <c r="K83" s="34" t="e">
        <f>VLOOKUP(A1,DIV_04Data!$A$1:$DZU$1000000,1406,FALSE)</f>
        <v>#N/A</v>
      </c>
      <c r="L83" s="93" t="e">
        <f>VLOOKUP(A1,DIV_04Data!$A$1:$DZU$1000000,1407,FALSE)</f>
        <v>#N/A</v>
      </c>
      <c r="M83" s="33" t="e">
        <f>VLOOKUP(A1,DIV_04Data!$A$1:$DZU$1000000,1408,FALSE)</f>
        <v>#N/A</v>
      </c>
      <c r="N83" s="34" t="e">
        <f>VLOOKUP(A1,DIV_04Data!$A$1:$DZU$1000000,1409,FALSE)</f>
        <v>#N/A</v>
      </c>
      <c r="O83" s="33" t="e">
        <f>VLOOKUP(A1,DIV_04Data!$A$1:$DZU$1000000,1410,FALSE)</f>
        <v>#N/A</v>
      </c>
      <c r="P83" s="46" t="e">
        <f>VLOOKUP(A1,DIV_04Data!$A$1:$DZU$1000000,1411,FALSE)</f>
        <v>#N/A</v>
      </c>
      <c r="Q83" s="33" t="e">
        <f>VLOOKUP(A1,DIV_04Data!$A$1:$DZU$1000000,1412,FALSE)</f>
        <v>#N/A</v>
      </c>
    </row>
    <row r="84" spans="1:17" x14ac:dyDescent="0.35">
      <c r="A84" s="22" t="e">
        <f>VLOOKUP(A1,DIV_04Data!$A$1:$DZU$1000000,1413,FALSE)</f>
        <v>#N/A</v>
      </c>
      <c r="B84" s="37" t="e">
        <f>VLOOKUP(A1,DIV_04Data!$A$1:$DZU$1000000,1414,FALSE)</f>
        <v>#N/A</v>
      </c>
      <c r="C84" s="38" t="e">
        <f>VLOOKUP(A1,DIV_04Data!$A$1:$DZU$1000000,1415,FALSE)</f>
        <v>#N/A</v>
      </c>
      <c r="D84" s="31" t="e">
        <f>VLOOKUP(A1,DIV_04Data!$A$1:$DZU$1000000,1416,FALSE)</f>
        <v>#N/A</v>
      </c>
      <c r="E84" s="32" t="e">
        <f>VLOOKUP(A1,DIV_04Data!$A$1:$DZU$1000000,1417,FALSE)</f>
        <v>#N/A</v>
      </c>
      <c r="F84" s="34" t="e">
        <f>VLOOKUP(A1,DIV_04Data!$A$1:$DZU$1000000,1418,FALSE)</f>
        <v>#N/A</v>
      </c>
      <c r="G84" s="33" t="e">
        <f>VLOOKUP(A1,DIV_04Data!$A$1:$DZU$1000000,1419,FALSE)</f>
        <v>#N/A</v>
      </c>
      <c r="H84" s="34" t="e">
        <f>VLOOKUP(A1,DIV_04Data!$A$1:$DZU$1000000,1420,FALSE)</f>
        <v>#N/A</v>
      </c>
      <c r="I84" s="33" t="e">
        <f>VLOOKUP(A1,DIV_04Data!$A$1:$DZU$1000000,1421,FALSE)</f>
        <v>#N/A</v>
      </c>
      <c r="J84" s="34" t="e">
        <f>VLOOKUP(A1,DIV_04Data!$A$1:$DZU$1000000,1422,FALSE)</f>
        <v>#N/A</v>
      </c>
      <c r="K84" s="34" t="e">
        <f>VLOOKUP(A1,DIV_04Data!$A$1:$DZU$1000000,1423,FALSE)</f>
        <v>#N/A</v>
      </c>
      <c r="L84" s="93" t="e">
        <f>VLOOKUP(A1,DIV_04Data!$A$1:$DZU$1000000,1424,FALSE)</f>
        <v>#N/A</v>
      </c>
      <c r="M84" s="33" t="e">
        <f>VLOOKUP(A1,DIV_04Data!$A$1:$DZU$1000000,1425,FALSE)</f>
        <v>#N/A</v>
      </c>
      <c r="N84" s="34" t="e">
        <f>VLOOKUP(A1,DIV_04Data!$A$1:$DZU$1000000,1426,FALSE)</f>
        <v>#N/A</v>
      </c>
      <c r="O84" s="33" t="e">
        <f>VLOOKUP(A1,DIV_04Data!$A$1:$DZU$1000000,1427,FALSE)</f>
        <v>#N/A</v>
      </c>
      <c r="P84" s="46" t="e">
        <f>VLOOKUP(A1,DIV_04Data!$A$1:$DZU$1000000,1428,FALSE)</f>
        <v>#N/A</v>
      </c>
      <c r="Q84" s="33" t="e">
        <f>VLOOKUP(A1,DIV_04Data!$A$1:$DZU$1000000,1429,FALSE)</f>
        <v>#N/A</v>
      </c>
    </row>
    <row r="85" spans="1:17" x14ac:dyDescent="0.35">
      <c r="A85" s="22" t="e">
        <f>VLOOKUP(A1,DIV_04Data!$A$1:$DZU$1000000,1430,FALSE)</f>
        <v>#N/A</v>
      </c>
      <c r="B85" s="37" t="e">
        <f>VLOOKUP(A1,DIV_04Data!$A$1:$DZU$1000000,1431,FALSE)</f>
        <v>#N/A</v>
      </c>
      <c r="C85" s="38" t="e">
        <f>VLOOKUP(A1,DIV_04Data!$A$1:$DZU$1000000,1432,FALSE)</f>
        <v>#N/A</v>
      </c>
      <c r="D85" s="31" t="e">
        <f>VLOOKUP(A1,DIV_04Data!$A$1:$DZU$1000000,1433,FALSE)</f>
        <v>#N/A</v>
      </c>
      <c r="E85" s="32" t="e">
        <f>VLOOKUP(A1,DIV_04Data!$A$1:$DZU$1000000,1434,FALSE)</f>
        <v>#N/A</v>
      </c>
      <c r="F85" s="34" t="e">
        <f>VLOOKUP(A1,DIV_04Data!$A$1:$DZU$1000000,1435,FALSE)</f>
        <v>#N/A</v>
      </c>
      <c r="G85" s="33" t="e">
        <f>VLOOKUP(A1,DIV_04Data!$A$1:$DZU$1000000,1436,FALSE)</f>
        <v>#N/A</v>
      </c>
      <c r="H85" s="34" t="e">
        <f>VLOOKUP(A1,DIV_04Data!$A$1:$DZU$1000000,1437,FALSE)</f>
        <v>#N/A</v>
      </c>
      <c r="I85" s="33" t="e">
        <f>VLOOKUP(A1,DIV_04Data!$A$1:$DZU$1000000,1438,FALSE)</f>
        <v>#N/A</v>
      </c>
      <c r="J85" s="34" t="e">
        <f>VLOOKUP(A1,DIV_04Data!$A$1:$DZU$1000000,1439,FALSE)</f>
        <v>#N/A</v>
      </c>
      <c r="K85" s="34" t="e">
        <f>VLOOKUP(A1,DIV_04Data!$A$1:$DZU$1000000,1440,FALSE)</f>
        <v>#N/A</v>
      </c>
      <c r="L85" s="93" t="e">
        <f>VLOOKUP(A1,DIV_04Data!$A$1:$DZU$1000000,1441,FALSE)</f>
        <v>#N/A</v>
      </c>
      <c r="M85" s="33" t="e">
        <f>VLOOKUP(A1,DIV_04Data!$A$1:$DZU$1000000,1442,FALSE)</f>
        <v>#N/A</v>
      </c>
      <c r="N85" s="34" t="e">
        <f>VLOOKUP(A1,DIV_04Data!$A$1:$DZU$1000000,1443,FALSE)</f>
        <v>#N/A</v>
      </c>
      <c r="O85" s="33" t="e">
        <f>VLOOKUP(A1,DIV_04Data!$A$1:$DZU$1000000,1444,FALSE)</f>
        <v>#N/A</v>
      </c>
      <c r="P85" s="46" t="e">
        <f>VLOOKUP(A1,DIV_04Data!$A$1:$DZU$1000000,1445,FALSE)</f>
        <v>#N/A</v>
      </c>
      <c r="Q85" s="33" t="e">
        <f>VLOOKUP(A1,DIV_04Data!$A$1:$DZU$1000000,1446,FALSE)</f>
        <v>#N/A</v>
      </c>
    </row>
    <row r="86" spans="1:17" x14ac:dyDescent="0.35">
      <c r="A86" s="22" t="e">
        <f>VLOOKUP(A1,DIV_04Data!$A$1:$DZU$1000000,1447,FALSE)</f>
        <v>#N/A</v>
      </c>
      <c r="B86" s="37" t="e">
        <f>VLOOKUP(A1,DIV_04Data!$A$1:$DZU$1000000,1448,FALSE)</f>
        <v>#N/A</v>
      </c>
      <c r="C86" s="38" t="e">
        <f>VLOOKUP(A1,DIV_04Data!$A$1:$DZU$1000000,1449,FALSE)</f>
        <v>#N/A</v>
      </c>
      <c r="D86" s="31" t="e">
        <f>VLOOKUP(A1,DIV_04Data!$A$1:$DZU$1000000,1450,FALSE)</f>
        <v>#N/A</v>
      </c>
      <c r="E86" s="32" t="e">
        <f>VLOOKUP(A1,DIV_04Data!$A$1:$DZU$1000000,1451,FALSE)</f>
        <v>#N/A</v>
      </c>
      <c r="F86" s="34" t="e">
        <f>VLOOKUP(A1,DIV_04Data!$A$1:$DZU$1000000,1452,FALSE)</f>
        <v>#N/A</v>
      </c>
      <c r="G86" s="33" t="e">
        <f>VLOOKUP(A1,DIV_04Data!$A$1:$DZU$1000000,1453,FALSE)</f>
        <v>#N/A</v>
      </c>
      <c r="H86" s="34" t="e">
        <f>VLOOKUP(A1,DIV_04Data!$A$1:$DZU$1000000,1454,FALSE)</f>
        <v>#N/A</v>
      </c>
      <c r="I86" s="33" t="e">
        <f>VLOOKUP(A1,DIV_04Data!$A$1:$DZU$1000000,1455,FALSE)</f>
        <v>#N/A</v>
      </c>
      <c r="J86" s="34" t="e">
        <f>VLOOKUP(A1,DIV_04Data!$A$1:$DZU$1000000,1456,FALSE)</f>
        <v>#N/A</v>
      </c>
      <c r="K86" s="34" t="e">
        <f>VLOOKUP(A1,DIV_04Data!$A$1:$DZU$1000000,1457,FALSE)</f>
        <v>#N/A</v>
      </c>
      <c r="L86" s="93" t="e">
        <f>VLOOKUP(A1,DIV_04Data!$A$1:$DZU$1000000,1458,FALSE)</f>
        <v>#N/A</v>
      </c>
      <c r="M86" s="33" t="e">
        <f>VLOOKUP(A1,DIV_04Data!$A$1:$DZU$1000000,1459,FALSE)</f>
        <v>#N/A</v>
      </c>
      <c r="N86" s="34" t="e">
        <f>VLOOKUP(A1,DIV_04Data!$A$1:$DZU$1000000,1460,FALSE)</f>
        <v>#N/A</v>
      </c>
      <c r="O86" s="33" t="e">
        <f>VLOOKUP(A1,DIV_04Data!$A$1:$DZU$1000000,1461,FALSE)</f>
        <v>#N/A</v>
      </c>
      <c r="P86" s="46" t="e">
        <f>VLOOKUP(A1,DIV_04Data!$A$1:$DZU$1000000,1462,FALSE)</f>
        <v>#N/A</v>
      </c>
      <c r="Q86" s="33" t="e">
        <f>VLOOKUP(A1,DIV_04Data!$A$1:$DZU$1000000,1463,FALSE)</f>
        <v>#N/A</v>
      </c>
    </row>
    <row r="87" spans="1:17" x14ac:dyDescent="0.35">
      <c r="A87" s="22" t="e">
        <f>VLOOKUP(A1,DIV_04Data!$A$1:$DZU$1000000,1464,FALSE)</f>
        <v>#N/A</v>
      </c>
      <c r="B87" s="37" t="e">
        <f>VLOOKUP(A1,DIV_04Data!$A$1:$DZU$1000000,1465,FALSE)</f>
        <v>#N/A</v>
      </c>
      <c r="C87" s="38" t="e">
        <f>VLOOKUP(A1,DIV_04Data!$A$1:$DZU$1000000,1466,FALSE)</f>
        <v>#N/A</v>
      </c>
      <c r="D87" s="31" t="e">
        <f>VLOOKUP(A1,DIV_04Data!$A$1:$DZU$1000000,1467,FALSE)</f>
        <v>#N/A</v>
      </c>
      <c r="E87" s="32" t="e">
        <f>VLOOKUP(A1,DIV_04Data!$A$1:$DZU$1000000,1468,FALSE)</f>
        <v>#N/A</v>
      </c>
      <c r="F87" s="34" t="e">
        <f>VLOOKUP(A1,DIV_04Data!$A$1:$DZU$1000000,1469,FALSE)</f>
        <v>#N/A</v>
      </c>
      <c r="G87" s="33" t="e">
        <f>VLOOKUP(A1,DIV_04Data!$A$1:$DZU$1000000,1470,FALSE)</f>
        <v>#N/A</v>
      </c>
      <c r="H87" s="34" t="e">
        <f>VLOOKUP(A1,DIV_04Data!$A$1:$DZU$1000000,1471,FALSE)</f>
        <v>#N/A</v>
      </c>
      <c r="I87" s="33" t="e">
        <f>VLOOKUP(A1,DIV_04Data!$A$1:$DZU$1000000,1472,FALSE)</f>
        <v>#N/A</v>
      </c>
      <c r="J87" s="34" t="e">
        <f>VLOOKUP(A1,DIV_04Data!$A$1:$DZU$1000000,1473,FALSE)</f>
        <v>#N/A</v>
      </c>
      <c r="K87" s="34" t="e">
        <f>VLOOKUP(A1,DIV_04Data!$A$1:$DZU$1000000,1474,FALSE)</f>
        <v>#N/A</v>
      </c>
      <c r="L87" s="93" t="e">
        <f>VLOOKUP(A1,DIV_04Data!$A$1:$DZU$1000000,1475,FALSE)</f>
        <v>#N/A</v>
      </c>
      <c r="M87" s="33" t="e">
        <f>VLOOKUP(A1,DIV_04Data!$A$1:$DZU$1000000,1476,FALSE)</f>
        <v>#N/A</v>
      </c>
      <c r="N87" s="34" t="e">
        <f>VLOOKUP(A1,DIV_04Data!$A$1:$DZU$1000000,1477,FALSE)</f>
        <v>#N/A</v>
      </c>
      <c r="O87" s="33" t="e">
        <f>VLOOKUP(A1,DIV_04Data!$A$1:$DZU$1000000,1478,FALSE)</f>
        <v>#N/A</v>
      </c>
      <c r="P87" s="46" t="e">
        <f>VLOOKUP(A1,DIV_04Data!$A$1:$DZU$1000000,1479,FALSE)</f>
        <v>#N/A</v>
      </c>
      <c r="Q87" s="33" t="e">
        <f>VLOOKUP(A1,DIV_04Data!$A$1:$DZU$1000000,1480,FALSE)</f>
        <v>#N/A</v>
      </c>
    </row>
    <row r="88" spans="1:17" x14ac:dyDescent="0.35">
      <c r="A88" s="22" t="e">
        <f>VLOOKUP(A1,DIV_04Data!$A$1:$DZU$1000000,1481,FALSE)</f>
        <v>#N/A</v>
      </c>
      <c r="B88" s="37" t="e">
        <f>VLOOKUP(A1,DIV_04Data!$A$1:$DZU$1000000,1482,FALSE)</f>
        <v>#N/A</v>
      </c>
      <c r="C88" s="38" t="e">
        <f>VLOOKUP(A1,DIV_04Data!$A$1:$DZU$1000000,1483,FALSE)</f>
        <v>#N/A</v>
      </c>
      <c r="D88" s="31" t="e">
        <f>VLOOKUP(A1,DIV_04Data!$A$1:$DZU$1000000,1484,FALSE)</f>
        <v>#N/A</v>
      </c>
      <c r="E88" s="32" t="e">
        <f>VLOOKUP(A1,DIV_04Data!$A$1:$DZU$1000000,1485,FALSE)</f>
        <v>#N/A</v>
      </c>
      <c r="F88" s="34" t="e">
        <f>VLOOKUP(A1,DIV_04Data!$A$1:$DZU$1000000,1486,FALSE)</f>
        <v>#N/A</v>
      </c>
      <c r="G88" s="33" t="e">
        <f>VLOOKUP(A1,DIV_04Data!$A$1:$DZU$1000000,1487,FALSE)</f>
        <v>#N/A</v>
      </c>
      <c r="H88" s="34" t="e">
        <f>VLOOKUP(A1,DIV_04Data!$A$1:$DZU$1000000,1488,FALSE)</f>
        <v>#N/A</v>
      </c>
      <c r="I88" s="33" t="e">
        <f>VLOOKUP(A1,DIV_04Data!$A$1:$DZU$1000000,1489,FALSE)</f>
        <v>#N/A</v>
      </c>
      <c r="J88" s="34" t="e">
        <f>VLOOKUP(A1,DIV_04Data!$A$1:$DZU$1000000,1490,FALSE)</f>
        <v>#N/A</v>
      </c>
      <c r="K88" s="34" t="e">
        <f>VLOOKUP(A1,DIV_04Data!$A$1:$DZU$1000000,1491,FALSE)</f>
        <v>#N/A</v>
      </c>
      <c r="L88" s="93" t="e">
        <f>VLOOKUP(A1,DIV_04Data!$A$1:$DZU$1000000,1492,FALSE)</f>
        <v>#N/A</v>
      </c>
      <c r="M88" s="33" t="e">
        <f>VLOOKUP(A1,DIV_04Data!$A$1:$DZU$1000000,1493,FALSE)</f>
        <v>#N/A</v>
      </c>
      <c r="N88" s="34" t="e">
        <f>VLOOKUP(A1,DIV_04Data!$A$1:$DZU$1000000,1494,FALSE)</f>
        <v>#N/A</v>
      </c>
      <c r="O88" s="33" t="e">
        <f>VLOOKUP(A1,DIV_04Data!$A$1:$DZU$1000000,1495,FALSE)</f>
        <v>#N/A</v>
      </c>
      <c r="P88" s="46" t="e">
        <f>VLOOKUP(A1,DIV_04Data!$A$1:$DZU$1000000,1496,FALSE)</f>
        <v>#N/A</v>
      </c>
      <c r="Q88" s="33" t="e">
        <f>VLOOKUP(A1,DIV_04Data!$A$1:$DZU$1000000,1497,FALSE)</f>
        <v>#N/A</v>
      </c>
    </row>
    <row r="89" spans="1:17" x14ac:dyDescent="0.35">
      <c r="A89" s="22" t="e">
        <f>VLOOKUP(A1,DIV_04Data!$A$1:$DZU$1000000,1498,FALSE)</f>
        <v>#N/A</v>
      </c>
      <c r="B89" s="37" t="e">
        <f>VLOOKUP(A1,DIV_04Data!$A$1:$DZU$1000000,1499,FALSE)</f>
        <v>#N/A</v>
      </c>
      <c r="C89" s="38" t="e">
        <f>VLOOKUP(A1,DIV_04Data!$A$1:$DZU$1000000,1500,FALSE)</f>
        <v>#N/A</v>
      </c>
      <c r="D89" s="31" t="e">
        <f>VLOOKUP(A1,DIV_04Data!$A$1:$DZU$1000000,1501,FALSE)</f>
        <v>#N/A</v>
      </c>
      <c r="E89" s="32" t="e">
        <f>VLOOKUP(A1,DIV_04Data!$A$1:$DZU$1000000,1502,FALSE)</f>
        <v>#N/A</v>
      </c>
      <c r="F89" s="34" t="e">
        <f>VLOOKUP(A1,DIV_04Data!$A$1:$DZU$1000000,1503,FALSE)</f>
        <v>#N/A</v>
      </c>
      <c r="G89" s="33" t="e">
        <f>VLOOKUP(A1,DIV_04Data!$A$1:$DZU$1000000,1504,FALSE)</f>
        <v>#N/A</v>
      </c>
      <c r="H89" s="34" t="e">
        <f>VLOOKUP(A1,DIV_04Data!$A$1:$DZU$1000000,1505,FALSE)</f>
        <v>#N/A</v>
      </c>
      <c r="I89" s="33" t="e">
        <f>VLOOKUP(A1,DIV_04Data!$A$1:$DZU$1000000,1506,FALSE)</f>
        <v>#N/A</v>
      </c>
      <c r="J89" s="34" t="e">
        <f>VLOOKUP(A1,DIV_04Data!$A$1:$DZU$1000000,1507,FALSE)</f>
        <v>#N/A</v>
      </c>
      <c r="K89" s="34" t="e">
        <f>VLOOKUP(A1,DIV_04Data!$A$1:$DZU$1000000,1508,FALSE)</f>
        <v>#N/A</v>
      </c>
      <c r="L89" s="93" t="e">
        <f>VLOOKUP(A1,DIV_04Data!$A$1:$DZU$1000000,1509,FALSE)</f>
        <v>#N/A</v>
      </c>
      <c r="M89" s="33" t="e">
        <f>VLOOKUP(A1,DIV_04Data!$A$1:$DZU$1000000,1510,FALSE)</f>
        <v>#N/A</v>
      </c>
      <c r="N89" s="34" t="e">
        <f>VLOOKUP(A1,DIV_04Data!$A$1:$DZU$1000000,1511,FALSE)</f>
        <v>#N/A</v>
      </c>
      <c r="O89" s="33" t="e">
        <f>VLOOKUP(A1,DIV_04Data!$A$1:$DZU$1000000,1512,FALSE)</f>
        <v>#N/A</v>
      </c>
      <c r="P89" s="46" t="e">
        <f>VLOOKUP(A1,DIV_04Data!$A$1:$DZU$1000000,1513,FALSE)</f>
        <v>#N/A</v>
      </c>
      <c r="Q89" s="33" t="e">
        <f>VLOOKUP(A1,DIV_04Data!$A$1:$DZU$1000000,1514,FALSE)</f>
        <v>#N/A</v>
      </c>
    </row>
    <row r="90" spans="1:17" x14ac:dyDescent="0.35">
      <c r="A90" s="22" t="e">
        <f>VLOOKUP(A1,DIV_04Data!$A$1:$DZU$1000000,1515,FALSE)</f>
        <v>#N/A</v>
      </c>
      <c r="B90" s="37" t="e">
        <f>VLOOKUP(A1,DIV_04Data!$A$1:$DZU$1000000,1516,FALSE)</f>
        <v>#N/A</v>
      </c>
      <c r="C90" s="38" t="e">
        <f>VLOOKUP(A1,DIV_04Data!$A$1:$DZU$1000000,1517,FALSE)</f>
        <v>#N/A</v>
      </c>
      <c r="D90" s="31" t="e">
        <f>VLOOKUP(A1,DIV_04Data!$A$1:$DZU$1000000,1518,FALSE)</f>
        <v>#N/A</v>
      </c>
      <c r="E90" s="32" t="e">
        <f>VLOOKUP(A1,DIV_04Data!$A$1:$DZU$1000000,1519,FALSE)</f>
        <v>#N/A</v>
      </c>
      <c r="F90" s="34" t="e">
        <f>VLOOKUP(A1,DIV_04Data!$A$1:$DZU$1000000,1520,FALSE)</f>
        <v>#N/A</v>
      </c>
      <c r="G90" s="33" t="e">
        <f>VLOOKUP(A1,DIV_04Data!$A$1:$DZU$1000000,1521,FALSE)</f>
        <v>#N/A</v>
      </c>
      <c r="H90" s="34" t="e">
        <f>VLOOKUP(A1,DIV_04Data!$A$1:$DZU$1000000,1522,FALSE)</f>
        <v>#N/A</v>
      </c>
      <c r="I90" s="33" t="e">
        <f>VLOOKUP(A1,DIV_04Data!$A$1:$DZU$1000000,1523,FALSE)</f>
        <v>#N/A</v>
      </c>
      <c r="J90" s="34" t="e">
        <f>VLOOKUP(A1,DIV_04Data!$A$1:$DZU$1000000,1524,FALSE)</f>
        <v>#N/A</v>
      </c>
      <c r="K90" s="34" t="e">
        <f>VLOOKUP(A1,DIV_04Data!$A$1:$DZU$1000000,1525,FALSE)</f>
        <v>#N/A</v>
      </c>
      <c r="L90" s="93" t="e">
        <f>VLOOKUP(A1,DIV_04Data!$A$1:$DZU$1000000,1526,FALSE)</f>
        <v>#N/A</v>
      </c>
      <c r="M90" s="33" t="e">
        <f>VLOOKUP(A1,DIV_04Data!$A$1:$DZU$1000000,1527,FALSE)</f>
        <v>#N/A</v>
      </c>
      <c r="N90" s="34" t="e">
        <f>VLOOKUP(A1,DIV_04Data!$A$1:$DZU$1000000,1528,FALSE)</f>
        <v>#N/A</v>
      </c>
      <c r="O90" s="33" t="e">
        <f>VLOOKUP(A1,DIV_04Data!$A$1:$DZU$1000000,1529,FALSE)</f>
        <v>#N/A</v>
      </c>
      <c r="P90" s="46" t="e">
        <f>VLOOKUP(A1,DIV_04Data!$A$1:$DZU$1000000,1530,FALSE)</f>
        <v>#N/A</v>
      </c>
      <c r="Q90" s="33" t="e">
        <f>VLOOKUP(A1,DIV_04Data!$A$1:$DZU$1000000,1531,FALSE)</f>
        <v>#N/A</v>
      </c>
    </row>
    <row r="91" spans="1:17" x14ac:dyDescent="0.35">
      <c r="A91" s="22" t="e">
        <f>VLOOKUP(A1,DIV_04Data!$A$1:$DZU$1000000,1532,FALSE)</f>
        <v>#N/A</v>
      </c>
      <c r="B91" s="37" t="e">
        <f>VLOOKUP(A1,DIV_04Data!$A$1:$DZU$1000000,1533,FALSE)</f>
        <v>#N/A</v>
      </c>
      <c r="C91" s="38" t="e">
        <f>VLOOKUP(A1,DIV_04Data!$A$1:$DZU$1000000,1534,FALSE)</f>
        <v>#N/A</v>
      </c>
      <c r="D91" s="31" t="e">
        <f>VLOOKUP(A1,DIV_04Data!$A$1:$DZU$1000000,1535,FALSE)</f>
        <v>#N/A</v>
      </c>
      <c r="E91" s="32" t="e">
        <f>VLOOKUP(A1,DIV_04Data!$A$1:$DZU$1000000,1536,FALSE)</f>
        <v>#N/A</v>
      </c>
      <c r="F91" s="34" t="e">
        <f>VLOOKUP(A1,DIV_04Data!$A$1:$DZU$1000000,1537,FALSE)</f>
        <v>#N/A</v>
      </c>
      <c r="G91" s="33" t="e">
        <f>VLOOKUP(A1,DIV_04Data!$A$1:$DZU$1000000,1538,FALSE)</f>
        <v>#N/A</v>
      </c>
      <c r="H91" s="34" t="e">
        <f>VLOOKUP(A1,DIV_04Data!$A$1:$DZU$1000000,1539,FALSE)</f>
        <v>#N/A</v>
      </c>
      <c r="I91" s="33" t="e">
        <f>VLOOKUP(A1,DIV_04Data!$A$1:$DZU$1000000,1540,FALSE)</f>
        <v>#N/A</v>
      </c>
      <c r="J91" s="34" t="e">
        <f>VLOOKUP(A1,DIV_04Data!$A$1:$DZU$1000000,1541,FALSE)</f>
        <v>#N/A</v>
      </c>
      <c r="K91" s="34" t="e">
        <f>VLOOKUP(A1,DIV_04Data!$A$1:$DZU$1000000,1542,FALSE)</f>
        <v>#N/A</v>
      </c>
      <c r="L91" s="93" t="e">
        <f>VLOOKUP(A1,DIV_04Data!$A$1:$DZU$1000000,1543,FALSE)</f>
        <v>#N/A</v>
      </c>
      <c r="M91" s="33" t="e">
        <f>VLOOKUP(A1,DIV_04Data!$A$1:$DZU$1000000,1544,FALSE)</f>
        <v>#N/A</v>
      </c>
      <c r="N91" s="34" t="e">
        <f>VLOOKUP(A1,DIV_04Data!$A$1:$DZU$1000000,1545,FALSE)</f>
        <v>#N/A</v>
      </c>
      <c r="O91" s="33" t="e">
        <f>VLOOKUP(A1,DIV_04Data!$A$1:$DZU$1000000,1546,FALSE)</f>
        <v>#N/A</v>
      </c>
      <c r="P91" s="46" t="e">
        <f>VLOOKUP(A1,DIV_04Data!$A$1:$DZU$1000000,1547,FALSE)</f>
        <v>#N/A</v>
      </c>
      <c r="Q91" s="33" t="e">
        <f>VLOOKUP(A1,DIV_04Data!$A$1:$DZU$1000000,1548,FALSE)</f>
        <v>#N/A</v>
      </c>
    </row>
    <row r="92" spans="1:17" x14ac:dyDescent="0.35">
      <c r="A92" s="22" t="e">
        <f>VLOOKUP(A1,DIV_04Data!$A$1:$DZU$1000000,1549,FALSE)</f>
        <v>#N/A</v>
      </c>
      <c r="B92" s="37" t="e">
        <f>VLOOKUP(A1,DIV_04Data!$A$1:$DZU$1000000,1550,FALSE)</f>
        <v>#N/A</v>
      </c>
      <c r="C92" s="38" t="e">
        <f>VLOOKUP(A1,DIV_04Data!$A$1:$DZU$1000000,1551,FALSE)</f>
        <v>#N/A</v>
      </c>
      <c r="D92" s="31" t="e">
        <f>VLOOKUP(A1,DIV_04Data!$A$1:$DZU$1000000,1552,FALSE)</f>
        <v>#N/A</v>
      </c>
      <c r="E92" s="32" t="e">
        <f>VLOOKUP(A1,DIV_04Data!$A$1:$DZU$1000000,1553,FALSE)</f>
        <v>#N/A</v>
      </c>
      <c r="F92" s="34" t="e">
        <f>VLOOKUP(A1,DIV_04Data!$A$1:$DZU$1000000,1554,FALSE)</f>
        <v>#N/A</v>
      </c>
      <c r="G92" s="33" t="e">
        <f>VLOOKUP(A1,DIV_04Data!$A$1:$DZU$1000000,1555,FALSE)</f>
        <v>#N/A</v>
      </c>
      <c r="H92" s="34" t="e">
        <f>VLOOKUP(A1,DIV_04Data!$A$1:$DZU$1000000,1556,FALSE)</f>
        <v>#N/A</v>
      </c>
      <c r="I92" s="33" t="e">
        <f>VLOOKUP(A1,DIV_04Data!$A$1:$DZU$1000000,1557,FALSE)</f>
        <v>#N/A</v>
      </c>
      <c r="J92" s="34" t="e">
        <f>VLOOKUP(A1,DIV_04Data!$A$1:$DZU$1000000,1558,FALSE)</f>
        <v>#N/A</v>
      </c>
      <c r="K92" s="34" t="e">
        <f>VLOOKUP(A1,DIV_04Data!$A$1:$DZU$1000000,1559,FALSE)</f>
        <v>#N/A</v>
      </c>
      <c r="L92" s="93" t="e">
        <f>VLOOKUP(A1,DIV_04Data!$A$1:$DZU$1000000,1560,FALSE)</f>
        <v>#N/A</v>
      </c>
      <c r="M92" s="33" t="e">
        <f>VLOOKUP(A1,DIV_04Data!$A$1:$DZU$1000000,1561,FALSE)</f>
        <v>#N/A</v>
      </c>
      <c r="N92" s="34" t="e">
        <f>VLOOKUP(A1,DIV_04Data!$A$1:$DZU$1000000,1562,FALSE)</f>
        <v>#N/A</v>
      </c>
      <c r="O92" s="33" t="e">
        <f>VLOOKUP(A1,DIV_04Data!$A$1:$DZU$1000000,1563,FALSE)</f>
        <v>#N/A</v>
      </c>
      <c r="P92" s="46" t="e">
        <f>VLOOKUP(A1,DIV_04Data!$A$1:$DZU$1000000,1564,FALSE)</f>
        <v>#N/A</v>
      </c>
      <c r="Q92" s="33" t="e">
        <f>VLOOKUP(A1,DIV_04Data!$A$1:$DZU$1000000,1565,FALSE)</f>
        <v>#N/A</v>
      </c>
    </row>
    <row r="93" spans="1:17" x14ac:dyDescent="0.35">
      <c r="A93" s="22" t="e">
        <f>VLOOKUP(A1,DIV_04Data!$A$1:$DZU$1000000,1566,FALSE)</f>
        <v>#N/A</v>
      </c>
      <c r="B93" s="37" t="e">
        <f>VLOOKUP(A1,DIV_04Data!$A$1:$DZU$1000000,1567,FALSE)</f>
        <v>#N/A</v>
      </c>
      <c r="C93" s="38" t="e">
        <f>VLOOKUP(A1,DIV_04Data!$A$1:$DZU$1000000,1568,FALSE)</f>
        <v>#N/A</v>
      </c>
      <c r="D93" s="31" t="e">
        <f>VLOOKUP(A1,DIV_04Data!$A$1:$DZU$1000000,1569,FALSE)</f>
        <v>#N/A</v>
      </c>
      <c r="E93" s="32" t="e">
        <f>VLOOKUP(A1,DIV_04Data!$A$1:$DZU$1000000,1570,FALSE)</f>
        <v>#N/A</v>
      </c>
      <c r="F93" s="34" t="e">
        <f>VLOOKUP(A1,DIV_04Data!$A$1:$DZU$1000000,1571,FALSE)</f>
        <v>#N/A</v>
      </c>
      <c r="G93" s="33" t="e">
        <f>VLOOKUP(A1,DIV_04Data!$A$1:$DZU$1000000,1572,FALSE)</f>
        <v>#N/A</v>
      </c>
      <c r="H93" s="34" t="e">
        <f>VLOOKUP(A1,DIV_04Data!$A$1:$DZU$1000000,1573,FALSE)</f>
        <v>#N/A</v>
      </c>
      <c r="I93" s="33" t="e">
        <f>VLOOKUP(A1,DIV_04Data!$A$1:$DZU$1000000,1574,FALSE)</f>
        <v>#N/A</v>
      </c>
      <c r="J93" s="34" t="e">
        <f>VLOOKUP(A1,DIV_04Data!$A$1:$DZU$1000000,1575,FALSE)</f>
        <v>#N/A</v>
      </c>
      <c r="K93" s="34" t="e">
        <f>VLOOKUP(A1,DIV_04Data!$A$1:$DZU$1000000,1576,FALSE)</f>
        <v>#N/A</v>
      </c>
      <c r="L93" s="93" t="e">
        <f>VLOOKUP(A1,DIV_04Data!$A$1:$DZU$1000000,1577,FALSE)</f>
        <v>#N/A</v>
      </c>
      <c r="M93" s="33" t="e">
        <f>VLOOKUP(A1,DIV_04Data!$A$1:$DZU$1000000,1578,FALSE)</f>
        <v>#N/A</v>
      </c>
      <c r="N93" s="34" t="e">
        <f>VLOOKUP(A1,DIV_04Data!$A$1:$DZU$1000000,1579,FALSE)</f>
        <v>#N/A</v>
      </c>
      <c r="O93" s="33" t="e">
        <f>VLOOKUP(A1,DIV_04Data!$A$1:$DZU$1000000,1580,FALSE)</f>
        <v>#N/A</v>
      </c>
      <c r="P93" s="46" t="e">
        <f>VLOOKUP(A1,DIV_04Data!$A$1:$DZU$1000000,1581,FALSE)</f>
        <v>#N/A</v>
      </c>
      <c r="Q93" s="33" t="e">
        <f>VLOOKUP(A1,DIV_04Data!$A$1:$DZU$1000000,1582,FALSE)</f>
        <v>#N/A</v>
      </c>
    </row>
    <row r="94" spans="1:17" x14ac:dyDescent="0.35">
      <c r="A94" s="22" t="e">
        <f>VLOOKUP(A1,DIV_04Data!$A$1:$DZU$1000000,1583,FALSE)</f>
        <v>#N/A</v>
      </c>
      <c r="B94" s="37" t="e">
        <f>VLOOKUP(A1,DIV_04Data!$A$1:$DZU$1000000,1584,FALSE)</f>
        <v>#N/A</v>
      </c>
      <c r="C94" s="38" t="e">
        <f>VLOOKUP(A1,DIV_04Data!$A$1:$DZU$1000000,1585,FALSE)</f>
        <v>#N/A</v>
      </c>
      <c r="D94" s="31" t="e">
        <f>VLOOKUP(A1,DIV_04Data!$A$1:$DZU$1000000,1586,FALSE)</f>
        <v>#N/A</v>
      </c>
      <c r="E94" s="32" t="e">
        <f>VLOOKUP(A1,DIV_04Data!$A$1:$DZU$1000000,1587,FALSE)</f>
        <v>#N/A</v>
      </c>
      <c r="F94" s="34" t="e">
        <f>VLOOKUP(A1,DIV_04Data!$A$1:$DZU$1000000,1588,FALSE)</f>
        <v>#N/A</v>
      </c>
      <c r="G94" s="33" t="e">
        <f>VLOOKUP(A1,DIV_04Data!$A$1:$DZU$1000000,1589,FALSE)</f>
        <v>#N/A</v>
      </c>
      <c r="H94" s="34" t="e">
        <f>VLOOKUP(A1,DIV_04Data!$A$1:$DZU$1000000,1590,FALSE)</f>
        <v>#N/A</v>
      </c>
      <c r="I94" s="33" t="e">
        <f>VLOOKUP(A1,DIV_04Data!$A$1:$DZU$1000000,1591,FALSE)</f>
        <v>#N/A</v>
      </c>
      <c r="J94" s="34" t="e">
        <f>VLOOKUP(A1,DIV_04Data!$A$1:$DZU$1000000,1592,FALSE)</f>
        <v>#N/A</v>
      </c>
      <c r="K94" s="34" t="e">
        <f>VLOOKUP(A1,DIV_04Data!$A$1:$DZU$1000000,1593,FALSE)</f>
        <v>#N/A</v>
      </c>
      <c r="L94" s="93" t="e">
        <f>VLOOKUP(A1,DIV_04Data!$A$1:$DZU$1000000,1594,FALSE)</f>
        <v>#N/A</v>
      </c>
      <c r="M94" s="33" t="e">
        <f>VLOOKUP(A1,DIV_04Data!$A$1:$DZU$1000000,1595,FALSE)</f>
        <v>#N/A</v>
      </c>
      <c r="N94" s="34" t="e">
        <f>VLOOKUP(A1,DIV_04Data!$A$1:$DZU$1000000,1596,FALSE)</f>
        <v>#N/A</v>
      </c>
      <c r="O94" s="33" t="e">
        <f>VLOOKUP(A1,DIV_04Data!$A$1:$DZU$1000000,1597,FALSE)</f>
        <v>#N/A</v>
      </c>
      <c r="P94" s="46" t="e">
        <f>VLOOKUP(A1,DIV_04Data!$A$1:$DZU$1000000,1598,FALSE)</f>
        <v>#N/A</v>
      </c>
      <c r="Q94" s="33" t="e">
        <f>VLOOKUP(A1,DIV_04Data!$A$1:$DZU$1000000,1599,FALSE)</f>
        <v>#N/A</v>
      </c>
    </row>
    <row r="95" spans="1:17" x14ac:dyDescent="0.35">
      <c r="A95" s="22" t="e">
        <f>VLOOKUP(A1,DIV_04Data!$A$1:$DZU$1000000,1600,FALSE)</f>
        <v>#N/A</v>
      </c>
      <c r="B95" s="37" t="e">
        <f>VLOOKUP(A1,DIV_04Data!$A$1:$DZU$1000000,1601,FALSE)</f>
        <v>#N/A</v>
      </c>
      <c r="C95" s="38" t="e">
        <f>VLOOKUP(A1,DIV_04Data!$A$1:$DZU$1000000,1602,FALSE)</f>
        <v>#N/A</v>
      </c>
      <c r="D95" s="31" t="e">
        <f>VLOOKUP(A1,DIV_04Data!$A$1:$DZU$1000000,1603,FALSE)</f>
        <v>#N/A</v>
      </c>
      <c r="E95" s="32" t="e">
        <f>VLOOKUP(A1,DIV_04Data!$A$1:$DZU$1000000,1604,FALSE)</f>
        <v>#N/A</v>
      </c>
      <c r="F95" s="34" t="e">
        <f>VLOOKUP(A1,DIV_04Data!$A$1:$DZU$1000000,1605,FALSE)</f>
        <v>#N/A</v>
      </c>
      <c r="G95" s="33" t="e">
        <f>VLOOKUP(A1,DIV_04Data!$A$1:$DZU$1000000,1606,FALSE)</f>
        <v>#N/A</v>
      </c>
      <c r="H95" s="34" t="e">
        <f>VLOOKUP(A1,DIV_04Data!$A$1:$DZU$1000000,1607,FALSE)</f>
        <v>#N/A</v>
      </c>
      <c r="I95" s="33" t="e">
        <f>VLOOKUP(A1,DIV_04Data!$A$1:$DZU$1000000,1608,FALSE)</f>
        <v>#N/A</v>
      </c>
      <c r="J95" s="34" t="e">
        <f>VLOOKUP(A1,DIV_04Data!$A$1:$DZU$1000000,1609,FALSE)</f>
        <v>#N/A</v>
      </c>
      <c r="K95" s="34" t="e">
        <f>VLOOKUP(A1,DIV_04Data!$A$1:$DZU$1000000,1610,FALSE)</f>
        <v>#N/A</v>
      </c>
      <c r="L95" s="93" t="e">
        <f>VLOOKUP(A1,DIV_04Data!$A$1:$DZU$1000000,1611,FALSE)</f>
        <v>#N/A</v>
      </c>
      <c r="M95" s="33" t="e">
        <f>VLOOKUP(A1,DIV_04Data!$A$1:$DZU$1000000,1612,FALSE)</f>
        <v>#N/A</v>
      </c>
      <c r="N95" s="34" t="e">
        <f>VLOOKUP(A1,DIV_04Data!$A$1:$DZU$1000000,1613,FALSE)</f>
        <v>#N/A</v>
      </c>
      <c r="O95" s="33" t="e">
        <f>VLOOKUP(A1,DIV_04Data!$A$1:$DZU$1000000,1614,FALSE)</f>
        <v>#N/A</v>
      </c>
      <c r="P95" s="46" t="e">
        <f>VLOOKUP(A1,DIV_04Data!$A$1:$DZU$1000000,1615,FALSE)</f>
        <v>#N/A</v>
      </c>
      <c r="Q95" s="33" t="e">
        <f>VLOOKUP(A1,DIV_04Data!$A$1:$DZU$1000000,1616,FALSE)</f>
        <v>#N/A</v>
      </c>
    </row>
    <row r="96" spans="1:17" x14ac:dyDescent="0.35">
      <c r="A96" s="22" t="e">
        <f>VLOOKUP(A1,DIV_04Data!$A$1:$DZU$1000000,1617,FALSE)</f>
        <v>#N/A</v>
      </c>
      <c r="B96" s="37" t="e">
        <f>VLOOKUP(A1,DIV_04Data!$A$1:$DZU$1000000,1618,FALSE)</f>
        <v>#N/A</v>
      </c>
      <c r="C96" s="38" t="e">
        <f>VLOOKUP(A1,DIV_04Data!$A$1:$DZU$1000000,1619,FALSE)</f>
        <v>#N/A</v>
      </c>
      <c r="D96" s="31" t="e">
        <f>VLOOKUP(A1,DIV_04Data!$A$1:$DZU$1000000,1620,FALSE)</f>
        <v>#N/A</v>
      </c>
      <c r="E96" s="32" t="e">
        <f>VLOOKUP(A1,DIV_04Data!$A$1:$DZU$1000000,1621,FALSE)</f>
        <v>#N/A</v>
      </c>
      <c r="F96" s="34" t="e">
        <f>VLOOKUP(A1,DIV_04Data!$A$1:$DZU$1000000,1622,FALSE)</f>
        <v>#N/A</v>
      </c>
      <c r="G96" s="33" t="e">
        <f>VLOOKUP(A1,DIV_04Data!$A$1:$DZU$1000000,1623,FALSE)</f>
        <v>#N/A</v>
      </c>
      <c r="H96" s="34" t="e">
        <f>VLOOKUP(A1,DIV_04Data!$A$1:$DZU$1000000,1624,FALSE)</f>
        <v>#N/A</v>
      </c>
      <c r="I96" s="33" t="e">
        <f>VLOOKUP(A1,DIV_04Data!$A$1:$DZU$1000000,1625,FALSE)</f>
        <v>#N/A</v>
      </c>
      <c r="J96" s="34" t="e">
        <f>VLOOKUP(A1,DIV_04Data!$A$1:$DZU$1000000,1626,FALSE)</f>
        <v>#N/A</v>
      </c>
      <c r="K96" s="34" t="e">
        <f>VLOOKUP(A1,DIV_04Data!$A$1:$DZU$1000000,1627,FALSE)</f>
        <v>#N/A</v>
      </c>
      <c r="L96" s="93" t="e">
        <f>VLOOKUP(A1,DIV_04Data!$A$1:$DZU$1000000,1628,FALSE)</f>
        <v>#N/A</v>
      </c>
      <c r="M96" s="33" t="e">
        <f>VLOOKUP(A1,DIV_04Data!$A$1:$DZU$1000000,1629,FALSE)</f>
        <v>#N/A</v>
      </c>
      <c r="N96" s="34" t="e">
        <f>VLOOKUP(A1,DIV_04Data!$A$1:$DZU$1000000,1630,FALSE)</f>
        <v>#N/A</v>
      </c>
      <c r="O96" s="33" t="e">
        <f>VLOOKUP(A1,DIV_04Data!$A$1:$DZU$1000000,1631,FALSE)</f>
        <v>#N/A</v>
      </c>
      <c r="P96" s="46" t="e">
        <f>VLOOKUP(A1,DIV_04Data!$A$1:$DZU$1000000,1632,FALSE)</f>
        <v>#N/A</v>
      </c>
      <c r="Q96" s="33" t="e">
        <f>VLOOKUP(A1,DIV_04Data!$A$1:$DZU$1000000,1633,FALSE)</f>
        <v>#N/A</v>
      </c>
    </row>
    <row r="97" spans="1:17" x14ac:dyDescent="0.35">
      <c r="A97" s="22" t="e">
        <f>VLOOKUP(A1,DIV_04Data!$A$1:$DZU$1000000,1634,FALSE)</f>
        <v>#N/A</v>
      </c>
      <c r="B97" s="37" t="e">
        <f>VLOOKUP(A1,DIV_04Data!$A$1:$DZU$1000000,1635,FALSE)</f>
        <v>#N/A</v>
      </c>
      <c r="C97" s="38" t="e">
        <f>VLOOKUP(A1,DIV_04Data!$A$1:$DZU$1000000,1636,FALSE)</f>
        <v>#N/A</v>
      </c>
      <c r="D97" s="31" t="e">
        <f>VLOOKUP(A1,DIV_04Data!$A$1:$DZU$1000000,1637,FALSE)</f>
        <v>#N/A</v>
      </c>
      <c r="E97" s="32" t="e">
        <f>VLOOKUP(A1,DIV_04Data!$A$1:$DZU$1000000,1638,FALSE)</f>
        <v>#N/A</v>
      </c>
      <c r="F97" s="34" t="e">
        <f>VLOOKUP(A1,DIV_04Data!$A$1:$DZU$1000000,1639,FALSE)</f>
        <v>#N/A</v>
      </c>
      <c r="G97" s="33" t="e">
        <f>VLOOKUP(A1,DIV_04Data!$A$1:$DZU$1000000,1640,FALSE)</f>
        <v>#N/A</v>
      </c>
      <c r="H97" s="34" t="e">
        <f>VLOOKUP(A1,DIV_04Data!$A$1:$DZU$1000000,1641,FALSE)</f>
        <v>#N/A</v>
      </c>
      <c r="I97" s="33" t="e">
        <f>VLOOKUP(A1,DIV_04Data!$A$1:$DZU$1000000,1642,FALSE)</f>
        <v>#N/A</v>
      </c>
      <c r="J97" s="34" t="e">
        <f>VLOOKUP(A1,DIV_04Data!$A$1:$DZU$1000000,1643,FALSE)</f>
        <v>#N/A</v>
      </c>
      <c r="K97" s="34" t="e">
        <f>VLOOKUP(A1,DIV_04Data!$A$1:$DZU$1000000,1644,FALSE)</f>
        <v>#N/A</v>
      </c>
      <c r="L97" s="93" t="e">
        <f>VLOOKUP(A1,DIV_04Data!$A$1:$DZU$1000000,1645,FALSE)</f>
        <v>#N/A</v>
      </c>
      <c r="M97" s="33" t="e">
        <f>VLOOKUP(A1,DIV_04Data!$A$1:$DZU$1000000,1646,FALSE)</f>
        <v>#N/A</v>
      </c>
      <c r="N97" s="34" t="e">
        <f>VLOOKUP(A1,DIV_04Data!$A$1:$DZU$1000000,1647,FALSE)</f>
        <v>#N/A</v>
      </c>
      <c r="O97" s="33" t="e">
        <f>VLOOKUP(A1,DIV_04Data!$A$1:$DZU$1000000,1648,FALSE)</f>
        <v>#N/A</v>
      </c>
      <c r="P97" s="46" t="e">
        <f>VLOOKUP(A1,DIV_04Data!$A$1:$DZU$1000000,1649,FALSE)</f>
        <v>#N/A</v>
      </c>
      <c r="Q97" s="33" t="e">
        <f>VLOOKUP(A1,DIV_04Data!$A$1:$DZU$1000000,1650,FALSE)</f>
        <v>#N/A</v>
      </c>
    </row>
    <row r="98" spans="1:17" x14ac:dyDescent="0.35">
      <c r="A98" s="22" t="e">
        <f>VLOOKUP(A1,DIV_04Data!$A$1:$DZU$1000000,1651,FALSE)</f>
        <v>#N/A</v>
      </c>
      <c r="B98" s="37" t="e">
        <f>VLOOKUP(A1,DIV_04Data!$A$1:$DZU$1000000,1652,FALSE)</f>
        <v>#N/A</v>
      </c>
      <c r="C98" s="38" t="e">
        <f>VLOOKUP(A1,DIV_04Data!$A$1:$DZU$1000000,1653,FALSE)</f>
        <v>#N/A</v>
      </c>
      <c r="D98" s="31" t="e">
        <f>VLOOKUP(A1,DIV_04Data!$A$1:$DZU$1000000,1654,FALSE)</f>
        <v>#N/A</v>
      </c>
      <c r="E98" s="32" t="e">
        <f>VLOOKUP(A1,DIV_04Data!$A$1:$DZU$1000000,1655,FALSE)</f>
        <v>#N/A</v>
      </c>
      <c r="F98" s="34" t="e">
        <f>VLOOKUP(A1,DIV_04Data!$A$1:$DZU$1000000,1656,FALSE)</f>
        <v>#N/A</v>
      </c>
      <c r="G98" s="33" t="e">
        <f>VLOOKUP(A1,DIV_04Data!$A$1:$DZU$1000000,1657,FALSE)</f>
        <v>#N/A</v>
      </c>
      <c r="H98" s="34" t="e">
        <f>VLOOKUP(A1,DIV_04Data!$A$1:$DZU$1000000,1658,FALSE)</f>
        <v>#N/A</v>
      </c>
      <c r="I98" s="33" t="e">
        <f>VLOOKUP(A1,DIV_04Data!$A$1:$DZU$1000000,1659,FALSE)</f>
        <v>#N/A</v>
      </c>
      <c r="J98" s="34" t="e">
        <f>VLOOKUP(A1,DIV_04Data!$A$1:$DZU$1000000,1660,FALSE)</f>
        <v>#N/A</v>
      </c>
      <c r="K98" s="34" t="e">
        <f>VLOOKUP(A1,DIV_04Data!$A$1:$DZU$1000000,1661,FALSE)</f>
        <v>#N/A</v>
      </c>
      <c r="L98" s="93" t="e">
        <f>VLOOKUP(A1,DIV_04Data!$A$1:$DZU$1000000,1662,FALSE)</f>
        <v>#N/A</v>
      </c>
      <c r="M98" s="33" t="e">
        <f>VLOOKUP(A1,DIV_04Data!$A$1:$DZU$1000000,1663,FALSE)</f>
        <v>#N/A</v>
      </c>
      <c r="N98" s="34" t="e">
        <f>VLOOKUP(A1,DIV_04Data!$A$1:$DZU$1000000,1664,FALSE)</f>
        <v>#N/A</v>
      </c>
      <c r="O98" s="33" t="e">
        <f>VLOOKUP(A1,DIV_04Data!$A$1:$DZU$1000000,1665,FALSE)</f>
        <v>#N/A</v>
      </c>
      <c r="P98" s="46" t="e">
        <f>VLOOKUP(A1,DIV_04Data!$A$1:$DZU$1000000,1666,FALSE)</f>
        <v>#N/A</v>
      </c>
      <c r="Q98" s="33" t="e">
        <f>VLOOKUP(A1,DIV_04Data!$A$1:$DZU$1000000,1667,FALSE)</f>
        <v>#N/A</v>
      </c>
    </row>
    <row r="99" spans="1:17" x14ac:dyDescent="0.35">
      <c r="A99" s="22" t="e">
        <f>VLOOKUP(A1,DIV_04Data!$A$1:$DZU$1000000,1668,FALSE)</f>
        <v>#N/A</v>
      </c>
      <c r="B99" s="37" t="e">
        <f>VLOOKUP(A1,DIV_04Data!$A$1:$DZU$1000000,1669,FALSE)</f>
        <v>#N/A</v>
      </c>
      <c r="C99" s="38" t="e">
        <f>VLOOKUP(A1,DIV_04Data!$A$1:$DZU$1000000,1670,FALSE)</f>
        <v>#N/A</v>
      </c>
      <c r="D99" s="31" t="e">
        <f>VLOOKUP(A1,DIV_04Data!$A$1:$DZU$1000000,1671,FALSE)</f>
        <v>#N/A</v>
      </c>
      <c r="E99" s="32" t="e">
        <f>VLOOKUP(A1,DIV_04Data!$A$1:$DZU$1000000,1672,FALSE)</f>
        <v>#N/A</v>
      </c>
      <c r="F99" s="34" t="e">
        <f>VLOOKUP(A1,DIV_04Data!$A$1:$DZU$1000000,1673,FALSE)</f>
        <v>#N/A</v>
      </c>
      <c r="G99" s="33" t="e">
        <f>VLOOKUP(A1,DIV_04Data!$A$1:$DZU$1000000,1674,FALSE)</f>
        <v>#N/A</v>
      </c>
      <c r="H99" s="34" t="e">
        <f>VLOOKUP(A1,DIV_04Data!$A$1:$DZU$1000000,1675,FALSE)</f>
        <v>#N/A</v>
      </c>
      <c r="I99" s="33" t="e">
        <f>VLOOKUP(A1,DIV_04Data!$A$1:$DZU$1000000,1676,FALSE)</f>
        <v>#N/A</v>
      </c>
      <c r="J99" s="34" t="e">
        <f>VLOOKUP(A1,DIV_04Data!$A$1:$DZU$1000000,1677,FALSE)</f>
        <v>#N/A</v>
      </c>
      <c r="K99" s="34" t="e">
        <f>VLOOKUP(A1,DIV_04Data!$A$1:$DZU$1000000,1678,FALSE)</f>
        <v>#N/A</v>
      </c>
      <c r="L99" s="93" t="e">
        <f>VLOOKUP(A1,DIV_04Data!$A$1:$DZU$1000000,1679,FALSE)</f>
        <v>#N/A</v>
      </c>
      <c r="M99" s="33" t="e">
        <f>VLOOKUP(A1,DIV_04Data!$A$1:$DZU$1000000,1680,FALSE)</f>
        <v>#N/A</v>
      </c>
      <c r="N99" s="34" t="e">
        <f>VLOOKUP(A1,DIV_04Data!$A$1:$DZU$1000000,1681,FALSE)</f>
        <v>#N/A</v>
      </c>
      <c r="O99" s="33" t="e">
        <f>VLOOKUP(A1,DIV_04Data!$A$1:$DZU$1000000,1682,FALSE)</f>
        <v>#N/A</v>
      </c>
      <c r="P99" s="46" t="e">
        <f>VLOOKUP(A1,DIV_04Data!$A$1:$DZU$1000000,1683,FALSE)</f>
        <v>#N/A</v>
      </c>
      <c r="Q99" s="33" t="e">
        <f>VLOOKUP(A1,DIV_04Data!$A$1:$DZU$1000000,1684,FALSE)</f>
        <v>#N/A</v>
      </c>
    </row>
    <row r="100" spans="1:17" x14ac:dyDescent="0.35">
      <c r="A100" s="22" t="e">
        <f>VLOOKUP(A1,DIV_04Data!$A$1:$DZU$1000000,1685,FALSE)</f>
        <v>#N/A</v>
      </c>
      <c r="B100" s="37" t="e">
        <f>VLOOKUP(A1,DIV_04Data!$A$1:$DZU$1000000,1686,FALSE)</f>
        <v>#N/A</v>
      </c>
      <c r="C100" s="38" t="e">
        <f>VLOOKUP(A1,DIV_04Data!$A$1:$DZU$1000000,1687,FALSE)</f>
        <v>#N/A</v>
      </c>
      <c r="D100" s="31" t="e">
        <f>VLOOKUP(A1,DIV_04Data!$A$1:$DZU$1000000,1688,FALSE)</f>
        <v>#N/A</v>
      </c>
      <c r="E100" s="32" t="e">
        <f>VLOOKUP(A1,DIV_04Data!$A$1:$DZU$1000000,1689,FALSE)</f>
        <v>#N/A</v>
      </c>
      <c r="F100" s="34" t="e">
        <f>VLOOKUP(A1,DIV_04Data!$A$1:$DZU$1000000,1690,FALSE)</f>
        <v>#N/A</v>
      </c>
      <c r="G100" s="33" t="e">
        <f>VLOOKUP(A1,DIV_04Data!$A$1:$DZU$1000000,1691,FALSE)</f>
        <v>#N/A</v>
      </c>
      <c r="H100" s="34" t="e">
        <f>VLOOKUP(A1,DIV_04Data!$A$1:$DZU$1000000,1692,FALSE)</f>
        <v>#N/A</v>
      </c>
      <c r="I100" s="33" t="e">
        <f>VLOOKUP(A1,DIV_04Data!$A$1:$DZU$1000000,1693,FALSE)</f>
        <v>#N/A</v>
      </c>
      <c r="J100" s="34" t="e">
        <f>VLOOKUP(A1,DIV_04Data!$A$1:$DZU$1000000,1694,FALSE)</f>
        <v>#N/A</v>
      </c>
      <c r="K100" s="34" t="e">
        <f>VLOOKUP(A1,DIV_04Data!$A$1:$DZU$1000000,1695,FALSE)</f>
        <v>#N/A</v>
      </c>
      <c r="L100" s="93" t="e">
        <f>VLOOKUP(A1,DIV_04Data!$A$1:$DZU$1000000,1696,FALSE)</f>
        <v>#N/A</v>
      </c>
      <c r="M100" s="33" t="e">
        <f>VLOOKUP(A1,DIV_04Data!$A$1:$DZU$1000000,1697,FALSE)</f>
        <v>#N/A</v>
      </c>
      <c r="N100" s="34" t="e">
        <f>VLOOKUP(A1,DIV_04Data!$A$1:$DZU$1000000,1698,FALSE)</f>
        <v>#N/A</v>
      </c>
      <c r="O100" s="33" t="e">
        <f>VLOOKUP(A1,DIV_04Data!$A$1:$DZU$1000000,1699,FALSE)</f>
        <v>#N/A</v>
      </c>
      <c r="P100" s="46" t="e">
        <f>VLOOKUP(A1,DIV_04Data!$A$1:$DZU$1000000,1700,FALSE)</f>
        <v>#N/A</v>
      </c>
      <c r="Q100" s="33" t="e">
        <f>VLOOKUP(A1,DIV_04Data!$A$1:$DZU$1000000,1701,FALSE)</f>
        <v>#N/A</v>
      </c>
    </row>
    <row r="101" spans="1:17" x14ac:dyDescent="0.35">
      <c r="A101" s="22" t="e">
        <f>VLOOKUP(A1,DIV_04Data!$A$1:$DZU$1000000,1702,FALSE)</f>
        <v>#N/A</v>
      </c>
      <c r="B101" s="37" t="e">
        <f>VLOOKUP(A1,DIV_04Data!$A$1:$DZU$1000000,1703,FALSE)</f>
        <v>#N/A</v>
      </c>
      <c r="C101" s="38" t="e">
        <f>VLOOKUP(A1,DIV_04Data!$A$1:$DZU$1000000,1704,FALSE)</f>
        <v>#N/A</v>
      </c>
      <c r="D101" s="31" t="e">
        <f>VLOOKUP(A1,DIV_04Data!$A$1:$DZU$1000000,1705,FALSE)</f>
        <v>#N/A</v>
      </c>
      <c r="E101" s="32" t="e">
        <f>VLOOKUP(A1,DIV_04Data!$A$1:$DZU$1000000,1706,FALSE)</f>
        <v>#N/A</v>
      </c>
      <c r="F101" s="34" t="e">
        <f>VLOOKUP(A1,DIV_04Data!$A$1:$DZU$1000000,1707,FALSE)</f>
        <v>#N/A</v>
      </c>
      <c r="G101" s="33" t="e">
        <f>VLOOKUP(A1,DIV_04Data!$A$1:$DZU$1000000,1708,FALSE)</f>
        <v>#N/A</v>
      </c>
      <c r="H101" s="34" t="e">
        <f>VLOOKUP(A1,DIV_04Data!$A$1:$DZU$1000000,1709,FALSE)</f>
        <v>#N/A</v>
      </c>
      <c r="I101" s="33" t="e">
        <f>VLOOKUP(A1,DIV_04Data!$A$1:$DZU$1000000,1710,FALSE)</f>
        <v>#N/A</v>
      </c>
      <c r="J101" s="34" t="e">
        <f>VLOOKUP(A1,DIV_04Data!$A$1:$DZU$1000000,1711,FALSE)</f>
        <v>#N/A</v>
      </c>
      <c r="K101" s="34" t="e">
        <f>VLOOKUP(A1,DIV_04Data!$A$1:$DZU$1000000,1712,FALSE)</f>
        <v>#N/A</v>
      </c>
      <c r="L101" s="93" t="e">
        <f>VLOOKUP(A1,DIV_04Data!$A$1:$DZU$1000000,1713,FALSE)</f>
        <v>#N/A</v>
      </c>
      <c r="M101" s="33" t="e">
        <f>VLOOKUP(A1,DIV_04Data!$A$1:$DZU$1000000,1714,FALSE)</f>
        <v>#N/A</v>
      </c>
      <c r="N101" s="34" t="e">
        <f>VLOOKUP(A1,DIV_04Data!$A$1:$DZU$1000000,1715,FALSE)</f>
        <v>#N/A</v>
      </c>
      <c r="O101" s="33" t="e">
        <f>VLOOKUP(A1,DIV_04Data!$A$1:$DZU$1000000,1716,FALSE)</f>
        <v>#N/A</v>
      </c>
      <c r="P101" s="46" t="e">
        <f>VLOOKUP(A1,DIV_04Data!$A$1:$DZU$1000000,1717,FALSE)</f>
        <v>#N/A</v>
      </c>
      <c r="Q101" s="33" t="e">
        <f>VLOOKUP(A1,DIV_04Data!$A$1:$DZU$1000000,1718,FALSE)</f>
        <v>#N/A</v>
      </c>
    </row>
    <row r="102" spans="1:17" x14ac:dyDescent="0.35">
      <c r="A102" s="22" t="e">
        <f>VLOOKUP(A1,DIV_04Data!$A$1:$DZU$1000000,1719,FALSE)</f>
        <v>#N/A</v>
      </c>
      <c r="B102" s="37" t="e">
        <f>VLOOKUP(A1,DIV_04Data!$A$1:$DZU$1000000,1720,FALSE)</f>
        <v>#N/A</v>
      </c>
      <c r="C102" s="38" t="e">
        <f>VLOOKUP(A1,DIV_04Data!$A$1:$DZU$1000000,1721,FALSE)</f>
        <v>#N/A</v>
      </c>
      <c r="D102" s="31" t="e">
        <f>VLOOKUP(A1,DIV_04Data!$A$1:$DZU$1000000,1722,FALSE)</f>
        <v>#N/A</v>
      </c>
      <c r="E102" s="32" t="e">
        <f>VLOOKUP(A1,DIV_04Data!$A$1:$DZU$1000000,1723,FALSE)</f>
        <v>#N/A</v>
      </c>
      <c r="F102" s="34" t="e">
        <f>VLOOKUP(A1,DIV_04Data!$A$1:$DZU$1000000,1724,FALSE)</f>
        <v>#N/A</v>
      </c>
      <c r="G102" s="33" t="e">
        <f>VLOOKUP(A1,DIV_04Data!$A$1:$DZU$1000000,1725,FALSE)</f>
        <v>#N/A</v>
      </c>
      <c r="H102" s="34" t="e">
        <f>VLOOKUP(A1,DIV_04Data!$A$1:$DZU$1000000,1726,FALSE)</f>
        <v>#N/A</v>
      </c>
      <c r="I102" s="33" t="e">
        <f>VLOOKUP(A1,DIV_04Data!$A$1:$DZU$1000000,1727,FALSE)</f>
        <v>#N/A</v>
      </c>
      <c r="J102" s="34" t="e">
        <f>VLOOKUP(A1,DIV_04Data!$A$1:$DZU$1000000,1728,FALSE)</f>
        <v>#N/A</v>
      </c>
      <c r="K102" s="34" t="e">
        <f>VLOOKUP(A1,DIV_04Data!$A$1:$DZU$1000000,1729,FALSE)</f>
        <v>#N/A</v>
      </c>
      <c r="L102" s="93" t="e">
        <f>VLOOKUP(A1,DIV_04Data!$A$1:$DZU$1000000,1730,FALSE)</f>
        <v>#N/A</v>
      </c>
      <c r="M102" s="33" t="e">
        <f>VLOOKUP(A1,DIV_04Data!$A$1:$DZU$1000000,1731,FALSE)</f>
        <v>#N/A</v>
      </c>
      <c r="N102" s="34" t="e">
        <f>VLOOKUP(A1,DIV_04Data!$A$1:$DZU$1000000,1732,FALSE)</f>
        <v>#N/A</v>
      </c>
      <c r="O102" s="33" t="e">
        <f>VLOOKUP(A1,DIV_04Data!$A$1:$DZU$1000000,1733,FALSE)</f>
        <v>#N/A</v>
      </c>
      <c r="P102" s="46" t="e">
        <f>VLOOKUP(A1,DIV_04Data!$A$1:$DZU$1000000,1734,FALSE)</f>
        <v>#N/A</v>
      </c>
      <c r="Q102" s="33" t="e">
        <f>VLOOKUP(A1,DIV_04Data!$A$1:$DZU$1000000,1735,FALSE)</f>
        <v>#N/A</v>
      </c>
    </row>
    <row r="103" spans="1:17" x14ac:dyDescent="0.35">
      <c r="A103" s="22" t="e">
        <f>VLOOKUP(A1,DIV_04Data!$A$1:$DZU$1000000,1736,FALSE)</f>
        <v>#N/A</v>
      </c>
      <c r="B103" s="37" t="e">
        <f>VLOOKUP(A1,DIV_04Data!$A$1:$DZU$1000000,1737,FALSE)</f>
        <v>#N/A</v>
      </c>
      <c r="C103" s="38" t="e">
        <f>VLOOKUP(A1,DIV_04Data!$A$1:$DZU$1000000,1738,FALSE)</f>
        <v>#N/A</v>
      </c>
      <c r="D103" s="31" t="e">
        <f>VLOOKUP(A1,DIV_04Data!$A$1:$DZU$1000000,1739,FALSE)</f>
        <v>#N/A</v>
      </c>
      <c r="E103" s="32" t="e">
        <f>VLOOKUP(A1,DIV_04Data!$A$1:$DZU$1000000,1740,FALSE)</f>
        <v>#N/A</v>
      </c>
      <c r="F103" s="34" t="e">
        <f>VLOOKUP(A1,DIV_04Data!$A$1:$DZU$1000000,1741,FALSE)</f>
        <v>#N/A</v>
      </c>
      <c r="G103" s="33" t="e">
        <f>VLOOKUP(A1,DIV_04Data!$A$1:$DZU$1000000,1742,FALSE)</f>
        <v>#N/A</v>
      </c>
      <c r="H103" s="34" t="e">
        <f>VLOOKUP(A1,DIV_04Data!$A$1:$DZU$1000000,1743,FALSE)</f>
        <v>#N/A</v>
      </c>
      <c r="I103" s="33" t="e">
        <f>VLOOKUP(A1,DIV_04Data!$A$1:$DZU$1000000,1744,FALSE)</f>
        <v>#N/A</v>
      </c>
      <c r="J103" s="34" t="e">
        <f>VLOOKUP(A1,DIV_04Data!$A$1:$DZU$1000000,1745,FALSE)</f>
        <v>#N/A</v>
      </c>
      <c r="K103" s="34" t="e">
        <f>VLOOKUP(A1,DIV_04Data!$A$1:$DZU$1000000,1746,FALSE)</f>
        <v>#N/A</v>
      </c>
      <c r="L103" s="93" t="e">
        <f>VLOOKUP(A1,DIV_04Data!$A$1:$DZU$1000000,1747,FALSE)</f>
        <v>#N/A</v>
      </c>
      <c r="M103" s="33" t="e">
        <f>VLOOKUP(A1,DIV_04Data!$A$1:$DZU$1000000,1748,FALSE)</f>
        <v>#N/A</v>
      </c>
      <c r="N103" s="34" t="e">
        <f>VLOOKUP(A1,DIV_04Data!$A$1:$DZU$1000000,1749,FALSE)</f>
        <v>#N/A</v>
      </c>
      <c r="O103" s="33" t="e">
        <f>VLOOKUP(A1,DIV_04Data!$A$1:$DZU$1000000,1750,FALSE)</f>
        <v>#N/A</v>
      </c>
      <c r="P103" s="46" t="e">
        <f>VLOOKUP(A1,DIV_04Data!$A$1:$DZU$1000000,1751,FALSE)</f>
        <v>#N/A</v>
      </c>
      <c r="Q103" s="33" t="e">
        <f>VLOOKUP(A1,DIV_04Data!$A$1:$DZU$1000000,1752,FALSE)</f>
        <v>#N/A</v>
      </c>
    </row>
    <row r="104" spans="1:17" x14ac:dyDescent="0.35">
      <c r="A104" s="22" t="e">
        <f>VLOOKUP(A1,DIV_04Data!$A$1:$DZU$1000000,1753,FALSE)</f>
        <v>#N/A</v>
      </c>
      <c r="B104" s="37" t="e">
        <f>VLOOKUP(A1,DIV_04Data!$A$1:$DZU$1000000,1754,FALSE)</f>
        <v>#N/A</v>
      </c>
      <c r="C104" s="38" t="e">
        <f>VLOOKUP(A1,DIV_04Data!$A$1:$DZU$1000000,1755,FALSE)</f>
        <v>#N/A</v>
      </c>
      <c r="D104" s="31" t="e">
        <f>VLOOKUP(A1,DIV_04Data!$A$1:$DZU$1000000,1756,FALSE)</f>
        <v>#N/A</v>
      </c>
      <c r="E104" s="32" t="e">
        <f>VLOOKUP(A1,DIV_04Data!$A$1:$DZU$1000000,1757,FALSE)</f>
        <v>#N/A</v>
      </c>
      <c r="F104" s="34" t="e">
        <f>VLOOKUP(A1,DIV_04Data!$A$1:$DZU$1000000,1758,FALSE)</f>
        <v>#N/A</v>
      </c>
      <c r="G104" s="33" t="e">
        <f>VLOOKUP(A1,DIV_04Data!$A$1:$DZU$1000000,1759,FALSE)</f>
        <v>#N/A</v>
      </c>
      <c r="H104" s="34" t="e">
        <f>VLOOKUP(A1,DIV_04Data!$A$1:$DZU$1000000,1760,FALSE)</f>
        <v>#N/A</v>
      </c>
      <c r="I104" s="33" t="e">
        <f>VLOOKUP(A1,DIV_04Data!$A$1:$DZU$1000000,1761,FALSE)</f>
        <v>#N/A</v>
      </c>
      <c r="J104" s="34" t="e">
        <f>VLOOKUP(A1,DIV_04Data!$A$1:$DZU$1000000,1762,FALSE)</f>
        <v>#N/A</v>
      </c>
      <c r="K104" s="34" t="e">
        <f>VLOOKUP(A1,DIV_04Data!$A$1:$DZU$1000000,1763,FALSE)</f>
        <v>#N/A</v>
      </c>
      <c r="L104" s="93" t="e">
        <f>VLOOKUP(A1,DIV_04Data!$A$1:$DZU$1000000,1764,FALSE)</f>
        <v>#N/A</v>
      </c>
      <c r="M104" s="33" t="e">
        <f>VLOOKUP(A1,DIV_04Data!$A$1:$DZU$1000000,1765,FALSE)</f>
        <v>#N/A</v>
      </c>
      <c r="N104" s="34" t="e">
        <f>VLOOKUP(A1,DIV_04Data!$A$1:$DZU$1000000,1766,FALSE)</f>
        <v>#N/A</v>
      </c>
      <c r="O104" s="33" t="e">
        <f>VLOOKUP(A1,DIV_04Data!$A$1:$DZU$1000000,1767,FALSE)</f>
        <v>#N/A</v>
      </c>
      <c r="P104" s="46" t="e">
        <f>VLOOKUP(A1,DIV_04Data!$A$1:$DZU$1000000,1768,FALSE)</f>
        <v>#N/A</v>
      </c>
      <c r="Q104" s="33" t="e">
        <f>VLOOKUP(A1,DIV_04Data!$A$1:$DZU$1000000,1769,FALSE)</f>
        <v>#N/A</v>
      </c>
    </row>
    <row r="105" spans="1:17" x14ac:dyDescent="0.35">
      <c r="A105" s="22" t="e">
        <f>VLOOKUP(A1,DIV_04Data!$A$1:$DZU$1000000,1770,FALSE)</f>
        <v>#N/A</v>
      </c>
      <c r="B105" s="37" t="e">
        <f>VLOOKUP(A1,DIV_04Data!$A$1:$DZU$1000000,1771,FALSE)</f>
        <v>#N/A</v>
      </c>
      <c r="C105" s="38" t="e">
        <f>VLOOKUP(A1,DIV_04Data!$A$1:$DZU$1000000,1772,FALSE)</f>
        <v>#N/A</v>
      </c>
      <c r="D105" s="31" t="e">
        <f>VLOOKUP(A1,DIV_04Data!$A$1:$DZU$1000000,1773,FALSE)</f>
        <v>#N/A</v>
      </c>
      <c r="E105" s="32" t="e">
        <f>VLOOKUP(A1,DIV_04Data!$A$1:$DZU$1000000,1774,FALSE)</f>
        <v>#N/A</v>
      </c>
      <c r="F105" s="34" t="e">
        <f>VLOOKUP(A1,DIV_04Data!$A$1:$DZU$1000000,1775,FALSE)</f>
        <v>#N/A</v>
      </c>
      <c r="G105" s="33" t="e">
        <f>VLOOKUP(A1,DIV_04Data!$A$1:$DZU$1000000,1776,FALSE)</f>
        <v>#N/A</v>
      </c>
      <c r="H105" s="34" t="e">
        <f>VLOOKUP(A1,DIV_04Data!$A$1:$DZU$1000000,1777,FALSE)</f>
        <v>#N/A</v>
      </c>
      <c r="I105" s="33" t="e">
        <f>VLOOKUP(A1,DIV_04Data!$A$1:$DZU$1000000,1778,FALSE)</f>
        <v>#N/A</v>
      </c>
      <c r="J105" s="34" t="e">
        <f>VLOOKUP(A1,DIV_04Data!$A$1:$DZU$1000000,1779,FALSE)</f>
        <v>#N/A</v>
      </c>
      <c r="K105" s="34" t="e">
        <f>VLOOKUP(A1,DIV_04Data!$A$1:$DZU$1000000,1780,FALSE)</f>
        <v>#N/A</v>
      </c>
      <c r="L105" s="93" t="e">
        <f>VLOOKUP(A1,DIV_04Data!$A$1:$DZU$1000000,1781,FALSE)</f>
        <v>#N/A</v>
      </c>
      <c r="M105" s="33" t="e">
        <f>VLOOKUP(A1,DIV_04Data!$A$1:$DZU$1000000,1782,FALSE)</f>
        <v>#N/A</v>
      </c>
      <c r="N105" s="34" t="e">
        <f>VLOOKUP(A1,DIV_04Data!$A$1:$DZU$1000000,1783,FALSE)</f>
        <v>#N/A</v>
      </c>
      <c r="O105" s="33" t="e">
        <f>VLOOKUP(A1,DIV_04Data!$A$1:$DZU$1000000,1784,FALSE)</f>
        <v>#N/A</v>
      </c>
      <c r="P105" s="46" t="e">
        <f>VLOOKUP(A1,DIV_04Data!$A$1:$DZU$1000000,1785,FALSE)</f>
        <v>#N/A</v>
      </c>
      <c r="Q105" s="33" t="e">
        <f>VLOOKUP(A1,DIV_04Data!$A$1:$DZU$1000000,1786,FALSE)</f>
        <v>#N/A</v>
      </c>
    </row>
    <row r="106" spans="1:17" x14ac:dyDescent="0.35">
      <c r="A106" s="22" t="e">
        <f>VLOOKUP(A1,DIV_04Data!$A$1:$DZU$1000000,1787,FALSE)</f>
        <v>#N/A</v>
      </c>
      <c r="B106" s="37" t="e">
        <f>VLOOKUP(A1,DIV_04Data!$A$1:$DZU$1000000,1788,FALSE)</f>
        <v>#N/A</v>
      </c>
      <c r="C106" s="38" t="e">
        <f>VLOOKUP(A1,DIV_04Data!$A$1:$DZU$1000000,1789,FALSE)</f>
        <v>#N/A</v>
      </c>
      <c r="D106" s="31" t="e">
        <f>VLOOKUP(A1,DIV_04Data!$A$1:$DZU$1000000,1790,FALSE)</f>
        <v>#N/A</v>
      </c>
      <c r="E106" s="32" t="e">
        <f>VLOOKUP(A1,DIV_04Data!$A$1:$DZU$1000000,1791,FALSE)</f>
        <v>#N/A</v>
      </c>
      <c r="F106" s="34" t="e">
        <f>VLOOKUP(A1,DIV_04Data!$A$1:$DZU$1000000,1792,FALSE)</f>
        <v>#N/A</v>
      </c>
      <c r="G106" s="33" t="e">
        <f>VLOOKUP(A1,DIV_04Data!$A$1:$DZU$1000000,1793,FALSE)</f>
        <v>#N/A</v>
      </c>
      <c r="H106" s="34" t="e">
        <f>VLOOKUP(A1,DIV_04Data!$A$1:$DZU$1000000,1794,FALSE)</f>
        <v>#N/A</v>
      </c>
      <c r="I106" s="33" t="e">
        <f>VLOOKUP(A1,DIV_04Data!$A$1:$DZU$1000000,1795,FALSE)</f>
        <v>#N/A</v>
      </c>
      <c r="J106" s="34" t="e">
        <f>VLOOKUP(A1,DIV_04Data!$A$1:$DZU$1000000,1796,FALSE)</f>
        <v>#N/A</v>
      </c>
      <c r="K106" s="34" t="e">
        <f>VLOOKUP(A1,DIV_04Data!$A$1:$DZU$1000000,1797,FALSE)</f>
        <v>#N/A</v>
      </c>
      <c r="L106" s="93" t="e">
        <f>VLOOKUP(A1,DIV_04Data!$A$1:$DZU$1000000,1798,FALSE)</f>
        <v>#N/A</v>
      </c>
      <c r="M106" s="33" t="e">
        <f>VLOOKUP(A1,DIV_04Data!$A$1:$DZU$1000000,1799,FALSE)</f>
        <v>#N/A</v>
      </c>
      <c r="N106" s="34" t="e">
        <f>VLOOKUP(A1,DIV_04Data!$A$1:$DZU$1000000,1800,FALSE)</f>
        <v>#N/A</v>
      </c>
      <c r="O106" s="33" t="e">
        <f>VLOOKUP(A1,DIV_04Data!$A$1:$DZU$1000000,1801,FALSE)</f>
        <v>#N/A</v>
      </c>
      <c r="P106" s="46" t="e">
        <f>VLOOKUP(A1,DIV_04Data!$A$1:$DZU$1000000,1802,FALSE)</f>
        <v>#N/A</v>
      </c>
      <c r="Q106" s="33" t="e">
        <f>VLOOKUP(A1,DIV_04Data!$A$1:$DZU$1000000,1803,FALSE)</f>
        <v>#N/A</v>
      </c>
    </row>
    <row r="107" spans="1:17" x14ac:dyDescent="0.35">
      <c r="A107" s="22" t="e">
        <f>VLOOKUP(A1,DIV_04Data!$A$1:$DZU$1000000,1804,FALSE)</f>
        <v>#N/A</v>
      </c>
      <c r="B107" s="37" t="e">
        <f>VLOOKUP(A1,DIV_04Data!$A$1:$DZU$1000000,1805,FALSE)</f>
        <v>#N/A</v>
      </c>
      <c r="C107" s="38" t="e">
        <f>VLOOKUP(A1,DIV_04Data!$A$1:$DZU$1000000,1806,FALSE)</f>
        <v>#N/A</v>
      </c>
      <c r="D107" s="31" t="e">
        <f>VLOOKUP(A1,DIV_04Data!$A$1:$DZU$1000000,1807,FALSE)</f>
        <v>#N/A</v>
      </c>
      <c r="E107" s="32" t="e">
        <f>VLOOKUP(A1,DIV_04Data!$A$1:$DZU$1000000,1808,FALSE)</f>
        <v>#N/A</v>
      </c>
      <c r="F107" s="34" t="e">
        <f>VLOOKUP(A1,DIV_04Data!$A$1:$DZU$1000000,1809,FALSE)</f>
        <v>#N/A</v>
      </c>
      <c r="G107" s="33" t="e">
        <f>VLOOKUP(A1,DIV_04Data!$A$1:$DZU$1000000,1810,FALSE)</f>
        <v>#N/A</v>
      </c>
      <c r="H107" s="34" t="e">
        <f>VLOOKUP(A1,DIV_04Data!$A$1:$DZU$1000000,1811,FALSE)</f>
        <v>#N/A</v>
      </c>
      <c r="I107" s="33" t="e">
        <f>VLOOKUP(A1,DIV_04Data!$A$1:$DZU$1000000,1812,FALSE)</f>
        <v>#N/A</v>
      </c>
      <c r="J107" s="34" t="e">
        <f>VLOOKUP(A1,DIV_04Data!$A$1:$DZU$1000000,1813,FALSE)</f>
        <v>#N/A</v>
      </c>
      <c r="K107" s="34" t="e">
        <f>VLOOKUP(A1,DIV_04Data!$A$1:$DZU$1000000,1814,FALSE)</f>
        <v>#N/A</v>
      </c>
      <c r="L107" s="93" t="e">
        <f>VLOOKUP(A1,DIV_04Data!$A$1:$DZU$1000000,1815,FALSE)</f>
        <v>#N/A</v>
      </c>
      <c r="M107" s="33" t="e">
        <f>VLOOKUP(A1,DIV_04Data!$A$1:$DZU$1000000,1816,FALSE)</f>
        <v>#N/A</v>
      </c>
      <c r="N107" s="34" t="e">
        <f>VLOOKUP(A1,DIV_04Data!$A$1:$DZU$1000000,1817,FALSE)</f>
        <v>#N/A</v>
      </c>
      <c r="O107" s="33" t="e">
        <f>VLOOKUP(A1,DIV_04Data!$A$1:$DZU$1000000,1818,FALSE)</f>
        <v>#N/A</v>
      </c>
      <c r="P107" s="46" t="e">
        <f>VLOOKUP(A1,DIV_04Data!$A$1:$DZU$1000000,1819,FALSE)</f>
        <v>#N/A</v>
      </c>
      <c r="Q107" s="33" t="e">
        <f>VLOOKUP(A1,DIV_04Data!$A$1:$DZU$1000000,1820,FALSE)</f>
        <v>#N/A</v>
      </c>
    </row>
    <row r="108" spans="1:17" x14ac:dyDescent="0.35">
      <c r="A108" s="22" t="e">
        <f>VLOOKUP(A1,DIV_04Data!$A$1:$DZU$1000000,1821,FALSE)</f>
        <v>#N/A</v>
      </c>
      <c r="B108" s="37" t="e">
        <f>VLOOKUP(A1,DIV_04Data!$A$1:$DZU$1000000,1822,FALSE)</f>
        <v>#N/A</v>
      </c>
      <c r="C108" s="38" t="e">
        <f>VLOOKUP(A1,DIV_04Data!$A$1:$DZU$1000000,1823,FALSE)</f>
        <v>#N/A</v>
      </c>
      <c r="D108" s="31" t="e">
        <f>VLOOKUP(A1,DIV_04Data!$A$1:$DZU$1000000,1824,FALSE)</f>
        <v>#N/A</v>
      </c>
      <c r="E108" s="32" t="e">
        <f>VLOOKUP(A1,DIV_04Data!$A$1:$DZU$1000000,1825,FALSE)</f>
        <v>#N/A</v>
      </c>
      <c r="F108" s="34" t="e">
        <f>VLOOKUP(A1,DIV_04Data!$A$1:$DZU$1000000,1826,FALSE)</f>
        <v>#N/A</v>
      </c>
      <c r="G108" s="33" t="e">
        <f>VLOOKUP(A1,DIV_04Data!$A$1:$DZU$1000000,1827,FALSE)</f>
        <v>#N/A</v>
      </c>
      <c r="H108" s="34" t="e">
        <f>VLOOKUP(A1,DIV_04Data!$A$1:$DZU$1000000,1828,FALSE)</f>
        <v>#N/A</v>
      </c>
      <c r="I108" s="33" t="e">
        <f>VLOOKUP(A1,DIV_04Data!$A$1:$DZU$1000000,1829,FALSE)</f>
        <v>#N/A</v>
      </c>
      <c r="J108" s="34" t="e">
        <f>VLOOKUP(A1,DIV_04Data!$A$1:$DZU$1000000,1830,FALSE)</f>
        <v>#N/A</v>
      </c>
      <c r="K108" s="34" t="e">
        <f>VLOOKUP(A1,DIV_04Data!$A$1:$DZU$1000000,1831,FALSE)</f>
        <v>#N/A</v>
      </c>
      <c r="L108" s="93" t="e">
        <f>VLOOKUP(A1,DIV_04Data!$A$1:$DZU$1000000,1832,FALSE)</f>
        <v>#N/A</v>
      </c>
      <c r="M108" s="33" t="e">
        <f>VLOOKUP(A1,DIV_04Data!$A$1:$DZU$1000000,1833,FALSE)</f>
        <v>#N/A</v>
      </c>
      <c r="N108" s="34" t="e">
        <f>VLOOKUP(A1,DIV_04Data!$A$1:$DZU$1000000,1834,FALSE)</f>
        <v>#N/A</v>
      </c>
      <c r="O108" s="33" t="e">
        <f>VLOOKUP(A1,DIV_04Data!$A$1:$DZU$1000000,1835,FALSE)</f>
        <v>#N/A</v>
      </c>
      <c r="P108" s="46" t="e">
        <f>VLOOKUP(A1,DIV_04Data!$A$1:$DZU$1000000,1836,FALSE)</f>
        <v>#N/A</v>
      </c>
      <c r="Q108" s="33" t="e">
        <f>VLOOKUP(A1,DIV_04Data!$A$1:$DZU$1000000,1837,FALSE)</f>
        <v>#N/A</v>
      </c>
    </row>
    <row r="109" spans="1:17" x14ac:dyDescent="0.35">
      <c r="A109" s="22" t="e">
        <f>VLOOKUP(A1,DIV_04Data!$A$1:$DZU$1000000,1838,FALSE)</f>
        <v>#N/A</v>
      </c>
      <c r="B109" s="37" t="e">
        <f>VLOOKUP(A1,DIV_04Data!$A$1:$DZU$1000000,1839,FALSE)</f>
        <v>#N/A</v>
      </c>
      <c r="C109" s="38" t="e">
        <f>VLOOKUP(A1,DIV_04Data!$A$1:$DZU$1000000,1840,FALSE)</f>
        <v>#N/A</v>
      </c>
      <c r="D109" s="31" t="e">
        <f>VLOOKUP(A1,DIV_04Data!$A$1:$DZU$1000000,1841,FALSE)</f>
        <v>#N/A</v>
      </c>
      <c r="E109" s="32" t="e">
        <f>VLOOKUP(A1,DIV_04Data!$A$1:$DZU$1000000,1842,FALSE)</f>
        <v>#N/A</v>
      </c>
      <c r="F109" s="34" t="e">
        <f>VLOOKUP(A1,DIV_04Data!$A$1:$DZU$1000000,1843,FALSE)</f>
        <v>#N/A</v>
      </c>
      <c r="G109" s="33" t="e">
        <f>VLOOKUP(A1,DIV_04Data!$A$1:$DZU$1000000,1844,FALSE)</f>
        <v>#N/A</v>
      </c>
      <c r="H109" s="34" t="e">
        <f>VLOOKUP(A1,DIV_04Data!$A$1:$DZU$1000000,1845,FALSE)</f>
        <v>#N/A</v>
      </c>
      <c r="I109" s="33" t="e">
        <f>VLOOKUP(A1,DIV_04Data!$A$1:$DZU$1000000,1846,FALSE)</f>
        <v>#N/A</v>
      </c>
      <c r="J109" s="34" t="e">
        <f>VLOOKUP(A1,DIV_04Data!$A$1:$DZU$1000000,1847,FALSE)</f>
        <v>#N/A</v>
      </c>
      <c r="K109" s="34" t="e">
        <f>VLOOKUP(A1,DIV_04Data!$A$1:$DZU$1000000,1848,FALSE)</f>
        <v>#N/A</v>
      </c>
      <c r="L109" s="93" t="e">
        <f>VLOOKUP(A1,DIV_04Data!$A$1:$DZU$1000000,1849,FALSE)</f>
        <v>#N/A</v>
      </c>
      <c r="M109" s="33" t="e">
        <f>VLOOKUP(A1,DIV_04Data!$A$1:$DZU$1000000,1850,FALSE)</f>
        <v>#N/A</v>
      </c>
      <c r="N109" s="34" t="e">
        <f>VLOOKUP(A1,DIV_04Data!$A$1:$DZU$1000000,1851,FALSE)</f>
        <v>#N/A</v>
      </c>
      <c r="O109" s="33" t="e">
        <f>VLOOKUP(A1,DIV_04Data!$A$1:$DZU$1000000,1852,FALSE)</f>
        <v>#N/A</v>
      </c>
      <c r="P109" s="46" t="e">
        <f>VLOOKUP(A1,DIV_04Data!$A$1:$DZU$1000000,1853,FALSE)</f>
        <v>#N/A</v>
      </c>
      <c r="Q109" s="33" t="e">
        <f>VLOOKUP(A1,DIV_04Data!$A$1:$DZU$1000000,1854,FALSE)</f>
        <v>#N/A</v>
      </c>
    </row>
    <row r="110" spans="1:17" x14ac:dyDescent="0.35">
      <c r="A110" s="22" t="e">
        <f>VLOOKUP(A1,DIV_04Data!$A$1:$DZU$1000000,1855,FALSE)</f>
        <v>#N/A</v>
      </c>
      <c r="B110" s="37" t="e">
        <f>VLOOKUP(A1,DIV_04Data!$A$1:$DZU$1000000,1856,FALSE)</f>
        <v>#N/A</v>
      </c>
      <c r="C110" s="38" t="e">
        <f>VLOOKUP(A1,DIV_04Data!$A$1:$DZU$1000000,1857,FALSE)</f>
        <v>#N/A</v>
      </c>
      <c r="D110" s="31" t="e">
        <f>VLOOKUP(A1,DIV_04Data!$A$1:$DZU$1000000,1858,FALSE)</f>
        <v>#N/A</v>
      </c>
      <c r="E110" s="32" t="e">
        <f>VLOOKUP(A1,DIV_04Data!$A$1:$DZU$1000000,1859,FALSE)</f>
        <v>#N/A</v>
      </c>
      <c r="F110" s="34" t="e">
        <f>VLOOKUP(A1,DIV_04Data!$A$1:$DZU$1000000,1860,FALSE)</f>
        <v>#N/A</v>
      </c>
      <c r="G110" s="33" t="e">
        <f>VLOOKUP(A1,DIV_04Data!$A$1:$DZU$1000000,1861,FALSE)</f>
        <v>#N/A</v>
      </c>
      <c r="H110" s="34" t="e">
        <f>VLOOKUP(A1,DIV_04Data!$A$1:$DZU$1000000,1862,FALSE)</f>
        <v>#N/A</v>
      </c>
      <c r="I110" s="33" t="e">
        <f>VLOOKUP(A1,DIV_04Data!$A$1:$DZU$1000000,1863,FALSE)</f>
        <v>#N/A</v>
      </c>
      <c r="J110" s="34" t="e">
        <f>VLOOKUP(A1,DIV_04Data!$A$1:$DZU$1000000,1864,FALSE)</f>
        <v>#N/A</v>
      </c>
      <c r="K110" s="34" t="e">
        <f>VLOOKUP(A1,DIV_04Data!$A$1:$DZU$1000000,1865,FALSE)</f>
        <v>#N/A</v>
      </c>
      <c r="L110" s="93" t="e">
        <f>VLOOKUP(A1,DIV_04Data!$A$1:$DZU$1000000,1866,FALSE)</f>
        <v>#N/A</v>
      </c>
      <c r="M110" s="33" t="e">
        <f>VLOOKUP(A1,DIV_04Data!$A$1:$DZU$1000000,1867,FALSE)</f>
        <v>#N/A</v>
      </c>
      <c r="N110" s="34" t="e">
        <f>VLOOKUP(A1,DIV_04Data!$A$1:$DZU$1000000,1868,FALSE)</f>
        <v>#N/A</v>
      </c>
      <c r="O110" s="33" t="e">
        <f>VLOOKUP(A1,DIV_04Data!$A$1:$DZU$1000000,1869,FALSE)</f>
        <v>#N/A</v>
      </c>
      <c r="P110" s="46" t="e">
        <f>VLOOKUP(A1,DIV_04Data!$A$1:$DZU$1000000,1870,FALSE)</f>
        <v>#N/A</v>
      </c>
      <c r="Q110" s="33" t="e">
        <f>VLOOKUP(A1,DIV_04Data!$A$1:$DZU$1000000,1871,FALSE)</f>
        <v>#N/A</v>
      </c>
    </row>
    <row r="111" spans="1:17" x14ac:dyDescent="0.35">
      <c r="A111" s="22" t="e">
        <f>VLOOKUP(A1,DIV_04Data!$A$1:$DZU$1000000,1872,FALSE)</f>
        <v>#N/A</v>
      </c>
      <c r="B111" s="37" t="e">
        <f>VLOOKUP(A1,DIV_04Data!$A$1:$DZU$1000000,1873,FALSE)</f>
        <v>#N/A</v>
      </c>
      <c r="C111" s="38" t="e">
        <f>VLOOKUP(A1,DIV_04Data!$A$1:$DZU$1000000,1874,FALSE)</f>
        <v>#N/A</v>
      </c>
      <c r="D111" s="31" t="e">
        <f>VLOOKUP(A1,DIV_04Data!$A$1:$DZU$1000000,1875,FALSE)</f>
        <v>#N/A</v>
      </c>
      <c r="E111" s="32" t="e">
        <f>VLOOKUP(A1,DIV_04Data!$A$1:$DZU$1000000,1876,FALSE)</f>
        <v>#N/A</v>
      </c>
      <c r="F111" s="34" t="e">
        <f>VLOOKUP(A1,DIV_04Data!$A$1:$DZU$1000000,1877,FALSE)</f>
        <v>#N/A</v>
      </c>
      <c r="G111" s="33" t="e">
        <f>VLOOKUP(A1,DIV_04Data!$A$1:$DZU$1000000,1878,FALSE)</f>
        <v>#N/A</v>
      </c>
      <c r="H111" s="34" t="e">
        <f>VLOOKUP(A1,DIV_04Data!$A$1:$DZU$1000000,1879,FALSE)</f>
        <v>#N/A</v>
      </c>
      <c r="I111" s="33" t="e">
        <f>VLOOKUP(A1,DIV_04Data!$A$1:$DZU$1000000,1880,FALSE)</f>
        <v>#N/A</v>
      </c>
      <c r="J111" s="34" t="e">
        <f>VLOOKUP(A1,DIV_04Data!$A$1:$DZU$1000000,1881,FALSE)</f>
        <v>#N/A</v>
      </c>
      <c r="K111" s="34" t="e">
        <f>VLOOKUP(A1,DIV_04Data!$A$1:$DZU$1000000,1882,FALSE)</f>
        <v>#N/A</v>
      </c>
      <c r="L111" s="93" t="e">
        <f>VLOOKUP(A1,DIV_04Data!$A$1:$DZU$1000000,1883,FALSE)</f>
        <v>#N/A</v>
      </c>
      <c r="M111" s="33" t="e">
        <f>VLOOKUP(A1,DIV_04Data!$A$1:$DZU$1000000,1884,FALSE)</f>
        <v>#N/A</v>
      </c>
      <c r="N111" s="34" t="e">
        <f>VLOOKUP(A1,DIV_04Data!$A$1:$DZU$1000000,1885,FALSE)</f>
        <v>#N/A</v>
      </c>
      <c r="O111" s="33" t="e">
        <f>VLOOKUP(A1,DIV_04Data!$A$1:$DZU$1000000,1886,FALSE)</f>
        <v>#N/A</v>
      </c>
      <c r="P111" s="46" t="e">
        <f>VLOOKUP(A1,DIV_04Data!$A$1:$DZU$1000000,1887,FALSE)</f>
        <v>#N/A</v>
      </c>
      <c r="Q111" s="33" t="e">
        <f>VLOOKUP(A1,DIV_04Data!$A$1:$DZU$1000000,1888,FALSE)</f>
        <v>#N/A</v>
      </c>
    </row>
    <row r="112" spans="1:17" x14ac:dyDescent="0.35">
      <c r="A112" s="22" t="e">
        <f>VLOOKUP(A1,DIV_04Data!$A$1:$DZU$1000000,1889,FALSE)</f>
        <v>#N/A</v>
      </c>
      <c r="B112" s="37" t="e">
        <f>VLOOKUP(A1,DIV_04Data!$A$1:$DZU$1000000,1890,FALSE)</f>
        <v>#N/A</v>
      </c>
      <c r="C112" s="38" t="e">
        <f>VLOOKUP(A1,DIV_04Data!$A$1:$DZU$1000000,1891,FALSE)</f>
        <v>#N/A</v>
      </c>
      <c r="D112" s="31" t="e">
        <f>VLOOKUP(A1,DIV_04Data!$A$1:$DZU$1000000,1892,FALSE)</f>
        <v>#N/A</v>
      </c>
      <c r="E112" s="32" t="e">
        <f>VLOOKUP(A1,DIV_04Data!$A$1:$DZU$1000000,1893,FALSE)</f>
        <v>#N/A</v>
      </c>
      <c r="F112" s="34" t="e">
        <f>VLOOKUP(A1,DIV_04Data!$A$1:$DZU$1000000,1894,FALSE)</f>
        <v>#N/A</v>
      </c>
      <c r="G112" s="33" t="e">
        <f>VLOOKUP(A1,DIV_04Data!$A$1:$DZU$1000000,1895,FALSE)</f>
        <v>#N/A</v>
      </c>
      <c r="H112" s="34" t="e">
        <f>VLOOKUP(A1,DIV_04Data!$A$1:$DZU$1000000,1896,FALSE)</f>
        <v>#N/A</v>
      </c>
      <c r="I112" s="33" t="e">
        <f>VLOOKUP(A1,DIV_04Data!$A$1:$DZU$1000000,1897,FALSE)</f>
        <v>#N/A</v>
      </c>
      <c r="J112" s="34" t="e">
        <f>VLOOKUP(A1,DIV_04Data!$A$1:$DZU$1000000,1898,FALSE)</f>
        <v>#N/A</v>
      </c>
      <c r="K112" s="34" t="e">
        <f>VLOOKUP(A1,DIV_04Data!$A$1:$DZU$1000000,1899,FALSE)</f>
        <v>#N/A</v>
      </c>
      <c r="L112" s="93" t="e">
        <f>VLOOKUP(A1,DIV_04Data!$A$1:$DZU$1000000,1900,FALSE)</f>
        <v>#N/A</v>
      </c>
      <c r="M112" s="33" t="e">
        <f>VLOOKUP(A1,DIV_04Data!$A$1:$DZU$1000000,1901,FALSE)</f>
        <v>#N/A</v>
      </c>
      <c r="N112" s="34" t="e">
        <f>VLOOKUP(A1,DIV_04Data!$A$1:$DZU$1000000,1902,FALSE)</f>
        <v>#N/A</v>
      </c>
      <c r="O112" s="33" t="e">
        <f>VLOOKUP(A1,DIV_04Data!$A$1:$DZU$1000000,1903,FALSE)</f>
        <v>#N/A</v>
      </c>
      <c r="P112" s="46" t="e">
        <f>VLOOKUP(A1,DIV_04Data!$A$1:$DZU$1000000,1904,FALSE)</f>
        <v>#N/A</v>
      </c>
      <c r="Q112" s="33" t="e">
        <f>VLOOKUP(A1,DIV_04Data!$A$1:$DZU$1000000,1905,FALSE)</f>
        <v>#N/A</v>
      </c>
    </row>
    <row r="113" spans="1:17" x14ac:dyDescent="0.35">
      <c r="A113" s="22" t="e">
        <f>VLOOKUP(A1,DIV_04Data!$A$1:$DZU$1000000,1906,FALSE)</f>
        <v>#N/A</v>
      </c>
      <c r="B113" s="37" t="e">
        <f>VLOOKUP(A1,DIV_04Data!$A$1:$DZU$1000000,1907,FALSE)</f>
        <v>#N/A</v>
      </c>
      <c r="C113" s="38" t="e">
        <f>VLOOKUP(A1,DIV_04Data!$A$1:$DZU$1000000,1908,FALSE)</f>
        <v>#N/A</v>
      </c>
      <c r="D113" s="31" t="e">
        <f>VLOOKUP(A1,DIV_04Data!$A$1:$DZU$1000000,1909,FALSE)</f>
        <v>#N/A</v>
      </c>
      <c r="E113" s="32" t="e">
        <f>VLOOKUP(A1,DIV_04Data!$A$1:$DZU$1000000,1910,FALSE)</f>
        <v>#N/A</v>
      </c>
      <c r="F113" s="34" t="e">
        <f>VLOOKUP(A1,DIV_04Data!$A$1:$DZU$1000000,1911,FALSE)</f>
        <v>#N/A</v>
      </c>
      <c r="G113" s="33" t="e">
        <f>VLOOKUP(A1,DIV_04Data!$A$1:$DZU$1000000,1912,FALSE)</f>
        <v>#N/A</v>
      </c>
      <c r="H113" s="34" t="e">
        <f>VLOOKUP(A1,DIV_04Data!$A$1:$DZU$1000000,1913,FALSE)</f>
        <v>#N/A</v>
      </c>
      <c r="I113" s="33" t="e">
        <f>VLOOKUP(A1,DIV_04Data!$A$1:$DZU$1000000,1914,FALSE)</f>
        <v>#N/A</v>
      </c>
      <c r="J113" s="34" t="e">
        <f>VLOOKUP(A1,DIV_04Data!$A$1:$DZU$1000000,1915,FALSE)</f>
        <v>#N/A</v>
      </c>
      <c r="K113" s="34" t="e">
        <f>VLOOKUP(A1,DIV_04Data!$A$1:$DZU$1000000,1916,FALSE)</f>
        <v>#N/A</v>
      </c>
      <c r="L113" s="93" t="e">
        <f>VLOOKUP(A1,DIV_04Data!$A$1:$DZU$1000000,1917,FALSE)</f>
        <v>#N/A</v>
      </c>
      <c r="M113" s="33" t="e">
        <f>VLOOKUP(A1,DIV_04Data!$A$1:$DZU$1000000,1918,FALSE)</f>
        <v>#N/A</v>
      </c>
      <c r="N113" s="34" t="e">
        <f>VLOOKUP(A1,DIV_04Data!$A$1:$DZU$1000000,1919,FALSE)</f>
        <v>#N/A</v>
      </c>
      <c r="O113" s="33" t="e">
        <f>VLOOKUP(A1,DIV_04Data!$A$1:$DZU$1000000,1920,FALSE)</f>
        <v>#N/A</v>
      </c>
      <c r="P113" s="46" t="e">
        <f>VLOOKUP(A1,DIV_04Data!$A$1:$DZU$1000000,1921,FALSE)</f>
        <v>#N/A</v>
      </c>
      <c r="Q113" s="33" t="e">
        <f>VLOOKUP(A1,DIV_04Data!$A$1:$DZU$1000000,1922,FALSE)</f>
        <v>#N/A</v>
      </c>
    </row>
    <row r="114" spans="1:17" x14ac:dyDescent="0.35">
      <c r="A114" s="22" t="e">
        <f>VLOOKUP(A1,DIV_04Data!$A$1:$DZU$1000000,1923,FALSE)</f>
        <v>#N/A</v>
      </c>
      <c r="B114" s="37" t="e">
        <f>VLOOKUP(A1,DIV_04Data!$A$1:$DZU$1000000,1924,FALSE)</f>
        <v>#N/A</v>
      </c>
      <c r="C114" s="38" t="e">
        <f>VLOOKUP(A1,DIV_04Data!$A$1:$DZU$1000000,1925,FALSE)</f>
        <v>#N/A</v>
      </c>
      <c r="D114" s="31" t="e">
        <f>VLOOKUP(A1,DIV_04Data!$A$1:$DZU$1000000,1926,FALSE)</f>
        <v>#N/A</v>
      </c>
      <c r="E114" s="32" t="e">
        <f>VLOOKUP(A1,DIV_04Data!$A$1:$DZU$1000000,1927,FALSE)</f>
        <v>#N/A</v>
      </c>
      <c r="F114" s="34" t="e">
        <f>VLOOKUP(A1,DIV_04Data!$A$1:$DZU$1000000,1928,FALSE)</f>
        <v>#N/A</v>
      </c>
      <c r="G114" s="33" t="e">
        <f>VLOOKUP(A1,DIV_04Data!$A$1:$DZU$1000000,1929,FALSE)</f>
        <v>#N/A</v>
      </c>
      <c r="H114" s="34" t="e">
        <f>VLOOKUP(A1,DIV_04Data!$A$1:$DZU$1000000,1930,FALSE)</f>
        <v>#N/A</v>
      </c>
      <c r="I114" s="33" t="e">
        <f>VLOOKUP(A1,DIV_04Data!$A$1:$DZU$1000000,1931,FALSE)</f>
        <v>#N/A</v>
      </c>
      <c r="J114" s="34" t="e">
        <f>VLOOKUP(A1,DIV_04Data!$A$1:$DZU$1000000,1932,FALSE)</f>
        <v>#N/A</v>
      </c>
      <c r="K114" s="34" t="e">
        <f>VLOOKUP(A1,DIV_04Data!$A$1:$DZU$1000000,1933,FALSE)</f>
        <v>#N/A</v>
      </c>
      <c r="L114" s="93" t="e">
        <f>VLOOKUP(A1,DIV_04Data!$A$1:$DZU$1000000,1934,FALSE)</f>
        <v>#N/A</v>
      </c>
      <c r="M114" s="33" t="e">
        <f>VLOOKUP(A1,DIV_04Data!$A$1:$DZU$1000000,1935,FALSE)</f>
        <v>#N/A</v>
      </c>
      <c r="N114" s="34" t="e">
        <f>VLOOKUP(A1,DIV_04Data!$A$1:$DZU$1000000,1936,FALSE)</f>
        <v>#N/A</v>
      </c>
      <c r="O114" s="33" t="e">
        <f>VLOOKUP(A1,DIV_04Data!$A$1:$DZU$1000000,1937,FALSE)</f>
        <v>#N/A</v>
      </c>
      <c r="P114" s="46" t="e">
        <f>VLOOKUP(A1,DIV_04Data!$A$1:$DZU$1000000,1938,FALSE)</f>
        <v>#N/A</v>
      </c>
      <c r="Q114" s="33" t="e">
        <f>VLOOKUP(A1,DIV_04Data!$A$1:$DZU$1000000,1939,FALSE)</f>
        <v>#N/A</v>
      </c>
    </row>
    <row r="115" spans="1:17" x14ac:dyDescent="0.35">
      <c r="A115" s="22" t="e">
        <f>VLOOKUP(A1,DIV_04Data!$A$1:$DZU$1000000,1940,FALSE)</f>
        <v>#N/A</v>
      </c>
      <c r="B115" s="37" t="e">
        <f>VLOOKUP(A1,DIV_04Data!$A$1:$DZU$1000000,1941,FALSE)</f>
        <v>#N/A</v>
      </c>
      <c r="C115" s="38" t="e">
        <f>VLOOKUP(A1,DIV_04Data!$A$1:$DZU$1000000,1942,FALSE)</f>
        <v>#N/A</v>
      </c>
      <c r="D115" s="31" t="e">
        <f>VLOOKUP(A1,DIV_04Data!$A$1:$DZU$1000000,1943,FALSE)</f>
        <v>#N/A</v>
      </c>
      <c r="E115" s="32" t="e">
        <f>VLOOKUP(A1,DIV_04Data!$A$1:$DZU$1000000,1944,FALSE)</f>
        <v>#N/A</v>
      </c>
      <c r="F115" s="34" t="e">
        <f>VLOOKUP(A1,DIV_04Data!$A$1:$DZU$1000000,1945,FALSE)</f>
        <v>#N/A</v>
      </c>
      <c r="G115" s="33" t="e">
        <f>VLOOKUP(A1,DIV_04Data!$A$1:$DZU$1000000,1946,FALSE)</f>
        <v>#N/A</v>
      </c>
      <c r="H115" s="34" t="e">
        <f>VLOOKUP(A1,DIV_04Data!$A$1:$DZU$1000000,1947,FALSE)</f>
        <v>#N/A</v>
      </c>
      <c r="I115" s="33" t="e">
        <f>VLOOKUP(A1,DIV_04Data!$A$1:$DZU$1000000,1948,FALSE)</f>
        <v>#N/A</v>
      </c>
      <c r="J115" s="34" t="e">
        <f>VLOOKUP(A1,DIV_04Data!$A$1:$DZU$1000000,1949,FALSE)</f>
        <v>#N/A</v>
      </c>
      <c r="K115" s="34" t="e">
        <f>VLOOKUP(A1,DIV_04Data!$A$1:$DZU$1000000,1950,FALSE)</f>
        <v>#N/A</v>
      </c>
      <c r="L115" s="93" t="e">
        <f>VLOOKUP(A1,DIV_04Data!$A$1:$DZU$1000000,1951,FALSE)</f>
        <v>#N/A</v>
      </c>
      <c r="M115" s="33" t="e">
        <f>VLOOKUP(A1,DIV_04Data!$A$1:$DZU$1000000,1952,FALSE)</f>
        <v>#N/A</v>
      </c>
      <c r="N115" s="34" t="e">
        <f>VLOOKUP(A1,DIV_04Data!$A$1:$DZU$1000000,1953,FALSE)</f>
        <v>#N/A</v>
      </c>
      <c r="O115" s="33" t="e">
        <f>VLOOKUP(A1,DIV_04Data!$A$1:$DZU$1000000,1954,FALSE)</f>
        <v>#N/A</v>
      </c>
      <c r="P115" s="46" t="e">
        <f>VLOOKUP(A1,DIV_04Data!$A$1:$DZU$1000000,1955,FALSE)</f>
        <v>#N/A</v>
      </c>
      <c r="Q115" s="33" t="e">
        <f>VLOOKUP(A1,DIV_04Data!$A$1:$DZU$1000000,1956,FALSE)</f>
        <v>#N/A</v>
      </c>
    </row>
    <row r="116" spans="1:17" x14ac:dyDescent="0.35">
      <c r="A116" s="22" t="e">
        <f>VLOOKUP(A1,DIV_04Data!$A$1:$DZU$1000000,1957,FALSE)</f>
        <v>#N/A</v>
      </c>
      <c r="B116" s="37" t="e">
        <f>VLOOKUP(A1,DIV_04Data!$A$1:$DZU$1000000,1958,FALSE)</f>
        <v>#N/A</v>
      </c>
      <c r="C116" s="38" t="e">
        <f>VLOOKUP(A1,DIV_04Data!$A$1:$DZU$1000000,1959,FALSE)</f>
        <v>#N/A</v>
      </c>
      <c r="D116" s="31" t="e">
        <f>VLOOKUP(A1,DIV_04Data!$A$1:$DZU$1000000,1960,FALSE)</f>
        <v>#N/A</v>
      </c>
      <c r="E116" s="32" t="e">
        <f>VLOOKUP(A1,DIV_04Data!$A$1:$DZU$1000000,1961,FALSE)</f>
        <v>#N/A</v>
      </c>
      <c r="F116" s="34" t="e">
        <f>VLOOKUP(A1,DIV_04Data!$A$1:$DZU$1000000,1962,FALSE)</f>
        <v>#N/A</v>
      </c>
      <c r="G116" s="33" t="e">
        <f>VLOOKUP(A1,DIV_04Data!$A$1:$DZU$1000000,1963,FALSE)</f>
        <v>#N/A</v>
      </c>
      <c r="H116" s="34" t="e">
        <f>VLOOKUP(A1,DIV_04Data!$A$1:$DZU$1000000,1964,FALSE)</f>
        <v>#N/A</v>
      </c>
      <c r="I116" s="33" t="e">
        <f>VLOOKUP(A1,DIV_04Data!$A$1:$DZU$1000000,1965,FALSE)</f>
        <v>#N/A</v>
      </c>
      <c r="J116" s="34" t="e">
        <f>VLOOKUP(A1,DIV_04Data!$A$1:$DZU$1000000,1966,FALSE)</f>
        <v>#N/A</v>
      </c>
      <c r="K116" s="34" t="e">
        <f>VLOOKUP(A1,DIV_04Data!$A$1:$DZU$1000000,1967,FALSE)</f>
        <v>#N/A</v>
      </c>
      <c r="L116" s="93" t="e">
        <f>VLOOKUP(A1,DIV_04Data!$A$1:$DZU$1000000,1968,FALSE)</f>
        <v>#N/A</v>
      </c>
      <c r="M116" s="33" t="e">
        <f>VLOOKUP(A1,DIV_04Data!$A$1:$DZU$1000000,1969,FALSE)</f>
        <v>#N/A</v>
      </c>
      <c r="N116" s="34" t="e">
        <f>VLOOKUP(A1,DIV_04Data!$A$1:$DZU$1000000,1970,FALSE)</f>
        <v>#N/A</v>
      </c>
      <c r="O116" s="33" t="e">
        <f>VLOOKUP(A1,DIV_04Data!$A$1:$DZU$1000000,1971,FALSE)</f>
        <v>#N/A</v>
      </c>
      <c r="P116" s="46" t="e">
        <f>VLOOKUP(A1,DIV_04Data!$A$1:$DZU$1000000,1972,FALSE)</f>
        <v>#N/A</v>
      </c>
      <c r="Q116" s="33" t="e">
        <f>VLOOKUP(A1,DIV_04Data!$A$1:$DZU$1000000,1973,FALSE)</f>
        <v>#N/A</v>
      </c>
    </row>
    <row r="117" spans="1:17" x14ac:dyDescent="0.35">
      <c r="A117" s="22" t="e">
        <f>VLOOKUP(A1,DIV_04Data!$A$1:$DZU$1000000,1974,FALSE)</f>
        <v>#N/A</v>
      </c>
      <c r="B117" s="37" t="e">
        <f>VLOOKUP(A1,DIV_04Data!$A$1:$DZU$1000000,1975,FALSE)</f>
        <v>#N/A</v>
      </c>
      <c r="C117" s="38" t="e">
        <f>VLOOKUP(A1,DIV_04Data!$A$1:$DZU$1000000,1976,FALSE)</f>
        <v>#N/A</v>
      </c>
      <c r="D117" s="31" t="e">
        <f>VLOOKUP(A1,DIV_04Data!$A$1:$DZU$1000000,1977,FALSE)</f>
        <v>#N/A</v>
      </c>
      <c r="E117" s="32" t="e">
        <f>VLOOKUP(A1,DIV_04Data!$A$1:$DZU$1000000,1978,FALSE)</f>
        <v>#N/A</v>
      </c>
      <c r="F117" s="34" t="e">
        <f>VLOOKUP(A1,DIV_04Data!$A$1:$DZU$1000000,1979,FALSE)</f>
        <v>#N/A</v>
      </c>
      <c r="G117" s="33" t="e">
        <f>VLOOKUP(A1,DIV_04Data!$A$1:$DZU$1000000,1980,FALSE)</f>
        <v>#N/A</v>
      </c>
      <c r="H117" s="34" t="e">
        <f>VLOOKUP(A1,DIV_04Data!$A$1:$DZU$1000000,1981,FALSE)</f>
        <v>#N/A</v>
      </c>
      <c r="I117" s="33" t="e">
        <f>VLOOKUP(A1,DIV_04Data!$A$1:$DZU$1000000,1982,FALSE)</f>
        <v>#N/A</v>
      </c>
      <c r="J117" s="34" t="e">
        <f>VLOOKUP(A1,DIV_04Data!$A$1:$DZU$1000000,1983,FALSE)</f>
        <v>#N/A</v>
      </c>
      <c r="K117" s="34" t="e">
        <f>VLOOKUP(A1,DIV_04Data!$A$1:$DZU$1000000,1984,FALSE)</f>
        <v>#N/A</v>
      </c>
      <c r="L117" s="93" t="e">
        <f>VLOOKUP(A1,DIV_04Data!$A$1:$DZU$1000000,1985,FALSE)</f>
        <v>#N/A</v>
      </c>
      <c r="M117" s="33" t="e">
        <f>VLOOKUP(A1,DIV_04Data!$A$1:$DZU$1000000,1986,FALSE)</f>
        <v>#N/A</v>
      </c>
      <c r="N117" s="34" t="e">
        <f>VLOOKUP(A1,DIV_04Data!$A$1:$DZU$1000000,1987,FALSE)</f>
        <v>#N/A</v>
      </c>
      <c r="O117" s="33" t="e">
        <f>VLOOKUP(A1,DIV_04Data!$A$1:$DZU$1000000,1988,FALSE)</f>
        <v>#N/A</v>
      </c>
      <c r="P117" s="46" t="e">
        <f>VLOOKUP(A1,DIV_04Data!$A$1:$DZU$1000000,1989,FALSE)</f>
        <v>#N/A</v>
      </c>
      <c r="Q117" s="33" t="e">
        <f>VLOOKUP(A1,DIV_04Data!$A$1:$DZU$1000000,1990,FALSE)</f>
        <v>#N/A</v>
      </c>
    </row>
    <row r="118" spans="1:17" x14ac:dyDescent="0.35">
      <c r="A118" s="22" t="e">
        <f>VLOOKUP(A1,DIV_04Data!$A$1:$DZU$1000000,1991,FALSE)</f>
        <v>#N/A</v>
      </c>
      <c r="B118" s="37" t="e">
        <f>VLOOKUP(A1,DIV_04Data!$A$1:$DZU$1000000,1992,FALSE)</f>
        <v>#N/A</v>
      </c>
      <c r="C118" s="38" t="e">
        <f>VLOOKUP(A1,DIV_04Data!$A$1:$DZU$1000000,1993,FALSE)</f>
        <v>#N/A</v>
      </c>
      <c r="D118" s="31" t="e">
        <f>VLOOKUP(A1,DIV_04Data!$A$1:$DZU$1000000,1994,FALSE)</f>
        <v>#N/A</v>
      </c>
      <c r="E118" s="32" t="e">
        <f>VLOOKUP(A1,DIV_04Data!$A$1:$DZU$1000000,1995,FALSE)</f>
        <v>#N/A</v>
      </c>
      <c r="F118" s="34" t="e">
        <f>VLOOKUP(A1,DIV_04Data!$A$1:$DZU$1000000,1996,FALSE)</f>
        <v>#N/A</v>
      </c>
      <c r="G118" s="33" t="e">
        <f>VLOOKUP(A1,DIV_04Data!$A$1:$DZU$1000000,1997,FALSE)</f>
        <v>#N/A</v>
      </c>
      <c r="H118" s="34" t="e">
        <f>VLOOKUP(A1,DIV_04Data!$A$1:$DZU$1000000,1998,FALSE)</f>
        <v>#N/A</v>
      </c>
      <c r="I118" s="33" t="e">
        <f>VLOOKUP(A1,DIV_04Data!$A$1:$DZU$1000000,1999,FALSE)</f>
        <v>#N/A</v>
      </c>
      <c r="J118" s="34" t="e">
        <f>VLOOKUP(A1,DIV_04Data!$A$1:$DZU$1000000,2000,FALSE)</f>
        <v>#N/A</v>
      </c>
      <c r="K118" s="34" t="e">
        <f>VLOOKUP(A1,DIV_04Data!$A$1:$DZU$1000000,2001,FALSE)</f>
        <v>#N/A</v>
      </c>
      <c r="L118" s="93" t="e">
        <f>VLOOKUP(A1,DIV_04Data!$A$1:$DZU$1000000,2002,FALSE)</f>
        <v>#N/A</v>
      </c>
      <c r="M118" s="33" t="e">
        <f>VLOOKUP(A1,DIV_04Data!$A$1:$DZU$1000000,2003,FALSE)</f>
        <v>#N/A</v>
      </c>
      <c r="N118" s="34" t="e">
        <f>VLOOKUP(A1,DIV_04Data!$A$1:$DZU$1000000,2004,FALSE)</f>
        <v>#N/A</v>
      </c>
      <c r="O118" s="33" t="e">
        <f>VLOOKUP(A1,DIV_04Data!$A$1:$DZU$1000000,2005,FALSE)</f>
        <v>#N/A</v>
      </c>
      <c r="P118" s="46" t="e">
        <f>VLOOKUP(A1,DIV_04Data!$A$1:$DZU$1000000,2006,FALSE)</f>
        <v>#N/A</v>
      </c>
      <c r="Q118" s="33" t="e">
        <f>VLOOKUP(A1,DIV_04Data!$A$1:$DZU$1000000,2007,FALSE)</f>
        <v>#N/A</v>
      </c>
    </row>
    <row r="119" spans="1:17" x14ac:dyDescent="0.35">
      <c r="A119" s="22" t="e">
        <f>VLOOKUP(A1,DIV_04Data!$A$1:$DZU$1000000,2008,FALSE)</f>
        <v>#N/A</v>
      </c>
      <c r="B119" s="37" t="e">
        <f>VLOOKUP(A1,DIV_04Data!$A$1:$DZU$1000000,2009,FALSE)</f>
        <v>#N/A</v>
      </c>
      <c r="C119" s="38" t="e">
        <f>VLOOKUP(A1,DIV_04Data!$A$1:$DZU$1000000,2010,FALSE)</f>
        <v>#N/A</v>
      </c>
      <c r="D119" s="31" t="e">
        <f>VLOOKUP(A1,DIV_04Data!$A$1:$DZU$1000000,2011,FALSE)</f>
        <v>#N/A</v>
      </c>
      <c r="E119" s="32" t="e">
        <f>VLOOKUP(A1,DIV_04Data!$A$1:$DZU$1000000,2012,FALSE)</f>
        <v>#N/A</v>
      </c>
      <c r="F119" s="34" t="e">
        <f>VLOOKUP(A1,DIV_04Data!$A$1:$DZU$1000000,2013,FALSE)</f>
        <v>#N/A</v>
      </c>
      <c r="G119" s="33" t="e">
        <f>VLOOKUP(A1,DIV_04Data!$A$1:$DZU$1000000,2014,FALSE)</f>
        <v>#N/A</v>
      </c>
      <c r="H119" s="34" t="e">
        <f>VLOOKUP(A1,DIV_04Data!$A$1:$DZU$1000000,2015,FALSE)</f>
        <v>#N/A</v>
      </c>
      <c r="I119" s="33" t="e">
        <f>VLOOKUP(A1,DIV_04Data!$A$1:$DZU$1000000,2016,FALSE)</f>
        <v>#N/A</v>
      </c>
      <c r="J119" s="34" t="e">
        <f>VLOOKUP(A1,DIV_04Data!$A$1:$DZU$1000000,2017,FALSE)</f>
        <v>#N/A</v>
      </c>
      <c r="K119" s="34" t="e">
        <f>VLOOKUP(A1,DIV_04Data!$A$1:$DZU$1000000,2018,FALSE)</f>
        <v>#N/A</v>
      </c>
      <c r="L119" s="93" t="e">
        <f>VLOOKUP(A1,DIV_04Data!$A$1:$DZU$1000000,2019,FALSE)</f>
        <v>#N/A</v>
      </c>
      <c r="M119" s="33" t="e">
        <f>VLOOKUP(A1,DIV_04Data!$A$1:$DZU$1000000,2020,FALSE)</f>
        <v>#N/A</v>
      </c>
      <c r="N119" s="34" t="e">
        <f>VLOOKUP(A1,DIV_04Data!$A$1:$DZU$1000000,2021,FALSE)</f>
        <v>#N/A</v>
      </c>
      <c r="O119" s="33" t="e">
        <f>VLOOKUP(A1,DIV_04Data!$A$1:$DZU$1000000,2022,FALSE)</f>
        <v>#N/A</v>
      </c>
      <c r="P119" s="46" t="e">
        <f>VLOOKUP(A1,DIV_04Data!$A$1:$DZU$1000000,2023,FALSE)</f>
        <v>#N/A</v>
      </c>
      <c r="Q119" s="33" t="e">
        <f>VLOOKUP(A1,DIV_04Data!$A$1:$DZU$1000000,2024,FALSE)</f>
        <v>#N/A</v>
      </c>
    </row>
    <row r="120" spans="1:17" x14ac:dyDescent="0.35">
      <c r="A120" s="22" t="e">
        <f>VLOOKUP(A1,DIV_04Data!$A$1:$DZU$1000000,2025,FALSE)</f>
        <v>#N/A</v>
      </c>
      <c r="B120" s="37" t="e">
        <f>VLOOKUP(A1,DIV_04Data!$A$1:$DZU$1000000,2026,FALSE)</f>
        <v>#N/A</v>
      </c>
      <c r="C120" s="38" t="e">
        <f>VLOOKUP(A1,DIV_04Data!$A$1:$DZU$1000000,2027,FALSE)</f>
        <v>#N/A</v>
      </c>
      <c r="D120" s="31" t="e">
        <f>VLOOKUP(A1,DIV_04Data!$A$1:$DZU$1000000,2028,FALSE)</f>
        <v>#N/A</v>
      </c>
      <c r="E120" s="32" t="e">
        <f>VLOOKUP(A1,DIV_04Data!$A$1:$DZU$1000000,2029,FALSE)</f>
        <v>#N/A</v>
      </c>
      <c r="F120" s="34" t="e">
        <f>VLOOKUP(A1,DIV_04Data!$A$1:$DZU$1000000,2030,FALSE)</f>
        <v>#N/A</v>
      </c>
      <c r="G120" s="33" t="e">
        <f>VLOOKUP(A1,DIV_04Data!$A$1:$DZU$1000000,2031,FALSE)</f>
        <v>#N/A</v>
      </c>
      <c r="H120" s="34" t="e">
        <f>VLOOKUP(A1,DIV_04Data!$A$1:$DZU$1000000,2032,FALSE)</f>
        <v>#N/A</v>
      </c>
      <c r="I120" s="33" t="e">
        <f>VLOOKUP(A1,DIV_04Data!$A$1:$DZU$1000000,2033,FALSE)</f>
        <v>#N/A</v>
      </c>
      <c r="J120" s="34" t="e">
        <f>VLOOKUP(A1,DIV_04Data!$A$1:$DZU$1000000,2034,FALSE)</f>
        <v>#N/A</v>
      </c>
      <c r="K120" s="34" t="e">
        <f>VLOOKUP(A1,DIV_04Data!$A$1:$DZU$1000000,2035,FALSE)</f>
        <v>#N/A</v>
      </c>
      <c r="L120" s="93" t="e">
        <f>VLOOKUP(A1,DIV_04Data!$A$1:$DZU$1000000,2036,FALSE)</f>
        <v>#N/A</v>
      </c>
      <c r="M120" s="33" t="e">
        <f>VLOOKUP(A1,DIV_04Data!$A$1:$DZU$1000000,2037,FALSE)</f>
        <v>#N/A</v>
      </c>
      <c r="N120" s="34" t="e">
        <f>VLOOKUP(A1,DIV_04Data!$A$1:$DZU$1000000,2038,FALSE)</f>
        <v>#N/A</v>
      </c>
      <c r="O120" s="33" t="e">
        <f>VLOOKUP(A1,DIV_04Data!$A$1:$DZU$1000000,2039,FALSE)</f>
        <v>#N/A</v>
      </c>
      <c r="P120" s="46" t="e">
        <f>VLOOKUP(A1,DIV_04Data!$A$1:$DZU$1000000,2040,FALSE)</f>
        <v>#N/A</v>
      </c>
      <c r="Q120" s="33" t="e">
        <f>VLOOKUP(A1,DIV_04Data!$A$1:$DZU$1000000,2041,FALSE)</f>
        <v>#N/A</v>
      </c>
    </row>
    <row r="121" spans="1:17" x14ac:dyDescent="0.35">
      <c r="A121" s="22" t="e">
        <f>VLOOKUP(A1,DIV_04Data!$A$1:$DZU$1000000,2042,FALSE)</f>
        <v>#N/A</v>
      </c>
      <c r="B121" s="37" t="e">
        <f>VLOOKUP(A1,DIV_04Data!$A$1:$DZU$1000000,2043,FALSE)</f>
        <v>#N/A</v>
      </c>
      <c r="C121" s="38" t="e">
        <f>VLOOKUP(A1,DIV_04Data!$A$1:$DZU$1000000,2044,FALSE)</f>
        <v>#N/A</v>
      </c>
      <c r="D121" s="31" t="e">
        <f>VLOOKUP(A1,DIV_04Data!$A$1:$DZU$1000000,2045,FALSE)</f>
        <v>#N/A</v>
      </c>
      <c r="E121" s="32" t="e">
        <f>VLOOKUP(A1,DIV_04Data!$A$1:$DZU$1000000,2046,FALSE)</f>
        <v>#N/A</v>
      </c>
      <c r="F121" s="34" t="e">
        <f>VLOOKUP(A1,DIV_04Data!$A$1:$DZU$1000000,2047,FALSE)</f>
        <v>#N/A</v>
      </c>
      <c r="G121" s="33" t="e">
        <f>VLOOKUP(A1,DIV_04Data!$A$1:$DZU$1000000,2048,FALSE)</f>
        <v>#N/A</v>
      </c>
      <c r="H121" s="34" t="e">
        <f>VLOOKUP(A1,DIV_04Data!$A$1:$DZU$1000000,2049,FALSE)</f>
        <v>#N/A</v>
      </c>
      <c r="I121" s="33" t="e">
        <f>VLOOKUP(A1,DIV_04Data!$A$1:$DZU$1000000,2050,FALSE)</f>
        <v>#N/A</v>
      </c>
      <c r="J121" s="34" t="e">
        <f>VLOOKUP(A1,DIV_04Data!$A$1:$DZU$1000000,2051,FALSE)</f>
        <v>#N/A</v>
      </c>
      <c r="K121" s="34" t="e">
        <f>VLOOKUP(A1,DIV_04Data!$A$1:$DZU$1000000,2052,FALSE)</f>
        <v>#N/A</v>
      </c>
      <c r="L121" s="93" t="e">
        <f>VLOOKUP(A1,DIV_04Data!$A$1:$DZU$1000000,2053,FALSE)</f>
        <v>#N/A</v>
      </c>
      <c r="M121" s="33" t="e">
        <f>VLOOKUP(A1,DIV_04Data!$A$1:$DZU$1000000,2054,FALSE)</f>
        <v>#N/A</v>
      </c>
      <c r="N121" s="34" t="e">
        <f>VLOOKUP(A1,DIV_04Data!$A$1:$DZU$1000000,2055,FALSE)</f>
        <v>#N/A</v>
      </c>
      <c r="O121" s="33" t="e">
        <f>VLOOKUP(A1,DIV_04Data!$A$1:$DZU$1000000,2056,FALSE)</f>
        <v>#N/A</v>
      </c>
      <c r="P121" s="46" t="e">
        <f>VLOOKUP(A1,DIV_04Data!$A$1:$DZU$1000000,2057,FALSE)</f>
        <v>#N/A</v>
      </c>
      <c r="Q121" s="33" t="e">
        <f>VLOOKUP(A1,DIV_04Data!$A$1:$DZU$1000000,2058,FALSE)</f>
        <v>#N/A</v>
      </c>
    </row>
    <row r="122" spans="1:17" x14ac:dyDescent="0.35">
      <c r="A122" s="22" t="e">
        <f>VLOOKUP(A1,DIV_04Data!$A$1:$DZU$1000000,2059,FALSE)</f>
        <v>#N/A</v>
      </c>
      <c r="B122" s="37" t="e">
        <f>VLOOKUP(A1,DIV_04Data!$A$1:$DZU$1000000,2060,FALSE)</f>
        <v>#N/A</v>
      </c>
      <c r="C122" s="38" t="e">
        <f>VLOOKUP(A1,DIV_04Data!$A$1:$DZU$1000000,2061,FALSE)</f>
        <v>#N/A</v>
      </c>
      <c r="D122" s="31" t="e">
        <f>VLOOKUP(A1,DIV_04Data!$A$1:$DZU$1000000,2062,FALSE)</f>
        <v>#N/A</v>
      </c>
      <c r="E122" s="32" t="e">
        <f>VLOOKUP(A1,DIV_04Data!$A$1:$DZU$1000000,2063,FALSE)</f>
        <v>#N/A</v>
      </c>
      <c r="F122" s="34" t="e">
        <f>VLOOKUP(A1,DIV_04Data!$A$1:$DZU$1000000,2064,FALSE)</f>
        <v>#N/A</v>
      </c>
      <c r="G122" s="33" t="e">
        <f>VLOOKUP(A1,DIV_04Data!$A$1:$DZU$1000000,2065,FALSE)</f>
        <v>#N/A</v>
      </c>
      <c r="H122" s="34" t="e">
        <f>VLOOKUP(A1,DIV_04Data!$A$1:$DZU$1000000,2066,FALSE)</f>
        <v>#N/A</v>
      </c>
      <c r="I122" s="33" t="e">
        <f>VLOOKUP(A1,DIV_04Data!$A$1:$DZU$1000000,2067,FALSE)</f>
        <v>#N/A</v>
      </c>
      <c r="J122" s="34" t="e">
        <f>VLOOKUP(A1,DIV_04Data!$A$1:$DZU$1000000,2068,FALSE)</f>
        <v>#N/A</v>
      </c>
      <c r="K122" s="34" t="e">
        <f>VLOOKUP(A1,DIV_04Data!$A$1:$DZU$1000000,2069,FALSE)</f>
        <v>#N/A</v>
      </c>
      <c r="L122" s="93" t="e">
        <f>VLOOKUP(A1,DIV_04Data!$A$1:$DZU$1000000,2070,FALSE)</f>
        <v>#N/A</v>
      </c>
      <c r="M122" s="33" t="e">
        <f>VLOOKUP(A1,DIV_04Data!$A$1:$DZU$1000000,2071,FALSE)</f>
        <v>#N/A</v>
      </c>
      <c r="N122" s="34" t="e">
        <f>VLOOKUP(A1,DIV_04Data!$A$1:$DZU$1000000,2072,FALSE)</f>
        <v>#N/A</v>
      </c>
      <c r="O122" s="33" t="e">
        <f>VLOOKUP(A1,DIV_04Data!$A$1:$DZU$1000000,2073,FALSE)</f>
        <v>#N/A</v>
      </c>
      <c r="P122" s="46" t="e">
        <f>VLOOKUP(A1,DIV_04Data!$A$1:$DZU$1000000,2074,FALSE)</f>
        <v>#N/A</v>
      </c>
      <c r="Q122" s="33" t="e">
        <f>VLOOKUP(A1,DIV_04Data!$A$1:$DZU$1000000,2075,FALSE)</f>
        <v>#N/A</v>
      </c>
    </row>
    <row r="123" spans="1:17" x14ac:dyDescent="0.35">
      <c r="A123" s="22" t="e">
        <f>VLOOKUP(A1,DIV_04Data!$A$1:$DZU$1000000,2076,FALSE)</f>
        <v>#N/A</v>
      </c>
      <c r="B123" s="37" t="e">
        <f>VLOOKUP(A1,DIV_04Data!$A$1:$DZU$1000000,2077,FALSE)</f>
        <v>#N/A</v>
      </c>
      <c r="C123" s="38" t="e">
        <f>VLOOKUP(A1,DIV_04Data!$A$1:$DZU$1000000,2078,FALSE)</f>
        <v>#N/A</v>
      </c>
      <c r="D123" s="31" t="e">
        <f>VLOOKUP(A1,DIV_04Data!$A$1:$DZU$1000000,2079,FALSE)</f>
        <v>#N/A</v>
      </c>
      <c r="E123" s="32" t="e">
        <f>VLOOKUP(A1,DIV_04Data!$A$1:$DZU$1000000,2080,FALSE)</f>
        <v>#N/A</v>
      </c>
      <c r="F123" s="34" t="e">
        <f>VLOOKUP(A1,DIV_04Data!$A$1:$DZU$1000000,2081,FALSE)</f>
        <v>#N/A</v>
      </c>
      <c r="G123" s="33" t="e">
        <f>VLOOKUP(A1,DIV_04Data!$A$1:$DZU$1000000,2082,FALSE)</f>
        <v>#N/A</v>
      </c>
      <c r="H123" s="34" t="e">
        <f>VLOOKUP(A1,DIV_04Data!$A$1:$DZU$1000000,2083,FALSE)</f>
        <v>#N/A</v>
      </c>
      <c r="I123" s="33" t="e">
        <f>VLOOKUP(A1,DIV_04Data!$A$1:$DZU$1000000,2084,FALSE)</f>
        <v>#N/A</v>
      </c>
      <c r="J123" s="34" t="e">
        <f>VLOOKUP(A1,DIV_04Data!$A$1:$DZU$1000000,2085,FALSE)</f>
        <v>#N/A</v>
      </c>
      <c r="K123" s="34" t="e">
        <f>VLOOKUP(A1,DIV_04Data!$A$1:$DZU$1000000,2086,FALSE)</f>
        <v>#N/A</v>
      </c>
      <c r="L123" s="93" t="e">
        <f>VLOOKUP(A1,DIV_04Data!$A$1:$DZU$1000000,2087,FALSE)</f>
        <v>#N/A</v>
      </c>
      <c r="M123" s="33" t="e">
        <f>VLOOKUP(A1,DIV_04Data!$A$1:$DZU$1000000,2088,FALSE)</f>
        <v>#N/A</v>
      </c>
      <c r="N123" s="34" t="e">
        <f>VLOOKUP(A1,DIV_04Data!$A$1:$DZU$1000000,2089,FALSE)</f>
        <v>#N/A</v>
      </c>
      <c r="O123" s="33" t="e">
        <f>VLOOKUP(A1,DIV_04Data!$A$1:$DZU$1000000,2090,FALSE)</f>
        <v>#N/A</v>
      </c>
      <c r="P123" s="46" t="e">
        <f>VLOOKUP(A1,DIV_04Data!$A$1:$DZU$1000000,2091,FALSE)</f>
        <v>#N/A</v>
      </c>
      <c r="Q123" s="33" t="e">
        <f>VLOOKUP(A1,DIV_04Data!$A$1:$DZU$1000000,2092,FALSE)</f>
        <v>#N/A</v>
      </c>
    </row>
    <row r="124" spans="1:17" x14ac:dyDescent="0.35">
      <c r="A124" s="22" t="e">
        <f>VLOOKUP(A1,DIV_04Data!$A$1:$DZU$1000000,2093,FALSE)</f>
        <v>#N/A</v>
      </c>
      <c r="B124" s="37" t="e">
        <f>VLOOKUP(A1,DIV_04Data!$A$1:$DZU$1000000,2094,FALSE)</f>
        <v>#N/A</v>
      </c>
      <c r="C124" s="38" t="e">
        <f>VLOOKUP(A1,DIV_04Data!$A$1:$DZU$1000000,2095,FALSE)</f>
        <v>#N/A</v>
      </c>
      <c r="D124" s="31" t="e">
        <f>VLOOKUP(A1,DIV_04Data!$A$1:$DZU$1000000,2096,FALSE)</f>
        <v>#N/A</v>
      </c>
      <c r="E124" s="32" t="e">
        <f>VLOOKUP(A1,DIV_04Data!$A$1:$DZU$1000000,2097,FALSE)</f>
        <v>#N/A</v>
      </c>
      <c r="F124" s="34" t="e">
        <f>VLOOKUP(A1,DIV_04Data!$A$1:$DZU$1000000,2098,FALSE)</f>
        <v>#N/A</v>
      </c>
      <c r="G124" s="33" t="e">
        <f>VLOOKUP(A1,DIV_04Data!$A$1:$DZU$1000000,2099,FALSE)</f>
        <v>#N/A</v>
      </c>
      <c r="H124" s="34" t="e">
        <f>VLOOKUP(A1,DIV_04Data!$A$1:$DZU$1000000,2100,FALSE)</f>
        <v>#N/A</v>
      </c>
      <c r="I124" s="33" t="e">
        <f>VLOOKUP(A1,DIV_04Data!$A$1:$DZU$1000000,2101,FALSE)</f>
        <v>#N/A</v>
      </c>
      <c r="J124" s="34" t="e">
        <f>VLOOKUP(A1,DIV_04Data!$A$1:$DZU$1000000,2102,FALSE)</f>
        <v>#N/A</v>
      </c>
      <c r="K124" s="34" t="e">
        <f>VLOOKUP(A1,DIV_04Data!$A$1:$DZU$1000000,2103,FALSE)</f>
        <v>#N/A</v>
      </c>
      <c r="L124" s="93" t="e">
        <f>VLOOKUP(A1,DIV_04Data!$A$1:$DZU$1000000,2104,FALSE)</f>
        <v>#N/A</v>
      </c>
      <c r="M124" s="33" t="e">
        <f>VLOOKUP(A1,DIV_04Data!$A$1:$DZU$1000000,2105,FALSE)</f>
        <v>#N/A</v>
      </c>
      <c r="N124" s="34" t="e">
        <f>VLOOKUP(A1,DIV_04Data!$A$1:$DZU$1000000,2106,FALSE)</f>
        <v>#N/A</v>
      </c>
      <c r="O124" s="33" t="e">
        <f>VLOOKUP(A1,DIV_04Data!$A$1:$DZU$1000000,2107,FALSE)</f>
        <v>#N/A</v>
      </c>
      <c r="P124" s="46" t="e">
        <f>VLOOKUP(A1,DIV_04Data!$A$1:$DZU$1000000,2108,FALSE)</f>
        <v>#N/A</v>
      </c>
      <c r="Q124" s="33" t="e">
        <f>VLOOKUP(A1,DIV_04Data!$A$1:$DZU$1000000,2109,FALSE)</f>
        <v>#N/A</v>
      </c>
    </row>
    <row r="125" spans="1:17" x14ac:dyDescent="0.35">
      <c r="A125" s="22" t="e">
        <f>VLOOKUP(A1,DIV_04Data!$A$1:$DZU$1000000,2110,FALSE)</f>
        <v>#N/A</v>
      </c>
      <c r="B125" s="37" t="e">
        <f>VLOOKUP(A1,DIV_04Data!$A$1:$DZU$1000000,2111,FALSE)</f>
        <v>#N/A</v>
      </c>
      <c r="C125" s="38" t="e">
        <f>VLOOKUP(A1,DIV_04Data!$A$1:$DZU$1000000,2112,FALSE)</f>
        <v>#N/A</v>
      </c>
      <c r="D125" s="31" t="e">
        <f>VLOOKUP(A1,DIV_04Data!$A$1:$DZU$1000000,2113,FALSE)</f>
        <v>#N/A</v>
      </c>
      <c r="E125" s="32" t="e">
        <f>VLOOKUP(A1,DIV_04Data!$A$1:$DZU$1000000,2114,FALSE)</f>
        <v>#N/A</v>
      </c>
      <c r="F125" s="34" t="e">
        <f>VLOOKUP(A1,DIV_04Data!$A$1:$DZU$1000000,2115,FALSE)</f>
        <v>#N/A</v>
      </c>
      <c r="G125" s="33" t="e">
        <f>VLOOKUP(A1,DIV_04Data!$A$1:$DZU$1000000,2116,FALSE)</f>
        <v>#N/A</v>
      </c>
      <c r="H125" s="34" t="e">
        <f>VLOOKUP(A1,DIV_04Data!$A$1:$DZU$1000000,2117,FALSE)</f>
        <v>#N/A</v>
      </c>
      <c r="I125" s="33" t="e">
        <f>VLOOKUP(A1,DIV_04Data!$A$1:$DZU$1000000,2118,FALSE)</f>
        <v>#N/A</v>
      </c>
      <c r="J125" s="34" t="e">
        <f>VLOOKUP(A1,DIV_04Data!$A$1:$DZU$1000000,2119,FALSE)</f>
        <v>#N/A</v>
      </c>
      <c r="K125" s="34" t="e">
        <f>VLOOKUP(A1,DIV_04Data!$A$1:$DZU$1000000,2120,FALSE)</f>
        <v>#N/A</v>
      </c>
      <c r="L125" s="93" t="e">
        <f>VLOOKUP(A1,DIV_04Data!$A$1:$DZU$1000000,2121,FALSE)</f>
        <v>#N/A</v>
      </c>
      <c r="M125" s="33" t="e">
        <f>VLOOKUP(A1,DIV_04Data!$A$1:$DZU$1000000,2122,FALSE)</f>
        <v>#N/A</v>
      </c>
      <c r="N125" s="34" t="e">
        <f>VLOOKUP(A1,DIV_04Data!$A$1:$DZU$1000000,2123,FALSE)</f>
        <v>#N/A</v>
      </c>
      <c r="O125" s="33" t="e">
        <f>VLOOKUP(A1,DIV_04Data!$A$1:$DZU$1000000,2124,FALSE)</f>
        <v>#N/A</v>
      </c>
      <c r="P125" s="46" t="e">
        <f>VLOOKUP(A1,DIV_04Data!$A$1:$DZU$1000000,2125,FALSE)</f>
        <v>#N/A</v>
      </c>
      <c r="Q125" s="33" t="e">
        <f>VLOOKUP(A1,DIV_04Data!$A$1:$DZU$1000000,2126,FALSE)</f>
        <v>#N/A</v>
      </c>
    </row>
    <row r="126" spans="1:17" x14ac:dyDescent="0.35">
      <c r="A126" s="22" t="e">
        <f>VLOOKUP(A1,DIV_04Data!$A$1:$DZU$1000000,2127,FALSE)</f>
        <v>#N/A</v>
      </c>
      <c r="B126" s="37" t="e">
        <f>VLOOKUP(A1,DIV_04Data!$A$1:$DZU$1000000,2128,FALSE)</f>
        <v>#N/A</v>
      </c>
      <c r="C126" s="38" t="e">
        <f>VLOOKUP(A1,DIV_04Data!$A$1:$DZU$1000000,2129,FALSE)</f>
        <v>#N/A</v>
      </c>
      <c r="D126" s="31" t="e">
        <f>VLOOKUP(A1,DIV_04Data!$A$1:$DZU$1000000,2130,FALSE)</f>
        <v>#N/A</v>
      </c>
      <c r="E126" s="32" t="e">
        <f>VLOOKUP(A1,DIV_04Data!$A$1:$DZU$1000000,2131,FALSE)</f>
        <v>#N/A</v>
      </c>
      <c r="F126" s="34" t="e">
        <f>VLOOKUP(A1,DIV_04Data!$A$1:$DZU$1000000,2132,FALSE)</f>
        <v>#N/A</v>
      </c>
      <c r="G126" s="33" t="e">
        <f>VLOOKUP(A1,DIV_04Data!$A$1:$DZU$1000000,2133,FALSE)</f>
        <v>#N/A</v>
      </c>
      <c r="H126" s="34" t="e">
        <f>VLOOKUP(A1,DIV_04Data!$A$1:$DZU$1000000,2134,FALSE)</f>
        <v>#N/A</v>
      </c>
      <c r="I126" s="33" t="e">
        <f>VLOOKUP(A1,DIV_04Data!$A$1:$DZU$1000000,2135,FALSE)</f>
        <v>#N/A</v>
      </c>
      <c r="J126" s="34" t="e">
        <f>VLOOKUP(A1,DIV_04Data!$A$1:$DZU$1000000,2136,FALSE)</f>
        <v>#N/A</v>
      </c>
      <c r="K126" s="34" t="e">
        <f>VLOOKUP(A1,DIV_04Data!$A$1:$DZU$1000000,2137,FALSE)</f>
        <v>#N/A</v>
      </c>
      <c r="L126" s="93" t="e">
        <f>VLOOKUP(A1,DIV_04Data!$A$1:$DZU$1000000,2138,FALSE)</f>
        <v>#N/A</v>
      </c>
      <c r="M126" s="33" t="e">
        <f>VLOOKUP(A1,DIV_04Data!$A$1:$DZU$1000000,2139,FALSE)</f>
        <v>#N/A</v>
      </c>
      <c r="N126" s="34" t="e">
        <f>VLOOKUP(A1,DIV_04Data!$A$1:$DZU$1000000,2140,FALSE)</f>
        <v>#N/A</v>
      </c>
      <c r="O126" s="33" t="e">
        <f>VLOOKUP(A1,DIV_04Data!$A$1:$DZU$1000000,2141,FALSE)</f>
        <v>#N/A</v>
      </c>
      <c r="P126" s="46" t="e">
        <f>VLOOKUP(A1,DIV_04Data!$A$1:$DZU$1000000,2142,FALSE)</f>
        <v>#N/A</v>
      </c>
      <c r="Q126" s="33" t="e">
        <f>VLOOKUP(A1,DIV_04Data!$A$1:$DZU$1000000,2143,FALSE)</f>
        <v>#N/A</v>
      </c>
    </row>
    <row r="127" spans="1:17" x14ac:dyDescent="0.35">
      <c r="A127" s="22" t="e">
        <f>VLOOKUP(A1,DIV_04Data!$A$1:$DZU$1000000,2144,FALSE)</f>
        <v>#N/A</v>
      </c>
      <c r="B127" s="37" t="e">
        <f>VLOOKUP(A1,DIV_04Data!$A$1:$DZU$1000000,2145,FALSE)</f>
        <v>#N/A</v>
      </c>
      <c r="C127" s="38" t="e">
        <f>VLOOKUP(A1,DIV_04Data!$A$1:$DZU$1000000,2146,FALSE)</f>
        <v>#N/A</v>
      </c>
      <c r="D127" s="31" t="e">
        <f>VLOOKUP(A1,DIV_04Data!$A$1:$DZU$1000000,2147,FALSE)</f>
        <v>#N/A</v>
      </c>
      <c r="E127" s="32" t="e">
        <f>VLOOKUP(A1,DIV_04Data!$A$1:$DZU$1000000,2148,FALSE)</f>
        <v>#N/A</v>
      </c>
      <c r="F127" s="34" t="e">
        <f>VLOOKUP(A1,DIV_04Data!$A$1:$DZU$1000000,2149,FALSE)</f>
        <v>#N/A</v>
      </c>
      <c r="G127" s="33" t="e">
        <f>VLOOKUP(A1,DIV_04Data!$A$1:$DZU$1000000,2150,FALSE)</f>
        <v>#N/A</v>
      </c>
      <c r="H127" s="34" t="e">
        <f>VLOOKUP(A1,DIV_04Data!$A$1:$DZU$1000000,2151,FALSE)</f>
        <v>#N/A</v>
      </c>
      <c r="I127" s="33" t="e">
        <f>VLOOKUP(A1,DIV_04Data!$A$1:$DZU$1000000,2152,FALSE)</f>
        <v>#N/A</v>
      </c>
      <c r="J127" s="34" t="e">
        <f>VLOOKUP(A1,DIV_04Data!$A$1:$DZU$1000000,2153,FALSE)</f>
        <v>#N/A</v>
      </c>
      <c r="K127" s="34" t="e">
        <f>VLOOKUP(A1,DIV_04Data!$A$1:$DZU$1000000,2154,FALSE)</f>
        <v>#N/A</v>
      </c>
      <c r="L127" s="93" t="e">
        <f>VLOOKUP(A1,DIV_04Data!$A$1:$DZU$1000000,2155,FALSE)</f>
        <v>#N/A</v>
      </c>
      <c r="M127" s="33" t="e">
        <f>VLOOKUP(A1,DIV_04Data!$A$1:$DZU$1000000,2156,FALSE)</f>
        <v>#N/A</v>
      </c>
      <c r="N127" s="34" t="e">
        <f>VLOOKUP(A1,DIV_04Data!$A$1:$DZU$1000000,2157,FALSE)</f>
        <v>#N/A</v>
      </c>
      <c r="O127" s="33" t="e">
        <f>VLOOKUP(A1,DIV_04Data!$A$1:$DZU$1000000,2158,FALSE)</f>
        <v>#N/A</v>
      </c>
      <c r="P127" s="46" t="e">
        <f>VLOOKUP(A1,DIV_04Data!$A$1:$DZU$1000000,2159,FALSE)</f>
        <v>#N/A</v>
      </c>
      <c r="Q127" s="33" t="e">
        <f>VLOOKUP(A1,DIV_04Data!$A$1:$DZU$1000000,2160,FALSE)</f>
        <v>#N/A</v>
      </c>
    </row>
    <row r="128" spans="1:17" x14ac:dyDescent="0.35">
      <c r="A128" s="22" t="e">
        <f>VLOOKUP(A1,DIV_04Data!$A$1:$DZU$1000000,2161,FALSE)</f>
        <v>#N/A</v>
      </c>
      <c r="B128" s="37" t="e">
        <f>VLOOKUP(A1,DIV_04Data!$A$1:$DZU$1000000,2162,FALSE)</f>
        <v>#N/A</v>
      </c>
      <c r="C128" s="38" t="e">
        <f>VLOOKUP(A1,DIV_04Data!$A$1:$DZU$1000000,2163,FALSE)</f>
        <v>#N/A</v>
      </c>
      <c r="D128" s="31" t="e">
        <f>VLOOKUP(A1,DIV_04Data!$A$1:$DZU$1000000,2164,FALSE)</f>
        <v>#N/A</v>
      </c>
      <c r="E128" s="32" t="e">
        <f>VLOOKUP(A1,DIV_04Data!$A$1:$DZU$1000000,2165,FALSE)</f>
        <v>#N/A</v>
      </c>
      <c r="F128" s="34" t="e">
        <f>VLOOKUP(A1,DIV_04Data!$A$1:$DZU$1000000,2166,FALSE)</f>
        <v>#N/A</v>
      </c>
      <c r="G128" s="33" t="e">
        <f>VLOOKUP(A1,DIV_04Data!$A$1:$DZU$1000000,2167,FALSE)</f>
        <v>#N/A</v>
      </c>
      <c r="H128" s="34" t="e">
        <f>VLOOKUP(A1,DIV_04Data!$A$1:$DZU$1000000,2168,FALSE)</f>
        <v>#N/A</v>
      </c>
      <c r="I128" s="33" t="e">
        <f>VLOOKUP(A1,DIV_04Data!$A$1:$DZU$1000000,2169,FALSE)</f>
        <v>#N/A</v>
      </c>
      <c r="J128" s="34" t="e">
        <f>VLOOKUP(A1,DIV_04Data!$A$1:$DZU$1000000,2170,FALSE)</f>
        <v>#N/A</v>
      </c>
      <c r="K128" s="34" t="e">
        <f>VLOOKUP(A1,DIV_04Data!$A$1:$DZU$1000000,2171,FALSE)</f>
        <v>#N/A</v>
      </c>
      <c r="L128" s="93" t="e">
        <f>VLOOKUP(A1,DIV_04Data!$A$1:$DZU$1000000,2172,FALSE)</f>
        <v>#N/A</v>
      </c>
      <c r="M128" s="33" t="e">
        <f>VLOOKUP(A1,DIV_04Data!$A$1:$DZU$1000000,2173,FALSE)</f>
        <v>#N/A</v>
      </c>
      <c r="N128" s="34" t="e">
        <f>VLOOKUP(A1,DIV_04Data!$A$1:$DZU$1000000,2174,FALSE)</f>
        <v>#N/A</v>
      </c>
      <c r="O128" s="33" t="e">
        <f>VLOOKUP(A1,DIV_04Data!$A$1:$DZU$1000000,2175,FALSE)</f>
        <v>#N/A</v>
      </c>
      <c r="P128" s="46" t="e">
        <f>VLOOKUP(A1,DIV_04Data!$A$1:$DZU$1000000,2176,FALSE)</f>
        <v>#N/A</v>
      </c>
      <c r="Q128" s="33" t="e">
        <f>VLOOKUP(A1,DIV_04Data!$A$1:$DZU$1000000,2177,FALSE)</f>
        <v>#N/A</v>
      </c>
    </row>
    <row r="129" spans="1:17" x14ac:dyDescent="0.35">
      <c r="A129" s="22" t="e">
        <f>VLOOKUP(A1,DIV_04Data!$A$1:$DZU$1000000,2178,FALSE)</f>
        <v>#N/A</v>
      </c>
      <c r="B129" s="37" t="e">
        <f>VLOOKUP(A1,DIV_04Data!$A$1:$DZU$1000000,2179,FALSE)</f>
        <v>#N/A</v>
      </c>
      <c r="C129" s="38" t="e">
        <f>VLOOKUP(A1,DIV_04Data!$A$1:$DZU$1000000,2180,FALSE)</f>
        <v>#N/A</v>
      </c>
      <c r="D129" s="31" t="e">
        <f>VLOOKUP(A1,DIV_04Data!$A$1:$DZU$1000000,2181,FALSE)</f>
        <v>#N/A</v>
      </c>
      <c r="E129" s="32" t="e">
        <f>VLOOKUP(A1,DIV_04Data!$A$1:$DZU$1000000,2182,FALSE)</f>
        <v>#N/A</v>
      </c>
      <c r="F129" s="34" t="e">
        <f>VLOOKUP(A1,DIV_04Data!$A$1:$DZU$1000000,2183,FALSE)</f>
        <v>#N/A</v>
      </c>
      <c r="G129" s="33" t="e">
        <f>VLOOKUP(A1,DIV_04Data!$A$1:$DZU$1000000,2184,FALSE)</f>
        <v>#N/A</v>
      </c>
      <c r="H129" s="34" t="e">
        <f>VLOOKUP(A1,DIV_04Data!$A$1:$DZU$1000000,2185,FALSE)</f>
        <v>#N/A</v>
      </c>
      <c r="I129" s="33" t="e">
        <f>VLOOKUP(A1,DIV_04Data!$A$1:$DZU$1000000,2186,FALSE)</f>
        <v>#N/A</v>
      </c>
      <c r="J129" s="34" t="e">
        <f>VLOOKUP(A1,DIV_04Data!$A$1:$DZU$1000000,2187,FALSE)</f>
        <v>#N/A</v>
      </c>
      <c r="K129" s="34" t="e">
        <f>VLOOKUP(A1,DIV_04Data!$A$1:$DZU$1000000,2188,FALSE)</f>
        <v>#N/A</v>
      </c>
      <c r="L129" s="93" t="e">
        <f>VLOOKUP(A1,DIV_04Data!$A$1:$DZU$1000000,2189,FALSE)</f>
        <v>#N/A</v>
      </c>
      <c r="M129" s="33" t="e">
        <f>VLOOKUP(A1,DIV_04Data!$A$1:$DZU$1000000,2190,FALSE)</f>
        <v>#N/A</v>
      </c>
      <c r="N129" s="34" t="e">
        <f>VLOOKUP(A1,DIV_04Data!$A$1:$DZU$1000000,2191,FALSE)</f>
        <v>#N/A</v>
      </c>
      <c r="O129" s="33" t="e">
        <f>VLOOKUP(A1,DIV_04Data!$A$1:$DZU$1000000,2192,FALSE)</f>
        <v>#N/A</v>
      </c>
      <c r="P129" s="46" t="e">
        <f>VLOOKUP(A1,DIV_04Data!$A$1:$DZU$1000000,2193,FALSE)</f>
        <v>#N/A</v>
      </c>
      <c r="Q129" s="33" t="e">
        <f>VLOOKUP(A1,DIV_04Data!$A$1:$DZU$1000000,2194,FALSE)</f>
        <v>#N/A</v>
      </c>
    </row>
    <row r="130" spans="1:17" x14ac:dyDescent="0.35">
      <c r="A130" s="22" t="e">
        <f>VLOOKUP(A1,DIV_04Data!$A$1:$DZU$1000000,2195,FALSE)</f>
        <v>#N/A</v>
      </c>
      <c r="B130" s="37" t="e">
        <f>VLOOKUP(A1,DIV_04Data!$A$1:$DZU$1000000,2196,FALSE)</f>
        <v>#N/A</v>
      </c>
      <c r="C130" s="38" t="e">
        <f>VLOOKUP(A1,DIV_04Data!$A$1:$DZU$1000000,2197,FALSE)</f>
        <v>#N/A</v>
      </c>
      <c r="D130" s="31" t="e">
        <f>VLOOKUP(A1,DIV_04Data!$A$1:$DZU$1000000,2198,FALSE)</f>
        <v>#N/A</v>
      </c>
      <c r="E130" s="32" t="e">
        <f>VLOOKUP(A1,DIV_04Data!$A$1:$DZU$1000000,2199,FALSE)</f>
        <v>#N/A</v>
      </c>
      <c r="F130" s="34" t="e">
        <f>VLOOKUP(A1,DIV_04Data!$A$1:$DZU$1000000,2200,FALSE)</f>
        <v>#N/A</v>
      </c>
      <c r="G130" s="33" t="e">
        <f>VLOOKUP(A1,DIV_04Data!$A$1:$DZU$1000000,2201,FALSE)</f>
        <v>#N/A</v>
      </c>
      <c r="H130" s="34" t="e">
        <f>VLOOKUP(A1,DIV_04Data!$A$1:$DZU$1000000,2202,FALSE)</f>
        <v>#N/A</v>
      </c>
      <c r="I130" s="33" t="e">
        <f>VLOOKUP(A1,DIV_04Data!$A$1:$DZU$1000000,2203,FALSE)</f>
        <v>#N/A</v>
      </c>
      <c r="J130" s="34" t="e">
        <f>VLOOKUP(A1,DIV_04Data!$A$1:$DZU$1000000,2204,FALSE)</f>
        <v>#N/A</v>
      </c>
      <c r="K130" s="34" t="e">
        <f>VLOOKUP(A1,DIV_04Data!$A$1:$DZU$1000000,2205,FALSE)</f>
        <v>#N/A</v>
      </c>
      <c r="L130" s="93" t="e">
        <f>VLOOKUP(A1,DIV_04Data!$A$1:$DZU$1000000,2206,FALSE)</f>
        <v>#N/A</v>
      </c>
      <c r="M130" s="33" t="e">
        <f>VLOOKUP(A1,DIV_04Data!$A$1:$DZU$1000000,2207,FALSE)</f>
        <v>#N/A</v>
      </c>
      <c r="N130" s="34" t="e">
        <f>VLOOKUP(A1,DIV_04Data!$A$1:$DZU$1000000,2208,FALSE)</f>
        <v>#N/A</v>
      </c>
      <c r="O130" s="33" t="e">
        <f>VLOOKUP(A1,DIV_04Data!$A$1:$DZU$1000000,2209,FALSE)</f>
        <v>#N/A</v>
      </c>
      <c r="P130" s="46" t="e">
        <f>VLOOKUP(A1,DIV_04Data!$A$1:$DZU$1000000,2210,FALSE)</f>
        <v>#N/A</v>
      </c>
      <c r="Q130" s="33" t="e">
        <f>VLOOKUP(A1,DIV_04Data!$A$1:$DZU$1000000,2211,FALSE)</f>
        <v>#N/A</v>
      </c>
    </row>
    <row r="131" spans="1:17" x14ac:dyDescent="0.35">
      <c r="A131" s="22" t="e">
        <f>VLOOKUP(A1,DIV_04Data!$A$1:$DZU$1000000,2212,FALSE)</f>
        <v>#N/A</v>
      </c>
      <c r="B131" s="37" t="e">
        <f>VLOOKUP(A1,DIV_04Data!$A$1:$DZU$1000000,2213,FALSE)</f>
        <v>#N/A</v>
      </c>
      <c r="C131" s="38" t="e">
        <f>VLOOKUP(A1,DIV_04Data!$A$1:$DZU$1000000,2214,FALSE)</f>
        <v>#N/A</v>
      </c>
      <c r="D131" s="31" t="e">
        <f>VLOOKUP(A1,DIV_04Data!$A$1:$DZU$1000000,2215,FALSE)</f>
        <v>#N/A</v>
      </c>
      <c r="E131" s="32" t="e">
        <f>VLOOKUP(A1,DIV_04Data!$A$1:$DZU$1000000,2216,FALSE)</f>
        <v>#N/A</v>
      </c>
      <c r="F131" s="34" t="e">
        <f>VLOOKUP(A1,DIV_04Data!$A$1:$DZU$1000000,2217,FALSE)</f>
        <v>#N/A</v>
      </c>
      <c r="G131" s="33" t="e">
        <f>VLOOKUP(A1,DIV_04Data!$A$1:$DZU$1000000,2218,FALSE)</f>
        <v>#N/A</v>
      </c>
      <c r="H131" s="34" t="e">
        <f>VLOOKUP(A1,DIV_04Data!$A$1:$DZU$1000000,2219,FALSE)</f>
        <v>#N/A</v>
      </c>
      <c r="I131" s="33" t="e">
        <f>VLOOKUP(A1,DIV_04Data!$A$1:$DZU$1000000,2220,FALSE)</f>
        <v>#N/A</v>
      </c>
      <c r="J131" s="34" t="e">
        <f>VLOOKUP(A1,DIV_04Data!$A$1:$DZU$1000000,2221,FALSE)</f>
        <v>#N/A</v>
      </c>
      <c r="K131" s="34" t="e">
        <f>VLOOKUP(A1,DIV_04Data!$A$1:$DZU$1000000,2222,FALSE)</f>
        <v>#N/A</v>
      </c>
      <c r="L131" s="93" t="e">
        <f>VLOOKUP(A1,DIV_04Data!$A$1:$DZU$1000000,2223,FALSE)</f>
        <v>#N/A</v>
      </c>
      <c r="M131" s="33" t="e">
        <f>VLOOKUP(A1,DIV_04Data!$A$1:$DZU$1000000,2224,FALSE)</f>
        <v>#N/A</v>
      </c>
      <c r="N131" s="34" t="e">
        <f>VLOOKUP(A1,DIV_04Data!$A$1:$DZU$1000000,2225,FALSE)</f>
        <v>#N/A</v>
      </c>
      <c r="O131" s="33" t="e">
        <f>VLOOKUP(A1,DIV_04Data!$A$1:$DZU$1000000,2226,FALSE)</f>
        <v>#N/A</v>
      </c>
      <c r="P131" s="46" t="e">
        <f>VLOOKUP(A1,DIV_04Data!$A$1:$DZU$1000000,2227,FALSE)</f>
        <v>#N/A</v>
      </c>
      <c r="Q131" s="33" t="e">
        <f>VLOOKUP(A1,DIV_04Data!$A$1:$DZU$1000000,2228,FALSE)</f>
        <v>#N/A</v>
      </c>
    </row>
    <row r="132" spans="1:17" x14ac:dyDescent="0.35">
      <c r="A132" s="22" t="e">
        <f>VLOOKUP(A1,DIV_04Data!$A$1:$DZU$1000000,2229,FALSE)</f>
        <v>#N/A</v>
      </c>
      <c r="B132" s="37" t="e">
        <f>VLOOKUP(A1,DIV_04Data!$A$1:$DZU$1000000,2230,FALSE)</f>
        <v>#N/A</v>
      </c>
      <c r="C132" s="38" t="e">
        <f>VLOOKUP(A1,DIV_04Data!$A$1:$DZU$1000000,2231,FALSE)</f>
        <v>#N/A</v>
      </c>
      <c r="D132" s="31" t="e">
        <f>VLOOKUP(A1,DIV_04Data!$A$1:$DZU$1000000,2232,FALSE)</f>
        <v>#N/A</v>
      </c>
      <c r="E132" s="32" t="e">
        <f>VLOOKUP(A1,DIV_04Data!$A$1:$DZU$1000000,2233,FALSE)</f>
        <v>#N/A</v>
      </c>
      <c r="F132" s="34" t="e">
        <f>VLOOKUP(A1,DIV_04Data!$A$1:$DZU$1000000,2234,FALSE)</f>
        <v>#N/A</v>
      </c>
      <c r="G132" s="33" t="e">
        <f>VLOOKUP(A1,DIV_04Data!$A$1:$DZU$1000000,2235,FALSE)</f>
        <v>#N/A</v>
      </c>
      <c r="H132" s="34" t="e">
        <f>VLOOKUP(A1,DIV_04Data!$A$1:$DZU$1000000,2236,FALSE)</f>
        <v>#N/A</v>
      </c>
      <c r="I132" s="33" t="e">
        <f>VLOOKUP(A1,DIV_04Data!$A$1:$DZU$1000000,2237,FALSE)</f>
        <v>#N/A</v>
      </c>
      <c r="J132" s="34" t="e">
        <f>VLOOKUP(A1,DIV_04Data!$A$1:$DZU$1000000,2238,FALSE)</f>
        <v>#N/A</v>
      </c>
      <c r="K132" s="34" t="e">
        <f>VLOOKUP(A1,DIV_04Data!$A$1:$DZU$1000000,2239,FALSE)</f>
        <v>#N/A</v>
      </c>
      <c r="L132" s="93" t="e">
        <f>VLOOKUP(A1,DIV_04Data!$A$1:$DZU$1000000,2240,FALSE)</f>
        <v>#N/A</v>
      </c>
      <c r="M132" s="33" t="e">
        <f>VLOOKUP(A1,DIV_04Data!$A$1:$DZU$1000000,2241,FALSE)</f>
        <v>#N/A</v>
      </c>
      <c r="N132" s="34" t="e">
        <f>VLOOKUP(A1,DIV_04Data!$A$1:$DZU$1000000,2242,FALSE)</f>
        <v>#N/A</v>
      </c>
      <c r="O132" s="33" t="e">
        <f>VLOOKUP(A1,DIV_04Data!$A$1:$DZU$1000000,2243,FALSE)</f>
        <v>#N/A</v>
      </c>
      <c r="P132" s="46" t="e">
        <f>VLOOKUP(A1,DIV_04Data!$A$1:$DZU$1000000,2244,FALSE)</f>
        <v>#N/A</v>
      </c>
      <c r="Q132" s="33" t="e">
        <f>VLOOKUP(A1,DIV_04Data!$A$1:$DZU$1000000,2245,FALSE)</f>
        <v>#N/A</v>
      </c>
    </row>
    <row r="133" spans="1:17" x14ac:dyDescent="0.35">
      <c r="A133" s="22" t="e">
        <f>VLOOKUP(A1,DIV_04Data!$A$1:$DZU$1000000,2246,FALSE)</f>
        <v>#N/A</v>
      </c>
      <c r="B133" s="37" t="e">
        <f>VLOOKUP(A1,DIV_04Data!$A$1:$DZU$1000000,2247,FALSE)</f>
        <v>#N/A</v>
      </c>
      <c r="C133" s="38" t="e">
        <f>VLOOKUP(A1,DIV_04Data!$A$1:$DZU$1000000,2248,FALSE)</f>
        <v>#N/A</v>
      </c>
      <c r="D133" s="31" t="e">
        <f>VLOOKUP(A1,DIV_04Data!$A$1:$DZU$1000000,2249,FALSE)</f>
        <v>#N/A</v>
      </c>
      <c r="E133" s="32" t="e">
        <f>VLOOKUP(A1,DIV_04Data!$A$1:$DZU$1000000,2250,FALSE)</f>
        <v>#N/A</v>
      </c>
      <c r="F133" s="34" t="e">
        <f>VLOOKUP(A1,DIV_04Data!$A$1:$DZU$1000000,2251,FALSE)</f>
        <v>#N/A</v>
      </c>
      <c r="G133" s="33" t="e">
        <f>VLOOKUP(A1,DIV_04Data!$A$1:$DZU$1000000,2252,FALSE)</f>
        <v>#N/A</v>
      </c>
      <c r="H133" s="34" t="e">
        <f>VLOOKUP(A1,DIV_04Data!$A$1:$DZU$1000000,2253,FALSE)</f>
        <v>#N/A</v>
      </c>
      <c r="I133" s="33" t="e">
        <f>VLOOKUP(A1,DIV_04Data!$A$1:$DZU$1000000,2254,FALSE)</f>
        <v>#N/A</v>
      </c>
      <c r="J133" s="34" t="e">
        <f>VLOOKUP(A1,DIV_04Data!$A$1:$DZU$1000000,2255,FALSE)</f>
        <v>#N/A</v>
      </c>
      <c r="K133" s="34" t="e">
        <f>VLOOKUP(A1,DIV_04Data!$A$1:$DZU$1000000,2256,FALSE)</f>
        <v>#N/A</v>
      </c>
      <c r="L133" s="93" t="e">
        <f>VLOOKUP(A1,DIV_04Data!$A$1:$DZU$1000000,2257,FALSE)</f>
        <v>#N/A</v>
      </c>
      <c r="M133" s="33" t="e">
        <f>VLOOKUP(A1,DIV_04Data!$A$1:$DZU$1000000,2258,FALSE)</f>
        <v>#N/A</v>
      </c>
      <c r="N133" s="34" t="e">
        <f>VLOOKUP(A1,DIV_04Data!$A$1:$DZU$1000000,2259,FALSE)</f>
        <v>#N/A</v>
      </c>
      <c r="O133" s="33" t="e">
        <f>VLOOKUP(A1,DIV_04Data!$A$1:$DZU$1000000,2260,FALSE)</f>
        <v>#N/A</v>
      </c>
      <c r="P133" s="46" t="e">
        <f>VLOOKUP(A1,DIV_04Data!$A$1:$DZU$1000000,2261,FALSE)</f>
        <v>#N/A</v>
      </c>
      <c r="Q133" s="33" t="e">
        <f>VLOOKUP(A1,DIV_04Data!$A$1:$DZU$1000000,2262,FALSE)</f>
        <v>#N/A</v>
      </c>
    </row>
    <row r="134" spans="1:17" x14ac:dyDescent="0.35">
      <c r="A134" s="22" t="e">
        <f>VLOOKUP(A1,DIV_04Data!$A$1:$DZU$1000000,2263,FALSE)</f>
        <v>#N/A</v>
      </c>
      <c r="B134" s="37" t="e">
        <f>VLOOKUP(A1,DIV_04Data!$A$1:$DZU$1000000,2264,FALSE)</f>
        <v>#N/A</v>
      </c>
      <c r="C134" s="38" t="e">
        <f>VLOOKUP(A1,DIV_04Data!$A$1:$DZU$1000000,2265,FALSE)</f>
        <v>#N/A</v>
      </c>
      <c r="D134" s="31" t="e">
        <f>VLOOKUP(A1,DIV_04Data!$A$1:$DZU$1000000,2266,FALSE)</f>
        <v>#N/A</v>
      </c>
      <c r="E134" s="32" t="e">
        <f>VLOOKUP(A1,DIV_04Data!$A$1:$DZU$1000000,2267,FALSE)</f>
        <v>#N/A</v>
      </c>
      <c r="F134" s="34" t="e">
        <f>VLOOKUP(A1,DIV_04Data!$A$1:$DZU$1000000,2268,FALSE)</f>
        <v>#N/A</v>
      </c>
      <c r="G134" s="33" t="e">
        <f>VLOOKUP(A1,DIV_04Data!$A$1:$DZU$1000000,2269,FALSE)</f>
        <v>#N/A</v>
      </c>
      <c r="H134" s="34" t="e">
        <f>VLOOKUP(A1,DIV_04Data!$A$1:$DZU$1000000,2270,FALSE)</f>
        <v>#N/A</v>
      </c>
      <c r="I134" s="33" t="e">
        <f>VLOOKUP(A1,DIV_04Data!$A$1:$DZU$1000000,2271,FALSE)</f>
        <v>#N/A</v>
      </c>
      <c r="J134" s="34" t="e">
        <f>VLOOKUP(A1,DIV_04Data!$A$1:$DZU$1000000,2272,FALSE)</f>
        <v>#N/A</v>
      </c>
      <c r="K134" s="34" t="e">
        <f>VLOOKUP(A1,DIV_04Data!$A$1:$DZU$1000000,2273,FALSE)</f>
        <v>#N/A</v>
      </c>
      <c r="L134" s="93" t="e">
        <f>VLOOKUP(A1,DIV_04Data!$A$1:$DZU$1000000,2274,FALSE)</f>
        <v>#N/A</v>
      </c>
      <c r="M134" s="33" t="e">
        <f>VLOOKUP(A1,DIV_04Data!$A$1:$DZU$1000000,2275,FALSE)</f>
        <v>#N/A</v>
      </c>
      <c r="N134" s="34" t="e">
        <f>VLOOKUP(A1,DIV_04Data!$A$1:$DZU$1000000,2276,FALSE)</f>
        <v>#N/A</v>
      </c>
      <c r="O134" s="33" t="e">
        <f>VLOOKUP(A1,DIV_04Data!$A$1:$DZU$1000000,2277,FALSE)</f>
        <v>#N/A</v>
      </c>
      <c r="P134" s="46" t="e">
        <f>VLOOKUP(A1,DIV_04Data!$A$1:$DZU$1000000,2278,FALSE)</f>
        <v>#N/A</v>
      </c>
      <c r="Q134" s="33" t="e">
        <f>VLOOKUP(A1,DIV_04Data!$A$1:$DZU$1000000,2279,FALSE)</f>
        <v>#N/A</v>
      </c>
    </row>
    <row r="135" spans="1:17" x14ac:dyDescent="0.35">
      <c r="A135" s="22" t="e">
        <f>VLOOKUP(A1,DIV_04Data!$A$1:$DZU$1000000,2280,FALSE)</f>
        <v>#N/A</v>
      </c>
      <c r="B135" s="37" t="e">
        <f>VLOOKUP(A1,DIV_04Data!$A$1:$DZU$1000000,2281,FALSE)</f>
        <v>#N/A</v>
      </c>
      <c r="C135" s="38" t="e">
        <f>VLOOKUP(A1,DIV_04Data!$A$1:$DZU$1000000,2282,FALSE)</f>
        <v>#N/A</v>
      </c>
      <c r="D135" s="31" t="e">
        <f>VLOOKUP(A1,DIV_04Data!$A$1:$DZU$1000000,2283,FALSE)</f>
        <v>#N/A</v>
      </c>
      <c r="E135" s="32" t="e">
        <f>VLOOKUP(A1,DIV_04Data!$A$1:$DZU$1000000,2284,FALSE)</f>
        <v>#N/A</v>
      </c>
      <c r="F135" s="34" t="e">
        <f>VLOOKUP(A1,DIV_04Data!$A$1:$DZU$1000000,2285,FALSE)</f>
        <v>#N/A</v>
      </c>
      <c r="G135" s="33" t="e">
        <f>VLOOKUP(A1,DIV_04Data!$A$1:$DZU$1000000,2286,FALSE)</f>
        <v>#N/A</v>
      </c>
      <c r="H135" s="34" t="e">
        <f>VLOOKUP(A1,DIV_04Data!$A$1:$DZU$1000000,2287,FALSE)</f>
        <v>#N/A</v>
      </c>
      <c r="I135" s="33" t="e">
        <f>VLOOKUP(A1,DIV_04Data!$A$1:$DZU$1000000,2288,FALSE)</f>
        <v>#N/A</v>
      </c>
      <c r="J135" s="34" t="e">
        <f>VLOOKUP(A1,DIV_04Data!$A$1:$DZU$1000000,2289,FALSE)</f>
        <v>#N/A</v>
      </c>
      <c r="K135" s="34" t="e">
        <f>VLOOKUP(A1,DIV_04Data!$A$1:$DZU$1000000,2290,FALSE)</f>
        <v>#N/A</v>
      </c>
      <c r="L135" s="93" t="e">
        <f>VLOOKUP(A1,DIV_04Data!$A$1:$DZU$1000000,2291,FALSE)</f>
        <v>#N/A</v>
      </c>
      <c r="M135" s="33" t="e">
        <f>VLOOKUP(A1,DIV_04Data!$A$1:$DZU$1000000,2292,FALSE)</f>
        <v>#N/A</v>
      </c>
      <c r="N135" s="34" t="e">
        <f>VLOOKUP(A1,DIV_04Data!$A$1:$DZU$1000000,2293,FALSE)</f>
        <v>#N/A</v>
      </c>
      <c r="O135" s="33" t="e">
        <f>VLOOKUP(A1,DIV_04Data!$A$1:$DZU$1000000,2294,FALSE)</f>
        <v>#N/A</v>
      </c>
      <c r="P135" s="46" t="e">
        <f>VLOOKUP(A1,DIV_04Data!$A$1:$DZU$1000000,2295,FALSE)</f>
        <v>#N/A</v>
      </c>
      <c r="Q135" s="33" t="e">
        <f>VLOOKUP(A1,DIV_04Data!$A$1:$DZU$1000000,2296,FALSE)</f>
        <v>#N/A</v>
      </c>
    </row>
    <row r="136" spans="1:17" x14ac:dyDescent="0.35">
      <c r="A136" s="22" t="e">
        <f>VLOOKUP(A1,DIV_04Data!$A$1:$DZU$1000000,2297,FALSE)</f>
        <v>#N/A</v>
      </c>
      <c r="B136" s="37" t="e">
        <f>VLOOKUP(A1,DIV_04Data!$A$1:$DZU$1000000,2298,FALSE)</f>
        <v>#N/A</v>
      </c>
      <c r="C136" s="38" t="e">
        <f>VLOOKUP(A1,DIV_04Data!$A$1:$DZU$1000000,2299,FALSE)</f>
        <v>#N/A</v>
      </c>
      <c r="D136" s="31" t="e">
        <f>VLOOKUP(A1,DIV_04Data!$A$1:$DZU$1000000,2300,FALSE)</f>
        <v>#N/A</v>
      </c>
      <c r="E136" s="32" t="e">
        <f>VLOOKUP(A1,DIV_04Data!$A$1:$DZU$1000000,2301,FALSE)</f>
        <v>#N/A</v>
      </c>
      <c r="F136" s="34" t="e">
        <f>VLOOKUP(A1,DIV_04Data!$A$1:$DZU$1000000,2302,FALSE)</f>
        <v>#N/A</v>
      </c>
      <c r="G136" s="33" t="e">
        <f>VLOOKUP(A1,DIV_04Data!$A$1:$DZU$1000000,2303,FALSE)</f>
        <v>#N/A</v>
      </c>
      <c r="H136" s="34" t="e">
        <f>VLOOKUP(A1,DIV_04Data!$A$1:$DZU$1000000,2304,FALSE)</f>
        <v>#N/A</v>
      </c>
      <c r="I136" s="33" t="e">
        <f>VLOOKUP(A1,DIV_04Data!$A$1:$DZU$1000000,2305,FALSE)</f>
        <v>#N/A</v>
      </c>
      <c r="J136" s="34" t="e">
        <f>VLOOKUP(A1,DIV_04Data!$A$1:$DZU$1000000,2306,FALSE)</f>
        <v>#N/A</v>
      </c>
      <c r="K136" s="34" t="e">
        <f>VLOOKUP(A1,DIV_04Data!$A$1:$DZU$1000000,2307,FALSE)</f>
        <v>#N/A</v>
      </c>
      <c r="L136" s="93" t="e">
        <f>VLOOKUP(A1,DIV_04Data!$A$1:$DZU$1000000,2308,FALSE)</f>
        <v>#N/A</v>
      </c>
      <c r="M136" s="33" t="e">
        <f>VLOOKUP(A1,DIV_04Data!$A$1:$DZU$1000000,2309,FALSE)</f>
        <v>#N/A</v>
      </c>
      <c r="N136" s="34" t="e">
        <f>VLOOKUP(A1,DIV_04Data!$A$1:$DZU$1000000,2310,FALSE)</f>
        <v>#N/A</v>
      </c>
      <c r="O136" s="33" t="e">
        <f>VLOOKUP(A1,DIV_04Data!$A$1:$DZU$1000000,2311,FALSE)</f>
        <v>#N/A</v>
      </c>
      <c r="P136" s="46" t="e">
        <f>VLOOKUP(A1,DIV_04Data!$A$1:$DZU$1000000,2312,FALSE)</f>
        <v>#N/A</v>
      </c>
      <c r="Q136" s="33" t="e">
        <f>VLOOKUP(A1,DIV_04Data!$A$1:$DZU$1000000,2313,FALSE)</f>
        <v>#N/A</v>
      </c>
    </row>
    <row r="137" spans="1:17" x14ac:dyDescent="0.35">
      <c r="A137" s="22" t="e">
        <f>VLOOKUP(A1,DIV_04Data!$A$1:$DZU$1000000,2314,FALSE)</f>
        <v>#N/A</v>
      </c>
      <c r="B137" s="37" t="e">
        <f>VLOOKUP(A1,DIV_04Data!$A$1:$DZU$1000000,2315,FALSE)</f>
        <v>#N/A</v>
      </c>
      <c r="C137" s="38" t="e">
        <f>VLOOKUP(A1,DIV_04Data!$A$1:$DZU$1000000,2316,FALSE)</f>
        <v>#N/A</v>
      </c>
      <c r="D137" s="31" t="e">
        <f>VLOOKUP(A1,DIV_04Data!$A$1:$DZU$1000000,2317,FALSE)</f>
        <v>#N/A</v>
      </c>
      <c r="E137" s="32" t="e">
        <f>VLOOKUP(A1,DIV_04Data!$A$1:$DZU$1000000,2318,FALSE)</f>
        <v>#N/A</v>
      </c>
      <c r="F137" s="34" t="e">
        <f>VLOOKUP(A1,DIV_04Data!$A$1:$DZU$1000000,2319,FALSE)</f>
        <v>#N/A</v>
      </c>
      <c r="G137" s="33" t="e">
        <f>VLOOKUP(A1,DIV_04Data!$A$1:$DZU$1000000,2320,FALSE)</f>
        <v>#N/A</v>
      </c>
      <c r="H137" s="34" t="e">
        <f>VLOOKUP(A1,DIV_04Data!$A$1:$DZU$1000000,2321,FALSE)</f>
        <v>#N/A</v>
      </c>
      <c r="I137" s="33" t="e">
        <f>VLOOKUP(A1,DIV_04Data!$A$1:$DZU$1000000,2322,FALSE)</f>
        <v>#N/A</v>
      </c>
      <c r="J137" s="34" t="e">
        <f>VLOOKUP(A1,DIV_04Data!$A$1:$DZU$1000000,2323,FALSE)</f>
        <v>#N/A</v>
      </c>
      <c r="K137" s="34" t="e">
        <f>VLOOKUP(A1,DIV_04Data!$A$1:$DZU$1000000,2324,FALSE)</f>
        <v>#N/A</v>
      </c>
      <c r="L137" s="93" t="e">
        <f>VLOOKUP(A1,DIV_04Data!$A$1:$DZU$1000000,2325,FALSE)</f>
        <v>#N/A</v>
      </c>
      <c r="M137" s="33" t="e">
        <f>VLOOKUP(A1,DIV_04Data!$A$1:$DZU$1000000,2326,FALSE)</f>
        <v>#N/A</v>
      </c>
      <c r="N137" s="34" t="e">
        <f>VLOOKUP(A1,DIV_04Data!$A$1:$DZU$1000000,2327,FALSE)</f>
        <v>#N/A</v>
      </c>
      <c r="O137" s="33" t="e">
        <f>VLOOKUP(A1,DIV_04Data!$A$1:$DZU$1000000,2328,FALSE)</f>
        <v>#N/A</v>
      </c>
      <c r="P137" s="46" t="e">
        <f>VLOOKUP(A1,DIV_04Data!$A$1:$DZU$1000000,2329,FALSE)</f>
        <v>#N/A</v>
      </c>
      <c r="Q137" s="33" t="e">
        <f>VLOOKUP(A1,DIV_04Data!$A$1:$DZU$1000000,2330,FALSE)</f>
        <v>#N/A</v>
      </c>
    </row>
    <row r="138" spans="1:17" x14ac:dyDescent="0.35">
      <c r="A138" s="22" t="e">
        <f>VLOOKUP(A1,DIV_04Data!$A$1:$DZU$1000000,2331,FALSE)</f>
        <v>#N/A</v>
      </c>
      <c r="B138" s="37" t="e">
        <f>VLOOKUP(A1,DIV_04Data!$A$1:$DZU$1000000,2332,FALSE)</f>
        <v>#N/A</v>
      </c>
      <c r="C138" s="38" t="e">
        <f>VLOOKUP(A1,DIV_04Data!$A$1:$DZU$1000000,2333,FALSE)</f>
        <v>#N/A</v>
      </c>
      <c r="D138" s="31" t="e">
        <f>VLOOKUP(A1,DIV_04Data!$A$1:$DZU$1000000,2334,FALSE)</f>
        <v>#N/A</v>
      </c>
      <c r="E138" s="32" t="e">
        <f>VLOOKUP(A1,DIV_04Data!$A$1:$DZU$1000000,2335,FALSE)</f>
        <v>#N/A</v>
      </c>
      <c r="F138" s="34" t="e">
        <f>VLOOKUP(A1,DIV_04Data!$A$1:$DZU$1000000,2336,FALSE)</f>
        <v>#N/A</v>
      </c>
      <c r="G138" s="33" t="e">
        <f>VLOOKUP(A1,DIV_04Data!$A$1:$DZU$1000000,2337,FALSE)</f>
        <v>#N/A</v>
      </c>
      <c r="H138" s="34" t="e">
        <f>VLOOKUP(A1,DIV_04Data!$A$1:$DZU$1000000,2338,FALSE)</f>
        <v>#N/A</v>
      </c>
      <c r="I138" s="33" t="e">
        <f>VLOOKUP(A1,DIV_04Data!$A$1:$DZU$1000000,2339,FALSE)</f>
        <v>#N/A</v>
      </c>
      <c r="J138" s="34" t="e">
        <f>VLOOKUP(A1,DIV_04Data!$A$1:$DZU$1000000,2340,FALSE)</f>
        <v>#N/A</v>
      </c>
      <c r="K138" s="34" t="e">
        <f>VLOOKUP(A1,DIV_04Data!$A$1:$DZU$1000000,2341,FALSE)</f>
        <v>#N/A</v>
      </c>
      <c r="L138" s="93" t="e">
        <f>VLOOKUP(A1,DIV_04Data!$A$1:$DZU$1000000,2342,FALSE)</f>
        <v>#N/A</v>
      </c>
      <c r="M138" s="33" t="e">
        <f>VLOOKUP(A1,DIV_04Data!$A$1:$DZU$1000000,2343,FALSE)</f>
        <v>#N/A</v>
      </c>
      <c r="N138" s="34" t="e">
        <f>VLOOKUP(A1,DIV_04Data!$A$1:$DZU$1000000,2344,FALSE)</f>
        <v>#N/A</v>
      </c>
      <c r="O138" s="33" t="e">
        <f>VLOOKUP(A1,DIV_04Data!$A$1:$DZU$1000000,2345,FALSE)</f>
        <v>#N/A</v>
      </c>
      <c r="P138" s="46" t="e">
        <f>VLOOKUP(A1,DIV_04Data!$A$1:$DZU$1000000,2346,FALSE)</f>
        <v>#N/A</v>
      </c>
      <c r="Q138" s="33" t="e">
        <f>VLOOKUP(A1,DIV_04Data!$A$1:$DZU$1000000,2347,FALSE)</f>
        <v>#N/A</v>
      </c>
    </row>
    <row r="139" spans="1:17" x14ac:dyDescent="0.35">
      <c r="A139" s="22" t="e">
        <f>VLOOKUP(A1,DIV_04Data!$A$1:$DZU$1000000,2348,FALSE)</f>
        <v>#N/A</v>
      </c>
      <c r="B139" s="37" t="e">
        <f>VLOOKUP(A1,DIV_04Data!$A$1:$DZU$1000000,2349,FALSE)</f>
        <v>#N/A</v>
      </c>
      <c r="C139" s="38" t="e">
        <f>VLOOKUP(A1,DIV_04Data!$A$1:$DZU$1000000,2350,FALSE)</f>
        <v>#N/A</v>
      </c>
      <c r="D139" s="31" t="e">
        <f>VLOOKUP(A1,DIV_04Data!$A$1:$DZU$1000000,2351,FALSE)</f>
        <v>#N/A</v>
      </c>
      <c r="E139" s="32" t="e">
        <f>VLOOKUP(A1,DIV_04Data!$A$1:$DZU$1000000,2352,FALSE)</f>
        <v>#N/A</v>
      </c>
      <c r="F139" s="34" t="e">
        <f>VLOOKUP(A1,DIV_04Data!$A$1:$DZU$1000000,2353,FALSE)</f>
        <v>#N/A</v>
      </c>
      <c r="G139" s="33" t="e">
        <f>VLOOKUP(A1,DIV_04Data!$A$1:$DZU$1000000,2354,FALSE)</f>
        <v>#N/A</v>
      </c>
      <c r="H139" s="34" t="e">
        <f>VLOOKUP(A1,DIV_04Data!$A$1:$DZU$1000000,2355,FALSE)</f>
        <v>#N/A</v>
      </c>
      <c r="I139" s="33" t="e">
        <f>VLOOKUP(A1,DIV_04Data!$A$1:$DZU$1000000,2356,FALSE)</f>
        <v>#N/A</v>
      </c>
      <c r="J139" s="34" t="e">
        <f>VLOOKUP(A1,DIV_04Data!$A$1:$DZU$1000000,2357,FALSE)</f>
        <v>#N/A</v>
      </c>
      <c r="K139" s="34" t="e">
        <f>VLOOKUP(A1,DIV_04Data!$A$1:$DZU$1000000,2358,FALSE)</f>
        <v>#N/A</v>
      </c>
      <c r="L139" s="93" t="e">
        <f>VLOOKUP(A1,DIV_04Data!$A$1:$DZU$1000000,2359,FALSE)</f>
        <v>#N/A</v>
      </c>
      <c r="M139" s="33" t="e">
        <f>VLOOKUP(A1,DIV_04Data!$A$1:$DZU$1000000,2360,FALSE)</f>
        <v>#N/A</v>
      </c>
      <c r="N139" s="34" t="e">
        <f>VLOOKUP(A1,DIV_04Data!$A$1:$DZU$1000000,2361,FALSE)</f>
        <v>#N/A</v>
      </c>
      <c r="O139" s="33" t="e">
        <f>VLOOKUP(A1,DIV_04Data!$A$1:$DZU$1000000,2362,FALSE)</f>
        <v>#N/A</v>
      </c>
      <c r="P139" s="46" t="e">
        <f>VLOOKUP(A1,DIV_04Data!$A$1:$DZU$1000000,2363,FALSE)</f>
        <v>#N/A</v>
      </c>
      <c r="Q139" s="33" t="e">
        <f>VLOOKUP(A1,DIV_04Data!$A$1:$DZU$1000000,2364,FALSE)</f>
        <v>#N/A</v>
      </c>
    </row>
    <row r="140" spans="1:17" x14ac:dyDescent="0.35">
      <c r="A140" s="22" t="e">
        <f>VLOOKUP(A1,DIV_04Data!$A$1:$DZU$1000000,2365,FALSE)</f>
        <v>#N/A</v>
      </c>
      <c r="B140" s="37" t="e">
        <f>VLOOKUP(A1,DIV_04Data!$A$1:$DZU$1000000,2366,FALSE)</f>
        <v>#N/A</v>
      </c>
      <c r="C140" s="38" t="e">
        <f>VLOOKUP(A1,DIV_04Data!$A$1:$DZU$1000000,2367,FALSE)</f>
        <v>#N/A</v>
      </c>
      <c r="D140" s="31" t="e">
        <f>VLOOKUP(A1,DIV_04Data!$A$1:$DZU$1000000,2368,FALSE)</f>
        <v>#N/A</v>
      </c>
      <c r="E140" s="32" t="e">
        <f>VLOOKUP(A1,DIV_04Data!$A$1:$DZU$1000000,2369,FALSE)</f>
        <v>#N/A</v>
      </c>
      <c r="F140" s="34" t="e">
        <f>VLOOKUP(A1,DIV_04Data!$A$1:$DZU$1000000,2370,FALSE)</f>
        <v>#N/A</v>
      </c>
      <c r="G140" s="33" t="e">
        <f>VLOOKUP(A1,DIV_04Data!$A$1:$DZU$1000000,2371,FALSE)</f>
        <v>#N/A</v>
      </c>
      <c r="H140" s="34" t="e">
        <f>VLOOKUP(A1,DIV_04Data!$A$1:$DZU$1000000,2372,FALSE)</f>
        <v>#N/A</v>
      </c>
      <c r="I140" s="33" t="e">
        <f>VLOOKUP(A1,DIV_04Data!$A$1:$DZU$1000000,2373,FALSE)</f>
        <v>#N/A</v>
      </c>
      <c r="J140" s="34" t="e">
        <f>VLOOKUP(A1,DIV_04Data!$A$1:$DZU$1000000,2374,FALSE)</f>
        <v>#N/A</v>
      </c>
      <c r="K140" s="34" t="e">
        <f>VLOOKUP(A1,DIV_04Data!$A$1:$DZU$1000000,2375,FALSE)</f>
        <v>#N/A</v>
      </c>
      <c r="L140" s="93" t="e">
        <f>VLOOKUP(A1,DIV_04Data!$A$1:$DZU$1000000,2376,FALSE)</f>
        <v>#N/A</v>
      </c>
      <c r="M140" s="33" t="e">
        <f>VLOOKUP(A1,DIV_04Data!$A$1:$DZU$1000000,2377,FALSE)</f>
        <v>#N/A</v>
      </c>
      <c r="N140" s="34" t="e">
        <f>VLOOKUP(A1,DIV_04Data!$A$1:$DZU$1000000,2378,FALSE)</f>
        <v>#N/A</v>
      </c>
      <c r="O140" s="33" t="e">
        <f>VLOOKUP(A1,DIV_04Data!$A$1:$DZU$1000000,2379,FALSE)</f>
        <v>#N/A</v>
      </c>
      <c r="P140" s="46" t="e">
        <f>VLOOKUP(A1,DIV_04Data!$A$1:$DZU$1000000,2380,FALSE)</f>
        <v>#N/A</v>
      </c>
      <c r="Q140" s="33" t="e">
        <f>VLOOKUP(A1,DIV_04Data!$A$1:$DZU$1000000,2381,FALSE)</f>
        <v>#N/A</v>
      </c>
    </row>
    <row r="141" spans="1:17" x14ac:dyDescent="0.35">
      <c r="A141" s="22" t="e">
        <f>VLOOKUP(A1,DIV_04Data!$A$1:$DZU$1000000,2382,FALSE)</f>
        <v>#N/A</v>
      </c>
      <c r="B141" s="37" t="e">
        <f>VLOOKUP(A1,DIV_04Data!$A$1:$DZU$1000000,2383,FALSE)</f>
        <v>#N/A</v>
      </c>
      <c r="C141" s="38" t="e">
        <f>VLOOKUP(A1,DIV_04Data!$A$1:$DZU$1000000,2384,FALSE)</f>
        <v>#N/A</v>
      </c>
      <c r="D141" s="31" t="e">
        <f>VLOOKUP(A1,DIV_04Data!$A$1:$DZU$1000000,2385,FALSE)</f>
        <v>#N/A</v>
      </c>
      <c r="E141" s="32" t="e">
        <f>VLOOKUP(A1,DIV_04Data!$A$1:$DZU$1000000,2386,FALSE)</f>
        <v>#N/A</v>
      </c>
      <c r="F141" s="34" t="e">
        <f>VLOOKUP(A1,DIV_04Data!$A$1:$DZU$1000000,2387,FALSE)</f>
        <v>#N/A</v>
      </c>
      <c r="G141" s="33" t="e">
        <f>VLOOKUP(A1,DIV_04Data!$A$1:$DZU$1000000,2388,FALSE)</f>
        <v>#N/A</v>
      </c>
      <c r="H141" s="34" t="e">
        <f>VLOOKUP(A1,DIV_04Data!$A$1:$DZU$1000000,2389,FALSE)</f>
        <v>#N/A</v>
      </c>
      <c r="I141" s="33" t="e">
        <f>VLOOKUP(A1,DIV_04Data!$A$1:$DZU$1000000,2390,FALSE)</f>
        <v>#N/A</v>
      </c>
      <c r="J141" s="34" t="e">
        <f>VLOOKUP(A1,DIV_04Data!$A$1:$DZU$1000000,2391,FALSE)</f>
        <v>#N/A</v>
      </c>
      <c r="K141" s="34" t="e">
        <f>VLOOKUP(A1,DIV_04Data!$A$1:$DZU$1000000,2392,FALSE)</f>
        <v>#N/A</v>
      </c>
      <c r="L141" s="93" t="e">
        <f>VLOOKUP(A1,DIV_04Data!$A$1:$DZU$1000000,2393,FALSE)</f>
        <v>#N/A</v>
      </c>
      <c r="M141" s="33" t="e">
        <f>VLOOKUP(A1,DIV_04Data!$A$1:$DZU$1000000,2394,FALSE)</f>
        <v>#N/A</v>
      </c>
      <c r="N141" s="34" t="e">
        <f>VLOOKUP(A1,DIV_04Data!$A$1:$DZU$1000000,2395,FALSE)</f>
        <v>#N/A</v>
      </c>
      <c r="O141" s="33" t="e">
        <f>VLOOKUP(A1,DIV_04Data!$A$1:$DZU$1000000,2396,FALSE)</f>
        <v>#N/A</v>
      </c>
      <c r="P141" s="46" t="e">
        <f>VLOOKUP(A1,DIV_04Data!$A$1:$DZU$1000000,2397,FALSE)</f>
        <v>#N/A</v>
      </c>
      <c r="Q141" s="33" t="e">
        <f>VLOOKUP(A1,DIV_04Data!$A$1:$DZU$1000000,2398,FALSE)</f>
        <v>#N/A</v>
      </c>
    </row>
    <row r="142" spans="1:17" x14ac:dyDescent="0.35">
      <c r="A142" s="22" t="e">
        <f>VLOOKUP(A1,DIV_04Data!$A$1:$DZU$1000000,2399,FALSE)</f>
        <v>#N/A</v>
      </c>
      <c r="B142" s="37" t="e">
        <f>VLOOKUP(A1,DIV_04Data!$A$1:$DZU$1000000,2400,FALSE)</f>
        <v>#N/A</v>
      </c>
      <c r="C142" s="38" t="e">
        <f>VLOOKUP(A1,DIV_04Data!$A$1:$DZU$1000000,2401,FALSE)</f>
        <v>#N/A</v>
      </c>
      <c r="D142" s="31" t="e">
        <f>VLOOKUP(A1,DIV_04Data!$A$1:$DZU$1000000,2402,FALSE)</f>
        <v>#N/A</v>
      </c>
      <c r="E142" s="32" t="e">
        <f>VLOOKUP(A1,DIV_04Data!$A$1:$DZU$1000000,2403,FALSE)</f>
        <v>#N/A</v>
      </c>
      <c r="F142" s="34" t="e">
        <f>VLOOKUP(A1,DIV_04Data!$A$1:$DZU$1000000,2404,FALSE)</f>
        <v>#N/A</v>
      </c>
      <c r="G142" s="33" t="e">
        <f>VLOOKUP(A1,DIV_04Data!$A$1:$DZU$1000000,2405,FALSE)</f>
        <v>#N/A</v>
      </c>
      <c r="H142" s="34" t="e">
        <f>VLOOKUP(A1,DIV_04Data!$A$1:$DZU$1000000,2406,FALSE)</f>
        <v>#N/A</v>
      </c>
      <c r="I142" s="33" t="e">
        <f>VLOOKUP(A1,DIV_04Data!$A$1:$DZU$1000000,2407,FALSE)</f>
        <v>#N/A</v>
      </c>
      <c r="J142" s="34" t="e">
        <f>VLOOKUP(A1,DIV_04Data!$A$1:$DZU$1000000,2408,FALSE)</f>
        <v>#N/A</v>
      </c>
      <c r="K142" s="34" t="e">
        <f>VLOOKUP(A1,DIV_04Data!$A$1:$DZU$1000000,2409,FALSE)</f>
        <v>#N/A</v>
      </c>
      <c r="L142" s="93" t="e">
        <f>VLOOKUP(A1,DIV_04Data!$A$1:$DZU$1000000,2410,FALSE)</f>
        <v>#N/A</v>
      </c>
      <c r="M142" s="33" t="e">
        <f>VLOOKUP(A1,DIV_04Data!$A$1:$DZU$1000000,2411,FALSE)</f>
        <v>#N/A</v>
      </c>
      <c r="N142" s="34" t="e">
        <f>VLOOKUP(A1,DIV_04Data!$A$1:$DZU$1000000,2412,FALSE)</f>
        <v>#N/A</v>
      </c>
      <c r="O142" s="33" t="e">
        <f>VLOOKUP(A1,DIV_04Data!$A$1:$DZU$1000000,2413,FALSE)</f>
        <v>#N/A</v>
      </c>
      <c r="P142" s="46" t="e">
        <f>VLOOKUP(A1,DIV_04Data!$A$1:$DZU$1000000,2414,FALSE)</f>
        <v>#N/A</v>
      </c>
      <c r="Q142" s="33" t="e">
        <f>VLOOKUP(A1,DIV_04Data!$A$1:$DZU$1000000,2415,FALSE)</f>
        <v>#N/A</v>
      </c>
    </row>
    <row r="143" spans="1:17" x14ac:dyDescent="0.35">
      <c r="A143" s="22" t="e">
        <f>VLOOKUP(A1,DIV_04Data!$A$1:$DZU$1000000,2416,FALSE)</f>
        <v>#N/A</v>
      </c>
      <c r="B143" s="37" t="e">
        <f>VLOOKUP(A1,DIV_04Data!$A$1:$DZU$1000000,2417,FALSE)</f>
        <v>#N/A</v>
      </c>
      <c r="C143" s="38" t="e">
        <f>VLOOKUP(A1,DIV_04Data!$A$1:$DZU$1000000,2418,FALSE)</f>
        <v>#N/A</v>
      </c>
      <c r="D143" s="31" t="e">
        <f>VLOOKUP(A1,DIV_04Data!$A$1:$DZU$1000000,2419,FALSE)</f>
        <v>#N/A</v>
      </c>
      <c r="E143" s="32" t="e">
        <f>VLOOKUP(A1,DIV_04Data!$A$1:$DZU$1000000,2420,FALSE)</f>
        <v>#N/A</v>
      </c>
      <c r="F143" s="34" t="e">
        <f>VLOOKUP(A1,DIV_04Data!$A$1:$DZU$1000000,2421,FALSE)</f>
        <v>#N/A</v>
      </c>
      <c r="G143" s="33" t="e">
        <f>VLOOKUP(A1,DIV_04Data!$A$1:$DZU$1000000,2422,FALSE)</f>
        <v>#N/A</v>
      </c>
      <c r="H143" s="34" t="e">
        <f>VLOOKUP(A1,DIV_04Data!$A$1:$DZU$1000000,2423,FALSE)</f>
        <v>#N/A</v>
      </c>
      <c r="I143" s="33" t="e">
        <f>VLOOKUP(A1,DIV_04Data!$A$1:$DZU$1000000,2424,FALSE)</f>
        <v>#N/A</v>
      </c>
      <c r="J143" s="34" t="e">
        <f>VLOOKUP(A1,DIV_04Data!$A$1:$DZU$1000000,2425,FALSE)</f>
        <v>#N/A</v>
      </c>
      <c r="K143" s="34" t="e">
        <f>VLOOKUP(A1,DIV_04Data!$A$1:$DZU$1000000,2426,FALSE)</f>
        <v>#N/A</v>
      </c>
      <c r="L143" s="93" t="e">
        <f>VLOOKUP(A1,DIV_04Data!$A$1:$DZU$1000000,2427,FALSE)</f>
        <v>#N/A</v>
      </c>
      <c r="M143" s="33" t="e">
        <f>VLOOKUP(A1,DIV_04Data!$A$1:$DZU$1000000,2428,FALSE)</f>
        <v>#N/A</v>
      </c>
      <c r="N143" s="34" t="e">
        <f>VLOOKUP(A1,DIV_04Data!$A$1:$DZU$1000000,2429,FALSE)</f>
        <v>#N/A</v>
      </c>
      <c r="O143" s="33" t="e">
        <f>VLOOKUP(A1,DIV_04Data!$A$1:$DZU$1000000,2430,FALSE)</f>
        <v>#N/A</v>
      </c>
      <c r="P143" s="46" t="e">
        <f>VLOOKUP(A1,DIV_04Data!$A$1:$DZU$1000000,2431,FALSE)</f>
        <v>#N/A</v>
      </c>
      <c r="Q143" s="33" t="e">
        <f>VLOOKUP(A1,DIV_04Data!$A$1:$DZU$1000000,2432,FALSE)</f>
        <v>#N/A</v>
      </c>
    </row>
    <row r="144" spans="1:17" x14ac:dyDescent="0.35">
      <c r="A144" s="22" t="e">
        <f>VLOOKUP(A1,DIV_04Data!$A$1:$DZU$1000000,2433,FALSE)</f>
        <v>#N/A</v>
      </c>
      <c r="B144" s="37" t="e">
        <f>VLOOKUP(A1,DIV_04Data!$A$1:$DZU$1000000,2434,FALSE)</f>
        <v>#N/A</v>
      </c>
      <c r="C144" s="38" t="e">
        <f>VLOOKUP(A1,DIV_04Data!$A$1:$DZU$1000000,2435,FALSE)</f>
        <v>#N/A</v>
      </c>
      <c r="D144" s="31" t="e">
        <f>VLOOKUP(A1,DIV_04Data!$A$1:$DZU$1000000,2436,FALSE)</f>
        <v>#N/A</v>
      </c>
      <c r="E144" s="32" t="e">
        <f>VLOOKUP(A1,DIV_04Data!$A$1:$DZU$1000000,2437,FALSE)</f>
        <v>#N/A</v>
      </c>
      <c r="F144" s="34" t="e">
        <f>VLOOKUP(A1,DIV_04Data!$A$1:$DZU$1000000,2438,FALSE)</f>
        <v>#N/A</v>
      </c>
      <c r="G144" s="33" t="e">
        <f>VLOOKUP(A1,DIV_04Data!$A$1:$DZU$1000000,2439,FALSE)</f>
        <v>#N/A</v>
      </c>
      <c r="H144" s="34" t="e">
        <f>VLOOKUP(A1,DIV_04Data!$A$1:$DZU$1000000,2440,FALSE)</f>
        <v>#N/A</v>
      </c>
      <c r="I144" s="33" t="e">
        <f>VLOOKUP(A1,DIV_04Data!$A$1:$DZU$1000000,2441,FALSE)</f>
        <v>#N/A</v>
      </c>
      <c r="J144" s="34" t="e">
        <f>VLOOKUP(A1,DIV_04Data!$A$1:$DZU$1000000,2442,FALSE)</f>
        <v>#N/A</v>
      </c>
      <c r="K144" s="34" t="e">
        <f>VLOOKUP(A1,DIV_04Data!$A$1:$DZU$1000000,2443,FALSE)</f>
        <v>#N/A</v>
      </c>
      <c r="L144" s="93" t="e">
        <f>VLOOKUP(A1,DIV_04Data!$A$1:$DZU$1000000,2444,FALSE)</f>
        <v>#N/A</v>
      </c>
      <c r="M144" s="33" t="e">
        <f>VLOOKUP(A1,DIV_04Data!$A$1:$DZU$1000000,2445,FALSE)</f>
        <v>#N/A</v>
      </c>
      <c r="N144" s="34" t="e">
        <f>VLOOKUP(A1,DIV_04Data!$A$1:$DZU$1000000,2446,FALSE)</f>
        <v>#N/A</v>
      </c>
      <c r="O144" s="33" t="e">
        <f>VLOOKUP(A1,DIV_04Data!$A$1:$DZU$1000000,2447,FALSE)</f>
        <v>#N/A</v>
      </c>
      <c r="P144" s="46" t="e">
        <f>VLOOKUP(A1,DIV_04Data!$A$1:$DZU$1000000,2448,FALSE)</f>
        <v>#N/A</v>
      </c>
      <c r="Q144" s="33" t="e">
        <f>VLOOKUP(A1,DIV_04Data!$A$1:$DZU$1000000,2449,FALSE)</f>
        <v>#N/A</v>
      </c>
    </row>
    <row r="145" spans="1:17" x14ac:dyDescent="0.35">
      <c r="A145" s="22" t="e">
        <f>VLOOKUP(A1,DIV_04Data!$A$1:$DZU$1000000,2450,FALSE)</f>
        <v>#N/A</v>
      </c>
      <c r="B145" s="37" t="e">
        <f>VLOOKUP(A1,DIV_04Data!$A$1:$DZU$1000000,2451,FALSE)</f>
        <v>#N/A</v>
      </c>
      <c r="C145" s="38" t="e">
        <f>VLOOKUP(A1,DIV_04Data!$A$1:$DZU$1000000,2452,FALSE)</f>
        <v>#N/A</v>
      </c>
      <c r="D145" s="31" t="e">
        <f>VLOOKUP(A1,DIV_04Data!$A$1:$DZU$1000000,2453,FALSE)</f>
        <v>#N/A</v>
      </c>
      <c r="E145" s="32" t="e">
        <f>VLOOKUP(A1,DIV_04Data!$A$1:$DZU$1000000,2454,FALSE)</f>
        <v>#N/A</v>
      </c>
      <c r="F145" s="34" t="e">
        <f>VLOOKUP(A1,DIV_04Data!$A$1:$DZU$1000000,2455,FALSE)</f>
        <v>#N/A</v>
      </c>
      <c r="G145" s="33" t="e">
        <f>VLOOKUP(A1,DIV_04Data!$A$1:$DZU$1000000,2456,FALSE)</f>
        <v>#N/A</v>
      </c>
      <c r="H145" s="34" t="e">
        <f>VLOOKUP(A1,DIV_04Data!$A$1:$DZU$1000000,2457,FALSE)</f>
        <v>#N/A</v>
      </c>
      <c r="I145" s="33" t="e">
        <f>VLOOKUP(A1,DIV_04Data!$A$1:$DZU$1000000,2458,FALSE)</f>
        <v>#N/A</v>
      </c>
      <c r="J145" s="34" t="e">
        <f>VLOOKUP(A1,DIV_04Data!$A$1:$DZU$1000000,2459,FALSE)</f>
        <v>#N/A</v>
      </c>
      <c r="K145" s="34" t="e">
        <f>VLOOKUP(A1,DIV_04Data!$A$1:$DZU$1000000,2460,FALSE)</f>
        <v>#N/A</v>
      </c>
      <c r="L145" s="93" t="e">
        <f>VLOOKUP(A1,DIV_04Data!$A$1:$DZU$1000000,2461,FALSE)</f>
        <v>#N/A</v>
      </c>
      <c r="M145" s="33" t="e">
        <f>VLOOKUP(A1,DIV_04Data!$A$1:$DZU$1000000,2462,FALSE)</f>
        <v>#N/A</v>
      </c>
      <c r="N145" s="34" t="e">
        <f>VLOOKUP(A1,DIV_04Data!$A$1:$DZU$1000000,2463,FALSE)</f>
        <v>#N/A</v>
      </c>
      <c r="O145" s="33" t="e">
        <f>VLOOKUP(A1,DIV_04Data!$A$1:$DZU$1000000,2464,FALSE)</f>
        <v>#N/A</v>
      </c>
      <c r="P145" s="46" t="e">
        <f>VLOOKUP(A1,DIV_04Data!$A$1:$DZU$1000000,2465,FALSE)</f>
        <v>#N/A</v>
      </c>
      <c r="Q145" s="33" t="e">
        <f>VLOOKUP(A1,DIV_04Data!$A$1:$DZU$1000000,2466,FALSE)</f>
        <v>#N/A</v>
      </c>
    </row>
    <row r="146" spans="1:17" x14ac:dyDescent="0.35">
      <c r="A146" s="22" t="e">
        <f>VLOOKUP(A1,DIV_04Data!$A$1:$DZU$1000000,2467,FALSE)</f>
        <v>#N/A</v>
      </c>
      <c r="B146" s="37" t="e">
        <f>VLOOKUP(A1,DIV_04Data!$A$1:$DZU$1000000,2468,FALSE)</f>
        <v>#N/A</v>
      </c>
      <c r="C146" s="38" t="e">
        <f>VLOOKUP(A1,DIV_04Data!$A$1:$DZU$1000000,2469,FALSE)</f>
        <v>#N/A</v>
      </c>
      <c r="D146" s="31" t="e">
        <f>VLOOKUP(A1,DIV_04Data!$A$1:$DZU$1000000,2470,FALSE)</f>
        <v>#N/A</v>
      </c>
      <c r="E146" s="32" t="e">
        <f>VLOOKUP(A1,DIV_04Data!$A$1:$DZU$1000000,2471,FALSE)</f>
        <v>#N/A</v>
      </c>
      <c r="F146" s="34" t="e">
        <f>VLOOKUP(A1,DIV_04Data!$A$1:$DZU$1000000,2472,FALSE)</f>
        <v>#N/A</v>
      </c>
      <c r="G146" s="33" t="e">
        <f>VLOOKUP(A1,DIV_04Data!$A$1:$DZU$1000000,2473,FALSE)</f>
        <v>#N/A</v>
      </c>
      <c r="H146" s="34" t="e">
        <f>VLOOKUP(A1,DIV_04Data!$A$1:$DZU$1000000,2474,FALSE)</f>
        <v>#N/A</v>
      </c>
      <c r="I146" s="33" t="e">
        <f>VLOOKUP(A1,DIV_04Data!$A$1:$DZU$1000000,2475,FALSE)</f>
        <v>#N/A</v>
      </c>
      <c r="J146" s="34" t="e">
        <f>VLOOKUP(A1,DIV_04Data!$A$1:$DZU$1000000,2476,FALSE)</f>
        <v>#N/A</v>
      </c>
      <c r="K146" s="34" t="e">
        <f>VLOOKUP(A1,DIV_04Data!$A$1:$DZU$1000000,2477,FALSE)</f>
        <v>#N/A</v>
      </c>
      <c r="L146" s="93" t="e">
        <f>VLOOKUP(A1,DIV_04Data!$A$1:$DZU$1000000,2478,FALSE)</f>
        <v>#N/A</v>
      </c>
      <c r="M146" s="33" t="e">
        <f>VLOOKUP(A1,DIV_04Data!$A$1:$DZU$1000000,2479,FALSE)</f>
        <v>#N/A</v>
      </c>
      <c r="N146" s="34" t="e">
        <f>VLOOKUP(A1,DIV_04Data!$A$1:$DZU$1000000,2480,FALSE)</f>
        <v>#N/A</v>
      </c>
      <c r="O146" s="33" t="e">
        <f>VLOOKUP(A1,DIV_04Data!$A$1:$DZU$1000000,2481,FALSE)</f>
        <v>#N/A</v>
      </c>
      <c r="P146" s="46" t="e">
        <f>VLOOKUP(A1,DIV_04Data!$A$1:$DZU$1000000,2482,FALSE)</f>
        <v>#N/A</v>
      </c>
      <c r="Q146" s="33" t="e">
        <f>VLOOKUP(A1,DIV_04Data!$A$1:$DZU$1000000,2483,FALSE)</f>
        <v>#N/A</v>
      </c>
    </row>
    <row r="147" spans="1:17" x14ac:dyDescent="0.35">
      <c r="A147" s="22" t="e">
        <f>VLOOKUP(A1,DIV_04Data!$A$1:$DZU$1000000,2484,FALSE)</f>
        <v>#N/A</v>
      </c>
      <c r="B147" s="37" t="e">
        <f>VLOOKUP(A1,DIV_04Data!$A$1:$DZU$1000000,2485,FALSE)</f>
        <v>#N/A</v>
      </c>
      <c r="C147" s="38" t="e">
        <f>VLOOKUP(A1,DIV_04Data!$A$1:$DZU$1000000,2486,FALSE)</f>
        <v>#N/A</v>
      </c>
      <c r="D147" s="31" t="e">
        <f>VLOOKUP(A1,DIV_04Data!$A$1:$DZU$1000000,2487,FALSE)</f>
        <v>#N/A</v>
      </c>
      <c r="E147" s="32" t="e">
        <f>VLOOKUP(A1,DIV_04Data!$A$1:$DZU$1000000,2488,FALSE)</f>
        <v>#N/A</v>
      </c>
      <c r="F147" s="34" t="e">
        <f>VLOOKUP(A1,DIV_04Data!$A$1:$DZU$1000000,2489,FALSE)</f>
        <v>#N/A</v>
      </c>
      <c r="G147" s="33" t="e">
        <f>VLOOKUP(A1,DIV_04Data!$A$1:$DZU$1000000,2490,FALSE)</f>
        <v>#N/A</v>
      </c>
      <c r="H147" s="34" t="e">
        <f>VLOOKUP(A1,DIV_04Data!$A$1:$DZU$1000000,2491,FALSE)</f>
        <v>#N/A</v>
      </c>
      <c r="I147" s="33" t="e">
        <f>VLOOKUP(A1,DIV_04Data!$A$1:$DZU$1000000,2492,FALSE)</f>
        <v>#N/A</v>
      </c>
      <c r="J147" s="34" t="e">
        <f>VLOOKUP(A1,DIV_04Data!$A$1:$DZU$1000000,2493,FALSE)</f>
        <v>#N/A</v>
      </c>
      <c r="K147" s="34" t="e">
        <f>VLOOKUP(A1,DIV_04Data!$A$1:$DZU$1000000,2494,FALSE)</f>
        <v>#N/A</v>
      </c>
      <c r="L147" s="93" t="e">
        <f>VLOOKUP(A1,DIV_04Data!$A$1:$DZU$1000000,2495,FALSE)</f>
        <v>#N/A</v>
      </c>
      <c r="M147" s="33" t="e">
        <f>VLOOKUP(A1,DIV_04Data!$A$1:$DZU$1000000,2496,FALSE)</f>
        <v>#N/A</v>
      </c>
      <c r="N147" s="34" t="e">
        <f>VLOOKUP(A1,DIV_04Data!$A$1:$DZU$1000000,2497,FALSE)</f>
        <v>#N/A</v>
      </c>
      <c r="O147" s="33" t="e">
        <f>VLOOKUP(A1,DIV_04Data!$A$1:$DZU$1000000,2498,FALSE)</f>
        <v>#N/A</v>
      </c>
      <c r="P147" s="46" t="e">
        <f>VLOOKUP(A1,DIV_04Data!$A$1:$DZU$1000000,2499,FALSE)</f>
        <v>#N/A</v>
      </c>
      <c r="Q147" s="33" t="e">
        <f>VLOOKUP(A1,DIV_04Data!$A$1:$DZU$1000000,2500,FALSE)</f>
        <v>#N/A</v>
      </c>
    </row>
    <row r="148" spans="1:17" x14ac:dyDescent="0.35">
      <c r="A148" s="22" t="e">
        <f>VLOOKUP(A1,DIV_04Data!$A$1:$DZU$1000000,2501,FALSE)</f>
        <v>#N/A</v>
      </c>
      <c r="B148" s="37" t="e">
        <f>VLOOKUP(A1,DIV_04Data!$A$1:$DZU$1000000,2502,FALSE)</f>
        <v>#N/A</v>
      </c>
      <c r="C148" s="38" t="e">
        <f>VLOOKUP(A1,DIV_04Data!$A$1:$DZU$1000000,2503,FALSE)</f>
        <v>#N/A</v>
      </c>
      <c r="D148" s="31" t="e">
        <f>VLOOKUP(A1,DIV_04Data!$A$1:$DZU$1000000,2504,FALSE)</f>
        <v>#N/A</v>
      </c>
      <c r="E148" s="32" t="e">
        <f>VLOOKUP(A1,DIV_04Data!$A$1:$DZU$1000000,2505,FALSE)</f>
        <v>#N/A</v>
      </c>
      <c r="F148" s="34" t="e">
        <f>VLOOKUP(A1,DIV_04Data!$A$1:$DZU$1000000,2506,FALSE)</f>
        <v>#N/A</v>
      </c>
      <c r="G148" s="33" t="e">
        <f>VLOOKUP(A1,DIV_04Data!$A$1:$DZU$1000000,2507,FALSE)</f>
        <v>#N/A</v>
      </c>
      <c r="H148" s="34" t="e">
        <f>VLOOKUP(A1,DIV_04Data!$A$1:$DZU$1000000,2508,FALSE)</f>
        <v>#N/A</v>
      </c>
      <c r="I148" s="33" t="e">
        <f>VLOOKUP(A1,DIV_04Data!$A$1:$DZU$1000000,2509,FALSE)</f>
        <v>#N/A</v>
      </c>
      <c r="J148" s="34" t="e">
        <f>VLOOKUP(A1,DIV_04Data!$A$1:$DZU$1000000,2510,FALSE)</f>
        <v>#N/A</v>
      </c>
      <c r="K148" s="34" t="e">
        <f>VLOOKUP(A1,DIV_04Data!$A$1:$DZU$1000000,2511,FALSE)</f>
        <v>#N/A</v>
      </c>
      <c r="L148" s="93" t="e">
        <f>VLOOKUP(A1,DIV_04Data!$A$1:$DZU$1000000,2512,FALSE)</f>
        <v>#N/A</v>
      </c>
      <c r="M148" s="33" t="e">
        <f>VLOOKUP(A1,DIV_04Data!$A$1:$DZU$1000000,2513,FALSE)</f>
        <v>#N/A</v>
      </c>
      <c r="N148" s="34" t="e">
        <f>VLOOKUP(A1,DIV_04Data!$A$1:$DZU$1000000,2514,FALSE)</f>
        <v>#N/A</v>
      </c>
      <c r="O148" s="33" t="e">
        <f>VLOOKUP(A1,DIV_04Data!$A$1:$DZU$1000000,2515,FALSE)</f>
        <v>#N/A</v>
      </c>
      <c r="P148" s="46" t="e">
        <f>VLOOKUP(A1,DIV_04Data!$A$1:$DZU$1000000,2516,FALSE)</f>
        <v>#N/A</v>
      </c>
      <c r="Q148" s="33" t="e">
        <f>VLOOKUP(A1,DIV_04Data!$A$1:$DZU$1000000,2517,FALSE)</f>
        <v>#N/A</v>
      </c>
    </row>
    <row r="149" spans="1:17" x14ac:dyDescent="0.35">
      <c r="A149" s="22" t="e">
        <f>VLOOKUP(A1,DIV_04Data!$A$1:$DZU$1000000,2518,FALSE)</f>
        <v>#N/A</v>
      </c>
      <c r="B149" s="37" t="e">
        <f>VLOOKUP(A1,DIV_04Data!$A$1:$DZU$1000000,2519,FALSE)</f>
        <v>#N/A</v>
      </c>
      <c r="C149" s="38" t="e">
        <f>VLOOKUP(A1,DIV_04Data!$A$1:$DZU$1000000,2520,FALSE)</f>
        <v>#N/A</v>
      </c>
      <c r="D149" s="31" t="e">
        <f>VLOOKUP(A1,DIV_04Data!$A$1:$DZU$1000000,2521,FALSE)</f>
        <v>#N/A</v>
      </c>
      <c r="E149" s="32" t="e">
        <f>VLOOKUP(A1,DIV_04Data!$A$1:$DZU$1000000,2522,FALSE)</f>
        <v>#N/A</v>
      </c>
      <c r="F149" s="34" t="e">
        <f>VLOOKUP(A1,DIV_04Data!$A$1:$DZU$1000000,2523,FALSE)</f>
        <v>#N/A</v>
      </c>
      <c r="G149" s="33" t="e">
        <f>VLOOKUP(A1,DIV_04Data!$A$1:$DZU$1000000,2524,FALSE)</f>
        <v>#N/A</v>
      </c>
      <c r="H149" s="34" t="e">
        <f>VLOOKUP(A1,DIV_04Data!$A$1:$DZU$1000000,2525,FALSE)</f>
        <v>#N/A</v>
      </c>
      <c r="I149" s="33" t="e">
        <f>VLOOKUP(A1,DIV_04Data!$A$1:$DZU$1000000,2526,FALSE)</f>
        <v>#N/A</v>
      </c>
      <c r="J149" s="34" t="e">
        <f>VLOOKUP(A1,DIV_04Data!$A$1:$DZU$1000000,2527,FALSE)</f>
        <v>#N/A</v>
      </c>
      <c r="K149" s="34" t="e">
        <f>VLOOKUP(A1,DIV_04Data!$A$1:$DZU$1000000,2528,FALSE)</f>
        <v>#N/A</v>
      </c>
      <c r="L149" s="93" t="e">
        <f>VLOOKUP(A1,DIV_04Data!$A$1:$DZU$1000000,2529,FALSE)</f>
        <v>#N/A</v>
      </c>
      <c r="M149" s="33" t="e">
        <f>VLOOKUP(A1,DIV_04Data!$A$1:$DZU$1000000,2530,FALSE)</f>
        <v>#N/A</v>
      </c>
      <c r="N149" s="34" t="e">
        <f>VLOOKUP(A1,DIV_04Data!$A$1:$DZU$1000000,2531,FALSE)</f>
        <v>#N/A</v>
      </c>
      <c r="O149" s="33" t="e">
        <f>VLOOKUP(A1,DIV_04Data!$A$1:$DZU$1000000,2532,FALSE)</f>
        <v>#N/A</v>
      </c>
      <c r="P149" s="46" t="e">
        <f>VLOOKUP(A1,DIV_04Data!$A$1:$DZU$1000000,2533,FALSE)</f>
        <v>#N/A</v>
      </c>
      <c r="Q149" s="33" t="e">
        <f>VLOOKUP(A1,DIV_04Data!$A$1:$DZU$1000000,2534,FALSE)</f>
        <v>#N/A</v>
      </c>
    </row>
    <row r="150" spans="1:17" x14ac:dyDescent="0.35">
      <c r="A150" s="22" t="e">
        <f>VLOOKUP(A1,DIV_04Data!$A$1:$DZU$1000000,2535,FALSE)</f>
        <v>#N/A</v>
      </c>
      <c r="B150" s="37" t="e">
        <f>VLOOKUP(A1,DIV_04Data!$A$1:$DZU$1000000,2536,FALSE)</f>
        <v>#N/A</v>
      </c>
      <c r="C150" s="38" t="e">
        <f>VLOOKUP(A1,DIV_04Data!$A$1:$DZU$1000000,2537,FALSE)</f>
        <v>#N/A</v>
      </c>
      <c r="D150" s="31" t="e">
        <f>VLOOKUP(A1,DIV_04Data!$A$1:$DZU$1000000,2538,FALSE)</f>
        <v>#N/A</v>
      </c>
      <c r="E150" s="32" t="e">
        <f>VLOOKUP(A1,DIV_04Data!$A$1:$DZU$1000000,2539,FALSE)</f>
        <v>#N/A</v>
      </c>
      <c r="F150" s="34" t="e">
        <f>VLOOKUP(A1,DIV_04Data!$A$1:$DZU$1000000,2540,FALSE)</f>
        <v>#N/A</v>
      </c>
      <c r="G150" s="33" t="e">
        <f>VLOOKUP(A1,DIV_04Data!$A$1:$DZU$1000000,2541,FALSE)</f>
        <v>#N/A</v>
      </c>
      <c r="H150" s="34" t="e">
        <f>VLOOKUP(A1,DIV_04Data!$A$1:$DZU$1000000,2542,FALSE)</f>
        <v>#N/A</v>
      </c>
      <c r="I150" s="33" t="e">
        <f>VLOOKUP(A1,DIV_04Data!$A$1:$DZU$1000000,2543,FALSE)</f>
        <v>#N/A</v>
      </c>
      <c r="J150" s="34" t="e">
        <f>VLOOKUP(A1,DIV_04Data!$A$1:$DZU$1000000,2544,FALSE)</f>
        <v>#N/A</v>
      </c>
      <c r="K150" s="34" t="e">
        <f>VLOOKUP(A1,DIV_04Data!$A$1:$DZU$1000000,2545,FALSE)</f>
        <v>#N/A</v>
      </c>
      <c r="L150" s="93" t="e">
        <f>VLOOKUP(A1,DIV_04Data!$A$1:$DZU$1000000,2546,FALSE)</f>
        <v>#N/A</v>
      </c>
      <c r="M150" s="33" t="e">
        <f>VLOOKUP(A1,DIV_04Data!$A$1:$DZU$1000000,2547,FALSE)</f>
        <v>#N/A</v>
      </c>
      <c r="N150" s="34" t="e">
        <f>VLOOKUP(A1,DIV_04Data!$A$1:$DZU$1000000,2548,FALSE)</f>
        <v>#N/A</v>
      </c>
      <c r="O150" s="33" t="e">
        <f>VLOOKUP(A1,DIV_04Data!$A$1:$DZU$1000000,2549,FALSE)</f>
        <v>#N/A</v>
      </c>
      <c r="P150" s="46" t="e">
        <f>VLOOKUP(A1,DIV_04Data!$A$1:$DZU$1000000,2550,FALSE)</f>
        <v>#N/A</v>
      </c>
      <c r="Q150" s="33" t="e">
        <f>VLOOKUP(A1,DIV_04Data!$A$1:$DZU$1000000,2551,FALSE)</f>
        <v>#N/A</v>
      </c>
    </row>
    <row r="151" spans="1:17" x14ac:dyDescent="0.35">
      <c r="A151" s="22" t="e">
        <f>VLOOKUP(A1,DIV_04Data!$A$1:$DZU$1000000,2552,FALSE)</f>
        <v>#N/A</v>
      </c>
      <c r="B151" s="37" t="e">
        <f>VLOOKUP(A1,DIV_04Data!$A$1:$DZU$1000000,2553,FALSE)</f>
        <v>#N/A</v>
      </c>
      <c r="C151" s="38" t="e">
        <f>VLOOKUP(A1,DIV_04Data!$A$1:$DZU$1000000,2554,FALSE)</f>
        <v>#N/A</v>
      </c>
      <c r="D151" s="31" t="e">
        <f>VLOOKUP(A1,DIV_04Data!$A$1:$DZU$1000000,2555,FALSE)</f>
        <v>#N/A</v>
      </c>
      <c r="E151" s="32" t="e">
        <f>VLOOKUP(A1,DIV_04Data!$A$1:$DZU$1000000,2556,FALSE)</f>
        <v>#N/A</v>
      </c>
      <c r="F151" s="34" t="e">
        <f>VLOOKUP(A1,DIV_04Data!$A$1:$DZU$1000000,2557,FALSE)</f>
        <v>#N/A</v>
      </c>
      <c r="G151" s="33" t="e">
        <f>VLOOKUP(A1,DIV_04Data!$A$1:$DZU$1000000,2558,FALSE)</f>
        <v>#N/A</v>
      </c>
      <c r="H151" s="34" t="e">
        <f>VLOOKUP(A1,DIV_04Data!$A$1:$DZU$1000000,2559,FALSE)</f>
        <v>#N/A</v>
      </c>
      <c r="I151" s="33" t="e">
        <f>VLOOKUP(A1,DIV_04Data!$A$1:$DZU$1000000,2560,FALSE)</f>
        <v>#N/A</v>
      </c>
      <c r="J151" s="34" t="e">
        <f>VLOOKUP(A1,DIV_04Data!$A$1:$DZU$1000000,2561,FALSE)</f>
        <v>#N/A</v>
      </c>
      <c r="K151" s="34" t="e">
        <f>VLOOKUP(A1,DIV_04Data!$A$1:$DZU$1000000,2562,FALSE)</f>
        <v>#N/A</v>
      </c>
      <c r="L151" s="93" t="e">
        <f>VLOOKUP(A1,DIV_04Data!$A$1:$DZU$1000000,2563,FALSE)</f>
        <v>#N/A</v>
      </c>
      <c r="M151" s="33" t="e">
        <f>VLOOKUP(A1,DIV_04Data!$A$1:$DZU$1000000,2564,FALSE)</f>
        <v>#N/A</v>
      </c>
      <c r="N151" s="34" t="e">
        <f>VLOOKUP(A1,DIV_04Data!$A$1:$DZU$1000000,2565,FALSE)</f>
        <v>#N/A</v>
      </c>
      <c r="O151" s="33" t="e">
        <f>VLOOKUP(A1,DIV_04Data!$A$1:$DZU$1000000,2566,FALSE)</f>
        <v>#N/A</v>
      </c>
      <c r="P151" s="46" t="e">
        <f>VLOOKUP(A1,DIV_04Data!$A$1:$DZU$1000000,2567,FALSE)</f>
        <v>#N/A</v>
      </c>
      <c r="Q151" s="33" t="e">
        <f>VLOOKUP(A1,DIV_04Data!$A$1:$DZU$1000000,2568,FALSE)</f>
        <v>#N/A</v>
      </c>
    </row>
    <row r="152" spans="1:17" x14ac:dyDescent="0.35">
      <c r="A152" s="22" t="e">
        <f>VLOOKUP(A1,DIV_04Data!$A$1:$DZU$1000000,2569,FALSE)</f>
        <v>#N/A</v>
      </c>
      <c r="B152" s="37" t="e">
        <f>VLOOKUP(A1,DIV_04Data!$A$1:$DZU$1000000,2570,FALSE)</f>
        <v>#N/A</v>
      </c>
      <c r="C152" s="38" t="e">
        <f>VLOOKUP(A1,DIV_04Data!$A$1:$DZU$1000000,2571,FALSE)</f>
        <v>#N/A</v>
      </c>
      <c r="D152" s="31" t="e">
        <f>VLOOKUP(A1,DIV_04Data!$A$1:$DZU$1000000,2572,FALSE)</f>
        <v>#N/A</v>
      </c>
      <c r="E152" s="32" t="e">
        <f>VLOOKUP(A1,DIV_04Data!$A$1:$DZU$1000000,2573,FALSE)</f>
        <v>#N/A</v>
      </c>
      <c r="F152" s="34" t="e">
        <f>VLOOKUP(A1,DIV_04Data!$A$1:$DZU$1000000,2574,FALSE)</f>
        <v>#N/A</v>
      </c>
      <c r="G152" s="33" t="e">
        <f>VLOOKUP(A1,DIV_04Data!$A$1:$DZU$1000000,2575,FALSE)</f>
        <v>#N/A</v>
      </c>
      <c r="H152" s="34" t="e">
        <f>VLOOKUP(A1,DIV_04Data!$A$1:$DZU$1000000,2576,FALSE)</f>
        <v>#N/A</v>
      </c>
      <c r="I152" s="33" t="e">
        <f>VLOOKUP(A1,DIV_04Data!$A$1:$DZU$1000000,2577,FALSE)</f>
        <v>#N/A</v>
      </c>
      <c r="J152" s="34" t="e">
        <f>VLOOKUP(A1,DIV_04Data!$A$1:$DZU$1000000,2578,FALSE)</f>
        <v>#N/A</v>
      </c>
      <c r="K152" s="34" t="e">
        <f>VLOOKUP(A1,DIV_04Data!$A$1:$DZU$1000000,2579,FALSE)</f>
        <v>#N/A</v>
      </c>
      <c r="L152" s="93" t="e">
        <f>VLOOKUP(A1,DIV_04Data!$A$1:$DZU$1000000,2580,FALSE)</f>
        <v>#N/A</v>
      </c>
      <c r="M152" s="33" t="e">
        <f>VLOOKUP(A1,DIV_04Data!$A$1:$DZU$1000000,2581,FALSE)</f>
        <v>#N/A</v>
      </c>
      <c r="N152" s="34" t="e">
        <f>VLOOKUP(A1,DIV_04Data!$A$1:$DZU$1000000,2582,FALSE)</f>
        <v>#N/A</v>
      </c>
      <c r="O152" s="33" t="e">
        <f>VLOOKUP(A1,DIV_04Data!$A$1:$DZU$1000000,2583,FALSE)</f>
        <v>#N/A</v>
      </c>
      <c r="P152" s="46" t="e">
        <f>VLOOKUP(A1,DIV_04Data!$A$1:$DZU$1000000,2584,FALSE)</f>
        <v>#N/A</v>
      </c>
      <c r="Q152" s="33" t="e">
        <f>VLOOKUP(A1,DIV_04Data!$A$1:$DZU$1000000,2585,FALSE)</f>
        <v>#N/A</v>
      </c>
    </row>
    <row r="153" spans="1:17" x14ac:dyDescent="0.35">
      <c r="A153" s="22" t="e">
        <f>VLOOKUP(A1,DIV_04Data!$A$1:$DZU$1000000,2586,FALSE)</f>
        <v>#N/A</v>
      </c>
      <c r="B153" s="37" t="e">
        <f>VLOOKUP(A1,DIV_04Data!$A$1:$DZU$1000000,2587,FALSE)</f>
        <v>#N/A</v>
      </c>
      <c r="C153" s="38" t="e">
        <f>VLOOKUP(A1,DIV_04Data!$A$1:$DZU$1000000,2588,FALSE)</f>
        <v>#N/A</v>
      </c>
      <c r="D153" s="31" t="e">
        <f>VLOOKUP(A1,DIV_04Data!$A$1:$DZU$1000000,2589,FALSE)</f>
        <v>#N/A</v>
      </c>
      <c r="E153" s="32" t="e">
        <f>VLOOKUP(A1,DIV_04Data!$A$1:$DZU$1000000,2590,FALSE)</f>
        <v>#N/A</v>
      </c>
      <c r="F153" s="34" t="e">
        <f>VLOOKUP(A1,DIV_04Data!$A$1:$DZU$1000000,2591,FALSE)</f>
        <v>#N/A</v>
      </c>
      <c r="G153" s="33" t="e">
        <f>VLOOKUP(A1,DIV_04Data!$A$1:$DZU$1000000,2592,FALSE)</f>
        <v>#N/A</v>
      </c>
      <c r="H153" s="34" t="e">
        <f>VLOOKUP(A1,DIV_04Data!$A$1:$DZU$1000000,2593,FALSE)</f>
        <v>#N/A</v>
      </c>
      <c r="I153" s="33" t="e">
        <f>VLOOKUP(A1,DIV_04Data!$A$1:$DZU$1000000,2594,FALSE)</f>
        <v>#N/A</v>
      </c>
      <c r="J153" s="34" t="e">
        <f>VLOOKUP(A1,DIV_04Data!$A$1:$DZU$1000000,2595,FALSE)</f>
        <v>#N/A</v>
      </c>
      <c r="K153" s="34" t="e">
        <f>VLOOKUP(A1,DIV_04Data!$A$1:$DZU$1000000,2596,FALSE)</f>
        <v>#N/A</v>
      </c>
      <c r="L153" s="93" t="e">
        <f>VLOOKUP(A1,DIV_04Data!$A$1:$DZU$1000000,2597,FALSE)</f>
        <v>#N/A</v>
      </c>
      <c r="M153" s="33" t="e">
        <f>VLOOKUP(A1,DIV_04Data!$A$1:$DZU$1000000,2598,FALSE)</f>
        <v>#N/A</v>
      </c>
      <c r="N153" s="34" t="e">
        <f>VLOOKUP(A1,DIV_04Data!$A$1:$DZU$1000000,2599,FALSE)</f>
        <v>#N/A</v>
      </c>
      <c r="O153" s="33" t="e">
        <f>VLOOKUP(A1,DIV_04Data!$A$1:$DZU$1000000,2600,FALSE)</f>
        <v>#N/A</v>
      </c>
      <c r="P153" s="46" t="e">
        <f>VLOOKUP(A1,DIV_04Data!$A$1:$DZU$1000000,2601,FALSE)</f>
        <v>#N/A</v>
      </c>
      <c r="Q153" s="33" t="e">
        <f>VLOOKUP(A1,DIV_04Data!$A$1:$DZU$1000000,2602,FALSE)</f>
        <v>#N/A</v>
      </c>
    </row>
    <row r="154" spans="1:17" x14ac:dyDescent="0.35">
      <c r="A154" s="22" t="e">
        <f>VLOOKUP(A1,DIV_04Data!$A$1:$DZU$1000000,2603,FALSE)</f>
        <v>#N/A</v>
      </c>
      <c r="B154" s="37" t="e">
        <f>VLOOKUP(A1,DIV_04Data!$A$1:$DZU$1000000,2604,FALSE)</f>
        <v>#N/A</v>
      </c>
      <c r="C154" s="38" t="e">
        <f>VLOOKUP(A1,DIV_04Data!$A$1:$DZU$1000000,2605,FALSE)</f>
        <v>#N/A</v>
      </c>
      <c r="D154" s="31" t="e">
        <f>VLOOKUP(A1,DIV_04Data!$A$1:$DZU$1000000,2606,FALSE)</f>
        <v>#N/A</v>
      </c>
      <c r="E154" s="32" t="e">
        <f>VLOOKUP(A1,DIV_04Data!$A$1:$DZU$1000000,2607,FALSE)</f>
        <v>#N/A</v>
      </c>
      <c r="F154" s="34" t="e">
        <f>VLOOKUP(A1,DIV_04Data!$A$1:$DZU$1000000,2608,FALSE)</f>
        <v>#N/A</v>
      </c>
      <c r="G154" s="33" t="e">
        <f>VLOOKUP(A1,DIV_04Data!$A$1:$DZU$1000000,2609,FALSE)</f>
        <v>#N/A</v>
      </c>
      <c r="H154" s="34" t="e">
        <f>VLOOKUP(A1,DIV_04Data!$A$1:$DZU$1000000,2610,FALSE)</f>
        <v>#N/A</v>
      </c>
      <c r="I154" s="33" t="e">
        <f>VLOOKUP(A1,DIV_04Data!$A$1:$DZU$1000000,2611,FALSE)</f>
        <v>#N/A</v>
      </c>
      <c r="J154" s="34" t="e">
        <f>VLOOKUP(A1,DIV_04Data!$A$1:$DZU$1000000,2612,FALSE)</f>
        <v>#N/A</v>
      </c>
      <c r="K154" s="34" t="e">
        <f>VLOOKUP(A1,DIV_04Data!$A$1:$DZU$1000000,2613,FALSE)</f>
        <v>#N/A</v>
      </c>
      <c r="L154" s="93" t="e">
        <f>VLOOKUP(A1,DIV_04Data!$A$1:$DZU$1000000,2614,FALSE)</f>
        <v>#N/A</v>
      </c>
      <c r="M154" s="33" t="e">
        <f>VLOOKUP(A1,DIV_04Data!$A$1:$DZU$1000000,2615,FALSE)</f>
        <v>#N/A</v>
      </c>
      <c r="N154" s="34" t="e">
        <f>VLOOKUP(A1,DIV_04Data!$A$1:$DZU$1000000,2616,FALSE)</f>
        <v>#N/A</v>
      </c>
      <c r="O154" s="33" t="e">
        <f>VLOOKUP(A1,DIV_04Data!$A$1:$DZU$1000000,2617,FALSE)</f>
        <v>#N/A</v>
      </c>
      <c r="P154" s="46" t="e">
        <f>VLOOKUP(A1,DIV_04Data!$A$1:$DZU$1000000,2618,FALSE)</f>
        <v>#N/A</v>
      </c>
      <c r="Q154" s="33" t="e">
        <f>VLOOKUP(A1,DIV_04Data!$A$1:$DZU$1000000,2619,FALSE)</f>
        <v>#N/A</v>
      </c>
    </row>
    <row r="155" spans="1:17" x14ac:dyDescent="0.35">
      <c r="A155" s="22" t="e">
        <f>VLOOKUP(A1,DIV_04Data!$A$1:$DZU$1000000,2620,FALSE)</f>
        <v>#N/A</v>
      </c>
      <c r="B155" s="37" t="e">
        <f>VLOOKUP(A1,DIV_04Data!$A$1:$DZU$1000000,2621,FALSE)</f>
        <v>#N/A</v>
      </c>
      <c r="C155" s="38" t="e">
        <f>VLOOKUP(A1,DIV_04Data!$A$1:$DZU$1000000,2622,FALSE)</f>
        <v>#N/A</v>
      </c>
      <c r="D155" s="31" t="e">
        <f>VLOOKUP(A1,DIV_04Data!$A$1:$DZU$1000000,2623,FALSE)</f>
        <v>#N/A</v>
      </c>
      <c r="E155" s="32" t="e">
        <f>VLOOKUP(A1,DIV_04Data!$A$1:$DZU$1000000,2624,FALSE)</f>
        <v>#N/A</v>
      </c>
      <c r="F155" s="34" t="e">
        <f>VLOOKUP(A1,DIV_04Data!$A$1:$DZU$1000000,2625,FALSE)</f>
        <v>#N/A</v>
      </c>
      <c r="G155" s="33" t="e">
        <f>VLOOKUP(A1,DIV_04Data!$A$1:$DZU$1000000,2626,FALSE)</f>
        <v>#N/A</v>
      </c>
      <c r="H155" s="34" t="e">
        <f>VLOOKUP(A1,DIV_04Data!$A$1:$DZU$1000000,2627,FALSE)</f>
        <v>#N/A</v>
      </c>
      <c r="I155" s="33" t="e">
        <f>VLOOKUP(A1,DIV_04Data!$A$1:$DZU$1000000,2628,FALSE)</f>
        <v>#N/A</v>
      </c>
      <c r="J155" s="34" t="e">
        <f>VLOOKUP(A1,DIV_04Data!$A$1:$DZU$1000000,2629,FALSE)</f>
        <v>#N/A</v>
      </c>
      <c r="K155" s="34" t="e">
        <f>VLOOKUP(A1,DIV_04Data!$A$1:$DZU$1000000,2630,FALSE)</f>
        <v>#N/A</v>
      </c>
      <c r="L155" s="93" t="e">
        <f>VLOOKUP(A1,DIV_04Data!$A$1:$DZU$1000000,2631,FALSE)</f>
        <v>#N/A</v>
      </c>
      <c r="M155" s="33" t="e">
        <f>VLOOKUP(A1,DIV_04Data!$A$1:$DZU$1000000,2632,FALSE)</f>
        <v>#N/A</v>
      </c>
      <c r="N155" s="34" t="e">
        <f>VLOOKUP(A1,DIV_04Data!$A$1:$DZU$1000000,2633,FALSE)</f>
        <v>#N/A</v>
      </c>
      <c r="O155" s="33" t="e">
        <f>VLOOKUP(A1,DIV_04Data!$A$1:$DZU$1000000,2634,FALSE)</f>
        <v>#N/A</v>
      </c>
      <c r="P155" s="46" t="e">
        <f>VLOOKUP(A1,DIV_04Data!$A$1:$DZU$1000000,2635,FALSE)</f>
        <v>#N/A</v>
      </c>
      <c r="Q155" s="33" t="e">
        <f>VLOOKUP(A1,DIV_04Data!$A$1:$DZU$1000000,2636,FALSE)</f>
        <v>#N/A</v>
      </c>
    </row>
    <row r="156" spans="1:17" x14ac:dyDescent="0.35">
      <c r="A156" s="22" t="e">
        <f>VLOOKUP(A1,DIV_04Data!$A$1:$DZU$1000000,2637,FALSE)</f>
        <v>#N/A</v>
      </c>
      <c r="B156" s="37" t="e">
        <f>VLOOKUP(A1,DIV_04Data!$A$1:$DZU$1000000,2638,FALSE)</f>
        <v>#N/A</v>
      </c>
      <c r="C156" s="38" t="e">
        <f>VLOOKUP(A1,DIV_04Data!$A$1:$DZU$1000000,2639,FALSE)</f>
        <v>#N/A</v>
      </c>
      <c r="D156" s="31" t="e">
        <f>VLOOKUP(A1,DIV_04Data!$A$1:$DZU$1000000,2640,FALSE)</f>
        <v>#N/A</v>
      </c>
      <c r="E156" s="32" t="e">
        <f>VLOOKUP(A1,DIV_04Data!$A$1:$DZU$1000000,2641,FALSE)</f>
        <v>#N/A</v>
      </c>
      <c r="F156" s="34" t="e">
        <f>VLOOKUP(A1,DIV_04Data!$A$1:$DZU$1000000,2642,FALSE)</f>
        <v>#N/A</v>
      </c>
      <c r="G156" s="33" t="e">
        <f>VLOOKUP(A1,DIV_04Data!$A$1:$DZU$1000000,2643,FALSE)</f>
        <v>#N/A</v>
      </c>
      <c r="H156" s="34" t="e">
        <f>VLOOKUP(A1,DIV_04Data!$A$1:$DZU$1000000,2644,FALSE)</f>
        <v>#N/A</v>
      </c>
      <c r="I156" s="33" t="e">
        <f>VLOOKUP(A1,DIV_04Data!$A$1:$DZU$1000000,2645,FALSE)</f>
        <v>#N/A</v>
      </c>
      <c r="J156" s="34" t="e">
        <f>VLOOKUP(A1,DIV_04Data!$A$1:$DZU$1000000,2646,FALSE)</f>
        <v>#N/A</v>
      </c>
      <c r="K156" s="34" t="e">
        <f>VLOOKUP(A1,DIV_04Data!$A$1:$DZU$1000000,2647,FALSE)</f>
        <v>#N/A</v>
      </c>
      <c r="L156" s="93" t="e">
        <f>VLOOKUP(A1,DIV_04Data!$A$1:$DZU$1000000,2648,FALSE)</f>
        <v>#N/A</v>
      </c>
      <c r="M156" s="33" t="e">
        <f>VLOOKUP(A1,DIV_04Data!$A$1:$DZU$1000000,2649,FALSE)</f>
        <v>#N/A</v>
      </c>
      <c r="N156" s="34" t="e">
        <f>VLOOKUP(A1,DIV_04Data!$A$1:$DZU$1000000,2650,FALSE)</f>
        <v>#N/A</v>
      </c>
      <c r="O156" s="33" t="e">
        <f>VLOOKUP(A1,DIV_04Data!$A$1:$DZU$1000000,2651,FALSE)</f>
        <v>#N/A</v>
      </c>
      <c r="P156" s="46" t="e">
        <f>VLOOKUP(A1,DIV_04Data!$A$1:$DZU$1000000,2652,FALSE)</f>
        <v>#N/A</v>
      </c>
      <c r="Q156" s="33" t="e">
        <f>VLOOKUP(A1,DIV_04Data!$A$1:$DZU$1000000,2653,FALSE)</f>
        <v>#N/A</v>
      </c>
    </row>
    <row r="157" spans="1:17" x14ac:dyDescent="0.35">
      <c r="A157" s="22" t="e">
        <f>VLOOKUP(A1,DIV_04Data!$A$1:$DZU$1000000,2654,FALSE)</f>
        <v>#N/A</v>
      </c>
      <c r="B157" s="37" t="e">
        <f>VLOOKUP(A1,DIV_04Data!$A$1:$DZU$1000000,2655,FALSE)</f>
        <v>#N/A</v>
      </c>
      <c r="C157" s="38" t="e">
        <f>VLOOKUP(A1,DIV_04Data!$A$1:$DZU$1000000,2656,FALSE)</f>
        <v>#N/A</v>
      </c>
      <c r="D157" s="31" t="e">
        <f>VLOOKUP(A1,DIV_04Data!$A$1:$DZU$1000000,2657,FALSE)</f>
        <v>#N/A</v>
      </c>
      <c r="E157" s="32" t="e">
        <f>VLOOKUP(A1,DIV_04Data!$A$1:$DZU$1000000,2658,FALSE)</f>
        <v>#N/A</v>
      </c>
      <c r="F157" s="34" t="e">
        <f>VLOOKUP(A1,DIV_04Data!$A$1:$DZU$1000000,2659,FALSE)</f>
        <v>#N/A</v>
      </c>
      <c r="G157" s="33" t="e">
        <f>VLOOKUP(A1,DIV_04Data!$A$1:$DZU$1000000,2660,FALSE)</f>
        <v>#N/A</v>
      </c>
      <c r="H157" s="34" t="e">
        <f>VLOOKUP(A1,DIV_04Data!$A$1:$DZU$1000000,2661,FALSE)</f>
        <v>#N/A</v>
      </c>
      <c r="I157" s="33" t="e">
        <f>VLOOKUP(A1,DIV_04Data!$A$1:$DZU$1000000,2662,FALSE)</f>
        <v>#N/A</v>
      </c>
      <c r="J157" s="34" t="e">
        <f>VLOOKUP(A1,DIV_04Data!$A$1:$DZU$1000000,2663,FALSE)</f>
        <v>#N/A</v>
      </c>
      <c r="K157" s="34" t="e">
        <f>VLOOKUP(A1,DIV_04Data!$A$1:$DZU$1000000,2664,FALSE)</f>
        <v>#N/A</v>
      </c>
      <c r="L157" s="93" t="e">
        <f>VLOOKUP(A1,DIV_04Data!$A$1:$DZU$1000000,2665,FALSE)</f>
        <v>#N/A</v>
      </c>
      <c r="M157" s="33" t="e">
        <f>VLOOKUP(A1,DIV_04Data!$A$1:$DZU$1000000,2666,FALSE)</f>
        <v>#N/A</v>
      </c>
      <c r="N157" s="34" t="e">
        <f>VLOOKUP(A1,DIV_04Data!$A$1:$DZU$1000000,2667,FALSE)</f>
        <v>#N/A</v>
      </c>
      <c r="O157" s="33" t="e">
        <f>VLOOKUP(A1,DIV_04Data!$A$1:$DZU$1000000,2668,FALSE)</f>
        <v>#N/A</v>
      </c>
      <c r="P157" s="46" t="e">
        <f>VLOOKUP(A1,DIV_04Data!$A$1:$DZU$1000000,2669,FALSE)</f>
        <v>#N/A</v>
      </c>
      <c r="Q157" s="33" t="e">
        <f>VLOOKUP(A1,DIV_04Data!$A$1:$DZU$1000000,2670,FALSE)</f>
        <v>#N/A</v>
      </c>
    </row>
    <row r="158" spans="1:17" x14ac:dyDescent="0.35">
      <c r="A158" s="22" t="e">
        <f>VLOOKUP(A1,DIV_04Data!$A$1:$DZU$1000000,2671,FALSE)</f>
        <v>#N/A</v>
      </c>
      <c r="B158" s="37" t="e">
        <f>VLOOKUP(A1,DIV_04Data!$A$1:$DZU$1000000,2672,FALSE)</f>
        <v>#N/A</v>
      </c>
      <c r="C158" s="38" t="e">
        <f>VLOOKUP(A1,DIV_04Data!$A$1:$DZU$1000000,2673,FALSE)</f>
        <v>#N/A</v>
      </c>
      <c r="D158" s="31" t="e">
        <f>VLOOKUP(A1,DIV_04Data!$A$1:$DZU$1000000,2674,FALSE)</f>
        <v>#N/A</v>
      </c>
      <c r="E158" s="32" t="e">
        <f>VLOOKUP(A1,DIV_04Data!$A$1:$DZU$1000000,2675,FALSE)</f>
        <v>#N/A</v>
      </c>
      <c r="F158" s="34" t="e">
        <f>VLOOKUP(A1,DIV_04Data!$A$1:$DZU$1000000,2676,FALSE)</f>
        <v>#N/A</v>
      </c>
      <c r="G158" s="33" t="e">
        <f>VLOOKUP(A1,DIV_04Data!$A$1:$DZU$1000000,2677,FALSE)</f>
        <v>#N/A</v>
      </c>
      <c r="H158" s="34" t="e">
        <f>VLOOKUP(A1,DIV_04Data!$A$1:$DZU$1000000,2678,FALSE)</f>
        <v>#N/A</v>
      </c>
      <c r="I158" s="33" t="e">
        <f>VLOOKUP(A1,DIV_04Data!$A$1:$DZU$1000000,2679,FALSE)</f>
        <v>#N/A</v>
      </c>
      <c r="J158" s="34" t="e">
        <f>VLOOKUP(A1,DIV_04Data!$A$1:$DZU$1000000,2680,FALSE)</f>
        <v>#N/A</v>
      </c>
      <c r="K158" s="34" t="e">
        <f>VLOOKUP(A1,DIV_04Data!$A$1:$DZU$1000000,2681,FALSE)</f>
        <v>#N/A</v>
      </c>
      <c r="L158" s="93" t="e">
        <f>VLOOKUP(A1,DIV_04Data!$A$1:$DZU$1000000,2682,FALSE)</f>
        <v>#N/A</v>
      </c>
      <c r="M158" s="33" t="e">
        <f>VLOOKUP(A1,DIV_04Data!$A$1:$DZU$1000000,2683,FALSE)</f>
        <v>#N/A</v>
      </c>
      <c r="N158" s="34" t="e">
        <f>VLOOKUP(A1,DIV_04Data!$A$1:$DZU$1000000,2684,FALSE)</f>
        <v>#N/A</v>
      </c>
      <c r="O158" s="33" t="e">
        <f>VLOOKUP(A1,DIV_04Data!$A$1:$DZU$1000000,2685,FALSE)</f>
        <v>#N/A</v>
      </c>
      <c r="P158" s="46" t="e">
        <f>VLOOKUP(A1,DIV_04Data!$A$1:$DZU$1000000,2686,FALSE)</f>
        <v>#N/A</v>
      </c>
      <c r="Q158" s="33" t="e">
        <f>VLOOKUP(A1,DIV_04Data!$A$1:$DZU$1000000,2687,FALSE)</f>
        <v>#N/A</v>
      </c>
    </row>
    <row r="159" spans="1:17" x14ac:dyDescent="0.35">
      <c r="A159" s="22" t="e">
        <f>VLOOKUP(A1,DIV_04Data!$A$1:$DZU$1000000,2688,FALSE)</f>
        <v>#N/A</v>
      </c>
      <c r="B159" s="37" t="e">
        <f>VLOOKUP(A1,DIV_04Data!$A$1:$DZU$1000000,2689,FALSE)</f>
        <v>#N/A</v>
      </c>
      <c r="C159" s="38" t="e">
        <f>VLOOKUP(A1,DIV_04Data!$A$1:$DZU$1000000,2690,FALSE)</f>
        <v>#N/A</v>
      </c>
      <c r="D159" s="31" t="e">
        <f>VLOOKUP(A1,DIV_04Data!$A$1:$DZU$1000000,2691,FALSE)</f>
        <v>#N/A</v>
      </c>
      <c r="E159" s="32" t="e">
        <f>VLOOKUP(A1,DIV_04Data!$A$1:$DZU$1000000,2692,FALSE)</f>
        <v>#N/A</v>
      </c>
      <c r="F159" s="34" t="e">
        <f>VLOOKUP(A1,DIV_04Data!$A$1:$DZU$1000000,2693,FALSE)</f>
        <v>#N/A</v>
      </c>
      <c r="G159" s="33" t="e">
        <f>VLOOKUP(A1,DIV_04Data!$A$1:$DZU$1000000,2694,FALSE)</f>
        <v>#N/A</v>
      </c>
      <c r="H159" s="34" t="e">
        <f>VLOOKUP(A1,DIV_04Data!$A$1:$DZU$1000000,2695,FALSE)</f>
        <v>#N/A</v>
      </c>
      <c r="I159" s="33" t="e">
        <f>VLOOKUP(A1,DIV_04Data!$A$1:$DZU$1000000,2696,FALSE)</f>
        <v>#N/A</v>
      </c>
      <c r="J159" s="34" t="e">
        <f>VLOOKUP(A1,DIV_04Data!$A$1:$DZU$1000000,2697,FALSE)</f>
        <v>#N/A</v>
      </c>
      <c r="K159" s="34" t="e">
        <f>VLOOKUP(A1,DIV_04Data!$A$1:$DZU$1000000,2698,FALSE)</f>
        <v>#N/A</v>
      </c>
      <c r="L159" s="93" t="e">
        <f>VLOOKUP(A1,DIV_04Data!$A$1:$DZU$1000000,2699,FALSE)</f>
        <v>#N/A</v>
      </c>
      <c r="M159" s="33" t="e">
        <f>VLOOKUP(A1,DIV_04Data!$A$1:$DZU$1000000,2700,FALSE)</f>
        <v>#N/A</v>
      </c>
      <c r="N159" s="34" t="e">
        <f>VLOOKUP(A1,DIV_04Data!$A$1:$DZU$1000000,2701,FALSE)</f>
        <v>#N/A</v>
      </c>
      <c r="O159" s="33" t="e">
        <f>VLOOKUP(A1,DIV_04Data!$A$1:$DZU$1000000,2702,FALSE)</f>
        <v>#N/A</v>
      </c>
      <c r="P159" s="46" t="e">
        <f>VLOOKUP(A1,DIV_04Data!$A$1:$DZU$1000000,2703,FALSE)</f>
        <v>#N/A</v>
      </c>
      <c r="Q159" s="33" t="e">
        <f>VLOOKUP(A1,DIV_04Data!$A$1:$DZU$1000000,2704,FALSE)</f>
        <v>#N/A</v>
      </c>
    </row>
    <row r="160" spans="1:17" x14ac:dyDescent="0.35">
      <c r="A160" s="22" t="e">
        <f>VLOOKUP(A1,DIV_04Data!$A$1:$DZU$1000000,2705,FALSE)</f>
        <v>#N/A</v>
      </c>
      <c r="B160" s="37" t="e">
        <f>VLOOKUP(A1,DIV_04Data!$A$1:$DZU$1000000,2706,FALSE)</f>
        <v>#N/A</v>
      </c>
      <c r="C160" s="38" t="e">
        <f>VLOOKUP(A1,DIV_04Data!$A$1:$DZU$1000000,2707,FALSE)</f>
        <v>#N/A</v>
      </c>
      <c r="D160" s="31" t="e">
        <f>VLOOKUP(A1,DIV_04Data!$A$1:$DZU$1000000,2708,FALSE)</f>
        <v>#N/A</v>
      </c>
      <c r="E160" s="32" t="e">
        <f>VLOOKUP(A1,DIV_04Data!$A$1:$DZU$1000000,2709,FALSE)</f>
        <v>#N/A</v>
      </c>
      <c r="F160" s="34" t="e">
        <f>VLOOKUP(A1,DIV_04Data!$A$1:$DZU$1000000,2710,FALSE)</f>
        <v>#N/A</v>
      </c>
      <c r="G160" s="33" t="e">
        <f>VLOOKUP(A1,DIV_04Data!$A$1:$DZU$1000000,2711,FALSE)</f>
        <v>#N/A</v>
      </c>
      <c r="H160" s="34" t="e">
        <f>VLOOKUP(A1,DIV_04Data!$A$1:$DZU$1000000,2712,FALSE)</f>
        <v>#N/A</v>
      </c>
      <c r="I160" s="33" t="e">
        <f>VLOOKUP(A1,DIV_04Data!$A$1:$DZU$1000000,2713,FALSE)</f>
        <v>#N/A</v>
      </c>
      <c r="J160" s="34" t="e">
        <f>VLOOKUP(A1,DIV_04Data!$A$1:$DZU$1000000,2714,FALSE)</f>
        <v>#N/A</v>
      </c>
      <c r="K160" s="34" t="e">
        <f>VLOOKUP(A1,DIV_04Data!$A$1:$DZU$1000000,2715,FALSE)</f>
        <v>#N/A</v>
      </c>
      <c r="L160" s="93" t="e">
        <f>VLOOKUP(A1,DIV_04Data!$A$1:$DZU$1000000,2716,FALSE)</f>
        <v>#N/A</v>
      </c>
      <c r="M160" s="33" t="e">
        <f>VLOOKUP(A1,DIV_04Data!$A$1:$DZU$1000000,2717,FALSE)</f>
        <v>#N/A</v>
      </c>
      <c r="N160" s="34" t="e">
        <f>VLOOKUP(A1,DIV_04Data!$A$1:$DZU$1000000,2718,FALSE)</f>
        <v>#N/A</v>
      </c>
      <c r="O160" s="33" t="e">
        <f>VLOOKUP(A1,DIV_04Data!$A$1:$DZU$1000000,2719,FALSE)</f>
        <v>#N/A</v>
      </c>
      <c r="P160" s="46" t="e">
        <f>VLOOKUP(A1,DIV_04Data!$A$1:$DZU$1000000,2720,FALSE)</f>
        <v>#N/A</v>
      </c>
      <c r="Q160" s="33" t="e">
        <f>VLOOKUP(A1,DIV_04Data!$A$1:$DZU$1000000,2721,FALSE)</f>
        <v>#N/A</v>
      </c>
    </row>
    <row r="161" spans="1:17" x14ac:dyDescent="0.35">
      <c r="A161" s="22" t="e">
        <f>VLOOKUP(A1,DIV_04Data!$A$1:$DZU$1000000,2722,FALSE)</f>
        <v>#N/A</v>
      </c>
      <c r="B161" s="37" t="e">
        <f>VLOOKUP(A1,DIV_04Data!$A$1:$DZU$1000000,2723,FALSE)</f>
        <v>#N/A</v>
      </c>
      <c r="C161" s="38" t="e">
        <f>VLOOKUP(A1,DIV_04Data!$A$1:$DZU$1000000,2724,FALSE)</f>
        <v>#N/A</v>
      </c>
      <c r="D161" s="31" t="e">
        <f>VLOOKUP(A1,DIV_04Data!$A$1:$DZU$1000000,2725,FALSE)</f>
        <v>#N/A</v>
      </c>
      <c r="E161" s="32" t="e">
        <f>VLOOKUP(A1,DIV_04Data!$A$1:$DZU$1000000,2726,FALSE)</f>
        <v>#N/A</v>
      </c>
      <c r="F161" s="34" t="e">
        <f>VLOOKUP(A1,DIV_04Data!$A$1:$DZU$1000000,2727,FALSE)</f>
        <v>#N/A</v>
      </c>
      <c r="G161" s="33" t="e">
        <f>VLOOKUP(A1,DIV_04Data!$A$1:$DZU$1000000,2728,FALSE)</f>
        <v>#N/A</v>
      </c>
      <c r="H161" s="34" t="e">
        <f>VLOOKUP(A1,DIV_04Data!$A$1:$DZU$1000000,2729,FALSE)</f>
        <v>#N/A</v>
      </c>
      <c r="I161" s="33" t="e">
        <f>VLOOKUP(A1,DIV_04Data!$A$1:$DZU$1000000,2730,FALSE)</f>
        <v>#N/A</v>
      </c>
      <c r="J161" s="34" t="e">
        <f>VLOOKUP(A1,DIV_04Data!$A$1:$DZU$1000000,2731,FALSE)</f>
        <v>#N/A</v>
      </c>
      <c r="K161" s="34" t="e">
        <f>VLOOKUP(A1,DIV_04Data!$A$1:$DZU$1000000,2732,FALSE)</f>
        <v>#N/A</v>
      </c>
      <c r="L161" s="93" t="e">
        <f>VLOOKUP(A1,DIV_04Data!$A$1:$DZU$1000000,2733,FALSE)</f>
        <v>#N/A</v>
      </c>
      <c r="M161" s="33" t="e">
        <f>VLOOKUP(A1,DIV_04Data!$A$1:$DZU$1000000,2734,FALSE)</f>
        <v>#N/A</v>
      </c>
      <c r="N161" s="34" t="e">
        <f>VLOOKUP(A1,DIV_04Data!$A$1:$DZU$1000000,2735,FALSE)</f>
        <v>#N/A</v>
      </c>
      <c r="O161" s="33" t="e">
        <f>VLOOKUP(A1,DIV_04Data!$A$1:$DZU$1000000,2736,FALSE)</f>
        <v>#N/A</v>
      </c>
      <c r="P161" s="46" t="e">
        <f>VLOOKUP(A1,DIV_04Data!$A$1:$DZU$1000000,2737,FALSE)</f>
        <v>#N/A</v>
      </c>
      <c r="Q161" s="33" t="e">
        <f>VLOOKUP(A1,DIV_04Data!$A$1:$DZU$1000000,2738,FALSE)</f>
        <v>#N/A</v>
      </c>
    </row>
    <row r="162" spans="1:17" x14ac:dyDescent="0.35">
      <c r="A162" s="22" t="e">
        <f>VLOOKUP(A1,DIV_04Data!$A$1:$DZU$1000000,2739,FALSE)</f>
        <v>#N/A</v>
      </c>
      <c r="B162" s="37" t="e">
        <f>VLOOKUP(A1,DIV_04Data!$A$1:$DZU$1000000,2740,FALSE)</f>
        <v>#N/A</v>
      </c>
      <c r="C162" s="38" t="e">
        <f>VLOOKUP(A1,DIV_04Data!$A$1:$DZU$1000000,2741,FALSE)</f>
        <v>#N/A</v>
      </c>
      <c r="D162" s="31" t="e">
        <f>VLOOKUP(A1,DIV_04Data!$A$1:$DZU$1000000,2742,FALSE)</f>
        <v>#N/A</v>
      </c>
      <c r="E162" s="32" t="e">
        <f>VLOOKUP(A1,DIV_04Data!$A$1:$DZU$1000000,2743,FALSE)</f>
        <v>#N/A</v>
      </c>
      <c r="F162" s="34" t="e">
        <f>VLOOKUP(A1,DIV_04Data!$A$1:$DZU$1000000,2744,FALSE)</f>
        <v>#N/A</v>
      </c>
      <c r="G162" s="33" t="e">
        <f>VLOOKUP(A1,DIV_04Data!$A$1:$DZU$1000000,2745,FALSE)</f>
        <v>#N/A</v>
      </c>
      <c r="H162" s="34" t="e">
        <f>VLOOKUP(A1,DIV_04Data!$A$1:$DZU$1000000,2746,FALSE)</f>
        <v>#N/A</v>
      </c>
      <c r="I162" s="33" t="e">
        <f>VLOOKUP(A1,DIV_04Data!$A$1:$DZU$1000000,2747,FALSE)</f>
        <v>#N/A</v>
      </c>
      <c r="J162" s="34" t="e">
        <f>VLOOKUP(A1,DIV_04Data!$A$1:$DZU$1000000,2748,FALSE)</f>
        <v>#N/A</v>
      </c>
      <c r="K162" s="34" t="e">
        <f>VLOOKUP(A1,DIV_04Data!$A$1:$DZU$1000000,2749,FALSE)</f>
        <v>#N/A</v>
      </c>
      <c r="L162" s="93" t="e">
        <f>VLOOKUP(A1,DIV_04Data!$A$1:$DZU$1000000,2750,FALSE)</f>
        <v>#N/A</v>
      </c>
      <c r="M162" s="33" t="e">
        <f>VLOOKUP(A1,DIV_04Data!$A$1:$DZU$1000000,2751,FALSE)</f>
        <v>#N/A</v>
      </c>
      <c r="N162" s="34" t="e">
        <f>VLOOKUP(A1,DIV_04Data!$A$1:$DZU$1000000,2752,FALSE)</f>
        <v>#N/A</v>
      </c>
      <c r="O162" s="33" t="e">
        <f>VLOOKUP(A1,DIV_04Data!$A$1:$DZU$1000000,2753,FALSE)</f>
        <v>#N/A</v>
      </c>
      <c r="P162" s="46" t="e">
        <f>VLOOKUP(A1,DIV_04Data!$A$1:$DZU$1000000,2754,FALSE)</f>
        <v>#N/A</v>
      </c>
      <c r="Q162" s="33" t="e">
        <f>VLOOKUP(A1,DIV_04Data!$A$1:$DZU$1000000,2755,FALSE)</f>
        <v>#N/A</v>
      </c>
    </row>
    <row r="163" spans="1:17" x14ac:dyDescent="0.35">
      <c r="A163" s="22" t="e">
        <f>VLOOKUP(A1,DIV_04Data!$A$1:$DZU$1000000,2756,FALSE)</f>
        <v>#N/A</v>
      </c>
      <c r="B163" s="37" t="e">
        <f>VLOOKUP(A1,DIV_04Data!$A$1:$DZU$1000000,2757,FALSE)</f>
        <v>#N/A</v>
      </c>
      <c r="C163" s="38" t="e">
        <f>VLOOKUP(A1,DIV_04Data!$A$1:$DZU$1000000,2758,FALSE)</f>
        <v>#N/A</v>
      </c>
      <c r="D163" s="31" t="e">
        <f>VLOOKUP(A1,DIV_04Data!$A$1:$DZU$1000000,2759,FALSE)</f>
        <v>#N/A</v>
      </c>
      <c r="E163" s="32" t="e">
        <f>VLOOKUP(A1,DIV_04Data!$A$1:$DZU$1000000,2760,FALSE)</f>
        <v>#N/A</v>
      </c>
      <c r="F163" s="34" t="e">
        <f>VLOOKUP(A1,DIV_04Data!$A$1:$DZU$1000000,2761,FALSE)</f>
        <v>#N/A</v>
      </c>
      <c r="G163" s="33" t="e">
        <f>VLOOKUP(A1,DIV_04Data!$A$1:$DZU$1000000,2762,FALSE)</f>
        <v>#N/A</v>
      </c>
      <c r="H163" s="34" t="e">
        <f>VLOOKUP(A1,DIV_04Data!$A$1:$DZU$1000000,2763,FALSE)</f>
        <v>#N/A</v>
      </c>
      <c r="I163" s="33" t="e">
        <f>VLOOKUP(A1,DIV_04Data!$A$1:$DZU$1000000,2764,FALSE)</f>
        <v>#N/A</v>
      </c>
      <c r="J163" s="34" t="e">
        <f>VLOOKUP(A1,DIV_04Data!$A$1:$DZU$1000000,2765,FALSE)</f>
        <v>#N/A</v>
      </c>
      <c r="K163" s="34" t="e">
        <f>VLOOKUP(A1,DIV_04Data!$A$1:$DZU$1000000,2766,FALSE)</f>
        <v>#N/A</v>
      </c>
      <c r="L163" s="93" t="e">
        <f>VLOOKUP(A1,DIV_04Data!$A$1:$DZU$1000000,2767,FALSE)</f>
        <v>#N/A</v>
      </c>
      <c r="M163" s="33" t="e">
        <f>VLOOKUP(A1,DIV_04Data!$A$1:$DZU$1000000,2768,FALSE)</f>
        <v>#N/A</v>
      </c>
      <c r="N163" s="34" t="e">
        <f>VLOOKUP(A1,DIV_04Data!$A$1:$DZU$1000000,2769,FALSE)</f>
        <v>#N/A</v>
      </c>
      <c r="O163" s="33" t="e">
        <f>VLOOKUP(A1,DIV_04Data!$A$1:$DZU$1000000,2770,FALSE)</f>
        <v>#N/A</v>
      </c>
      <c r="P163" s="46" t="e">
        <f>VLOOKUP(A1,DIV_04Data!$A$1:$DZU$1000000,2771,FALSE)</f>
        <v>#N/A</v>
      </c>
      <c r="Q163" s="33" t="e">
        <f>VLOOKUP(A1,DIV_04Data!$A$1:$DZU$1000000,2772,FALSE)</f>
        <v>#N/A</v>
      </c>
    </row>
    <row r="164" spans="1:17" x14ac:dyDescent="0.35">
      <c r="A164" s="22" t="e">
        <f>VLOOKUP(A1,DIV_04Data!$A$1:$DZU$1000000,2773,FALSE)</f>
        <v>#N/A</v>
      </c>
      <c r="B164" s="37" t="e">
        <f>VLOOKUP(A1,DIV_04Data!$A$1:$DZU$1000000,2774,FALSE)</f>
        <v>#N/A</v>
      </c>
      <c r="C164" s="38" t="e">
        <f>VLOOKUP(A1,DIV_04Data!$A$1:$DZU$1000000,2775,FALSE)</f>
        <v>#N/A</v>
      </c>
      <c r="D164" s="31" t="e">
        <f>VLOOKUP(A1,DIV_04Data!$A$1:$DZU$1000000,2776,FALSE)</f>
        <v>#N/A</v>
      </c>
      <c r="E164" s="32" t="e">
        <f>VLOOKUP(A1,DIV_04Data!$A$1:$DZU$1000000,2777,FALSE)</f>
        <v>#N/A</v>
      </c>
      <c r="F164" s="34" t="e">
        <f>VLOOKUP(A1,DIV_04Data!$A$1:$DZU$1000000,2778,FALSE)</f>
        <v>#N/A</v>
      </c>
      <c r="G164" s="33" t="e">
        <f>VLOOKUP(A1,DIV_04Data!$A$1:$DZU$1000000,2779,FALSE)</f>
        <v>#N/A</v>
      </c>
      <c r="H164" s="34" t="e">
        <f>VLOOKUP(A1,DIV_04Data!$A$1:$DZU$1000000,2780,FALSE)</f>
        <v>#N/A</v>
      </c>
      <c r="I164" s="33" t="e">
        <f>VLOOKUP(A1,DIV_04Data!$A$1:$DZU$1000000,2781,FALSE)</f>
        <v>#N/A</v>
      </c>
      <c r="J164" s="34" t="e">
        <f>VLOOKUP(A1,DIV_04Data!$A$1:$DZU$1000000,2782,FALSE)</f>
        <v>#N/A</v>
      </c>
      <c r="K164" s="34" t="e">
        <f>VLOOKUP(A1,DIV_04Data!$A$1:$DZU$1000000,2783,FALSE)</f>
        <v>#N/A</v>
      </c>
      <c r="L164" s="93" t="e">
        <f>VLOOKUP(A1,DIV_04Data!$A$1:$DZU$1000000,2784,FALSE)</f>
        <v>#N/A</v>
      </c>
      <c r="M164" s="33" t="e">
        <f>VLOOKUP(A1,DIV_04Data!$A$1:$DZU$1000000,2785,FALSE)</f>
        <v>#N/A</v>
      </c>
      <c r="N164" s="34" t="e">
        <f>VLOOKUP(A1,DIV_04Data!$A$1:$DZU$1000000,2786,FALSE)</f>
        <v>#N/A</v>
      </c>
      <c r="O164" s="33" t="e">
        <f>VLOOKUP(A1,DIV_04Data!$A$1:$DZU$1000000,2787,FALSE)</f>
        <v>#N/A</v>
      </c>
      <c r="P164" s="46" t="e">
        <f>VLOOKUP(A1,DIV_04Data!$A$1:$DZU$1000000,2788,FALSE)</f>
        <v>#N/A</v>
      </c>
      <c r="Q164" s="33" t="e">
        <f>VLOOKUP(A1,DIV_04Data!$A$1:$DZU$1000000,2789,FALSE)</f>
        <v>#N/A</v>
      </c>
    </row>
    <row r="165" spans="1:17" x14ac:dyDescent="0.35">
      <c r="A165" s="22" t="e">
        <f>VLOOKUP(A1,DIV_04Data!$A$1:$DZU$1000000,2790,FALSE)</f>
        <v>#N/A</v>
      </c>
      <c r="B165" s="37" t="e">
        <f>VLOOKUP(A1,DIV_04Data!$A$1:$DZU$1000000,2791,FALSE)</f>
        <v>#N/A</v>
      </c>
      <c r="C165" s="38" t="e">
        <f>VLOOKUP(A1,DIV_04Data!$A$1:$DZU$1000000,2792,FALSE)</f>
        <v>#N/A</v>
      </c>
      <c r="D165" s="31" t="e">
        <f>VLOOKUP(A1,DIV_04Data!$A$1:$DZU$1000000,2793,FALSE)</f>
        <v>#N/A</v>
      </c>
      <c r="E165" s="32" t="e">
        <f>VLOOKUP(A1,DIV_04Data!$A$1:$DZU$1000000,2794,FALSE)</f>
        <v>#N/A</v>
      </c>
      <c r="F165" s="34" t="e">
        <f>VLOOKUP(A1,DIV_04Data!$A$1:$DZU$1000000,2795,FALSE)</f>
        <v>#N/A</v>
      </c>
      <c r="G165" s="33" t="e">
        <f>VLOOKUP(A1,DIV_04Data!$A$1:$DZU$1000000,2796,FALSE)</f>
        <v>#N/A</v>
      </c>
      <c r="H165" s="34" t="e">
        <f>VLOOKUP(A1,DIV_04Data!$A$1:$DZU$1000000,2797,FALSE)</f>
        <v>#N/A</v>
      </c>
      <c r="I165" s="33" t="e">
        <f>VLOOKUP(A1,DIV_04Data!$A$1:$DZU$1000000,2798,FALSE)</f>
        <v>#N/A</v>
      </c>
      <c r="J165" s="34" t="e">
        <f>VLOOKUP(A1,DIV_04Data!$A$1:$DZU$1000000,2799,FALSE)</f>
        <v>#N/A</v>
      </c>
      <c r="K165" s="34" t="e">
        <f>VLOOKUP(A1,DIV_04Data!$A$1:$DZU$1000000,2800,FALSE)</f>
        <v>#N/A</v>
      </c>
      <c r="L165" s="93" t="e">
        <f>VLOOKUP(A1,DIV_04Data!$A$1:$DZU$1000000,2801,FALSE)</f>
        <v>#N/A</v>
      </c>
      <c r="M165" s="33" t="e">
        <f>VLOOKUP(A1,DIV_04Data!$A$1:$DZU$1000000,2802,FALSE)</f>
        <v>#N/A</v>
      </c>
      <c r="N165" s="34" t="e">
        <f>VLOOKUP(A1,DIV_04Data!$A$1:$DZU$1000000,2803,FALSE)</f>
        <v>#N/A</v>
      </c>
      <c r="O165" s="33" t="e">
        <f>VLOOKUP(A1,DIV_04Data!$A$1:$DZU$1000000,2804,FALSE)</f>
        <v>#N/A</v>
      </c>
      <c r="P165" s="46" t="e">
        <f>VLOOKUP(A1,DIV_04Data!$A$1:$DZU$1000000,2805,FALSE)</f>
        <v>#N/A</v>
      </c>
      <c r="Q165" s="33" t="e">
        <f>VLOOKUP(A1,DIV_04Data!$A$1:$DZU$1000000,2806,FALSE)</f>
        <v>#N/A</v>
      </c>
    </row>
    <row r="166" spans="1:17" x14ac:dyDescent="0.35">
      <c r="A166" s="22" t="e">
        <f>VLOOKUP(A1,DIV_04Data!$A$1:$DZU$1000000,2807,FALSE)</f>
        <v>#N/A</v>
      </c>
      <c r="B166" s="37" t="e">
        <f>VLOOKUP(A1,DIV_04Data!$A$1:$DZU$1000000,2808,FALSE)</f>
        <v>#N/A</v>
      </c>
      <c r="C166" s="38" t="e">
        <f>VLOOKUP(A1,DIV_04Data!$A$1:$DZU$1000000,2809,FALSE)</f>
        <v>#N/A</v>
      </c>
      <c r="D166" s="31" t="e">
        <f>VLOOKUP(A1,DIV_04Data!$A$1:$DZU$1000000,2810,FALSE)</f>
        <v>#N/A</v>
      </c>
      <c r="E166" s="32" t="e">
        <f>VLOOKUP(A1,DIV_04Data!$A$1:$DZU$1000000,2811,FALSE)</f>
        <v>#N/A</v>
      </c>
      <c r="F166" s="34" t="e">
        <f>VLOOKUP(A1,DIV_04Data!$A$1:$DZU$1000000,2812,FALSE)</f>
        <v>#N/A</v>
      </c>
      <c r="G166" s="33" t="e">
        <f>VLOOKUP(A1,DIV_04Data!$A$1:$DZU$1000000,2813,FALSE)</f>
        <v>#N/A</v>
      </c>
      <c r="H166" s="34" t="e">
        <f>VLOOKUP(A1,DIV_04Data!$A$1:$DZU$1000000,2814,FALSE)</f>
        <v>#N/A</v>
      </c>
      <c r="I166" s="33" t="e">
        <f>VLOOKUP(A1,DIV_04Data!$A$1:$DZU$1000000,2815,FALSE)</f>
        <v>#N/A</v>
      </c>
      <c r="J166" s="34" t="e">
        <f>VLOOKUP(A1,DIV_04Data!$A$1:$DZU$1000000,2816,FALSE)</f>
        <v>#N/A</v>
      </c>
      <c r="K166" s="34" t="e">
        <f>VLOOKUP(A1,DIV_04Data!$A$1:$DZU$1000000,2817,FALSE)</f>
        <v>#N/A</v>
      </c>
      <c r="L166" s="93" t="e">
        <f>VLOOKUP(A1,DIV_04Data!$A$1:$DZU$1000000,2818,FALSE)</f>
        <v>#N/A</v>
      </c>
      <c r="M166" s="33" t="e">
        <f>VLOOKUP(A1,DIV_04Data!$A$1:$DZU$1000000,2819,FALSE)</f>
        <v>#N/A</v>
      </c>
      <c r="N166" s="34" t="e">
        <f>VLOOKUP(A1,DIV_04Data!$A$1:$DZU$1000000,2820,FALSE)</f>
        <v>#N/A</v>
      </c>
      <c r="O166" s="33" t="e">
        <f>VLOOKUP(A1,DIV_04Data!$A$1:$DZU$1000000,2821,FALSE)</f>
        <v>#N/A</v>
      </c>
      <c r="P166" s="46" t="e">
        <f>VLOOKUP(A1,DIV_04Data!$A$1:$DZU$1000000,2822,FALSE)</f>
        <v>#N/A</v>
      </c>
      <c r="Q166" s="33" t="e">
        <f>VLOOKUP(A1,DIV_04Data!$A$1:$DZU$1000000,2823,FALSE)</f>
        <v>#N/A</v>
      </c>
    </row>
    <row r="167" spans="1:17" x14ac:dyDescent="0.35">
      <c r="A167" s="22" t="e">
        <f>VLOOKUP(A1,DIV_04Data!$A$1:$DZU$1000000,2824,FALSE)</f>
        <v>#N/A</v>
      </c>
      <c r="B167" s="37" t="e">
        <f>VLOOKUP(A1,DIV_04Data!$A$1:$DZU$1000000,2825,FALSE)</f>
        <v>#N/A</v>
      </c>
      <c r="C167" s="38" t="e">
        <f>VLOOKUP(A1,DIV_04Data!$A$1:$DZU$1000000,2826,FALSE)</f>
        <v>#N/A</v>
      </c>
      <c r="D167" s="31" t="e">
        <f>VLOOKUP(A1,DIV_04Data!$A$1:$DZU$1000000,2827,FALSE)</f>
        <v>#N/A</v>
      </c>
      <c r="E167" s="32" t="e">
        <f>VLOOKUP(A1,DIV_04Data!$A$1:$DZU$1000000,2828,FALSE)</f>
        <v>#N/A</v>
      </c>
      <c r="F167" s="34" t="e">
        <f>VLOOKUP(A1,DIV_04Data!$A$1:$DZU$1000000,2829,FALSE)</f>
        <v>#N/A</v>
      </c>
      <c r="G167" s="33" t="e">
        <f>VLOOKUP(A1,DIV_04Data!$A$1:$DZU$1000000,2830,FALSE)</f>
        <v>#N/A</v>
      </c>
      <c r="H167" s="34" t="e">
        <f>VLOOKUP(A1,DIV_04Data!$A$1:$DZU$1000000,2831,FALSE)</f>
        <v>#N/A</v>
      </c>
      <c r="I167" s="33" t="e">
        <f>VLOOKUP(A1,DIV_04Data!$A$1:$DZU$1000000,2832,FALSE)</f>
        <v>#N/A</v>
      </c>
      <c r="J167" s="34" t="e">
        <f>VLOOKUP(A1,DIV_04Data!$A$1:$DZU$1000000,2833,FALSE)</f>
        <v>#N/A</v>
      </c>
      <c r="K167" s="34" t="e">
        <f>VLOOKUP(A1,DIV_04Data!$A$1:$DZU$1000000,2834,FALSE)</f>
        <v>#N/A</v>
      </c>
      <c r="L167" s="93" t="e">
        <f>VLOOKUP(A1,DIV_04Data!$A$1:$DZU$1000000,2835,FALSE)</f>
        <v>#N/A</v>
      </c>
      <c r="M167" s="33" t="e">
        <f>VLOOKUP(A1,DIV_04Data!$A$1:$DZU$1000000,2836,FALSE)</f>
        <v>#N/A</v>
      </c>
      <c r="N167" s="34" t="e">
        <f>VLOOKUP(A1,DIV_04Data!$A$1:$DZU$1000000,2837,FALSE)</f>
        <v>#N/A</v>
      </c>
      <c r="O167" s="33" t="e">
        <f>VLOOKUP(A1,DIV_04Data!$A$1:$DZU$1000000,2838,FALSE)</f>
        <v>#N/A</v>
      </c>
      <c r="P167" s="46" t="e">
        <f>VLOOKUP(A1,DIV_04Data!$A$1:$DZU$1000000,2839,FALSE)</f>
        <v>#N/A</v>
      </c>
      <c r="Q167" s="33" t="e">
        <f>VLOOKUP(A1,DIV_04Data!$A$1:$DZU$1000000,2840,FALSE)</f>
        <v>#N/A</v>
      </c>
    </row>
    <row r="168" spans="1:17" x14ac:dyDescent="0.35">
      <c r="A168" s="22" t="e">
        <f>VLOOKUP(A1,DIV_04Data!$A$1:$DZU$1000000,2841,FALSE)</f>
        <v>#N/A</v>
      </c>
      <c r="B168" s="37" t="e">
        <f>VLOOKUP(A1,DIV_04Data!$A$1:$DZU$1000000,2842,FALSE)</f>
        <v>#N/A</v>
      </c>
      <c r="C168" s="38" t="e">
        <f>VLOOKUP(A1,DIV_04Data!$A$1:$DZU$1000000,2843,FALSE)</f>
        <v>#N/A</v>
      </c>
      <c r="D168" s="31" t="e">
        <f>VLOOKUP(A1,DIV_04Data!$A$1:$DZU$1000000,2844,FALSE)</f>
        <v>#N/A</v>
      </c>
      <c r="E168" s="32" t="e">
        <f>VLOOKUP(A1,DIV_04Data!$A$1:$DZU$1000000,2845,FALSE)</f>
        <v>#N/A</v>
      </c>
      <c r="F168" s="34" t="e">
        <f>VLOOKUP(A1,DIV_04Data!$A$1:$DZU$1000000,2846,FALSE)</f>
        <v>#N/A</v>
      </c>
      <c r="G168" s="33" t="e">
        <f>VLOOKUP(A1,DIV_04Data!$A$1:$DZU$1000000,2847,FALSE)</f>
        <v>#N/A</v>
      </c>
      <c r="H168" s="34" t="e">
        <f>VLOOKUP(A1,DIV_04Data!$A$1:$DZU$1000000,2848,FALSE)</f>
        <v>#N/A</v>
      </c>
      <c r="I168" s="33" t="e">
        <f>VLOOKUP(A1,DIV_04Data!$A$1:$DZU$1000000,2849,FALSE)</f>
        <v>#N/A</v>
      </c>
      <c r="J168" s="34" t="e">
        <f>VLOOKUP(A1,DIV_04Data!$A$1:$DZU$1000000,2850,FALSE)</f>
        <v>#N/A</v>
      </c>
      <c r="K168" s="34" t="e">
        <f>VLOOKUP(A1,DIV_04Data!$A$1:$DZU$1000000,2851,FALSE)</f>
        <v>#N/A</v>
      </c>
      <c r="L168" s="93" t="e">
        <f>VLOOKUP(A1,DIV_04Data!$A$1:$DZU$1000000,2852,FALSE)</f>
        <v>#N/A</v>
      </c>
      <c r="M168" s="33" t="e">
        <f>VLOOKUP(A1,DIV_04Data!$A$1:$DZU$1000000,2853,FALSE)</f>
        <v>#N/A</v>
      </c>
      <c r="N168" s="34" t="e">
        <f>VLOOKUP(A1,DIV_04Data!$A$1:$DZU$1000000,2854,FALSE)</f>
        <v>#N/A</v>
      </c>
      <c r="O168" s="33" t="e">
        <f>VLOOKUP(A1,DIV_04Data!$A$1:$DZU$1000000,2855,FALSE)</f>
        <v>#N/A</v>
      </c>
      <c r="P168" s="46" t="e">
        <f>VLOOKUP(A1,DIV_04Data!$A$1:$DZU$1000000,2856,FALSE)</f>
        <v>#N/A</v>
      </c>
      <c r="Q168" s="33" t="e">
        <f>VLOOKUP(A1,DIV_04Data!$A$1:$DZU$1000000,2857,FALSE)</f>
        <v>#N/A</v>
      </c>
    </row>
    <row r="169" spans="1:17" x14ac:dyDescent="0.35">
      <c r="A169" s="22" t="e">
        <f>VLOOKUP(A1,DIV_04Data!$A$1:$DZU$1000000,2858,FALSE)</f>
        <v>#N/A</v>
      </c>
      <c r="B169" s="37" t="e">
        <f>VLOOKUP(A1,DIV_04Data!$A$1:$DZU$1000000,2859,FALSE)</f>
        <v>#N/A</v>
      </c>
      <c r="C169" s="38" t="e">
        <f>VLOOKUP(A1,DIV_04Data!$A$1:$DZU$1000000,2860,FALSE)</f>
        <v>#N/A</v>
      </c>
      <c r="D169" s="31" t="e">
        <f>VLOOKUP(A1,DIV_04Data!$A$1:$DZU$1000000,2861,FALSE)</f>
        <v>#N/A</v>
      </c>
      <c r="E169" s="32" t="e">
        <f>VLOOKUP(A1,DIV_04Data!$A$1:$DZU$1000000,2862,FALSE)</f>
        <v>#N/A</v>
      </c>
      <c r="F169" s="34" t="e">
        <f>VLOOKUP(A1,DIV_04Data!$A$1:$DZU$1000000,2863,FALSE)</f>
        <v>#N/A</v>
      </c>
      <c r="G169" s="33" t="e">
        <f>VLOOKUP(A1,DIV_04Data!$A$1:$DZU$1000000,2864,FALSE)</f>
        <v>#N/A</v>
      </c>
      <c r="H169" s="34" t="e">
        <f>VLOOKUP(A1,DIV_04Data!$A$1:$DZU$1000000,2865,FALSE)</f>
        <v>#N/A</v>
      </c>
      <c r="I169" s="33" t="e">
        <f>VLOOKUP(A1,DIV_04Data!$A$1:$DZU$1000000,2866,FALSE)</f>
        <v>#N/A</v>
      </c>
      <c r="J169" s="34" t="e">
        <f>VLOOKUP(A1,DIV_04Data!$A$1:$DZU$1000000,2867,FALSE)</f>
        <v>#N/A</v>
      </c>
      <c r="K169" s="34" t="e">
        <f>VLOOKUP(A1,DIV_04Data!$A$1:$DZU$1000000,2868,FALSE)</f>
        <v>#N/A</v>
      </c>
      <c r="L169" s="93" t="e">
        <f>VLOOKUP(A1,DIV_04Data!$A$1:$DZU$1000000,2869,FALSE)</f>
        <v>#N/A</v>
      </c>
      <c r="M169" s="33" t="e">
        <f>VLOOKUP(A1,DIV_04Data!$A$1:$DZU$1000000,2870,FALSE)</f>
        <v>#N/A</v>
      </c>
      <c r="N169" s="34" t="e">
        <f>VLOOKUP(A1,DIV_04Data!$A$1:$DZU$1000000,2871,FALSE)</f>
        <v>#N/A</v>
      </c>
      <c r="O169" s="33" t="e">
        <f>VLOOKUP(A1,DIV_04Data!$A$1:$DZU$1000000,2872,FALSE)</f>
        <v>#N/A</v>
      </c>
      <c r="P169" s="46" t="e">
        <f>VLOOKUP(A1,DIV_04Data!$A$1:$DZU$1000000,2873,FALSE)</f>
        <v>#N/A</v>
      </c>
      <c r="Q169" s="33" t="e">
        <f>VLOOKUP(A1,DIV_04Data!$A$1:$DZU$1000000,2874,FALSE)</f>
        <v>#N/A</v>
      </c>
    </row>
    <row r="170" spans="1:17" x14ac:dyDescent="0.35">
      <c r="A170" s="22" t="e">
        <f>VLOOKUP(A1,DIV_04Data!$A$1:$DZU$1000000,2875,FALSE)</f>
        <v>#N/A</v>
      </c>
      <c r="B170" s="37" t="e">
        <f>VLOOKUP(A1,DIV_04Data!$A$1:$DZU$1000000,2876,FALSE)</f>
        <v>#N/A</v>
      </c>
      <c r="C170" s="38" t="e">
        <f>VLOOKUP(A1,DIV_04Data!$A$1:$DZU$1000000,2877,FALSE)</f>
        <v>#N/A</v>
      </c>
      <c r="D170" s="31" t="e">
        <f>VLOOKUP(A1,DIV_04Data!$A$1:$DZU$1000000,2878,FALSE)</f>
        <v>#N/A</v>
      </c>
      <c r="E170" s="32" t="e">
        <f>VLOOKUP(A1,DIV_04Data!$A$1:$DZU$1000000,2879,FALSE)</f>
        <v>#N/A</v>
      </c>
      <c r="F170" s="34" t="e">
        <f>VLOOKUP(A1,DIV_04Data!$A$1:$DZU$1000000,2880,FALSE)</f>
        <v>#N/A</v>
      </c>
      <c r="G170" s="33" t="e">
        <f>VLOOKUP(A1,DIV_04Data!$A$1:$DZU$1000000,2881,FALSE)</f>
        <v>#N/A</v>
      </c>
      <c r="H170" s="34" t="e">
        <f>VLOOKUP(A1,DIV_04Data!$A$1:$DZU$1000000,2882,FALSE)</f>
        <v>#N/A</v>
      </c>
      <c r="I170" s="33" t="e">
        <f>VLOOKUP(A1,DIV_04Data!$A$1:$DZU$1000000,2883,FALSE)</f>
        <v>#N/A</v>
      </c>
      <c r="J170" s="34" t="e">
        <f>VLOOKUP(A1,DIV_04Data!$A$1:$DZU$1000000,2884,FALSE)</f>
        <v>#N/A</v>
      </c>
      <c r="K170" s="34" t="e">
        <f>VLOOKUP(A1,DIV_04Data!$A$1:$DZU$1000000,2885,FALSE)</f>
        <v>#N/A</v>
      </c>
      <c r="L170" s="93" t="e">
        <f>VLOOKUP(A1,DIV_04Data!$A$1:$DZU$1000000,2886,FALSE)</f>
        <v>#N/A</v>
      </c>
      <c r="M170" s="33" t="e">
        <f>VLOOKUP(A1,DIV_04Data!$A$1:$DZU$1000000,2887,FALSE)</f>
        <v>#N/A</v>
      </c>
      <c r="N170" s="34" t="e">
        <f>VLOOKUP(A1,DIV_04Data!$A$1:$DZU$1000000,2888,FALSE)</f>
        <v>#N/A</v>
      </c>
      <c r="O170" s="33" t="e">
        <f>VLOOKUP(A1,DIV_04Data!$A$1:$DZU$1000000,2889,FALSE)</f>
        <v>#N/A</v>
      </c>
      <c r="P170" s="46" t="e">
        <f>VLOOKUP(A1,DIV_04Data!$A$1:$DZU$1000000,2890,FALSE)</f>
        <v>#N/A</v>
      </c>
      <c r="Q170" s="33" t="e">
        <f>VLOOKUP(A1,DIV_04Data!$A$1:$DZU$1000000,2891,FALSE)</f>
        <v>#N/A</v>
      </c>
    </row>
    <row r="171" spans="1:17" x14ac:dyDescent="0.35">
      <c r="A171" s="22" t="e">
        <f>VLOOKUP(A1,DIV_04Data!$A$1:$DZU$1000000,2892,FALSE)</f>
        <v>#N/A</v>
      </c>
      <c r="B171" s="37" t="e">
        <f>VLOOKUP(A1,DIV_04Data!$A$1:$DZU$1000000,2893,FALSE)</f>
        <v>#N/A</v>
      </c>
      <c r="C171" s="38" t="e">
        <f>VLOOKUP(A1,DIV_04Data!$A$1:$DZU$1000000,2894,FALSE)</f>
        <v>#N/A</v>
      </c>
      <c r="D171" s="31" t="e">
        <f>VLOOKUP(A1,DIV_04Data!$A$1:$DZU$1000000,2895,FALSE)</f>
        <v>#N/A</v>
      </c>
      <c r="E171" s="32" t="e">
        <f>VLOOKUP(A1,DIV_04Data!$A$1:$DZU$1000000,2896,FALSE)</f>
        <v>#N/A</v>
      </c>
      <c r="F171" s="34" t="e">
        <f>VLOOKUP(A1,DIV_04Data!$A$1:$DZU$1000000,2897,FALSE)</f>
        <v>#N/A</v>
      </c>
      <c r="G171" s="33" t="e">
        <f>VLOOKUP(A1,DIV_04Data!$A$1:$DZU$1000000,2898,FALSE)</f>
        <v>#N/A</v>
      </c>
      <c r="H171" s="34" t="e">
        <f>VLOOKUP(A1,DIV_04Data!$A$1:$DZU$1000000,2899,FALSE)</f>
        <v>#N/A</v>
      </c>
      <c r="I171" s="33" t="e">
        <f>VLOOKUP(A1,DIV_04Data!$A$1:$DZU$1000000,2900,FALSE)</f>
        <v>#N/A</v>
      </c>
      <c r="J171" s="34" t="e">
        <f>VLOOKUP(A1,DIV_04Data!$A$1:$DZU$1000000,2901,FALSE)</f>
        <v>#N/A</v>
      </c>
      <c r="K171" s="34" t="e">
        <f>VLOOKUP(A1,DIV_04Data!$A$1:$DZU$1000000,2902,FALSE)</f>
        <v>#N/A</v>
      </c>
      <c r="L171" s="93" t="e">
        <f>VLOOKUP(A1,DIV_04Data!$A$1:$DZU$1000000,2903,FALSE)</f>
        <v>#N/A</v>
      </c>
      <c r="M171" s="33" t="e">
        <f>VLOOKUP(A1,DIV_04Data!$A$1:$DZU$1000000,2904,FALSE)</f>
        <v>#N/A</v>
      </c>
      <c r="N171" s="34" t="e">
        <f>VLOOKUP(A1,DIV_04Data!$A$1:$DZU$1000000,2905,FALSE)</f>
        <v>#N/A</v>
      </c>
      <c r="O171" s="33" t="e">
        <f>VLOOKUP(A1,DIV_04Data!$A$1:$DZU$1000000,2906,FALSE)</f>
        <v>#N/A</v>
      </c>
      <c r="P171" s="46" t="e">
        <f>VLOOKUP(A1,DIV_04Data!$A$1:$DZU$1000000,2907,FALSE)</f>
        <v>#N/A</v>
      </c>
      <c r="Q171" s="33" t="e">
        <f>VLOOKUP(A1,DIV_04Data!$A$1:$DZU$1000000,2908,FALSE)</f>
        <v>#N/A</v>
      </c>
    </row>
    <row r="172" spans="1:17" x14ac:dyDescent="0.35">
      <c r="A172" s="22" t="e">
        <f>VLOOKUP(A1,DIV_04Data!$A$1:$DZU$1000000,2909,FALSE)</f>
        <v>#N/A</v>
      </c>
      <c r="B172" s="37" t="e">
        <f>VLOOKUP(A1,DIV_04Data!$A$1:$DZU$1000000,2910,FALSE)</f>
        <v>#N/A</v>
      </c>
      <c r="C172" s="38" t="e">
        <f>VLOOKUP(A1,DIV_04Data!$A$1:$DZU$1000000,2911,FALSE)</f>
        <v>#N/A</v>
      </c>
      <c r="D172" s="31" t="e">
        <f>VLOOKUP(A1,DIV_04Data!$A$1:$DZU$1000000,2912,FALSE)</f>
        <v>#N/A</v>
      </c>
      <c r="E172" s="32" t="e">
        <f>VLOOKUP(A1,DIV_04Data!$A$1:$DZU$1000000,2913,FALSE)</f>
        <v>#N/A</v>
      </c>
      <c r="F172" s="34" t="e">
        <f>VLOOKUP(A1,DIV_04Data!$A$1:$DZU$1000000,2914,FALSE)</f>
        <v>#N/A</v>
      </c>
      <c r="G172" s="33" t="e">
        <f>VLOOKUP(A1,DIV_04Data!$A$1:$DZU$1000000,2915,FALSE)</f>
        <v>#N/A</v>
      </c>
      <c r="H172" s="34" t="e">
        <f>VLOOKUP(A1,DIV_04Data!$A$1:$DZU$1000000,2916,FALSE)</f>
        <v>#N/A</v>
      </c>
      <c r="I172" s="33" t="e">
        <f>VLOOKUP(A1,DIV_04Data!$A$1:$DZU$1000000,2917,FALSE)</f>
        <v>#N/A</v>
      </c>
      <c r="J172" s="34" t="e">
        <f>VLOOKUP(A1,DIV_04Data!$A$1:$DZU$1000000,2918,FALSE)</f>
        <v>#N/A</v>
      </c>
      <c r="K172" s="34" t="e">
        <f>VLOOKUP(A1,DIV_04Data!$A$1:$DZU$1000000,2919,FALSE)</f>
        <v>#N/A</v>
      </c>
      <c r="L172" s="93" t="e">
        <f>VLOOKUP(A1,DIV_04Data!$A$1:$DZU$1000000,2920,FALSE)</f>
        <v>#N/A</v>
      </c>
      <c r="M172" s="33" t="e">
        <f>VLOOKUP(A1,DIV_04Data!$A$1:$DZU$1000000,2921,FALSE)</f>
        <v>#N/A</v>
      </c>
      <c r="N172" s="34" t="e">
        <f>VLOOKUP(A1,DIV_04Data!$A$1:$DZU$1000000,2922,FALSE)</f>
        <v>#N/A</v>
      </c>
      <c r="O172" s="33" t="e">
        <f>VLOOKUP(A1,DIV_04Data!$A$1:$DZU$1000000,2923,FALSE)</f>
        <v>#N/A</v>
      </c>
      <c r="P172" s="46" t="e">
        <f>VLOOKUP(A1,DIV_04Data!$A$1:$DZU$1000000,2924,FALSE)</f>
        <v>#N/A</v>
      </c>
      <c r="Q172" s="33" t="e">
        <f>VLOOKUP(A1,DIV_04Data!$A$1:$DZU$1000000,2925,FALSE)</f>
        <v>#N/A</v>
      </c>
    </row>
    <row r="173" spans="1:17" x14ac:dyDescent="0.35">
      <c r="A173" s="22" t="e">
        <f>VLOOKUP(A1,DIV_04Data!$A$1:$DZU$1000000,2926,FALSE)</f>
        <v>#N/A</v>
      </c>
      <c r="B173" s="37" t="e">
        <f>VLOOKUP(A1,DIV_04Data!$A$1:$DZU$1000000,2927,FALSE)</f>
        <v>#N/A</v>
      </c>
      <c r="C173" s="38" t="e">
        <f>VLOOKUP(A1,DIV_04Data!$A$1:$DZU$1000000,2928,FALSE)</f>
        <v>#N/A</v>
      </c>
      <c r="D173" s="31" t="e">
        <f>VLOOKUP(A1,DIV_04Data!$A$1:$DZU$1000000,2929,FALSE)</f>
        <v>#N/A</v>
      </c>
      <c r="E173" s="32" t="e">
        <f>VLOOKUP(A1,DIV_04Data!$A$1:$DZU$1000000,2930,FALSE)</f>
        <v>#N/A</v>
      </c>
      <c r="F173" s="34" t="e">
        <f>VLOOKUP(A1,DIV_04Data!$A$1:$DZU$1000000,2931,FALSE)</f>
        <v>#N/A</v>
      </c>
      <c r="G173" s="33" t="e">
        <f>VLOOKUP(A1,DIV_04Data!$A$1:$DZU$1000000,2932,FALSE)</f>
        <v>#N/A</v>
      </c>
      <c r="H173" s="34" t="e">
        <f>VLOOKUP(A1,DIV_04Data!$A$1:$DZU$1000000,2933,FALSE)</f>
        <v>#N/A</v>
      </c>
      <c r="I173" s="33" t="e">
        <f>VLOOKUP(A1,DIV_04Data!$A$1:$DZU$1000000,2934,FALSE)</f>
        <v>#N/A</v>
      </c>
      <c r="J173" s="34" t="e">
        <f>VLOOKUP(A1,DIV_04Data!$A$1:$DZU$1000000,2935,FALSE)</f>
        <v>#N/A</v>
      </c>
      <c r="K173" s="34" t="e">
        <f>VLOOKUP(A1,DIV_04Data!$A$1:$DZU$1000000,2936,FALSE)</f>
        <v>#N/A</v>
      </c>
      <c r="L173" s="93" t="e">
        <f>VLOOKUP(A1,DIV_04Data!$A$1:$DZU$1000000,2937,FALSE)</f>
        <v>#N/A</v>
      </c>
      <c r="M173" s="33" t="e">
        <f>VLOOKUP(A1,DIV_04Data!$A$1:$DZU$1000000,2938,FALSE)</f>
        <v>#N/A</v>
      </c>
      <c r="N173" s="34" t="e">
        <f>VLOOKUP(A1,DIV_04Data!$A$1:$DZU$1000000,2939,FALSE)</f>
        <v>#N/A</v>
      </c>
      <c r="O173" s="33" t="e">
        <f>VLOOKUP(A1,DIV_04Data!$A$1:$DZU$1000000,2940,FALSE)</f>
        <v>#N/A</v>
      </c>
      <c r="P173" s="46" t="e">
        <f>VLOOKUP(A1,DIV_04Data!$A$1:$DZU$1000000,2941,FALSE)</f>
        <v>#N/A</v>
      </c>
      <c r="Q173" s="33" t="e">
        <f>VLOOKUP(A1,DIV_04Data!$A$1:$DZU$1000000,2942,FALSE)</f>
        <v>#N/A</v>
      </c>
    </row>
    <row r="174" spans="1:17" x14ac:dyDescent="0.35">
      <c r="A174" s="22" t="e">
        <f>VLOOKUP(A1,DIV_04Data!$A$1:$DZU$1000000,2943,FALSE)</f>
        <v>#N/A</v>
      </c>
      <c r="B174" s="37" t="e">
        <f>VLOOKUP(A1,DIV_04Data!$A$1:$DZU$1000000,2944,FALSE)</f>
        <v>#N/A</v>
      </c>
      <c r="C174" s="38" t="e">
        <f>VLOOKUP(A1,DIV_04Data!$A$1:$DZU$1000000,2945,FALSE)</f>
        <v>#N/A</v>
      </c>
      <c r="D174" s="31" t="e">
        <f>VLOOKUP(A1,DIV_04Data!$A$1:$DZU$1000000,2946,FALSE)</f>
        <v>#N/A</v>
      </c>
      <c r="E174" s="32" t="e">
        <f>VLOOKUP(A1,DIV_04Data!$A$1:$DZU$1000000,2947,FALSE)</f>
        <v>#N/A</v>
      </c>
      <c r="F174" s="34" t="e">
        <f>VLOOKUP(A1,DIV_04Data!$A$1:$DZU$1000000,2948,FALSE)</f>
        <v>#N/A</v>
      </c>
      <c r="G174" s="33" t="e">
        <f>VLOOKUP(A1,DIV_04Data!$A$1:$DZU$1000000,2949,FALSE)</f>
        <v>#N/A</v>
      </c>
      <c r="H174" s="34" t="e">
        <f>VLOOKUP(A1,DIV_04Data!$A$1:$DZU$1000000,2950,FALSE)</f>
        <v>#N/A</v>
      </c>
      <c r="I174" s="33" t="e">
        <f>VLOOKUP(A1,DIV_04Data!$A$1:$DZU$1000000,2951,FALSE)</f>
        <v>#N/A</v>
      </c>
      <c r="J174" s="34" t="e">
        <f>VLOOKUP(A1,DIV_04Data!$A$1:$DZU$1000000,2952,FALSE)</f>
        <v>#N/A</v>
      </c>
      <c r="K174" s="34" t="e">
        <f>VLOOKUP(A1,DIV_04Data!$A$1:$DZU$1000000,2953,FALSE)</f>
        <v>#N/A</v>
      </c>
      <c r="L174" s="93" t="e">
        <f>VLOOKUP(A1,DIV_04Data!$A$1:$DZU$1000000,2954,FALSE)</f>
        <v>#N/A</v>
      </c>
      <c r="M174" s="33" t="e">
        <f>VLOOKUP(A1,DIV_04Data!$A$1:$DZU$1000000,2955,FALSE)</f>
        <v>#N/A</v>
      </c>
      <c r="N174" s="34" t="e">
        <f>VLOOKUP(A1,DIV_04Data!$A$1:$DZU$1000000,2956,FALSE)</f>
        <v>#N/A</v>
      </c>
      <c r="O174" s="33" t="e">
        <f>VLOOKUP(A1,DIV_04Data!$A$1:$DZU$1000000,2957,FALSE)</f>
        <v>#N/A</v>
      </c>
      <c r="P174" s="46" t="e">
        <f>VLOOKUP(A1,DIV_04Data!$A$1:$DZU$1000000,2958,FALSE)</f>
        <v>#N/A</v>
      </c>
      <c r="Q174" s="33" t="e">
        <f>VLOOKUP(A1,DIV_04Data!$A$1:$DZU$1000000,2959,FALSE)</f>
        <v>#N/A</v>
      </c>
    </row>
    <row r="175" spans="1:17" x14ac:dyDescent="0.35">
      <c r="A175" s="22" t="e">
        <f>VLOOKUP(A1,DIV_04Data!$A$1:$DZU$1000000,2960,FALSE)</f>
        <v>#N/A</v>
      </c>
      <c r="B175" s="37" t="e">
        <f>VLOOKUP(A1,DIV_04Data!$A$1:$DZU$1000000,2961,FALSE)</f>
        <v>#N/A</v>
      </c>
      <c r="C175" s="38" t="e">
        <f>VLOOKUP(A1,DIV_04Data!$A$1:$DZU$1000000,2962,FALSE)</f>
        <v>#N/A</v>
      </c>
      <c r="D175" s="31" t="e">
        <f>VLOOKUP(A1,DIV_04Data!$A$1:$DZU$1000000,2963,FALSE)</f>
        <v>#N/A</v>
      </c>
      <c r="E175" s="32" t="e">
        <f>VLOOKUP(A1,DIV_04Data!$A$1:$DZU$1000000,2964,FALSE)</f>
        <v>#N/A</v>
      </c>
      <c r="F175" s="34" t="e">
        <f>VLOOKUP(A1,DIV_04Data!$A$1:$DZU$1000000,2965,FALSE)</f>
        <v>#N/A</v>
      </c>
      <c r="G175" s="33" t="e">
        <f>VLOOKUP(A1,DIV_04Data!$A$1:$DZU$1000000,2966,FALSE)</f>
        <v>#N/A</v>
      </c>
      <c r="H175" s="34" t="e">
        <f>VLOOKUP(A1,DIV_04Data!$A$1:$DZU$1000000,2967,FALSE)</f>
        <v>#N/A</v>
      </c>
      <c r="I175" s="33" t="e">
        <f>VLOOKUP(A1,DIV_04Data!$A$1:$DZU$1000000,2968,FALSE)</f>
        <v>#N/A</v>
      </c>
      <c r="J175" s="34" t="e">
        <f>VLOOKUP(A1,DIV_04Data!$A$1:$DZU$1000000,2969,FALSE)</f>
        <v>#N/A</v>
      </c>
      <c r="K175" s="34" t="e">
        <f>VLOOKUP(A1,DIV_04Data!$A$1:$DZU$1000000,2970,FALSE)</f>
        <v>#N/A</v>
      </c>
      <c r="L175" s="93" t="e">
        <f>VLOOKUP(A1,DIV_04Data!$A$1:$DZU$1000000,2971,FALSE)</f>
        <v>#N/A</v>
      </c>
      <c r="M175" s="33" t="e">
        <f>VLOOKUP(A1,DIV_04Data!$A$1:$DZU$1000000,2972,FALSE)</f>
        <v>#N/A</v>
      </c>
      <c r="N175" s="34" t="e">
        <f>VLOOKUP(A1,DIV_04Data!$A$1:$DZU$1000000,2973,FALSE)</f>
        <v>#N/A</v>
      </c>
      <c r="O175" s="33" t="e">
        <f>VLOOKUP(A1,DIV_04Data!$A$1:$DZU$1000000,2974,FALSE)</f>
        <v>#N/A</v>
      </c>
      <c r="P175" s="46" t="e">
        <f>VLOOKUP(A1,DIV_04Data!$A$1:$DZU$1000000,2975,FALSE)</f>
        <v>#N/A</v>
      </c>
      <c r="Q175" s="33" t="e">
        <f>VLOOKUP(A1,DIV_04Data!$A$1:$DZU$1000000,2976,FALSE)</f>
        <v>#N/A</v>
      </c>
    </row>
    <row r="176" spans="1:17" x14ac:dyDescent="0.35">
      <c r="A176" s="22" t="e">
        <f>VLOOKUP(A1,DIV_04Data!$A$1:$DZU$1000000,2977,FALSE)</f>
        <v>#N/A</v>
      </c>
      <c r="B176" s="37" t="e">
        <f>VLOOKUP(A1,DIV_04Data!$A$1:$DZU$1000000,2978,FALSE)</f>
        <v>#N/A</v>
      </c>
      <c r="C176" s="38" t="e">
        <f>VLOOKUP(A1,DIV_04Data!$A$1:$DZU$1000000,2979,FALSE)</f>
        <v>#N/A</v>
      </c>
      <c r="D176" s="31" t="e">
        <f>VLOOKUP(A1,DIV_04Data!$A$1:$DZU$1000000,2980,FALSE)</f>
        <v>#N/A</v>
      </c>
      <c r="E176" s="32" t="e">
        <f>VLOOKUP(A1,DIV_04Data!$A$1:$DZU$1000000,2981,FALSE)</f>
        <v>#N/A</v>
      </c>
      <c r="F176" s="34" t="e">
        <f>VLOOKUP(A1,DIV_04Data!$A$1:$DZU$1000000,2982,FALSE)</f>
        <v>#N/A</v>
      </c>
      <c r="G176" s="33" t="e">
        <f>VLOOKUP(A1,DIV_04Data!$A$1:$DZU$1000000,2983,FALSE)</f>
        <v>#N/A</v>
      </c>
      <c r="H176" s="34" t="e">
        <f>VLOOKUP(A1,DIV_04Data!$A$1:$DZU$1000000,2984,FALSE)</f>
        <v>#N/A</v>
      </c>
      <c r="I176" s="33" t="e">
        <f>VLOOKUP(A1,DIV_04Data!$A$1:$DZU$1000000,2985,FALSE)</f>
        <v>#N/A</v>
      </c>
      <c r="J176" s="34" t="e">
        <f>VLOOKUP(A1,DIV_04Data!$A$1:$DZU$1000000,2986,FALSE)</f>
        <v>#N/A</v>
      </c>
      <c r="K176" s="34" t="e">
        <f>VLOOKUP(A1,DIV_04Data!$A$1:$DZU$1000000,2987,FALSE)</f>
        <v>#N/A</v>
      </c>
      <c r="L176" s="93" t="e">
        <f>VLOOKUP(A1,DIV_04Data!$A$1:$DZU$1000000,2988,FALSE)</f>
        <v>#N/A</v>
      </c>
      <c r="M176" s="33" t="e">
        <f>VLOOKUP(A1,DIV_04Data!$A$1:$DZU$1000000,2989,FALSE)</f>
        <v>#N/A</v>
      </c>
      <c r="N176" s="34" t="e">
        <f>VLOOKUP(A1,DIV_04Data!$A$1:$DZU$1000000,2990,FALSE)</f>
        <v>#N/A</v>
      </c>
      <c r="O176" s="33" t="e">
        <f>VLOOKUP(A1,DIV_04Data!$A$1:$DZU$1000000,2991,FALSE)</f>
        <v>#N/A</v>
      </c>
      <c r="P176" s="46" t="e">
        <f>VLOOKUP(A1,DIV_04Data!$A$1:$DZU$1000000,2992,FALSE)</f>
        <v>#N/A</v>
      </c>
      <c r="Q176" s="33" t="e">
        <f>VLOOKUP(A1,DIV_04Data!$A$1:$DZU$1000000,2993,FALSE)</f>
        <v>#N/A</v>
      </c>
    </row>
    <row r="177" spans="1:17" x14ac:dyDescent="0.35">
      <c r="A177" s="22" t="e">
        <f>VLOOKUP(A1,DIV_04Data!$A$1:$DZU$1000000,2994,FALSE)</f>
        <v>#N/A</v>
      </c>
      <c r="B177" s="37" t="e">
        <f>VLOOKUP(A1,DIV_04Data!$A$1:$DZU$1000000,2995,FALSE)</f>
        <v>#N/A</v>
      </c>
      <c r="C177" s="38" t="e">
        <f>VLOOKUP(A1,DIV_04Data!$A$1:$DZU$1000000,2996,FALSE)</f>
        <v>#N/A</v>
      </c>
      <c r="D177" s="31" t="e">
        <f>VLOOKUP(A1,DIV_04Data!$A$1:$DZU$1000000,2997,FALSE)</f>
        <v>#N/A</v>
      </c>
      <c r="E177" s="32" t="e">
        <f>VLOOKUP(A1,DIV_04Data!$A$1:$DZU$1000000,2998,FALSE)</f>
        <v>#N/A</v>
      </c>
      <c r="F177" s="34" t="e">
        <f>VLOOKUP(A1,DIV_04Data!$A$1:$DZU$1000000,2999,FALSE)</f>
        <v>#N/A</v>
      </c>
      <c r="G177" s="33" t="e">
        <f>VLOOKUP(A1,DIV_04Data!$A$1:$DZU$1000000,3000,FALSE)</f>
        <v>#N/A</v>
      </c>
      <c r="H177" s="34" t="e">
        <f>VLOOKUP(A1,DIV_04Data!$A$1:$DZU$1000000,3001,FALSE)</f>
        <v>#N/A</v>
      </c>
      <c r="I177" s="33" t="e">
        <f>VLOOKUP(A1,DIV_04Data!$A$1:$DZU$1000000,3002,FALSE)</f>
        <v>#N/A</v>
      </c>
      <c r="J177" s="34" t="e">
        <f>VLOOKUP(A1,DIV_04Data!$A$1:$DZU$1000000,3003,FALSE)</f>
        <v>#N/A</v>
      </c>
      <c r="K177" s="34" t="e">
        <f>VLOOKUP(A1,DIV_04Data!$A$1:$DZU$1000000,3004,FALSE)</f>
        <v>#N/A</v>
      </c>
      <c r="L177" s="93" t="e">
        <f>VLOOKUP(A1,DIV_04Data!$A$1:$DZU$1000000,3005,FALSE)</f>
        <v>#N/A</v>
      </c>
      <c r="M177" s="33" t="e">
        <f>VLOOKUP(A1,DIV_04Data!$A$1:$DZU$1000000,3006,FALSE)</f>
        <v>#N/A</v>
      </c>
      <c r="N177" s="34" t="e">
        <f>VLOOKUP(A1,DIV_04Data!$A$1:$DZU$1000000,3007,FALSE)</f>
        <v>#N/A</v>
      </c>
      <c r="O177" s="33" t="e">
        <f>VLOOKUP(A1,DIV_04Data!$A$1:$DZU$1000000,3008,FALSE)</f>
        <v>#N/A</v>
      </c>
      <c r="P177" s="46" t="e">
        <f>VLOOKUP(A1,DIV_04Data!$A$1:$DZU$1000000,3009,FALSE)</f>
        <v>#N/A</v>
      </c>
      <c r="Q177" s="33" t="e">
        <f>VLOOKUP(A1,DIV_04Data!$A$1:$DZU$1000000,3010,FALSE)</f>
        <v>#N/A</v>
      </c>
    </row>
    <row r="178" spans="1:17" x14ac:dyDescent="0.35">
      <c r="A178" s="22" t="e">
        <f>VLOOKUP(A1,DIV_04Data!$A$1:$DZU$1000000,3011,FALSE)</f>
        <v>#N/A</v>
      </c>
      <c r="B178" s="37" t="e">
        <f>VLOOKUP(A1,DIV_04Data!$A$1:$DZU$1000000,3012,FALSE)</f>
        <v>#N/A</v>
      </c>
      <c r="C178" s="38" t="e">
        <f>VLOOKUP(A1,DIV_04Data!$A$1:$DZU$1000000,3013,FALSE)</f>
        <v>#N/A</v>
      </c>
      <c r="D178" s="31" t="e">
        <f>VLOOKUP(A1,DIV_04Data!$A$1:$DZU$1000000,3014,FALSE)</f>
        <v>#N/A</v>
      </c>
      <c r="E178" s="32" t="e">
        <f>VLOOKUP(A1,DIV_04Data!$A$1:$DZU$1000000,3015,FALSE)</f>
        <v>#N/A</v>
      </c>
      <c r="F178" s="34" t="e">
        <f>VLOOKUP(A1,DIV_04Data!$A$1:$DZU$1000000,3016,FALSE)</f>
        <v>#N/A</v>
      </c>
      <c r="G178" s="33" t="e">
        <f>VLOOKUP(A1,DIV_04Data!$A$1:$DZU$1000000,3017,FALSE)</f>
        <v>#N/A</v>
      </c>
      <c r="H178" s="34" t="e">
        <f>VLOOKUP(A1,DIV_04Data!$A$1:$DZU$1000000,3018,FALSE)</f>
        <v>#N/A</v>
      </c>
      <c r="I178" s="33" t="e">
        <f>VLOOKUP(A1,DIV_04Data!$A$1:$DZU$1000000,3019,FALSE)</f>
        <v>#N/A</v>
      </c>
      <c r="J178" s="34" t="e">
        <f>VLOOKUP(A1,DIV_04Data!$A$1:$DZU$1000000,3020,FALSE)</f>
        <v>#N/A</v>
      </c>
      <c r="K178" s="34" t="e">
        <f>VLOOKUP(A1,DIV_04Data!$A$1:$DZU$1000000,3021,FALSE)</f>
        <v>#N/A</v>
      </c>
      <c r="L178" s="93" t="e">
        <f>VLOOKUP(A1,DIV_04Data!$A$1:$DZU$1000000,3022,FALSE)</f>
        <v>#N/A</v>
      </c>
      <c r="M178" s="33" t="e">
        <f>VLOOKUP(A1,DIV_04Data!$A$1:$DZU$1000000,3023,FALSE)</f>
        <v>#N/A</v>
      </c>
      <c r="N178" s="34" t="e">
        <f>VLOOKUP(A1,DIV_04Data!$A$1:$DZU$1000000,3024,FALSE)</f>
        <v>#N/A</v>
      </c>
      <c r="O178" s="33" t="e">
        <f>VLOOKUP(A1,DIV_04Data!$A$1:$DZU$1000000,3025,FALSE)</f>
        <v>#N/A</v>
      </c>
      <c r="P178" s="46" t="e">
        <f>VLOOKUP(A1,DIV_04Data!$A$1:$DZU$1000000,3026,FALSE)</f>
        <v>#N/A</v>
      </c>
      <c r="Q178" s="33" t="e">
        <f>VLOOKUP(A1,DIV_04Data!$A$1:$DZU$1000000,3027,FALSE)</f>
        <v>#N/A</v>
      </c>
    </row>
    <row r="179" spans="1:17" x14ac:dyDescent="0.35">
      <c r="A179" s="22" t="e">
        <f>VLOOKUP(A1,DIV_04Data!$A$1:$DZU$1000000,3028,FALSE)</f>
        <v>#N/A</v>
      </c>
      <c r="B179" s="37" t="e">
        <f>VLOOKUP(A1,DIV_04Data!$A$1:$DZU$1000000,3029,FALSE)</f>
        <v>#N/A</v>
      </c>
      <c r="C179" s="38" t="e">
        <f>VLOOKUP(A1,DIV_04Data!$A$1:$DZU$1000000,3030,FALSE)</f>
        <v>#N/A</v>
      </c>
      <c r="D179" s="31" t="e">
        <f>VLOOKUP(A1,DIV_04Data!$A$1:$DZU$1000000,3031,FALSE)</f>
        <v>#N/A</v>
      </c>
      <c r="E179" s="32" t="e">
        <f>VLOOKUP(A1,DIV_04Data!$A$1:$DZU$1000000,3032,FALSE)</f>
        <v>#N/A</v>
      </c>
      <c r="F179" s="34" t="e">
        <f>VLOOKUP(A1,DIV_04Data!$A$1:$DZU$1000000,3033,FALSE)</f>
        <v>#N/A</v>
      </c>
      <c r="G179" s="33" t="e">
        <f>VLOOKUP(A1,DIV_04Data!$A$1:$DZU$1000000,3034,FALSE)</f>
        <v>#N/A</v>
      </c>
      <c r="H179" s="34" t="e">
        <f>VLOOKUP(A1,DIV_04Data!$A$1:$DZU$1000000,3035,FALSE)</f>
        <v>#N/A</v>
      </c>
      <c r="I179" s="33" t="e">
        <f>VLOOKUP(A1,DIV_04Data!$A$1:$DZU$1000000,3036,FALSE)</f>
        <v>#N/A</v>
      </c>
      <c r="J179" s="34" t="e">
        <f>VLOOKUP(A1,DIV_04Data!$A$1:$DZU$1000000,3037,FALSE)</f>
        <v>#N/A</v>
      </c>
      <c r="K179" s="34" t="e">
        <f>VLOOKUP(A1,DIV_04Data!$A$1:$DZU$1000000,3038,FALSE)</f>
        <v>#N/A</v>
      </c>
      <c r="L179" s="93" t="e">
        <f>VLOOKUP(A1,DIV_04Data!$A$1:$DZU$1000000,3039,FALSE)</f>
        <v>#N/A</v>
      </c>
      <c r="M179" s="33" t="e">
        <f>VLOOKUP(A1,DIV_04Data!$A$1:$DZU$1000000,3040,FALSE)</f>
        <v>#N/A</v>
      </c>
      <c r="N179" s="34" t="e">
        <f>VLOOKUP(A1,DIV_04Data!$A$1:$DZU$1000000,3041,FALSE)</f>
        <v>#N/A</v>
      </c>
      <c r="O179" s="33" t="e">
        <f>VLOOKUP(A1,DIV_04Data!$A$1:$DZU$1000000,3042,FALSE)</f>
        <v>#N/A</v>
      </c>
      <c r="P179" s="46" t="e">
        <f>VLOOKUP(A1,DIV_04Data!$A$1:$DZU$1000000,3043,FALSE)</f>
        <v>#N/A</v>
      </c>
      <c r="Q179" s="33" t="e">
        <f>VLOOKUP(A1,DIV_04Data!$A$1:$DZU$1000000,3044,FALSE)</f>
        <v>#N/A</v>
      </c>
    </row>
    <row r="180" spans="1:17" x14ac:dyDescent="0.35">
      <c r="A180" s="22" t="e">
        <f>VLOOKUP(A1,DIV_04Data!$A$1:$DZU$1000000,3045,FALSE)</f>
        <v>#N/A</v>
      </c>
      <c r="B180" s="37" t="e">
        <f>VLOOKUP(A1,DIV_04Data!$A$1:$DZU$1000000,3046,FALSE)</f>
        <v>#N/A</v>
      </c>
      <c r="C180" s="38" t="e">
        <f>VLOOKUP(A1,DIV_04Data!$A$1:$DZU$1000000,3047,FALSE)</f>
        <v>#N/A</v>
      </c>
      <c r="D180" s="31" t="e">
        <f>VLOOKUP(A1,DIV_04Data!$A$1:$DZU$1000000,3048,FALSE)</f>
        <v>#N/A</v>
      </c>
      <c r="E180" s="32" t="e">
        <f>VLOOKUP(A1,DIV_04Data!$A$1:$DZU$1000000,3049,FALSE)</f>
        <v>#N/A</v>
      </c>
      <c r="F180" s="34" t="e">
        <f>VLOOKUP(A1,DIV_04Data!$A$1:$DZU$1000000,3050,FALSE)</f>
        <v>#N/A</v>
      </c>
      <c r="G180" s="33" t="e">
        <f>VLOOKUP(A1,DIV_04Data!$A$1:$DZU$1000000,3051,FALSE)</f>
        <v>#N/A</v>
      </c>
      <c r="H180" s="34" t="e">
        <f>VLOOKUP(A1,DIV_04Data!$A$1:$DZU$1000000,3052,FALSE)</f>
        <v>#N/A</v>
      </c>
      <c r="I180" s="33" t="e">
        <f>VLOOKUP(A1,DIV_04Data!$A$1:$DZU$1000000,3053,FALSE)</f>
        <v>#N/A</v>
      </c>
      <c r="J180" s="34" t="e">
        <f>VLOOKUP(A1,DIV_04Data!$A$1:$DZU$1000000,3054,FALSE)</f>
        <v>#N/A</v>
      </c>
      <c r="K180" s="34" t="e">
        <f>VLOOKUP(A1,DIV_04Data!$A$1:$DZU$1000000,3055,FALSE)</f>
        <v>#N/A</v>
      </c>
      <c r="L180" s="93" t="e">
        <f>VLOOKUP(A1,DIV_04Data!$A$1:$DZU$1000000,3056,FALSE)</f>
        <v>#N/A</v>
      </c>
      <c r="M180" s="33" t="e">
        <f>VLOOKUP(A1,DIV_04Data!$A$1:$DZU$1000000,3057,FALSE)</f>
        <v>#N/A</v>
      </c>
      <c r="N180" s="34" t="e">
        <f>VLOOKUP(A1,DIV_04Data!$A$1:$DZU$1000000,3058,FALSE)</f>
        <v>#N/A</v>
      </c>
      <c r="O180" s="33" t="e">
        <f>VLOOKUP(A1,DIV_04Data!$A$1:$DZU$1000000,3059,FALSE)</f>
        <v>#N/A</v>
      </c>
      <c r="P180" s="46" t="e">
        <f>VLOOKUP(A1,DIV_04Data!$A$1:$DZU$1000000,3060,FALSE)</f>
        <v>#N/A</v>
      </c>
      <c r="Q180" s="33" t="e">
        <f>VLOOKUP(A1,DIV_04Data!$A$1:$DZU$1000000,3061,FALSE)</f>
        <v>#N/A</v>
      </c>
    </row>
    <row r="181" spans="1:17" x14ac:dyDescent="0.35">
      <c r="A181" s="22" t="e">
        <f>VLOOKUP(A1,DIV_04Data!$A$1:$DZU$1000000,3062,FALSE)</f>
        <v>#N/A</v>
      </c>
      <c r="B181" s="37" t="e">
        <f>VLOOKUP(A1,DIV_04Data!$A$1:$DZU$1000000,3063,FALSE)</f>
        <v>#N/A</v>
      </c>
      <c r="C181" s="38" t="e">
        <f>VLOOKUP(A1,DIV_04Data!$A$1:$DZU$1000000,3064,FALSE)</f>
        <v>#N/A</v>
      </c>
      <c r="D181" s="31" t="e">
        <f>VLOOKUP(A1,DIV_04Data!$A$1:$DZU$1000000,3065,FALSE)</f>
        <v>#N/A</v>
      </c>
      <c r="E181" s="32" t="e">
        <f>VLOOKUP(A1,DIV_04Data!$A$1:$DZU$1000000,3066,FALSE)</f>
        <v>#N/A</v>
      </c>
      <c r="F181" s="34" t="e">
        <f>VLOOKUP(A1,DIV_04Data!$A$1:$DZU$1000000,3067,FALSE)</f>
        <v>#N/A</v>
      </c>
      <c r="G181" s="33" t="e">
        <f>VLOOKUP(A1,DIV_04Data!$A$1:$DZU$1000000,3068,FALSE)</f>
        <v>#N/A</v>
      </c>
      <c r="H181" s="34" t="e">
        <f>VLOOKUP(A1,DIV_04Data!$A$1:$DZU$1000000,3069,FALSE)</f>
        <v>#N/A</v>
      </c>
      <c r="I181" s="33" t="e">
        <f>VLOOKUP(A1,DIV_04Data!$A$1:$DZU$1000000,3070,FALSE)</f>
        <v>#N/A</v>
      </c>
      <c r="J181" s="34" t="e">
        <f>VLOOKUP(A1,DIV_04Data!$A$1:$DZU$1000000,3071,FALSE)</f>
        <v>#N/A</v>
      </c>
      <c r="K181" s="34" t="e">
        <f>VLOOKUP(A1,DIV_04Data!$A$1:$DZU$1000000,3072,FALSE)</f>
        <v>#N/A</v>
      </c>
      <c r="L181" s="93" t="e">
        <f>VLOOKUP(A1,DIV_04Data!$A$1:$DZU$1000000,3073,FALSE)</f>
        <v>#N/A</v>
      </c>
      <c r="M181" s="33" t="e">
        <f>VLOOKUP(A1,DIV_04Data!$A$1:$DZU$1000000,3074,FALSE)</f>
        <v>#N/A</v>
      </c>
      <c r="N181" s="34" t="e">
        <f>VLOOKUP(A1,DIV_04Data!$A$1:$DZU$1000000,3075,FALSE)</f>
        <v>#N/A</v>
      </c>
      <c r="O181" s="33" t="e">
        <f>VLOOKUP(A1,DIV_04Data!$A$1:$DZU$1000000,3076,FALSE)</f>
        <v>#N/A</v>
      </c>
      <c r="P181" s="46" t="e">
        <f>VLOOKUP(A1,DIV_04Data!$A$1:$DZU$1000000,3077,FALSE)</f>
        <v>#N/A</v>
      </c>
      <c r="Q181" s="33" t="e">
        <f>VLOOKUP(A1,DIV_04Data!$A$1:$DZU$1000000,3078,FALSE)</f>
        <v>#N/A</v>
      </c>
    </row>
    <row r="182" spans="1:17" x14ac:dyDescent="0.35">
      <c r="A182" s="22" t="e">
        <f>VLOOKUP(A1,DIV_04Data!$A$1:$DZU$1000000,3079,FALSE)</f>
        <v>#N/A</v>
      </c>
      <c r="B182" s="37" t="e">
        <f>VLOOKUP(A1,DIV_04Data!$A$1:$DZU$1000000,3080,FALSE)</f>
        <v>#N/A</v>
      </c>
      <c r="C182" s="38" t="e">
        <f>VLOOKUP(A1,DIV_04Data!$A$1:$DZU$1000000,3081,FALSE)</f>
        <v>#N/A</v>
      </c>
      <c r="D182" s="31" t="e">
        <f>VLOOKUP(A1,DIV_04Data!$A$1:$DZU$1000000,3082,FALSE)</f>
        <v>#N/A</v>
      </c>
      <c r="E182" s="32" t="e">
        <f>VLOOKUP(A1,DIV_04Data!$A$1:$DZU$1000000,3083,FALSE)</f>
        <v>#N/A</v>
      </c>
      <c r="F182" s="34" t="e">
        <f>VLOOKUP(A1,DIV_04Data!$A$1:$DZU$1000000,3084,FALSE)</f>
        <v>#N/A</v>
      </c>
      <c r="G182" s="33" t="e">
        <f>VLOOKUP(A1,DIV_04Data!$A$1:$DZU$1000000,3085,FALSE)</f>
        <v>#N/A</v>
      </c>
      <c r="H182" s="34" t="e">
        <f>VLOOKUP(A1,DIV_04Data!$A$1:$DZU$1000000,3086,FALSE)</f>
        <v>#N/A</v>
      </c>
      <c r="I182" s="33" t="e">
        <f>VLOOKUP(A1,DIV_04Data!$A$1:$DZU$1000000,3087,FALSE)</f>
        <v>#N/A</v>
      </c>
      <c r="J182" s="34" t="e">
        <f>VLOOKUP(A1,DIV_04Data!$A$1:$DZU$1000000,3088,FALSE)</f>
        <v>#N/A</v>
      </c>
      <c r="K182" s="34" t="e">
        <f>VLOOKUP(A1,DIV_04Data!$A$1:$DZU$1000000,3089,FALSE)</f>
        <v>#N/A</v>
      </c>
      <c r="L182" s="93" t="e">
        <f>VLOOKUP(A1,DIV_04Data!$A$1:$DZU$1000000,3090,FALSE)</f>
        <v>#N/A</v>
      </c>
      <c r="M182" s="33" t="e">
        <f>VLOOKUP(A1,DIV_04Data!$A$1:$DZU$1000000,3091,FALSE)</f>
        <v>#N/A</v>
      </c>
      <c r="N182" s="34" t="e">
        <f>VLOOKUP(A1,DIV_04Data!$A$1:$DZU$1000000,3092,FALSE)</f>
        <v>#N/A</v>
      </c>
      <c r="O182" s="33" t="e">
        <f>VLOOKUP(A1,DIV_04Data!$A$1:$DZU$1000000,3093,FALSE)</f>
        <v>#N/A</v>
      </c>
      <c r="P182" s="46" t="e">
        <f>VLOOKUP(A1,DIV_04Data!$A$1:$DZU$1000000,3094,FALSE)</f>
        <v>#N/A</v>
      </c>
      <c r="Q182" s="33" t="e">
        <f>VLOOKUP(A1,DIV_04Data!$A$1:$DZU$1000000,3095,FALSE)</f>
        <v>#N/A</v>
      </c>
    </row>
    <row r="183" spans="1:17" x14ac:dyDescent="0.35">
      <c r="A183" s="22" t="e">
        <f>VLOOKUP(A1,DIV_04Data!$A$1:$DZU$1000000,3096,FALSE)</f>
        <v>#N/A</v>
      </c>
      <c r="B183" s="37" t="e">
        <f>VLOOKUP(A1,DIV_04Data!$A$1:$DZU$1000000,3097,FALSE)</f>
        <v>#N/A</v>
      </c>
      <c r="C183" s="38" t="e">
        <f>VLOOKUP(A1,DIV_04Data!$A$1:$DZU$1000000,3098,FALSE)</f>
        <v>#N/A</v>
      </c>
      <c r="D183" s="31" t="e">
        <f>VLOOKUP(A1,DIV_04Data!$A$1:$DZU$1000000,3099,FALSE)</f>
        <v>#N/A</v>
      </c>
      <c r="E183" s="32" t="e">
        <f>VLOOKUP(A1,DIV_04Data!$A$1:$DZU$1000000,3100,FALSE)</f>
        <v>#N/A</v>
      </c>
      <c r="F183" s="34" t="e">
        <f>VLOOKUP(A1,DIV_04Data!$A$1:$DZU$1000000,3101,FALSE)</f>
        <v>#N/A</v>
      </c>
      <c r="G183" s="33" t="e">
        <f>VLOOKUP(A1,DIV_04Data!$A$1:$DZU$1000000,3102,FALSE)</f>
        <v>#N/A</v>
      </c>
      <c r="H183" s="34" t="e">
        <f>VLOOKUP(A1,DIV_04Data!$A$1:$DZU$1000000,3103,FALSE)</f>
        <v>#N/A</v>
      </c>
      <c r="I183" s="33" t="e">
        <f>VLOOKUP(A1,DIV_04Data!$A$1:$DZU$1000000,3104,FALSE)</f>
        <v>#N/A</v>
      </c>
      <c r="J183" s="34" t="e">
        <f>VLOOKUP(A1,DIV_04Data!$A$1:$DZU$1000000,3105,FALSE)</f>
        <v>#N/A</v>
      </c>
      <c r="K183" s="34" t="e">
        <f>VLOOKUP(A1,DIV_04Data!$A$1:$DZU$1000000,3106,FALSE)</f>
        <v>#N/A</v>
      </c>
      <c r="L183" s="93" t="e">
        <f>VLOOKUP(A1,DIV_04Data!$A$1:$DZU$1000000,3107,FALSE)</f>
        <v>#N/A</v>
      </c>
      <c r="M183" s="33" t="e">
        <f>VLOOKUP(A1,DIV_04Data!$A$1:$DZU$1000000,3108,FALSE)</f>
        <v>#N/A</v>
      </c>
      <c r="N183" s="34" t="e">
        <f>VLOOKUP(A1,DIV_04Data!$A$1:$DZU$1000000,3109,FALSE)</f>
        <v>#N/A</v>
      </c>
      <c r="O183" s="33" t="e">
        <f>VLOOKUP(A1,DIV_04Data!$A$1:$DZU$1000000,3110,FALSE)</f>
        <v>#N/A</v>
      </c>
      <c r="P183" s="46" t="e">
        <f>VLOOKUP(A1,DIV_04Data!$A$1:$DZU$1000000,3111,FALSE)</f>
        <v>#N/A</v>
      </c>
      <c r="Q183" s="33" t="e">
        <f>VLOOKUP(A1,DIV_04Data!$A$1:$DZU$1000000,3112,FALSE)</f>
        <v>#N/A</v>
      </c>
    </row>
    <row r="184" spans="1:17" x14ac:dyDescent="0.35">
      <c r="A184" s="22" t="e">
        <f>VLOOKUP(A1,DIV_04Data!$A$1:$DZU$1000000,3113,FALSE)</f>
        <v>#N/A</v>
      </c>
      <c r="B184" s="37" t="e">
        <f>VLOOKUP(A1,DIV_04Data!$A$1:$DZU$1000000,3114,FALSE)</f>
        <v>#N/A</v>
      </c>
      <c r="C184" s="38" t="e">
        <f>VLOOKUP(A1,DIV_04Data!$A$1:$DZU$1000000,3115,FALSE)</f>
        <v>#N/A</v>
      </c>
      <c r="D184" s="31" t="e">
        <f>VLOOKUP(A1,DIV_04Data!$A$1:$DZU$1000000,3116,FALSE)</f>
        <v>#N/A</v>
      </c>
      <c r="E184" s="32" t="e">
        <f>VLOOKUP(A1,DIV_04Data!$A$1:$DZU$1000000,3117,FALSE)</f>
        <v>#N/A</v>
      </c>
      <c r="F184" s="34" t="e">
        <f>VLOOKUP(A1,DIV_04Data!$A$1:$DZU$1000000,3118,FALSE)</f>
        <v>#N/A</v>
      </c>
      <c r="G184" s="33" t="e">
        <f>VLOOKUP(A1,DIV_04Data!$A$1:$DZU$1000000,3119,FALSE)</f>
        <v>#N/A</v>
      </c>
      <c r="H184" s="34" t="e">
        <f>VLOOKUP(A1,DIV_04Data!$A$1:$DZU$1000000,3120,FALSE)</f>
        <v>#N/A</v>
      </c>
      <c r="I184" s="33" t="e">
        <f>VLOOKUP(A1,DIV_04Data!$A$1:$DZU$1000000,3121,FALSE)</f>
        <v>#N/A</v>
      </c>
      <c r="J184" s="34" t="e">
        <f>VLOOKUP(A1,DIV_04Data!$A$1:$DZU$1000000,3122,FALSE)</f>
        <v>#N/A</v>
      </c>
      <c r="K184" s="34" t="e">
        <f>VLOOKUP(A1,DIV_04Data!$A$1:$DZU$1000000,3123,FALSE)</f>
        <v>#N/A</v>
      </c>
      <c r="L184" s="93" t="e">
        <f>VLOOKUP(A1,DIV_04Data!$A$1:$DZU$1000000,3124,FALSE)</f>
        <v>#N/A</v>
      </c>
      <c r="M184" s="33" t="e">
        <f>VLOOKUP(A1,DIV_04Data!$A$1:$DZU$1000000,3125,FALSE)</f>
        <v>#N/A</v>
      </c>
      <c r="N184" s="34" t="e">
        <f>VLOOKUP(A1,DIV_04Data!$A$1:$DZU$1000000,3126,FALSE)</f>
        <v>#N/A</v>
      </c>
      <c r="O184" s="33" t="e">
        <f>VLOOKUP(A1,DIV_04Data!$A$1:$DZU$1000000,3127,FALSE)</f>
        <v>#N/A</v>
      </c>
      <c r="P184" s="46" t="e">
        <f>VLOOKUP(A1,DIV_04Data!$A$1:$DZU$1000000,3128,FALSE)</f>
        <v>#N/A</v>
      </c>
      <c r="Q184" s="33" t="e">
        <f>VLOOKUP(A1,DIV_04Data!$A$1:$DZU$1000000,3129,FALSE)</f>
        <v>#N/A</v>
      </c>
    </row>
    <row r="185" spans="1:17" x14ac:dyDescent="0.35">
      <c r="A185" s="22" t="e">
        <f>VLOOKUP(A1,DIV_04Data!$A$1:$DZU$1000000,3130,FALSE)</f>
        <v>#N/A</v>
      </c>
      <c r="B185" s="37" t="e">
        <f>VLOOKUP(A1,DIV_04Data!$A$1:$DZU$1000000,3131,FALSE)</f>
        <v>#N/A</v>
      </c>
      <c r="C185" s="38" t="e">
        <f>VLOOKUP(A1,DIV_04Data!$A$1:$DZU$1000000,3132,FALSE)</f>
        <v>#N/A</v>
      </c>
      <c r="D185" s="31" t="e">
        <f>VLOOKUP(A1,DIV_04Data!$A$1:$DZU$1000000,3133,FALSE)</f>
        <v>#N/A</v>
      </c>
      <c r="E185" s="32" t="e">
        <f>VLOOKUP(A1,DIV_04Data!$A$1:$DZU$1000000,3134,FALSE)</f>
        <v>#N/A</v>
      </c>
      <c r="F185" s="34" t="e">
        <f>VLOOKUP(A1,DIV_04Data!$A$1:$DZU$1000000,3135,FALSE)</f>
        <v>#N/A</v>
      </c>
      <c r="G185" s="33" t="e">
        <f>VLOOKUP(A1,DIV_04Data!$A$1:$DZU$1000000,3136,FALSE)</f>
        <v>#N/A</v>
      </c>
      <c r="H185" s="34" t="e">
        <f>VLOOKUP(A1,DIV_04Data!$A$1:$DZU$1000000,3137,FALSE)</f>
        <v>#N/A</v>
      </c>
      <c r="I185" s="33" t="e">
        <f>VLOOKUP(A1,DIV_04Data!$A$1:$DZU$1000000,3138,FALSE)</f>
        <v>#N/A</v>
      </c>
      <c r="J185" s="34" t="e">
        <f>VLOOKUP(A1,DIV_04Data!$A$1:$DZU$1000000,3139,FALSE)</f>
        <v>#N/A</v>
      </c>
      <c r="K185" s="34" t="e">
        <f>VLOOKUP(A1,DIV_04Data!$A$1:$DZU$1000000,3140,FALSE)</f>
        <v>#N/A</v>
      </c>
      <c r="L185" s="93" t="e">
        <f>VLOOKUP(A1,DIV_04Data!$A$1:$DZU$1000000,3141,FALSE)</f>
        <v>#N/A</v>
      </c>
      <c r="M185" s="33" t="e">
        <f>VLOOKUP(A1,DIV_04Data!$A$1:$DZU$1000000,3142,FALSE)</f>
        <v>#N/A</v>
      </c>
      <c r="N185" s="34" t="e">
        <f>VLOOKUP(A1,DIV_04Data!$A$1:$DZU$1000000,3143,FALSE)</f>
        <v>#N/A</v>
      </c>
      <c r="O185" s="33" t="e">
        <f>VLOOKUP(A1,DIV_04Data!$A$1:$DZU$1000000,3144,FALSE)</f>
        <v>#N/A</v>
      </c>
      <c r="P185" s="46" t="e">
        <f>VLOOKUP(A1,DIV_04Data!$A$1:$DZU$1000000,3145,FALSE)</f>
        <v>#N/A</v>
      </c>
      <c r="Q185" s="33" t="e">
        <f>VLOOKUP(A1,DIV_04Data!$A$1:$DZU$1000000,3146,FALSE)</f>
        <v>#N/A</v>
      </c>
    </row>
    <row r="186" spans="1:17" x14ac:dyDescent="0.35">
      <c r="A186" s="22" t="e">
        <f>VLOOKUP(A1,DIV_04Data!$A$1:$DZU$1000000,3147,FALSE)</f>
        <v>#N/A</v>
      </c>
      <c r="B186" s="37" t="e">
        <f>VLOOKUP(A1,DIV_04Data!$A$1:$DZU$1000000,3148,FALSE)</f>
        <v>#N/A</v>
      </c>
      <c r="C186" s="38" t="e">
        <f>VLOOKUP(A1,DIV_04Data!$A$1:$DZU$1000000,3149,FALSE)</f>
        <v>#N/A</v>
      </c>
      <c r="D186" s="31" t="e">
        <f>VLOOKUP(A1,DIV_04Data!$A$1:$DZU$1000000,3150,FALSE)</f>
        <v>#N/A</v>
      </c>
      <c r="E186" s="32" t="e">
        <f>VLOOKUP(A1,DIV_04Data!$A$1:$DZU$1000000,3151,FALSE)</f>
        <v>#N/A</v>
      </c>
      <c r="F186" s="34" t="e">
        <f>VLOOKUP(A1,DIV_04Data!$A$1:$DZU$1000000,3152,FALSE)</f>
        <v>#N/A</v>
      </c>
      <c r="G186" s="33" t="e">
        <f>VLOOKUP(A1,DIV_04Data!$A$1:$DZU$1000000,3153,FALSE)</f>
        <v>#N/A</v>
      </c>
      <c r="H186" s="34" t="e">
        <f>VLOOKUP(A1,DIV_04Data!$A$1:$DZU$1000000,3154,FALSE)</f>
        <v>#N/A</v>
      </c>
      <c r="I186" s="33" t="e">
        <f>VLOOKUP(A1,DIV_04Data!$A$1:$DZU$1000000,3155,FALSE)</f>
        <v>#N/A</v>
      </c>
      <c r="J186" s="34" t="e">
        <f>VLOOKUP(A1,DIV_04Data!$A$1:$DZU$1000000,3156,FALSE)</f>
        <v>#N/A</v>
      </c>
      <c r="K186" s="34" t="e">
        <f>VLOOKUP(A1,DIV_04Data!$A$1:$DZU$1000000,3157,FALSE)</f>
        <v>#N/A</v>
      </c>
      <c r="L186" s="93" t="e">
        <f>VLOOKUP(A1,DIV_04Data!$A$1:$DZU$1000000,3158,FALSE)</f>
        <v>#N/A</v>
      </c>
      <c r="M186" s="33" t="e">
        <f>VLOOKUP(A1,DIV_04Data!$A$1:$DZU$1000000,3159,FALSE)</f>
        <v>#N/A</v>
      </c>
      <c r="N186" s="34" t="e">
        <f>VLOOKUP(A1,DIV_04Data!$A$1:$DZU$1000000,3160,FALSE)</f>
        <v>#N/A</v>
      </c>
      <c r="O186" s="33" t="e">
        <f>VLOOKUP(A1,DIV_04Data!$A$1:$DZU$1000000,3161,FALSE)</f>
        <v>#N/A</v>
      </c>
      <c r="P186" s="46" t="e">
        <f>VLOOKUP(A1,DIV_04Data!$A$1:$DZU$1000000,3162,FALSE)</f>
        <v>#N/A</v>
      </c>
      <c r="Q186" s="33" t="e">
        <f>VLOOKUP(A1,DIV_04Data!$A$1:$DZU$1000000,3163,FALSE)</f>
        <v>#N/A</v>
      </c>
    </row>
    <row r="187" spans="1:17" x14ac:dyDescent="0.35">
      <c r="A187" s="22" t="e">
        <f>VLOOKUP(A1,DIV_04Data!$A$1:$DZU$1000000,3164,FALSE)</f>
        <v>#N/A</v>
      </c>
      <c r="B187" s="37" t="e">
        <f>VLOOKUP(A1,DIV_04Data!$A$1:$DZU$1000000,3165,FALSE)</f>
        <v>#N/A</v>
      </c>
      <c r="C187" s="38" t="e">
        <f>VLOOKUP(A1,DIV_04Data!$A$1:$DZU$1000000,3166,FALSE)</f>
        <v>#N/A</v>
      </c>
      <c r="D187" s="31" t="e">
        <f>VLOOKUP(A1,DIV_04Data!$A$1:$DZU$1000000,3167,FALSE)</f>
        <v>#N/A</v>
      </c>
      <c r="E187" s="32" t="e">
        <f>VLOOKUP(A1,DIV_04Data!$A$1:$DZU$1000000,3168,FALSE)</f>
        <v>#N/A</v>
      </c>
      <c r="F187" s="34" t="e">
        <f>VLOOKUP(A1,DIV_04Data!$A$1:$DZU$1000000,3169,FALSE)</f>
        <v>#N/A</v>
      </c>
      <c r="G187" s="33" t="e">
        <f>VLOOKUP(A1,DIV_04Data!$A$1:$DZU$1000000,3170,FALSE)</f>
        <v>#N/A</v>
      </c>
      <c r="H187" s="34" t="e">
        <f>VLOOKUP(A1,DIV_04Data!$A$1:$DZU$1000000,3171,FALSE)</f>
        <v>#N/A</v>
      </c>
      <c r="I187" s="33" t="e">
        <f>VLOOKUP(A1,DIV_04Data!$A$1:$DZU$1000000,3172,FALSE)</f>
        <v>#N/A</v>
      </c>
      <c r="J187" s="34" t="e">
        <f>VLOOKUP(A1,DIV_04Data!$A$1:$DZU$1000000,3173,FALSE)</f>
        <v>#N/A</v>
      </c>
      <c r="K187" s="34" t="e">
        <f>VLOOKUP(A1,DIV_04Data!$A$1:$DZU$1000000,3174,FALSE)</f>
        <v>#N/A</v>
      </c>
      <c r="L187" s="93" t="e">
        <f>VLOOKUP(A1,DIV_04Data!$A$1:$DZU$1000000,3175,FALSE)</f>
        <v>#N/A</v>
      </c>
      <c r="M187" s="33" t="e">
        <f>VLOOKUP(A1,DIV_04Data!$A$1:$DZU$1000000,3176,FALSE)</f>
        <v>#N/A</v>
      </c>
      <c r="N187" s="34" t="e">
        <f>VLOOKUP(A1,DIV_04Data!$A$1:$DZU$1000000,3177,FALSE)</f>
        <v>#N/A</v>
      </c>
      <c r="O187" s="33" t="e">
        <f>VLOOKUP(A1,DIV_04Data!$A$1:$DZU$1000000,3178,FALSE)</f>
        <v>#N/A</v>
      </c>
      <c r="P187" s="46" t="e">
        <f>VLOOKUP(A1,DIV_04Data!$A$1:$DZU$1000000,3179,FALSE)</f>
        <v>#N/A</v>
      </c>
      <c r="Q187" s="33" t="e">
        <f>VLOOKUP(A1,DIV_04Data!$A$1:$DZU$1000000,3180,FALSE)</f>
        <v>#N/A</v>
      </c>
    </row>
    <row r="188" spans="1:17" x14ac:dyDescent="0.35">
      <c r="A188" s="22" t="e">
        <f>VLOOKUP(A1,DIV_04Data!$A$1:$DZU$1000000,3181,FALSE)</f>
        <v>#N/A</v>
      </c>
      <c r="B188" s="37" t="e">
        <f>VLOOKUP(A1,DIV_04Data!$A$1:$DZU$1000000,3182,FALSE)</f>
        <v>#N/A</v>
      </c>
      <c r="C188" s="38" t="e">
        <f>VLOOKUP(A1,DIV_04Data!$A$1:$DZU$1000000,3183,FALSE)</f>
        <v>#N/A</v>
      </c>
      <c r="D188" s="31" t="e">
        <f>VLOOKUP(A1,DIV_04Data!$A$1:$DZU$1000000,3184,FALSE)</f>
        <v>#N/A</v>
      </c>
      <c r="E188" s="32" t="e">
        <f>VLOOKUP(A1,DIV_04Data!$A$1:$DZU$1000000,3185,FALSE)</f>
        <v>#N/A</v>
      </c>
      <c r="F188" s="34" t="e">
        <f>VLOOKUP(A1,DIV_04Data!$A$1:$DZU$1000000,3186,FALSE)</f>
        <v>#N/A</v>
      </c>
      <c r="G188" s="33" t="e">
        <f>VLOOKUP(A1,DIV_04Data!$A$1:$DZU$1000000,3187,FALSE)</f>
        <v>#N/A</v>
      </c>
      <c r="H188" s="34" t="e">
        <f>VLOOKUP(A1,DIV_04Data!$A$1:$DZU$1000000,3188,FALSE)</f>
        <v>#N/A</v>
      </c>
      <c r="I188" s="33" t="e">
        <f>VLOOKUP(A1,DIV_04Data!$A$1:$DZU$1000000,3189,FALSE)</f>
        <v>#N/A</v>
      </c>
      <c r="J188" s="34" t="e">
        <f>VLOOKUP(A1,DIV_04Data!$A$1:$DZU$1000000,3190,FALSE)</f>
        <v>#N/A</v>
      </c>
      <c r="K188" s="34" t="e">
        <f>VLOOKUP(A1,DIV_04Data!$A$1:$DZU$1000000,3191,FALSE)</f>
        <v>#N/A</v>
      </c>
      <c r="L188" s="93" t="e">
        <f>VLOOKUP(A1,DIV_04Data!$A$1:$DZU$1000000,3192,FALSE)</f>
        <v>#N/A</v>
      </c>
      <c r="M188" s="33" t="e">
        <f>VLOOKUP(A1,DIV_04Data!$A$1:$DZU$1000000,3193,FALSE)</f>
        <v>#N/A</v>
      </c>
      <c r="N188" s="34" t="e">
        <f>VLOOKUP(A1,DIV_04Data!$A$1:$DZU$1000000,3194,FALSE)</f>
        <v>#N/A</v>
      </c>
      <c r="O188" s="33" t="e">
        <f>VLOOKUP(A1,DIV_04Data!$A$1:$DZU$1000000,3195,FALSE)</f>
        <v>#N/A</v>
      </c>
      <c r="P188" s="46" t="e">
        <f>VLOOKUP(A1,DIV_04Data!$A$1:$DZU$1000000,3196,FALSE)</f>
        <v>#N/A</v>
      </c>
      <c r="Q188" s="33" t="e">
        <f>VLOOKUP(A1,DIV_04Data!$A$1:$DZU$1000000,3197,FALSE)</f>
        <v>#N/A</v>
      </c>
    </row>
    <row r="189" spans="1:17" x14ac:dyDescent="0.35">
      <c r="A189" s="22" t="e">
        <f>VLOOKUP(A1,DIV_04Data!$A$1:$DZU$1000000,3198,FALSE)</f>
        <v>#N/A</v>
      </c>
      <c r="B189" s="37" t="e">
        <f>VLOOKUP(A1,DIV_04Data!$A$1:$DZU$1000000,3199,FALSE)</f>
        <v>#N/A</v>
      </c>
      <c r="C189" s="38" t="e">
        <f>VLOOKUP(A1,DIV_04Data!$A$1:$DZU$1000000,3200,FALSE)</f>
        <v>#N/A</v>
      </c>
      <c r="D189" s="31" t="e">
        <f>VLOOKUP(A1,DIV_04Data!$A$1:$DZU$1000000,3201,FALSE)</f>
        <v>#N/A</v>
      </c>
      <c r="E189" s="32" t="e">
        <f>VLOOKUP(A1,DIV_04Data!$A$1:$DZU$1000000,3202,FALSE)</f>
        <v>#N/A</v>
      </c>
      <c r="F189" s="34" t="e">
        <f>VLOOKUP(A1,DIV_04Data!$A$1:$DZU$1000000,3203,FALSE)</f>
        <v>#N/A</v>
      </c>
      <c r="G189" s="33" t="e">
        <f>VLOOKUP(A1,DIV_04Data!$A$1:$DZU$1000000,3204,FALSE)</f>
        <v>#N/A</v>
      </c>
      <c r="H189" s="34" t="e">
        <f>VLOOKUP(A1,DIV_04Data!$A$1:$DZU$1000000,3205,FALSE)</f>
        <v>#N/A</v>
      </c>
      <c r="I189" s="33" t="e">
        <f>VLOOKUP(A1,DIV_04Data!$A$1:$DZU$1000000,3206,FALSE)</f>
        <v>#N/A</v>
      </c>
      <c r="J189" s="34" t="e">
        <f>VLOOKUP(A1,DIV_04Data!$A$1:$DZU$1000000,3207,FALSE)</f>
        <v>#N/A</v>
      </c>
      <c r="K189" s="34" t="e">
        <f>VLOOKUP(A1,DIV_04Data!$A$1:$DZU$1000000,3208,FALSE)</f>
        <v>#N/A</v>
      </c>
      <c r="L189" s="93" t="e">
        <f>VLOOKUP(A1,DIV_04Data!$A$1:$DZU$1000000,3209,FALSE)</f>
        <v>#N/A</v>
      </c>
      <c r="M189" s="33" t="e">
        <f>VLOOKUP(A1,DIV_04Data!$A$1:$DZU$1000000,3210,FALSE)</f>
        <v>#N/A</v>
      </c>
      <c r="N189" s="34" t="e">
        <f>VLOOKUP(A1,DIV_04Data!$A$1:$DZU$1000000,3211,FALSE)</f>
        <v>#N/A</v>
      </c>
      <c r="O189" s="33" t="e">
        <f>VLOOKUP(A1,DIV_04Data!$A$1:$DZU$1000000,3212,FALSE)</f>
        <v>#N/A</v>
      </c>
      <c r="P189" s="46" t="e">
        <f>VLOOKUP(A1,DIV_04Data!$A$1:$DZU$1000000,3213,FALSE)</f>
        <v>#N/A</v>
      </c>
      <c r="Q189" s="33" t="e">
        <f>VLOOKUP(A1,DIV_04Data!$A$1:$DZU$1000000,3214,FALSE)</f>
        <v>#N/A</v>
      </c>
    </row>
    <row r="190" spans="1:17" x14ac:dyDescent="0.35">
      <c r="A190" s="22" t="e">
        <f>VLOOKUP(A1,DIV_04Data!$A$1:$DZU$1000000,3215,FALSE)</f>
        <v>#N/A</v>
      </c>
      <c r="B190" s="37" t="e">
        <f>VLOOKUP(A1,DIV_04Data!$A$1:$DZU$1000000,3216,FALSE)</f>
        <v>#N/A</v>
      </c>
      <c r="C190" s="38" t="e">
        <f>VLOOKUP(A1,DIV_04Data!$A$1:$DZU$1000000,3217,FALSE)</f>
        <v>#N/A</v>
      </c>
      <c r="D190" s="31" t="e">
        <f>VLOOKUP(A1,DIV_04Data!$A$1:$DZU$1000000,3218,FALSE)</f>
        <v>#N/A</v>
      </c>
      <c r="E190" s="32" t="e">
        <f>VLOOKUP(A1,DIV_04Data!$A$1:$DZU$1000000,3219,FALSE)</f>
        <v>#N/A</v>
      </c>
      <c r="F190" s="34" t="e">
        <f>VLOOKUP(A1,DIV_04Data!$A$1:$DZU$1000000,3220,FALSE)</f>
        <v>#N/A</v>
      </c>
      <c r="G190" s="33" t="e">
        <f>VLOOKUP(A1,DIV_04Data!$A$1:$DZU$1000000,3221,FALSE)</f>
        <v>#N/A</v>
      </c>
      <c r="H190" s="34" t="e">
        <f>VLOOKUP(A1,DIV_04Data!$A$1:$DZU$1000000,3222,FALSE)</f>
        <v>#N/A</v>
      </c>
      <c r="I190" s="33" t="e">
        <f>VLOOKUP(A1,DIV_04Data!$A$1:$DZU$1000000,3223,FALSE)</f>
        <v>#N/A</v>
      </c>
      <c r="J190" s="34" t="e">
        <f>VLOOKUP(A1,DIV_04Data!$A$1:$DZU$1000000,3224,FALSE)</f>
        <v>#N/A</v>
      </c>
      <c r="K190" s="34" t="e">
        <f>VLOOKUP(A1,DIV_04Data!$A$1:$DZU$1000000,3225,FALSE)</f>
        <v>#N/A</v>
      </c>
      <c r="L190" s="93" t="e">
        <f>VLOOKUP(A1,DIV_04Data!$A$1:$DZU$1000000,3226,FALSE)</f>
        <v>#N/A</v>
      </c>
      <c r="M190" s="33" t="e">
        <f>VLOOKUP(A1,DIV_04Data!$A$1:$DZU$1000000,3227,FALSE)</f>
        <v>#N/A</v>
      </c>
      <c r="N190" s="34" t="e">
        <f>VLOOKUP(A1,DIV_04Data!$A$1:$DZU$1000000,3228,FALSE)</f>
        <v>#N/A</v>
      </c>
      <c r="O190" s="33" t="e">
        <f>VLOOKUP(A1,DIV_04Data!$A$1:$DZU$1000000,3229,FALSE)</f>
        <v>#N/A</v>
      </c>
      <c r="P190" s="46" t="e">
        <f>VLOOKUP(A1,DIV_04Data!$A$1:$DZU$1000000,3230,FALSE)</f>
        <v>#N/A</v>
      </c>
      <c r="Q190" s="33" t="e">
        <f>VLOOKUP(A1,DIV_04Data!$A$1:$DZU$1000000,3231,FALSE)</f>
        <v>#N/A</v>
      </c>
    </row>
    <row r="191" spans="1:17" x14ac:dyDescent="0.35">
      <c r="A191" s="22" t="e">
        <f>VLOOKUP(A1,DIV_04Data!$A$1:$DZU$1000000,3232,FALSE)</f>
        <v>#N/A</v>
      </c>
      <c r="B191" s="37" t="e">
        <f>VLOOKUP(A1,DIV_04Data!$A$1:$DZU$1000000,3233,FALSE)</f>
        <v>#N/A</v>
      </c>
      <c r="C191" s="43" t="e">
        <f>VLOOKUP(A1,DIV_04Data!$A$1:$DZU$1000000,3234,FALSE)</f>
        <v>#N/A</v>
      </c>
      <c r="D191" s="31" t="e">
        <f>VLOOKUP(A1,DIV_04Data!$A$1:$DZU$1000000,3235,FALSE)</f>
        <v>#N/A</v>
      </c>
      <c r="E191" s="32" t="e">
        <f>VLOOKUP(A1,DIV_04Data!$A$1:$DZU$1000000,3236,FALSE)</f>
        <v>#N/A</v>
      </c>
      <c r="F191" s="44" t="e">
        <f>VLOOKUP(A1,DIV_04Data!$A$1:$DZU$1000000,3237,FALSE)</f>
        <v>#N/A</v>
      </c>
      <c r="G191" s="45" t="e">
        <f>VLOOKUP(A1,DIV_04Data!$A$1:$DZU$1000000,3238,FALSE)</f>
        <v>#N/A</v>
      </c>
      <c r="H191" s="44" t="e">
        <f>VLOOKUP(A1,DIV_04Data!$A$1:$DZU$1000000,3239,FALSE)</f>
        <v>#N/A</v>
      </c>
      <c r="I191" s="45" t="e">
        <f>VLOOKUP(A1,DIV_04Data!$A$1:$DZU$1000000,3240,FALSE)</f>
        <v>#N/A</v>
      </c>
      <c r="J191" s="34" t="e">
        <f>VLOOKUP(A1,DIV_04Data!$A$1:$DZU$1000000,3241,FALSE)</f>
        <v>#N/A</v>
      </c>
      <c r="K191" s="43" t="e">
        <f>VLOOKUP(A1,DIV_04Data!$A$1:$DZU$1000000,3242,FALSE)</f>
        <v>#N/A</v>
      </c>
      <c r="L191" s="44" t="e">
        <f>VLOOKUP(A1,DIV_04Data!$A$1:$DZU$1000000,3243,FALSE)</f>
        <v>#N/A</v>
      </c>
      <c r="M191" s="45" t="e">
        <f>VLOOKUP(A1,DIV_04Data!$A$1:$DZU$1000000,3244,FALSE)</f>
        <v>#N/A</v>
      </c>
      <c r="N191" s="44" t="e">
        <f>VLOOKUP(A1,DIV_04Data!$A$1:$DZU$1000000,3245,FALSE)</f>
        <v>#N/A</v>
      </c>
      <c r="O191" s="45" t="e">
        <f>VLOOKUP(A1,DIV_04Data!$A$1:$DZU$1000000,3246,FALSE)</f>
        <v>#N/A</v>
      </c>
      <c r="P191" s="46" t="e">
        <f>VLOOKUP(A1,DIV_04Data!$A$1:$DZU$1000000,3247,FALSE)</f>
        <v>#N/A</v>
      </c>
      <c r="Q191" s="45" t="e">
        <f>VLOOKUP(A1,DIV_04Data!$A$1:$DZU$1000000,3248,FALSE)</f>
        <v>#N/A</v>
      </c>
    </row>
    <row r="192" spans="1:17" x14ac:dyDescent="0.35">
      <c r="A192" s="22" t="e">
        <f>VLOOKUP(A1,DIV_04Data!$A$1:$DZU$1000000,3249,FALSE)</f>
        <v>#N/A</v>
      </c>
      <c r="B192" s="37" t="e">
        <f>VLOOKUP(A1,DIV_04Data!$A$1:$DZU$1000000,3250,FALSE)</f>
        <v>#N/A</v>
      </c>
      <c r="C192" s="38" t="e">
        <f>VLOOKUP(A1,DIV_04Data!$A$1:$DZU$1000000,3251,FALSE)</f>
        <v>#N/A</v>
      </c>
      <c r="D192" s="31" t="e">
        <f>VLOOKUP(A1,DIV_04Data!$A$1:$DZU$1000000,3252,FALSE)</f>
        <v>#N/A</v>
      </c>
      <c r="E192" s="32" t="e">
        <f>VLOOKUP(A1,DIV_04Data!$A$1:$DZU$1000000,3253,FALSE)</f>
        <v>#N/A</v>
      </c>
      <c r="F192" s="34" t="e">
        <f>VLOOKUP(A1,DIV_04Data!$A$1:$DZU$1000000,3254,FALSE)</f>
        <v>#N/A</v>
      </c>
      <c r="G192" s="33" t="e">
        <f>VLOOKUP(A1,DIV_04Data!$A$1:$DZU$1000000,3255,FALSE)</f>
        <v>#N/A</v>
      </c>
      <c r="H192" s="34" t="e">
        <f>VLOOKUP(A1,DIV_04Data!$A$1:$DZU$1000000,3256,FALSE)</f>
        <v>#N/A</v>
      </c>
      <c r="I192" s="33" t="e">
        <f>VLOOKUP(A1,DIV_04Data!$A$1:$DZU$1000000,3257,FALSE)</f>
        <v>#N/A</v>
      </c>
      <c r="J192" s="34" t="e">
        <f>VLOOKUP(A1,DIV_04Data!$A$1:$DZU$1000000,3258,FALSE)</f>
        <v>#N/A</v>
      </c>
      <c r="K192" s="34" t="e">
        <f>VLOOKUP(A1,DIV_04Data!$A$1:$DZU$1000000,3259,FALSE)</f>
        <v>#N/A</v>
      </c>
      <c r="L192" s="34" t="e">
        <f>VLOOKUP(A1,DIV_04Data!$A$1:$DZU$1000000,3260,FALSE)</f>
        <v>#N/A</v>
      </c>
      <c r="M192" s="33" t="e">
        <f>VLOOKUP(A1,DIV_04Data!$A$1:$DZU$1000000,3261,FALSE)</f>
        <v>#N/A</v>
      </c>
      <c r="N192" s="34" t="e">
        <f>VLOOKUP(A1,DIV_04Data!$A$1:$DZU$1000000,3262,FALSE)</f>
        <v>#N/A</v>
      </c>
      <c r="O192" s="33" t="e">
        <f>VLOOKUP(A1,DIV_04Data!$A$1:$DZU$1000000,3263,FALSE)</f>
        <v>#N/A</v>
      </c>
      <c r="P192" s="46" t="e">
        <f>VLOOKUP(A1,DIV_04Data!$A$1:$DZU$1000000,3264,FALSE)</f>
        <v>#N/A</v>
      </c>
      <c r="Q192" s="33" t="e">
        <f>VLOOKUP(A1,DIV_04Data!$A$1:$DZU$1000000,3265,FALSE)</f>
        <v>#N/A</v>
      </c>
    </row>
    <row r="193" spans="1:17" x14ac:dyDescent="0.35">
      <c r="A193" s="22" t="e">
        <f>VLOOKUP(A1,DIV_04Data!$A$1:$DZU$1000000,3266,FALSE)</f>
        <v>#N/A</v>
      </c>
      <c r="B193" s="37" t="e">
        <f>VLOOKUP(A1,DIV_04Data!$A$1:$DZU$1000000,3267,FALSE)</f>
        <v>#N/A</v>
      </c>
      <c r="C193" s="30" t="e">
        <f>VLOOKUP(A1,DIV_04Data!$A$1:$DZU$1000000,3268,FALSE)</f>
        <v>#N/A</v>
      </c>
      <c r="D193" s="31" t="e">
        <f>VLOOKUP(A1,DIV_04Data!$A$1:$DZU$1000000,3269,FALSE)</f>
        <v>#N/A</v>
      </c>
      <c r="E193" s="32" t="e">
        <f>VLOOKUP(A1,DIV_04Data!$A$1:$DZU$1000000,3270,FALSE)</f>
        <v>#N/A</v>
      </c>
      <c r="F193" s="34" t="e">
        <f>VLOOKUP(A1,DIV_04Data!$A$1:$DZU$1000000,3271,FALSE)</f>
        <v>#N/A</v>
      </c>
      <c r="G193" s="33" t="e">
        <f>VLOOKUP(A1,DIV_04Data!$A$1:$DZU$1000000,3272,FALSE)</f>
        <v>#N/A</v>
      </c>
      <c r="H193" s="34" t="e">
        <f>VLOOKUP(A1,DIV_04Data!$A$1:$DZU$1000000,3273,FALSE)</f>
        <v>#N/A</v>
      </c>
      <c r="I193" s="33" t="e">
        <f>VLOOKUP(A1,DIV_04Data!$A$1:$DZU$1000000,3274,FALSE)</f>
        <v>#N/A</v>
      </c>
      <c r="J193" s="34" t="e">
        <f>VLOOKUP(A1,DIV_04Data!$A$1:$DZU$1000000,3275,FALSE)</f>
        <v>#N/A</v>
      </c>
      <c r="K193" s="34" t="e">
        <f>VLOOKUP(A1,DIV_04Data!$A$1:$DZU$1000000,3276,FALSE)</f>
        <v>#N/A</v>
      </c>
      <c r="L193" s="34" t="e">
        <f>VLOOKUP(A1,DIV_04Data!$A$1:$DZU$1000000,3277,FALSE)</f>
        <v>#N/A</v>
      </c>
      <c r="M193" s="33" t="e">
        <f>VLOOKUP(A1,DIV_04Data!$A$1:$DZU$1000000,3278,FALSE)</f>
        <v>#N/A</v>
      </c>
      <c r="N193" s="34" t="e">
        <f>VLOOKUP(A1,DIV_04Data!$A$1:$DZU$1000000,3279,FALSE)</f>
        <v>#N/A</v>
      </c>
      <c r="O193" s="33" t="e">
        <f>VLOOKUP(A1,DIV_04Data!$A$1:$DZU$1000000,3280,FALSE)</f>
        <v>#N/A</v>
      </c>
      <c r="P193" s="46" t="e">
        <f>VLOOKUP(A1,DIV_04Data!$A$1:$DZU$1000000,3281,FALSE)</f>
        <v>#N/A</v>
      </c>
      <c r="Q193" s="33" t="e">
        <f>VLOOKUP(A1,DIV_04Data!$A$1:$DZU$1000000,3282,FALSE)</f>
        <v>#N/A</v>
      </c>
    </row>
    <row r="194" spans="1:17" x14ac:dyDescent="0.35">
      <c r="A194" s="22" t="e">
        <f>VLOOKUP(A1,DIV_04Data!$A$1:$DZU$1000000,3283,FALSE)</f>
        <v>#N/A</v>
      </c>
      <c r="B194" s="37" t="e">
        <f>VLOOKUP(A1,DIV_04Data!$A$1:$DZU$1000000,3284,FALSE)</f>
        <v>#N/A</v>
      </c>
      <c r="C194" s="38" t="e">
        <f>VLOOKUP(A1,DIV_04Data!$A$1:$DZU$1000000,3285,FALSE)</f>
        <v>#N/A</v>
      </c>
      <c r="D194" s="31" t="e">
        <f>VLOOKUP(A1,DIV_04Data!$A$1:$DZU$1000000,3286,FALSE)</f>
        <v>#N/A</v>
      </c>
      <c r="E194" s="32" t="e">
        <f>VLOOKUP(A1,DIV_04Data!$A$1:$DZU$1000000,3287,FALSE)</f>
        <v>#N/A</v>
      </c>
      <c r="F194" s="34" t="e">
        <f>VLOOKUP(A1,DIV_04Data!$A$1:$DZU$1000000,3288,FALSE)</f>
        <v>#N/A</v>
      </c>
      <c r="G194" s="33" t="e">
        <f>VLOOKUP(A1,DIV_04Data!$A$1:$DZU$1000000,3289,FALSE)</f>
        <v>#N/A</v>
      </c>
      <c r="H194" s="34" t="e">
        <f>VLOOKUP(A1,DIV_04Data!$A$1:$DZU$1000000,3290,FALSE)</f>
        <v>#N/A</v>
      </c>
      <c r="I194" s="33" t="e">
        <f>VLOOKUP(A1,DIV_04Data!$A$1:$DZU$1000000,3291,FALSE)</f>
        <v>#N/A</v>
      </c>
      <c r="J194" s="34" t="e">
        <f>VLOOKUP(A1,DIV_04Data!$A$1:$DZU$1000000,3292,FALSE)</f>
        <v>#N/A</v>
      </c>
      <c r="K194" s="34" t="e">
        <f>VLOOKUP(A1,DIV_04Data!$A$1:$DZU$1000000,3293,FALSE)</f>
        <v>#N/A</v>
      </c>
      <c r="L194" s="93" t="e">
        <f>VLOOKUP(A1,DIV_04Data!$A$1:$DZU$1000000,3294,FALSE)</f>
        <v>#N/A</v>
      </c>
      <c r="M194" s="33" t="e">
        <f>VLOOKUP(A1,DIV_04Data!$A$1:$DZU$1000000,3295,FALSE)</f>
        <v>#N/A</v>
      </c>
      <c r="N194" s="34" t="e">
        <f>VLOOKUP(A1,DIV_04Data!$A$1:$DZU$1000000,3296,FALSE)</f>
        <v>#N/A</v>
      </c>
      <c r="O194" s="33" t="e">
        <f>VLOOKUP(A1,DIV_04Data!$A$1:$DZU$1000000,3297,FALSE)</f>
        <v>#N/A</v>
      </c>
      <c r="P194" s="46" t="e">
        <f>VLOOKUP(A1,DIV_04Data!$A$1:$DZU$1000000,3298,FALSE)</f>
        <v>#N/A</v>
      </c>
      <c r="Q194" s="33" t="e">
        <f>VLOOKUP(A1,DIV_04Data!$A$1:$DZU$1000000,3299,FALSE)</f>
        <v>#N/A</v>
      </c>
    </row>
    <row r="195" spans="1:17" x14ac:dyDescent="0.35">
      <c r="A195" s="22" t="e">
        <f>VLOOKUP(A1,DIV_04Data!$A$1:$DZU$1000000,3300,FALSE)</f>
        <v>#N/A</v>
      </c>
      <c r="B195" s="37" t="e">
        <f>VLOOKUP(A1,DIV_04Data!$A$1:$DZU$1000000,3301,FALSE)</f>
        <v>#N/A</v>
      </c>
      <c r="C195" s="38" t="e">
        <f>VLOOKUP(A1,DIV_04Data!$A$1:$DZU$1000000,3302,FALSE)</f>
        <v>#N/A</v>
      </c>
      <c r="D195" s="31" t="e">
        <f>VLOOKUP(A1,DIV_04Data!$A$1:$DZU$1000000,3303,FALSE)</f>
        <v>#N/A</v>
      </c>
      <c r="E195" s="32" t="e">
        <f>VLOOKUP(A1,DIV_04Data!$A$1:$DZU$1000000,3304,FALSE)</f>
        <v>#N/A</v>
      </c>
      <c r="F195" s="34" t="e">
        <f>VLOOKUP(A1,DIV_04Data!$A$1:$DZU$1000000,3305,FALSE)</f>
        <v>#N/A</v>
      </c>
      <c r="G195" s="33" t="e">
        <f>VLOOKUP(A1,DIV_04Data!$A$1:$DZU$1000000,3306,FALSE)</f>
        <v>#N/A</v>
      </c>
      <c r="H195" s="34" t="e">
        <f>VLOOKUP(A1,DIV_04Data!$A$1:$DZU$1000000,3307,FALSE)</f>
        <v>#N/A</v>
      </c>
      <c r="I195" s="33" t="e">
        <f>VLOOKUP(A1,DIV_04Data!$A$1:$DZU$1000000,3308,FALSE)</f>
        <v>#N/A</v>
      </c>
      <c r="J195" s="34" t="e">
        <f>VLOOKUP(A1,DIV_04Data!$A$1:$DZU$1000000,3309,FALSE)</f>
        <v>#N/A</v>
      </c>
      <c r="K195" s="34" t="e">
        <f>VLOOKUP(A1,DIV_04Data!$A$1:$DZU$1000000,3310,FALSE)</f>
        <v>#N/A</v>
      </c>
      <c r="L195" s="93" t="e">
        <f>VLOOKUP(A1,DIV_04Data!$A$1:$DZU$1000000,3311,FALSE)</f>
        <v>#N/A</v>
      </c>
      <c r="M195" s="33" t="e">
        <f>VLOOKUP(A1,DIV_04Data!$A$1:$DZU$1000000,3312,FALSE)</f>
        <v>#N/A</v>
      </c>
      <c r="N195" s="34" t="e">
        <f>VLOOKUP(A1,DIV_04Data!$A$1:$DZU$1000000,3313,FALSE)</f>
        <v>#N/A</v>
      </c>
      <c r="O195" s="33" t="e">
        <f>VLOOKUP(A1,DIV_04Data!$A$1:$DZU$1000000,3314,FALSE)</f>
        <v>#N/A</v>
      </c>
      <c r="P195" s="46" t="e">
        <f>VLOOKUP(A1,DIV_04Data!$A$1:$DZU$1000000,3315,FALSE)</f>
        <v>#N/A</v>
      </c>
      <c r="Q195" s="33" t="e">
        <f>VLOOKUP(A1,DIV_04Data!$A$1:$DZU$1000000,3316,FALSE)</f>
        <v>#N/A</v>
      </c>
    </row>
    <row r="196" spans="1:17" x14ac:dyDescent="0.35">
      <c r="A196" s="22" t="e">
        <f>VLOOKUP(A1,DIV_04Data!$A$1:$DZU$1000000,3317,FALSE)</f>
        <v>#N/A</v>
      </c>
      <c r="B196" s="37" t="e">
        <f>VLOOKUP(A1,DIV_04Data!$A$1:$DZU$1000000,3318,FALSE)</f>
        <v>#N/A</v>
      </c>
      <c r="C196" s="38" t="e">
        <f>VLOOKUP(A1,DIV_04Data!$A$1:$DZU$1000000,3319,FALSE)</f>
        <v>#N/A</v>
      </c>
      <c r="D196" s="31" t="e">
        <f>VLOOKUP(A1,DIV_04Data!$A$1:$DZU$1000000,3320,FALSE)</f>
        <v>#N/A</v>
      </c>
      <c r="E196" s="32" t="e">
        <f>VLOOKUP(A1,DIV_04Data!$A$1:$DZU$1000000,3321,FALSE)</f>
        <v>#N/A</v>
      </c>
      <c r="F196" s="34" t="e">
        <f>VLOOKUP(A1,DIV_04Data!$A$1:$DZU$1000000,3322,FALSE)</f>
        <v>#N/A</v>
      </c>
      <c r="G196" s="33" t="e">
        <f>VLOOKUP(A1,DIV_04Data!$A$1:$DZU$1000000,3323,FALSE)</f>
        <v>#N/A</v>
      </c>
      <c r="H196" s="34" t="e">
        <f>VLOOKUP(A1,DIV_04Data!$A$1:$DZU$1000000,3324,FALSE)</f>
        <v>#N/A</v>
      </c>
      <c r="I196" s="33" t="e">
        <f>VLOOKUP(A1,DIV_04Data!$A$1:$DZU$1000000,3325,FALSE)</f>
        <v>#N/A</v>
      </c>
      <c r="J196" s="34" t="e">
        <f>VLOOKUP(A1,DIV_04Data!$A$1:$DZU$1000000,3326,FALSE)</f>
        <v>#N/A</v>
      </c>
      <c r="K196" s="34" t="e">
        <f>VLOOKUP(A1,DIV_04Data!$A$1:$DZU$1000000,3327,FALSE)</f>
        <v>#N/A</v>
      </c>
      <c r="L196" s="93" t="e">
        <f>VLOOKUP(A1,DIV_04Data!$A$1:$DZU$1000000,3328,FALSE)</f>
        <v>#N/A</v>
      </c>
      <c r="M196" s="33" t="e">
        <f>VLOOKUP(A1,DIV_04Data!$A$1:$DZU$1000000,3329,FALSE)</f>
        <v>#N/A</v>
      </c>
      <c r="N196" s="34" t="e">
        <f>VLOOKUP(A1,DIV_04Data!$A$1:$DZU$1000000,3330,FALSE)</f>
        <v>#N/A</v>
      </c>
      <c r="O196" s="33" t="e">
        <f>VLOOKUP(A1,DIV_04Data!$A$1:$DZU$1000000,3331,FALSE)</f>
        <v>#N/A</v>
      </c>
      <c r="P196" s="46" t="e">
        <f>VLOOKUP(A1,DIV_04Data!$A$1:$DZU$1000000,3332,FALSE)</f>
        <v>#N/A</v>
      </c>
      <c r="Q196" s="33" t="e">
        <f>VLOOKUP(A1,DIV_04Data!$A$1:$DZU$1000000,3333,FALSE)</f>
        <v>#N/A</v>
      </c>
    </row>
    <row r="197" spans="1:17" x14ac:dyDescent="0.35">
      <c r="A197" s="22" t="e">
        <f>VLOOKUP(A1,DIV_04Data!$A$1:$DZU$1000000,3334,FALSE)</f>
        <v>#N/A</v>
      </c>
      <c r="B197" s="37" t="e">
        <f>VLOOKUP(A1,DIV_04Data!$A$1:$DZU$1000000,3335,FALSE)</f>
        <v>#N/A</v>
      </c>
      <c r="C197" s="43" t="e">
        <f>VLOOKUP(A1,DIV_04Data!$A$1:$DZU$1000000,3336,FALSE)</f>
        <v>#N/A</v>
      </c>
      <c r="D197" s="31" t="e">
        <f>VLOOKUP(A1,DIV_04Data!$A$1:$DZU$1000000,3337,FALSE)</f>
        <v>#N/A</v>
      </c>
      <c r="E197" s="32" t="e">
        <f>VLOOKUP(A1,DIV_04Data!$A$1:$DZU$1000000,3338,FALSE)</f>
        <v>#N/A</v>
      </c>
      <c r="F197" s="44" t="e">
        <f>VLOOKUP(A1,DIV_04Data!$A$1:$DZU$1000000,3339,FALSE)</f>
        <v>#N/A</v>
      </c>
      <c r="G197" s="45" t="e">
        <f>VLOOKUP(A1,DIV_04Data!$A$1:$DZU$1000000,3340,FALSE)</f>
        <v>#N/A</v>
      </c>
      <c r="H197" s="44" t="e">
        <f>VLOOKUP(A1,DIV_04Data!$A$1:$DZU$1000000,3341,FALSE)</f>
        <v>#N/A</v>
      </c>
      <c r="I197" s="45" t="e">
        <f>VLOOKUP(A1,DIV_04Data!$A$1:$DZU$1000000,3342,FALSE)</f>
        <v>#N/A</v>
      </c>
      <c r="J197" s="34" t="e">
        <f>VLOOKUP(A1,DIV_04Data!$A$1:$DZU$1000000,3343,FALSE)</f>
        <v>#N/A</v>
      </c>
      <c r="K197" s="43" t="e">
        <f>VLOOKUP(A1,DIV_04Data!$A$1:$DZU$1000000,3344,FALSE)</f>
        <v>#N/A</v>
      </c>
      <c r="L197" s="44" t="e">
        <f>VLOOKUP(A1,DIV_04Data!$A$1:$DZU$1000000,3345,FALSE)</f>
        <v>#N/A</v>
      </c>
      <c r="M197" s="45" t="e">
        <f>VLOOKUP(A1,DIV_04Data!$A$1:$DZU$1000000,3346,FALSE)</f>
        <v>#N/A</v>
      </c>
      <c r="N197" s="44" t="e">
        <f>VLOOKUP(A1,DIV_04Data!$A$1:$DZU$1000000,3347,FALSE)</f>
        <v>#N/A</v>
      </c>
      <c r="O197" s="45" t="e">
        <f>VLOOKUP(A1,DIV_04Data!$A$1:$DZU$1000000,3348,FALSE)</f>
        <v>#N/A</v>
      </c>
      <c r="P197" s="36" t="e">
        <f>VLOOKUP(A1,DIV_04Data!$A$1:$DZU$1000000,3349,FALSE)</f>
        <v>#N/A</v>
      </c>
      <c r="Q197" s="45" t="e">
        <f>VLOOKUP(A1,DIV_04Data!$A$1:$DZU$1000000,3350,FALSE)</f>
        <v>#N/A</v>
      </c>
    </row>
    <row r="198" spans="1:17" x14ac:dyDescent="0.35">
      <c r="A198" s="22" t="e">
        <f>VLOOKUP(A1,DIV_04Data!$A$1:$DZU$1000000,3351,FALSE)</f>
        <v>#N/A</v>
      </c>
      <c r="B198" s="37" t="e">
        <f>VLOOKUP(A1,DIV_04Data!$A$1:$DZU$1000000,3352,FALSE)</f>
        <v>#N/A</v>
      </c>
      <c r="C198" s="38" t="e">
        <f>VLOOKUP(A1,DIV_04Data!$A$1:$DZU$1000000,3353,FALSE)</f>
        <v>#N/A</v>
      </c>
      <c r="D198" s="31" t="e">
        <f>VLOOKUP(A1,DIV_04Data!$A$1:$DZU$1000000,3354,FALSE)</f>
        <v>#N/A</v>
      </c>
      <c r="E198" s="32" t="e">
        <f>VLOOKUP(A1,DIV_04Data!$A$1:$DZU$1000000,3355,FALSE)</f>
        <v>#N/A</v>
      </c>
      <c r="F198" s="34" t="e">
        <f>VLOOKUP(A1,DIV_04Data!$A$1:$DZU$1000000,3356,FALSE)</f>
        <v>#N/A</v>
      </c>
      <c r="G198" s="33" t="e">
        <f>VLOOKUP(A1,DIV_04Data!$A$1:$DZU$1000000,3357,FALSE)</f>
        <v>#N/A</v>
      </c>
      <c r="H198" s="34" t="e">
        <f>VLOOKUP(A1,DIV_04Data!$A$1:$DZU$1000000,3358,FALSE)</f>
        <v>#N/A</v>
      </c>
      <c r="I198" s="33" t="e">
        <f>VLOOKUP(A1,DIV_04Data!$A$1:$DZU$1000000,3359,FALSE)</f>
        <v>#N/A</v>
      </c>
      <c r="J198" s="34" t="e">
        <f>VLOOKUP(A1,DIV_04Data!$A$1:$DZU$1000000,3360,FALSE)</f>
        <v>#N/A</v>
      </c>
      <c r="K198" s="34" t="e">
        <f>VLOOKUP(A1,DIV_04Data!$A$1:$DZU$1000000,3361,FALSE)</f>
        <v>#N/A</v>
      </c>
      <c r="L198" s="34" t="e">
        <f>VLOOKUP(A1,DIV_04Data!$A$1:$DZU$1000000,3362,FALSE)</f>
        <v>#N/A</v>
      </c>
      <c r="M198" s="33" t="e">
        <f>VLOOKUP(A1,DIV_04Data!$A$1:$DZU$1000000,3363,FALSE)</f>
        <v>#N/A</v>
      </c>
      <c r="N198" s="34" t="e">
        <f>VLOOKUP(A1,DIV_04Data!$A$1:$DZU$1000000,3364,FALSE)</f>
        <v>#N/A</v>
      </c>
      <c r="O198" s="35" t="e">
        <f>VLOOKUP(A1,DIV_04Data!$A$1:$DZU$1000000,3365,FALSE)</f>
        <v>#N/A</v>
      </c>
      <c r="P198" s="36" t="e">
        <f>VLOOKUP(A1,DIV_04Data!$A$1:$DZU$1000000,3366,FALSE)</f>
        <v>#N/A</v>
      </c>
      <c r="Q198" s="35" t="e">
        <f>VLOOKUP(A1,DIV_04Data!$A$1:$DZU$1000000,3367,FALSE)</f>
        <v>#N/A</v>
      </c>
    </row>
    <row r="199" spans="1:17" x14ac:dyDescent="0.35">
      <c r="A199" s="62" t="e">
        <f>VLOOKUP(A1,DIV_04Data!$A$1:$DZU$1000000,3368,FALSE)</f>
        <v>#N/A</v>
      </c>
      <c r="B199" s="63" t="e">
        <f>VLOOKUP(A1,DIV_04Data!$A$1:$DZU$1000000,3369,FALSE)</f>
        <v>#N/A</v>
      </c>
      <c r="C199" s="64" t="e">
        <f>VLOOKUP(A1,DIV_04Data!$A$1:$DZU$1000000,3370,FALSE)</f>
        <v>#N/A</v>
      </c>
      <c r="D199" s="65" t="e">
        <f>VLOOKUP(A1,DIV_04Data!$A$1:$DZU$1000000,3371,FALSE)</f>
        <v>#N/A</v>
      </c>
      <c r="E199" s="66" t="e">
        <f>VLOOKUP(A1,DIV_04Data!$A$1:$DZU$1000000,3372,FALSE)</f>
        <v>#N/A</v>
      </c>
      <c r="F199" s="67" t="e">
        <f>VLOOKUP(A1,DIV_04Data!$A$1:$DZU$1000000,3373,FALSE)</f>
        <v>#N/A</v>
      </c>
      <c r="G199" s="68" t="e">
        <f>VLOOKUP(A1,DIV_04Data!$A$1:$DZU$1000000,3374,FALSE)</f>
        <v>#N/A</v>
      </c>
      <c r="H199" s="67" t="e">
        <f>VLOOKUP(A1,DIV_04Data!$A$1:$DZU$1000000,3375,FALSE)</f>
        <v>#N/A</v>
      </c>
      <c r="I199" s="68" t="e">
        <f>VLOOKUP(A1,DIV_04Data!$A$1:$DZU$1000000,3376,FALSE)</f>
        <v>#N/A</v>
      </c>
      <c r="J199" s="67" t="e">
        <f>VLOOKUP(A1,DIV_04Data!$A$1:$DZU$1000000,3377,FALSE)</f>
        <v>#N/A</v>
      </c>
      <c r="K199" s="69" t="e">
        <f>VLOOKUP(A1,DIV_04Data!$A$1:$DZU$1000000,3378,FALSE)</f>
        <v>#N/A</v>
      </c>
      <c r="L199" s="67" t="e">
        <f>VLOOKUP(A1,DIV_04Data!$A$1:$DZU$1000000,3379,FALSE)</f>
        <v>#N/A</v>
      </c>
      <c r="M199" s="68" t="e">
        <f>VLOOKUP(A1,DIV_04Data!$A$1:$DZU$1000000,3380,FALSE)</f>
        <v>#N/A</v>
      </c>
      <c r="N199" s="67" t="e">
        <f>VLOOKUP(A1,DIV_04Data!$A$1:$DZU$1000000,3381,FALSE)</f>
        <v>#N/A</v>
      </c>
      <c r="O199" s="68" t="e">
        <f>VLOOKUP(A1,DIV_04Data!$A$1:$DZU$1000000,3382,FALSE)</f>
        <v>#N/A</v>
      </c>
      <c r="P199" s="70" t="e">
        <f>VLOOKUP(A1,DIV_04Data!$A$1:$DZU$1000000,3383,FALSE)</f>
        <v>#N/A</v>
      </c>
      <c r="Q199" s="68" t="e">
        <f>VLOOKUP(A1,DIV_04Data!$A$1:$DZU$1000000,3384,FALSE)</f>
        <v>#N/A</v>
      </c>
    </row>
    <row r="200" spans="1:17" x14ac:dyDescent="0.35">
      <c r="A200" s="1" t="e">
        <f>VLOOKUP(A1,DIV_04Data!$A$1:$DZU$1000000,3385,FALSE)</f>
        <v>#N/A</v>
      </c>
      <c r="B200" s="1" t="e">
        <f>VLOOKUP(A1,DIV_04Data!$A$1:$DZU$1000000,3386,FALSE)</f>
        <v>#N/A</v>
      </c>
      <c r="C200" s="1" t="e">
        <f>VLOOKUP(A1,DIV_04Data!$A$1:$DZU$1000000,3387,FALSE)</f>
        <v>#N/A</v>
      </c>
      <c r="D200" s="1" t="e">
        <f>VLOOKUP(A1,DIV_04Data!$A$1:$DZU$1000000,3388,FALSE)</f>
        <v>#N/A</v>
      </c>
      <c r="E200" s="1" t="e">
        <f>VLOOKUP(A1,DIV_04Data!$A$1:$DZU$1000000,3389,FALSE)</f>
        <v>#N/A</v>
      </c>
      <c r="F200" s="1" t="e">
        <f>VLOOKUP(A1,DIV_04Data!$A$1:$DZU$1000000,3390,FALSE)</f>
        <v>#N/A</v>
      </c>
      <c r="G200" s="1" t="e">
        <f>VLOOKUP(A1,DIV_04Data!$A$1:$DZU$1000000,3391,FALSE)</f>
        <v>#N/A</v>
      </c>
      <c r="H200" s="1" t="e">
        <f>VLOOKUP(A1,DIV_04Data!$A$1:$DZU$1000000,3392,FALSE)</f>
        <v>#N/A</v>
      </c>
      <c r="I200" s="1" t="e">
        <f>VLOOKUP(A1,DIV_04Data!$A$1:$DZU$1000000,3393,FALSE)</f>
        <v>#N/A</v>
      </c>
      <c r="J200" s="1" t="e">
        <f>VLOOKUP(A1,DIV_04Data!$A$1:$DZU$1000000,3394,FALSE)</f>
        <v>#N/A</v>
      </c>
      <c r="K200" s="1" t="e">
        <f>VLOOKUP(A1,DIV_04Data!$A$1:$DZU$1000000,3395,FALSE)</f>
        <v>#N/A</v>
      </c>
      <c r="L200" s="1" t="e">
        <f>VLOOKUP(A1,DIV_04Data!$A$1:$DZU$1000000,3396,FALSE)</f>
        <v>#N/A</v>
      </c>
      <c r="M200" s="1" t="e">
        <f>VLOOKUP(A1,DIV_04Data!$A$1:$DZU$1000000,3397,FALSE)</f>
        <v>#N/A</v>
      </c>
      <c r="N200" s="1" t="e">
        <f>VLOOKUP(A1,DIV_04Data!$A$1:$DZU$1000000,3398,FALSE)</f>
        <v>#N/A</v>
      </c>
      <c r="O200" s="1" t="e">
        <f>VLOOKUP(A1,DIV_04Data!$A$1:$DZU$1000000,3399,FALSE)</f>
        <v>#N/A</v>
      </c>
      <c r="P200" s="1" t="e">
        <f>VLOOKUP(A1,DIV_04Data!$A$1:$DZU$1000000,3400,FALSE)</f>
        <v>#N/A</v>
      </c>
      <c r="Q200" s="78" t="e">
        <f>VLOOKUP(A1,DIV_04Data!$A$1:$DZU$1000000,3401,FALSE)</f>
        <v>#N/A</v>
      </c>
    </row>
  </sheetData>
  <mergeCells count="9">
    <mergeCell ref="J5:K5"/>
    <mergeCell ref="J6:K6"/>
    <mergeCell ref="J7:K7"/>
    <mergeCell ref="B2:L2"/>
    <mergeCell ref="A3:B3"/>
    <mergeCell ref="D3:G3"/>
    <mergeCell ref="J3:K3"/>
    <mergeCell ref="A4:B4"/>
    <mergeCell ref="J4:K4"/>
  </mergeCells>
  <dataValidations count="1">
    <dataValidation type="list" allowBlank="1" showInputMessage="1" showErrorMessage="1" sqref="C16:C190" xr:uid="{8DB35A69-FA19-49DD-8ABF-02C02A534D2A}">
      <formula1>$C$205:$C207</formula1>
    </dataValidation>
  </dataValidations>
  <hyperlinks>
    <hyperlink ref="D3" r:id="rId1" display="datamateapp@gmail.com" xr:uid="{6D0395E5-9E23-4522-98F6-5D8613CBE3FF}"/>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91841" r:id="rId4" name="Button 1">
              <controlPr defaultSize="0" print="0" autoFill="0" autoPict="0" macro="[0]!ViewInput">
                <anchor moveWithCells="1" sizeWithCells="1">
                  <from>
                    <xdr:col>17</xdr:col>
                    <xdr:colOff>0</xdr:colOff>
                    <xdr:row>2</xdr:row>
                    <xdr:rowOff>50800</xdr:rowOff>
                  </from>
                  <to>
                    <xdr:col>19</xdr:col>
                    <xdr:colOff>44450</xdr:colOff>
                    <xdr:row>4</xdr:row>
                    <xdr:rowOff>95250</xdr:rowOff>
                  </to>
                </anchor>
              </controlPr>
            </control>
          </mc:Choice>
        </mc:AlternateContent>
        <mc:AlternateContent xmlns:mc="http://schemas.openxmlformats.org/markup-compatibility/2006">
          <mc:Choice Requires="x14">
            <control shapeId="291842" r:id="rId5" name="Button 2">
              <controlPr defaultSize="0" print="0" autoFill="0" autoPict="0" macro="[0]!ViewLog">
                <anchor moveWithCells="1" sizeWithCells="1">
                  <from>
                    <xdr:col>17</xdr:col>
                    <xdr:colOff>0</xdr:colOff>
                    <xdr:row>5</xdr:row>
                    <xdr:rowOff>50800</xdr:rowOff>
                  </from>
                  <to>
                    <xdr:col>19</xdr:col>
                    <xdr:colOff>44450</xdr:colOff>
                    <xdr:row>7</xdr:row>
                    <xdr:rowOff>57150</xdr:rowOff>
                  </to>
                </anchor>
              </controlPr>
            </control>
          </mc:Choice>
        </mc:AlternateContent>
        <mc:AlternateContent xmlns:mc="http://schemas.openxmlformats.org/markup-compatibility/2006">
          <mc:Choice Requires="x14">
            <control shapeId="291843" r:id="rId6" name="Button 3">
              <controlPr defaultSize="0" print="0" autoFill="0" autoPict="0" macro="[0]!OpenDataMateAppPage">
                <anchor moveWithCells="1" sizeWithCells="1">
                  <from>
                    <xdr:col>17</xdr:col>
                    <xdr:colOff>0</xdr:colOff>
                    <xdr:row>7</xdr:row>
                    <xdr:rowOff>177800</xdr:rowOff>
                  </from>
                  <to>
                    <xdr:col>19</xdr:col>
                    <xdr:colOff>44450</xdr:colOff>
                    <xdr:row>9</xdr:row>
                    <xdr:rowOff>177800</xdr:rowOff>
                  </to>
                </anchor>
              </controlPr>
            </control>
          </mc:Choice>
        </mc:AlternateContent>
        <mc:AlternateContent xmlns:mc="http://schemas.openxmlformats.org/markup-compatibility/2006">
          <mc:Choice Requires="x14">
            <control shapeId="291844" r:id="rId7" name="Button 4">
              <controlPr defaultSize="0" print="0" autoFill="0" autoPict="0" macro="RefreshView">
                <anchor moveWithCells="1" sizeWithCells="1">
                  <from>
                    <xdr:col>17</xdr:col>
                    <xdr:colOff>0</xdr:colOff>
                    <xdr:row>0</xdr:row>
                    <xdr:rowOff>0</xdr:rowOff>
                  </from>
                  <to>
                    <xdr:col>19</xdr:col>
                    <xdr:colOff>44450</xdr:colOff>
                    <xdr:row>2</xdr:row>
                    <xdr:rowOff>6350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8152B65-425D-4D67-A5D5-D0D11D53D400}">
          <x14:formula1>
            <xm:f>DIV_02Data!$A:$A</xm:f>
          </x14:formula1>
          <xm:sqref>B2:L2</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78D777-2BFA-49FA-8F5A-C4277FA80C8C}">
  <sheetPr codeName="Sheet52"/>
  <dimension ref="A2:B3"/>
  <sheetViews>
    <sheetView zoomScale="75" zoomScaleNormal="75" workbookViewId="0">
      <selection activeCell="A3" sqref="A3"/>
    </sheetView>
  </sheetViews>
  <sheetFormatPr defaultRowHeight="14.5" x14ac:dyDescent="0.35"/>
  <cols>
    <col min="1" max="1" width="28.26953125" customWidth="1"/>
    <col min="2" max="8" width="13.36328125" customWidth="1"/>
    <col min="9" max="9" width="50.36328125" customWidth="1"/>
    <col min="13" max="15" width="10.26953125" customWidth="1"/>
  </cols>
  <sheetData>
    <row r="2" spans="1:2" ht="18.5" x14ac:dyDescent="0.45">
      <c r="A2" s="71" t="str">
        <f>DIV_04Input!A3</f>
        <v>DIV 04</v>
      </c>
      <c r="B2" s="1"/>
    </row>
    <row r="3" spans="1:2" x14ac:dyDescent="0.35">
      <c r="A3" s="1" t="s">
        <v>21395</v>
      </c>
      <c r="B3" s="246">
        <f ca="1">TODAY()</f>
        <v>45603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2871" r:id="rId3" name="Button 7">
              <controlPr defaultSize="0" print="0" autoFill="0" autoPict="0" macro="[0]!ViewInput">
                <anchor moveWithCells="1" sizeWithCells="1">
                  <from>
                    <xdr:col>16</xdr:col>
                    <xdr:colOff>603250</xdr:colOff>
                    <xdr:row>0</xdr:row>
                    <xdr:rowOff>0</xdr:rowOff>
                  </from>
                  <to>
                    <xdr:col>19</xdr:col>
                    <xdr:colOff>44450</xdr:colOff>
                    <xdr:row>2</xdr:row>
                    <xdr:rowOff>12700</xdr:rowOff>
                  </to>
                </anchor>
              </controlPr>
            </control>
          </mc:Choice>
        </mc:AlternateContent>
        <mc:AlternateContent xmlns:mc="http://schemas.openxmlformats.org/markup-compatibility/2006">
          <mc:Choice Requires="x14">
            <control shapeId="292872" r:id="rId4" name="Button 8">
              <controlPr defaultSize="0" print="0" autoFill="0" autoPict="0" macro="[0]!ViewView_Print">
                <anchor moveWithCells="1" sizeWithCells="1">
                  <from>
                    <xdr:col>16</xdr:col>
                    <xdr:colOff>603250</xdr:colOff>
                    <xdr:row>2</xdr:row>
                    <xdr:rowOff>38100</xdr:rowOff>
                  </from>
                  <to>
                    <xdr:col>19</xdr:col>
                    <xdr:colOff>44450</xdr:colOff>
                    <xdr:row>4</xdr:row>
                    <xdr:rowOff>50800</xdr:rowOff>
                  </to>
                </anchor>
              </controlPr>
            </control>
          </mc:Choice>
        </mc:AlternateContent>
        <mc:AlternateContent xmlns:mc="http://schemas.openxmlformats.org/markup-compatibility/2006">
          <mc:Choice Requires="x14">
            <control shapeId="292873" r:id="rId5" name="Button 9">
              <controlPr defaultSize="0" print="0" autoFill="0" autoPict="0" macro="[0]!ViewUpdate">
                <anchor moveWithCells="1" sizeWithCells="1">
                  <from>
                    <xdr:col>16</xdr:col>
                    <xdr:colOff>603250</xdr:colOff>
                    <xdr:row>4</xdr:row>
                    <xdr:rowOff>76200</xdr:rowOff>
                  </from>
                  <to>
                    <xdr:col>19</xdr:col>
                    <xdr:colOff>44450</xdr:colOff>
                    <xdr:row>6</xdr:row>
                    <xdr:rowOff>88900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33C73-8E9C-40FC-A0B2-AF4889CAB80C}">
  <sheetPr codeName="Sheet59"/>
  <dimension ref="A1:P1"/>
  <sheetViews>
    <sheetView workbookViewId="0">
      <selection sqref="A1:Q207"/>
    </sheetView>
  </sheetViews>
  <sheetFormatPr defaultRowHeight="14.5" x14ac:dyDescent="0.35"/>
  <cols>
    <col min="1" max="1" width="8.7265625" style="248"/>
    <col min="5" max="5" width="22.08984375" style="248" customWidth="1"/>
    <col min="6" max="6" width="8.7265625" style="248"/>
    <col min="7" max="11" width="11.6328125" style="248" customWidth="1"/>
    <col min="12" max="12" width="12.26953125" style="248" customWidth="1"/>
    <col min="13" max="13" width="34.54296875" style="248" customWidth="1"/>
    <col min="14" max="16" width="8.7265625" style="248"/>
  </cols>
  <sheetData>
    <row r="1" spans="2:16" x14ac:dyDescent="0.35">
      <c r="B1" s="73" t="str">
        <f>DIV_08View_Print!M1</f>
        <v>Update 1</v>
      </c>
      <c r="C1" s="73" t="str">
        <f>DIV_08View_Print!N1</f>
        <v>Update 2</v>
      </c>
      <c r="D1" s="73" t="str">
        <f>DIV_08View_Print!O1</f>
        <v>Update 3</v>
      </c>
      <c r="E1" s="74" t="str">
        <f>SEC_081000!A1</f>
        <v>AREA/FLOOR/ZONE</v>
      </c>
      <c r="F1" s="74" t="str">
        <f>SEC_081000!B1</f>
        <v>Page</v>
      </c>
      <c r="G1" s="74" t="str">
        <f>SEC_081000!C1</f>
        <v>SUB COST</v>
      </c>
      <c r="H1" s="74" t="str">
        <f>SEC_081000!D1</f>
        <v>MAT COST</v>
      </c>
      <c r="I1" s="74" t="str">
        <f>SEC_081000!E1</f>
        <v>LAB COST</v>
      </c>
      <c r="J1" s="74" t="str">
        <f>SEC_081000!F1</f>
        <v>EQUIP COST</v>
      </c>
      <c r="K1" s="74" t="str">
        <f>SEC_081000!G1</f>
        <v>Total Cost</v>
      </c>
      <c r="L1" s="74" t="str">
        <f>SEC_081000!H1</f>
        <v>Date</v>
      </c>
      <c r="M1" s="74" t="str">
        <f>SEC_081000!I1</f>
        <v>Description</v>
      </c>
      <c r="N1" s="74" t="str">
        <f>SEC_081000!J1</f>
        <v>Log 10</v>
      </c>
      <c r="O1" s="74" t="str">
        <f>SEC_081000!K1</f>
        <v>Log 11</v>
      </c>
      <c r="P1" s="75" t="str">
        <f>SEC_081000!L1</f>
        <v>Log 12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3890" r:id="rId3" name="Button 2">
              <controlPr defaultSize="0" print="0" autoFill="0" autoPict="0" macro="[0]!ViewLog">
                <anchor moveWithCells="1" sizeWithCells="1">
                  <from>
                    <xdr:col>17</xdr:col>
                    <xdr:colOff>0</xdr:colOff>
                    <xdr:row>0</xdr:row>
                    <xdr:rowOff>44450</xdr:rowOff>
                  </from>
                  <to>
                    <xdr:col>19</xdr:col>
                    <xdr:colOff>50800</xdr:colOff>
                    <xdr:row>2</xdr:row>
                    <xdr:rowOff>57150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36041-E030-4D6E-A092-C9250BE8E9A3}">
  <sheetPr codeName="Sheet60"/>
  <dimension ref="S1:AG1"/>
  <sheetViews>
    <sheetView workbookViewId="0"/>
  </sheetViews>
  <sheetFormatPr defaultRowHeight="14.5" x14ac:dyDescent="0.35"/>
  <sheetData>
    <row r="1" spans="19:33" x14ac:dyDescent="0.35">
      <c r="S1" t="str">
        <f>DIV_04Input!A1</f>
        <v>AREA/FLOOR/ZONE</v>
      </c>
      <c r="T1" t="str">
        <f>DIV_04Input!B1</f>
        <v>Page</v>
      </c>
      <c r="U1" t="str">
        <f>DIV_04Input!C1</f>
        <v>SUB COST</v>
      </c>
      <c r="V1" t="str">
        <f>DIV_04Input!D1</f>
        <v>MAT COST</v>
      </c>
      <c r="W1" t="str">
        <f>DIV_04Input!E1</f>
        <v>LAB COST</v>
      </c>
      <c r="X1" t="str">
        <f>DIV_04Input!F1</f>
        <v>EQUIP COST</v>
      </c>
      <c r="Y1" t="str">
        <f>DIV_04Input!G1</f>
        <v>Total Cost</v>
      </c>
      <c r="Z1" t="str">
        <f>DIV_04Input!H1</f>
        <v>Date</v>
      </c>
      <c r="AA1" t="str">
        <f>DIV_04Input!I1</f>
        <v>Description</v>
      </c>
      <c r="AB1" t="str">
        <f>DIV_04Input!J1</f>
        <v>Log 10</v>
      </c>
      <c r="AC1" t="str">
        <f>DIV_04Input!K1</f>
        <v>Log 11</v>
      </c>
      <c r="AD1" t="str">
        <f>DIV_04Input!L1</f>
        <v>Log 12</v>
      </c>
      <c r="AE1" t="str">
        <f>DIV_04Input!M1</f>
        <v>Update 1</v>
      </c>
      <c r="AF1" t="str">
        <f>DIV_04Input!N1</f>
        <v>Update 2</v>
      </c>
      <c r="AG1" t="str">
        <f>DIV_04Input!O1</f>
        <v>Update 3</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9538D-EE1A-4403-BDA2-CF4F896AFFF2}">
  <sheetPr codeName="Sheet61"/>
  <dimension ref="A1:Q663"/>
  <sheetViews>
    <sheetView zoomScale="75" zoomScaleNormal="75" workbookViewId="0"/>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UNIT MASONRY</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04 20 00</v>
      </c>
      <c r="C10" s="24" t="str">
        <f>C206</f>
        <v>UNIT MASONRY</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UNIT MASONRY</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14129</v>
      </c>
      <c r="C206" s="82" t="s">
        <v>14130</v>
      </c>
      <c r="D206" s="1"/>
      <c r="E206" s="1"/>
      <c r="F206" s="1"/>
      <c r="G206" s="1"/>
      <c r="H206" s="1"/>
      <c r="I206" s="1"/>
      <c r="J206" s="1"/>
      <c r="K206" s="1"/>
      <c r="L206" s="1"/>
      <c r="M206" s="1"/>
      <c r="N206" s="1"/>
      <c r="O206" s="1"/>
      <c r="P206" s="1"/>
      <c r="Q206" s="1"/>
    </row>
    <row r="207" spans="2:17" x14ac:dyDescent="0.35">
      <c r="B207" s="49" t="s">
        <v>14131</v>
      </c>
      <c r="C207" s="53" t="s">
        <v>14132</v>
      </c>
      <c r="D207" s="1"/>
      <c r="E207" s="1"/>
      <c r="F207" s="1"/>
      <c r="G207" s="1"/>
      <c r="H207" s="1"/>
      <c r="I207" s="1"/>
      <c r="J207" s="1"/>
      <c r="K207" s="1"/>
      <c r="L207" s="1"/>
      <c r="M207" s="1"/>
      <c r="N207" s="1"/>
      <c r="O207" s="1"/>
      <c r="P207" s="1"/>
      <c r="Q207" s="1"/>
    </row>
    <row r="208" spans="2:17" x14ac:dyDescent="0.35">
      <c r="B208" s="49" t="s">
        <v>14133</v>
      </c>
      <c r="C208" s="53" t="s">
        <v>14134</v>
      </c>
      <c r="D208" s="1"/>
      <c r="E208" s="1"/>
      <c r="F208" s="1"/>
      <c r="G208" s="1"/>
      <c r="H208" s="1"/>
      <c r="I208" s="1"/>
      <c r="J208" s="1"/>
      <c r="K208" s="1"/>
      <c r="L208" s="1"/>
      <c r="M208" s="1"/>
      <c r="N208" s="1"/>
      <c r="O208" s="1"/>
      <c r="P208" s="1"/>
      <c r="Q208" s="1"/>
    </row>
    <row r="209" spans="2:5" x14ac:dyDescent="0.35">
      <c r="B209" s="49" t="s">
        <v>14135</v>
      </c>
      <c r="C209" s="53" t="s">
        <v>14136</v>
      </c>
    </row>
    <row r="210" spans="2:5" x14ac:dyDescent="0.35">
      <c r="B210" s="49" t="s">
        <v>14137</v>
      </c>
      <c r="C210" s="53" t="s">
        <v>14138</v>
      </c>
    </row>
    <row r="211" spans="2:5" x14ac:dyDescent="0.35">
      <c r="B211" s="49" t="s">
        <v>14139</v>
      </c>
      <c r="C211" s="53" t="s">
        <v>14140</v>
      </c>
    </row>
    <row r="212" spans="2:5" x14ac:dyDescent="0.35">
      <c r="B212" s="49" t="s">
        <v>14141</v>
      </c>
      <c r="C212" s="53" t="s">
        <v>14142</v>
      </c>
    </row>
    <row r="213" spans="2:5" x14ac:dyDescent="0.35">
      <c r="B213" s="49" t="s">
        <v>14143</v>
      </c>
      <c r="C213" s="53" t="s">
        <v>14144</v>
      </c>
    </row>
    <row r="214" spans="2:5" x14ac:dyDescent="0.35">
      <c r="B214" s="49" t="s">
        <v>14145</v>
      </c>
      <c r="C214" s="53" t="s">
        <v>14146</v>
      </c>
    </row>
    <row r="215" spans="2:5" x14ac:dyDescent="0.35">
      <c r="B215" s="49" t="s">
        <v>14147</v>
      </c>
      <c r="C215" s="53" t="s">
        <v>14148</v>
      </c>
    </row>
    <row r="216" spans="2:5" x14ac:dyDescent="0.35">
      <c r="C216" s="1" t="s">
        <v>9276</v>
      </c>
      <c r="D216" s="1" t="s">
        <v>58</v>
      </c>
      <c r="E216" s="250">
        <v>4090.011</v>
      </c>
    </row>
    <row r="217" spans="2:5" x14ac:dyDescent="0.35">
      <c r="C217" s="1" t="s">
        <v>9275</v>
      </c>
      <c r="D217" s="1" t="s">
        <v>20</v>
      </c>
      <c r="E217" s="250">
        <v>4209.99</v>
      </c>
    </row>
    <row r="218" spans="2:5" x14ac:dyDescent="0.35">
      <c r="C218" s="1" t="s">
        <v>9274</v>
      </c>
      <c r="D218" s="1" t="s">
        <v>23</v>
      </c>
      <c r="E218" s="250">
        <v>4210.0110000000004</v>
      </c>
    </row>
    <row r="219" spans="2:5" x14ac:dyDescent="0.35">
      <c r="C219" s="1" t="s">
        <v>9273</v>
      </c>
      <c r="D219" s="1" t="s">
        <v>23</v>
      </c>
      <c r="E219" s="250">
        <v>4210.0119999999997</v>
      </c>
    </row>
    <row r="220" spans="2:5" x14ac:dyDescent="0.35">
      <c r="C220" s="1" t="s">
        <v>9272</v>
      </c>
      <c r="D220" s="1" t="s">
        <v>23</v>
      </c>
      <c r="E220" s="250">
        <v>4210.0209999999997</v>
      </c>
    </row>
    <row r="221" spans="2:5" x14ac:dyDescent="0.35">
      <c r="C221" s="1" t="s">
        <v>9271</v>
      </c>
      <c r="D221" s="1" t="s">
        <v>23</v>
      </c>
      <c r="E221" s="250">
        <v>4210.0219999999999</v>
      </c>
    </row>
    <row r="222" spans="2:5" x14ac:dyDescent="0.35">
      <c r="C222" s="1" t="s">
        <v>9270</v>
      </c>
      <c r="D222" s="1" t="s">
        <v>23</v>
      </c>
      <c r="E222" s="250">
        <v>4210.0230000000001</v>
      </c>
    </row>
    <row r="223" spans="2:5" x14ac:dyDescent="0.35">
      <c r="C223" s="1" t="s">
        <v>9269</v>
      </c>
      <c r="D223" s="1" t="s">
        <v>23</v>
      </c>
      <c r="E223" s="250">
        <v>4210.0240000000003</v>
      </c>
    </row>
    <row r="224" spans="2:5" x14ac:dyDescent="0.35">
      <c r="C224" s="1" t="s">
        <v>9268</v>
      </c>
      <c r="D224" s="1" t="s">
        <v>23</v>
      </c>
      <c r="E224" s="250">
        <v>4210.0249999999996</v>
      </c>
    </row>
    <row r="225" spans="3:5" x14ac:dyDescent="0.35">
      <c r="C225" s="1" t="s">
        <v>9267</v>
      </c>
      <c r="D225" s="1" t="s">
        <v>23</v>
      </c>
      <c r="E225" s="250">
        <v>4210.0280000000002</v>
      </c>
    </row>
    <row r="226" spans="3:5" x14ac:dyDescent="0.35">
      <c r="C226" s="1" t="s">
        <v>9266</v>
      </c>
      <c r="D226" s="1" t="s">
        <v>23</v>
      </c>
      <c r="E226" s="250">
        <v>4210.0290000000005</v>
      </c>
    </row>
    <row r="227" spans="3:5" x14ac:dyDescent="0.35">
      <c r="C227" s="1" t="s">
        <v>9265</v>
      </c>
      <c r="D227" s="1" t="s">
        <v>20</v>
      </c>
      <c r="E227" s="250">
        <v>4210.1000000000004</v>
      </c>
    </row>
    <row r="228" spans="3:5" x14ac:dyDescent="0.35">
      <c r="C228" s="1" t="s">
        <v>9264</v>
      </c>
      <c r="D228" s="1" t="s">
        <v>20</v>
      </c>
      <c r="E228" s="250">
        <v>4210.1009999999997</v>
      </c>
    </row>
    <row r="229" spans="3:5" x14ac:dyDescent="0.35">
      <c r="C229" s="1" t="s">
        <v>9260</v>
      </c>
      <c r="D229" s="1" t="s">
        <v>20</v>
      </c>
      <c r="E229" s="250">
        <v>4210.1099999999997</v>
      </c>
    </row>
    <row r="230" spans="3:5" x14ac:dyDescent="0.35">
      <c r="C230" s="1" t="s">
        <v>9263</v>
      </c>
      <c r="D230" s="1" t="s">
        <v>19</v>
      </c>
      <c r="E230" s="250">
        <v>4210.1499999999996</v>
      </c>
    </row>
    <row r="231" spans="3:5" x14ac:dyDescent="0.35">
      <c r="C231" s="1" t="s">
        <v>9262</v>
      </c>
      <c r="D231" s="1" t="s">
        <v>19</v>
      </c>
      <c r="E231" s="250">
        <v>4210.1899999999996</v>
      </c>
    </row>
    <row r="232" spans="3:5" x14ac:dyDescent="0.35">
      <c r="C232" s="1" t="s">
        <v>9227</v>
      </c>
      <c r="D232" s="1" t="s">
        <v>3023</v>
      </c>
      <c r="E232" s="250">
        <v>4210.201</v>
      </c>
    </row>
    <row r="233" spans="3:5" x14ac:dyDescent="0.35">
      <c r="C233" s="1" t="s">
        <v>9261</v>
      </c>
      <c r="D233" s="1" t="s">
        <v>9257</v>
      </c>
      <c r="E233" s="250">
        <v>4210.2020000000002</v>
      </c>
    </row>
    <row r="234" spans="3:5" x14ac:dyDescent="0.35">
      <c r="C234" s="1" t="s">
        <v>9260</v>
      </c>
      <c r="D234" s="1" t="s">
        <v>3023</v>
      </c>
      <c r="E234" s="250">
        <v>4210.2030000000004</v>
      </c>
    </row>
    <row r="235" spans="3:5" x14ac:dyDescent="0.35">
      <c r="C235" s="1" t="s">
        <v>9259</v>
      </c>
      <c r="D235" s="1" t="s">
        <v>3023</v>
      </c>
      <c r="E235" s="250">
        <v>4210.2039999999997</v>
      </c>
    </row>
    <row r="236" spans="3:5" x14ac:dyDescent="0.35">
      <c r="C236" s="1" t="s">
        <v>9258</v>
      </c>
      <c r="D236" s="1" t="s">
        <v>9257</v>
      </c>
      <c r="E236" s="250">
        <v>4210.2049999999999</v>
      </c>
    </row>
    <row r="237" spans="3:5" x14ac:dyDescent="0.35">
      <c r="C237" s="1" t="s">
        <v>9256</v>
      </c>
      <c r="D237" s="1" t="s">
        <v>3023</v>
      </c>
      <c r="E237" s="250">
        <v>4210.2079999999996</v>
      </c>
    </row>
    <row r="238" spans="3:5" x14ac:dyDescent="0.35">
      <c r="C238" s="1" t="s">
        <v>9255</v>
      </c>
      <c r="D238" s="1" t="s">
        <v>3023</v>
      </c>
      <c r="E238" s="250">
        <v>4210.21</v>
      </c>
    </row>
    <row r="239" spans="3:5" x14ac:dyDescent="0.35">
      <c r="C239" s="1" t="s">
        <v>9254</v>
      </c>
      <c r="D239" s="1" t="s">
        <v>3023</v>
      </c>
      <c r="E239" s="250">
        <v>4210.2120000000004</v>
      </c>
    </row>
    <row r="240" spans="3:5" x14ac:dyDescent="0.35">
      <c r="C240" s="1" t="s">
        <v>9253</v>
      </c>
      <c r="D240" s="1" t="s">
        <v>3023</v>
      </c>
      <c r="E240" s="250">
        <v>4210.2150000000001</v>
      </c>
    </row>
    <row r="241" spans="3:5" x14ac:dyDescent="0.35">
      <c r="C241" s="1" t="s">
        <v>9252</v>
      </c>
      <c r="D241" s="1" t="s">
        <v>19</v>
      </c>
      <c r="E241" s="250">
        <v>4210.3</v>
      </c>
    </row>
    <row r="242" spans="3:5" x14ac:dyDescent="0.35">
      <c r="C242" s="1" t="s">
        <v>9251</v>
      </c>
      <c r="D242" s="1" t="s">
        <v>19</v>
      </c>
      <c r="E242" s="250">
        <v>4210.3010000000004</v>
      </c>
    </row>
    <row r="243" spans="3:5" x14ac:dyDescent="0.35">
      <c r="C243" s="1" t="s">
        <v>9250</v>
      </c>
      <c r="D243" s="1" t="s">
        <v>62</v>
      </c>
      <c r="E243" s="250">
        <v>4210.3500000000004</v>
      </c>
    </row>
    <row r="244" spans="3:5" x14ac:dyDescent="0.35">
      <c r="C244" s="1" t="s">
        <v>9249</v>
      </c>
      <c r="D244" s="1" t="s">
        <v>20</v>
      </c>
      <c r="E244" s="250">
        <v>4210.3990000000003</v>
      </c>
    </row>
    <row r="245" spans="3:5" x14ac:dyDescent="0.35">
      <c r="C245" s="1" t="s">
        <v>9248</v>
      </c>
      <c r="D245" s="1" t="s">
        <v>20</v>
      </c>
      <c r="E245" s="250">
        <v>4210.5</v>
      </c>
    </row>
    <row r="246" spans="3:5" x14ac:dyDescent="0.35">
      <c r="C246" s="1" t="s">
        <v>9247</v>
      </c>
      <c r="D246" s="1" t="s">
        <v>20</v>
      </c>
      <c r="E246" s="250">
        <v>4210.5010000000002</v>
      </c>
    </row>
    <row r="247" spans="3:5" x14ac:dyDescent="0.35">
      <c r="C247" s="1" t="s">
        <v>9246</v>
      </c>
      <c r="D247" s="1" t="s">
        <v>20</v>
      </c>
      <c r="E247" s="250">
        <v>4210.5020000000004</v>
      </c>
    </row>
    <row r="248" spans="3:5" x14ac:dyDescent="0.35">
      <c r="C248" s="1" t="s">
        <v>9245</v>
      </c>
      <c r="D248" s="1" t="s">
        <v>20</v>
      </c>
      <c r="E248" s="250">
        <v>4210.5029999999997</v>
      </c>
    </row>
    <row r="249" spans="3:5" x14ac:dyDescent="0.35">
      <c r="C249" s="1" t="s">
        <v>9244</v>
      </c>
      <c r="D249" s="1" t="s">
        <v>20</v>
      </c>
      <c r="E249" s="250">
        <v>4210.5039999999999</v>
      </c>
    </row>
    <row r="250" spans="3:5" x14ac:dyDescent="0.35">
      <c r="C250" s="1" t="s">
        <v>9243</v>
      </c>
      <c r="D250" s="1" t="s">
        <v>20</v>
      </c>
      <c r="E250" s="250">
        <v>4210.5050000000001</v>
      </c>
    </row>
    <row r="251" spans="3:5" x14ac:dyDescent="0.35">
      <c r="C251" s="1" t="s">
        <v>9242</v>
      </c>
      <c r="D251" s="1" t="s">
        <v>20</v>
      </c>
      <c r="E251" s="250">
        <v>4210.5060000000003</v>
      </c>
    </row>
    <row r="252" spans="3:5" x14ac:dyDescent="0.35">
      <c r="C252" s="1" t="s">
        <v>9241</v>
      </c>
      <c r="D252" s="1" t="s">
        <v>20</v>
      </c>
      <c r="E252" s="250">
        <v>4210.5069999999996</v>
      </c>
    </row>
    <row r="253" spans="3:5" x14ac:dyDescent="0.35">
      <c r="C253" s="1" t="s">
        <v>9240</v>
      </c>
      <c r="D253" s="1" t="s">
        <v>20</v>
      </c>
      <c r="E253" s="250">
        <v>4210.5079999999998</v>
      </c>
    </row>
    <row r="254" spans="3:5" x14ac:dyDescent="0.35">
      <c r="C254" s="1" t="s">
        <v>9239</v>
      </c>
      <c r="D254" s="1" t="s">
        <v>20</v>
      </c>
      <c r="E254" s="250">
        <v>4210.5749999999998</v>
      </c>
    </row>
    <row r="255" spans="3:5" x14ac:dyDescent="0.35">
      <c r="C255" s="1" t="s">
        <v>9238</v>
      </c>
      <c r="D255" s="1" t="s">
        <v>20</v>
      </c>
      <c r="E255" s="250">
        <v>4210.576</v>
      </c>
    </row>
    <row r="256" spans="3:5" x14ac:dyDescent="0.35">
      <c r="C256" s="1" t="s">
        <v>9237</v>
      </c>
      <c r="D256" s="1" t="s">
        <v>20</v>
      </c>
      <c r="E256" s="250">
        <v>4210.5770000000002</v>
      </c>
    </row>
    <row r="257" spans="3:5" x14ac:dyDescent="0.35">
      <c r="C257" s="1" t="s">
        <v>9236</v>
      </c>
      <c r="D257" s="1" t="s">
        <v>20</v>
      </c>
      <c r="E257" s="250">
        <v>4210.5780000000004</v>
      </c>
    </row>
    <row r="258" spans="3:5" x14ac:dyDescent="0.35">
      <c r="C258" s="1" t="s">
        <v>9235</v>
      </c>
      <c r="D258" s="1" t="s">
        <v>20</v>
      </c>
      <c r="E258" s="250">
        <v>4210.5789999999997</v>
      </c>
    </row>
    <row r="259" spans="3:5" x14ac:dyDescent="0.35">
      <c r="C259" s="1" t="s">
        <v>9234</v>
      </c>
      <c r="D259" s="1" t="s">
        <v>20</v>
      </c>
      <c r="E259" s="250">
        <v>4210.58</v>
      </c>
    </row>
    <row r="260" spans="3:5" x14ac:dyDescent="0.35">
      <c r="C260" s="1" t="s">
        <v>9233</v>
      </c>
      <c r="D260" s="1" t="s">
        <v>20</v>
      </c>
      <c r="E260" s="250">
        <v>4210.5810000000001</v>
      </c>
    </row>
    <row r="261" spans="3:5" x14ac:dyDescent="0.35">
      <c r="C261" s="1" t="s">
        <v>9232</v>
      </c>
      <c r="D261" s="1" t="s">
        <v>20</v>
      </c>
      <c r="E261" s="250">
        <v>4210.5820000000003</v>
      </c>
    </row>
    <row r="262" spans="3:5" x14ac:dyDescent="0.35">
      <c r="C262" s="1" t="s">
        <v>9231</v>
      </c>
      <c r="D262" s="1" t="s">
        <v>20</v>
      </c>
      <c r="E262" s="250">
        <v>4210.5829999999996</v>
      </c>
    </row>
    <row r="263" spans="3:5" x14ac:dyDescent="0.35">
      <c r="C263" s="1" t="s">
        <v>9230</v>
      </c>
      <c r="D263" s="1" t="s">
        <v>20</v>
      </c>
      <c r="E263" s="250">
        <v>4210.5839999999998</v>
      </c>
    </row>
    <row r="264" spans="3:5" x14ac:dyDescent="0.35">
      <c r="C264" s="1" t="s">
        <v>9229</v>
      </c>
      <c r="D264" s="1" t="s">
        <v>20</v>
      </c>
      <c r="E264" s="250">
        <v>4210.585</v>
      </c>
    </row>
    <row r="265" spans="3:5" x14ac:dyDescent="0.35">
      <c r="C265" s="1" t="s">
        <v>9228</v>
      </c>
      <c r="D265" s="1" t="s">
        <v>20</v>
      </c>
      <c r="E265" s="250">
        <v>4210.5860000000002</v>
      </c>
    </row>
    <row r="266" spans="3:5" x14ac:dyDescent="0.35">
      <c r="C266" s="1" t="s">
        <v>9227</v>
      </c>
      <c r="D266" s="1" t="s">
        <v>3023</v>
      </c>
      <c r="E266" s="250">
        <v>4210.6000000000004</v>
      </c>
    </row>
    <row r="267" spans="3:5" x14ac:dyDescent="0.35">
      <c r="C267" s="1" t="s">
        <v>9226</v>
      </c>
      <c r="D267" s="1" t="s">
        <v>3023</v>
      </c>
      <c r="E267" s="250">
        <v>4210.6099999999997</v>
      </c>
    </row>
    <row r="268" spans="3:5" x14ac:dyDescent="0.35">
      <c r="C268" s="1" t="s">
        <v>9225</v>
      </c>
      <c r="D268" s="1" t="s">
        <v>20</v>
      </c>
      <c r="E268" s="250">
        <v>4211.0110000000004</v>
      </c>
    </row>
    <row r="269" spans="3:5" x14ac:dyDescent="0.35">
      <c r="C269" s="1" t="s">
        <v>9224</v>
      </c>
      <c r="D269" s="1" t="s">
        <v>20</v>
      </c>
      <c r="E269" s="250">
        <v>4211.05</v>
      </c>
    </row>
    <row r="270" spans="3:5" x14ac:dyDescent="0.35">
      <c r="C270" s="1" t="s">
        <v>9223</v>
      </c>
      <c r="D270" s="1" t="s">
        <v>3023</v>
      </c>
      <c r="E270" s="250">
        <v>4215.01</v>
      </c>
    </row>
    <row r="271" spans="3:5" x14ac:dyDescent="0.35">
      <c r="C271" s="1" t="s">
        <v>9222</v>
      </c>
      <c r="D271" s="1" t="s">
        <v>3023</v>
      </c>
      <c r="E271" s="250">
        <v>4215.0110000000004</v>
      </c>
    </row>
    <row r="272" spans="3:5" x14ac:dyDescent="0.35">
      <c r="C272" s="1" t="s">
        <v>9221</v>
      </c>
      <c r="D272" s="1" t="s">
        <v>3023</v>
      </c>
      <c r="E272" s="250">
        <v>4215.0119999999997</v>
      </c>
    </row>
    <row r="273" spans="3:5" x14ac:dyDescent="0.35">
      <c r="C273" s="1" t="s">
        <v>9220</v>
      </c>
      <c r="D273" s="1" t="s">
        <v>3023</v>
      </c>
      <c r="E273" s="250">
        <v>4215.0129999999999</v>
      </c>
    </row>
    <row r="274" spans="3:5" x14ac:dyDescent="0.35">
      <c r="C274" s="1" t="s">
        <v>9212</v>
      </c>
      <c r="D274" s="1" t="s">
        <v>3023</v>
      </c>
      <c r="E274" s="250">
        <v>4215.0140000000001</v>
      </c>
    </row>
    <row r="275" spans="3:5" x14ac:dyDescent="0.35">
      <c r="C275" s="1" t="s">
        <v>9219</v>
      </c>
      <c r="D275" s="1" t="s">
        <v>3023</v>
      </c>
      <c r="E275" s="250">
        <v>4215.0150000000003</v>
      </c>
    </row>
    <row r="276" spans="3:5" x14ac:dyDescent="0.35">
      <c r="C276" s="1" t="s">
        <v>9218</v>
      </c>
      <c r="D276" s="1" t="s">
        <v>3023</v>
      </c>
      <c r="E276" s="250">
        <v>4215.0169999999998</v>
      </c>
    </row>
    <row r="277" spans="3:5" x14ac:dyDescent="0.35">
      <c r="C277" s="1" t="s">
        <v>9217</v>
      </c>
      <c r="D277" s="1" t="s">
        <v>3023</v>
      </c>
      <c r="E277" s="250">
        <v>4215.018</v>
      </c>
    </row>
    <row r="278" spans="3:5" x14ac:dyDescent="0.35">
      <c r="C278" s="1" t="s">
        <v>9216</v>
      </c>
      <c r="D278" s="1" t="s">
        <v>3023</v>
      </c>
      <c r="E278" s="250">
        <v>4215.03</v>
      </c>
    </row>
    <row r="279" spans="3:5" x14ac:dyDescent="0.35">
      <c r="C279" s="1" t="s">
        <v>9215</v>
      </c>
      <c r="D279" s="1" t="s">
        <v>3023</v>
      </c>
      <c r="E279" s="250">
        <v>4215.0309999999999</v>
      </c>
    </row>
    <row r="280" spans="3:5" x14ac:dyDescent="0.35">
      <c r="C280" s="1" t="s">
        <v>9214</v>
      </c>
      <c r="D280" s="1" t="s">
        <v>3023</v>
      </c>
      <c r="E280" s="250">
        <v>4215.0320000000002</v>
      </c>
    </row>
    <row r="281" spans="3:5" x14ac:dyDescent="0.35">
      <c r="C281" s="1" t="s">
        <v>9213</v>
      </c>
      <c r="D281" s="1" t="s">
        <v>3023</v>
      </c>
      <c r="E281" s="250">
        <v>4215.0330000000004</v>
      </c>
    </row>
    <row r="282" spans="3:5" x14ac:dyDescent="0.35">
      <c r="C282" s="1" t="s">
        <v>9212</v>
      </c>
      <c r="D282" s="1" t="s">
        <v>3023</v>
      </c>
      <c r="E282" s="250">
        <v>4215.0339999999997</v>
      </c>
    </row>
    <row r="283" spans="3:5" x14ac:dyDescent="0.35">
      <c r="C283" s="1" t="s">
        <v>9211</v>
      </c>
      <c r="D283" s="1" t="s">
        <v>3023</v>
      </c>
      <c r="E283" s="250">
        <v>4215.0349999999999</v>
      </c>
    </row>
    <row r="284" spans="3:5" x14ac:dyDescent="0.35">
      <c r="C284" s="1" t="s">
        <v>9210</v>
      </c>
      <c r="D284" s="1" t="s">
        <v>3023</v>
      </c>
      <c r="E284" s="250">
        <v>4215.0360000000001</v>
      </c>
    </row>
    <row r="285" spans="3:5" x14ac:dyDescent="0.35">
      <c r="C285" s="1" t="s">
        <v>9209</v>
      </c>
      <c r="D285" s="1" t="s">
        <v>3023</v>
      </c>
      <c r="E285" s="250">
        <v>4215.0370000000003</v>
      </c>
    </row>
    <row r="286" spans="3:5" x14ac:dyDescent="0.35">
      <c r="C286" s="1" t="s">
        <v>9208</v>
      </c>
      <c r="D286" s="1" t="s">
        <v>3023</v>
      </c>
      <c r="E286" s="250">
        <v>4215.0379999999996</v>
      </c>
    </row>
    <row r="287" spans="3:5" x14ac:dyDescent="0.35">
      <c r="C287" s="1" t="s">
        <v>9207</v>
      </c>
      <c r="D287" s="1" t="s">
        <v>20</v>
      </c>
      <c r="E287" s="250">
        <v>4215.0690000000004</v>
      </c>
    </row>
    <row r="288" spans="3:5" x14ac:dyDescent="0.35">
      <c r="C288" s="1" t="s">
        <v>9206</v>
      </c>
      <c r="D288" s="1" t="s">
        <v>3023</v>
      </c>
      <c r="E288" s="250">
        <v>4215.1009999999997</v>
      </c>
    </row>
    <row r="289" spans="3:5" x14ac:dyDescent="0.35">
      <c r="C289" s="1" t="s">
        <v>9205</v>
      </c>
      <c r="D289" s="1" t="s">
        <v>3023</v>
      </c>
      <c r="E289" s="250">
        <v>4215.1019999999999</v>
      </c>
    </row>
    <row r="290" spans="3:5" x14ac:dyDescent="0.35">
      <c r="C290" s="1" t="s">
        <v>9204</v>
      </c>
      <c r="D290" s="1" t="s">
        <v>3023</v>
      </c>
      <c r="E290" s="250">
        <v>4215.1030000000001</v>
      </c>
    </row>
    <row r="291" spans="3:5" x14ac:dyDescent="0.35">
      <c r="C291" s="1" t="s">
        <v>9203</v>
      </c>
      <c r="D291" s="1" t="s">
        <v>20</v>
      </c>
      <c r="E291" s="250">
        <v>4219.0200000000004</v>
      </c>
    </row>
    <row r="292" spans="3:5" x14ac:dyDescent="0.35">
      <c r="C292" s="1" t="s">
        <v>9202</v>
      </c>
      <c r="D292" s="1" t="s">
        <v>20</v>
      </c>
      <c r="E292" s="250">
        <v>4219.1000000000004</v>
      </c>
    </row>
    <row r="293" spans="3:5" x14ac:dyDescent="0.35">
      <c r="C293" s="1" t="s">
        <v>9201</v>
      </c>
      <c r="D293" s="1" t="s">
        <v>20</v>
      </c>
      <c r="E293" s="250">
        <v>4219.1009999999997</v>
      </c>
    </row>
    <row r="294" spans="3:5" x14ac:dyDescent="0.35">
      <c r="C294" s="1" t="s">
        <v>9200</v>
      </c>
      <c r="D294" s="1" t="s">
        <v>20</v>
      </c>
      <c r="E294" s="250">
        <v>4219.1019999999999</v>
      </c>
    </row>
    <row r="295" spans="3:5" x14ac:dyDescent="0.35">
      <c r="C295" s="1" t="s">
        <v>9199</v>
      </c>
      <c r="D295" s="1" t="s">
        <v>20</v>
      </c>
      <c r="E295" s="250">
        <v>4219.1030000000001</v>
      </c>
    </row>
    <row r="296" spans="3:5" x14ac:dyDescent="0.35">
      <c r="C296" s="1" t="s">
        <v>9198</v>
      </c>
      <c r="D296" s="1" t="s">
        <v>20</v>
      </c>
      <c r="E296" s="250">
        <v>4219.1040000000003</v>
      </c>
    </row>
    <row r="297" spans="3:5" x14ac:dyDescent="0.35">
      <c r="C297" s="1" t="s">
        <v>9197</v>
      </c>
      <c r="D297" s="1" t="s">
        <v>20</v>
      </c>
      <c r="E297" s="250">
        <v>4219.99</v>
      </c>
    </row>
    <row r="298" spans="3:5" x14ac:dyDescent="0.35">
      <c r="C298" s="1" t="s">
        <v>9196</v>
      </c>
      <c r="D298" s="1" t="s">
        <v>20</v>
      </c>
      <c r="E298" s="250">
        <v>4219.991</v>
      </c>
    </row>
    <row r="299" spans="3:5" x14ac:dyDescent="0.35">
      <c r="C299" s="1" t="s">
        <v>9195</v>
      </c>
      <c r="D299" s="1" t="s">
        <v>20</v>
      </c>
      <c r="E299" s="250">
        <v>4219.9920000000002</v>
      </c>
    </row>
    <row r="300" spans="3:5" x14ac:dyDescent="0.35">
      <c r="C300" s="1" t="s">
        <v>9194</v>
      </c>
      <c r="D300" s="1" t="s">
        <v>20</v>
      </c>
      <c r="E300" s="250">
        <v>4219.9930000000004</v>
      </c>
    </row>
    <row r="301" spans="3:5" x14ac:dyDescent="0.35">
      <c r="C301" s="1" t="s">
        <v>9193</v>
      </c>
      <c r="D301" s="1" t="s">
        <v>20</v>
      </c>
      <c r="E301" s="250">
        <v>4219.9939999999997</v>
      </c>
    </row>
    <row r="302" spans="3:5" x14ac:dyDescent="0.35">
      <c r="C302" s="1" t="s">
        <v>9192</v>
      </c>
      <c r="D302" s="1" t="s">
        <v>19</v>
      </c>
      <c r="E302" s="250">
        <v>4219.9979999999996</v>
      </c>
    </row>
    <row r="303" spans="3:5" x14ac:dyDescent="0.35">
      <c r="C303" s="1" t="s">
        <v>9191</v>
      </c>
      <c r="D303" s="1" t="s">
        <v>23</v>
      </c>
      <c r="E303" s="250">
        <v>4220.1000000000004</v>
      </c>
    </row>
    <row r="304" spans="3:5" x14ac:dyDescent="0.35">
      <c r="C304" s="1" t="s">
        <v>9190</v>
      </c>
      <c r="D304" s="1" t="s">
        <v>23</v>
      </c>
      <c r="E304" s="250">
        <v>4220.1009999999997</v>
      </c>
    </row>
    <row r="305" spans="3:5" x14ac:dyDescent="0.35">
      <c r="C305" s="1" t="s">
        <v>9189</v>
      </c>
      <c r="D305" s="1" t="s">
        <v>23</v>
      </c>
      <c r="E305" s="250">
        <v>4220.1019999999999</v>
      </c>
    </row>
    <row r="306" spans="3:5" x14ac:dyDescent="0.35">
      <c r="C306" s="1" t="s">
        <v>9188</v>
      </c>
      <c r="D306" s="1" t="s">
        <v>23</v>
      </c>
      <c r="E306" s="250">
        <v>4220.1030000000001</v>
      </c>
    </row>
    <row r="307" spans="3:5" x14ac:dyDescent="0.35">
      <c r="C307" s="1" t="s">
        <v>9187</v>
      </c>
      <c r="D307" s="1" t="s">
        <v>23</v>
      </c>
      <c r="E307" s="250">
        <v>4220.1040000000003</v>
      </c>
    </row>
    <row r="308" spans="3:5" x14ac:dyDescent="0.35">
      <c r="C308" s="1" t="s">
        <v>9186</v>
      </c>
      <c r="D308" s="1" t="s">
        <v>23</v>
      </c>
      <c r="E308" s="250">
        <v>4220.1049999999996</v>
      </c>
    </row>
    <row r="309" spans="3:5" x14ac:dyDescent="0.35">
      <c r="C309" s="1" t="s">
        <v>9185</v>
      </c>
      <c r="D309" s="1" t="s">
        <v>23</v>
      </c>
      <c r="E309" s="250">
        <v>4220.1059999999998</v>
      </c>
    </row>
    <row r="310" spans="3:5" x14ac:dyDescent="0.35">
      <c r="C310" s="1" t="s">
        <v>9184</v>
      </c>
      <c r="D310" s="1" t="s">
        <v>20</v>
      </c>
      <c r="E310" s="250">
        <v>4220.201</v>
      </c>
    </row>
    <row r="311" spans="3:5" x14ac:dyDescent="0.35">
      <c r="C311" s="1" t="s">
        <v>9183</v>
      </c>
      <c r="D311" s="1" t="s">
        <v>20</v>
      </c>
      <c r="E311" s="250">
        <v>4220.2020000000002</v>
      </c>
    </row>
    <row r="312" spans="3:5" x14ac:dyDescent="0.35">
      <c r="C312" s="1" t="s">
        <v>9182</v>
      </c>
      <c r="D312" s="1" t="s">
        <v>20</v>
      </c>
      <c r="E312" s="250">
        <v>4220.2030000000004</v>
      </c>
    </row>
    <row r="313" spans="3:5" x14ac:dyDescent="0.35">
      <c r="C313" s="1" t="s">
        <v>9181</v>
      </c>
      <c r="D313" s="1" t="s">
        <v>20</v>
      </c>
      <c r="E313" s="250">
        <v>4220.2039999999997</v>
      </c>
    </row>
    <row r="314" spans="3:5" x14ac:dyDescent="0.35">
      <c r="C314" s="1" t="s">
        <v>9180</v>
      </c>
      <c r="D314" s="1" t="s">
        <v>20</v>
      </c>
      <c r="E314" s="250">
        <v>4220.2049999999999</v>
      </c>
    </row>
    <row r="315" spans="3:5" x14ac:dyDescent="0.35">
      <c r="C315" s="1" t="s">
        <v>9179</v>
      </c>
      <c r="D315" s="1" t="s">
        <v>19</v>
      </c>
      <c r="E315" s="250">
        <v>4220.2060000000001</v>
      </c>
    </row>
    <row r="316" spans="3:5" x14ac:dyDescent="0.35">
      <c r="C316" s="1" t="s">
        <v>9178</v>
      </c>
      <c r="D316" s="1" t="s">
        <v>20</v>
      </c>
      <c r="E316" s="250">
        <v>4220.3010000000004</v>
      </c>
    </row>
    <row r="317" spans="3:5" x14ac:dyDescent="0.35">
      <c r="C317" s="1" t="s">
        <v>9177</v>
      </c>
      <c r="D317" s="1" t="s">
        <v>20</v>
      </c>
      <c r="E317" s="250">
        <v>4220.3019999999997</v>
      </c>
    </row>
    <row r="318" spans="3:5" x14ac:dyDescent="0.35">
      <c r="C318" s="1" t="s">
        <v>9176</v>
      </c>
      <c r="D318" s="1" t="s">
        <v>20</v>
      </c>
      <c r="E318" s="250">
        <v>4220.3029999999999</v>
      </c>
    </row>
    <row r="319" spans="3:5" x14ac:dyDescent="0.35">
      <c r="C319" s="1" t="s">
        <v>9175</v>
      </c>
      <c r="D319" s="1" t="s">
        <v>20</v>
      </c>
      <c r="E319" s="250">
        <v>4220.3040000000001</v>
      </c>
    </row>
    <row r="320" spans="3:5" x14ac:dyDescent="0.35">
      <c r="C320" s="1" t="s">
        <v>9174</v>
      </c>
      <c r="D320" s="1" t="s">
        <v>20</v>
      </c>
      <c r="E320" s="250">
        <v>4220.3050000000003</v>
      </c>
    </row>
    <row r="321" spans="3:5" x14ac:dyDescent="0.35">
      <c r="C321" s="1" t="s">
        <v>9173</v>
      </c>
      <c r="D321" s="1" t="s">
        <v>20</v>
      </c>
      <c r="E321" s="250">
        <v>4220.3059999999996</v>
      </c>
    </row>
    <row r="322" spans="3:5" x14ac:dyDescent="0.35">
      <c r="C322" s="1" t="s">
        <v>9172</v>
      </c>
      <c r="D322" s="1" t="s">
        <v>20</v>
      </c>
      <c r="E322" s="250">
        <v>4220.3109999999997</v>
      </c>
    </row>
    <row r="323" spans="3:5" x14ac:dyDescent="0.35">
      <c r="C323" s="1" t="s">
        <v>9171</v>
      </c>
      <c r="D323" s="1" t="s">
        <v>20</v>
      </c>
      <c r="E323" s="250">
        <v>4220.3119999999999</v>
      </c>
    </row>
    <row r="324" spans="3:5" x14ac:dyDescent="0.35">
      <c r="C324" s="1" t="s">
        <v>9170</v>
      </c>
      <c r="D324" s="1" t="s">
        <v>20</v>
      </c>
      <c r="E324" s="250">
        <v>4220.3130000000001</v>
      </c>
    </row>
    <row r="325" spans="3:5" x14ac:dyDescent="0.35">
      <c r="C325" s="1" t="s">
        <v>9169</v>
      </c>
      <c r="D325" s="1" t="s">
        <v>20</v>
      </c>
      <c r="E325" s="250">
        <v>4220.3140000000003</v>
      </c>
    </row>
    <row r="326" spans="3:5" x14ac:dyDescent="0.35">
      <c r="C326" s="1" t="s">
        <v>9168</v>
      </c>
      <c r="D326" s="1" t="s">
        <v>20</v>
      </c>
      <c r="E326" s="250">
        <v>4220.3149999999996</v>
      </c>
    </row>
    <row r="327" spans="3:5" x14ac:dyDescent="0.35">
      <c r="C327" s="1" t="s">
        <v>9167</v>
      </c>
      <c r="D327" s="1" t="s">
        <v>20</v>
      </c>
      <c r="E327" s="250">
        <v>4220.3159999999998</v>
      </c>
    </row>
    <row r="328" spans="3:5" x14ac:dyDescent="0.35">
      <c r="C328" s="1" t="s">
        <v>9166</v>
      </c>
      <c r="D328" s="1" t="s">
        <v>20</v>
      </c>
      <c r="E328" s="250">
        <v>4220.3500000000004</v>
      </c>
    </row>
    <row r="329" spans="3:5" x14ac:dyDescent="0.35">
      <c r="C329" s="1" t="s">
        <v>9165</v>
      </c>
      <c r="D329" s="1" t="s">
        <v>20</v>
      </c>
      <c r="E329" s="250">
        <v>4220.4009999999998</v>
      </c>
    </row>
    <row r="330" spans="3:5" x14ac:dyDescent="0.35">
      <c r="C330" s="1" t="s">
        <v>9164</v>
      </c>
      <c r="D330" s="1" t="s">
        <v>20</v>
      </c>
      <c r="E330" s="250">
        <v>4220.402</v>
      </c>
    </row>
    <row r="331" spans="3:5" x14ac:dyDescent="0.35">
      <c r="C331" s="1" t="s">
        <v>9163</v>
      </c>
      <c r="D331" s="1" t="s">
        <v>20</v>
      </c>
      <c r="E331" s="250">
        <v>4220.4030000000002</v>
      </c>
    </row>
    <row r="332" spans="3:5" x14ac:dyDescent="0.35">
      <c r="C332" s="1" t="s">
        <v>9162</v>
      </c>
      <c r="D332" s="1" t="s">
        <v>20</v>
      </c>
      <c r="E332" s="250">
        <v>4220.4040000000005</v>
      </c>
    </row>
    <row r="333" spans="3:5" x14ac:dyDescent="0.35">
      <c r="C333" s="1" t="s">
        <v>9161</v>
      </c>
      <c r="D333" s="1" t="s">
        <v>20</v>
      </c>
      <c r="E333" s="250">
        <v>4220.4049999999997</v>
      </c>
    </row>
    <row r="334" spans="3:5" x14ac:dyDescent="0.35">
      <c r="C334" s="1" t="s">
        <v>9160</v>
      </c>
      <c r="D334" s="1" t="s">
        <v>20</v>
      </c>
      <c r="E334" s="250">
        <v>4220.4059999999999</v>
      </c>
    </row>
    <row r="335" spans="3:5" x14ac:dyDescent="0.35">
      <c r="C335" s="1" t="s">
        <v>9159</v>
      </c>
      <c r="D335" s="1" t="s">
        <v>20</v>
      </c>
      <c r="E335" s="250">
        <v>4220.4110000000001</v>
      </c>
    </row>
    <row r="336" spans="3:5" x14ac:dyDescent="0.35">
      <c r="C336" s="1" t="s">
        <v>9158</v>
      </c>
      <c r="D336" s="1" t="s">
        <v>20</v>
      </c>
      <c r="E336" s="250">
        <v>4220.4120000000003</v>
      </c>
    </row>
    <row r="337" spans="3:5" x14ac:dyDescent="0.35">
      <c r="C337" s="1" t="s">
        <v>9157</v>
      </c>
      <c r="D337" s="1" t="s">
        <v>20</v>
      </c>
      <c r="E337" s="250">
        <v>4220.4129999999996</v>
      </c>
    </row>
    <row r="338" spans="3:5" x14ac:dyDescent="0.35">
      <c r="C338" s="1" t="s">
        <v>9156</v>
      </c>
      <c r="D338" s="1" t="s">
        <v>20</v>
      </c>
      <c r="E338" s="250">
        <v>4220.4139999999998</v>
      </c>
    </row>
    <row r="339" spans="3:5" x14ac:dyDescent="0.35">
      <c r="C339" s="1" t="s">
        <v>9155</v>
      </c>
      <c r="D339" s="1" t="s">
        <v>20</v>
      </c>
      <c r="E339" s="250">
        <v>4220.415</v>
      </c>
    </row>
    <row r="340" spans="3:5" x14ac:dyDescent="0.35">
      <c r="C340" s="1" t="s">
        <v>9154</v>
      </c>
      <c r="D340" s="1" t="s">
        <v>20</v>
      </c>
      <c r="E340" s="250">
        <v>4220.4160000000002</v>
      </c>
    </row>
    <row r="341" spans="3:5" x14ac:dyDescent="0.35">
      <c r="C341" s="1" t="s">
        <v>9153</v>
      </c>
      <c r="D341" s="1" t="s">
        <v>3023</v>
      </c>
      <c r="E341" s="250">
        <v>4220.5</v>
      </c>
    </row>
    <row r="342" spans="3:5" x14ac:dyDescent="0.35">
      <c r="C342" s="1" t="s">
        <v>9152</v>
      </c>
      <c r="D342" s="1" t="s">
        <v>3023</v>
      </c>
      <c r="E342" s="250">
        <v>4220.5010000000002</v>
      </c>
    </row>
    <row r="343" spans="3:5" x14ac:dyDescent="0.35">
      <c r="C343" s="1" t="s">
        <v>9151</v>
      </c>
      <c r="D343" s="1" t="s">
        <v>3023</v>
      </c>
      <c r="E343" s="250">
        <v>4220.5020000000004</v>
      </c>
    </row>
    <row r="344" spans="3:5" x14ac:dyDescent="0.35">
      <c r="C344" s="1" t="s">
        <v>9150</v>
      </c>
      <c r="D344" s="1" t="s">
        <v>3023</v>
      </c>
      <c r="E344" s="250">
        <v>4220.5029999999997</v>
      </c>
    </row>
    <row r="345" spans="3:5" x14ac:dyDescent="0.35">
      <c r="C345" s="1" t="s">
        <v>9149</v>
      </c>
      <c r="D345" s="1" t="s">
        <v>3023</v>
      </c>
      <c r="E345" s="250">
        <v>4220.5039999999999</v>
      </c>
    </row>
    <row r="346" spans="3:5" x14ac:dyDescent="0.35">
      <c r="C346" s="1" t="s">
        <v>9148</v>
      </c>
      <c r="D346" s="1" t="s">
        <v>3023</v>
      </c>
      <c r="E346" s="250">
        <v>4220.5050000000001</v>
      </c>
    </row>
    <row r="347" spans="3:5" x14ac:dyDescent="0.35">
      <c r="C347" s="1" t="s">
        <v>9147</v>
      </c>
      <c r="D347" s="1" t="s">
        <v>3023</v>
      </c>
      <c r="E347" s="250">
        <v>4220.5060000000003</v>
      </c>
    </row>
    <row r="348" spans="3:5" x14ac:dyDescent="0.35">
      <c r="C348" s="1" t="s">
        <v>9146</v>
      </c>
      <c r="D348" s="1" t="s">
        <v>3023</v>
      </c>
      <c r="E348" s="250">
        <v>4220.51</v>
      </c>
    </row>
    <row r="349" spans="3:5" x14ac:dyDescent="0.35">
      <c r="C349" s="1" t="s">
        <v>9145</v>
      </c>
      <c r="D349" s="1" t="s">
        <v>3023</v>
      </c>
      <c r="E349" s="250">
        <v>4220.5110000000004</v>
      </c>
    </row>
    <row r="350" spans="3:5" x14ac:dyDescent="0.35">
      <c r="C350" s="1" t="s">
        <v>9144</v>
      </c>
      <c r="D350" s="1" t="s">
        <v>3023</v>
      </c>
      <c r="E350" s="250">
        <v>4220.5119999999997</v>
      </c>
    </row>
    <row r="351" spans="3:5" x14ac:dyDescent="0.35">
      <c r="C351" s="1" t="s">
        <v>9143</v>
      </c>
      <c r="D351" s="1" t="s">
        <v>3023</v>
      </c>
      <c r="E351" s="250">
        <v>4220.5129999999999</v>
      </c>
    </row>
    <row r="352" spans="3:5" x14ac:dyDescent="0.35">
      <c r="C352" s="1" t="s">
        <v>9142</v>
      </c>
      <c r="D352" s="1" t="s">
        <v>3023</v>
      </c>
      <c r="E352" s="250">
        <v>4220.5140000000001</v>
      </c>
    </row>
    <row r="353" spans="3:5" x14ac:dyDescent="0.35">
      <c r="C353" s="1" t="s">
        <v>9141</v>
      </c>
      <c r="D353" s="1" t="s">
        <v>3023</v>
      </c>
      <c r="E353" s="250">
        <v>4220.5150000000003</v>
      </c>
    </row>
    <row r="354" spans="3:5" x14ac:dyDescent="0.35">
      <c r="C354" s="1" t="s">
        <v>9140</v>
      </c>
      <c r="D354" s="1" t="s">
        <v>3023</v>
      </c>
      <c r="E354" s="250">
        <v>4220.5159999999996</v>
      </c>
    </row>
    <row r="355" spans="3:5" x14ac:dyDescent="0.35">
      <c r="C355" s="1" t="s">
        <v>9139</v>
      </c>
      <c r="D355" s="1" t="s">
        <v>3023</v>
      </c>
      <c r="E355" s="250">
        <v>4220.5550000000003</v>
      </c>
    </row>
    <row r="356" spans="3:5" x14ac:dyDescent="0.35">
      <c r="C356" s="1" t="s">
        <v>9138</v>
      </c>
      <c r="D356" s="1" t="s">
        <v>3023</v>
      </c>
      <c r="E356" s="250">
        <v>4220.5559999999996</v>
      </c>
    </row>
    <row r="357" spans="3:5" x14ac:dyDescent="0.35">
      <c r="C357" s="1" t="s">
        <v>9137</v>
      </c>
      <c r="D357" s="1" t="s">
        <v>3023</v>
      </c>
      <c r="E357" s="250">
        <v>4220.5609999999997</v>
      </c>
    </row>
    <row r="358" spans="3:5" x14ac:dyDescent="0.35">
      <c r="C358" s="1" t="s">
        <v>9136</v>
      </c>
      <c r="D358" s="1" t="s">
        <v>3023</v>
      </c>
      <c r="E358" s="250">
        <v>4220.5619999999999</v>
      </c>
    </row>
    <row r="359" spans="3:5" x14ac:dyDescent="0.35">
      <c r="C359" s="1" t="s">
        <v>9135</v>
      </c>
      <c r="D359" s="1" t="s">
        <v>3023</v>
      </c>
      <c r="E359" s="250">
        <v>4220.5649999999996</v>
      </c>
    </row>
    <row r="360" spans="3:5" x14ac:dyDescent="0.35">
      <c r="C360" s="1" t="s">
        <v>9134</v>
      </c>
      <c r="D360" s="1" t="s">
        <v>3023</v>
      </c>
      <c r="E360" s="250">
        <v>4220.5659999999998</v>
      </c>
    </row>
    <row r="361" spans="3:5" x14ac:dyDescent="0.35">
      <c r="C361" s="1" t="s">
        <v>9133</v>
      </c>
      <c r="D361" s="1" t="s">
        <v>3023</v>
      </c>
      <c r="E361" s="250">
        <v>4220.5709999999999</v>
      </c>
    </row>
    <row r="362" spans="3:5" x14ac:dyDescent="0.35">
      <c r="C362" s="1" t="s">
        <v>9132</v>
      </c>
      <c r="D362" s="1" t="s">
        <v>3023</v>
      </c>
      <c r="E362" s="250">
        <v>4220.5720000000001</v>
      </c>
    </row>
    <row r="363" spans="3:5" x14ac:dyDescent="0.35">
      <c r="C363" s="1" t="s">
        <v>9131</v>
      </c>
      <c r="D363" s="1" t="s">
        <v>3023</v>
      </c>
      <c r="E363" s="250">
        <v>4220.5749999999998</v>
      </c>
    </row>
    <row r="364" spans="3:5" x14ac:dyDescent="0.35">
      <c r="C364" s="1" t="s">
        <v>9130</v>
      </c>
      <c r="D364" s="1" t="s">
        <v>3023</v>
      </c>
      <c r="E364" s="250">
        <v>4220.576</v>
      </c>
    </row>
    <row r="365" spans="3:5" x14ac:dyDescent="0.35">
      <c r="C365" s="1" t="s">
        <v>9129</v>
      </c>
      <c r="D365" s="1" t="s">
        <v>3023</v>
      </c>
      <c r="E365" s="250">
        <v>4220.5810000000001</v>
      </c>
    </row>
    <row r="366" spans="3:5" x14ac:dyDescent="0.35">
      <c r="C366" s="1" t="s">
        <v>9128</v>
      </c>
      <c r="D366" s="1" t="s">
        <v>3023</v>
      </c>
      <c r="E366" s="250">
        <v>4220.5820000000003</v>
      </c>
    </row>
    <row r="367" spans="3:5" x14ac:dyDescent="0.35">
      <c r="C367" s="1" t="s">
        <v>9127</v>
      </c>
      <c r="D367" s="1" t="s">
        <v>3023</v>
      </c>
      <c r="E367" s="250">
        <v>4220.585</v>
      </c>
    </row>
    <row r="368" spans="3:5" x14ac:dyDescent="0.35">
      <c r="C368" s="1" t="s">
        <v>9126</v>
      </c>
      <c r="D368" s="1" t="s">
        <v>3023</v>
      </c>
      <c r="E368" s="250">
        <v>4220.5860000000002</v>
      </c>
    </row>
    <row r="369" spans="3:5" x14ac:dyDescent="0.35">
      <c r="C369" s="1" t="s">
        <v>9125</v>
      </c>
      <c r="D369" s="1" t="s">
        <v>3023</v>
      </c>
      <c r="E369" s="250">
        <v>4220.5910000000003</v>
      </c>
    </row>
    <row r="370" spans="3:5" x14ac:dyDescent="0.35">
      <c r="C370" s="1" t="s">
        <v>9124</v>
      </c>
      <c r="D370" s="1" t="s">
        <v>3023</v>
      </c>
      <c r="E370" s="250">
        <v>4220.5919999999996</v>
      </c>
    </row>
    <row r="371" spans="3:5" x14ac:dyDescent="0.35">
      <c r="C371" s="1" t="s">
        <v>9123</v>
      </c>
      <c r="D371" s="1" t="s">
        <v>3023</v>
      </c>
      <c r="E371" s="250">
        <v>4220.6000000000004</v>
      </c>
    </row>
    <row r="372" spans="3:5" x14ac:dyDescent="0.35">
      <c r="C372" s="1" t="s">
        <v>9122</v>
      </c>
      <c r="D372" s="1" t="s">
        <v>3023</v>
      </c>
      <c r="E372" s="250">
        <v>4220.6009999999997</v>
      </c>
    </row>
    <row r="373" spans="3:5" x14ac:dyDescent="0.35">
      <c r="C373" s="1" t="s">
        <v>9121</v>
      </c>
      <c r="D373" s="1" t="s">
        <v>3023</v>
      </c>
      <c r="E373" s="250">
        <v>4220.6019999999999</v>
      </c>
    </row>
    <row r="374" spans="3:5" x14ac:dyDescent="0.35">
      <c r="C374" s="1" t="s">
        <v>9120</v>
      </c>
      <c r="D374" s="1" t="s">
        <v>3023</v>
      </c>
      <c r="E374" s="250">
        <v>4220.6030000000001</v>
      </c>
    </row>
    <row r="375" spans="3:5" x14ac:dyDescent="0.35">
      <c r="C375" s="1" t="s">
        <v>9119</v>
      </c>
      <c r="D375" s="1" t="s">
        <v>3023</v>
      </c>
      <c r="E375" s="250">
        <v>4220.6040000000003</v>
      </c>
    </row>
    <row r="376" spans="3:5" x14ac:dyDescent="0.35">
      <c r="C376" s="1" t="s">
        <v>9118</v>
      </c>
      <c r="D376" s="1" t="s">
        <v>3023</v>
      </c>
      <c r="E376" s="250">
        <v>4220.6049999999996</v>
      </c>
    </row>
    <row r="377" spans="3:5" x14ac:dyDescent="0.35">
      <c r="C377" s="1" t="s">
        <v>9117</v>
      </c>
      <c r="D377" s="1" t="s">
        <v>3023</v>
      </c>
      <c r="E377" s="250">
        <v>4220.6059999999998</v>
      </c>
    </row>
    <row r="378" spans="3:5" x14ac:dyDescent="0.35">
      <c r="C378" s="1" t="s">
        <v>9116</v>
      </c>
      <c r="D378" s="1" t="s">
        <v>3023</v>
      </c>
      <c r="E378" s="250">
        <v>4220.6099999999997</v>
      </c>
    </row>
    <row r="379" spans="3:5" x14ac:dyDescent="0.35">
      <c r="C379" s="1" t="s">
        <v>9115</v>
      </c>
      <c r="D379" s="1" t="s">
        <v>3023</v>
      </c>
      <c r="E379" s="250">
        <v>4220.6109999999999</v>
      </c>
    </row>
    <row r="380" spans="3:5" x14ac:dyDescent="0.35">
      <c r="C380" s="1" t="s">
        <v>9114</v>
      </c>
      <c r="D380" s="1" t="s">
        <v>3023</v>
      </c>
      <c r="E380" s="250">
        <v>4220.6120000000001</v>
      </c>
    </row>
    <row r="381" spans="3:5" x14ac:dyDescent="0.35">
      <c r="C381" s="1" t="s">
        <v>9113</v>
      </c>
      <c r="D381" s="1" t="s">
        <v>3023</v>
      </c>
      <c r="E381" s="250">
        <v>4220.6130000000003</v>
      </c>
    </row>
    <row r="382" spans="3:5" x14ac:dyDescent="0.35">
      <c r="C382" s="1" t="s">
        <v>9112</v>
      </c>
      <c r="D382" s="1" t="s">
        <v>3023</v>
      </c>
      <c r="E382" s="250">
        <v>4220.6139999999996</v>
      </c>
    </row>
    <row r="383" spans="3:5" x14ac:dyDescent="0.35">
      <c r="C383" s="1" t="s">
        <v>9111</v>
      </c>
      <c r="D383" s="1" t="s">
        <v>3023</v>
      </c>
      <c r="E383" s="250">
        <v>4220.6149999999998</v>
      </c>
    </row>
    <row r="384" spans="3:5" x14ac:dyDescent="0.35">
      <c r="C384" s="1" t="s">
        <v>9110</v>
      </c>
      <c r="D384" s="1" t="s">
        <v>3023</v>
      </c>
      <c r="E384" s="250">
        <v>4220.616</v>
      </c>
    </row>
    <row r="385" spans="3:5" x14ac:dyDescent="0.35">
      <c r="C385" s="1" t="s">
        <v>9109</v>
      </c>
      <c r="D385" s="1" t="s">
        <v>3023</v>
      </c>
      <c r="E385" s="250">
        <v>4220.625</v>
      </c>
    </row>
    <row r="386" spans="3:5" x14ac:dyDescent="0.35">
      <c r="C386" s="1" t="s">
        <v>9108</v>
      </c>
      <c r="D386" s="1" t="s">
        <v>3023</v>
      </c>
      <c r="E386" s="250">
        <v>4220.6260000000002</v>
      </c>
    </row>
    <row r="387" spans="3:5" x14ac:dyDescent="0.35">
      <c r="C387" s="1" t="s">
        <v>9107</v>
      </c>
      <c r="D387" s="1" t="s">
        <v>3023</v>
      </c>
      <c r="E387" s="250">
        <v>4220.6310000000003</v>
      </c>
    </row>
    <row r="388" spans="3:5" x14ac:dyDescent="0.35">
      <c r="C388" s="1" t="s">
        <v>9106</v>
      </c>
      <c r="D388" s="1" t="s">
        <v>3023</v>
      </c>
      <c r="E388" s="250">
        <v>4220.6319999999996</v>
      </c>
    </row>
    <row r="389" spans="3:5" x14ac:dyDescent="0.35">
      <c r="C389" s="1" t="s">
        <v>9105</v>
      </c>
      <c r="D389" s="1" t="s">
        <v>3023</v>
      </c>
      <c r="E389" s="250">
        <v>4220.6350000000002</v>
      </c>
    </row>
    <row r="390" spans="3:5" x14ac:dyDescent="0.35">
      <c r="C390" s="1" t="s">
        <v>9104</v>
      </c>
      <c r="D390" s="1" t="s">
        <v>3023</v>
      </c>
      <c r="E390" s="250">
        <v>4220.6360000000004</v>
      </c>
    </row>
    <row r="391" spans="3:5" x14ac:dyDescent="0.35">
      <c r="C391" s="1" t="s">
        <v>9103</v>
      </c>
      <c r="D391" s="1" t="s">
        <v>3023</v>
      </c>
      <c r="E391" s="250">
        <v>4220.6409999999996</v>
      </c>
    </row>
    <row r="392" spans="3:5" x14ac:dyDescent="0.35">
      <c r="C392" s="1" t="s">
        <v>9102</v>
      </c>
      <c r="D392" s="1" t="s">
        <v>3023</v>
      </c>
      <c r="E392" s="250">
        <v>4220.6419999999998</v>
      </c>
    </row>
    <row r="393" spans="3:5" x14ac:dyDescent="0.35">
      <c r="C393" s="1" t="s">
        <v>9101</v>
      </c>
      <c r="D393" s="1" t="s">
        <v>3023</v>
      </c>
      <c r="E393" s="250">
        <v>4220.6450000000004</v>
      </c>
    </row>
    <row r="394" spans="3:5" x14ac:dyDescent="0.35">
      <c r="C394" s="1" t="s">
        <v>9100</v>
      </c>
      <c r="D394" s="1" t="s">
        <v>3023</v>
      </c>
      <c r="E394" s="250">
        <v>4220.6459999999997</v>
      </c>
    </row>
    <row r="395" spans="3:5" x14ac:dyDescent="0.35">
      <c r="C395" s="1" t="s">
        <v>9099</v>
      </c>
      <c r="D395" s="1" t="s">
        <v>3023</v>
      </c>
      <c r="E395" s="250">
        <v>4220.6509999999998</v>
      </c>
    </row>
    <row r="396" spans="3:5" x14ac:dyDescent="0.35">
      <c r="C396" s="1" t="s">
        <v>9098</v>
      </c>
      <c r="D396" s="1" t="s">
        <v>3023</v>
      </c>
      <c r="E396" s="250">
        <v>4220.652</v>
      </c>
    </row>
    <row r="397" spans="3:5" x14ac:dyDescent="0.35">
      <c r="C397" s="1" t="s">
        <v>9097</v>
      </c>
      <c r="D397" s="1" t="s">
        <v>3023</v>
      </c>
      <c r="E397" s="250">
        <v>4220.6549999999997</v>
      </c>
    </row>
    <row r="398" spans="3:5" x14ac:dyDescent="0.35">
      <c r="C398" s="1" t="s">
        <v>9096</v>
      </c>
      <c r="D398" s="1" t="s">
        <v>3023</v>
      </c>
      <c r="E398" s="250">
        <v>4220.6559999999999</v>
      </c>
    </row>
    <row r="399" spans="3:5" x14ac:dyDescent="0.35">
      <c r="C399" s="1" t="s">
        <v>9095</v>
      </c>
      <c r="D399" s="1" t="s">
        <v>3023</v>
      </c>
      <c r="E399" s="250">
        <v>4220.6610000000001</v>
      </c>
    </row>
    <row r="400" spans="3:5" x14ac:dyDescent="0.35">
      <c r="C400" s="1" t="s">
        <v>9094</v>
      </c>
      <c r="D400" s="1" t="s">
        <v>3023</v>
      </c>
      <c r="E400" s="250">
        <v>4220.6620000000003</v>
      </c>
    </row>
    <row r="401" spans="3:5" x14ac:dyDescent="0.35">
      <c r="C401" s="1" t="s">
        <v>9093</v>
      </c>
      <c r="D401" s="1" t="s">
        <v>3023</v>
      </c>
      <c r="E401" s="250">
        <v>4220.7</v>
      </c>
    </row>
    <row r="402" spans="3:5" x14ac:dyDescent="0.35">
      <c r="C402" s="1" t="s">
        <v>9092</v>
      </c>
      <c r="D402" s="1" t="s">
        <v>3023</v>
      </c>
      <c r="E402" s="250">
        <v>4220.701</v>
      </c>
    </row>
    <row r="403" spans="3:5" x14ac:dyDescent="0.35">
      <c r="C403" s="1" t="s">
        <v>9091</v>
      </c>
      <c r="D403" s="1" t="s">
        <v>3023</v>
      </c>
      <c r="E403" s="250">
        <v>4220.7020000000002</v>
      </c>
    </row>
    <row r="404" spans="3:5" x14ac:dyDescent="0.35">
      <c r="C404" s="1" t="s">
        <v>9090</v>
      </c>
      <c r="D404" s="1" t="s">
        <v>3023</v>
      </c>
      <c r="E404" s="250">
        <v>4220.7030000000004</v>
      </c>
    </row>
    <row r="405" spans="3:5" x14ac:dyDescent="0.35">
      <c r="C405" s="1" t="s">
        <v>9089</v>
      </c>
      <c r="D405" s="1" t="s">
        <v>3023</v>
      </c>
      <c r="E405" s="250">
        <v>4220.7039999999997</v>
      </c>
    </row>
    <row r="406" spans="3:5" x14ac:dyDescent="0.35">
      <c r="C406" s="1" t="s">
        <v>9088</v>
      </c>
      <c r="D406" s="1" t="s">
        <v>3023</v>
      </c>
      <c r="E406" s="250">
        <v>4220.7049999999999</v>
      </c>
    </row>
    <row r="407" spans="3:5" x14ac:dyDescent="0.35">
      <c r="C407" s="1" t="s">
        <v>9087</v>
      </c>
      <c r="D407" s="1" t="s">
        <v>3023</v>
      </c>
      <c r="E407" s="250">
        <v>4220.7060000000001</v>
      </c>
    </row>
    <row r="408" spans="3:5" x14ac:dyDescent="0.35">
      <c r="C408" s="1" t="s">
        <v>9086</v>
      </c>
      <c r="D408" s="1" t="s">
        <v>3023</v>
      </c>
      <c r="E408" s="250">
        <v>4220.71</v>
      </c>
    </row>
    <row r="409" spans="3:5" x14ac:dyDescent="0.35">
      <c r="C409" s="1" t="s">
        <v>9085</v>
      </c>
      <c r="D409" s="1" t="s">
        <v>3023</v>
      </c>
      <c r="E409" s="250">
        <v>4220.7110000000002</v>
      </c>
    </row>
    <row r="410" spans="3:5" x14ac:dyDescent="0.35">
      <c r="C410" s="1" t="s">
        <v>9084</v>
      </c>
      <c r="D410" s="1" t="s">
        <v>3023</v>
      </c>
      <c r="E410" s="250">
        <v>4220.7120000000004</v>
      </c>
    </row>
    <row r="411" spans="3:5" x14ac:dyDescent="0.35">
      <c r="C411" s="1" t="s">
        <v>9083</v>
      </c>
      <c r="D411" s="1" t="s">
        <v>3023</v>
      </c>
      <c r="E411" s="250">
        <v>4220.7129999999997</v>
      </c>
    </row>
    <row r="412" spans="3:5" x14ac:dyDescent="0.35">
      <c r="C412" s="1" t="s">
        <v>9082</v>
      </c>
      <c r="D412" s="1" t="s">
        <v>3023</v>
      </c>
      <c r="E412" s="250">
        <v>4220.7139999999999</v>
      </c>
    </row>
    <row r="413" spans="3:5" x14ac:dyDescent="0.35">
      <c r="C413" s="1" t="s">
        <v>9081</v>
      </c>
      <c r="D413" s="1" t="s">
        <v>3023</v>
      </c>
      <c r="E413" s="250">
        <v>4220.7150000000001</v>
      </c>
    </row>
    <row r="414" spans="3:5" x14ac:dyDescent="0.35">
      <c r="C414" s="1" t="s">
        <v>9080</v>
      </c>
      <c r="D414" s="1" t="s">
        <v>3023</v>
      </c>
      <c r="E414" s="250">
        <v>4220.7160000000003</v>
      </c>
    </row>
    <row r="415" spans="3:5" x14ac:dyDescent="0.35">
      <c r="C415" s="1" t="s">
        <v>9079</v>
      </c>
      <c r="D415" s="1" t="s">
        <v>3023</v>
      </c>
      <c r="E415" s="250">
        <v>4220.8</v>
      </c>
    </row>
    <row r="416" spans="3:5" x14ac:dyDescent="0.35">
      <c r="C416" s="1" t="s">
        <v>9078</v>
      </c>
      <c r="D416" s="1" t="s">
        <v>3023</v>
      </c>
      <c r="E416" s="250">
        <v>4220.8010000000004</v>
      </c>
    </row>
    <row r="417" spans="3:5" x14ac:dyDescent="0.35">
      <c r="C417" s="1" t="s">
        <v>9077</v>
      </c>
      <c r="D417" s="1" t="s">
        <v>3023</v>
      </c>
      <c r="E417" s="250">
        <v>4220.8019999999997</v>
      </c>
    </row>
    <row r="418" spans="3:5" x14ac:dyDescent="0.35">
      <c r="C418" s="1" t="s">
        <v>9076</v>
      </c>
      <c r="D418" s="1" t="s">
        <v>3023</v>
      </c>
      <c r="E418" s="250">
        <v>4220.8029999999999</v>
      </c>
    </row>
    <row r="419" spans="3:5" x14ac:dyDescent="0.35">
      <c r="C419" s="1" t="s">
        <v>9075</v>
      </c>
      <c r="D419" s="1" t="s">
        <v>3023</v>
      </c>
      <c r="E419" s="250">
        <v>4220.8040000000001</v>
      </c>
    </row>
    <row r="420" spans="3:5" x14ac:dyDescent="0.35">
      <c r="C420" s="1" t="s">
        <v>9074</v>
      </c>
      <c r="D420" s="1" t="s">
        <v>3023</v>
      </c>
      <c r="E420" s="250">
        <v>4220.8050000000003</v>
      </c>
    </row>
    <row r="421" spans="3:5" x14ac:dyDescent="0.35">
      <c r="C421" s="1" t="s">
        <v>9073</v>
      </c>
      <c r="D421" s="1" t="s">
        <v>3023</v>
      </c>
      <c r="E421" s="250">
        <v>4220.8059999999996</v>
      </c>
    </row>
    <row r="422" spans="3:5" x14ac:dyDescent="0.35">
      <c r="C422" s="1" t="s">
        <v>9072</v>
      </c>
      <c r="D422" s="1" t="s">
        <v>3023</v>
      </c>
      <c r="E422" s="250">
        <v>4220.8100000000004</v>
      </c>
    </row>
    <row r="423" spans="3:5" x14ac:dyDescent="0.35">
      <c r="C423" s="1" t="s">
        <v>9071</v>
      </c>
      <c r="D423" s="1" t="s">
        <v>3023</v>
      </c>
      <c r="E423" s="250">
        <v>4220.8109999999997</v>
      </c>
    </row>
    <row r="424" spans="3:5" x14ac:dyDescent="0.35">
      <c r="C424" s="1" t="s">
        <v>9070</v>
      </c>
      <c r="D424" s="1" t="s">
        <v>3023</v>
      </c>
      <c r="E424" s="250">
        <v>4220.8119999999999</v>
      </c>
    </row>
    <row r="425" spans="3:5" x14ac:dyDescent="0.35">
      <c r="C425" s="1" t="s">
        <v>9069</v>
      </c>
      <c r="D425" s="1" t="s">
        <v>3023</v>
      </c>
      <c r="E425" s="250">
        <v>4220.8130000000001</v>
      </c>
    </row>
    <row r="426" spans="3:5" x14ac:dyDescent="0.35">
      <c r="C426" s="1" t="s">
        <v>9068</v>
      </c>
      <c r="D426" s="1" t="s">
        <v>3023</v>
      </c>
      <c r="E426" s="250">
        <v>4220.8140000000003</v>
      </c>
    </row>
    <row r="427" spans="3:5" x14ac:dyDescent="0.35">
      <c r="C427" s="1" t="s">
        <v>9067</v>
      </c>
      <c r="D427" s="1" t="s">
        <v>3023</v>
      </c>
      <c r="E427" s="250">
        <v>4220.8149999999996</v>
      </c>
    </row>
    <row r="428" spans="3:5" x14ac:dyDescent="0.35">
      <c r="C428" s="1" t="s">
        <v>9066</v>
      </c>
      <c r="D428" s="1" t="s">
        <v>3023</v>
      </c>
      <c r="E428" s="250">
        <v>4220.8159999999998</v>
      </c>
    </row>
    <row r="429" spans="3:5" x14ac:dyDescent="0.35">
      <c r="C429" s="1" t="s">
        <v>9065</v>
      </c>
      <c r="D429" s="1" t="s">
        <v>3023</v>
      </c>
      <c r="E429" s="250">
        <v>4220.82</v>
      </c>
    </row>
    <row r="430" spans="3:5" x14ac:dyDescent="0.35">
      <c r="C430" s="1" t="s">
        <v>9064</v>
      </c>
      <c r="D430" s="1" t="s">
        <v>3023</v>
      </c>
      <c r="E430" s="250">
        <v>4220.8209999999999</v>
      </c>
    </row>
    <row r="431" spans="3:5" x14ac:dyDescent="0.35">
      <c r="C431" s="1" t="s">
        <v>9063</v>
      </c>
      <c r="D431" s="1" t="s">
        <v>3023</v>
      </c>
      <c r="E431" s="250">
        <v>4220.8220000000001</v>
      </c>
    </row>
    <row r="432" spans="3:5" x14ac:dyDescent="0.35">
      <c r="C432" s="1" t="s">
        <v>9062</v>
      </c>
      <c r="D432" s="1" t="s">
        <v>3023</v>
      </c>
      <c r="E432" s="250">
        <v>4220.8230000000003</v>
      </c>
    </row>
    <row r="433" spans="3:5" x14ac:dyDescent="0.35">
      <c r="C433" s="1" t="s">
        <v>9061</v>
      </c>
      <c r="D433" s="1" t="s">
        <v>3023</v>
      </c>
      <c r="E433" s="250">
        <v>4220.8239999999996</v>
      </c>
    </row>
    <row r="434" spans="3:5" x14ac:dyDescent="0.35">
      <c r="C434" s="1" t="s">
        <v>9060</v>
      </c>
      <c r="D434" s="1" t="s">
        <v>3023</v>
      </c>
      <c r="E434" s="250">
        <v>4220.8249999999998</v>
      </c>
    </row>
    <row r="435" spans="3:5" x14ac:dyDescent="0.35">
      <c r="C435" s="1" t="s">
        <v>9059</v>
      </c>
      <c r="D435" s="1" t="s">
        <v>3023</v>
      </c>
      <c r="E435" s="250">
        <v>4220.826</v>
      </c>
    </row>
    <row r="436" spans="3:5" x14ac:dyDescent="0.35">
      <c r="C436" s="1" t="s">
        <v>9058</v>
      </c>
      <c r="D436" s="1" t="s">
        <v>3023</v>
      </c>
      <c r="E436" s="250">
        <v>4220.8270000000002</v>
      </c>
    </row>
    <row r="437" spans="3:5" x14ac:dyDescent="0.35">
      <c r="C437" s="1" t="s">
        <v>9057</v>
      </c>
      <c r="D437" s="1" t="s">
        <v>3023</v>
      </c>
      <c r="E437" s="250">
        <v>4220.8280000000004</v>
      </c>
    </row>
    <row r="438" spans="3:5" x14ac:dyDescent="0.35">
      <c r="C438" s="1" t="s">
        <v>9056</v>
      </c>
      <c r="D438" s="1" t="s">
        <v>3023</v>
      </c>
      <c r="E438" s="250">
        <v>4220.8289999999997</v>
      </c>
    </row>
    <row r="439" spans="3:5" x14ac:dyDescent="0.35">
      <c r="C439" s="1" t="s">
        <v>9055</v>
      </c>
      <c r="D439" s="1" t="s">
        <v>3023</v>
      </c>
      <c r="E439" s="250">
        <v>4220.83</v>
      </c>
    </row>
    <row r="440" spans="3:5" x14ac:dyDescent="0.35">
      <c r="C440" s="1" t="s">
        <v>9054</v>
      </c>
      <c r="D440" s="1" t="s">
        <v>3023</v>
      </c>
      <c r="E440" s="250">
        <v>4220.8310000000001</v>
      </c>
    </row>
    <row r="441" spans="3:5" x14ac:dyDescent="0.35">
      <c r="C441" s="1" t="s">
        <v>9053</v>
      </c>
      <c r="D441" s="1" t="s">
        <v>3023</v>
      </c>
      <c r="E441" s="250">
        <v>4220.8320000000003</v>
      </c>
    </row>
    <row r="442" spans="3:5" x14ac:dyDescent="0.35">
      <c r="C442" s="1" t="s">
        <v>9052</v>
      </c>
      <c r="D442" s="1" t="s">
        <v>3023</v>
      </c>
      <c r="E442" s="250">
        <v>4220.8329999999996</v>
      </c>
    </row>
    <row r="443" spans="3:5" x14ac:dyDescent="0.35">
      <c r="C443" s="1" t="s">
        <v>9051</v>
      </c>
      <c r="D443" s="1" t="s">
        <v>3023</v>
      </c>
      <c r="E443" s="250">
        <v>4220.8339999999998</v>
      </c>
    </row>
    <row r="444" spans="3:5" x14ac:dyDescent="0.35">
      <c r="C444" s="1" t="s">
        <v>9050</v>
      </c>
      <c r="D444" s="1" t="s">
        <v>3023</v>
      </c>
      <c r="E444" s="250">
        <v>4220.835</v>
      </c>
    </row>
    <row r="445" spans="3:5" x14ac:dyDescent="0.35">
      <c r="C445" s="1" t="s">
        <v>9049</v>
      </c>
      <c r="D445" s="1" t="s">
        <v>3023</v>
      </c>
      <c r="E445" s="250">
        <v>4220.8360000000002</v>
      </c>
    </row>
    <row r="446" spans="3:5" x14ac:dyDescent="0.35">
      <c r="C446" s="1" t="s">
        <v>9048</v>
      </c>
      <c r="D446" s="1" t="s">
        <v>3023</v>
      </c>
      <c r="E446" s="250">
        <v>4220.8370000000004</v>
      </c>
    </row>
    <row r="447" spans="3:5" x14ac:dyDescent="0.35">
      <c r="C447" s="1" t="s">
        <v>9047</v>
      </c>
      <c r="D447" s="1" t="s">
        <v>3023</v>
      </c>
      <c r="E447" s="250">
        <v>4220.8379999999997</v>
      </c>
    </row>
    <row r="448" spans="3:5" x14ac:dyDescent="0.35">
      <c r="C448" s="1" t="s">
        <v>9046</v>
      </c>
      <c r="D448" s="1" t="s">
        <v>3023</v>
      </c>
      <c r="E448" s="250">
        <v>4220.8389999999999</v>
      </c>
    </row>
    <row r="449" spans="3:5" x14ac:dyDescent="0.35">
      <c r="C449" s="1" t="s">
        <v>9045</v>
      </c>
      <c r="D449" s="1" t="s">
        <v>3023</v>
      </c>
      <c r="E449" s="250">
        <v>4220.84</v>
      </c>
    </row>
    <row r="450" spans="3:5" x14ac:dyDescent="0.35">
      <c r="C450" s="1" t="s">
        <v>9044</v>
      </c>
      <c r="D450" s="1" t="s">
        <v>3023</v>
      </c>
      <c r="E450" s="250">
        <v>4220.8410000000003</v>
      </c>
    </row>
    <row r="451" spans="3:5" x14ac:dyDescent="0.35">
      <c r="C451" s="1" t="s">
        <v>9043</v>
      </c>
      <c r="D451" s="1" t="s">
        <v>3023</v>
      </c>
      <c r="E451" s="250">
        <v>4220.8419999999996</v>
      </c>
    </row>
    <row r="452" spans="3:5" x14ac:dyDescent="0.35">
      <c r="C452" s="1" t="s">
        <v>9042</v>
      </c>
      <c r="D452" s="1" t="s">
        <v>3023</v>
      </c>
      <c r="E452" s="250">
        <v>4220.8429999999998</v>
      </c>
    </row>
    <row r="453" spans="3:5" x14ac:dyDescent="0.35">
      <c r="C453" s="1" t="s">
        <v>9041</v>
      </c>
      <c r="D453" s="1" t="s">
        <v>3023</v>
      </c>
      <c r="E453" s="250">
        <v>4220.8440000000001</v>
      </c>
    </row>
    <row r="454" spans="3:5" x14ac:dyDescent="0.35">
      <c r="C454" s="1" t="s">
        <v>9040</v>
      </c>
      <c r="D454" s="1" t="s">
        <v>3023</v>
      </c>
      <c r="E454" s="250">
        <v>4220.8450000000003</v>
      </c>
    </row>
    <row r="455" spans="3:5" x14ac:dyDescent="0.35">
      <c r="C455" s="1" t="s">
        <v>9039</v>
      </c>
      <c r="D455" s="1" t="s">
        <v>3023</v>
      </c>
      <c r="E455" s="250">
        <v>4220.8459999999995</v>
      </c>
    </row>
    <row r="456" spans="3:5" x14ac:dyDescent="0.35">
      <c r="C456" s="1" t="s">
        <v>9038</v>
      </c>
      <c r="D456" s="1" t="s">
        <v>3023</v>
      </c>
      <c r="E456" s="250">
        <v>4220.8469999999998</v>
      </c>
    </row>
    <row r="457" spans="3:5" x14ac:dyDescent="0.35">
      <c r="C457" s="1" t="s">
        <v>9037</v>
      </c>
      <c r="D457" s="1" t="s">
        <v>3023</v>
      </c>
      <c r="E457" s="250">
        <v>4220.848</v>
      </c>
    </row>
    <row r="458" spans="3:5" x14ac:dyDescent="0.35">
      <c r="C458" s="1" t="s">
        <v>9036</v>
      </c>
      <c r="D458" s="1" t="s">
        <v>3023</v>
      </c>
      <c r="E458" s="250">
        <v>4220.8490000000002</v>
      </c>
    </row>
    <row r="459" spans="3:5" x14ac:dyDescent="0.35">
      <c r="C459" s="1" t="s">
        <v>9035</v>
      </c>
      <c r="D459" s="1" t="s">
        <v>3023</v>
      </c>
      <c r="E459" s="250">
        <v>4220.8500000000004</v>
      </c>
    </row>
    <row r="460" spans="3:5" x14ac:dyDescent="0.35">
      <c r="C460" s="1" t="s">
        <v>9034</v>
      </c>
      <c r="D460" s="1" t="s">
        <v>3023</v>
      </c>
      <c r="E460" s="250">
        <v>4220.8509999999997</v>
      </c>
    </row>
    <row r="461" spans="3:5" x14ac:dyDescent="0.35">
      <c r="C461" s="1" t="s">
        <v>9033</v>
      </c>
      <c r="D461" s="1" t="s">
        <v>3023</v>
      </c>
      <c r="E461" s="250">
        <v>4220.8519999999999</v>
      </c>
    </row>
    <row r="462" spans="3:5" x14ac:dyDescent="0.35">
      <c r="C462" s="1" t="s">
        <v>9032</v>
      </c>
      <c r="D462" s="1" t="s">
        <v>3023</v>
      </c>
      <c r="E462" s="250">
        <v>4220.8530000000001</v>
      </c>
    </row>
    <row r="463" spans="3:5" x14ac:dyDescent="0.35">
      <c r="C463" s="1" t="s">
        <v>9031</v>
      </c>
      <c r="D463" s="1" t="s">
        <v>3023</v>
      </c>
      <c r="E463" s="250">
        <v>4220.8540000000003</v>
      </c>
    </row>
    <row r="464" spans="3:5" x14ac:dyDescent="0.35">
      <c r="C464" s="1" t="s">
        <v>9030</v>
      </c>
      <c r="D464" s="1" t="s">
        <v>3023</v>
      </c>
      <c r="E464" s="250">
        <v>4220.8549999999996</v>
      </c>
    </row>
    <row r="465" spans="3:5" x14ac:dyDescent="0.35">
      <c r="C465" s="1" t="s">
        <v>9029</v>
      </c>
      <c r="D465" s="1" t="s">
        <v>3023</v>
      </c>
      <c r="E465" s="250">
        <v>4220.8559999999998</v>
      </c>
    </row>
    <row r="466" spans="3:5" x14ac:dyDescent="0.35">
      <c r="C466" s="1" t="s">
        <v>9028</v>
      </c>
      <c r="D466" s="1" t="s">
        <v>3023</v>
      </c>
      <c r="E466" s="250">
        <v>4220.857</v>
      </c>
    </row>
    <row r="467" spans="3:5" x14ac:dyDescent="0.35">
      <c r="C467" s="1" t="s">
        <v>9027</v>
      </c>
      <c r="D467" s="1" t="s">
        <v>3023</v>
      </c>
      <c r="E467" s="250">
        <v>4220.8580000000002</v>
      </c>
    </row>
    <row r="468" spans="3:5" x14ac:dyDescent="0.35">
      <c r="C468" s="1" t="s">
        <v>9026</v>
      </c>
      <c r="D468" s="1" t="s">
        <v>3023</v>
      </c>
      <c r="E468" s="250">
        <v>4220.8590000000004</v>
      </c>
    </row>
    <row r="469" spans="3:5" x14ac:dyDescent="0.35">
      <c r="C469" s="1" t="s">
        <v>9025</v>
      </c>
      <c r="D469" s="1" t="s">
        <v>3023</v>
      </c>
      <c r="E469" s="250">
        <v>4220.8599999999997</v>
      </c>
    </row>
    <row r="470" spans="3:5" x14ac:dyDescent="0.35">
      <c r="C470" s="1" t="s">
        <v>9024</v>
      </c>
      <c r="D470" s="1" t="s">
        <v>3023</v>
      </c>
      <c r="E470" s="250">
        <v>4220.8609999999999</v>
      </c>
    </row>
    <row r="471" spans="3:5" x14ac:dyDescent="0.35">
      <c r="C471" s="1" t="s">
        <v>9023</v>
      </c>
      <c r="D471" s="1" t="s">
        <v>3023</v>
      </c>
      <c r="E471" s="250">
        <v>4220.8620000000001</v>
      </c>
    </row>
    <row r="472" spans="3:5" x14ac:dyDescent="0.35">
      <c r="C472" s="1" t="s">
        <v>9022</v>
      </c>
      <c r="D472" s="1" t="s">
        <v>3023</v>
      </c>
      <c r="E472" s="250">
        <v>4220.8630000000003</v>
      </c>
    </row>
    <row r="473" spans="3:5" x14ac:dyDescent="0.35">
      <c r="C473" s="1" t="s">
        <v>9021</v>
      </c>
      <c r="D473" s="1" t="s">
        <v>3023</v>
      </c>
      <c r="E473" s="250">
        <v>4220.8639999999996</v>
      </c>
    </row>
    <row r="474" spans="3:5" x14ac:dyDescent="0.35">
      <c r="C474" s="1" t="s">
        <v>9020</v>
      </c>
      <c r="D474" s="1" t="s">
        <v>3023</v>
      </c>
      <c r="E474" s="250">
        <v>4220.8649999999998</v>
      </c>
    </row>
    <row r="475" spans="3:5" x14ac:dyDescent="0.35">
      <c r="C475" s="1" t="s">
        <v>9019</v>
      </c>
      <c r="D475" s="1" t="s">
        <v>3023</v>
      </c>
      <c r="E475" s="250">
        <v>4220.866</v>
      </c>
    </row>
    <row r="476" spans="3:5" x14ac:dyDescent="0.35">
      <c r="C476" s="1" t="s">
        <v>9018</v>
      </c>
      <c r="D476" s="1" t="s">
        <v>3023</v>
      </c>
      <c r="E476" s="250">
        <v>4220.8670000000002</v>
      </c>
    </row>
    <row r="477" spans="3:5" x14ac:dyDescent="0.35">
      <c r="C477" s="1" t="s">
        <v>9017</v>
      </c>
      <c r="D477" s="1" t="s">
        <v>3023</v>
      </c>
      <c r="E477" s="250">
        <v>4220.8680000000004</v>
      </c>
    </row>
    <row r="478" spans="3:5" x14ac:dyDescent="0.35">
      <c r="C478" s="1" t="s">
        <v>9016</v>
      </c>
      <c r="D478" s="1" t="s">
        <v>3023</v>
      </c>
      <c r="E478" s="250">
        <v>4220.8689999999997</v>
      </c>
    </row>
    <row r="479" spans="3:5" x14ac:dyDescent="0.35">
      <c r="C479" s="1" t="s">
        <v>9015</v>
      </c>
      <c r="D479" s="1" t="s">
        <v>3023</v>
      </c>
      <c r="E479" s="250">
        <v>4220.87</v>
      </c>
    </row>
    <row r="480" spans="3:5" x14ac:dyDescent="0.35">
      <c r="C480" s="1" t="s">
        <v>9014</v>
      </c>
      <c r="D480" s="1" t="s">
        <v>3023</v>
      </c>
      <c r="E480" s="250">
        <v>4220.8710000000001</v>
      </c>
    </row>
    <row r="481" spans="3:5" x14ac:dyDescent="0.35">
      <c r="C481" s="1" t="s">
        <v>9013</v>
      </c>
      <c r="D481" s="1" t="s">
        <v>3023</v>
      </c>
      <c r="E481" s="250">
        <v>4220.8720000000003</v>
      </c>
    </row>
    <row r="482" spans="3:5" x14ac:dyDescent="0.35">
      <c r="C482" s="1" t="s">
        <v>9012</v>
      </c>
      <c r="D482" s="1" t="s">
        <v>3023</v>
      </c>
      <c r="E482" s="250">
        <v>4220.8729999999996</v>
      </c>
    </row>
    <row r="483" spans="3:5" x14ac:dyDescent="0.35">
      <c r="C483" s="1" t="s">
        <v>9011</v>
      </c>
      <c r="D483" s="1" t="s">
        <v>3023</v>
      </c>
      <c r="E483" s="250">
        <v>4220.8739999999998</v>
      </c>
    </row>
    <row r="484" spans="3:5" x14ac:dyDescent="0.35">
      <c r="C484" s="1" t="s">
        <v>9010</v>
      </c>
      <c r="D484" s="1" t="s">
        <v>3023</v>
      </c>
      <c r="E484" s="250">
        <v>4220.875</v>
      </c>
    </row>
    <row r="485" spans="3:5" x14ac:dyDescent="0.35">
      <c r="C485" s="1" t="s">
        <v>9009</v>
      </c>
      <c r="D485" s="1" t="s">
        <v>3023</v>
      </c>
      <c r="E485" s="250">
        <v>4220.8760000000002</v>
      </c>
    </row>
    <row r="486" spans="3:5" x14ac:dyDescent="0.35">
      <c r="C486" s="1" t="s">
        <v>9008</v>
      </c>
      <c r="D486" s="1" t="s">
        <v>3023</v>
      </c>
      <c r="E486" s="250">
        <v>4220.8770000000004</v>
      </c>
    </row>
    <row r="487" spans="3:5" x14ac:dyDescent="0.35">
      <c r="C487" s="1" t="s">
        <v>9007</v>
      </c>
      <c r="D487" s="1" t="s">
        <v>3023</v>
      </c>
      <c r="E487" s="250">
        <v>4220.8779999999997</v>
      </c>
    </row>
    <row r="488" spans="3:5" x14ac:dyDescent="0.35">
      <c r="C488" s="1" t="s">
        <v>9006</v>
      </c>
      <c r="D488" s="1" t="s">
        <v>3023</v>
      </c>
      <c r="E488" s="250">
        <v>4220.8789999999999</v>
      </c>
    </row>
    <row r="489" spans="3:5" x14ac:dyDescent="0.35">
      <c r="C489" s="1" t="s">
        <v>9005</v>
      </c>
      <c r="D489" s="1" t="s">
        <v>3023</v>
      </c>
      <c r="E489" s="250">
        <v>4220.88</v>
      </c>
    </row>
    <row r="490" spans="3:5" x14ac:dyDescent="0.35">
      <c r="C490" s="1" t="s">
        <v>9004</v>
      </c>
      <c r="D490" s="1" t="s">
        <v>3023</v>
      </c>
      <c r="E490" s="250">
        <v>4220.8810000000003</v>
      </c>
    </row>
    <row r="491" spans="3:5" x14ac:dyDescent="0.35">
      <c r="C491" s="1" t="s">
        <v>9003</v>
      </c>
      <c r="D491" s="1" t="s">
        <v>3023</v>
      </c>
      <c r="E491" s="250">
        <v>4220.8819999999996</v>
      </c>
    </row>
    <row r="492" spans="3:5" x14ac:dyDescent="0.35">
      <c r="C492" s="1" t="s">
        <v>9002</v>
      </c>
      <c r="D492" s="1" t="s">
        <v>3023</v>
      </c>
      <c r="E492" s="250">
        <v>4220.8829999999998</v>
      </c>
    </row>
    <row r="493" spans="3:5" x14ac:dyDescent="0.35">
      <c r="C493" s="1" t="s">
        <v>9001</v>
      </c>
      <c r="D493" s="1" t="s">
        <v>3023</v>
      </c>
      <c r="E493" s="250">
        <v>4220.884</v>
      </c>
    </row>
    <row r="494" spans="3:5" x14ac:dyDescent="0.35">
      <c r="C494" s="1" t="s">
        <v>9000</v>
      </c>
      <c r="D494" s="1" t="s">
        <v>3023</v>
      </c>
      <c r="E494" s="250">
        <v>4220.8850000000002</v>
      </c>
    </row>
    <row r="495" spans="3:5" x14ac:dyDescent="0.35">
      <c r="C495" s="1" t="s">
        <v>8999</v>
      </c>
      <c r="D495" s="1" t="s">
        <v>3023</v>
      </c>
      <c r="E495" s="250">
        <v>4220.8860000000004</v>
      </c>
    </row>
    <row r="496" spans="3:5" x14ac:dyDescent="0.35">
      <c r="C496" s="1" t="s">
        <v>8998</v>
      </c>
      <c r="D496" s="1" t="s">
        <v>3023</v>
      </c>
      <c r="E496" s="250">
        <v>4220.8869999999997</v>
      </c>
    </row>
    <row r="497" spans="3:5" x14ac:dyDescent="0.35">
      <c r="C497" s="1" t="s">
        <v>8997</v>
      </c>
      <c r="D497" s="1" t="s">
        <v>3023</v>
      </c>
      <c r="E497" s="250">
        <v>4220.8879999999999</v>
      </c>
    </row>
    <row r="498" spans="3:5" x14ac:dyDescent="0.35">
      <c r="C498" s="1" t="s">
        <v>8996</v>
      </c>
      <c r="D498" s="1" t="s">
        <v>3023</v>
      </c>
      <c r="E498" s="250">
        <v>4220.8890000000001</v>
      </c>
    </row>
    <row r="499" spans="3:5" x14ac:dyDescent="0.35">
      <c r="C499" s="1" t="s">
        <v>8995</v>
      </c>
      <c r="D499" s="1" t="s">
        <v>3023</v>
      </c>
      <c r="E499" s="250">
        <v>4220.8900000000003</v>
      </c>
    </row>
    <row r="500" spans="3:5" x14ac:dyDescent="0.35">
      <c r="C500" s="1" t="s">
        <v>8994</v>
      </c>
      <c r="D500" s="1" t="s">
        <v>3023</v>
      </c>
      <c r="E500" s="250">
        <v>4220.8909999999996</v>
      </c>
    </row>
    <row r="501" spans="3:5" x14ac:dyDescent="0.35">
      <c r="C501" s="1" t="s">
        <v>8993</v>
      </c>
      <c r="D501" s="1" t="s">
        <v>3023</v>
      </c>
      <c r="E501" s="250">
        <v>4220.8919999999998</v>
      </c>
    </row>
    <row r="502" spans="3:5" x14ac:dyDescent="0.35">
      <c r="C502" s="1" t="s">
        <v>8992</v>
      </c>
      <c r="D502" s="1" t="s">
        <v>3023</v>
      </c>
      <c r="E502" s="250">
        <v>4220.8999999999996</v>
      </c>
    </row>
    <row r="503" spans="3:5" x14ac:dyDescent="0.35">
      <c r="C503" s="1" t="s">
        <v>8991</v>
      </c>
      <c r="D503" s="1" t="s">
        <v>3023</v>
      </c>
      <c r="E503" s="250">
        <v>4220.9009999999998</v>
      </c>
    </row>
    <row r="504" spans="3:5" x14ac:dyDescent="0.35">
      <c r="C504" s="1" t="s">
        <v>8990</v>
      </c>
      <c r="D504" s="1" t="s">
        <v>3023</v>
      </c>
      <c r="E504" s="250">
        <v>4220.902</v>
      </c>
    </row>
    <row r="505" spans="3:5" x14ac:dyDescent="0.35">
      <c r="C505" s="1" t="s">
        <v>8989</v>
      </c>
      <c r="D505" s="1" t="s">
        <v>3023</v>
      </c>
      <c r="E505" s="250">
        <v>4220.9030000000002</v>
      </c>
    </row>
    <row r="506" spans="3:5" x14ac:dyDescent="0.35">
      <c r="C506" s="1" t="s">
        <v>8988</v>
      </c>
      <c r="D506" s="1" t="s">
        <v>3023</v>
      </c>
      <c r="E506" s="250">
        <v>4220.9040000000005</v>
      </c>
    </row>
    <row r="507" spans="3:5" x14ac:dyDescent="0.35">
      <c r="C507" s="1" t="s">
        <v>8987</v>
      </c>
      <c r="D507" s="1" t="s">
        <v>3023</v>
      </c>
      <c r="E507" s="250">
        <v>4220.9049999999997</v>
      </c>
    </row>
    <row r="508" spans="3:5" x14ac:dyDescent="0.35">
      <c r="C508" s="1" t="s">
        <v>8986</v>
      </c>
      <c r="D508" s="1" t="s">
        <v>3023</v>
      </c>
      <c r="E508" s="250">
        <v>4220.9059999999999</v>
      </c>
    </row>
    <row r="509" spans="3:5" x14ac:dyDescent="0.35">
      <c r="C509" s="1" t="s">
        <v>8985</v>
      </c>
      <c r="D509" s="1" t="s">
        <v>3023</v>
      </c>
      <c r="E509" s="250">
        <v>4220.9070000000002</v>
      </c>
    </row>
    <row r="510" spans="3:5" x14ac:dyDescent="0.35">
      <c r="C510" s="1" t="s">
        <v>8984</v>
      </c>
      <c r="D510" s="1" t="s">
        <v>3023</v>
      </c>
      <c r="E510" s="250">
        <v>4220.9080000000004</v>
      </c>
    </row>
    <row r="511" spans="3:5" x14ac:dyDescent="0.35">
      <c r="C511" s="1" t="s">
        <v>8983</v>
      </c>
      <c r="D511" s="1" t="s">
        <v>3023</v>
      </c>
      <c r="E511" s="250">
        <v>4220.9089999999997</v>
      </c>
    </row>
    <row r="512" spans="3:5" x14ac:dyDescent="0.35">
      <c r="C512" s="1" t="s">
        <v>8982</v>
      </c>
      <c r="D512" s="1" t="s">
        <v>3023</v>
      </c>
      <c r="E512" s="250">
        <v>4220.91</v>
      </c>
    </row>
    <row r="513" spans="3:5" x14ac:dyDescent="0.35">
      <c r="C513" s="1" t="s">
        <v>8981</v>
      </c>
      <c r="D513" s="1" t="s">
        <v>3023</v>
      </c>
      <c r="E513" s="250">
        <v>4220.9110000000001</v>
      </c>
    </row>
    <row r="514" spans="3:5" x14ac:dyDescent="0.35">
      <c r="C514" s="1" t="s">
        <v>8980</v>
      </c>
      <c r="D514" s="1" t="s">
        <v>3023</v>
      </c>
      <c r="E514" s="250">
        <v>4220.92</v>
      </c>
    </row>
    <row r="515" spans="3:5" x14ac:dyDescent="0.35">
      <c r="C515" s="1" t="s">
        <v>8979</v>
      </c>
      <c r="D515" s="1" t="s">
        <v>3023</v>
      </c>
      <c r="E515" s="250">
        <v>4220.9210000000003</v>
      </c>
    </row>
    <row r="516" spans="3:5" x14ac:dyDescent="0.35">
      <c r="C516" s="1" t="s">
        <v>8978</v>
      </c>
      <c r="D516" s="1" t="s">
        <v>3023</v>
      </c>
      <c r="E516" s="250">
        <v>4220.9219999999996</v>
      </c>
    </row>
    <row r="517" spans="3:5" x14ac:dyDescent="0.35">
      <c r="C517" s="1" t="s">
        <v>8977</v>
      </c>
      <c r="D517" s="1" t="s">
        <v>3023</v>
      </c>
      <c r="E517" s="250">
        <v>4220.9229999999998</v>
      </c>
    </row>
    <row r="518" spans="3:5" x14ac:dyDescent="0.35">
      <c r="C518" s="1" t="s">
        <v>8976</v>
      </c>
      <c r="D518" s="1" t="s">
        <v>3023</v>
      </c>
      <c r="E518" s="250">
        <v>4220.924</v>
      </c>
    </row>
    <row r="519" spans="3:5" x14ac:dyDescent="0.35">
      <c r="C519" s="1" t="s">
        <v>8975</v>
      </c>
      <c r="D519" s="1" t="s">
        <v>3023</v>
      </c>
      <c r="E519" s="250">
        <v>4220.9250000000002</v>
      </c>
    </row>
    <row r="520" spans="3:5" x14ac:dyDescent="0.35">
      <c r="C520" s="1" t="s">
        <v>8974</v>
      </c>
      <c r="D520" s="1" t="s">
        <v>3023</v>
      </c>
      <c r="E520" s="250">
        <v>4220.9260000000004</v>
      </c>
    </row>
    <row r="521" spans="3:5" x14ac:dyDescent="0.35">
      <c r="C521" s="1" t="s">
        <v>8973</v>
      </c>
      <c r="D521" s="1" t="s">
        <v>3023</v>
      </c>
      <c r="E521" s="250">
        <v>4220.93</v>
      </c>
    </row>
    <row r="522" spans="3:5" x14ac:dyDescent="0.35">
      <c r="C522" s="1" t="s">
        <v>8972</v>
      </c>
      <c r="D522" s="1" t="s">
        <v>3023</v>
      </c>
      <c r="E522" s="250">
        <v>4220.9309999999996</v>
      </c>
    </row>
    <row r="523" spans="3:5" x14ac:dyDescent="0.35">
      <c r="C523" s="1" t="s">
        <v>8971</v>
      </c>
      <c r="D523" s="1" t="s">
        <v>3023</v>
      </c>
      <c r="E523" s="250">
        <v>4220.9319999999998</v>
      </c>
    </row>
    <row r="524" spans="3:5" x14ac:dyDescent="0.35">
      <c r="C524" s="1" t="s">
        <v>8970</v>
      </c>
      <c r="D524" s="1" t="s">
        <v>3023</v>
      </c>
      <c r="E524" s="250">
        <v>4220.933</v>
      </c>
    </row>
    <row r="525" spans="3:5" x14ac:dyDescent="0.35">
      <c r="C525" s="1" t="s">
        <v>8969</v>
      </c>
      <c r="D525" s="1" t="s">
        <v>3023</v>
      </c>
      <c r="E525" s="250">
        <v>4220.9340000000002</v>
      </c>
    </row>
    <row r="526" spans="3:5" x14ac:dyDescent="0.35">
      <c r="C526" s="1" t="s">
        <v>8968</v>
      </c>
      <c r="D526" s="1" t="s">
        <v>3023</v>
      </c>
      <c r="E526" s="250">
        <v>4220.9350000000004</v>
      </c>
    </row>
    <row r="527" spans="3:5" x14ac:dyDescent="0.35">
      <c r="C527" s="1" t="s">
        <v>8967</v>
      </c>
      <c r="D527" s="1" t="s">
        <v>3023</v>
      </c>
      <c r="E527" s="250">
        <v>4220.9359999999997</v>
      </c>
    </row>
    <row r="528" spans="3:5" x14ac:dyDescent="0.35">
      <c r="C528" s="1" t="s">
        <v>8966</v>
      </c>
      <c r="D528" s="1" t="s">
        <v>3023</v>
      </c>
      <c r="E528" s="250">
        <v>4220.9399999999996</v>
      </c>
    </row>
    <row r="529" spans="3:5" x14ac:dyDescent="0.35">
      <c r="C529" s="1" t="s">
        <v>8965</v>
      </c>
      <c r="D529" s="1" t="s">
        <v>3023</v>
      </c>
      <c r="E529" s="250">
        <v>4220.9409999999998</v>
      </c>
    </row>
    <row r="530" spans="3:5" x14ac:dyDescent="0.35">
      <c r="C530" s="1" t="s">
        <v>8964</v>
      </c>
      <c r="D530" s="1" t="s">
        <v>3023</v>
      </c>
      <c r="E530" s="250">
        <v>4220.942</v>
      </c>
    </row>
    <row r="531" spans="3:5" x14ac:dyDescent="0.35">
      <c r="C531" s="1" t="s">
        <v>8963</v>
      </c>
      <c r="D531" s="1" t="s">
        <v>3023</v>
      </c>
      <c r="E531" s="250">
        <v>4220.9430000000002</v>
      </c>
    </row>
    <row r="532" spans="3:5" x14ac:dyDescent="0.35">
      <c r="C532" s="1" t="s">
        <v>8962</v>
      </c>
      <c r="D532" s="1" t="s">
        <v>3023</v>
      </c>
      <c r="E532" s="250">
        <v>4220.9440000000004</v>
      </c>
    </row>
    <row r="533" spans="3:5" x14ac:dyDescent="0.35">
      <c r="C533" s="1" t="s">
        <v>8961</v>
      </c>
      <c r="D533" s="1" t="s">
        <v>3023</v>
      </c>
      <c r="E533" s="250">
        <v>4220.9449999999997</v>
      </c>
    </row>
    <row r="534" spans="3:5" x14ac:dyDescent="0.35">
      <c r="C534" s="1" t="s">
        <v>8960</v>
      </c>
      <c r="D534" s="1" t="s">
        <v>3023</v>
      </c>
      <c r="E534" s="250">
        <v>4220.9459999999999</v>
      </c>
    </row>
    <row r="535" spans="3:5" x14ac:dyDescent="0.35">
      <c r="C535" s="1" t="s">
        <v>8959</v>
      </c>
      <c r="D535" s="1" t="s">
        <v>3023</v>
      </c>
      <c r="E535" s="250">
        <v>4220.95</v>
      </c>
    </row>
    <row r="536" spans="3:5" x14ac:dyDescent="0.35">
      <c r="C536" s="1" t="s">
        <v>8958</v>
      </c>
      <c r="D536" s="1" t="s">
        <v>3023</v>
      </c>
      <c r="E536" s="250">
        <v>4220.951</v>
      </c>
    </row>
    <row r="537" spans="3:5" x14ac:dyDescent="0.35">
      <c r="C537" s="1" t="s">
        <v>8957</v>
      </c>
      <c r="D537" s="1" t="s">
        <v>3023</v>
      </c>
      <c r="E537" s="250">
        <v>4220.9520000000002</v>
      </c>
    </row>
    <row r="538" spans="3:5" x14ac:dyDescent="0.35">
      <c r="C538" s="1" t="s">
        <v>8956</v>
      </c>
      <c r="D538" s="1" t="s">
        <v>3023</v>
      </c>
      <c r="E538" s="250">
        <v>4220.9530000000004</v>
      </c>
    </row>
    <row r="539" spans="3:5" x14ac:dyDescent="0.35">
      <c r="C539" s="1" t="s">
        <v>8955</v>
      </c>
      <c r="D539" s="1" t="s">
        <v>3023</v>
      </c>
      <c r="E539" s="250">
        <v>4220.9539999999997</v>
      </c>
    </row>
    <row r="540" spans="3:5" x14ac:dyDescent="0.35">
      <c r="C540" s="1" t="s">
        <v>8954</v>
      </c>
      <c r="D540" s="1" t="s">
        <v>3023</v>
      </c>
      <c r="E540" s="250">
        <v>4220.9549999999999</v>
      </c>
    </row>
    <row r="541" spans="3:5" x14ac:dyDescent="0.35">
      <c r="C541" s="1" t="s">
        <v>8953</v>
      </c>
      <c r="D541" s="1" t="s">
        <v>3023</v>
      </c>
      <c r="E541" s="250">
        <v>4220.9560000000001</v>
      </c>
    </row>
    <row r="542" spans="3:5" x14ac:dyDescent="0.35">
      <c r="C542" s="1" t="s">
        <v>8952</v>
      </c>
      <c r="D542" s="1" t="s">
        <v>3023</v>
      </c>
      <c r="E542" s="250">
        <v>4220.96</v>
      </c>
    </row>
    <row r="543" spans="3:5" x14ac:dyDescent="0.35">
      <c r="C543" s="1" t="s">
        <v>8951</v>
      </c>
      <c r="D543" s="1" t="s">
        <v>3023</v>
      </c>
      <c r="E543" s="250">
        <v>4220.9610000000002</v>
      </c>
    </row>
    <row r="544" spans="3:5" x14ac:dyDescent="0.35">
      <c r="C544" s="1" t="s">
        <v>8950</v>
      </c>
      <c r="D544" s="1" t="s">
        <v>3023</v>
      </c>
      <c r="E544" s="250">
        <v>4220.9620000000004</v>
      </c>
    </row>
    <row r="545" spans="3:5" x14ac:dyDescent="0.35">
      <c r="C545" s="1" t="s">
        <v>8949</v>
      </c>
      <c r="D545" s="1" t="s">
        <v>3023</v>
      </c>
      <c r="E545" s="250">
        <v>4220.9629999999997</v>
      </c>
    </row>
    <row r="546" spans="3:5" x14ac:dyDescent="0.35">
      <c r="C546" s="1" t="s">
        <v>8948</v>
      </c>
      <c r="D546" s="1" t="s">
        <v>3023</v>
      </c>
      <c r="E546" s="250">
        <v>4220.9639999999999</v>
      </c>
    </row>
    <row r="547" spans="3:5" x14ac:dyDescent="0.35">
      <c r="C547" s="1" t="s">
        <v>8947</v>
      </c>
      <c r="D547" s="1" t="s">
        <v>3023</v>
      </c>
      <c r="E547" s="250">
        <v>4220.9650000000001</v>
      </c>
    </row>
    <row r="548" spans="3:5" x14ac:dyDescent="0.35">
      <c r="C548" s="1" t="s">
        <v>8946</v>
      </c>
      <c r="D548" s="1" t="s">
        <v>3023</v>
      </c>
      <c r="E548" s="250">
        <v>4220.9660000000003</v>
      </c>
    </row>
    <row r="549" spans="3:5" x14ac:dyDescent="0.35">
      <c r="C549" s="1" t="s">
        <v>8945</v>
      </c>
      <c r="D549" s="1" t="s">
        <v>3023</v>
      </c>
      <c r="E549" s="250">
        <v>4220.97</v>
      </c>
    </row>
    <row r="550" spans="3:5" x14ac:dyDescent="0.35">
      <c r="C550" s="1" t="s">
        <v>8944</v>
      </c>
      <c r="D550" s="1" t="s">
        <v>3023</v>
      </c>
      <c r="E550" s="250">
        <v>4220.9709999999995</v>
      </c>
    </row>
    <row r="551" spans="3:5" x14ac:dyDescent="0.35">
      <c r="C551" s="1" t="s">
        <v>8943</v>
      </c>
      <c r="D551" s="1" t="s">
        <v>3023</v>
      </c>
      <c r="E551" s="250">
        <v>4220.9719999999998</v>
      </c>
    </row>
    <row r="552" spans="3:5" x14ac:dyDescent="0.35">
      <c r="C552" s="1" t="s">
        <v>8942</v>
      </c>
      <c r="D552" s="1" t="s">
        <v>3023</v>
      </c>
      <c r="E552" s="250">
        <v>4220.973</v>
      </c>
    </row>
    <row r="553" spans="3:5" x14ac:dyDescent="0.35">
      <c r="C553" s="1" t="s">
        <v>8941</v>
      </c>
      <c r="D553" s="1" t="s">
        <v>3023</v>
      </c>
      <c r="E553" s="250">
        <v>4220.9740000000002</v>
      </c>
    </row>
    <row r="554" spans="3:5" x14ac:dyDescent="0.35">
      <c r="C554" s="1" t="s">
        <v>8940</v>
      </c>
      <c r="D554" s="1" t="s">
        <v>3023</v>
      </c>
      <c r="E554" s="250">
        <v>4220.9750000000004</v>
      </c>
    </row>
    <row r="555" spans="3:5" x14ac:dyDescent="0.35">
      <c r="C555" s="1" t="s">
        <v>8939</v>
      </c>
      <c r="D555" s="1" t="s">
        <v>3023</v>
      </c>
      <c r="E555" s="250">
        <v>4220.9759999999997</v>
      </c>
    </row>
    <row r="556" spans="3:5" x14ac:dyDescent="0.35">
      <c r="C556" s="1" t="s">
        <v>8938</v>
      </c>
      <c r="D556" s="1" t="s">
        <v>3023</v>
      </c>
      <c r="E556" s="250">
        <v>4220.9799999999996</v>
      </c>
    </row>
    <row r="557" spans="3:5" x14ac:dyDescent="0.35">
      <c r="C557" s="1" t="s">
        <v>8937</v>
      </c>
      <c r="D557" s="1" t="s">
        <v>3023</v>
      </c>
      <c r="E557" s="250">
        <v>4220.9809999999998</v>
      </c>
    </row>
    <row r="558" spans="3:5" x14ac:dyDescent="0.35">
      <c r="C558" s="1" t="s">
        <v>8936</v>
      </c>
      <c r="D558" s="1" t="s">
        <v>3023</v>
      </c>
      <c r="E558" s="250">
        <v>4220.982</v>
      </c>
    </row>
    <row r="559" spans="3:5" x14ac:dyDescent="0.35">
      <c r="C559" s="1" t="s">
        <v>8935</v>
      </c>
      <c r="D559" s="1" t="s">
        <v>3023</v>
      </c>
      <c r="E559" s="250">
        <v>4220.9830000000002</v>
      </c>
    </row>
    <row r="560" spans="3:5" x14ac:dyDescent="0.35">
      <c r="C560" s="1" t="s">
        <v>8934</v>
      </c>
      <c r="D560" s="1" t="s">
        <v>3023</v>
      </c>
      <c r="E560" s="250">
        <v>4220.9840000000004</v>
      </c>
    </row>
    <row r="561" spans="3:5" x14ac:dyDescent="0.35">
      <c r="C561" s="1" t="s">
        <v>8933</v>
      </c>
      <c r="D561" s="1" t="s">
        <v>3023</v>
      </c>
      <c r="E561" s="250">
        <v>4220.9849999999997</v>
      </c>
    </row>
    <row r="562" spans="3:5" x14ac:dyDescent="0.35">
      <c r="C562" s="1" t="s">
        <v>8932</v>
      </c>
      <c r="D562" s="1" t="s">
        <v>3023</v>
      </c>
      <c r="E562" s="250">
        <v>4220.9859999999999</v>
      </c>
    </row>
    <row r="563" spans="3:5" x14ac:dyDescent="0.35">
      <c r="C563" s="1" t="s">
        <v>8931</v>
      </c>
      <c r="D563" s="1" t="s">
        <v>20</v>
      </c>
      <c r="E563" s="250">
        <v>4220.99</v>
      </c>
    </row>
    <row r="564" spans="3:5" x14ac:dyDescent="0.35">
      <c r="C564" s="1" t="s">
        <v>8930</v>
      </c>
      <c r="D564" s="1" t="s">
        <v>3023</v>
      </c>
      <c r="E564" s="250">
        <v>4221</v>
      </c>
    </row>
    <row r="565" spans="3:5" x14ac:dyDescent="0.35">
      <c r="C565" s="1" t="s">
        <v>8929</v>
      </c>
      <c r="D565" s="1" t="s">
        <v>3023</v>
      </c>
      <c r="E565" s="250">
        <v>4221.0010000000002</v>
      </c>
    </row>
    <row r="566" spans="3:5" x14ac:dyDescent="0.35">
      <c r="C566" s="1" t="s">
        <v>8928</v>
      </c>
      <c r="D566" s="1" t="s">
        <v>3023</v>
      </c>
      <c r="E566" s="250">
        <v>4221.0020000000004</v>
      </c>
    </row>
    <row r="567" spans="3:5" x14ac:dyDescent="0.35">
      <c r="C567" s="1" t="s">
        <v>8927</v>
      </c>
      <c r="D567" s="1" t="s">
        <v>3023</v>
      </c>
      <c r="E567" s="250">
        <v>4221.0029999999997</v>
      </c>
    </row>
    <row r="568" spans="3:5" x14ac:dyDescent="0.35">
      <c r="C568" s="1" t="s">
        <v>8926</v>
      </c>
      <c r="D568" s="1" t="s">
        <v>3023</v>
      </c>
      <c r="E568" s="250">
        <v>4221.0039999999999</v>
      </c>
    </row>
    <row r="569" spans="3:5" x14ac:dyDescent="0.35">
      <c r="C569" s="1" t="s">
        <v>8925</v>
      </c>
      <c r="D569" s="1" t="s">
        <v>3023</v>
      </c>
      <c r="E569" s="250">
        <v>4221.0050000000001</v>
      </c>
    </row>
    <row r="570" spans="3:5" x14ac:dyDescent="0.35">
      <c r="C570" s="1" t="s">
        <v>8924</v>
      </c>
      <c r="D570" s="1" t="s">
        <v>3023</v>
      </c>
      <c r="E570" s="250">
        <v>4221.0060000000003</v>
      </c>
    </row>
    <row r="571" spans="3:5" x14ac:dyDescent="0.35">
      <c r="C571" s="1" t="s">
        <v>8923</v>
      </c>
      <c r="D571" s="1" t="s">
        <v>3023</v>
      </c>
      <c r="E571" s="250">
        <v>4221.4009999999998</v>
      </c>
    </row>
    <row r="572" spans="3:5" x14ac:dyDescent="0.35">
      <c r="C572" s="1" t="s">
        <v>8922</v>
      </c>
      <c r="D572" s="1" t="s">
        <v>3023</v>
      </c>
      <c r="E572" s="250">
        <v>4221.402</v>
      </c>
    </row>
    <row r="573" spans="3:5" x14ac:dyDescent="0.35">
      <c r="C573" s="1" t="s">
        <v>8921</v>
      </c>
      <c r="D573" s="1" t="s">
        <v>3023</v>
      </c>
      <c r="E573" s="250">
        <v>4221.4030000000002</v>
      </c>
    </row>
    <row r="574" spans="3:5" x14ac:dyDescent="0.35">
      <c r="C574" s="1" t="s">
        <v>8920</v>
      </c>
      <c r="D574" s="1" t="s">
        <v>3023</v>
      </c>
      <c r="E574" s="250">
        <v>4221.4040000000005</v>
      </c>
    </row>
    <row r="575" spans="3:5" x14ac:dyDescent="0.35">
      <c r="C575" s="1" t="s">
        <v>8919</v>
      </c>
      <c r="D575" s="1" t="s">
        <v>23</v>
      </c>
      <c r="E575" s="250">
        <v>4221.45</v>
      </c>
    </row>
    <row r="576" spans="3:5" x14ac:dyDescent="0.35">
      <c r="C576" s="1" t="s">
        <v>8918</v>
      </c>
      <c r="D576" s="1" t="s">
        <v>19</v>
      </c>
      <c r="E576" s="250">
        <v>4221.46</v>
      </c>
    </row>
    <row r="577" spans="3:5" x14ac:dyDescent="0.35">
      <c r="C577" s="1" t="s">
        <v>8853</v>
      </c>
      <c r="D577" s="1" t="s">
        <v>19</v>
      </c>
      <c r="E577" s="250">
        <v>4224.1000000000004</v>
      </c>
    </row>
    <row r="578" spans="3:5" x14ac:dyDescent="0.35">
      <c r="C578" s="1" t="s">
        <v>8852</v>
      </c>
      <c r="D578" s="1" t="s">
        <v>19</v>
      </c>
      <c r="E578" s="250">
        <v>4224.1009999999997</v>
      </c>
    </row>
    <row r="579" spans="3:5" x14ac:dyDescent="0.35">
      <c r="C579" s="1" t="s">
        <v>8851</v>
      </c>
      <c r="D579" s="1" t="s">
        <v>19</v>
      </c>
      <c r="E579" s="250">
        <v>4224.1019999999999</v>
      </c>
    </row>
    <row r="580" spans="3:5" x14ac:dyDescent="0.35">
      <c r="C580" s="1" t="s">
        <v>8850</v>
      </c>
      <c r="D580" s="1" t="s">
        <v>19</v>
      </c>
      <c r="E580" s="250">
        <v>4224.1030000000001</v>
      </c>
    </row>
    <row r="581" spans="3:5" x14ac:dyDescent="0.35">
      <c r="C581" s="1" t="s">
        <v>8917</v>
      </c>
      <c r="D581" s="1" t="s">
        <v>19</v>
      </c>
      <c r="E581" s="250">
        <v>4224.1040000000003</v>
      </c>
    </row>
    <row r="582" spans="3:5" x14ac:dyDescent="0.35">
      <c r="C582" s="1" t="s">
        <v>8916</v>
      </c>
      <c r="D582" s="1" t="s">
        <v>19</v>
      </c>
      <c r="E582" s="250">
        <v>4224.1049999999996</v>
      </c>
    </row>
    <row r="583" spans="3:5" x14ac:dyDescent="0.35">
      <c r="C583" s="1" t="s">
        <v>8915</v>
      </c>
      <c r="D583" s="1" t="s">
        <v>19</v>
      </c>
      <c r="E583" s="250">
        <v>4224.1059999999998</v>
      </c>
    </row>
    <row r="584" spans="3:5" x14ac:dyDescent="0.35">
      <c r="C584" s="1" t="s">
        <v>8914</v>
      </c>
      <c r="D584" s="1" t="s">
        <v>8913</v>
      </c>
      <c r="E584" s="250">
        <v>4224.12</v>
      </c>
    </row>
    <row r="585" spans="3:5" x14ac:dyDescent="0.35">
      <c r="C585" s="1" t="s">
        <v>8912</v>
      </c>
      <c r="D585" s="1" t="s">
        <v>3023</v>
      </c>
      <c r="E585" s="250">
        <v>4224.1210000000001</v>
      </c>
    </row>
    <row r="586" spans="3:5" x14ac:dyDescent="0.35">
      <c r="C586" s="1" t="s">
        <v>8911</v>
      </c>
      <c r="D586" s="1" t="s">
        <v>42</v>
      </c>
      <c r="E586" s="250">
        <v>4224.1220000000003</v>
      </c>
    </row>
    <row r="587" spans="3:5" x14ac:dyDescent="0.35">
      <c r="C587" s="1" t="s">
        <v>8910</v>
      </c>
      <c r="D587" s="1" t="s">
        <v>3023</v>
      </c>
      <c r="E587" s="250">
        <v>4224.13</v>
      </c>
    </row>
    <row r="588" spans="3:5" x14ac:dyDescent="0.35">
      <c r="C588" s="1" t="s">
        <v>8909</v>
      </c>
      <c r="D588" s="1" t="s">
        <v>3023</v>
      </c>
      <c r="E588" s="250">
        <v>4224.1319999999996</v>
      </c>
    </row>
    <row r="589" spans="3:5" x14ac:dyDescent="0.35">
      <c r="C589" s="1" t="s">
        <v>8908</v>
      </c>
      <c r="D589" s="1" t="s">
        <v>3023</v>
      </c>
      <c r="E589" s="250">
        <v>4224.1350000000002</v>
      </c>
    </row>
    <row r="590" spans="3:5" x14ac:dyDescent="0.35">
      <c r="C590" s="1" t="s">
        <v>8907</v>
      </c>
      <c r="D590" s="1" t="s">
        <v>19</v>
      </c>
      <c r="E590" s="250">
        <v>4224.2</v>
      </c>
    </row>
    <row r="591" spans="3:5" x14ac:dyDescent="0.35">
      <c r="C591" s="1" t="s">
        <v>8906</v>
      </c>
      <c r="D591" s="1" t="s">
        <v>19</v>
      </c>
      <c r="E591" s="250">
        <v>4224.201</v>
      </c>
    </row>
    <row r="592" spans="3:5" x14ac:dyDescent="0.35">
      <c r="C592" s="1" t="s">
        <v>8905</v>
      </c>
      <c r="D592" s="1" t="s">
        <v>19</v>
      </c>
      <c r="E592" s="250">
        <v>4224.2020000000002</v>
      </c>
    </row>
    <row r="593" spans="3:5" x14ac:dyDescent="0.35">
      <c r="C593" s="1" t="s">
        <v>8904</v>
      </c>
      <c r="D593" s="1" t="s">
        <v>19</v>
      </c>
      <c r="E593" s="250">
        <v>4224.2030000000004</v>
      </c>
    </row>
    <row r="594" spans="3:5" x14ac:dyDescent="0.35">
      <c r="C594" s="1" t="s">
        <v>8903</v>
      </c>
      <c r="D594" s="1" t="s">
        <v>19</v>
      </c>
      <c r="E594" s="250">
        <v>4224.2039999999997</v>
      </c>
    </row>
    <row r="595" spans="3:5" x14ac:dyDescent="0.35">
      <c r="C595" s="1" t="s">
        <v>8902</v>
      </c>
      <c r="D595" s="1" t="s">
        <v>19</v>
      </c>
      <c r="E595" s="250">
        <v>4224.2049999999999</v>
      </c>
    </row>
    <row r="596" spans="3:5" x14ac:dyDescent="0.35">
      <c r="C596" s="1" t="s">
        <v>8901</v>
      </c>
      <c r="D596" s="1" t="s">
        <v>19</v>
      </c>
      <c r="E596" s="250">
        <v>4224.2060000000001</v>
      </c>
    </row>
    <row r="597" spans="3:5" x14ac:dyDescent="0.35">
      <c r="C597" s="1" t="s">
        <v>8900</v>
      </c>
      <c r="D597" s="1" t="s">
        <v>19</v>
      </c>
      <c r="E597" s="250">
        <v>4224.22</v>
      </c>
    </row>
    <row r="598" spans="3:5" x14ac:dyDescent="0.35">
      <c r="C598" s="1" t="s">
        <v>8899</v>
      </c>
      <c r="D598" s="1" t="s">
        <v>19</v>
      </c>
      <c r="E598" s="250">
        <v>4224.2209999999995</v>
      </c>
    </row>
    <row r="599" spans="3:5" x14ac:dyDescent="0.35">
      <c r="C599" s="1" t="s">
        <v>8898</v>
      </c>
      <c r="D599" s="1" t="s">
        <v>19</v>
      </c>
      <c r="E599" s="250">
        <v>4224.2219999999998</v>
      </c>
    </row>
    <row r="600" spans="3:5" x14ac:dyDescent="0.35">
      <c r="C600" s="1" t="s">
        <v>8897</v>
      </c>
      <c r="D600" s="1" t="s">
        <v>19</v>
      </c>
      <c r="E600" s="250">
        <v>4224.223</v>
      </c>
    </row>
    <row r="601" spans="3:5" x14ac:dyDescent="0.35">
      <c r="C601" s="1" t="s">
        <v>8896</v>
      </c>
      <c r="D601" s="1" t="s">
        <v>19</v>
      </c>
      <c r="E601" s="250">
        <v>4224.2240000000002</v>
      </c>
    </row>
    <row r="602" spans="3:5" x14ac:dyDescent="0.35">
      <c r="C602" s="1" t="s">
        <v>8895</v>
      </c>
      <c r="D602" s="1" t="s">
        <v>19</v>
      </c>
      <c r="E602" s="250">
        <v>4224.2250000000004</v>
      </c>
    </row>
    <row r="603" spans="3:5" x14ac:dyDescent="0.35">
      <c r="C603" s="1" t="s">
        <v>8894</v>
      </c>
      <c r="D603" s="1" t="s">
        <v>19</v>
      </c>
      <c r="E603" s="250">
        <v>4224.2259999999997</v>
      </c>
    </row>
    <row r="604" spans="3:5" x14ac:dyDescent="0.35">
      <c r="C604" s="1" t="s">
        <v>8893</v>
      </c>
      <c r="D604" s="1" t="s">
        <v>19</v>
      </c>
      <c r="E604" s="250">
        <v>4224.2299999999996</v>
      </c>
    </row>
    <row r="605" spans="3:5" x14ac:dyDescent="0.35">
      <c r="C605" s="1" t="s">
        <v>8892</v>
      </c>
      <c r="D605" s="1" t="s">
        <v>19</v>
      </c>
      <c r="E605" s="250">
        <v>4224.2309999999998</v>
      </c>
    </row>
    <row r="606" spans="3:5" x14ac:dyDescent="0.35">
      <c r="C606" s="1" t="s">
        <v>8891</v>
      </c>
      <c r="D606" s="1" t="s">
        <v>19</v>
      </c>
      <c r="E606" s="250">
        <v>4224.232</v>
      </c>
    </row>
    <row r="607" spans="3:5" x14ac:dyDescent="0.35">
      <c r="C607" s="1" t="s">
        <v>8890</v>
      </c>
      <c r="D607" s="1" t="s">
        <v>19</v>
      </c>
      <c r="E607" s="250">
        <v>4224.2330000000002</v>
      </c>
    </row>
    <row r="608" spans="3:5" x14ac:dyDescent="0.35">
      <c r="C608" s="1" t="s">
        <v>8889</v>
      </c>
      <c r="D608" s="1" t="s">
        <v>19</v>
      </c>
      <c r="E608" s="250">
        <v>4224.2340000000004</v>
      </c>
    </row>
    <row r="609" spans="3:5" x14ac:dyDescent="0.35">
      <c r="C609" s="1" t="s">
        <v>8888</v>
      </c>
      <c r="D609" s="1" t="s">
        <v>19</v>
      </c>
      <c r="E609" s="250">
        <v>4224.2349999999997</v>
      </c>
    </row>
    <row r="610" spans="3:5" x14ac:dyDescent="0.35">
      <c r="C610" s="1" t="s">
        <v>8887</v>
      </c>
      <c r="D610" s="1" t="s">
        <v>19</v>
      </c>
      <c r="E610" s="250">
        <v>4224.2359999999999</v>
      </c>
    </row>
    <row r="611" spans="3:5" x14ac:dyDescent="0.35">
      <c r="C611" s="1" t="s">
        <v>8886</v>
      </c>
      <c r="D611" s="1" t="s">
        <v>19</v>
      </c>
      <c r="E611" s="250">
        <v>4224.24</v>
      </c>
    </row>
    <row r="612" spans="3:5" x14ac:dyDescent="0.35">
      <c r="C612" s="1" t="s">
        <v>8885</v>
      </c>
      <c r="D612" s="1" t="s">
        <v>19</v>
      </c>
      <c r="E612" s="250">
        <v>4224.241</v>
      </c>
    </row>
    <row r="613" spans="3:5" x14ac:dyDescent="0.35">
      <c r="C613" s="1" t="s">
        <v>8884</v>
      </c>
      <c r="D613" s="1" t="s">
        <v>19</v>
      </c>
      <c r="E613" s="250">
        <v>4224.2420000000002</v>
      </c>
    </row>
    <row r="614" spans="3:5" x14ac:dyDescent="0.35">
      <c r="C614" s="1" t="s">
        <v>8883</v>
      </c>
      <c r="D614" s="1" t="s">
        <v>19</v>
      </c>
      <c r="E614" s="250">
        <v>4224.2430000000004</v>
      </c>
    </row>
    <row r="615" spans="3:5" x14ac:dyDescent="0.35">
      <c r="C615" s="1" t="s">
        <v>8882</v>
      </c>
      <c r="D615" s="1" t="s">
        <v>19</v>
      </c>
      <c r="E615" s="250">
        <v>4224.2439999999997</v>
      </c>
    </row>
    <row r="616" spans="3:5" x14ac:dyDescent="0.35">
      <c r="C616" s="1" t="s">
        <v>8881</v>
      </c>
      <c r="D616" s="1" t="s">
        <v>19</v>
      </c>
      <c r="E616" s="250">
        <v>4224.2449999999999</v>
      </c>
    </row>
    <row r="617" spans="3:5" x14ac:dyDescent="0.35">
      <c r="C617" s="1" t="s">
        <v>8880</v>
      </c>
      <c r="D617" s="1" t="s">
        <v>19</v>
      </c>
      <c r="E617" s="250">
        <v>4224.2460000000001</v>
      </c>
    </row>
    <row r="618" spans="3:5" x14ac:dyDescent="0.35">
      <c r="C618" s="1" t="s">
        <v>8879</v>
      </c>
      <c r="D618" s="1" t="s">
        <v>8878</v>
      </c>
      <c r="E618" s="250">
        <v>4225</v>
      </c>
    </row>
    <row r="619" spans="3:5" x14ac:dyDescent="0.35">
      <c r="C619" s="1" t="s">
        <v>8877</v>
      </c>
      <c r="D619" s="1" t="s">
        <v>23</v>
      </c>
      <c r="E619" s="250">
        <v>4225.0010000000002</v>
      </c>
    </row>
    <row r="620" spans="3:5" x14ac:dyDescent="0.35">
      <c r="C620" s="1" t="s">
        <v>8876</v>
      </c>
      <c r="D620" s="1" t="s">
        <v>23</v>
      </c>
      <c r="E620" s="250">
        <v>4225.0020000000004</v>
      </c>
    </row>
    <row r="621" spans="3:5" x14ac:dyDescent="0.35">
      <c r="C621" s="1" t="s">
        <v>8875</v>
      </c>
      <c r="D621" s="1" t="s">
        <v>23</v>
      </c>
      <c r="E621" s="250">
        <v>4225.0029999999997</v>
      </c>
    </row>
    <row r="622" spans="3:5" x14ac:dyDescent="0.35">
      <c r="C622" s="1" t="s">
        <v>8874</v>
      </c>
      <c r="D622" s="1" t="s">
        <v>23</v>
      </c>
      <c r="E622" s="250">
        <v>4225.0039999999999</v>
      </c>
    </row>
    <row r="623" spans="3:5" x14ac:dyDescent="0.35">
      <c r="C623" s="1" t="s">
        <v>8873</v>
      </c>
      <c r="D623" s="1" t="s">
        <v>3023</v>
      </c>
      <c r="E623" s="250">
        <v>4225.1000000000004</v>
      </c>
    </row>
    <row r="624" spans="3:5" x14ac:dyDescent="0.35">
      <c r="C624" s="1" t="s">
        <v>8872</v>
      </c>
      <c r="D624" s="1" t="s">
        <v>3023</v>
      </c>
      <c r="E624" s="250">
        <v>4225.1009999999997</v>
      </c>
    </row>
    <row r="625" spans="3:5" x14ac:dyDescent="0.35">
      <c r="C625" s="1" t="s">
        <v>8871</v>
      </c>
      <c r="D625" s="1" t="s">
        <v>3023</v>
      </c>
      <c r="E625" s="250">
        <v>4225.1019999999999</v>
      </c>
    </row>
    <row r="626" spans="3:5" x14ac:dyDescent="0.35">
      <c r="C626" s="1" t="s">
        <v>8870</v>
      </c>
      <c r="D626" s="1" t="s">
        <v>3023</v>
      </c>
      <c r="E626" s="250">
        <v>4225.1030000000001</v>
      </c>
    </row>
    <row r="627" spans="3:5" x14ac:dyDescent="0.35">
      <c r="C627" s="1" t="s">
        <v>8869</v>
      </c>
      <c r="D627" s="1" t="s">
        <v>3023</v>
      </c>
      <c r="E627" s="250">
        <v>4225.1040000000003</v>
      </c>
    </row>
    <row r="628" spans="3:5" x14ac:dyDescent="0.35">
      <c r="C628" s="1" t="s">
        <v>8868</v>
      </c>
      <c r="D628" s="1" t="s">
        <v>3023</v>
      </c>
      <c r="E628" s="250">
        <v>4225.1099999999997</v>
      </c>
    </row>
    <row r="629" spans="3:5" x14ac:dyDescent="0.35">
      <c r="C629" s="1" t="s">
        <v>8867</v>
      </c>
      <c r="D629" s="1" t="s">
        <v>3023</v>
      </c>
      <c r="E629" s="250">
        <v>4225.1109999999999</v>
      </c>
    </row>
    <row r="630" spans="3:5" x14ac:dyDescent="0.35">
      <c r="C630" s="1" t="s">
        <v>8866</v>
      </c>
      <c r="D630" s="1" t="s">
        <v>3023</v>
      </c>
      <c r="E630" s="250">
        <v>4225.1120000000001</v>
      </c>
    </row>
    <row r="631" spans="3:5" x14ac:dyDescent="0.35">
      <c r="C631" s="1" t="s">
        <v>8865</v>
      </c>
      <c r="D631" s="1" t="s">
        <v>3023</v>
      </c>
      <c r="E631" s="250">
        <v>4225.1130000000003</v>
      </c>
    </row>
    <row r="632" spans="3:5" x14ac:dyDescent="0.35">
      <c r="C632" s="1" t="s">
        <v>8864</v>
      </c>
      <c r="D632" s="1" t="s">
        <v>3023</v>
      </c>
      <c r="E632" s="250">
        <v>4225.1139999999996</v>
      </c>
    </row>
    <row r="633" spans="3:5" x14ac:dyDescent="0.35">
      <c r="C633" s="1" t="s">
        <v>8863</v>
      </c>
      <c r="D633" s="1" t="s">
        <v>3023</v>
      </c>
      <c r="E633" s="250">
        <v>4225.2</v>
      </c>
    </row>
    <row r="634" spans="3:5" x14ac:dyDescent="0.35">
      <c r="C634" s="1" t="s">
        <v>8862</v>
      </c>
      <c r="D634" s="1" t="s">
        <v>3023</v>
      </c>
      <c r="E634" s="250">
        <v>4225.201</v>
      </c>
    </row>
    <row r="635" spans="3:5" x14ac:dyDescent="0.35">
      <c r="C635" s="1" t="s">
        <v>8861</v>
      </c>
      <c r="D635" s="1" t="s">
        <v>3023</v>
      </c>
      <c r="E635" s="250">
        <v>4225.2020000000002</v>
      </c>
    </row>
    <row r="636" spans="3:5" x14ac:dyDescent="0.35">
      <c r="C636" s="1" t="s">
        <v>8860</v>
      </c>
      <c r="D636" s="1" t="s">
        <v>3023</v>
      </c>
      <c r="E636" s="250">
        <v>4225.2030000000004</v>
      </c>
    </row>
    <row r="637" spans="3:5" x14ac:dyDescent="0.35">
      <c r="C637" s="1" t="s">
        <v>8859</v>
      </c>
      <c r="D637" s="1" t="s">
        <v>3023</v>
      </c>
      <c r="E637" s="250">
        <v>4225.2039999999997</v>
      </c>
    </row>
    <row r="638" spans="3:5" x14ac:dyDescent="0.35">
      <c r="C638" s="1" t="s">
        <v>8858</v>
      </c>
      <c r="D638" s="1" t="s">
        <v>3023</v>
      </c>
      <c r="E638" s="250">
        <v>4225.21</v>
      </c>
    </row>
    <row r="639" spans="3:5" x14ac:dyDescent="0.35">
      <c r="C639" s="1" t="s">
        <v>8857</v>
      </c>
      <c r="D639" s="1" t="s">
        <v>3023</v>
      </c>
      <c r="E639" s="250">
        <v>4225.2110000000002</v>
      </c>
    </row>
    <row r="640" spans="3:5" x14ac:dyDescent="0.35">
      <c r="C640" s="1" t="s">
        <v>8856</v>
      </c>
      <c r="D640" s="1" t="s">
        <v>3023</v>
      </c>
      <c r="E640" s="250">
        <v>4225.2120000000004</v>
      </c>
    </row>
    <row r="641" spans="3:5" x14ac:dyDescent="0.35">
      <c r="C641" s="1" t="s">
        <v>8855</v>
      </c>
      <c r="D641" s="1" t="s">
        <v>3023</v>
      </c>
      <c r="E641" s="250">
        <v>4225.2129999999997</v>
      </c>
    </row>
    <row r="642" spans="3:5" x14ac:dyDescent="0.35">
      <c r="C642" s="1" t="s">
        <v>8854</v>
      </c>
      <c r="D642" s="1" t="s">
        <v>3023</v>
      </c>
      <c r="E642" s="250">
        <v>4225.2139999999999</v>
      </c>
    </row>
    <row r="643" spans="3:5" x14ac:dyDescent="0.35">
      <c r="C643" s="1" t="s">
        <v>8853</v>
      </c>
      <c r="D643" s="1" t="s">
        <v>19</v>
      </c>
      <c r="E643" s="250">
        <v>4225.3</v>
      </c>
    </row>
    <row r="644" spans="3:5" x14ac:dyDescent="0.35">
      <c r="C644" s="1" t="s">
        <v>8852</v>
      </c>
      <c r="D644" s="1" t="s">
        <v>19</v>
      </c>
      <c r="E644" s="250">
        <v>4225.3010000000004</v>
      </c>
    </row>
    <row r="645" spans="3:5" x14ac:dyDescent="0.35">
      <c r="C645" s="1" t="s">
        <v>8851</v>
      </c>
      <c r="D645" s="1" t="s">
        <v>19</v>
      </c>
      <c r="E645" s="250">
        <v>4225.3019999999997</v>
      </c>
    </row>
    <row r="646" spans="3:5" x14ac:dyDescent="0.35">
      <c r="C646" s="1" t="s">
        <v>8850</v>
      </c>
      <c r="D646" s="1" t="s">
        <v>19</v>
      </c>
      <c r="E646" s="250">
        <v>4225.3029999999999</v>
      </c>
    </row>
    <row r="647" spans="3:5" x14ac:dyDescent="0.35">
      <c r="C647" s="1" t="s">
        <v>8849</v>
      </c>
      <c r="D647" s="1" t="s">
        <v>19</v>
      </c>
      <c r="E647" s="250">
        <v>4225.3040000000001</v>
      </c>
    </row>
    <row r="648" spans="3:5" x14ac:dyDescent="0.35">
      <c r="C648" s="1" t="s">
        <v>8848</v>
      </c>
      <c r="D648" s="1" t="s">
        <v>3023</v>
      </c>
      <c r="E648" s="250">
        <v>4225.3100000000004</v>
      </c>
    </row>
    <row r="649" spans="3:5" x14ac:dyDescent="0.35">
      <c r="C649" s="1" t="s">
        <v>8847</v>
      </c>
      <c r="D649" s="1" t="s">
        <v>19</v>
      </c>
      <c r="E649" s="250">
        <v>4225.3450000000003</v>
      </c>
    </row>
    <row r="650" spans="3:5" x14ac:dyDescent="0.35">
      <c r="C650" s="1" t="s">
        <v>8846</v>
      </c>
      <c r="D650" s="1" t="s">
        <v>18</v>
      </c>
      <c r="E650" s="250">
        <v>4225.3500000000004</v>
      </c>
    </row>
    <row r="651" spans="3:5" x14ac:dyDescent="0.35">
      <c r="C651" s="1" t="s">
        <v>8845</v>
      </c>
      <c r="D651" s="1" t="s">
        <v>18</v>
      </c>
      <c r="E651" s="250">
        <v>4225.3509999999997</v>
      </c>
    </row>
    <row r="652" spans="3:5" x14ac:dyDescent="0.35">
      <c r="C652" s="1" t="s">
        <v>8844</v>
      </c>
      <c r="D652" s="1" t="s">
        <v>18</v>
      </c>
      <c r="E652" s="250">
        <v>4225.3519999999999</v>
      </c>
    </row>
    <row r="653" spans="3:5" x14ac:dyDescent="0.35">
      <c r="C653" s="1" t="s">
        <v>8843</v>
      </c>
      <c r="D653" s="1" t="s">
        <v>20</v>
      </c>
      <c r="E653" s="250">
        <v>4228.01</v>
      </c>
    </row>
    <row r="654" spans="3:5" x14ac:dyDescent="0.35">
      <c r="C654" s="1" t="s">
        <v>8842</v>
      </c>
      <c r="D654" s="1" t="s">
        <v>20</v>
      </c>
      <c r="E654" s="250">
        <v>4228.0110000000004</v>
      </c>
    </row>
    <row r="655" spans="3:5" x14ac:dyDescent="0.35">
      <c r="C655" s="1" t="s">
        <v>8841</v>
      </c>
      <c r="D655" s="1" t="s">
        <v>20</v>
      </c>
      <c r="E655" s="250">
        <v>4228.0119999999997</v>
      </c>
    </row>
    <row r="656" spans="3:5" x14ac:dyDescent="0.35">
      <c r="C656" s="1" t="s">
        <v>8840</v>
      </c>
      <c r="D656" s="1" t="s">
        <v>20</v>
      </c>
      <c r="E656" s="250">
        <v>4228.0150000000003</v>
      </c>
    </row>
    <row r="657" spans="3:5" x14ac:dyDescent="0.35">
      <c r="C657" s="1" t="s">
        <v>8839</v>
      </c>
      <c r="D657" s="1" t="s">
        <v>20</v>
      </c>
      <c r="E657" s="250">
        <v>4228.0200000000004</v>
      </c>
    </row>
    <row r="658" spans="3:5" x14ac:dyDescent="0.35">
      <c r="C658" s="1" t="s">
        <v>8838</v>
      </c>
      <c r="D658" s="1" t="s">
        <v>20</v>
      </c>
      <c r="E658" s="250">
        <v>4228.0209999999997</v>
      </c>
    </row>
    <row r="659" spans="3:5" x14ac:dyDescent="0.35">
      <c r="C659" s="1" t="s">
        <v>8837</v>
      </c>
      <c r="D659" s="1" t="s">
        <v>20</v>
      </c>
      <c r="E659" s="250">
        <v>4228.0219999999999</v>
      </c>
    </row>
    <row r="660" spans="3:5" x14ac:dyDescent="0.35">
      <c r="C660" s="1" t="s">
        <v>8836</v>
      </c>
      <c r="D660" s="1" t="s">
        <v>20</v>
      </c>
      <c r="E660" s="250">
        <v>4228.0249999999996</v>
      </c>
    </row>
    <row r="661" spans="3:5" x14ac:dyDescent="0.35">
      <c r="C661" s="1" t="s">
        <v>8835</v>
      </c>
      <c r="D661" s="1" t="s">
        <v>20</v>
      </c>
      <c r="E661" s="250">
        <v>4229.99</v>
      </c>
    </row>
    <row r="662" spans="3:5" x14ac:dyDescent="0.35">
      <c r="C662" s="1" t="s">
        <v>8834</v>
      </c>
      <c r="D662" s="1" t="s">
        <v>20</v>
      </c>
      <c r="E662" s="250">
        <v>4270.01</v>
      </c>
    </row>
    <row r="663" spans="3:5" x14ac:dyDescent="0.35">
      <c r="C663" s="1" t="s">
        <v>8833</v>
      </c>
      <c r="D663" s="1" t="s">
        <v>20</v>
      </c>
      <c r="E663" s="250">
        <v>4270.05</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C1783ACB-9CEE-4EBF-8136-B3154290F78F}">
      <formula1>$C$205:$C207</formula1>
    </dataValidation>
  </dataValidations>
  <hyperlinks>
    <hyperlink ref="D3" r:id="rId1" display="datamateapp@gmail.com" xr:uid="{3EB60AB9-4A54-4CDA-A41D-9E324BC82AE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14378" r:id="rId4" name="Button 10">
              <controlPr defaultSize="0" print="0" autoFill="0" autoPict="0" macro="[0]!ExitSEC_042000">
                <anchor moveWithCells="1" sizeWithCells="1">
                  <from>
                    <xdr:col>16</xdr:col>
                    <xdr:colOff>203200</xdr:colOff>
                    <xdr:row>0</xdr:row>
                    <xdr:rowOff>0</xdr:rowOff>
                  </from>
                  <to>
                    <xdr:col>16</xdr:col>
                    <xdr:colOff>1473200</xdr:colOff>
                    <xdr:row>2</xdr:row>
                    <xdr:rowOff>12700</xdr:rowOff>
                  </to>
                </anchor>
              </controlPr>
            </control>
          </mc:Choice>
        </mc:AlternateContent>
        <mc:AlternateContent xmlns:mc="http://schemas.openxmlformats.org/markup-compatibility/2006">
          <mc:Choice Requires="x14">
            <control shapeId="314423" r:id="rId5" name="Button 55">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314424" r:id="rId6" name="Button 56">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314425" r:id="rId7" name="Button 57">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314426" r:id="rId8" name="Button 58">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314427" r:id="rId9" name="Button 59">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314428" r:id="rId10" name="Button 60">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314429" r:id="rId11" name="Button 61">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314430" r:id="rId12" name="Button 62">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AF12F-A54F-4C65-9C25-4FAB95F6B2E2}">
  <sheetPr codeName="Sheet62"/>
  <dimension ref="A1:Q350"/>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STONE ASSEMBLIES</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04 40 00</v>
      </c>
      <c r="C10" s="24" t="str">
        <f>C206</f>
        <v>STONE ASSEMBLIES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STONE ASSEMBLIES</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14149</v>
      </c>
      <c r="C206" s="82" t="s">
        <v>14150</v>
      </c>
      <c r="D206" s="49"/>
      <c r="E206" s="82"/>
      <c r="F206" s="1"/>
      <c r="G206" s="1"/>
      <c r="H206" s="1"/>
      <c r="I206" s="1"/>
      <c r="J206" s="1"/>
      <c r="K206" s="1"/>
      <c r="L206" s="1"/>
      <c r="M206" s="1"/>
      <c r="N206" s="1"/>
      <c r="O206" s="1"/>
      <c r="P206" s="1"/>
      <c r="Q206" s="1"/>
    </row>
    <row r="207" spans="2:17" x14ac:dyDescent="0.35">
      <c r="B207" s="49" t="s">
        <v>14151</v>
      </c>
      <c r="C207" s="53" t="s">
        <v>14152</v>
      </c>
      <c r="D207" s="49"/>
      <c r="E207" s="53"/>
      <c r="F207" s="1"/>
      <c r="G207" s="1"/>
      <c r="H207" s="1"/>
      <c r="I207" s="1"/>
      <c r="J207" s="1"/>
      <c r="K207" s="1"/>
      <c r="L207" s="1"/>
      <c r="M207" s="1"/>
      <c r="N207" s="1"/>
      <c r="O207" s="1"/>
      <c r="P207" s="1"/>
      <c r="Q207" s="1"/>
    </row>
    <row r="208" spans="2:17" x14ac:dyDescent="0.35">
      <c r="B208" s="49" t="s">
        <v>14153</v>
      </c>
      <c r="C208" s="53" t="s">
        <v>14154</v>
      </c>
      <c r="D208" s="49"/>
      <c r="E208" s="53"/>
    </row>
    <row r="209" spans="2:5" x14ac:dyDescent="0.35">
      <c r="B209" s="49" t="s">
        <v>14155</v>
      </c>
      <c r="C209" s="53" t="s">
        <v>14156</v>
      </c>
      <c r="D209" s="49"/>
      <c r="E209" s="53"/>
    </row>
    <row r="210" spans="2:5" x14ac:dyDescent="0.35">
      <c r="C210" s="1" t="s">
        <v>8832</v>
      </c>
      <c r="D210" s="1" t="s">
        <v>20</v>
      </c>
      <c r="E210" s="250">
        <v>4410.0010000000002</v>
      </c>
    </row>
    <row r="211" spans="2:5" x14ac:dyDescent="0.35">
      <c r="C211" s="1" t="s">
        <v>8831</v>
      </c>
      <c r="D211" s="1" t="s">
        <v>20</v>
      </c>
      <c r="E211" s="250">
        <v>4410.0020000000004</v>
      </c>
    </row>
    <row r="212" spans="2:5" x14ac:dyDescent="0.35">
      <c r="C212" s="1" t="s">
        <v>8830</v>
      </c>
      <c r="D212" s="1" t="s">
        <v>20</v>
      </c>
      <c r="E212" s="250">
        <v>4410.0029999999997</v>
      </c>
    </row>
    <row r="213" spans="2:5" x14ac:dyDescent="0.35">
      <c r="C213" s="1" t="s">
        <v>8829</v>
      </c>
      <c r="D213" s="1" t="s">
        <v>20</v>
      </c>
      <c r="E213" s="250">
        <v>4410.0039999999999</v>
      </c>
    </row>
    <row r="214" spans="2:5" x14ac:dyDescent="0.35">
      <c r="C214" s="1" t="s">
        <v>8828</v>
      </c>
      <c r="D214" s="1" t="s">
        <v>20</v>
      </c>
      <c r="E214" s="250">
        <v>4410.0050000000001</v>
      </c>
    </row>
    <row r="215" spans="2:5" x14ac:dyDescent="0.35">
      <c r="C215" s="1" t="s">
        <v>8827</v>
      </c>
      <c r="D215" s="1" t="s">
        <v>20</v>
      </c>
      <c r="E215" s="250">
        <v>4410.0079999999998</v>
      </c>
    </row>
    <row r="216" spans="2:5" x14ac:dyDescent="0.35">
      <c r="C216" s="1" t="s">
        <v>8826</v>
      </c>
      <c r="D216" s="1" t="s">
        <v>20</v>
      </c>
      <c r="E216" s="250">
        <v>4410.009</v>
      </c>
    </row>
    <row r="217" spans="2:5" x14ac:dyDescent="0.35">
      <c r="C217" s="1" t="s">
        <v>8825</v>
      </c>
      <c r="D217" s="1" t="s">
        <v>20</v>
      </c>
      <c r="E217" s="250">
        <v>4410.01</v>
      </c>
    </row>
    <row r="218" spans="2:5" x14ac:dyDescent="0.35">
      <c r="C218" s="1" t="s">
        <v>8824</v>
      </c>
      <c r="D218" s="1" t="s">
        <v>20</v>
      </c>
      <c r="E218" s="250">
        <v>4410.0110000000004</v>
      </c>
    </row>
    <row r="219" spans="2:5" x14ac:dyDescent="0.35">
      <c r="C219" s="1" t="s">
        <v>8823</v>
      </c>
      <c r="D219" s="1" t="s">
        <v>20</v>
      </c>
      <c r="E219" s="250">
        <v>4410.0119999999997</v>
      </c>
    </row>
    <row r="220" spans="2:5" x14ac:dyDescent="0.35">
      <c r="C220" s="1" t="s">
        <v>8822</v>
      </c>
      <c r="D220" s="1" t="s">
        <v>20</v>
      </c>
      <c r="E220" s="250">
        <v>4410.0140000000001</v>
      </c>
    </row>
    <row r="221" spans="2:5" x14ac:dyDescent="0.35">
      <c r="C221" s="1" t="s">
        <v>8821</v>
      </c>
      <c r="D221" s="1" t="s">
        <v>20</v>
      </c>
      <c r="E221" s="250">
        <v>4410.0150000000003</v>
      </c>
    </row>
    <row r="222" spans="2:5" x14ac:dyDescent="0.35">
      <c r="C222" s="1" t="s">
        <v>8820</v>
      </c>
      <c r="D222" s="1" t="s">
        <v>20</v>
      </c>
      <c r="E222" s="250">
        <v>4410.0159999999996</v>
      </c>
    </row>
    <row r="223" spans="2:5" x14ac:dyDescent="0.35">
      <c r="C223" s="1" t="s">
        <v>8819</v>
      </c>
      <c r="D223" s="1" t="s">
        <v>20</v>
      </c>
      <c r="E223" s="250">
        <v>4410.0169999999998</v>
      </c>
    </row>
    <row r="224" spans="2:5" x14ac:dyDescent="0.35">
      <c r="C224" s="1" t="s">
        <v>8818</v>
      </c>
      <c r="D224" s="1" t="s">
        <v>20</v>
      </c>
      <c r="E224" s="250">
        <v>4410.018</v>
      </c>
    </row>
    <row r="225" spans="3:5" x14ac:dyDescent="0.35">
      <c r="C225" s="1" t="s">
        <v>8817</v>
      </c>
      <c r="D225" s="1" t="s">
        <v>20</v>
      </c>
      <c r="E225" s="250">
        <v>4410.0209999999997</v>
      </c>
    </row>
    <row r="226" spans="3:5" x14ac:dyDescent="0.35">
      <c r="C226" s="1" t="s">
        <v>8816</v>
      </c>
      <c r="D226" s="1" t="s">
        <v>20</v>
      </c>
      <c r="E226" s="250">
        <v>4410.0219999999999</v>
      </c>
    </row>
    <row r="227" spans="3:5" x14ac:dyDescent="0.35">
      <c r="C227" s="1" t="s">
        <v>8815</v>
      </c>
      <c r="D227" s="1" t="s">
        <v>20</v>
      </c>
      <c r="E227" s="250">
        <v>4410.0230000000001</v>
      </c>
    </row>
    <row r="228" spans="3:5" x14ac:dyDescent="0.35">
      <c r="C228" s="1" t="s">
        <v>8814</v>
      </c>
      <c r="D228" s="1" t="s">
        <v>20</v>
      </c>
      <c r="E228" s="250">
        <v>4410.0240000000003</v>
      </c>
    </row>
    <row r="229" spans="3:5" x14ac:dyDescent="0.35">
      <c r="C229" s="1" t="s">
        <v>8813</v>
      </c>
      <c r="D229" s="1" t="s">
        <v>20</v>
      </c>
      <c r="E229" s="250">
        <v>4410.027</v>
      </c>
    </row>
    <row r="230" spans="3:5" x14ac:dyDescent="0.35">
      <c r="C230" s="1" t="s">
        <v>8812</v>
      </c>
      <c r="D230" s="1" t="s">
        <v>20</v>
      </c>
      <c r="E230" s="250">
        <v>4410.0280000000002</v>
      </c>
    </row>
    <row r="231" spans="3:5" x14ac:dyDescent="0.35">
      <c r="C231" s="1" t="s">
        <v>8811</v>
      </c>
      <c r="D231" s="1" t="s">
        <v>20</v>
      </c>
      <c r="E231" s="250">
        <v>4410.0290000000005</v>
      </c>
    </row>
    <row r="232" spans="3:5" x14ac:dyDescent="0.35">
      <c r="C232" s="1" t="s">
        <v>8810</v>
      </c>
      <c r="D232" s="1" t="s">
        <v>20</v>
      </c>
      <c r="E232" s="250">
        <v>4410.0320000000002</v>
      </c>
    </row>
    <row r="233" spans="3:5" x14ac:dyDescent="0.35">
      <c r="C233" s="1" t="s">
        <v>8809</v>
      </c>
      <c r="D233" s="1" t="s">
        <v>20</v>
      </c>
      <c r="E233" s="250">
        <v>4410.0330000000004</v>
      </c>
    </row>
    <row r="234" spans="3:5" x14ac:dyDescent="0.35">
      <c r="C234" s="1" t="s">
        <v>8808</v>
      </c>
      <c r="D234" s="1" t="s">
        <v>20</v>
      </c>
      <c r="E234" s="250">
        <v>4410.0339999999997</v>
      </c>
    </row>
    <row r="235" spans="3:5" x14ac:dyDescent="0.35">
      <c r="C235" s="1" t="s">
        <v>8807</v>
      </c>
      <c r="D235" s="1" t="s">
        <v>20</v>
      </c>
      <c r="E235" s="250">
        <v>4410.0349999999999</v>
      </c>
    </row>
    <row r="236" spans="3:5" x14ac:dyDescent="0.35">
      <c r="C236" s="1" t="s">
        <v>8806</v>
      </c>
      <c r="D236" s="1" t="s">
        <v>20</v>
      </c>
      <c r="E236" s="250">
        <v>4410.0379999999996</v>
      </c>
    </row>
    <row r="237" spans="3:5" x14ac:dyDescent="0.35">
      <c r="C237" s="1" t="s">
        <v>8805</v>
      </c>
      <c r="D237" s="1" t="s">
        <v>20</v>
      </c>
      <c r="E237" s="250">
        <v>4410.0389999999998</v>
      </c>
    </row>
    <row r="238" spans="3:5" x14ac:dyDescent="0.35">
      <c r="C238" s="1" t="s">
        <v>8804</v>
      </c>
      <c r="D238" s="1" t="s">
        <v>20</v>
      </c>
      <c r="E238" s="250">
        <v>4410.0450000000001</v>
      </c>
    </row>
    <row r="239" spans="3:5" x14ac:dyDescent="0.35">
      <c r="C239" s="1" t="s">
        <v>8803</v>
      </c>
      <c r="D239" s="1" t="s">
        <v>20</v>
      </c>
      <c r="E239" s="250">
        <v>4410.0460000000003</v>
      </c>
    </row>
    <row r="240" spans="3:5" x14ac:dyDescent="0.35">
      <c r="C240" s="1" t="s">
        <v>8802</v>
      </c>
      <c r="D240" s="1" t="s">
        <v>20</v>
      </c>
      <c r="E240" s="250">
        <v>4410.0469999999996</v>
      </c>
    </row>
    <row r="241" spans="3:5" x14ac:dyDescent="0.35">
      <c r="C241" s="1" t="s">
        <v>8801</v>
      </c>
      <c r="D241" s="1" t="s">
        <v>20</v>
      </c>
      <c r="E241" s="250">
        <v>4410.0479999999998</v>
      </c>
    </row>
    <row r="242" spans="3:5" x14ac:dyDescent="0.35">
      <c r="C242" s="1" t="s">
        <v>8800</v>
      </c>
      <c r="D242" s="1" t="s">
        <v>22</v>
      </c>
      <c r="E242" s="250">
        <v>4410.05</v>
      </c>
    </row>
    <row r="243" spans="3:5" x14ac:dyDescent="0.35">
      <c r="C243" s="1" t="s">
        <v>8799</v>
      </c>
      <c r="D243" s="1" t="s">
        <v>22</v>
      </c>
      <c r="E243" s="250">
        <v>4410.0510000000004</v>
      </c>
    </row>
    <row r="244" spans="3:5" x14ac:dyDescent="0.35">
      <c r="C244" s="1" t="s">
        <v>8798</v>
      </c>
      <c r="D244" s="1" t="s">
        <v>22</v>
      </c>
      <c r="E244" s="250">
        <v>4410.0519999999997</v>
      </c>
    </row>
    <row r="245" spans="3:5" x14ac:dyDescent="0.35">
      <c r="C245" s="1" t="s">
        <v>8797</v>
      </c>
      <c r="D245" s="1" t="s">
        <v>22</v>
      </c>
      <c r="E245" s="250">
        <v>4410.0529999999999</v>
      </c>
    </row>
    <row r="246" spans="3:5" x14ac:dyDescent="0.35">
      <c r="C246" s="1" t="s">
        <v>8796</v>
      </c>
      <c r="D246" s="1" t="s">
        <v>22</v>
      </c>
      <c r="E246" s="250">
        <v>4410.0540000000001</v>
      </c>
    </row>
    <row r="247" spans="3:5" x14ac:dyDescent="0.35">
      <c r="C247" s="1" t="s">
        <v>8795</v>
      </c>
      <c r="D247" s="1" t="s">
        <v>22</v>
      </c>
      <c r="E247" s="250">
        <v>4410.0550000000003</v>
      </c>
    </row>
    <row r="248" spans="3:5" x14ac:dyDescent="0.35">
      <c r="C248" s="1" t="s">
        <v>8794</v>
      </c>
      <c r="D248" s="1" t="s">
        <v>22</v>
      </c>
      <c r="E248" s="250">
        <v>4410.0559999999996</v>
      </c>
    </row>
    <row r="249" spans="3:5" x14ac:dyDescent="0.35">
      <c r="C249" s="1" t="s">
        <v>8793</v>
      </c>
      <c r="D249" s="1" t="s">
        <v>22</v>
      </c>
      <c r="E249" s="250">
        <v>4410.0569999999998</v>
      </c>
    </row>
    <row r="250" spans="3:5" x14ac:dyDescent="0.35">
      <c r="C250" s="1" t="s">
        <v>8792</v>
      </c>
      <c r="D250" s="1" t="s">
        <v>22</v>
      </c>
      <c r="E250" s="250">
        <v>4410.0600000000004</v>
      </c>
    </row>
    <row r="251" spans="3:5" x14ac:dyDescent="0.35">
      <c r="C251" s="1" t="s">
        <v>8791</v>
      </c>
      <c r="D251" s="1" t="s">
        <v>22</v>
      </c>
      <c r="E251" s="250">
        <v>4410.0609999999997</v>
      </c>
    </row>
    <row r="252" spans="3:5" x14ac:dyDescent="0.35">
      <c r="C252" s="1" t="s">
        <v>8790</v>
      </c>
      <c r="D252" s="1" t="s">
        <v>22</v>
      </c>
      <c r="E252" s="250">
        <v>4410.0619999999999</v>
      </c>
    </row>
    <row r="253" spans="3:5" x14ac:dyDescent="0.35">
      <c r="C253" s="1" t="s">
        <v>8789</v>
      </c>
      <c r="D253" s="1" t="s">
        <v>22</v>
      </c>
      <c r="E253" s="250">
        <v>4410.0630000000001</v>
      </c>
    </row>
    <row r="254" spans="3:5" x14ac:dyDescent="0.35">
      <c r="C254" s="1" t="s">
        <v>8788</v>
      </c>
      <c r="D254" s="1" t="s">
        <v>22</v>
      </c>
      <c r="E254" s="250">
        <v>4410.0640000000003</v>
      </c>
    </row>
    <row r="255" spans="3:5" x14ac:dyDescent="0.35">
      <c r="C255" s="1" t="s">
        <v>8787</v>
      </c>
      <c r="D255" s="1" t="s">
        <v>22</v>
      </c>
      <c r="E255" s="250">
        <v>4410.0649999999996</v>
      </c>
    </row>
    <row r="256" spans="3:5" x14ac:dyDescent="0.35">
      <c r="C256" s="1" t="s">
        <v>8786</v>
      </c>
      <c r="D256" s="1" t="s">
        <v>22</v>
      </c>
      <c r="E256" s="250">
        <v>4410.0659999999998</v>
      </c>
    </row>
    <row r="257" spans="3:5" x14ac:dyDescent="0.35">
      <c r="C257" s="1" t="s">
        <v>8785</v>
      </c>
      <c r="D257" s="1" t="s">
        <v>22</v>
      </c>
      <c r="E257" s="250">
        <v>4410.067</v>
      </c>
    </row>
    <row r="258" spans="3:5" x14ac:dyDescent="0.35">
      <c r="C258" s="1" t="s">
        <v>8784</v>
      </c>
      <c r="D258" s="1" t="s">
        <v>20</v>
      </c>
      <c r="E258" s="250">
        <v>4410.1000000000004</v>
      </c>
    </row>
    <row r="259" spans="3:5" x14ac:dyDescent="0.35">
      <c r="C259" s="1" t="s">
        <v>8783</v>
      </c>
      <c r="D259" s="1" t="s">
        <v>20</v>
      </c>
      <c r="E259" s="250">
        <v>4410.1009999999997</v>
      </c>
    </row>
    <row r="260" spans="3:5" x14ac:dyDescent="0.35">
      <c r="C260" s="1" t="s">
        <v>8782</v>
      </c>
      <c r="D260" s="1" t="s">
        <v>20</v>
      </c>
      <c r="E260" s="250">
        <v>4410.1019999999999</v>
      </c>
    </row>
    <row r="261" spans="3:5" x14ac:dyDescent="0.35">
      <c r="C261" s="1" t="s">
        <v>8781</v>
      </c>
      <c r="D261" s="1" t="s">
        <v>22</v>
      </c>
      <c r="E261" s="250">
        <v>4410.1099999999997</v>
      </c>
    </row>
    <row r="262" spans="3:5" x14ac:dyDescent="0.35">
      <c r="C262" s="1" t="s">
        <v>8780</v>
      </c>
      <c r="D262" s="1" t="s">
        <v>22</v>
      </c>
      <c r="E262" s="250">
        <v>4410.1109999999999</v>
      </c>
    </row>
    <row r="263" spans="3:5" x14ac:dyDescent="0.35">
      <c r="C263" s="1" t="s">
        <v>8779</v>
      </c>
      <c r="D263" s="1" t="s">
        <v>22</v>
      </c>
      <c r="E263" s="250">
        <v>4410.1120000000001</v>
      </c>
    </row>
    <row r="264" spans="3:5" x14ac:dyDescent="0.35">
      <c r="C264" s="1" t="s">
        <v>8778</v>
      </c>
      <c r="D264" s="1" t="s">
        <v>22</v>
      </c>
      <c r="E264" s="250">
        <v>4410.1130000000003</v>
      </c>
    </row>
    <row r="265" spans="3:5" x14ac:dyDescent="0.35">
      <c r="C265" s="1" t="s">
        <v>8777</v>
      </c>
      <c r="D265" s="1" t="s">
        <v>22</v>
      </c>
      <c r="E265" s="250">
        <v>4410.1139999999996</v>
      </c>
    </row>
    <row r="266" spans="3:5" x14ac:dyDescent="0.35">
      <c r="C266" s="1" t="s">
        <v>8776</v>
      </c>
      <c r="D266" s="1" t="s">
        <v>22</v>
      </c>
      <c r="E266" s="250">
        <v>4410.1149999999998</v>
      </c>
    </row>
    <row r="267" spans="3:5" x14ac:dyDescent="0.35">
      <c r="C267" s="1" t="s">
        <v>8775</v>
      </c>
      <c r="D267" s="1" t="s">
        <v>22</v>
      </c>
      <c r="E267" s="250">
        <v>4410.116</v>
      </c>
    </row>
    <row r="268" spans="3:5" x14ac:dyDescent="0.35">
      <c r="C268" s="1" t="s">
        <v>8774</v>
      </c>
      <c r="D268" s="1" t="s">
        <v>22</v>
      </c>
      <c r="E268" s="250">
        <v>4410.1170000000002</v>
      </c>
    </row>
    <row r="269" spans="3:5" x14ac:dyDescent="0.35">
      <c r="C269" s="1" t="s">
        <v>8773</v>
      </c>
      <c r="D269" s="1" t="s">
        <v>20</v>
      </c>
      <c r="E269" s="250">
        <v>4410.125</v>
      </c>
    </row>
    <row r="270" spans="3:5" x14ac:dyDescent="0.35">
      <c r="C270" s="1" t="s">
        <v>8772</v>
      </c>
      <c r="D270" s="1" t="s">
        <v>20</v>
      </c>
      <c r="E270" s="250">
        <v>4410.1260000000002</v>
      </c>
    </row>
    <row r="271" spans="3:5" x14ac:dyDescent="0.35">
      <c r="C271" s="1" t="s">
        <v>8771</v>
      </c>
      <c r="D271" s="1" t="s">
        <v>20</v>
      </c>
      <c r="E271" s="250">
        <v>4410.1270000000004</v>
      </c>
    </row>
    <row r="272" spans="3:5" x14ac:dyDescent="0.35">
      <c r="C272" s="1" t="s">
        <v>8770</v>
      </c>
      <c r="D272" s="1" t="s">
        <v>20</v>
      </c>
      <c r="E272" s="250">
        <v>4410.1279999999997</v>
      </c>
    </row>
    <row r="273" spans="3:5" x14ac:dyDescent="0.35">
      <c r="C273" s="1" t="s">
        <v>8769</v>
      </c>
      <c r="D273" s="1" t="s">
        <v>20</v>
      </c>
      <c r="E273" s="250">
        <v>4410.1289999999999</v>
      </c>
    </row>
    <row r="274" spans="3:5" x14ac:dyDescent="0.35">
      <c r="C274" s="1" t="s">
        <v>8768</v>
      </c>
      <c r="D274" s="1" t="s">
        <v>20</v>
      </c>
      <c r="E274" s="250">
        <v>4410.13</v>
      </c>
    </row>
    <row r="275" spans="3:5" x14ac:dyDescent="0.35">
      <c r="C275" s="1" t="s">
        <v>8767</v>
      </c>
      <c r="D275" s="1" t="s">
        <v>20</v>
      </c>
      <c r="E275" s="250">
        <v>4410.1310000000003</v>
      </c>
    </row>
    <row r="276" spans="3:5" x14ac:dyDescent="0.35">
      <c r="C276" s="1" t="s">
        <v>8766</v>
      </c>
      <c r="D276" s="1" t="s">
        <v>20</v>
      </c>
      <c r="E276" s="250">
        <v>4410.1319999999996</v>
      </c>
    </row>
    <row r="277" spans="3:5" x14ac:dyDescent="0.35">
      <c r="C277" s="1" t="s">
        <v>8765</v>
      </c>
      <c r="D277" s="1" t="s">
        <v>20</v>
      </c>
      <c r="E277" s="250">
        <v>4410.1400000000003</v>
      </c>
    </row>
    <row r="278" spans="3:5" x14ac:dyDescent="0.35">
      <c r="C278" s="1" t="s">
        <v>8764</v>
      </c>
      <c r="D278" s="1" t="s">
        <v>20</v>
      </c>
      <c r="E278" s="250">
        <v>4410.1409999999996</v>
      </c>
    </row>
    <row r="279" spans="3:5" x14ac:dyDescent="0.35">
      <c r="C279" s="1" t="s">
        <v>8763</v>
      </c>
      <c r="D279" s="1" t="s">
        <v>20</v>
      </c>
      <c r="E279" s="250">
        <v>4410.1419999999998</v>
      </c>
    </row>
    <row r="280" spans="3:5" x14ac:dyDescent="0.35">
      <c r="C280" s="1" t="s">
        <v>8762</v>
      </c>
      <c r="D280" s="1" t="s">
        <v>20</v>
      </c>
      <c r="E280" s="250">
        <v>4410.143</v>
      </c>
    </row>
    <row r="281" spans="3:5" x14ac:dyDescent="0.35">
      <c r="C281" s="1" t="s">
        <v>8761</v>
      </c>
      <c r="D281" s="1" t="s">
        <v>20</v>
      </c>
      <c r="E281" s="250">
        <v>4410.1440000000002</v>
      </c>
    </row>
    <row r="282" spans="3:5" x14ac:dyDescent="0.35">
      <c r="C282" s="1" t="s">
        <v>8760</v>
      </c>
      <c r="D282" s="1" t="s">
        <v>20</v>
      </c>
      <c r="E282" s="250">
        <v>4410.1450000000004</v>
      </c>
    </row>
    <row r="283" spans="3:5" x14ac:dyDescent="0.35">
      <c r="C283" s="1" t="s">
        <v>8759</v>
      </c>
      <c r="D283" s="1" t="s">
        <v>20</v>
      </c>
      <c r="E283" s="250">
        <v>4410.1459999999997</v>
      </c>
    </row>
    <row r="284" spans="3:5" x14ac:dyDescent="0.35">
      <c r="C284" s="1" t="s">
        <v>8758</v>
      </c>
      <c r="D284" s="1" t="s">
        <v>20</v>
      </c>
      <c r="E284" s="250">
        <v>4410.1469999999999</v>
      </c>
    </row>
    <row r="285" spans="3:5" x14ac:dyDescent="0.35">
      <c r="C285" s="1" t="s">
        <v>8757</v>
      </c>
      <c r="D285" s="1" t="s">
        <v>20</v>
      </c>
      <c r="E285" s="250">
        <v>4410.2</v>
      </c>
    </row>
    <row r="286" spans="3:5" x14ac:dyDescent="0.35">
      <c r="C286" s="1" t="s">
        <v>8756</v>
      </c>
      <c r="D286" s="1" t="s">
        <v>20</v>
      </c>
      <c r="E286" s="250">
        <v>4410.3</v>
      </c>
    </row>
    <row r="287" spans="3:5" x14ac:dyDescent="0.35">
      <c r="C287" s="1" t="s">
        <v>8755</v>
      </c>
      <c r="D287" s="1" t="s">
        <v>20</v>
      </c>
      <c r="E287" s="250">
        <v>4410.3010000000004</v>
      </c>
    </row>
    <row r="288" spans="3:5" x14ac:dyDescent="0.35">
      <c r="C288" s="1" t="s">
        <v>8754</v>
      </c>
      <c r="D288" s="1" t="s">
        <v>20</v>
      </c>
      <c r="E288" s="250">
        <v>4410.3019999999997</v>
      </c>
    </row>
    <row r="289" spans="3:5" x14ac:dyDescent="0.35">
      <c r="C289" s="1" t="s">
        <v>8753</v>
      </c>
      <c r="D289" s="1" t="s">
        <v>20</v>
      </c>
      <c r="E289" s="250">
        <v>4410.3029999999999</v>
      </c>
    </row>
    <row r="290" spans="3:5" x14ac:dyDescent="0.35">
      <c r="C290" s="1" t="s">
        <v>8752</v>
      </c>
      <c r="D290" s="1" t="s">
        <v>20</v>
      </c>
      <c r="E290" s="250">
        <v>4410.3040000000001</v>
      </c>
    </row>
    <row r="291" spans="3:5" x14ac:dyDescent="0.35">
      <c r="C291" s="1" t="s">
        <v>8751</v>
      </c>
      <c r="D291" s="1" t="s">
        <v>20</v>
      </c>
      <c r="E291" s="250">
        <v>4410.3050000000003</v>
      </c>
    </row>
    <row r="292" spans="3:5" x14ac:dyDescent="0.35">
      <c r="C292" s="1" t="s">
        <v>8750</v>
      </c>
      <c r="D292" s="1" t="s">
        <v>20</v>
      </c>
      <c r="E292" s="250">
        <v>4410.3059999999996</v>
      </c>
    </row>
    <row r="293" spans="3:5" x14ac:dyDescent="0.35">
      <c r="C293" s="1" t="s">
        <v>8749</v>
      </c>
      <c r="D293" s="1" t="s">
        <v>20</v>
      </c>
      <c r="E293" s="250">
        <v>4410.3069999999998</v>
      </c>
    </row>
    <row r="294" spans="3:5" x14ac:dyDescent="0.35">
      <c r="C294" s="1" t="s">
        <v>8748</v>
      </c>
      <c r="D294" s="1" t="s">
        <v>20</v>
      </c>
      <c r="E294" s="250">
        <v>4410.3999999999996</v>
      </c>
    </row>
    <row r="295" spans="3:5" x14ac:dyDescent="0.35">
      <c r="C295" s="1" t="s">
        <v>8747</v>
      </c>
      <c r="D295" s="1" t="s">
        <v>22</v>
      </c>
      <c r="E295" s="250">
        <v>4410.41</v>
      </c>
    </row>
    <row r="296" spans="3:5" x14ac:dyDescent="0.35">
      <c r="C296" s="1" t="s">
        <v>8746</v>
      </c>
      <c r="D296" s="1" t="s">
        <v>22</v>
      </c>
      <c r="E296" s="250">
        <v>4410.42</v>
      </c>
    </row>
    <row r="297" spans="3:5" x14ac:dyDescent="0.35">
      <c r="C297" s="1" t="s">
        <v>8745</v>
      </c>
      <c r="D297" s="1" t="s">
        <v>22</v>
      </c>
      <c r="E297" s="250">
        <v>4410.43</v>
      </c>
    </row>
    <row r="298" spans="3:5" x14ac:dyDescent="0.35">
      <c r="C298" s="1" t="s">
        <v>8744</v>
      </c>
      <c r="D298" s="1" t="s">
        <v>19</v>
      </c>
      <c r="E298" s="250">
        <v>4410.5600000000004</v>
      </c>
    </row>
    <row r="299" spans="3:5" x14ac:dyDescent="0.35">
      <c r="C299" s="1" t="s">
        <v>8743</v>
      </c>
      <c r="D299" s="1" t="s">
        <v>19</v>
      </c>
      <c r="E299" s="250">
        <v>4410.57</v>
      </c>
    </row>
    <row r="300" spans="3:5" x14ac:dyDescent="0.35">
      <c r="C300" s="1" t="s">
        <v>8742</v>
      </c>
      <c r="D300" s="1" t="s">
        <v>3023</v>
      </c>
      <c r="E300" s="250">
        <v>4410.6000000000004</v>
      </c>
    </row>
    <row r="301" spans="3:5" x14ac:dyDescent="0.35">
      <c r="C301" s="1" t="s">
        <v>8741</v>
      </c>
      <c r="D301" s="1" t="s">
        <v>3023</v>
      </c>
      <c r="E301" s="250">
        <v>4410.6009999999997</v>
      </c>
    </row>
    <row r="302" spans="3:5" x14ac:dyDescent="0.35">
      <c r="C302" s="1" t="s">
        <v>8740</v>
      </c>
      <c r="D302" s="1" t="s">
        <v>3023</v>
      </c>
      <c r="E302" s="250">
        <v>4410.6019999999999</v>
      </c>
    </row>
    <row r="303" spans="3:5" x14ac:dyDescent="0.35">
      <c r="C303" s="1" t="s">
        <v>8739</v>
      </c>
      <c r="D303" s="1" t="s">
        <v>3023</v>
      </c>
      <c r="E303" s="250">
        <v>4410.6030000000001</v>
      </c>
    </row>
    <row r="304" spans="3:5" x14ac:dyDescent="0.35">
      <c r="C304" s="1" t="s">
        <v>8738</v>
      </c>
      <c r="D304" s="1" t="s">
        <v>3023</v>
      </c>
      <c r="E304" s="250">
        <v>4410.6040000000003</v>
      </c>
    </row>
    <row r="305" spans="3:5" x14ac:dyDescent="0.35">
      <c r="C305" s="1" t="s">
        <v>8737</v>
      </c>
      <c r="D305" s="1" t="s">
        <v>3023</v>
      </c>
      <c r="E305" s="250">
        <v>4410.6049999999996</v>
      </c>
    </row>
    <row r="306" spans="3:5" x14ac:dyDescent="0.35">
      <c r="C306" s="1" t="s">
        <v>8736</v>
      </c>
      <c r="D306" s="1" t="s">
        <v>3023</v>
      </c>
      <c r="E306" s="250">
        <v>4410.6059999999998</v>
      </c>
    </row>
    <row r="307" spans="3:5" x14ac:dyDescent="0.35">
      <c r="C307" s="1" t="s">
        <v>8735</v>
      </c>
      <c r="D307" s="1" t="s">
        <v>3023</v>
      </c>
      <c r="E307" s="250">
        <v>4410.607</v>
      </c>
    </row>
    <row r="308" spans="3:5" x14ac:dyDescent="0.35">
      <c r="C308" s="1" t="s">
        <v>8734</v>
      </c>
      <c r="D308" s="1" t="s">
        <v>3023</v>
      </c>
      <c r="E308" s="250">
        <v>4410.6080000000002</v>
      </c>
    </row>
    <row r="309" spans="3:5" x14ac:dyDescent="0.35">
      <c r="C309" s="1" t="s">
        <v>8733</v>
      </c>
      <c r="D309" s="1" t="s">
        <v>20</v>
      </c>
      <c r="E309" s="250">
        <v>4410.62</v>
      </c>
    </row>
    <row r="310" spans="3:5" x14ac:dyDescent="0.35">
      <c r="C310" s="1" t="s">
        <v>8732</v>
      </c>
      <c r="D310" s="1" t="s">
        <v>20</v>
      </c>
      <c r="E310" s="250">
        <v>4410.6210000000001</v>
      </c>
    </row>
    <row r="311" spans="3:5" x14ac:dyDescent="0.35">
      <c r="C311" s="1" t="s">
        <v>8731</v>
      </c>
      <c r="D311" s="1" t="s">
        <v>20</v>
      </c>
      <c r="E311" s="250">
        <v>4410.6220000000003</v>
      </c>
    </row>
    <row r="312" spans="3:5" x14ac:dyDescent="0.35">
      <c r="C312" s="1" t="s">
        <v>8730</v>
      </c>
      <c r="D312" s="1" t="s">
        <v>20</v>
      </c>
      <c r="E312" s="250">
        <v>4410.6229999999996</v>
      </c>
    </row>
    <row r="313" spans="3:5" x14ac:dyDescent="0.35">
      <c r="C313" s="1" t="s">
        <v>8729</v>
      </c>
      <c r="D313" s="1" t="s">
        <v>20</v>
      </c>
      <c r="E313" s="250">
        <v>4410.6239999999998</v>
      </c>
    </row>
    <row r="314" spans="3:5" x14ac:dyDescent="0.35">
      <c r="C314" s="1" t="s">
        <v>8728</v>
      </c>
      <c r="D314" s="1" t="s">
        <v>20</v>
      </c>
      <c r="E314" s="250">
        <v>4410.625</v>
      </c>
    </row>
    <row r="315" spans="3:5" x14ac:dyDescent="0.35">
      <c r="C315" s="1" t="s">
        <v>8727</v>
      </c>
      <c r="D315" s="1" t="s">
        <v>20</v>
      </c>
      <c r="E315" s="250">
        <v>4410.6260000000002</v>
      </c>
    </row>
    <row r="316" spans="3:5" x14ac:dyDescent="0.35">
      <c r="C316" s="1" t="s">
        <v>8726</v>
      </c>
      <c r="D316" s="1" t="s">
        <v>20</v>
      </c>
      <c r="E316" s="250">
        <v>4410.6270000000004</v>
      </c>
    </row>
    <row r="317" spans="3:5" x14ac:dyDescent="0.35">
      <c r="C317" s="1" t="s">
        <v>8725</v>
      </c>
      <c r="D317" s="1" t="s">
        <v>20</v>
      </c>
      <c r="E317" s="250">
        <v>4410.6279999999997</v>
      </c>
    </row>
    <row r="318" spans="3:5" x14ac:dyDescent="0.35">
      <c r="C318" s="1" t="s">
        <v>8724</v>
      </c>
      <c r="D318" s="1" t="s">
        <v>22</v>
      </c>
      <c r="E318" s="250">
        <v>4410.63</v>
      </c>
    </row>
    <row r="319" spans="3:5" x14ac:dyDescent="0.35">
      <c r="C319" s="1" t="s">
        <v>8723</v>
      </c>
      <c r="D319" s="1" t="s">
        <v>22</v>
      </c>
      <c r="E319" s="250">
        <v>4410.6310000000003</v>
      </c>
    </row>
    <row r="320" spans="3:5" x14ac:dyDescent="0.35">
      <c r="C320" s="1" t="s">
        <v>8722</v>
      </c>
      <c r="D320" s="1" t="s">
        <v>22</v>
      </c>
      <c r="E320" s="250">
        <v>4410.6319999999996</v>
      </c>
    </row>
    <row r="321" spans="3:5" x14ac:dyDescent="0.35">
      <c r="C321" s="1" t="s">
        <v>8721</v>
      </c>
      <c r="D321" s="1" t="s">
        <v>22</v>
      </c>
      <c r="E321" s="250">
        <v>4410.6329999999998</v>
      </c>
    </row>
    <row r="322" spans="3:5" x14ac:dyDescent="0.35">
      <c r="C322" s="1" t="s">
        <v>8720</v>
      </c>
      <c r="D322" s="1" t="s">
        <v>22</v>
      </c>
      <c r="E322" s="250">
        <v>4410.634</v>
      </c>
    </row>
    <row r="323" spans="3:5" x14ac:dyDescent="0.35">
      <c r="C323" s="1" t="s">
        <v>8719</v>
      </c>
      <c r="D323" s="1" t="s">
        <v>22</v>
      </c>
      <c r="E323" s="250">
        <v>4410.6350000000002</v>
      </c>
    </row>
    <row r="324" spans="3:5" x14ac:dyDescent="0.35">
      <c r="C324" s="1" t="s">
        <v>8718</v>
      </c>
      <c r="D324" s="1" t="s">
        <v>22</v>
      </c>
      <c r="E324" s="250">
        <v>4410.6360000000004</v>
      </c>
    </row>
    <row r="325" spans="3:5" x14ac:dyDescent="0.35">
      <c r="C325" s="1" t="s">
        <v>8717</v>
      </c>
      <c r="D325" s="1" t="s">
        <v>22</v>
      </c>
      <c r="E325" s="250">
        <v>4410.6369999999997</v>
      </c>
    </row>
    <row r="326" spans="3:5" x14ac:dyDescent="0.35">
      <c r="C326" s="1" t="s">
        <v>8716</v>
      </c>
      <c r="D326" s="1" t="s">
        <v>22</v>
      </c>
      <c r="E326" s="250">
        <v>4410.6379999999999</v>
      </c>
    </row>
    <row r="327" spans="3:5" x14ac:dyDescent="0.35">
      <c r="C327" s="1" t="s">
        <v>8715</v>
      </c>
      <c r="D327" s="1" t="s">
        <v>66</v>
      </c>
      <c r="E327" s="250">
        <v>4410.6400000000003</v>
      </c>
    </row>
    <row r="328" spans="3:5" x14ac:dyDescent="0.35">
      <c r="C328" s="1" t="s">
        <v>8714</v>
      </c>
      <c r="D328" s="1" t="s">
        <v>66</v>
      </c>
      <c r="E328" s="250">
        <v>4410.6409999999996</v>
      </c>
    </row>
    <row r="329" spans="3:5" x14ac:dyDescent="0.35">
      <c r="C329" s="1" t="s">
        <v>8713</v>
      </c>
      <c r="D329" s="1" t="s">
        <v>66</v>
      </c>
      <c r="E329" s="250">
        <v>4410.6419999999998</v>
      </c>
    </row>
    <row r="330" spans="3:5" x14ac:dyDescent="0.35">
      <c r="C330" s="1" t="s">
        <v>8712</v>
      </c>
      <c r="D330" s="1" t="s">
        <v>66</v>
      </c>
      <c r="E330" s="250">
        <v>4410.643</v>
      </c>
    </row>
    <row r="331" spans="3:5" x14ac:dyDescent="0.35">
      <c r="C331" s="1" t="s">
        <v>8711</v>
      </c>
      <c r="D331" s="1" t="s">
        <v>66</v>
      </c>
      <c r="E331" s="250">
        <v>4410.6440000000002</v>
      </c>
    </row>
    <row r="332" spans="3:5" x14ac:dyDescent="0.35">
      <c r="C332" s="1" t="s">
        <v>8710</v>
      </c>
      <c r="D332" s="1" t="s">
        <v>66</v>
      </c>
      <c r="E332" s="250">
        <v>4410.6450000000004</v>
      </c>
    </row>
    <row r="333" spans="3:5" x14ac:dyDescent="0.35">
      <c r="C333" s="1" t="s">
        <v>8709</v>
      </c>
      <c r="D333" s="1" t="s">
        <v>66</v>
      </c>
      <c r="E333" s="250">
        <v>4410.6459999999997</v>
      </c>
    </row>
    <row r="334" spans="3:5" x14ac:dyDescent="0.35">
      <c r="C334" s="1" t="s">
        <v>8708</v>
      </c>
      <c r="D334" s="1" t="s">
        <v>66</v>
      </c>
      <c r="E334" s="250">
        <v>4410.6469999999999</v>
      </c>
    </row>
    <row r="335" spans="3:5" x14ac:dyDescent="0.35">
      <c r="C335" s="1" t="s">
        <v>8707</v>
      </c>
      <c r="D335" s="1" t="s">
        <v>66</v>
      </c>
      <c r="E335" s="250">
        <v>4410.6480000000001</v>
      </c>
    </row>
    <row r="336" spans="3:5" x14ac:dyDescent="0.35">
      <c r="C336" s="1" t="s">
        <v>8706</v>
      </c>
      <c r="D336" s="1" t="s">
        <v>19</v>
      </c>
      <c r="E336" s="250">
        <v>4410.6499999999996</v>
      </c>
    </row>
    <row r="337" spans="3:5" x14ac:dyDescent="0.35">
      <c r="C337" s="1" t="s">
        <v>8705</v>
      </c>
      <c r="D337" s="1" t="s">
        <v>18</v>
      </c>
      <c r="E337" s="250">
        <v>4410.6509999999998</v>
      </c>
    </row>
    <row r="338" spans="3:5" x14ac:dyDescent="0.35">
      <c r="C338" s="1" t="s">
        <v>8704</v>
      </c>
      <c r="D338" s="1" t="s">
        <v>20</v>
      </c>
      <c r="E338" s="250">
        <v>4410.8</v>
      </c>
    </row>
    <row r="339" spans="3:5" x14ac:dyDescent="0.35">
      <c r="C339" s="1" t="s">
        <v>8703</v>
      </c>
      <c r="D339" s="1" t="s">
        <v>20</v>
      </c>
      <c r="E339" s="250">
        <v>4410.99</v>
      </c>
    </row>
    <row r="340" spans="3:5" x14ac:dyDescent="0.35">
      <c r="C340" s="1" t="s">
        <v>8702</v>
      </c>
      <c r="D340" s="1" t="s">
        <v>20</v>
      </c>
      <c r="E340" s="250">
        <v>4410.9920000000002</v>
      </c>
    </row>
    <row r="341" spans="3:5" x14ac:dyDescent="0.35">
      <c r="C341" s="1" t="s">
        <v>8701</v>
      </c>
      <c r="D341" s="1" t="s">
        <v>621</v>
      </c>
      <c r="E341" s="250">
        <v>4410.9930000000004</v>
      </c>
    </row>
    <row r="342" spans="3:5" x14ac:dyDescent="0.35">
      <c r="C342" s="1" t="s">
        <v>8700</v>
      </c>
      <c r="D342" s="1" t="s">
        <v>20</v>
      </c>
      <c r="E342" s="250">
        <v>4412.1000000000004</v>
      </c>
    </row>
    <row r="343" spans="3:5" x14ac:dyDescent="0.35">
      <c r="C343" s="1" t="s">
        <v>8699</v>
      </c>
      <c r="D343" s="1" t="s">
        <v>20</v>
      </c>
      <c r="E343" s="250">
        <v>4412.1099999999997</v>
      </c>
    </row>
    <row r="344" spans="3:5" x14ac:dyDescent="0.35">
      <c r="C344" s="1" t="s">
        <v>8698</v>
      </c>
      <c r="D344" s="1" t="s">
        <v>19</v>
      </c>
      <c r="E344" s="250">
        <v>4412.2</v>
      </c>
    </row>
    <row r="345" spans="3:5" x14ac:dyDescent="0.35">
      <c r="C345" s="1" t="s">
        <v>8697</v>
      </c>
      <c r="D345" s="1" t="s">
        <v>19</v>
      </c>
      <c r="E345" s="250">
        <v>4412.21</v>
      </c>
    </row>
    <row r="346" spans="3:5" x14ac:dyDescent="0.35">
      <c r="C346" s="1" t="s">
        <v>8696</v>
      </c>
      <c r="D346" s="1" t="s">
        <v>19</v>
      </c>
      <c r="E346" s="250">
        <v>4412.3</v>
      </c>
    </row>
    <row r="347" spans="3:5" x14ac:dyDescent="0.35">
      <c r="C347" s="1" t="s">
        <v>8695</v>
      </c>
      <c r="D347" s="1" t="s">
        <v>19</v>
      </c>
      <c r="E347" s="250">
        <v>4412.3100000000004</v>
      </c>
    </row>
    <row r="348" spans="3:5" x14ac:dyDescent="0.35">
      <c r="C348" s="1" t="s">
        <v>8694</v>
      </c>
      <c r="D348" s="1" t="s">
        <v>19</v>
      </c>
      <c r="E348" s="250">
        <v>4415.0110000000004</v>
      </c>
    </row>
    <row r="349" spans="3:5" x14ac:dyDescent="0.35">
      <c r="C349" s="1" t="s">
        <v>8693</v>
      </c>
      <c r="D349" s="1" t="s">
        <v>19</v>
      </c>
      <c r="E349" s="250">
        <v>4415.0119999999997</v>
      </c>
    </row>
    <row r="350" spans="3:5" x14ac:dyDescent="0.35">
      <c r="C350" s="1" t="s">
        <v>8692</v>
      </c>
      <c r="D350" s="1" t="s">
        <v>19</v>
      </c>
      <c r="E350" s="250">
        <v>4415.0150000000003</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81380144-9A94-49EA-83C2-76B6A179CA7F}">
      <formula1>$C$205:$C207</formula1>
    </dataValidation>
  </dataValidations>
  <hyperlinks>
    <hyperlink ref="D3" r:id="rId1" display="datamateapp@gmail.com" xr:uid="{709663B2-7095-40F9-9428-AD142AB2E603}"/>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15402" r:id="rId4" name="Button 10">
              <controlPr defaultSize="0" print="0" autoFill="0" autoPict="0" macro="[0]!ExitSEC_044000">
                <anchor moveWithCells="1" sizeWithCells="1">
                  <from>
                    <xdr:col>16</xdr:col>
                    <xdr:colOff>209550</xdr:colOff>
                    <xdr:row>0</xdr:row>
                    <xdr:rowOff>0</xdr:rowOff>
                  </from>
                  <to>
                    <xdr:col>16</xdr:col>
                    <xdr:colOff>1479550</xdr:colOff>
                    <xdr:row>2</xdr:row>
                    <xdr:rowOff>12700</xdr:rowOff>
                  </to>
                </anchor>
              </controlPr>
            </control>
          </mc:Choice>
        </mc:AlternateContent>
        <mc:AlternateContent xmlns:mc="http://schemas.openxmlformats.org/markup-compatibility/2006">
          <mc:Choice Requires="x14">
            <control shapeId="315663" r:id="rId5" name="Button 271">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315664" r:id="rId6" name="Button 272">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315665" r:id="rId7" name="Button 27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315666" r:id="rId8" name="Button 274">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315667" r:id="rId9" name="Button 275">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315668" r:id="rId10" name="Button 276">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315669" r:id="rId11" name="Button 277">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315670" r:id="rId12" name="Button 278">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B679A-26AC-4DBB-8A86-AAEB8AB5FD31}">
  <sheetPr codeName="Sheet63"/>
  <dimension ref="A1:Q213"/>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REFRACTORY MASONRY</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04 50 00</v>
      </c>
      <c r="C10" s="24" t="str">
        <f>C206</f>
        <v>REFRACTORY MASONRY</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REFRACTORY MASONRY</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14157</v>
      </c>
      <c r="C206" s="82" t="s">
        <v>14158</v>
      </c>
      <c r="D206" s="1"/>
      <c r="E206" s="1"/>
      <c r="F206" s="1"/>
      <c r="G206" s="1"/>
      <c r="H206" s="1"/>
      <c r="I206" s="1"/>
      <c r="J206" s="1"/>
      <c r="K206" s="1"/>
      <c r="L206" s="1"/>
      <c r="M206" s="1"/>
      <c r="N206" s="1"/>
      <c r="O206" s="1"/>
      <c r="P206" s="1"/>
      <c r="Q206" s="1"/>
    </row>
    <row r="207" spans="2:17" x14ac:dyDescent="0.35">
      <c r="B207" s="49" t="s">
        <v>14159</v>
      </c>
      <c r="C207" s="53" t="s">
        <v>14160</v>
      </c>
      <c r="D207" s="1"/>
      <c r="E207" s="1"/>
      <c r="F207" s="1"/>
      <c r="G207" s="1"/>
      <c r="H207" s="1"/>
      <c r="I207" s="1"/>
      <c r="J207" s="1"/>
      <c r="K207" s="1"/>
      <c r="L207" s="1"/>
      <c r="M207" s="1"/>
      <c r="N207" s="1"/>
      <c r="O207" s="1"/>
      <c r="P207" s="1"/>
      <c r="Q207" s="1"/>
    </row>
    <row r="208" spans="2:17" x14ac:dyDescent="0.35">
      <c r="B208" s="49" t="s">
        <v>14161</v>
      </c>
      <c r="C208" s="53" t="s">
        <v>14162</v>
      </c>
    </row>
    <row r="209" spans="2:5" x14ac:dyDescent="0.35">
      <c r="B209" s="49" t="s">
        <v>14163</v>
      </c>
      <c r="C209" s="53" t="s">
        <v>14164</v>
      </c>
    </row>
    <row r="210" spans="2:5" x14ac:dyDescent="0.35">
      <c r="B210" s="49" t="s">
        <v>14165</v>
      </c>
      <c r="C210" s="53" t="s">
        <v>14166</v>
      </c>
    </row>
    <row r="211" spans="2:5" x14ac:dyDescent="0.35">
      <c r="B211" s="49" t="s">
        <v>14167</v>
      </c>
      <c r="C211" s="53" t="s">
        <v>14168</v>
      </c>
    </row>
    <row r="212" spans="2:5" x14ac:dyDescent="0.35">
      <c r="C212" s="1" t="s">
        <v>8691</v>
      </c>
      <c r="D212" s="1" t="s">
        <v>18</v>
      </c>
      <c r="E212" s="250">
        <v>4550.0110000000004</v>
      </c>
    </row>
    <row r="213" spans="2:5" x14ac:dyDescent="0.35">
      <c r="C213" s="1" t="s">
        <v>8690</v>
      </c>
      <c r="D213" s="1" t="s">
        <v>3023</v>
      </c>
      <c r="E213" s="250">
        <v>4580.01</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07612DEA-E4BB-4BBA-8465-777D8A85D259}">
      <formula1>$C$205:$C207</formula1>
    </dataValidation>
  </dataValidations>
  <hyperlinks>
    <hyperlink ref="D3" r:id="rId1" display="datamateapp@gmail.com" xr:uid="{2AB0A900-0A3F-4AB6-939B-672135F2A4EA}"/>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16426" r:id="rId4" name="Button 10">
              <controlPr defaultSize="0" print="0" autoFill="0" autoPict="0" macro="[0]!ExitSEC_045000">
                <anchor moveWithCells="1" sizeWithCells="1">
                  <from>
                    <xdr:col>16</xdr:col>
                    <xdr:colOff>209550</xdr:colOff>
                    <xdr:row>0</xdr:row>
                    <xdr:rowOff>0</xdr:rowOff>
                  </from>
                  <to>
                    <xdr:col>16</xdr:col>
                    <xdr:colOff>1479550</xdr:colOff>
                    <xdr:row>2</xdr:row>
                    <xdr:rowOff>12700</xdr:rowOff>
                  </to>
                </anchor>
              </controlPr>
            </control>
          </mc:Choice>
        </mc:AlternateContent>
        <mc:AlternateContent xmlns:mc="http://schemas.openxmlformats.org/markup-compatibility/2006">
          <mc:Choice Requires="x14">
            <control shapeId="316453" r:id="rId5" name="Button 37">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316454" r:id="rId6" name="Button 38">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316455" r:id="rId7" name="Button 39">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316456" r:id="rId8" name="Button 40">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316457" r:id="rId9" name="Button 41">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316458" r:id="rId10" name="Button 42">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316459" r:id="rId11" name="Button 43">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316460" r:id="rId12" name="Button 44">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149F0-141F-4363-9CED-61CE61A6FE4B}">
  <sheetPr codeName="Sheet64"/>
  <dimension ref="A1:Q208"/>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CORROSION-RESISTANT MASONRY</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04 60 00</v>
      </c>
      <c r="C10" s="24" t="str">
        <f>C206</f>
        <v>CORROSION-RESISTANT MASONRY</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CORROSION-RESISTANT MASONRY</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14169</v>
      </c>
      <c r="C206" s="82" t="s">
        <v>14170</v>
      </c>
      <c r="D206" s="1"/>
      <c r="E206" s="1"/>
      <c r="F206" s="1"/>
      <c r="G206" s="1"/>
      <c r="H206" s="1"/>
      <c r="I206" s="1"/>
      <c r="J206" s="1"/>
      <c r="K206" s="1"/>
      <c r="L206" s="1"/>
      <c r="M206" s="1"/>
      <c r="N206" s="1"/>
      <c r="O206" s="1"/>
      <c r="P206" s="1"/>
      <c r="Q206" s="1"/>
    </row>
    <row r="207" spans="2:17" x14ac:dyDescent="0.35">
      <c r="B207" s="49" t="s">
        <v>14171</v>
      </c>
      <c r="C207" s="53" t="s">
        <v>14172</v>
      </c>
      <c r="D207" s="1"/>
      <c r="E207" s="1"/>
      <c r="F207" s="1"/>
      <c r="G207" s="1"/>
      <c r="H207" s="1"/>
      <c r="I207" s="1"/>
      <c r="J207" s="1"/>
      <c r="K207" s="1"/>
      <c r="L207" s="1"/>
      <c r="M207" s="1"/>
      <c r="N207" s="1"/>
      <c r="O207" s="1"/>
      <c r="P207" s="1"/>
      <c r="Q207" s="1"/>
    </row>
    <row r="208" spans="2:17" x14ac:dyDescent="0.35">
      <c r="B208" s="49" t="s">
        <v>14173</v>
      </c>
      <c r="C208" s="53" t="s">
        <v>14174</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3CA30B48-10A5-42A3-960F-B6E7536F26D7}">
      <formula1>$C$205:$C207</formula1>
    </dataValidation>
  </dataValidations>
  <hyperlinks>
    <hyperlink ref="D3" r:id="rId1" display="datamateapp@gmail.com" xr:uid="{8BD03193-3318-44C2-A6FF-C1362D2A767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17450" r:id="rId4" name="Button 10">
              <controlPr defaultSize="0" print="0" autoFill="0" autoPict="0" macro="[0]!ExitSEC_046000">
                <anchor moveWithCells="1" sizeWithCells="1">
                  <from>
                    <xdr:col>16</xdr:col>
                    <xdr:colOff>196850</xdr:colOff>
                    <xdr:row>0</xdr:row>
                    <xdr:rowOff>0</xdr:rowOff>
                  </from>
                  <to>
                    <xdr:col>16</xdr:col>
                    <xdr:colOff>1466850</xdr:colOff>
                    <xdr:row>2</xdr:row>
                    <xdr:rowOff>12700</xdr:rowOff>
                  </to>
                </anchor>
              </controlPr>
            </control>
          </mc:Choice>
        </mc:AlternateContent>
        <mc:AlternateContent xmlns:mc="http://schemas.openxmlformats.org/markup-compatibility/2006">
          <mc:Choice Requires="x14">
            <control shapeId="317477" r:id="rId5" name="Button 37">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317478" r:id="rId6" name="Button 38">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317479" r:id="rId7" name="Button 39">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317480" r:id="rId8" name="Button 40">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317481" r:id="rId9" name="Button 41">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317482" r:id="rId10" name="Button 42">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317483" r:id="rId11" name="Button 43">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317484" r:id="rId12" name="Button 44">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EC714-17A5-4B24-8D1E-F26D0FE56571}">
  <sheetPr codeName="Sheet65"/>
  <dimension ref="A1:Q563"/>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MANUFACTURED MASONRY</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04 70 00</v>
      </c>
      <c r="C10" s="24" t="str">
        <f>C206</f>
        <v>MANUFACTURED MASONRY</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MANUFACTURED MASONRY</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14175</v>
      </c>
      <c r="C206" s="82" t="s">
        <v>14176</v>
      </c>
      <c r="D206" s="1"/>
      <c r="E206" s="1"/>
      <c r="F206" s="1"/>
      <c r="G206" s="1"/>
      <c r="H206" s="1"/>
      <c r="I206" s="1"/>
      <c r="J206" s="1"/>
      <c r="K206" s="1"/>
      <c r="L206" s="1"/>
      <c r="M206" s="1"/>
      <c r="N206" s="1"/>
      <c r="O206" s="1"/>
      <c r="P206" s="1"/>
      <c r="Q206" s="1"/>
    </row>
    <row r="207" spans="2:17" x14ac:dyDescent="0.35">
      <c r="B207" s="49" t="s">
        <v>14177</v>
      </c>
      <c r="C207" s="53" t="s">
        <v>14178</v>
      </c>
      <c r="D207" s="1"/>
      <c r="E207" s="1"/>
      <c r="F207" s="1"/>
      <c r="G207" s="1"/>
      <c r="H207" s="1"/>
      <c r="I207" s="1"/>
      <c r="J207" s="1"/>
      <c r="K207" s="1"/>
      <c r="L207" s="1"/>
      <c r="M207" s="1"/>
      <c r="N207" s="1"/>
      <c r="O207" s="1"/>
      <c r="P207" s="1"/>
      <c r="Q207" s="1"/>
    </row>
    <row r="208" spans="2:17" x14ac:dyDescent="0.35">
      <c r="B208" s="49" t="s">
        <v>14179</v>
      </c>
      <c r="C208" s="53" t="s">
        <v>14180</v>
      </c>
    </row>
    <row r="209" spans="2:5" x14ac:dyDescent="0.35">
      <c r="B209" s="49" t="s">
        <v>14181</v>
      </c>
      <c r="C209" s="53" t="s">
        <v>14182</v>
      </c>
    </row>
    <row r="210" spans="2:5" x14ac:dyDescent="0.35">
      <c r="C210" s="1" t="s">
        <v>8689</v>
      </c>
      <c r="D210" s="1" t="s">
        <v>8688</v>
      </c>
      <c r="E210" s="250">
        <v>4700</v>
      </c>
    </row>
    <row r="211" spans="2:5" x14ac:dyDescent="0.35">
      <c r="C211" s="1" t="s">
        <v>8687</v>
      </c>
      <c r="D211" s="1" t="s">
        <v>8657</v>
      </c>
      <c r="E211" s="250">
        <v>4700.01</v>
      </c>
    </row>
    <row r="212" spans="2:5" x14ac:dyDescent="0.35">
      <c r="C212" s="1" t="s">
        <v>8686</v>
      </c>
      <c r="D212" s="1" t="s">
        <v>8657</v>
      </c>
      <c r="E212" s="250">
        <v>4700.0200000000004</v>
      </c>
    </row>
    <row r="213" spans="2:5" x14ac:dyDescent="0.35">
      <c r="C213" s="1" t="s">
        <v>8685</v>
      </c>
      <c r="D213" s="1" t="s">
        <v>8657</v>
      </c>
      <c r="E213" s="250">
        <v>4700.03</v>
      </c>
    </row>
    <row r="214" spans="2:5" x14ac:dyDescent="0.35">
      <c r="C214" s="1" t="s">
        <v>8684</v>
      </c>
      <c r="D214" s="1" t="s">
        <v>8657</v>
      </c>
      <c r="E214" s="250">
        <v>4700.04</v>
      </c>
    </row>
    <row r="215" spans="2:5" x14ac:dyDescent="0.35">
      <c r="C215" s="1" t="s">
        <v>8683</v>
      </c>
      <c r="D215" s="1" t="s">
        <v>8657</v>
      </c>
      <c r="E215" s="250">
        <v>4700.05</v>
      </c>
    </row>
    <row r="216" spans="2:5" x14ac:dyDescent="0.35">
      <c r="C216" s="1" t="s">
        <v>8682</v>
      </c>
      <c r="D216" s="1" t="s">
        <v>8657</v>
      </c>
      <c r="E216" s="250">
        <v>4700.0600000000004</v>
      </c>
    </row>
    <row r="217" spans="2:5" x14ac:dyDescent="0.35">
      <c r="C217" s="1" t="s">
        <v>8681</v>
      </c>
      <c r="D217" s="1" t="s">
        <v>8657</v>
      </c>
      <c r="E217" s="250">
        <v>4700.07</v>
      </c>
    </row>
    <row r="218" spans="2:5" x14ac:dyDescent="0.35">
      <c r="C218" s="1" t="s">
        <v>8680</v>
      </c>
      <c r="D218" s="1" t="s">
        <v>8657</v>
      </c>
      <c r="E218" s="250">
        <v>4700.08</v>
      </c>
    </row>
    <row r="219" spans="2:5" x14ac:dyDescent="0.35">
      <c r="C219" s="1" t="s">
        <v>8679</v>
      </c>
      <c r="D219" s="1" t="s">
        <v>8657</v>
      </c>
      <c r="E219" s="250">
        <v>4700.09</v>
      </c>
    </row>
    <row r="220" spans="2:5" x14ac:dyDescent="0.35">
      <c r="C220" s="1" t="s">
        <v>8678</v>
      </c>
      <c r="D220" s="1" t="s">
        <v>8657</v>
      </c>
      <c r="E220" s="250">
        <v>4700.1000000000004</v>
      </c>
    </row>
    <row r="221" spans="2:5" x14ac:dyDescent="0.35">
      <c r="C221" s="1" t="s">
        <v>8677</v>
      </c>
      <c r="D221" s="1" t="s">
        <v>8657</v>
      </c>
      <c r="E221" s="250">
        <v>4700.1099999999997</v>
      </c>
    </row>
    <row r="222" spans="2:5" x14ac:dyDescent="0.35">
      <c r="C222" s="1" t="s">
        <v>8676</v>
      </c>
      <c r="D222" s="1" t="s">
        <v>8657</v>
      </c>
      <c r="E222" s="250">
        <v>4700.12</v>
      </c>
    </row>
    <row r="223" spans="2:5" x14ac:dyDescent="0.35">
      <c r="C223" s="1" t="s">
        <v>8675</v>
      </c>
      <c r="D223" s="1" t="s">
        <v>8657</v>
      </c>
      <c r="E223" s="250">
        <v>4700.1400000000003</v>
      </c>
    </row>
    <row r="224" spans="2:5" x14ac:dyDescent="0.35">
      <c r="C224" s="1" t="s">
        <v>8674</v>
      </c>
      <c r="D224" s="1" t="s">
        <v>8657</v>
      </c>
      <c r="E224" s="250">
        <v>4700.18</v>
      </c>
    </row>
    <row r="225" spans="3:5" x14ac:dyDescent="0.35">
      <c r="C225" s="1" t="s">
        <v>8673</v>
      </c>
      <c r="D225" s="1" t="s">
        <v>8657</v>
      </c>
      <c r="E225" s="250">
        <v>4700.1899999999996</v>
      </c>
    </row>
    <row r="226" spans="3:5" x14ac:dyDescent="0.35">
      <c r="C226" s="1" t="s">
        <v>8672</v>
      </c>
      <c r="D226" s="1" t="s">
        <v>8657</v>
      </c>
      <c r="E226" s="250">
        <v>4702.51</v>
      </c>
    </row>
    <row r="227" spans="3:5" x14ac:dyDescent="0.35">
      <c r="C227" s="1" t="s">
        <v>8671</v>
      </c>
      <c r="D227" s="1" t="s">
        <v>8657</v>
      </c>
      <c r="E227" s="250">
        <v>4702.5200000000004</v>
      </c>
    </row>
    <row r="228" spans="3:5" x14ac:dyDescent="0.35">
      <c r="C228" s="1" t="s">
        <v>8670</v>
      </c>
      <c r="D228" s="1" t="s">
        <v>8657</v>
      </c>
      <c r="E228" s="250">
        <v>4702.53</v>
      </c>
    </row>
    <row r="229" spans="3:5" x14ac:dyDescent="0.35">
      <c r="C229" s="1" t="s">
        <v>8669</v>
      </c>
      <c r="D229" s="1" t="s">
        <v>8657</v>
      </c>
      <c r="E229" s="250">
        <v>4702.54</v>
      </c>
    </row>
    <row r="230" spans="3:5" x14ac:dyDescent="0.35">
      <c r="C230" s="1" t="s">
        <v>8668</v>
      </c>
      <c r="D230" s="1" t="s">
        <v>8657</v>
      </c>
      <c r="E230" s="250">
        <v>4702.55</v>
      </c>
    </row>
    <row r="231" spans="3:5" x14ac:dyDescent="0.35">
      <c r="C231" s="1" t="s">
        <v>8667</v>
      </c>
      <c r="D231" s="1" t="s">
        <v>8657</v>
      </c>
      <c r="E231" s="250">
        <v>4702.5600000000004</v>
      </c>
    </row>
    <row r="232" spans="3:5" x14ac:dyDescent="0.35">
      <c r="C232" s="1" t="s">
        <v>8666</v>
      </c>
      <c r="D232" s="1" t="s">
        <v>8657</v>
      </c>
      <c r="E232" s="250">
        <v>4702.57</v>
      </c>
    </row>
    <row r="233" spans="3:5" x14ac:dyDescent="0.35">
      <c r="C233" s="1" t="s">
        <v>8665</v>
      </c>
      <c r="D233" s="1" t="s">
        <v>8657</v>
      </c>
      <c r="E233" s="250">
        <v>4702.58</v>
      </c>
    </row>
    <row r="234" spans="3:5" x14ac:dyDescent="0.35">
      <c r="C234" s="1" t="s">
        <v>8664</v>
      </c>
      <c r="D234" s="1" t="s">
        <v>8657</v>
      </c>
      <c r="E234" s="250">
        <v>4702.59</v>
      </c>
    </row>
    <row r="235" spans="3:5" x14ac:dyDescent="0.35">
      <c r="C235" s="1" t="s">
        <v>8663</v>
      </c>
      <c r="D235" s="1" t="s">
        <v>8657</v>
      </c>
      <c r="E235" s="250">
        <v>4702.6000000000004</v>
      </c>
    </row>
    <row r="236" spans="3:5" x14ac:dyDescent="0.35">
      <c r="C236" s="1" t="s">
        <v>8662</v>
      </c>
      <c r="D236" s="1" t="s">
        <v>8657</v>
      </c>
      <c r="E236" s="250">
        <v>4702.6400000000003</v>
      </c>
    </row>
    <row r="237" spans="3:5" x14ac:dyDescent="0.35">
      <c r="C237" s="1" t="s">
        <v>8661</v>
      </c>
      <c r="D237" s="1" t="s">
        <v>8657</v>
      </c>
      <c r="E237" s="250">
        <v>4702.6499999999996</v>
      </c>
    </row>
    <row r="238" spans="3:5" x14ac:dyDescent="0.35">
      <c r="C238" s="1" t="s">
        <v>8660</v>
      </c>
      <c r="D238" s="1" t="s">
        <v>8657</v>
      </c>
      <c r="E238" s="250">
        <v>4702.66</v>
      </c>
    </row>
    <row r="239" spans="3:5" x14ac:dyDescent="0.35">
      <c r="C239" s="1" t="s">
        <v>8659</v>
      </c>
      <c r="D239" s="1" t="s">
        <v>8657</v>
      </c>
      <c r="E239" s="250">
        <v>4702.67</v>
      </c>
    </row>
    <row r="240" spans="3:5" x14ac:dyDescent="0.35">
      <c r="C240" s="1" t="s">
        <v>8658</v>
      </c>
      <c r="D240" s="1" t="s">
        <v>8657</v>
      </c>
      <c r="E240" s="250">
        <v>4702.68</v>
      </c>
    </row>
    <row r="241" spans="3:5" x14ac:dyDescent="0.35">
      <c r="C241" s="1" t="s">
        <v>8656</v>
      </c>
      <c r="D241" s="1" t="s">
        <v>8640</v>
      </c>
      <c r="E241" s="250">
        <v>4705</v>
      </c>
    </row>
    <row r="242" spans="3:5" x14ac:dyDescent="0.35">
      <c r="C242" s="1" t="s">
        <v>8655</v>
      </c>
      <c r="D242" s="1" t="s">
        <v>8640</v>
      </c>
      <c r="E242" s="250">
        <v>4705.0200000000004</v>
      </c>
    </row>
    <row r="243" spans="3:5" x14ac:dyDescent="0.35">
      <c r="C243" s="1" t="s">
        <v>8654</v>
      </c>
      <c r="D243" s="1" t="s">
        <v>8640</v>
      </c>
      <c r="E243" s="250">
        <v>4705.0249999999996</v>
      </c>
    </row>
    <row r="244" spans="3:5" x14ac:dyDescent="0.35">
      <c r="C244" s="1" t="s">
        <v>8653</v>
      </c>
      <c r="D244" s="1" t="s">
        <v>8640</v>
      </c>
      <c r="E244" s="250">
        <v>4705.03</v>
      </c>
    </row>
    <row r="245" spans="3:5" x14ac:dyDescent="0.35">
      <c r="C245" s="1" t="s">
        <v>8652</v>
      </c>
      <c r="D245" s="1" t="s">
        <v>8640</v>
      </c>
      <c r="E245" s="250">
        <v>4707.54</v>
      </c>
    </row>
    <row r="246" spans="3:5" x14ac:dyDescent="0.35">
      <c r="C246" s="1" t="s">
        <v>8651</v>
      </c>
      <c r="D246" s="1" t="s">
        <v>8640</v>
      </c>
      <c r="E246" s="250">
        <v>4707.55</v>
      </c>
    </row>
    <row r="247" spans="3:5" x14ac:dyDescent="0.35">
      <c r="C247" s="1" t="s">
        <v>8650</v>
      </c>
      <c r="D247" s="1" t="s">
        <v>8646</v>
      </c>
      <c r="E247" s="250">
        <v>4707.57</v>
      </c>
    </row>
    <row r="248" spans="3:5" x14ac:dyDescent="0.35">
      <c r="C248" s="1" t="s">
        <v>8649</v>
      </c>
      <c r="D248" s="1" t="s">
        <v>8640</v>
      </c>
      <c r="E248" s="250">
        <v>4707.62</v>
      </c>
    </row>
    <row r="249" spans="3:5" x14ac:dyDescent="0.35">
      <c r="C249" s="1" t="s">
        <v>8648</v>
      </c>
      <c r="D249" s="1" t="s">
        <v>8646</v>
      </c>
      <c r="E249" s="250">
        <v>4707.6499999999996</v>
      </c>
    </row>
    <row r="250" spans="3:5" x14ac:dyDescent="0.35">
      <c r="C250" s="1" t="s">
        <v>8647</v>
      </c>
      <c r="D250" s="1" t="s">
        <v>8646</v>
      </c>
      <c r="E250" s="250">
        <v>4707.67</v>
      </c>
    </row>
    <row r="251" spans="3:5" x14ac:dyDescent="0.35">
      <c r="C251" s="1" t="s">
        <v>8645</v>
      </c>
      <c r="D251" s="1" t="s">
        <v>8640</v>
      </c>
      <c r="E251" s="250">
        <v>4707.68</v>
      </c>
    </row>
    <row r="252" spans="3:5" x14ac:dyDescent="0.35">
      <c r="C252" s="1" t="s">
        <v>8644</v>
      </c>
      <c r="D252" s="1" t="s">
        <v>8640</v>
      </c>
      <c r="E252" s="250">
        <v>4707.6819999999998</v>
      </c>
    </row>
    <row r="253" spans="3:5" x14ac:dyDescent="0.35">
      <c r="C253" s="1" t="s">
        <v>8643</v>
      </c>
      <c r="D253" s="1" t="s">
        <v>8640</v>
      </c>
      <c r="E253" s="250">
        <v>4707.6840000000002</v>
      </c>
    </row>
    <row r="254" spans="3:5" x14ac:dyDescent="0.35">
      <c r="C254" s="1" t="s">
        <v>8642</v>
      </c>
      <c r="D254" s="1" t="s">
        <v>8640</v>
      </c>
      <c r="E254" s="250">
        <v>4707.6859999999997</v>
      </c>
    </row>
    <row r="255" spans="3:5" x14ac:dyDescent="0.35">
      <c r="C255" s="1" t="s">
        <v>8641</v>
      </c>
      <c r="D255" s="1" t="s">
        <v>8640</v>
      </c>
      <c r="E255" s="250">
        <v>4707.71</v>
      </c>
    </row>
    <row r="256" spans="3:5" x14ac:dyDescent="0.35">
      <c r="C256" s="1" t="s">
        <v>8639</v>
      </c>
      <c r="D256" s="1" t="s">
        <v>8636</v>
      </c>
      <c r="E256" s="250">
        <v>4707.74</v>
      </c>
    </row>
    <row r="257" spans="3:5" x14ac:dyDescent="0.35">
      <c r="C257" s="1" t="s">
        <v>8638</v>
      </c>
      <c r="D257" s="1" t="s">
        <v>8636</v>
      </c>
      <c r="E257" s="250">
        <v>4707.75</v>
      </c>
    </row>
    <row r="258" spans="3:5" x14ac:dyDescent="0.35">
      <c r="C258" s="1" t="s">
        <v>8637</v>
      </c>
      <c r="D258" s="1" t="s">
        <v>8636</v>
      </c>
      <c r="E258" s="250">
        <v>4707.76</v>
      </c>
    </row>
    <row r="259" spans="3:5" x14ac:dyDescent="0.35">
      <c r="C259" s="1" t="s">
        <v>8635</v>
      </c>
      <c r="D259" s="1" t="s">
        <v>5928</v>
      </c>
      <c r="E259" s="250">
        <v>4707.78</v>
      </c>
    </row>
    <row r="260" spans="3:5" x14ac:dyDescent="0.35">
      <c r="C260" s="1" t="s">
        <v>8634</v>
      </c>
      <c r="D260" s="1" t="s">
        <v>53</v>
      </c>
      <c r="E260" s="250">
        <v>4707.9799999999996</v>
      </c>
    </row>
    <row r="261" spans="3:5" x14ac:dyDescent="0.35">
      <c r="C261" s="1" t="s">
        <v>8633</v>
      </c>
      <c r="D261" s="1" t="s">
        <v>57</v>
      </c>
      <c r="E261" s="250">
        <v>4720.01</v>
      </c>
    </row>
    <row r="262" spans="3:5" x14ac:dyDescent="0.35">
      <c r="C262" s="1" t="s">
        <v>8610</v>
      </c>
      <c r="D262" s="1" t="s">
        <v>58</v>
      </c>
      <c r="E262" s="250">
        <v>4720.0110000000004</v>
      </c>
    </row>
    <row r="263" spans="3:5" x14ac:dyDescent="0.35">
      <c r="C263" s="1" t="s">
        <v>8606</v>
      </c>
      <c r="D263" s="1" t="s">
        <v>58</v>
      </c>
      <c r="E263" s="250">
        <v>4720.0119999999997</v>
      </c>
    </row>
    <row r="264" spans="3:5" x14ac:dyDescent="0.35">
      <c r="C264" s="1" t="s">
        <v>8603</v>
      </c>
      <c r="D264" s="1" t="s">
        <v>58</v>
      </c>
      <c r="E264" s="250">
        <v>4720.0129999999999</v>
      </c>
    </row>
    <row r="265" spans="3:5" x14ac:dyDescent="0.35">
      <c r="C265" s="1" t="s">
        <v>8621</v>
      </c>
      <c r="D265" s="1" t="s">
        <v>58</v>
      </c>
      <c r="E265" s="250">
        <v>4720.0209999999997</v>
      </c>
    </row>
    <row r="266" spans="3:5" x14ac:dyDescent="0.35">
      <c r="C266" s="1" t="s">
        <v>8620</v>
      </c>
      <c r="D266" s="1" t="s">
        <v>58</v>
      </c>
      <c r="E266" s="250">
        <v>4720.0219999999999</v>
      </c>
    </row>
    <row r="267" spans="3:5" x14ac:dyDescent="0.35">
      <c r="C267" s="1" t="s">
        <v>8619</v>
      </c>
      <c r="D267" s="1" t="s">
        <v>58</v>
      </c>
      <c r="E267" s="250">
        <v>4720.0230000000001</v>
      </c>
    </row>
    <row r="268" spans="3:5" x14ac:dyDescent="0.35">
      <c r="C268" s="1" t="s">
        <v>8632</v>
      </c>
      <c r="D268" s="1" t="s">
        <v>58</v>
      </c>
      <c r="E268" s="250">
        <v>4720.0309999999999</v>
      </c>
    </row>
    <row r="269" spans="3:5" x14ac:dyDescent="0.35">
      <c r="C269" s="1" t="s">
        <v>8631</v>
      </c>
      <c r="D269" s="1" t="s">
        <v>58</v>
      </c>
      <c r="E269" s="250">
        <v>4720.0320000000002</v>
      </c>
    </row>
    <row r="270" spans="3:5" x14ac:dyDescent="0.35">
      <c r="C270" s="1" t="s">
        <v>8630</v>
      </c>
      <c r="D270" s="1" t="s">
        <v>58</v>
      </c>
      <c r="E270" s="250">
        <v>4720.0330000000004</v>
      </c>
    </row>
    <row r="271" spans="3:5" x14ac:dyDescent="0.35">
      <c r="C271" s="1" t="s">
        <v>8629</v>
      </c>
      <c r="D271" s="1" t="s">
        <v>58</v>
      </c>
      <c r="E271" s="250">
        <v>4720.0410000000002</v>
      </c>
    </row>
    <row r="272" spans="3:5" x14ac:dyDescent="0.35">
      <c r="C272" s="1" t="s">
        <v>8628</v>
      </c>
      <c r="D272" s="1" t="s">
        <v>58</v>
      </c>
      <c r="E272" s="250">
        <v>4720.0420000000004</v>
      </c>
    </row>
    <row r="273" spans="3:5" x14ac:dyDescent="0.35">
      <c r="C273" s="1" t="s">
        <v>8627</v>
      </c>
      <c r="D273" s="1" t="s">
        <v>58</v>
      </c>
      <c r="E273" s="250">
        <v>4720.0429999999997</v>
      </c>
    </row>
    <row r="274" spans="3:5" x14ac:dyDescent="0.35">
      <c r="C274" s="1" t="s">
        <v>8626</v>
      </c>
      <c r="D274" s="1" t="s">
        <v>58</v>
      </c>
      <c r="E274" s="250">
        <v>4720.0510000000004</v>
      </c>
    </row>
    <row r="275" spans="3:5" x14ac:dyDescent="0.35">
      <c r="C275" s="1" t="s">
        <v>8625</v>
      </c>
      <c r="D275" s="1" t="s">
        <v>58</v>
      </c>
      <c r="E275" s="250">
        <v>4720.0519999999997</v>
      </c>
    </row>
    <row r="276" spans="3:5" x14ac:dyDescent="0.35">
      <c r="C276" s="1" t="s">
        <v>8624</v>
      </c>
      <c r="D276" s="1" t="s">
        <v>58</v>
      </c>
      <c r="E276" s="250">
        <v>4720.0609999999997</v>
      </c>
    </row>
    <row r="277" spans="3:5" x14ac:dyDescent="0.35">
      <c r="C277" s="1" t="s">
        <v>8623</v>
      </c>
      <c r="D277" s="1" t="s">
        <v>58</v>
      </c>
      <c r="E277" s="250">
        <v>4720.0619999999999</v>
      </c>
    </row>
    <row r="278" spans="3:5" x14ac:dyDescent="0.35">
      <c r="C278" s="1" t="s">
        <v>8614</v>
      </c>
      <c r="D278" s="1" t="s">
        <v>58</v>
      </c>
      <c r="E278" s="250">
        <v>4720.0709999999999</v>
      </c>
    </row>
    <row r="279" spans="3:5" x14ac:dyDescent="0.35">
      <c r="C279" s="1" t="s">
        <v>8622</v>
      </c>
      <c r="D279" s="1" t="s">
        <v>57</v>
      </c>
      <c r="E279" s="250">
        <v>4720.1099999999997</v>
      </c>
    </row>
    <row r="280" spans="3:5" x14ac:dyDescent="0.35">
      <c r="C280" s="1" t="s">
        <v>8610</v>
      </c>
      <c r="D280" s="1" t="s">
        <v>58</v>
      </c>
      <c r="E280" s="250">
        <v>4720.1109999999999</v>
      </c>
    </row>
    <row r="281" spans="3:5" x14ac:dyDescent="0.35">
      <c r="C281" s="1" t="s">
        <v>8606</v>
      </c>
      <c r="D281" s="1" t="s">
        <v>58</v>
      </c>
      <c r="E281" s="250">
        <v>4720.1120000000001</v>
      </c>
    </row>
    <row r="282" spans="3:5" x14ac:dyDescent="0.35">
      <c r="C282" s="1" t="s">
        <v>8603</v>
      </c>
      <c r="D282" s="1" t="s">
        <v>58</v>
      </c>
      <c r="E282" s="250">
        <v>4720.1130000000003</v>
      </c>
    </row>
    <row r="283" spans="3:5" x14ac:dyDescent="0.35">
      <c r="C283" s="1" t="s">
        <v>8621</v>
      </c>
      <c r="D283" s="1" t="s">
        <v>58</v>
      </c>
      <c r="E283" s="250">
        <v>4720.1210000000001</v>
      </c>
    </row>
    <row r="284" spans="3:5" x14ac:dyDescent="0.35">
      <c r="C284" s="1" t="s">
        <v>8620</v>
      </c>
      <c r="D284" s="1" t="s">
        <v>58</v>
      </c>
      <c r="E284" s="250">
        <v>4720.1220000000003</v>
      </c>
    </row>
    <row r="285" spans="3:5" x14ac:dyDescent="0.35">
      <c r="C285" s="1" t="s">
        <v>8619</v>
      </c>
      <c r="D285" s="1" t="s">
        <v>58</v>
      </c>
      <c r="E285" s="250">
        <v>4720.1229999999996</v>
      </c>
    </row>
    <row r="286" spans="3:5" x14ac:dyDescent="0.35">
      <c r="C286" s="1" t="s">
        <v>8618</v>
      </c>
      <c r="D286" s="1" t="s">
        <v>58</v>
      </c>
      <c r="E286" s="250">
        <v>4720.1310000000003</v>
      </c>
    </row>
    <row r="287" spans="3:5" x14ac:dyDescent="0.35">
      <c r="C287" s="1" t="s">
        <v>8617</v>
      </c>
      <c r="D287" s="1" t="s">
        <v>58</v>
      </c>
      <c r="E287" s="250">
        <v>4720.1319999999996</v>
      </c>
    </row>
    <row r="288" spans="3:5" x14ac:dyDescent="0.35">
      <c r="C288" s="1" t="s">
        <v>8616</v>
      </c>
      <c r="D288" s="1" t="s">
        <v>58</v>
      </c>
      <c r="E288" s="250">
        <v>4720.1329999999998</v>
      </c>
    </row>
    <row r="289" spans="3:5" x14ac:dyDescent="0.35">
      <c r="C289" s="1" t="s">
        <v>8615</v>
      </c>
      <c r="D289" s="1" t="s">
        <v>58</v>
      </c>
      <c r="E289" s="250">
        <v>4720.1409999999996</v>
      </c>
    </row>
    <row r="290" spans="3:5" x14ac:dyDescent="0.35">
      <c r="C290" s="1" t="s">
        <v>8614</v>
      </c>
      <c r="D290" s="1" t="s">
        <v>58</v>
      </c>
      <c r="E290" s="250">
        <v>4720.1509999999998</v>
      </c>
    </row>
    <row r="291" spans="3:5" x14ac:dyDescent="0.35">
      <c r="C291" s="1" t="s">
        <v>8613</v>
      </c>
      <c r="D291" s="1" t="s">
        <v>57</v>
      </c>
      <c r="E291" s="250">
        <v>4720.21</v>
      </c>
    </row>
    <row r="292" spans="3:5" x14ac:dyDescent="0.35">
      <c r="C292" s="1" t="s">
        <v>8612</v>
      </c>
      <c r="D292" s="1" t="s">
        <v>58</v>
      </c>
      <c r="E292" s="250">
        <v>4720.2110000000002</v>
      </c>
    </row>
    <row r="293" spans="3:5" x14ac:dyDescent="0.35">
      <c r="C293" s="1" t="s">
        <v>8611</v>
      </c>
      <c r="D293" s="1" t="s">
        <v>58</v>
      </c>
      <c r="E293" s="250">
        <v>4720.2120000000004</v>
      </c>
    </row>
    <row r="294" spans="3:5" x14ac:dyDescent="0.35">
      <c r="C294" s="1" t="s">
        <v>8610</v>
      </c>
      <c r="D294" s="1" t="s">
        <v>58</v>
      </c>
      <c r="E294" s="250">
        <v>4720.2129999999997</v>
      </c>
    </row>
    <row r="295" spans="3:5" x14ac:dyDescent="0.35">
      <c r="C295" s="1" t="s">
        <v>8609</v>
      </c>
      <c r="D295" s="1" t="s">
        <v>58</v>
      </c>
      <c r="E295" s="250">
        <v>4720.2139999999999</v>
      </c>
    </row>
    <row r="296" spans="3:5" x14ac:dyDescent="0.35">
      <c r="C296" s="1" t="s">
        <v>8608</v>
      </c>
      <c r="D296" s="1" t="s">
        <v>58</v>
      </c>
      <c r="E296" s="250">
        <v>4720.2150000000001</v>
      </c>
    </row>
    <row r="297" spans="3:5" x14ac:dyDescent="0.35">
      <c r="C297" s="1" t="s">
        <v>8607</v>
      </c>
      <c r="D297" s="1" t="s">
        <v>58</v>
      </c>
      <c r="E297" s="250">
        <v>4720.2160000000003</v>
      </c>
    </row>
    <row r="298" spans="3:5" x14ac:dyDescent="0.35">
      <c r="C298" s="1" t="s">
        <v>8606</v>
      </c>
      <c r="D298" s="1" t="s">
        <v>58</v>
      </c>
      <c r="E298" s="250">
        <v>4720.2169999999996</v>
      </c>
    </row>
    <row r="299" spans="3:5" x14ac:dyDescent="0.35">
      <c r="C299" s="1" t="s">
        <v>8605</v>
      </c>
      <c r="D299" s="1" t="s">
        <v>58</v>
      </c>
      <c r="E299" s="250">
        <v>4720.2179999999998</v>
      </c>
    </row>
    <row r="300" spans="3:5" x14ac:dyDescent="0.35">
      <c r="C300" s="1" t="s">
        <v>8604</v>
      </c>
      <c r="D300" s="1" t="s">
        <v>58</v>
      </c>
      <c r="E300" s="250">
        <v>4720.2190000000001</v>
      </c>
    </row>
    <row r="301" spans="3:5" x14ac:dyDescent="0.35">
      <c r="C301" s="1" t="s">
        <v>8603</v>
      </c>
      <c r="D301" s="1" t="s">
        <v>58</v>
      </c>
      <c r="E301" s="250">
        <v>4720.22</v>
      </c>
    </row>
    <row r="302" spans="3:5" x14ac:dyDescent="0.35">
      <c r="C302" s="1" t="s">
        <v>8602</v>
      </c>
      <c r="D302" s="1" t="s">
        <v>58</v>
      </c>
      <c r="E302" s="250">
        <v>4720.2209999999995</v>
      </c>
    </row>
    <row r="303" spans="3:5" x14ac:dyDescent="0.35">
      <c r="C303" s="1" t="s">
        <v>8601</v>
      </c>
      <c r="D303" s="1" t="s">
        <v>58</v>
      </c>
      <c r="E303" s="250">
        <v>4720.2219999999998</v>
      </c>
    </row>
    <row r="304" spans="3:5" x14ac:dyDescent="0.35">
      <c r="C304" s="1" t="s">
        <v>8600</v>
      </c>
      <c r="D304" s="1" t="s">
        <v>58</v>
      </c>
      <c r="E304" s="250">
        <v>4720.223</v>
      </c>
    </row>
    <row r="305" spans="3:5" x14ac:dyDescent="0.35">
      <c r="C305" s="1" t="s">
        <v>8599</v>
      </c>
      <c r="D305" s="1" t="s">
        <v>58</v>
      </c>
      <c r="E305" s="250">
        <v>4720.2240000000002</v>
      </c>
    </row>
    <row r="306" spans="3:5" x14ac:dyDescent="0.35">
      <c r="C306" s="1" t="s">
        <v>8598</v>
      </c>
      <c r="D306" s="1" t="s">
        <v>58</v>
      </c>
      <c r="E306" s="250">
        <v>4720.2250000000004</v>
      </c>
    </row>
    <row r="307" spans="3:5" x14ac:dyDescent="0.35">
      <c r="C307" s="1" t="s">
        <v>8597</v>
      </c>
      <c r="D307" s="1" t="s">
        <v>58</v>
      </c>
      <c r="E307" s="250">
        <v>4720.2259999999997</v>
      </c>
    </row>
    <row r="308" spans="3:5" x14ac:dyDescent="0.35">
      <c r="C308" s="1" t="s">
        <v>8596</v>
      </c>
      <c r="D308" s="1" t="s">
        <v>58</v>
      </c>
      <c r="E308" s="250">
        <v>4720.2269999999999</v>
      </c>
    </row>
    <row r="309" spans="3:5" x14ac:dyDescent="0.35">
      <c r="C309" s="1" t="s">
        <v>8595</v>
      </c>
      <c r="D309" s="1" t="s">
        <v>58</v>
      </c>
      <c r="E309" s="250">
        <v>4720.2280000000001</v>
      </c>
    </row>
    <row r="310" spans="3:5" x14ac:dyDescent="0.35">
      <c r="C310" s="1" t="s">
        <v>8594</v>
      </c>
      <c r="D310" s="1" t="s">
        <v>58</v>
      </c>
      <c r="E310" s="250">
        <v>4720.2290000000003</v>
      </c>
    </row>
    <row r="311" spans="3:5" x14ac:dyDescent="0.35">
      <c r="C311" s="1" t="s">
        <v>8593</v>
      </c>
      <c r="D311" s="1" t="s">
        <v>58</v>
      </c>
      <c r="E311" s="250">
        <v>4720.2299999999996</v>
      </c>
    </row>
    <row r="312" spans="3:5" x14ac:dyDescent="0.35">
      <c r="C312" s="1" t="s">
        <v>8592</v>
      </c>
      <c r="D312" s="1" t="s">
        <v>58</v>
      </c>
      <c r="E312" s="250">
        <v>4720.2309999999998</v>
      </c>
    </row>
    <row r="313" spans="3:5" x14ac:dyDescent="0.35">
      <c r="C313" s="1" t="s">
        <v>8591</v>
      </c>
      <c r="D313" s="1" t="s">
        <v>58</v>
      </c>
      <c r="E313" s="250">
        <v>4720.232</v>
      </c>
    </row>
    <row r="314" spans="3:5" x14ac:dyDescent="0.35">
      <c r="C314" s="1" t="s">
        <v>8590</v>
      </c>
      <c r="D314" s="1" t="s">
        <v>58</v>
      </c>
      <c r="E314" s="250">
        <v>4720.2330000000002</v>
      </c>
    </row>
    <row r="315" spans="3:5" x14ac:dyDescent="0.35">
      <c r="C315" s="1" t="s">
        <v>8589</v>
      </c>
      <c r="D315" s="1" t="s">
        <v>58</v>
      </c>
      <c r="E315" s="250">
        <v>4720.2340000000004</v>
      </c>
    </row>
    <row r="316" spans="3:5" x14ac:dyDescent="0.35">
      <c r="C316" s="1" t="s">
        <v>8588</v>
      </c>
      <c r="D316" s="1" t="s">
        <v>58</v>
      </c>
      <c r="E316" s="250">
        <v>4720.2349999999997</v>
      </c>
    </row>
    <row r="317" spans="3:5" x14ac:dyDescent="0.35">
      <c r="C317" s="1" t="s">
        <v>8587</v>
      </c>
      <c r="D317" s="1" t="s">
        <v>58</v>
      </c>
      <c r="E317" s="250">
        <v>4720.2359999999999</v>
      </c>
    </row>
    <row r="318" spans="3:5" x14ac:dyDescent="0.35">
      <c r="C318" s="1" t="s">
        <v>8586</v>
      </c>
      <c r="D318" s="1" t="s">
        <v>58</v>
      </c>
      <c r="E318" s="250">
        <v>4720.2370000000001</v>
      </c>
    </row>
    <row r="319" spans="3:5" x14ac:dyDescent="0.35">
      <c r="C319" s="1" t="s">
        <v>8585</v>
      </c>
      <c r="D319" s="1" t="s">
        <v>58</v>
      </c>
      <c r="E319" s="250">
        <v>4720.2380000000003</v>
      </c>
    </row>
    <row r="320" spans="3:5" x14ac:dyDescent="0.35">
      <c r="C320" s="1" t="s">
        <v>8584</v>
      </c>
      <c r="D320" s="1" t="s">
        <v>58</v>
      </c>
      <c r="E320" s="250">
        <v>4720.2389999999996</v>
      </c>
    </row>
    <row r="321" spans="3:5" x14ac:dyDescent="0.35">
      <c r="C321" s="1" t="s">
        <v>8583</v>
      </c>
      <c r="D321" s="1" t="s">
        <v>58</v>
      </c>
      <c r="E321" s="250">
        <v>4720.25</v>
      </c>
    </row>
    <row r="322" spans="3:5" x14ac:dyDescent="0.35">
      <c r="C322" s="1" t="s">
        <v>8582</v>
      </c>
      <c r="D322" s="1" t="s">
        <v>58</v>
      </c>
      <c r="E322" s="250">
        <v>4720.2510000000002</v>
      </c>
    </row>
    <row r="323" spans="3:5" x14ac:dyDescent="0.35">
      <c r="C323" s="1" t="s">
        <v>8581</v>
      </c>
      <c r="D323" s="1" t="s">
        <v>58</v>
      </c>
      <c r="E323" s="250">
        <v>4720.2520000000004</v>
      </c>
    </row>
    <row r="324" spans="3:5" x14ac:dyDescent="0.35">
      <c r="C324" s="1" t="s">
        <v>8580</v>
      </c>
      <c r="D324" s="1" t="s">
        <v>58</v>
      </c>
      <c r="E324" s="250">
        <v>4720.2529999999997</v>
      </c>
    </row>
    <row r="325" spans="3:5" x14ac:dyDescent="0.35">
      <c r="C325" s="1" t="s">
        <v>8579</v>
      </c>
      <c r="D325" s="1" t="s">
        <v>58</v>
      </c>
      <c r="E325" s="250">
        <v>4720.2539999999999</v>
      </c>
    </row>
    <row r="326" spans="3:5" x14ac:dyDescent="0.35">
      <c r="C326" s="1" t="s">
        <v>8578</v>
      </c>
      <c r="D326" s="1" t="s">
        <v>58</v>
      </c>
      <c r="E326" s="250">
        <v>4720.2550000000001</v>
      </c>
    </row>
    <row r="327" spans="3:5" x14ac:dyDescent="0.35">
      <c r="C327" s="1" t="s">
        <v>8577</v>
      </c>
      <c r="D327" s="1" t="s">
        <v>58</v>
      </c>
      <c r="E327" s="250">
        <v>4720.2560000000003</v>
      </c>
    </row>
    <row r="328" spans="3:5" x14ac:dyDescent="0.35">
      <c r="C328" s="1" t="s">
        <v>8576</v>
      </c>
      <c r="D328" s="1" t="s">
        <v>58</v>
      </c>
      <c r="E328" s="250">
        <v>4720.2569999999996</v>
      </c>
    </row>
    <row r="329" spans="3:5" x14ac:dyDescent="0.35">
      <c r="C329" s="1" t="s">
        <v>8575</v>
      </c>
      <c r="D329" s="1" t="s">
        <v>58</v>
      </c>
      <c r="E329" s="250">
        <v>4720.2579999999998</v>
      </c>
    </row>
    <row r="330" spans="3:5" x14ac:dyDescent="0.35">
      <c r="C330" s="1" t="s">
        <v>8574</v>
      </c>
      <c r="D330" s="1" t="s">
        <v>58</v>
      </c>
      <c r="E330" s="250">
        <v>4720.259</v>
      </c>
    </row>
    <row r="331" spans="3:5" x14ac:dyDescent="0.35">
      <c r="C331" s="1" t="s">
        <v>8573</v>
      </c>
      <c r="D331" s="1" t="s">
        <v>58</v>
      </c>
      <c r="E331" s="250">
        <v>4720.26</v>
      </c>
    </row>
    <row r="332" spans="3:5" x14ac:dyDescent="0.35">
      <c r="C332" s="1" t="s">
        <v>8572</v>
      </c>
      <c r="D332" s="1" t="s">
        <v>58</v>
      </c>
      <c r="E332" s="250">
        <v>4720.2610000000004</v>
      </c>
    </row>
    <row r="333" spans="3:5" x14ac:dyDescent="0.35">
      <c r="C333" s="1" t="s">
        <v>8571</v>
      </c>
      <c r="D333" s="1" t="s">
        <v>58</v>
      </c>
      <c r="E333" s="250">
        <v>4720.2619999999997</v>
      </c>
    </row>
    <row r="334" spans="3:5" x14ac:dyDescent="0.35">
      <c r="C334" s="1" t="s">
        <v>8570</v>
      </c>
      <c r="D334" s="1" t="s">
        <v>58</v>
      </c>
      <c r="E334" s="250">
        <v>4720.2629999999999</v>
      </c>
    </row>
    <row r="335" spans="3:5" x14ac:dyDescent="0.35">
      <c r="C335" s="1" t="s">
        <v>8569</v>
      </c>
      <c r="D335" s="1" t="s">
        <v>58</v>
      </c>
      <c r="E335" s="250">
        <v>4720.2640000000001</v>
      </c>
    </row>
    <row r="336" spans="3:5" x14ac:dyDescent="0.35">
      <c r="C336" s="1" t="s">
        <v>8568</v>
      </c>
      <c r="D336" s="1" t="s">
        <v>58</v>
      </c>
      <c r="E336" s="250">
        <v>4720.2700000000004</v>
      </c>
    </row>
    <row r="337" spans="3:5" x14ac:dyDescent="0.35">
      <c r="C337" s="1" t="s">
        <v>8567</v>
      </c>
      <c r="D337" s="1" t="s">
        <v>58</v>
      </c>
      <c r="E337" s="250">
        <v>4720.2709999999997</v>
      </c>
    </row>
    <row r="338" spans="3:5" x14ac:dyDescent="0.35">
      <c r="C338" s="1" t="s">
        <v>8566</v>
      </c>
      <c r="D338" s="1" t="s">
        <v>58</v>
      </c>
      <c r="E338" s="250">
        <v>4720.2719999999999</v>
      </c>
    </row>
    <row r="339" spans="3:5" x14ac:dyDescent="0.35">
      <c r="C339" s="1" t="s">
        <v>8565</v>
      </c>
      <c r="D339" s="1" t="s">
        <v>58</v>
      </c>
      <c r="E339" s="250">
        <v>4720.2730000000001</v>
      </c>
    </row>
    <row r="340" spans="3:5" x14ac:dyDescent="0.35">
      <c r="C340" s="1" t="s">
        <v>8564</v>
      </c>
      <c r="D340" s="1" t="s">
        <v>58</v>
      </c>
      <c r="E340" s="250">
        <v>4720.2740000000003</v>
      </c>
    </row>
    <row r="341" spans="3:5" x14ac:dyDescent="0.35">
      <c r="C341" s="1" t="s">
        <v>8563</v>
      </c>
      <c r="D341" s="1" t="s">
        <v>58</v>
      </c>
      <c r="E341" s="250">
        <v>4720.2749999999996</v>
      </c>
    </row>
    <row r="342" spans="3:5" x14ac:dyDescent="0.35">
      <c r="C342" s="1" t="s">
        <v>8562</v>
      </c>
      <c r="D342" s="1" t="s">
        <v>58</v>
      </c>
      <c r="E342" s="250">
        <v>4720.2759999999998</v>
      </c>
    </row>
    <row r="343" spans="3:5" x14ac:dyDescent="0.35">
      <c r="C343" s="1" t="s">
        <v>8561</v>
      </c>
      <c r="D343" s="1" t="s">
        <v>58</v>
      </c>
      <c r="E343" s="250">
        <v>4720.277</v>
      </c>
    </row>
    <row r="344" spans="3:5" x14ac:dyDescent="0.35">
      <c r="C344" s="1" t="s">
        <v>8560</v>
      </c>
      <c r="D344" s="1" t="s">
        <v>58</v>
      </c>
      <c r="E344" s="250">
        <v>4720.2780000000002</v>
      </c>
    </row>
    <row r="345" spans="3:5" x14ac:dyDescent="0.35">
      <c r="C345" s="1" t="s">
        <v>8559</v>
      </c>
      <c r="D345" s="1" t="s">
        <v>58</v>
      </c>
      <c r="E345" s="250">
        <v>4720.2790000000005</v>
      </c>
    </row>
    <row r="346" spans="3:5" x14ac:dyDescent="0.35">
      <c r="C346" s="1" t="s">
        <v>8558</v>
      </c>
      <c r="D346" s="1" t="s">
        <v>58</v>
      </c>
      <c r="E346" s="250">
        <v>4720.28</v>
      </c>
    </row>
    <row r="347" spans="3:5" x14ac:dyDescent="0.35">
      <c r="C347" s="1" t="s">
        <v>8557</v>
      </c>
      <c r="D347" s="1" t="s">
        <v>58</v>
      </c>
      <c r="E347" s="250">
        <v>4720.2809999999999</v>
      </c>
    </row>
    <row r="348" spans="3:5" x14ac:dyDescent="0.35">
      <c r="C348" s="1" t="s">
        <v>8556</v>
      </c>
      <c r="D348" s="1" t="s">
        <v>58</v>
      </c>
      <c r="E348" s="250">
        <v>4720.2820000000002</v>
      </c>
    </row>
    <row r="349" spans="3:5" x14ac:dyDescent="0.35">
      <c r="C349" s="1" t="s">
        <v>8555</v>
      </c>
      <c r="D349" s="1" t="s">
        <v>58</v>
      </c>
      <c r="E349" s="250">
        <v>4720.2830000000004</v>
      </c>
    </row>
    <row r="350" spans="3:5" x14ac:dyDescent="0.35">
      <c r="C350" s="1" t="s">
        <v>8554</v>
      </c>
      <c r="D350" s="1" t="s">
        <v>58</v>
      </c>
      <c r="E350" s="250">
        <v>4720.2839999999997</v>
      </c>
    </row>
    <row r="351" spans="3:5" x14ac:dyDescent="0.35">
      <c r="C351" s="1" t="s">
        <v>8553</v>
      </c>
      <c r="D351" s="1" t="s">
        <v>58</v>
      </c>
      <c r="E351" s="250">
        <v>4720.3010000000004</v>
      </c>
    </row>
    <row r="352" spans="3:5" x14ac:dyDescent="0.35">
      <c r="C352" s="1" t="s">
        <v>8552</v>
      </c>
      <c r="D352" s="1" t="s">
        <v>58</v>
      </c>
      <c r="E352" s="250">
        <v>4720.3019999999997</v>
      </c>
    </row>
    <row r="353" spans="3:5" x14ac:dyDescent="0.35">
      <c r="C353" s="1" t="s">
        <v>8551</v>
      </c>
      <c r="D353" s="1" t="s">
        <v>58</v>
      </c>
      <c r="E353" s="250">
        <v>4720.3029999999999</v>
      </c>
    </row>
    <row r="354" spans="3:5" x14ac:dyDescent="0.35">
      <c r="C354" s="1" t="s">
        <v>8550</v>
      </c>
      <c r="D354" s="1" t="s">
        <v>58</v>
      </c>
      <c r="E354" s="250">
        <v>4720.3040000000001</v>
      </c>
    </row>
    <row r="355" spans="3:5" x14ac:dyDescent="0.35">
      <c r="C355" s="1" t="s">
        <v>8549</v>
      </c>
      <c r="D355" s="1" t="s">
        <v>58</v>
      </c>
      <c r="E355" s="250">
        <v>4720.3050000000003</v>
      </c>
    </row>
    <row r="356" spans="3:5" x14ac:dyDescent="0.35">
      <c r="C356" s="1" t="s">
        <v>8548</v>
      </c>
      <c r="D356" s="1" t="s">
        <v>58</v>
      </c>
      <c r="E356" s="250">
        <v>4720.3059999999996</v>
      </c>
    </row>
    <row r="357" spans="3:5" x14ac:dyDescent="0.35">
      <c r="C357" s="1" t="s">
        <v>8547</v>
      </c>
      <c r="D357" s="1" t="s">
        <v>58</v>
      </c>
      <c r="E357" s="250">
        <v>4720.3069999999998</v>
      </c>
    </row>
    <row r="358" spans="3:5" x14ac:dyDescent="0.35">
      <c r="C358" s="1" t="s">
        <v>8546</v>
      </c>
      <c r="D358" s="1" t="s">
        <v>58</v>
      </c>
      <c r="E358" s="250">
        <v>4720.308</v>
      </c>
    </row>
    <row r="359" spans="3:5" x14ac:dyDescent="0.35">
      <c r="C359" s="1" t="s">
        <v>8545</v>
      </c>
      <c r="D359" s="1" t="s">
        <v>58</v>
      </c>
      <c r="E359" s="250">
        <v>4720.3090000000002</v>
      </c>
    </row>
    <row r="360" spans="3:5" x14ac:dyDescent="0.35">
      <c r="C360" s="1" t="s">
        <v>8544</v>
      </c>
      <c r="D360" s="1" t="s">
        <v>58</v>
      </c>
      <c r="E360" s="250">
        <v>4720.3100000000004</v>
      </c>
    </row>
    <row r="361" spans="3:5" x14ac:dyDescent="0.35">
      <c r="C361" s="1" t="s">
        <v>8543</v>
      </c>
      <c r="D361" s="1" t="s">
        <v>58</v>
      </c>
      <c r="E361" s="250">
        <v>4720.3109999999997</v>
      </c>
    </row>
    <row r="362" spans="3:5" x14ac:dyDescent="0.35">
      <c r="C362" s="1" t="s">
        <v>8542</v>
      </c>
      <c r="D362" s="1" t="s">
        <v>58</v>
      </c>
      <c r="E362" s="250">
        <v>4720.3119999999999</v>
      </c>
    </row>
    <row r="363" spans="3:5" x14ac:dyDescent="0.35">
      <c r="C363" s="1" t="s">
        <v>8541</v>
      </c>
      <c r="D363" s="1" t="s">
        <v>58</v>
      </c>
      <c r="E363" s="250">
        <v>4720.3130000000001</v>
      </c>
    </row>
    <row r="364" spans="3:5" x14ac:dyDescent="0.35">
      <c r="C364" s="1" t="s">
        <v>8540</v>
      </c>
      <c r="D364" s="1" t="s">
        <v>58</v>
      </c>
      <c r="E364" s="250">
        <v>4720.3140000000003</v>
      </c>
    </row>
    <row r="365" spans="3:5" x14ac:dyDescent="0.35">
      <c r="C365" s="1" t="s">
        <v>8539</v>
      </c>
      <c r="D365" s="1" t="s">
        <v>58</v>
      </c>
      <c r="E365" s="250">
        <v>4720.3149999999996</v>
      </c>
    </row>
    <row r="366" spans="3:5" x14ac:dyDescent="0.35">
      <c r="C366" s="1" t="s">
        <v>8538</v>
      </c>
      <c r="D366" s="1" t="s">
        <v>58</v>
      </c>
      <c r="E366" s="250">
        <v>4720.3159999999998</v>
      </c>
    </row>
    <row r="367" spans="3:5" x14ac:dyDescent="0.35">
      <c r="C367" s="1" t="s">
        <v>8537</v>
      </c>
      <c r="D367" s="1" t="s">
        <v>58</v>
      </c>
      <c r="E367" s="250">
        <v>4720.317</v>
      </c>
    </row>
    <row r="368" spans="3:5" x14ac:dyDescent="0.35">
      <c r="C368" s="1" t="s">
        <v>8536</v>
      </c>
      <c r="D368" s="1" t="s">
        <v>58</v>
      </c>
      <c r="E368" s="250">
        <v>4720.3180000000002</v>
      </c>
    </row>
    <row r="369" spans="3:5" x14ac:dyDescent="0.35">
      <c r="C369" s="1" t="s">
        <v>8535</v>
      </c>
      <c r="D369" s="1" t="s">
        <v>58</v>
      </c>
      <c r="E369" s="250">
        <v>4720.3190000000004</v>
      </c>
    </row>
    <row r="370" spans="3:5" x14ac:dyDescent="0.35">
      <c r="C370" s="1" t="s">
        <v>8534</v>
      </c>
      <c r="D370" s="1" t="s">
        <v>58</v>
      </c>
      <c r="E370" s="250">
        <v>4720.32</v>
      </c>
    </row>
    <row r="371" spans="3:5" x14ac:dyDescent="0.35">
      <c r="C371" s="1" t="s">
        <v>8533</v>
      </c>
      <c r="D371" s="1" t="s">
        <v>58</v>
      </c>
      <c r="E371" s="250">
        <v>4720.3209999999999</v>
      </c>
    </row>
    <row r="372" spans="3:5" x14ac:dyDescent="0.35">
      <c r="C372" s="1" t="s">
        <v>8532</v>
      </c>
      <c r="D372" s="1" t="s">
        <v>58</v>
      </c>
      <c r="E372" s="250">
        <v>4720.3220000000001</v>
      </c>
    </row>
    <row r="373" spans="3:5" x14ac:dyDescent="0.35">
      <c r="C373" s="1" t="s">
        <v>8531</v>
      </c>
      <c r="D373" s="1" t="s">
        <v>58</v>
      </c>
      <c r="E373" s="250">
        <v>4720.3230000000003</v>
      </c>
    </row>
    <row r="374" spans="3:5" x14ac:dyDescent="0.35">
      <c r="C374" s="1" t="s">
        <v>8530</v>
      </c>
      <c r="D374" s="1" t="s">
        <v>58</v>
      </c>
      <c r="E374" s="250">
        <v>4720.3239999999996</v>
      </c>
    </row>
    <row r="375" spans="3:5" x14ac:dyDescent="0.35">
      <c r="C375" s="1" t="s">
        <v>8529</v>
      </c>
      <c r="D375" s="1" t="s">
        <v>58</v>
      </c>
      <c r="E375" s="250">
        <v>4720.3249999999998</v>
      </c>
    </row>
    <row r="376" spans="3:5" x14ac:dyDescent="0.35">
      <c r="C376" s="1" t="s">
        <v>8528</v>
      </c>
      <c r="D376" s="1" t="s">
        <v>58</v>
      </c>
      <c r="E376" s="250">
        <v>4720.326</v>
      </c>
    </row>
    <row r="377" spans="3:5" x14ac:dyDescent="0.35">
      <c r="C377" s="1" t="s">
        <v>8527</v>
      </c>
      <c r="D377" s="1" t="s">
        <v>58</v>
      </c>
      <c r="E377" s="250">
        <v>4720.3270000000002</v>
      </c>
    </row>
    <row r="378" spans="3:5" x14ac:dyDescent="0.35">
      <c r="C378" s="1" t="s">
        <v>8526</v>
      </c>
      <c r="D378" s="1" t="s">
        <v>58</v>
      </c>
      <c r="E378" s="250">
        <v>4720.3280000000004</v>
      </c>
    </row>
    <row r="379" spans="3:5" x14ac:dyDescent="0.35">
      <c r="C379" s="1" t="s">
        <v>8525</v>
      </c>
      <c r="D379" s="1" t="s">
        <v>58</v>
      </c>
      <c r="E379" s="250">
        <v>4720.3289999999997</v>
      </c>
    </row>
    <row r="380" spans="3:5" x14ac:dyDescent="0.35">
      <c r="C380" s="1" t="s">
        <v>8524</v>
      </c>
      <c r="D380" s="1" t="s">
        <v>58</v>
      </c>
      <c r="E380" s="250">
        <v>4720.34</v>
      </c>
    </row>
    <row r="381" spans="3:5" x14ac:dyDescent="0.35">
      <c r="C381" s="1" t="s">
        <v>8523</v>
      </c>
      <c r="D381" s="1" t="s">
        <v>58</v>
      </c>
      <c r="E381" s="250">
        <v>4720.3410000000003</v>
      </c>
    </row>
    <row r="382" spans="3:5" x14ac:dyDescent="0.35">
      <c r="C382" s="1" t="s">
        <v>8522</v>
      </c>
      <c r="D382" s="1" t="s">
        <v>58</v>
      </c>
      <c r="E382" s="250">
        <v>4720.3419999999996</v>
      </c>
    </row>
    <row r="383" spans="3:5" x14ac:dyDescent="0.35">
      <c r="C383" s="1" t="s">
        <v>8521</v>
      </c>
      <c r="D383" s="1" t="s">
        <v>58</v>
      </c>
      <c r="E383" s="250">
        <v>4720.3429999999998</v>
      </c>
    </row>
    <row r="384" spans="3:5" x14ac:dyDescent="0.35">
      <c r="C384" s="1" t="s">
        <v>8520</v>
      </c>
      <c r="D384" s="1" t="s">
        <v>58</v>
      </c>
      <c r="E384" s="250">
        <v>4720.3440000000001</v>
      </c>
    </row>
    <row r="385" spans="3:5" x14ac:dyDescent="0.35">
      <c r="C385" s="1" t="s">
        <v>8519</v>
      </c>
      <c r="D385" s="1" t="s">
        <v>58</v>
      </c>
      <c r="E385" s="250">
        <v>4720.3450000000003</v>
      </c>
    </row>
    <row r="386" spans="3:5" x14ac:dyDescent="0.35">
      <c r="C386" s="1" t="s">
        <v>8518</v>
      </c>
      <c r="D386" s="1" t="s">
        <v>58</v>
      </c>
      <c r="E386" s="250">
        <v>4720.3459999999995</v>
      </c>
    </row>
    <row r="387" spans="3:5" x14ac:dyDescent="0.35">
      <c r="C387" s="1" t="s">
        <v>8517</v>
      </c>
      <c r="D387" s="1" t="s">
        <v>58</v>
      </c>
      <c r="E387" s="250">
        <v>4720.3469999999998</v>
      </c>
    </row>
    <row r="388" spans="3:5" x14ac:dyDescent="0.35">
      <c r="C388" s="1" t="s">
        <v>8516</v>
      </c>
      <c r="D388" s="1" t="s">
        <v>58</v>
      </c>
      <c r="E388" s="250">
        <v>4720.348</v>
      </c>
    </row>
    <row r="389" spans="3:5" x14ac:dyDescent="0.35">
      <c r="C389" s="1" t="s">
        <v>8515</v>
      </c>
      <c r="D389" s="1" t="s">
        <v>58</v>
      </c>
      <c r="E389" s="250">
        <v>4720.3490000000002</v>
      </c>
    </row>
    <row r="390" spans="3:5" x14ac:dyDescent="0.35">
      <c r="C390" s="1" t="s">
        <v>8514</v>
      </c>
      <c r="D390" s="1" t="s">
        <v>58</v>
      </c>
      <c r="E390" s="250">
        <v>4720.3500000000004</v>
      </c>
    </row>
    <row r="391" spans="3:5" x14ac:dyDescent="0.35">
      <c r="C391" s="1" t="s">
        <v>8513</v>
      </c>
      <c r="D391" s="1" t="s">
        <v>58</v>
      </c>
      <c r="E391" s="250">
        <v>4720.3509999999997</v>
      </c>
    </row>
    <row r="392" spans="3:5" x14ac:dyDescent="0.35">
      <c r="C392" s="1" t="s">
        <v>8512</v>
      </c>
      <c r="D392" s="1" t="s">
        <v>58</v>
      </c>
      <c r="E392" s="250">
        <v>4720.3519999999999</v>
      </c>
    </row>
    <row r="393" spans="3:5" x14ac:dyDescent="0.35">
      <c r="C393" s="1" t="s">
        <v>8511</v>
      </c>
      <c r="D393" s="1" t="s">
        <v>58</v>
      </c>
      <c r="E393" s="250">
        <v>4720.3530000000001</v>
      </c>
    </row>
    <row r="394" spans="3:5" x14ac:dyDescent="0.35">
      <c r="C394" s="1" t="s">
        <v>8510</v>
      </c>
      <c r="D394" s="1" t="s">
        <v>58</v>
      </c>
      <c r="E394" s="250">
        <v>4720.3540000000003</v>
      </c>
    </row>
    <row r="395" spans="3:5" x14ac:dyDescent="0.35">
      <c r="C395" s="1" t="s">
        <v>8509</v>
      </c>
      <c r="D395" s="1" t="s">
        <v>58</v>
      </c>
      <c r="E395" s="250">
        <v>4720.3599999999997</v>
      </c>
    </row>
    <row r="396" spans="3:5" x14ac:dyDescent="0.35">
      <c r="C396" s="1" t="s">
        <v>8508</v>
      </c>
      <c r="D396" s="1" t="s">
        <v>58</v>
      </c>
      <c r="E396" s="250">
        <v>4720.3609999999999</v>
      </c>
    </row>
    <row r="397" spans="3:5" x14ac:dyDescent="0.35">
      <c r="C397" s="1" t="s">
        <v>8507</v>
      </c>
      <c r="D397" s="1" t="s">
        <v>58</v>
      </c>
      <c r="E397" s="250">
        <v>4720.3620000000001</v>
      </c>
    </row>
    <row r="398" spans="3:5" x14ac:dyDescent="0.35">
      <c r="C398" s="1" t="s">
        <v>8506</v>
      </c>
      <c r="D398" s="1" t="s">
        <v>58</v>
      </c>
      <c r="E398" s="250">
        <v>4720.3630000000003</v>
      </c>
    </row>
    <row r="399" spans="3:5" x14ac:dyDescent="0.35">
      <c r="C399" s="1" t="s">
        <v>8505</v>
      </c>
      <c r="D399" s="1" t="s">
        <v>58</v>
      </c>
      <c r="E399" s="250">
        <v>4720.3639999999996</v>
      </c>
    </row>
    <row r="400" spans="3:5" x14ac:dyDescent="0.35">
      <c r="C400" s="1" t="s">
        <v>8504</v>
      </c>
      <c r="D400" s="1" t="s">
        <v>58</v>
      </c>
      <c r="E400" s="250">
        <v>4720.3649999999998</v>
      </c>
    </row>
    <row r="401" spans="3:5" x14ac:dyDescent="0.35">
      <c r="C401" s="1" t="s">
        <v>8503</v>
      </c>
      <c r="D401" s="1" t="s">
        <v>58</v>
      </c>
      <c r="E401" s="250">
        <v>4720.366</v>
      </c>
    </row>
    <row r="402" spans="3:5" x14ac:dyDescent="0.35">
      <c r="C402" s="1" t="s">
        <v>8502</v>
      </c>
      <c r="D402" s="1" t="s">
        <v>58</v>
      </c>
      <c r="E402" s="250">
        <v>4720.3670000000002</v>
      </c>
    </row>
    <row r="403" spans="3:5" x14ac:dyDescent="0.35">
      <c r="C403" s="1" t="s">
        <v>8501</v>
      </c>
      <c r="D403" s="1" t="s">
        <v>58</v>
      </c>
      <c r="E403" s="250">
        <v>4720.3680000000004</v>
      </c>
    </row>
    <row r="404" spans="3:5" x14ac:dyDescent="0.35">
      <c r="C404" s="1" t="s">
        <v>8500</v>
      </c>
      <c r="D404" s="1" t="s">
        <v>58</v>
      </c>
      <c r="E404" s="250">
        <v>4720.3689999999997</v>
      </c>
    </row>
    <row r="405" spans="3:5" x14ac:dyDescent="0.35">
      <c r="C405" s="1" t="s">
        <v>8499</v>
      </c>
      <c r="D405" s="1" t="s">
        <v>58</v>
      </c>
      <c r="E405" s="250">
        <v>4720.37</v>
      </c>
    </row>
    <row r="406" spans="3:5" x14ac:dyDescent="0.35">
      <c r="C406" s="1" t="s">
        <v>8498</v>
      </c>
      <c r="D406" s="1" t="s">
        <v>58</v>
      </c>
      <c r="E406" s="250">
        <v>4720.3710000000001</v>
      </c>
    </row>
    <row r="407" spans="3:5" x14ac:dyDescent="0.35">
      <c r="C407" s="1" t="s">
        <v>8497</v>
      </c>
      <c r="D407" s="1" t="s">
        <v>58</v>
      </c>
      <c r="E407" s="250">
        <v>4720.3720000000003</v>
      </c>
    </row>
    <row r="408" spans="3:5" x14ac:dyDescent="0.35">
      <c r="C408" s="1" t="s">
        <v>8496</v>
      </c>
      <c r="D408" s="1" t="s">
        <v>58</v>
      </c>
      <c r="E408" s="250">
        <v>4720.3729999999996</v>
      </c>
    </row>
    <row r="409" spans="3:5" x14ac:dyDescent="0.35">
      <c r="C409" s="1" t="s">
        <v>8495</v>
      </c>
      <c r="D409" s="1" t="s">
        <v>58</v>
      </c>
      <c r="E409" s="250">
        <v>4720.3739999999998</v>
      </c>
    </row>
    <row r="410" spans="3:5" x14ac:dyDescent="0.35">
      <c r="C410" s="1" t="s">
        <v>8494</v>
      </c>
      <c r="D410" s="1" t="s">
        <v>58</v>
      </c>
      <c r="E410" s="250">
        <v>4720.4009999999998</v>
      </c>
    </row>
    <row r="411" spans="3:5" x14ac:dyDescent="0.35">
      <c r="C411" s="1" t="s">
        <v>8493</v>
      </c>
      <c r="D411" s="1" t="s">
        <v>58</v>
      </c>
      <c r="E411" s="250">
        <v>4720.402</v>
      </c>
    </row>
    <row r="412" spans="3:5" x14ac:dyDescent="0.35">
      <c r="C412" s="1" t="s">
        <v>8492</v>
      </c>
      <c r="D412" s="1" t="s">
        <v>58</v>
      </c>
      <c r="E412" s="250">
        <v>4720.4030000000002</v>
      </c>
    </row>
    <row r="413" spans="3:5" x14ac:dyDescent="0.35">
      <c r="C413" s="1" t="s">
        <v>8491</v>
      </c>
      <c r="D413" s="1" t="s">
        <v>58</v>
      </c>
      <c r="E413" s="250">
        <v>4720.4040000000005</v>
      </c>
    </row>
    <row r="414" spans="3:5" x14ac:dyDescent="0.35">
      <c r="C414" s="1" t="s">
        <v>8490</v>
      </c>
      <c r="D414" s="1" t="s">
        <v>58</v>
      </c>
      <c r="E414" s="250">
        <v>4720.4049999999997</v>
      </c>
    </row>
    <row r="415" spans="3:5" x14ac:dyDescent="0.35">
      <c r="C415" s="1" t="s">
        <v>8489</v>
      </c>
      <c r="D415" s="1" t="s">
        <v>58</v>
      </c>
      <c r="E415" s="250">
        <v>4720.4059999999999</v>
      </c>
    </row>
    <row r="416" spans="3:5" x14ac:dyDescent="0.35">
      <c r="C416" s="1" t="s">
        <v>8488</v>
      </c>
      <c r="D416" s="1" t="s">
        <v>58</v>
      </c>
      <c r="E416" s="250">
        <v>4720.4070000000002</v>
      </c>
    </row>
    <row r="417" spans="3:5" x14ac:dyDescent="0.35">
      <c r="C417" s="1" t="s">
        <v>8487</v>
      </c>
      <c r="D417" s="1" t="s">
        <v>58</v>
      </c>
      <c r="E417" s="250">
        <v>4720.4080000000004</v>
      </c>
    </row>
    <row r="418" spans="3:5" x14ac:dyDescent="0.35">
      <c r="C418" s="1" t="s">
        <v>8486</v>
      </c>
      <c r="D418" s="1" t="s">
        <v>58</v>
      </c>
      <c r="E418" s="250">
        <v>4720.4089999999997</v>
      </c>
    </row>
    <row r="419" spans="3:5" x14ac:dyDescent="0.35">
      <c r="C419" s="1" t="s">
        <v>8485</v>
      </c>
      <c r="D419" s="1" t="s">
        <v>58</v>
      </c>
      <c r="E419" s="250">
        <v>4720.41</v>
      </c>
    </row>
    <row r="420" spans="3:5" x14ac:dyDescent="0.35">
      <c r="C420" s="1" t="s">
        <v>8484</v>
      </c>
      <c r="D420" s="1" t="s">
        <v>58</v>
      </c>
      <c r="E420" s="250">
        <v>4720.4110000000001</v>
      </c>
    </row>
    <row r="421" spans="3:5" x14ac:dyDescent="0.35">
      <c r="C421" s="1" t="s">
        <v>8483</v>
      </c>
      <c r="D421" s="1" t="s">
        <v>58</v>
      </c>
      <c r="E421" s="250">
        <v>4720.4120000000003</v>
      </c>
    </row>
    <row r="422" spans="3:5" x14ac:dyDescent="0.35">
      <c r="C422" s="1" t="s">
        <v>8482</v>
      </c>
      <c r="D422" s="1" t="s">
        <v>58</v>
      </c>
      <c r="E422" s="250">
        <v>4720.4129999999996</v>
      </c>
    </row>
    <row r="423" spans="3:5" x14ac:dyDescent="0.35">
      <c r="C423" s="1" t="s">
        <v>8481</v>
      </c>
      <c r="D423" s="1" t="s">
        <v>58</v>
      </c>
      <c r="E423" s="250">
        <v>4720.4139999999998</v>
      </c>
    </row>
    <row r="424" spans="3:5" x14ac:dyDescent="0.35">
      <c r="C424" s="1" t="s">
        <v>8480</v>
      </c>
      <c r="D424" s="1" t="s">
        <v>58</v>
      </c>
      <c r="E424" s="250">
        <v>4720.415</v>
      </c>
    </row>
    <row r="425" spans="3:5" x14ac:dyDescent="0.35">
      <c r="C425" s="1" t="s">
        <v>8479</v>
      </c>
      <c r="D425" s="1" t="s">
        <v>58</v>
      </c>
      <c r="E425" s="250">
        <v>4720.4160000000002</v>
      </c>
    </row>
    <row r="426" spans="3:5" x14ac:dyDescent="0.35">
      <c r="C426" s="1" t="s">
        <v>8478</v>
      </c>
      <c r="D426" s="1" t="s">
        <v>58</v>
      </c>
      <c r="E426" s="250">
        <v>4720.4170000000004</v>
      </c>
    </row>
    <row r="427" spans="3:5" x14ac:dyDescent="0.35">
      <c r="C427" s="1" t="s">
        <v>8477</v>
      </c>
      <c r="D427" s="1" t="s">
        <v>58</v>
      </c>
      <c r="E427" s="250">
        <v>4720.4179999999997</v>
      </c>
    </row>
    <row r="428" spans="3:5" x14ac:dyDescent="0.35">
      <c r="C428" s="1" t="s">
        <v>8476</v>
      </c>
      <c r="D428" s="1" t="s">
        <v>58</v>
      </c>
      <c r="E428" s="250">
        <v>4720.4189999999999</v>
      </c>
    </row>
    <row r="429" spans="3:5" x14ac:dyDescent="0.35">
      <c r="C429" s="1" t="s">
        <v>8475</v>
      </c>
      <c r="D429" s="1" t="s">
        <v>58</v>
      </c>
      <c r="E429" s="250">
        <v>4720.42</v>
      </c>
    </row>
    <row r="430" spans="3:5" x14ac:dyDescent="0.35">
      <c r="C430" s="1" t="s">
        <v>8474</v>
      </c>
      <c r="D430" s="1" t="s">
        <v>58</v>
      </c>
      <c r="E430" s="250">
        <v>4720.4210000000003</v>
      </c>
    </row>
    <row r="431" spans="3:5" x14ac:dyDescent="0.35">
      <c r="C431" s="1" t="s">
        <v>8473</v>
      </c>
      <c r="D431" s="1" t="s">
        <v>58</v>
      </c>
      <c r="E431" s="250">
        <v>4720.4219999999996</v>
      </c>
    </row>
    <row r="432" spans="3:5" x14ac:dyDescent="0.35">
      <c r="C432" s="1" t="s">
        <v>8472</v>
      </c>
      <c r="D432" s="1" t="s">
        <v>58</v>
      </c>
      <c r="E432" s="250">
        <v>4720.4229999999998</v>
      </c>
    </row>
    <row r="433" spans="3:5" x14ac:dyDescent="0.35">
      <c r="C433" s="1" t="s">
        <v>8471</v>
      </c>
      <c r="D433" s="1" t="s">
        <v>58</v>
      </c>
      <c r="E433" s="250">
        <v>4720.424</v>
      </c>
    </row>
    <row r="434" spans="3:5" x14ac:dyDescent="0.35">
      <c r="C434" s="1" t="s">
        <v>8470</v>
      </c>
      <c r="D434" s="1" t="s">
        <v>58</v>
      </c>
      <c r="E434" s="250">
        <v>4720.4250000000002</v>
      </c>
    </row>
    <row r="435" spans="3:5" x14ac:dyDescent="0.35">
      <c r="C435" s="1" t="s">
        <v>8469</v>
      </c>
      <c r="D435" s="1" t="s">
        <v>58</v>
      </c>
      <c r="E435" s="250">
        <v>4720.4260000000004</v>
      </c>
    </row>
    <row r="436" spans="3:5" x14ac:dyDescent="0.35">
      <c r="C436" s="1" t="s">
        <v>8468</v>
      </c>
      <c r="D436" s="1" t="s">
        <v>58</v>
      </c>
      <c r="E436" s="250">
        <v>4720.4269999999997</v>
      </c>
    </row>
    <row r="437" spans="3:5" x14ac:dyDescent="0.35">
      <c r="C437" s="1" t="s">
        <v>8467</v>
      </c>
      <c r="D437" s="1" t="s">
        <v>58</v>
      </c>
      <c r="E437" s="250">
        <v>4720.4279999999999</v>
      </c>
    </row>
    <row r="438" spans="3:5" x14ac:dyDescent="0.35">
      <c r="C438" s="1" t="s">
        <v>8466</v>
      </c>
      <c r="D438" s="1" t="s">
        <v>58</v>
      </c>
      <c r="E438" s="250">
        <v>4720.4290000000001</v>
      </c>
    </row>
    <row r="439" spans="3:5" x14ac:dyDescent="0.35">
      <c r="C439" s="1" t="s">
        <v>8465</v>
      </c>
      <c r="D439" s="1" t="s">
        <v>58</v>
      </c>
      <c r="E439" s="250">
        <v>4720.4399999999996</v>
      </c>
    </row>
    <row r="440" spans="3:5" x14ac:dyDescent="0.35">
      <c r="C440" s="1" t="s">
        <v>8464</v>
      </c>
      <c r="D440" s="1" t="s">
        <v>58</v>
      </c>
      <c r="E440" s="250">
        <v>4720.4409999999998</v>
      </c>
    </row>
    <row r="441" spans="3:5" x14ac:dyDescent="0.35">
      <c r="C441" s="1" t="s">
        <v>8463</v>
      </c>
      <c r="D441" s="1" t="s">
        <v>58</v>
      </c>
      <c r="E441" s="250">
        <v>4720.442</v>
      </c>
    </row>
    <row r="442" spans="3:5" x14ac:dyDescent="0.35">
      <c r="C442" s="1" t="s">
        <v>8462</v>
      </c>
      <c r="D442" s="1" t="s">
        <v>58</v>
      </c>
      <c r="E442" s="250">
        <v>4720.4430000000002</v>
      </c>
    </row>
    <row r="443" spans="3:5" x14ac:dyDescent="0.35">
      <c r="C443" s="1" t="s">
        <v>8461</v>
      </c>
      <c r="D443" s="1" t="s">
        <v>58</v>
      </c>
      <c r="E443" s="250">
        <v>4720.4440000000004</v>
      </c>
    </row>
    <row r="444" spans="3:5" x14ac:dyDescent="0.35">
      <c r="C444" s="1" t="s">
        <v>8460</v>
      </c>
      <c r="D444" s="1" t="s">
        <v>58</v>
      </c>
      <c r="E444" s="250">
        <v>4720.4449999999997</v>
      </c>
    </row>
    <row r="445" spans="3:5" x14ac:dyDescent="0.35">
      <c r="C445" s="1" t="s">
        <v>8459</v>
      </c>
      <c r="D445" s="1" t="s">
        <v>58</v>
      </c>
      <c r="E445" s="250">
        <v>4720.4459999999999</v>
      </c>
    </row>
    <row r="446" spans="3:5" x14ac:dyDescent="0.35">
      <c r="C446" s="1" t="s">
        <v>8458</v>
      </c>
      <c r="D446" s="1" t="s">
        <v>58</v>
      </c>
      <c r="E446" s="250">
        <v>4720.4470000000001</v>
      </c>
    </row>
    <row r="447" spans="3:5" x14ac:dyDescent="0.35">
      <c r="C447" s="1" t="s">
        <v>8457</v>
      </c>
      <c r="D447" s="1" t="s">
        <v>58</v>
      </c>
      <c r="E447" s="250">
        <v>4720.4480000000003</v>
      </c>
    </row>
    <row r="448" spans="3:5" x14ac:dyDescent="0.35">
      <c r="C448" s="1" t="s">
        <v>8456</v>
      </c>
      <c r="D448" s="1" t="s">
        <v>58</v>
      </c>
      <c r="E448" s="250">
        <v>4720.4489999999996</v>
      </c>
    </row>
    <row r="449" spans="3:5" x14ac:dyDescent="0.35">
      <c r="C449" s="1" t="s">
        <v>8455</v>
      </c>
      <c r="D449" s="1" t="s">
        <v>58</v>
      </c>
      <c r="E449" s="250">
        <v>4720.45</v>
      </c>
    </row>
    <row r="450" spans="3:5" x14ac:dyDescent="0.35">
      <c r="C450" s="1" t="s">
        <v>8454</v>
      </c>
      <c r="D450" s="1" t="s">
        <v>58</v>
      </c>
      <c r="E450" s="250">
        <v>4720.451</v>
      </c>
    </row>
    <row r="451" spans="3:5" x14ac:dyDescent="0.35">
      <c r="C451" s="1" t="s">
        <v>8453</v>
      </c>
      <c r="D451" s="1" t="s">
        <v>58</v>
      </c>
      <c r="E451" s="250">
        <v>4720.4520000000002</v>
      </c>
    </row>
    <row r="452" spans="3:5" x14ac:dyDescent="0.35">
      <c r="C452" s="1" t="s">
        <v>8452</v>
      </c>
      <c r="D452" s="1" t="s">
        <v>58</v>
      </c>
      <c r="E452" s="250">
        <v>4720.4530000000004</v>
      </c>
    </row>
    <row r="453" spans="3:5" x14ac:dyDescent="0.35">
      <c r="C453" s="1" t="s">
        <v>8451</v>
      </c>
      <c r="D453" s="1" t="s">
        <v>58</v>
      </c>
      <c r="E453" s="250">
        <v>4720.4539999999997</v>
      </c>
    </row>
    <row r="454" spans="3:5" x14ac:dyDescent="0.35">
      <c r="C454" s="1" t="s">
        <v>8450</v>
      </c>
      <c r="D454" s="1" t="s">
        <v>58</v>
      </c>
      <c r="E454" s="250">
        <v>4720.46</v>
      </c>
    </row>
    <row r="455" spans="3:5" x14ac:dyDescent="0.35">
      <c r="C455" s="1" t="s">
        <v>8449</v>
      </c>
      <c r="D455" s="1" t="s">
        <v>58</v>
      </c>
      <c r="E455" s="250">
        <v>4720.4610000000002</v>
      </c>
    </row>
    <row r="456" spans="3:5" x14ac:dyDescent="0.35">
      <c r="C456" s="1" t="s">
        <v>8448</v>
      </c>
      <c r="D456" s="1" t="s">
        <v>58</v>
      </c>
      <c r="E456" s="250">
        <v>4720.4620000000004</v>
      </c>
    </row>
    <row r="457" spans="3:5" x14ac:dyDescent="0.35">
      <c r="C457" s="1" t="s">
        <v>8447</v>
      </c>
      <c r="D457" s="1" t="s">
        <v>58</v>
      </c>
      <c r="E457" s="250">
        <v>4720.4629999999997</v>
      </c>
    </row>
    <row r="458" spans="3:5" x14ac:dyDescent="0.35">
      <c r="C458" s="1" t="s">
        <v>8446</v>
      </c>
      <c r="D458" s="1" t="s">
        <v>58</v>
      </c>
      <c r="E458" s="250">
        <v>4720.4639999999999</v>
      </c>
    </row>
    <row r="459" spans="3:5" x14ac:dyDescent="0.35">
      <c r="C459" s="1" t="s">
        <v>8445</v>
      </c>
      <c r="D459" s="1" t="s">
        <v>58</v>
      </c>
      <c r="E459" s="250">
        <v>4720.4650000000001</v>
      </c>
    </row>
    <row r="460" spans="3:5" x14ac:dyDescent="0.35">
      <c r="C460" s="1" t="s">
        <v>8444</v>
      </c>
      <c r="D460" s="1" t="s">
        <v>58</v>
      </c>
      <c r="E460" s="250">
        <v>4720.4660000000003</v>
      </c>
    </row>
    <row r="461" spans="3:5" x14ac:dyDescent="0.35">
      <c r="C461" s="1" t="s">
        <v>8443</v>
      </c>
      <c r="D461" s="1" t="s">
        <v>58</v>
      </c>
      <c r="E461" s="250">
        <v>4720.4669999999996</v>
      </c>
    </row>
    <row r="462" spans="3:5" x14ac:dyDescent="0.35">
      <c r="C462" s="1" t="s">
        <v>8442</v>
      </c>
      <c r="D462" s="1" t="s">
        <v>58</v>
      </c>
      <c r="E462" s="250">
        <v>4720.4679999999998</v>
      </c>
    </row>
    <row r="463" spans="3:5" x14ac:dyDescent="0.35">
      <c r="C463" s="1" t="s">
        <v>8441</v>
      </c>
      <c r="D463" s="1" t="s">
        <v>58</v>
      </c>
      <c r="E463" s="250">
        <v>4720.4690000000001</v>
      </c>
    </row>
    <row r="464" spans="3:5" x14ac:dyDescent="0.35">
      <c r="C464" s="1" t="s">
        <v>8440</v>
      </c>
      <c r="D464" s="1" t="s">
        <v>58</v>
      </c>
      <c r="E464" s="250">
        <v>4720.47</v>
      </c>
    </row>
    <row r="465" spans="3:5" x14ac:dyDescent="0.35">
      <c r="C465" s="1" t="s">
        <v>8439</v>
      </c>
      <c r="D465" s="1" t="s">
        <v>58</v>
      </c>
      <c r="E465" s="250">
        <v>4720.4709999999995</v>
      </c>
    </row>
    <row r="466" spans="3:5" x14ac:dyDescent="0.35">
      <c r="C466" s="1" t="s">
        <v>8438</v>
      </c>
      <c r="D466" s="1" t="s">
        <v>58</v>
      </c>
      <c r="E466" s="250">
        <v>4720.4719999999998</v>
      </c>
    </row>
    <row r="467" spans="3:5" x14ac:dyDescent="0.35">
      <c r="C467" s="1" t="s">
        <v>8437</v>
      </c>
      <c r="D467" s="1" t="s">
        <v>58</v>
      </c>
      <c r="E467" s="250">
        <v>4720.473</v>
      </c>
    </row>
    <row r="468" spans="3:5" x14ac:dyDescent="0.35">
      <c r="C468" s="1" t="s">
        <v>8436</v>
      </c>
      <c r="D468" s="1" t="s">
        <v>58</v>
      </c>
      <c r="E468" s="250">
        <v>4720.4740000000002</v>
      </c>
    </row>
    <row r="469" spans="3:5" x14ac:dyDescent="0.35">
      <c r="C469" s="1" t="s">
        <v>8435</v>
      </c>
      <c r="D469" s="1" t="s">
        <v>58</v>
      </c>
      <c r="E469" s="250">
        <v>4720.4799999999996</v>
      </c>
    </row>
    <row r="470" spans="3:5" x14ac:dyDescent="0.35">
      <c r="C470" s="1" t="s">
        <v>8434</v>
      </c>
      <c r="D470" s="1" t="s">
        <v>58</v>
      </c>
      <c r="E470" s="250">
        <v>4720.4809999999998</v>
      </c>
    </row>
    <row r="471" spans="3:5" x14ac:dyDescent="0.35">
      <c r="C471" s="1" t="s">
        <v>8433</v>
      </c>
      <c r="D471" s="1" t="s">
        <v>58</v>
      </c>
      <c r="E471" s="250">
        <v>4720.482</v>
      </c>
    </row>
    <row r="472" spans="3:5" x14ac:dyDescent="0.35">
      <c r="C472" s="1" t="s">
        <v>8432</v>
      </c>
      <c r="D472" s="1" t="s">
        <v>58</v>
      </c>
      <c r="E472" s="250">
        <v>4720.4830000000002</v>
      </c>
    </row>
    <row r="473" spans="3:5" x14ac:dyDescent="0.35">
      <c r="C473" s="1" t="s">
        <v>8431</v>
      </c>
      <c r="D473" s="1" t="s">
        <v>58</v>
      </c>
      <c r="E473" s="250">
        <v>4720.4840000000004</v>
      </c>
    </row>
    <row r="474" spans="3:5" x14ac:dyDescent="0.35">
      <c r="C474" s="1" t="s">
        <v>8430</v>
      </c>
      <c r="D474" s="1" t="s">
        <v>58</v>
      </c>
      <c r="E474" s="250">
        <v>4720.4849999999997</v>
      </c>
    </row>
    <row r="475" spans="3:5" x14ac:dyDescent="0.35">
      <c r="C475" s="1" t="s">
        <v>8429</v>
      </c>
      <c r="D475" s="1" t="s">
        <v>58</v>
      </c>
      <c r="E475" s="250">
        <v>4720.4859999999999</v>
      </c>
    </row>
    <row r="476" spans="3:5" x14ac:dyDescent="0.35">
      <c r="C476" s="1" t="s">
        <v>8428</v>
      </c>
      <c r="D476" s="1" t="s">
        <v>58</v>
      </c>
      <c r="E476" s="250">
        <v>4720.4870000000001</v>
      </c>
    </row>
    <row r="477" spans="3:5" x14ac:dyDescent="0.35">
      <c r="C477" s="1" t="s">
        <v>8427</v>
      </c>
      <c r="D477" s="1" t="s">
        <v>58</v>
      </c>
      <c r="E477" s="250">
        <v>4720.4880000000003</v>
      </c>
    </row>
    <row r="478" spans="3:5" x14ac:dyDescent="0.35">
      <c r="C478" s="1" t="s">
        <v>8426</v>
      </c>
      <c r="D478" s="1" t="s">
        <v>58</v>
      </c>
      <c r="E478" s="250">
        <v>4720.4889999999996</v>
      </c>
    </row>
    <row r="479" spans="3:5" x14ac:dyDescent="0.35">
      <c r="C479" s="1" t="s">
        <v>8425</v>
      </c>
      <c r="D479" s="1" t="s">
        <v>58</v>
      </c>
      <c r="E479" s="250">
        <v>4720.49</v>
      </c>
    </row>
    <row r="480" spans="3:5" x14ac:dyDescent="0.35">
      <c r="C480" s="1" t="s">
        <v>8424</v>
      </c>
      <c r="D480" s="1" t="s">
        <v>58</v>
      </c>
      <c r="E480" s="250">
        <v>4720.491</v>
      </c>
    </row>
    <row r="481" spans="3:5" x14ac:dyDescent="0.35">
      <c r="C481" s="1" t="s">
        <v>8423</v>
      </c>
      <c r="D481" s="1" t="s">
        <v>58</v>
      </c>
      <c r="E481" s="250">
        <v>4720.4920000000002</v>
      </c>
    </row>
    <row r="482" spans="3:5" x14ac:dyDescent="0.35">
      <c r="C482" s="1" t="s">
        <v>8422</v>
      </c>
      <c r="D482" s="1" t="s">
        <v>58</v>
      </c>
      <c r="E482" s="250">
        <v>4720.4930000000004</v>
      </c>
    </row>
    <row r="483" spans="3:5" x14ac:dyDescent="0.35">
      <c r="C483" s="1" t="s">
        <v>8421</v>
      </c>
      <c r="D483" s="1" t="s">
        <v>58</v>
      </c>
      <c r="E483" s="250">
        <v>4720.4939999999997</v>
      </c>
    </row>
    <row r="484" spans="3:5" x14ac:dyDescent="0.35">
      <c r="C484" s="1" t="s">
        <v>8420</v>
      </c>
      <c r="D484" s="1" t="s">
        <v>58</v>
      </c>
      <c r="E484" s="250">
        <v>4720.4949999999999</v>
      </c>
    </row>
    <row r="485" spans="3:5" x14ac:dyDescent="0.35">
      <c r="C485" s="1" t="s">
        <v>8419</v>
      </c>
      <c r="D485" s="1" t="s">
        <v>58</v>
      </c>
      <c r="E485" s="250">
        <v>4720.5209999999997</v>
      </c>
    </row>
    <row r="486" spans="3:5" x14ac:dyDescent="0.35">
      <c r="C486" s="1" t="s">
        <v>8418</v>
      </c>
      <c r="D486" s="1" t="s">
        <v>58</v>
      </c>
      <c r="E486" s="250">
        <v>4720.5219999999999</v>
      </c>
    </row>
    <row r="487" spans="3:5" x14ac:dyDescent="0.35">
      <c r="C487" s="1" t="s">
        <v>8417</v>
      </c>
      <c r="D487" s="1" t="s">
        <v>58</v>
      </c>
      <c r="E487" s="250">
        <v>4720.5230000000001</v>
      </c>
    </row>
    <row r="488" spans="3:5" x14ac:dyDescent="0.35">
      <c r="C488" s="1" t="s">
        <v>8416</v>
      </c>
      <c r="D488" s="1" t="s">
        <v>58</v>
      </c>
      <c r="E488" s="250">
        <v>4720.5240000000003</v>
      </c>
    </row>
    <row r="489" spans="3:5" x14ac:dyDescent="0.35">
      <c r="C489" s="1" t="s">
        <v>8415</v>
      </c>
      <c r="D489" s="1" t="s">
        <v>58</v>
      </c>
      <c r="E489" s="250">
        <v>4720.5249999999996</v>
      </c>
    </row>
    <row r="490" spans="3:5" x14ac:dyDescent="0.35">
      <c r="C490" s="1" t="s">
        <v>8414</v>
      </c>
      <c r="D490" s="1" t="s">
        <v>58</v>
      </c>
      <c r="E490" s="250">
        <v>4720.5259999999998</v>
      </c>
    </row>
    <row r="491" spans="3:5" x14ac:dyDescent="0.35">
      <c r="C491" s="1" t="s">
        <v>8413</v>
      </c>
      <c r="D491" s="1" t="s">
        <v>58</v>
      </c>
      <c r="E491" s="250">
        <v>4720.527</v>
      </c>
    </row>
    <row r="492" spans="3:5" x14ac:dyDescent="0.35">
      <c r="C492" s="1" t="s">
        <v>8412</v>
      </c>
      <c r="D492" s="1" t="s">
        <v>58</v>
      </c>
      <c r="E492" s="250">
        <v>4720.5280000000002</v>
      </c>
    </row>
    <row r="493" spans="3:5" x14ac:dyDescent="0.35">
      <c r="C493" s="1" t="s">
        <v>8411</v>
      </c>
      <c r="D493" s="1" t="s">
        <v>58</v>
      </c>
      <c r="E493" s="250">
        <v>4720.5290000000005</v>
      </c>
    </row>
    <row r="494" spans="3:5" x14ac:dyDescent="0.35">
      <c r="C494" s="1" t="s">
        <v>8410</v>
      </c>
      <c r="D494" s="1" t="s">
        <v>58</v>
      </c>
      <c r="E494" s="250">
        <v>4720.53</v>
      </c>
    </row>
    <row r="495" spans="3:5" x14ac:dyDescent="0.35">
      <c r="C495" s="1" t="s">
        <v>8409</v>
      </c>
      <c r="D495" s="1" t="s">
        <v>58</v>
      </c>
      <c r="E495" s="250">
        <v>4720.5309999999999</v>
      </c>
    </row>
    <row r="496" spans="3:5" x14ac:dyDescent="0.35">
      <c r="C496" s="1" t="s">
        <v>8408</v>
      </c>
      <c r="D496" s="1" t="s">
        <v>58</v>
      </c>
      <c r="E496" s="250">
        <v>4720.5320000000002</v>
      </c>
    </row>
    <row r="497" spans="3:5" x14ac:dyDescent="0.35">
      <c r="C497" s="1" t="s">
        <v>8407</v>
      </c>
      <c r="D497" s="1" t="s">
        <v>58</v>
      </c>
      <c r="E497" s="250">
        <v>4720.5510000000004</v>
      </c>
    </row>
    <row r="498" spans="3:5" x14ac:dyDescent="0.35">
      <c r="C498" s="1" t="s">
        <v>8406</v>
      </c>
      <c r="D498" s="1" t="s">
        <v>58</v>
      </c>
      <c r="E498" s="250">
        <v>4720.5519999999997</v>
      </c>
    </row>
    <row r="499" spans="3:5" x14ac:dyDescent="0.35">
      <c r="C499" s="1" t="s">
        <v>8405</v>
      </c>
      <c r="D499" s="1" t="s">
        <v>58</v>
      </c>
      <c r="E499" s="250">
        <v>4720.5529999999999</v>
      </c>
    </row>
    <row r="500" spans="3:5" x14ac:dyDescent="0.35">
      <c r="C500" s="1" t="s">
        <v>8404</v>
      </c>
      <c r="D500" s="1" t="s">
        <v>58</v>
      </c>
      <c r="E500" s="250">
        <v>4720.5540000000001</v>
      </c>
    </row>
    <row r="501" spans="3:5" x14ac:dyDescent="0.35">
      <c r="C501" s="1" t="s">
        <v>8403</v>
      </c>
      <c r="D501" s="1" t="s">
        <v>58</v>
      </c>
      <c r="E501" s="250">
        <v>4720.5550000000003</v>
      </c>
    </row>
    <row r="502" spans="3:5" x14ac:dyDescent="0.35">
      <c r="C502" s="1" t="s">
        <v>8402</v>
      </c>
      <c r="D502" s="1" t="s">
        <v>58</v>
      </c>
      <c r="E502" s="250">
        <v>4720.5559999999996</v>
      </c>
    </row>
    <row r="503" spans="3:5" x14ac:dyDescent="0.35">
      <c r="C503" s="1" t="s">
        <v>8401</v>
      </c>
      <c r="D503" s="1" t="s">
        <v>58</v>
      </c>
      <c r="E503" s="250">
        <v>4720.5569999999998</v>
      </c>
    </row>
    <row r="504" spans="3:5" x14ac:dyDescent="0.35">
      <c r="C504" s="1" t="s">
        <v>8400</v>
      </c>
      <c r="D504" s="1" t="s">
        <v>58</v>
      </c>
      <c r="E504" s="250">
        <v>4720.558</v>
      </c>
    </row>
    <row r="505" spans="3:5" x14ac:dyDescent="0.35">
      <c r="C505" s="1" t="s">
        <v>8399</v>
      </c>
      <c r="D505" s="1" t="s">
        <v>58</v>
      </c>
      <c r="E505" s="250">
        <v>4720.5590000000002</v>
      </c>
    </row>
    <row r="506" spans="3:5" x14ac:dyDescent="0.35">
      <c r="C506" s="1" t="s">
        <v>8398</v>
      </c>
      <c r="D506" s="1" t="s">
        <v>58</v>
      </c>
      <c r="E506" s="250">
        <v>4720.5709999999999</v>
      </c>
    </row>
    <row r="507" spans="3:5" x14ac:dyDescent="0.35">
      <c r="C507" s="1" t="s">
        <v>8397</v>
      </c>
      <c r="D507" s="1" t="s">
        <v>58</v>
      </c>
      <c r="E507" s="250">
        <v>4720.5720000000001</v>
      </c>
    </row>
    <row r="508" spans="3:5" x14ac:dyDescent="0.35">
      <c r="C508" s="1" t="s">
        <v>8396</v>
      </c>
      <c r="D508" s="1" t="s">
        <v>58</v>
      </c>
      <c r="E508" s="250">
        <v>4720.5730000000003</v>
      </c>
    </row>
    <row r="509" spans="3:5" x14ac:dyDescent="0.35">
      <c r="C509" s="1" t="s">
        <v>8395</v>
      </c>
      <c r="D509" s="1" t="s">
        <v>58</v>
      </c>
      <c r="E509" s="250">
        <v>4720.5739999999996</v>
      </c>
    </row>
    <row r="510" spans="3:5" x14ac:dyDescent="0.35">
      <c r="C510" s="1" t="s">
        <v>8394</v>
      </c>
      <c r="D510" s="1" t="s">
        <v>58</v>
      </c>
      <c r="E510" s="250">
        <v>4720.5810000000001</v>
      </c>
    </row>
    <row r="511" spans="3:5" x14ac:dyDescent="0.35">
      <c r="C511" s="1" t="s">
        <v>8393</v>
      </c>
      <c r="D511" s="1" t="s">
        <v>58</v>
      </c>
      <c r="E511" s="250">
        <v>4720.5820000000003</v>
      </c>
    </row>
    <row r="512" spans="3:5" x14ac:dyDescent="0.35">
      <c r="C512" s="1" t="s">
        <v>8392</v>
      </c>
      <c r="D512" s="1" t="s">
        <v>58</v>
      </c>
      <c r="E512" s="250">
        <v>4720.5829999999996</v>
      </c>
    </row>
    <row r="513" spans="3:5" x14ac:dyDescent="0.35">
      <c r="C513" s="1" t="s">
        <v>8391</v>
      </c>
      <c r="D513" s="1" t="s">
        <v>58</v>
      </c>
      <c r="E513" s="250">
        <v>4720.5839999999998</v>
      </c>
    </row>
    <row r="514" spans="3:5" x14ac:dyDescent="0.35">
      <c r="C514" s="1" t="s">
        <v>8390</v>
      </c>
      <c r="D514" s="1" t="s">
        <v>58</v>
      </c>
      <c r="E514" s="250">
        <v>4720.585</v>
      </c>
    </row>
    <row r="515" spans="3:5" x14ac:dyDescent="0.35">
      <c r="C515" s="1" t="s">
        <v>8389</v>
      </c>
      <c r="D515" s="1" t="s">
        <v>58</v>
      </c>
      <c r="E515" s="250">
        <v>4720.5860000000002</v>
      </c>
    </row>
    <row r="516" spans="3:5" x14ac:dyDescent="0.35">
      <c r="C516" s="1" t="s">
        <v>8388</v>
      </c>
      <c r="D516" s="1" t="s">
        <v>58</v>
      </c>
      <c r="E516" s="250">
        <v>4720.5870000000004</v>
      </c>
    </row>
    <row r="517" spans="3:5" x14ac:dyDescent="0.35">
      <c r="C517" s="1" t="s">
        <v>8387</v>
      </c>
      <c r="D517" s="1" t="s">
        <v>58</v>
      </c>
      <c r="E517" s="250">
        <v>4720.5879999999997</v>
      </c>
    </row>
    <row r="518" spans="3:5" x14ac:dyDescent="0.35">
      <c r="C518" s="1" t="s">
        <v>8386</v>
      </c>
      <c r="D518" s="1" t="s">
        <v>58</v>
      </c>
      <c r="E518" s="250">
        <v>4720.5889999999999</v>
      </c>
    </row>
    <row r="519" spans="3:5" x14ac:dyDescent="0.35">
      <c r="C519" s="1" t="s">
        <v>8385</v>
      </c>
      <c r="D519" s="1" t="s">
        <v>58</v>
      </c>
      <c r="E519" s="250">
        <v>4720.59</v>
      </c>
    </row>
    <row r="520" spans="3:5" x14ac:dyDescent="0.35">
      <c r="C520" s="1" t="s">
        <v>8384</v>
      </c>
      <c r="D520" s="1" t="s">
        <v>58</v>
      </c>
      <c r="E520" s="250">
        <v>4720.6109999999999</v>
      </c>
    </row>
    <row r="521" spans="3:5" x14ac:dyDescent="0.35">
      <c r="C521" s="1" t="s">
        <v>8383</v>
      </c>
      <c r="D521" s="1" t="s">
        <v>58</v>
      </c>
      <c r="E521" s="250">
        <v>4720.6120000000001</v>
      </c>
    </row>
    <row r="522" spans="3:5" x14ac:dyDescent="0.35">
      <c r="C522" s="1" t="s">
        <v>8382</v>
      </c>
      <c r="D522" s="1" t="s">
        <v>58</v>
      </c>
      <c r="E522" s="250">
        <v>4720.6130000000003</v>
      </c>
    </row>
    <row r="523" spans="3:5" x14ac:dyDescent="0.35">
      <c r="C523" s="1" t="s">
        <v>8381</v>
      </c>
      <c r="D523" s="1" t="s">
        <v>58</v>
      </c>
      <c r="E523" s="250">
        <v>4720.6139999999996</v>
      </c>
    </row>
    <row r="524" spans="3:5" x14ac:dyDescent="0.35">
      <c r="C524" s="1" t="s">
        <v>8380</v>
      </c>
      <c r="D524" s="1" t="s">
        <v>58</v>
      </c>
      <c r="E524" s="250">
        <v>4720.6149999999998</v>
      </c>
    </row>
    <row r="525" spans="3:5" x14ac:dyDescent="0.35">
      <c r="C525" s="1" t="s">
        <v>8379</v>
      </c>
      <c r="D525" s="1" t="s">
        <v>58</v>
      </c>
      <c r="E525" s="250">
        <v>4720.616</v>
      </c>
    </row>
    <row r="526" spans="3:5" x14ac:dyDescent="0.35">
      <c r="C526" s="1" t="s">
        <v>8378</v>
      </c>
      <c r="D526" s="1" t="s">
        <v>58</v>
      </c>
      <c r="E526" s="250">
        <v>4720.6170000000002</v>
      </c>
    </row>
    <row r="527" spans="3:5" x14ac:dyDescent="0.35">
      <c r="C527" s="1" t="s">
        <v>8377</v>
      </c>
      <c r="D527" s="1" t="s">
        <v>58</v>
      </c>
      <c r="E527" s="250">
        <v>4720.6180000000004</v>
      </c>
    </row>
    <row r="528" spans="3:5" x14ac:dyDescent="0.35">
      <c r="C528" s="1" t="s">
        <v>8376</v>
      </c>
      <c r="D528" s="1" t="s">
        <v>58</v>
      </c>
      <c r="E528" s="250">
        <v>4720.6189999999997</v>
      </c>
    </row>
    <row r="529" spans="3:5" x14ac:dyDescent="0.35">
      <c r="C529" s="1" t="s">
        <v>8375</v>
      </c>
      <c r="D529" s="1" t="s">
        <v>58</v>
      </c>
      <c r="E529" s="250">
        <v>4720.6310000000003</v>
      </c>
    </row>
    <row r="530" spans="3:5" x14ac:dyDescent="0.35">
      <c r="C530" s="1" t="s">
        <v>8374</v>
      </c>
      <c r="D530" s="1" t="s">
        <v>58</v>
      </c>
      <c r="E530" s="250">
        <v>4720.6319999999996</v>
      </c>
    </row>
    <row r="531" spans="3:5" x14ac:dyDescent="0.35">
      <c r="C531" s="1" t="s">
        <v>8373</v>
      </c>
      <c r="D531" s="1" t="s">
        <v>58</v>
      </c>
      <c r="E531" s="250">
        <v>4720.6329999999998</v>
      </c>
    </row>
    <row r="532" spans="3:5" x14ac:dyDescent="0.35">
      <c r="C532" s="1" t="s">
        <v>8372</v>
      </c>
      <c r="D532" s="1" t="s">
        <v>58</v>
      </c>
      <c r="E532" s="250">
        <v>4720.634</v>
      </c>
    </row>
    <row r="533" spans="3:5" x14ac:dyDescent="0.35">
      <c r="C533" s="1" t="s">
        <v>8371</v>
      </c>
      <c r="D533" s="1" t="s">
        <v>58</v>
      </c>
      <c r="E533" s="250">
        <v>4720.6350000000002</v>
      </c>
    </row>
    <row r="534" spans="3:5" x14ac:dyDescent="0.35">
      <c r="C534" s="1" t="s">
        <v>8370</v>
      </c>
      <c r="D534" s="1" t="s">
        <v>58</v>
      </c>
      <c r="E534" s="250">
        <v>4720.6360000000004</v>
      </c>
    </row>
    <row r="535" spans="3:5" x14ac:dyDescent="0.35">
      <c r="C535" s="1" t="s">
        <v>8369</v>
      </c>
      <c r="D535" s="1" t="s">
        <v>58</v>
      </c>
      <c r="E535" s="250">
        <v>4720.6369999999997</v>
      </c>
    </row>
    <row r="536" spans="3:5" x14ac:dyDescent="0.35">
      <c r="C536" s="1" t="s">
        <v>8368</v>
      </c>
      <c r="D536" s="1" t="s">
        <v>58</v>
      </c>
      <c r="E536" s="250">
        <v>4720.6379999999999</v>
      </c>
    </row>
    <row r="537" spans="3:5" x14ac:dyDescent="0.35">
      <c r="C537" s="1" t="s">
        <v>8367</v>
      </c>
      <c r="D537" s="1" t="s">
        <v>58</v>
      </c>
      <c r="E537" s="250">
        <v>4720.6390000000001</v>
      </c>
    </row>
    <row r="538" spans="3:5" x14ac:dyDescent="0.35">
      <c r="C538" s="1" t="s">
        <v>8366</v>
      </c>
      <c r="D538" s="1" t="s">
        <v>58</v>
      </c>
      <c r="E538" s="250">
        <v>4729.8010000000004</v>
      </c>
    </row>
    <row r="539" spans="3:5" x14ac:dyDescent="0.35">
      <c r="C539" s="1" t="s">
        <v>8365</v>
      </c>
      <c r="D539" s="1" t="s">
        <v>58</v>
      </c>
      <c r="E539" s="250">
        <v>4729.8019999999997</v>
      </c>
    </row>
    <row r="540" spans="3:5" x14ac:dyDescent="0.35">
      <c r="C540" s="1" t="s">
        <v>8364</v>
      </c>
      <c r="D540" s="1" t="s">
        <v>58</v>
      </c>
      <c r="E540" s="250">
        <v>4729.8029999999999</v>
      </c>
    </row>
    <row r="541" spans="3:5" x14ac:dyDescent="0.35">
      <c r="C541" s="1" t="s">
        <v>8363</v>
      </c>
      <c r="D541" s="1" t="s">
        <v>58</v>
      </c>
      <c r="E541" s="250">
        <v>4729.8040000000001</v>
      </c>
    </row>
    <row r="542" spans="3:5" x14ac:dyDescent="0.35">
      <c r="C542" s="1" t="s">
        <v>8362</v>
      </c>
      <c r="D542" s="1" t="s">
        <v>58</v>
      </c>
      <c r="E542" s="250">
        <v>4729.8050000000003</v>
      </c>
    </row>
    <row r="543" spans="3:5" x14ac:dyDescent="0.35">
      <c r="C543" s="1" t="s">
        <v>8361</v>
      </c>
      <c r="D543" s="1" t="s">
        <v>58</v>
      </c>
      <c r="E543" s="250">
        <v>4729.8059999999996</v>
      </c>
    </row>
    <row r="544" spans="3:5" x14ac:dyDescent="0.35">
      <c r="C544" s="1" t="s">
        <v>8360</v>
      </c>
      <c r="D544" s="1" t="s">
        <v>19</v>
      </c>
      <c r="E544" s="250">
        <v>4810.0110000000004</v>
      </c>
    </row>
    <row r="545" spans="3:5" x14ac:dyDescent="0.35">
      <c r="C545" s="1" t="s">
        <v>8359</v>
      </c>
      <c r="D545" s="1" t="s">
        <v>19</v>
      </c>
      <c r="E545" s="250">
        <v>4810.0119999999997</v>
      </c>
    </row>
    <row r="546" spans="3:5" x14ac:dyDescent="0.35">
      <c r="C546" s="1" t="s">
        <v>8358</v>
      </c>
      <c r="D546" s="1" t="s">
        <v>19</v>
      </c>
      <c r="E546" s="250">
        <v>4810.0129999999999</v>
      </c>
    </row>
    <row r="547" spans="3:5" x14ac:dyDescent="0.35">
      <c r="C547" s="1" t="s">
        <v>8357</v>
      </c>
      <c r="D547" s="1" t="s">
        <v>19</v>
      </c>
      <c r="E547" s="250">
        <v>4810.0140000000001</v>
      </c>
    </row>
    <row r="548" spans="3:5" x14ac:dyDescent="0.35">
      <c r="C548" s="1" t="s">
        <v>8356</v>
      </c>
      <c r="D548" s="1" t="s">
        <v>19</v>
      </c>
      <c r="E548" s="250">
        <v>4810.0190000000002</v>
      </c>
    </row>
    <row r="549" spans="3:5" x14ac:dyDescent="0.35">
      <c r="C549" s="1" t="s">
        <v>8355</v>
      </c>
      <c r="D549" s="1" t="s">
        <v>19</v>
      </c>
      <c r="E549" s="250">
        <v>4810.0280000000002</v>
      </c>
    </row>
    <row r="550" spans="3:5" x14ac:dyDescent="0.35">
      <c r="C550" s="1" t="s">
        <v>8354</v>
      </c>
      <c r="D550" s="1" t="s">
        <v>19</v>
      </c>
      <c r="E550" s="250">
        <v>4810.0330000000004</v>
      </c>
    </row>
    <row r="551" spans="3:5" x14ac:dyDescent="0.35">
      <c r="C551" s="1" t="s">
        <v>8353</v>
      </c>
      <c r="D551" s="1" t="s">
        <v>18</v>
      </c>
      <c r="E551" s="250">
        <v>4880.01</v>
      </c>
    </row>
    <row r="552" spans="3:5" x14ac:dyDescent="0.35">
      <c r="C552" s="1" t="s">
        <v>8352</v>
      </c>
      <c r="D552" s="1" t="s">
        <v>18</v>
      </c>
      <c r="E552" s="250">
        <v>4880.0110000000004</v>
      </c>
    </row>
    <row r="553" spans="3:5" x14ac:dyDescent="0.35">
      <c r="C553" s="1" t="s">
        <v>8351</v>
      </c>
      <c r="D553" s="1" t="s">
        <v>18</v>
      </c>
      <c r="E553" s="250">
        <v>4880.0119999999997</v>
      </c>
    </row>
    <row r="554" spans="3:5" x14ac:dyDescent="0.35">
      <c r="C554" s="1" t="s">
        <v>8350</v>
      </c>
      <c r="D554" s="1" t="s">
        <v>18</v>
      </c>
      <c r="E554" s="250">
        <v>4880.0150000000003</v>
      </c>
    </row>
    <row r="555" spans="3:5" x14ac:dyDescent="0.35">
      <c r="C555" s="1" t="s">
        <v>8349</v>
      </c>
      <c r="D555" s="1" t="s">
        <v>18</v>
      </c>
      <c r="E555" s="250">
        <v>4880.0159999999996</v>
      </c>
    </row>
    <row r="556" spans="3:5" x14ac:dyDescent="0.35">
      <c r="C556" s="1" t="s">
        <v>8348</v>
      </c>
      <c r="D556" s="1" t="s">
        <v>18</v>
      </c>
      <c r="E556" s="250">
        <v>4880.05</v>
      </c>
    </row>
    <row r="557" spans="3:5" x14ac:dyDescent="0.35">
      <c r="C557" s="1" t="s">
        <v>8344</v>
      </c>
      <c r="D557" s="1" t="s">
        <v>20</v>
      </c>
      <c r="E557" s="250">
        <v>4930.01</v>
      </c>
    </row>
    <row r="558" spans="3:5" x14ac:dyDescent="0.35">
      <c r="C558" s="1" t="s">
        <v>8347</v>
      </c>
      <c r="D558" s="1" t="s">
        <v>20</v>
      </c>
      <c r="E558" s="250">
        <v>4930.0110000000004</v>
      </c>
    </row>
    <row r="559" spans="3:5" x14ac:dyDescent="0.35">
      <c r="C559" s="1" t="s">
        <v>8346</v>
      </c>
      <c r="D559" s="1" t="s">
        <v>20</v>
      </c>
      <c r="E559" s="250">
        <v>4930.0119999999997</v>
      </c>
    </row>
    <row r="560" spans="3:5" x14ac:dyDescent="0.35">
      <c r="C560" s="1" t="s">
        <v>8345</v>
      </c>
      <c r="D560" s="1" t="s">
        <v>20</v>
      </c>
      <c r="E560" s="250">
        <v>4930.0129999999999</v>
      </c>
    </row>
    <row r="561" spans="3:5" x14ac:dyDescent="0.35">
      <c r="C561" s="1" t="s">
        <v>8344</v>
      </c>
      <c r="D561" s="1" t="s">
        <v>20</v>
      </c>
      <c r="E561" s="250">
        <v>4930.0140000000001</v>
      </c>
    </row>
    <row r="562" spans="3:5" x14ac:dyDescent="0.35">
      <c r="C562" s="1" t="s">
        <v>8343</v>
      </c>
      <c r="D562" s="1" t="s">
        <v>20</v>
      </c>
      <c r="E562" s="250">
        <v>4930.0150000000003</v>
      </c>
    </row>
    <row r="563" spans="3:5" x14ac:dyDescent="0.35">
      <c r="C563" s="1" t="s">
        <v>8342</v>
      </c>
      <c r="D563" s="1" t="s">
        <v>20</v>
      </c>
      <c r="E563" s="250">
        <v>4999.9009999999998</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52A37D3F-A94B-418C-9F30-C506AF13EE26}">
      <formula1>$C$205:$C207</formula1>
    </dataValidation>
  </dataValidations>
  <hyperlinks>
    <hyperlink ref="D3" r:id="rId1" display="datamateapp@gmail.com" xr:uid="{8BA5DA4F-C415-4B3E-BD1C-7C3FA3A8E61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18474" r:id="rId4" name="Button 10">
              <controlPr defaultSize="0" print="0" autoFill="0" autoPict="0" macro="[0]!ExitSEC_047000">
                <anchor moveWithCells="1" sizeWithCells="1">
                  <from>
                    <xdr:col>16</xdr:col>
                    <xdr:colOff>203200</xdr:colOff>
                    <xdr:row>0</xdr:row>
                    <xdr:rowOff>6350</xdr:rowOff>
                  </from>
                  <to>
                    <xdr:col>16</xdr:col>
                    <xdr:colOff>1473200</xdr:colOff>
                    <xdr:row>2</xdr:row>
                    <xdr:rowOff>19050</xdr:rowOff>
                  </to>
                </anchor>
              </controlPr>
            </control>
          </mc:Choice>
        </mc:AlternateContent>
        <mc:AlternateContent xmlns:mc="http://schemas.openxmlformats.org/markup-compatibility/2006">
          <mc:Choice Requires="x14">
            <control shapeId="318518" r:id="rId5" name="Button 54">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318519" r:id="rId6" name="Button 55">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318520" r:id="rId7" name="Button 56">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318521" r:id="rId8" name="Button 57">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318522" r:id="rId9" name="Button 58">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318523" r:id="rId10" name="Button 59">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318524" r:id="rId11" name="Button 60">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318525" r:id="rId12" name="Button 61">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61E508-BAA5-4331-9B5A-0DEF251E5966}">
  <sheetPr codeName="Sheet112"/>
  <dimension ref="A1:Q206"/>
  <sheetViews>
    <sheetView zoomScale="75" zoomScaleNormal="75" workbookViewId="0">
      <selection activeCell="N33" sqref="N33"/>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
        <v>21412</v>
      </c>
      <c r="B1" s="55" t="s">
        <v>21413</v>
      </c>
      <c r="C1" s="55" t="s">
        <v>21414</v>
      </c>
      <c r="D1" s="55" t="s">
        <v>21415</v>
      </c>
      <c r="E1" s="55" t="s">
        <v>21416</v>
      </c>
      <c r="F1" s="55" t="s">
        <v>21417</v>
      </c>
      <c r="G1" s="55" t="s">
        <v>21418</v>
      </c>
      <c r="H1" s="55" t="s">
        <v>21419</v>
      </c>
      <c r="I1" s="55" t="s">
        <v>21388</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f>C10</f>
        <v>0</v>
      </c>
      <c r="J2" s="59"/>
      <c r="K2" s="59"/>
      <c r="L2" s="59"/>
      <c r="M2" s="59"/>
      <c r="N2" s="59"/>
      <c r="O2" s="60"/>
      <c r="P2" s="57"/>
      <c r="Q2" s="57"/>
    </row>
    <row r="3" spans="1:17" ht="15" thickBot="1" x14ac:dyDescent="0.4">
      <c r="A3" s="458" t="s">
        <v>21540</v>
      </c>
      <c r="B3" s="459"/>
      <c r="C3" s="276" t="str">
        <f>HYPERLINK("https://datamateapp.github.io/index.html","Built with the DataMateApp. Please give feedback and share with anyone!")</f>
        <v>Built with the DataMateApp. Please give feedback and share with anyone!</v>
      </c>
      <c r="D3" s="460" t="s">
        <v>21411</v>
      </c>
      <c r="E3" s="461"/>
      <c r="F3" s="461"/>
      <c r="G3" s="461"/>
      <c r="H3" s="277"/>
      <c r="I3" s="277"/>
      <c r="J3" s="462"/>
      <c r="K3" s="463"/>
      <c r="L3" s="279"/>
      <c r="M3" s="278"/>
      <c r="N3" s="277"/>
      <c r="O3" s="278"/>
      <c r="P3" s="280"/>
      <c r="Q3" s="281"/>
    </row>
    <row r="4" spans="1:17" ht="15" thickBot="1" x14ac:dyDescent="0.4">
      <c r="A4" s="464" t="s">
        <v>21409</v>
      </c>
      <c r="B4" s="465"/>
      <c r="C4" s="282" t="s">
        <v>21410</v>
      </c>
      <c r="D4" s="283"/>
      <c r="E4" s="284" t="s">
        <v>21396</v>
      </c>
      <c r="F4" s="285">
        <v>1</v>
      </c>
      <c r="G4" s="286"/>
      <c r="H4" s="283"/>
      <c r="I4" s="283"/>
      <c r="J4" s="457" t="s">
        <v>21406</v>
      </c>
      <c r="K4" s="456"/>
      <c r="L4" s="287"/>
      <c r="M4" s="288"/>
      <c r="N4" s="289" t="s">
        <v>21430</v>
      </c>
      <c r="O4" s="290"/>
      <c r="P4" s="291"/>
      <c r="Q4" s="292"/>
    </row>
    <row r="5" spans="1:17" ht="15" thickBot="1" x14ac:dyDescent="0.4">
      <c r="A5" s="293"/>
      <c r="B5" s="294"/>
      <c r="C5" s="284"/>
      <c r="D5" s="283"/>
      <c r="E5" s="291"/>
      <c r="F5" s="283"/>
      <c r="G5" s="286"/>
      <c r="H5" s="283"/>
      <c r="I5" s="283"/>
      <c r="J5" s="457" t="s">
        <v>21407</v>
      </c>
      <c r="K5" s="456"/>
      <c r="L5" s="295"/>
      <c r="M5" s="296"/>
      <c r="N5" s="289" t="s">
        <v>21429</v>
      </c>
      <c r="O5" s="297"/>
      <c r="P5" s="298"/>
      <c r="Q5" s="299"/>
    </row>
    <row r="6" spans="1:17" ht="15" thickBot="1" x14ac:dyDescent="0.4">
      <c r="A6" s="293"/>
      <c r="B6" s="294" t="s">
        <v>21395</v>
      </c>
      <c r="C6" s="300">
        <f ca="1">TODAY()</f>
        <v>45603</v>
      </c>
      <c r="D6" s="283"/>
      <c r="E6" s="291"/>
      <c r="F6" s="283"/>
      <c r="G6" s="301"/>
      <c r="H6" s="302" t="s">
        <v>0</v>
      </c>
      <c r="I6" s="303">
        <v>7.0000000000000007E-2</v>
      </c>
      <c r="J6" s="455" t="s">
        <v>21405</v>
      </c>
      <c r="K6" s="456"/>
      <c r="L6" s="295"/>
      <c r="M6" s="288"/>
      <c r="N6" s="289" t="s">
        <v>21428</v>
      </c>
      <c r="O6" s="304"/>
      <c r="P6" s="291"/>
      <c r="Q6" s="299"/>
    </row>
    <row r="7" spans="1:17" x14ac:dyDescent="0.35">
      <c r="A7" s="293"/>
      <c r="B7" s="294"/>
      <c r="C7" s="305" t="s">
        <v>21433</v>
      </c>
      <c r="D7" s="283"/>
      <c r="E7" s="291"/>
      <c r="F7" s="283"/>
      <c r="G7" s="291"/>
      <c r="H7" s="306"/>
      <c r="I7" s="283"/>
      <c r="J7" s="457" t="s">
        <v>21408</v>
      </c>
      <c r="K7" s="456"/>
      <c r="L7" s="295"/>
      <c r="M7" s="283"/>
      <c r="N7" s="289" t="s">
        <v>21427</v>
      </c>
      <c r="O7" s="297"/>
      <c r="P7" s="307"/>
      <c r="Q7" s="308"/>
    </row>
    <row r="8" spans="1:17" ht="15" thickBot="1" x14ac:dyDescent="0.4">
      <c r="A8" s="293"/>
      <c r="B8" s="294"/>
      <c r="C8" s="298" t="s">
        <v>21403</v>
      </c>
      <c r="D8" s="283"/>
      <c r="E8" s="291"/>
      <c r="F8" s="283"/>
      <c r="G8" s="283"/>
      <c r="H8" s="283"/>
      <c r="I8" s="283"/>
      <c r="J8" s="283"/>
      <c r="K8" s="283"/>
      <c r="L8" s="309" t="s">
        <v>1</v>
      </c>
      <c r="M8" s="283"/>
      <c r="N8" s="283" t="s">
        <v>21422</v>
      </c>
      <c r="O8" s="310" t="s">
        <v>21425</v>
      </c>
      <c r="P8" s="283"/>
      <c r="Q8" s="311"/>
    </row>
    <row r="9" spans="1:17" ht="40" thickBot="1" x14ac:dyDescent="0.4">
      <c r="A9" s="312"/>
      <c r="B9" s="313"/>
      <c r="C9" s="314" t="s">
        <v>2</v>
      </c>
      <c r="D9" s="315" t="s">
        <v>3</v>
      </c>
      <c r="E9" s="316" t="s">
        <v>4</v>
      </c>
      <c r="F9" s="313" t="s">
        <v>5</v>
      </c>
      <c r="G9" s="317" t="s">
        <v>6</v>
      </c>
      <c r="H9" s="313" t="s">
        <v>7</v>
      </c>
      <c r="I9" s="317" t="s">
        <v>8</v>
      </c>
      <c r="J9" s="318" t="s">
        <v>9</v>
      </c>
      <c r="K9" s="313" t="s">
        <v>10</v>
      </c>
      <c r="L9" s="318" t="s">
        <v>11</v>
      </c>
      <c r="M9" s="317" t="s">
        <v>12</v>
      </c>
      <c r="N9" s="313" t="s">
        <v>13</v>
      </c>
      <c r="O9" s="317" t="s">
        <v>14</v>
      </c>
      <c r="P9" s="315" t="s">
        <v>15</v>
      </c>
      <c r="Q9" s="319" t="s">
        <v>16</v>
      </c>
    </row>
    <row r="10" spans="1:17" ht="15" thickBot="1" x14ac:dyDescent="0.4">
      <c r="A10" s="320"/>
      <c r="B10" s="321">
        <f>B208</f>
        <v>0</v>
      </c>
      <c r="C10" s="322">
        <f>C208</f>
        <v>0</v>
      </c>
      <c r="D10" s="323"/>
      <c r="E10" s="324" t="s">
        <v>17</v>
      </c>
      <c r="F10" s="302"/>
      <c r="G10" s="325">
        <f>SUBTOTAL(9,G11:G190)</f>
        <v>0</v>
      </c>
      <c r="H10" s="302"/>
      <c r="I10" s="325">
        <f>SUBTOTAL(9,I11:I190)</f>
        <v>0</v>
      </c>
      <c r="J10" s="302"/>
      <c r="K10" s="302">
        <f>SUBTOTAL(9,K11:K190)</f>
        <v>0</v>
      </c>
      <c r="L10" s="302"/>
      <c r="M10" s="325">
        <f>SUBTOTAL(9,M11:M190)</f>
        <v>0</v>
      </c>
      <c r="N10" s="302"/>
      <c r="O10" s="325">
        <f>SUBTOTAL(9,O11:O190)</f>
        <v>0</v>
      </c>
      <c r="P10" s="323"/>
      <c r="Q10" s="326">
        <f>SUBTOTAL(9,Q11:Q190)</f>
        <v>0</v>
      </c>
    </row>
    <row r="11" spans="1:17" x14ac:dyDescent="0.35">
      <c r="A11" s="320"/>
      <c r="B11" s="327"/>
      <c r="C11" s="328"/>
      <c r="D11" s="289"/>
      <c r="E11" s="329"/>
      <c r="F11" s="330"/>
      <c r="G11" s="331"/>
      <c r="H11" s="330"/>
      <c r="I11" s="331"/>
      <c r="J11" s="330"/>
      <c r="K11" s="330"/>
      <c r="L11" s="330"/>
      <c r="M11" s="331"/>
      <c r="N11" s="330"/>
      <c r="O11" s="331"/>
      <c r="P11" s="289"/>
      <c r="Q11" s="332"/>
    </row>
    <row r="12" spans="1:17" x14ac:dyDescent="0.35">
      <c r="A12" s="320"/>
      <c r="B12" s="327"/>
      <c r="C12" s="328">
        <f>C10</f>
        <v>0</v>
      </c>
      <c r="D12" s="289"/>
      <c r="E12" s="329"/>
      <c r="F12" s="330"/>
      <c r="G12" s="331"/>
      <c r="H12" s="330"/>
      <c r="I12" s="331"/>
      <c r="J12" s="330"/>
      <c r="K12" s="330"/>
      <c r="L12" s="330"/>
      <c r="M12" s="331"/>
      <c r="N12" s="330"/>
      <c r="O12" s="331"/>
      <c r="P12" s="289"/>
      <c r="Q12" s="332"/>
    </row>
    <row r="197" spans="2:17" x14ac:dyDescent="0.35">
      <c r="B197" s="333"/>
      <c r="C197" s="336" t="str">
        <f>C193&amp;" Subtotal"</f>
        <v xml:space="preserve"> Subtotal</v>
      </c>
      <c r="D197" s="289"/>
      <c r="E197" s="329"/>
      <c r="F197" s="337"/>
      <c r="G197" s="338">
        <f>SUBTOTAL(9,G16:G196)</f>
        <v>0</v>
      </c>
      <c r="H197" s="337"/>
      <c r="I197" s="338">
        <f>SUBTOTAL(9,I16:I196)</f>
        <v>0</v>
      </c>
      <c r="J197" s="330"/>
      <c r="K197" s="336">
        <f>SUBTOTAL(9,K179:K196)</f>
        <v>0</v>
      </c>
      <c r="L197" s="337"/>
      <c r="M197" s="338">
        <f>SUBTOTAL(9,M16:M196)</f>
        <v>0</v>
      </c>
      <c r="N197" s="337"/>
      <c r="O197" s="338">
        <f>SUBTOTAL(9,O16:O196)</f>
        <v>0</v>
      </c>
      <c r="P197" s="335"/>
      <c r="Q197" s="339">
        <f>SUBTOTAL(9,Q194:Q196)</f>
        <v>0</v>
      </c>
    </row>
    <row r="198" spans="2:17" x14ac:dyDescent="0.35">
      <c r="B198" s="333"/>
      <c r="C198" s="334"/>
      <c r="D198" s="289"/>
      <c r="E198" s="329"/>
      <c r="F198" s="330"/>
      <c r="G198" s="331"/>
      <c r="H198" s="330"/>
      <c r="I198" s="331"/>
      <c r="J198" s="330"/>
      <c r="K198" s="330"/>
      <c r="L198" s="330"/>
      <c r="M198" s="331"/>
      <c r="N198" s="330"/>
      <c r="O198" s="331"/>
      <c r="P198" s="335"/>
      <c r="Q198" s="332"/>
    </row>
    <row r="199" spans="2:17" x14ac:dyDescent="0.35">
      <c r="B199" s="340"/>
      <c r="C199" s="341"/>
      <c r="D199" s="342"/>
      <c r="E199" s="343"/>
      <c r="F199" s="344" t="s">
        <v>25</v>
      </c>
      <c r="G199" s="345">
        <f>SUBTOTAL(9,G16:G198)</f>
        <v>0</v>
      </c>
      <c r="H199" s="344" t="s">
        <v>25</v>
      </c>
      <c r="I199" s="345">
        <f>SUBTOTAL(9,I16:I198)</f>
        <v>0</v>
      </c>
      <c r="J199" s="344" t="s">
        <v>25</v>
      </c>
      <c r="K199" s="346">
        <f>SUBTOTAL(9,K161:K198)</f>
        <v>0</v>
      </c>
      <c r="L199" s="344" t="s">
        <v>25</v>
      </c>
      <c r="M199" s="345">
        <f>SUBTOTAL(9,M16:M198)</f>
        <v>0</v>
      </c>
      <c r="N199" s="344" t="s">
        <v>25</v>
      </c>
      <c r="O199" s="345">
        <f>SUBTOTAL(9,O16:O198)</f>
        <v>0</v>
      </c>
      <c r="P199" s="347"/>
      <c r="Q199" s="348">
        <f>SUBTOTAL(9,Q16:Q198)</f>
        <v>0</v>
      </c>
    </row>
    <row r="200" spans="2:17" x14ac:dyDescent="0.35">
      <c r="B200" s="254"/>
      <c r="C200" s="254"/>
      <c r="D200" s="254"/>
      <c r="E200" s="254"/>
      <c r="F200" s="254"/>
      <c r="G200" s="254"/>
      <c r="H200" s="254"/>
      <c r="I200" s="254"/>
      <c r="J200" s="254"/>
      <c r="K200" s="254"/>
      <c r="L200" s="254"/>
      <c r="M200" s="254"/>
      <c r="N200" s="254"/>
      <c r="O200" s="254"/>
      <c r="P200" s="254"/>
      <c r="Q200" s="349" t="s">
        <v>21404</v>
      </c>
    </row>
    <row r="201" spans="2:17" x14ac:dyDescent="0.35">
      <c r="B201" s="1"/>
      <c r="C201" s="78" t="s">
        <v>21402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21432</v>
      </c>
      <c r="C206" s="106" t="s">
        <v>21400</v>
      </c>
      <c r="D206" s="1"/>
      <c r="E206" s="1"/>
      <c r="F206" s="1"/>
      <c r="G206" s="1"/>
      <c r="H206" s="1"/>
      <c r="I206" s="1"/>
      <c r="J206" s="1"/>
      <c r="K206" s="1"/>
      <c r="L206" s="1"/>
      <c r="M206" s="1"/>
      <c r="N206" s="1"/>
      <c r="O206" s="1"/>
      <c r="P206" s="1"/>
      <c r="Q206" s="1"/>
    </row>
  </sheetData>
  <mergeCells count="8">
    <mergeCell ref="J6:K6"/>
    <mergeCell ref="J7:K7"/>
    <mergeCell ref="A3:B3"/>
    <mergeCell ref="D3:G3"/>
    <mergeCell ref="J3:K3"/>
    <mergeCell ref="A4:B4"/>
    <mergeCell ref="J4:K4"/>
    <mergeCell ref="J5:K5"/>
  </mergeCells>
  <dataValidations count="1">
    <dataValidation type="list" allowBlank="1" showInputMessage="1" showErrorMessage="1" sqref="C16:C190" xr:uid="{3E2BAF5E-229E-4740-BE60-CDDD41EBF788}">
      <formula1>$C$205:$C207</formula1>
    </dataValidation>
  </dataValidations>
  <hyperlinks>
    <hyperlink ref="D3" r:id="rId1" display="datamateapp@gmail.com" xr:uid="{E0AB4E03-3C25-4DB8-96F3-8E6109DEF053}"/>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63873" r:id="rId4" name="Button 1">
              <controlPr defaultSize="0" print="0" autoFill="0" autoPict="0">
                <anchor moveWithCells="1" sizeWithCells="1">
                  <from>
                    <xdr:col>17</xdr:col>
                    <xdr:colOff>0</xdr:colOff>
                    <xdr:row>0</xdr:row>
                    <xdr:rowOff>0</xdr:rowOff>
                  </from>
                  <to>
                    <xdr:col>19</xdr:col>
                    <xdr:colOff>50800</xdr:colOff>
                    <xdr:row>2</xdr:row>
                    <xdr:rowOff>19050</xdr:rowOff>
                  </to>
                </anchor>
              </controlPr>
            </control>
          </mc:Choice>
        </mc:AlternateContent>
        <mc:AlternateContent xmlns:mc="http://schemas.openxmlformats.org/markup-compatibility/2006">
          <mc:Choice Requires="x14">
            <control shapeId="463874" r:id="rId5" name="Button 2">
              <controlPr defaultSize="0" print="0" autoFill="0" autoPict="0" macro="[0]!ClearContentsAndDropdowns">
                <anchor moveWithCells="1" sizeWithCells="1">
                  <from>
                    <xdr:col>17</xdr:col>
                    <xdr:colOff>0</xdr:colOff>
                    <xdr:row>2</xdr:row>
                    <xdr:rowOff>184150</xdr:rowOff>
                  </from>
                  <to>
                    <xdr:col>19</xdr:col>
                    <xdr:colOff>50800</xdr:colOff>
                    <xdr:row>5</xdr:row>
                    <xdr:rowOff>25400</xdr:rowOff>
                  </to>
                </anchor>
              </controlPr>
            </control>
          </mc:Choice>
        </mc:AlternateContent>
        <mc:AlternateContent xmlns:mc="http://schemas.openxmlformats.org/markup-compatibility/2006">
          <mc:Choice Requires="x14">
            <control shapeId="463875"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63500</xdr:rowOff>
                  </to>
                </anchor>
              </controlPr>
            </control>
          </mc:Choice>
        </mc:AlternateContent>
        <mc:AlternateContent xmlns:mc="http://schemas.openxmlformats.org/markup-compatibility/2006">
          <mc:Choice Requires="x14">
            <control shapeId="463876"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76200</xdr:rowOff>
                  </to>
                </anchor>
              </controlPr>
            </control>
          </mc:Choice>
        </mc:AlternateContent>
        <mc:AlternateContent xmlns:mc="http://schemas.openxmlformats.org/markup-compatibility/2006">
          <mc:Choice Requires="x14">
            <control shapeId="463877" r:id="rId8" name="Button 5">
              <controlPr defaultSize="0" print="0" autoFill="0" autoPict="0" macro="[0]!Dashboard">
                <anchor moveWithCells="1" sizeWithCells="1">
                  <from>
                    <xdr:col>17</xdr:col>
                    <xdr:colOff>0</xdr:colOff>
                    <xdr:row>11</xdr:row>
                    <xdr:rowOff>12700</xdr:rowOff>
                  </from>
                  <to>
                    <xdr:col>19</xdr:col>
                    <xdr:colOff>50800</xdr:colOff>
                    <xdr:row>13</xdr:row>
                    <xdr:rowOff>31750</xdr:rowOff>
                  </to>
                </anchor>
              </controlPr>
            </control>
          </mc:Choice>
        </mc:AlternateContent>
        <mc:AlternateContent xmlns:mc="http://schemas.openxmlformats.org/markup-compatibility/2006">
          <mc:Choice Requires="x14">
            <control shapeId="463878" r:id="rId9" name="Button 6">
              <controlPr defaultSize="0" print="0" autoFill="0" autoPict="0" macro="[0]!ViewLog">
                <anchor moveWithCells="1" sizeWithCells="1">
                  <from>
                    <xdr:col>17</xdr:col>
                    <xdr:colOff>0</xdr:colOff>
                    <xdr:row>14</xdr:row>
                    <xdr:rowOff>12700</xdr:rowOff>
                  </from>
                  <to>
                    <xdr:col>19</xdr:col>
                    <xdr:colOff>50800</xdr:colOff>
                    <xdr:row>16</xdr:row>
                    <xdr:rowOff>31750</xdr:rowOff>
                  </to>
                </anchor>
              </controlPr>
            </control>
          </mc:Choice>
        </mc:AlternateContent>
        <mc:AlternateContent xmlns:mc="http://schemas.openxmlformats.org/markup-compatibility/2006">
          <mc:Choice Requires="x14">
            <control shapeId="463879" r:id="rId10" name="Button 7">
              <controlPr defaultSize="0" print="0" autoFill="0" autoPict="0" macro="[0]!ViewView_Print">
                <anchor moveWithCells="1" sizeWithCells="1">
                  <from>
                    <xdr:col>17</xdr:col>
                    <xdr:colOff>0</xdr:colOff>
                    <xdr:row>17</xdr:row>
                    <xdr:rowOff>19050</xdr:rowOff>
                  </from>
                  <to>
                    <xdr:col>19</xdr:col>
                    <xdr:colOff>50800</xdr:colOff>
                    <xdr:row>19</xdr:row>
                    <xdr:rowOff>38100</xdr:rowOff>
                  </to>
                </anchor>
              </controlPr>
            </control>
          </mc:Choice>
        </mc:AlternateContent>
        <mc:AlternateContent xmlns:mc="http://schemas.openxmlformats.org/markup-compatibility/2006">
          <mc:Choice Requires="x14">
            <control shapeId="463880" r:id="rId11" name="Button 8">
              <controlPr defaultSize="0" print="0" autoFill="0" autoPict="0" macro="[0]!OpenDataMateAppPage">
                <anchor moveWithCells="1" sizeWithCells="1">
                  <from>
                    <xdr:col>17</xdr:col>
                    <xdr:colOff>0</xdr:colOff>
                    <xdr:row>20</xdr:row>
                    <xdr:rowOff>25400</xdr:rowOff>
                  </from>
                  <to>
                    <xdr:col>19</xdr:col>
                    <xdr:colOff>50800</xdr:colOff>
                    <xdr:row>22</xdr:row>
                    <xdr:rowOff>44450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F1EB0-CE74-4C04-9C4F-966F308B1929}">
  <sheetPr codeName="Sheet113"/>
  <dimension ref="A1:Q200"/>
  <sheetViews>
    <sheetView zoomScale="75" zoomScaleNormal="75" workbookViewId="0">
      <selection activeCell="B2" sqref="B2:L2"/>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7" t="str">
        <f>DIV_05View_Print!B2</f>
        <v>AREA/FLOOR/ZONE- Page- SUB COST- MAT COST- LAB COST- EQUIP COST- Total Cost- Date- Description- Log 10- Log 11- Log 12</v>
      </c>
      <c r="B1" s="57"/>
      <c r="C1" s="57"/>
      <c r="D1" s="57"/>
      <c r="E1" s="57"/>
      <c r="F1" s="57"/>
      <c r="G1" s="57"/>
      <c r="H1" s="57"/>
      <c r="I1" s="57"/>
      <c r="J1" s="57"/>
      <c r="K1" s="57"/>
      <c r="L1" s="57"/>
      <c r="M1" s="57" t="str">
        <f>DIV_05Input!M1</f>
        <v>Update 1</v>
      </c>
      <c r="N1" s="57" t="str">
        <f>DIV_05Input!N1</f>
        <v>Update 2</v>
      </c>
      <c r="O1" s="57" t="str">
        <f>DIV_05Input!O1</f>
        <v>Update 3</v>
      </c>
      <c r="P1" s="57"/>
      <c r="Q1" s="57"/>
    </row>
    <row r="2" spans="1:17" x14ac:dyDescent="0.35">
      <c r="A2" s="57"/>
      <c r="B2" s="436" t="s">
        <v>21420</v>
      </c>
      <c r="C2" s="436"/>
      <c r="D2" s="436"/>
      <c r="E2" s="436"/>
      <c r="F2" s="436"/>
      <c r="G2" s="436"/>
      <c r="H2" s="436"/>
      <c r="I2" s="436"/>
      <c r="J2" s="436"/>
      <c r="K2" s="436"/>
      <c r="L2" s="436"/>
      <c r="M2" s="1"/>
      <c r="N2" s="1"/>
      <c r="O2" s="1"/>
      <c r="P2" s="57"/>
      <c r="Q2" s="57"/>
    </row>
    <row r="3" spans="1:17" ht="15" thickBot="1" x14ac:dyDescent="0.4">
      <c r="A3" s="453" t="e">
        <f>VLOOKUP(A1,DIV_05Data!$A$1:$DZU$1000000,36,FALSE)</f>
        <v>#N/A</v>
      </c>
      <c r="B3" s="425"/>
      <c r="C3" s="255" t="e">
        <f>VLOOKUP(A1,DIV_05Data!$A$1:$DZU$1000000,38,FALSE)</f>
        <v>#N/A</v>
      </c>
      <c r="D3" s="447" t="e">
        <f>VLOOKUP(A1,DIV_05Data!$A$1:$DZU$1000000,39,FALSE)</f>
        <v>#N/A</v>
      </c>
      <c r="E3" s="448"/>
      <c r="F3" s="448"/>
      <c r="G3" s="448"/>
      <c r="H3" s="111" t="e">
        <f>VLOOKUP(A1,DIV_05Data!$A$1:$DZU$1000000,43,FALSE)</f>
        <v>#N/A</v>
      </c>
      <c r="I3" s="111" t="e">
        <f>VLOOKUP(A1,DIV_05Data!$A$1:$DZU$1000000,44,FALSE)</f>
        <v>#N/A</v>
      </c>
      <c r="J3" s="449" t="e">
        <f>VLOOKUP(A1,DIV_05Data!$A$1:$DZU$1000000,45,FALSE)</f>
        <v>#N/A</v>
      </c>
      <c r="K3" s="450"/>
      <c r="L3" s="100" t="e">
        <f>VLOOKUP(A1,DIV_05Data!$A$1:$DZU$1000000,47,FALSE)</f>
        <v>#N/A</v>
      </c>
      <c r="M3" s="104" t="e">
        <f>VLOOKUP(A1,DIV_05Data!$A$1:$DZU$1000000,48,FALSE)</f>
        <v>#N/A</v>
      </c>
      <c r="N3" s="111" t="e">
        <f>VLOOKUP(A1,DIV_05Data!$A$1:$DZU$1000000,49,FALSE)</f>
        <v>#N/A</v>
      </c>
      <c r="O3" s="104" t="e">
        <f>VLOOKUP(A1,DIV_05Data!$A$1:$DZU$1000000,50,FALSE)</f>
        <v>#N/A</v>
      </c>
      <c r="P3" s="256" t="e">
        <f>VLOOKUP(A1,DIV_05Data!$A$1:$DZU$1000000,51,FALSE)</f>
        <v>#N/A</v>
      </c>
      <c r="Q3" s="257" t="e">
        <f>VLOOKUP(A1,DIV_05Data!$A$1:$DZU$1000000,52,FALSE)</f>
        <v>#N/A</v>
      </c>
    </row>
    <row r="4" spans="1:17" ht="15" thickBot="1" x14ac:dyDescent="0.4">
      <c r="A4" s="454" t="e">
        <f>VLOOKUP(A1,DIV_05Data!$A$1:$DZU$1000000,53,FALSE)</f>
        <v>#N/A</v>
      </c>
      <c r="B4" s="452"/>
      <c r="C4" s="79" t="e">
        <f>VLOOKUP(A1,DIV_05Data!$A$1:$DZU$1000000,55,FALSE)</f>
        <v>#N/A</v>
      </c>
      <c r="D4" s="6" t="e">
        <f>VLOOKUP(A1,DIV_05Data!$A$1:$DZU$1000000,56,FALSE)</f>
        <v>#N/A</v>
      </c>
      <c r="E4" s="5" t="e">
        <f>VLOOKUP(A1,DIV_05Data!$A$1:$DZU$1000000,57,FALSE)</f>
        <v>#N/A</v>
      </c>
      <c r="F4" s="61" t="e">
        <f>VLOOKUP(A1,DIV_05Data!$A$1:$DZU$1000000,58,FALSE)</f>
        <v>#N/A</v>
      </c>
      <c r="G4" s="8" t="e">
        <f>VLOOKUP(A1,DIV_05Data!$A$1:$DZU$1000000,59,FALSE)</f>
        <v>#N/A</v>
      </c>
      <c r="H4" s="6" t="e">
        <f>VLOOKUP(A1,DIV_05Data!$A$1:$DZU$1000000,60,FALSE)</f>
        <v>#N/A</v>
      </c>
      <c r="I4" s="6" t="e">
        <f>VLOOKUP(A1,DIV_05Data!$A$1:$DZU$1000000,61,FALSE)</f>
        <v>#N/A</v>
      </c>
      <c r="J4" s="443" t="e">
        <f>VLOOKUP(A1,DIV_05Data!$A$1:$DZU$1000000,62,FALSE)</f>
        <v>#N/A</v>
      </c>
      <c r="K4" s="444"/>
      <c r="L4" s="102" t="e">
        <f>VLOOKUP(A1,DIV_05Data!$A$1:$DZU$1000000,64,FALSE)</f>
        <v>#N/A</v>
      </c>
      <c r="M4" s="9" t="e">
        <f>VLOOKUP(A1,DIV_05Data!$A$1:$DZU$1000000,65,FALSE)</f>
        <v>#N/A</v>
      </c>
      <c r="N4" s="31" t="e">
        <f>VLOOKUP(A1,DIV_05Data!$A$1:$DZU$1000000,66,FALSE)</f>
        <v>#N/A</v>
      </c>
      <c r="O4" s="98" t="e">
        <f>VLOOKUP(A1,DIV_05Data!$A$1:$DZU$1000000,67,FALSE)</f>
        <v>#N/A</v>
      </c>
      <c r="P4" s="7" t="e">
        <f>VLOOKUP(A1,DIV_05Data!$A$1:$DZU$1000000,68,FALSE)</f>
        <v>#N/A</v>
      </c>
      <c r="Q4" s="258" t="e">
        <f>VLOOKUP(A1,DIV_05Data!$A$1:$DZU$1000000,69,FALSE)</f>
        <v>#N/A</v>
      </c>
    </row>
    <row r="5" spans="1:17" ht="15" thickBot="1" x14ac:dyDescent="0.4">
      <c r="A5" s="259" t="e">
        <f>VLOOKUP(A1,DIV_05Data!$A$1:$DZU$1000000,70,FALSE)</f>
        <v>#N/A</v>
      </c>
      <c r="B5" s="4" t="e">
        <f>VLOOKUP(A1,DIV_05Data!$A$1:$DZU$1000000,71,FALSE)</f>
        <v>#N/A</v>
      </c>
      <c r="C5" s="5" t="e">
        <f>VLOOKUP(A1,DIV_05Data!$A$1:$DZU$1000000,72,FALSE)</f>
        <v>#N/A</v>
      </c>
      <c r="D5" s="6" t="e">
        <f>VLOOKUP(A1,DIV_05Data!$A$1:$DZU$1000000,73,FALSE)</f>
        <v>#N/A</v>
      </c>
      <c r="E5" s="7" t="e">
        <f>VLOOKUP(A1,DIV_05Data!$A$1:$DZU$1000000,74,FALSE)</f>
        <v>#N/A</v>
      </c>
      <c r="F5" s="6" t="e">
        <f>VLOOKUP(A1,DIV_05Data!$A$1:$DZU$1000000,75,FALSE)</f>
        <v>#N/A</v>
      </c>
      <c r="G5" s="8" t="e">
        <f>VLOOKUP(A1,DIV_05Data!$A$1:$DZU$1000000,76,FALSE)</f>
        <v>#N/A</v>
      </c>
      <c r="H5" s="6" t="e">
        <f>VLOOKUP(A1,DIV_05Data!$A$1:$DZU$1000000,77,FALSE)</f>
        <v>#N/A</v>
      </c>
      <c r="I5" s="6" t="e">
        <f>VLOOKUP(A1,DIV_05Data!$A$1:$DZU$1000000,78,FALSE)</f>
        <v>#N/A</v>
      </c>
      <c r="J5" s="443" t="e">
        <f>VLOOKUP(A1,DIV_05Data!$A$1:$DZU$1000000,79,FALSE)</f>
        <v>#N/A</v>
      </c>
      <c r="K5" s="444"/>
      <c r="L5" s="11" t="e">
        <f>VLOOKUP(A1,DIV_05Data!$A$1:$DZU$1000000,81,FALSE)</f>
        <v>#N/A</v>
      </c>
      <c r="M5" s="91" t="e">
        <f>VLOOKUP(A1,DIV_05Data!$A$1:$DZU$1000000,82,FALSE)</f>
        <v>#N/A</v>
      </c>
      <c r="N5" s="31" t="e">
        <f>VLOOKUP(A1,DIV_05Data!$A$1:$DZU$1000000,83,FALSE)</f>
        <v>#N/A</v>
      </c>
      <c r="O5" s="96" t="e">
        <f>VLOOKUP(A1,DIV_05Data!$A$1:$DZU$1000000,84,FALSE)</f>
        <v>#N/A</v>
      </c>
      <c r="P5" s="86" t="e">
        <f>VLOOKUP(A1,DIV_05Data!$A$1:$DZU$1000000,85,FALSE)</f>
        <v>#N/A</v>
      </c>
      <c r="Q5" s="260" t="e">
        <f>VLOOKUP(A1,DIV_05Data!$A$1:$DZU$1000000,86,FALSE)</f>
        <v>#N/A</v>
      </c>
    </row>
    <row r="6" spans="1:17" ht="15" thickBot="1" x14ac:dyDescent="0.4">
      <c r="A6" s="259" t="e">
        <f>VLOOKUP(A1,DIV_05Data!$A$1:$DZU$1000000,87,FALSE)</f>
        <v>#N/A</v>
      </c>
      <c r="B6" s="4" t="e">
        <f>VLOOKUP(A1,DIV_05Data!$A$1:$DZU$1000000,88,FALSE)</f>
        <v>#N/A</v>
      </c>
      <c r="C6" s="5" t="e">
        <f>VLOOKUP(A1,DIV_05Data!$A$1:$DZU$1000000,89,FALSE)</f>
        <v>#N/A</v>
      </c>
      <c r="D6" s="6" t="e">
        <f>VLOOKUP(A1,DIV_05Data!$A$1:$DZU$1000000,90,FALSE)</f>
        <v>#N/A</v>
      </c>
      <c r="E6" s="7" t="e">
        <f>VLOOKUP(A1,DIV_05Data!$A$1:$DZU$1000000,91,FALSE)</f>
        <v>#N/A</v>
      </c>
      <c r="F6" s="6" t="e">
        <f>VLOOKUP(A1,DIV_05Data!$A$1:$DZU$1000000,92,FALSE)</f>
        <v>#N/A</v>
      </c>
      <c r="G6" s="10" t="e">
        <f>VLOOKUP(A1,DIV_05Data!$A$1:$DZU$1000000,93,FALSE)</f>
        <v>#N/A</v>
      </c>
      <c r="H6" s="12" t="e">
        <f>VLOOKUP(A1,DIV_05Data!$A$1:$DZU$1000000,94,FALSE)</f>
        <v>#N/A</v>
      </c>
      <c r="I6" s="13" t="e">
        <f>VLOOKUP(A1,DIV_05Data!$A$1:$DZU$1000000,95,FALSE)</f>
        <v>#N/A</v>
      </c>
      <c r="J6" s="445" t="e">
        <f>VLOOKUP(A1,DIV_05Data!$A$1:$DZU$1000000,96,FALSE)</f>
        <v>#N/A</v>
      </c>
      <c r="K6" s="444"/>
      <c r="L6" s="11" t="e">
        <f>VLOOKUP(A1,DIV_05Data!$A$1:$DZU$1000000,98,FALSE)</f>
        <v>#N/A</v>
      </c>
      <c r="M6" s="9" t="e">
        <f>VLOOKUP(A1,DIV_05Data!$A$1:$DZU$1000000,99,FALSE)</f>
        <v>#N/A</v>
      </c>
      <c r="N6" s="31" t="e">
        <f>VLOOKUP(A1,DIV_05Data!$A$1:$DZU$1000000,100,FALSE)</f>
        <v>#N/A</v>
      </c>
      <c r="O6" s="97" t="e">
        <f>VLOOKUP(A1,DIV_05Data!$A$1:$DZU$1000000,101,FALSE)</f>
        <v>#N/A</v>
      </c>
      <c r="P6" s="7" t="e">
        <f>VLOOKUP(A1,DIV_05Data!$A$1:$DZU$1000000,102,FALSE)</f>
        <v>#N/A</v>
      </c>
      <c r="Q6" s="260" t="e">
        <f>VLOOKUP(A1,DIV_05Data!$A$1:$DZU$1000000,103,FALSE)</f>
        <v>#N/A</v>
      </c>
    </row>
    <row r="7" spans="1:17" x14ac:dyDescent="0.35">
      <c r="A7" s="259" t="e">
        <f>VLOOKUP(A1,DIV_05Data!$A$1:$DZU$1000000,104,FALSE)</f>
        <v>#N/A</v>
      </c>
      <c r="B7" s="4" t="e">
        <f>VLOOKUP(A1,DIV_05Data!$A$1:$DZU$1000000,105,FALSE)</f>
        <v>#N/A</v>
      </c>
      <c r="C7" s="84" t="e">
        <f>VLOOKUP(A1,DIV_05Data!$A$1:$DZU$1000000,106,FALSE)</f>
        <v>#N/A</v>
      </c>
      <c r="D7" s="6" t="e">
        <f>VLOOKUP(A1,DIV_05Data!$A$1:$DZU$1000000,107,FALSE)</f>
        <v>#N/A</v>
      </c>
      <c r="E7" s="7" t="e">
        <f>VLOOKUP(A1,DIV_05Data!$A$1:$DZU$1000000,108,FALSE)</f>
        <v>#N/A</v>
      </c>
      <c r="F7" s="6" t="e">
        <f>VLOOKUP(A1,DIV_05Data!$A$1:$DZU$1000000,109,FALSE)</f>
        <v>#N/A</v>
      </c>
      <c r="G7" s="7" t="e">
        <f>VLOOKUP(A1,DIV_05Data!$A$1:$DZU$1000000,110,FALSE)</f>
        <v>#N/A</v>
      </c>
      <c r="H7" s="14" t="e">
        <f>VLOOKUP(A1,DIV_05Data!$A$1:$DZU$1000000,111,FALSE)</f>
        <v>#N/A</v>
      </c>
      <c r="I7" s="6" t="e">
        <f>VLOOKUP(A1,DIV_05Data!$A$1:$DZU$1000000,112,FALSE)</f>
        <v>#N/A</v>
      </c>
      <c r="J7" s="443" t="e">
        <f>VLOOKUP(A1,DIV_05Data!$A$1:$DZU$1000000,113,FALSE)</f>
        <v>#N/A</v>
      </c>
      <c r="K7" s="444"/>
      <c r="L7" s="11" t="e">
        <f>VLOOKUP(A1,DIV_05Data!$A$1:$DZU$1000000,115,FALSE)</f>
        <v>#N/A</v>
      </c>
      <c r="M7" s="6" t="e">
        <f>VLOOKUP(A1,DIV_05Data!$A$1:$DZU$1000000,116,FALSE)</f>
        <v>#N/A</v>
      </c>
      <c r="N7" s="31" t="e">
        <f>VLOOKUP(A1,DIV_05Data!$A$1:$DZU$1000000,117,FALSE)</f>
        <v>#N/A</v>
      </c>
      <c r="O7" s="96" t="e">
        <f>VLOOKUP(A1,DIV_05Data!$A$1:$DZU$1000000,118,FALSE)</f>
        <v>#N/A</v>
      </c>
      <c r="P7" s="90" t="e">
        <f>VLOOKUP(A1,DIV_05Data!$A$1:$DZU$1000000,119,FALSE)</f>
        <v>#N/A</v>
      </c>
      <c r="Q7" s="261" t="e">
        <f>VLOOKUP(A1,DIV_05Data!$A$1:$DZU$1000000,120,FALSE)</f>
        <v>#N/A</v>
      </c>
    </row>
    <row r="8" spans="1:17" ht="15" thickBot="1" x14ac:dyDescent="0.4">
      <c r="A8" s="259" t="e">
        <f>VLOOKUP(A1,DIV_05Data!$A$1:$DZU$1000000,121,FALSE)</f>
        <v>#N/A</v>
      </c>
      <c r="B8" s="4" t="e">
        <f>VLOOKUP(A1,DIV_05Data!$A$1:$DZU$1000000,122,FALSE)</f>
        <v>#N/A</v>
      </c>
      <c r="C8" s="86" t="e">
        <f>VLOOKUP(A1,DIV_05Data!$A$1:$DZU$1000000,123,FALSE)</f>
        <v>#N/A</v>
      </c>
      <c r="D8" s="6" t="e">
        <f>VLOOKUP(A1,DIV_05Data!$A$1:$DZU$1000000,124,FALSE)</f>
        <v>#N/A</v>
      </c>
      <c r="E8" s="7" t="e">
        <f>VLOOKUP(A1,DIV_05Data!$A$1:$DZU$1000000,125,FALSE)</f>
        <v>#N/A</v>
      </c>
      <c r="F8" s="6" t="e">
        <f>VLOOKUP(A1,DIV_05Data!$A$1:$DZU$1000000,126,FALSE)</f>
        <v>#N/A</v>
      </c>
      <c r="G8" s="6" t="e">
        <f>VLOOKUP(A1,DIV_05Data!$A$1:$DZU$1000000,127,FALSE)</f>
        <v>#N/A</v>
      </c>
      <c r="H8" s="6" t="e">
        <f>VLOOKUP(A1,DIV_05Data!$A$1:$DZU$1000000,128,FALSE)</f>
        <v>#N/A</v>
      </c>
      <c r="I8" s="6" t="e">
        <f>VLOOKUP(A1,DIV_05Data!$A$1:$DZU$1000000,129,FALSE)</f>
        <v>#N/A</v>
      </c>
      <c r="J8" s="6" t="e">
        <f>VLOOKUP(A1,DIV_05Data!$A$1:$DZU$1000000,130,FALSE)</f>
        <v>#N/A</v>
      </c>
      <c r="K8" s="6" t="e">
        <f>VLOOKUP(A1,DIV_05Data!$A$1:$DZU$1000000,131,FALSE)</f>
        <v>#N/A</v>
      </c>
      <c r="L8" s="83" t="e">
        <f>VLOOKUP(A1,DIV_05Data!$A$1:$DZU$1000000,132,FALSE)</f>
        <v>#N/A</v>
      </c>
      <c r="M8" s="6" t="e">
        <f>VLOOKUP(A1,DIV_05Data!$A$1:$DZU$1000000,133,FALSE)</f>
        <v>#N/A</v>
      </c>
      <c r="N8" s="6" t="e">
        <f>VLOOKUP(A1,DIV_05Data!$A$1:$DZU$1000000,134,FALSE)</f>
        <v>#N/A</v>
      </c>
      <c r="O8" s="95" t="e">
        <f>VLOOKUP(A1,DIV_05Data!$A$1:$DZU$1000000,135,FALSE)</f>
        <v>#N/A</v>
      </c>
      <c r="P8" s="6" t="e">
        <f>VLOOKUP(A1,DIV_05Data!$A$1:$DZU$1000000,136,FALSE)</f>
        <v>#N/A</v>
      </c>
      <c r="Q8" s="262" t="e">
        <f>VLOOKUP(A1,DIV_05Data!$A$1:$DZU$1000000,137,FALSE)</f>
        <v>#N/A</v>
      </c>
    </row>
    <row r="9" spans="1:17" ht="15" thickBot="1" x14ac:dyDescent="0.4">
      <c r="A9" s="263" t="e">
        <f>VLOOKUP(A1,DIV_05Data!$A$1:$DZU$1000000,138,FALSE)</f>
        <v>#N/A</v>
      </c>
      <c r="B9" s="16" t="e">
        <f>VLOOKUP(A1,DIV_05Data!$A$1:$DZU$1000000,139,FALSE)</f>
        <v>#N/A</v>
      </c>
      <c r="C9" s="17" t="e">
        <f>VLOOKUP(A1,DIV_05Data!$A$1:$DZU$1000000,140,FALSE)</f>
        <v>#N/A</v>
      </c>
      <c r="D9" s="18" t="e">
        <f>VLOOKUP(A1,DIV_05Data!$A$1:$DZU$1000000,141,FALSE)</f>
        <v>#N/A</v>
      </c>
      <c r="E9" s="19" t="e">
        <f>VLOOKUP(A1,DIV_05Data!$A$1:$DZU$1000000,142,FALSE)</f>
        <v>#N/A</v>
      </c>
      <c r="F9" s="16" t="e">
        <f>VLOOKUP(A1,DIV_05Data!$A$1:$DZU$1000000,143,FALSE)</f>
        <v>#N/A</v>
      </c>
      <c r="G9" s="20" t="e">
        <f>VLOOKUP(A1,DIV_05Data!$A$1:$DZU$1000000,144,FALSE)</f>
        <v>#N/A</v>
      </c>
      <c r="H9" s="16" t="e">
        <f>VLOOKUP(A1,DIV_05Data!$A$1:$DZU$1000000,145,FALSE)</f>
        <v>#N/A</v>
      </c>
      <c r="I9" s="20" t="e">
        <f>VLOOKUP(A1,DIV_05Data!$A$1:$DZU$1000000,146,FALSE)</f>
        <v>#N/A</v>
      </c>
      <c r="J9" s="21" t="e">
        <f>VLOOKUP(A1,DIV_05Data!$A$1:$DZU$1000000,147,FALSE)</f>
        <v>#N/A</v>
      </c>
      <c r="K9" s="16" t="e">
        <f>VLOOKUP(A1,DIV_05Data!$A$1:$DZU$1000000,148,FALSE)</f>
        <v>#N/A</v>
      </c>
      <c r="L9" s="21" t="e">
        <f>VLOOKUP(A1,DIV_05Data!$A$1:$DZU$1000000,149,FALSE)</f>
        <v>#N/A</v>
      </c>
      <c r="M9" s="20" t="e">
        <f>VLOOKUP(A1,DIV_05Data!$A$1:$DZU$1000000,150,FALSE)</f>
        <v>#N/A</v>
      </c>
      <c r="N9" s="16" t="e">
        <f>VLOOKUP(A1,DIV_05Data!$A$1:$DZU$1000000,151,FALSE)</f>
        <v>#N/A</v>
      </c>
      <c r="O9" s="20" t="e">
        <f>VLOOKUP(A1,DIV_05Data!$A$1:$DZU$1000000,152,FALSE)</f>
        <v>#N/A</v>
      </c>
      <c r="P9" s="18" t="e">
        <f>VLOOKUP(A1,DIV_05Data!$A$1:$DZU$1000000,153,FALSE)</f>
        <v>#N/A</v>
      </c>
      <c r="Q9" s="264" t="e">
        <f>VLOOKUP(A1,DIV_05Data!$A$1:$DZU$1000000,154,FALSE)</f>
        <v>#N/A</v>
      </c>
    </row>
    <row r="10" spans="1:17" ht="15" thickBot="1" x14ac:dyDescent="0.4">
      <c r="A10" s="265" t="e">
        <f>VLOOKUP(A1,DIV_05Data!$A$1:$DZU$1000000,155,FALSE)</f>
        <v>#N/A</v>
      </c>
      <c r="B10" s="23" t="e">
        <f>VLOOKUP(A1,DIV_05Data!$A$1:$DZU$1000000,156,FALSE)</f>
        <v>#N/A</v>
      </c>
      <c r="C10" s="24" t="e">
        <f>VLOOKUP(A1,DIV_05Data!$A$1:$DZU$1000000,157,FALSE)</f>
        <v>#N/A</v>
      </c>
      <c r="D10" s="25" t="e">
        <f>VLOOKUP(A1,DIV_05Data!$A$1:$DZU$1000000,158,FALSE)</f>
        <v>#N/A</v>
      </c>
      <c r="E10" s="26" t="e">
        <f>VLOOKUP(A1,DIV_05Data!$A$1:$DZU$1000000,159,FALSE)</f>
        <v>#N/A</v>
      </c>
      <c r="F10" s="27" t="e">
        <f>VLOOKUP(A1,DIV_05Data!$A$1:$DZU$1000000,160,FALSE)</f>
        <v>#N/A</v>
      </c>
      <c r="G10" s="28" t="e">
        <f>VLOOKUP(A1,DIV_05Data!$A$1:$DZU$1000000,161,FALSE)</f>
        <v>#N/A</v>
      </c>
      <c r="H10" s="27" t="e">
        <f>VLOOKUP(A1,DIV_05Data!$A$1:$DZU$1000000,162,FALSE)</f>
        <v>#N/A</v>
      </c>
      <c r="I10" s="28" t="e">
        <f>VLOOKUP(A1,DIV_05Data!$A$1:$DZU$1000000,163,FALSE)</f>
        <v>#N/A</v>
      </c>
      <c r="J10" s="27" t="e">
        <f>VLOOKUP(A1,DIV_05Data!$A$1:$DZU$1000000,164,FALSE)</f>
        <v>#N/A</v>
      </c>
      <c r="K10" s="27" t="e">
        <f>VLOOKUP(A1,DIV_05Data!$A$1:$DZU$1000000,165,FALSE)</f>
        <v>#N/A</v>
      </c>
      <c r="L10" s="27" t="e">
        <f>VLOOKUP(A1,DIV_05Data!$A$1:$DZU$1000000,166,FALSE)</f>
        <v>#N/A</v>
      </c>
      <c r="M10" s="28" t="e">
        <f>VLOOKUP(A1,DIV_05Data!$A$1:$DZU$1000000,167,FALSE)</f>
        <v>#N/A</v>
      </c>
      <c r="N10" s="27" t="e">
        <f>VLOOKUP(A1,DIV_05Data!$A$1:$DZU$1000000,168,FALSE)</f>
        <v>#N/A</v>
      </c>
      <c r="O10" s="28" t="e">
        <f>VLOOKUP(A1,DIV_05Data!$A$1:$DZU$1000000,169,FALSE)</f>
        <v>#N/A</v>
      </c>
      <c r="P10" s="25" t="e">
        <f>VLOOKUP(A1,DIV_05Data!$A$1:$DZU$1000000,170,FALSE)</f>
        <v>#N/A</v>
      </c>
      <c r="Q10" s="266" t="e">
        <f>VLOOKUP(A1,DIV_05Data!$A$1:$DZU$1000000,171,FALSE)</f>
        <v>#N/A</v>
      </c>
    </row>
    <row r="11" spans="1:17" x14ac:dyDescent="0.35">
      <c r="A11" s="265" t="e">
        <f>VLOOKUP(A1,DIV_05Data!$A$1:$DZU$1000000,172,FALSE)</f>
        <v>#N/A</v>
      </c>
      <c r="B11" s="29" t="e">
        <f>VLOOKUP(A1,DIV_05Data!$A$1:$DZU$1000000,173,FALSE)</f>
        <v>#N/A</v>
      </c>
      <c r="C11" s="30" t="e">
        <f>VLOOKUP(A1,DIV_05Data!$A$1:$DZU$1000000,174,FALSE)</f>
        <v>#N/A</v>
      </c>
      <c r="D11" s="31" t="e">
        <f>VLOOKUP(A1,DIV_05Data!$A$1:$DZU$1000000,175,FALSE)</f>
        <v>#N/A</v>
      </c>
      <c r="E11" s="32" t="e">
        <f>VLOOKUP(A1,DIV_05Data!$A$1:$DZU$1000000,176,FALSE)</f>
        <v>#N/A</v>
      </c>
      <c r="F11" s="34" t="e">
        <f>VLOOKUP(A1,DIV_05Data!$A$1:$DZU$1000000,177,FALSE)</f>
        <v>#N/A</v>
      </c>
      <c r="G11" s="33" t="e">
        <f>VLOOKUP(A1,DIV_05Data!$A$1:$DZU$1000000,178,FALSE)</f>
        <v>#N/A</v>
      </c>
      <c r="H11" s="34" t="e">
        <f>VLOOKUP(A1,DIV_05Data!$A$1:$DZU$1000000,179,FALSE)</f>
        <v>#N/A</v>
      </c>
      <c r="I11" s="33" t="e">
        <f>VLOOKUP(A1,DIV_05Data!$A$1:$DZU$1000000,180,FALSE)</f>
        <v>#N/A</v>
      </c>
      <c r="J11" s="34" t="e">
        <f>VLOOKUP(A1,DIV_05Data!$A$1:$DZU$1000000,181,FALSE)</f>
        <v>#N/A</v>
      </c>
      <c r="K11" s="34" t="e">
        <f>VLOOKUP(A1,DIV_05Data!$A$1:$DZU$1000000,182,FALSE)</f>
        <v>#N/A</v>
      </c>
      <c r="L11" s="34" t="e">
        <f>VLOOKUP(A1,DIV_05Data!$A$1:$DZU$1000000,183,FALSE)</f>
        <v>#N/A</v>
      </c>
      <c r="M11" s="33" t="e">
        <f>VLOOKUP(A1,DIV_05Data!$A$1:$DZU$1000000,184,FALSE)</f>
        <v>#N/A</v>
      </c>
      <c r="N11" s="34" t="e">
        <f>VLOOKUP(A1,DIV_05Data!$A$1:$DZU$1000000,185,FALSE)</f>
        <v>#N/A</v>
      </c>
      <c r="O11" s="35" t="e">
        <f>VLOOKUP(A1,DIV_05Data!$A$1:$DZU$1000000,186,FALSE)</f>
        <v>#N/A</v>
      </c>
      <c r="P11" s="31" t="e">
        <f>VLOOKUP(A1,DIV_05Data!$A$1:$DZU$1000000,187,FALSE)</f>
        <v>#N/A</v>
      </c>
      <c r="Q11" s="267" t="e">
        <f>VLOOKUP(A1,DIV_05Data!$A$1:$DZU$1000000,188,FALSE)</f>
        <v>#N/A</v>
      </c>
    </row>
    <row r="12" spans="1:17" x14ac:dyDescent="0.35">
      <c r="A12" s="265" t="e">
        <f>VLOOKUP(A1,DIV_05Data!$A$1:$DZU$1000000,189,FALSE)</f>
        <v>#N/A</v>
      </c>
      <c r="B12" s="29" t="e">
        <f>VLOOKUP(A1,DIV_05Data!$A$1:$DZU$1000000,190,FALSE)</f>
        <v>#N/A</v>
      </c>
      <c r="C12" s="30" t="e">
        <f>VLOOKUP(A1,DIV_05Data!$A$1:$DZU$1000000,191,FALSE)</f>
        <v>#N/A</v>
      </c>
      <c r="D12" s="31" t="e">
        <f>VLOOKUP(A1,DIV_05Data!$A$1:$DZU$1000000,192,FALSE)</f>
        <v>#N/A</v>
      </c>
      <c r="E12" s="32" t="e">
        <f>VLOOKUP(A1,DIV_05Data!$A$1:$DZU$1000000,193,FALSE)</f>
        <v>#N/A</v>
      </c>
      <c r="F12" s="34" t="e">
        <f>VLOOKUP(A1,DIV_05Data!$A$1:$DZU$1000000,194,FALSE)</f>
        <v>#N/A</v>
      </c>
      <c r="G12" s="33" t="e">
        <f>VLOOKUP(A1,DIV_05Data!$A$1:$DZU$1000000,195,FALSE)</f>
        <v>#N/A</v>
      </c>
      <c r="H12" s="34" t="e">
        <f>VLOOKUP(A1,DIV_05Data!$A$1:$DZU$1000000,196,FALSE)</f>
        <v>#N/A</v>
      </c>
      <c r="I12" s="33" t="e">
        <f>VLOOKUP(A1,DIV_05Data!$A$1:$DZU$1000000,197,FALSE)</f>
        <v>#N/A</v>
      </c>
      <c r="J12" s="34" t="e">
        <f>VLOOKUP(A1,DIV_05Data!$A$1:$DZU$1000000,198,FALSE)</f>
        <v>#N/A</v>
      </c>
      <c r="K12" s="34" t="e">
        <f>VLOOKUP(A1,DIV_05Data!$A$1:$DZU$1000000,199,FALSE)</f>
        <v>#N/A</v>
      </c>
      <c r="L12" s="34" t="e">
        <f>VLOOKUP(A1,DIV_05Data!$A$1:$DZU$1000000,200,FALSE)</f>
        <v>#N/A</v>
      </c>
      <c r="M12" s="33" t="e">
        <f>VLOOKUP(A1,DIV_05Data!$A$1:$DZU$1000000,201,FALSE)</f>
        <v>#N/A</v>
      </c>
      <c r="N12" s="34" t="e">
        <f>VLOOKUP(A1,DIV_05Data!$A$1:$DZU$1000000,202,FALSE)</f>
        <v>#N/A</v>
      </c>
      <c r="O12" s="35" t="e">
        <f>VLOOKUP(A1,DIV_05Data!$A$1:$DZU$1000000,203,FALSE)</f>
        <v>#N/A</v>
      </c>
      <c r="P12" s="31" t="e">
        <f>VLOOKUP(A1,DIV_05Data!$A$1:$DZU$1000000,204,FALSE)</f>
        <v>#N/A</v>
      </c>
      <c r="Q12" s="267" t="e">
        <f>VLOOKUP(A1,DIV_05Data!$A$1:$DZU$1000000,205,FALSE)</f>
        <v>#N/A</v>
      </c>
    </row>
    <row r="13" spans="1:17" x14ac:dyDescent="0.35">
      <c r="A13" s="265" t="e">
        <f>VLOOKUP(A1,DIV_05Data!$A$1:$DZU$1000000,206,FALSE)</f>
        <v>#N/A</v>
      </c>
      <c r="B13" s="37" t="e">
        <f>VLOOKUP(A1,DIV_05Data!$A$1:$DZU$1000000,207,FALSE)</f>
        <v>#N/A</v>
      </c>
      <c r="C13" s="38" t="e">
        <f>VLOOKUP(A1,DIV_05Data!$A$1:$DZU$1000000,208,FALSE)</f>
        <v>#N/A</v>
      </c>
      <c r="D13" s="31" t="e">
        <f>VLOOKUP(A1,DIV_05Data!$A$1:$DZU$1000000,209,FALSE)</f>
        <v>#N/A</v>
      </c>
      <c r="E13" s="32" t="e">
        <f>VLOOKUP(A1,DIV_05Data!$A$1:$DZU$1000000,210,FALSE)</f>
        <v>#N/A</v>
      </c>
      <c r="F13" s="93" t="e">
        <f>VLOOKUP(A1,DIV_05Data!$A$1:$DZU$1000000,211,FALSE)</f>
        <v>#N/A</v>
      </c>
      <c r="G13" s="33" t="e">
        <f>VLOOKUP(A1,DIV_05Data!$A$1:$DZU$1000000,212,FALSE)</f>
        <v>#N/A</v>
      </c>
      <c r="H13" s="93" t="e">
        <f>VLOOKUP(A1,DIV_05Data!$A$1:$DZU$1000000,213,FALSE)</f>
        <v>#N/A</v>
      </c>
      <c r="I13" s="33" t="e">
        <f>VLOOKUP(A1,DIV_05Data!$A$1:$DZU$1000000,214,FALSE)</f>
        <v>#N/A</v>
      </c>
      <c r="J13" s="34" t="e">
        <f>VLOOKUP(A1,DIV_05Data!$A$1:$DZU$1000000,215,FALSE)</f>
        <v>#N/A</v>
      </c>
      <c r="K13" s="34" t="e">
        <f>VLOOKUP(A1,DIV_05Data!$A$1:$DZU$1000000,216,FALSE)</f>
        <v>#N/A</v>
      </c>
      <c r="L13" s="93" t="e">
        <f>VLOOKUP(A1,DIV_05Data!$A$1:$DZU$1000000,217,FALSE)</f>
        <v>#N/A</v>
      </c>
      <c r="M13" s="33" t="e">
        <f>VLOOKUP(A1,DIV_05Data!$A$1:$DZU$1000000,218,FALSE)</f>
        <v>#N/A</v>
      </c>
      <c r="N13" s="93" t="e">
        <f>VLOOKUP(A1,DIV_05Data!$A$1:$DZU$1000000,219,FALSE)</f>
        <v>#N/A</v>
      </c>
      <c r="O13" s="33" t="e">
        <f>VLOOKUP(A1,DIV_05Data!$A$1:$DZU$1000000,220,FALSE)</f>
        <v>#N/A</v>
      </c>
      <c r="P13" s="116" t="e">
        <f>VLOOKUP(A1,DIV_05Data!$A$1:$DZU$1000000,221,FALSE)</f>
        <v>#N/A</v>
      </c>
      <c r="Q13" s="268" t="e">
        <f>VLOOKUP(A1,DIV_05Data!$A$1:$DZU$1000000,222,FALSE)</f>
        <v>#N/A</v>
      </c>
    </row>
    <row r="14" spans="1:17" x14ac:dyDescent="0.35">
      <c r="A14" s="265" t="e">
        <f>VLOOKUP(A1,DIV_05Data!$A$1:$DZU$1000000,223,FALSE)</f>
        <v>#N/A</v>
      </c>
      <c r="B14" s="37" t="e">
        <f>VLOOKUP(A1,DIV_05Data!$A$1:$DZU$1000000,224,FALSE)</f>
        <v>#N/A</v>
      </c>
      <c r="C14" s="38" t="e">
        <f>VLOOKUP(A1,DIV_05Data!$A$1:$DZU$1000000,225,FALSE)</f>
        <v>#N/A</v>
      </c>
      <c r="D14" s="31" t="e">
        <f>VLOOKUP(A1,DIV_05Data!$A$1:$DZU$1000000,226,FALSE)</f>
        <v>#N/A</v>
      </c>
      <c r="E14" s="32" t="e">
        <f>VLOOKUP(A1,DIV_05Data!$A$1:$DZU$1000000,227,FALSE)</f>
        <v>#N/A</v>
      </c>
      <c r="F14" s="34" t="e">
        <f>VLOOKUP(A1,DIV_05Data!$A$1:$DZU$1000000,228,FALSE)</f>
        <v>#N/A</v>
      </c>
      <c r="G14" s="33" t="e">
        <f>VLOOKUP(A1,DIV_05Data!$A$1:$DZU$1000000,229,FALSE)</f>
        <v>#N/A</v>
      </c>
      <c r="H14" s="34" t="e">
        <f>VLOOKUP(A1,DIV_05Data!$A$1:$DZU$1000000,230,FALSE)</f>
        <v>#N/A</v>
      </c>
      <c r="I14" s="33" t="e">
        <f>VLOOKUP(A1,DIV_05Data!$A$1:$DZU$1000000,231,FALSE)</f>
        <v>#N/A</v>
      </c>
      <c r="J14" s="34" t="e">
        <f>VLOOKUP(A1,DIV_05Data!$A$1:$DZU$1000000,232,FALSE)</f>
        <v>#N/A</v>
      </c>
      <c r="K14" s="34" t="e">
        <f>VLOOKUP(A1,DIV_05Data!$A$1:$DZU$1000000,233,FALSE)</f>
        <v>#N/A</v>
      </c>
      <c r="L14" s="34" t="e">
        <f>VLOOKUP(A1,DIV_05Data!$A$1:$DZU$1000000,234,FALSE)</f>
        <v>#N/A</v>
      </c>
      <c r="M14" s="33" t="e">
        <f>VLOOKUP(A1,DIV_05Data!$A$1:$DZU$1000000,235,FALSE)</f>
        <v>#N/A</v>
      </c>
      <c r="N14" s="34" t="e">
        <f>VLOOKUP(A1,DIV_05Data!$A$1:$DZU$1000000,236,FALSE)</f>
        <v>#N/A</v>
      </c>
      <c r="O14" s="33" t="e">
        <f>VLOOKUP(A1,DIV_05Data!$A$1:$DZU$1000000,237,FALSE)</f>
        <v>#N/A</v>
      </c>
      <c r="P14" s="116" t="e">
        <f>VLOOKUP(A1,DIV_05Data!$A$1:$DZU$1000000,238,FALSE)</f>
        <v>#N/A</v>
      </c>
      <c r="Q14" s="268" t="e">
        <f>VLOOKUP(A1,DIV_05Data!$A$1:$DZU$1000000,239,FALSE)</f>
        <v>#N/A</v>
      </c>
    </row>
    <row r="15" spans="1:17" x14ac:dyDescent="0.35">
      <c r="A15" s="265" t="e">
        <f>VLOOKUP(A1,DIV_05Data!$A$1:$DZU$1000000,240,FALSE)</f>
        <v>#N/A</v>
      </c>
      <c r="B15" s="37" t="e">
        <f>VLOOKUP(A1,DIV_05Data!$A$1:$DZU$1000000,241,FALSE)</f>
        <v>#N/A</v>
      </c>
      <c r="C15" s="38" t="e">
        <f>VLOOKUP(A1,DIV_05Data!$A$1:$DZU$1000000,242,FALSE)</f>
        <v>#N/A</v>
      </c>
      <c r="D15" s="31" t="e">
        <f>VLOOKUP(A1,DIV_05Data!$A$1:$DZU$1000000,243,FALSE)</f>
        <v>#N/A</v>
      </c>
      <c r="E15" s="32" t="e">
        <f>VLOOKUP(A1,DIV_05Data!$A$1:$DZU$1000000,244,FALSE)</f>
        <v>#N/A</v>
      </c>
      <c r="F15" s="34" t="e">
        <f>VLOOKUP(A1,DIV_05Data!$A$1:$DZU$1000000,245,FALSE)</f>
        <v>#N/A</v>
      </c>
      <c r="G15" s="33" t="e">
        <f>VLOOKUP(A1,DIV_05Data!$A$1:$DZU$1000000,246,FALSE)</f>
        <v>#N/A</v>
      </c>
      <c r="H15" s="34" t="e">
        <f>VLOOKUP(A1,DIV_05Data!$A$1:$DZU$1000000,247,FALSE)</f>
        <v>#N/A</v>
      </c>
      <c r="I15" s="33" t="e">
        <f>VLOOKUP(A1,DIV_05Data!$A$1:$DZU$1000000,248,FALSE)</f>
        <v>#N/A</v>
      </c>
      <c r="J15" s="34" t="e">
        <f>VLOOKUP(A1,DIV_05Data!$A$1:$DZU$1000000,249,FALSE)</f>
        <v>#N/A</v>
      </c>
      <c r="K15" s="34" t="e">
        <f>VLOOKUP(A1,DIV_05Data!$A$1:$DZU$1000000,250,FALSE)</f>
        <v>#N/A</v>
      </c>
      <c r="L15" s="34" t="e">
        <f>VLOOKUP(A1,DIV_05Data!$A$1:$DZU$1000000,251,FALSE)</f>
        <v>#N/A</v>
      </c>
      <c r="M15" s="33" t="e">
        <f>VLOOKUP(A1,DIV_05Data!$A$1:$DZU$1000000,252,FALSE)</f>
        <v>#N/A</v>
      </c>
      <c r="N15" s="34" t="e">
        <f>VLOOKUP(A1,DIV_05Data!$A$1:$DZU$1000000,253,FALSE)</f>
        <v>#N/A</v>
      </c>
      <c r="O15" s="33" t="e">
        <f>VLOOKUP(A1,DIV_05Data!$A$1:$DZU$1000000,254,FALSE)</f>
        <v>#N/A</v>
      </c>
      <c r="P15" s="31" t="e">
        <f>VLOOKUP(A1,DIV_05Data!$A$1:$DZU$1000000,255,FALSE)</f>
        <v>#N/A</v>
      </c>
      <c r="Q15" s="268" t="e">
        <f>VLOOKUP(A1,DIV_05Data!$A$1:$DZU$1000000,256,FALSE)</f>
        <v>#N/A</v>
      </c>
    </row>
    <row r="16" spans="1:17" x14ac:dyDescent="0.35">
      <c r="A16" s="265" t="e">
        <f>VLOOKUP(A1,DIV_05Data!$A$1:$DZU$1000000,257,FALSE)</f>
        <v>#N/A</v>
      </c>
      <c r="B16" s="37" t="e">
        <f>VLOOKUP(A1,DIV_05Data!$A$1:$DZU$1000000,258,FALSE)</f>
        <v>#N/A</v>
      </c>
      <c r="C16" s="38" t="e">
        <f>VLOOKUP(A1,DIV_05Data!$A$1:$DZU$1000000,259,FALSE)</f>
        <v>#N/A</v>
      </c>
      <c r="D16" s="31" t="e">
        <f>VLOOKUP(A1,DIV_05Data!$A$1:$DZU$1000000,260,FALSE)</f>
        <v>#N/A</v>
      </c>
      <c r="E16" s="32" t="e">
        <f>VLOOKUP(A1,DIV_05Data!$A$1:$DZU$1000000,261,FALSE)</f>
        <v>#N/A</v>
      </c>
      <c r="F16" s="34" t="e">
        <f>VLOOKUP(A1,DIV_05Data!$A$1:$DZU$1000000,262,FALSE)</f>
        <v>#N/A</v>
      </c>
      <c r="G16" s="33" t="e">
        <f>VLOOKUP(A1,DIV_05Data!$A$1:$DZU$1000000,263,FALSE)</f>
        <v>#N/A</v>
      </c>
      <c r="H16" s="34" t="e">
        <f>VLOOKUP(A1,DIV_05Data!$A$1:$DZU$1000000,264,FALSE)</f>
        <v>#N/A</v>
      </c>
      <c r="I16" s="33" t="e">
        <f>VLOOKUP(A1,DIV_05Data!$A$1:$DZU$1000000,265,FALSE)</f>
        <v>#N/A</v>
      </c>
      <c r="J16" s="34" t="e">
        <f>VLOOKUP(A1,DIV_05Data!$A$1:$DZU$1000000,266,FALSE)</f>
        <v>#N/A</v>
      </c>
      <c r="K16" s="34" t="e">
        <f>VLOOKUP(A1,DIV_05Data!$A$1:$DZU$1000000,267,FALSE)</f>
        <v>#N/A</v>
      </c>
      <c r="L16" s="93" t="e">
        <f>VLOOKUP(A1,DIV_05Data!$A$1:$DZU$1000000,268,FALSE)</f>
        <v>#N/A</v>
      </c>
      <c r="M16" s="33" t="e">
        <f>VLOOKUP(A1,DIV_05Data!$A$1:$DZU$1000000,269,FALSE)</f>
        <v>#N/A</v>
      </c>
      <c r="N16" s="34" t="e">
        <f>VLOOKUP(A1,DIV_05Data!$A$1:$DZU$1000000,270,FALSE)</f>
        <v>#N/A</v>
      </c>
      <c r="O16" s="33" t="e">
        <f>VLOOKUP(A1,DIV_05Data!$A$1:$DZU$1000000,271,FALSE)</f>
        <v>#N/A</v>
      </c>
      <c r="P16" s="116" t="e">
        <f>VLOOKUP(A1,DIV_05Data!$A$1:$DZU$1000000,272,FALSE)</f>
        <v>#N/A</v>
      </c>
      <c r="Q16" s="268" t="e">
        <f>VLOOKUP(A1,DIV_05Data!$A$1:$DZU$1000000,273,FALSE)</f>
        <v>#N/A</v>
      </c>
    </row>
    <row r="17" spans="1:17" x14ac:dyDescent="0.35">
      <c r="A17" s="265" t="e">
        <f>VLOOKUP(A1,DIV_05Data!$A$1:$DZU$1000000,274,FALSE)</f>
        <v>#N/A</v>
      </c>
      <c r="B17" s="37" t="e">
        <f>VLOOKUP(A1,DIV_05Data!$A$1:$DZU$1000000,275,FALSE)</f>
        <v>#N/A</v>
      </c>
      <c r="C17" s="38" t="e">
        <f>VLOOKUP(A1,DIV_05Data!$A$1:$DZU$1000000,276,FALSE)</f>
        <v>#N/A</v>
      </c>
      <c r="D17" s="31" t="e">
        <f>VLOOKUP(A1,DIV_05Data!$A$1:$DZU$1000000,277,FALSE)</f>
        <v>#N/A</v>
      </c>
      <c r="E17" s="32" t="e">
        <f>VLOOKUP(A1,DIV_05Data!$A$1:$DZU$1000000,278,FALSE)</f>
        <v>#N/A</v>
      </c>
      <c r="F17" s="34" t="e">
        <f>VLOOKUP(A1,DIV_05Data!$A$1:$DZU$1000000,279,FALSE)</f>
        <v>#N/A</v>
      </c>
      <c r="G17" s="33" t="e">
        <f>VLOOKUP(A1,DIV_05Data!$A$1:$DZU$1000000,280,FALSE)</f>
        <v>#N/A</v>
      </c>
      <c r="H17" s="34" t="e">
        <f>VLOOKUP(A1,DIV_05Data!$A$1:$DZU$1000000,281,FALSE)</f>
        <v>#N/A</v>
      </c>
      <c r="I17" s="33" t="e">
        <f>VLOOKUP(A1,DIV_05Data!$A$1:$DZU$1000000,282,FALSE)</f>
        <v>#N/A</v>
      </c>
      <c r="J17" s="34" t="e">
        <f>VLOOKUP(A1,DIV_05Data!$A$1:$DZU$1000000,283,FALSE)</f>
        <v>#N/A</v>
      </c>
      <c r="K17" s="34" t="e">
        <f>VLOOKUP(A1,DIV_05Data!$A$1:$DZU$1000000,284,FALSE)</f>
        <v>#N/A</v>
      </c>
      <c r="L17" s="93" t="e">
        <f>VLOOKUP(A1,DIV_05Data!$A$1:$DZU$1000000,285,FALSE)</f>
        <v>#N/A</v>
      </c>
      <c r="M17" s="33" t="e">
        <f>VLOOKUP(A1,DIV_05Data!$A$1:$DZU$1000000,286,FALSE)</f>
        <v>#N/A</v>
      </c>
      <c r="N17" s="34" t="e">
        <f>VLOOKUP(A1,DIV_05Data!$A$1:$DZU$1000000,287,FALSE)</f>
        <v>#N/A</v>
      </c>
      <c r="O17" s="33" t="e">
        <f>VLOOKUP(A1,DIV_05Data!$A$1:$DZU$1000000,288,FALSE)</f>
        <v>#N/A</v>
      </c>
      <c r="P17" s="116" t="e">
        <f>VLOOKUP(A1,DIV_05Data!$A$1:$DZU$1000000,289,FALSE)</f>
        <v>#N/A</v>
      </c>
      <c r="Q17" s="268" t="e">
        <f>VLOOKUP(A1,DIV_05Data!$A$1:$DZU$1000000,290,FALSE)</f>
        <v>#N/A</v>
      </c>
    </row>
    <row r="18" spans="1:17" x14ac:dyDescent="0.35">
      <c r="A18" s="265" t="e">
        <f>VLOOKUP(A1,DIV_05Data!$A$1:$DZU$1000000,291,FALSE)</f>
        <v>#N/A</v>
      </c>
      <c r="B18" s="37" t="e">
        <f>VLOOKUP(A1,DIV_05Data!$A$1:$DZU$1000000,292,FALSE)</f>
        <v>#N/A</v>
      </c>
      <c r="C18" s="38" t="e">
        <f>VLOOKUP(A1,DIV_05Data!$A$1:$DZU$1000000,293,FALSE)</f>
        <v>#N/A</v>
      </c>
      <c r="D18" s="31" t="e">
        <f>VLOOKUP(A1,DIV_05Data!$A$1:$DZU$1000000,294,FALSE)</f>
        <v>#N/A</v>
      </c>
      <c r="E18" s="32" t="e">
        <f>VLOOKUP(A1,DIV_05Data!$A$1:$DZU$1000000,295,FALSE)</f>
        <v>#N/A</v>
      </c>
      <c r="F18" s="34" t="e">
        <f>VLOOKUP(A1,DIV_05Data!$A$1:$DZU$1000000,296,FALSE)</f>
        <v>#N/A</v>
      </c>
      <c r="G18" s="33" t="e">
        <f>VLOOKUP(A1,DIV_05Data!$A$1:$DZU$1000000,297,FALSE)</f>
        <v>#N/A</v>
      </c>
      <c r="H18" s="34" t="e">
        <f>VLOOKUP(A1,DIV_05Data!$A$1:$DZU$1000000,298,FALSE)</f>
        <v>#N/A</v>
      </c>
      <c r="I18" s="33" t="e">
        <f>VLOOKUP(A1,DIV_05Data!$A$1:$DZU$1000000,299,FALSE)</f>
        <v>#N/A</v>
      </c>
      <c r="J18" s="34" t="e">
        <f>VLOOKUP(A1,DIV_05Data!$A$1:$DZU$1000000,300,FALSE)</f>
        <v>#N/A</v>
      </c>
      <c r="K18" s="34" t="e">
        <f>VLOOKUP(A1,DIV_05Data!$A$1:$DZU$1000000,301,FALSE)</f>
        <v>#N/A</v>
      </c>
      <c r="L18" s="93" t="e">
        <f>VLOOKUP(A1,DIV_05Data!$A$1:$DZU$1000000,302,FALSE)</f>
        <v>#N/A</v>
      </c>
      <c r="M18" s="33" t="e">
        <f>VLOOKUP(A1,DIV_05Data!$A$1:$DZU$1000000,303,FALSE)</f>
        <v>#N/A</v>
      </c>
      <c r="N18" s="34" t="e">
        <f>VLOOKUP(A1,DIV_05Data!$A$1:$DZU$1000000,304,FALSE)</f>
        <v>#N/A</v>
      </c>
      <c r="O18" s="33" t="e">
        <f>VLOOKUP(A1,DIV_05Data!$A$1:$DZU$1000000,305,FALSE)</f>
        <v>#N/A</v>
      </c>
      <c r="P18" s="116" t="e">
        <f>VLOOKUP(A1,DIV_05Data!$A$1:$DZU$1000000,306,FALSE)</f>
        <v>#N/A</v>
      </c>
      <c r="Q18" s="268" t="e">
        <f>VLOOKUP(A1,DIV_05Data!$A$1:$DZU$1000000,307,FALSE)</f>
        <v>#N/A</v>
      </c>
    </row>
    <row r="19" spans="1:17" x14ac:dyDescent="0.35">
      <c r="A19" s="265" t="e">
        <f>VLOOKUP(A1,DIV_05Data!$A$1:$DZU$1000000,308,FALSE)</f>
        <v>#N/A</v>
      </c>
      <c r="B19" s="37" t="e">
        <f>VLOOKUP(A1,DIV_05Data!$A$1:$DZU$1000000,309,FALSE)</f>
        <v>#N/A</v>
      </c>
      <c r="C19" s="38" t="e">
        <f>VLOOKUP(A1,DIV_05Data!$A$1:$DZU$1000000,310,FALSE)</f>
        <v>#N/A</v>
      </c>
      <c r="D19" s="31" t="e">
        <f>VLOOKUP(A1,DIV_05Data!$A$1:$DZU$1000000,311,FALSE)</f>
        <v>#N/A</v>
      </c>
      <c r="E19" s="32" t="e">
        <f>VLOOKUP(A1,DIV_05Data!$A$1:$DZU$1000000,312,FALSE)</f>
        <v>#N/A</v>
      </c>
      <c r="F19" s="34" t="e">
        <f>VLOOKUP(A1,DIV_05Data!$A$1:$DZU$1000000,313,FALSE)</f>
        <v>#N/A</v>
      </c>
      <c r="G19" s="33" t="e">
        <f>VLOOKUP(A1,DIV_05Data!$A$1:$DZU$1000000,314,FALSE)</f>
        <v>#N/A</v>
      </c>
      <c r="H19" s="34" t="e">
        <f>VLOOKUP(A1,DIV_05Data!$A$1:$DZU$1000000,315,FALSE)</f>
        <v>#N/A</v>
      </c>
      <c r="I19" s="33" t="e">
        <f>VLOOKUP(A1,DIV_05Data!$A$1:$DZU$1000000,316,FALSE)</f>
        <v>#N/A</v>
      </c>
      <c r="J19" s="34" t="e">
        <f>VLOOKUP(A1,DIV_05Data!$A$1:$DZU$1000000,317,FALSE)</f>
        <v>#N/A</v>
      </c>
      <c r="K19" s="34" t="e">
        <f>VLOOKUP(A1,DIV_05Data!$A$1:$DZU$1000000,318,FALSE)</f>
        <v>#N/A</v>
      </c>
      <c r="L19" s="93" t="e">
        <f>VLOOKUP(A1,DIV_05Data!$A$1:$DZU$1000000,319,FALSE)</f>
        <v>#N/A</v>
      </c>
      <c r="M19" s="33" t="e">
        <f>VLOOKUP(A1,DIV_05Data!$A$1:$DZU$1000000,320,FALSE)</f>
        <v>#N/A</v>
      </c>
      <c r="N19" s="34" t="e">
        <f>VLOOKUP(A1,DIV_05Data!$A$1:$DZU$1000000,321,FALSE)</f>
        <v>#N/A</v>
      </c>
      <c r="O19" s="33" t="e">
        <f>VLOOKUP(A1,DIV_05Data!$A$1:$DZU$1000000,322,FALSE)</f>
        <v>#N/A</v>
      </c>
      <c r="P19" s="116" t="e">
        <f>VLOOKUP(A1,DIV_05Data!$A$1:$DZU$1000000,323,FALSE)</f>
        <v>#N/A</v>
      </c>
      <c r="Q19" s="268" t="e">
        <f>VLOOKUP(A1,DIV_05Data!$A$1:$DZU$1000000,324,FALSE)</f>
        <v>#N/A</v>
      </c>
    </row>
    <row r="20" spans="1:17" x14ac:dyDescent="0.35">
      <c r="A20" s="265" t="e">
        <f>VLOOKUP(A1,DIV_05Data!$A$1:$DZU$1000000,325,FALSE)</f>
        <v>#N/A</v>
      </c>
      <c r="B20" s="37" t="e">
        <f>VLOOKUP(A1,DIV_05Data!$A$1:$DZU$1000000,326,FALSE)</f>
        <v>#N/A</v>
      </c>
      <c r="C20" s="38" t="e">
        <f>VLOOKUP(A1,DIV_05Data!$A$1:$DZU$1000000,327,FALSE)</f>
        <v>#N/A</v>
      </c>
      <c r="D20" s="31" t="e">
        <f>VLOOKUP(A1,DIV_05Data!$A$1:$DZU$1000000,328,FALSE)</f>
        <v>#N/A</v>
      </c>
      <c r="E20" s="32" t="e">
        <f>VLOOKUP(A1,DIV_05Data!$A$1:$DZU$1000000,329,FALSE)</f>
        <v>#N/A</v>
      </c>
      <c r="F20" s="34" t="e">
        <f>VLOOKUP(A1,DIV_05Data!$A$1:$DZU$1000000,330,FALSE)</f>
        <v>#N/A</v>
      </c>
      <c r="G20" s="33" t="e">
        <f>VLOOKUP(A1,DIV_05Data!$A$1:$DZU$1000000,331,FALSE)</f>
        <v>#N/A</v>
      </c>
      <c r="H20" s="34" t="e">
        <f>VLOOKUP(A1,DIV_05Data!$A$1:$DZU$1000000,332,FALSE)</f>
        <v>#N/A</v>
      </c>
      <c r="I20" s="33" t="e">
        <f>VLOOKUP(A1,DIV_05Data!$A$1:$DZU$1000000,333,FALSE)</f>
        <v>#N/A</v>
      </c>
      <c r="J20" s="34" t="e">
        <f>VLOOKUP(A1,DIV_05Data!$A$1:$DZU$1000000,334,FALSE)</f>
        <v>#N/A</v>
      </c>
      <c r="K20" s="34" t="e">
        <f>VLOOKUP(A1,DIV_05Data!$A$1:$DZU$1000000,335,FALSE)</f>
        <v>#N/A</v>
      </c>
      <c r="L20" s="93" t="e">
        <f>VLOOKUP(A1,DIV_05Data!$A$1:$DZU$1000000,336,FALSE)</f>
        <v>#N/A</v>
      </c>
      <c r="M20" s="33" t="e">
        <f>VLOOKUP(A1,DIV_05Data!$A$1:$DZU$1000000,337,FALSE)</f>
        <v>#N/A</v>
      </c>
      <c r="N20" s="34" t="e">
        <f>VLOOKUP(A1,DIV_05Data!$A$1:$DZU$1000000,338,FALSE)</f>
        <v>#N/A</v>
      </c>
      <c r="O20" s="33" t="e">
        <f>VLOOKUP(A1,DIV_05Data!$A$1:$DZU$1000000,339,FALSE)</f>
        <v>#N/A</v>
      </c>
      <c r="P20" s="116" t="e">
        <f>VLOOKUP(A1,DIV_05Data!$A$1:$DZU$1000000,340,FALSE)</f>
        <v>#N/A</v>
      </c>
      <c r="Q20" s="268" t="e">
        <f>VLOOKUP(A1,DIV_05Data!$A$1:$DZU$1000000,341,FALSE)</f>
        <v>#N/A</v>
      </c>
    </row>
    <row r="21" spans="1:17" x14ac:dyDescent="0.35">
      <c r="A21" s="265" t="e">
        <f>VLOOKUP(A1,DIV_05Data!$A$1:$DZU$1000000,342,FALSE)</f>
        <v>#N/A</v>
      </c>
      <c r="B21" s="37" t="e">
        <f>VLOOKUP(A1,DIV_05Data!$A$1:$DZU$1000000,343,FALSE)</f>
        <v>#N/A</v>
      </c>
      <c r="C21" s="38" t="e">
        <f>VLOOKUP(A1,DIV_05Data!$A$1:$DZU$1000000,344,FALSE)</f>
        <v>#N/A</v>
      </c>
      <c r="D21" s="31" t="e">
        <f>VLOOKUP(A1,DIV_05Data!$A$1:$DZU$1000000,345,FALSE)</f>
        <v>#N/A</v>
      </c>
      <c r="E21" s="32" t="e">
        <f>VLOOKUP(A1,DIV_05Data!$A$1:$DZU$1000000,346,FALSE)</f>
        <v>#N/A</v>
      </c>
      <c r="F21" s="34" t="e">
        <f>VLOOKUP(A1,DIV_05Data!$A$1:$DZU$1000000,347,FALSE)</f>
        <v>#N/A</v>
      </c>
      <c r="G21" s="33" t="e">
        <f>VLOOKUP(A1,DIV_05Data!$A$1:$DZU$1000000,348,FALSE)</f>
        <v>#N/A</v>
      </c>
      <c r="H21" s="34" t="e">
        <f>VLOOKUP(A1,DIV_05Data!$A$1:$DZU$1000000,349,FALSE)</f>
        <v>#N/A</v>
      </c>
      <c r="I21" s="33" t="e">
        <f>VLOOKUP(A1,DIV_05Data!$A$1:$DZU$1000000,350,FALSE)</f>
        <v>#N/A</v>
      </c>
      <c r="J21" s="34" t="e">
        <f>VLOOKUP(A1,DIV_05Data!$A$1:$DZU$1000000,351,FALSE)</f>
        <v>#N/A</v>
      </c>
      <c r="K21" s="34" t="e">
        <f>VLOOKUP(A1,DIV_05Data!$A$1:$DZU$1000000,352,FALSE)</f>
        <v>#N/A</v>
      </c>
      <c r="L21" s="93" t="e">
        <f>VLOOKUP(A1,DIV_05Data!$A$1:$DZU$1000000,353,FALSE)</f>
        <v>#N/A</v>
      </c>
      <c r="M21" s="33" t="e">
        <f>VLOOKUP(A1,DIV_05Data!$A$1:$DZU$1000000,354,FALSE)</f>
        <v>#N/A</v>
      </c>
      <c r="N21" s="34" t="e">
        <f>VLOOKUP(A1,DIV_05Data!$A$1:$DZU$1000000,355,FALSE)</f>
        <v>#N/A</v>
      </c>
      <c r="O21" s="33" t="e">
        <f>VLOOKUP(A1,DIV_05Data!$A$1:$DZU$1000000,356,FALSE)</f>
        <v>#N/A</v>
      </c>
      <c r="P21" s="116" t="e">
        <f>VLOOKUP(A1,DIV_05Data!$A$1:$DZU$1000000,357,FALSE)</f>
        <v>#N/A</v>
      </c>
      <c r="Q21" s="268" t="e">
        <f>VLOOKUP(A1,DIV_05Data!$A$1:$DZU$1000000,358,FALSE)</f>
        <v>#N/A</v>
      </c>
    </row>
    <row r="22" spans="1:17" x14ac:dyDescent="0.35">
      <c r="A22" s="265" t="e">
        <f>VLOOKUP(A1,DIV_05Data!$A$1:$DZU$1000000,359,FALSE)</f>
        <v>#N/A</v>
      </c>
      <c r="B22" s="37" t="e">
        <f>VLOOKUP(A1,DIV_05Data!$A$1:$DZU$1000000,360,FALSE)</f>
        <v>#N/A</v>
      </c>
      <c r="C22" s="38" t="e">
        <f>VLOOKUP(A1,DIV_05Data!$A$1:$DZU$1000000,361,FALSE)</f>
        <v>#N/A</v>
      </c>
      <c r="D22" s="31" t="e">
        <f>VLOOKUP(A1,DIV_05Data!$A$1:$DZU$1000000,362,FALSE)</f>
        <v>#N/A</v>
      </c>
      <c r="E22" s="32" t="e">
        <f>VLOOKUP(A1,DIV_05Data!$A$1:$DZU$1000000,363,FALSE)</f>
        <v>#N/A</v>
      </c>
      <c r="F22" s="34" t="e">
        <f>VLOOKUP(A1,DIV_05Data!$A$1:$DZU$1000000,364,FALSE)</f>
        <v>#N/A</v>
      </c>
      <c r="G22" s="33" t="e">
        <f>VLOOKUP(A1,DIV_05Data!$A$1:$DZU$1000000,365,FALSE)</f>
        <v>#N/A</v>
      </c>
      <c r="H22" s="34" t="e">
        <f>VLOOKUP(A1,DIV_05Data!$A$1:$DZU$1000000,366,FALSE)</f>
        <v>#N/A</v>
      </c>
      <c r="I22" s="33" t="e">
        <f>VLOOKUP(A1,DIV_05Data!$A$1:$DZU$1000000,367,FALSE)</f>
        <v>#N/A</v>
      </c>
      <c r="J22" s="34" t="e">
        <f>VLOOKUP(A1,DIV_05Data!$A$1:$DZU$1000000,368,FALSE)</f>
        <v>#N/A</v>
      </c>
      <c r="K22" s="34" t="e">
        <f>VLOOKUP(A1,DIV_05Data!$A$1:$DZU$1000000,369,FALSE)</f>
        <v>#N/A</v>
      </c>
      <c r="L22" s="93" t="e">
        <f>VLOOKUP(A1,DIV_05Data!$A$1:$DZU$1000000,370,FALSE)</f>
        <v>#N/A</v>
      </c>
      <c r="M22" s="33" t="e">
        <f>VLOOKUP(A1,DIV_05Data!$A$1:$DZU$1000000,371,FALSE)</f>
        <v>#N/A</v>
      </c>
      <c r="N22" s="34" t="e">
        <f>VLOOKUP(A1,DIV_05Data!$A$1:$DZU$1000000,372,FALSE)</f>
        <v>#N/A</v>
      </c>
      <c r="O22" s="33" t="e">
        <f>VLOOKUP(A1,DIV_05Data!$A$1:$DZU$1000000,373,FALSE)</f>
        <v>#N/A</v>
      </c>
      <c r="P22" s="116" t="e">
        <f>VLOOKUP(A1,DIV_05Data!$A$1:$DZU$1000000,374,FALSE)</f>
        <v>#N/A</v>
      </c>
      <c r="Q22" s="268" t="e">
        <f>VLOOKUP(A1,DIV_05Data!$A$1:$DZU$1000000,375,FALSE)</f>
        <v>#N/A</v>
      </c>
    </row>
    <row r="23" spans="1:17" x14ac:dyDescent="0.35">
      <c r="A23" s="265" t="e">
        <f>VLOOKUP(A1,DIV_05Data!$A$1:$DZU$1000000,376,FALSE)</f>
        <v>#N/A</v>
      </c>
      <c r="B23" s="37" t="e">
        <f>VLOOKUP(A1,DIV_05Data!$A$1:$DZU$1000000,377,FALSE)</f>
        <v>#N/A</v>
      </c>
      <c r="C23" s="38" t="e">
        <f>VLOOKUP(A1,DIV_05Data!$A$1:$DZU$1000000,378,FALSE)</f>
        <v>#N/A</v>
      </c>
      <c r="D23" s="31" t="e">
        <f>VLOOKUP(A1,DIV_05Data!$A$1:$DZU$1000000,379,FALSE)</f>
        <v>#N/A</v>
      </c>
      <c r="E23" s="32" t="e">
        <f>VLOOKUP(A1,DIV_05Data!$A$1:$DZU$1000000,380,FALSE)</f>
        <v>#N/A</v>
      </c>
      <c r="F23" s="34" t="e">
        <f>VLOOKUP(A1,DIV_05Data!$A$1:$DZU$1000000,381,FALSE)</f>
        <v>#N/A</v>
      </c>
      <c r="G23" s="33" t="e">
        <f>VLOOKUP(A1,DIV_05Data!$A$1:$DZU$1000000,382,FALSE)</f>
        <v>#N/A</v>
      </c>
      <c r="H23" s="34" t="e">
        <f>VLOOKUP(A1,DIV_05Data!$A$1:$DZU$1000000,383,FALSE)</f>
        <v>#N/A</v>
      </c>
      <c r="I23" s="33" t="e">
        <f>VLOOKUP(A1,DIV_05Data!$A$1:$DZU$1000000,384,FALSE)</f>
        <v>#N/A</v>
      </c>
      <c r="J23" s="34" t="e">
        <f>VLOOKUP(A1,DIV_05Data!$A$1:$DZU$1000000,385,FALSE)</f>
        <v>#N/A</v>
      </c>
      <c r="K23" s="34" t="e">
        <f>VLOOKUP(A1,DIV_05Data!$A$1:$DZU$1000000,386,FALSE)</f>
        <v>#N/A</v>
      </c>
      <c r="L23" s="93" t="e">
        <f>VLOOKUP(A1,DIV_05Data!$A$1:$DZU$1000000,387,FALSE)</f>
        <v>#N/A</v>
      </c>
      <c r="M23" s="33" t="e">
        <f>VLOOKUP(A1,DIV_05Data!$A$1:$DZU$1000000,388,FALSE)</f>
        <v>#N/A</v>
      </c>
      <c r="N23" s="34" t="e">
        <f>VLOOKUP(A1,DIV_05Data!$A$1:$DZU$1000000,389,FALSE)</f>
        <v>#N/A</v>
      </c>
      <c r="O23" s="33" t="e">
        <f>VLOOKUP(A1,DIV_05Data!$A$1:$DZU$1000000,390,FALSE)</f>
        <v>#N/A</v>
      </c>
      <c r="P23" s="116" t="e">
        <f>VLOOKUP(A1,DIV_05Data!$A$1:$DZU$1000000,391,FALSE)</f>
        <v>#N/A</v>
      </c>
      <c r="Q23" s="268" t="e">
        <f>VLOOKUP(A1,DIV_05Data!$A$1:$DZU$1000000,392,FALSE)</f>
        <v>#N/A</v>
      </c>
    </row>
    <row r="24" spans="1:17" x14ac:dyDescent="0.35">
      <c r="A24" s="265" t="e">
        <f>VLOOKUP(A1,DIV_05Data!$A$1:$DZU$1000000,393,FALSE)</f>
        <v>#N/A</v>
      </c>
      <c r="B24" s="37" t="e">
        <f>VLOOKUP(A1,DIV_05Data!$A$1:$DZU$1000000,394,FALSE)</f>
        <v>#N/A</v>
      </c>
      <c r="C24" s="38" t="e">
        <f>VLOOKUP(A1,DIV_05Data!$A$1:$DZU$1000000,395,FALSE)</f>
        <v>#N/A</v>
      </c>
      <c r="D24" s="31" t="e">
        <f>VLOOKUP(A1,DIV_05Data!$A$1:$DZU$1000000,396,FALSE)</f>
        <v>#N/A</v>
      </c>
      <c r="E24" s="32" t="e">
        <f>VLOOKUP(A1,DIV_05Data!$A$1:$DZU$1000000,397,FALSE)</f>
        <v>#N/A</v>
      </c>
      <c r="F24" s="34" t="e">
        <f>VLOOKUP(A1,DIV_05Data!$A$1:$DZU$1000000,398,FALSE)</f>
        <v>#N/A</v>
      </c>
      <c r="G24" s="33" t="e">
        <f>VLOOKUP(A1,DIV_05Data!$A$1:$DZU$1000000,399,FALSE)</f>
        <v>#N/A</v>
      </c>
      <c r="H24" s="34" t="e">
        <f>VLOOKUP(A1,DIV_05Data!$A$1:$DZU$1000000,400,FALSE)</f>
        <v>#N/A</v>
      </c>
      <c r="I24" s="33" t="e">
        <f>VLOOKUP(A1,DIV_05Data!$A$1:$DZU$1000000,401,FALSE)</f>
        <v>#N/A</v>
      </c>
      <c r="J24" s="34" t="e">
        <f>VLOOKUP(A1,DIV_05Data!$A$1:$DZU$1000000,402,FALSE)</f>
        <v>#N/A</v>
      </c>
      <c r="K24" s="34" t="e">
        <f>VLOOKUP(A1,DIV_05Data!$A$1:$DZU$1000000,403,FALSE)</f>
        <v>#N/A</v>
      </c>
      <c r="L24" s="93" t="e">
        <f>VLOOKUP(A1,DIV_05Data!$A$1:$DZU$1000000,404,FALSE)</f>
        <v>#N/A</v>
      </c>
      <c r="M24" s="33" t="e">
        <f>VLOOKUP(A1,DIV_05Data!$A$1:$DZU$1000000,405,FALSE)</f>
        <v>#N/A</v>
      </c>
      <c r="N24" s="34" t="e">
        <f>VLOOKUP(A1,DIV_05Data!$A$1:$DZU$1000000,406,FALSE)</f>
        <v>#N/A</v>
      </c>
      <c r="O24" s="33" t="e">
        <f>VLOOKUP(A1,DIV_05Data!$A$1:$DZU$1000000,407,FALSE)</f>
        <v>#N/A</v>
      </c>
      <c r="P24" s="116" t="e">
        <f>VLOOKUP(A1,DIV_05Data!$A$1:$DZU$1000000,408,FALSE)</f>
        <v>#N/A</v>
      </c>
      <c r="Q24" s="268" t="e">
        <f>VLOOKUP(A1,DIV_05Data!$A$1:$DZU$1000000,409,FALSE)</f>
        <v>#N/A</v>
      </c>
    </row>
    <row r="25" spans="1:17" x14ac:dyDescent="0.35">
      <c r="A25" s="265" t="e">
        <f>VLOOKUP(A1,DIV_05Data!$A$1:$DZU$1000000,410,FALSE)</f>
        <v>#N/A</v>
      </c>
      <c r="B25" s="37" t="e">
        <f>VLOOKUP(A1,DIV_05Data!$A$1:$DZU$1000000,411,FALSE)</f>
        <v>#N/A</v>
      </c>
      <c r="C25" s="38" t="e">
        <f>VLOOKUP(A1,DIV_05Data!$A$1:$DZU$1000000,412,FALSE)</f>
        <v>#N/A</v>
      </c>
      <c r="D25" s="31" t="e">
        <f>VLOOKUP(A1,DIV_05Data!$A$1:$DZU$1000000,413,FALSE)</f>
        <v>#N/A</v>
      </c>
      <c r="E25" s="32" t="e">
        <f>VLOOKUP(A1,DIV_05Data!$A$1:$DZU$1000000,414,FALSE)</f>
        <v>#N/A</v>
      </c>
      <c r="F25" s="34" t="e">
        <f>VLOOKUP(A1,DIV_05Data!$A$1:$DZU$1000000,415,FALSE)</f>
        <v>#N/A</v>
      </c>
      <c r="G25" s="33" t="e">
        <f>VLOOKUP(A1,DIV_05Data!$A$1:$DZU$1000000,416,FALSE)</f>
        <v>#N/A</v>
      </c>
      <c r="H25" s="34" t="e">
        <f>VLOOKUP(A1,DIV_05Data!$A$1:$DZU$1000000,417,FALSE)</f>
        <v>#N/A</v>
      </c>
      <c r="I25" s="33" t="e">
        <f>VLOOKUP(A1,DIV_05Data!$A$1:$DZU$1000000,418,FALSE)</f>
        <v>#N/A</v>
      </c>
      <c r="J25" s="34" t="e">
        <f>VLOOKUP(A1,DIV_05Data!$A$1:$DZU$1000000,419,FALSE)</f>
        <v>#N/A</v>
      </c>
      <c r="K25" s="34" t="e">
        <f>VLOOKUP(A1,DIV_05Data!$A$1:$DZU$1000000,420,FALSE)</f>
        <v>#N/A</v>
      </c>
      <c r="L25" s="93" t="e">
        <f>VLOOKUP(A1,DIV_05Data!$A$1:$DZU$1000000,421,FALSE)</f>
        <v>#N/A</v>
      </c>
      <c r="M25" s="33" t="e">
        <f>VLOOKUP(A1,DIV_05Data!$A$1:$DZU$1000000,422,FALSE)</f>
        <v>#N/A</v>
      </c>
      <c r="N25" s="34" t="e">
        <f>VLOOKUP(A1,DIV_05Data!$A$1:$DZU$1000000,423,FALSE)</f>
        <v>#N/A</v>
      </c>
      <c r="O25" s="33" t="e">
        <f>VLOOKUP(A1,DIV_05Data!$A$1:$DZU$1000000,424,FALSE)</f>
        <v>#N/A</v>
      </c>
      <c r="P25" s="116" t="e">
        <f>VLOOKUP(A1,DIV_05Data!$A$1:$DZU$1000000,425,FALSE)</f>
        <v>#N/A</v>
      </c>
      <c r="Q25" s="268" t="e">
        <f>VLOOKUP(A1,DIV_05Data!$A$1:$DZU$1000000,426,FALSE)</f>
        <v>#N/A</v>
      </c>
    </row>
    <row r="26" spans="1:17" x14ac:dyDescent="0.35">
      <c r="A26" s="265" t="e">
        <f>VLOOKUP(A1,DIV_05Data!$A$1:$DZU$1000000,427,FALSE)</f>
        <v>#N/A</v>
      </c>
      <c r="B26" s="37" t="e">
        <f>VLOOKUP(A1,DIV_05Data!$A$1:$DZU$1000000,428,FALSE)</f>
        <v>#N/A</v>
      </c>
      <c r="C26" s="38" t="e">
        <f>VLOOKUP(A1,DIV_05Data!$A$1:$DZU$1000000,429,FALSE)</f>
        <v>#N/A</v>
      </c>
      <c r="D26" s="31" t="e">
        <f>VLOOKUP(A1,DIV_05Data!$A$1:$DZU$1000000,430,FALSE)</f>
        <v>#N/A</v>
      </c>
      <c r="E26" s="32" t="e">
        <f>VLOOKUP(A1,DIV_05Data!$A$1:$DZU$1000000,431,FALSE)</f>
        <v>#N/A</v>
      </c>
      <c r="F26" s="34" t="e">
        <f>VLOOKUP(A1,DIV_05Data!$A$1:$DZU$1000000,432,FALSE)</f>
        <v>#N/A</v>
      </c>
      <c r="G26" s="33" t="e">
        <f>VLOOKUP(A1,DIV_05Data!$A$1:$DZU$1000000,433,FALSE)</f>
        <v>#N/A</v>
      </c>
      <c r="H26" s="34" t="e">
        <f>VLOOKUP(A1,DIV_05Data!$A$1:$DZU$1000000,434,FALSE)</f>
        <v>#N/A</v>
      </c>
      <c r="I26" s="33" t="e">
        <f>VLOOKUP(A1,DIV_05Data!$A$1:$DZU$1000000,435,FALSE)</f>
        <v>#N/A</v>
      </c>
      <c r="J26" s="34" t="e">
        <f>VLOOKUP(A1,DIV_05Data!$A$1:$DZU$1000000,436,FALSE)</f>
        <v>#N/A</v>
      </c>
      <c r="K26" s="34" t="e">
        <f>VLOOKUP(A1,DIV_05Data!$A$1:$DZU$1000000,437,FALSE)</f>
        <v>#N/A</v>
      </c>
      <c r="L26" s="93" t="e">
        <f>VLOOKUP(A1,DIV_05Data!$A$1:$DZU$1000000,438,FALSE)</f>
        <v>#N/A</v>
      </c>
      <c r="M26" s="33" t="e">
        <f>VLOOKUP(A1,DIV_05Data!$A$1:$DZU$1000000,439,FALSE)</f>
        <v>#N/A</v>
      </c>
      <c r="N26" s="34" t="e">
        <f>VLOOKUP(A1,DIV_05Data!$A$1:$DZU$1000000,440,FALSE)</f>
        <v>#N/A</v>
      </c>
      <c r="O26" s="33" t="e">
        <f>VLOOKUP(A1,DIV_05Data!$A$1:$DZU$1000000,441,FALSE)</f>
        <v>#N/A</v>
      </c>
      <c r="P26" s="116" t="e">
        <f>VLOOKUP(A1,DIV_05Data!$A$1:$DZU$1000000,442,FALSE)</f>
        <v>#N/A</v>
      </c>
      <c r="Q26" s="268" t="e">
        <f>VLOOKUP(A1,DIV_05Data!$A$1:$DZU$1000000,443,FALSE)</f>
        <v>#N/A</v>
      </c>
    </row>
    <row r="27" spans="1:17" x14ac:dyDescent="0.35">
      <c r="A27" s="265" t="e">
        <f>VLOOKUP(A1,DIV_05Data!$A$1:$DZU$1000000,444,FALSE)</f>
        <v>#N/A</v>
      </c>
      <c r="B27" s="37" t="e">
        <f>VLOOKUP(A1,DIV_05Data!$A$1:$DZU$1000000,445,FALSE)</f>
        <v>#N/A</v>
      </c>
      <c r="C27" s="38" t="e">
        <f>VLOOKUP(A1,DIV_05Data!$A$1:$DZU$1000000,446,FALSE)</f>
        <v>#N/A</v>
      </c>
      <c r="D27" s="31" t="e">
        <f>VLOOKUP(A1,DIV_05Data!$A$1:$DZU$1000000,447,FALSE)</f>
        <v>#N/A</v>
      </c>
      <c r="E27" s="32" t="e">
        <f>VLOOKUP(A1,DIV_05Data!$A$1:$DZU$1000000,448,FALSE)</f>
        <v>#N/A</v>
      </c>
      <c r="F27" s="34" t="e">
        <f>VLOOKUP(A1,DIV_05Data!$A$1:$DZU$1000000,449,FALSE)</f>
        <v>#N/A</v>
      </c>
      <c r="G27" s="33" t="e">
        <f>VLOOKUP(A1,DIV_05Data!$A$1:$DZU$1000000,450,FALSE)</f>
        <v>#N/A</v>
      </c>
      <c r="H27" s="34" t="e">
        <f>VLOOKUP(A1,DIV_05Data!$A$1:$DZU$1000000,451,FALSE)</f>
        <v>#N/A</v>
      </c>
      <c r="I27" s="33" t="e">
        <f>VLOOKUP(A1,DIV_05Data!$A$1:$DZU$1000000,452,FALSE)</f>
        <v>#N/A</v>
      </c>
      <c r="J27" s="34" t="e">
        <f>VLOOKUP(A1,DIV_05Data!$A$1:$DZU$1000000,453,FALSE)</f>
        <v>#N/A</v>
      </c>
      <c r="K27" s="34" t="e">
        <f>VLOOKUP(A1,DIV_05Data!$A$1:$DZU$1000000,454,FALSE)</f>
        <v>#N/A</v>
      </c>
      <c r="L27" s="93" t="e">
        <f>VLOOKUP(A1,DIV_05Data!$A$1:$DZU$1000000,455,FALSE)</f>
        <v>#N/A</v>
      </c>
      <c r="M27" s="33" t="e">
        <f>VLOOKUP(A1,DIV_05Data!$A$1:$DZU$1000000,456,FALSE)</f>
        <v>#N/A</v>
      </c>
      <c r="N27" s="34" t="e">
        <f>VLOOKUP(A1,DIV_05Data!$A$1:$DZU$1000000,457,FALSE)</f>
        <v>#N/A</v>
      </c>
      <c r="O27" s="33" t="e">
        <f>VLOOKUP(A1,DIV_05Data!$A$1:$DZU$1000000,458,FALSE)</f>
        <v>#N/A</v>
      </c>
      <c r="P27" s="116" t="e">
        <f>VLOOKUP(A1,DIV_05Data!$A$1:$DZU$1000000,459,FALSE)</f>
        <v>#N/A</v>
      </c>
      <c r="Q27" s="268" t="e">
        <f>VLOOKUP(A1,DIV_05Data!$A$1:$DZU$1000000,460,FALSE)</f>
        <v>#N/A</v>
      </c>
    </row>
    <row r="28" spans="1:17" x14ac:dyDescent="0.35">
      <c r="A28" s="265" t="e">
        <f>VLOOKUP(A1,DIV_05Data!$A$1:$DZU$1000000,461,FALSE)</f>
        <v>#N/A</v>
      </c>
      <c r="B28" s="37" t="e">
        <f>VLOOKUP(A1,DIV_05Data!$A$1:$DZU$1000000,462,FALSE)</f>
        <v>#N/A</v>
      </c>
      <c r="C28" s="38" t="e">
        <f>VLOOKUP(A1,DIV_05Data!$A$1:$DZU$1000000,463,FALSE)</f>
        <v>#N/A</v>
      </c>
      <c r="D28" s="31" t="e">
        <f>VLOOKUP(A1,DIV_05Data!$A$1:$DZU$1000000,464,FALSE)</f>
        <v>#N/A</v>
      </c>
      <c r="E28" s="32" t="e">
        <f>VLOOKUP(A1,DIV_05Data!$A$1:$DZU$1000000,465,FALSE)</f>
        <v>#N/A</v>
      </c>
      <c r="F28" s="34" t="e">
        <f>VLOOKUP(A1,DIV_05Data!$A$1:$DZU$1000000,466,FALSE)</f>
        <v>#N/A</v>
      </c>
      <c r="G28" s="33" t="e">
        <f>VLOOKUP(A1,DIV_05Data!$A$1:$DZU$1000000,467,FALSE)</f>
        <v>#N/A</v>
      </c>
      <c r="H28" s="34" t="e">
        <f>VLOOKUP(A1,DIV_05Data!$A$1:$DZU$1000000,468,FALSE)</f>
        <v>#N/A</v>
      </c>
      <c r="I28" s="33" t="e">
        <f>VLOOKUP(A1,DIV_05Data!$A$1:$DZU$1000000,469,FALSE)</f>
        <v>#N/A</v>
      </c>
      <c r="J28" s="34" t="e">
        <f>VLOOKUP(A1,DIV_05Data!$A$1:$DZU$1000000,470,FALSE)</f>
        <v>#N/A</v>
      </c>
      <c r="K28" s="34" t="e">
        <f>VLOOKUP(A1,DIV_05Data!$A$1:$DZU$1000000,471,FALSE)</f>
        <v>#N/A</v>
      </c>
      <c r="L28" s="93" t="e">
        <f>VLOOKUP(A1,DIV_05Data!$A$1:$DZU$1000000,472,FALSE)</f>
        <v>#N/A</v>
      </c>
      <c r="M28" s="33" t="e">
        <f>VLOOKUP(A1,DIV_05Data!$A$1:$DZU$1000000,473,FALSE)</f>
        <v>#N/A</v>
      </c>
      <c r="N28" s="34" t="e">
        <f>VLOOKUP(A1,DIV_05Data!$A$1:$DZU$1000000,474,FALSE)</f>
        <v>#N/A</v>
      </c>
      <c r="O28" s="33" t="e">
        <f>VLOOKUP(A1,DIV_05Data!$A$1:$DZU$1000000,475,FALSE)</f>
        <v>#N/A</v>
      </c>
      <c r="P28" s="116" t="e">
        <f>VLOOKUP(A1,DIV_05Data!$A$1:$DZU$1000000,476,FALSE)</f>
        <v>#N/A</v>
      </c>
      <c r="Q28" s="268" t="e">
        <f>VLOOKUP(A1,DIV_05Data!$A$1:$DZU$1000000,477,FALSE)</f>
        <v>#N/A</v>
      </c>
    </row>
    <row r="29" spans="1:17" x14ac:dyDescent="0.35">
      <c r="A29" s="265" t="e">
        <f>VLOOKUP(A1,DIV_05Data!$A$1:$DZU$1000000,478,FALSE)</f>
        <v>#N/A</v>
      </c>
      <c r="B29" s="37" t="e">
        <f>VLOOKUP(A1,DIV_05Data!$A$1:$DZU$1000000,479,FALSE)</f>
        <v>#N/A</v>
      </c>
      <c r="C29" s="38" t="e">
        <f>VLOOKUP(A1,DIV_05Data!$A$1:$DZU$1000000,480,FALSE)</f>
        <v>#N/A</v>
      </c>
      <c r="D29" s="31" t="e">
        <f>VLOOKUP(A1,DIV_05Data!$A$1:$DZU$1000000,481,FALSE)</f>
        <v>#N/A</v>
      </c>
      <c r="E29" s="32" t="e">
        <f>VLOOKUP(A1,DIV_05Data!$A$1:$DZU$1000000,482,FALSE)</f>
        <v>#N/A</v>
      </c>
      <c r="F29" s="34" t="e">
        <f>VLOOKUP(A1,DIV_05Data!$A$1:$DZU$1000000,483,FALSE)</f>
        <v>#N/A</v>
      </c>
      <c r="G29" s="33" t="e">
        <f>VLOOKUP(A1,DIV_05Data!$A$1:$DZU$1000000,484,FALSE)</f>
        <v>#N/A</v>
      </c>
      <c r="H29" s="34" t="e">
        <f>VLOOKUP(A1,DIV_05Data!$A$1:$DZU$1000000,485,FALSE)</f>
        <v>#N/A</v>
      </c>
      <c r="I29" s="33" t="e">
        <f>VLOOKUP(A1,DIV_05Data!$A$1:$DZU$1000000,486,FALSE)</f>
        <v>#N/A</v>
      </c>
      <c r="J29" s="34" t="e">
        <f>VLOOKUP(A1,DIV_05Data!$A$1:$DZU$1000000,487,FALSE)</f>
        <v>#N/A</v>
      </c>
      <c r="K29" s="34" t="e">
        <f>VLOOKUP(A1,DIV_05Data!$A$1:$DZU$1000000,488,FALSE)</f>
        <v>#N/A</v>
      </c>
      <c r="L29" s="93" t="e">
        <f>VLOOKUP(A1,DIV_05Data!$A$1:$DZU$1000000,489,FALSE)</f>
        <v>#N/A</v>
      </c>
      <c r="M29" s="33" t="e">
        <f>VLOOKUP(A1,DIV_05Data!$A$1:$DZU$1000000,490,FALSE)</f>
        <v>#N/A</v>
      </c>
      <c r="N29" s="34" t="e">
        <f>VLOOKUP(A1,DIV_05Data!$A$1:$DZU$1000000,491,FALSE)</f>
        <v>#N/A</v>
      </c>
      <c r="O29" s="33" t="e">
        <f>VLOOKUP(A1,DIV_05Data!$A$1:$DZU$1000000,492,FALSE)</f>
        <v>#N/A</v>
      </c>
      <c r="P29" s="116" t="e">
        <f>VLOOKUP(A1,DIV_05Data!$A$1:$DZU$1000000,493,FALSE)</f>
        <v>#N/A</v>
      </c>
      <c r="Q29" s="268" t="e">
        <f>VLOOKUP(A1,DIV_05Data!$A$1:$DZU$1000000,494,FALSE)</f>
        <v>#N/A</v>
      </c>
    </row>
    <row r="30" spans="1:17" x14ac:dyDescent="0.35">
      <c r="A30" s="265" t="e">
        <f>VLOOKUP(A1,DIV_05Data!$A$1:$DZU$1000000,495,FALSE)</f>
        <v>#N/A</v>
      </c>
      <c r="B30" s="37" t="e">
        <f>VLOOKUP(A1,DIV_05Data!$A$1:$DZU$1000000,496,FALSE)</f>
        <v>#N/A</v>
      </c>
      <c r="C30" s="38" t="e">
        <f>VLOOKUP(A1,DIV_05Data!$A$1:$DZU$1000000,497,FALSE)</f>
        <v>#N/A</v>
      </c>
      <c r="D30" s="31" t="e">
        <f>VLOOKUP(A1,DIV_05Data!$A$1:$DZU$1000000,498,FALSE)</f>
        <v>#N/A</v>
      </c>
      <c r="E30" s="32" t="e">
        <f>VLOOKUP(A1,DIV_05Data!$A$1:$DZU$1000000,499,FALSE)</f>
        <v>#N/A</v>
      </c>
      <c r="F30" s="34" t="e">
        <f>VLOOKUP(A1,DIV_05Data!$A$1:$DZU$1000000,500,FALSE)</f>
        <v>#N/A</v>
      </c>
      <c r="G30" s="33" t="e">
        <f>VLOOKUP(A1,DIV_05Data!$A$1:$DZU$1000000,501,FALSE)</f>
        <v>#N/A</v>
      </c>
      <c r="H30" s="34" t="e">
        <f>VLOOKUP(A1,DIV_05Data!$A$1:$DZU$1000000,502,FALSE)</f>
        <v>#N/A</v>
      </c>
      <c r="I30" s="33" t="e">
        <f>VLOOKUP(A1,DIV_05Data!$A$1:$DZU$1000000,503,FALSE)</f>
        <v>#N/A</v>
      </c>
      <c r="J30" s="34" t="e">
        <f>VLOOKUP(A1,DIV_05Data!$A$1:$DZU$1000000,504,FALSE)</f>
        <v>#N/A</v>
      </c>
      <c r="K30" s="34" t="e">
        <f>VLOOKUP(A1,DIV_05Data!$A$1:$DZU$1000000,505,FALSE)</f>
        <v>#N/A</v>
      </c>
      <c r="L30" s="93" t="e">
        <f>VLOOKUP(A1,DIV_05Data!$A$1:$DZU$1000000,506,FALSE)</f>
        <v>#N/A</v>
      </c>
      <c r="M30" s="33" t="e">
        <f>VLOOKUP(A1,DIV_05Data!$A$1:$DZU$1000000,507,FALSE)</f>
        <v>#N/A</v>
      </c>
      <c r="N30" s="34" t="e">
        <f>VLOOKUP(A1,DIV_05Data!$A$1:$DZU$1000000,508,FALSE)</f>
        <v>#N/A</v>
      </c>
      <c r="O30" s="33" t="e">
        <f>VLOOKUP(A1,DIV_05Data!$A$1:$DZU$1000000,509,FALSE)</f>
        <v>#N/A</v>
      </c>
      <c r="P30" s="116" t="e">
        <f>VLOOKUP(A1,DIV_05Data!$A$1:$DZU$1000000,510,FALSE)</f>
        <v>#N/A</v>
      </c>
      <c r="Q30" s="268" t="e">
        <f>VLOOKUP(A1,DIV_05Data!$A$1:$DZU$1000000,511,FALSE)</f>
        <v>#N/A</v>
      </c>
    </row>
    <row r="31" spans="1:17" x14ac:dyDescent="0.35">
      <c r="A31" s="265" t="e">
        <f>VLOOKUP(A1,DIV_05Data!$A$1:$DZU$1000000,512,FALSE)</f>
        <v>#N/A</v>
      </c>
      <c r="B31" s="37" t="e">
        <f>VLOOKUP(A1,DIV_05Data!$A$1:$DZU$1000000,513,FALSE)</f>
        <v>#N/A</v>
      </c>
      <c r="C31" s="38" t="e">
        <f>VLOOKUP(A1,DIV_05Data!$A$1:$DZU$1000000,514,FALSE)</f>
        <v>#N/A</v>
      </c>
      <c r="D31" s="31" t="e">
        <f>VLOOKUP(A1,DIV_05Data!$A$1:$DZU$1000000,515,FALSE)</f>
        <v>#N/A</v>
      </c>
      <c r="E31" s="32" t="e">
        <f>VLOOKUP(A1,DIV_05Data!$A$1:$DZU$1000000,516,FALSE)</f>
        <v>#N/A</v>
      </c>
      <c r="F31" s="34" t="e">
        <f>VLOOKUP(A1,DIV_05Data!$A$1:$DZU$1000000,517,FALSE)</f>
        <v>#N/A</v>
      </c>
      <c r="G31" s="33" t="e">
        <f>VLOOKUP(A1,DIV_05Data!$A$1:$DZU$1000000,518,FALSE)</f>
        <v>#N/A</v>
      </c>
      <c r="H31" s="34" t="e">
        <f>VLOOKUP(A1,DIV_05Data!$A$1:$DZU$1000000,519,FALSE)</f>
        <v>#N/A</v>
      </c>
      <c r="I31" s="33" t="e">
        <f>VLOOKUP(A1,DIV_05Data!$A$1:$DZU$1000000,520,FALSE)</f>
        <v>#N/A</v>
      </c>
      <c r="J31" s="34" t="e">
        <f>VLOOKUP(A1,DIV_05Data!$A$1:$DZU$1000000,521,FALSE)</f>
        <v>#N/A</v>
      </c>
      <c r="K31" s="34" t="e">
        <f>VLOOKUP(A1,DIV_05Data!$A$1:$DZU$1000000,522,FALSE)</f>
        <v>#N/A</v>
      </c>
      <c r="L31" s="93" t="e">
        <f>VLOOKUP(A1,DIV_05Data!$A$1:$DZU$1000000,523,FALSE)</f>
        <v>#N/A</v>
      </c>
      <c r="M31" s="33" t="e">
        <f>VLOOKUP(A1,DIV_05Data!$A$1:$DZU$1000000,524,FALSE)</f>
        <v>#N/A</v>
      </c>
      <c r="N31" s="34" t="e">
        <f>VLOOKUP(A1,DIV_05Data!$A$1:$DZU$1000000,525,FALSE)</f>
        <v>#N/A</v>
      </c>
      <c r="O31" s="33" t="e">
        <f>VLOOKUP(A1,DIV_05Data!$A$1:$DZU$1000000,526,FALSE)</f>
        <v>#N/A</v>
      </c>
      <c r="P31" s="116" t="e">
        <f>VLOOKUP(A1,DIV_05Data!$A$1:$DZU$1000000,527,FALSE)</f>
        <v>#N/A</v>
      </c>
      <c r="Q31" s="268" t="e">
        <f>VLOOKUP(A1,DIV_05Data!$A$1:$DZU$1000000,528,FALSE)</f>
        <v>#N/A</v>
      </c>
    </row>
    <row r="32" spans="1:17" x14ac:dyDescent="0.35">
      <c r="A32" s="265" t="e">
        <f>VLOOKUP(A1,DIV_05Data!$A$1:$DZU$1000000,529,FALSE)</f>
        <v>#N/A</v>
      </c>
      <c r="B32" s="37" t="e">
        <f>VLOOKUP(A1,DIV_05Data!$A$1:$DZU$1000000,530,FALSE)</f>
        <v>#N/A</v>
      </c>
      <c r="C32" s="38" t="e">
        <f>VLOOKUP(A1,DIV_05Data!$A$1:$DZU$1000000,531,FALSE)</f>
        <v>#N/A</v>
      </c>
      <c r="D32" s="31" t="e">
        <f>VLOOKUP(A1,DIV_05Data!$A$1:$DZU$1000000,532,FALSE)</f>
        <v>#N/A</v>
      </c>
      <c r="E32" s="32" t="e">
        <f>VLOOKUP(A1,DIV_05Data!$A$1:$DZU$1000000,533,FALSE)</f>
        <v>#N/A</v>
      </c>
      <c r="F32" s="34" t="e">
        <f>VLOOKUP(A1,DIV_05Data!$A$1:$DZU$1000000,534,FALSE)</f>
        <v>#N/A</v>
      </c>
      <c r="G32" s="33" t="e">
        <f>VLOOKUP(A1,DIV_05Data!$A$1:$DZU$1000000,535,FALSE)</f>
        <v>#N/A</v>
      </c>
      <c r="H32" s="34" t="e">
        <f>VLOOKUP(A1,DIV_05Data!$A$1:$DZU$1000000,536,FALSE)</f>
        <v>#N/A</v>
      </c>
      <c r="I32" s="33" t="e">
        <f>VLOOKUP(A1,DIV_05Data!$A$1:$DZU$1000000,537,FALSE)</f>
        <v>#N/A</v>
      </c>
      <c r="J32" s="34" t="e">
        <f>VLOOKUP(A1,DIV_05Data!$A$1:$DZU$1000000,538,FALSE)</f>
        <v>#N/A</v>
      </c>
      <c r="K32" s="34" t="e">
        <f>VLOOKUP(A1,DIV_05Data!$A$1:$DZU$1000000,539,FALSE)</f>
        <v>#N/A</v>
      </c>
      <c r="L32" s="93" t="e">
        <f>VLOOKUP(A1,DIV_05Data!$A$1:$DZU$1000000,540,FALSE)</f>
        <v>#N/A</v>
      </c>
      <c r="M32" s="33" t="e">
        <f>VLOOKUP(A1,DIV_05Data!$A$1:$DZU$1000000,541,FALSE)</f>
        <v>#N/A</v>
      </c>
      <c r="N32" s="34" t="e">
        <f>VLOOKUP(A1,DIV_05Data!$A$1:$DZU$1000000,542,FALSE)</f>
        <v>#N/A</v>
      </c>
      <c r="O32" s="33" t="e">
        <f>VLOOKUP(A1,DIV_05Data!$A$1:$DZU$1000000,543,FALSE)</f>
        <v>#N/A</v>
      </c>
      <c r="P32" s="116" t="e">
        <f>VLOOKUP(A1,DIV_05Data!$A$1:$DZU$1000000,544,FALSE)</f>
        <v>#N/A</v>
      </c>
      <c r="Q32" s="268" t="e">
        <f>VLOOKUP(A1,DIV_05Data!$A$1:$DZU$1000000,545,FALSE)</f>
        <v>#N/A</v>
      </c>
    </row>
    <row r="33" spans="1:17" x14ac:dyDescent="0.35">
      <c r="A33" s="265" t="e">
        <f>VLOOKUP(A1,DIV_05Data!$A$1:$DZU$1000000,546,FALSE)</f>
        <v>#N/A</v>
      </c>
      <c r="B33" s="37" t="e">
        <f>VLOOKUP(A1,DIV_05Data!$A$1:$DZU$1000000,547,FALSE)</f>
        <v>#N/A</v>
      </c>
      <c r="C33" s="38" t="e">
        <f>VLOOKUP(A1,DIV_05Data!$A$1:$DZU$1000000,548,FALSE)</f>
        <v>#N/A</v>
      </c>
      <c r="D33" s="31" t="e">
        <f>VLOOKUP(A1,DIV_05Data!$A$1:$DZU$1000000,549,FALSE)</f>
        <v>#N/A</v>
      </c>
      <c r="E33" s="32" t="e">
        <f>VLOOKUP(A1,DIV_05Data!$A$1:$DZU$1000000,550,FALSE)</f>
        <v>#N/A</v>
      </c>
      <c r="F33" s="34" t="e">
        <f>VLOOKUP(A1,DIV_05Data!$A$1:$DZU$1000000,551,FALSE)</f>
        <v>#N/A</v>
      </c>
      <c r="G33" s="33" t="e">
        <f>VLOOKUP(A1,DIV_05Data!$A$1:$DZU$1000000,552,FALSE)</f>
        <v>#N/A</v>
      </c>
      <c r="H33" s="34" t="e">
        <f>VLOOKUP(A1,DIV_05Data!$A$1:$DZU$1000000,553,FALSE)</f>
        <v>#N/A</v>
      </c>
      <c r="I33" s="33" t="e">
        <f>VLOOKUP(A1,DIV_05Data!$A$1:$DZU$1000000,554,FALSE)</f>
        <v>#N/A</v>
      </c>
      <c r="J33" s="34" t="e">
        <f>VLOOKUP(A1,DIV_05Data!$A$1:$DZU$1000000,555,FALSE)</f>
        <v>#N/A</v>
      </c>
      <c r="K33" s="34" t="e">
        <f>VLOOKUP(A1,DIV_05Data!$A$1:$DZU$1000000,556,FALSE)</f>
        <v>#N/A</v>
      </c>
      <c r="L33" s="93" t="e">
        <f>VLOOKUP(A1,DIV_05Data!$A$1:$DZU$1000000,557,FALSE)</f>
        <v>#N/A</v>
      </c>
      <c r="M33" s="33" t="e">
        <f>VLOOKUP(A1,DIV_05Data!$A$1:$DZU$1000000,558,FALSE)</f>
        <v>#N/A</v>
      </c>
      <c r="N33" s="34" t="e">
        <f>VLOOKUP(A1,DIV_05Data!$A$1:$DZU$1000000,559,FALSE)</f>
        <v>#N/A</v>
      </c>
      <c r="O33" s="33" t="e">
        <f>VLOOKUP(A1,DIV_05Data!$A$1:$DZU$1000000,560,FALSE)</f>
        <v>#N/A</v>
      </c>
      <c r="P33" s="116" t="e">
        <f>VLOOKUP(A1,DIV_05Data!$A$1:$DZU$1000000,561,FALSE)</f>
        <v>#N/A</v>
      </c>
      <c r="Q33" s="268" t="e">
        <f>VLOOKUP(A1,DIV_05Data!$A$1:$DZU$1000000,562,FALSE)</f>
        <v>#N/A</v>
      </c>
    </row>
    <row r="34" spans="1:17" x14ac:dyDescent="0.35">
      <c r="A34" s="265" t="e">
        <f>VLOOKUP(A1,DIV_05Data!$A$1:$DZU$1000000,563,FALSE)</f>
        <v>#N/A</v>
      </c>
      <c r="B34" s="37" t="e">
        <f>VLOOKUP(A1,DIV_05Data!$A$1:$DZU$1000000,564,FALSE)</f>
        <v>#N/A</v>
      </c>
      <c r="C34" s="38" t="e">
        <f>VLOOKUP(A1,DIV_05Data!$A$1:$DZU$1000000,565,FALSE)</f>
        <v>#N/A</v>
      </c>
      <c r="D34" s="31" t="e">
        <f>VLOOKUP(A1,DIV_05Data!$A$1:$DZU$1000000,566,FALSE)</f>
        <v>#N/A</v>
      </c>
      <c r="E34" s="32" t="e">
        <f>VLOOKUP(A1,DIV_05Data!$A$1:$DZU$1000000,567,FALSE)</f>
        <v>#N/A</v>
      </c>
      <c r="F34" s="34" t="e">
        <f>VLOOKUP(A1,DIV_05Data!$A$1:$DZU$1000000,568,FALSE)</f>
        <v>#N/A</v>
      </c>
      <c r="G34" s="33" t="e">
        <f>VLOOKUP(A1,DIV_05Data!$A$1:$DZU$1000000,569,FALSE)</f>
        <v>#N/A</v>
      </c>
      <c r="H34" s="34" t="e">
        <f>VLOOKUP(A1,DIV_05Data!$A$1:$DZU$1000000,570,FALSE)</f>
        <v>#N/A</v>
      </c>
      <c r="I34" s="33" t="e">
        <f>VLOOKUP(A1,DIV_05Data!$A$1:$DZU$1000000,571,FALSE)</f>
        <v>#N/A</v>
      </c>
      <c r="J34" s="34" t="e">
        <f>VLOOKUP(A1,DIV_05Data!$A$1:$DZU$1000000,572,FALSE)</f>
        <v>#N/A</v>
      </c>
      <c r="K34" s="34" t="e">
        <f>VLOOKUP(A1,DIV_05Data!$A$1:$DZU$1000000,573,FALSE)</f>
        <v>#N/A</v>
      </c>
      <c r="L34" s="93" t="e">
        <f>VLOOKUP(A1,DIV_05Data!$A$1:$DZU$1000000,574,FALSE)</f>
        <v>#N/A</v>
      </c>
      <c r="M34" s="33" t="e">
        <f>VLOOKUP(A1,DIV_05Data!$A$1:$DZU$1000000,575,FALSE)</f>
        <v>#N/A</v>
      </c>
      <c r="N34" s="34" t="e">
        <f>VLOOKUP(A1,DIV_05Data!$A$1:$DZU$1000000,576,FALSE)</f>
        <v>#N/A</v>
      </c>
      <c r="O34" s="33" t="e">
        <f>VLOOKUP(A1,DIV_05Data!$A$1:$DZU$1000000,577,FALSE)</f>
        <v>#N/A</v>
      </c>
      <c r="P34" s="116" t="e">
        <f>VLOOKUP(A1,DIV_05Data!$A$1:$DZU$1000000,578,FALSE)</f>
        <v>#N/A</v>
      </c>
      <c r="Q34" s="268" t="e">
        <f>VLOOKUP(A1,DIV_05Data!$A$1:$DZU$1000000,579,FALSE)</f>
        <v>#N/A</v>
      </c>
    </row>
    <row r="35" spans="1:17" x14ac:dyDescent="0.35">
      <c r="A35" s="265" t="e">
        <f>VLOOKUP(A1,DIV_05Data!$A$1:$DZU$1000000,580,FALSE)</f>
        <v>#N/A</v>
      </c>
      <c r="B35" s="37" t="e">
        <f>VLOOKUP(A1,DIV_05Data!$A$1:$DZU$1000000,581,FALSE)</f>
        <v>#N/A</v>
      </c>
      <c r="C35" s="38" t="e">
        <f>VLOOKUP(A1,DIV_05Data!$A$1:$DZU$1000000,582,FALSE)</f>
        <v>#N/A</v>
      </c>
      <c r="D35" s="31" t="e">
        <f>VLOOKUP(A1,DIV_05Data!$A$1:$DZU$1000000,583,FALSE)</f>
        <v>#N/A</v>
      </c>
      <c r="E35" s="32" t="e">
        <f>VLOOKUP(A1,DIV_05Data!$A$1:$DZU$1000000,584,FALSE)</f>
        <v>#N/A</v>
      </c>
      <c r="F35" s="34" t="e">
        <f>VLOOKUP(A1,DIV_05Data!$A$1:$DZU$1000000,585,FALSE)</f>
        <v>#N/A</v>
      </c>
      <c r="G35" s="33" t="e">
        <f>VLOOKUP(A1,DIV_05Data!$A$1:$DZU$1000000,586,FALSE)</f>
        <v>#N/A</v>
      </c>
      <c r="H35" s="34" t="e">
        <f>VLOOKUP(A1,DIV_05Data!$A$1:$DZU$1000000,587,FALSE)</f>
        <v>#N/A</v>
      </c>
      <c r="I35" s="33" t="e">
        <f>VLOOKUP(A1,DIV_05Data!$A$1:$DZU$1000000,588,FALSE)</f>
        <v>#N/A</v>
      </c>
      <c r="J35" s="34" t="e">
        <f>VLOOKUP(A1,DIV_05Data!$A$1:$DZU$1000000,589,FALSE)</f>
        <v>#N/A</v>
      </c>
      <c r="K35" s="34" t="e">
        <f>VLOOKUP(A1,DIV_05Data!$A$1:$DZU$1000000,590,FALSE)</f>
        <v>#N/A</v>
      </c>
      <c r="L35" s="93" t="e">
        <f>VLOOKUP(A1,DIV_05Data!$A$1:$DZU$1000000,591,FALSE)</f>
        <v>#N/A</v>
      </c>
      <c r="M35" s="33" t="e">
        <f>VLOOKUP(A1,DIV_05Data!$A$1:$DZU$1000000,592,FALSE)</f>
        <v>#N/A</v>
      </c>
      <c r="N35" s="34" t="e">
        <f>VLOOKUP(A1,DIV_05Data!$A$1:$DZU$1000000,593,FALSE)</f>
        <v>#N/A</v>
      </c>
      <c r="O35" s="33" t="e">
        <f>VLOOKUP(A1,DIV_05Data!$A$1:$DZU$1000000,594,FALSE)</f>
        <v>#N/A</v>
      </c>
      <c r="P35" s="116" t="e">
        <f>VLOOKUP(A1,DIV_05Data!$A$1:$DZU$1000000,595,FALSE)</f>
        <v>#N/A</v>
      </c>
      <c r="Q35" s="268" t="e">
        <f>VLOOKUP(A1,DIV_05Data!$A$1:$DZU$1000000,596,FALSE)</f>
        <v>#N/A</v>
      </c>
    </row>
    <row r="36" spans="1:17" x14ac:dyDescent="0.35">
      <c r="A36" s="265" t="e">
        <f>VLOOKUP(A1,DIV_05Data!$A$1:$DZU$1000000,597,FALSE)</f>
        <v>#N/A</v>
      </c>
      <c r="B36" s="37" t="e">
        <f>VLOOKUP(A1,DIV_05Data!$A$1:$DZU$1000000,598,FALSE)</f>
        <v>#N/A</v>
      </c>
      <c r="C36" s="38" t="e">
        <f>VLOOKUP(A1,DIV_05Data!$A$1:$DZU$1000000,599,FALSE)</f>
        <v>#N/A</v>
      </c>
      <c r="D36" s="31" t="e">
        <f>VLOOKUP(A1,DIV_05Data!$A$1:$DZU$1000000,600,FALSE)</f>
        <v>#N/A</v>
      </c>
      <c r="E36" s="32" t="e">
        <f>VLOOKUP(A1,DIV_05Data!$A$1:$DZU$1000000,601,FALSE)</f>
        <v>#N/A</v>
      </c>
      <c r="F36" s="34" t="e">
        <f>VLOOKUP(A1,DIV_05Data!$A$1:$DZU$1000000,602,FALSE)</f>
        <v>#N/A</v>
      </c>
      <c r="G36" s="33" t="e">
        <f>VLOOKUP(A1,DIV_05Data!$A$1:$DZU$1000000,603,FALSE)</f>
        <v>#N/A</v>
      </c>
      <c r="H36" s="34" t="e">
        <f>VLOOKUP(A1,DIV_05Data!$A$1:$DZU$1000000,604,FALSE)</f>
        <v>#N/A</v>
      </c>
      <c r="I36" s="33" t="e">
        <f>VLOOKUP(A1,DIV_05Data!$A$1:$DZU$1000000,605,FALSE)</f>
        <v>#N/A</v>
      </c>
      <c r="J36" s="34" t="e">
        <f>VLOOKUP(A1,DIV_05Data!$A$1:$DZU$1000000,606,FALSE)</f>
        <v>#N/A</v>
      </c>
      <c r="K36" s="34" t="e">
        <f>VLOOKUP(A1,DIV_05Data!$A$1:$DZU$1000000,607,FALSE)</f>
        <v>#N/A</v>
      </c>
      <c r="L36" s="93" t="e">
        <f>VLOOKUP(A1,DIV_05Data!$A$1:$DZU$1000000,608,FALSE)</f>
        <v>#N/A</v>
      </c>
      <c r="M36" s="33" t="e">
        <f>VLOOKUP(A1,DIV_05Data!$A$1:$DZU$1000000,609,FALSE)</f>
        <v>#N/A</v>
      </c>
      <c r="N36" s="34" t="e">
        <f>VLOOKUP(A1,DIV_05Data!$A$1:$DZU$1000000,610,FALSE)</f>
        <v>#N/A</v>
      </c>
      <c r="O36" s="33" t="e">
        <f>VLOOKUP(A1,DIV_05Data!$A$1:$DZU$1000000,611,FALSE)</f>
        <v>#N/A</v>
      </c>
      <c r="P36" s="116" t="e">
        <f>VLOOKUP(A1,DIV_05Data!$A$1:$DZU$1000000,612,FALSE)</f>
        <v>#N/A</v>
      </c>
      <c r="Q36" s="268" t="e">
        <f>VLOOKUP(A1,DIV_05Data!$A$1:$DZU$1000000,613,FALSE)</f>
        <v>#N/A</v>
      </c>
    </row>
    <row r="37" spans="1:17" x14ac:dyDescent="0.35">
      <c r="A37" s="265" t="e">
        <f>VLOOKUP(A1,DIV_05Data!$A$1:$DZU$1000000,614,FALSE)</f>
        <v>#N/A</v>
      </c>
      <c r="B37" s="37" t="e">
        <f>VLOOKUP(A1,DIV_05Data!$A$1:$DZU$1000000,615,FALSE)</f>
        <v>#N/A</v>
      </c>
      <c r="C37" s="38" t="e">
        <f>VLOOKUP(A1,DIV_05Data!$A$1:$DZU$1000000,616,FALSE)</f>
        <v>#N/A</v>
      </c>
      <c r="D37" s="31" t="e">
        <f>VLOOKUP(A1,DIV_05Data!$A$1:$DZU$1000000,617,FALSE)</f>
        <v>#N/A</v>
      </c>
      <c r="E37" s="32" t="e">
        <f>VLOOKUP(A1,DIV_05Data!$A$1:$DZU$1000000,618,FALSE)</f>
        <v>#N/A</v>
      </c>
      <c r="F37" s="34" t="e">
        <f>VLOOKUP(A1,DIV_05Data!$A$1:$DZU$1000000,619,FALSE)</f>
        <v>#N/A</v>
      </c>
      <c r="G37" s="33" t="e">
        <f>VLOOKUP(A1,DIV_05Data!$A$1:$DZU$1000000,620,FALSE)</f>
        <v>#N/A</v>
      </c>
      <c r="H37" s="34" t="e">
        <f>VLOOKUP(A1,DIV_05Data!$A$1:$DZU$1000000,621,FALSE)</f>
        <v>#N/A</v>
      </c>
      <c r="I37" s="33" t="e">
        <f>VLOOKUP(A1,DIV_05Data!$A$1:$DZU$1000000,622,FALSE)</f>
        <v>#N/A</v>
      </c>
      <c r="J37" s="34" t="e">
        <f>VLOOKUP(A1,DIV_05Data!$A$1:$DZU$1000000,623,FALSE)</f>
        <v>#N/A</v>
      </c>
      <c r="K37" s="34" t="e">
        <f>VLOOKUP(A1,DIV_05Data!$A$1:$DZU$1000000,624,FALSE)</f>
        <v>#N/A</v>
      </c>
      <c r="L37" s="93" t="e">
        <f>VLOOKUP(A1,DIV_05Data!$A$1:$DZU$1000000,625,FALSE)</f>
        <v>#N/A</v>
      </c>
      <c r="M37" s="33" t="e">
        <f>VLOOKUP(A1,DIV_05Data!$A$1:$DZU$1000000,626,FALSE)</f>
        <v>#N/A</v>
      </c>
      <c r="N37" s="34" t="e">
        <f>VLOOKUP(A1,DIV_05Data!$A$1:$DZU$1000000,627,FALSE)</f>
        <v>#N/A</v>
      </c>
      <c r="O37" s="33" t="e">
        <f>VLOOKUP(A1,DIV_05Data!$A$1:$DZU$1000000,628,FALSE)</f>
        <v>#N/A</v>
      </c>
      <c r="P37" s="116" t="e">
        <f>VLOOKUP(A1,DIV_05Data!$A$1:$DZU$1000000,629,FALSE)</f>
        <v>#N/A</v>
      </c>
      <c r="Q37" s="268" t="e">
        <f>VLOOKUP(A1,DIV_05Data!$A$1:$DZU$1000000,630,FALSE)</f>
        <v>#N/A</v>
      </c>
    </row>
    <row r="38" spans="1:17" x14ac:dyDescent="0.35">
      <c r="A38" s="265" t="e">
        <f>VLOOKUP(A1,DIV_05Data!$A$1:$DZU$1000000,631,FALSE)</f>
        <v>#N/A</v>
      </c>
      <c r="B38" s="37" t="e">
        <f>VLOOKUP(A1,DIV_05Data!$A$1:$DZU$1000000,632,FALSE)</f>
        <v>#N/A</v>
      </c>
      <c r="C38" s="38" t="e">
        <f>VLOOKUP(A1,DIV_05Data!$A$1:$DZU$1000000,633,FALSE)</f>
        <v>#N/A</v>
      </c>
      <c r="D38" s="31" t="e">
        <f>VLOOKUP(A1,DIV_05Data!$A$1:$DZU$1000000,634,FALSE)</f>
        <v>#N/A</v>
      </c>
      <c r="E38" s="32" t="e">
        <f>VLOOKUP(A1,DIV_05Data!$A$1:$DZU$1000000,635,FALSE)</f>
        <v>#N/A</v>
      </c>
      <c r="F38" s="34" t="e">
        <f>VLOOKUP(A1,DIV_05Data!$A$1:$DZU$1000000,636,FALSE)</f>
        <v>#N/A</v>
      </c>
      <c r="G38" s="33" t="e">
        <f>VLOOKUP(A1,DIV_05Data!$A$1:$DZU$1000000,637,FALSE)</f>
        <v>#N/A</v>
      </c>
      <c r="H38" s="34" t="e">
        <f>VLOOKUP(A1,DIV_05Data!$A$1:$DZU$1000000,638,FALSE)</f>
        <v>#N/A</v>
      </c>
      <c r="I38" s="33" t="e">
        <f>VLOOKUP(A1,DIV_05Data!$A$1:$DZU$1000000,639,FALSE)</f>
        <v>#N/A</v>
      </c>
      <c r="J38" s="34" t="e">
        <f>VLOOKUP(A1,DIV_05Data!$A$1:$DZU$1000000,640,FALSE)</f>
        <v>#N/A</v>
      </c>
      <c r="K38" s="34" t="e">
        <f>VLOOKUP(A1,DIV_05Data!$A$1:$DZU$1000000,641,FALSE)</f>
        <v>#N/A</v>
      </c>
      <c r="L38" s="93" t="e">
        <f>VLOOKUP(A1,DIV_05Data!$A$1:$DZU$1000000,642,FALSE)</f>
        <v>#N/A</v>
      </c>
      <c r="M38" s="33" t="e">
        <f>VLOOKUP(A1,DIV_05Data!$A$1:$DZU$1000000,643,FALSE)</f>
        <v>#N/A</v>
      </c>
      <c r="N38" s="34" t="e">
        <f>VLOOKUP(A1,DIV_05Data!$A$1:$DZU$1000000,644,FALSE)</f>
        <v>#N/A</v>
      </c>
      <c r="O38" s="33" t="e">
        <f>VLOOKUP(A1,DIV_05Data!$A$1:$DZU$1000000,645,FALSE)</f>
        <v>#N/A</v>
      </c>
      <c r="P38" s="116" t="e">
        <f>VLOOKUP(A1,DIV_05Data!$A$1:$DZU$1000000,646,FALSE)</f>
        <v>#N/A</v>
      </c>
      <c r="Q38" s="268" t="e">
        <f>VLOOKUP(A1,DIV_05Data!$A$1:$DZU$1000000,647,FALSE)</f>
        <v>#N/A</v>
      </c>
    </row>
    <row r="39" spans="1:17" x14ac:dyDescent="0.35">
      <c r="A39" s="265" t="e">
        <f>VLOOKUP(A1,DIV_05Data!$A$1:$DZU$1000000,648,FALSE)</f>
        <v>#N/A</v>
      </c>
      <c r="B39" s="37" t="e">
        <f>VLOOKUP(A1,DIV_05Data!$A$1:$DZU$1000000,649,FALSE)</f>
        <v>#N/A</v>
      </c>
      <c r="C39" s="38" t="e">
        <f>VLOOKUP(A1,DIV_05Data!$A$1:$DZU$1000000,650,FALSE)</f>
        <v>#N/A</v>
      </c>
      <c r="D39" s="31" t="e">
        <f>VLOOKUP(A1,DIV_05Data!$A$1:$DZU$1000000,651,FALSE)</f>
        <v>#N/A</v>
      </c>
      <c r="E39" s="32" t="e">
        <f>VLOOKUP(A1,DIV_05Data!$A$1:$DZU$1000000,652,FALSE)</f>
        <v>#N/A</v>
      </c>
      <c r="F39" s="34" t="e">
        <f>VLOOKUP(A1,DIV_05Data!$A$1:$DZU$1000000,653,FALSE)</f>
        <v>#N/A</v>
      </c>
      <c r="G39" s="33" t="e">
        <f>VLOOKUP(A1,DIV_05Data!$A$1:$DZU$1000000,654,FALSE)</f>
        <v>#N/A</v>
      </c>
      <c r="H39" s="34" t="e">
        <f>VLOOKUP(A1,DIV_05Data!$A$1:$DZU$1000000,655,FALSE)</f>
        <v>#N/A</v>
      </c>
      <c r="I39" s="33" t="e">
        <f>VLOOKUP(A1,DIV_05Data!$A$1:$DZU$1000000,656,FALSE)</f>
        <v>#N/A</v>
      </c>
      <c r="J39" s="34" t="e">
        <f>VLOOKUP(A1,DIV_05Data!$A$1:$DZU$1000000,657,FALSE)</f>
        <v>#N/A</v>
      </c>
      <c r="K39" s="34" t="e">
        <f>VLOOKUP(A1,DIV_05Data!$A$1:$DZU$1000000,658,FALSE)</f>
        <v>#N/A</v>
      </c>
      <c r="L39" s="93" t="e">
        <f>VLOOKUP(A1,DIV_05Data!$A$1:$DZU$1000000,659,FALSE)</f>
        <v>#N/A</v>
      </c>
      <c r="M39" s="33" t="e">
        <f>VLOOKUP(A1,DIV_05Data!$A$1:$DZU$1000000,660,FALSE)</f>
        <v>#N/A</v>
      </c>
      <c r="N39" s="34" t="e">
        <f>VLOOKUP(A1,DIV_05Data!$A$1:$DZU$1000000,661,FALSE)</f>
        <v>#N/A</v>
      </c>
      <c r="O39" s="33" t="e">
        <f>VLOOKUP(A1,DIV_05Data!$A$1:$DZU$1000000,662,FALSE)</f>
        <v>#N/A</v>
      </c>
      <c r="P39" s="116" t="e">
        <f>VLOOKUP(A1,DIV_05Data!$A$1:$DZU$1000000,663,FALSE)</f>
        <v>#N/A</v>
      </c>
      <c r="Q39" s="268" t="e">
        <f>VLOOKUP(A1,DIV_05Data!$A$1:$DZU$1000000,664,FALSE)</f>
        <v>#N/A</v>
      </c>
    </row>
    <row r="40" spans="1:17" x14ac:dyDescent="0.35">
      <c r="A40" s="265" t="e">
        <f>VLOOKUP(A1,DIV_05Data!$A$1:$DZU$1000000,665,FALSE)</f>
        <v>#N/A</v>
      </c>
      <c r="B40" s="37" t="e">
        <f>VLOOKUP(A1,DIV_05Data!$A$1:$DZU$1000000,666,FALSE)</f>
        <v>#N/A</v>
      </c>
      <c r="C40" s="38" t="e">
        <f>VLOOKUP(A1,DIV_05Data!$A$1:$DZU$1000000,667,FALSE)</f>
        <v>#N/A</v>
      </c>
      <c r="D40" s="31" t="e">
        <f>VLOOKUP(A1,DIV_05Data!$A$1:$DZU$1000000,668,FALSE)</f>
        <v>#N/A</v>
      </c>
      <c r="E40" s="32" t="e">
        <f>VLOOKUP(A1,DIV_05Data!$A$1:$DZU$1000000,669,FALSE)</f>
        <v>#N/A</v>
      </c>
      <c r="F40" s="34" t="e">
        <f>VLOOKUP(A1,DIV_05Data!$A$1:$DZU$1000000,670,FALSE)</f>
        <v>#N/A</v>
      </c>
      <c r="G40" s="33" t="e">
        <f>VLOOKUP(A1,DIV_05Data!$A$1:$DZU$1000000,671,FALSE)</f>
        <v>#N/A</v>
      </c>
      <c r="H40" s="34" t="e">
        <f>VLOOKUP(A1,DIV_05Data!$A$1:$DZU$1000000,672,FALSE)</f>
        <v>#N/A</v>
      </c>
      <c r="I40" s="33" t="e">
        <f>VLOOKUP(A1,DIV_05Data!$A$1:$DZU$1000000,673,FALSE)</f>
        <v>#N/A</v>
      </c>
      <c r="J40" s="34" t="e">
        <f>VLOOKUP(A1,DIV_05Data!$A$1:$DZU$1000000,674,FALSE)</f>
        <v>#N/A</v>
      </c>
      <c r="K40" s="34" t="e">
        <f>VLOOKUP(A1,DIV_05Data!$A$1:$DZU$1000000,675,FALSE)</f>
        <v>#N/A</v>
      </c>
      <c r="L40" s="93" t="e">
        <f>VLOOKUP(A1,DIV_05Data!$A$1:$DZU$1000000,676,FALSE)</f>
        <v>#N/A</v>
      </c>
      <c r="M40" s="33" t="e">
        <f>VLOOKUP(A1,DIV_05Data!$A$1:$DZU$1000000,677,FALSE)</f>
        <v>#N/A</v>
      </c>
      <c r="N40" s="34" t="e">
        <f>VLOOKUP(A1,DIV_05Data!$A$1:$DZU$1000000,678,FALSE)</f>
        <v>#N/A</v>
      </c>
      <c r="O40" s="33" t="e">
        <f>VLOOKUP(A1,DIV_05Data!$A$1:$DZU$1000000,679,FALSE)</f>
        <v>#N/A</v>
      </c>
      <c r="P40" s="116" t="e">
        <f>VLOOKUP(A1,DIV_05Data!$A$1:$DZU$1000000,680,FALSE)</f>
        <v>#N/A</v>
      </c>
      <c r="Q40" s="268" t="e">
        <f>VLOOKUP(A1,DIV_05Data!$A$1:$DZU$1000000,681,FALSE)</f>
        <v>#N/A</v>
      </c>
    </row>
    <row r="41" spans="1:17" x14ac:dyDescent="0.35">
      <c r="A41" s="265" t="e">
        <f>VLOOKUP(A1,DIV_05Data!$A$1:$DZU$1000000,682,FALSE)</f>
        <v>#N/A</v>
      </c>
      <c r="B41" s="37" t="e">
        <f>VLOOKUP(A1,DIV_05Data!$A$1:$DZU$1000000,683,FALSE)</f>
        <v>#N/A</v>
      </c>
      <c r="C41" s="38" t="e">
        <f>VLOOKUP(A1,DIV_05Data!$A$1:$DZU$1000000,684,FALSE)</f>
        <v>#N/A</v>
      </c>
      <c r="D41" s="31" t="e">
        <f>VLOOKUP(A1,DIV_05Data!$A$1:$DZU$1000000,685,FALSE)</f>
        <v>#N/A</v>
      </c>
      <c r="E41" s="32" t="e">
        <f>VLOOKUP(A1,DIV_05Data!$A$1:$DZU$1000000,686,FALSE)</f>
        <v>#N/A</v>
      </c>
      <c r="F41" s="34" t="e">
        <f>VLOOKUP(A1,DIV_05Data!$A$1:$DZU$1000000,687,FALSE)</f>
        <v>#N/A</v>
      </c>
      <c r="G41" s="33" t="e">
        <f>VLOOKUP(A1,DIV_05Data!$A$1:$DZU$1000000,688,FALSE)</f>
        <v>#N/A</v>
      </c>
      <c r="H41" s="34" t="e">
        <f>VLOOKUP(A1,DIV_05Data!$A$1:$DZU$1000000,689,FALSE)</f>
        <v>#N/A</v>
      </c>
      <c r="I41" s="33" t="e">
        <f>VLOOKUP(A1,DIV_05Data!$A$1:$DZU$1000000,690,FALSE)</f>
        <v>#N/A</v>
      </c>
      <c r="J41" s="34" t="e">
        <f>VLOOKUP(A1,DIV_05Data!$A$1:$DZU$1000000,691,FALSE)</f>
        <v>#N/A</v>
      </c>
      <c r="K41" s="34" t="e">
        <f>VLOOKUP(A1,DIV_05Data!$A$1:$DZU$1000000,692,FALSE)</f>
        <v>#N/A</v>
      </c>
      <c r="L41" s="93" t="e">
        <f>VLOOKUP(A1,DIV_05Data!$A$1:$DZU$1000000,693,FALSE)</f>
        <v>#N/A</v>
      </c>
      <c r="M41" s="33" t="e">
        <f>VLOOKUP(A1,DIV_05Data!$A$1:$DZU$1000000,694,FALSE)</f>
        <v>#N/A</v>
      </c>
      <c r="N41" s="34" t="e">
        <f>VLOOKUP(A1,DIV_05Data!$A$1:$DZU$1000000,695,FALSE)</f>
        <v>#N/A</v>
      </c>
      <c r="O41" s="33" t="e">
        <f>VLOOKUP(A1,DIV_05Data!$A$1:$DZU$1000000,696,FALSE)</f>
        <v>#N/A</v>
      </c>
      <c r="P41" s="116" t="e">
        <f>VLOOKUP(A1,DIV_05Data!$A$1:$DZU$1000000,697,FALSE)</f>
        <v>#N/A</v>
      </c>
      <c r="Q41" s="268" t="e">
        <f>VLOOKUP(A1,DIV_05Data!$A$1:$DZU$1000000,698,FALSE)</f>
        <v>#N/A</v>
      </c>
    </row>
    <row r="42" spans="1:17" x14ac:dyDescent="0.35">
      <c r="A42" s="265" t="e">
        <f>VLOOKUP(A1,DIV_05Data!$A$1:$DZU$1000000,699,FALSE)</f>
        <v>#N/A</v>
      </c>
      <c r="B42" s="37" t="e">
        <f>VLOOKUP(A1,DIV_05Data!$A$1:$DZU$1000000,700,FALSE)</f>
        <v>#N/A</v>
      </c>
      <c r="C42" s="38" t="e">
        <f>VLOOKUP(A1,DIV_05Data!$A$1:$DZU$1000000,701,FALSE)</f>
        <v>#N/A</v>
      </c>
      <c r="D42" s="31" t="e">
        <f>VLOOKUP(A1,DIV_05Data!$A$1:$DZU$1000000,702,FALSE)</f>
        <v>#N/A</v>
      </c>
      <c r="E42" s="32" t="e">
        <f>VLOOKUP(A1,DIV_05Data!$A$1:$DZU$1000000,703,FALSE)</f>
        <v>#N/A</v>
      </c>
      <c r="F42" s="34" t="e">
        <f>VLOOKUP(A1,DIV_05Data!$A$1:$DZU$1000000,704,FALSE)</f>
        <v>#N/A</v>
      </c>
      <c r="G42" s="33" t="e">
        <f>VLOOKUP(A1,DIV_05Data!$A$1:$DZU$1000000,705,FALSE)</f>
        <v>#N/A</v>
      </c>
      <c r="H42" s="34" t="e">
        <f>VLOOKUP(A1,DIV_05Data!$A$1:$DZU$1000000,706,FALSE)</f>
        <v>#N/A</v>
      </c>
      <c r="I42" s="33" t="e">
        <f>VLOOKUP(A1,DIV_05Data!$A$1:$DZU$1000000,707,FALSE)</f>
        <v>#N/A</v>
      </c>
      <c r="J42" s="34" t="e">
        <f>VLOOKUP(A1,DIV_05Data!$A$1:$DZU$1000000,708,FALSE)</f>
        <v>#N/A</v>
      </c>
      <c r="K42" s="34" t="e">
        <f>VLOOKUP(A1,DIV_05Data!$A$1:$DZU$1000000,709,FALSE)</f>
        <v>#N/A</v>
      </c>
      <c r="L42" s="93" t="e">
        <f>VLOOKUP(A1,DIV_05Data!$A$1:$DZU$1000000,710,FALSE)</f>
        <v>#N/A</v>
      </c>
      <c r="M42" s="33" t="e">
        <f>VLOOKUP(A1,DIV_05Data!$A$1:$DZU$1000000,711,FALSE)</f>
        <v>#N/A</v>
      </c>
      <c r="N42" s="34" t="e">
        <f>VLOOKUP(A1,DIV_05Data!$A$1:$DZU$1000000,712,FALSE)</f>
        <v>#N/A</v>
      </c>
      <c r="O42" s="33" t="e">
        <f>VLOOKUP(A1,DIV_05Data!$A$1:$DZU$1000000,713,FALSE)</f>
        <v>#N/A</v>
      </c>
      <c r="P42" s="116" t="e">
        <f>VLOOKUP(A1,DIV_05Data!$A$1:$DZU$1000000,714,FALSE)</f>
        <v>#N/A</v>
      </c>
      <c r="Q42" s="268" t="e">
        <f>VLOOKUP(A1,DIV_05Data!$A$1:$DZU$1000000,715,FALSE)</f>
        <v>#N/A</v>
      </c>
    </row>
    <row r="43" spans="1:17" x14ac:dyDescent="0.35">
      <c r="A43" s="265" t="e">
        <f>VLOOKUP(A1,DIV_05Data!$A$1:$DZU$1000000,716,FALSE)</f>
        <v>#N/A</v>
      </c>
      <c r="B43" s="37" t="e">
        <f>VLOOKUP(A1,DIV_05Data!$A$1:$DZU$1000000,717,FALSE)</f>
        <v>#N/A</v>
      </c>
      <c r="C43" s="38" t="e">
        <f>VLOOKUP(A1,DIV_05Data!$A$1:$DZU$1000000,718,FALSE)</f>
        <v>#N/A</v>
      </c>
      <c r="D43" s="31" t="e">
        <f>VLOOKUP(A1,DIV_05Data!$A$1:$DZU$1000000,719,FALSE)</f>
        <v>#N/A</v>
      </c>
      <c r="E43" s="32" t="e">
        <f>VLOOKUP(A1,DIV_05Data!$A$1:$DZU$1000000,720,FALSE)</f>
        <v>#N/A</v>
      </c>
      <c r="F43" s="34" t="e">
        <f>VLOOKUP(A1,DIV_05Data!$A$1:$DZU$1000000,721,FALSE)</f>
        <v>#N/A</v>
      </c>
      <c r="G43" s="33" t="e">
        <f>VLOOKUP(A1,DIV_05Data!$A$1:$DZU$1000000,722,FALSE)</f>
        <v>#N/A</v>
      </c>
      <c r="H43" s="34" t="e">
        <f>VLOOKUP(A1,DIV_05Data!$A$1:$DZU$1000000,723,FALSE)</f>
        <v>#N/A</v>
      </c>
      <c r="I43" s="33" t="e">
        <f>VLOOKUP(A1,DIV_05Data!$A$1:$DZU$1000000,724,FALSE)</f>
        <v>#N/A</v>
      </c>
      <c r="J43" s="34" t="e">
        <f>VLOOKUP(A1,DIV_05Data!$A$1:$DZU$1000000,725,FALSE)</f>
        <v>#N/A</v>
      </c>
      <c r="K43" s="34" t="e">
        <f>VLOOKUP(A1,DIV_05Data!$A$1:$DZU$1000000,726,FALSE)</f>
        <v>#N/A</v>
      </c>
      <c r="L43" s="93" t="e">
        <f>VLOOKUP(A1,DIV_05Data!$A$1:$DZU$1000000,727,FALSE)</f>
        <v>#N/A</v>
      </c>
      <c r="M43" s="33" t="e">
        <f>VLOOKUP(A1,DIV_05Data!$A$1:$DZU$1000000,728,FALSE)</f>
        <v>#N/A</v>
      </c>
      <c r="N43" s="34" t="e">
        <f>VLOOKUP(A1,DIV_05Data!$A$1:$DZU$1000000,729,FALSE)</f>
        <v>#N/A</v>
      </c>
      <c r="O43" s="33" t="e">
        <f>VLOOKUP(A1,DIV_05Data!$A$1:$DZU$1000000,730,FALSE)</f>
        <v>#N/A</v>
      </c>
      <c r="P43" s="116" t="e">
        <f>VLOOKUP(A1,DIV_05Data!$A$1:$DZU$1000000,731,FALSE)</f>
        <v>#N/A</v>
      </c>
      <c r="Q43" s="268" t="e">
        <f>VLOOKUP(A1,DIV_05Data!$A$1:$DZU$1000000,732,FALSE)</f>
        <v>#N/A</v>
      </c>
    </row>
    <row r="44" spans="1:17" x14ac:dyDescent="0.35">
      <c r="A44" s="265" t="e">
        <f>VLOOKUP(A1,DIV_05Data!$A$1:$DZU$1000000,733,FALSE)</f>
        <v>#N/A</v>
      </c>
      <c r="B44" s="37" t="e">
        <f>VLOOKUP(A1,DIV_05Data!$A$1:$DZU$1000000,734,FALSE)</f>
        <v>#N/A</v>
      </c>
      <c r="C44" s="38" t="e">
        <f>VLOOKUP(A1,DIV_05Data!$A$1:$DZU$1000000,735,FALSE)</f>
        <v>#N/A</v>
      </c>
      <c r="D44" s="31" t="e">
        <f>VLOOKUP(A1,DIV_05Data!$A$1:$DZU$1000000,736,FALSE)</f>
        <v>#N/A</v>
      </c>
      <c r="E44" s="32" t="e">
        <f>VLOOKUP(A1,DIV_05Data!$A$1:$DZU$1000000,737,FALSE)</f>
        <v>#N/A</v>
      </c>
      <c r="F44" s="34" t="e">
        <f>VLOOKUP(A1,DIV_05Data!$A$1:$DZU$1000000,738,FALSE)</f>
        <v>#N/A</v>
      </c>
      <c r="G44" s="33" t="e">
        <f>VLOOKUP(A1,DIV_05Data!$A$1:$DZU$1000000,739,FALSE)</f>
        <v>#N/A</v>
      </c>
      <c r="H44" s="34" t="e">
        <f>VLOOKUP(A1,DIV_05Data!$A$1:$DZU$1000000,740,FALSE)</f>
        <v>#N/A</v>
      </c>
      <c r="I44" s="33" t="e">
        <f>VLOOKUP(A1,DIV_05Data!$A$1:$DZU$1000000,741,FALSE)</f>
        <v>#N/A</v>
      </c>
      <c r="J44" s="34" t="e">
        <f>VLOOKUP(A1,DIV_05Data!$A$1:$DZU$1000000,742,FALSE)</f>
        <v>#N/A</v>
      </c>
      <c r="K44" s="34" t="e">
        <f>VLOOKUP(A1,DIV_05Data!$A$1:$DZU$1000000,743,FALSE)</f>
        <v>#N/A</v>
      </c>
      <c r="L44" s="93" t="e">
        <f>VLOOKUP(A1,DIV_05Data!$A$1:$DZU$1000000,744,FALSE)</f>
        <v>#N/A</v>
      </c>
      <c r="M44" s="33" t="e">
        <f>VLOOKUP(A1,DIV_05Data!$A$1:$DZU$1000000,745,FALSE)</f>
        <v>#N/A</v>
      </c>
      <c r="N44" s="34" t="e">
        <f>VLOOKUP(A1,DIV_05Data!$A$1:$DZU$1000000,746,FALSE)</f>
        <v>#N/A</v>
      </c>
      <c r="O44" s="33" t="e">
        <f>VLOOKUP(A1,DIV_05Data!$A$1:$DZU$1000000,747,FALSE)</f>
        <v>#N/A</v>
      </c>
      <c r="P44" s="116" t="e">
        <f>VLOOKUP(A1,DIV_05Data!$A$1:$DZU$1000000,748,FALSE)</f>
        <v>#N/A</v>
      </c>
      <c r="Q44" s="268" t="e">
        <f>VLOOKUP(A1,DIV_05Data!$A$1:$DZU$1000000,749,FALSE)</f>
        <v>#N/A</v>
      </c>
    </row>
    <row r="45" spans="1:17" x14ac:dyDescent="0.35">
      <c r="A45" s="265" t="e">
        <f>VLOOKUP(A1,DIV_05Data!$A$1:$DZU$1000000,750,FALSE)</f>
        <v>#N/A</v>
      </c>
      <c r="B45" s="37" t="e">
        <f>VLOOKUP(A1,DIV_05Data!$A$1:$DZU$1000000,751,FALSE)</f>
        <v>#N/A</v>
      </c>
      <c r="C45" s="38" t="e">
        <f>VLOOKUP(A1,DIV_05Data!$A$1:$DZU$1000000,752,FALSE)</f>
        <v>#N/A</v>
      </c>
      <c r="D45" s="31" t="e">
        <f>VLOOKUP(A1,DIV_05Data!$A$1:$DZU$1000000,753,FALSE)</f>
        <v>#N/A</v>
      </c>
      <c r="E45" s="32" t="e">
        <f>VLOOKUP(A1,DIV_05Data!$A$1:$DZU$1000000,754,FALSE)</f>
        <v>#N/A</v>
      </c>
      <c r="F45" s="34" t="e">
        <f>VLOOKUP(A1,DIV_05Data!$A$1:$DZU$1000000,755,FALSE)</f>
        <v>#N/A</v>
      </c>
      <c r="G45" s="33" t="e">
        <f>VLOOKUP(A1,DIV_05Data!$A$1:$DZU$1000000,756,FALSE)</f>
        <v>#N/A</v>
      </c>
      <c r="H45" s="34" t="e">
        <f>VLOOKUP(A1,DIV_05Data!$A$1:$DZU$1000000,757,FALSE)</f>
        <v>#N/A</v>
      </c>
      <c r="I45" s="33" t="e">
        <f>VLOOKUP(A1,DIV_05Data!$A$1:$DZU$1000000,758,FALSE)</f>
        <v>#N/A</v>
      </c>
      <c r="J45" s="34" t="e">
        <f>VLOOKUP(A1,DIV_05Data!$A$1:$DZU$1000000,759,FALSE)</f>
        <v>#N/A</v>
      </c>
      <c r="K45" s="34" t="e">
        <f>VLOOKUP(A1,DIV_05Data!$A$1:$DZU$1000000,760,FALSE)</f>
        <v>#N/A</v>
      </c>
      <c r="L45" s="93" t="e">
        <f>VLOOKUP(A1,DIV_05Data!$A$1:$DZU$1000000,761,FALSE)</f>
        <v>#N/A</v>
      </c>
      <c r="M45" s="33" t="e">
        <f>VLOOKUP(A1,DIV_05Data!$A$1:$DZU$1000000,762,FALSE)</f>
        <v>#N/A</v>
      </c>
      <c r="N45" s="34" t="e">
        <f>VLOOKUP(A1,DIV_05Data!$A$1:$DZU$1000000,763,FALSE)</f>
        <v>#N/A</v>
      </c>
      <c r="O45" s="33" t="e">
        <f>VLOOKUP(A1,DIV_05Data!$A$1:$DZU$1000000,764,FALSE)</f>
        <v>#N/A</v>
      </c>
      <c r="P45" s="116" t="e">
        <f>VLOOKUP(A1,DIV_05Data!$A$1:$DZU$1000000,765,FALSE)</f>
        <v>#N/A</v>
      </c>
      <c r="Q45" s="268" t="e">
        <f>VLOOKUP(A1,DIV_05Data!$A$1:$DZU$1000000,766,FALSE)</f>
        <v>#N/A</v>
      </c>
    </row>
    <row r="46" spans="1:17" x14ac:dyDescent="0.35">
      <c r="A46" s="265" t="e">
        <f>VLOOKUP(A1,DIV_05Data!$A$1:$DZU$1000000,767,FALSE)</f>
        <v>#N/A</v>
      </c>
      <c r="B46" s="37" t="e">
        <f>VLOOKUP(A1,DIV_05Data!$A$1:$DZU$1000000,768,FALSE)</f>
        <v>#N/A</v>
      </c>
      <c r="C46" s="38" t="e">
        <f>VLOOKUP(A1,DIV_05Data!$A$1:$DZU$1000000,769,FALSE)</f>
        <v>#N/A</v>
      </c>
      <c r="D46" s="31" t="e">
        <f>VLOOKUP(A1,DIV_05Data!$A$1:$DZU$1000000,770,FALSE)</f>
        <v>#N/A</v>
      </c>
      <c r="E46" s="32" t="e">
        <f>VLOOKUP(A1,DIV_05Data!$A$1:$DZU$1000000,771,FALSE)</f>
        <v>#N/A</v>
      </c>
      <c r="F46" s="34" t="e">
        <f>VLOOKUP(A1,DIV_05Data!$A$1:$DZU$1000000,772,FALSE)</f>
        <v>#N/A</v>
      </c>
      <c r="G46" s="33" t="e">
        <f>VLOOKUP(A1,DIV_05Data!$A$1:$DZU$1000000,773,FALSE)</f>
        <v>#N/A</v>
      </c>
      <c r="H46" s="34" t="e">
        <f>VLOOKUP(A1,DIV_05Data!$A$1:$DZU$1000000,774,FALSE)</f>
        <v>#N/A</v>
      </c>
      <c r="I46" s="33" t="e">
        <f>VLOOKUP(A1,DIV_05Data!$A$1:$DZU$1000000,775,FALSE)</f>
        <v>#N/A</v>
      </c>
      <c r="J46" s="34" t="e">
        <f>VLOOKUP(A1,DIV_05Data!$A$1:$DZU$1000000,776,FALSE)</f>
        <v>#N/A</v>
      </c>
      <c r="K46" s="34" t="e">
        <f>VLOOKUP(A1,DIV_05Data!$A$1:$DZU$1000000,777,FALSE)</f>
        <v>#N/A</v>
      </c>
      <c r="L46" s="93" t="e">
        <f>VLOOKUP(A1,DIV_05Data!$A$1:$DZU$1000000,778,FALSE)</f>
        <v>#N/A</v>
      </c>
      <c r="M46" s="33" t="e">
        <f>VLOOKUP(A1,DIV_05Data!$A$1:$DZU$1000000,779,FALSE)</f>
        <v>#N/A</v>
      </c>
      <c r="N46" s="34" t="e">
        <f>VLOOKUP(A1,DIV_05Data!$A$1:$DZU$1000000,780,FALSE)</f>
        <v>#N/A</v>
      </c>
      <c r="O46" s="33" t="e">
        <f>VLOOKUP(A1,DIV_05Data!$A$1:$DZU$1000000,781,FALSE)</f>
        <v>#N/A</v>
      </c>
      <c r="P46" s="116" t="e">
        <f>VLOOKUP(A1,DIV_05Data!$A$1:$DZU$1000000,782,FALSE)</f>
        <v>#N/A</v>
      </c>
      <c r="Q46" s="268" t="e">
        <f>VLOOKUP(A1,DIV_05Data!$A$1:$DZU$1000000,783,FALSE)</f>
        <v>#N/A</v>
      </c>
    </row>
    <row r="47" spans="1:17" x14ac:dyDescent="0.35">
      <c r="A47" s="265" t="e">
        <f>VLOOKUP(A1,DIV_05Data!$A$1:$DZU$1000000,784,FALSE)</f>
        <v>#N/A</v>
      </c>
      <c r="B47" s="37" t="e">
        <f>VLOOKUP(A1,DIV_05Data!$A$1:$DZU$1000000,785,FALSE)</f>
        <v>#N/A</v>
      </c>
      <c r="C47" s="38" t="e">
        <f>VLOOKUP(A1,DIV_05Data!$A$1:$DZU$1000000,786,FALSE)</f>
        <v>#N/A</v>
      </c>
      <c r="D47" s="31" t="e">
        <f>VLOOKUP(A1,DIV_05Data!$A$1:$DZU$1000000,787,FALSE)</f>
        <v>#N/A</v>
      </c>
      <c r="E47" s="32" t="e">
        <f>VLOOKUP(A1,DIV_05Data!$A$1:$DZU$1000000,788,FALSE)</f>
        <v>#N/A</v>
      </c>
      <c r="F47" s="34" t="e">
        <f>VLOOKUP(A1,DIV_05Data!$A$1:$DZU$1000000,789,FALSE)</f>
        <v>#N/A</v>
      </c>
      <c r="G47" s="33" t="e">
        <f>VLOOKUP(A1,DIV_05Data!$A$1:$DZU$1000000,790,FALSE)</f>
        <v>#N/A</v>
      </c>
      <c r="H47" s="34" t="e">
        <f>VLOOKUP(A1,DIV_05Data!$A$1:$DZU$1000000,791,FALSE)</f>
        <v>#N/A</v>
      </c>
      <c r="I47" s="33" t="e">
        <f>VLOOKUP(A1,DIV_05Data!$A$1:$DZU$1000000,792,FALSE)</f>
        <v>#N/A</v>
      </c>
      <c r="J47" s="34" t="e">
        <f>VLOOKUP(A1,DIV_05Data!$A$1:$DZU$1000000,793,FALSE)</f>
        <v>#N/A</v>
      </c>
      <c r="K47" s="34" t="e">
        <f>VLOOKUP(A1,DIV_05Data!$A$1:$DZU$1000000,794,FALSE)</f>
        <v>#N/A</v>
      </c>
      <c r="L47" s="93" t="e">
        <f>VLOOKUP(A1,DIV_05Data!$A$1:$DZU$1000000,795,FALSE)</f>
        <v>#N/A</v>
      </c>
      <c r="M47" s="33" t="e">
        <f>VLOOKUP(A1,DIV_05Data!$A$1:$DZU$1000000,796,FALSE)</f>
        <v>#N/A</v>
      </c>
      <c r="N47" s="34" t="e">
        <f>VLOOKUP(A1,DIV_05Data!$A$1:$DZU$1000000,797,FALSE)</f>
        <v>#N/A</v>
      </c>
      <c r="O47" s="33" t="e">
        <f>VLOOKUP(A1,DIV_05Data!$A$1:$DZU$1000000,798,FALSE)</f>
        <v>#N/A</v>
      </c>
      <c r="P47" s="116" t="e">
        <f>VLOOKUP(A1,DIV_05Data!$A$1:$DZU$1000000,799,FALSE)</f>
        <v>#N/A</v>
      </c>
      <c r="Q47" s="268" t="e">
        <f>VLOOKUP(A1,DIV_05Data!$A$1:$DZU$1000000,800,FALSE)</f>
        <v>#N/A</v>
      </c>
    </row>
    <row r="48" spans="1:17" x14ac:dyDescent="0.35">
      <c r="A48" s="265" t="e">
        <f>VLOOKUP(A1,DIV_05Data!$A$1:$DZU$1000000,801,FALSE)</f>
        <v>#N/A</v>
      </c>
      <c r="B48" s="37" t="e">
        <f>VLOOKUP(A1,DIV_05Data!$A$1:$DZU$1000000,802,FALSE)</f>
        <v>#N/A</v>
      </c>
      <c r="C48" s="38" t="e">
        <f>VLOOKUP(A1,DIV_05Data!$A$1:$DZU$1000000,803,FALSE)</f>
        <v>#N/A</v>
      </c>
      <c r="D48" s="31" t="e">
        <f>VLOOKUP(A1,DIV_05Data!$A$1:$DZU$1000000,804,FALSE)</f>
        <v>#N/A</v>
      </c>
      <c r="E48" s="32" t="e">
        <f>VLOOKUP(A1,DIV_05Data!$A$1:$DZU$1000000,805,FALSE)</f>
        <v>#N/A</v>
      </c>
      <c r="F48" s="34" t="e">
        <f>VLOOKUP(A1,DIV_05Data!$A$1:$DZU$1000000,806,FALSE)</f>
        <v>#N/A</v>
      </c>
      <c r="G48" s="33" t="e">
        <f>VLOOKUP(A1,DIV_05Data!$A$1:$DZU$1000000,807,FALSE)</f>
        <v>#N/A</v>
      </c>
      <c r="H48" s="34" t="e">
        <f>VLOOKUP(A1,DIV_05Data!$A$1:$DZU$1000000,808,FALSE)</f>
        <v>#N/A</v>
      </c>
      <c r="I48" s="33" t="e">
        <f>VLOOKUP(A1,DIV_05Data!$A$1:$DZU$1000000,809,FALSE)</f>
        <v>#N/A</v>
      </c>
      <c r="J48" s="34" t="e">
        <f>VLOOKUP(A1,DIV_05Data!$A$1:$DZU$1000000,810,FALSE)</f>
        <v>#N/A</v>
      </c>
      <c r="K48" s="34" t="e">
        <f>VLOOKUP(A1,DIV_05Data!$A$1:$DZU$1000000,811,FALSE)</f>
        <v>#N/A</v>
      </c>
      <c r="L48" s="93" t="e">
        <f>VLOOKUP(A1,DIV_05Data!$A$1:$DZU$1000000,812,FALSE)</f>
        <v>#N/A</v>
      </c>
      <c r="M48" s="33" t="e">
        <f>VLOOKUP(A1,DIV_05Data!$A$1:$DZU$1000000,813,FALSE)</f>
        <v>#N/A</v>
      </c>
      <c r="N48" s="34" t="e">
        <f>VLOOKUP(A1,DIV_05Data!$A$1:$DZU$1000000,814,FALSE)</f>
        <v>#N/A</v>
      </c>
      <c r="O48" s="33" t="e">
        <f>VLOOKUP(A1,DIV_05Data!$A$1:$DZU$1000000,815,FALSE)</f>
        <v>#N/A</v>
      </c>
      <c r="P48" s="116" t="e">
        <f>VLOOKUP(A1,DIV_05Data!$A$1:$DZU$1000000,816,FALSE)</f>
        <v>#N/A</v>
      </c>
      <c r="Q48" s="268" t="e">
        <f>VLOOKUP(A1,DIV_05Data!$A$1:$DZU$1000000,817,FALSE)</f>
        <v>#N/A</v>
      </c>
    </row>
    <row r="49" spans="1:17" x14ac:dyDescent="0.35">
      <c r="A49" s="265" t="e">
        <f>VLOOKUP(A1,DIV_05Data!$A$1:$DZU$1000000,818,FALSE)</f>
        <v>#N/A</v>
      </c>
      <c r="B49" s="37" t="e">
        <f>VLOOKUP(A1,DIV_05Data!$A$1:$DZU$1000000,819,FALSE)</f>
        <v>#N/A</v>
      </c>
      <c r="C49" s="38" t="e">
        <f>VLOOKUP(A1,DIV_05Data!$A$1:$DZU$1000000,820,FALSE)</f>
        <v>#N/A</v>
      </c>
      <c r="D49" s="31" t="e">
        <f>VLOOKUP(A1,DIV_05Data!$A$1:$DZU$1000000,821,FALSE)</f>
        <v>#N/A</v>
      </c>
      <c r="E49" s="32" t="e">
        <f>VLOOKUP(A1,DIV_05Data!$A$1:$DZU$1000000,822,FALSE)</f>
        <v>#N/A</v>
      </c>
      <c r="F49" s="34" t="e">
        <f>VLOOKUP(A1,DIV_05Data!$A$1:$DZU$1000000,823,FALSE)</f>
        <v>#N/A</v>
      </c>
      <c r="G49" s="33" t="e">
        <f>VLOOKUP(A1,DIV_05Data!$A$1:$DZU$1000000,824,FALSE)</f>
        <v>#N/A</v>
      </c>
      <c r="H49" s="34" t="e">
        <f>VLOOKUP(A1,DIV_05Data!$A$1:$DZU$1000000,825,FALSE)</f>
        <v>#N/A</v>
      </c>
      <c r="I49" s="33" t="e">
        <f>VLOOKUP(A1,DIV_05Data!$A$1:$DZU$1000000,826,FALSE)</f>
        <v>#N/A</v>
      </c>
      <c r="J49" s="34" t="e">
        <f>VLOOKUP(A1,DIV_05Data!$A$1:$DZU$1000000,827,FALSE)</f>
        <v>#N/A</v>
      </c>
      <c r="K49" s="34" t="e">
        <f>VLOOKUP(A1,DIV_05Data!$A$1:$DZU$1000000,828,FALSE)</f>
        <v>#N/A</v>
      </c>
      <c r="L49" s="93" t="e">
        <f>VLOOKUP(A1,DIV_05Data!$A$1:$DZU$1000000,829,FALSE)</f>
        <v>#N/A</v>
      </c>
      <c r="M49" s="33" t="e">
        <f>VLOOKUP(A1,DIV_05Data!$A$1:$DZU$1000000,830,FALSE)</f>
        <v>#N/A</v>
      </c>
      <c r="N49" s="34" t="e">
        <f>VLOOKUP(A1,DIV_05Data!$A$1:$DZU$1000000,831,FALSE)</f>
        <v>#N/A</v>
      </c>
      <c r="O49" s="33" t="e">
        <f>VLOOKUP(A1,DIV_05Data!$A$1:$DZU$1000000,832,FALSE)</f>
        <v>#N/A</v>
      </c>
      <c r="P49" s="116" t="e">
        <f>VLOOKUP(A1,DIV_05Data!$A$1:$DZU$1000000,833,FALSE)</f>
        <v>#N/A</v>
      </c>
      <c r="Q49" s="268" t="e">
        <f>VLOOKUP(A1,DIV_05Data!$A$1:$DZU$1000000,834,FALSE)</f>
        <v>#N/A</v>
      </c>
    </row>
    <row r="50" spans="1:17" x14ac:dyDescent="0.35">
      <c r="A50" s="265" t="e">
        <f>VLOOKUP(A1,DIV_05Data!$A$1:$DZU$1000000,835,FALSE)</f>
        <v>#N/A</v>
      </c>
      <c r="B50" s="37" t="e">
        <f>VLOOKUP(A1,DIV_05Data!$A$1:$DZU$1000000,836,FALSE)</f>
        <v>#N/A</v>
      </c>
      <c r="C50" s="38" t="e">
        <f>VLOOKUP(A1,DIV_05Data!$A$1:$DZU$1000000,837,FALSE)</f>
        <v>#N/A</v>
      </c>
      <c r="D50" s="31" t="e">
        <f>VLOOKUP(A1,DIV_05Data!$A$1:$DZU$1000000,838,FALSE)</f>
        <v>#N/A</v>
      </c>
      <c r="E50" s="32" t="e">
        <f>VLOOKUP(A1,DIV_05Data!$A$1:$DZU$1000000,839,FALSE)</f>
        <v>#N/A</v>
      </c>
      <c r="F50" s="34" t="e">
        <f>VLOOKUP(A1,DIV_05Data!$A$1:$DZU$1000000,840,FALSE)</f>
        <v>#N/A</v>
      </c>
      <c r="G50" s="33" t="e">
        <f>VLOOKUP(A1,DIV_05Data!$A$1:$DZU$1000000,841,FALSE)</f>
        <v>#N/A</v>
      </c>
      <c r="H50" s="34" t="e">
        <f>VLOOKUP(A1,DIV_05Data!$A$1:$DZU$1000000,842,FALSE)</f>
        <v>#N/A</v>
      </c>
      <c r="I50" s="33" t="e">
        <f>VLOOKUP(A1,DIV_05Data!$A$1:$DZU$1000000,843,FALSE)</f>
        <v>#N/A</v>
      </c>
      <c r="J50" s="34" t="e">
        <f>VLOOKUP(A1,DIV_05Data!$A$1:$DZU$1000000,844,FALSE)</f>
        <v>#N/A</v>
      </c>
      <c r="K50" s="34" t="e">
        <f>VLOOKUP(A1,DIV_05Data!$A$1:$DZU$1000000,845,FALSE)</f>
        <v>#N/A</v>
      </c>
      <c r="L50" s="93" t="e">
        <f>VLOOKUP(A1,DIV_05Data!$A$1:$DZU$1000000,846,FALSE)</f>
        <v>#N/A</v>
      </c>
      <c r="M50" s="33" t="e">
        <f>VLOOKUP(A1,DIV_05Data!$A$1:$DZU$1000000,847,FALSE)</f>
        <v>#N/A</v>
      </c>
      <c r="N50" s="34" t="e">
        <f>VLOOKUP(A1,DIV_05Data!$A$1:$DZU$1000000,848,FALSE)</f>
        <v>#N/A</v>
      </c>
      <c r="O50" s="33" t="e">
        <f>VLOOKUP(A1,DIV_05Data!$A$1:$DZU$1000000,849,FALSE)</f>
        <v>#N/A</v>
      </c>
      <c r="P50" s="116" t="e">
        <f>VLOOKUP(A1,DIV_05Data!$A$1:$DZU$1000000,850,FALSE)</f>
        <v>#N/A</v>
      </c>
      <c r="Q50" s="268" t="e">
        <f>VLOOKUP(A1,DIV_05Data!$A$1:$DZU$1000000,851,FALSE)</f>
        <v>#N/A</v>
      </c>
    </row>
    <row r="51" spans="1:17" x14ac:dyDescent="0.35">
      <c r="A51" s="265" t="e">
        <f>VLOOKUP(A1,DIV_05Data!$A$1:$DZU$1000000,852,FALSE)</f>
        <v>#N/A</v>
      </c>
      <c r="B51" s="37" t="e">
        <f>VLOOKUP(A1,DIV_05Data!$A$1:$DZU$1000000,853,FALSE)</f>
        <v>#N/A</v>
      </c>
      <c r="C51" s="38" t="e">
        <f>VLOOKUP(A1,DIV_05Data!$A$1:$DZU$1000000,854,FALSE)</f>
        <v>#N/A</v>
      </c>
      <c r="D51" s="31" t="e">
        <f>VLOOKUP(A1,DIV_05Data!$A$1:$DZU$1000000,855,FALSE)</f>
        <v>#N/A</v>
      </c>
      <c r="E51" s="32" t="e">
        <f>VLOOKUP(A1,DIV_05Data!$A$1:$DZU$1000000,856,FALSE)</f>
        <v>#N/A</v>
      </c>
      <c r="F51" s="34" t="e">
        <f>VLOOKUP(A1,DIV_05Data!$A$1:$DZU$1000000,857,FALSE)</f>
        <v>#N/A</v>
      </c>
      <c r="G51" s="33" t="e">
        <f>VLOOKUP(A1,DIV_05Data!$A$1:$DZU$1000000,858,FALSE)</f>
        <v>#N/A</v>
      </c>
      <c r="H51" s="34" t="e">
        <f>VLOOKUP(A1,DIV_05Data!$A$1:$DZU$1000000,859,FALSE)</f>
        <v>#N/A</v>
      </c>
      <c r="I51" s="33" t="e">
        <f>VLOOKUP(A1,DIV_05Data!$A$1:$DZU$1000000,860,FALSE)</f>
        <v>#N/A</v>
      </c>
      <c r="J51" s="34" t="e">
        <f>VLOOKUP(A1,DIV_05Data!$A$1:$DZU$1000000,861,FALSE)</f>
        <v>#N/A</v>
      </c>
      <c r="K51" s="34" t="e">
        <f>VLOOKUP(A1,DIV_05Data!$A$1:$DZU$1000000,862,FALSE)</f>
        <v>#N/A</v>
      </c>
      <c r="L51" s="93" t="e">
        <f>VLOOKUP(A1,DIV_05Data!$A$1:$DZU$1000000,863,FALSE)</f>
        <v>#N/A</v>
      </c>
      <c r="M51" s="33" t="e">
        <f>VLOOKUP(A1,DIV_05Data!$A$1:$DZU$1000000,864,FALSE)</f>
        <v>#N/A</v>
      </c>
      <c r="N51" s="34" t="e">
        <f>VLOOKUP(A1,DIV_05Data!$A$1:$DZU$1000000,865,FALSE)</f>
        <v>#N/A</v>
      </c>
      <c r="O51" s="33" t="e">
        <f>VLOOKUP(A1,DIV_05Data!$A$1:$DZU$1000000,866,FALSE)</f>
        <v>#N/A</v>
      </c>
      <c r="P51" s="116" t="e">
        <f>VLOOKUP(A1,DIV_05Data!$A$1:$DZU$1000000,867,FALSE)</f>
        <v>#N/A</v>
      </c>
      <c r="Q51" s="268" t="e">
        <f>VLOOKUP(A1,DIV_05Data!$A$1:$DZU$1000000,868,FALSE)</f>
        <v>#N/A</v>
      </c>
    </row>
    <row r="52" spans="1:17" x14ac:dyDescent="0.35">
      <c r="A52" s="265" t="e">
        <f>VLOOKUP(A1,DIV_05Data!$A$1:$DZU$1000000,869,FALSE)</f>
        <v>#N/A</v>
      </c>
      <c r="B52" s="37" t="e">
        <f>VLOOKUP(A1,DIV_05Data!$A$1:$DZU$1000000,870,FALSE)</f>
        <v>#N/A</v>
      </c>
      <c r="C52" s="38" t="e">
        <f>VLOOKUP(A1,DIV_05Data!$A$1:$DZU$1000000,871,FALSE)</f>
        <v>#N/A</v>
      </c>
      <c r="D52" s="31" t="e">
        <f>VLOOKUP(A1,DIV_05Data!$A$1:$DZU$1000000,872,FALSE)</f>
        <v>#N/A</v>
      </c>
      <c r="E52" s="32" t="e">
        <f>VLOOKUP(A1,DIV_05Data!$A$1:$DZU$1000000,873,FALSE)</f>
        <v>#N/A</v>
      </c>
      <c r="F52" s="34" t="e">
        <f>VLOOKUP(A1,DIV_05Data!$A$1:$DZU$1000000,874,FALSE)</f>
        <v>#N/A</v>
      </c>
      <c r="G52" s="33" t="e">
        <f>VLOOKUP(A1,DIV_05Data!$A$1:$DZU$1000000,875,FALSE)</f>
        <v>#N/A</v>
      </c>
      <c r="H52" s="34" t="e">
        <f>VLOOKUP(A1,DIV_05Data!$A$1:$DZU$1000000,876,FALSE)</f>
        <v>#N/A</v>
      </c>
      <c r="I52" s="33" t="e">
        <f>VLOOKUP(A1,DIV_05Data!$A$1:$DZU$1000000,877,FALSE)</f>
        <v>#N/A</v>
      </c>
      <c r="J52" s="34" t="e">
        <f>VLOOKUP(A1,DIV_05Data!$A$1:$DZU$1000000,878,FALSE)</f>
        <v>#N/A</v>
      </c>
      <c r="K52" s="34" t="e">
        <f>VLOOKUP(A1,DIV_05Data!$A$1:$DZU$1000000,879,FALSE)</f>
        <v>#N/A</v>
      </c>
      <c r="L52" s="93" t="e">
        <f>VLOOKUP(A1,DIV_05Data!$A$1:$DZU$1000000,880,FALSE)</f>
        <v>#N/A</v>
      </c>
      <c r="M52" s="33" t="e">
        <f>VLOOKUP(A1,DIV_05Data!$A$1:$DZU$1000000,881,FALSE)</f>
        <v>#N/A</v>
      </c>
      <c r="N52" s="34" t="e">
        <f>VLOOKUP(A1,DIV_05Data!$A$1:$DZU$1000000,882,FALSE)</f>
        <v>#N/A</v>
      </c>
      <c r="O52" s="33" t="e">
        <f>VLOOKUP(A1,DIV_05Data!$A$1:$DZU$1000000,883,FALSE)</f>
        <v>#N/A</v>
      </c>
      <c r="P52" s="116" t="e">
        <f>VLOOKUP(A1,DIV_05Data!$A$1:$DZU$1000000,884,FALSE)</f>
        <v>#N/A</v>
      </c>
      <c r="Q52" s="268" t="e">
        <f>VLOOKUP(A1,DIV_05Data!$A$1:$DZU$1000000,885,FALSE)</f>
        <v>#N/A</v>
      </c>
    </row>
    <row r="53" spans="1:17" x14ac:dyDescent="0.35">
      <c r="A53" s="265" t="e">
        <f>VLOOKUP(A1,DIV_05Data!$A$1:$DZU$1000000,886,FALSE)</f>
        <v>#N/A</v>
      </c>
      <c r="B53" s="37" t="e">
        <f>VLOOKUP(A1,DIV_05Data!$A$1:$DZU$1000000,887,FALSE)</f>
        <v>#N/A</v>
      </c>
      <c r="C53" s="38" t="e">
        <f>VLOOKUP(A1,DIV_05Data!$A$1:$DZU$1000000,888,FALSE)</f>
        <v>#N/A</v>
      </c>
      <c r="D53" s="31" t="e">
        <f>VLOOKUP(A1,DIV_05Data!$A$1:$DZU$1000000,889,FALSE)</f>
        <v>#N/A</v>
      </c>
      <c r="E53" s="32" t="e">
        <f>VLOOKUP(A1,DIV_05Data!$A$1:$DZU$1000000,890,FALSE)</f>
        <v>#N/A</v>
      </c>
      <c r="F53" s="34" t="e">
        <f>VLOOKUP(A1,DIV_05Data!$A$1:$DZU$1000000,891,FALSE)</f>
        <v>#N/A</v>
      </c>
      <c r="G53" s="33" t="e">
        <f>VLOOKUP(A1,DIV_05Data!$A$1:$DZU$1000000,892,FALSE)</f>
        <v>#N/A</v>
      </c>
      <c r="H53" s="34" t="e">
        <f>VLOOKUP(A1,DIV_05Data!$A$1:$DZU$1000000,893,FALSE)</f>
        <v>#N/A</v>
      </c>
      <c r="I53" s="33" t="e">
        <f>VLOOKUP(A1,DIV_05Data!$A$1:$DZU$1000000,894,FALSE)</f>
        <v>#N/A</v>
      </c>
      <c r="J53" s="34" t="e">
        <f>VLOOKUP(A1,DIV_05Data!$A$1:$DZU$1000000,895,FALSE)</f>
        <v>#N/A</v>
      </c>
      <c r="K53" s="34" t="e">
        <f>VLOOKUP(A1,DIV_05Data!$A$1:$DZU$1000000,896,FALSE)</f>
        <v>#N/A</v>
      </c>
      <c r="L53" s="93" t="e">
        <f>VLOOKUP(A1,DIV_05Data!$A$1:$DZU$1000000,897,FALSE)</f>
        <v>#N/A</v>
      </c>
      <c r="M53" s="33" t="e">
        <f>VLOOKUP(A1,DIV_05Data!$A$1:$DZU$1000000,898,FALSE)</f>
        <v>#N/A</v>
      </c>
      <c r="N53" s="34" t="e">
        <f>VLOOKUP(A1,DIV_05Data!$A$1:$DZU$1000000,899,FALSE)</f>
        <v>#N/A</v>
      </c>
      <c r="O53" s="33" t="e">
        <f>VLOOKUP(A1,DIV_05Data!$A$1:$DZU$1000000,900,FALSE)</f>
        <v>#N/A</v>
      </c>
      <c r="P53" s="116" t="e">
        <f>VLOOKUP(A1,DIV_05Data!$A$1:$DZU$1000000,901,FALSE)</f>
        <v>#N/A</v>
      </c>
      <c r="Q53" s="268" t="e">
        <f>VLOOKUP(A1,DIV_05Data!$A$1:$DZU$1000000,902,FALSE)</f>
        <v>#N/A</v>
      </c>
    </row>
    <row r="54" spans="1:17" x14ac:dyDescent="0.35">
      <c r="A54" s="265" t="e">
        <f>VLOOKUP(A1,DIV_05Data!$A$1:$DZU$1000000,903,FALSE)</f>
        <v>#N/A</v>
      </c>
      <c r="B54" s="37" t="e">
        <f>VLOOKUP(A1,DIV_05Data!$A$1:$DZU$1000000,904,FALSE)</f>
        <v>#N/A</v>
      </c>
      <c r="C54" s="38" t="e">
        <f>VLOOKUP(A1,DIV_05Data!$A$1:$DZU$1000000,905,FALSE)</f>
        <v>#N/A</v>
      </c>
      <c r="D54" s="31" t="e">
        <f>VLOOKUP(A1,DIV_05Data!$A$1:$DZU$1000000,906,FALSE)</f>
        <v>#N/A</v>
      </c>
      <c r="E54" s="32" t="e">
        <f>VLOOKUP(A1,DIV_05Data!$A$1:$DZU$1000000,907,FALSE)</f>
        <v>#N/A</v>
      </c>
      <c r="F54" s="34" t="e">
        <f>VLOOKUP(A1,DIV_05Data!$A$1:$DZU$1000000,908,FALSE)</f>
        <v>#N/A</v>
      </c>
      <c r="G54" s="33" t="e">
        <f>VLOOKUP(A1,DIV_05Data!$A$1:$DZU$1000000,909,FALSE)</f>
        <v>#N/A</v>
      </c>
      <c r="H54" s="34" t="e">
        <f>VLOOKUP(A1,DIV_05Data!$A$1:$DZU$1000000,910,FALSE)</f>
        <v>#N/A</v>
      </c>
      <c r="I54" s="33" t="e">
        <f>VLOOKUP(A1,DIV_05Data!$A$1:$DZU$1000000,911,FALSE)</f>
        <v>#N/A</v>
      </c>
      <c r="J54" s="34" t="e">
        <f>VLOOKUP(A1,DIV_05Data!$A$1:$DZU$1000000,912,FALSE)</f>
        <v>#N/A</v>
      </c>
      <c r="K54" s="34" t="e">
        <f>VLOOKUP(A1,DIV_05Data!$A$1:$DZU$1000000,913,FALSE)</f>
        <v>#N/A</v>
      </c>
      <c r="L54" s="93" t="e">
        <f>VLOOKUP(A1,DIV_05Data!$A$1:$DZU$1000000,914,FALSE)</f>
        <v>#N/A</v>
      </c>
      <c r="M54" s="33" t="e">
        <f>VLOOKUP(A1,DIV_05Data!$A$1:$DZU$1000000,915,FALSE)</f>
        <v>#N/A</v>
      </c>
      <c r="N54" s="34" t="e">
        <f>VLOOKUP(A1,DIV_05Data!$A$1:$DZU$1000000,916,FALSE)</f>
        <v>#N/A</v>
      </c>
      <c r="O54" s="33" t="e">
        <f>VLOOKUP(A1,DIV_05Data!$A$1:$DZU$1000000,917,FALSE)</f>
        <v>#N/A</v>
      </c>
      <c r="P54" s="116" t="e">
        <f>VLOOKUP(A1,DIV_05Data!$A$1:$DZU$1000000,918,FALSE)</f>
        <v>#N/A</v>
      </c>
      <c r="Q54" s="268" t="e">
        <f>VLOOKUP(A1,DIV_05Data!$A$1:$DZU$1000000,919,FALSE)</f>
        <v>#N/A</v>
      </c>
    </row>
    <row r="55" spans="1:17" x14ac:dyDescent="0.35">
      <c r="A55" s="265" t="e">
        <f>VLOOKUP(A1,DIV_05Data!$A$1:$DZU$1000000,920,FALSE)</f>
        <v>#N/A</v>
      </c>
      <c r="B55" s="37" t="e">
        <f>VLOOKUP(A1,DIV_05Data!$A$1:$DZU$1000000,921,FALSE)</f>
        <v>#N/A</v>
      </c>
      <c r="C55" s="38" t="e">
        <f>VLOOKUP(A1,DIV_05Data!$A$1:$DZU$1000000,922,FALSE)</f>
        <v>#N/A</v>
      </c>
      <c r="D55" s="31" t="e">
        <f>VLOOKUP(A1,DIV_05Data!$A$1:$DZU$1000000,923,FALSE)</f>
        <v>#N/A</v>
      </c>
      <c r="E55" s="32" t="e">
        <f>VLOOKUP(A1,DIV_05Data!$A$1:$DZU$1000000,924,FALSE)</f>
        <v>#N/A</v>
      </c>
      <c r="F55" s="34" t="e">
        <f>VLOOKUP(A1,DIV_05Data!$A$1:$DZU$1000000,925,FALSE)</f>
        <v>#N/A</v>
      </c>
      <c r="G55" s="33" t="e">
        <f>VLOOKUP(A1,DIV_05Data!$A$1:$DZU$1000000,926,FALSE)</f>
        <v>#N/A</v>
      </c>
      <c r="H55" s="34" t="e">
        <f>VLOOKUP(A1,DIV_05Data!$A$1:$DZU$1000000,927,FALSE)</f>
        <v>#N/A</v>
      </c>
      <c r="I55" s="33" t="e">
        <f>VLOOKUP(A1,DIV_05Data!$A$1:$DZU$1000000,928,FALSE)</f>
        <v>#N/A</v>
      </c>
      <c r="J55" s="34" t="e">
        <f>VLOOKUP(A1,DIV_05Data!$A$1:$DZU$1000000,929,FALSE)</f>
        <v>#N/A</v>
      </c>
      <c r="K55" s="34" t="e">
        <f>VLOOKUP(A1,DIV_05Data!$A$1:$DZU$1000000,930,FALSE)</f>
        <v>#N/A</v>
      </c>
      <c r="L55" s="93" t="e">
        <f>VLOOKUP(A1,DIV_05Data!$A$1:$DZU$1000000,931,FALSE)</f>
        <v>#N/A</v>
      </c>
      <c r="M55" s="33" t="e">
        <f>VLOOKUP(A1,DIV_05Data!$A$1:$DZU$1000000,932,FALSE)</f>
        <v>#N/A</v>
      </c>
      <c r="N55" s="34" t="e">
        <f>VLOOKUP(A1,DIV_05Data!$A$1:$DZU$1000000,933,FALSE)</f>
        <v>#N/A</v>
      </c>
      <c r="O55" s="33" t="e">
        <f>VLOOKUP(A1,DIV_05Data!$A$1:$DZU$1000000,934,FALSE)</f>
        <v>#N/A</v>
      </c>
      <c r="P55" s="116" t="e">
        <f>VLOOKUP(A1,DIV_05Data!$A$1:$DZU$1000000,935,FALSE)</f>
        <v>#N/A</v>
      </c>
      <c r="Q55" s="268" t="e">
        <f>VLOOKUP(A1,DIV_05Data!$A$1:$DZU$1000000,936,FALSE)</f>
        <v>#N/A</v>
      </c>
    </row>
    <row r="56" spans="1:17" x14ac:dyDescent="0.35">
      <c r="A56" s="265" t="e">
        <f>VLOOKUP(A1,DIV_05Data!$A$1:$DZU$1000000,937,FALSE)</f>
        <v>#N/A</v>
      </c>
      <c r="B56" s="37" t="e">
        <f>VLOOKUP(A1,DIV_05Data!$A$1:$DZU$1000000,938,FALSE)</f>
        <v>#N/A</v>
      </c>
      <c r="C56" s="38" t="e">
        <f>VLOOKUP(A1,DIV_05Data!$A$1:$DZU$1000000,939,FALSE)</f>
        <v>#N/A</v>
      </c>
      <c r="D56" s="31" t="e">
        <f>VLOOKUP(A1,DIV_05Data!$A$1:$DZU$1000000,940,FALSE)</f>
        <v>#N/A</v>
      </c>
      <c r="E56" s="32" t="e">
        <f>VLOOKUP(A1,DIV_05Data!$A$1:$DZU$1000000,941,FALSE)</f>
        <v>#N/A</v>
      </c>
      <c r="F56" s="34" t="e">
        <f>VLOOKUP(A1,DIV_05Data!$A$1:$DZU$1000000,942,FALSE)</f>
        <v>#N/A</v>
      </c>
      <c r="G56" s="33" t="e">
        <f>VLOOKUP(A1,DIV_05Data!$A$1:$DZU$1000000,943,FALSE)</f>
        <v>#N/A</v>
      </c>
      <c r="H56" s="34" t="e">
        <f>VLOOKUP(A1,DIV_05Data!$A$1:$DZU$1000000,944,FALSE)</f>
        <v>#N/A</v>
      </c>
      <c r="I56" s="33" t="e">
        <f>VLOOKUP(A1,DIV_05Data!$A$1:$DZU$1000000,945,FALSE)</f>
        <v>#N/A</v>
      </c>
      <c r="J56" s="34" t="e">
        <f>VLOOKUP(A1,DIV_05Data!$A$1:$DZU$1000000,946,FALSE)</f>
        <v>#N/A</v>
      </c>
      <c r="K56" s="34" t="e">
        <f>VLOOKUP(A1,DIV_05Data!$A$1:$DZU$1000000,947,FALSE)</f>
        <v>#N/A</v>
      </c>
      <c r="L56" s="93" t="e">
        <f>VLOOKUP(A1,DIV_05Data!$A$1:$DZU$1000000,948,FALSE)</f>
        <v>#N/A</v>
      </c>
      <c r="M56" s="33" t="e">
        <f>VLOOKUP(A1,DIV_05Data!$A$1:$DZU$1000000,949,FALSE)</f>
        <v>#N/A</v>
      </c>
      <c r="N56" s="34" t="e">
        <f>VLOOKUP(A1,DIV_05Data!$A$1:$DZU$1000000,950,FALSE)</f>
        <v>#N/A</v>
      </c>
      <c r="O56" s="33" t="e">
        <f>VLOOKUP(A1,DIV_05Data!$A$1:$DZU$1000000,951,FALSE)</f>
        <v>#N/A</v>
      </c>
      <c r="P56" s="116" t="e">
        <f>VLOOKUP(A1,DIV_05Data!$A$1:$DZU$1000000,952,FALSE)</f>
        <v>#N/A</v>
      </c>
      <c r="Q56" s="268" t="e">
        <f>VLOOKUP(A1,DIV_05Data!$A$1:$DZU$1000000,953,FALSE)</f>
        <v>#N/A</v>
      </c>
    </row>
    <row r="57" spans="1:17" x14ac:dyDescent="0.35">
      <c r="A57" s="265" t="e">
        <f>VLOOKUP(A1,DIV_05Data!$A$1:$DZU$1000000,954,FALSE)</f>
        <v>#N/A</v>
      </c>
      <c r="B57" s="37" t="e">
        <f>VLOOKUP(A1,DIV_05Data!$A$1:$DZU$1000000,955,FALSE)</f>
        <v>#N/A</v>
      </c>
      <c r="C57" s="38" t="e">
        <f>VLOOKUP(A1,DIV_05Data!$A$1:$DZU$1000000,956,FALSE)</f>
        <v>#N/A</v>
      </c>
      <c r="D57" s="31" t="e">
        <f>VLOOKUP(A1,DIV_05Data!$A$1:$DZU$1000000,957,FALSE)</f>
        <v>#N/A</v>
      </c>
      <c r="E57" s="32" t="e">
        <f>VLOOKUP(A1,DIV_05Data!$A$1:$DZU$1000000,958,FALSE)</f>
        <v>#N/A</v>
      </c>
      <c r="F57" s="34" t="e">
        <f>VLOOKUP(A1,DIV_05Data!$A$1:$DZU$1000000,959,FALSE)</f>
        <v>#N/A</v>
      </c>
      <c r="G57" s="33" t="e">
        <f>VLOOKUP(A1,DIV_05Data!$A$1:$DZU$1000000,960,FALSE)</f>
        <v>#N/A</v>
      </c>
      <c r="H57" s="34" t="e">
        <f>VLOOKUP(A1,DIV_05Data!$A$1:$DZU$1000000,961,FALSE)</f>
        <v>#N/A</v>
      </c>
      <c r="I57" s="33" t="e">
        <f>VLOOKUP(A1,DIV_05Data!$A$1:$DZU$1000000,962,FALSE)</f>
        <v>#N/A</v>
      </c>
      <c r="J57" s="34" t="e">
        <f>VLOOKUP(A1,DIV_05Data!$A$1:$DZU$1000000,963,FALSE)</f>
        <v>#N/A</v>
      </c>
      <c r="K57" s="34" t="e">
        <f>VLOOKUP(A1,DIV_05Data!$A$1:$DZU$1000000,964,FALSE)</f>
        <v>#N/A</v>
      </c>
      <c r="L57" s="93" t="e">
        <f>VLOOKUP(A1,DIV_05Data!$A$1:$DZU$1000000,965,FALSE)</f>
        <v>#N/A</v>
      </c>
      <c r="M57" s="33" t="e">
        <f>VLOOKUP(A1,DIV_05Data!$A$1:$DZU$1000000,966,FALSE)</f>
        <v>#N/A</v>
      </c>
      <c r="N57" s="34" t="e">
        <f>VLOOKUP(A1,DIV_05Data!$A$1:$DZU$1000000,967,FALSE)</f>
        <v>#N/A</v>
      </c>
      <c r="O57" s="33" t="e">
        <f>VLOOKUP(A1,DIV_05Data!$A$1:$DZU$1000000,968,FALSE)</f>
        <v>#N/A</v>
      </c>
      <c r="P57" s="116" t="e">
        <f>VLOOKUP(A1,DIV_05Data!$A$1:$DZU$1000000,969,FALSE)</f>
        <v>#N/A</v>
      </c>
      <c r="Q57" s="268" t="e">
        <f>VLOOKUP(A1,DIV_05Data!$A$1:$DZU$1000000,970,FALSE)</f>
        <v>#N/A</v>
      </c>
    </row>
    <row r="58" spans="1:17" x14ac:dyDescent="0.35">
      <c r="A58" s="265" t="e">
        <f>VLOOKUP(A1,DIV_05Data!$A$1:$DZU$1000000,971,FALSE)</f>
        <v>#N/A</v>
      </c>
      <c r="B58" s="37" t="e">
        <f>VLOOKUP(A1,DIV_05Data!$A$1:$DZU$1000000,972,FALSE)</f>
        <v>#N/A</v>
      </c>
      <c r="C58" s="38" t="e">
        <f>VLOOKUP(A1,DIV_05Data!$A$1:$DZU$1000000,973,FALSE)</f>
        <v>#N/A</v>
      </c>
      <c r="D58" s="31" t="e">
        <f>VLOOKUP(A1,DIV_05Data!$A$1:$DZU$1000000,974,FALSE)</f>
        <v>#N/A</v>
      </c>
      <c r="E58" s="32" t="e">
        <f>VLOOKUP(A1,DIV_05Data!$A$1:$DZU$1000000,975,FALSE)</f>
        <v>#N/A</v>
      </c>
      <c r="F58" s="34" t="e">
        <f>VLOOKUP(A1,DIV_05Data!$A$1:$DZU$1000000,976,FALSE)</f>
        <v>#N/A</v>
      </c>
      <c r="G58" s="33" t="e">
        <f>VLOOKUP(A1,DIV_05Data!$A$1:$DZU$1000000,977,FALSE)</f>
        <v>#N/A</v>
      </c>
      <c r="H58" s="34" t="e">
        <f>VLOOKUP(A1,DIV_05Data!$A$1:$DZU$1000000,978,FALSE)</f>
        <v>#N/A</v>
      </c>
      <c r="I58" s="33" t="e">
        <f>VLOOKUP(A1,DIV_05Data!$A$1:$DZU$1000000,979,FALSE)</f>
        <v>#N/A</v>
      </c>
      <c r="J58" s="34" t="e">
        <f>VLOOKUP(A1,DIV_05Data!$A$1:$DZU$1000000,980,FALSE)</f>
        <v>#N/A</v>
      </c>
      <c r="K58" s="34" t="e">
        <f>VLOOKUP(A1,DIV_05Data!$A$1:$DZU$1000000,981,FALSE)</f>
        <v>#N/A</v>
      </c>
      <c r="L58" s="93" t="e">
        <f>VLOOKUP(A1,DIV_05Data!$A$1:$DZU$1000000,982,FALSE)</f>
        <v>#N/A</v>
      </c>
      <c r="M58" s="33" t="e">
        <f>VLOOKUP(A1,DIV_05Data!$A$1:$DZU$1000000,983,FALSE)</f>
        <v>#N/A</v>
      </c>
      <c r="N58" s="34" t="e">
        <f>VLOOKUP(A1,DIV_05Data!$A$1:$DZU$1000000,984,FALSE)</f>
        <v>#N/A</v>
      </c>
      <c r="O58" s="33" t="e">
        <f>VLOOKUP(A1,DIV_05Data!$A$1:$DZU$1000000,985,FALSE)</f>
        <v>#N/A</v>
      </c>
      <c r="P58" s="116" t="e">
        <f>VLOOKUP(A1,DIV_05Data!$A$1:$DZU$1000000,986,FALSE)</f>
        <v>#N/A</v>
      </c>
      <c r="Q58" s="268" t="e">
        <f>VLOOKUP(A1,DIV_05Data!$A$1:$DZU$1000000,987,FALSE)</f>
        <v>#N/A</v>
      </c>
    </row>
    <row r="59" spans="1:17" x14ac:dyDescent="0.35">
      <c r="A59" s="265" t="e">
        <f>VLOOKUP(A1,DIV_05Data!$A$1:$DZU$1000000,988,FALSE)</f>
        <v>#N/A</v>
      </c>
      <c r="B59" s="37" t="e">
        <f>VLOOKUP(A1,DIV_05Data!$A$1:$DZU$1000000,989,FALSE)</f>
        <v>#N/A</v>
      </c>
      <c r="C59" s="38" t="e">
        <f>VLOOKUP(A1,DIV_05Data!$A$1:$DZU$1000000,990,FALSE)</f>
        <v>#N/A</v>
      </c>
      <c r="D59" s="31" t="e">
        <f>VLOOKUP(A1,DIV_05Data!$A$1:$DZU$1000000,991,FALSE)</f>
        <v>#N/A</v>
      </c>
      <c r="E59" s="32" t="e">
        <f>VLOOKUP(A1,DIV_05Data!$A$1:$DZU$1000000,992,FALSE)</f>
        <v>#N/A</v>
      </c>
      <c r="F59" s="34" t="e">
        <f>VLOOKUP(A1,DIV_05Data!$A$1:$DZU$1000000,993,FALSE)</f>
        <v>#N/A</v>
      </c>
      <c r="G59" s="33" t="e">
        <f>VLOOKUP(A1,DIV_05Data!$A$1:$DZU$1000000,994,FALSE)</f>
        <v>#N/A</v>
      </c>
      <c r="H59" s="34" t="e">
        <f>VLOOKUP(A1,DIV_05Data!$A$1:$DZU$1000000,995,FALSE)</f>
        <v>#N/A</v>
      </c>
      <c r="I59" s="33" t="e">
        <f>VLOOKUP(A1,DIV_05Data!$A$1:$DZU$1000000,996,FALSE)</f>
        <v>#N/A</v>
      </c>
      <c r="J59" s="34" t="e">
        <f>VLOOKUP(A1,DIV_05Data!$A$1:$DZU$1000000,997,FALSE)</f>
        <v>#N/A</v>
      </c>
      <c r="K59" s="34" t="e">
        <f>VLOOKUP(A1,DIV_05Data!$A$1:$DZU$1000000,998,FALSE)</f>
        <v>#N/A</v>
      </c>
      <c r="L59" s="93" t="e">
        <f>VLOOKUP(A1,DIV_05Data!$A$1:$DZU$1000000,999,FALSE)</f>
        <v>#N/A</v>
      </c>
      <c r="M59" s="33" t="e">
        <f>VLOOKUP(A1,DIV_05Data!$A$1:$DZU$1000000,1000,FALSE)</f>
        <v>#N/A</v>
      </c>
      <c r="N59" s="34" t="e">
        <f>VLOOKUP(A1,DIV_05Data!$A$1:$DZU$1000000,1001,FALSE)</f>
        <v>#N/A</v>
      </c>
      <c r="O59" s="33" t="e">
        <f>VLOOKUP(A1,DIV_05Data!$A$1:$DZU$1000000,1002,FALSE)</f>
        <v>#N/A</v>
      </c>
      <c r="P59" s="116" t="e">
        <f>VLOOKUP(A1,DIV_05Data!$A$1:$DZU$1000000,1003,FALSE)</f>
        <v>#N/A</v>
      </c>
      <c r="Q59" s="268" t="e">
        <f>VLOOKUP(A1,DIV_05Data!$A$1:$DZU$1000000,1004,FALSE)</f>
        <v>#N/A</v>
      </c>
    </row>
    <row r="60" spans="1:17" x14ac:dyDescent="0.35">
      <c r="A60" s="265" t="e">
        <f>VLOOKUP(A1,DIV_05Data!$A$1:$DZU$1000000,1005,FALSE)</f>
        <v>#N/A</v>
      </c>
      <c r="B60" s="37" t="e">
        <f>VLOOKUP(A1,DIV_05Data!$A$1:$DZU$1000000,1006,FALSE)</f>
        <v>#N/A</v>
      </c>
      <c r="C60" s="38" t="e">
        <f>VLOOKUP(A1,DIV_05Data!$A$1:$DZU$1000000,1007,FALSE)</f>
        <v>#N/A</v>
      </c>
      <c r="D60" s="31" t="e">
        <f>VLOOKUP(A1,DIV_05Data!$A$1:$DZU$1000000,1008,FALSE)</f>
        <v>#N/A</v>
      </c>
      <c r="E60" s="32" t="e">
        <f>VLOOKUP(A1,DIV_05Data!$A$1:$DZU$1000000,1009,FALSE)</f>
        <v>#N/A</v>
      </c>
      <c r="F60" s="34" t="e">
        <f>VLOOKUP(A1,DIV_05Data!$A$1:$DZU$1000000,1010,FALSE)</f>
        <v>#N/A</v>
      </c>
      <c r="G60" s="33" t="e">
        <f>VLOOKUP(A1,DIV_05Data!$A$1:$DZU$1000000,1011,FALSE)</f>
        <v>#N/A</v>
      </c>
      <c r="H60" s="34" t="e">
        <f>VLOOKUP(A1,DIV_05Data!$A$1:$DZU$1000000,1012,FALSE)</f>
        <v>#N/A</v>
      </c>
      <c r="I60" s="33" t="e">
        <f>VLOOKUP(A1,DIV_05Data!$A$1:$DZU$1000000,1013,FALSE)</f>
        <v>#N/A</v>
      </c>
      <c r="J60" s="34" t="e">
        <f>VLOOKUP(A1,DIV_05Data!$A$1:$DZU$1000000,1014,FALSE)</f>
        <v>#N/A</v>
      </c>
      <c r="K60" s="34" t="e">
        <f>VLOOKUP(A1,DIV_05Data!$A$1:$DZU$1000000,1015,FALSE)</f>
        <v>#N/A</v>
      </c>
      <c r="L60" s="93" t="e">
        <f>VLOOKUP(A1,DIV_05Data!$A$1:$DZU$1000000,1016,FALSE)</f>
        <v>#N/A</v>
      </c>
      <c r="M60" s="33" t="e">
        <f>VLOOKUP(A1,DIV_05Data!$A$1:$DZU$1000000,1017,FALSE)</f>
        <v>#N/A</v>
      </c>
      <c r="N60" s="34" t="e">
        <f>VLOOKUP(A1,DIV_05Data!$A$1:$DZU$1000000,1018,FALSE)</f>
        <v>#N/A</v>
      </c>
      <c r="O60" s="33" t="e">
        <f>VLOOKUP(A1,DIV_05Data!$A$1:$DZU$1000000,1019,FALSE)</f>
        <v>#N/A</v>
      </c>
      <c r="P60" s="116" t="e">
        <f>VLOOKUP(A1,DIV_05Data!$A$1:$DZU$1000000,1020,FALSE)</f>
        <v>#N/A</v>
      </c>
      <c r="Q60" s="268" t="e">
        <f>VLOOKUP(A1,DIV_05Data!$A$1:$DZU$1000000,1021,FALSE)</f>
        <v>#N/A</v>
      </c>
    </row>
    <row r="61" spans="1:17" x14ac:dyDescent="0.35">
      <c r="A61" s="265" t="e">
        <f>VLOOKUP(A1,DIV_05Data!$A$1:$DZU$1000000,1022,FALSE)</f>
        <v>#N/A</v>
      </c>
      <c r="B61" s="37" t="e">
        <f>VLOOKUP(A1,DIV_05Data!$A$1:$DZU$1000000,1023,FALSE)</f>
        <v>#N/A</v>
      </c>
      <c r="C61" s="38" t="e">
        <f>VLOOKUP(A1,DIV_05Data!$A$1:$DZU$1000000,1024,FALSE)</f>
        <v>#N/A</v>
      </c>
      <c r="D61" s="31" t="e">
        <f>VLOOKUP(A1,DIV_05Data!$A$1:$DZU$1000000,1025,FALSE)</f>
        <v>#N/A</v>
      </c>
      <c r="E61" s="32" t="e">
        <f>VLOOKUP(A1,DIV_05Data!$A$1:$DZU$1000000,1026,FALSE)</f>
        <v>#N/A</v>
      </c>
      <c r="F61" s="34" t="e">
        <f>VLOOKUP(A1,DIV_05Data!$A$1:$DZU$1000000,1027,FALSE)</f>
        <v>#N/A</v>
      </c>
      <c r="G61" s="33" t="e">
        <f>VLOOKUP(A1,DIV_05Data!$A$1:$DZU$1000000,1028,FALSE)</f>
        <v>#N/A</v>
      </c>
      <c r="H61" s="34" t="e">
        <f>VLOOKUP(A1,DIV_05Data!$A$1:$DZU$1000000,1029,FALSE)</f>
        <v>#N/A</v>
      </c>
      <c r="I61" s="33" t="e">
        <f>VLOOKUP(A1,DIV_05Data!$A$1:$DZU$1000000,1030,FALSE)</f>
        <v>#N/A</v>
      </c>
      <c r="J61" s="34" t="e">
        <f>VLOOKUP(A1,DIV_05Data!$A$1:$DZU$1000000,1031,FALSE)</f>
        <v>#N/A</v>
      </c>
      <c r="K61" s="34" t="e">
        <f>VLOOKUP(A1,DIV_05Data!$A$1:$DZU$1000000,1032,FALSE)</f>
        <v>#N/A</v>
      </c>
      <c r="L61" s="93" t="e">
        <f>VLOOKUP(A1,DIV_05Data!$A$1:$DZU$1000000,1033,FALSE)</f>
        <v>#N/A</v>
      </c>
      <c r="M61" s="33" t="e">
        <f>VLOOKUP(A1,DIV_05Data!$A$1:$DZU$1000000,1034,FALSE)</f>
        <v>#N/A</v>
      </c>
      <c r="N61" s="34" t="e">
        <f>VLOOKUP(A1,DIV_05Data!$A$1:$DZU$1000000,1035,FALSE)</f>
        <v>#N/A</v>
      </c>
      <c r="O61" s="33" t="e">
        <f>VLOOKUP(A1,DIV_05Data!$A$1:$DZU$1000000,1036,FALSE)</f>
        <v>#N/A</v>
      </c>
      <c r="P61" s="116" t="e">
        <f>VLOOKUP(A1,DIV_05Data!$A$1:$DZU$1000000,1037,FALSE)</f>
        <v>#N/A</v>
      </c>
      <c r="Q61" s="268" t="e">
        <f>VLOOKUP(A1,DIV_05Data!$A$1:$DZU$1000000,1038,FALSE)</f>
        <v>#N/A</v>
      </c>
    </row>
    <row r="62" spans="1:17" x14ac:dyDescent="0.35">
      <c r="A62" s="265" t="e">
        <f>VLOOKUP(A1,DIV_05Data!$A$1:$DZU$1000000,1039,FALSE)</f>
        <v>#N/A</v>
      </c>
      <c r="B62" s="37" t="e">
        <f>VLOOKUP(A1,DIV_05Data!$A$1:$DZU$1000000,1040,FALSE)</f>
        <v>#N/A</v>
      </c>
      <c r="C62" s="38" t="e">
        <f>VLOOKUP(A1,DIV_05Data!$A$1:$DZU$1000000,1041,FALSE)</f>
        <v>#N/A</v>
      </c>
      <c r="D62" s="31" t="e">
        <f>VLOOKUP(A1,DIV_05Data!$A$1:$DZU$1000000,1042,FALSE)</f>
        <v>#N/A</v>
      </c>
      <c r="E62" s="32" t="e">
        <f>VLOOKUP(A1,DIV_05Data!$A$1:$DZU$1000000,1043,FALSE)</f>
        <v>#N/A</v>
      </c>
      <c r="F62" s="34" t="e">
        <f>VLOOKUP(A1,DIV_05Data!$A$1:$DZU$1000000,1044,FALSE)</f>
        <v>#N/A</v>
      </c>
      <c r="G62" s="33" t="e">
        <f>VLOOKUP(A1,DIV_05Data!$A$1:$DZU$1000000,1045,FALSE)</f>
        <v>#N/A</v>
      </c>
      <c r="H62" s="34" t="e">
        <f>VLOOKUP(A1,DIV_05Data!$A$1:$DZU$1000000,1046,FALSE)</f>
        <v>#N/A</v>
      </c>
      <c r="I62" s="33" t="e">
        <f>VLOOKUP(A1,DIV_05Data!$A$1:$DZU$1000000,1047,FALSE)</f>
        <v>#N/A</v>
      </c>
      <c r="J62" s="34" t="e">
        <f>VLOOKUP(A1,DIV_05Data!$A$1:$DZU$1000000,1048,FALSE)</f>
        <v>#N/A</v>
      </c>
      <c r="K62" s="34" t="e">
        <f>VLOOKUP(A1,DIV_05Data!$A$1:$DZU$1000000,1049,FALSE)</f>
        <v>#N/A</v>
      </c>
      <c r="L62" s="93" t="e">
        <f>VLOOKUP(A1,DIV_05Data!$A$1:$DZU$1000000,1050,FALSE)</f>
        <v>#N/A</v>
      </c>
      <c r="M62" s="33" t="e">
        <f>VLOOKUP(A1,DIV_05Data!$A$1:$DZU$1000000,1051,FALSE)</f>
        <v>#N/A</v>
      </c>
      <c r="N62" s="34" t="e">
        <f>VLOOKUP(A1,DIV_05Data!$A$1:$DZU$1000000,1052,FALSE)</f>
        <v>#N/A</v>
      </c>
      <c r="O62" s="33" t="e">
        <f>VLOOKUP(A1,DIV_05Data!$A$1:$DZU$1000000,1053,FALSE)</f>
        <v>#N/A</v>
      </c>
      <c r="P62" s="116" t="e">
        <f>VLOOKUP(A1,DIV_05Data!$A$1:$DZU$1000000,1054,FALSE)</f>
        <v>#N/A</v>
      </c>
      <c r="Q62" s="268" t="e">
        <f>VLOOKUP(A1,DIV_05Data!$A$1:$DZU$1000000,1055,FALSE)</f>
        <v>#N/A</v>
      </c>
    </row>
    <row r="63" spans="1:17" x14ac:dyDescent="0.35">
      <c r="A63" s="265" t="e">
        <f>VLOOKUP(A1,DIV_05Data!$A$1:$DZU$1000000,1056,FALSE)</f>
        <v>#N/A</v>
      </c>
      <c r="B63" s="37" t="e">
        <f>VLOOKUP(A1,DIV_05Data!$A$1:$DZU$1000000,1057,FALSE)</f>
        <v>#N/A</v>
      </c>
      <c r="C63" s="38" t="e">
        <f>VLOOKUP(A1,DIV_05Data!$A$1:$DZU$1000000,1058,FALSE)</f>
        <v>#N/A</v>
      </c>
      <c r="D63" s="31" t="e">
        <f>VLOOKUP(A1,DIV_05Data!$A$1:$DZU$1000000,1059,FALSE)</f>
        <v>#N/A</v>
      </c>
      <c r="E63" s="32" t="e">
        <f>VLOOKUP(A1,DIV_05Data!$A$1:$DZU$1000000,1060,FALSE)</f>
        <v>#N/A</v>
      </c>
      <c r="F63" s="34" t="e">
        <f>VLOOKUP(A1,DIV_05Data!$A$1:$DZU$1000000,1061,FALSE)</f>
        <v>#N/A</v>
      </c>
      <c r="G63" s="33" t="e">
        <f>VLOOKUP(A1,DIV_05Data!$A$1:$DZU$1000000,1062,FALSE)</f>
        <v>#N/A</v>
      </c>
      <c r="H63" s="34" t="e">
        <f>VLOOKUP(A1,DIV_05Data!$A$1:$DZU$1000000,1063,FALSE)</f>
        <v>#N/A</v>
      </c>
      <c r="I63" s="33" t="e">
        <f>VLOOKUP(A1,DIV_05Data!$A$1:$DZU$1000000,1064,FALSE)</f>
        <v>#N/A</v>
      </c>
      <c r="J63" s="34" t="e">
        <f>VLOOKUP(A1,DIV_05Data!$A$1:$DZU$1000000,1065,FALSE)</f>
        <v>#N/A</v>
      </c>
      <c r="K63" s="34" t="e">
        <f>VLOOKUP(A1,DIV_05Data!$A$1:$DZU$1000000,1066,FALSE)</f>
        <v>#N/A</v>
      </c>
      <c r="L63" s="93" t="e">
        <f>VLOOKUP(A1,DIV_05Data!$A$1:$DZU$1000000,1067,FALSE)</f>
        <v>#N/A</v>
      </c>
      <c r="M63" s="33" t="e">
        <f>VLOOKUP(A1,DIV_05Data!$A$1:$DZU$1000000,1068,FALSE)</f>
        <v>#N/A</v>
      </c>
      <c r="N63" s="34" t="e">
        <f>VLOOKUP(A1,DIV_05Data!$A$1:$DZU$1000000,1069,FALSE)</f>
        <v>#N/A</v>
      </c>
      <c r="O63" s="33" t="e">
        <f>VLOOKUP(A1,DIV_05Data!$A$1:$DZU$1000000,1070,FALSE)</f>
        <v>#N/A</v>
      </c>
      <c r="P63" s="116" t="e">
        <f>VLOOKUP(A1,DIV_05Data!$A$1:$DZU$1000000,1071,FALSE)</f>
        <v>#N/A</v>
      </c>
      <c r="Q63" s="268" t="e">
        <f>VLOOKUP(A1,DIV_05Data!$A$1:$DZU$1000000,1072,FALSE)</f>
        <v>#N/A</v>
      </c>
    </row>
    <row r="64" spans="1:17" x14ac:dyDescent="0.35">
      <c r="A64" s="265" t="e">
        <f>VLOOKUP(A1,DIV_05Data!$A$1:$DZU$1000000,1073,FALSE)</f>
        <v>#N/A</v>
      </c>
      <c r="B64" s="37" t="e">
        <f>VLOOKUP(A1,DIV_05Data!$A$1:$DZU$1000000,1074,FALSE)</f>
        <v>#N/A</v>
      </c>
      <c r="C64" s="38" t="e">
        <f>VLOOKUP(A1,DIV_05Data!$A$1:$DZU$1000000,1075,FALSE)</f>
        <v>#N/A</v>
      </c>
      <c r="D64" s="31" t="e">
        <f>VLOOKUP(A1,DIV_05Data!$A$1:$DZU$1000000,1076,FALSE)</f>
        <v>#N/A</v>
      </c>
      <c r="E64" s="32" t="e">
        <f>VLOOKUP(A1,DIV_05Data!$A$1:$DZU$1000000,1077,FALSE)</f>
        <v>#N/A</v>
      </c>
      <c r="F64" s="34" t="e">
        <f>VLOOKUP(A1,DIV_05Data!$A$1:$DZU$1000000,1078,FALSE)</f>
        <v>#N/A</v>
      </c>
      <c r="G64" s="33" t="e">
        <f>VLOOKUP(A1,DIV_05Data!$A$1:$DZU$1000000,1079,FALSE)</f>
        <v>#N/A</v>
      </c>
      <c r="H64" s="34" t="e">
        <f>VLOOKUP(A1,DIV_05Data!$A$1:$DZU$1000000,1080,FALSE)</f>
        <v>#N/A</v>
      </c>
      <c r="I64" s="33" t="e">
        <f>VLOOKUP(A1,DIV_05Data!$A$1:$DZU$1000000,1081,FALSE)</f>
        <v>#N/A</v>
      </c>
      <c r="J64" s="34" t="e">
        <f>VLOOKUP(A1,DIV_05Data!$A$1:$DZU$1000000,1082,FALSE)</f>
        <v>#N/A</v>
      </c>
      <c r="K64" s="34" t="e">
        <f>VLOOKUP(A1,DIV_05Data!$A$1:$DZU$1000000,1083,FALSE)</f>
        <v>#N/A</v>
      </c>
      <c r="L64" s="93" t="e">
        <f>VLOOKUP(A1,DIV_05Data!$A$1:$DZU$1000000,1084,FALSE)</f>
        <v>#N/A</v>
      </c>
      <c r="M64" s="33" t="e">
        <f>VLOOKUP(A1,DIV_05Data!$A$1:$DZU$1000000,1085,FALSE)</f>
        <v>#N/A</v>
      </c>
      <c r="N64" s="34" t="e">
        <f>VLOOKUP(A1,DIV_05Data!$A$1:$DZU$1000000,1086,FALSE)</f>
        <v>#N/A</v>
      </c>
      <c r="O64" s="33" t="e">
        <f>VLOOKUP(A1,DIV_05Data!$A$1:$DZU$1000000,1087,FALSE)</f>
        <v>#N/A</v>
      </c>
      <c r="P64" s="116" t="e">
        <f>VLOOKUP(A1,DIV_05Data!$A$1:$DZU$1000000,1088,FALSE)</f>
        <v>#N/A</v>
      </c>
      <c r="Q64" s="268" t="e">
        <f>VLOOKUP(A1,DIV_05Data!$A$1:$DZU$1000000,1089,FALSE)</f>
        <v>#N/A</v>
      </c>
    </row>
    <row r="65" spans="1:17" x14ac:dyDescent="0.35">
      <c r="A65" s="265" t="e">
        <f>VLOOKUP(A1,DIV_05Data!$A$1:$DZU$1000000,1090,FALSE)</f>
        <v>#N/A</v>
      </c>
      <c r="B65" s="37" t="e">
        <f>VLOOKUP(A1,DIV_05Data!$A$1:$DZU$1000000,1091,FALSE)</f>
        <v>#N/A</v>
      </c>
      <c r="C65" s="38" t="e">
        <f>VLOOKUP(A1,DIV_05Data!$A$1:$DZU$1000000,1092,FALSE)</f>
        <v>#N/A</v>
      </c>
      <c r="D65" s="31" t="e">
        <f>VLOOKUP(A1,DIV_05Data!$A$1:$DZU$1000000,1093,FALSE)</f>
        <v>#N/A</v>
      </c>
      <c r="E65" s="32" t="e">
        <f>VLOOKUP(A1,DIV_05Data!$A$1:$DZU$1000000,1094,FALSE)</f>
        <v>#N/A</v>
      </c>
      <c r="F65" s="34" t="e">
        <f>VLOOKUP(A1,DIV_05Data!$A$1:$DZU$1000000,1095,FALSE)</f>
        <v>#N/A</v>
      </c>
      <c r="G65" s="33" t="e">
        <f>VLOOKUP(A1,DIV_05Data!$A$1:$DZU$1000000,1096,FALSE)</f>
        <v>#N/A</v>
      </c>
      <c r="H65" s="34" t="e">
        <f>VLOOKUP(A1,DIV_05Data!$A$1:$DZU$1000000,1097,FALSE)</f>
        <v>#N/A</v>
      </c>
      <c r="I65" s="33" t="e">
        <f>VLOOKUP(A1,DIV_05Data!$A$1:$DZU$1000000,1098,FALSE)</f>
        <v>#N/A</v>
      </c>
      <c r="J65" s="34" t="e">
        <f>VLOOKUP(A1,DIV_05Data!$A$1:$DZU$1000000,1099,FALSE)</f>
        <v>#N/A</v>
      </c>
      <c r="K65" s="34" t="e">
        <f>VLOOKUP(A1,DIV_05Data!$A$1:$DZU$1000000,1100,FALSE)</f>
        <v>#N/A</v>
      </c>
      <c r="L65" s="93" t="e">
        <f>VLOOKUP(A1,DIV_05Data!$A$1:$DZU$1000000,1101,FALSE)</f>
        <v>#N/A</v>
      </c>
      <c r="M65" s="33" t="e">
        <f>VLOOKUP(A1,DIV_05Data!$A$1:$DZU$1000000,1102,FALSE)</f>
        <v>#N/A</v>
      </c>
      <c r="N65" s="34" t="e">
        <f>VLOOKUP(A1,DIV_05Data!$A$1:$DZU$1000000,1103,FALSE)</f>
        <v>#N/A</v>
      </c>
      <c r="O65" s="33" t="e">
        <f>VLOOKUP(A1,DIV_05Data!$A$1:$DZU$1000000,1104,FALSE)</f>
        <v>#N/A</v>
      </c>
      <c r="P65" s="116" t="e">
        <f>VLOOKUP(A1,DIV_05Data!$A$1:$DZU$1000000,1105,FALSE)</f>
        <v>#N/A</v>
      </c>
      <c r="Q65" s="268" t="e">
        <f>VLOOKUP(A1,DIV_05Data!$A$1:$DZU$1000000,1106,FALSE)</f>
        <v>#N/A</v>
      </c>
    </row>
    <row r="66" spans="1:17" x14ac:dyDescent="0.35">
      <c r="A66" s="265" t="e">
        <f>VLOOKUP(A1,DIV_05Data!$A$1:$DZU$1000000,1107,FALSE)</f>
        <v>#N/A</v>
      </c>
      <c r="B66" s="37" t="e">
        <f>VLOOKUP(A1,DIV_05Data!$A$1:$DZU$1000000,1108,FALSE)</f>
        <v>#N/A</v>
      </c>
      <c r="C66" s="38" t="e">
        <f>VLOOKUP(A1,DIV_05Data!$A$1:$DZU$1000000,1109,FALSE)</f>
        <v>#N/A</v>
      </c>
      <c r="D66" s="31" t="e">
        <f>VLOOKUP(A1,DIV_05Data!$A$1:$DZU$1000000,1110,FALSE)</f>
        <v>#N/A</v>
      </c>
      <c r="E66" s="32" t="e">
        <f>VLOOKUP(A1,DIV_05Data!$A$1:$DZU$1000000,1111,FALSE)</f>
        <v>#N/A</v>
      </c>
      <c r="F66" s="34" t="e">
        <f>VLOOKUP(A1,DIV_05Data!$A$1:$DZU$1000000,1112,FALSE)</f>
        <v>#N/A</v>
      </c>
      <c r="G66" s="33" t="e">
        <f>VLOOKUP(A1,DIV_05Data!$A$1:$DZU$1000000,1113,FALSE)</f>
        <v>#N/A</v>
      </c>
      <c r="H66" s="34" t="e">
        <f>VLOOKUP(A1,DIV_05Data!$A$1:$DZU$1000000,1114,FALSE)</f>
        <v>#N/A</v>
      </c>
      <c r="I66" s="33" t="e">
        <f>VLOOKUP(A1,DIV_05Data!$A$1:$DZU$1000000,1115,FALSE)</f>
        <v>#N/A</v>
      </c>
      <c r="J66" s="34" t="e">
        <f>VLOOKUP(A1,DIV_05Data!$A$1:$DZU$1000000,1116,FALSE)</f>
        <v>#N/A</v>
      </c>
      <c r="K66" s="34" t="e">
        <f>VLOOKUP(A1,DIV_05Data!$A$1:$DZU$1000000,1117,FALSE)</f>
        <v>#N/A</v>
      </c>
      <c r="L66" s="93" t="e">
        <f>VLOOKUP(A1,DIV_05Data!$A$1:$DZU$1000000,1118,FALSE)</f>
        <v>#N/A</v>
      </c>
      <c r="M66" s="33" t="e">
        <f>VLOOKUP(A1,DIV_05Data!$A$1:$DZU$1000000,1119,FALSE)</f>
        <v>#N/A</v>
      </c>
      <c r="N66" s="34" t="e">
        <f>VLOOKUP(A1,DIV_05Data!$A$1:$DZU$1000000,1120,FALSE)</f>
        <v>#N/A</v>
      </c>
      <c r="O66" s="33" t="e">
        <f>VLOOKUP(A1,DIV_05Data!$A$1:$DZU$1000000,1121,FALSE)</f>
        <v>#N/A</v>
      </c>
      <c r="P66" s="116" t="e">
        <f>VLOOKUP(A1,DIV_05Data!$A$1:$DZU$1000000,1122,FALSE)</f>
        <v>#N/A</v>
      </c>
      <c r="Q66" s="268" t="e">
        <f>VLOOKUP(A1,DIV_05Data!$A$1:$DZU$1000000,1123,FALSE)</f>
        <v>#N/A</v>
      </c>
    </row>
    <row r="67" spans="1:17" x14ac:dyDescent="0.35">
      <c r="A67" s="265" t="e">
        <f>VLOOKUP(A1,DIV_05Data!$A$1:$DZU$1000000,1124,FALSE)</f>
        <v>#N/A</v>
      </c>
      <c r="B67" s="37" t="e">
        <f>VLOOKUP(A1,DIV_05Data!$A$1:$DZU$1000000,1125,FALSE)</f>
        <v>#N/A</v>
      </c>
      <c r="C67" s="38" t="e">
        <f>VLOOKUP(A1,DIV_05Data!$A$1:$DZU$1000000,1126,FALSE)</f>
        <v>#N/A</v>
      </c>
      <c r="D67" s="31" t="e">
        <f>VLOOKUP(A1,DIV_05Data!$A$1:$DZU$1000000,1127,FALSE)</f>
        <v>#N/A</v>
      </c>
      <c r="E67" s="32" t="e">
        <f>VLOOKUP(A1,DIV_05Data!$A$1:$DZU$1000000,1128,FALSE)</f>
        <v>#N/A</v>
      </c>
      <c r="F67" s="34" t="e">
        <f>VLOOKUP(A1,DIV_05Data!$A$1:$DZU$1000000,1129,FALSE)</f>
        <v>#N/A</v>
      </c>
      <c r="G67" s="33" t="e">
        <f>VLOOKUP(A1,DIV_05Data!$A$1:$DZU$1000000,1130,FALSE)</f>
        <v>#N/A</v>
      </c>
      <c r="H67" s="34" t="e">
        <f>VLOOKUP(A1,DIV_05Data!$A$1:$DZU$1000000,1131,FALSE)</f>
        <v>#N/A</v>
      </c>
      <c r="I67" s="33" t="e">
        <f>VLOOKUP(A1,DIV_05Data!$A$1:$DZU$1000000,1132,FALSE)</f>
        <v>#N/A</v>
      </c>
      <c r="J67" s="34" t="e">
        <f>VLOOKUP(A1,DIV_05Data!$A$1:$DZU$1000000,1133,FALSE)</f>
        <v>#N/A</v>
      </c>
      <c r="K67" s="34" t="e">
        <f>VLOOKUP(A1,DIV_05Data!$A$1:$DZU$1000000,1134,FALSE)</f>
        <v>#N/A</v>
      </c>
      <c r="L67" s="93" t="e">
        <f>VLOOKUP(A1,DIV_05Data!$A$1:$DZU$1000000,1135,FALSE)</f>
        <v>#N/A</v>
      </c>
      <c r="M67" s="33" t="e">
        <f>VLOOKUP(A1,DIV_05Data!$A$1:$DZU$1000000,1136,FALSE)</f>
        <v>#N/A</v>
      </c>
      <c r="N67" s="34" t="e">
        <f>VLOOKUP(A1,DIV_05Data!$A$1:$DZU$1000000,1137,FALSE)</f>
        <v>#N/A</v>
      </c>
      <c r="O67" s="33" t="e">
        <f>VLOOKUP(A1,DIV_05Data!$A$1:$DZU$1000000,1138,FALSE)</f>
        <v>#N/A</v>
      </c>
      <c r="P67" s="116" t="e">
        <f>VLOOKUP(A1,DIV_05Data!$A$1:$DZU$1000000,1139,FALSE)</f>
        <v>#N/A</v>
      </c>
      <c r="Q67" s="268" t="e">
        <f>VLOOKUP(A1,DIV_05Data!$A$1:$DZU$1000000,1140,FALSE)</f>
        <v>#N/A</v>
      </c>
    </row>
    <row r="68" spans="1:17" x14ac:dyDescent="0.35">
      <c r="A68" s="265" t="e">
        <f>VLOOKUP(A1,DIV_05Data!$A$1:$DZU$1000000,1141,FALSE)</f>
        <v>#N/A</v>
      </c>
      <c r="B68" s="37" t="e">
        <f>VLOOKUP(A1,DIV_05Data!$A$1:$DZU$1000000,1142,FALSE)</f>
        <v>#N/A</v>
      </c>
      <c r="C68" s="38" t="e">
        <f>VLOOKUP(A1,DIV_05Data!$A$1:$DZU$1000000,1143,FALSE)</f>
        <v>#N/A</v>
      </c>
      <c r="D68" s="31" t="e">
        <f>VLOOKUP(A1,DIV_05Data!$A$1:$DZU$1000000,1144,FALSE)</f>
        <v>#N/A</v>
      </c>
      <c r="E68" s="32" t="e">
        <f>VLOOKUP(A1,DIV_05Data!$A$1:$DZU$1000000,1145,FALSE)</f>
        <v>#N/A</v>
      </c>
      <c r="F68" s="34" t="e">
        <f>VLOOKUP(A1,DIV_05Data!$A$1:$DZU$1000000,1146,FALSE)</f>
        <v>#N/A</v>
      </c>
      <c r="G68" s="33" t="e">
        <f>VLOOKUP(A1,DIV_05Data!$A$1:$DZU$1000000,1147,FALSE)</f>
        <v>#N/A</v>
      </c>
      <c r="H68" s="34" t="e">
        <f>VLOOKUP(A1,DIV_05Data!$A$1:$DZU$1000000,1148,FALSE)</f>
        <v>#N/A</v>
      </c>
      <c r="I68" s="33" t="e">
        <f>VLOOKUP(A1,DIV_05Data!$A$1:$DZU$1000000,1149,FALSE)</f>
        <v>#N/A</v>
      </c>
      <c r="J68" s="34" t="e">
        <f>VLOOKUP(A1,DIV_05Data!$A$1:$DZU$1000000,1150,FALSE)</f>
        <v>#N/A</v>
      </c>
      <c r="K68" s="34" t="e">
        <f>VLOOKUP(A1,DIV_05Data!$A$1:$DZU$1000000,1151,FALSE)</f>
        <v>#N/A</v>
      </c>
      <c r="L68" s="93" t="e">
        <f>VLOOKUP(A1,DIV_05Data!$A$1:$DZU$1000000,1152,FALSE)</f>
        <v>#N/A</v>
      </c>
      <c r="M68" s="33" t="e">
        <f>VLOOKUP(A1,DIV_05Data!$A$1:$DZU$1000000,1153,FALSE)</f>
        <v>#N/A</v>
      </c>
      <c r="N68" s="34" t="e">
        <f>VLOOKUP(A1,DIV_05Data!$A$1:$DZU$1000000,1154,FALSE)</f>
        <v>#N/A</v>
      </c>
      <c r="O68" s="33" t="e">
        <f>VLOOKUP(A1,DIV_05Data!$A$1:$DZU$1000000,1155,FALSE)</f>
        <v>#N/A</v>
      </c>
      <c r="P68" s="116" t="e">
        <f>VLOOKUP(A1,DIV_05Data!$A$1:$DZU$1000000,1156,FALSE)</f>
        <v>#N/A</v>
      </c>
      <c r="Q68" s="268" t="e">
        <f>VLOOKUP(A1,DIV_05Data!$A$1:$DZU$1000000,1157,FALSE)</f>
        <v>#N/A</v>
      </c>
    </row>
    <row r="69" spans="1:17" x14ac:dyDescent="0.35">
      <c r="A69" s="265" t="e">
        <f>VLOOKUP(A1,DIV_05Data!$A$1:$DZU$1000000,1158,FALSE)</f>
        <v>#N/A</v>
      </c>
      <c r="B69" s="37" t="e">
        <f>VLOOKUP(A1,DIV_05Data!$A$1:$DZU$1000000,1159,FALSE)</f>
        <v>#N/A</v>
      </c>
      <c r="C69" s="38" t="e">
        <f>VLOOKUP(A1,DIV_05Data!$A$1:$DZU$1000000,1160,FALSE)</f>
        <v>#N/A</v>
      </c>
      <c r="D69" s="31" t="e">
        <f>VLOOKUP(A1,DIV_05Data!$A$1:$DZU$1000000,1161,FALSE)</f>
        <v>#N/A</v>
      </c>
      <c r="E69" s="32" t="e">
        <f>VLOOKUP(A1,DIV_05Data!$A$1:$DZU$1000000,1162,FALSE)</f>
        <v>#N/A</v>
      </c>
      <c r="F69" s="34" t="e">
        <f>VLOOKUP(A1,DIV_05Data!$A$1:$DZU$1000000,1163,FALSE)</f>
        <v>#N/A</v>
      </c>
      <c r="G69" s="33" t="e">
        <f>VLOOKUP(A1,DIV_05Data!$A$1:$DZU$1000000,1164,FALSE)</f>
        <v>#N/A</v>
      </c>
      <c r="H69" s="34" t="e">
        <f>VLOOKUP(A1,DIV_05Data!$A$1:$DZU$1000000,1165,FALSE)</f>
        <v>#N/A</v>
      </c>
      <c r="I69" s="33" t="e">
        <f>VLOOKUP(A1,DIV_05Data!$A$1:$DZU$1000000,1166,FALSE)</f>
        <v>#N/A</v>
      </c>
      <c r="J69" s="34" t="e">
        <f>VLOOKUP(A1,DIV_05Data!$A$1:$DZU$1000000,1167,FALSE)</f>
        <v>#N/A</v>
      </c>
      <c r="K69" s="34" t="e">
        <f>VLOOKUP(A1,DIV_05Data!$A$1:$DZU$1000000,1168,FALSE)</f>
        <v>#N/A</v>
      </c>
      <c r="L69" s="93" t="e">
        <f>VLOOKUP(A1,DIV_05Data!$A$1:$DZU$1000000,1169,FALSE)</f>
        <v>#N/A</v>
      </c>
      <c r="M69" s="33" t="e">
        <f>VLOOKUP(A1,DIV_05Data!$A$1:$DZU$1000000,1170,FALSE)</f>
        <v>#N/A</v>
      </c>
      <c r="N69" s="34" t="e">
        <f>VLOOKUP(A1,DIV_05Data!$A$1:$DZU$1000000,1171,FALSE)</f>
        <v>#N/A</v>
      </c>
      <c r="O69" s="33" t="e">
        <f>VLOOKUP(A1,DIV_05Data!$A$1:$DZU$1000000,1172,FALSE)</f>
        <v>#N/A</v>
      </c>
      <c r="P69" s="116" t="e">
        <f>VLOOKUP(A1,DIV_05Data!$A$1:$DZU$1000000,1173,FALSE)</f>
        <v>#N/A</v>
      </c>
      <c r="Q69" s="268" t="e">
        <f>VLOOKUP(A1,DIV_05Data!$A$1:$DZU$1000000,1174,FALSE)</f>
        <v>#N/A</v>
      </c>
    </row>
    <row r="70" spans="1:17" x14ac:dyDescent="0.35">
      <c r="A70" s="265" t="e">
        <f>VLOOKUP(A1,DIV_05Data!$A$1:$DZU$1000000,1175,FALSE)</f>
        <v>#N/A</v>
      </c>
      <c r="B70" s="37" t="e">
        <f>VLOOKUP(A1,DIV_05Data!$A$1:$DZU$1000000,1176,FALSE)</f>
        <v>#N/A</v>
      </c>
      <c r="C70" s="38" t="e">
        <f>VLOOKUP(A1,DIV_05Data!$A$1:$DZU$1000000,1177,FALSE)</f>
        <v>#N/A</v>
      </c>
      <c r="D70" s="31" t="e">
        <f>VLOOKUP(A1,DIV_05Data!$A$1:$DZU$1000000,1178,FALSE)</f>
        <v>#N/A</v>
      </c>
      <c r="E70" s="32" t="e">
        <f>VLOOKUP(A1,DIV_05Data!$A$1:$DZU$1000000,1179,FALSE)</f>
        <v>#N/A</v>
      </c>
      <c r="F70" s="34" t="e">
        <f>VLOOKUP(A1,DIV_05Data!$A$1:$DZU$1000000,1180,FALSE)</f>
        <v>#N/A</v>
      </c>
      <c r="G70" s="33" t="e">
        <f>VLOOKUP(A1,DIV_05Data!$A$1:$DZU$1000000,1181,FALSE)</f>
        <v>#N/A</v>
      </c>
      <c r="H70" s="34" t="e">
        <f>VLOOKUP(A1,DIV_05Data!$A$1:$DZU$1000000,1182,FALSE)</f>
        <v>#N/A</v>
      </c>
      <c r="I70" s="33" t="e">
        <f>VLOOKUP(A1,DIV_05Data!$A$1:$DZU$1000000,1183,FALSE)</f>
        <v>#N/A</v>
      </c>
      <c r="J70" s="34" t="e">
        <f>VLOOKUP(A1,DIV_05Data!$A$1:$DZU$1000000,1184,FALSE)</f>
        <v>#N/A</v>
      </c>
      <c r="K70" s="34" t="e">
        <f>VLOOKUP(A1,DIV_05Data!$A$1:$DZU$1000000,1185,FALSE)</f>
        <v>#N/A</v>
      </c>
      <c r="L70" s="93" t="e">
        <f>VLOOKUP(A1,DIV_05Data!$A$1:$DZU$1000000,1186,FALSE)</f>
        <v>#N/A</v>
      </c>
      <c r="M70" s="33" t="e">
        <f>VLOOKUP(A1,DIV_05Data!$A$1:$DZU$1000000,1187,FALSE)</f>
        <v>#N/A</v>
      </c>
      <c r="N70" s="34" t="e">
        <f>VLOOKUP(A1,DIV_05Data!$A$1:$DZU$1000000,1188,FALSE)</f>
        <v>#N/A</v>
      </c>
      <c r="O70" s="33" t="e">
        <f>VLOOKUP(A1,DIV_05Data!$A$1:$DZU$1000000,1189,FALSE)</f>
        <v>#N/A</v>
      </c>
      <c r="P70" s="116" t="e">
        <f>VLOOKUP(A1,DIV_05Data!$A$1:$DZU$1000000,1190,FALSE)</f>
        <v>#N/A</v>
      </c>
      <c r="Q70" s="268" t="e">
        <f>VLOOKUP(A1,DIV_05Data!$A$1:$DZU$1000000,1191,FALSE)</f>
        <v>#N/A</v>
      </c>
    </row>
    <row r="71" spans="1:17" x14ac:dyDescent="0.35">
      <c r="A71" s="265" t="e">
        <f>VLOOKUP(A1,DIV_05Data!$A$1:$DZU$1000000,1192,FALSE)</f>
        <v>#N/A</v>
      </c>
      <c r="B71" s="37" t="e">
        <f>VLOOKUP(A1,DIV_05Data!$A$1:$DZU$1000000,1193,FALSE)</f>
        <v>#N/A</v>
      </c>
      <c r="C71" s="38" t="e">
        <f>VLOOKUP(A1,DIV_05Data!$A$1:$DZU$1000000,1194,FALSE)</f>
        <v>#N/A</v>
      </c>
      <c r="D71" s="31" t="e">
        <f>VLOOKUP(A1,DIV_05Data!$A$1:$DZU$1000000,1195,FALSE)</f>
        <v>#N/A</v>
      </c>
      <c r="E71" s="32" t="e">
        <f>VLOOKUP(A1,DIV_05Data!$A$1:$DZU$1000000,1196,FALSE)</f>
        <v>#N/A</v>
      </c>
      <c r="F71" s="34" t="e">
        <f>VLOOKUP(A1,DIV_05Data!$A$1:$DZU$1000000,1197,FALSE)</f>
        <v>#N/A</v>
      </c>
      <c r="G71" s="33" t="e">
        <f>VLOOKUP(A1,DIV_05Data!$A$1:$DZU$1000000,1198,FALSE)</f>
        <v>#N/A</v>
      </c>
      <c r="H71" s="34" t="e">
        <f>VLOOKUP(A1,DIV_05Data!$A$1:$DZU$1000000,1199,FALSE)</f>
        <v>#N/A</v>
      </c>
      <c r="I71" s="33" t="e">
        <f>VLOOKUP(A1,DIV_05Data!$A$1:$DZU$1000000,1200,FALSE)</f>
        <v>#N/A</v>
      </c>
      <c r="J71" s="34" t="e">
        <f>VLOOKUP(A1,DIV_05Data!$A$1:$DZU$1000000,1201,FALSE)</f>
        <v>#N/A</v>
      </c>
      <c r="K71" s="34" t="e">
        <f>VLOOKUP(A1,DIV_05Data!$A$1:$DZU$1000000,1202,FALSE)</f>
        <v>#N/A</v>
      </c>
      <c r="L71" s="93" t="e">
        <f>VLOOKUP(A1,DIV_05Data!$A$1:$DZU$1000000,1203,FALSE)</f>
        <v>#N/A</v>
      </c>
      <c r="M71" s="33" t="e">
        <f>VLOOKUP(A1,DIV_05Data!$A$1:$DZU$1000000,1204,FALSE)</f>
        <v>#N/A</v>
      </c>
      <c r="N71" s="34" t="e">
        <f>VLOOKUP(A1,DIV_05Data!$A$1:$DZU$1000000,1205,FALSE)</f>
        <v>#N/A</v>
      </c>
      <c r="O71" s="33" t="e">
        <f>VLOOKUP(A1,DIV_05Data!$A$1:$DZU$1000000,1206,FALSE)</f>
        <v>#N/A</v>
      </c>
      <c r="P71" s="116" t="e">
        <f>VLOOKUP(A1,DIV_05Data!$A$1:$DZU$1000000,1207,FALSE)</f>
        <v>#N/A</v>
      </c>
      <c r="Q71" s="268" t="e">
        <f>VLOOKUP(A1,DIV_05Data!$A$1:$DZU$1000000,1208,FALSE)</f>
        <v>#N/A</v>
      </c>
    </row>
    <row r="72" spans="1:17" x14ac:dyDescent="0.35">
      <c r="A72" s="265" t="e">
        <f>VLOOKUP(A1,DIV_05Data!$A$1:$DZU$1000000,1209,FALSE)</f>
        <v>#N/A</v>
      </c>
      <c r="B72" s="37" t="e">
        <f>VLOOKUP(A1,DIV_05Data!$A$1:$DZU$1000000,1210,FALSE)</f>
        <v>#N/A</v>
      </c>
      <c r="C72" s="38" t="e">
        <f>VLOOKUP(A1,DIV_05Data!$A$1:$DZU$1000000,1211,FALSE)</f>
        <v>#N/A</v>
      </c>
      <c r="D72" s="31" t="e">
        <f>VLOOKUP(A1,DIV_05Data!$A$1:$DZU$1000000,1212,FALSE)</f>
        <v>#N/A</v>
      </c>
      <c r="E72" s="32" t="e">
        <f>VLOOKUP(A1,DIV_05Data!$A$1:$DZU$1000000,1213,FALSE)</f>
        <v>#N/A</v>
      </c>
      <c r="F72" s="34" t="e">
        <f>VLOOKUP(A1,DIV_05Data!$A$1:$DZU$1000000,1214,FALSE)</f>
        <v>#N/A</v>
      </c>
      <c r="G72" s="33" t="e">
        <f>VLOOKUP(A1,DIV_05Data!$A$1:$DZU$1000000,1215,FALSE)</f>
        <v>#N/A</v>
      </c>
      <c r="H72" s="34" t="e">
        <f>VLOOKUP(A1,DIV_05Data!$A$1:$DZU$1000000,1216,FALSE)</f>
        <v>#N/A</v>
      </c>
      <c r="I72" s="33" t="e">
        <f>VLOOKUP(A1,DIV_05Data!$A$1:$DZU$1000000,1217,FALSE)</f>
        <v>#N/A</v>
      </c>
      <c r="J72" s="34" t="e">
        <f>VLOOKUP(A1,DIV_05Data!$A$1:$DZU$1000000,1218,FALSE)</f>
        <v>#N/A</v>
      </c>
      <c r="K72" s="34" t="e">
        <f>VLOOKUP(A1,DIV_05Data!$A$1:$DZU$1000000,1219,FALSE)</f>
        <v>#N/A</v>
      </c>
      <c r="L72" s="93" t="e">
        <f>VLOOKUP(A1,DIV_05Data!$A$1:$DZU$1000000,1220,FALSE)</f>
        <v>#N/A</v>
      </c>
      <c r="M72" s="33" t="e">
        <f>VLOOKUP(A1,DIV_05Data!$A$1:$DZU$1000000,1221,FALSE)</f>
        <v>#N/A</v>
      </c>
      <c r="N72" s="34" t="e">
        <f>VLOOKUP(A1,DIV_05Data!$A$1:$DZU$1000000,1222,FALSE)</f>
        <v>#N/A</v>
      </c>
      <c r="O72" s="33" t="e">
        <f>VLOOKUP(A1,DIV_05Data!$A$1:$DZU$1000000,1223,FALSE)</f>
        <v>#N/A</v>
      </c>
      <c r="P72" s="116" t="e">
        <f>VLOOKUP(A1,DIV_05Data!$A$1:$DZU$1000000,1224,FALSE)</f>
        <v>#N/A</v>
      </c>
      <c r="Q72" s="268" t="e">
        <f>VLOOKUP(A1,DIV_05Data!$A$1:$DZU$1000000,1225,FALSE)</f>
        <v>#N/A</v>
      </c>
    </row>
    <row r="73" spans="1:17" x14ac:dyDescent="0.35">
      <c r="A73" s="265" t="e">
        <f>VLOOKUP(A1,DIV_05Data!$A$1:$DZU$1000000,1226,FALSE)</f>
        <v>#N/A</v>
      </c>
      <c r="B73" s="37" t="e">
        <f>VLOOKUP(A1,DIV_05Data!$A$1:$DZU$1000000,1227,FALSE)</f>
        <v>#N/A</v>
      </c>
      <c r="C73" s="38" t="e">
        <f>VLOOKUP(A1,DIV_05Data!$A$1:$DZU$1000000,1228,FALSE)</f>
        <v>#N/A</v>
      </c>
      <c r="D73" s="31" t="e">
        <f>VLOOKUP(A1,DIV_05Data!$A$1:$DZU$1000000,1229,FALSE)</f>
        <v>#N/A</v>
      </c>
      <c r="E73" s="32" t="e">
        <f>VLOOKUP(A1,DIV_05Data!$A$1:$DZU$1000000,1230,FALSE)</f>
        <v>#N/A</v>
      </c>
      <c r="F73" s="34" t="e">
        <f>VLOOKUP(A1,DIV_05Data!$A$1:$DZU$1000000,1231,FALSE)</f>
        <v>#N/A</v>
      </c>
      <c r="G73" s="33" t="e">
        <f>VLOOKUP(A1,DIV_05Data!$A$1:$DZU$1000000,1232,FALSE)</f>
        <v>#N/A</v>
      </c>
      <c r="H73" s="34" t="e">
        <f>VLOOKUP(A1,DIV_05Data!$A$1:$DZU$1000000,1233,FALSE)</f>
        <v>#N/A</v>
      </c>
      <c r="I73" s="33" t="e">
        <f>VLOOKUP(A1,DIV_05Data!$A$1:$DZU$1000000,1234,FALSE)</f>
        <v>#N/A</v>
      </c>
      <c r="J73" s="34" t="e">
        <f>VLOOKUP(A1,DIV_05Data!$A$1:$DZU$1000000,1235,FALSE)</f>
        <v>#N/A</v>
      </c>
      <c r="K73" s="34" t="e">
        <f>VLOOKUP(A1,DIV_05Data!$A$1:$DZU$1000000,1236,FALSE)</f>
        <v>#N/A</v>
      </c>
      <c r="L73" s="93" t="e">
        <f>VLOOKUP(A1,DIV_05Data!$A$1:$DZU$1000000,1237,FALSE)</f>
        <v>#N/A</v>
      </c>
      <c r="M73" s="33" t="e">
        <f>VLOOKUP(A1,DIV_05Data!$A$1:$DZU$1000000,1238,FALSE)</f>
        <v>#N/A</v>
      </c>
      <c r="N73" s="34" t="e">
        <f>VLOOKUP(A1,DIV_05Data!$A$1:$DZU$1000000,1239,FALSE)</f>
        <v>#N/A</v>
      </c>
      <c r="O73" s="33" t="e">
        <f>VLOOKUP(A1,DIV_05Data!$A$1:$DZU$1000000,1240,FALSE)</f>
        <v>#N/A</v>
      </c>
      <c r="P73" s="116" t="e">
        <f>VLOOKUP(A1,DIV_05Data!$A$1:$DZU$1000000,1241,FALSE)</f>
        <v>#N/A</v>
      </c>
      <c r="Q73" s="268" t="e">
        <f>VLOOKUP(A1,DIV_05Data!$A$1:$DZU$1000000,1242,FALSE)</f>
        <v>#N/A</v>
      </c>
    </row>
    <row r="74" spans="1:17" x14ac:dyDescent="0.35">
      <c r="A74" s="265" t="e">
        <f>VLOOKUP(A1,DIV_05Data!$A$1:$DZU$1000000,1243,FALSE)</f>
        <v>#N/A</v>
      </c>
      <c r="B74" s="37" t="e">
        <f>VLOOKUP(A1,DIV_05Data!$A$1:$DZU$1000000,1244,FALSE)</f>
        <v>#N/A</v>
      </c>
      <c r="C74" s="38" t="e">
        <f>VLOOKUP(A1,DIV_05Data!$A$1:$DZU$1000000,1245,FALSE)</f>
        <v>#N/A</v>
      </c>
      <c r="D74" s="31" t="e">
        <f>VLOOKUP(A1,DIV_05Data!$A$1:$DZU$1000000,1246,FALSE)</f>
        <v>#N/A</v>
      </c>
      <c r="E74" s="32" t="e">
        <f>VLOOKUP(A1,DIV_05Data!$A$1:$DZU$1000000,1247,FALSE)</f>
        <v>#N/A</v>
      </c>
      <c r="F74" s="34" t="e">
        <f>VLOOKUP(A1,DIV_05Data!$A$1:$DZU$1000000,1248,FALSE)</f>
        <v>#N/A</v>
      </c>
      <c r="G74" s="33" t="e">
        <f>VLOOKUP(A1,DIV_05Data!$A$1:$DZU$1000000,1249,FALSE)</f>
        <v>#N/A</v>
      </c>
      <c r="H74" s="34" t="e">
        <f>VLOOKUP(A1,DIV_05Data!$A$1:$DZU$1000000,1250,FALSE)</f>
        <v>#N/A</v>
      </c>
      <c r="I74" s="33" t="e">
        <f>VLOOKUP(A1,DIV_05Data!$A$1:$DZU$1000000,1251,FALSE)</f>
        <v>#N/A</v>
      </c>
      <c r="J74" s="34" t="e">
        <f>VLOOKUP(A1,DIV_05Data!$A$1:$DZU$1000000,1252,FALSE)</f>
        <v>#N/A</v>
      </c>
      <c r="K74" s="34" t="e">
        <f>VLOOKUP(A1,DIV_05Data!$A$1:$DZU$1000000,1253,FALSE)</f>
        <v>#N/A</v>
      </c>
      <c r="L74" s="93" t="e">
        <f>VLOOKUP(A1,DIV_05Data!$A$1:$DZU$1000000,1254,FALSE)</f>
        <v>#N/A</v>
      </c>
      <c r="M74" s="33" t="e">
        <f>VLOOKUP(A1,DIV_05Data!$A$1:$DZU$1000000,1255,FALSE)</f>
        <v>#N/A</v>
      </c>
      <c r="N74" s="34" t="e">
        <f>VLOOKUP(A1,DIV_05Data!$A$1:$DZU$1000000,1256,FALSE)</f>
        <v>#N/A</v>
      </c>
      <c r="O74" s="33" t="e">
        <f>VLOOKUP(A1,DIV_05Data!$A$1:$DZU$1000000,1257,FALSE)</f>
        <v>#N/A</v>
      </c>
      <c r="P74" s="116" t="e">
        <f>VLOOKUP(A1,DIV_05Data!$A$1:$DZU$1000000,1258,FALSE)</f>
        <v>#N/A</v>
      </c>
      <c r="Q74" s="268" t="e">
        <f>VLOOKUP(A1,DIV_05Data!$A$1:$DZU$1000000,1259,FALSE)</f>
        <v>#N/A</v>
      </c>
    </row>
    <row r="75" spans="1:17" x14ac:dyDescent="0.35">
      <c r="A75" s="265" t="e">
        <f>VLOOKUP(A1,DIV_05Data!$A$1:$DZU$1000000,1260,FALSE)</f>
        <v>#N/A</v>
      </c>
      <c r="B75" s="37" t="e">
        <f>VLOOKUP(A1,DIV_05Data!$A$1:$DZU$1000000,1261,FALSE)</f>
        <v>#N/A</v>
      </c>
      <c r="C75" s="38" t="e">
        <f>VLOOKUP(A1,DIV_05Data!$A$1:$DZU$1000000,1262,FALSE)</f>
        <v>#N/A</v>
      </c>
      <c r="D75" s="31" t="e">
        <f>VLOOKUP(A1,DIV_05Data!$A$1:$DZU$1000000,1263,FALSE)</f>
        <v>#N/A</v>
      </c>
      <c r="E75" s="32" t="e">
        <f>VLOOKUP(A1,DIV_05Data!$A$1:$DZU$1000000,1264,FALSE)</f>
        <v>#N/A</v>
      </c>
      <c r="F75" s="34" t="e">
        <f>VLOOKUP(A1,DIV_05Data!$A$1:$DZU$1000000,1265,FALSE)</f>
        <v>#N/A</v>
      </c>
      <c r="G75" s="33" t="e">
        <f>VLOOKUP(A1,DIV_05Data!$A$1:$DZU$1000000,1266,FALSE)</f>
        <v>#N/A</v>
      </c>
      <c r="H75" s="34" t="e">
        <f>VLOOKUP(A1,DIV_05Data!$A$1:$DZU$1000000,1267,FALSE)</f>
        <v>#N/A</v>
      </c>
      <c r="I75" s="33" t="e">
        <f>VLOOKUP(A1,DIV_05Data!$A$1:$DZU$1000000,1268,FALSE)</f>
        <v>#N/A</v>
      </c>
      <c r="J75" s="34" t="e">
        <f>VLOOKUP(A1,DIV_05Data!$A$1:$DZU$1000000,1269,FALSE)</f>
        <v>#N/A</v>
      </c>
      <c r="K75" s="34" t="e">
        <f>VLOOKUP(A1,DIV_05Data!$A$1:$DZU$1000000,1270,FALSE)</f>
        <v>#N/A</v>
      </c>
      <c r="L75" s="93" t="e">
        <f>VLOOKUP(A1,DIV_05Data!$A$1:$DZU$1000000,1271,FALSE)</f>
        <v>#N/A</v>
      </c>
      <c r="M75" s="33" t="e">
        <f>VLOOKUP(A1,DIV_05Data!$A$1:$DZU$1000000,1272,FALSE)</f>
        <v>#N/A</v>
      </c>
      <c r="N75" s="34" t="e">
        <f>VLOOKUP(A1,DIV_05Data!$A$1:$DZU$1000000,1273,FALSE)</f>
        <v>#N/A</v>
      </c>
      <c r="O75" s="33" t="e">
        <f>VLOOKUP(A1,DIV_05Data!$A$1:$DZU$1000000,1274,FALSE)</f>
        <v>#N/A</v>
      </c>
      <c r="P75" s="116" t="e">
        <f>VLOOKUP(A1,DIV_05Data!$A$1:$DZU$1000000,1275,FALSE)</f>
        <v>#N/A</v>
      </c>
      <c r="Q75" s="268" t="e">
        <f>VLOOKUP(A1,DIV_05Data!$A$1:$DZU$1000000,1276,FALSE)</f>
        <v>#N/A</v>
      </c>
    </row>
    <row r="76" spans="1:17" x14ac:dyDescent="0.35">
      <c r="A76" s="265" t="e">
        <f>VLOOKUP(A1,DIV_05Data!$A$1:$DZU$1000000,1277,FALSE)</f>
        <v>#N/A</v>
      </c>
      <c r="B76" s="37" t="e">
        <f>VLOOKUP(A1,DIV_05Data!$A$1:$DZU$1000000,1278,FALSE)</f>
        <v>#N/A</v>
      </c>
      <c r="C76" s="38" t="e">
        <f>VLOOKUP(A1,DIV_05Data!$A$1:$DZU$1000000,1279,FALSE)</f>
        <v>#N/A</v>
      </c>
      <c r="D76" s="31" t="e">
        <f>VLOOKUP(A1,DIV_05Data!$A$1:$DZU$1000000,1280,FALSE)</f>
        <v>#N/A</v>
      </c>
      <c r="E76" s="32" t="e">
        <f>VLOOKUP(A1,DIV_05Data!$A$1:$DZU$1000000,1281,FALSE)</f>
        <v>#N/A</v>
      </c>
      <c r="F76" s="34" t="e">
        <f>VLOOKUP(A1,DIV_05Data!$A$1:$DZU$1000000,1282,FALSE)</f>
        <v>#N/A</v>
      </c>
      <c r="G76" s="33" t="e">
        <f>VLOOKUP(A1,DIV_05Data!$A$1:$DZU$1000000,1283,FALSE)</f>
        <v>#N/A</v>
      </c>
      <c r="H76" s="34" t="e">
        <f>VLOOKUP(A1,DIV_05Data!$A$1:$DZU$1000000,1284,FALSE)</f>
        <v>#N/A</v>
      </c>
      <c r="I76" s="33" t="e">
        <f>VLOOKUP(A1,DIV_05Data!$A$1:$DZU$1000000,1285,FALSE)</f>
        <v>#N/A</v>
      </c>
      <c r="J76" s="34" t="e">
        <f>VLOOKUP(A1,DIV_05Data!$A$1:$DZU$1000000,1286,FALSE)</f>
        <v>#N/A</v>
      </c>
      <c r="K76" s="34" t="e">
        <f>VLOOKUP(A1,DIV_05Data!$A$1:$DZU$1000000,1287,FALSE)</f>
        <v>#N/A</v>
      </c>
      <c r="L76" s="93" t="e">
        <f>VLOOKUP(A1,DIV_05Data!$A$1:$DZU$1000000,1288,FALSE)</f>
        <v>#N/A</v>
      </c>
      <c r="M76" s="33" t="e">
        <f>VLOOKUP(A1,DIV_05Data!$A$1:$DZU$1000000,1289,FALSE)</f>
        <v>#N/A</v>
      </c>
      <c r="N76" s="34" t="e">
        <f>VLOOKUP(A1,DIV_05Data!$A$1:$DZU$1000000,1290,FALSE)</f>
        <v>#N/A</v>
      </c>
      <c r="O76" s="33" t="e">
        <f>VLOOKUP(A1,DIV_05Data!$A$1:$DZU$1000000,1291,FALSE)</f>
        <v>#N/A</v>
      </c>
      <c r="P76" s="116" t="e">
        <f>VLOOKUP(A1,DIV_05Data!$A$1:$DZU$1000000,1292,FALSE)</f>
        <v>#N/A</v>
      </c>
      <c r="Q76" s="268" t="e">
        <f>VLOOKUP(A1,DIV_05Data!$A$1:$DZU$1000000,1293,FALSE)</f>
        <v>#N/A</v>
      </c>
    </row>
    <row r="77" spans="1:17" x14ac:dyDescent="0.35">
      <c r="A77" s="265" t="e">
        <f>VLOOKUP(A1,DIV_05Data!$A$1:$DZU$1000000,1294,FALSE)</f>
        <v>#N/A</v>
      </c>
      <c r="B77" s="37" t="e">
        <f>VLOOKUP(A1,DIV_05Data!$A$1:$DZU$1000000,1295,FALSE)</f>
        <v>#N/A</v>
      </c>
      <c r="C77" s="38" t="e">
        <f>VLOOKUP(A1,DIV_05Data!$A$1:$DZU$1000000,1296,FALSE)</f>
        <v>#N/A</v>
      </c>
      <c r="D77" s="31" t="e">
        <f>VLOOKUP(A1,DIV_05Data!$A$1:$DZU$1000000,1297,FALSE)</f>
        <v>#N/A</v>
      </c>
      <c r="E77" s="32" t="e">
        <f>VLOOKUP(A1,DIV_05Data!$A$1:$DZU$1000000,1298,FALSE)</f>
        <v>#N/A</v>
      </c>
      <c r="F77" s="34" t="e">
        <f>VLOOKUP(A1,DIV_05Data!$A$1:$DZU$1000000,1299,FALSE)</f>
        <v>#N/A</v>
      </c>
      <c r="G77" s="33" t="e">
        <f>VLOOKUP(A1,DIV_05Data!$A$1:$DZU$1000000,1300,FALSE)</f>
        <v>#N/A</v>
      </c>
      <c r="H77" s="34" t="e">
        <f>VLOOKUP(A1,DIV_05Data!$A$1:$DZU$1000000,1301,FALSE)</f>
        <v>#N/A</v>
      </c>
      <c r="I77" s="33" t="e">
        <f>VLOOKUP(A1,DIV_05Data!$A$1:$DZU$1000000,1302,FALSE)</f>
        <v>#N/A</v>
      </c>
      <c r="J77" s="34" t="e">
        <f>VLOOKUP(A1,DIV_05Data!$A$1:$DZU$1000000,1303,FALSE)</f>
        <v>#N/A</v>
      </c>
      <c r="K77" s="34" t="e">
        <f>VLOOKUP(A1,DIV_05Data!$A$1:$DZU$1000000,1304,FALSE)</f>
        <v>#N/A</v>
      </c>
      <c r="L77" s="93" t="e">
        <f>VLOOKUP(A1,DIV_05Data!$A$1:$DZU$1000000,1305,FALSE)</f>
        <v>#N/A</v>
      </c>
      <c r="M77" s="33" t="e">
        <f>VLOOKUP(A1,DIV_05Data!$A$1:$DZU$1000000,1306,FALSE)</f>
        <v>#N/A</v>
      </c>
      <c r="N77" s="34" t="e">
        <f>VLOOKUP(A1,DIV_05Data!$A$1:$DZU$1000000,1307,FALSE)</f>
        <v>#N/A</v>
      </c>
      <c r="O77" s="33" t="e">
        <f>VLOOKUP(A1,DIV_05Data!$A$1:$DZU$1000000,1308,FALSE)</f>
        <v>#N/A</v>
      </c>
      <c r="P77" s="116" t="e">
        <f>VLOOKUP(A1,DIV_05Data!$A$1:$DZU$1000000,1309,FALSE)</f>
        <v>#N/A</v>
      </c>
      <c r="Q77" s="268" t="e">
        <f>VLOOKUP(A1,DIV_05Data!$A$1:$DZU$1000000,1310,FALSE)</f>
        <v>#N/A</v>
      </c>
    </row>
    <row r="78" spans="1:17" x14ac:dyDescent="0.35">
      <c r="A78" s="265" t="e">
        <f>VLOOKUP(A1,DIV_05Data!$A$1:$DZU$1000000,1311,FALSE)</f>
        <v>#N/A</v>
      </c>
      <c r="B78" s="37" t="e">
        <f>VLOOKUP(A1,DIV_05Data!$A$1:$DZU$1000000,1312,FALSE)</f>
        <v>#N/A</v>
      </c>
      <c r="C78" s="38" t="e">
        <f>VLOOKUP(A1,DIV_05Data!$A$1:$DZU$1000000,1313,FALSE)</f>
        <v>#N/A</v>
      </c>
      <c r="D78" s="31" t="e">
        <f>VLOOKUP(A1,DIV_05Data!$A$1:$DZU$1000000,1314,FALSE)</f>
        <v>#N/A</v>
      </c>
      <c r="E78" s="32" t="e">
        <f>VLOOKUP(A1,DIV_05Data!$A$1:$DZU$1000000,1315,FALSE)</f>
        <v>#N/A</v>
      </c>
      <c r="F78" s="34" t="e">
        <f>VLOOKUP(A1,DIV_05Data!$A$1:$DZU$1000000,1316,FALSE)</f>
        <v>#N/A</v>
      </c>
      <c r="G78" s="33" t="e">
        <f>VLOOKUP(A1,DIV_05Data!$A$1:$DZU$1000000,1317,FALSE)</f>
        <v>#N/A</v>
      </c>
      <c r="H78" s="34" t="e">
        <f>VLOOKUP(A1,DIV_05Data!$A$1:$DZU$1000000,1318,FALSE)</f>
        <v>#N/A</v>
      </c>
      <c r="I78" s="33" t="e">
        <f>VLOOKUP(A1,DIV_05Data!$A$1:$DZU$1000000,1319,FALSE)</f>
        <v>#N/A</v>
      </c>
      <c r="J78" s="34" t="e">
        <f>VLOOKUP(A1,DIV_05Data!$A$1:$DZU$1000000,1320,FALSE)</f>
        <v>#N/A</v>
      </c>
      <c r="K78" s="34" t="e">
        <f>VLOOKUP(A1,DIV_05Data!$A$1:$DZU$1000000,1321,FALSE)</f>
        <v>#N/A</v>
      </c>
      <c r="L78" s="93" t="e">
        <f>VLOOKUP(A1,DIV_05Data!$A$1:$DZU$1000000,1322,FALSE)</f>
        <v>#N/A</v>
      </c>
      <c r="M78" s="33" t="e">
        <f>VLOOKUP(A1,DIV_05Data!$A$1:$DZU$1000000,1323,FALSE)</f>
        <v>#N/A</v>
      </c>
      <c r="N78" s="34" t="e">
        <f>VLOOKUP(A1,DIV_05Data!$A$1:$DZU$1000000,1324,FALSE)</f>
        <v>#N/A</v>
      </c>
      <c r="O78" s="33" t="e">
        <f>VLOOKUP(A1,DIV_05Data!$A$1:$DZU$1000000,1325,FALSE)</f>
        <v>#N/A</v>
      </c>
      <c r="P78" s="116" t="e">
        <f>VLOOKUP(A1,DIV_05Data!$A$1:$DZU$1000000,1326,FALSE)</f>
        <v>#N/A</v>
      </c>
      <c r="Q78" s="268" t="e">
        <f>VLOOKUP(A1,DIV_05Data!$A$1:$DZU$1000000,1327,FALSE)</f>
        <v>#N/A</v>
      </c>
    </row>
    <row r="79" spans="1:17" x14ac:dyDescent="0.35">
      <c r="A79" s="265" t="e">
        <f>VLOOKUP(A1,DIV_05Data!$A$1:$DZU$1000000,1328,FALSE)</f>
        <v>#N/A</v>
      </c>
      <c r="B79" s="37" t="e">
        <f>VLOOKUP(A1,DIV_05Data!$A$1:$DZU$1000000,1329,FALSE)</f>
        <v>#N/A</v>
      </c>
      <c r="C79" s="38" t="e">
        <f>VLOOKUP(A1,DIV_05Data!$A$1:$DZU$1000000,1330,FALSE)</f>
        <v>#N/A</v>
      </c>
      <c r="D79" s="31" t="e">
        <f>VLOOKUP(A1,DIV_05Data!$A$1:$DZU$1000000,1331,FALSE)</f>
        <v>#N/A</v>
      </c>
      <c r="E79" s="32" t="e">
        <f>VLOOKUP(A1,DIV_05Data!$A$1:$DZU$1000000,1332,FALSE)</f>
        <v>#N/A</v>
      </c>
      <c r="F79" s="34" t="e">
        <f>VLOOKUP(A1,DIV_05Data!$A$1:$DZU$1000000,1333,FALSE)</f>
        <v>#N/A</v>
      </c>
      <c r="G79" s="33" t="e">
        <f>VLOOKUP(A1,DIV_05Data!$A$1:$DZU$1000000,1334,FALSE)</f>
        <v>#N/A</v>
      </c>
      <c r="H79" s="34" t="e">
        <f>VLOOKUP(A1,DIV_05Data!$A$1:$DZU$1000000,1335,FALSE)</f>
        <v>#N/A</v>
      </c>
      <c r="I79" s="33" t="e">
        <f>VLOOKUP(A1,DIV_05Data!$A$1:$DZU$1000000,1336,FALSE)</f>
        <v>#N/A</v>
      </c>
      <c r="J79" s="34" t="e">
        <f>VLOOKUP(A1,DIV_05Data!$A$1:$DZU$1000000,1337,FALSE)</f>
        <v>#N/A</v>
      </c>
      <c r="K79" s="34" t="e">
        <f>VLOOKUP(A1,DIV_05Data!$A$1:$DZU$1000000,1338,FALSE)</f>
        <v>#N/A</v>
      </c>
      <c r="L79" s="93" t="e">
        <f>VLOOKUP(A1,DIV_05Data!$A$1:$DZU$1000000,1339,FALSE)</f>
        <v>#N/A</v>
      </c>
      <c r="M79" s="33" t="e">
        <f>VLOOKUP(A1,DIV_05Data!$A$1:$DZU$1000000,1340,FALSE)</f>
        <v>#N/A</v>
      </c>
      <c r="N79" s="34" t="e">
        <f>VLOOKUP(A1,DIV_05Data!$A$1:$DZU$1000000,1341,FALSE)</f>
        <v>#N/A</v>
      </c>
      <c r="O79" s="33" t="e">
        <f>VLOOKUP(A1,DIV_05Data!$A$1:$DZU$1000000,1342,FALSE)</f>
        <v>#N/A</v>
      </c>
      <c r="P79" s="116" t="e">
        <f>VLOOKUP(A1,DIV_05Data!$A$1:$DZU$1000000,1343,FALSE)</f>
        <v>#N/A</v>
      </c>
      <c r="Q79" s="268" t="e">
        <f>VLOOKUP(A1,DIV_05Data!$A$1:$DZU$1000000,1344,FALSE)</f>
        <v>#N/A</v>
      </c>
    </row>
    <row r="80" spans="1:17" x14ac:dyDescent="0.35">
      <c r="A80" s="265" t="e">
        <f>VLOOKUP(A1,DIV_05Data!$A$1:$DZU$1000000,1345,FALSE)</f>
        <v>#N/A</v>
      </c>
      <c r="B80" s="37" t="e">
        <f>VLOOKUP(A1,DIV_05Data!$A$1:$DZU$1000000,1346,FALSE)</f>
        <v>#N/A</v>
      </c>
      <c r="C80" s="38" t="e">
        <f>VLOOKUP(A1,DIV_05Data!$A$1:$DZU$1000000,1347,FALSE)</f>
        <v>#N/A</v>
      </c>
      <c r="D80" s="31" t="e">
        <f>VLOOKUP(A1,DIV_05Data!$A$1:$DZU$1000000,1348,FALSE)</f>
        <v>#N/A</v>
      </c>
      <c r="E80" s="32" t="e">
        <f>VLOOKUP(A1,DIV_05Data!$A$1:$DZU$1000000,1349,FALSE)</f>
        <v>#N/A</v>
      </c>
      <c r="F80" s="34" t="e">
        <f>VLOOKUP(A1,DIV_05Data!$A$1:$DZU$1000000,1350,FALSE)</f>
        <v>#N/A</v>
      </c>
      <c r="G80" s="33" t="e">
        <f>VLOOKUP(A1,DIV_05Data!$A$1:$DZU$1000000,1351,FALSE)</f>
        <v>#N/A</v>
      </c>
      <c r="H80" s="34" t="e">
        <f>VLOOKUP(A1,DIV_05Data!$A$1:$DZU$1000000,1352,FALSE)</f>
        <v>#N/A</v>
      </c>
      <c r="I80" s="33" t="e">
        <f>VLOOKUP(A1,DIV_05Data!$A$1:$DZU$1000000,1353,FALSE)</f>
        <v>#N/A</v>
      </c>
      <c r="J80" s="34" t="e">
        <f>VLOOKUP(A1,DIV_05Data!$A$1:$DZU$1000000,1354,FALSE)</f>
        <v>#N/A</v>
      </c>
      <c r="K80" s="34" t="e">
        <f>VLOOKUP(A1,DIV_05Data!$A$1:$DZU$1000000,1355,FALSE)</f>
        <v>#N/A</v>
      </c>
      <c r="L80" s="93" t="e">
        <f>VLOOKUP(A1,DIV_05Data!$A$1:$DZU$1000000,1356,FALSE)</f>
        <v>#N/A</v>
      </c>
      <c r="M80" s="33" t="e">
        <f>VLOOKUP(A1,DIV_05Data!$A$1:$DZU$1000000,1357,FALSE)</f>
        <v>#N/A</v>
      </c>
      <c r="N80" s="34" t="e">
        <f>VLOOKUP(A1,DIV_05Data!$A$1:$DZU$1000000,1358,FALSE)</f>
        <v>#N/A</v>
      </c>
      <c r="O80" s="33" t="e">
        <f>VLOOKUP(A1,DIV_05Data!$A$1:$DZU$1000000,1359,FALSE)</f>
        <v>#N/A</v>
      </c>
      <c r="P80" s="116" t="e">
        <f>VLOOKUP(A1,DIV_05Data!$A$1:$DZU$1000000,1360,FALSE)</f>
        <v>#N/A</v>
      </c>
      <c r="Q80" s="268" t="e">
        <f>VLOOKUP(A1,DIV_05Data!$A$1:$DZU$1000000,1361,FALSE)</f>
        <v>#N/A</v>
      </c>
    </row>
    <row r="81" spans="1:17" x14ac:dyDescent="0.35">
      <c r="A81" s="265" t="e">
        <f>VLOOKUP(A1,DIV_05Data!$A$1:$DZU$1000000,1362,FALSE)</f>
        <v>#N/A</v>
      </c>
      <c r="B81" s="37" t="e">
        <f>VLOOKUP(A1,DIV_05Data!$A$1:$DZU$1000000,1363,FALSE)</f>
        <v>#N/A</v>
      </c>
      <c r="C81" s="38" t="e">
        <f>VLOOKUP(A1,DIV_05Data!$A$1:$DZU$1000000,1364,FALSE)</f>
        <v>#N/A</v>
      </c>
      <c r="D81" s="31" t="e">
        <f>VLOOKUP(A1,DIV_05Data!$A$1:$DZU$1000000,1365,FALSE)</f>
        <v>#N/A</v>
      </c>
      <c r="E81" s="32" t="e">
        <f>VLOOKUP(A1,DIV_05Data!$A$1:$DZU$1000000,1366,FALSE)</f>
        <v>#N/A</v>
      </c>
      <c r="F81" s="34" t="e">
        <f>VLOOKUP(A1,DIV_05Data!$A$1:$DZU$1000000,1367,FALSE)</f>
        <v>#N/A</v>
      </c>
      <c r="G81" s="33" t="e">
        <f>VLOOKUP(A1,DIV_05Data!$A$1:$DZU$1000000,1368,FALSE)</f>
        <v>#N/A</v>
      </c>
      <c r="H81" s="34" t="e">
        <f>VLOOKUP(A1,DIV_05Data!$A$1:$DZU$1000000,1369,FALSE)</f>
        <v>#N/A</v>
      </c>
      <c r="I81" s="33" t="e">
        <f>VLOOKUP(A1,DIV_05Data!$A$1:$DZU$1000000,1370,FALSE)</f>
        <v>#N/A</v>
      </c>
      <c r="J81" s="34" t="e">
        <f>VLOOKUP(A1,DIV_05Data!$A$1:$DZU$1000000,1371,FALSE)</f>
        <v>#N/A</v>
      </c>
      <c r="K81" s="34" t="e">
        <f>VLOOKUP(A1,DIV_05Data!$A$1:$DZU$1000000,1372,FALSE)</f>
        <v>#N/A</v>
      </c>
      <c r="L81" s="93" t="e">
        <f>VLOOKUP(A1,DIV_05Data!$A$1:$DZU$1000000,1373,FALSE)</f>
        <v>#N/A</v>
      </c>
      <c r="M81" s="33" t="e">
        <f>VLOOKUP(A1,DIV_05Data!$A$1:$DZU$1000000,1374,FALSE)</f>
        <v>#N/A</v>
      </c>
      <c r="N81" s="34" t="e">
        <f>VLOOKUP(A1,DIV_05Data!$A$1:$DZU$1000000,1375,FALSE)</f>
        <v>#N/A</v>
      </c>
      <c r="O81" s="33" t="e">
        <f>VLOOKUP(A1,DIV_05Data!$A$1:$DZU$1000000,1376,FALSE)</f>
        <v>#N/A</v>
      </c>
      <c r="P81" s="116" t="e">
        <f>VLOOKUP(A1,DIV_05Data!$A$1:$DZU$1000000,1377,FALSE)</f>
        <v>#N/A</v>
      </c>
      <c r="Q81" s="268" t="e">
        <f>VLOOKUP(A1,DIV_05Data!$A$1:$DZU$1000000,1378,FALSE)</f>
        <v>#N/A</v>
      </c>
    </row>
    <row r="82" spans="1:17" x14ac:dyDescent="0.35">
      <c r="A82" s="265" t="e">
        <f>VLOOKUP(A1,DIV_05Data!$A$1:$DZU$1000000,1379,FALSE)</f>
        <v>#N/A</v>
      </c>
      <c r="B82" s="37" t="e">
        <f>VLOOKUP(A1,DIV_05Data!$A$1:$DZU$1000000,1380,FALSE)</f>
        <v>#N/A</v>
      </c>
      <c r="C82" s="38" t="e">
        <f>VLOOKUP(A1,DIV_05Data!$A$1:$DZU$1000000,1381,FALSE)</f>
        <v>#N/A</v>
      </c>
      <c r="D82" s="31" t="e">
        <f>VLOOKUP(A1,DIV_05Data!$A$1:$DZU$1000000,1382,FALSE)</f>
        <v>#N/A</v>
      </c>
      <c r="E82" s="32" t="e">
        <f>VLOOKUP(A1,DIV_05Data!$A$1:$DZU$1000000,1383,FALSE)</f>
        <v>#N/A</v>
      </c>
      <c r="F82" s="34" t="e">
        <f>VLOOKUP(A1,DIV_05Data!$A$1:$DZU$1000000,1384,FALSE)</f>
        <v>#N/A</v>
      </c>
      <c r="G82" s="33" t="e">
        <f>VLOOKUP(A1,DIV_05Data!$A$1:$DZU$1000000,1385,FALSE)</f>
        <v>#N/A</v>
      </c>
      <c r="H82" s="34" t="e">
        <f>VLOOKUP(A1,DIV_05Data!$A$1:$DZU$1000000,1386,FALSE)</f>
        <v>#N/A</v>
      </c>
      <c r="I82" s="33" t="e">
        <f>VLOOKUP(A1,DIV_05Data!$A$1:$DZU$1000000,1387,FALSE)</f>
        <v>#N/A</v>
      </c>
      <c r="J82" s="34" t="e">
        <f>VLOOKUP(A1,DIV_05Data!$A$1:$DZU$1000000,1388,FALSE)</f>
        <v>#N/A</v>
      </c>
      <c r="K82" s="34" t="e">
        <f>VLOOKUP(A1,DIV_05Data!$A$1:$DZU$1000000,1389,FALSE)</f>
        <v>#N/A</v>
      </c>
      <c r="L82" s="93" t="e">
        <f>VLOOKUP(A1,DIV_05Data!$A$1:$DZU$1000000,1390,FALSE)</f>
        <v>#N/A</v>
      </c>
      <c r="M82" s="33" t="e">
        <f>VLOOKUP(A1,DIV_05Data!$A$1:$DZU$1000000,1391,FALSE)</f>
        <v>#N/A</v>
      </c>
      <c r="N82" s="34" t="e">
        <f>VLOOKUP(A1,DIV_05Data!$A$1:$DZU$1000000,1392,FALSE)</f>
        <v>#N/A</v>
      </c>
      <c r="O82" s="33" t="e">
        <f>VLOOKUP(A1,DIV_05Data!$A$1:$DZU$1000000,1393,FALSE)</f>
        <v>#N/A</v>
      </c>
      <c r="P82" s="116" t="e">
        <f>VLOOKUP(A1,DIV_05Data!$A$1:$DZU$1000000,1394,FALSE)</f>
        <v>#N/A</v>
      </c>
      <c r="Q82" s="268" t="e">
        <f>VLOOKUP(A1,DIV_05Data!$A$1:$DZU$1000000,1395,FALSE)</f>
        <v>#N/A</v>
      </c>
    </row>
    <row r="83" spans="1:17" x14ac:dyDescent="0.35">
      <c r="A83" s="265" t="e">
        <f>VLOOKUP(A1,DIV_05Data!$A$1:$DZU$1000000,1396,FALSE)</f>
        <v>#N/A</v>
      </c>
      <c r="B83" s="37" t="e">
        <f>VLOOKUP(A1,DIV_05Data!$A$1:$DZU$1000000,1397,FALSE)</f>
        <v>#N/A</v>
      </c>
      <c r="C83" s="38" t="e">
        <f>VLOOKUP(A1,DIV_05Data!$A$1:$DZU$1000000,1398,FALSE)</f>
        <v>#N/A</v>
      </c>
      <c r="D83" s="31" t="e">
        <f>VLOOKUP(A1,DIV_05Data!$A$1:$DZU$1000000,1399,FALSE)</f>
        <v>#N/A</v>
      </c>
      <c r="E83" s="32" t="e">
        <f>VLOOKUP(A1,DIV_05Data!$A$1:$DZU$1000000,1400,FALSE)</f>
        <v>#N/A</v>
      </c>
      <c r="F83" s="34" t="e">
        <f>VLOOKUP(A1,DIV_05Data!$A$1:$DZU$1000000,1401,FALSE)</f>
        <v>#N/A</v>
      </c>
      <c r="G83" s="33" t="e">
        <f>VLOOKUP(A1,DIV_05Data!$A$1:$DZU$1000000,1402,FALSE)</f>
        <v>#N/A</v>
      </c>
      <c r="H83" s="34" t="e">
        <f>VLOOKUP(A1,DIV_05Data!$A$1:$DZU$1000000,1403,FALSE)</f>
        <v>#N/A</v>
      </c>
      <c r="I83" s="33" t="e">
        <f>VLOOKUP(A1,DIV_05Data!$A$1:$DZU$1000000,1404,FALSE)</f>
        <v>#N/A</v>
      </c>
      <c r="J83" s="34" t="e">
        <f>VLOOKUP(A1,DIV_05Data!$A$1:$DZU$1000000,1405,FALSE)</f>
        <v>#N/A</v>
      </c>
      <c r="K83" s="34" t="e">
        <f>VLOOKUP(A1,DIV_05Data!$A$1:$DZU$1000000,1406,FALSE)</f>
        <v>#N/A</v>
      </c>
      <c r="L83" s="93" t="e">
        <f>VLOOKUP(A1,DIV_05Data!$A$1:$DZU$1000000,1407,FALSE)</f>
        <v>#N/A</v>
      </c>
      <c r="M83" s="33" t="e">
        <f>VLOOKUP(A1,DIV_05Data!$A$1:$DZU$1000000,1408,FALSE)</f>
        <v>#N/A</v>
      </c>
      <c r="N83" s="34" t="e">
        <f>VLOOKUP(A1,DIV_05Data!$A$1:$DZU$1000000,1409,FALSE)</f>
        <v>#N/A</v>
      </c>
      <c r="O83" s="33" t="e">
        <f>VLOOKUP(A1,DIV_05Data!$A$1:$DZU$1000000,1410,FALSE)</f>
        <v>#N/A</v>
      </c>
      <c r="P83" s="116" t="e">
        <f>VLOOKUP(A1,DIV_05Data!$A$1:$DZU$1000000,1411,FALSE)</f>
        <v>#N/A</v>
      </c>
      <c r="Q83" s="268" t="e">
        <f>VLOOKUP(A1,DIV_05Data!$A$1:$DZU$1000000,1412,FALSE)</f>
        <v>#N/A</v>
      </c>
    </row>
    <row r="84" spans="1:17" x14ac:dyDescent="0.35">
      <c r="A84" s="265" t="e">
        <f>VLOOKUP(A1,DIV_05Data!$A$1:$DZU$1000000,1413,FALSE)</f>
        <v>#N/A</v>
      </c>
      <c r="B84" s="37" t="e">
        <f>VLOOKUP(A1,DIV_05Data!$A$1:$DZU$1000000,1414,FALSE)</f>
        <v>#N/A</v>
      </c>
      <c r="C84" s="38" t="e">
        <f>VLOOKUP(A1,DIV_05Data!$A$1:$DZU$1000000,1415,FALSE)</f>
        <v>#N/A</v>
      </c>
      <c r="D84" s="31" t="e">
        <f>VLOOKUP(A1,DIV_05Data!$A$1:$DZU$1000000,1416,FALSE)</f>
        <v>#N/A</v>
      </c>
      <c r="E84" s="32" t="e">
        <f>VLOOKUP(A1,DIV_05Data!$A$1:$DZU$1000000,1417,FALSE)</f>
        <v>#N/A</v>
      </c>
      <c r="F84" s="34" t="e">
        <f>VLOOKUP(A1,DIV_05Data!$A$1:$DZU$1000000,1418,FALSE)</f>
        <v>#N/A</v>
      </c>
      <c r="G84" s="33" t="e">
        <f>VLOOKUP(A1,DIV_05Data!$A$1:$DZU$1000000,1419,FALSE)</f>
        <v>#N/A</v>
      </c>
      <c r="H84" s="34" t="e">
        <f>VLOOKUP(A1,DIV_05Data!$A$1:$DZU$1000000,1420,FALSE)</f>
        <v>#N/A</v>
      </c>
      <c r="I84" s="33" t="e">
        <f>VLOOKUP(A1,DIV_05Data!$A$1:$DZU$1000000,1421,FALSE)</f>
        <v>#N/A</v>
      </c>
      <c r="J84" s="34" t="e">
        <f>VLOOKUP(A1,DIV_05Data!$A$1:$DZU$1000000,1422,FALSE)</f>
        <v>#N/A</v>
      </c>
      <c r="K84" s="34" t="e">
        <f>VLOOKUP(A1,DIV_05Data!$A$1:$DZU$1000000,1423,FALSE)</f>
        <v>#N/A</v>
      </c>
      <c r="L84" s="93" t="e">
        <f>VLOOKUP(A1,DIV_05Data!$A$1:$DZU$1000000,1424,FALSE)</f>
        <v>#N/A</v>
      </c>
      <c r="M84" s="33" t="e">
        <f>VLOOKUP(A1,DIV_05Data!$A$1:$DZU$1000000,1425,FALSE)</f>
        <v>#N/A</v>
      </c>
      <c r="N84" s="34" t="e">
        <f>VLOOKUP(A1,DIV_05Data!$A$1:$DZU$1000000,1426,FALSE)</f>
        <v>#N/A</v>
      </c>
      <c r="O84" s="33" t="e">
        <f>VLOOKUP(A1,DIV_05Data!$A$1:$DZU$1000000,1427,FALSE)</f>
        <v>#N/A</v>
      </c>
      <c r="P84" s="116" t="e">
        <f>VLOOKUP(A1,DIV_05Data!$A$1:$DZU$1000000,1428,FALSE)</f>
        <v>#N/A</v>
      </c>
      <c r="Q84" s="268" t="e">
        <f>VLOOKUP(A1,DIV_05Data!$A$1:$DZU$1000000,1429,FALSE)</f>
        <v>#N/A</v>
      </c>
    </row>
    <row r="85" spans="1:17" x14ac:dyDescent="0.35">
      <c r="A85" s="265" t="e">
        <f>VLOOKUP(A1,DIV_05Data!$A$1:$DZU$1000000,1430,FALSE)</f>
        <v>#N/A</v>
      </c>
      <c r="B85" s="37" t="e">
        <f>VLOOKUP(A1,DIV_05Data!$A$1:$DZU$1000000,1431,FALSE)</f>
        <v>#N/A</v>
      </c>
      <c r="C85" s="38" t="e">
        <f>VLOOKUP(A1,DIV_05Data!$A$1:$DZU$1000000,1432,FALSE)</f>
        <v>#N/A</v>
      </c>
      <c r="D85" s="31" t="e">
        <f>VLOOKUP(A1,DIV_05Data!$A$1:$DZU$1000000,1433,FALSE)</f>
        <v>#N/A</v>
      </c>
      <c r="E85" s="32" t="e">
        <f>VLOOKUP(A1,DIV_05Data!$A$1:$DZU$1000000,1434,FALSE)</f>
        <v>#N/A</v>
      </c>
      <c r="F85" s="34" t="e">
        <f>VLOOKUP(A1,DIV_05Data!$A$1:$DZU$1000000,1435,FALSE)</f>
        <v>#N/A</v>
      </c>
      <c r="G85" s="33" t="e">
        <f>VLOOKUP(A1,DIV_05Data!$A$1:$DZU$1000000,1436,FALSE)</f>
        <v>#N/A</v>
      </c>
      <c r="H85" s="34" t="e">
        <f>VLOOKUP(A1,DIV_05Data!$A$1:$DZU$1000000,1437,FALSE)</f>
        <v>#N/A</v>
      </c>
      <c r="I85" s="33" t="e">
        <f>VLOOKUP(A1,DIV_05Data!$A$1:$DZU$1000000,1438,FALSE)</f>
        <v>#N/A</v>
      </c>
      <c r="J85" s="34" t="e">
        <f>VLOOKUP(A1,DIV_05Data!$A$1:$DZU$1000000,1439,FALSE)</f>
        <v>#N/A</v>
      </c>
      <c r="K85" s="34" t="e">
        <f>VLOOKUP(A1,DIV_05Data!$A$1:$DZU$1000000,1440,FALSE)</f>
        <v>#N/A</v>
      </c>
      <c r="L85" s="93" t="e">
        <f>VLOOKUP(A1,DIV_05Data!$A$1:$DZU$1000000,1441,FALSE)</f>
        <v>#N/A</v>
      </c>
      <c r="M85" s="33" t="e">
        <f>VLOOKUP(A1,DIV_05Data!$A$1:$DZU$1000000,1442,FALSE)</f>
        <v>#N/A</v>
      </c>
      <c r="N85" s="34" t="e">
        <f>VLOOKUP(A1,DIV_05Data!$A$1:$DZU$1000000,1443,FALSE)</f>
        <v>#N/A</v>
      </c>
      <c r="O85" s="33" t="e">
        <f>VLOOKUP(A1,DIV_05Data!$A$1:$DZU$1000000,1444,FALSE)</f>
        <v>#N/A</v>
      </c>
      <c r="P85" s="116" t="e">
        <f>VLOOKUP(A1,DIV_05Data!$A$1:$DZU$1000000,1445,FALSE)</f>
        <v>#N/A</v>
      </c>
      <c r="Q85" s="268" t="e">
        <f>VLOOKUP(A1,DIV_05Data!$A$1:$DZU$1000000,1446,FALSE)</f>
        <v>#N/A</v>
      </c>
    </row>
    <row r="86" spans="1:17" x14ac:dyDescent="0.35">
      <c r="A86" s="265" t="e">
        <f>VLOOKUP(A1,DIV_05Data!$A$1:$DZU$1000000,1447,FALSE)</f>
        <v>#N/A</v>
      </c>
      <c r="B86" s="37" t="e">
        <f>VLOOKUP(A1,DIV_05Data!$A$1:$DZU$1000000,1448,FALSE)</f>
        <v>#N/A</v>
      </c>
      <c r="C86" s="38" t="e">
        <f>VLOOKUP(A1,DIV_05Data!$A$1:$DZU$1000000,1449,FALSE)</f>
        <v>#N/A</v>
      </c>
      <c r="D86" s="31" t="e">
        <f>VLOOKUP(A1,DIV_05Data!$A$1:$DZU$1000000,1450,FALSE)</f>
        <v>#N/A</v>
      </c>
      <c r="E86" s="32" t="e">
        <f>VLOOKUP(A1,DIV_05Data!$A$1:$DZU$1000000,1451,FALSE)</f>
        <v>#N/A</v>
      </c>
      <c r="F86" s="34" t="e">
        <f>VLOOKUP(A1,DIV_05Data!$A$1:$DZU$1000000,1452,FALSE)</f>
        <v>#N/A</v>
      </c>
      <c r="G86" s="33" t="e">
        <f>VLOOKUP(A1,DIV_05Data!$A$1:$DZU$1000000,1453,FALSE)</f>
        <v>#N/A</v>
      </c>
      <c r="H86" s="34" t="e">
        <f>VLOOKUP(A1,DIV_05Data!$A$1:$DZU$1000000,1454,FALSE)</f>
        <v>#N/A</v>
      </c>
      <c r="I86" s="33" t="e">
        <f>VLOOKUP(A1,DIV_05Data!$A$1:$DZU$1000000,1455,FALSE)</f>
        <v>#N/A</v>
      </c>
      <c r="J86" s="34" t="e">
        <f>VLOOKUP(A1,DIV_05Data!$A$1:$DZU$1000000,1456,FALSE)</f>
        <v>#N/A</v>
      </c>
      <c r="K86" s="34" t="e">
        <f>VLOOKUP(A1,DIV_05Data!$A$1:$DZU$1000000,1457,FALSE)</f>
        <v>#N/A</v>
      </c>
      <c r="L86" s="93" t="e">
        <f>VLOOKUP(A1,DIV_05Data!$A$1:$DZU$1000000,1458,FALSE)</f>
        <v>#N/A</v>
      </c>
      <c r="M86" s="33" t="e">
        <f>VLOOKUP(A1,DIV_05Data!$A$1:$DZU$1000000,1459,FALSE)</f>
        <v>#N/A</v>
      </c>
      <c r="N86" s="34" t="e">
        <f>VLOOKUP(A1,DIV_05Data!$A$1:$DZU$1000000,1460,FALSE)</f>
        <v>#N/A</v>
      </c>
      <c r="O86" s="33" t="e">
        <f>VLOOKUP(A1,DIV_05Data!$A$1:$DZU$1000000,1461,FALSE)</f>
        <v>#N/A</v>
      </c>
      <c r="P86" s="116" t="e">
        <f>VLOOKUP(A1,DIV_05Data!$A$1:$DZU$1000000,1462,FALSE)</f>
        <v>#N/A</v>
      </c>
      <c r="Q86" s="268" t="e">
        <f>VLOOKUP(A1,DIV_05Data!$A$1:$DZU$1000000,1463,FALSE)</f>
        <v>#N/A</v>
      </c>
    </row>
    <row r="87" spans="1:17" x14ac:dyDescent="0.35">
      <c r="A87" s="265" t="e">
        <f>VLOOKUP(A1,DIV_05Data!$A$1:$DZU$1000000,1464,FALSE)</f>
        <v>#N/A</v>
      </c>
      <c r="B87" s="37" t="e">
        <f>VLOOKUP(A1,DIV_05Data!$A$1:$DZU$1000000,1465,FALSE)</f>
        <v>#N/A</v>
      </c>
      <c r="C87" s="38" t="e">
        <f>VLOOKUP(A1,DIV_05Data!$A$1:$DZU$1000000,1466,FALSE)</f>
        <v>#N/A</v>
      </c>
      <c r="D87" s="31" t="e">
        <f>VLOOKUP(A1,DIV_05Data!$A$1:$DZU$1000000,1467,FALSE)</f>
        <v>#N/A</v>
      </c>
      <c r="E87" s="32" t="e">
        <f>VLOOKUP(A1,DIV_05Data!$A$1:$DZU$1000000,1468,FALSE)</f>
        <v>#N/A</v>
      </c>
      <c r="F87" s="34" t="e">
        <f>VLOOKUP(A1,DIV_05Data!$A$1:$DZU$1000000,1469,FALSE)</f>
        <v>#N/A</v>
      </c>
      <c r="G87" s="33" t="e">
        <f>VLOOKUP(A1,DIV_05Data!$A$1:$DZU$1000000,1470,FALSE)</f>
        <v>#N/A</v>
      </c>
      <c r="H87" s="34" t="e">
        <f>VLOOKUP(A1,DIV_05Data!$A$1:$DZU$1000000,1471,FALSE)</f>
        <v>#N/A</v>
      </c>
      <c r="I87" s="33" t="e">
        <f>VLOOKUP(A1,DIV_05Data!$A$1:$DZU$1000000,1472,FALSE)</f>
        <v>#N/A</v>
      </c>
      <c r="J87" s="34" t="e">
        <f>VLOOKUP(A1,DIV_05Data!$A$1:$DZU$1000000,1473,FALSE)</f>
        <v>#N/A</v>
      </c>
      <c r="K87" s="34" t="e">
        <f>VLOOKUP(A1,DIV_05Data!$A$1:$DZU$1000000,1474,FALSE)</f>
        <v>#N/A</v>
      </c>
      <c r="L87" s="93" t="e">
        <f>VLOOKUP(A1,DIV_05Data!$A$1:$DZU$1000000,1475,FALSE)</f>
        <v>#N/A</v>
      </c>
      <c r="M87" s="33" t="e">
        <f>VLOOKUP(A1,DIV_05Data!$A$1:$DZU$1000000,1476,FALSE)</f>
        <v>#N/A</v>
      </c>
      <c r="N87" s="34" t="e">
        <f>VLOOKUP(A1,DIV_05Data!$A$1:$DZU$1000000,1477,FALSE)</f>
        <v>#N/A</v>
      </c>
      <c r="O87" s="33" t="e">
        <f>VLOOKUP(A1,DIV_05Data!$A$1:$DZU$1000000,1478,FALSE)</f>
        <v>#N/A</v>
      </c>
      <c r="P87" s="116" t="e">
        <f>VLOOKUP(A1,DIV_05Data!$A$1:$DZU$1000000,1479,FALSE)</f>
        <v>#N/A</v>
      </c>
      <c r="Q87" s="268" t="e">
        <f>VLOOKUP(A1,DIV_05Data!$A$1:$DZU$1000000,1480,FALSE)</f>
        <v>#N/A</v>
      </c>
    </row>
    <row r="88" spans="1:17" x14ac:dyDescent="0.35">
      <c r="A88" s="265" t="e">
        <f>VLOOKUP(A1,DIV_05Data!$A$1:$DZU$1000000,1481,FALSE)</f>
        <v>#N/A</v>
      </c>
      <c r="B88" s="37" t="e">
        <f>VLOOKUP(A1,DIV_05Data!$A$1:$DZU$1000000,1482,FALSE)</f>
        <v>#N/A</v>
      </c>
      <c r="C88" s="38" t="e">
        <f>VLOOKUP(A1,DIV_05Data!$A$1:$DZU$1000000,1483,FALSE)</f>
        <v>#N/A</v>
      </c>
      <c r="D88" s="31" t="e">
        <f>VLOOKUP(A1,DIV_05Data!$A$1:$DZU$1000000,1484,FALSE)</f>
        <v>#N/A</v>
      </c>
      <c r="E88" s="32" t="e">
        <f>VLOOKUP(A1,DIV_05Data!$A$1:$DZU$1000000,1485,FALSE)</f>
        <v>#N/A</v>
      </c>
      <c r="F88" s="34" t="e">
        <f>VLOOKUP(A1,DIV_05Data!$A$1:$DZU$1000000,1486,FALSE)</f>
        <v>#N/A</v>
      </c>
      <c r="G88" s="33" t="e">
        <f>VLOOKUP(A1,DIV_05Data!$A$1:$DZU$1000000,1487,FALSE)</f>
        <v>#N/A</v>
      </c>
      <c r="H88" s="34" t="e">
        <f>VLOOKUP(A1,DIV_05Data!$A$1:$DZU$1000000,1488,FALSE)</f>
        <v>#N/A</v>
      </c>
      <c r="I88" s="33" t="e">
        <f>VLOOKUP(A1,DIV_05Data!$A$1:$DZU$1000000,1489,FALSE)</f>
        <v>#N/A</v>
      </c>
      <c r="J88" s="34" t="e">
        <f>VLOOKUP(A1,DIV_05Data!$A$1:$DZU$1000000,1490,FALSE)</f>
        <v>#N/A</v>
      </c>
      <c r="K88" s="34" t="e">
        <f>VLOOKUP(A1,DIV_05Data!$A$1:$DZU$1000000,1491,FALSE)</f>
        <v>#N/A</v>
      </c>
      <c r="L88" s="93" t="e">
        <f>VLOOKUP(A1,DIV_05Data!$A$1:$DZU$1000000,1492,FALSE)</f>
        <v>#N/A</v>
      </c>
      <c r="M88" s="33" t="e">
        <f>VLOOKUP(A1,DIV_05Data!$A$1:$DZU$1000000,1493,FALSE)</f>
        <v>#N/A</v>
      </c>
      <c r="N88" s="34" t="e">
        <f>VLOOKUP(A1,DIV_05Data!$A$1:$DZU$1000000,1494,FALSE)</f>
        <v>#N/A</v>
      </c>
      <c r="O88" s="33" t="e">
        <f>VLOOKUP(A1,DIV_05Data!$A$1:$DZU$1000000,1495,FALSE)</f>
        <v>#N/A</v>
      </c>
      <c r="P88" s="116" t="e">
        <f>VLOOKUP(A1,DIV_05Data!$A$1:$DZU$1000000,1496,FALSE)</f>
        <v>#N/A</v>
      </c>
      <c r="Q88" s="268" t="e">
        <f>VLOOKUP(A1,DIV_05Data!$A$1:$DZU$1000000,1497,FALSE)</f>
        <v>#N/A</v>
      </c>
    </row>
    <row r="89" spans="1:17" x14ac:dyDescent="0.35">
      <c r="A89" s="265" t="e">
        <f>VLOOKUP(A1,DIV_05Data!$A$1:$DZU$1000000,1498,FALSE)</f>
        <v>#N/A</v>
      </c>
      <c r="B89" s="37" t="e">
        <f>VLOOKUP(A1,DIV_05Data!$A$1:$DZU$1000000,1499,FALSE)</f>
        <v>#N/A</v>
      </c>
      <c r="C89" s="38" t="e">
        <f>VLOOKUP(A1,DIV_05Data!$A$1:$DZU$1000000,1500,FALSE)</f>
        <v>#N/A</v>
      </c>
      <c r="D89" s="31" t="e">
        <f>VLOOKUP(A1,DIV_05Data!$A$1:$DZU$1000000,1501,FALSE)</f>
        <v>#N/A</v>
      </c>
      <c r="E89" s="32" t="e">
        <f>VLOOKUP(A1,DIV_05Data!$A$1:$DZU$1000000,1502,FALSE)</f>
        <v>#N/A</v>
      </c>
      <c r="F89" s="34" t="e">
        <f>VLOOKUP(A1,DIV_05Data!$A$1:$DZU$1000000,1503,FALSE)</f>
        <v>#N/A</v>
      </c>
      <c r="G89" s="33" t="e">
        <f>VLOOKUP(A1,DIV_05Data!$A$1:$DZU$1000000,1504,FALSE)</f>
        <v>#N/A</v>
      </c>
      <c r="H89" s="34" t="e">
        <f>VLOOKUP(A1,DIV_05Data!$A$1:$DZU$1000000,1505,FALSE)</f>
        <v>#N/A</v>
      </c>
      <c r="I89" s="33" t="e">
        <f>VLOOKUP(A1,DIV_05Data!$A$1:$DZU$1000000,1506,FALSE)</f>
        <v>#N/A</v>
      </c>
      <c r="J89" s="34" t="e">
        <f>VLOOKUP(A1,DIV_05Data!$A$1:$DZU$1000000,1507,FALSE)</f>
        <v>#N/A</v>
      </c>
      <c r="K89" s="34" t="e">
        <f>VLOOKUP(A1,DIV_05Data!$A$1:$DZU$1000000,1508,FALSE)</f>
        <v>#N/A</v>
      </c>
      <c r="L89" s="93" t="e">
        <f>VLOOKUP(A1,DIV_05Data!$A$1:$DZU$1000000,1509,FALSE)</f>
        <v>#N/A</v>
      </c>
      <c r="M89" s="33" t="e">
        <f>VLOOKUP(A1,DIV_05Data!$A$1:$DZU$1000000,1510,FALSE)</f>
        <v>#N/A</v>
      </c>
      <c r="N89" s="34" t="e">
        <f>VLOOKUP(A1,DIV_05Data!$A$1:$DZU$1000000,1511,FALSE)</f>
        <v>#N/A</v>
      </c>
      <c r="O89" s="33" t="e">
        <f>VLOOKUP(A1,DIV_05Data!$A$1:$DZU$1000000,1512,FALSE)</f>
        <v>#N/A</v>
      </c>
      <c r="P89" s="116" t="e">
        <f>VLOOKUP(A1,DIV_05Data!$A$1:$DZU$1000000,1513,FALSE)</f>
        <v>#N/A</v>
      </c>
      <c r="Q89" s="268" t="e">
        <f>VLOOKUP(A1,DIV_05Data!$A$1:$DZU$1000000,1514,FALSE)</f>
        <v>#N/A</v>
      </c>
    </row>
    <row r="90" spans="1:17" x14ac:dyDescent="0.35">
      <c r="A90" s="265" t="e">
        <f>VLOOKUP(A1,DIV_05Data!$A$1:$DZU$1000000,1515,FALSE)</f>
        <v>#N/A</v>
      </c>
      <c r="B90" s="37" t="e">
        <f>VLOOKUP(A1,DIV_05Data!$A$1:$DZU$1000000,1516,FALSE)</f>
        <v>#N/A</v>
      </c>
      <c r="C90" s="38" t="e">
        <f>VLOOKUP(A1,DIV_05Data!$A$1:$DZU$1000000,1517,FALSE)</f>
        <v>#N/A</v>
      </c>
      <c r="D90" s="31" t="e">
        <f>VLOOKUP(A1,DIV_05Data!$A$1:$DZU$1000000,1518,FALSE)</f>
        <v>#N/A</v>
      </c>
      <c r="E90" s="32" t="e">
        <f>VLOOKUP(A1,DIV_05Data!$A$1:$DZU$1000000,1519,FALSE)</f>
        <v>#N/A</v>
      </c>
      <c r="F90" s="34" t="e">
        <f>VLOOKUP(A1,DIV_05Data!$A$1:$DZU$1000000,1520,FALSE)</f>
        <v>#N/A</v>
      </c>
      <c r="G90" s="33" t="e">
        <f>VLOOKUP(A1,DIV_05Data!$A$1:$DZU$1000000,1521,FALSE)</f>
        <v>#N/A</v>
      </c>
      <c r="H90" s="34" t="e">
        <f>VLOOKUP(A1,DIV_05Data!$A$1:$DZU$1000000,1522,FALSE)</f>
        <v>#N/A</v>
      </c>
      <c r="I90" s="33" t="e">
        <f>VLOOKUP(A1,DIV_05Data!$A$1:$DZU$1000000,1523,FALSE)</f>
        <v>#N/A</v>
      </c>
      <c r="J90" s="34" t="e">
        <f>VLOOKUP(A1,DIV_05Data!$A$1:$DZU$1000000,1524,FALSE)</f>
        <v>#N/A</v>
      </c>
      <c r="K90" s="34" t="e">
        <f>VLOOKUP(A1,DIV_05Data!$A$1:$DZU$1000000,1525,FALSE)</f>
        <v>#N/A</v>
      </c>
      <c r="L90" s="93" t="e">
        <f>VLOOKUP(A1,DIV_05Data!$A$1:$DZU$1000000,1526,FALSE)</f>
        <v>#N/A</v>
      </c>
      <c r="M90" s="33" t="e">
        <f>VLOOKUP(A1,DIV_05Data!$A$1:$DZU$1000000,1527,FALSE)</f>
        <v>#N/A</v>
      </c>
      <c r="N90" s="34" t="e">
        <f>VLOOKUP(A1,DIV_05Data!$A$1:$DZU$1000000,1528,FALSE)</f>
        <v>#N/A</v>
      </c>
      <c r="O90" s="33" t="e">
        <f>VLOOKUP(A1,DIV_05Data!$A$1:$DZU$1000000,1529,FALSE)</f>
        <v>#N/A</v>
      </c>
      <c r="P90" s="116" t="e">
        <f>VLOOKUP(A1,DIV_05Data!$A$1:$DZU$1000000,1530,FALSE)</f>
        <v>#N/A</v>
      </c>
      <c r="Q90" s="268" t="e">
        <f>VLOOKUP(A1,DIV_05Data!$A$1:$DZU$1000000,1531,FALSE)</f>
        <v>#N/A</v>
      </c>
    </row>
    <row r="91" spans="1:17" x14ac:dyDescent="0.35">
      <c r="A91" s="265" t="e">
        <f>VLOOKUP(A1,DIV_05Data!$A$1:$DZU$1000000,1532,FALSE)</f>
        <v>#N/A</v>
      </c>
      <c r="B91" s="37" t="e">
        <f>VLOOKUP(A1,DIV_05Data!$A$1:$DZU$1000000,1533,FALSE)</f>
        <v>#N/A</v>
      </c>
      <c r="C91" s="38" t="e">
        <f>VLOOKUP(A1,DIV_05Data!$A$1:$DZU$1000000,1534,FALSE)</f>
        <v>#N/A</v>
      </c>
      <c r="D91" s="31" t="e">
        <f>VLOOKUP(A1,DIV_05Data!$A$1:$DZU$1000000,1535,FALSE)</f>
        <v>#N/A</v>
      </c>
      <c r="E91" s="32" t="e">
        <f>VLOOKUP(A1,DIV_05Data!$A$1:$DZU$1000000,1536,FALSE)</f>
        <v>#N/A</v>
      </c>
      <c r="F91" s="34" t="e">
        <f>VLOOKUP(A1,DIV_05Data!$A$1:$DZU$1000000,1537,FALSE)</f>
        <v>#N/A</v>
      </c>
      <c r="G91" s="33" t="e">
        <f>VLOOKUP(A1,DIV_05Data!$A$1:$DZU$1000000,1538,FALSE)</f>
        <v>#N/A</v>
      </c>
      <c r="H91" s="34" t="e">
        <f>VLOOKUP(A1,DIV_05Data!$A$1:$DZU$1000000,1539,FALSE)</f>
        <v>#N/A</v>
      </c>
      <c r="I91" s="33" t="e">
        <f>VLOOKUP(A1,DIV_05Data!$A$1:$DZU$1000000,1540,FALSE)</f>
        <v>#N/A</v>
      </c>
      <c r="J91" s="34" t="e">
        <f>VLOOKUP(A1,DIV_05Data!$A$1:$DZU$1000000,1541,FALSE)</f>
        <v>#N/A</v>
      </c>
      <c r="K91" s="34" t="e">
        <f>VLOOKUP(A1,DIV_05Data!$A$1:$DZU$1000000,1542,FALSE)</f>
        <v>#N/A</v>
      </c>
      <c r="L91" s="93" t="e">
        <f>VLOOKUP(A1,DIV_05Data!$A$1:$DZU$1000000,1543,FALSE)</f>
        <v>#N/A</v>
      </c>
      <c r="M91" s="33" t="e">
        <f>VLOOKUP(A1,DIV_05Data!$A$1:$DZU$1000000,1544,FALSE)</f>
        <v>#N/A</v>
      </c>
      <c r="N91" s="34" t="e">
        <f>VLOOKUP(A1,DIV_05Data!$A$1:$DZU$1000000,1545,FALSE)</f>
        <v>#N/A</v>
      </c>
      <c r="O91" s="33" t="e">
        <f>VLOOKUP(A1,DIV_05Data!$A$1:$DZU$1000000,1546,FALSE)</f>
        <v>#N/A</v>
      </c>
      <c r="P91" s="116" t="e">
        <f>VLOOKUP(A1,DIV_05Data!$A$1:$DZU$1000000,1547,FALSE)</f>
        <v>#N/A</v>
      </c>
      <c r="Q91" s="268" t="e">
        <f>VLOOKUP(A1,DIV_05Data!$A$1:$DZU$1000000,1548,FALSE)</f>
        <v>#N/A</v>
      </c>
    </row>
    <row r="92" spans="1:17" x14ac:dyDescent="0.35">
      <c r="A92" s="265" t="e">
        <f>VLOOKUP(A1,DIV_05Data!$A$1:$DZU$1000000,1549,FALSE)</f>
        <v>#N/A</v>
      </c>
      <c r="B92" s="37" t="e">
        <f>VLOOKUP(A1,DIV_05Data!$A$1:$DZU$1000000,1550,FALSE)</f>
        <v>#N/A</v>
      </c>
      <c r="C92" s="38" t="e">
        <f>VLOOKUP(A1,DIV_05Data!$A$1:$DZU$1000000,1551,FALSE)</f>
        <v>#N/A</v>
      </c>
      <c r="D92" s="31" t="e">
        <f>VLOOKUP(A1,DIV_05Data!$A$1:$DZU$1000000,1552,FALSE)</f>
        <v>#N/A</v>
      </c>
      <c r="E92" s="32" t="e">
        <f>VLOOKUP(A1,DIV_05Data!$A$1:$DZU$1000000,1553,FALSE)</f>
        <v>#N/A</v>
      </c>
      <c r="F92" s="34" t="e">
        <f>VLOOKUP(A1,DIV_05Data!$A$1:$DZU$1000000,1554,FALSE)</f>
        <v>#N/A</v>
      </c>
      <c r="G92" s="33" t="e">
        <f>VLOOKUP(A1,DIV_05Data!$A$1:$DZU$1000000,1555,FALSE)</f>
        <v>#N/A</v>
      </c>
      <c r="H92" s="34" t="e">
        <f>VLOOKUP(A1,DIV_05Data!$A$1:$DZU$1000000,1556,FALSE)</f>
        <v>#N/A</v>
      </c>
      <c r="I92" s="33" t="e">
        <f>VLOOKUP(A1,DIV_05Data!$A$1:$DZU$1000000,1557,FALSE)</f>
        <v>#N/A</v>
      </c>
      <c r="J92" s="34" t="e">
        <f>VLOOKUP(A1,DIV_05Data!$A$1:$DZU$1000000,1558,FALSE)</f>
        <v>#N/A</v>
      </c>
      <c r="K92" s="34" t="e">
        <f>VLOOKUP(A1,DIV_05Data!$A$1:$DZU$1000000,1559,FALSE)</f>
        <v>#N/A</v>
      </c>
      <c r="L92" s="93" t="e">
        <f>VLOOKUP(A1,DIV_05Data!$A$1:$DZU$1000000,1560,FALSE)</f>
        <v>#N/A</v>
      </c>
      <c r="M92" s="33" t="e">
        <f>VLOOKUP(A1,DIV_05Data!$A$1:$DZU$1000000,1561,FALSE)</f>
        <v>#N/A</v>
      </c>
      <c r="N92" s="34" t="e">
        <f>VLOOKUP(A1,DIV_05Data!$A$1:$DZU$1000000,1562,FALSE)</f>
        <v>#N/A</v>
      </c>
      <c r="O92" s="33" t="e">
        <f>VLOOKUP(A1,DIV_05Data!$A$1:$DZU$1000000,1563,FALSE)</f>
        <v>#N/A</v>
      </c>
      <c r="P92" s="116" t="e">
        <f>VLOOKUP(A1,DIV_05Data!$A$1:$DZU$1000000,1564,FALSE)</f>
        <v>#N/A</v>
      </c>
      <c r="Q92" s="268" t="e">
        <f>VLOOKUP(A1,DIV_05Data!$A$1:$DZU$1000000,1565,FALSE)</f>
        <v>#N/A</v>
      </c>
    </row>
    <row r="93" spans="1:17" x14ac:dyDescent="0.35">
      <c r="A93" s="265" t="e">
        <f>VLOOKUP(A1,DIV_05Data!$A$1:$DZU$1000000,1566,FALSE)</f>
        <v>#N/A</v>
      </c>
      <c r="B93" s="37" t="e">
        <f>VLOOKUP(A1,DIV_05Data!$A$1:$DZU$1000000,1567,FALSE)</f>
        <v>#N/A</v>
      </c>
      <c r="C93" s="38" t="e">
        <f>VLOOKUP(A1,DIV_05Data!$A$1:$DZU$1000000,1568,FALSE)</f>
        <v>#N/A</v>
      </c>
      <c r="D93" s="31" t="e">
        <f>VLOOKUP(A1,DIV_05Data!$A$1:$DZU$1000000,1569,FALSE)</f>
        <v>#N/A</v>
      </c>
      <c r="E93" s="32" t="e">
        <f>VLOOKUP(A1,DIV_05Data!$A$1:$DZU$1000000,1570,FALSE)</f>
        <v>#N/A</v>
      </c>
      <c r="F93" s="34" t="e">
        <f>VLOOKUP(A1,DIV_05Data!$A$1:$DZU$1000000,1571,FALSE)</f>
        <v>#N/A</v>
      </c>
      <c r="G93" s="33" t="e">
        <f>VLOOKUP(A1,DIV_05Data!$A$1:$DZU$1000000,1572,FALSE)</f>
        <v>#N/A</v>
      </c>
      <c r="H93" s="34" t="e">
        <f>VLOOKUP(A1,DIV_05Data!$A$1:$DZU$1000000,1573,FALSE)</f>
        <v>#N/A</v>
      </c>
      <c r="I93" s="33" t="e">
        <f>VLOOKUP(A1,DIV_05Data!$A$1:$DZU$1000000,1574,FALSE)</f>
        <v>#N/A</v>
      </c>
      <c r="J93" s="34" t="e">
        <f>VLOOKUP(A1,DIV_05Data!$A$1:$DZU$1000000,1575,FALSE)</f>
        <v>#N/A</v>
      </c>
      <c r="K93" s="34" t="e">
        <f>VLOOKUP(A1,DIV_05Data!$A$1:$DZU$1000000,1576,FALSE)</f>
        <v>#N/A</v>
      </c>
      <c r="L93" s="93" t="e">
        <f>VLOOKUP(A1,DIV_05Data!$A$1:$DZU$1000000,1577,FALSE)</f>
        <v>#N/A</v>
      </c>
      <c r="M93" s="33" t="e">
        <f>VLOOKUP(A1,DIV_05Data!$A$1:$DZU$1000000,1578,FALSE)</f>
        <v>#N/A</v>
      </c>
      <c r="N93" s="34" t="e">
        <f>VLOOKUP(A1,DIV_05Data!$A$1:$DZU$1000000,1579,FALSE)</f>
        <v>#N/A</v>
      </c>
      <c r="O93" s="33" t="e">
        <f>VLOOKUP(A1,DIV_05Data!$A$1:$DZU$1000000,1580,FALSE)</f>
        <v>#N/A</v>
      </c>
      <c r="P93" s="116" t="e">
        <f>VLOOKUP(A1,DIV_05Data!$A$1:$DZU$1000000,1581,FALSE)</f>
        <v>#N/A</v>
      </c>
      <c r="Q93" s="268" t="e">
        <f>VLOOKUP(A1,DIV_05Data!$A$1:$DZU$1000000,1582,FALSE)</f>
        <v>#N/A</v>
      </c>
    </row>
    <row r="94" spans="1:17" x14ac:dyDescent="0.35">
      <c r="A94" s="265" t="e">
        <f>VLOOKUP(A1,DIV_05Data!$A$1:$DZU$1000000,1583,FALSE)</f>
        <v>#N/A</v>
      </c>
      <c r="B94" s="37" t="e">
        <f>VLOOKUP(A1,DIV_05Data!$A$1:$DZU$1000000,1584,FALSE)</f>
        <v>#N/A</v>
      </c>
      <c r="C94" s="38" t="e">
        <f>VLOOKUP(A1,DIV_05Data!$A$1:$DZU$1000000,1585,FALSE)</f>
        <v>#N/A</v>
      </c>
      <c r="D94" s="31" t="e">
        <f>VLOOKUP(A1,DIV_05Data!$A$1:$DZU$1000000,1586,FALSE)</f>
        <v>#N/A</v>
      </c>
      <c r="E94" s="32" t="e">
        <f>VLOOKUP(A1,DIV_05Data!$A$1:$DZU$1000000,1587,FALSE)</f>
        <v>#N/A</v>
      </c>
      <c r="F94" s="34" t="e">
        <f>VLOOKUP(A1,DIV_05Data!$A$1:$DZU$1000000,1588,FALSE)</f>
        <v>#N/A</v>
      </c>
      <c r="G94" s="33" t="e">
        <f>VLOOKUP(A1,DIV_05Data!$A$1:$DZU$1000000,1589,FALSE)</f>
        <v>#N/A</v>
      </c>
      <c r="H94" s="34" t="e">
        <f>VLOOKUP(A1,DIV_05Data!$A$1:$DZU$1000000,1590,FALSE)</f>
        <v>#N/A</v>
      </c>
      <c r="I94" s="33" t="e">
        <f>VLOOKUP(A1,DIV_05Data!$A$1:$DZU$1000000,1591,FALSE)</f>
        <v>#N/A</v>
      </c>
      <c r="J94" s="34" t="e">
        <f>VLOOKUP(A1,DIV_05Data!$A$1:$DZU$1000000,1592,FALSE)</f>
        <v>#N/A</v>
      </c>
      <c r="K94" s="34" t="e">
        <f>VLOOKUP(A1,DIV_05Data!$A$1:$DZU$1000000,1593,FALSE)</f>
        <v>#N/A</v>
      </c>
      <c r="L94" s="93" t="e">
        <f>VLOOKUP(A1,DIV_05Data!$A$1:$DZU$1000000,1594,FALSE)</f>
        <v>#N/A</v>
      </c>
      <c r="M94" s="33" t="e">
        <f>VLOOKUP(A1,DIV_05Data!$A$1:$DZU$1000000,1595,FALSE)</f>
        <v>#N/A</v>
      </c>
      <c r="N94" s="34" t="e">
        <f>VLOOKUP(A1,DIV_05Data!$A$1:$DZU$1000000,1596,FALSE)</f>
        <v>#N/A</v>
      </c>
      <c r="O94" s="33" t="e">
        <f>VLOOKUP(A1,DIV_05Data!$A$1:$DZU$1000000,1597,FALSE)</f>
        <v>#N/A</v>
      </c>
      <c r="P94" s="116" t="e">
        <f>VLOOKUP(A1,DIV_05Data!$A$1:$DZU$1000000,1598,FALSE)</f>
        <v>#N/A</v>
      </c>
      <c r="Q94" s="268" t="e">
        <f>VLOOKUP(A1,DIV_05Data!$A$1:$DZU$1000000,1599,FALSE)</f>
        <v>#N/A</v>
      </c>
    </row>
    <row r="95" spans="1:17" x14ac:dyDescent="0.35">
      <c r="A95" s="265" t="e">
        <f>VLOOKUP(A1,DIV_05Data!$A$1:$DZU$1000000,1600,FALSE)</f>
        <v>#N/A</v>
      </c>
      <c r="B95" s="37" t="e">
        <f>VLOOKUP(A1,DIV_05Data!$A$1:$DZU$1000000,1601,FALSE)</f>
        <v>#N/A</v>
      </c>
      <c r="C95" s="38" t="e">
        <f>VLOOKUP(A1,DIV_05Data!$A$1:$DZU$1000000,1602,FALSE)</f>
        <v>#N/A</v>
      </c>
      <c r="D95" s="31" t="e">
        <f>VLOOKUP(A1,DIV_05Data!$A$1:$DZU$1000000,1603,FALSE)</f>
        <v>#N/A</v>
      </c>
      <c r="E95" s="32" t="e">
        <f>VLOOKUP(A1,DIV_05Data!$A$1:$DZU$1000000,1604,FALSE)</f>
        <v>#N/A</v>
      </c>
      <c r="F95" s="34" t="e">
        <f>VLOOKUP(A1,DIV_05Data!$A$1:$DZU$1000000,1605,FALSE)</f>
        <v>#N/A</v>
      </c>
      <c r="G95" s="33" t="e">
        <f>VLOOKUP(A1,DIV_05Data!$A$1:$DZU$1000000,1606,FALSE)</f>
        <v>#N/A</v>
      </c>
      <c r="H95" s="34" t="e">
        <f>VLOOKUP(A1,DIV_05Data!$A$1:$DZU$1000000,1607,FALSE)</f>
        <v>#N/A</v>
      </c>
      <c r="I95" s="33" t="e">
        <f>VLOOKUP(A1,DIV_05Data!$A$1:$DZU$1000000,1608,FALSE)</f>
        <v>#N/A</v>
      </c>
      <c r="J95" s="34" t="e">
        <f>VLOOKUP(A1,DIV_05Data!$A$1:$DZU$1000000,1609,FALSE)</f>
        <v>#N/A</v>
      </c>
      <c r="K95" s="34" t="e">
        <f>VLOOKUP(A1,DIV_05Data!$A$1:$DZU$1000000,1610,FALSE)</f>
        <v>#N/A</v>
      </c>
      <c r="L95" s="93" t="e">
        <f>VLOOKUP(A1,DIV_05Data!$A$1:$DZU$1000000,1611,FALSE)</f>
        <v>#N/A</v>
      </c>
      <c r="M95" s="33" t="e">
        <f>VLOOKUP(A1,DIV_05Data!$A$1:$DZU$1000000,1612,FALSE)</f>
        <v>#N/A</v>
      </c>
      <c r="N95" s="34" t="e">
        <f>VLOOKUP(A1,DIV_05Data!$A$1:$DZU$1000000,1613,FALSE)</f>
        <v>#N/A</v>
      </c>
      <c r="O95" s="33" t="e">
        <f>VLOOKUP(A1,DIV_05Data!$A$1:$DZU$1000000,1614,FALSE)</f>
        <v>#N/A</v>
      </c>
      <c r="P95" s="116" t="e">
        <f>VLOOKUP(A1,DIV_05Data!$A$1:$DZU$1000000,1615,FALSE)</f>
        <v>#N/A</v>
      </c>
      <c r="Q95" s="268" t="e">
        <f>VLOOKUP(A1,DIV_05Data!$A$1:$DZU$1000000,1616,FALSE)</f>
        <v>#N/A</v>
      </c>
    </row>
    <row r="96" spans="1:17" x14ac:dyDescent="0.35">
      <c r="A96" s="265" t="e">
        <f>VLOOKUP(A1,DIV_05Data!$A$1:$DZU$1000000,1617,FALSE)</f>
        <v>#N/A</v>
      </c>
      <c r="B96" s="37" t="e">
        <f>VLOOKUP(A1,DIV_05Data!$A$1:$DZU$1000000,1618,FALSE)</f>
        <v>#N/A</v>
      </c>
      <c r="C96" s="38" t="e">
        <f>VLOOKUP(A1,DIV_05Data!$A$1:$DZU$1000000,1619,FALSE)</f>
        <v>#N/A</v>
      </c>
      <c r="D96" s="31" t="e">
        <f>VLOOKUP(A1,DIV_05Data!$A$1:$DZU$1000000,1620,FALSE)</f>
        <v>#N/A</v>
      </c>
      <c r="E96" s="32" t="e">
        <f>VLOOKUP(A1,DIV_05Data!$A$1:$DZU$1000000,1621,FALSE)</f>
        <v>#N/A</v>
      </c>
      <c r="F96" s="34" t="e">
        <f>VLOOKUP(A1,DIV_05Data!$A$1:$DZU$1000000,1622,FALSE)</f>
        <v>#N/A</v>
      </c>
      <c r="G96" s="33" t="e">
        <f>VLOOKUP(A1,DIV_05Data!$A$1:$DZU$1000000,1623,FALSE)</f>
        <v>#N/A</v>
      </c>
      <c r="H96" s="34" t="e">
        <f>VLOOKUP(A1,DIV_05Data!$A$1:$DZU$1000000,1624,FALSE)</f>
        <v>#N/A</v>
      </c>
      <c r="I96" s="33" t="e">
        <f>VLOOKUP(A1,DIV_05Data!$A$1:$DZU$1000000,1625,FALSE)</f>
        <v>#N/A</v>
      </c>
      <c r="J96" s="34" t="e">
        <f>VLOOKUP(A1,DIV_05Data!$A$1:$DZU$1000000,1626,FALSE)</f>
        <v>#N/A</v>
      </c>
      <c r="K96" s="34" t="e">
        <f>VLOOKUP(A1,DIV_05Data!$A$1:$DZU$1000000,1627,FALSE)</f>
        <v>#N/A</v>
      </c>
      <c r="L96" s="93" t="e">
        <f>VLOOKUP(A1,DIV_05Data!$A$1:$DZU$1000000,1628,FALSE)</f>
        <v>#N/A</v>
      </c>
      <c r="M96" s="33" t="e">
        <f>VLOOKUP(A1,DIV_05Data!$A$1:$DZU$1000000,1629,FALSE)</f>
        <v>#N/A</v>
      </c>
      <c r="N96" s="34" t="e">
        <f>VLOOKUP(A1,DIV_05Data!$A$1:$DZU$1000000,1630,FALSE)</f>
        <v>#N/A</v>
      </c>
      <c r="O96" s="33" t="e">
        <f>VLOOKUP(A1,DIV_05Data!$A$1:$DZU$1000000,1631,FALSE)</f>
        <v>#N/A</v>
      </c>
      <c r="P96" s="116" t="e">
        <f>VLOOKUP(A1,DIV_05Data!$A$1:$DZU$1000000,1632,FALSE)</f>
        <v>#N/A</v>
      </c>
      <c r="Q96" s="268" t="e">
        <f>VLOOKUP(A1,DIV_05Data!$A$1:$DZU$1000000,1633,FALSE)</f>
        <v>#N/A</v>
      </c>
    </row>
    <row r="97" spans="1:17" x14ac:dyDescent="0.35">
      <c r="A97" s="265" t="e">
        <f>VLOOKUP(A1,DIV_05Data!$A$1:$DZU$1000000,1634,FALSE)</f>
        <v>#N/A</v>
      </c>
      <c r="B97" s="37" t="e">
        <f>VLOOKUP(A1,DIV_05Data!$A$1:$DZU$1000000,1635,FALSE)</f>
        <v>#N/A</v>
      </c>
      <c r="C97" s="38" t="e">
        <f>VLOOKUP(A1,DIV_05Data!$A$1:$DZU$1000000,1636,FALSE)</f>
        <v>#N/A</v>
      </c>
      <c r="D97" s="31" t="e">
        <f>VLOOKUP(A1,DIV_05Data!$A$1:$DZU$1000000,1637,FALSE)</f>
        <v>#N/A</v>
      </c>
      <c r="E97" s="32" t="e">
        <f>VLOOKUP(A1,DIV_05Data!$A$1:$DZU$1000000,1638,FALSE)</f>
        <v>#N/A</v>
      </c>
      <c r="F97" s="34" t="e">
        <f>VLOOKUP(A1,DIV_05Data!$A$1:$DZU$1000000,1639,FALSE)</f>
        <v>#N/A</v>
      </c>
      <c r="G97" s="33" t="e">
        <f>VLOOKUP(A1,DIV_05Data!$A$1:$DZU$1000000,1640,FALSE)</f>
        <v>#N/A</v>
      </c>
      <c r="H97" s="34" t="e">
        <f>VLOOKUP(A1,DIV_05Data!$A$1:$DZU$1000000,1641,FALSE)</f>
        <v>#N/A</v>
      </c>
      <c r="I97" s="33" t="e">
        <f>VLOOKUP(A1,DIV_05Data!$A$1:$DZU$1000000,1642,FALSE)</f>
        <v>#N/A</v>
      </c>
      <c r="J97" s="34" t="e">
        <f>VLOOKUP(A1,DIV_05Data!$A$1:$DZU$1000000,1643,FALSE)</f>
        <v>#N/A</v>
      </c>
      <c r="K97" s="34" t="e">
        <f>VLOOKUP(A1,DIV_05Data!$A$1:$DZU$1000000,1644,FALSE)</f>
        <v>#N/A</v>
      </c>
      <c r="L97" s="93" t="e">
        <f>VLOOKUP(A1,DIV_05Data!$A$1:$DZU$1000000,1645,FALSE)</f>
        <v>#N/A</v>
      </c>
      <c r="M97" s="33" t="e">
        <f>VLOOKUP(A1,DIV_05Data!$A$1:$DZU$1000000,1646,FALSE)</f>
        <v>#N/A</v>
      </c>
      <c r="N97" s="34" t="e">
        <f>VLOOKUP(A1,DIV_05Data!$A$1:$DZU$1000000,1647,FALSE)</f>
        <v>#N/A</v>
      </c>
      <c r="O97" s="33" t="e">
        <f>VLOOKUP(A1,DIV_05Data!$A$1:$DZU$1000000,1648,FALSE)</f>
        <v>#N/A</v>
      </c>
      <c r="P97" s="116" t="e">
        <f>VLOOKUP(A1,DIV_05Data!$A$1:$DZU$1000000,1649,FALSE)</f>
        <v>#N/A</v>
      </c>
      <c r="Q97" s="268" t="e">
        <f>VLOOKUP(A1,DIV_05Data!$A$1:$DZU$1000000,1650,FALSE)</f>
        <v>#N/A</v>
      </c>
    </row>
    <row r="98" spans="1:17" x14ac:dyDescent="0.35">
      <c r="A98" s="265" t="e">
        <f>VLOOKUP(A1,DIV_05Data!$A$1:$DZU$1000000,1651,FALSE)</f>
        <v>#N/A</v>
      </c>
      <c r="B98" s="37" t="e">
        <f>VLOOKUP(A1,DIV_05Data!$A$1:$DZU$1000000,1652,FALSE)</f>
        <v>#N/A</v>
      </c>
      <c r="C98" s="38" t="e">
        <f>VLOOKUP(A1,DIV_05Data!$A$1:$DZU$1000000,1653,FALSE)</f>
        <v>#N/A</v>
      </c>
      <c r="D98" s="31" t="e">
        <f>VLOOKUP(A1,DIV_05Data!$A$1:$DZU$1000000,1654,FALSE)</f>
        <v>#N/A</v>
      </c>
      <c r="E98" s="32" t="e">
        <f>VLOOKUP(A1,DIV_05Data!$A$1:$DZU$1000000,1655,FALSE)</f>
        <v>#N/A</v>
      </c>
      <c r="F98" s="34" t="e">
        <f>VLOOKUP(A1,DIV_05Data!$A$1:$DZU$1000000,1656,FALSE)</f>
        <v>#N/A</v>
      </c>
      <c r="G98" s="33" t="e">
        <f>VLOOKUP(A1,DIV_05Data!$A$1:$DZU$1000000,1657,FALSE)</f>
        <v>#N/A</v>
      </c>
      <c r="H98" s="34" t="e">
        <f>VLOOKUP(A1,DIV_05Data!$A$1:$DZU$1000000,1658,FALSE)</f>
        <v>#N/A</v>
      </c>
      <c r="I98" s="33" t="e">
        <f>VLOOKUP(A1,DIV_05Data!$A$1:$DZU$1000000,1659,FALSE)</f>
        <v>#N/A</v>
      </c>
      <c r="J98" s="34" t="e">
        <f>VLOOKUP(A1,DIV_05Data!$A$1:$DZU$1000000,1660,FALSE)</f>
        <v>#N/A</v>
      </c>
      <c r="K98" s="34" t="e">
        <f>VLOOKUP(A1,DIV_05Data!$A$1:$DZU$1000000,1661,FALSE)</f>
        <v>#N/A</v>
      </c>
      <c r="L98" s="93" t="e">
        <f>VLOOKUP(A1,DIV_05Data!$A$1:$DZU$1000000,1662,FALSE)</f>
        <v>#N/A</v>
      </c>
      <c r="M98" s="33" t="e">
        <f>VLOOKUP(A1,DIV_05Data!$A$1:$DZU$1000000,1663,FALSE)</f>
        <v>#N/A</v>
      </c>
      <c r="N98" s="34" t="e">
        <f>VLOOKUP(A1,DIV_05Data!$A$1:$DZU$1000000,1664,FALSE)</f>
        <v>#N/A</v>
      </c>
      <c r="O98" s="33" t="e">
        <f>VLOOKUP(A1,DIV_05Data!$A$1:$DZU$1000000,1665,FALSE)</f>
        <v>#N/A</v>
      </c>
      <c r="P98" s="116" t="e">
        <f>VLOOKUP(A1,DIV_05Data!$A$1:$DZU$1000000,1666,FALSE)</f>
        <v>#N/A</v>
      </c>
      <c r="Q98" s="268" t="e">
        <f>VLOOKUP(A1,DIV_05Data!$A$1:$DZU$1000000,1667,FALSE)</f>
        <v>#N/A</v>
      </c>
    </row>
    <row r="99" spans="1:17" x14ac:dyDescent="0.35">
      <c r="A99" s="265" t="e">
        <f>VLOOKUP(A1,DIV_05Data!$A$1:$DZU$1000000,1668,FALSE)</f>
        <v>#N/A</v>
      </c>
      <c r="B99" s="37" t="e">
        <f>VLOOKUP(A1,DIV_05Data!$A$1:$DZU$1000000,1669,FALSE)</f>
        <v>#N/A</v>
      </c>
      <c r="C99" s="38" t="e">
        <f>VLOOKUP(A1,DIV_05Data!$A$1:$DZU$1000000,1670,FALSE)</f>
        <v>#N/A</v>
      </c>
      <c r="D99" s="31" t="e">
        <f>VLOOKUP(A1,DIV_05Data!$A$1:$DZU$1000000,1671,FALSE)</f>
        <v>#N/A</v>
      </c>
      <c r="E99" s="32" t="e">
        <f>VLOOKUP(A1,DIV_05Data!$A$1:$DZU$1000000,1672,FALSE)</f>
        <v>#N/A</v>
      </c>
      <c r="F99" s="34" t="e">
        <f>VLOOKUP(A1,DIV_05Data!$A$1:$DZU$1000000,1673,FALSE)</f>
        <v>#N/A</v>
      </c>
      <c r="G99" s="33" t="e">
        <f>VLOOKUP(A1,DIV_05Data!$A$1:$DZU$1000000,1674,FALSE)</f>
        <v>#N/A</v>
      </c>
      <c r="H99" s="34" t="e">
        <f>VLOOKUP(A1,DIV_05Data!$A$1:$DZU$1000000,1675,FALSE)</f>
        <v>#N/A</v>
      </c>
      <c r="I99" s="33" t="e">
        <f>VLOOKUP(A1,DIV_05Data!$A$1:$DZU$1000000,1676,FALSE)</f>
        <v>#N/A</v>
      </c>
      <c r="J99" s="34" t="e">
        <f>VLOOKUP(A1,DIV_05Data!$A$1:$DZU$1000000,1677,FALSE)</f>
        <v>#N/A</v>
      </c>
      <c r="K99" s="34" t="e">
        <f>VLOOKUP(A1,DIV_05Data!$A$1:$DZU$1000000,1678,FALSE)</f>
        <v>#N/A</v>
      </c>
      <c r="L99" s="93" t="e">
        <f>VLOOKUP(A1,DIV_05Data!$A$1:$DZU$1000000,1679,FALSE)</f>
        <v>#N/A</v>
      </c>
      <c r="M99" s="33" t="e">
        <f>VLOOKUP(A1,DIV_05Data!$A$1:$DZU$1000000,1680,FALSE)</f>
        <v>#N/A</v>
      </c>
      <c r="N99" s="34" t="e">
        <f>VLOOKUP(A1,DIV_05Data!$A$1:$DZU$1000000,1681,FALSE)</f>
        <v>#N/A</v>
      </c>
      <c r="O99" s="33" t="e">
        <f>VLOOKUP(A1,DIV_05Data!$A$1:$DZU$1000000,1682,FALSE)</f>
        <v>#N/A</v>
      </c>
      <c r="P99" s="116" t="e">
        <f>VLOOKUP(A1,DIV_05Data!$A$1:$DZU$1000000,1683,FALSE)</f>
        <v>#N/A</v>
      </c>
      <c r="Q99" s="268" t="e">
        <f>VLOOKUP(A1,DIV_05Data!$A$1:$DZU$1000000,1684,FALSE)</f>
        <v>#N/A</v>
      </c>
    </row>
    <row r="100" spans="1:17" x14ac:dyDescent="0.35">
      <c r="A100" s="265" t="e">
        <f>VLOOKUP(A1,DIV_05Data!$A$1:$DZU$1000000,1685,FALSE)</f>
        <v>#N/A</v>
      </c>
      <c r="B100" s="37" t="e">
        <f>VLOOKUP(A1,DIV_05Data!$A$1:$DZU$1000000,1686,FALSE)</f>
        <v>#N/A</v>
      </c>
      <c r="C100" s="38" t="e">
        <f>VLOOKUP(A1,DIV_05Data!$A$1:$DZU$1000000,1687,FALSE)</f>
        <v>#N/A</v>
      </c>
      <c r="D100" s="31" t="e">
        <f>VLOOKUP(A1,DIV_05Data!$A$1:$DZU$1000000,1688,FALSE)</f>
        <v>#N/A</v>
      </c>
      <c r="E100" s="32" t="e">
        <f>VLOOKUP(A1,DIV_05Data!$A$1:$DZU$1000000,1689,FALSE)</f>
        <v>#N/A</v>
      </c>
      <c r="F100" s="34" t="e">
        <f>VLOOKUP(A1,DIV_05Data!$A$1:$DZU$1000000,1690,FALSE)</f>
        <v>#N/A</v>
      </c>
      <c r="G100" s="33" t="e">
        <f>VLOOKUP(A1,DIV_05Data!$A$1:$DZU$1000000,1691,FALSE)</f>
        <v>#N/A</v>
      </c>
      <c r="H100" s="34" t="e">
        <f>VLOOKUP(A1,DIV_05Data!$A$1:$DZU$1000000,1692,FALSE)</f>
        <v>#N/A</v>
      </c>
      <c r="I100" s="33" t="e">
        <f>VLOOKUP(A1,DIV_05Data!$A$1:$DZU$1000000,1693,FALSE)</f>
        <v>#N/A</v>
      </c>
      <c r="J100" s="34" t="e">
        <f>VLOOKUP(A1,DIV_05Data!$A$1:$DZU$1000000,1694,FALSE)</f>
        <v>#N/A</v>
      </c>
      <c r="K100" s="34" t="e">
        <f>VLOOKUP(A1,DIV_05Data!$A$1:$DZU$1000000,1695,FALSE)</f>
        <v>#N/A</v>
      </c>
      <c r="L100" s="93" t="e">
        <f>VLOOKUP(A1,DIV_05Data!$A$1:$DZU$1000000,1696,FALSE)</f>
        <v>#N/A</v>
      </c>
      <c r="M100" s="33" t="e">
        <f>VLOOKUP(A1,DIV_05Data!$A$1:$DZU$1000000,1697,FALSE)</f>
        <v>#N/A</v>
      </c>
      <c r="N100" s="34" t="e">
        <f>VLOOKUP(A1,DIV_05Data!$A$1:$DZU$1000000,1698,FALSE)</f>
        <v>#N/A</v>
      </c>
      <c r="O100" s="33" t="e">
        <f>VLOOKUP(A1,DIV_05Data!$A$1:$DZU$1000000,1699,FALSE)</f>
        <v>#N/A</v>
      </c>
      <c r="P100" s="116" t="e">
        <f>VLOOKUP(A1,DIV_05Data!$A$1:$DZU$1000000,1700,FALSE)</f>
        <v>#N/A</v>
      </c>
      <c r="Q100" s="268" t="e">
        <f>VLOOKUP(A1,DIV_05Data!$A$1:$DZU$1000000,1701,FALSE)</f>
        <v>#N/A</v>
      </c>
    </row>
    <row r="101" spans="1:17" x14ac:dyDescent="0.35">
      <c r="A101" s="265" t="e">
        <f>VLOOKUP(A1,DIV_05Data!$A$1:$DZU$1000000,1702,FALSE)</f>
        <v>#N/A</v>
      </c>
      <c r="B101" s="37" t="e">
        <f>VLOOKUP(A1,DIV_05Data!$A$1:$DZU$1000000,1703,FALSE)</f>
        <v>#N/A</v>
      </c>
      <c r="C101" s="38" t="e">
        <f>VLOOKUP(A1,DIV_05Data!$A$1:$DZU$1000000,1704,FALSE)</f>
        <v>#N/A</v>
      </c>
      <c r="D101" s="31" t="e">
        <f>VLOOKUP(A1,DIV_05Data!$A$1:$DZU$1000000,1705,FALSE)</f>
        <v>#N/A</v>
      </c>
      <c r="E101" s="32" t="e">
        <f>VLOOKUP(A1,DIV_05Data!$A$1:$DZU$1000000,1706,FALSE)</f>
        <v>#N/A</v>
      </c>
      <c r="F101" s="34" t="e">
        <f>VLOOKUP(A1,DIV_05Data!$A$1:$DZU$1000000,1707,FALSE)</f>
        <v>#N/A</v>
      </c>
      <c r="G101" s="33" t="e">
        <f>VLOOKUP(A1,DIV_05Data!$A$1:$DZU$1000000,1708,FALSE)</f>
        <v>#N/A</v>
      </c>
      <c r="H101" s="34" t="e">
        <f>VLOOKUP(A1,DIV_05Data!$A$1:$DZU$1000000,1709,FALSE)</f>
        <v>#N/A</v>
      </c>
      <c r="I101" s="33" t="e">
        <f>VLOOKUP(A1,DIV_05Data!$A$1:$DZU$1000000,1710,FALSE)</f>
        <v>#N/A</v>
      </c>
      <c r="J101" s="34" t="e">
        <f>VLOOKUP(A1,DIV_05Data!$A$1:$DZU$1000000,1711,FALSE)</f>
        <v>#N/A</v>
      </c>
      <c r="K101" s="34" t="e">
        <f>VLOOKUP(A1,DIV_05Data!$A$1:$DZU$1000000,1712,FALSE)</f>
        <v>#N/A</v>
      </c>
      <c r="L101" s="93" t="e">
        <f>VLOOKUP(A1,DIV_05Data!$A$1:$DZU$1000000,1713,FALSE)</f>
        <v>#N/A</v>
      </c>
      <c r="M101" s="33" t="e">
        <f>VLOOKUP(A1,DIV_05Data!$A$1:$DZU$1000000,1714,FALSE)</f>
        <v>#N/A</v>
      </c>
      <c r="N101" s="34" t="e">
        <f>VLOOKUP(A1,DIV_05Data!$A$1:$DZU$1000000,1715,FALSE)</f>
        <v>#N/A</v>
      </c>
      <c r="O101" s="33" t="e">
        <f>VLOOKUP(A1,DIV_05Data!$A$1:$DZU$1000000,1716,FALSE)</f>
        <v>#N/A</v>
      </c>
      <c r="P101" s="116" t="e">
        <f>VLOOKUP(A1,DIV_05Data!$A$1:$DZU$1000000,1717,FALSE)</f>
        <v>#N/A</v>
      </c>
      <c r="Q101" s="268" t="e">
        <f>VLOOKUP(A1,DIV_05Data!$A$1:$DZU$1000000,1718,FALSE)</f>
        <v>#N/A</v>
      </c>
    </row>
    <row r="102" spans="1:17" x14ac:dyDescent="0.35">
      <c r="A102" s="265" t="e">
        <f>VLOOKUP(A1,DIV_05Data!$A$1:$DZU$1000000,1719,FALSE)</f>
        <v>#N/A</v>
      </c>
      <c r="B102" s="37" t="e">
        <f>VLOOKUP(A1,DIV_05Data!$A$1:$DZU$1000000,1720,FALSE)</f>
        <v>#N/A</v>
      </c>
      <c r="C102" s="38" t="e">
        <f>VLOOKUP(A1,DIV_05Data!$A$1:$DZU$1000000,1721,FALSE)</f>
        <v>#N/A</v>
      </c>
      <c r="D102" s="31" t="e">
        <f>VLOOKUP(A1,DIV_05Data!$A$1:$DZU$1000000,1722,FALSE)</f>
        <v>#N/A</v>
      </c>
      <c r="E102" s="32" t="e">
        <f>VLOOKUP(A1,DIV_05Data!$A$1:$DZU$1000000,1723,FALSE)</f>
        <v>#N/A</v>
      </c>
      <c r="F102" s="34" t="e">
        <f>VLOOKUP(A1,DIV_05Data!$A$1:$DZU$1000000,1724,FALSE)</f>
        <v>#N/A</v>
      </c>
      <c r="G102" s="33" t="e">
        <f>VLOOKUP(A1,DIV_05Data!$A$1:$DZU$1000000,1725,FALSE)</f>
        <v>#N/A</v>
      </c>
      <c r="H102" s="34" t="e">
        <f>VLOOKUP(A1,DIV_05Data!$A$1:$DZU$1000000,1726,FALSE)</f>
        <v>#N/A</v>
      </c>
      <c r="I102" s="33" t="e">
        <f>VLOOKUP(A1,DIV_05Data!$A$1:$DZU$1000000,1727,FALSE)</f>
        <v>#N/A</v>
      </c>
      <c r="J102" s="34" t="e">
        <f>VLOOKUP(A1,DIV_05Data!$A$1:$DZU$1000000,1728,FALSE)</f>
        <v>#N/A</v>
      </c>
      <c r="K102" s="34" t="e">
        <f>VLOOKUP(A1,DIV_05Data!$A$1:$DZU$1000000,1729,FALSE)</f>
        <v>#N/A</v>
      </c>
      <c r="L102" s="93" t="e">
        <f>VLOOKUP(A1,DIV_05Data!$A$1:$DZU$1000000,1730,FALSE)</f>
        <v>#N/A</v>
      </c>
      <c r="M102" s="33" t="e">
        <f>VLOOKUP(A1,DIV_05Data!$A$1:$DZU$1000000,1731,FALSE)</f>
        <v>#N/A</v>
      </c>
      <c r="N102" s="34" t="e">
        <f>VLOOKUP(A1,DIV_05Data!$A$1:$DZU$1000000,1732,FALSE)</f>
        <v>#N/A</v>
      </c>
      <c r="O102" s="33" t="e">
        <f>VLOOKUP(A1,DIV_05Data!$A$1:$DZU$1000000,1733,FALSE)</f>
        <v>#N/A</v>
      </c>
      <c r="P102" s="116" t="e">
        <f>VLOOKUP(A1,DIV_05Data!$A$1:$DZU$1000000,1734,FALSE)</f>
        <v>#N/A</v>
      </c>
      <c r="Q102" s="268" t="e">
        <f>VLOOKUP(A1,DIV_05Data!$A$1:$DZU$1000000,1735,FALSE)</f>
        <v>#N/A</v>
      </c>
    </row>
    <row r="103" spans="1:17" x14ac:dyDescent="0.35">
      <c r="A103" s="265" t="e">
        <f>VLOOKUP(A1,DIV_05Data!$A$1:$DZU$1000000,1736,FALSE)</f>
        <v>#N/A</v>
      </c>
      <c r="B103" s="37" t="e">
        <f>VLOOKUP(A1,DIV_05Data!$A$1:$DZU$1000000,1737,FALSE)</f>
        <v>#N/A</v>
      </c>
      <c r="C103" s="38" t="e">
        <f>VLOOKUP(A1,DIV_05Data!$A$1:$DZU$1000000,1738,FALSE)</f>
        <v>#N/A</v>
      </c>
      <c r="D103" s="31" t="e">
        <f>VLOOKUP(A1,DIV_05Data!$A$1:$DZU$1000000,1739,FALSE)</f>
        <v>#N/A</v>
      </c>
      <c r="E103" s="32" t="e">
        <f>VLOOKUP(A1,DIV_05Data!$A$1:$DZU$1000000,1740,FALSE)</f>
        <v>#N/A</v>
      </c>
      <c r="F103" s="34" t="e">
        <f>VLOOKUP(A1,DIV_05Data!$A$1:$DZU$1000000,1741,FALSE)</f>
        <v>#N/A</v>
      </c>
      <c r="G103" s="33" t="e">
        <f>VLOOKUP(A1,DIV_05Data!$A$1:$DZU$1000000,1742,FALSE)</f>
        <v>#N/A</v>
      </c>
      <c r="H103" s="34" t="e">
        <f>VLOOKUP(A1,DIV_05Data!$A$1:$DZU$1000000,1743,FALSE)</f>
        <v>#N/A</v>
      </c>
      <c r="I103" s="33" t="e">
        <f>VLOOKUP(A1,DIV_05Data!$A$1:$DZU$1000000,1744,FALSE)</f>
        <v>#N/A</v>
      </c>
      <c r="J103" s="34" t="e">
        <f>VLOOKUP(A1,DIV_05Data!$A$1:$DZU$1000000,1745,FALSE)</f>
        <v>#N/A</v>
      </c>
      <c r="K103" s="34" t="e">
        <f>VLOOKUP(A1,DIV_05Data!$A$1:$DZU$1000000,1746,FALSE)</f>
        <v>#N/A</v>
      </c>
      <c r="L103" s="93" t="e">
        <f>VLOOKUP(A1,DIV_05Data!$A$1:$DZU$1000000,1747,FALSE)</f>
        <v>#N/A</v>
      </c>
      <c r="M103" s="33" t="e">
        <f>VLOOKUP(A1,DIV_05Data!$A$1:$DZU$1000000,1748,FALSE)</f>
        <v>#N/A</v>
      </c>
      <c r="N103" s="34" t="e">
        <f>VLOOKUP(A1,DIV_05Data!$A$1:$DZU$1000000,1749,FALSE)</f>
        <v>#N/A</v>
      </c>
      <c r="O103" s="33" t="e">
        <f>VLOOKUP(A1,DIV_05Data!$A$1:$DZU$1000000,1750,FALSE)</f>
        <v>#N/A</v>
      </c>
      <c r="P103" s="116" t="e">
        <f>VLOOKUP(A1,DIV_05Data!$A$1:$DZU$1000000,1751,FALSE)</f>
        <v>#N/A</v>
      </c>
      <c r="Q103" s="268" t="e">
        <f>VLOOKUP(A1,DIV_05Data!$A$1:$DZU$1000000,1752,FALSE)</f>
        <v>#N/A</v>
      </c>
    </row>
    <row r="104" spans="1:17" x14ac:dyDescent="0.35">
      <c r="A104" s="265" t="e">
        <f>VLOOKUP(A1,DIV_05Data!$A$1:$DZU$1000000,1753,FALSE)</f>
        <v>#N/A</v>
      </c>
      <c r="B104" s="37" t="e">
        <f>VLOOKUP(A1,DIV_05Data!$A$1:$DZU$1000000,1754,FALSE)</f>
        <v>#N/A</v>
      </c>
      <c r="C104" s="38" t="e">
        <f>VLOOKUP(A1,DIV_05Data!$A$1:$DZU$1000000,1755,FALSE)</f>
        <v>#N/A</v>
      </c>
      <c r="D104" s="31" t="e">
        <f>VLOOKUP(A1,DIV_05Data!$A$1:$DZU$1000000,1756,FALSE)</f>
        <v>#N/A</v>
      </c>
      <c r="E104" s="32" t="e">
        <f>VLOOKUP(A1,DIV_05Data!$A$1:$DZU$1000000,1757,FALSE)</f>
        <v>#N/A</v>
      </c>
      <c r="F104" s="34" t="e">
        <f>VLOOKUP(A1,DIV_05Data!$A$1:$DZU$1000000,1758,FALSE)</f>
        <v>#N/A</v>
      </c>
      <c r="G104" s="33" t="e">
        <f>VLOOKUP(A1,DIV_05Data!$A$1:$DZU$1000000,1759,FALSE)</f>
        <v>#N/A</v>
      </c>
      <c r="H104" s="34" t="e">
        <f>VLOOKUP(A1,DIV_05Data!$A$1:$DZU$1000000,1760,FALSE)</f>
        <v>#N/A</v>
      </c>
      <c r="I104" s="33" t="e">
        <f>VLOOKUP(A1,DIV_05Data!$A$1:$DZU$1000000,1761,FALSE)</f>
        <v>#N/A</v>
      </c>
      <c r="J104" s="34" t="e">
        <f>VLOOKUP(A1,DIV_05Data!$A$1:$DZU$1000000,1762,FALSE)</f>
        <v>#N/A</v>
      </c>
      <c r="K104" s="34" t="e">
        <f>VLOOKUP(A1,DIV_05Data!$A$1:$DZU$1000000,1763,FALSE)</f>
        <v>#N/A</v>
      </c>
      <c r="L104" s="93" t="e">
        <f>VLOOKUP(A1,DIV_05Data!$A$1:$DZU$1000000,1764,FALSE)</f>
        <v>#N/A</v>
      </c>
      <c r="M104" s="33" t="e">
        <f>VLOOKUP(A1,DIV_05Data!$A$1:$DZU$1000000,1765,FALSE)</f>
        <v>#N/A</v>
      </c>
      <c r="N104" s="34" t="e">
        <f>VLOOKUP(A1,DIV_05Data!$A$1:$DZU$1000000,1766,FALSE)</f>
        <v>#N/A</v>
      </c>
      <c r="O104" s="33" t="e">
        <f>VLOOKUP(A1,DIV_05Data!$A$1:$DZU$1000000,1767,FALSE)</f>
        <v>#N/A</v>
      </c>
      <c r="P104" s="116" t="e">
        <f>VLOOKUP(A1,DIV_05Data!$A$1:$DZU$1000000,1768,FALSE)</f>
        <v>#N/A</v>
      </c>
      <c r="Q104" s="268" t="e">
        <f>VLOOKUP(A1,DIV_05Data!$A$1:$DZU$1000000,1769,FALSE)</f>
        <v>#N/A</v>
      </c>
    </row>
    <row r="105" spans="1:17" x14ac:dyDescent="0.35">
      <c r="A105" s="265" t="e">
        <f>VLOOKUP(A1,DIV_05Data!$A$1:$DZU$1000000,1770,FALSE)</f>
        <v>#N/A</v>
      </c>
      <c r="B105" s="37" t="e">
        <f>VLOOKUP(A1,DIV_05Data!$A$1:$DZU$1000000,1771,FALSE)</f>
        <v>#N/A</v>
      </c>
      <c r="C105" s="38" t="e">
        <f>VLOOKUP(A1,DIV_05Data!$A$1:$DZU$1000000,1772,FALSE)</f>
        <v>#N/A</v>
      </c>
      <c r="D105" s="31" t="e">
        <f>VLOOKUP(A1,DIV_05Data!$A$1:$DZU$1000000,1773,FALSE)</f>
        <v>#N/A</v>
      </c>
      <c r="E105" s="32" t="e">
        <f>VLOOKUP(A1,DIV_05Data!$A$1:$DZU$1000000,1774,FALSE)</f>
        <v>#N/A</v>
      </c>
      <c r="F105" s="34" t="e">
        <f>VLOOKUP(A1,DIV_05Data!$A$1:$DZU$1000000,1775,FALSE)</f>
        <v>#N/A</v>
      </c>
      <c r="G105" s="33" t="e">
        <f>VLOOKUP(A1,DIV_05Data!$A$1:$DZU$1000000,1776,FALSE)</f>
        <v>#N/A</v>
      </c>
      <c r="H105" s="34" t="e">
        <f>VLOOKUP(A1,DIV_05Data!$A$1:$DZU$1000000,1777,FALSE)</f>
        <v>#N/A</v>
      </c>
      <c r="I105" s="33" t="e">
        <f>VLOOKUP(A1,DIV_05Data!$A$1:$DZU$1000000,1778,FALSE)</f>
        <v>#N/A</v>
      </c>
      <c r="J105" s="34" t="e">
        <f>VLOOKUP(A1,DIV_05Data!$A$1:$DZU$1000000,1779,FALSE)</f>
        <v>#N/A</v>
      </c>
      <c r="K105" s="34" t="e">
        <f>VLOOKUP(A1,DIV_05Data!$A$1:$DZU$1000000,1780,FALSE)</f>
        <v>#N/A</v>
      </c>
      <c r="L105" s="93" t="e">
        <f>VLOOKUP(A1,DIV_05Data!$A$1:$DZU$1000000,1781,FALSE)</f>
        <v>#N/A</v>
      </c>
      <c r="M105" s="33" t="e">
        <f>VLOOKUP(A1,DIV_05Data!$A$1:$DZU$1000000,1782,FALSE)</f>
        <v>#N/A</v>
      </c>
      <c r="N105" s="34" t="e">
        <f>VLOOKUP(A1,DIV_05Data!$A$1:$DZU$1000000,1783,FALSE)</f>
        <v>#N/A</v>
      </c>
      <c r="O105" s="33" t="e">
        <f>VLOOKUP(A1,DIV_05Data!$A$1:$DZU$1000000,1784,FALSE)</f>
        <v>#N/A</v>
      </c>
      <c r="P105" s="116" t="e">
        <f>VLOOKUP(A1,DIV_05Data!$A$1:$DZU$1000000,1785,FALSE)</f>
        <v>#N/A</v>
      </c>
      <c r="Q105" s="268" t="e">
        <f>VLOOKUP(A1,DIV_05Data!$A$1:$DZU$1000000,1786,FALSE)</f>
        <v>#N/A</v>
      </c>
    </row>
    <row r="106" spans="1:17" x14ac:dyDescent="0.35">
      <c r="A106" s="265" t="e">
        <f>VLOOKUP(A1,DIV_05Data!$A$1:$DZU$1000000,1787,FALSE)</f>
        <v>#N/A</v>
      </c>
      <c r="B106" s="37" t="e">
        <f>VLOOKUP(A1,DIV_05Data!$A$1:$DZU$1000000,1788,FALSE)</f>
        <v>#N/A</v>
      </c>
      <c r="C106" s="38" t="e">
        <f>VLOOKUP(A1,DIV_05Data!$A$1:$DZU$1000000,1789,FALSE)</f>
        <v>#N/A</v>
      </c>
      <c r="D106" s="31" t="e">
        <f>VLOOKUP(A1,DIV_05Data!$A$1:$DZU$1000000,1790,FALSE)</f>
        <v>#N/A</v>
      </c>
      <c r="E106" s="32" t="e">
        <f>VLOOKUP(A1,DIV_05Data!$A$1:$DZU$1000000,1791,FALSE)</f>
        <v>#N/A</v>
      </c>
      <c r="F106" s="34" t="e">
        <f>VLOOKUP(A1,DIV_05Data!$A$1:$DZU$1000000,1792,FALSE)</f>
        <v>#N/A</v>
      </c>
      <c r="G106" s="33" t="e">
        <f>VLOOKUP(A1,DIV_05Data!$A$1:$DZU$1000000,1793,FALSE)</f>
        <v>#N/A</v>
      </c>
      <c r="H106" s="34" t="e">
        <f>VLOOKUP(A1,DIV_05Data!$A$1:$DZU$1000000,1794,FALSE)</f>
        <v>#N/A</v>
      </c>
      <c r="I106" s="33" t="e">
        <f>VLOOKUP(A1,DIV_05Data!$A$1:$DZU$1000000,1795,FALSE)</f>
        <v>#N/A</v>
      </c>
      <c r="J106" s="34" t="e">
        <f>VLOOKUP(A1,DIV_05Data!$A$1:$DZU$1000000,1796,FALSE)</f>
        <v>#N/A</v>
      </c>
      <c r="K106" s="34" t="e">
        <f>VLOOKUP(A1,DIV_05Data!$A$1:$DZU$1000000,1797,FALSE)</f>
        <v>#N/A</v>
      </c>
      <c r="L106" s="93" t="e">
        <f>VLOOKUP(A1,DIV_05Data!$A$1:$DZU$1000000,1798,FALSE)</f>
        <v>#N/A</v>
      </c>
      <c r="M106" s="33" t="e">
        <f>VLOOKUP(A1,DIV_05Data!$A$1:$DZU$1000000,1799,FALSE)</f>
        <v>#N/A</v>
      </c>
      <c r="N106" s="34" t="e">
        <f>VLOOKUP(A1,DIV_05Data!$A$1:$DZU$1000000,1800,FALSE)</f>
        <v>#N/A</v>
      </c>
      <c r="O106" s="33" t="e">
        <f>VLOOKUP(A1,DIV_05Data!$A$1:$DZU$1000000,1801,FALSE)</f>
        <v>#N/A</v>
      </c>
      <c r="P106" s="116" t="e">
        <f>VLOOKUP(A1,DIV_05Data!$A$1:$DZU$1000000,1802,FALSE)</f>
        <v>#N/A</v>
      </c>
      <c r="Q106" s="268" t="e">
        <f>VLOOKUP(A1,DIV_05Data!$A$1:$DZU$1000000,1803,FALSE)</f>
        <v>#N/A</v>
      </c>
    </row>
    <row r="107" spans="1:17" x14ac:dyDescent="0.35">
      <c r="A107" s="265" t="e">
        <f>VLOOKUP(A1,DIV_05Data!$A$1:$DZU$1000000,1804,FALSE)</f>
        <v>#N/A</v>
      </c>
      <c r="B107" s="37" t="e">
        <f>VLOOKUP(A1,DIV_05Data!$A$1:$DZU$1000000,1805,FALSE)</f>
        <v>#N/A</v>
      </c>
      <c r="C107" s="38" t="e">
        <f>VLOOKUP(A1,DIV_05Data!$A$1:$DZU$1000000,1806,FALSE)</f>
        <v>#N/A</v>
      </c>
      <c r="D107" s="31" t="e">
        <f>VLOOKUP(A1,DIV_05Data!$A$1:$DZU$1000000,1807,FALSE)</f>
        <v>#N/A</v>
      </c>
      <c r="E107" s="32" t="e">
        <f>VLOOKUP(A1,DIV_05Data!$A$1:$DZU$1000000,1808,FALSE)</f>
        <v>#N/A</v>
      </c>
      <c r="F107" s="34" t="e">
        <f>VLOOKUP(A1,DIV_05Data!$A$1:$DZU$1000000,1809,FALSE)</f>
        <v>#N/A</v>
      </c>
      <c r="G107" s="33" t="e">
        <f>VLOOKUP(A1,DIV_05Data!$A$1:$DZU$1000000,1810,FALSE)</f>
        <v>#N/A</v>
      </c>
      <c r="H107" s="34" t="e">
        <f>VLOOKUP(A1,DIV_05Data!$A$1:$DZU$1000000,1811,FALSE)</f>
        <v>#N/A</v>
      </c>
      <c r="I107" s="33" t="e">
        <f>VLOOKUP(A1,DIV_05Data!$A$1:$DZU$1000000,1812,FALSE)</f>
        <v>#N/A</v>
      </c>
      <c r="J107" s="34" t="e">
        <f>VLOOKUP(A1,DIV_05Data!$A$1:$DZU$1000000,1813,FALSE)</f>
        <v>#N/A</v>
      </c>
      <c r="K107" s="34" t="e">
        <f>VLOOKUP(A1,DIV_05Data!$A$1:$DZU$1000000,1814,FALSE)</f>
        <v>#N/A</v>
      </c>
      <c r="L107" s="93" t="e">
        <f>VLOOKUP(A1,DIV_05Data!$A$1:$DZU$1000000,1815,FALSE)</f>
        <v>#N/A</v>
      </c>
      <c r="M107" s="33" t="e">
        <f>VLOOKUP(A1,DIV_05Data!$A$1:$DZU$1000000,1816,FALSE)</f>
        <v>#N/A</v>
      </c>
      <c r="N107" s="34" t="e">
        <f>VLOOKUP(A1,DIV_05Data!$A$1:$DZU$1000000,1817,FALSE)</f>
        <v>#N/A</v>
      </c>
      <c r="O107" s="33" t="e">
        <f>VLOOKUP(A1,DIV_05Data!$A$1:$DZU$1000000,1818,FALSE)</f>
        <v>#N/A</v>
      </c>
      <c r="P107" s="116" t="e">
        <f>VLOOKUP(A1,DIV_05Data!$A$1:$DZU$1000000,1819,FALSE)</f>
        <v>#N/A</v>
      </c>
      <c r="Q107" s="268" t="e">
        <f>VLOOKUP(A1,DIV_05Data!$A$1:$DZU$1000000,1820,FALSE)</f>
        <v>#N/A</v>
      </c>
    </row>
    <row r="108" spans="1:17" x14ac:dyDescent="0.35">
      <c r="A108" s="265" t="e">
        <f>VLOOKUP(A1,DIV_05Data!$A$1:$DZU$1000000,1821,FALSE)</f>
        <v>#N/A</v>
      </c>
      <c r="B108" s="37" t="e">
        <f>VLOOKUP(A1,DIV_05Data!$A$1:$DZU$1000000,1822,FALSE)</f>
        <v>#N/A</v>
      </c>
      <c r="C108" s="38" t="e">
        <f>VLOOKUP(A1,DIV_05Data!$A$1:$DZU$1000000,1823,FALSE)</f>
        <v>#N/A</v>
      </c>
      <c r="D108" s="31" t="e">
        <f>VLOOKUP(A1,DIV_05Data!$A$1:$DZU$1000000,1824,FALSE)</f>
        <v>#N/A</v>
      </c>
      <c r="E108" s="32" t="e">
        <f>VLOOKUP(A1,DIV_05Data!$A$1:$DZU$1000000,1825,FALSE)</f>
        <v>#N/A</v>
      </c>
      <c r="F108" s="34" t="e">
        <f>VLOOKUP(A1,DIV_05Data!$A$1:$DZU$1000000,1826,FALSE)</f>
        <v>#N/A</v>
      </c>
      <c r="G108" s="33" t="e">
        <f>VLOOKUP(A1,DIV_05Data!$A$1:$DZU$1000000,1827,FALSE)</f>
        <v>#N/A</v>
      </c>
      <c r="H108" s="34" t="e">
        <f>VLOOKUP(A1,DIV_05Data!$A$1:$DZU$1000000,1828,FALSE)</f>
        <v>#N/A</v>
      </c>
      <c r="I108" s="33" t="e">
        <f>VLOOKUP(A1,DIV_05Data!$A$1:$DZU$1000000,1829,FALSE)</f>
        <v>#N/A</v>
      </c>
      <c r="J108" s="34" t="e">
        <f>VLOOKUP(A1,DIV_05Data!$A$1:$DZU$1000000,1830,FALSE)</f>
        <v>#N/A</v>
      </c>
      <c r="K108" s="34" t="e">
        <f>VLOOKUP(A1,DIV_05Data!$A$1:$DZU$1000000,1831,FALSE)</f>
        <v>#N/A</v>
      </c>
      <c r="L108" s="93" t="e">
        <f>VLOOKUP(A1,DIV_05Data!$A$1:$DZU$1000000,1832,FALSE)</f>
        <v>#N/A</v>
      </c>
      <c r="M108" s="33" t="e">
        <f>VLOOKUP(A1,DIV_05Data!$A$1:$DZU$1000000,1833,FALSE)</f>
        <v>#N/A</v>
      </c>
      <c r="N108" s="34" t="e">
        <f>VLOOKUP(A1,DIV_05Data!$A$1:$DZU$1000000,1834,FALSE)</f>
        <v>#N/A</v>
      </c>
      <c r="O108" s="33" t="e">
        <f>VLOOKUP(A1,DIV_05Data!$A$1:$DZU$1000000,1835,FALSE)</f>
        <v>#N/A</v>
      </c>
      <c r="P108" s="116" t="e">
        <f>VLOOKUP(A1,DIV_05Data!$A$1:$DZU$1000000,1836,FALSE)</f>
        <v>#N/A</v>
      </c>
      <c r="Q108" s="268" t="e">
        <f>VLOOKUP(A1,DIV_05Data!$A$1:$DZU$1000000,1837,FALSE)</f>
        <v>#N/A</v>
      </c>
    </row>
    <row r="109" spans="1:17" x14ac:dyDescent="0.35">
      <c r="A109" s="265" t="e">
        <f>VLOOKUP(A1,DIV_05Data!$A$1:$DZU$1000000,1838,FALSE)</f>
        <v>#N/A</v>
      </c>
      <c r="B109" s="37" t="e">
        <f>VLOOKUP(A1,DIV_05Data!$A$1:$DZU$1000000,1839,FALSE)</f>
        <v>#N/A</v>
      </c>
      <c r="C109" s="38" t="e">
        <f>VLOOKUP(A1,DIV_05Data!$A$1:$DZU$1000000,1840,FALSE)</f>
        <v>#N/A</v>
      </c>
      <c r="D109" s="31" t="e">
        <f>VLOOKUP(A1,DIV_05Data!$A$1:$DZU$1000000,1841,FALSE)</f>
        <v>#N/A</v>
      </c>
      <c r="E109" s="32" t="e">
        <f>VLOOKUP(A1,DIV_05Data!$A$1:$DZU$1000000,1842,FALSE)</f>
        <v>#N/A</v>
      </c>
      <c r="F109" s="34" t="e">
        <f>VLOOKUP(A1,DIV_05Data!$A$1:$DZU$1000000,1843,FALSE)</f>
        <v>#N/A</v>
      </c>
      <c r="G109" s="33" t="e">
        <f>VLOOKUP(A1,DIV_05Data!$A$1:$DZU$1000000,1844,FALSE)</f>
        <v>#N/A</v>
      </c>
      <c r="H109" s="34" t="e">
        <f>VLOOKUP(A1,DIV_05Data!$A$1:$DZU$1000000,1845,FALSE)</f>
        <v>#N/A</v>
      </c>
      <c r="I109" s="33" t="e">
        <f>VLOOKUP(A1,DIV_05Data!$A$1:$DZU$1000000,1846,FALSE)</f>
        <v>#N/A</v>
      </c>
      <c r="J109" s="34" t="e">
        <f>VLOOKUP(A1,DIV_05Data!$A$1:$DZU$1000000,1847,FALSE)</f>
        <v>#N/A</v>
      </c>
      <c r="K109" s="34" t="e">
        <f>VLOOKUP(A1,DIV_05Data!$A$1:$DZU$1000000,1848,FALSE)</f>
        <v>#N/A</v>
      </c>
      <c r="L109" s="93" t="e">
        <f>VLOOKUP(A1,DIV_05Data!$A$1:$DZU$1000000,1849,FALSE)</f>
        <v>#N/A</v>
      </c>
      <c r="M109" s="33" t="e">
        <f>VLOOKUP(A1,DIV_05Data!$A$1:$DZU$1000000,1850,FALSE)</f>
        <v>#N/A</v>
      </c>
      <c r="N109" s="34" t="e">
        <f>VLOOKUP(A1,DIV_05Data!$A$1:$DZU$1000000,1851,FALSE)</f>
        <v>#N/A</v>
      </c>
      <c r="O109" s="33" t="e">
        <f>VLOOKUP(A1,DIV_05Data!$A$1:$DZU$1000000,1852,FALSE)</f>
        <v>#N/A</v>
      </c>
      <c r="P109" s="116" t="e">
        <f>VLOOKUP(A1,DIV_05Data!$A$1:$DZU$1000000,1853,FALSE)</f>
        <v>#N/A</v>
      </c>
      <c r="Q109" s="268" t="e">
        <f>VLOOKUP(A1,DIV_05Data!$A$1:$DZU$1000000,1854,FALSE)</f>
        <v>#N/A</v>
      </c>
    </row>
    <row r="110" spans="1:17" x14ac:dyDescent="0.35">
      <c r="A110" s="265" t="e">
        <f>VLOOKUP(A1,DIV_05Data!$A$1:$DZU$1000000,1855,FALSE)</f>
        <v>#N/A</v>
      </c>
      <c r="B110" s="37" t="e">
        <f>VLOOKUP(A1,DIV_05Data!$A$1:$DZU$1000000,1856,FALSE)</f>
        <v>#N/A</v>
      </c>
      <c r="C110" s="38" t="e">
        <f>VLOOKUP(A1,DIV_05Data!$A$1:$DZU$1000000,1857,FALSE)</f>
        <v>#N/A</v>
      </c>
      <c r="D110" s="31" t="e">
        <f>VLOOKUP(A1,DIV_05Data!$A$1:$DZU$1000000,1858,FALSE)</f>
        <v>#N/A</v>
      </c>
      <c r="E110" s="32" t="e">
        <f>VLOOKUP(A1,DIV_05Data!$A$1:$DZU$1000000,1859,FALSE)</f>
        <v>#N/A</v>
      </c>
      <c r="F110" s="34" t="e">
        <f>VLOOKUP(A1,DIV_05Data!$A$1:$DZU$1000000,1860,FALSE)</f>
        <v>#N/A</v>
      </c>
      <c r="G110" s="33" t="e">
        <f>VLOOKUP(A1,DIV_05Data!$A$1:$DZU$1000000,1861,FALSE)</f>
        <v>#N/A</v>
      </c>
      <c r="H110" s="34" t="e">
        <f>VLOOKUP(A1,DIV_05Data!$A$1:$DZU$1000000,1862,FALSE)</f>
        <v>#N/A</v>
      </c>
      <c r="I110" s="33" t="e">
        <f>VLOOKUP(A1,DIV_05Data!$A$1:$DZU$1000000,1863,FALSE)</f>
        <v>#N/A</v>
      </c>
      <c r="J110" s="34" t="e">
        <f>VLOOKUP(A1,DIV_05Data!$A$1:$DZU$1000000,1864,FALSE)</f>
        <v>#N/A</v>
      </c>
      <c r="K110" s="34" t="e">
        <f>VLOOKUP(A1,DIV_05Data!$A$1:$DZU$1000000,1865,FALSE)</f>
        <v>#N/A</v>
      </c>
      <c r="L110" s="93" t="e">
        <f>VLOOKUP(A1,DIV_05Data!$A$1:$DZU$1000000,1866,FALSE)</f>
        <v>#N/A</v>
      </c>
      <c r="M110" s="33" t="e">
        <f>VLOOKUP(A1,DIV_05Data!$A$1:$DZU$1000000,1867,FALSE)</f>
        <v>#N/A</v>
      </c>
      <c r="N110" s="34" t="e">
        <f>VLOOKUP(A1,DIV_05Data!$A$1:$DZU$1000000,1868,FALSE)</f>
        <v>#N/A</v>
      </c>
      <c r="O110" s="33" t="e">
        <f>VLOOKUP(A1,DIV_05Data!$A$1:$DZU$1000000,1869,FALSE)</f>
        <v>#N/A</v>
      </c>
      <c r="P110" s="116" t="e">
        <f>VLOOKUP(A1,DIV_05Data!$A$1:$DZU$1000000,1870,FALSE)</f>
        <v>#N/A</v>
      </c>
      <c r="Q110" s="268" t="e">
        <f>VLOOKUP(A1,DIV_05Data!$A$1:$DZU$1000000,1871,FALSE)</f>
        <v>#N/A</v>
      </c>
    </row>
    <row r="111" spans="1:17" x14ac:dyDescent="0.35">
      <c r="A111" s="265" t="e">
        <f>VLOOKUP(A1,DIV_05Data!$A$1:$DZU$1000000,1872,FALSE)</f>
        <v>#N/A</v>
      </c>
      <c r="B111" s="37" t="e">
        <f>VLOOKUP(A1,DIV_05Data!$A$1:$DZU$1000000,1873,FALSE)</f>
        <v>#N/A</v>
      </c>
      <c r="C111" s="38" t="e">
        <f>VLOOKUP(A1,DIV_05Data!$A$1:$DZU$1000000,1874,FALSE)</f>
        <v>#N/A</v>
      </c>
      <c r="D111" s="31" t="e">
        <f>VLOOKUP(A1,DIV_05Data!$A$1:$DZU$1000000,1875,FALSE)</f>
        <v>#N/A</v>
      </c>
      <c r="E111" s="32" t="e">
        <f>VLOOKUP(A1,DIV_05Data!$A$1:$DZU$1000000,1876,FALSE)</f>
        <v>#N/A</v>
      </c>
      <c r="F111" s="34" t="e">
        <f>VLOOKUP(A1,DIV_05Data!$A$1:$DZU$1000000,1877,FALSE)</f>
        <v>#N/A</v>
      </c>
      <c r="G111" s="33" t="e">
        <f>VLOOKUP(A1,DIV_05Data!$A$1:$DZU$1000000,1878,FALSE)</f>
        <v>#N/A</v>
      </c>
      <c r="H111" s="34" t="e">
        <f>VLOOKUP(A1,DIV_05Data!$A$1:$DZU$1000000,1879,FALSE)</f>
        <v>#N/A</v>
      </c>
      <c r="I111" s="33" t="e">
        <f>VLOOKUP(A1,DIV_05Data!$A$1:$DZU$1000000,1880,FALSE)</f>
        <v>#N/A</v>
      </c>
      <c r="J111" s="34" t="e">
        <f>VLOOKUP(A1,DIV_05Data!$A$1:$DZU$1000000,1881,FALSE)</f>
        <v>#N/A</v>
      </c>
      <c r="K111" s="34" t="e">
        <f>VLOOKUP(A1,DIV_05Data!$A$1:$DZU$1000000,1882,FALSE)</f>
        <v>#N/A</v>
      </c>
      <c r="L111" s="93" t="e">
        <f>VLOOKUP(A1,DIV_05Data!$A$1:$DZU$1000000,1883,FALSE)</f>
        <v>#N/A</v>
      </c>
      <c r="M111" s="33" t="e">
        <f>VLOOKUP(A1,DIV_05Data!$A$1:$DZU$1000000,1884,FALSE)</f>
        <v>#N/A</v>
      </c>
      <c r="N111" s="34" t="e">
        <f>VLOOKUP(A1,DIV_05Data!$A$1:$DZU$1000000,1885,FALSE)</f>
        <v>#N/A</v>
      </c>
      <c r="O111" s="33" t="e">
        <f>VLOOKUP(A1,DIV_05Data!$A$1:$DZU$1000000,1886,FALSE)</f>
        <v>#N/A</v>
      </c>
      <c r="P111" s="116" t="e">
        <f>VLOOKUP(A1,DIV_05Data!$A$1:$DZU$1000000,1887,FALSE)</f>
        <v>#N/A</v>
      </c>
      <c r="Q111" s="268" t="e">
        <f>VLOOKUP(A1,DIV_05Data!$A$1:$DZU$1000000,1888,FALSE)</f>
        <v>#N/A</v>
      </c>
    </row>
    <row r="112" spans="1:17" x14ac:dyDescent="0.35">
      <c r="A112" s="265" t="e">
        <f>VLOOKUP(A1,DIV_05Data!$A$1:$DZU$1000000,1889,FALSE)</f>
        <v>#N/A</v>
      </c>
      <c r="B112" s="37" t="e">
        <f>VLOOKUP(A1,DIV_05Data!$A$1:$DZU$1000000,1890,FALSE)</f>
        <v>#N/A</v>
      </c>
      <c r="C112" s="38" t="e">
        <f>VLOOKUP(A1,DIV_05Data!$A$1:$DZU$1000000,1891,FALSE)</f>
        <v>#N/A</v>
      </c>
      <c r="D112" s="31" t="e">
        <f>VLOOKUP(A1,DIV_05Data!$A$1:$DZU$1000000,1892,FALSE)</f>
        <v>#N/A</v>
      </c>
      <c r="E112" s="32" t="e">
        <f>VLOOKUP(A1,DIV_05Data!$A$1:$DZU$1000000,1893,FALSE)</f>
        <v>#N/A</v>
      </c>
      <c r="F112" s="34" t="e">
        <f>VLOOKUP(A1,DIV_05Data!$A$1:$DZU$1000000,1894,FALSE)</f>
        <v>#N/A</v>
      </c>
      <c r="G112" s="33" t="e">
        <f>VLOOKUP(A1,DIV_05Data!$A$1:$DZU$1000000,1895,FALSE)</f>
        <v>#N/A</v>
      </c>
      <c r="H112" s="34" t="e">
        <f>VLOOKUP(A1,DIV_05Data!$A$1:$DZU$1000000,1896,FALSE)</f>
        <v>#N/A</v>
      </c>
      <c r="I112" s="33" t="e">
        <f>VLOOKUP(A1,DIV_05Data!$A$1:$DZU$1000000,1897,FALSE)</f>
        <v>#N/A</v>
      </c>
      <c r="J112" s="34" t="e">
        <f>VLOOKUP(A1,DIV_05Data!$A$1:$DZU$1000000,1898,FALSE)</f>
        <v>#N/A</v>
      </c>
      <c r="K112" s="34" t="e">
        <f>VLOOKUP(A1,DIV_05Data!$A$1:$DZU$1000000,1899,FALSE)</f>
        <v>#N/A</v>
      </c>
      <c r="L112" s="93" t="e">
        <f>VLOOKUP(A1,DIV_05Data!$A$1:$DZU$1000000,1900,FALSE)</f>
        <v>#N/A</v>
      </c>
      <c r="M112" s="33" t="e">
        <f>VLOOKUP(A1,DIV_05Data!$A$1:$DZU$1000000,1901,FALSE)</f>
        <v>#N/A</v>
      </c>
      <c r="N112" s="34" t="e">
        <f>VLOOKUP(A1,DIV_05Data!$A$1:$DZU$1000000,1902,FALSE)</f>
        <v>#N/A</v>
      </c>
      <c r="O112" s="33" t="e">
        <f>VLOOKUP(A1,DIV_05Data!$A$1:$DZU$1000000,1903,FALSE)</f>
        <v>#N/A</v>
      </c>
      <c r="P112" s="116" t="e">
        <f>VLOOKUP(A1,DIV_05Data!$A$1:$DZU$1000000,1904,FALSE)</f>
        <v>#N/A</v>
      </c>
      <c r="Q112" s="268" t="e">
        <f>VLOOKUP(A1,DIV_05Data!$A$1:$DZU$1000000,1905,FALSE)</f>
        <v>#N/A</v>
      </c>
    </row>
    <row r="113" spans="1:17" x14ac:dyDescent="0.35">
      <c r="A113" s="265" t="e">
        <f>VLOOKUP(A1,DIV_05Data!$A$1:$DZU$1000000,1906,FALSE)</f>
        <v>#N/A</v>
      </c>
      <c r="B113" s="37" t="e">
        <f>VLOOKUP(A1,DIV_05Data!$A$1:$DZU$1000000,1907,FALSE)</f>
        <v>#N/A</v>
      </c>
      <c r="C113" s="38" t="e">
        <f>VLOOKUP(A1,DIV_05Data!$A$1:$DZU$1000000,1908,FALSE)</f>
        <v>#N/A</v>
      </c>
      <c r="D113" s="31" t="e">
        <f>VLOOKUP(A1,DIV_05Data!$A$1:$DZU$1000000,1909,FALSE)</f>
        <v>#N/A</v>
      </c>
      <c r="E113" s="32" t="e">
        <f>VLOOKUP(A1,DIV_05Data!$A$1:$DZU$1000000,1910,FALSE)</f>
        <v>#N/A</v>
      </c>
      <c r="F113" s="34" t="e">
        <f>VLOOKUP(A1,DIV_05Data!$A$1:$DZU$1000000,1911,FALSE)</f>
        <v>#N/A</v>
      </c>
      <c r="G113" s="33" t="e">
        <f>VLOOKUP(A1,DIV_05Data!$A$1:$DZU$1000000,1912,FALSE)</f>
        <v>#N/A</v>
      </c>
      <c r="H113" s="34" t="e">
        <f>VLOOKUP(A1,DIV_05Data!$A$1:$DZU$1000000,1913,FALSE)</f>
        <v>#N/A</v>
      </c>
      <c r="I113" s="33" t="e">
        <f>VLOOKUP(A1,DIV_05Data!$A$1:$DZU$1000000,1914,FALSE)</f>
        <v>#N/A</v>
      </c>
      <c r="J113" s="34" t="e">
        <f>VLOOKUP(A1,DIV_05Data!$A$1:$DZU$1000000,1915,FALSE)</f>
        <v>#N/A</v>
      </c>
      <c r="K113" s="34" t="e">
        <f>VLOOKUP(A1,DIV_05Data!$A$1:$DZU$1000000,1916,FALSE)</f>
        <v>#N/A</v>
      </c>
      <c r="L113" s="93" t="e">
        <f>VLOOKUP(A1,DIV_05Data!$A$1:$DZU$1000000,1917,FALSE)</f>
        <v>#N/A</v>
      </c>
      <c r="M113" s="33" t="e">
        <f>VLOOKUP(A1,DIV_05Data!$A$1:$DZU$1000000,1918,FALSE)</f>
        <v>#N/A</v>
      </c>
      <c r="N113" s="34" t="e">
        <f>VLOOKUP(A1,DIV_05Data!$A$1:$DZU$1000000,1919,FALSE)</f>
        <v>#N/A</v>
      </c>
      <c r="O113" s="33" t="e">
        <f>VLOOKUP(A1,DIV_05Data!$A$1:$DZU$1000000,1920,FALSE)</f>
        <v>#N/A</v>
      </c>
      <c r="P113" s="116" t="e">
        <f>VLOOKUP(A1,DIV_05Data!$A$1:$DZU$1000000,1921,FALSE)</f>
        <v>#N/A</v>
      </c>
      <c r="Q113" s="268" t="e">
        <f>VLOOKUP(A1,DIV_05Data!$A$1:$DZU$1000000,1922,FALSE)</f>
        <v>#N/A</v>
      </c>
    </row>
    <row r="114" spans="1:17" x14ac:dyDescent="0.35">
      <c r="A114" s="265" t="e">
        <f>VLOOKUP(A1,DIV_05Data!$A$1:$DZU$1000000,1923,FALSE)</f>
        <v>#N/A</v>
      </c>
      <c r="B114" s="37" t="e">
        <f>VLOOKUP(A1,DIV_05Data!$A$1:$DZU$1000000,1924,FALSE)</f>
        <v>#N/A</v>
      </c>
      <c r="C114" s="38" t="e">
        <f>VLOOKUP(A1,DIV_05Data!$A$1:$DZU$1000000,1925,FALSE)</f>
        <v>#N/A</v>
      </c>
      <c r="D114" s="31" t="e">
        <f>VLOOKUP(A1,DIV_05Data!$A$1:$DZU$1000000,1926,FALSE)</f>
        <v>#N/A</v>
      </c>
      <c r="E114" s="32" t="e">
        <f>VLOOKUP(A1,DIV_05Data!$A$1:$DZU$1000000,1927,FALSE)</f>
        <v>#N/A</v>
      </c>
      <c r="F114" s="34" t="e">
        <f>VLOOKUP(A1,DIV_05Data!$A$1:$DZU$1000000,1928,FALSE)</f>
        <v>#N/A</v>
      </c>
      <c r="G114" s="33" t="e">
        <f>VLOOKUP(A1,DIV_05Data!$A$1:$DZU$1000000,1929,FALSE)</f>
        <v>#N/A</v>
      </c>
      <c r="H114" s="34" t="e">
        <f>VLOOKUP(A1,DIV_05Data!$A$1:$DZU$1000000,1930,FALSE)</f>
        <v>#N/A</v>
      </c>
      <c r="I114" s="33" t="e">
        <f>VLOOKUP(A1,DIV_05Data!$A$1:$DZU$1000000,1931,FALSE)</f>
        <v>#N/A</v>
      </c>
      <c r="J114" s="34" t="e">
        <f>VLOOKUP(A1,DIV_05Data!$A$1:$DZU$1000000,1932,FALSE)</f>
        <v>#N/A</v>
      </c>
      <c r="K114" s="34" t="e">
        <f>VLOOKUP(A1,DIV_05Data!$A$1:$DZU$1000000,1933,FALSE)</f>
        <v>#N/A</v>
      </c>
      <c r="L114" s="93" t="e">
        <f>VLOOKUP(A1,DIV_05Data!$A$1:$DZU$1000000,1934,FALSE)</f>
        <v>#N/A</v>
      </c>
      <c r="M114" s="33" t="e">
        <f>VLOOKUP(A1,DIV_05Data!$A$1:$DZU$1000000,1935,FALSE)</f>
        <v>#N/A</v>
      </c>
      <c r="N114" s="34" t="e">
        <f>VLOOKUP(A1,DIV_05Data!$A$1:$DZU$1000000,1936,FALSE)</f>
        <v>#N/A</v>
      </c>
      <c r="O114" s="33" t="e">
        <f>VLOOKUP(A1,DIV_05Data!$A$1:$DZU$1000000,1937,FALSE)</f>
        <v>#N/A</v>
      </c>
      <c r="P114" s="116" t="e">
        <f>VLOOKUP(A1,DIV_05Data!$A$1:$DZU$1000000,1938,FALSE)</f>
        <v>#N/A</v>
      </c>
      <c r="Q114" s="268" t="e">
        <f>VLOOKUP(A1,DIV_05Data!$A$1:$DZU$1000000,1939,FALSE)</f>
        <v>#N/A</v>
      </c>
    </row>
    <row r="115" spans="1:17" x14ac:dyDescent="0.35">
      <c r="A115" s="265" t="e">
        <f>VLOOKUP(A1,DIV_05Data!$A$1:$DZU$1000000,1940,FALSE)</f>
        <v>#N/A</v>
      </c>
      <c r="B115" s="37" t="e">
        <f>VLOOKUP(A1,DIV_05Data!$A$1:$DZU$1000000,1941,FALSE)</f>
        <v>#N/A</v>
      </c>
      <c r="C115" s="38" t="e">
        <f>VLOOKUP(A1,DIV_05Data!$A$1:$DZU$1000000,1942,FALSE)</f>
        <v>#N/A</v>
      </c>
      <c r="D115" s="31" t="e">
        <f>VLOOKUP(A1,DIV_05Data!$A$1:$DZU$1000000,1943,FALSE)</f>
        <v>#N/A</v>
      </c>
      <c r="E115" s="32" t="e">
        <f>VLOOKUP(A1,DIV_05Data!$A$1:$DZU$1000000,1944,FALSE)</f>
        <v>#N/A</v>
      </c>
      <c r="F115" s="34" t="e">
        <f>VLOOKUP(A1,DIV_05Data!$A$1:$DZU$1000000,1945,FALSE)</f>
        <v>#N/A</v>
      </c>
      <c r="G115" s="33" t="e">
        <f>VLOOKUP(A1,DIV_05Data!$A$1:$DZU$1000000,1946,FALSE)</f>
        <v>#N/A</v>
      </c>
      <c r="H115" s="34" t="e">
        <f>VLOOKUP(A1,DIV_05Data!$A$1:$DZU$1000000,1947,FALSE)</f>
        <v>#N/A</v>
      </c>
      <c r="I115" s="33" t="e">
        <f>VLOOKUP(A1,DIV_05Data!$A$1:$DZU$1000000,1948,FALSE)</f>
        <v>#N/A</v>
      </c>
      <c r="J115" s="34" t="e">
        <f>VLOOKUP(A1,DIV_05Data!$A$1:$DZU$1000000,1949,FALSE)</f>
        <v>#N/A</v>
      </c>
      <c r="K115" s="34" t="e">
        <f>VLOOKUP(A1,DIV_05Data!$A$1:$DZU$1000000,1950,FALSE)</f>
        <v>#N/A</v>
      </c>
      <c r="L115" s="93" t="e">
        <f>VLOOKUP(A1,DIV_05Data!$A$1:$DZU$1000000,1951,FALSE)</f>
        <v>#N/A</v>
      </c>
      <c r="M115" s="33" t="e">
        <f>VLOOKUP(A1,DIV_05Data!$A$1:$DZU$1000000,1952,FALSE)</f>
        <v>#N/A</v>
      </c>
      <c r="N115" s="34" t="e">
        <f>VLOOKUP(A1,DIV_05Data!$A$1:$DZU$1000000,1953,FALSE)</f>
        <v>#N/A</v>
      </c>
      <c r="O115" s="33" t="e">
        <f>VLOOKUP(A1,DIV_05Data!$A$1:$DZU$1000000,1954,FALSE)</f>
        <v>#N/A</v>
      </c>
      <c r="P115" s="116" t="e">
        <f>VLOOKUP(A1,DIV_05Data!$A$1:$DZU$1000000,1955,FALSE)</f>
        <v>#N/A</v>
      </c>
      <c r="Q115" s="268" t="e">
        <f>VLOOKUP(A1,DIV_05Data!$A$1:$DZU$1000000,1956,FALSE)</f>
        <v>#N/A</v>
      </c>
    </row>
    <row r="116" spans="1:17" x14ac:dyDescent="0.35">
      <c r="A116" s="265" t="e">
        <f>VLOOKUP(A1,DIV_05Data!$A$1:$DZU$1000000,1957,FALSE)</f>
        <v>#N/A</v>
      </c>
      <c r="B116" s="37" t="e">
        <f>VLOOKUP(A1,DIV_05Data!$A$1:$DZU$1000000,1958,FALSE)</f>
        <v>#N/A</v>
      </c>
      <c r="C116" s="38" t="e">
        <f>VLOOKUP(A1,DIV_05Data!$A$1:$DZU$1000000,1959,FALSE)</f>
        <v>#N/A</v>
      </c>
      <c r="D116" s="31" t="e">
        <f>VLOOKUP(A1,DIV_05Data!$A$1:$DZU$1000000,1960,FALSE)</f>
        <v>#N/A</v>
      </c>
      <c r="E116" s="32" t="e">
        <f>VLOOKUP(A1,DIV_05Data!$A$1:$DZU$1000000,1961,FALSE)</f>
        <v>#N/A</v>
      </c>
      <c r="F116" s="34" t="e">
        <f>VLOOKUP(A1,DIV_05Data!$A$1:$DZU$1000000,1962,FALSE)</f>
        <v>#N/A</v>
      </c>
      <c r="G116" s="33" t="e">
        <f>VLOOKUP(A1,DIV_05Data!$A$1:$DZU$1000000,1963,FALSE)</f>
        <v>#N/A</v>
      </c>
      <c r="H116" s="34" t="e">
        <f>VLOOKUP(A1,DIV_05Data!$A$1:$DZU$1000000,1964,FALSE)</f>
        <v>#N/A</v>
      </c>
      <c r="I116" s="33" t="e">
        <f>VLOOKUP(A1,DIV_05Data!$A$1:$DZU$1000000,1965,FALSE)</f>
        <v>#N/A</v>
      </c>
      <c r="J116" s="34" t="e">
        <f>VLOOKUP(A1,DIV_05Data!$A$1:$DZU$1000000,1966,FALSE)</f>
        <v>#N/A</v>
      </c>
      <c r="K116" s="34" t="e">
        <f>VLOOKUP(A1,DIV_05Data!$A$1:$DZU$1000000,1967,FALSE)</f>
        <v>#N/A</v>
      </c>
      <c r="L116" s="93" t="e">
        <f>VLOOKUP(A1,DIV_05Data!$A$1:$DZU$1000000,1968,FALSE)</f>
        <v>#N/A</v>
      </c>
      <c r="M116" s="33" t="e">
        <f>VLOOKUP(A1,DIV_05Data!$A$1:$DZU$1000000,1969,FALSE)</f>
        <v>#N/A</v>
      </c>
      <c r="N116" s="34" t="e">
        <f>VLOOKUP(A1,DIV_05Data!$A$1:$DZU$1000000,1970,FALSE)</f>
        <v>#N/A</v>
      </c>
      <c r="O116" s="33" t="e">
        <f>VLOOKUP(A1,DIV_05Data!$A$1:$DZU$1000000,1971,FALSE)</f>
        <v>#N/A</v>
      </c>
      <c r="P116" s="116" t="e">
        <f>VLOOKUP(A1,DIV_05Data!$A$1:$DZU$1000000,1972,FALSE)</f>
        <v>#N/A</v>
      </c>
      <c r="Q116" s="268" t="e">
        <f>VLOOKUP(A1,DIV_05Data!$A$1:$DZU$1000000,1973,FALSE)</f>
        <v>#N/A</v>
      </c>
    </row>
    <row r="117" spans="1:17" x14ac:dyDescent="0.35">
      <c r="A117" s="265" t="e">
        <f>VLOOKUP(A1,DIV_05Data!$A$1:$DZU$1000000,1974,FALSE)</f>
        <v>#N/A</v>
      </c>
      <c r="B117" s="37" t="e">
        <f>VLOOKUP(A1,DIV_05Data!$A$1:$DZU$1000000,1975,FALSE)</f>
        <v>#N/A</v>
      </c>
      <c r="C117" s="38" t="e">
        <f>VLOOKUP(A1,DIV_05Data!$A$1:$DZU$1000000,1976,FALSE)</f>
        <v>#N/A</v>
      </c>
      <c r="D117" s="31" t="e">
        <f>VLOOKUP(A1,DIV_05Data!$A$1:$DZU$1000000,1977,FALSE)</f>
        <v>#N/A</v>
      </c>
      <c r="E117" s="32" t="e">
        <f>VLOOKUP(A1,DIV_05Data!$A$1:$DZU$1000000,1978,FALSE)</f>
        <v>#N/A</v>
      </c>
      <c r="F117" s="34" t="e">
        <f>VLOOKUP(A1,DIV_05Data!$A$1:$DZU$1000000,1979,FALSE)</f>
        <v>#N/A</v>
      </c>
      <c r="G117" s="33" t="e">
        <f>VLOOKUP(A1,DIV_05Data!$A$1:$DZU$1000000,1980,FALSE)</f>
        <v>#N/A</v>
      </c>
      <c r="H117" s="34" t="e">
        <f>VLOOKUP(A1,DIV_05Data!$A$1:$DZU$1000000,1981,FALSE)</f>
        <v>#N/A</v>
      </c>
      <c r="I117" s="33" t="e">
        <f>VLOOKUP(A1,DIV_05Data!$A$1:$DZU$1000000,1982,FALSE)</f>
        <v>#N/A</v>
      </c>
      <c r="J117" s="34" t="e">
        <f>VLOOKUP(A1,DIV_05Data!$A$1:$DZU$1000000,1983,FALSE)</f>
        <v>#N/A</v>
      </c>
      <c r="K117" s="34" t="e">
        <f>VLOOKUP(A1,DIV_05Data!$A$1:$DZU$1000000,1984,FALSE)</f>
        <v>#N/A</v>
      </c>
      <c r="L117" s="93" t="e">
        <f>VLOOKUP(A1,DIV_05Data!$A$1:$DZU$1000000,1985,FALSE)</f>
        <v>#N/A</v>
      </c>
      <c r="M117" s="33" t="e">
        <f>VLOOKUP(A1,DIV_05Data!$A$1:$DZU$1000000,1986,FALSE)</f>
        <v>#N/A</v>
      </c>
      <c r="N117" s="34" t="e">
        <f>VLOOKUP(A1,DIV_05Data!$A$1:$DZU$1000000,1987,FALSE)</f>
        <v>#N/A</v>
      </c>
      <c r="O117" s="33" t="e">
        <f>VLOOKUP(A1,DIV_05Data!$A$1:$DZU$1000000,1988,FALSE)</f>
        <v>#N/A</v>
      </c>
      <c r="P117" s="116" t="e">
        <f>VLOOKUP(A1,DIV_05Data!$A$1:$DZU$1000000,1989,FALSE)</f>
        <v>#N/A</v>
      </c>
      <c r="Q117" s="268" t="e">
        <f>VLOOKUP(A1,DIV_05Data!$A$1:$DZU$1000000,1990,FALSE)</f>
        <v>#N/A</v>
      </c>
    </row>
    <row r="118" spans="1:17" x14ac:dyDescent="0.35">
      <c r="A118" s="265" t="e">
        <f>VLOOKUP(A1,DIV_05Data!$A$1:$DZU$1000000,1991,FALSE)</f>
        <v>#N/A</v>
      </c>
      <c r="B118" s="37" t="e">
        <f>VLOOKUP(A1,DIV_05Data!$A$1:$DZU$1000000,1992,FALSE)</f>
        <v>#N/A</v>
      </c>
      <c r="C118" s="38" t="e">
        <f>VLOOKUP(A1,DIV_05Data!$A$1:$DZU$1000000,1993,FALSE)</f>
        <v>#N/A</v>
      </c>
      <c r="D118" s="31" t="e">
        <f>VLOOKUP(A1,DIV_05Data!$A$1:$DZU$1000000,1994,FALSE)</f>
        <v>#N/A</v>
      </c>
      <c r="E118" s="32" t="e">
        <f>VLOOKUP(A1,DIV_05Data!$A$1:$DZU$1000000,1995,FALSE)</f>
        <v>#N/A</v>
      </c>
      <c r="F118" s="34" t="e">
        <f>VLOOKUP(A1,DIV_05Data!$A$1:$DZU$1000000,1996,FALSE)</f>
        <v>#N/A</v>
      </c>
      <c r="G118" s="33" t="e">
        <f>VLOOKUP(A1,DIV_05Data!$A$1:$DZU$1000000,1997,FALSE)</f>
        <v>#N/A</v>
      </c>
      <c r="H118" s="34" t="e">
        <f>VLOOKUP(A1,DIV_05Data!$A$1:$DZU$1000000,1998,FALSE)</f>
        <v>#N/A</v>
      </c>
      <c r="I118" s="33" t="e">
        <f>VLOOKUP(A1,DIV_05Data!$A$1:$DZU$1000000,1999,FALSE)</f>
        <v>#N/A</v>
      </c>
      <c r="J118" s="34" t="e">
        <f>VLOOKUP(A1,DIV_05Data!$A$1:$DZU$1000000,2000,FALSE)</f>
        <v>#N/A</v>
      </c>
      <c r="K118" s="34" t="e">
        <f>VLOOKUP(A1,DIV_05Data!$A$1:$DZU$1000000,2001,FALSE)</f>
        <v>#N/A</v>
      </c>
      <c r="L118" s="93" t="e">
        <f>VLOOKUP(A1,DIV_05Data!$A$1:$DZU$1000000,2002,FALSE)</f>
        <v>#N/A</v>
      </c>
      <c r="M118" s="33" t="e">
        <f>VLOOKUP(A1,DIV_05Data!$A$1:$DZU$1000000,2003,FALSE)</f>
        <v>#N/A</v>
      </c>
      <c r="N118" s="34" t="e">
        <f>VLOOKUP(A1,DIV_05Data!$A$1:$DZU$1000000,2004,FALSE)</f>
        <v>#N/A</v>
      </c>
      <c r="O118" s="33" t="e">
        <f>VLOOKUP(A1,DIV_05Data!$A$1:$DZU$1000000,2005,FALSE)</f>
        <v>#N/A</v>
      </c>
      <c r="P118" s="116" t="e">
        <f>VLOOKUP(A1,DIV_05Data!$A$1:$DZU$1000000,2006,FALSE)</f>
        <v>#N/A</v>
      </c>
      <c r="Q118" s="268" t="e">
        <f>VLOOKUP(A1,DIV_05Data!$A$1:$DZU$1000000,2007,FALSE)</f>
        <v>#N/A</v>
      </c>
    </row>
    <row r="119" spans="1:17" x14ac:dyDescent="0.35">
      <c r="A119" s="265" t="e">
        <f>VLOOKUP(A1,DIV_05Data!$A$1:$DZU$1000000,2008,FALSE)</f>
        <v>#N/A</v>
      </c>
      <c r="B119" s="37" t="e">
        <f>VLOOKUP(A1,DIV_05Data!$A$1:$DZU$1000000,2009,FALSE)</f>
        <v>#N/A</v>
      </c>
      <c r="C119" s="38" t="e">
        <f>VLOOKUP(A1,DIV_05Data!$A$1:$DZU$1000000,2010,FALSE)</f>
        <v>#N/A</v>
      </c>
      <c r="D119" s="31" t="e">
        <f>VLOOKUP(A1,DIV_05Data!$A$1:$DZU$1000000,2011,FALSE)</f>
        <v>#N/A</v>
      </c>
      <c r="E119" s="32" t="e">
        <f>VLOOKUP(A1,DIV_05Data!$A$1:$DZU$1000000,2012,FALSE)</f>
        <v>#N/A</v>
      </c>
      <c r="F119" s="34" t="e">
        <f>VLOOKUP(A1,DIV_05Data!$A$1:$DZU$1000000,2013,FALSE)</f>
        <v>#N/A</v>
      </c>
      <c r="G119" s="33" t="e">
        <f>VLOOKUP(A1,DIV_05Data!$A$1:$DZU$1000000,2014,FALSE)</f>
        <v>#N/A</v>
      </c>
      <c r="H119" s="34" t="e">
        <f>VLOOKUP(A1,DIV_05Data!$A$1:$DZU$1000000,2015,FALSE)</f>
        <v>#N/A</v>
      </c>
      <c r="I119" s="33" t="e">
        <f>VLOOKUP(A1,DIV_05Data!$A$1:$DZU$1000000,2016,FALSE)</f>
        <v>#N/A</v>
      </c>
      <c r="J119" s="34" t="e">
        <f>VLOOKUP(A1,DIV_05Data!$A$1:$DZU$1000000,2017,FALSE)</f>
        <v>#N/A</v>
      </c>
      <c r="K119" s="34" t="e">
        <f>VLOOKUP(A1,DIV_05Data!$A$1:$DZU$1000000,2018,FALSE)</f>
        <v>#N/A</v>
      </c>
      <c r="L119" s="93" t="e">
        <f>VLOOKUP(A1,DIV_05Data!$A$1:$DZU$1000000,2019,FALSE)</f>
        <v>#N/A</v>
      </c>
      <c r="M119" s="33" t="e">
        <f>VLOOKUP(A1,DIV_05Data!$A$1:$DZU$1000000,2020,FALSE)</f>
        <v>#N/A</v>
      </c>
      <c r="N119" s="34" t="e">
        <f>VLOOKUP(A1,DIV_05Data!$A$1:$DZU$1000000,2021,FALSE)</f>
        <v>#N/A</v>
      </c>
      <c r="O119" s="33" t="e">
        <f>VLOOKUP(A1,DIV_05Data!$A$1:$DZU$1000000,2022,FALSE)</f>
        <v>#N/A</v>
      </c>
      <c r="P119" s="116" t="e">
        <f>VLOOKUP(A1,DIV_05Data!$A$1:$DZU$1000000,2023,FALSE)</f>
        <v>#N/A</v>
      </c>
      <c r="Q119" s="268" t="e">
        <f>VLOOKUP(A1,DIV_05Data!$A$1:$DZU$1000000,2024,FALSE)</f>
        <v>#N/A</v>
      </c>
    </row>
    <row r="120" spans="1:17" x14ac:dyDescent="0.35">
      <c r="A120" s="265" t="e">
        <f>VLOOKUP(A1,DIV_05Data!$A$1:$DZU$1000000,2025,FALSE)</f>
        <v>#N/A</v>
      </c>
      <c r="B120" s="37" t="e">
        <f>VLOOKUP(A1,DIV_05Data!$A$1:$DZU$1000000,2026,FALSE)</f>
        <v>#N/A</v>
      </c>
      <c r="C120" s="38" t="e">
        <f>VLOOKUP(A1,DIV_05Data!$A$1:$DZU$1000000,2027,FALSE)</f>
        <v>#N/A</v>
      </c>
      <c r="D120" s="31" t="e">
        <f>VLOOKUP(A1,DIV_05Data!$A$1:$DZU$1000000,2028,FALSE)</f>
        <v>#N/A</v>
      </c>
      <c r="E120" s="32" t="e">
        <f>VLOOKUP(A1,DIV_05Data!$A$1:$DZU$1000000,2029,FALSE)</f>
        <v>#N/A</v>
      </c>
      <c r="F120" s="34" t="e">
        <f>VLOOKUP(A1,DIV_05Data!$A$1:$DZU$1000000,2030,FALSE)</f>
        <v>#N/A</v>
      </c>
      <c r="G120" s="33" t="e">
        <f>VLOOKUP(A1,DIV_05Data!$A$1:$DZU$1000000,2031,FALSE)</f>
        <v>#N/A</v>
      </c>
      <c r="H120" s="34" t="e">
        <f>VLOOKUP(A1,DIV_05Data!$A$1:$DZU$1000000,2032,FALSE)</f>
        <v>#N/A</v>
      </c>
      <c r="I120" s="33" t="e">
        <f>VLOOKUP(A1,DIV_05Data!$A$1:$DZU$1000000,2033,FALSE)</f>
        <v>#N/A</v>
      </c>
      <c r="J120" s="34" t="e">
        <f>VLOOKUP(A1,DIV_05Data!$A$1:$DZU$1000000,2034,FALSE)</f>
        <v>#N/A</v>
      </c>
      <c r="K120" s="34" t="e">
        <f>VLOOKUP(A1,DIV_05Data!$A$1:$DZU$1000000,2035,FALSE)</f>
        <v>#N/A</v>
      </c>
      <c r="L120" s="93" t="e">
        <f>VLOOKUP(A1,DIV_05Data!$A$1:$DZU$1000000,2036,FALSE)</f>
        <v>#N/A</v>
      </c>
      <c r="M120" s="33" t="e">
        <f>VLOOKUP(A1,DIV_05Data!$A$1:$DZU$1000000,2037,FALSE)</f>
        <v>#N/A</v>
      </c>
      <c r="N120" s="34" t="e">
        <f>VLOOKUP(A1,DIV_05Data!$A$1:$DZU$1000000,2038,FALSE)</f>
        <v>#N/A</v>
      </c>
      <c r="O120" s="33" t="e">
        <f>VLOOKUP(A1,DIV_05Data!$A$1:$DZU$1000000,2039,FALSE)</f>
        <v>#N/A</v>
      </c>
      <c r="P120" s="116" t="e">
        <f>VLOOKUP(A1,DIV_05Data!$A$1:$DZU$1000000,2040,FALSE)</f>
        <v>#N/A</v>
      </c>
      <c r="Q120" s="268" t="e">
        <f>VLOOKUP(A1,DIV_05Data!$A$1:$DZU$1000000,2041,FALSE)</f>
        <v>#N/A</v>
      </c>
    </row>
    <row r="121" spans="1:17" x14ac:dyDescent="0.35">
      <c r="A121" s="265" t="e">
        <f>VLOOKUP(A1,DIV_05Data!$A$1:$DZU$1000000,2042,FALSE)</f>
        <v>#N/A</v>
      </c>
      <c r="B121" s="37" t="e">
        <f>VLOOKUP(A1,DIV_05Data!$A$1:$DZU$1000000,2043,FALSE)</f>
        <v>#N/A</v>
      </c>
      <c r="C121" s="38" t="e">
        <f>VLOOKUP(A1,DIV_05Data!$A$1:$DZU$1000000,2044,FALSE)</f>
        <v>#N/A</v>
      </c>
      <c r="D121" s="31" t="e">
        <f>VLOOKUP(A1,DIV_05Data!$A$1:$DZU$1000000,2045,FALSE)</f>
        <v>#N/A</v>
      </c>
      <c r="E121" s="32" t="e">
        <f>VLOOKUP(A1,DIV_05Data!$A$1:$DZU$1000000,2046,FALSE)</f>
        <v>#N/A</v>
      </c>
      <c r="F121" s="34" t="e">
        <f>VLOOKUP(A1,DIV_05Data!$A$1:$DZU$1000000,2047,FALSE)</f>
        <v>#N/A</v>
      </c>
      <c r="G121" s="33" t="e">
        <f>VLOOKUP(A1,DIV_05Data!$A$1:$DZU$1000000,2048,FALSE)</f>
        <v>#N/A</v>
      </c>
      <c r="H121" s="34" t="e">
        <f>VLOOKUP(A1,DIV_05Data!$A$1:$DZU$1000000,2049,FALSE)</f>
        <v>#N/A</v>
      </c>
      <c r="I121" s="33" t="e">
        <f>VLOOKUP(A1,DIV_05Data!$A$1:$DZU$1000000,2050,FALSE)</f>
        <v>#N/A</v>
      </c>
      <c r="J121" s="34" t="e">
        <f>VLOOKUP(A1,DIV_05Data!$A$1:$DZU$1000000,2051,FALSE)</f>
        <v>#N/A</v>
      </c>
      <c r="K121" s="34" t="e">
        <f>VLOOKUP(A1,DIV_05Data!$A$1:$DZU$1000000,2052,FALSE)</f>
        <v>#N/A</v>
      </c>
      <c r="L121" s="93" t="e">
        <f>VLOOKUP(A1,DIV_05Data!$A$1:$DZU$1000000,2053,FALSE)</f>
        <v>#N/A</v>
      </c>
      <c r="M121" s="33" t="e">
        <f>VLOOKUP(A1,DIV_05Data!$A$1:$DZU$1000000,2054,FALSE)</f>
        <v>#N/A</v>
      </c>
      <c r="N121" s="34" t="e">
        <f>VLOOKUP(A1,DIV_05Data!$A$1:$DZU$1000000,2055,FALSE)</f>
        <v>#N/A</v>
      </c>
      <c r="O121" s="33" t="e">
        <f>VLOOKUP(A1,DIV_05Data!$A$1:$DZU$1000000,2056,FALSE)</f>
        <v>#N/A</v>
      </c>
      <c r="P121" s="116" t="e">
        <f>VLOOKUP(A1,DIV_05Data!$A$1:$DZU$1000000,2057,FALSE)</f>
        <v>#N/A</v>
      </c>
      <c r="Q121" s="268" t="e">
        <f>VLOOKUP(A1,DIV_05Data!$A$1:$DZU$1000000,2058,FALSE)</f>
        <v>#N/A</v>
      </c>
    </row>
    <row r="122" spans="1:17" x14ac:dyDescent="0.35">
      <c r="A122" s="265" t="e">
        <f>VLOOKUP(A1,DIV_05Data!$A$1:$DZU$1000000,2059,FALSE)</f>
        <v>#N/A</v>
      </c>
      <c r="B122" s="37" t="e">
        <f>VLOOKUP(A1,DIV_05Data!$A$1:$DZU$1000000,2060,FALSE)</f>
        <v>#N/A</v>
      </c>
      <c r="C122" s="38" t="e">
        <f>VLOOKUP(A1,DIV_05Data!$A$1:$DZU$1000000,2061,FALSE)</f>
        <v>#N/A</v>
      </c>
      <c r="D122" s="31" t="e">
        <f>VLOOKUP(A1,DIV_05Data!$A$1:$DZU$1000000,2062,FALSE)</f>
        <v>#N/A</v>
      </c>
      <c r="E122" s="32" t="e">
        <f>VLOOKUP(A1,DIV_05Data!$A$1:$DZU$1000000,2063,FALSE)</f>
        <v>#N/A</v>
      </c>
      <c r="F122" s="34" t="e">
        <f>VLOOKUP(A1,DIV_05Data!$A$1:$DZU$1000000,2064,FALSE)</f>
        <v>#N/A</v>
      </c>
      <c r="G122" s="33" t="e">
        <f>VLOOKUP(A1,DIV_05Data!$A$1:$DZU$1000000,2065,FALSE)</f>
        <v>#N/A</v>
      </c>
      <c r="H122" s="34" t="e">
        <f>VLOOKUP(A1,DIV_05Data!$A$1:$DZU$1000000,2066,FALSE)</f>
        <v>#N/A</v>
      </c>
      <c r="I122" s="33" t="e">
        <f>VLOOKUP(A1,DIV_05Data!$A$1:$DZU$1000000,2067,FALSE)</f>
        <v>#N/A</v>
      </c>
      <c r="J122" s="34" t="e">
        <f>VLOOKUP(A1,DIV_05Data!$A$1:$DZU$1000000,2068,FALSE)</f>
        <v>#N/A</v>
      </c>
      <c r="K122" s="34" t="e">
        <f>VLOOKUP(A1,DIV_05Data!$A$1:$DZU$1000000,2069,FALSE)</f>
        <v>#N/A</v>
      </c>
      <c r="L122" s="93" t="e">
        <f>VLOOKUP(A1,DIV_05Data!$A$1:$DZU$1000000,2070,FALSE)</f>
        <v>#N/A</v>
      </c>
      <c r="M122" s="33" t="e">
        <f>VLOOKUP(A1,DIV_05Data!$A$1:$DZU$1000000,2071,FALSE)</f>
        <v>#N/A</v>
      </c>
      <c r="N122" s="34" t="e">
        <f>VLOOKUP(A1,DIV_05Data!$A$1:$DZU$1000000,2072,FALSE)</f>
        <v>#N/A</v>
      </c>
      <c r="O122" s="33" t="e">
        <f>VLOOKUP(A1,DIV_05Data!$A$1:$DZU$1000000,2073,FALSE)</f>
        <v>#N/A</v>
      </c>
      <c r="P122" s="116" t="e">
        <f>VLOOKUP(A1,DIV_05Data!$A$1:$DZU$1000000,2074,FALSE)</f>
        <v>#N/A</v>
      </c>
      <c r="Q122" s="268" t="e">
        <f>VLOOKUP(A1,DIV_05Data!$A$1:$DZU$1000000,2075,FALSE)</f>
        <v>#N/A</v>
      </c>
    </row>
    <row r="123" spans="1:17" x14ac:dyDescent="0.35">
      <c r="A123" s="265" t="e">
        <f>VLOOKUP(A1,DIV_05Data!$A$1:$DZU$1000000,2076,FALSE)</f>
        <v>#N/A</v>
      </c>
      <c r="B123" s="37" t="e">
        <f>VLOOKUP(A1,DIV_05Data!$A$1:$DZU$1000000,2077,FALSE)</f>
        <v>#N/A</v>
      </c>
      <c r="C123" s="38" t="e">
        <f>VLOOKUP(A1,DIV_05Data!$A$1:$DZU$1000000,2078,FALSE)</f>
        <v>#N/A</v>
      </c>
      <c r="D123" s="31" t="e">
        <f>VLOOKUP(A1,DIV_05Data!$A$1:$DZU$1000000,2079,FALSE)</f>
        <v>#N/A</v>
      </c>
      <c r="E123" s="32" t="e">
        <f>VLOOKUP(A1,DIV_05Data!$A$1:$DZU$1000000,2080,FALSE)</f>
        <v>#N/A</v>
      </c>
      <c r="F123" s="34" t="e">
        <f>VLOOKUP(A1,DIV_05Data!$A$1:$DZU$1000000,2081,FALSE)</f>
        <v>#N/A</v>
      </c>
      <c r="G123" s="33" t="e">
        <f>VLOOKUP(A1,DIV_05Data!$A$1:$DZU$1000000,2082,FALSE)</f>
        <v>#N/A</v>
      </c>
      <c r="H123" s="34" t="e">
        <f>VLOOKUP(A1,DIV_05Data!$A$1:$DZU$1000000,2083,FALSE)</f>
        <v>#N/A</v>
      </c>
      <c r="I123" s="33" t="e">
        <f>VLOOKUP(A1,DIV_05Data!$A$1:$DZU$1000000,2084,FALSE)</f>
        <v>#N/A</v>
      </c>
      <c r="J123" s="34" t="e">
        <f>VLOOKUP(A1,DIV_05Data!$A$1:$DZU$1000000,2085,FALSE)</f>
        <v>#N/A</v>
      </c>
      <c r="K123" s="34" t="e">
        <f>VLOOKUP(A1,DIV_05Data!$A$1:$DZU$1000000,2086,FALSE)</f>
        <v>#N/A</v>
      </c>
      <c r="L123" s="93" t="e">
        <f>VLOOKUP(A1,DIV_05Data!$A$1:$DZU$1000000,2087,FALSE)</f>
        <v>#N/A</v>
      </c>
      <c r="M123" s="33" t="e">
        <f>VLOOKUP(A1,DIV_05Data!$A$1:$DZU$1000000,2088,FALSE)</f>
        <v>#N/A</v>
      </c>
      <c r="N123" s="34" t="e">
        <f>VLOOKUP(A1,DIV_05Data!$A$1:$DZU$1000000,2089,FALSE)</f>
        <v>#N/A</v>
      </c>
      <c r="O123" s="33" t="e">
        <f>VLOOKUP(A1,DIV_05Data!$A$1:$DZU$1000000,2090,FALSE)</f>
        <v>#N/A</v>
      </c>
      <c r="P123" s="116" t="e">
        <f>VLOOKUP(A1,DIV_05Data!$A$1:$DZU$1000000,2091,FALSE)</f>
        <v>#N/A</v>
      </c>
      <c r="Q123" s="268" t="e">
        <f>VLOOKUP(A1,DIV_05Data!$A$1:$DZU$1000000,2092,FALSE)</f>
        <v>#N/A</v>
      </c>
    </row>
    <row r="124" spans="1:17" x14ac:dyDescent="0.35">
      <c r="A124" s="265" t="e">
        <f>VLOOKUP(A1,DIV_05Data!$A$1:$DZU$1000000,2093,FALSE)</f>
        <v>#N/A</v>
      </c>
      <c r="B124" s="37" t="e">
        <f>VLOOKUP(A1,DIV_05Data!$A$1:$DZU$1000000,2094,FALSE)</f>
        <v>#N/A</v>
      </c>
      <c r="C124" s="38" t="e">
        <f>VLOOKUP(A1,DIV_05Data!$A$1:$DZU$1000000,2095,FALSE)</f>
        <v>#N/A</v>
      </c>
      <c r="D124" s="31" t="e">
        <f>VLOOKUP(A1,DIV_05Data!$A$1:$DZU$1000000,2096,FALSE)</f>
        <v>#N/A</v>
      </c>
      <c r="E124" s="32" t="e">
        <f>VLOOKUP(A1,DIV_05Data!$A$1:$DZU$1000000,2097,FALSE)</f>
        <v>#N/A</v>
      </c>
      <c r="F124" s="34" t="e">
        <f>VLOOKUP(A1,DIV_05Data!$A$1:$DZU$1000000,2098,FALSE)</f>
        <v>#N/A</v>
      </c>
      <c r="G124" s="33" t="e">
        <f>VLOOKUP(A1,DIV_05Data!$A$1:$DZU$1000000,2099,FALSE)</f>
        <v>#N/A</v>
      </c>
      <c r="H124" s="34" t="e">
        <f>VLOOKUP(A1,DIV_05Data!$A$1:$DZU$1000000,2100,FALSE)</f>
        <v>#N/A</v>
      </c>
      <c r="I124" s="33" t="e">
        <f>VLOOKUP(A1,DIV_05Data!$A$1:$DZU$1000000,2101,FALSE)</f>
        <v>#N/A</v>
      </c>
      <c r="J124" s="34" t="e">
        <f>VLOOKUP(A1,DIV_05Data!$A$1:$DZU$1000000,2102,FALSE)</f>
        <v>#N/A</v>
      </c>
      <c r="K124" s="34" t="e">
        <f>VLOOKUP(A1,DIV_05Data!$A$1:$DZU$1000000,2103,FALSE)</f>
        <v>#N/A</v>
      </c>
      <c r="L124" s="93" t="e">
        <f>VLOOKUP(A1,DIV_05Data!$A$1:$DZU$1000000,2104,FALSE)</f>
        <v>#N/A</v>
      </c>
      <c r="M124" s="33" t="e">
        <f>VLOOKUP(A1,DIV_05Data!$A$1:$DZU$1000000,2105,FALSE)</f>
        <v>#N/A</v>
      </c>
      <c r="N124" s="34" t="e">
        <f>VLOOKUP(A1,DIV_05Data!$A$1:$DZU$1000000,2106,FALSE)</f>
        <v>#N/A</v>
      </c>
      <c r="O124" s="33" t="e">
        <f>VLOOKUP(A1,DIV_05Data!$A$1:$DZU$1000000,2107,FALSE)</f>
        <v>#N/A</v>
      </c>
      <c r="P124" s="116" t="e">
        <f>VLOOKUP(A1,DIV_05Data!$A$1:$DZU$1000000,2108,FALSE)</f>
        <v>#N/A</v>
      </c>
      <c r="Q124" s="268" t="e">
        <f>VLOOKUP(A1,DIV_05Data!$A$1:$DZU$1000000,2109,FALSE)</f>
        <v>#N/A</v>
      </c>
    </row>
    <row r="125" spans="1:17" x14ac:dyDescent="0.35">
      <c r="A125" s="265" t="e">
        <f>VLOOKUP(A1,DIV_05Data!$A$1:$DZU$1000000,2110,FALSE)</f>
        <v>#N/A</v>
      </c>
      <c r="B125" s="37" t="e">
        <f>VLOOKUP(A1,DIV_05Data!$A$1:$DZU$1000000,2111,FALSE)</f>
        <v>#N/A</v>
      </c>
      <c r="C125" s="38" t="e">
        <f>VLOOKUP(A1,DIV_05Data!$A$1:$DZU$1000000,2112,FALSE)</f>
        <v>#N/A</v>
      </c>
      <c r="D125" s="31" t="e">
        <f>VLOOKUP(A1,DIV_05Data!$A$1:$DZU$1000000,2113,FALSE)</f>
        <v>#N/A</v>
      </c>
      <c r="E125" s="32" t="e">
        <f>VLOOKUP(A1,DIV_05Data!$A$1:$DZU$1000000,2114,FALSE)</f>
        <v>#N/A</v>
      </c>
      <c r="F125" s="34" t="e">
        <f>VLOOKUP(A1,DIV_05Data!$A$1:$DZU$1000000,2115,FALSE)</f>
        <v>#N/A</v>
      </c>
      <c r="G125" s="33" t="e">
        <f>VLOOKUP(A1,DIV_05Data!$A$1:$DZU$1000000,2116,FALSE)</f>
        <v>#N/A</v>
      </c>
      <c r="H125" s="34" t="e">
        <f>VLOOKUP(A1,DIV_05Data!$A$1:$DZU$1000000,2117,FALSE)</f>
        <v>#N/A</v>
      </c>
      <c r="I125" s="33" t="e">
        <f>VLOOKUP(A1,DIV_05Data!$A$1:$DZU$1000000,2118,FALSE)</f>
        <v>#N/A</v>
      </c>
      <c r="J125" s="34" t="e">
        <f>VLOOKUP(A1,DIV_05Data!$A$1:$DZU$1000000,2119,FALSE)</f>
        <v>#N/A</v>
      </c>
      <c r="K125" s="34" t="e">
        <f>VLOOKUP(A1,DIV_05Data!$A$1:$DZU$1000000,2120,FALSE)</f>
        <v>#N/A</v>
      </c>
      <c r="L125" s="93" t="e">
        <f>VLOOKUP(A1,DIV_05Data!$A$1:$DZU$1000000,2121,FALSE)</f>
        <v>#N/A</v>
      </c>
      <c r="M125" s="33" t="e">
        <f>VLOOKUP(A1,DIV_05Data!$A$1:$DZU$1000000,2122,FALSE)</f>
        <v>#N/A</v>
      </c>
      <c r="N125" s="34" t="e">
        <f>VLOOKUP(A1,DIV_05Data!$A$1:$DZU$1000000,2123,FALSE)</f>
        <v>#N/A</v>
      </c>
      <c r="O125" s="33" t="e">
        <f>VLOOKUP(A1,DIV_05Data!$A$1:$DZU$1000000,2124,FALSE)</f>
        <v>#N/A</v>
      </c>
      <c r="P125" s="116" t="e">
        <f>VLOOKUP(A1,DIV_05Data!$A$1:$DZU$1000000,2125,FALSE)</f>
        <v>#N/A</v>
      </c>
      <c r="Q125" s="268" t="e">
        <f>VLOOKUP(A1,DIV_05Data!$A$1:$DZU$1000000,2126,FALSE)</f>
        <v>#N/A</v>
      </c>
    </row>
    <row r="126" spans="1:17" x14ac:dyDescent="0.35">
      <c r="A126" s="265" t="e">
        <f>VLOOKUP(A1,DIV_05Data!$A$1:$DZU$1000000,2127,FALSE)</f>
        <v>#N/A</v>
      </c>
      <c r="B126" s="37" t="e">
        <f>VLOOKUP(A1,DIV_05Data!$A$1:$DZU$1000000,2128,FALSE)</f>
        <v>#N/A</v>
      </c>
      <c r="C126" s="38" t="e">
        <f>VLOOKUP(A1,DIV_05Data!$A$1:$DZU$1000000,2129,FALSE)</f>
        <v>#N/A</v>
      </c>
      <c r="D126" s="31" t="e">
        <f>VLOOKUP(A1,DIV_05Data!$A$1:$DZU$1000000,2130,FALSE)</f>
        <v>#N/A</v>
      </c>
      <c r="E126" s="32" t="e">
        <f>VLOOKUP(A1,DIV_05Data!$A$1:$DZU$1000000,2131,FALSE)</f>
        <v>#N/A</v>
      </c>
      <c r="F126" s="34" t="e">
        <f>VLOOKUP(A1,DIV_05Data!$A$1:$DZU$1000000,2132,FALSE)</f>
        <v>#N/A</v>
      </c>
      <c r="G126" s="33" t="e">
        <f>VLOOKUP(A1,DIV_05Data!$A$1:$DZU$1000000,2133,FALSE)</f>
        <v>#N/A</v>
      </c>
      <c r="H126" s="34" t="e">
        <f>VLOOKUP(A1,DIV_05Data!$A$1:$DZU$1000000,2134,FALSE)</f>
        <v>#N/A</v>
      </c>
      <c r="I126" s="33" t="e">
        <f>VLOOKUP(A1,DIV_05Data!$A$1:$DZU$1000000,2135,FALSE)</f>
        <v>#N/A</v>
      </c>
      <c r="J126" s="34" t="e">
        <f>VLOOKUP(A1,DIV_05Data!$A$1:$DZU$1000000,2136,FALSE)</f>
        <v>#N/A</v>
      </c>
      <c r="K126" s="34" t="e">
        <f>VLOOKUP(A1,DIV_05Data!$A$1:$DZU$1000000,2137,FALSE)</f>
        <v>#N/A</v>
      </c>
      <c r="L126" s="93" t="e">
        <f>VLOOKUP(A1,DIV_05Data!$A$1:$DZU$1000000,2138,FALSE)</f>
        <v>#N/A</v>
      </c>
      <c r="M126" s="33" t="e">
        <f>VLOOKUP(A1,DIV_05Data!$A$1:$DZU$1000000,2139,FALSE)</f>
        <v>#N/A</v>
      </c>
      <c r="N126" s="34" t="e">
        <f>VLOOKUP(A1,DIV_05Data!$A$1:$DZU$1000000,2140,FALSE)</f>
        <v>#N/A</v>
      </c>
      <c r="O126" s="33" t="e">
        <f>VLOOKUP(A1,DIV_05Data!$A$1:$DZU$1000000,2141,FALSE)</f>
        <v>#N/A</v>
      </c>
      <c r="P126" s="116" t="e">
        <f>VLOOKUP(A1,DIV_05Data!$A$1:$DZU$1000000,2142,FALSE)</f>
        <v>#N/A</v>
      </c>
      <c r="Q126" s="268" t="e">
        <f>VLOOKUP(A1,DIV_05Data!$A$1:$DZU$1000000,2143,FALSE)</f>
        <v>#N/A</v>
      </c>
    </row>
    <row r="127" spans="1:17" x14ac:dyDescent="0.35">
      <c r="A127" s="265" t="e">
        <f>VLOOKUP(A1,DIV_05Data!$A$1:$DZU$1000000,2144,FALSE)</f>
        <v>#N/A</v>
      </c>
      <c r="B127" s="37" t="e">
        <f>VLOOKUP(A1,DIV_05Data!$A$1:$DZU$1000000,2145,FALSE)</f>
        <v>#N/A</v>
      </c>
      <c r="C127" s="38" t="e">
        <f>VLOOKUP(A1,DIV_05Data!$A$1:$DZU$1000000,2146,FALSE)</f>
        <v>#N/A</v>
      </c>
      <c r="D127" s="31" t="e">
        <f>VLOOKUP(A1,DIV_05Data!$A$1:$DZU$1000000,2147,FALSE)</f>
        <v>#N/A</v>
      </c>
      <c r="E127" s="32" t="e">
        <f>VLOOKUP(A1,DIV_05Data!$A$1:$DZU$1000000,2148,FALSE)</f>
        <v>#N/A</v>
      </c>
      <c r="F127" s="34" t="e">
        <f>VLOOKUP(A1,DIV_05Data!$A$1:$DZU$1000000,2149,FALSE)</f>
        <v>#N/A</v>
      </c>
      <c r="G127" s="33" t="e">
        <f>VLOOKUP(A1,DIV_05Data!$A$1:$DZU$1000000,2150,FALSE)</f>
        <v>#N/A</v>
      </c>
      <c r="H127" s="34" t="e">
        <f>VLOOKUP(A1,DIV_05Data!$A$1:$DZU$1000000,2151,FALSE)</f>
        <v>#N/A</v>
      </c>
      <c r="I127" s="33" t="e">
        <f>VLOOKUP(A1,DIV_05Data!$A$1:$DZU$1000000,2152,FALSE)</f>
        <v>#N/A</v>
      </c>
      <c r="J127" s="34" t="e">
        <f>VLOOKUP(A1,DIV_05Data!$A$1:$DZU$1000000,2153,FALSE)</f>
        <v>#N/A</v>
      </c>
      <c r="K127" s="34" t="e">
        <f>VLOOKUP(A1,DIV_05Data!$A$1:$DZU$1000000,2154,FALSE)</f>
        <v>#N/A</v>
      </c>
      <c r="L127" s="93" t="e">
        <f>VLOOKUP(A1,DIV_05Data!$A$1:$DZU$1000000,2155,FALSE)</f>
        <v>#N/A</v>
      </c>
      <c r="M127" s="33" t="e">
        <f>VLOOKUP(A1,DIV_05Data!$A$1:$DZU$1000000,2156,FALSE)</f>
        <v>#N/A</v>
      </c>
      <c r="N127" s="34" t="e">
        <f>VLOOKUP(A1,DIV_05Data!$A$1:$DZU$1000000,2157,FALSE)</f>
        <v>#N/A</v>
      </c>
      <c r="O127" s="33" t="e">
        <f>VLOOKUP(A1,DIV_05Data!$A$1:$DZU$1000000,2158,FALSE)</f>
        <v>#N/A</v>
      </c>
      <c r="P127" s="116" t="e">
        <f>VLOOKUP(A1,DIV_05Data!$A$1:$DZU$1000000,2159,FALSE)</f>
        <v>#N/A</v>
      </c>
      <c r="Q127" s="268" t="e">
        <f>VLOOKUP(A1,DIV_05Data!$A$1:$DZU$1000000,2160,FALSE)</f>
        <v>#N/A</v>
      </c>
    </row>
    <row r="128" spans="1:17" x14ac:dyDescent="0.35">
      <c r="A128" s="265" t="e">
        <f>VLOOKUP(A1,DIV_05Data!$A$1:$DZU$1000000,2161,FALSE)</f>
        <v>#N/A</v>
      </c>
      <c r="B128" s="37" t="e">
        <f>VLOOKUP(A1,DIV_05Data!$A$1:$DZU$1000000,2162,FALSE)</f>
        <v>#N/A</v>
      </c>
      <c r="C128" s="38" t="e">
        <f>VLOOKUP(A1,DIV_05Data!$A$1:$DZU$1000000,2163,FALSE)</f>
        <v>#N/A</v>
      </c>
      <c r="D128" s="31" t="e">
        <f>VLOOKUP(A1,DIV_05Data!$A$1:$DZU$1000000,2164,FALSE)</f>
        <v>#N/A</v>
      </c>
      <c r="E128" s="32" t="e">
        <f>VLOOKUP(A1,DIV_05Data!$A$1:$DZU$1000000,2165,FALSE)</f>
        <v>#N/A</v>
      </c>
      <c r="F128" s="34" t="e">
        <f>VLOOKUP(A1,DIV_05Data!$A$1:$DZU$1000000,2166,FALSE)</f>
        <v>#N/A</v>
      </c>
      <c r="G128" s="33" t="e">
        <f>VLOOKUP(A1,DIV_05Data!$A$1:$DZU$1000000,2167,FALSE)</f>
        <v>#N/A</v>
      </c>
      <c r="H128" s="34" t="e">
        <f>VLOOKUP(A1,DIV_05Data!$A$1:$DZU$1000000,2168,FALSE)</f>
        <v>#N/A</v>
      </c>
      <c r="I128" s="33" t="e">
        <f>VLOOKUP(A1,DIV_05Data!$A$1:$DZU$1000000,2169,FALSE)</f>
        <v>#N/A</v>
      </c>
      <c r="J128" s="34" t="e">
        <f>VLOOKUP(A1,DIV_05Data!$A$1:$DZU$1000000,2170,FALSE)</f>
        <v>#N/A</v>
      </c>
      <c r="K128" s="34" t="e">
        <f>VLOOKUP(A1,DIV_05Data!$A$1:$DZU$1000000,2171,FALSE)</f>
        <v>#N/A</v>
      </c>
      <c r="L128" s="93" t="e">
        <f>VLOOKUP(A1,DIV_05Data!$A$1:$DZU$1000000,2172,FALSE)</f>
        <v>#N/A</v>
      </c>
      <c r="M128" s="33" t="e">
        <f>VLOOKUP(A1,DIV_05Data!$A$1:$DZU$1000000,2173,FALSE)</f>
        <v>#N/A</v>
      </c>
      <c r="N128" s="34" t="e">
        <f>VLOOKUP(A1,DIV_05Data!$A$1:$DZU$1000000,2174,FALSE)</f>
        <v>#N/A</v>
      </c>
      <c r="O128" s="33" t="e">
        <f>VLOOKUP(A1,DIV_05Data!$A$1:$DZU$1000000,2175,FALSE)</f>
        <v>#N/A</v>
      </c>
      <c r="P128" s="116" t="e">
        <f>VLOOKUP(A1,DIV_05Data!$A$1:$DZU$1000000,2176,FALSE)</f>
        <v>#N/A</v>
      </c>
      <c r="Q128" s="268" t="e">
        <f>VLOOKUP(A1,DIV_05Data!$A$1:$DZU$1000000,2177,FALSE)</f>
        <v>#N/A</v>
      </c>
    </row>
    <row r="129" spans="1:17" x14ac:dyDescent="0.35">
      <c r="A129" s="265" t="e">
        <f>VLOOKUP(A1,DIV_05Data!$A$1:$DZU$1000000,2178,FALSE)</f>
        <v>#N/A</v>
      </c>
      <c r="B129" s="37" t="e">
        <f>VLOOKUP(A1,DIV_05Data!$A$1:$DZU$1000000,2179,FALSE)</f>
        <v>#N/A</v>
      </c>
      <c r="C129" s="38" t="e">
        <f>VLOOKUP(A1,DIV_05Data!$A$1:$DZU$1000000,2180,FALSE)</f>
        <v>#N/A</v>
      </c>
      <c r="D129" s="31" t="e">
        <f>VLOOKUP(A1,DIV_05Data!$A$1:$DZU$1000000,2181,FALSE)</f>
        <v>#N/A</v>
      </c>
      <c r="E129" s="32" t="e">
        <f>VLOOKUP(A1,DIV_05Data!$A$1:$DZU$1000000,2182,FALSE)</f>
        <v>#N/A</v>
      </c>
      <c r="F129" s="34" t="e">
        <f>VLOOKUP(A1,DIV_05Data!$A$1:$DZU$1000000,2183,FALSE)</f>
        <v>#N/A</v>
      </c>
      <c r="G129" s="33" t="e">
        <f>VLOOKUP(A1,DIV_05Data!$A$1:$DZU$1000000,2184,FALSE)</f>
        <v>#N/A</v>
      </c>
      <c r="H129" s="34" t="e">
        <f>VLOOKUP(A1,DIV_05Data!$A$1:$DZU$1000000,2185,FALSE)</f>
        <v>#N/A</v>
      </c>
      <c r="I129" s="33" t="e">
        <f>VLOOKUP(A1,DIV_05Data!$A$1:$DZU$1000000,2186,FALSE)</f>
        <v>#N/A</v>
      </c>
      <c r="J129" s="34" t="e">
        <f>VLOOKUP(A1,DIV_05Data!$A$1:$DZU$1000000,2187,FALSE)</f>
        <v>#N/A</v>
      </c>
      <c r="K129" s="34" t="e">
        <f>VLOOKUP(A1,DIV_05Data!$A$1:$DZU$1000000,2188,FALSE)</f>
        <v>#N/A</v>
      </c>
      <c r="L129" s="93" t="e">
        <f>VLOOKUP(A1,DIV_05Data!$A$1:$DZU$1000000,2189,FALSE)</f>
        <v>#N/A</v>
      </c>
      <c r="M129" s="33" t="e">
        <f>VLOOKUP(A1,DIV_05Data!$A$1:$DZU$1000000,2190,FALSE)</f>
        <v>#N/A</v>
      </c>
      <c r="N129" s="34" t="e">
        <f>VLOOKUP(A1,DIV_05Data!$A$1:$DZU$1000000,2191,FALSE)</f>
        <v>#N/A</v>
      </c>
      <c r="O129" s="33" t="e">
        <f>VLOOKUP(A1,DIV_05Data!$A$1:$DZU$1000000,2192,FALSE)</f>
        <v>#N/A</v>
      </c>
      <c r="P129" s="116" t="e">
        <f>VLOOKUP(A1,DIV_05Data!$A$1:$DZU$1000000,2193,FALSE)</f>
        <v>#N/A</v>
      </c>
      <c r="Q129" s="268" t="e">
        <f>VLOOKUP(A1,DIV_05Data!$A$1:$DZU$1000000,2194,FALSE)</f>
        <v>#N/A</v>
      </c>
    </row>
    <row r="130" spans="1:17" x14ac:dyDescent="0.35">
      <c r="A130" s="265" t="e">
        <f>VLOOKUP(A1,DIV_05Data!$A$1:$DZU$1000000,2195,FALSE)</f>
        <v>#N/A</v>
      </c>
      <c r="B130" s="37" t="e">
        <f>VLOOKUP(A1,DIV_05Data!$A$1:$DZU$1000000,2196,FALSE)</f>
        <v>#N/A</v>
      </c>
      <c r="C130" s="38" t="e">
        <f>VLOOKUP(A1,DIV_05Data!$A$1:$DZU$1000000,2197,FALSE)</f>
        <v>#N/A</v>
      </c>
      <c r="D130" s="31" t="e">
        <f>VLOOKUP(A1,DIV_05Data!$A$1:$DZU$1000000,2198,FALSE)</f>
        <v>#N/A</v>
      </c>
      <c r="E130" s="32" t="e">
        <f>VLOOKUP(A1,DIV_05Data!$A$1:$DZU$1000000,2199,FALSE)</f>
        <v>#N/A</v>
      </c>
      <c r="F130" s="34" t="e">
        <f>VLOOKUP(A1,DIV_05Data!$A$1:$DZU$1000000,2200,FALSE)</f>
        <v>#N/A</v>
      </c>
      <c r="G130" s="33" t="e">
        <f>VLOOKUP(A1,DIV_05Data!$A$1:$DZU$1000000,2201,FALSE)</f>
        <v>#N/A</v>
      </c>
      <c r="H130" s="34" t="e">
        <f>VLOOKUP(A1,DIV_05Data!$A$1:$DZU$1000000,2202,FALSE)</f>
        <v>#N/A</v>
      </c>
      <c r="I130" s="33" t="e">
        <f>VLOOKUP(A1,DIV_05Data!$A$1:$DZU$1000000,2203,FALSE)</f>
        <v>#N/A</v>
      </c>
      <c r="J130" s="34" t="e">
        <f>VLOOKUP(A1,DIV_05Data!$A$1:$DZU$1000000,2204,FALSE)</f>
        <v>#N/A</v>
      </c>
      <c r="K130" s="34" t="e">
        <f>VLOOKUP(A1,DIV_05Data!$A$1:$DZU$1000000,2205,FALSE)</f>
        <v>#N/A</v>
      </c>
      <c r="L130" s="93" t="e">
        <f>VLOOKUP(A1,DIV_05Data!$A$1:$DZU$1000000,2206,FALSE)</f>
        <v>#N/A</v>
      </c>
      <c r="M130" s="33" t="e">
        <f>VLOOKUP(A1,DIV_05Data!$A$1:$DZU$1000000,2207,FALSE)</f>
        <v>#N/A</v>
      </c>
      <c r="N130" s="34" t="e">
        <f>VLOOKUP(A1,DIV_05Data!$A$1:$DZU$1000000,2208,FALSE)</f>
        <v>#N/A</v>
      </c>
      <c r="O130" s="33" t="e">
        <f>VLOOKUP(A1,DIV_05Data!$A$1:$DZU$1000000,2209,FALSE)</f>
        <v>#N/A</v>
      </c>
      <c r="P130" s="116" t="e">
        <f>VLOOKUP(A1,DIV_05Data!$A$1:$DZU$1000000,2210,FALSE)</f>
        <v>#N/A</v>
      </c>
      <c r="Q130" s="268" t="e">
        <f>VLOOKUP(A1,DIV_05Data!$A$1:$DZU$1000000,2211,FALSE)</f>
        <v>#N/A</v>
      </c>
    </row>
    <row r="131" spans="1:17" x14ac:dyDescent="0.35">
      <c r="A131" s="265" t="e">
        <f>VLOOKUP(A1,DIV_05Data!$A$1:$DZU$1000000,2212,FALSE)</f>
        <v>#N/A</v>
      </c>
      <c r="B131" s="37" t="e">
        <f>VLOOKUP(A1,DIV_05Data!$A$1:$DZU$1000000,2213,FALSE)</f>
        <v>#N/A</v>
      </c>
      <c r="C131" s="38" t="e">
        <f>VLOOKUP(A1,DIV_05Data!$A$1:$DZU$1000000,2214,FALSE)</f>
        <v>#N/A</v>
      </c>
      <c r="D131" s="31" t="e">
        <f>VLOOKUP(A1,DIV_05Data!$A$1:$DZU$1000000,2215,FALSE)</f>
        <v>#N/A</v>
      </c>
      <c r="E131" s="32" t="e">
        <f>VLOOKUP(A1,DIV_05Data!$A$1:$DZU$1000000,2216,FALSE)</f>
        <v>#N/A</v>
      </c>
      <c r="F131" s="34" t="e">
        <f>VLOOKUP(A1,DIV_05Data!$A$1:$DZU$1000000,2217,FALSE)</f>
        <v>#N/A</v>
      </c>
      <c r="G131" s="33" t="e">
        <f>VLOOKUP(A1,DIV_05Data!$A$1:$DZU$1000000,2218,FALSE)</f>
        <v>#N/A</v>
      </c>
      <c r="H131" s="34" t="e">
        <f>VLOOKUP(A1,DIV_05Data!$A$1:$DZU$1000000,2219,FALSE)</f>
        <v>#N/A</v>
      </c>
      <c r="I131" s="33" t="e">
        <f>VLOOKUP(A1,DIV_05Data!$A$1:$DZU$1000000,2220,FALSE)</f>
        <v>#N/A</v>
      </c>
      <c r="J131" s="34" t="e">
        <f>VLOOKUP(A1,DIV_05Data!$A$1:$DZU$1000000,2221,FALSE)</f>
        <v>#N/A</v>
      </c>
      <c r="K131" s="34" t="e">
        <f>VLOOKUP(A1,DIV_05Data!$A$1:$DZU$1000000,2222,FALSE)</f>
        <v>#N/A</v>
      </c>
      <c r="L131" s="93" t="e">
        <f>VLOOKUP(A1,DIV_05Data!$A$1:$DZU$1000000,2223,FALSE)</f>
        <v>#N/A</v>
      </c>
      <c r="M131" s="33" t="e">
        <f>VLOOKUP(A1,DIV_05Data!$A$1:$DZU$1000000,2224,FALSE)</f>
        <v>#N/A</v>
      </c>
      <c r="N131" s="34" t="e">
        <f>VLOOKUP(A1,DIV_05Data!$A$1:$DZU$1000000,2225,FALSE)</f>
        <v>#N/A</v>
      </c>
      <c r="O131" s="33" t="e">
        <f>VLOOKUP(A1,DIV_05Data!$A$1:$DZU$1000000,2226,FALSE)</f>
        <v>#N/A</v>
      </c>
      <c r="P131" s="116" t="e">
        <f>VLOOKUP(A1,DIV_05Data!$A$1:$DZU$1000000,2227,FALSE)</f>
        <v>#N/A</v>
      </c>
      <c r="Q131" s="268" t="e">
        <f>VLOOKUP(A1,DIV_05Data!$A$1:$DZU$1000000,2228,FALSE)</f>
        <v>#N/A</v>
      </c>
    </row>
    <row r="132" spans="1:17" x14ac:dyDescent="0.35">
      <c r="A132" s="265" t="e">
        <f>VLOOKUP(A1,DIV_05Data!$A$1:$DZU$1000000,2229,FALSE)</f>
        <v>#N/A</v>
      </c>
      <c r="B132" s="37" t="e">
        <f>VLOOKUP(A1,DIV_05Data!$A$1:$DZU$1000000,2230,FALSE)</f>
        <v>#N/A</v>
      </c>
      <c r="C132" s="38" t="e">
        <f>VLOOKUP(A1,DIV_05Data!$A$1:$DZU$1000000,2231,FALSE)</f>
        <v>#N/A</v>
      </c>
      <c r="D132" s="31" t="e">
        <f>VLOOKUP(A1,DIV_05Data!$A$1:$DZU$1000000,2232,FALSE)</f>
        <v>#N/A</v>
      </c>
      <c r="E132" s="32" t="e">
        <f>VLOOKUP(A1,DIV_05Data!$A$1:$DZU$1000000,2233,FALSE)</f>
        <v>#N/A</v>
      </c>
      <c r="F132" s="34" t="e">
        <f>VLOOKUP(A1,DIV_05Data!$A$1:$DZU$1000000,2234,FALSE)</f>
        <v>#N/A</v>
      </c>
      <c r="G132" s="33" t="e">
        <f>VLOOKUP(A1,DIV_05Data!$A$1:$DZU$1000000,2235,FALSE)</f>
        <v>#N/A</v>
      </c>
      <c r="H132" s="34" t="e">
        <f>VLOOKUP(A1,DIV_05Data!$A$1:$DZU$1000000,2236,FALSE)</f>
        <v>#N/A</v>
      </c>
      <c r="I132" s="33" t="e">
        <f>VLOOKUP(A1,DIV_05Data!$A$1:$DZU$1000000,2237,FALSE)</f>
        <v>#N/A</v>
      </c>
      <c r="J132" s="34" t="e">
        <f>VLOOKUP(A1,DIV_05Data!$A$1:$DZU$1000000,2238,FALSE)</f>
        <v>#N/A</v>
      </c>
      <c r="K132" s="34" t="e">
        <f>VLOOKUP(A1,DIV_05Data!$A$1:$DZU$1000000,2239,FALSE)</f>
        <v>#N/A</v>
      </c>
      <c r="L132" s="93" t="e">
        <f>VLOOKUP(A1,DIV_05Data!$A$1:$DZU$1000000,2240,FALSE)</f>
        <v>#N/A</v>
      </c>
      <c r="M132" s="33" t="e">
        <f>VLOOKUP(A1,DIV_05Data!$A$1:$DZU$1000000,2241,FALSE)</f>
        <v>#N/A</v>
      </c>
      <c r="N132" s="34" t="e">
        <f>VLOOKUP(A1,DIV_05Data!$A$1:$DZU$1000000,2242,FALSE)</f>
        <v>#N/A</v>
      </c>
      <c r="O132" s="33" t="e">
        <f>VLOOKUP(A1,DIV_05Data!$A$1:$DZU$1000000,2243,FALSE)</f>
        <v>#N/A</v>
      </c>
      <c r="P132" s="116" t="e">
        <f>VLOOKUP(A1,DIV_05Data!$A$1:$DZU$1000000,2244,FALSE)</f>
        <v>#N/A</v>
      </c>
      <c r="Q132" s="268" t="e">
        <f>VLOOKUP(A1,DIV_05Data!$A$1:$DZU$1000000,2245,FALSE)</f>
        <v>#N/A</v>
      </c>
    </row>
    <row r="133" spans="1:17" x14ac:dyDescent="0.35">
      <c r="A133" s="265" t="e">
        <f>VLOOKUP(A1,DIV_05Data!$A$1:$DZU$1000000,2246,FALSE)</f>
        <v>#N/A</v>
      </c>
      <c r="B133" s="37" t="e">
        <f>VLOOKUP(A1,DIV_05Data!$A$1:$DZU$1000000,2247,FALSE)</f>
        <v>#N/A</v>
      </c>
      <c r="C133" s="38" t="e">
        <f>VLOOKUP(A1,DIV_05Data!$A$1:$DZU$1000000,2248,FALSE)</f>
        <v>#N/A</v>
      </c>
      <c r="D133" s="31" t="e">
        <f>VLOOKUP(A1,DIV_05Data!$A$1:$DZU$1000000,2249,FALSE)</f>
        <v>#N/A</v>
      </c>
      <c r="E133" s="32" t="e">
        <f>VLOOKUP(A1,DIV_05Data!$A$1:$DZU$1000000,2250,FALSE)</f>
        <v>#N/A</v>
      </c>
      <c r="F133" s="34" t="e">
        <f>VLOOKUP(A1,DIV_05Data!$A$1:$DZU$1000000,2251,FALSE)</f>
        <v>#N/A</v>
      </c>
      <c r="G133" s="33" t="e">
        <f>VLOOKUP(A1,DIV_05Data!$A$1:$DZU$1000000,2252,FALSE)</f>
        <v>#N/A</v>
      </c>
      <c r="H133" s="34" t="e">
        <f>VLOOKUP(A1,DIV_05Data!$A$1:$DZU$1000000,2253,FALSE)</f>
        <v>#N/A</v>
      </c>
      <c r="I133" s="33" t="e">
        <f>VLOOKUP(A1,DIV_05Data!$A$1:$DZU$1000000,2254,FALSE)</f>
        <v>#N/A</v>
      </c>
      <c r="J133" s="34" t="e">
        <f>VLOOKUP(A1,DIV_05Data!$A$1:$DZU$1000000,2255,FALSE)</f>
        <v>#N/A</v>
      </c>
      <c r="K133" s="34" t="e">
        <f>VLOOKUP(A1,DIV_05Data!$A$1:$DZU$1000000,2256,FALSE)</f>
        <v>#N/A</v>
      </c>
      <c r="L133" s="93" t="e">
        <f>VLOOKUP(A1,DIV_05Data!$A$1:$DZU$1000000,2257,FALSE)</f>
        <v>#N/A</v>
      </c>
      <c r="M133" s="33" t="e">
        <f>VLOOKUP(A1,DIV_05Data!$A$1:$DZU$1000000,2258,FALSE)</f>
        <v>#N/A</v>
      </c>
      <c r="N133" s="34" t="e">
        <f>VLOOKUP(A1,DIV_05Data!$A$1:$DZU$1000000,2259,FALSE)</f>
        <v>#N/A</v>
      </c>
      <c r="O133" s="33" t="e">
        <f>VLOOKUP(A1,DIV_05Data!$A$1:$DZU$1000000,2260,FALSE)</f>
        <v>#N/A</v>
      </c>
      <c r="P133" s="116" t="e">
        <f>VLOOKUP(A1,DIV_05Data!$A$1:$DZU$1000000,2261,FALSE)</f>
        <v>#N/A</v>
      </c>
      <c r="Q133" s="268" t="e">
        <f>VLOOKUP(A1,DIV_05Data!$A$1:$DZU$1000000,2262,FALSE)</f>
        <v>#N/A</v>
      </c>
    </row>
    <row r="134" spans="1:17" x14ac:dyDescent="0.35">
      <c r="A134" s="265" t="e">
        <f>VLOOKUP(A1,DIV_05Data!$A$1:$DZU$1000000,2263,FALSE)</f>
        <v>#N/A</v>
      </c>
      <c r="B134" s="37" t="e">
        <f>VLOOKUP(A1,DIV_05Data!$A$1:$DZU$1000000,2264,FALSE)</f>
        <v>#N/A</v>
      </c>
      <c r="C134" s="38" t="e">
        <f>VLOOKUP(A1,DIV_05Data!$A$1:$DZU$1000000,2265,FALSE)</f>
        <v>#N/A</v>
      </c>
      <c r="D134" s="31" t="e">
        <f>VLOOKUP(A1,DIV_05Data!$A$1:$DZU$1000000,2266,FALSE)</f>
        <v>#N/A</v>
      </c>
      <c r="E134" s="32" t="e">
        <f>VLOOKUP(A1,DIV_05Data!$A$1:$DZU$1000000,2267,FALSE)</f>
        <v>#N/A</v>
      </c>
      <c r="F134" s="34" t="e">
        <f>VLOOKUP(A1,DIV_05Data!$A$1:$DZU$1000000,2268,FALSE)</f>
        <v>#N/A</v>
      </c>
      <c r="G134" s="33" t="e">
        <f>VLOOKUP(A1,DIV_05Data!$A$1:$DZU$1000000,2269,FALSE)</f>
        <v>#N/A</v>
      </c>
      <c r="H134" s="34" t="e">
        <f>VLOOKUP(A1,DIV_05Data!$A$1:$DZU$1000000,2270,FALSE)</f>
        <v>#N/A</v>
      </c>
      <c r="I134" s="33" t="e">
        <f>VLOOKUP(A1,DIV_05Data!$A$1:$DZU$1000000,2271,FALSE)</f>
        <v>#N/A</v>
      </c>
      <c r="J134" s="34" t="e">
        <f>VLOOKUP(A1,DIV_05Data!$A$1:$DZU$1000000,2272,FALSE)</f>
        <v>#N/A</v>
      </c>
      <c r="K134" s="34" t="e">
        <f>VLOOKUP(A1,DIV_05Data!$A$1:$DZU$1000000,2273,FALSE)</f>
        <v>#N/A</v>
      </c>
      <c r="L134" s="93" t="e">
        <f>VLOOKUP(A1,DIV_05Data!$A$1:$DZU$1000000,2274,FALSE)</f>
        <v>#N/A</v>
      </c>
      <c r="M134" s="33" t="e">
        <f>VLOOKUP(A1,DIV_05Data!$A$1:$DZU$1000000,2275,FALSE)</f>
        <v>#N/A</v>
      </c>
      <c r="N134" s="34" t="e">
        <f>VLOOKUP(A1,DIV_05Data!$A$1:$DZU$1000000,2276,FALSE)</f>
        <v>#N/A</v>
      </c>
      <c r="O134" s="33" t="e">
        <f>VLOOKUP(A1,DIV_05Data!$A$1:$DZU$1000000,2277,FALSE)</f>
        <v>#N/A</v>
      </c>
      <c r="P134" s="116" t="e">
        <f>VLOOKUP(A1,DIV_05Data!$A$1:$DZU$1000000,2278,FALSE)</f>
        <v>#N/A</v>
      </c>
      <c r="Q134" s="268" t="e">
        <f>VLOOKUP(A1,DIV_05Data!$A$1:$DZU$1000000,2279,FALSE)</f>
        <v>#N/A</v>
      </c>
    </row>
    <row r="135" spans="1:17" x14ac:dyDescent="0.35">
      <c r="A135" s="265" t="e">
        <f>VLOOKUP(A1,DIV_05Data!$A$1:$DZU$1000000,2280,FALSE)</f>
        <v>#N/A</v>
      </c>
      <c r="B135" s="37" t="e">
        <f>VLOOKUP(A1,DIV_05Data!$A$1:$DZU$1000000,2281,FALSE)</f>
        <v>#N/A</v>
      </c>
      <c r="C135" s="38" t="e">
        <f>VLOOKUP(A1,DIV_05Data!$A$1:$DZU$1000000,2282,FALSE)</f>
        <v>#N/A</v>
      </c>
      <c r="D135" s="31" t="e">
        <f>VLOOKUP(A1,DIV_05Data!$A$1:$DZU$1000000,2283,FALSE)</f>
        <v>#N/A</v>
      </c>
      <c r="E135" s="32" t="e">
        <f>VLOOKUP(A1,DIV_05Data!$A$1:$DZU$1000000,2284,FALSE)</f>
        <v>#N/A</v>
      </c>
      <c r="F135" s="34" t="e">
        <f>VLOOKUP(A1,DIV_05Data!$A$1:$DZU$1000000,2285,FALSE)</f>
        <v>#N/A</v>
      </c>
      <c r="G135" s="33" t="e">
        <f>VLOOKUP(A1,DIV_05Data!$A$1:$DZU$1000000,2286,FALSE)</f>
        <v>#N/A</v>
      </c>
      <c r="H135" s="34" t="e">
        <f>VLOOKUP(A1,DIV_05Data!$A$1:$DZU$1000000,2287,FALSE)</f>
        <v>#N/A</v>
      </c>
      <c r="I135" s="33" t="e">
        <f>VLOOKUP(A1,DIV_05Data!$A$1:$DZU$1000000,2288,FALSE)</f>
        <v>#N/A</v>
      </c>
      <c r="J135" s="34" t="e">
        <f>VLOOKUP(A1,DIV_05Data!$A$1:$DZU$1000000,2289,FALSE)</f>
        <v>#N/A</v>
      </c>
      <c r="K135" s="34" t="e">
        <f>VLOOKUP(A1,DIV_05Data!$A$1:$DZU$1000000,2290,FALSE)</f>
        <v>#N/A</v>
      </c>
      <c r="L135" s="93" t="e">
        <f>VLOOKUP(A1,DIV_05Data!$A$1:$DZU$1000000,2291,FALSE)</f>
        <v>#N/A</v>
      </c>
      <c r="M135" s="33" t="e">
        <f>VLOOKUP(A1,DIV_05Data!$A$1:$DZU$1000000,2292,FALSE)</f>
        <v>#N/A</v>
      </c>
      <c r="N135" s="34" t="e">
        <f>VLOOKUP(A1,DIV_05Data!$A$1:$DZU$1000000,2293,FALSE)</f>
        <v>#N/A</v>
      </c>
      <c r="O135" s="33" t="e">
        <f>VLOOKUP(A1,DIV_05Data!$A$1:$DZU$1000000,2294,FALSE)</f>
        <v>#N/A</v>
      </c>
      <c r="P135" s="116" t="e">
        <f>VLOOKUP(A1,DIV_05Data!$A$1:$DZU$1000000,2295,FALSE)</f>
        <v>#N/A</v>
      </c>
      <c r="Q135" s="268" t="e">
        <f>VLOOKUP(A1,DIV_05Data!$A$1:$DZU$1000000,2296,FALSE)</f>
        <v>#N/A</v>
      </c>
    </row>
    <row r="136" spans="1:17" x14ac:dyDescent="0.35">
      <c r="A136" s="265" t="e">
        <f>VLOOKUP(A1,DIV_05Data!$A$1:$DZU$1000000,2297,FALSE)</f>
        <v>#N/A</v>
      </c>
      <c r="B136" s="37" t="e">
        <f>VLOOKUP(A1,DIV_05Data!$A$1:$DZU$1000000,2298,FALSE)</f>
        <v>#N/A</v>
      </c>
      <c r="C136" s="38" t="e">
        <f>VLOOKUP(A1,DIV_05Data!$A$1:$DZU$1000000,2299,FALSE)</f>
        <v>#N/A</v>
      </c>
      <c r="D136" s="31" t="e">
        <f>VLOOKUP(A1,DIV_05Data!$A$1:$DZU$1000000,2300,FALSE)</f>
        <v>#N/A</v>
      </c>
      <c r="E136" s="32" t="e">
        <f>VLOOKUP(A1,DIV_05Data!$A$1:$DZU$1000000,2301,FALSE)</f>
        <v>#N/A</v>
      </c>
      <c r="F136" s="34" t="e">
        <f>VLOOKUP(A1,DIV_05Data!$A$1:$DZU$1000000,2302,FALSE)</f>
        <v>#N/A</v>
      </c>
      <c r="G136" s="33" t="e">
        <f>VLOOKUP(A1,DIV_05Data!$A$1:$DZU$1000000,2303,FALSE)</f>
        <v>#N/A</v>
      </c>
      <c r="H136" s="34" t="e">
        <f>VLOOKUP(A1,DIV_05Data!$A$1:$DZU$1000000,2304,FALSE)</f>
        <v>#N/A</v>
      </c>
      <c r="I136" s="33" t="e">
        <f>VLOOKUP(A1,DIV_05Data!$A$1:$DZU$1000000,2305,FALSE)</f>
        <v>#N/A</v>
      </c>
      <c r="J136" s="34" t="e">
        <f>VLOOKUP(A1,DIV_05Data!$A$1:$DZU$1000000,2306,FALSE)</f>
        <v>#N/A</v>
      </c>
      <c r="K136" s="34" t="e">
        <f>VLOOKUP(A1,DIV_05Data!$A$1:$DZU$1000000,2307,FALSE)</f>
        <v>#N/A</v>
      </c>
      <c r="L136" s="93" t="e">
        <f>VLOOKUP(A1,DIV_05Data!$A$1:$DZU$1000000,2308,FALSE)</f>
        <v>#N/A</v>
      </c>
      <c r="M136" s="33" t="e">
        <f>VLOOKUP(A1,DIV_05Data!$A$1:$DZU$1000000,2309,FALSE)</f>
        <v>#N/A</v>
      </c>
      <c r="N136" s="34" t="e">
        <f>VLOOKUP(A1,DIV_05Data!$A$1:$DZU$1000000,2310,FALSE)</f>
        <v>#N/A</v>
      </c>
      <c r="O136" s="33" t="e">
        <f>VLOOKUP(A1,DIV_05Data!$A$1:$DZU$1000000,2311,FALSE)</f>
        <v>#N/A</v>
      </c>
      <c r="P136" s="116" t="e">
        <f>VLOOKUP(A1,DIV_05Data!$A$1:$DZU$1000000,2312,FALSE)</f>
        <v>#N/A</v>
      </c>
      <c r="Q136" s="268" t="e">
        <f>VLOOKUP(A1,DIV_05Data!$A$1:$DZU$1000000,2313,FALSE)</f>
        <v>#N/A</v>
      </c>
    </row>
    <row r="137" spans="1:17" x14ac:dyDescent="0.35">
      <c r="A137" s="265" t="e">
        <f>VLOOKUP(A1,DIV_05Data!$A$1:$DZU$1000000,2314,FALSE)</f>
        <v>#N/A</v>
      </c>
      <c r="B137" s="37" t="e">
        <f>VLOOKUP(A1,DIV_05Data!$A$1:$DZU$1000000,2315,FALSE)</f>
        <v>#N/A</v>
      </c>
      <c r="C137" s="38" t="e">
        <f>VLOOKUP(A1,DIV_05Data!$A$1:$DZU$1000000,2316,FALSE)</f>
        <v>#N/A</v>
      </c>
      <c r="D137" s="31" t="e">
        <f>VLOOKUP(A1,DIV_05Data!$A$1:$DZU$1000000,2317,FALSE)</f>
        <v>#N/A</v>
      </c>
      <c r="E137" s="32" t="e">
        <f>VLOOKUP(A1,DIV_05Data!$A$1:$DZU$1000000,2318,FALSE)</f>
        <v>#N/A</v>
      </c>
      <c r="F137" s="34" t="e">
        <f>VLOOKUP(A1,DIV_05Data!$A$1:$DZU$1000000,2319,FALSE)</f>
        <v>#N/A</v>
      </c>
      <c r="G137" s="33" t="e">
        <f>VLOOKUP(A1,DIV_05Data!$A$1:$DZU$1000000,2320,FALSE)</f>
        <v>#N/A</v>
      </c>
      <c r="H137" s="34" t="e">
        <f>VLOOKUP(A1,DIV_05Data!$A$1:$DZU$1000000,2321,FALSE)</f>
        <v>#N/A</v>
      </c>
      <c r="I137" s="33" t="e">
        <f>VLOOKUP(A1,DIV_05Data!$A$1:$DZU$1000000,2322,FALSE)</f>
        <v>#N/A</v>
      </c>
      <c r="J137" s="34" t="e">
        <f>VLOOKUP(A1,DIV_05Data!$A$1:$DZU$1000000,2323,FALSE)</f>
        <v>#N/A</v>
      </c>
      <c r="K137" s="34" t="e">
        <f>VLOOKUP(A1,DIV_05Data!$A$1:$DZU$1000000,2324,FALSE)</f>
        <v>#N/A</v>
      </c>
      <c r="L137" s="93" t="e">
        <f>VLOOKUP(A1,DIV_05Data!$A$1:$DZU$1000000,2325,FALSE)</f>
        <v>#N/A</v>
      </c>
      <c r="M137" s="33" t="e">
        <f>VLOOKUP(A1,DIV_05Data!$A$1:$DZU$1000000,2326,FALSE)</f>
        <v>#N/A</v>
      </c>
      <c r="N137" s="34" t="e">
        <f>VLOOKUP(A1,DIV_05Data!$A$1:$DZU$1000000,2327,FALSE)</f>
        <v>#N/A</v>
      </c>
      <c r="O137" s="33" t="e">
        <f>VLOOKUP(A1,DIV_05Data!$A$1:$DZU$1000000,2328,FALSE)</f>
        <v>#N/A</v>
      </c>
      <c r="P137" s="116" t="e">
        <f>VLOOKUP(A1,DIV_05Data!$A$1:$DZU$1000000,2329,FALSE)</f>
        <v>#N/A</v>
      </c>
      <c r="Q137" s="268" t="e">
        <f>VLOOKUP(A1,DIV_05Data!$A$1:$DZU$1000000,2330,FALSE)</f>
        <v>#N/A</v>
      </c>
    </row>
    <row r="138" spans="1:17" x14ac:dyDescent="0.35">
      <c r="A138" s="265" t="e">
        <f>VLOOKUP(A1,DIV_05Data!$A$1:$DZU$1000000,2331,FALSE)</f>
        <v>#N/A</v>
      </c>
      <c r="B138" s="37" t="e">
        <f>VLOOKUP(A1,DIV_05Data!$A$1:$DZU$1000000,2332,FALSE)</f>
        <v>#N/A</v>
      </c>
      <c r="C138" s="38" t="e">
        <f>VLOOKUP(A1,DIV_05Data!$A$1:$DZU$1000000,2333,FALSE)</f>
        <v>#N/A</v>
      </c>
      <c r="D138" s="31" t="e">
        <f>VLOOKUP(A1,DIV_05Data!$A$1:$DZU$1000000,2334,FALSE)</f>
        <v>#N/A</v>
      </c>
      <c r="E138" s="32" t="e">
        <f>VLOOKUP(A1,DIV_05Data!$A$1:$DZU$1000000,2335,FALSE)</f>
        <v>#N/A</v>
      </c>
      <c r="F138" s="34" t="e">
        <f>VLOOKUP(A1,DIV_05Data!$A$1:$DZU$1000000,2336,FALSE)</f>
        <v>#N/A</v>
      </c>
      <c r="G138" s="33" t="e">
        <f>VLOOKUP(A1,DIV_05Data!$A$1:$DZU$1000000,2337,FALSE)</f>
        <v>#N/A</v>
      </c>
      <c r="H138" s="34" t="e">
        <f>VLOOKUP(A1,DIV_05Data!$A$1:$DZU$1000000,2338,FALSE)</f>
        <v>#N/A</v>
      </c>
      <c r="I138" s="33" t="e">
        <f>VLOOKUP(A1,DIV_05Data!$A$1:$DZU$1000000,2339,FALSE)</f>
        <v>#N/A</v>
      </c>
      <c r="J138" s="34" t="e">
        <f>VLOOKUP(A1,DIV_05Data!$A$1:$DZU$1000000,2340,FALSE)</f>
        <v>#N/A</v>
      </c>
      <c r="K138" s="34" t="e">
        <f>VLOOKUP(A1,DIV_05Data!$A$1:$DZU$1000000,2341,FALSE)</f>
        <v>#N/A</v>
      </c>
      <c r="L138" s="93" t="e">
        <f>VLOOKUP(A1,DIV_05Data!$A$1:$DZU$1000000,2342,FALSE)</f>
        <v>#N/A</v>
      </c>
      <c r="M138" s="33" t="e">
        <f>VLOOKUP(A1,DIV_05Data!$A$1:$DZU$1000000,2343,FALSE)</f>
        <v>#N/A</v>
      </c>
      <c r="N138" s="34" t="e">
        <f>VLOOKUP(A1,DIV_05Data!$A$1:$DZU$1000000,2344,FALSE)</f>
        <v>#N/A</v>
      </c>
      <c r="O138" s="33" t="e">
        <f>VLOOKUP(A1,DIV_05Data!$A$1:$DZU$1000000,2345,FALSE)</f>
        <v>#N/A</v>
      </c>
      <c r="P138" s="116" t="e">
        <f>VLOOKUP(A1,DIV_05Data!$A$1:$DZU$1000000,2346,FALSE)</f>
        <v>#N/A</v>
      </c>
      <c r="Q138" s="268" t="e">
        <f>VLOOKUP(A1,DIV_05Data!$A$1:$DZU$1000000,2347,FALSE)</f>
        <v>#N/A</v>
      </c>
    </row>
    <row r="139" spans="1:17" x14ac:dyDescent="0.35">
      <c r="A139" s="265" t="e">
        <f>VLOOKUP(A1,DIV_05Data!$A$1:$DZU$1000000,2348,FALSE)</f>
        <v>#N/A</v>
      </c>
      <c r="B139" s="37" t="e">
        <f>VLOOKUP(A1,DIV_05Data!$A$1:$DZU$1000000,2349,FALSE)</f>
        <v>#N/A</v>
      </c>
      <c r="C139" s="38" t="e">
        <f>VLOOKUP(A1,DIV_05Data!$A$1:$DZU$1000000,2350,FALSE)</f>
        <v>#N/A</v>
      </c>
      <c r="D139" s="31" t="e">
        <f>VLOOKUP(A1,DIV_05Data!$A$1:$DZU$1000000,2351,FALSE)</f>
        <v>#N/A</v>
      </c>
      <c r="E139" s="32" t="e">
        <f>VLOOKUP(A1,DIV_05Data!$A$1:$DZU$1000000,2352,FALSE)</f>
        <v>#N/A</v>
      </c>
      <c r="F139" s="34" t="e">
        <f>VLOOKUP(A1,DIV_05Data!$A$1:$DZU$1000000,2353,FALSE)</f>
        <v>#N/A</v>
      </c>
      <c r="G139" s="33" t="e">
        <f>VLOOKUP(A1,DIV_05Data!$A$1:$DZU$1000000,2354,FALSE)</f>
        <v>#N/A</v>
      </c>
      <c r="H139" s="34" t="e">
        <f>VLOOKUP(A1,DIV_05Data!$A$1:$DZU$1000000,2355,FALSE)</f>
        <v>#N/A</v>
      </c>
      <c r="I139" s="33" t="e">
        <f>VLOOKUP(A1,DIV_05Data!$A$1:$DZU$1000000,2356,FALSE)</f>
        <v>#N/A</v>
      </c>
      <c r="J139" s="34" t="e">
        <f>VLOOKUP(A1,DIV_05Data!$A$1:$DZU$1000000,2357,FALSE)</f>
        <v>#N/A</v>
      </c>
      <c r="K139" s="34" t="e">
        <f>VLOOKUP(A1,DIV_05Data!$A$1:$DZU$1000000,2358,FALSE)</f>
        <v>#N/A</v>
      </c>
      <c r="L139" s="93" t="e">
        <f>VLOOKUP(A1,DIV_05Data!$A$1:$DZU$1000000,2359,FALSE)</f>
        <v>#N/A</v>
      </c>
      <c r="M139" s="33" t="e">
        <f>VLOOKUP(A1,DIV_05Data!$A$1:$DZU$1000000,2360,FALSE)</f>
        <v>#N/A</v>
      </c>
      <c r="N139" s="34" t="e">
        <f>VLOOKUP(A1,DIV_05Data!$A$1:$DZU$1000000,2361,FALSE)</f>
        <v>#N/A</v>
      </c>
      <c r="O139" s="33" t="e">
        <f>VLOOKUP(A1,DIV_05Data!$A$1:$DZU$1000000,2362,FALSE)</f>
        <v>#N/A</v>
      </c>
      <c r="P139" s="116" t="e">
        <f>VLOOKUP(A1,DIV_05Data!$A$1:$DZU$1000000,2363,FALSE)</f>
        <v>#N/A</v>
      </c>
      <c r="Q139" s="268" t="e">
        <f>VLOOKUP(A1,DIV_05Data!$A$1:$DZU$1000000,2364,FALSE)</f>
        <v>#N/A</v>
      </c>
    </row>
    <row r="140" spans="1:17" x14ac:dyDescent="0.35">
      <c r="A140" s="265" t="e">
        <f>VLOOKUP(A1,DIV_05Data!$A$1:$DZU$1000000,2365,FALSE)</f>
        <v>#N/A</v>
      </c>
      <c r="B140" s="37" t="e">
        <f>VLOOKUP(A1,DIV_05Data!$A$1:$DZU$1000000,2366,FALSE)</f>
        <v>#N/A</v>
      </c>
      <c r="C140" s="38" t="e">
        <f>VLOOKUP(A1,DIV_05Data!$A$1:$DZU$1000000,2367,FALSE)</f>
        <v>#N/A</v>
      </c>
      <c r="D140" s="31" t="e">
        <f>VLOOKUP(A1,DIV_05Data!$A$1:$DZU$1000000,2368,FALSE)</f>
        <v>#N/A</v>
      </c>
      <c r="E140" s="32" t="e">
        <f>VLOOKUP(A1,DIV_05Data!$A$1:$DZU$1000000,2369,FALSE)</f>
        <v>#N/A</v>
      </c>
      <c r="F140" s="34" t="e">
        <f>VLOOKUP(A1,DIV_05Data!$A$1:$DZU$1000000,2370,FALSE)</f>
        <v>#N/A</v>
      </c>
      <c r="G140" s="33" t="e">
        <f>VLOOKUP(A1,DIV_05Data!$A$1:$DZU$1000000,2371,FALSE)</f>
        <v>#N/A</v>
      </c>
      <c r="H140" s="34" t="e">
        <f>VLOOKUP(A1,DIV_05Data!$A$1:$DZU$1000000,2372,FALSE)</f>
        <v>#N/A</v>
      </c>
      <c r="I140" s="33" t="e">
        <f>VLOOKUP(A1,DIV_05Data!$A$1:$DZU$1000000,2373,FALSE)</f>
        <v>#N/A</v>
      </c>
      <c r="J140" s="34" t="e">
        <f>VLOOKUP(A1,DIV_05Data!$A$1:$DZU$1000000,2374,FALSE)</f>
        <v>#N/A</v>
      </c>
      <c r="K140" s="34" t="e">
        <f>VLOOKUP(A1,DIV_05Data!$A$1:$DZU$1000000,2375,FALSE)</f>
        <v>#N/A</v>
      </c>
      <c r="L140" s="93" t="e">
        <f>VLOOKUP(A1,DIV_05Data!$A$1:$DZU$1000000,2376,FALSE)</f>
        <v>#N/A</v>
      </c>
      <c r="M140" s="33" t="e">
        <f>VLOOKUP(A1,DIV_05Data!$A$1:$DZU$1000000,2377,FALSE)</f>
        <v>#N/A</v>
      </c>
      <c r="N140" s="34" t="e">
        <f>VLOOKUP(A1,DIV_05Data!$A$1:$DZU$1000000,2378,FALSE)</f>
        <v>#N/A</v>
      </c>
      <c r="O140" s="33" t="e">
        <f>VLOOKUP(A1,DIV_05Data!$A$1:$DZU$1000000,2379,FALSE)</f>
        <v>#N/A</v>
      </c>
      <c r="P140" s="116" t="e">
        <f>VLOOKUP(A1,DIV_05Data!$A$1:$DZU$1000000,2380,FALSE)</f>
        <v>#N/A</v>
      </c>
      <c r="Q140" s="268" t="e">
        <f>VLOOKUP(A1,DIV_05Data!$A$1:$DZU$1000000,2381,FALSE)</f>
        <v>#N/A</v>
      </c>
    </row>
    <row r="141" spans="1:17" x14ac:dyDescent="0.35">
      <c r="A141" s="265" t="e">
        <f>VLOOKUP(A1,DIV_05Data!$A$1:$DZU$1000000,2382,FALSE)</f>
        <v>#N/A</v>
      </c>
      <c r="B141" s="37" t="e">
        <f>VLOOKUP(A1,DIV_05Data!$A$1:$DZU$1000000,2383,FALSE)</f>
        <v>#N/A</v>
      </c>
      <c r="C141" s="38" t="e">
        <f>VLOOKUP(A1,DIV_05Data!$A$1:$DZU$1000000,2384,FALSE)</f>
        <v>#N/A</v>
      </c>
      <c r="D141" s="31" t="e">
        <f>VLOOKUP(A1,DIV_05Data!$A$1:$DZU$1000000,2385,FALSE)</f>
        <v>#N/A</v>
      </c>
      <c r="E141" s="32" t="e">
        <f>VLOOKUP(A1,DIV_05Data!$A$1:$DZU$1000000,2386,FALSE)</f>
        <v>#N/A</v>
      </c>
      <c r="F141" s="34" t="e">
        <f>VLOOKUP(A1,DIV_05Data!$A$1:$DZU$1000000,2387,FALSE)</f>
        <v>#N/A</v>
      </c>
      <c r="G141" s="33" t="e">
        <f>VLOOKUP(A1,DIV_05Data!$A$1:$DZU$1000000,2388,FALSE)</f>
        <v>#N/A</v>
      </c>
      <c r="H141" s="34" t="e">
        <f>VLOOKUP(A1,DIV_05Data!$A$1:$DZU$1000000,2389,FALSE)</f>
        <v>#N/A</v>
      </c>
      <c r="I141" s="33" t="e">
        <f>VLOOKUP(A1,DIV_05Data!$A$1:$DZU$1000000,2390,FALSE)</f>
        <v>#N/A</v>
      </c>
      <c r="J141" s="34" t="e">
        <f>VLOOKUP(A1,DIV_05Data!$A$1:$DZU$1000000,2391,FALSE)</f>
        <v>#N/A</v>
      </c>
      <c r="K141" s="34" t="e">
        <f>VLOOKUP(A1,DIV_05Data!$A$1:$DZU$1000000,2392,FALSE)</f>
        <v>#N/A</v>
      </c>
      <c r="L141" s="93" t="e">
        <f>VLOOKUP(A1,DIV_05Data!$A$1:$DZU$1000000,2393,FALSE)</f>
        <v>#N/A</v>
      </c>
      <c r="M141" s="33" t="e">
        <f>VLOOKUP(A1,DIV_05Data!$A$1:$DZU$1000000,2394,FALSE)</f>
        <v>#N/A</v>
      </c>
      <c r="N141" s="34" t="e">
        <f>VLOOKUP(A1,DIV_05Data!$A$1:$DZU$1000000,2395,FALSE)</f>
        <v>#N/A</v>
      </c>
      <c r="O141" s="33" t="e">
        <f>VLOOKUP(A1,DIV_05Data!$A$1:$DZU$1000000,2396,FALSE)</f>
        <v>#N/A</v>
      </c>
      <c r="P141" s="116" t="e">
        <f>VLOOKUP(A1,DIV_05Data!$A$1:$DZU$1000000,2397,FALSE)</f>
        <v>#N/A</v>
      </c>
      <c r="Q141" s="268" t="e">
        <f>VLOOKUP(A1,DIV_05Data!$A$1:$DZU$1000000,2398,FALSE)</f>
        <v>#N/A</v>
      </c>
    </row>
    <row r="142" spans="1:17" x14ac:dyDescent="0.35">
      <c r="A142" s="265" t="e">
        <f>VLOOKUP(A1,DIV_05Data!$A$1:$DZU$1000000,2399,FALSE)</f>
        <v>#N/A</v>
      </c>
      <c r="B142" s="37" t="e">
        <f>VLOOKUP(A1,DIV_05Data!$A$1:$DZU$1000000,2400,FALSE)</f>
        <v>#N/A</v>
      </c>
      <c r="C142" s="38" t="e">
        <f>VLOOKUP(A1,DIV_05Data!$A$1:$DZU$1000000,2401,FALSE)</f>
        <v>#N/A</v>
      </c>
      <c r="D142" s="31" t="e">
        <f>VLOOKUP(A1,DIV_05Data!$A$1:$DZU$1000000,2402,FALSE)</f>
        <v>#N/A</v>
      </c>
      <c r="E142" s="32" t="e">
        <f>VLOOKUP(A1,DIV_05Data!$A$1:$DZU$1000000,2403,FALSE)</f>
        <v>#N/A</v>
      </c>
      <c r="F142" s="34" t="e">
        <f>VLOOKUP(A1,DIV_05Data!$A$1:$DZU$1000000,2404,FALSE)</f>
        <v>#N/A</v>
      </c>
      <c r="G142" s="33" t="e">
        <f>VLOOKUP(A1,DIV_05Data!$A$1:$DZU$1000000,2405,FALSE)</f>
        <v>#N/A</v>
      </c>
      <c r="H142" s="34" t="e">
        <f>VLOOKUP(A1,DIV_05Data!$A$1:$DZU$1000000,2406,FALSE)</f>
        <v>#N/A</v>
      </c>
      <c r="I142" s="33" t="e">
        <f>VLOOKUP(A1,DIV_05Data!$A$1:$DZU$1000000,2407,FALSE)</f>
        <v>#N/A</v>
      </c>
      <c r="J142" s="34" t="e">
        <f>VLOOKUP(A1,DIV_05Data!$A$1:$DZU$1000000,2408,FALSE)</f>
        <v>#N/A</v>
      </c>
      <c r="K142" s="34" t="e">
        <f>VLOOKUP(A1,DIV_05Data!$A$1:$DZU$1000000,2409,FALSE)</f>
        <v>#N/A</v>
      </c>
      <c r="L142" s="93" t="e">
        <f>VLOOKUP(A1,DIV_05Data!$A$1:$DZU$1000000,2410,FALSE)</f>
        <v>#N/A</v>
      </c>
      <c r="M142" s="33" t="e">
        <f>VLOOKUP(A1,DIV_05Data!$A$1:$DZU$1000000,2411,FALSE)</f>
        <v>#N/A</v>
      </c>
      <c r="N142" s="34" t="e">
        <f>VLOOKUP(A1,DIV_05Data!$A$1:$DZU$1000000,2412,FALSE)</f>
        <v>#N/A</v>
      </c>
      <c r="O142" s="33" t="e">
        <f>VLOOKUP(A1,DIV_05Data!$A$1:$DZU$1000000,2413,FALSE)</f>
        <v>#N/A</v>
      </c>
      <c r="P142" s="116" t="e">
        <f>VLOOKUP(A1,DIV_05Data!$A$1:$DZU$1000000,2414,FALSE)</f>
        <v>#N/A</v>
      </c>
      <c r="Q142" s="268" t="e">
        <f>VLOOKUP(A1,DIV_05Data!$A$1:$DZU$1000000,2415,FALSE)</f>
        <v>#N/A</v>
      </c>
    </row>
    <row r="143" spans="1:17" x14ac:dyDescent="0.35">
      <c r="A143" s="265" t="e">
        <f>VLOOKUP(A1,DIV_05Data!$A$1:$DZU$1000000,2416,FALSE)</f>
        <v>#N/A</v>
      </c>
      <c r="B143" s="37" t="e">
        <f>VLOOKUP(A1,DIV_05Data!$A$1:$DZU$1000000,2417,FALSE)</f>
        <v>#N/A</v>
      </c>
      <c r="C143" s="38" t="e">
        <f>VLOOKUP(A1,DIV_05Data!$A$1:$DZU$1000000,2418,FALSE)</f>
        <v>#N/A</v>
      </c>
      <c r="D143" s="31" t="e">
        <f>VLOOKUP(A1,DIV_05Data!$A$1:$DZU$1000000,2419,FALSE)</f>
        <v>#N/A</v>
      </c>
      <c r="E143" s="32" t="e">
        <f>VLOOKUP(A1,DIV_05Data!$A$1:$DZU$1000000,2420,FALSE)</f>
        <v>#N/A</v>
      </c>
      <c r="F143" s="34" t="e">
        <f>VLOOKUP(A1,DIV_05Data!$A$1:$DZU$1000000,2421,FALSE)</f>
        <v>#N/A</v>
      </c>
      <c r="G143" s="33" t="e">
        <f>VLOOKUP(A1,DIV_05Data!$A$1:$DZU$1000000,2422,FALSE)</f>
        <v>#N/A</v>
      </c>
      <c r="H143" s="34" t="e">
        <f>VLOOKUP(A1,DIV_05Data!$A$1:$DZU$1000000,2423,FALSE)</f>
        <v>#N/A</v>
      </c>
      <c r="I143" s="33" t="e">
        <f>VLOOKUP(A1,DIV_05Data!$A$1:$DZU$1000000,2424,FALSE)</f>
        <v>#N/A</v>
      </c>
      <c r="J143" s="34" t="e">
        <f>VLOOKUP(A1,DIV_05Data!$A$1:$DZU$1000000,2425,FALSE)</f>
        <v>#N/A</v>
      </c>
      <c r="K143" s="34" t="e">
        <f>VLOOKUP(A1,DIV_05Data!$A$1:$DZU$1000000,2426,FALSE)</f>
        <v>#N/A</v>
      </c>
      <c r="L143" s="93" t="e">
        <f>VLOOKUP(A1,DIV_05Data!$A$1:$DZU$1000000,2427,FALSE)</f>
        <v>#N/A</v>
      </c>
      <c r="M143" s="33" t="e">
        <f>VLOOKUP(A1,DIV_05Data!$A$1:$DZU$1000000,2428,FALSE)</f>
        <v>#N/A</v>
      </c>
      <c r="N143" s="34" t="e">
        <f>VLOOKUP(A1,DIV_05Data!$A$1:$DZU$1000000,2429,FALSE)</f>
        <v>#N/A</v>
      </c>
      <c r="O143" s="33" t="e">
        <f>VLOOKUP(A1,DIV_05Data!$A$1:$DZU$1000000,2430,FALSE)</f>
        <v>#N/A</v>
      </c>
      <c r="P143" s="116" t="e">
        <f>VLOOKUP(A1,DIV_05Data!$A$1:$DZU$1000000,2431,FALSE)</f>
        <v>#N/A</v>
      </c>
      <c r="Q143" s="268" t="e">
        <f>VLOOKUP(A1,DIV_05Data!$A$1:$DZU$1000000,2432,FALSE)</f>
        <v>#N/A</v>
      </c>
    </row>
    <row r="144" spans="1:17" x14ac:dyDescent="0.35">
      <c r="A144" s="265" t="e">
        <f>VLOOKUP(A1,DIV_05Data!$A$1:$DZU$1000000,2433,FALSE)</f>
        <v>#N/A</v>
      </c>
      <c r="B144" s="37" t="e">
        <f>VLOOKUP(A1,DIV_05Data!$A$1:$DZU$1000000,2434,FALSE)</f>
        <v>#N/A</v>
      </c>
      <c r="C144" s="38" t="e">
        <f>VLOOKUP(A1,DIV_05Data!$A$1:$DZU$1000000,2435,FALSE)</f>
        <v>#N/A</v>
      </c>
      <c r="D144" s="31" t="e">
        <f>VLOOKUP(A1,DIV_05Data!$A$1:$DZU$1000000,2436,FALSE)</f>
        <v>#N/A</v>
      </c>
      <c r="E144" s="32" t="e">
        <f>VLOOKUP(A1,DIV_05Data!$A$1:$DZU$1000000,2437,FALSE)</f>
        <v>#N/A</v>
      </c>
      <c r="F144" s="34" t="e">
        <f>VLOOKUP(A1,DIV_05Data!$A$1:$DZU$1000000,2438,FALSE)</f>
        <v>#N/A</v>
      </c>
      <c r="G144" s="33" t="e">
        <f>VLOOKUP(A1,DIV_05Data!$A$1:$DZU$1000000,2439,FALSE)</f>
        <v>#N/A</v>
      </c>
      <c r="H144" s="34" t="e">
        <f>VLOOKUP(A1,DIV_05Data!$A$1:$DZU$1000000,2440,FALSE)</f>
        <v>#N/A</v>
      </c>
      <c r="I144" s="33" t="e">
        <f>VLOOKUP(A1,DIV_05Data!$A$1:$DZU$1000000,2441,FALSE)</f>
        <v>#N/A</v>
      </c>
      <c r="J144" s="34" t="e">
        <f>VLOOKUP(A1,DIV_05Data!$A$1:$DZU$1000000,2442,FALSE)</f>
        <v>#N/A</v>
      </c>
      <c r="K144" s="34" t="e">
        <f>VLOOKUP(A1,DIV_05Data!$A$1:$DZU$1000000,2443,FALSE)</f>
        <v>#N/A</v>
      </c>
      <c r="L144" s="93" t="e">
        <f>VLOOKUP(A1,DIV_05Data!$A$1:$DZU$1000000,2444,FALSE)</f>
        <v>#N/A</v>
      </c>
      <c r="M144" s="33" t="e">
        <f>VLOOKUP(A1,DIV_05Data!$A$1:$DZU$1000000,2445,FALSE)</f>
        <v>#N/A</v>
      </c>
      <c r="N144" s="34" t="e">
        <f>VLOOKUP(A1,DIV_05Data!$A$1:$DZU$1000000,2446,FALSE)</f>
        <v>#N/A</v>
      </c>
      <c r="O144" s="33" t="e">
        <f>VLOOKUP(A1,DIV_05Data!$A$1:$DZU$1000000,2447,FALSE)</f>
        <v>#N/A</v>
      </c>
      <c r="P144" s="116" t="e">
        <f>VLOOKUP(A1,DIV_05Data!$A$1:$DZU$1000000,2448,FALSE)</f>
        <v>#N/A</v>
      </c>
      <c r="Q144" s="268" t="e">
        <f>VLOOKUP(A1,DIV_05Data!$A$1:$DZU$1000000,2449,FALSE)</f>
        <v>#N/A</v>
      </c>
    </row>
    <row r="145" spans="1:17" x14ac:dyDescent="0.35">
      <c r="A145" s="265" t="e">
        <f>VLOOKUP(A1,DIV_05Data!$A$1:$DZU$1000000,2450,FALSE)</f>
        <v>#N/A</v>
      </c>
      <c r="B145" s="37" t="e">
        <f>VLOOKUP(A1,DIV_05Data!$A$1:$DZU$1000000,2451,FALSE)</f>
        <v>#N/A</v>
      </c>
      <c r="C145" s="38" t="e">
        <f>VLOOKUP(A1,DIV_05Data!$A$1:$DZU$1000000,2452,FALSE)</f>
        <v>#N/A</v>
      </c>
      <c r="D145" s="31" t="e">
        <f>VLOOKUP(A1,DIV_05Data!$A$1:$DZU$1000000,2453,FALSE)</f>
        <v>#N/A</v>
      </c>
      <c r="E145" s="32" t="e">
        <f>VLOOKUP(A1,DIV_05Data!$A$1:$DZU$1000000,2454,FALSE)</f>
        <v>#N/A</v>
      </c>
      <c r="F145" s="34" t="e">
        <f>VLOOKUP(A1,DIV_05Data!$A$1:$DZU$1000000,2455,FALSE)</f>
        <v>#N/A</v>
      </c>
      <c r="G145" s="33" t="e">
        <f>VLOOKUP(A1,DIV_05Data!$A$1:$DZU$1000000,2456,FALSE)</f>
        <v>#N/A</v>
      </c>
      <c r="H145" s="34" t="e">
        <f>VLOOKUP(A1,DIV_05Data!$A$1:$DZU$1000000,2457,FALSE)</f>
        <v>#N/A</v>
      </c>
      <c r="I145" s="33" t="e">
        <f>VLOOKUP(A1,DIV_05Data!$A$1:$DZU$1000000,2458,FALSE)</f>
        <v>#N/A</v>
      </c>
      <c r="J145" s="34" t="e">
        <f>VLOOKUP(A1,DIV_05Data!$A$1:$DZU$1000000,2459,FALSE)</f>
        <v>#N/A</v>
      </c>
      <c r="K145" s="34" t="e">
        <f>VLOOKUP(A1,DIV_05Data!$A$1:$DZU$1000000,2460,FALSE)</f>
        <v>#N/A</v>
      </c>
      <c r="L145" s="93" t="e">
        <f>VLOOKUP(A1,DIV_05Data!$A$1:$DZU$1000000,2461,FALSE)</f>
        <v>#N/A</v>
      </c>
      <c r="M145" s="33" t="e">
        <f>VLOOKUP(A1,DIV_05Data!$A$1:$DZU$1000000,2462,FALSE)</f>
        <v>#N/A</v>
      </c>
      <c r="N145" s="34" t="e">
        <f>VLOOKUP(A1,DIV_05Data!$A$1:$DZU$1000000,2463,FALSE)</f>
        <v>#N/A</v>
      </c>
      <c r="O145" s="33" t="e">
        <f>VLOOKUP(A1,DIV_05Data!$A$1:$DZU$1000000,2464,FALSE)</f>
        <v>#N/A</v>
      </c>
      <c r="P145" s="116" t="e">
        <f>VLOOKUP(A1,DIV_05Data!$A$1:$DZU$1000000,2465,FALSE)</f>
        <v>#N/A</v>
      </c>
      <c r="Q145" s="268" t="e">
        <f>VLOOKUP(A1,DIV_05Data!$A$1:$DZU$1000000,2466,FALSE)</f>
        <v>#N/A</v>
      </c>
    </row>
    <row r="146" spans="1:17" x14ac:dyDescent="0.35">
      <c r="A146" s="265" t="e">
        <f>VLOOKUP(A1,DIV_05Data!$A$1:$DZU$1000000,2467,FALSE)</f>
        <v>#N/A</v>
      </c>
      <c r="B146" s="37" t="e">
        <f>VLOOKUP(A1,DIV_05Data!$A$1:$DZU$1000000,2468,FALSE)</f>
        <v>#N/A</v>
      </c>
      <c r="C146" s="38" t="e">
        <f>VLOOKUP(A1,DIV_05Data!$A$1:$DZU$1000000,2469,FALSE)</f>
        <v>#N/A</v>
      </c>
      <c r="D146" s="31" t="e">
        <f>VLOOKUP(A1,DIV_05Data!$A$1:$DZU$1000000,2470,FALSE)</f>
        <v>#N/A</v>
      </c>
      <c r="E146" s="32" t="e">
        <f>VLOOKUP(A1,DIV_05Data!$A$1:$DZU$1000000,2471,FALSE)</f>
        <v>#N/A</v>
      </c>
      <c r="F146" s="34" t="e">
        <f>VLOOKUP(A1,DIV_05Data!$A$1:$DZU$1000000,2472,FALSE)</f>
        <v>#N/A</v>
      </c>
      <c r="G146" s="33" t="e">
        <f>VLOOKUP(A1,DIV_05Data!$A$1:$DZU$1000000,2473,FALSE)</f>
        <v>#N/A</v>
      </c>
      <c r="H146" s="34" t="e">
        <f>VLOOKUP(A1,DIV_05Data!$A$1:$DZU$1000000,2474,FALSE)</f>
        <v>#N/A</v>
      </c>
      <c r="I146" s="33" t="e">
        <f>VLOOKUP(A1,DIV_05Data!$A$1:$DZU$1000000,2475,FALSE)</f>
        <v>#N/A</v>
      </c>
      <c r="J146" s="34" t="e">
        <f>VLOOKUP(A1,DIV_05Data!$A$1:$DZU$1000000,2476,FALSE)</f>
        <v>#N/A</v>
      </c>
      <c r="K146" s="34" t="e">
        <f>VLOOKUP(A1,DIV_05Data!$A$1:$DZU$1000000,2477,FALSE)</f>
        <v>#N/A</v>
      </c>
      <c r="L146" s="93" t="e">
        <f>VLOOKUP(A1,DIV_05Data!$A$1:$DZU$1000000,2478,FALSE)</f>
        <v>#N/A</v>
      </c>
      <c r="M146" s="33" t="e">
        <f>VLOOKUP(A1,DIV_05Data!$A$1:$DZU$1000000,2479,FALSE)</f>
        <v>#N/A</v>
      </c>
      <c r="N146" s="34" t="e">
        <f>VLOOKUP(A1,DIV_05Data!$A$1:$DZU$1000000,2480,FALSE)</f>
        <v>#N/A</v>
      </c>
      <c r="O146" s="33" t="e">
        <f>VLOOKUP(A1,DIV_05Data!$A$1:$DZU$1000000,2481,FALSE)</f>
        <v>#N/A</v>
      </c>
      <c r="P146" s="116" t="e">
        <f>VLOOKUP(A1,DIV_05Data!$A$1:$DZU$1000000,2482,FALSE)</f>
        <v>#N/A</v>
      </c>
      <c r="Q146" s="268" t="e">
        <f>VLOOKUP(A1,DIV_05Data!$A$1:$DZU$1000000,2483,FALSE)</f>
        <v>#N/A</v>
      </c>
    </row>
    <row r="147" spans="1:17" x14ac:dyDescent="0.35">
      <c r="A147" s="265" t="e">
        <f>VLOOKUP(A1,DIV_05Data!$A$1:$DZU$1000000,2484,FALSE)</f>
        <v>#N/A</v>
      </c>
      <c r="B147" s="37" t="e">
        <f>VLOOKUP(A1,DIV_05Data!$A$1:$DZU$1000000,2485,FALSE)</f>
        <v>#N/A</v>
      </c>
      <c r="C147" s="38" t="e">
        <f>VLOOKUP(A1,DIV_05Data!$A$1:$DZU$1000000,2486,FALSE)</f>
        <v>#N/A</v>
      </c>
      <c r="D147" s="31" t="e">
        <f>VLOOKUP(A1,DIV_05Data!$A$1:$DZU$1000000,2487,FALSE)</f>
        <v>#N/A</v>
      </c>
      <c r="E147" s="32" t="e">
        <f>VLOOKUP(A1,DIV_05Data!$A$1:$DZU$1000000,2488,FALSE)</f>
        <v>#N/A</v>
      </c>
      <c r="F147" s="34" t="e">
        <f>VLOOKUP(A1,DIV_05Data!$A$1:$DZU$1000000,2489,FALSE)</f>
        <v>#N/A</v>
      </c>
      <c r="G147" s="33" t="e">
        <f>VLOOKUP(A1,DIV_05Data!$A$1:$DZU$1000000,2490,FALSE)</f>
        <v>#N/A</v>
      </c>
      <c r="H147" s="34" t="e">
        <f>VLOOKUP(A1,DIV_05Data!$A$1:$DZU$1000000,2491,FALSE)</f>
        <v>#N/A</v>
      </c>
      <c r="I147" s="33" t="e">
        <f>VLOOKUP(A1,DIV_05Data!$A$1:$DZU$1000000,2492,FALSE)</f>
        <v>#N/A</v>
      </c>
      <c r="J147" s="34" t="e">
        <f>VLOOKUP(A1,DIV_05Data!$A$1:$DZU$1000000,2493,FALSE)</f>
        <v>#N/A</v>
      </c>
      <c r="K147" s="34" t="e">
        <f>VLOOKUP(A1,DIV_05Data!$A$1:$DZU$1000000,2494,FALSE)</f>
        <v>#N/A</v>
      </c>
      <c r="L147" s="93" t="e">
        <f>VLOOKUP(A1,DIV_05Data!$A$1:$DZU$1000000,2495,FALSE)</f>
        <v>#N/A</v>
      </c>
      <c r="M147" s="33" t="e">
        <f>VLOOKUP(A1,DIV_05Data!$A$1:$DZU$1000000,2496,FALSE)</f>
        <v>#N/A</v>
      </c>
      <c r="N147" s="34" t="e">
        <f>VLOOKUP(A1,DIV_05Data!$A$1:$DZU$1000000,2497,FALSE)</f>
        <v>#N/A</v>
      </c>
      <c r="O147" s="33" t="e">
        <f>VLOOKUP(A1,DIV_05Data!$A$1:$DZU$1000000,2498,FALSE)</f>
        <v>#N/A</v>
      </c>
      <c r="P147" s="116" t="e">
        <f>VLOOKUP(A1,DIV_05Data!$A$1:$DZU$1000000,2499,FALSE)</f>
        <v>#N/A</v>
      </c>
      <c r="Q147" s="268" t="e">
        <f>VLOOKUP(A1,DIV_05Data!$A$1:$DZU$1000000,2500,FALSE)</f>
        <v>#N/A</v>
      </c>
    </row>
    <row r="148" spans="1:17" x14ac:dyDescent="0.35">
      <c r="A148" s="265" t="e">
        <f>VLOOKUP(A1,DIV_05Data!$A$1:$DZU$1000000,2501,FALSE)</f>
        <v>#N/A</v>
      </c>
      <c r="B148" s="37" t="e">
        <f>VLOOKUP(A1,DIV_05Data!$A$1:$DZU$1000000,2502,FALSE)</f>
        <v>#N/A</v>
      </c>
      <c r="C148" s="38" t="e">
        <f>VLOOKUP(A1,DIV_05Data!$A$1:$DZU$1000000,2503,FALSE)</f>
        <v>#N/A</v>
      </c>
      <c r="D148" s="31" t="e">
        <f>VLOOKUP(A1,DIV_05Data!$A$1:$DZU$1000000,2504,FALSE)</f>
        <v>#N/A</v>
      </c>
      <c r="E148" s="32" t="e">
        <f>VLOOKUP(A1,DIV_05Data!$A$1:$DZU$1000000,2505,FALSE)</f>
        <v>#N/A</v>
      </c>
      <c r="F148" s="34" t="e">
        <f>VLOOKUP(A1,DIV_05Data!$A$1:$DZU$1000000,2506,FALSE)</f>
        <v>#N/A</v>
      </c>
      <c r="G148" s="33" t="e">
        <f>VLOOKUP(A1,DIV_05Data!$A$1:$DZU$1000000,2507,FALSE)</f>
        <v>#N/A</v>
      </c>
      <c r="H148" s="34" t="e">
        <f>VLOOKUP(A1,DIV_05Data!$A$1:$DZU$1000000,2508,FALSE)</f>
        <v>#N/A</v>
      </c>
      <c r="I148" s="33" t="e">
        <f>VLOOKUP(A1,DIV_05Data!$A$1:$DZU$1000000,2509,FALSE)</f>
        <v>#N/A</v>
      </c>
      <c r="J148" s="34" t="e">
        <f>VLOOKUP(A1,DIV_05Data!$A$1:$DZU$1000000,2510,FALSE)</f>
        <v>#N/A</v>
      </c>
      <c r="K148" s="34" t="e">
        <f>VLOOKUP(A1,DIV_05Data!$A$1:$DZU$1000000,2511,FALSE)</f>
        <v>#N/A</v>
      </c>
      <c r="L148" s="93" t="e">
        <f>VLOOKUP(A1,DIV_05Data!$A$1:$DZU$1000000,2512,FALSE)</f>
        <v>#N/A</v>
      </c>
      <c r="M148" s="33" t="e">
        <f>VLOOKUP(A1,DIV_05Data!$A$1:$DZU$1000000,2513,FALSE)</f>
        <v>#N/A</v>
      </c>
      <c r="N148" s="34" t="e">
        <f>VLOOKUP(A1,DIV_05Data!$A$1:$DZU$1000000,2514,FALSE)</f>
        <v>#N/A</v>
      </c>
      <c r="O148" s="33" t="e">
        <f>VLOOKUP(A1,DIV_05Data!$A$1:$DZU$1000000,2515,FALSE)</f>
        <v>#N/A</v>
      </c>
      <c r="P148" s="116" t="e">
        <f>VLOOKUP(A1,DIV_05Data!$A$1:$DZU$1000000,2516,FALSE)</f>
        <v>#N/A</v>
      </c>
      <c r="Q148" s="268" t="e">
        <f>VLOOKUP(A1,DIV_05Data!$A$1:$DZU$1000000,2517,FALSE)</f>
        <v>#N/A</v>
      </c>
    </row>
    <row r="149" spans="1:17" x14ac:dyDescent="0.35">
      <c r="A149" s="265" t="e">
        <f>VLOOKUP(A1,DIV_05Data!$A$1:$DZU$1000000,2518,FALSE)</f>
        <v>#N/A</v>
      </c>
      <c r="B149" s="37" t="e">
        <f>VLOOKUP(A1,DIV_05Data!$A$1:$DZU$1000000,2519,FALSE)</f>
        <v>#N/A</v>
      </c>
      <c r="C149" s="38" t="e">
        <f>VLOOKUP(A1,DIV_05Data!$A$1:$DZU$1000000,2520,FALSE)</f>
        <v>#N/A</v>
      </c>
      <c r="D149" s="31" t="e">
        <f>VLOOKUP(A1,DIV_05Data!$A$1:$DZU$1000000,2521,FALSE)</f>
        <v>#N/A</v>
      </c>
      <c r="E149" s="32" t="e">
        <f>VLOOKUP(A1,DIV_05Data!$A$1:$DZU$1000000,2522,FALSE)</f>
        <v>#N/A</v>
      </c>
      <c r="F149" s="34" t="e">
        <f>VLOOKUP(A1,DIV_05Data!$A$1:$DZU$1000000,2523,FALSE)</f>
        <v>#N/A</v>
      </c>
      <c r="G149" s="33" t="e">
        <f>VLOOKUP(A1,DIV_05Data!$A$1:$DZU$1000000,2524,FALSE)</f>
        <v>#N/A</v>
      </c>
      <c r="H149" s="34" t="e">
        <f>VLOOKUP(A1,DIV_05Data!$A$1:$DZU$1000000,2525,FALSE)</f>
        <v>#N/A</v>
      </c>
      <c r="I149" s="33" t="e">
        <f>VLOOKUP(A1,DIV_05Data!$A$1:$DZU$1000000,2526,FALSE)</f>
        <v>#N/A</v>
      </c>
      <c r="J149" s="34" t="e">
        <f>VLOOKUP(A1,DIV_05Data!$A$1:$DZU$1000000,2527,FALSE)</f>
        <v>#N/A</v>
      </c>
      <c r="K149" s="34" t="e">
        <f>VLOOKUP(A1,DIV_05Data!$A$1:$DZU$1000000,2528,FALSE)</f>
        <v>#N/A</v>
      </c>
      <c r="L149" s="93" t="e">
        <f>VLOOKUP(A1,DIV_05Data!$A$1:$DZU$1000000,2529,FALSE)</f>
        <v>#N/A</v>
      </c>
      <c r="M149" s="33" t="e">
        <f>VLOOKUP(A1,DIV_05Data!$A$1:$DZU$1000000,2530,FALSE)</f>
        <v>#N/A</v>
      </c>
      <c r="N149" s="34" t="e">
        <f>VLOOKUP(A1,DIV_05Data!$A$1:$DZU$1000000,2531,FALSE)</f>
        <v>#N/A</v>
      </c>
      <c r="O149" s="33" t="e">
        <f>VLOOKUP(A1,DIV_05Data!$A$1:$DZU$1000000,2532,FALSE)</f>
        <v>#N/A</v>
      </c>
      <c r="P149" s="116" t="e">
        <f>VLOOKUP(A1,DIV_05Data!$A$1:$DZU$1000000,2533,FALSE)</f>
        <v>#N/A</v>
      </c>
      <c r="Q149" s="268" t="e">
        <f>VLOOKUP(A1,DIV_05Data!$A$1:$DZU$1000000,2534,FALSE)</f>
        <v>#N/A</v>
      </c>
    </row>
    <row r="150" spans="1:17" x14ac:dyDescent="0.35">
      <c r="A150" s="265" t="e">
        <f>VLOOKUP(A1,DIV_05Data!$A$1:$DZU$1000000,2535,FALSE)</f>
        <v>#N/A</v>
      </c>
      <c r="B150" s="37" t="e">
        <f>VLOOKUP(A1,DIV_05Data!$A$1:$DZU$1000000,2536,FALSE)</f>
        <v>#N/A</v>
      </c>
      <c r="C150" s="38" t="e">
        <f>VLOOKUP(A1,DIV_05Data!$A$1:$DZU$1000000,2537,FALSE)</f>
        <v>#N/A</v>
      </c>
      <c r="D150" s="31" t="e">
        <f>VLOOKUP(A1,DIV_05Data!$A$1:$DZU$1000000,2538,FALSE)</f>
        <v>#N/A</v>
      </c>
      <c r="E150" s="32" t="e">
        <f>VLOOKUP(A1,DIV_05Data!$A$1:$DZU$1000000,2539,FALSE)</f>
        <v>#N/A</v>
      </c>
      <c r="F150" s="34" t="e">
        <f>VLOOKUP(A1,DIV_05Data!$A$1:$DZU$1000000,2540,FALSE)</f>
        <v>#N/A</v>
      </c>
      <c r="G150" s="33" t="e">
        <f>VLOOKUP(A1,DIV_05Data!$A$1:$DZU$1000000,2541,FALSE)</f>
        <v>#N/A</v>
      </c>
      <c r="H150" s="34" t="e">
        <f>VLOOKUP(A1,DIV_05Data!$A$1:$DZU$1000000,2542,FALSE)</f>
        <v>#N/A</v>
      </c>
      <c r="I150" s="33" t="e">
        <f>VLOOKUP(A1,DIV_05Data!$A$1:$DZU$1000000,2543,FALSE)</f>
        <v>#N/A</v>
      </c>
      <c r="J150" s="34" t="e">
        <f>VLOOKUP(A1,DIV_05Data!$A$1:$DZU$1000000,2544,FALSE)</f>
        <v>#N/A</v>
      </c>
      <c r="K150" s="34" t="e">
        <f>VLOOKUP(A1,DIV_05Data!$A$1:$DZU$1000000,2545,FALSE)</f>
        <v>#N/A</v>
      </c>
      <c r="L150" s="93" t="e">
        <f>VLOOKUP(A1,DIV_05Data!$A$1:$DZU$1000000,2546,FALSE)</f>
        <v>#N/A</v>
      </c>
      <c r="M150" s="33" t="e">
        <f>VLOOKUP(A1,DIV_05Data!$A$1:$DZU$1000000,2547,FALSE)</f>
        <v>#N/A</v>
      </c>
      <c r="N150" s="34" t="e">
        <f>VLOOKUP(A1,DIV_05Data!$A$1:$DZU$1000000,2548,FALSE)</f>
        <v>#N/A</v>
      </c>
      <c r="O150" s="33" t="e">
        <f>VLOOKUP(A1,DIV_05Data!$A$1:$DZU$1000000,2549,FALSE)</f>
        <v>#N/A</v>
      </c>
      <c r="P150" s="116" t="e">
        <f>VLOOKUP(A1,DIV_05Data!$A$1:$DZU$1000000,2550,FALSE)</f>
        <v>#N/A</v>
      </c>
      <c r="Q150" s="268" t="e">
        <f>VLOOKUP(A1,DIV_05Data!$A$1:$DZU$1000000,2551,FALSE)</f>
        <v>#N/A</v>
      </c>
    </row>
    <row r="151" spans="1:17" x14ac:dyDescent="0.35">
      <c r="A151" s="265" t="e">
        <f>VLOOKUP(A1,DIV_05Data!$A$1:$DZU$1000000,2552,FALSE)</f>
        <v>#N/A</v>
      </c>
      <c r="B151" s="37" t="e">
        <f>VLOOKUP(A1,DIV_05Data!$A$1:$DZU$1000000,2553,FALSE)</f>
        <v>#N/A</v>
      </c>
      <c r="C151" s="38" t="e">
        <f>VLOOKUP(A1,DIV_05Data!$A$1:$DZU$1000000,2554,FALSE)</f>
        <v>#N/A</v>
      </c>
      <c r="D151" s="31" t="e">
        <f>VLOOKUP(A1,DIV_05Data!$A$1:$DZU$1000000,2555,FALSE)</f>
        <v>#N/A</v>
      </c>
      <c r="E151" s="32" t="e">
        <f>VLOOKUP(A1,DIV_05Data!$A$1:$DZU$1000000,2556,FALSE)</f>
        <v>#N/A</v>
      </c>
      <c r="F151" s="34" t="e">
        <f>VLOOKUP(A1,DIV_05Data!$A$1:$DZU$1000000,2557,FALSE)</f>
        <v>#N/A</v>
      </c>
      <c r="G151" s="33" t="e">
        <f>VLOOKUP(A1,DIV_05Data!$A$1:$DZU$1000000,2558,FALSE)</f>
        <v>#N/A</v>
      </c>
      <c r="H151" s="34" t="e">
        <f>VLOOKUP(A1,DIV_05Data!$A$1:$DZU$1000000,2559,FALSE)</f>
        <v>#N/A</v>
      </c>
      <c r="I151" s="33" t="e">
        <f>VLOOKUP(A1,DIV_05Data!$A$1:$DZU$1000000,2560,FALSE)</f>
        <v>#N/A</v>
      </c>
      <c r="J151" s="34" t="e">
        <f>VLOOKUP(A1,DIV_05Data!$A$1:$DZU$1000000,2561,FALSE)</f>
        <v>#N/A</v>
      </c>
      <c r="K151" s="34" t="e">
        <f>VLOOKUP(A1,DIV_05Data!$A$1:$DZU$1000000,2562,FALSE)</f>
        <v>#N/A</v>
      </c>
      <c r="L151" s="93" t="e">
        <f>VLOOKUP(A1,DIV_05Data!$A$1:$DZU$1000000,2563,FALSE)</f>
        <v>#N/A</v>
      </c>
      <c r="M151" s="33" t="e">
        <f>VLOOKUP(A1,DIV_05Data!$A$1:$DZU$1000000,2564,FALSE)</f>
        <v>#N/A</v>
      </c>
      <c r="N151" s="34" t="e">
        <f>VLOOKUP(A1,DIV_05Data!$A$1:$DZU$1000000,2565,FALSE)</f>
        <v>#N/A</v>
      </c>
      <c r="O151" s="33" t="e">
        <f>VLOOKUP(A1,DIV_05Data!$A$1:$DZU$1000000,2566,FALSE)</f>
        <v>#N/A</v>
      </c>
      <c r="P151" s="116" t="e">
        <f>VLOOKUP(A1,DIV_05Data!$A$1:$DZU$1000000,2567,FALSE)</f>
        <v>#N/A</v>
      </c>
      <c r="Q151" s="268" t="e">
        <f>VLOOKUP(A1,DIV_05Data!$A$1:$DZU$1000000,2568,FALSE)</f>
        <v>#N/A</v>
      </c>
    </row>
    <row r="152" spans="1:17" x14ac:dyDescent="0.35">
      <c r="A152" s="265" t="e">
        <f>VLOOKUP(A1,DIV_05Data!$A$1:$DZU$1000000,2569,FALSE)</f>
        <v>#N/A</v>
      </c>
      <c r="B152" s="37" t="e">
        <f>VLOOKUP(A1,DIV_05Data!$A$1:$DZU$1000000,2570,FALSE)</f>
        <v>#N/A</v>
      </c>
      <c r="C152" s="38" t="e">
        <f>VLOOKUP(A1,DIV_05Data!$A$1:$DZU$1000000,2571,FALSE)</f>
        <v>#N/A</v>
      </c>
      <c r="D152" s="31" t="e">
        <f>VLOOKUP(A1,DIV_05Data!$A$1:$DZU$1000000,2572,FALSE)</f>
        <v>#N/A</v>
      </c>
      <c r="E152" s="32" t="e">
        <f>VLOOKUP(A1,DIV_05Data!$A$1:$DZU$1000000,2573,FALSE)</f>
        <v>#N/A</v>
      </c>
      <c r="F152" s="34" t="e">
        <f>VLOOKUP(A1,DIV_05Data!$A$1:$DZU$1000000,2574,FALSE)</f>
        <v>#N/A</v>
      </c>
      <c r="G152" s="33" t="e">
        <f>VLOOKUP(A1,DIV_05Data!$A$1:$DZU$1000000,2575,FALSE)</f>
        <v>#N/A</v>
      </c>
      <c r="H152" s="34" t="e">
        <f>VLOOKUP(A1,DIV_05Data!$A$1:$DZU$1000000,2576,FALSE)</f>
        <v>#N/A</v>
      </c>
      <c r="I152" s="33" t="e">
        <f>VLOOKUP(A1,DIV_05Data!$A$1:$DZU$1000000,2577,FALSE)</f>
        <v>#N/A</v>
      </c>
      <c r="J152" s="34" t="e">
        <f>VLOOKUP(A1,DIV_05Data!$A$1:$DZU$1000000,2578,FALSE)</f>
        <v>#N/A</v>
      </c>
      <c r="K152" s="34" t="e">
        <f>VLOOKUP(A1,DIV_05Data!$A$1:$DZU$1000000,2579,FALSE)</f>
        <v>#N/A</v>
      </c>
      <c r="L152" s="93" t="e">
        <f>VLOOKUP(A1,DIV_05Data!$A$1:$DZU$1000000,2580,FALSE)</f>
        <v>#N/A</v>
      </c>
      <c r="M152" s="33" t="e">
        <f>VLOOKUP(A1,DIV_05Data!$A$1:$DZU$1000000,2581,FALSE)</f>
        <v>#N/A</v>
      </c>
      <c r="N152" s="34" t="e">
        <f>VLOOKUP(A1,DIV_05Data!$A$1:$DZU$1000000,2582,FALSE)</f>
        <v>#N/A</v>
      </c>
      <c r="O152" s="33" t="e">
        <f>VLOOKUP(A1,DIV_05Data!$A$1:$DZU$1000000,2583,FALSE)</f>
        <v>#N/A</v>
      </c>
      <c r="P152" s="116" t="e">
        <f>VLOOKUP(A1,DIV_05Data!$A$1:$DZU$1000000,2584,FALSE)</f>
        <v>#N/A</v>
      </c>
      <c r="Q152" s="268" t="e">
        <f>VLOOKUP(A1,DIV_05Data!$A$1:$DZU$1000000,2585,FALSE)</f>
        <v>#N/A</v>
      </c>
    </row>
    <row r="153" spans="1:17" x14ac:dyDescent="0.35">
      <c r="A153" s="265" t="e">
        <f>VLOOKUP(A1,DIV_05Data!$A$1:$DZU$1000000,2586,FALSE)</f>
        <v>#N/A</v>
      </c>
      <c r="B153" s="37" t="e">
        <f>VLOOKUP(A1,DIV_05Data!$A$1:$DZU$1000000,2587,FALSE)</f>
        <v>#N/A</v>
      </c>
      <c r="C153" s="38" t="e">
        <f>VLOOKUP(A1,DIV_05Data!$A$1:$DZU$1000000,2588,FALSE)</f>
        <v>#N/A</v>
      </c>
      <c r="D153" s="31" t="e">
        <f>VLOOKUP(A1,DIV_05Data!$A$1:$DZU$1000000,2589,FALSE)</f>
        <v>#N/A</v>
      </c>
      <c r="E153" s="32" t="e">
        <f>VLOOKUP(A1,DIV_05Data!$A$1:$DZU$1000000,2590,FALSE)</f>
        <v>#N/A</v>
      </c>
      <c r="F153" s="34" t="e">
        <f>VLOOKUP(A1,DIV_05Data!$A$1:$DZU$1000000,2591,FALSE)</f>
        <v>#N/A</v>
      </c>
      <c r="G153" s="33" t="e">
        <f>VLOOKUP(A1,DIV_05Data!$A$1:$DZU$1000000,2592,FALSE)</f>
        <v>#N/A</v>
      </c>
      <c r="H153" s="34" t="e">
        <f>VLOOKUP(A1,DIV_05Data!$A$1:$DZU$1000000,2593,FALSE)</f>
        <v>#N/A</v>
      </c>
      <c r="I153" s="33" t="e">
        <f>VLOOKUP(A1,DIV_05Data!$A$1:$DZU$1000000,2594,FALSE)</f>
        <v>#N/A</v>
      </c>
      <c r="J153" s="34" t="e">
        <f>VLOOKUP(A1,DIV_05Data!$A$1:$DZU$1000000,2595,FALSE)</f>
        <v>#N/A</v>
      </c>
      <c r="K153" s="34" t="e">
        <f>VLOOKUP(A1,DIV_05Data!$A$1:$DZU$1000000,2596,FALSE)</f>
        <v>#N/A</v>
      </c>
      <c r="L153" s="93" t="e">
        <f>VLOOKUP(A1,DIV_05Data!$A$1:$DZU$1000000,2597,FALSE)</f>
        <v>#N/A</v>
      </c>
      <c r="M153" s="33" t="e">
        <f>VLOOKUP(A1,DIV_05Data!$A$1:$DZU$1000000,2598,FALSE)</f>
        <v>#N/A</v>
      </c>
      <c r="N153" s="34" t="e">
        <f>VLOOKUP(A1,DIV_05Data!$A$1:$DZU$1000000,2599,FALSE)</f>
        <v>#N/A</v>
      </c>
      <c r="O153" s="33" t="e">
        <f>VLOOKUP(A1,DIV_05Data!$A$1:$DZU$1000000,2600,FALSE)</f>
        <v>#N/A</v>
      </c>
      <c r="P153" s="116" t="e">
        <f>VLOOKUP(A1,DIV_05Data!$A$1:$DZU$1000000,2601,FALSE)</f>
        <v>#N/A</v>
      </c>
      <c r="Q153" s="268" t="e">
        <f>VLOOKUP(A1,DIV_05Data!$A$1:$DZU$1000000,2602,FALSE)</f>
        <v>#N/A</v>
      </c>
    </row>
    <row r="154" spans="1:17" x14ac:dyDescent="0.35">
      <c r="A154" s="265" t="e">
        <f>VLOOKUP(A1,DIV_05Data!$A$1:$DZU$1000000,2603,FALSE)</f>
        <v>#N/A</v>
      </c>
      <c r="B154" s="37" t="e">
        <f>VLOOKUP(A1,DIV_05Data!$A$1:$DZU$1000000,2604,FALSE)</f>
        <v>#N/A</v>
      </c>
      <c r="C154" s="38" t="e">
        <f>VLOOKUP(A1,DIV_05Data!$A$1:$DZU$1000000,2605,FALSE)</f>
        <v>#N/A</v>
      </c>
      <c r="D154" s="31" t="e">
        <f>VLOOKUP(A1,DIV_05Data!$A$1:$DZU$1000000,2606,FALSE)</f>
        <v>#N/A</v>
      </c>
      <c r="E154" s="32" t="e">
        <f>VLOOKUP(A1,DIV_05Data!$A$1:$DZU$1000000,2607,FALSE)</f>
        <v>#N/A</v>
      </c>
      <c r="F154" s="34" t="e">
        <f>VLOOKUP(A1,DIV_05Data!$A$1:$DZU$1000000,2608,FALSE)</f>
        <v>#N/A</v>
      </c>
      <c r="G154" s="33" t="e">
        <f>VLOOKUP(A1,DIV_05Data!$A$1:$DZU$1000000,2609,FALSE)</f>
        <v>#N/A</v>
      </c>
      <c r="H154" s="34" t="e">
        <f>VLOOKUP(A1,DIV_05Data!$A$1:$DZU$1000000,2610,FALSE)</f>
        <v>#N/A</v>
      </c>
      <c r="I154" s="33" t="e">
        <f>VLOOKUP(A1,DIV_05Data!$A$1:$DZU$1000000,2611,FALSE)</f>
        <v>#N/A</v>
      </c>
      <c r="J154" s="34" t="e">
        <f>VLOOKUP(A1,DIV_05Data!$A$1:$DZU$1000000,2612,FALSE)</f>
        <v>#N/A</v>
      </c>
      <c r="K154" s="34" t="e">
        <f>VLOOKUP(A1,DIV_05Data!$A$1:$DZU$1000000,2613,FALSE)</f>
        <v>#N/A</v>
      </c>
      <c r="L154" s="93" t="e">
        <f>VLOOKUP(A1,DIV_05Data!$A$1:$DZU$1000000,2614,FALSE)</f>
        <v>#N/A</v>
      </c>
      <c r="M154" s="33" t="e">
        <f>VLOOKUP(A1,DIV_05Data!$A$1:$DZU$1000000,2615,FALSE)</f>
        <v>#N/A</v>
      </c>
      <c r="N154" s="34" t="e">
        <f>VLOOKUP(A1,DIV_05Data!$A$1:$DZU$1000000,2616,FALSE)</f>
        <v>#N/A</v>
      </c>
      <c r="O154" s="33" t="e">
        <f>VLOOKUP(A1,DIV_05Data!$A$1:$DZU$1000000,2617,FALSE)</f>
        <v>#N/A</v>
      </c>
      <c r="P154" s="116" t="e">
        <f>VLOOKUP(A1,DIV_05Data!$A$1:$DZU$1000000,2618,FALSE)</f>
        <v>#N/A</v>
      </c>
      <c r="Q154" s="268" t="e">
        <f>VLOOKUP(A1,DIV_05Data!$A$1:$DZU$1000000,2619,FALSE)</f>
        <v>#N/A</v>
      </c>
    </row>
    <row r="155" spans="1:17" x14ac:dyDescent="0.35">
      <c r="A155" s="265" t="e">
        <f>VLOOKUP(A1,DIV_05Data!$A$1:$DZU$1000000,2620,FALSE)</f>
        <v>#N/A</v>
      </c>
      <c r="B155" s="37" t="e">
        <f>VLOOKUP(A1,DIV_05Data!$A$1:$DZU$1000000,2621,FALSE)</f>
        <v>#N/A</v>
      </c>
      <c r="C155" s="38" t="e">
        <f>VLOOKUP(A1,DIV_05Data!$A$1:$DZU$1000000,2622,FALSE)</f>
        <v>#N/A</v>
      </c>
      <c r="D155" s="31" t="e">
        <f>VLOOKUP(A1,DIV_05Data!$A$1:$DZU$1000000,2623,FALSE)</f>
        <v>#N/A</v>
      </c>
      <c r="E155" s="32" t="e">
        <f>VLOOKUP(A1,DIV_05Data!$A$1:$DZU$1000000,2624,FALSE)</f>
        <v>#N/A</v>
      </c>
      <c r="F155" s="34" t="e">
        <f>VLOOKUP(A1,DIV_05Data!$A$1:$DZU$1000000,2625,FALSE)</f>
        <v>#N/A</v>
      </c>
      <c r="G155" s="33" t="e">
        <f>VLOOKUP(A1,DIV_05Data!$A$1:$DZU$1000000,2626,FALSE)</f>
        <v>#N/A</v>
      </c>
      <c r="H155" s="34" t="e">
        <f>VLOOKUP(A1,DIV_05Data!$A$1:$DZU$1000000,2627,FALSE)</f>
        <v>#N/A</v>
      </c>
      <c r="I155" s="33" t="e">
        <f>VLOOKUP(A1,DIV_05Data!$A$1:$DZU$1000000,2628,FALSE)</f>
        <v>#N/A</v>
      </c>
      <c r="J155" s="34" t="e">
        <f>VLOOKUP(A1,DIV_05Data!$A$1:$DZU$1000000,2629,FALSE)</f>
        <v>#N/A</v>
      </c>
      <c r="K155" s="34" t="e">
        <f>VLOOKUP(A1,DIV_05Data!$A$1:$DZU$1000000,2630,FALSE)</f>
        <v>#N/A</v>
      </c>
      <c r="L155" s="93" t="e">
        <f>VLOOKUP(A1,DIV_05Data!$A$1:$DZU$1000000,2631,FALSE)</f>
        <v>#N/A</v>
      </c>
      <c r="M155" s="33" t="e">
        <f>VLOOKUP(A1,DIV_05Data!$A$1:$DZU$1000000,2632,FALSE)</f>
        <v>#N/A</v>
      </c>
      <c r="N155" s="34" t="e">
        <f>VLOOKUP(A1,DIV_05Data!$A$1:$DZU$1000000,2633,FALSE)</f>
        <v>#N/A</v>
      </c>
      <c r="O155" s="33" t="e">
        <f>VLOOKUP(A1,DIV_05Data!$A$1:$DZU$1000000,2634,FALSE)</f>
        <v>#N/A</v>
      </c>
      <c r="P155" s="116" t="e">
        <f>VLOOKUP(A1,DIV_05Data!$A$1:$DZU$1000000,2635,FALSE)</f>
        <v>#N/A</v>
      </c>
      <c r="Q155" s="268" t="e">
        <f>VLOOKUP(A1,DIV_05Data!$A$1:$DZU$1000000,2636,FALSE)</f>
        <v>#N/A</v>
      </c>
    </row>
    <row r="156" spans="1:17" x14ac:dyDescent="0.35">
      <c r="A156" s="265" t="e">
        <f>VLOOKUP(A1,DIV_05Data!$A$1:$DZU$1000000,2637,FALSE)</f>
        <v>#N/A</v>
      </c>
      <c r="B156" s="37" t="e">
        <f>VLOOKUP(A1,DIV_05Data!$A$1:$DZU$1000000,2638,FALSE)</f>
        <v>#N/A</v>
      </c>
      <c r="C156" s="38" t="e">
        <f>VLOOKUP(A1,DIV_05Data!$A$1:$DZU$1000000,2639,FALSE)</f>
        <v>#N/A</v>
      </c>
      <c r="D156" s="31" t="e">
        <f>VLOOKUP(A1,DIV_05Data!$A$1:$DZU$1000000,2640,FALSE)</f>
        <v>#N/A</v>
      </c>
      <c r="E156" s="32" t="e">
        <f>VLOOKUP(A1,DIV_05Data!$A$1:$DZU$1000000,2641,FALSE)</f>
        <v>#N/A</v>
      </c>
      <c r="F156" s="34" t="e">
        <f>VLOOKUP(A1,DIV_05Data!$A$1:$DZU$1000000,2642,FALSE)</f>
        <v>#N/A</v>
      </c>
      <c r="G156" s="33" t="e">
        <f>VLOOKUP(A1,DIV_05Data!$A$1:$DZU$1000000,2643,FALSE)</f>
        <v>#N/A</v>
      </c>
      <c r="H156" s="34" t="e">
        <f>VLOOKUP(A1,DIV_05Data!$A$1:$DZU$1000000,2644,FALSE)</f>
        <v>#N/A</v>
      </c>
      <c r="I156" s="33" t="e">
        <f>VLOOKUP(A1,DIV_05Data!$A$1:$DZU$1000000,2645,FALSE)</f>
        <v>#N/A</v>
      </c>
      <c r="J156" s="34" t="e">
        <f>VLOOKUP(A1,DIV_05Data!$A$1:$DZU$1000000,2646,FALSE)</f>
        <v>#N/A</v>
      </c>
      <c r="K156" s="34" t="e">
        <f>VLOOKUP(A1,DIV_05Data!$A$1:$DZU$1000000,2647,FALSE)</f>
        <v>#N/A</v>
      </c>
      <c r="L156" s="93" t="e">
        <f>VLOOKUP(A1,DIV_05Data!$A$1:$DZU$1000000,2648,FALSE)</f>
        <v>#N/A</v>
      </c>
      <c r="M156" s="33" t="e">
        <f>VLOOKUP(A1,DIV_05Data!$A$1:$DZU$1000000,2649,FALSE)</f>
        <v>#N/A</v>
      </c>
      <c r="N156" s="34" t="e">
        <f>VLOOKUP(A1,DIV_05Data!$A$1:$DZU$1000000,2650,FALSE)</f>
        <v>#N/A</v>
      </c>
      <c r="O156" s="33" t="e">
        <f>VLOOKUP(A1,DIV_05Data!$A$1:$DZU$1000000,2651,FALSE)</f>
        <v>#N/A</v>
      </c>
      <c r="P156" s="116" t="e">
        <f>VLOOKUP(A1,DIV_05Data!$A$1:$DZU$1000000,2652,FALSE)</f>
        <v>#N/A</v>
      </c>
      <c r="Q156" s="268" t="e">
        <f>VLOOKUP(A1,DIV_05Data!$A$1:$DZU$1000000,2653,FALSE)</f>
        <v>#N/A</v>
      </c>
    </row>
    <row r="157" spans="1:17" x14ac:dyDescent="0.35">
      <c r="A157" s="265" t="e">
        <f>VLOOKUP(A1,DIV_05Data!$A$1:$DZU$1000000,2654,FALSE)</f>
        <v>#N/A</v>
      </c>
      <c r="B157" s="37" t="e">
        <f>VLOOKUP(A1,DIV_05Data!$A$1:$DZU$1000000,2655,FALSE)</f>
        <v>#N/A</v>
      </c>
      <c r="C157" s="38" t="e">
        <f>VLOOKUP(A1,DIV_05Data!$A$1:$DZU$1000000,2656,FALSE)</f>
        <v>#N/A</v>
      </c>
      <c r="D157" s="31" t="e">
        <f>VLOOKUP(A1,DIV_05Data!$A$1:$DZU$1000000,2657,FALSE)</f>
        <v>#N/A</v>
      </c>
      <c r="E157" s="32" t="e">
        <f>VLOOKUP(A1,DIV_05Data!$A$1:$DZU$1000000,2658,FALSE)</f>
        <v>#N/A</v>
      </c>
      <c r="F157" s="34" t="e">
        <f>VLOOKUP(A1,DIV_05Data!$A$1:$DZU$1000000,2659,FALSE)</f>
        <v>#N/A</v>
      </c>
      <c r="G157" s="33" t="e">
        <f>VLOOKUP(A1,DIV_05Data!$A$1:$DZU$1000000,2660,FALSE)</f>
        <v>#N/A</v>
      </c>
      <c r="H157" s="34" t="e">
        <f>VLOOKUP(A1,DIV_05Data!$A$1:$DZU$1000000,2661,FALSE)</f>
        <v>#N/A</v>
      </c>
      <c r="I157" s="33" t="e">
        <f>VLOOKUP(A1,DIV_05Data!$A$1:$DZU$1000000,2662,FALSE)</f>
        <v>#N/A</v>
      </c>
      <c r="J157" s="34" t="e">
        <f>VLOOKUP(A1,DIV_05Data!$A$1:$DZU$1000000,2663,FALSE)</f>
        <v>#N/A</v>
      </c>
      <c r="K157" s="34" t="e">
        <f>VLOOKUP(A1,DIV_05Data!$A$1:$DZU$1000000,2664,FALSE)</f>
        <v>#N/A</v>
      </c>
      <c r="L157" s="93" t="e">
        <f>VLOOKUP(A1,DIV_05Data!$A$1:$DZU$1000000,2665,FALSE)</f>
        <v>#N/A</v>
      </c>
      <c r="M157" s="33" t="e">
        <f>VLOOKUP(A1,DIV_05Data!$A$1:$DZU$1000000,2666,FALSE)</f>
        <v>#N/A</v>
      </c>
      <c r="N157" s="34" t="e">
        <f>VLOOKUP(A1,DIV_05Data!$A$1:$DZU$1000000,2667,FALSE)</f>
        <v>#N/A</v>
      </c>
      <c r="O157" s="33" t="e">
        <f>VLOOKUP(A1,DIV_05Data!$A$1:$DZU$1000000,2668,FALSE)</f>
        <v>#N/A</v>
      </c>
      <c r="P157" s="116" t="e">
        <f>VLOOKUP(A1,DIV_05Data!$A$1:$DZU$1000000,2669,FALSE)</f>
        <v>#N/A</v>
      </c>
      <c r="Q157" s="268" t="e">
        <f>VLOOKUP(A1,DIV_05Data!$A$1:$DZU$1000000,2670,FALSE)</f>
        <v>#N/A</v>
      </c>
    </row>
    <row r="158" spans="1:17" x14ac:dyDescent="0.35">
      <c r="A158" s="265" t="e">
        <f>VLOOKUP(A1,DIV_05Data!$A$1:$DZU$1000000,2671,FALSE)</f>
        <v>#N/A</v>
      </c>
      <c r="B158" s="37" t="e">
        <f>VLOOKUP(A1,DIV_05Data!$A$1:$DZU$1000000,2672,FALSE)</f>
        <v>#N/A</v>
      </c>
      <c r="C158" s="38" t="e">
        <f>VLOOKUP(A1,DIV_05Data!$A$1:$DZU$1000000,2673,FALSE)</f>
        <v>#N/A</v>
      </c>
      <c r="D158" s="31" t="e">
        <f>VLOOKUP(A1,DIV_05Data!$A$1:$DZU$1000000,2674,FALSE)</f>
        <v>#N/A</v>
      </c>
      <c r="E158" s="32" t="e">
        <f>VLOOKUP(A1,DIV_05Data!$A$1:$DZU$1000000,2675,FALSE)</f>
        <v>#N/A</v>
      </c>
      <c r="F158" s="34" t="e">
        <f>VLOOKUP(A1,DIV_05Data!$A$1:$DZU$1000000,2676,FALSE)</f>
        <v>#N/A</v>
      </c>
      <c r="G158" s="33" t="e">
        <f>VLOOKUP(A1,DIV_05Data!$A$1:$DZU$1000000,2677,FALSE)</f>
        <v>#N/A</v>
      </c>
      <c r="H158" s="34" t="e">
        <f>VLOOKUP(A1,DIV_05Data!$A$1:$DZU$1000000,2678,FALSE)</f>
        <v>#N/A</v>
      </c>
      <c r="I158" s="33" t="e">
        <f>VLOOKUP(A1,DIV_05Data!$A$1:$DZU$1000000,2679,FALSE)</f>
        <v>#N/A</v>
      </c>
      <c r="J158" s="34" t="e">
        <f>VLOOKUP(A1,DIV_05Data!$A$1:$DZU$1000000,2680,FALSE)</f>
        <v>#N/A</v>
      </c>
      <c r="K158" s="34" t="e">
        <f>VLOOKUP(A1,DIV_05Data!$A$1:$DZU$1000000,2681,FALSE)</f>
        <v>#N/A</v>
      </c>
      <c r="L158" s="93" t="e">
        <f>VLOOKUP(A1,DIV_05Data!$A$1:$DZU$1000000,2682,FALSE)</f>
        <v>#N/A</v>
      </c>
      <c r="M158" s="33" t="e">
        <f>VLOOKUP(A1,DIV_05Data!$A$1:$DZU$1000000,2683,FALSE)</f>
        <v>#N/A</v>
      </c>
      <c r="N158" s="34" t="e">
        <f>VLOOKUP(A1,DIV_05Data!$A$1:$DZU$1000000,2684,FALSE)</f>
        <v>#N/A</v>
      </c>
      <c r="O158" s="33" t="e">
        <f>VLOOKUP(A1,DIV_05Data!$A$1:$DZU$1000000,2685,FALSE)</f>
        <v>#N/A</v>
      </c>
      <c r="P158" s="116" t="e">
        <f>VLOOKUP(A1,DIV_05Data!$A$1:$DZU$1000000,2686,FALSE)</f>
        <v>#N/A</v>
      </c>
      <c r="Q158" s="268" t="e">
        <f>VLOOKUP(A1,DIV_05Data!$A$1:$DZU$1000000,2687,FALSE)</f>
        <v>#N/A</v>
      </c>
    </row>
    <row r="159" spans="1:17" x14ac:dyDescent="0.35">
      <c r="A159" s="265" t="e">
        <f>VLOOKUP(A1,DIV_05Data!$A$1:$DZU$1000000,2688,FALSE)</f>
        <v>#N/A</v>
      </c>
      <c r="B159" s="37" t="e">
        <f>VLOOKUP(A1,DIV_05Data!$A$1:$DZU$1000000,2689,FALSE)</f>
        <v>#N/A</v>
      </c>
      <c r="C159" s="38" t="e">
        <f>VLOOKUP(A1,DIV_05Data!$A$1:$DZU$1000000,2690,FALSE)</f>
        <v>#N/A</v>
      </c>
      <c r="D159" s="31" t="e">
        <f>VLOOKUP(A1,DIV_05Data!$A$1:$DZU$1000000,2691,FALSE)</f>
        <v>#N/A</v>
      </c>
      <c r="E159" s="32" t="e">
        <f>VLOOKUP(A1,DIV_05Data!$A$1:$DZU$1000000,2692,FALSE)</f>
        <v>#N/A</v>
      </c>
      <c r="F159" s="34" t="e">
        <f>VLOOKUP(A1,DIV_05Data!$A$1:$DZU$1000000,2693,FALSE)</f>
        <v>#N/A</v>
      </c>
      <c r="G159" s="33" t="e">
        <f>VLOOKUP(A1,DIV_05Data!$A$1:$DZU$1000000,2694,FALSE)</f>
        <v>#N/A</v>
      </c>
      <c r="H159" s="34" t="e">
        <f>VLOOKUP(A1,DIV_05Data!$A$1:$DZU$1000000,2695,FALSE)</f>
        <v>#N/A</v>
      </c>
      <c r="I159" s="33" t="e">
        <f>VLOOKUP(A1,DIV_05Data!$A$1:$DZU$1000000,2696,FALSE)</f>
        <v>#N/A</v>
      </c>
      <c r="J159" s="34" t="e">
        <f>VLOOKUP(A1,DIV_05Data!$A$1:$DZU$1000000,2697,FALSE)</f>
        <v>#N/A</v>
      </c>
      <c r="K159" s="34" t="e">
        <f>VLOOKUP(A1,DIV_05Data!$A$1:$DZU$1000000,2698,FALSE)</f>
        <v>#N/A</v>
      </c>
      <c r="L159" s="93" t="e">
        <f>VLOOKUP(A1,DIV_05Data!$A$1:$DZU$1000000,2699,FALSE)</f>
        <v>#N/A</v>
      </c>
      <c r="M159" s="33" t="e">
        <f>VLOOKUP(A1,DIV_05Data!$A$1:$DZU$1000000,2700,FALSE)</f>
        <v>#N/A</v>
      </c>
      <c r="N159" s="34" t="e">
        <f>VLOOKUP(A1,DIV_05Data!$A$1:$DZU$1000000,2701,FALSE)</f>
        <v>#N/A</v>
      </c>
      <c r="O159" s="33" t="e">
        <f>VLOOKUP(A1,DIV_05Data!$A$1:$DZU$1000000,2702,FALSE)</f>
        <v>#N/A</v>
      </c>
      <c r="P159" s="116" t="e">
        <f>VLOOKUP(A1,DIV_05Data!$A$1:$DZU$1000000,2703,FALSE)</f>
        <v>#N/A</v>
      </c>
      <c r="Q159" s="268" t="e">
        <f>VLOOKUP(A1,DIV_05Data!$A$1:$DZU$1000000,2704,FALSE)</f>
        <v>#N/A</v>
      </c>
    </row>
    <row r="160" spans="1:17" x14ac:dyDescent="0.35">
      <c r="A160" s="265" t="e">
        <f>VLOOKUP(A1,DIV_05Data!$A$1:$DZU$1000000,2705,FALSE)</f>
        <v>#N/A</v>
      </c>
      <c r="B160" s="37" t="e">
        <f>VLOOKUP(A1,DIV_05Data!$A$1:$DZU$1000000,2706,FALSE)</f>
        <v>#N/A</v>
      </c>
      <c r="C160" s="38" t="e">
        <f>VLOOKUP(A1,DIV_05Data!$A$1:$DZU$1000000,2707,FALSE)</f>
        <v>#N/A</v>
      </c>
      <c r="D160" s="31" t="e">
        <f>VLOOKUP(A1,DIV_05Data!$A$1:$DZU$1000000,2708,FALSE)</f>
        <v>#N/A</v>
      </c>
      <c r="E160" s="32" t="e">
        <f>VLOOKUP(A1,DIV_05Data!$A$1:$DZU$1000000,2709,FALSE)</f>
        <v>#N/A</v>
      </c>
      <c r="F160" s="34" t="e">
        <f>VLOOKUP(A1,DIV_05Data!$A$1:$DZU$1000000,2710,FALSE)</f>
        <v>#N/A</v>
      </c>
      <c r="G160" s="33" t="e">
        <f>VLOOKUP(A1,DIV_05Data!$A$1:$DZU$1000000,2711,FALSE)</f>
        <v>#N/A</v>
      </c>
      <c r="H160" s="34" t="e">
        <f>VLOOKUP(A1,DIV_05Data!$A$1:$DZU$1000000,2712,FALSE)</f>
        <v>#N/A</v>
      </c>
      <c r="I160" s="33" t="e">
        <f>VLOOKUP(A1,DIV_05Data!$A$1:$DZU$1000000,2713,FALSE)</f>
        <v>#N/A</v>
      </c>
      <c r="J160" s="34" t="e">
        <f>VLOOKUP(A1,DIV_05Data!$A$1:$DZU$1000000,2714,FALSE)</f>
        <v>#N/A</v>
      </c>
      <c r="K160" s="34" t="e">
        <f>VLOOKUP(A1,DIV_05Data!$A$1:$DZU$1000000,2715,FALSE)</f>
        <v>#N/A</v>
      </c>
      <c r="L160" s="93" t="e">
        <f>VLOOKUP(A1,DIV_05Data!$A$1:$DZU$1000000,2716,FALSE)</f>
        <v>#N/A</v>
      </c>
      <c r="M160" s="33" t="e">
        <f>VLOOKUP(A1,DIV_05Data!$A$1:$DZU$1000000,2717,FALSE)</f>
        <v>#N/A</v>
      </c>
      <c r="N160" s="34" t="e">
        <f>VLOOKUP(A1,DIV_05Data!$A$1:$DZU$1000000,2718,FALSE)</f>
        <v>#N/A</v>
      </c>
      <c r="O160" s="33" t="e">
        <f>VLOOKUP(A1,DIV_05Data!$A$1:$DZU$1000000,2719,FALSE)</f>
        <v>#N/A</v>
      </c>
      <c r="P160" s="116" t="e">
        <f>VLOOKUP(A1,DIV_05Data!$A$1:$DZU$1000000,2720,FALSE)</f>
        <v>#N/A</v>
      </c>
      <c r="Q160" s="268" t="e">
        <f>VLOOKUP(A1,DIV_05Data!$A$1:$DZU$1000000,2721,FALSE)</f>
        <v>#N/A</v>
      </c>
    </row>
    <row r="161" spans="1:17" x14ac:dyDescent="0.35">
      <c r="A161" s="265" t="e">
        <f>VLOOKUP(A1,DIV_05Data!$A$1:$DZU$1000000,2722,FALSE)</f>
        <v>#N/A</v>
      </c>
      <c r="B161" s="37" t="e">
        <f>VLOOKUP(A1,DIV_05Data!$A$1:$DZU$1000000,2723,FALSE)</f>
        <v>#N/A</v>
      </c>
      <c r="C161" s="38" t="e">
        <f>VLOOKUP(A1,DIV_05Data!$A$1:$DZU$1000000,2724,FALSE)</f>
        <v>#N/A</v>
      </c>
      <c r="D161" s="31" t="e">
        <f>VLOOKUP(A1,DIV_05Data!$A$1:$DZU$1000000,2725,FALSE)</f>
        <v>#N/A</v>
      </c>
      <c r="E161" s="32" t="e">
        <f>VLOOKUP(A1,DIV_05Data!$A$1:$DZU$1000000,2726,FALSE)</f>
        <v>#N/A</v>
      </c>
      <c r="F161" s="34" t="e">
        <f>VLOOKUP(A1,DIV_05Data!$A$1:$DZU$1000000,2727,FALSE)</f>
        <v>#N/A</v>
      </c>
      <c r="G161" s="33" t="e">
        <f>VLOOKUP(A1,DIV_05Data!$A$1:$DZU$1000000,2728,FALSE)</f>
        <v>#N/A</v>
      </c>
      <c r="H161" s="34" t="e">
        <f>VLOOKUP(A1,DIV_05Data!$A$1:$DZU$1000000,2729,FALSE)</f>
        <v>#N/A</v>
      </c>
      <c r="I161" s="33" t="e">
        <f>VLOOKUP(A1,DIV_05Data!$A$1:$DZU$1000000,2730,FALSE)</f>
        <v>#N/A</v>
      </c>
      <c r="J161" s="34" t="e">
        <f>VLOOKUP(A1,DIV_05Data!$A$1:$DZU$1000000,2731,FALSE)</f>
        <v>#N/A</v>
      </c>
      <c r="K161" s="34" t="e">
        <f>VLOOKUP(A1,DIV_05Data!$A$1:$DZU$1000000,2732,FALSE)</f>
        <v>#N/A</v>
      </c>
      <c r="L161" s="93" t="e">
        <f>VLOOKUP(A1,DIV_05Data!$A$1:$DZU$1000000,2733,FALSE)</f>
        <v>#N/A</v>
      </c>
      <c r="M161" s="33" t="e">
        <f>VLOOKUP(A1,DIV_05Data!$A$1:$DZU$1000000,2734,FALSE)</f>
        <v>#N/A</v>
      </c>
      <c r="N161" s="34" t="e">
        <f>VLOOKUP(A1,DIV_05Data!$A$1:$DZU$1000000,2735,FALSE)</f>
        <v>#N/A</v>
      </c>
      <c r="O161" s="33" t="e">
        <f>VLOOKUP(A1,DIV_05Data!$A$1:$DZU$1000000,2736,FALSE)</f>
        <v>#N/A</v>
      </c>
      <c r="P161" s="116" t="e">
        <f>VLOOKUP(A1,DIV_05Data!$A$1:$DZU$1000000,2737,FALSE)</f>
        <v>#N/A</v>
      </c>
      <c r="Q161" s="268" t="e">
        <f>VLOOKUP(A1,DIV_05Data!$A$1:$DZU$1000000,2738,FALSE)</f>
        <v>#N/A</v>
      </c>
    </row>
    <row r="162" spans="1:17" x14ac:dyDescent="0.35">
      <c r="A162" s="265" t="e">
        <f>VLOOKUP(A1,DIV_05Data!$A$1:$DZU$1000000,2739,FALSE)</f>
        <v>#N/A</v>
      </c>
      <c r="B162" s="37" t="e">
        <f>VLOOKUP(A1,DIV_05Data!$A$1:$DZU$1000000,2740,FALSE)</f>
        <v>#N/A</v>
      </c>
      <c r="C162" s="38" t="e">
        <f>VLOOKUP(A1,DIV_05Data!$A$1:$DZU$1000000,2741,FALSE)</f>
        <v>#N/A</v>
      </c>
      <c r="D162" s="31" t="e">
        <f>VLOOKUP(A1,DIV_05Data!$A$1:$DZU$1000000,2742,FALSE)</f>
        <v>#N/A</v>
      </c>
      <c r="E162" s="32" t="e">
        <f>VLOOKUP(A1,DIV_05Data!$A$1:$DZU$1000000,2743,FALSE)</f>
        <v>#N/A</v>
      </c>
      <c r="F162" s="34" t="e">
        <f>VLOOKUP(A1,DIV_05Data!$A$1:$DZU$1000000,2744,FALSE)</f>
        <v>#N/A</v>
      </c>
      <c r="G162" s="33" t="e">
        <f>VLOOKUP(A1,DIV_05Data!$A$1:$DZU$1000000,2745,FALSE)</f>
        <v>#N/A</v>
      </c>
      <c r="H162" s="34" t="e">
        <f>VLOOKUP(A1,DIV_05Data!$A$1:$DZU$1000000,2746,FALSE)</f>
        <v>#N/A</v>
      </c>
      <c r="I162" s="33" t="e">
        <f>VLOOKUP(A1,DIV_05Data!$A$1:$DZU$1000000,2747,FALSE)</f>
        <v>#N/A</v>
      </c>
      <c r="J162" s="34" t="e">
        <f>VLOOKUP(A1,DIV_05Data!$A$1:$DZU$1000000,2748,FALSE)</f>
        <v>#N/A</v>
      </c>
      <c r="K162" s="34" t="e">
        <f>VLOOKUP(A1,DIV_05Data!$A$1:$DZU$1000000,2749,FALSE)</f>
        <v>#N/A</v>
      </c>
      <c r="L162" s="93" t="e">
        <f>VLOOKUP(A1,DIV_05Data!$A$1:$DZU$1000000,2750,FALSE)</f>
        <v>#N/A</v>
      </c>
      <c r="M162" s="33" t="e">
        <f>VLOOKUP(A1,DIV_05Data!$A$1:$DZU$1000000,2751,FALSE)</f>
        <v>#N/A</v>
      </c>
      <c r="N162" s="34" t="e">
        <f>VLOOKUP(A1,DIV_05Data!$A$1:$DZU$1000000,2752,FALSE)</f>
        <v>#N/A</v>
      </c>
      <c r="O162" s="33" t="e">
        <f>VLOOKUP(A1,DIV_05Data!$A$1:$DZU$1000000,2753,FALSE)</f>
        <v>#N/A</v>
      </c>
      <c r="P162" s="116" t="e">
        <f>VLOOKUP(A1,DIV_05Data!$A$1:$DZU$1000000,2754,FALSE)</f>
        <v>#N/A</v>
      </c>
      <c r="Q162" s="268" t="e">
        <f>VLOOKUP(A1,DIV_05Data!$A$1:$DZU$1000000,2755,FALSE)</f>
        <v>#N/A</v>
      </c>
    </row>
    <row r="163" spans="1:17" x14ac:dyDescent="0.35">
      <c r="A163" s="265" t="e">
        <f>VLOOKUP(A1,DIV_05Data!$A$1:$DZU$1000000,2756,FALSE)</f>
        <v>#N/A</v>
      </c>
      <c r="B163" s="37" t="e">
        <f>VLOOKUP(A1,DIV_05Data!$A$1:$DZU$1000000,2757,FALSE)</f>
        <v>#N/A</v>
      </c>
      <c r="C163" s="38" t="e">
        <f>VLOOKUP(A1,DIV_05Data!$A$1:$DZU$1000000,2758,FALSE)</f>
        <v>#N/A</v>
      </c>
      <c r="D163" s="31" t="e">
        <f>VLOOKUP(A1,DIV_05Data!$A$1:$DZU$1000000,2759,FALSE)</f>
        <v>#N/A</v>
      </c>
      <c r="E163" s="32" t="e">
        <f>VLOOKUP(A1,DIV_05Data!$A$1:$DZU$1000000,2760,FALSE)</f>
        <v>#N/A</v>
      </c>
      <c r="F163" s="34" t="e">
        <f>VLOOKUP(A1,DIV_05Data!$A$1:$DZU$1000000,2761,FALSE)</f>
        <v>#N/A</v>
      </c>
      <c r="G163" s="33" t="e">
        <f>VLOOKUP(A1,DIV_05Data!$A$1:$DZU$1000000,2762,FALSE)</f>
        <v>#N/A</v>
      </c>
      <c r="H163" s="34" t="e">
        <f>VLOOKUP(A1,DIV_05Data!$A$1:$DZU$1000000,2763,FALSE)</f>
        <v>#N/A</v>
      </c>
      <c r="I163" s="33" t="e">
        <f>VLOOKUP(A1,DIV_05Data!$A$1:$DZU$1000000,2764,FALSE)</f>
        <v>#N/A</v>
      </c>
      <c r="J163" s="34" t="e">
        <f>VLOOKUP(A1,DIV_05Data!$A$1:$DZU$1000000,2765,FALSE)</f>
        <v>#N/A</v>
      </c>
      <c r="K163" s="34" t="e">
        <f>VLOOKUP(A1,DIV_05Data!$A$1:$DZU$1000000,2766,FALSE)</f>
        <v>#N/A</v>
      </c>
      <c r="L163" s="93" t="e">
        <f>VLOOKUP(A1,DIV_05Data!$A$1:$DZU$1000000,2767,FALSE)</f>
        <v>#N/A</v>
      </c>
      <c r="M163" s="33" t="e">
        <f>VLOOKUP(A1,DIV_05Data!$A$1:$DZU$1000000,2768,FALSE)</f>
        <v>#N/A</v>
      </c>
      <c r="N163" s="34" t="e">
        <f>VLOOKUP(A1,DIV_05Data!$A$1:$DZU$1000000,2769,FALSE)</f>
        <v>#N/A</v>
      </c>
      <c r="O163" s="33" t="e">
        <f>VLOOKUP(A1,DIV_05Data!$A$1:$DZU$1000000,2770,FALSE)</f>
        <v>#N/A</v>
      </c>
      <c r="P163" s="116" t="e">
        <f>VLOOKUP(A1,DIV_05Data!$A$1:$DZU$1000000,2771,FALSE)</f>
        <v>#N/A</v>
      </c>
      <c r="Q163" s="268" t="e">
        <f>VLOOKUP(A1,DIV_05Data!$A$1:$DZU$1000000,2772,FALSE)</f>
        <v>#N/A</v>
      </c>
    </row>
    <row r="164" spans="1:17" x14ac:dyDescent="0.35">
      <c r="A164" s="265" t="e">
        <f>VLOOKUP(A1,DIV_05Data!$A$1:$DZU$1000000,2773,FALSE)</f>
        <v>#N/A</v>
      </c>
      <c r="B164" s="37" t="e">
        <f>VLOOKUP(A1,DIV_05Data!$A$1:$DZU$1000000,2774,FALSE)</f>
        <v>#N/A</v>
      </c>
      <c r="C164" s="38" t="e">
        <f>VLOOKUP(A1,DIV_05Data!$A$1:$DZU$1000000,2775,FALSE)</f>
        <v>#N/A</v>
      </c>
      <c r="D164" s="31" t="e">
        <f>VLOOKUP(A1,DIV_05Data!$A$1:$DZU$1000000,2776,FALSE)</f>
        <v>#N/A</v>
      </c>
      <c r="E164" s="32" t="e">
        <f>VLOOKUP(A1,DIV_05Data!$A$1:$DZU$1000000,2777,FALSE)</f>
        <v>#N/A</v>
      </c>
      <c r="F164" s="34" t="e">
        <f>VLOOKUP(A1,DIV_05Data!$A$1:$DZU$1000000,2778,FALSE)</f>
        <v>#N/A</v>
      </c>
      <c r="G164" s="33" t="e">
        <f>VLOOKUP(A1,DIV_05Data!$A$1:$DZU$1000000,2779,FALSE)</f>
        <v>#N/A</v>
      </c>
      <c r="H164" s="34" t="e">
        <f>VLOOKUP(A1,DIV_05Data!$A$1:$DZU$1000000,2780,FALSE)</f>
        <v>#N/A</v>
      </c>
      <c r="I164" s="33" t="e">
        <f>VLOOKUP(A1,DIV_05Data!$A$1:$DZU$1000000,2781,FALSE)</f>
        <v>#N/A</v>
      </c>
      <c r="J164" s="34" t="e">
        <f>VLOOKUP(A1,DIV_05Data!$A$1:$DZU$1000000,2782,FALSE)</f>
        <v>#N/A</v>
      </c>
      <c r="K164" s="34" t="e">
        <f>VLOOKUP(A1,DIV_05Data!$A$1:$DZU$1000000,2783,FALSE)</f>
        <v>#N/A</v>
      </c>
      <c r="L164" s="93" t="e">
        <f>VLOOKUP(A1,DIV_05Data!$A$1:$DZU$1000000,2784,FALSE)</f>
        <v>#N/A</v>
      </c>
      <c r="M164" s="33" t="e">
        <f>VLOOKUP(A1,DIV_05Data!$A$1:$DZU$1000000,2785,FALSE)</f>
        <v>#N/A</v>
      </c>
      <c r="N164" s="34" t="e">
        <f>VLOOKUP(A1,DIV_05Data!$A$1:$DZU$1000000,2786,FALSE)</f>
        <v>#N/A</v>
      </c>
      <c r="O164" s="33" t="e">
        <f>VLOOKUP(A1,DIV_05Data!$A$1:$DZU$1000000,2787,FALSE)</f>
        <v>#N/A</v>
      </c>
      <c r="P164" s="116" t="e">
        <f>VLOOKUP(A1,DIV_05Data!$A$1:$DZU$1000000,2788,FALSE)</f>
        <v>#N/A</v>
      </c>
      <c r="Q164" s="268" t="e">
        <f>VLOOKUP(A1,DIV_05Data!$A$1:$DZU$1000000,2789,FALSE)</f>
        <v>#N/A</v>
      </c>
    </row>
    <row r="165" spans="1:17" x14ac:dyDescent="0.35">
      <c r="A165" s="265" t="e">
        <f>VLOOKUP(A1,DIV_05Data!$A$1:$DZU$1000000,2790,FALSE)</f>
        <v>#N/A</v>
      </c>
      <c r="B165" s="37" t="e">
        <f>VLOOKUP(A1,DIV_05Data!$A$1:$DZU$1000000,2791,FALSE)</f>
        <v>#N/A</v>
      </c>
      <c r="C165" s="38" t="e">
        <f>VLOOKUP(A1,DIV_05Data!$A$1:$DZU$1000000,2792,FALSE)</f>
        <v>#N/A</v>
      </c>
      <c r="D165" s="31" t="e">
        <f>VLOOKUP(A1,DIV_05Data!$A$1:$DZU$1000000,2793,FALSE)</f>
        <v>#N/A</v>
      </c>
      <c r="E165" s="32" t="e">
        <f>VLOOKUP(A1,DIV_05Data!$A$1:$DZU$1000000,2794,FALSE)</f>
        <v>#N/A</v>
      </c>
      <c r="F165" s="34" t="e">
        <f>VLOOKUP(A1,DIV_05Data!$A$1:$DZU$1000000,2795,FALSE)</f>
        <v>#N/A</v>
      </c>
      <c r="G165" s="33" t="e">
        <f>VLOOKUP(A1,DIV_05Data!$A$1:$DZU$1000000,2796,FALSE)</f>
        <v>#N/A</v>
      </c>
      <c r="H165" s="34" t="e">
        <f>VLOOKUP(A1,DIV_05Data!$A$1:$DZU$1000000,2797,FALSE)</f>
        <v>#N/A</v>
      </c>
      <c r="I165" s="33" t="e">
        <f>VLOOKUP(A1,DIV_05Data!$A$1:$DZU$1000000,2798,FALSE)</f>
        <v>#N/A</v>
      </c>
      <c r="J165" s="34" t="e">
        <f>VLOOKUP(A1,DIV_05Data!$A$1:$DZU$1000000,2799,FALSE)</f>
        <v>#N/A</v>
      </c>
      <c r="K165" s="34" t="e">
        <f>VLOOKUP(A1,DIV_05Data!$A$1:$DZU$1000000,2800,FALSE)</f>
        <v>#N/A</v>
      </c>
      <c r="L165" s="93" t="e">
        <f>VLOOKUP(A1,DIV_05Data!$A$1:$DZU$1000000,2801,FALSE)</f>
        <v>#N/A</v>
      </c>
      <c r="M165" s="33" t="e">
        <f>VLOOKUP(A1,DIV_05Data!$A$1:$DZU$1000000,2802,FALSE)</f>
        <v>#N/A</v>
      </c>
      <c r="N165" s="34" t="e">
        <f>VLOOKUP(A1,DIV_05Data!$A$1:$DZU$1000000,2803,FALSE)</f>
        <v>#N/A</v>
      </c>
      <c r="O165" s="33" t="e">
        <f>VLOOKUP(A1,DIV_05Data!$A$1:$DZU$1000000,2804,FALSE)</f>
        <v>#N/A</v>
      </c>
      <c r="P165" s="116" t="e">
        <f>VLOOKUP(A1,DIV_05Data!$A$1:$DZU$1000000,2805,FALSE)</f>
        <v>#N/A</v>
      </c>
      <c r="Q165" s="268" t="e">
        <f>VLOOKUP(A1,DIV_05Data!$A$1:$DZU$1000000,2806,FALSE)</f>
        <v>#N/A</v>
      </c>
    </row>
    <row r="166" spans="1:17" x14ac:dyDescent="0.35">
      <c r="A166" s="265" t="e">
        <f>VLOOKUP(A1,DIV_05Data!$A$1:$DZU$1000000,2807,FALSE)</f>
        <v>#N/A</v>
      </c>
      <c r="B166" s="37" t="e">
        <f>VLOOKUP(A1,DIV_05Data!$A$1:$DZU$1000000,2808,FALSE)</f>
        <v>#N/A</v>
      </c>
      <c r="C166" s="38" t="e">
        <f>VLOOKUP(A1,DIV_05Data!$A$1:$DZU$1000000,2809,FALSE)</f>
        <v>#N/A</v>
      </c>
      <c r="D166" s="31" t="e">
        <f>VLOOKUP(A1,DIV_05Data!$A$1:$DZU$1000000,2810,FALSE)</f>
        <v>#N/A</v>
      </c>
      <c r="E166" s="32" t="e">
        <f>VLOOKUP(A1,DIV_05Data!$A$1:$DZU$1000000,2811,FALSE)</f>
        <v>#N/A</v>
      </c>
      <c r="F166" s="34" t="e">
        <f>VLOOKUP(A1,DIV_05Data!$A$1:$DZU$1000000,2812,FALSE)</f>
        <v>#N/A</v>
      </c>
      <c r="G166" s="33" t="e">
        <f>VLOOKUP(A1,DIV_05Data!$A$1:$DZU$1000000,2813,FALSE)</f>
        <v>#N/A</v>
      </c>
      <c r="H166" s="34" t="e">
        <f>VLOOKUP(A1,DIV_05Data!$A$1:$DZU$1000000,2814,FALSE)</f>
        <v>#N/A</v>
      </c>
      <c r="I166" s="33" t="e">
        <f>VLOOKUP(A1,DIV_05Data!$A$1:$DZU$1000000,2815,FALSE)</f>
        <v>#N/A</v>
      </c>
      <c r="J166" s="34" t="e">
        <f>VLOOKUP(A1,DIV_05Data!$A$1:$DZU$1000000,2816,FALSE)</f>
        <v>#N/A</v>
      </c>
      <c r="K166" s="34" t="e">
        <f>VLOOKUP(A1,DIV_05Data!$A$1:$DZU$1000000,2817,FALSE)</f>
        <v>#N/A</v>
      </c>
      <c r="L166" s="93" t="e">
        <f>VLOOKUP(A1,DIV_05Data!$A$1:$DZU$1000000,2818,FALSE)</f>
        <v>#N/A</v>
      </c>
      <c r="M166" s="33" t="e">
        <f>VLOOKUP(A1,DIV_05Data!$A$1:$DZU$1000000,2819,FALSE)</f>
        <v>#N/A</v>
      </c>
      <c r="N166" s="34" t="e">
        <f>VLOOKUP(A1,DIV_05Data!$A$1:$DZU$1000000,2820,FALSE)</f>
        <v>#N/A</v>
      </c>
      <c r="O166" s="33" t="e">
        <f>VLOOKUP(A1,DIV_05Data!$A$1:$DZU$1000000,2821,FALSE)</f>
        <v>#N/A</v>
      </c>
      <c r="P166" s="116" t="e">
        <f>VLOOKUP(A1,DIV_05Data!$A$1:$DZU$1000000,2822,FALSE)</f>
        <v>#N/A</v>
      </c>
      <c r="Q166" s="268" t="e">
        <f>VLOOKUP(A1,DIV_05Data!$A$1:$DZU$1000000,2823,FALSE)</f>
        <v>#N/A</v>
      </c>
    </row>
    <row r="167" spans="1:17" x14ac:dyDescent="0.35">
      <c r="A167" s="265" t="e">
        <f>VLOOKUP(A1,DIV_05Data!$A$1:$DZU$1000000,2824,FALSE)</f>
        <v>#N/A</v>
      </c>
      <c r="B167" s="37" t="e">
        <f>VLOOKUP(A1,DIV_05Data!$A$1:$DZU$1000000,2825,FALSE)</f>
        <v>#N/A</v>
      </c>
      <c r="C167" s="38" t="e">
        <f>VLOOKUP(A1,DIV_05Data!$A$1:$DZU$1000000,2826,FALSE)</f>
        <v>#N/A</v>
      </c>
      <c r="D167" s="31" t="e">
        <f>VLOOKUP(A1,DIV_05Data!$A$1:$DZU$1000000,2827,FALSE)</f>
        <v>#N/A</v>
      </c>
      <c r="E167" s="32" t="e">
        <f>VLOOKUP(A1,DIV_05Data!$A$1:$DZU$1000000,2828,FALSE)</f>
        <v>#N/A</v>
      </c>
      <c r="F167" s="34" t="e">
        <f>VLOOKUP(A1,DIV_05Data!$A$1:$DZU$1000000,2829,FALSE)</f>
        <v>#N/A</v>
      </c>
      <c r="G167" s="33" t="e">
        <f>VLOOKUP(A1,DIV_05Data!$A$1:$DZU$1000000,2830,FALSE)</f>
        <v>#N/A</v>
      </c>
      <c r="H167" s="34" t="e">
        <f>VLOOKUP(A1,DIV_05Data!$A$1:$DZU$1000000,2831,FALSE)</f>
        <v>#N/A</v>
      </c>
      <c r="I167" s="33" t="e">
        <f>VLOOKUP(A1,DIV_05Data!$A$1:$DZU$1000000,2832,FALSE)</f>
        <v>#N/A</v>
      </c>
      <c r="J167" s="34" t="e">
        <f>VLOOKUP(A1,DIV_05Data!$A$1:$DZU$1000000,2833,FALSE)</f>
        <v>#N/A</v>
      </c>
      <c r="K167" s="34" t="e">
        <f>VLOOKUP(A1,DIV_05Data!$A$1:$DZU$1000000,2834,FALSE)</f>
        <v>#N/A</v>
      </c>
      <c r="L167" s="93" t="e">
        <f>VLOOKUP(A1,DIV_05Data!$A$1:$DZU$1000000,2835,FALSE)</f>
        <v>#N/A</v>
      </c>
      <c r="M167" s="33" t="e">
        <f>VLOOKUP(A1,DIV_05Data!$A$1:$DZU$1000000,2836,FALSE)</f>
        <v>#N/A</v>
      </c>
      <c r="N167" s="34" t="e">
        <f>VLOOKUP(A1,DIV_05Data!$A$1:$DZU$1000000,2837,FALSE)</f>
        <v>#N/A</v>
      </c>
      <c r="O167" s="33" t="e">
        <f>VLOOKUP(A1,DIV_05Data!$A$1:$DZU$1000000,2838,FALSE)</f>
        <v>#N/A</v>
      </c>
      <c r="P167" s="116" t="e">
        <f>VLOOKUP(A1,DIV_05Data!$A$1:$DZU$1000000,2839,FALSE)</f>
        <v>#N/A</v>
      </c>
      <c r="Q167" s="268" t="e">
        <f>VLOOKUP(A1,DIV_05Data!$A$1:$DZU$1000000,2840,FALSE)</f>
        <v>#N/A</v>
      </c>
    </row>
    <row r="168" spans="1:17" x14ac:dyDescent="0.35">
      <c r="A168" s="265" t="e">
        <f>VLOOKUP(A1,DIV_05Data!$A$1:$DZU$1000000,2841,FALSE)</f>
        <v>#N/A</v>
      </c>
      <c r="B168" s="37" t="e">
        <f>VLOOKUP(A1,DIV_05Data!$A$1:$DZU$1000000,2842,FALSE)</f>
        <v>#N/A</v>
      </c>
      <c r="C168" s="38" t="e">
        <f>VLOOKUP(A1,DIV_05Data!$A$1:$DZU$1000000,2843,FALSE)</f>
        <v>#N/A</v>
      </c>
      <c r="D168" s="31" t="e">
        <f>VLOOKUP(A1,DIV_05Data!$A$1:$DZU$1000000,2844,FALSE)</f>
        <v>#N/A</v>
      </c>
      <c r="E168" s="32" t="e">
        <f>VLOOKUP(A1,DIV_05Data!$A$1:$DZU$1000000,2845,FALSE)</f>
        <v>#N/A</v>
      </c>
      <c r="F168" s="34" t="e">
        <f>VLOOKUP(A1,DIV_05Data!$A$1:$DZU$1000000,2846,FALSE)</f>
        <v>#N/A</v>
      </c>
      <c r="G168" s="33" t="e">
        <f>VLOOKUP(A1,DIV_05Data!$A$1:$DZU$1000000,2847,FALSE)</f>
        <v>#N/A</v>
      </c>
      <c r="H168" s="34" t="e">
        <f>VLOOKUP(A1,DIV_05Data!$A$1:$DZU$1000000,2848,FALSE)</f>
        <v>#N/A</v>
      </c>
      <c r="I168" s="33" t="e">
        <f>VLOOKUP(A1,DIV_05Data!$A$1:$DZU$1000000,2849,FALSE)</f>
        <v>#N/A</v>
      </c>
      <c r="J168" s="34" t="e">
        <f>VLOOKUP(A1,DIV_05Data!$A$1:$DZU$1000000,2850,FALSE)</f>
        <v>#N/A</v>
      </c>
      <c r="K168" s="34" t="e">
        <f>VLOOKUP(A1,DIV_05Data!$A$1:$DZU$1000000,2851,FALSE)</f>
        <v>#N/A</v>
      </c>
      <c r="L168" s="93" t="e">
        <f>VLOOKUP(A1,DIV_05Data!$A$1:$DZU$1000000,2852,FALSE)</f>
        <v>#N/A</v>
      </c>
      <c r="M168" s="33" t="e">
        <f>VLOOKUP(A1,DIV_05Data!$A$1:$DZU$1000000,2853,FALSE)</f>
        <v>#N/A</v>
      </c>
      <c r="N168" s="34" t="e">
        <f>VLOOKUP(A1,DIV_05Data!$A$1:$DZU$1000000,2854,FALSE)</f>
        <v>#N/A</v>
      </c>
      <c r="O168" s="33" t="e">
        <f>VLOOKUP(A1,DIV_05Data!$A$1:$DZU$1000000,2855,FALSE)</f>
        <v>#N/A</v>
      </c>
      <c r="P168" s="116" t="e">
        <f>VLOOKUP(A1,DIV_05Data!$A$1:$DZU$1000000,2856,FALSE)</f>
        <v>#N/A</v>
      </c>
      <c r="Q168" s="268" t="e">
        <f>VLOOKUP(A1,DIV_05Data!$A$1:$DZU$1000000,2857,FALSE)</f>
        <v>#N/A</v>
      </c>
    </row>
    <row r="169" spans="1:17" x14ac:dyDescent="0.35">
      <c r="A169" s="265" t="e">
        <f>VLOOKUP(A1,DIV_05Data!$A$1:$DZU$1000000,2858,FALSE)</f>
        <v>#N/A</v>
      </c>
      <c r="B169" s="37" t="e">
        <f>VLOOKUP(A1,DIV_05Data!$A$1:$DZU$1000000,2859,FALSE)</f>
        <v>#N/A</v>
      </c>
      <c r="C169" s="38" t="e">
        <f>VLOOKUP(A1,DIV_05Data!$A$1:$DZU$1000000,2860,FALSE)</f>
        <v>#N/A</v>
      </c>
      <c r="D169" s="31" t="e">
        <f>VLOOKUP(A1,DIV_05Data!$A$1:$DZU$1000000,2861,FALSE)</f>
        <v>#N/A</v>
      </c>
      <c r="E169" s="32" t="e">
        <f>VLOOKUP(A1,DIV_05Data!$A$1:$DZU$1000000,2862,FALSE)</f>
        <v>#N/A</v>
      </c>
      <c r="F169" s="34" t="e">
        <f>VLOOKUP(A1,DIV_05Data!$A$1:$DZU$1000000,2863,FALSE)</f>
        <v>#N/A</v>
      </c>
      <c r="G169" s="33" t="e">
        <f>VLOOKUP(A1,DIV_05Data!$A$1:$DZU$1000000,2864,FALSE)</f>
        <v>#N/A</v>
      </c>
      <c r="H169" s="34" t="e">
        <f>VLOOKUP(A1,DIV_05Data!$A$1:$DZU$1000000,2865,FALSE)</f>
        <v>#N/A</v>
      </c>
      <c r="I169" s="33" t="e">
        <f>VLOOKUP(A1,DIV_05Data!$A$1:$DZU$1000000,2866,FALSE)</f>
        <v>#N/A</v>
      </c>
      <c r="J169" s="34" t="e">
        <f>VLOOKUP(A1,DIV_05Data!$A$1:$DZU$1000000,2867,FALSE)</f>
        <v>#N/A</v>
      </c>
      <c r="K169" s="34" t="e">
        <f>VLOOKUP(A1,DIV_05Data!$A$1:$DZU$1000000,2868,FALSE)</f>
        <v>#N/A</v>
      </c>
      <c r="L169" s="93" t="e">
        <f>VLOOKUP(A1,DIV_05Data!$A$1:$DZU$1000000,2869,FALSE)</f>
        <v>#N/A</v>
      </c>
      <c r="M169" s="33" t="e">
        <f>VLOOKUP(A1,DIV_05Data!$A$1:$DZU$1000000,2870,FALSE)</f>
        <v>#N/A</v>
      </c>
      <c r="N169" s="34" t="e">
        <f>VLOOKUP(A1,DIV_05Data!$A$1:$DZU$1000000,2871,FALSE)</f>
        <v>#N/A</v>
      </c>
      <c r="O169" s="33" t="e">
        <f>VLOOKUP(A1,DIV_05Data!$A$1:$DZU$1000000,2872,FALSE)</f>
        <v>#N/A</v>
      </c>
      <c r="P169" s="116" t="e">
        <f>VLOOKUP(A1,DIV_05Data!$A$1:$DZU$1000000,2873,FALSE)</f>
        <v>#N/A</v>
      </c>
      <c r="Q169" s="268" t="e">
        <f>VLOOKUP(A1,DIV_05Data!$A$1:$DZU$1000000,2874,FALSE)</f>
        <v>#N/A</v>
      </c>
    </row>
    <row r="170" spans="1:17" x14ac:dyDescent="0.35">
      <c r="A170" s="265" t="e">
        <f>VLOOKUP(A1,DIV_05Data!$A$1:$DZU$1000000,2875,FALSE)</f>
        <v>#N/A</v>
      </c>
      <c r="B170" s="37" t="e">
        <f>VLOOKUP(A1,DIV_05Data!$A$1:$DZU$1000000,2876,FALSE)</f>
        <v>#N/A</v>
      </c>
      <c r="C170" s="38" t="e">
        <f>VLOOKUP(A1,DIV_05Data!$A$1:$DZU$1000000,2877,FALSE)</f>
        <v>#N/A</v>
      </c>
      <c r="D170" s="31" t="e">
        <f>VLOOKUP(A1,DIV_05Data!$A$1:$DZU$1000000,2878,FALSE)</f>
        <v>#N/A</v>
      </c>
      <c r="E170" s="32" t="e">
        <f>VLOOKUP(A1,DIV_05Data!$A$1:$DZU$1000000,2879,FALSE)</f>
        <v>#N/A</v>
      </c>
      <c r="F170" s="34" t="e">
        <f>VLOOKUP(A1,DIV_05Data!$A$1:$DZU$1000000,2880,FALSE)</f>
        <v>#N/A</v>
      </c>
      <c r="G170" s="33" t="e">
        <f>VLOOKUP(A1,DIV_05Data!$A$1:$DZU$1000000,2881,FALSE)</f>
        <v>#N/A</v>
      </c>
      <c r="H170" s="34" t="e">
        <f>VLOOKUP(A1,DIV_05Data!$A$1:$DZU$1000000,2882,FALSE)</f>
        <v>#N/A</v>
      </c>
      <c r="I170" s="33" t="e">
        <f>VLOOKUP(A1,DIV_05Data!$A$1:$DZU$1000000,2883,FALSE)</f>
        <v>#N/A</v>
      </c>
      <c r="J170" s="34" t="e">
        <f>VLOOKUP(A1,DIV_05Data!$A$1:$DZU$1000000,2884,FALSE)</f>
        <v>#N/A</v>
      </c>
      <c r="K170" s="34" t="e">
        <f>VLOOKUP(A1,DIV_05Data!$A$1:$DZU$1000000,2885,FALSE)</f>
        <v>#N/A</v>
      </c>
      <c r="L170" s="93" t="e">
        <f>VLOOKUP(A1,DIV_05Data!$A$1:$DZU$1000000,2886,FALSE)</f>
        <v>#N/A</v>
      </c>
      <c r="M170" s="33" t="e">
        <f>VLOOKUP(A1,DIV_05Data!$A$1:$DZU$1000000,2887,FALSE)</f>
        <v>#N/A</v>
      </c>
      <c r="N170" s="34" t="e">
        <f>VLOOKUP(A1,DIV_05Data!$A$1:$DZU$1000000,2888,FALSE)</f>
        <v>#N/A</v>
      </c>
      <c r="O170" s="33" t="e">
        <f>VLOOKUP(A1,DIV_05Data!$A$1:$DZU$1000000,2889,FALSE)</f>
        <v>#N/A</v>
      </c>
      <c r="P170" s="116" t="e">
        <f>VLOOKUP(A1,DIV_05Data!$A$1:$DZU$1000000,2890,FALSE)</f>
        <v>#N/A</v>
      </c>
      <c r="Q170" s="268" t="e">
        <f>VLOOKUP(A1,DIV_05Data!$A$1:$DZU$1000000,2891,FALSE)</f>
        <v>#N/A</v>
      </c>
    </row>
    <row r="171" spans="1:17" x14ac:dyDescent="0.35">
      <c r="A171" s="265" t="e">
        <f>VLOOKUP(A1,DIV_05Data!$A$1:$DZU$1000000,2892,FALSE)</f>
        <v>#N/A</v>
      </c>
      <c r="B171" s="37" t="e">
        <f>VLOOKUP(A1,DIV_05Data!$A$1:$DZU$1000000,2893,FALSE)</f>
        <v>#N/A</v>
      </c>
      <c r="C171" s="38" t="e">
        <f>VLOOKUP(A1,DIV_05Data!$A$1:$DZU$1000000,2894,FALSE)</f>
        <v>#N/A</v>
      </c>
      <c r="D171" s="31" t="e">
        <f>VLOOKUP(A1,DIV_05Data!$A$1:$DZU$1000000,2895,FALSE)</f>
        <v>#N/A</v>
      </c>
      <c r="E171" s="32" t="e">
        <f>VLOOKUP(A1,DIV_05Data!$A$1:$DZU$1000000,2896,FALSE)</f>
        <v>#N/A</v>
      </c>
      <c r="F171" s="34" t="e">
        <f>VLOOKUP(A1,DIV_05Data!$A$1:$DZU$1000000,2897,FALSE)</f>
        <v>#N/A</v>
      </c>
      <c r="G171" s="33" t="e">
        <f>VLOOKUP(A1,DIV_05Data!$A$1:$DZU$1000000,2898,FALSE)</f>
        <v>#N/A</v>
      </c>
      <c r="H171" s="34" t="e">
        <f>VLOOKUP(A1,DIV_05Data!$A$1:$DZU$1000000,2899,FALSE)</f>
        <v>#N/A</v>
      </c>
      <c r="I171" s="33" t="e">
        <f>VLOOKUP(A1,DIV_05Data!$A$1:$DZU$1000000,2900,FALSE)</f>
        <v>#N/A</v>
      </c>
      <c r="J171" s="34" t="e">
        <f>VLOOKUP(A1,DIV_05Data!$A$1:$DZU$1000000,2901,FALSE)</f>
        <v>#N/A</v>
      </c>
      <c r="K171" s="34" t="e">
        <f>VLOOKUP(A1,DIV_05Data!$A$1:$DZU$1000000,2902,FALSE)</f>
        <v>#N/A</v>
      </c>
      <c r="L171" s="93" t="e">
        <f>VLOOKUP(A1,DIV_05Data!$A$1:$DZU$1000000,2903,FALSE)</f>
        <v>#N/A</v>
      </c>
      <c r="M171" s="33" t="e">
        <f>VLOOKUP(A1,DIV_05Data!$A$1:$DZU$1000000,2904,FALSE)</f>
        <v>#N/A</v>
      </c>
      <c r="N171" s="34" t="e">
        <f>VLOOKUP(A1,DIV_05Data!$A$1:$DZU$1000000,2905,FALSE)</f>
        <v>#N/A</v>
      </c>
      <c r="O171" s="33" t="e">
        <f>VLOOKUP(A1,DIV_05Data!$A$1:$DZU$1000000,2906,FALSE)</f>
        <v>#N/A</v>
      </c>
      <c r="P171" s="116" t="e">
        <f>VLOOKUP(A1,DIV_05Data!$A$1:$DZU$1000000,2907,FALSE)</f>
        <v>#N/A</v>
      </c>
      <c r="Q171" s="268" t="e">
        <f>VLOOKUP(A1,DIV_05Data!$A$1:$DZU$1000000,2908,FALSE)</f>
        <v>#N/A</v>
      </c>
    </row>
    <row r="172" spans="1:17" x14ac:dyDescent="0.35">
      <c r="A172" s="265" t="e">
        <f>VLOOKUP(A1,DIV_05Data!$A$1:$DZU$1000000,2909,FALSE)</f>
        <v>#N/A</v>
      </c>
      <c r="B172" s="37" t="e">
        <f>VLOOKUP(A1,DIV_05Data!$A$1:$DZU$1000000,2910,FALSE)</f>
        <v>#N/A</v>
      </c>
      <c r="C172" s="38" t="e">
        <f>VLOOKUP(A1,DIV_05Data!$A$1:$DZU$1000000,2911,FALSE)</f>
        <v>#N/A</v>
      </c>
      <c r="D172" s="31" t="e">
        <f>VLOOKUP(A1,DIV_05Data!$A$1:$DZU$1000000,2912,FALSE)</f>
        <v>#N/A</v>
      </c>
      <c r="E172" s="32" t="e">
        <f>VLOOKUP(A1,DIV_05Data!$A$1:$DZU$1000000,2913,FALSE)</f>
        <v>#N/A</v>
      </c>
      <c r="F172" s="34" t="e">
        <f>VLOOKUP(A1,DIV_05Data!$A$1:$DZU$1000000,2914,FALSE)</f>
        <v>#N/A</v>
      </c>
      <c r="G172" s="33" t="e">
        <f>VLOOKUP(A1,DIV_05Data!$A$1:$DZU$1000000,2915,FALSE)</f>
        <v>#N/A</v>
      </c>
      <c r="H172" s="34" t="e">
        <f>VLOOKUP(A1,DIV_05Data!$A$1:$DZU$1000000,2916,FALSE)</f>
        <v>#N/A</v>
      </c>
      <c r="I172" s="33" t="e">
        <f>VLOOKUP(A1,DIV_05Data!$A$1:$DZU$1000000,2917,FALSE)</f>
        <v>#N/A</v>
      </c>
      <c r="J172" s="34" t="e">
        <f>VLOOKUP(A1,DIV_05Data!$A$1:$DZU$1000000,2918,FALSE)</f>
        <v>#N/A</v>
      </c>
      <c r="K172" s="34" t="e">
        <f>VLOOKUP(A1,DIV_05Data!$A$1:$DZU$1000000,2919,FALSE)</f>
        <v>#N/A</v>
      </c>
      <c r="L172" s="93" t="e">
        <f>VLOOKUP(A1,DIV_05Data!$A$1:$DZU$1000000,2920,FALSE)</f>
        <v>#N/A</v>
      </c>
      <c r="M172" s="33" t="e">
        <f>VLOOKUP(A1,DIV_05Data!$A$1:$DZU$1000000,2921,FALSE)</f>
        <v>#N/A</v>
      </c>
      <c r="N172" s="34" t="e">
        <f>VLOOKUP(A1,DIV_05Data!$A$1:$DZU$1000000,2922,FALSE)</f>
        <v>#N/A</v>
      </c>
      <c r="O172" s="33" t="e">
        <f>VLOOKUP(A1,DIV_05Data!$A$1:$DZU$1000000,2923,FALSE)</f>
        <v>#N/A</v>
      </c>
      <c r="P172" s="116" t="e">
        <f>VLOOKUP(A1,DIV_05Data!$A$1:$DZU$1000000,2924,FALSE)</f>
        <v>#N/A</v>
      </c>
      <c r="Q172" s="268" t="e">
        <f>VLOOKUP(A1,DIV_05Data!$A$1:$DZU$1000000,2925,FALSE)</f>
        <v>#N/A</v>
      </c>
    </row>
    <row r="173" spans="1:17" x14ac:dyDescent="0.35">
      <c r="A173" s="265" t="e">
        <f>VLOOKUP(A1,DIV_05Data!$A$1:$DZU$1000000,2926,FALSE)</f>
        <v>#N/A</v>
      </c>
      <c r="B173" s="37" t="e">
        <f>VLOOKUP(A1,DIV_05Data!$A$1:$DZU$1000000,2927,FALSE)</f>
        <v>#N/A</v>
      </c>
      <c r="C173" s="38" t="e">
        <f>VLOOKUP(A1,DIV_05Data!$A$1:$DZU$1000000,2928,FALSE)</f>
        <v>#N/A</v>
      </c>
      <c r="D173" s="31" t="e">
        <f>VLOOKUP(A1,DIV_05Data!$A$1:$DZU$1000000,2929,FALSE)</f>
        <v>#N/A</v>
      </c>
      <c r="E173" s="32" t="e">
        <f>VLOOKUP(A1,DIV_05Data!$A$1:$DZU$1000000,2930,FALSE)</f>
        <v>#N/A</v>
      </c>
      <c r="F173" s="34" t="e">
        <f>VLOOKUP(A1,DIV_05Data!$A$1:$DZU$1000000,2931,FALSE)</f>
        <v>#N/A</v>
      </c>
      <c r="G173" s="33" t="e">
        <f>VLOOKUP(A1,DIV_05Data!$A$1:$DZU$1000000,2932,FALSE)</f>
        <v>#N/A</v>
      </c>
      <c r="H173" s="34" t="e">
        <f>VLOOKUP(A1,DIV_05Data!$A$1:$DZU$1000000,2933,FALSE)</f>
        <v>#N/A</v>
      </c>
      <c r="I173" s="33" t="e">
        <f>VLOOKUP(A1,DIV_05Data!$A$1:$DZU$1000000,2934,FALSE)</f>
        <v>#N/A</v>
      </c>
      <c r="J173" s="34" t="e">
        <f>VLOOKUP(A1,DIV_05Data!$A$1:$DZU$1000000,2935,FALSE)</f>
        <v>#N/A</v>
      </c>
      <c r="K173" s="34" t="e">
        <f>VLOOKUP(A1,DIV_05Data!$A$1:$DZU$1000000,2936,FALSE)</f>
        <v>#N/A</v>
      </c>
      <c r="L173" s="93" t="e">
        <f>VLOOKUP(A1,DIV_05Data!$A$1:$DZU$1000000,2937,FALSE)</f>
        <v>#N/A</v>
      </c>
      <c r="M173" s="33" t="e">
        <f>VLOOKUP(A1,DIV_05Data!$A$1:$DZU$1000000,2938,FALSE)</f>
        <v>#N/A</v>
      </c>
      <c r="N173" s="34" t="e">
        <f>VLOOKUP(A1,DIV_05Data!$A$1:$DZU$1000000,2939,FALSE)</f>
        <v>#N/A</v>
      </c>
      <c r="O173" s="33" t="e">
        <f>VLOOKUP(A1,DIV_05Data!$A$1:$DZU$1000000,2940,FALSE)</f>
        <v>#N/A</v>
      </c>
      <c r="P173" s="116" t="e">
        <f>VLOOKUP(A1,DIV_05Data!$A$1:$DZU$1000000,2941,FALSE)</f>
        <v>#N/A</v>
      </c>
      <c r="Q173" s="268" t="e">
        <f>VLOOKUP(A1,DIV_05Data!$A$1:$DZU$1000000,2942,FALSE)</f>
        <v>#N/A</v>
      </c>
    </row>
    <row r="174" spans="1:17" x14ac:dyDescent="0.35">
      <c r="A174" s="265" t="e">
        <f>VLOOKUP(A1,DIV_05Data!$A$1:$DZU$1000000,2943,FALSE)</f>
        <v>#N/A</v>
      </c>
      <c r="B174" s="37" t="e">
        <f>VLOOKUP(A1,DIV_05Data!$A$1:$DZU$1000000,2944,FALSE)</f>
        <v>#N/A</v>
      </c>
      <c r="C174" s="38" t="e">
        <f>VLOOKUP(A1,DIV_05Data!$A$1:$DZU$1000000,2945,FALSE)</f>
        <v>#N/A</v>
      </c>
      <c r="D174" s="31" t="e">
        <f>VLOOKUP(A1,DIV_05Data!$A$1:$DZU$1000000,2946,FALSE)</f>
        <v>#N/A</v>
      </c>
      <c r="E174" s="32" t="e">
        <f>VLOOKUP(A1,DIV_05Data!$A$1:$DZU$1000000,2947,FALSE)</f>
        <v>#N/A</v>
      </c>
      <c r="F174" s="34" t="e">
        <f>VLOOKUP(A1,DIV_05Data!$A$1:$DZU$1000000,2948,FALSE)</f>
        <v>#N/A</v>
      </c>
      <c r="G174" s="33" t="e">
        <f>VLOOKUP(A1,DIV_05Data!$A$1:$DZU$1000000,2949,FALSE)</f>
        <v>#N/A</v>
      </c>
      <c r="H174" s="34" t="e">
        <f>VLOOKUP(A1,DIV_05Data!$A$1:$DZU$1000000,2950,FALSE)</f>
        <v>#N/A</v>
      </c>
      <c r="I174" s="33" t="e">
        <f>VLOOKUP(A1,DIV_05Data!$A$1:$DZU$1000000,2951,FALSE)</f>
        <v>#N/A</v>
      </c>
      <c r="J174" s="34" t="e">
        <f>VLOOKUP(A1,DIV_05Data!$A$1:$DZU$1000000,2952,FALSE)</f>
        <v>#N/A</v>
      </c>
      <c r="K174" s="34" t="e">
        <f>VLOOKUP(A1,DIV_05Data!$A$1:$DZU$1000000,2953,FALSE)</f>
        <v>#N/A</v>
      </c>
      <c r="L174" s="93" t="e">
        <f>VLOOKUP(A1,DIV_05Data!$A$1:$DZU$1000000,2954,FALSE)</f>
        <v>#N/A</v>
      </c>
      <c r="M174" s="33" t="e">
        <f>VLOOKUP(A1,DIV_05Data!$A$1:$DZU$1000000,2955,FALSE)</f>
        <v>#N/A</v>
      </c>
      <c r="N174" s="34" t="e">
        <f>VLOOKUP(A1,DIV_05Data!$A$1:$DZU$1000000,2956,FALSE)</f>
        <v>#N/A</v>
      </c>
      <c r="O174" s="33" t="e">
        <f>VLOOKUP(A1,DIV_05Data!$A$1:$DZU$1000000,2957,FALSE)</f>
        <v>#N/A</v>
      </c>
      <c r="P174" s="116" t="e">
        <f>VLOOKUP(A1,DIV_05Data!$A$1:$DZU$1000000,2958,FALSE)</f>
        <v>#N/A</v>
      </c>
      <c r="Q174" s="268" t="e">
        <f>VLOOKUP(A1,DIV_05Data!$A$1:$DZU$1000000,2959,FALSE)</f>
        <v>#N/A</v>
      </c>
    </row>
    <row r="175" spans="1:17" x14ac:dyDescent="0.35">
      <c r="A175" s="265" t="e">
        <f>VLOOKUP(A1,DIV_05Data!$A$1:$DZU$1000000,2960,FALSE)</f>
        <v>#N/A</v>
      </c>
      <c r="B175" s="37" t="e">
        <f>VLOOKUP(A1,DIV_05Data!$A$1:$DZU$1000000,2961,FALSE)</f>
        <v>#N/A</v>
      </c>
      <c r="C175" s="38" t="e">
        <f>VLOOKUP(A1,DIV_05Data!$A$1:$DZU$1000000,2962,FALSE)</f>
        <v>#N/A</v>
      </c>
      <c r="D175" s="31" t="e">
        <f>VLOOKUP(A1,DIV_05Data!$A$1:$DZU$1000000,2963,FALSE)</f>
        <v>#N/A</v>
      </c>
      <c r="E175" s="32" t="e">
        <f>VLOOKUP(A1,DIV_05Data!$A$1:$DZU$1000000,2964,FALSE)</f>
        <v>#N/A</v>
      </c>
      <c r="F175" s="34" t="e">
        <f>VLOOKUP(A1,DIV_05Data!$A$1:$DZU$1000000,2965,FALSE)</f>
        <v>#N/A</v>
      </c>
      <c r="G175" s="33" t="e">
        <f>VLOOKUP(A1,DIV_05Data!$A$1:$DZU$1000000,2966,FALSE)</f>
        <v>#N/A</v>
      </c>
      <c r="H175" s="34" t="e">
        <f>VLOOKUP(A1,DIV_05Data!$A$1:$DZU$1000000,2967,FALSE)</f>
        <v>#N/A</v>
      </c>
      <c r="I175" s="33" t="e">
        <f>VLOOKUP(A1,DIV_05Data!$A$1:$DZU$1000000,2968,FALSE)</f>
        <v>#N/A</v>
      </c>
      <c r="J175" s="34" t="e">
        <f>VLOOKUP(A1,DIV_05Data!$A$1:$DZU$1000000,2969,FALSE)</f>
        <v>#N/A</v>
      </c>
      <c r="K175" s="34" t="e">
        <f>VLOOKUP(A1,DIV_05Data!$A$1:$DZU$1000000,2970,FALSE)</f>
        <v>#N/A</v>
      </c>
      <c r="L175" s="93" t="e">
        <f>VLOOKUP(A1,DIV_05Data!$A$1:$DZU$1000000,2971,FALSE)</f>
        <v>#N/A</v>
      </c>
      <c r="M175" s="33" t="e">
        <f>VLOOKUP(A1,DIV_05Data!$A$1:$DZU$1000000,2972,FALSE)</f>
        <v>#N/A</v>
      </c>
      <c r="N175" s="34" t="e">
        <f>VLOOKUP(A1,DIV_05Data!$A$1:$DZU$1000000,2973,FALSE)</f>
        <v>#N/A</v>
      </c>
      <c r="O175" s="33" t="e">
        <f>VLOOKUP(A1,DIV_05Data!$A$1:$DZU$1000000,2974,FALSE)</f>
        <v>#N/A</v>
      </c>
      <c r="P175" s="116" t="e">
        <f>VLOOKUP(A1,DIV_05Data!$A$1:$DZU$1000000,2975,FALSE)</f>
        <v>#N/A</v>
      </c>
      <c r="Q175" s="268" t="e">
        <f>VLOOKUP(A1,DIV_05Data!$A$1:$DZU$1000000,2976,FALSE)</f>
        <v>#N/A</v>
      </c>
    </row>
    <row r="176" spans="1:17" x14ac:dyDescent="0.35">
      <c r="A176" s="265" t="e">
        <f>VLOOKUP(A1,DIV_05Data!$A$1:$DZU$1000000,2977,FALSE)</f>
        <v>#N/A</v>
      </c>
      <c r="B176" s="37" t="e">
        <f>VLOOKUP(A1,DIV_05Data!$A$1:$DZU$1000000,2978,FALSE)</f>
        <v>#N/A</v>
      </c>
      <c r="C176" s="38" t="e">
        <f>VLOOKUP(A1,DIV_05Data!$A$1:$DZU$1000000,2979,FALSE)</f>
        <v>#N/A</v>
      </c>
      <c r="D176" s="31" t="e">
        <f>VLOOKUP(A1,DIV_05Data!$A$1:$DZU$1000000,2980,FALSE)</f>
        <v>#N/A</v>
      </c>
      <c r="E176" s="32" t="e">
        <f>VLOOKUP(A1,DIV_05Data!$A$1:$DZU$1000000,2981,FALSE)</f>
        <v>#N/A</v>
      </c>
      <c r="F176" s="34" t="e">
        <f>VLOOKUP(A1,DIV_05Data!$A$1:$DZU$1000000,2982,FALSE)</f>
        <v>#N/A</v>
      </c>
      <c r="G176" s="33" t="e">
        <f>VLOOKUP(A1,DIV_05Data!$A$1:$DZU$1000000,2983,FALSE)</f>
        <v>#N/A</v>
      </c>
      <c r="H176" s="34" t="e">
        <f>VLOOKUP(A1,DIV_05Data!$A$1:$DZU$1000000,2984,FALSE)</f>
        <v>#N/A</v>
      </c>
      <c r="I176" s="33" t="e">
        <f>VLOOKUP(A1,DIV_05Data!$A$1:$DZU$1000000,2985,FALSE)</f>
        <v>#N/A</v>
      </c>
      <c r="J176" s="34" t="e">
        <f>VLOOKUP(A1,DIV_05Data!$A$1:$DZU$1000000,2986,FALSE)</f>
        <v>#N/A</v>
      </c>
      <c r="K176" s="34" t="e">
        <f>VLOOKUP(A1,DIV_05Data!$A$1:$DZU$1000000,2987,FALSE)</f>
        <v>#N/A</v>
      </c>
      <c r="L176" s="93" t="e">
        <f>VLOOKUP(A1,DIV_05Data!$A$1:$DZU$1000000,2988,FALSE)</f>
        <v>#N/A</v>
      </c>
      <c r="M176" s="33" t="e">
        <f>VLOOKUP(A1,DIV_05Data!$A$1:$DZU$1000000,2989,FALSE)</f>
        <v>#N/A</v>
      </c>
      <c r="N176" s="34" t="e">
        <f>VLOOKUP(A1,DIV_05Data!$A$1:$DZU$1000000,2990,FALSE)</f>
        <v>#N/A</v>
      </c>
      <c r="O176" s="33" t="e">
        <f>VLOOKUP(A1,DIV_05Data!$A$1:$DZU$1000000,2991,FALSE)</f>
        <v>#N/A</v>
      </c>
      <c r="P176" s="116" t="e">
        <f>VLOOKUP(A1,DIV_05Data!$A$1:$DZU$1000000,2992,FALSE)</f>
        <v>#N/A</v>
      </c>
      <c r="Q176" s="268" t="e">
        <f>VLOOKUP(A1,DIV_05Data!$A$1:$DZU$1000000,2993,FALSE)</f>
        <v>#N/A</v>
      </c>
    </row>
    <row r="177" spans="1:17" x14ac:dyDescent="0.35">
      <c r="A177" s="265" t="e">
        <f>VLOOKUP(A1,DIV_05Data!$A$1:$DZU$1000000,2994,FALSE)</f>
        <v>#N/A</v>
      </c>
      <c r="B177" s="37" t="e">
        <f>VLOOKUP(A1,DIV_05Data!$A$1:$DZU$1000000,2995,FALSE)</f>
        <v>#N/A</v>
      </c>
      <c r="C177" s="38" t="e">
        <f>VLOOKUP(A1,DIV_05Data!$A$1:$DZU$1000000,2996,FALSE)</f>
        <v>#N/A</v>
      </c>
      <c r="D177" s="31" t="e">
        <f>VLOOKUP(A1,DIV_05Data!$A$1:$DZU$1000000,2997,FALSE)</f>
        <v>#N/A</v>
      </c>
      <c r="E177" s="32" t="e">
        <f>VLOOKUP(A1,DIV_05Data!$A$1:$DZU$1000000,2998,FALSE)</f>
        <v>#N/A</v>
      </c>
      <c r="F177" s="34" t="e">
        <f>VLOOKUP(A1,DIV_05Data!$A$1:$DZU$1000000,2999,FALSE)</f>
        <v>#N/A</v>
      </c>
      <c r="G177" s="33" t="e">
        <f>VLOOKUP(A1,DIV_05Data!$A$1:$DZU$1000000,3000,FALSE)</f>
        <v>#N/A</v>
      </c>
      <c r="H177" s="34" t="e">
        <f>VLOOKUP(A1,DIV_05Data!$A$1:$DZU$1000000,3001,FALSE)</f>
        <v>#N/A</v>
      </c>
      <c r="I177" s="33" t="e">
        <f>VLOOKUP(A1,DIV_05Data!$A$1:$DZU$1000000,3002,FALSE)</f>
        <v>#N/A</v>
      </c>
      <c r="J177" s="34" t="e">
        <f>VLOOKUP(A1,DIV_05Data!$A$1:$DZU$1000000,3003,FALSE)</f>
        <v>#N/A</v>
      </c>
      <c r="K177" s="34" t="e">
        <f>VLOOKUP(A1,DIV_05Data!$A$1:$DZU$1000000,3004,FALSE)</f>
        <v>#N/A</v>
      </c>
      <c r="L177" s="93" t="e">
        <f>VLOOKUP(A1,DIV_05Data!$A$1:$DZU$1000000,3005,FALSE)</f>
        <v>#N/A</v>
      </c>
      <c r="M177" s="33" t="e">
        <f>VLOOKUP(A1,DIV_05Data!$A$1:$DZU$1000000,3006,FALSE)</f>
        <v>#N/A</v>
      </c>
      <c r="N177" s="34" t="e">
        <f>VLOOKUP(A1,DIV_05Data!$A$1:$DZU$1000000,3007,FALSE)</f>
        <v>#N/A</v>
      </c>
      <c r="O177" s="33" t="e">
        <f>VLOOKUP(A1,DIV_05Data!$A$1:$DZU$1000000,3008,FALSE)</f>
        <v>#N/A</v>
      </c>
      <c r="P177" s="116" t="e">
        <f>VLOOKUP(A1,DIV_05Data!$A$1:$DZU$1000000,3009,FALSE)</f>
        <v>#N/A</v>
      </c>
      <c r="Q177" s="268" t="e">
        <f>VLOOKUP(A1,DIV_05Data!$A$1:$DZU$1000000,3010,FALSE)</f>
        <v>#N/A</v>
      </c>
    </row>
    <row r="178" spans="1:17" x14ac:dyDescent="0.35">
      <c r="A178" s="265" t="e">
        <f>VLOOKUP(A1,DIV_05Data!$A$1:$DZU$1000000,3011,FALSE)</f>
        <v>#N/A</v>
      </c>
      <c r="B178" s="37" t="e">
        <f>VLOOKUP(A1,DIV_05Data!$A$1:$DZU$1000000,3012,FALSE)</f>
        <v>#N/A</v>
      </c>
      <c r="C178" s="38" t="e">
        <f>VLOOKUP(A1,DIV_05Data!$A$1:$DZU$1000000,3013,FALSE)</f>
        <v>#N/A</v>
      </c>
      <c r="D178" s="31" t="e">
        <f>VLOOKUP(A1,DIV_05Data!$A$1:$DZU$1000000,3014,FALSE)</f>
        <v>#N/A</v>
      </c>
      <c r="E178" s="32" t="e">
        <f>VLOOKUP(A1,DIV_05Data!$A$1:$DZU$1000000,3015,FALSE)</f>
        <v>#N/A</v>
      </c>
      <c r="F178" s="34" t="e">
        <f>VLOOKUP(A1,DIV_05Data!$A$1:$DZU$1000000,3016,FALSE)</f>
        <v>#N/A</v>
      </c>
      <c r="G178" s="33" t="e">
        <f>VLOOKUP(A1,DIV_05Data!$A$1:$DZU$1000000,3017,FALSE)</f>
        <v>#N/A</v>
      </c>
      <c r="H178" s="34" t="e">
        <f>VLOOKUP(A1,DIV_05Data!$A$1:$DZU$1000000,3018,FALSE)</f>
        <v>#N/A</v>
      </c>
      <c r="I178" s="33" t="e">
        <f>VLOOKUP(A1,DIV_05Data!$A$1:$DZU$1000000,3019,FALSE)</f>
        <v>#N/A</v>
      </c>
      <c r="J178" s="34" t="e">
        <f>VLOOKUP(A1,DIV_05Data!$A$1:$DZU$1000000,3020,FALSE)</f>
        <v>#N/A</v>
      </c>
      <c r="K178" s="34" t="e">
        <f>VLOOKUP(A1,DIV_05Data!$A$1:$DZU$1000000,3021,FALSE)</f>
        <v>#N/A</v>
      </c>
      <c r="L178" s="93" t="e">
        <f>VLOOKUP(A1,DIV_05Data!$A$1:$DZU$1000000,3022,FALSE)</f>
        <v>#N/A</v>
      </c>
      <c r="M178" s="33" t="e">
        <f>VLOOKUP(A1,DIV_05Data!$A$1:$DZU$1000000,3023,FALSE)</f>
        <v>#N/A</v>
      </c>
      <c r="N178" s="34" t="e">
        <f>VLOOKUP(A1,DIV_05Data!$A$1:$DZU$1000000,3024,FALSE)</f>
        <v>#N/A</v>
      </c>
      <c r="O178" s="33" t="e">
        <f>VLOOKUP(A1,DIV_05Data!$A$1:$DZU$1000000,3025,FALSE)</f>
        <v>#N/A</v>
      </c>
      <c r="P178" s="116" t="e">
        <f>VLOOKUP(A1,DIV_05Data!$A$1:$DZU$1000000,3026,FALSE)</f>
        <v>#N/A</v>
      </c>
      <c r="Q178" s="268" t="e">
        <f>VLOOKUP(A1,DIV_05Data!$A$1:$DZU$1000000,3027,FALSE)</f>
        <v>#N/A</v>
      </c>
    </row>
    <row r="179" spans="1:17" x14ac:dyDescent="0.35">
      <c r="A179" s="265" t="e">
        <f>VLOOKUP(A1,DIV_05Data!$A$1:$DZU$1000000,3028,FALSE)</f>
        <v>#N/A</v>
      </c>
      <c r="B179" s="37" t="e">
        <f>VLOOKUP(A1,DIV_05Data!$A$1:$DZU$1000000,3029,FALSE)</f>
        <v>#N/A</v>
      </c>
      <c r="C179" s="38" t="e">
        <f>VLOOKUP(A1,DIV_05Data!$A$1:$DZU$1000000,3030,FALSE)</f>
        <v>#N/A</v>
      </c>
      <c r="D179" s="31" t="e">
        <f>VLOOKUP(A1,DIV_05Data!$A$1:$DZU$1000000,3031,FALSE)</f>
        <v>#N/A</v>
      </c>
      <c r="E179" s="32" t="e">
        <f>VLOOKUP(A1,DIV_05Data!$A$1:$DZU$1000000,3032,FALSE)</f>
        <v>#N/A</v>
      </c>
      <c r="F179" s="34" t="e">
        <f>VLOOKUP(A1,DIV_05Data!$A$1:$DZU$1000000,3033,FALSE)</f>
        <v>#N/A</v>
      </c>
      <c r="G179" s="33" t="e">
        <f>VLOOKUP(A1,DIV_05Data!$A$1:$DZU$1000000,3034,FALSE)</f>
        <v>#N/A</v>
      </c>
      <c r="H179" s="34" t="e">
        <f>VLOOKUP(A1,DIV_05Data!$A$1:$DZU$1000000,3035,FALSE)</f>
        <v>#N/A</v>
      </c>
      <c r="I179" s="33" t="e">
        <f>VLOOKUP(A1,DIV_05Data!$A$1:$DZU$1000000,3036,FALSE)</f>
        <v>#N/A</v>
      </c>
      <c r="J179" s="34" t="e">
        <f>VLOOKUP(A1,DIV_05Data!$A$1:$DZU$1000000,3037,FALSE)</f>
        <v>#N/A</v>
      </c>
      <c r="K179" s="34" t="e">
        <f>VLOOKUP(A1,DIV_05Data!$A$1:$DZU$1000000,3038,FALSE)</f>
        <v>#N/A</v>
      </c>
      <c r="L179" s="93" t="e">
        <f>VLOOKUP(A1,DIV_05Data!$A$1:$DZU$1000000,3039,FALSE)</f>
        <v>#N/A</v>
      </c>
      <c r="M179" s="33" t="e">
        <f>VLOOKUP(A1,DIV_05Data!$A$1:$DZU$1000000,3040,FALSE)</f>
        <v>#N/A</v>
      </c>
      <c r="N179" s="34" t="e">
        <f>VLOOKUP(A1,DIV_05Data!$A$1:$DZU$1000000,3041,FALSE)</f>
        <v>#N/A</v>
      </c>
      <c r="O179" s="33" t="e">
        <f>VLOOKUP(A1,DIV_05Data!$A$1:$DZU$1000000,3042,FALSE)</f>
        <v>#N/A</v>
      </c>
      <c r="P179" s="116" t="e">
        <f>VLOOKUP(A1,DIV_05Data!$A$1:$DZU$1000000,3043,FALSE)</f>
        <v>#N/A</v>
      </c>
      <c r="Q179" s="268" t="e">
        <f>VLOOKUP(A1,DIV_05Data!$A$1:$DZU$1000000,3044,FALSE)</f>
        <v>#N/A</v>
      </c>
    </row>
    <row r="180" spans="1:17" x14ac:dyDescent="0.35">
      <c r="A180" s="265" t="e">
        <f>VLOOKUP(A1,DIV_05Data!$A$1:$DZU$1000000,3045,FALSE)</f>
        <v>#N/A</v>
      </c>
      <c r="B180" s="37" t="e">
        <f>VLOOKUP(A1,DIV_05Data!$A$1:$DZU$1000000,3046,FALSE)</f>
        <v>#N/A</v>
      </c>
      <c r="C180" s="38" t="e">
        <f>VLOOKUP(A1,DIV_05Data!$A$1:$DZU$1000000,3047,FALSE)</f>
        <v>#N/A</v>
      </c>
      <c r="D180" s="31" t="e">
        <f>VLOOKUP(A1,DIV_05Data!$A$1:$DZU$1000000,3048,FALSE)</f>
        <v>#N/A</v>
      </c>
      <c r="E180" s="32" t="e">
        <f>VLOOKUP(A1,DIV_05Data!$A$1:$DZU$1000000,3049,FALSE)</f>
        <v>#N/A</v>
      </c>
      <c r="F180" s="34" t="e">
        <f>VLOOKUP(A1,DIV_05Data!$A$1:$DZU$1000000,3050,FALSE)</f>
        <v>#N/A</v>
      </c>
      <c r="G180" s="33" t="e">
        <f>VLOOKUP(A1,DIV_05Data!$A$1:$DZU$1000000,3051,FALSE)</f>
        <v>#N/A</v>
      </c>
      <c r="H180" s="34" t="e">
        <f>VLOOKUP(A1,DIV_05Data!$A$1:$DZU$1000000,3052,FALSE)</f>
        <v>#N/A</v>
      </c>
      <c r="I180" s="33" t="e">
        <f>VLOOKUP(A1,DIV_05Data!$A$1:$DZU$1000000,3053,FALSE)</f>
        <v>#N/A</v>
      </c>
      <c r="J180" s="34" t="e">
        <f>VLOOKUP(A1,DIV_05Data!$A$1:$DZU$1000000,3054,FALSE)</f>
        <v>#N/A</v>
      </c>
      <c r="K180" s="34" t="e">
        <f>VLOOKUP(A1,DIV_05Data!$A$1:$DZU$1000000,3055,FALSE)</f>
        <v>#N/A</v>
      </c>
      <c r="L180" s="93" t="e">
        <f>VLOOKUP(A1,DIV_05Data!$A$1:$DZU$1000000,3056,FALSE)</f>
        <v>#N/A</v>
      </c>
      <c r="M180" s="33" t="e">
        <f>VLOOKUP(A1,DIV_05Data!$A$1:$DZU$1000000,3057,FALSE)</f>
        <v>#N/A</v>
      </c>
      <c r="N180" s="34" t="e">
        <f>VLOOKUP(A1,DIV_05Data!$A$1:$DZU$1000000,3058,FALSE)</f>
        <v>#N/A</v>
      </c>
      <c r="O180" s="33" t="e">
        <f>VLOOKUP(A1,DIV_05Data!$A$1:$DZU$1000000,3059,FALSE)</f>
        <v>#N/A</v>
      </c>
      <c r="P180" s="116" t="e">
        <f>VLOOKUP(A1,DIV_05Data!$A$1:$DZU$1000000,3060,FALSE)</f>
        <v>#N/A</v>
      </c>
      <c r="Q180" s="268" t="e">
        <f>VLOOKUP(A1,DIV_05Data!$A$1:$DZU$1000000,3061,FALSE)</f>
        <v>#N/A</v>
      </c>
    </row>
    <row r="181" spans="1:17" x14ac:dyDescent="0.35">
      <c r="A181" s="265" t="e">
        <f>VLOOKUP(A1,DIV_05Data!$A$1:$DZU$1000000,3062,FALSE)</f>
        <v>#N/A</v>
      </c>
      <c r="B181" s="37" t="e">
        <f>VLOOKUP(A1,DIV_05Data!$A$1:$DZU$1000000,3063,FALSE)</f>
        <v>#N/A</v>
      </c>
      <c r="C181" s="38" t="e">
        <f>VLOOKUP(A1,DIV_05Data!$A$1:$DZU$1000000,3064,FALSE)</f>
        <v>#N/A</v>
      </c>
      <c r="D181" s="31" t="e">
        <f>VLOOKUP(A1,DIV_05Data!$A$1:$DZU$1000000,3065,FALSE)</f>
        <v>#N/A</v>
      </c>
      <c r="E181" s="32" t="e">
        <f>VLOOKUP(A1,DIV_05Data!$A$1:$DZU$1000000,3066,FALSE)</f>
        <v>#N/A</v>
      </c>
      <c r="F181" s="34" t="e">
        <f>VLOOKUP(A1,DIV_05Data!$A$1:$DZU$1000000,3067,FALSE)</f>
        <v>#N/A</v>
      </c>
      <c r="G181" s="33" t="e">
        <f>VLOOKUP(A1,DIV_05Data!$A$1:$DZU$1000000,3068,FALSE)</f>
        <v>#N/A</v>
      </c>
      <c r="H181" s="34" t="e">
        <f>VLOOKUP(A1,DIV_05Data!$A$1:$DZU$1000000,3069,FALSE)</f>
        <v>#N/A</v>
      </c>
      <c r="I181" s="33" t="e">
        <f>VLOOKUP(A1,DIV_05Data!$A$1:$DZU$1000000,3070,FALSE)</f>
        <v>#N/A</v>
      </c>
      <c r="J181" s="34" t="e">
        <f>VLOOKUP(A1,DIV_05Data!$A$1:$DZU$1000000,3071,FALSE)</f>
        <v>#N/A</v>
      </c>
      <c r="K181" s="34" t="e">
        <f>VLOOKUP(A1,DIV_05Data!$A$1:$DZU$1000000,3072,FALSE)</f>
        <v>#N/A</v>
      </c>
      <c r="L181" s="93" t="e">
        <f>VLOOKUP(A1,DIV_05Data!$A$1:$DZU$1000000,3073,FALSE)</f>
        <v>#N/A</v>
      </c>
      <c r="M181" s="33" t="e">
        <f>VLOOKUP(A1,DIV_05Data!$A$1:$DZU$1000000,3074,FALSE)</f>
        <v>#N/A</v>
      </c>
      <c r="N181" s="34" t="e">
        <f>VLOOKUP(A1,DIV_05Data!$A$1:$DZU$1000000,3075,FALSE)</f>
        <v>#N/A</v>
      </c>
      <c r="O181" s="33" t="e">
        <f>VLOOKUP(A1,DIV_05Data!$A$1:$DZU$1000000,3076,FALSE)</f>
        <v>#N/A</v>
      </c>
      <c r="P181" s="116" t="e">
        <f>VLOOKUP(A1,DIV_05Data!$A$1:$DZU$1000000,3077,FALSE)</f>
        <v>#N/A</v>
      </c>
      <c r="Q181" s="268" t="e">
        <f>VLOOKUP(A1,DIV_05Data!$A$1:$DZU$1000000,3078,FALSE)</f>
        <v>#N/A</v>
      </c>
    </row>
    <row r="182" spans="1:17" x14ac:dyDescent="0.35">
      <c r="A182" s="265" t="e">
        <f>VLOOKUP(A1,DIV_05Data!$A$1:$DZU$1000000,3079,FALSE)</f>
        <v>#N/A</v>
      </c>
      <c r="B182" s="37" t="e">
        <f>VLOOKUP(A1,DIV_05Data!$A$1:$DZU$1000000,3080,FALSE)</f>
        <v>#N/A</v>
      </c>
      <c r="C182" s="38" t="e">
        <f>VLOOKUP(A1,DIV_05Data!$A$1:$DZU$1000000,3081,FALSE)</f>
        <v>#N/A</v>
      </c>
      <c r="D182" s="31" t="e">
        <f>VLOOKUP(A1,DIV_05Data!$A$1:$DZU$1000000,3082,FALSE)</f>
        <v>#N/A</v>
      </c>
      <c r="E182" s="32" t="e">
        <f>VLOOKUP(A1,DIV_05Data!$A$1:$DZU$1000000,3083,FALSE)</f>
        <v>#N/A</v>
      </c>
      <c r="F182" s="34" t="e">
        <f>VLOOKUP(A1,DIV_05Data!$A$1:$DZU$1000000,3084,FALSE)</f>
        <v>#N/A</v>
      </c>
      <c r="G182" s="33" t="e">
        <f>VLOOKUP(A1,DIV_05Data!$A$1:$DZU$1000000,3085,FALSE)</f>
        <v>#N/A</v>
      </c>
      <c r="H182" s="34" t="e">
        <f>VLOOKUP(A1,DIV_05Data!$A$1:$DZU$1000000,3086,FALSE)</f>
        <v>#N/A</v>
      </c>
      <c r="I182" s="33" t="e">
        <f>VLOOKUP(A1,DIV_05Data!$A$1:$DZU$1000000,3087,FALSE)</f>
        <v>#N/A</v>
      </c>
      <c r="J182" s="34" t="e">
        <f>VLOOKUP(A1,DIV_05Data!$A$1:$DZU$1000000,3088,FALSE)</f>
        <v>#N/A</v>
      </c>
      <c r="K182" s="34" t="e">
        <f>VLOOKUP(A1,DIV_05Data!$A$1:$DZU$1000000,3089,FALSE)</f>
        <v>#N/A</v>
      </c>
      <c r="L182" s="93" t="e">
        <f>VLOOKUP(A1,DIV_05Data!$A$1:$DZU$1000000,3090,FALSE)</f>
        <v>#N/A</v>
      </c>
      <c r="M182" s="33" t="e">
        <f>VLOOKUP(A1,DIV_05Data!$A$1:$DZU$1000000,3091,FALSE)</f>
        <v>#N/A</v>
      </c>
      <c r="N182" s="34" t="e">
        <f>VLOOKUP(A1,DIV_05Data!$A$1:$DZU$1000000,3092,FALSE)</f>
        <v>#N/A</v>
      </c>
      <c r="O182" s="33" t="e">
        <f>VLOOKUP(A1,DIV_05Data!$A$1:$DZU$1000000,3093,FALSE)</f>
        <v>#N/A</v>
      </c>
      <c r="P182" s="116" t="e">
        <f>VLOOKUP(A1,DIV_05Data!$A$1:$DZU$1000000,3094,FALSE)</f>
        <v>#N/A</v>
      </c>
      <c r="Q182" s="268" t="e">
        <f>VLOOKUP(A1,DIV_05Data!$A$1:$DZU$1000000,3095,FALSE)</f>
        <v>#N/A</v>
      </c>
    </row>
    <row r="183" spans="1:17" x14ac:dyDescent="0.35">
      <c r="A183" s="265" t="e">
        <f>VLOOKUP(A1,DIV_05Data!$A$1:$DZU$1000000,3096,FALSE)</f>
        <v>#N/A</v>
      </c>
      <c r="B183" s="37" t="e">
        <f>VLOOKUP(A1,DIV_05Data!$A$1:$DZU$1000000,3097,FALSE)</f>
        <v>#N/A</v>
      </c>
      <c r="C183" s="38" t="e">
        <f>VLOOKUP(A1,DIV_05Data!$A$1:$DZU$1000000,3098,FALSE)</f>
        <v>#N/A</v>
      </c>
      <c r="D183" s="31" t="e">
        <f>VLOOKUP(A1,DIV_05Data!$A$1:$DZU$1000000,3099,FALSE)</f>
        <v>#N/A</v>
      </c>
      <c r="E183" s="32" t="e">
        <f>VLOOKUP(A1,DIV_05Data!$A$1:$DZU$1000000,3100,FALSE)</f>
        <v>#N/A</v>
      </c>
      <c r="F183" s="34" t="e">
        <f>VLOOKUP(A1,DIV_05Data!$A$1:$DZU$1000000,3101,FALSE)</f>
        <v>#N/A</v>
      </c>
      <c r="G183" s="33" t="e">
        <f>VLOOKUP(A1,DIV_05Data!$A$1:$DZU$1000000,3102,FALSE)</f>
        <v>#N/A</v>
      </c>
      <c r="H183" s="34" t="e">
        <f>VLOOKUP(A1,DIV_05Data!$A$1:$DZU$1000000,3103,FALSE)</f>
        <v>#N/A</v>
      </c>
      <c r="I183" s="33" t="e">
        <f>VLOOKUP(A1,DIV_05Data!$A$1:$DZU$1000000,3104,FALSE)</f>
        <v>#N/A</v>
      </c>
      <c r="J183" s="34" t="e">
        <f>VLOOKUP(A1,DIV_05Data!$A$1:$DZU$1000000,3105,FALSE)</f>
        <v>#N/A</v>
      </c>
      <c r="K183" s="34" t="e">
        <f>VLOOKUP(A1,DIV_05Data!$A$1:$DZU$1000000,3106,FALSE)</f>
        <v>#N/A</v>
      </c>
      <c r="L183" s="93" t="e">
        <f>VLOOKUP(A1,DIV_05Data!$A$1:$DZU$1000000,3107,FALSE)</f>
        <v>#N/A</v>
      </c>
      <c r="M183" s="33" t="e">
        <f>VLOOKUP(A1,DIV_05Data!$A$1:$DZU$1000000,3108,FALSE)</f>
        <v>#N/A</v>
      </c>
      <c r="N183" s="34" t="e">
        <f>VLOOKUP(A1,DIV_05Data!$A$1:$DZU$1000000,3109,FALSE)</f>
        <v>#N/A</v>
      </c>
      <c r="O183" s="33" t="e">
        <f>VLOOKUP(A1,DIV_05Data!$A$1:$DZU$1000000,3110,FALSE)</f>
        <v>#N/A</v>
      </c>
      <c r="P183" s="116" t="e">
        <f>VLOOKUP(A1,DIV_05Data!$A$1:$DZU$1000000,3111,FALSE)</f>
        <v>#N/A</v>
      </c>
      <c r="Q183" s="268" t="e">
        <f>VLOOKUP(A1,DIV_05Data!$A$1:$DZU$1000000,3112,FALSE)</f>
        <v>#N/A</v>
      </c>
    </row>
    <row r="184" spans="1:17" x14ac:dyDescent="0.35">
      <c r="A184" s="265" t="e">
        <f>VLOOKUP(A1,DIV_05Data!$A$1:$DZU$1000000,3113,FALSE)</f>
        <v>#N/A</v>
      </c>
      <c r="B184" s="37" t="e">
        <f>VLOOKUP(A1,DIV_05Data!$A$1:$DZU$1000000,3114,FALSE)</f>
        <v>#N/A</v>
      </c>
      <c r="C184" s="38" t="e">
        <f>VLOOKUP(A1,DIV_05Data!$A$1:$DZU$1000000,3115,FALSE)</f>
        <v>#N/A</v>
      </c>
      <c r="D184" s="31" t="e">
        <f>VLOOKUP(A1,DIV_05Data!$A$1:$DZU$1000000,3116,FALSE)</f>
        <v>#N/A</v>
      </c>
      <c r="E184" s="32" t="e">
        <f>VLOOKUP(A1,DIV_05Data!$A$1:$DZU$1000000,3117,FALSE)</f>
        <v>#N/A</v>
      </c>
      <c r="F184" s="34" t="e">
        <f>VLOOKUP(A1,DIV_05Data!$A$1:$DZU$1000000,3118,FALSE)</f>
        <v>#N/A</v>
      </c>
      <c r="G184" s="33" t="e">
        <f>VLOOKUP(A1,DIV_05Data!$A$1:$DZU$1000000,3119,FALSE)</f>
        <v>#N/A</v>
      </c>
      <c r="H184" s="34" t="e">
        <f>VLOOKUP(A1,DIV_05Data!$A$1:$DZU$1000000,3120,FALSE)</f>
        <v>#N/A</v>
      </c>
      <c r="I184" s="33" t="e">
        <f>VLOOKUP(A1,DIV_05Data!$A$1:$DZU$1000000,3121,FALSE)</f>
        <v>#N/A</v>
      </c>
      <c r="J184" s="34" t="e">
        <f>VLOOKUP(A1,DIV_05Data!$A$1:$DZU$1000000,3122,FALSE)</f>
        <v>#N/A</v>
      </c>
      <c r="K184" s="34" t="e">
        <f>VLOOKUP(A1,DIV_05Data!$A$1:$DZU$1000000,3123,FALSE)</f>
        <v>#N/A</v>
      </c>
      <c r="L184" s="93" t="e">
        <f>VLOOKUP(A1,DIV_05Data!$A$1:$DZU$1000000,3124,FALSE)</f>
        <v>#N/A</v>
      </c>
      <c r="M184" s="33" t="e">
        <f>VLOOKUP(A1,DIV_05Data!$A$1:$DZU$1000000,3125,FALSE)</f>
        <v>#N/A</v>
      </c>
      <c r="N184" s="34" t="e">
        <f>VLOOKUP(A1,DIV_05Data!$A$1:$DZU$1000000,3126,FALSE)</f>
        <v>#N/A</v>
      </c>
      <c r="O184" s="33" t="e">
        <f>VLOOKUP(A1,DIV_05Data!$A$1:$DZU$1000000,3127,FALSE)</f>
        <v>#N/A</v>
      </c>
      <c r="P184" s="116" t="e">
        <f>VLOOKUP(A1,DIV_05Data!$A$1:$DZU$1000000,3128,FALSE)</f>
        <v>#N/A</v>
      </c>
      <c r="Q184" s="268" t="e">
        <f>VLOOKUP(A1,DIV_05Data!$A$1:$DZU$1000000,3129,FALSE)</f>
        <v>#N/A</v>
      </c>
    </row>
    <row r="185" spans="1:17" x14ac:dyDescent="0.35">
      <c r="A185" s="265" t="e">
        <f>VLOOKUP(A1,DIV_05Data!$A$1:$DZU$1000000,3130,FALSE)</f>
        <v>#N/A</v>
      </c>
      <c r="B185" s="37" t="e">
        <f>VLOOKUP(A1,DIV_05Data!$A$1:$DZU$1000000,3131,FALSE)</f>
        <v>#N/A</v>
      </c>
      <c r="C185" s="38" t="e">
        <f>VLOOKUP(A1,DIV_05Data!$A$1:$DZU$1000000,3132,FALSE)</f>
        <v>#N/A</v>
      </c>
      <c r="D185" s="31" t="e">
        <f>VLOOKUP(A1,DIV_05Data!$A$1:$DZU$1000000,3133,FALSE)</f>
        <v>#N/A</v>
      </c>
      <c r="E185" s="32" t="e">
        <f>VLOOKUP(A1,DIV_05Data!$A$1:$DZU$1000000,3134,FALSE)</f>
        <v>#N/A</v>
      </c>
      <c r="F185" s="34" t="e">
        <f>VLOOKUP(A1,DIV_05Data!$A$1:$DZU$1000000,3135,FALSE)</f>
        <v>#N/A</v>
      </c>
      <c r="G185" s="33" t="e">
        <f>VLOOKUP(A1,DIV_05Data!$A$1:$DZU$1000000,3136,FALSE)</f>
        <v>#N/A</v>
      </c>
      <c r="H185" s="34" t="e">
        <f>VLOOKUP(A1,DIV_05Data!$A$1:$DZU$1000000,3137,FALSE)</f>
        <v>#N/A</v>
      </c>
      <c r="I185" s="33" t="e">
        <f>VLOOKUP(A1,DIV_05Data!$A$1:$DZU$1000000,3138,FALSE)</f>
        <v>#N/A</v>
      </c>
      <c r="J185" s="34" t="e">
        <f>VLOOKUP(A1,DIV_05Data!$A$1:$DZU$1000000,3139,FALSE)</f>
        <v>#N/A</v>
      </c>
      <c r="K185" s="34" t="e">
        <f>VLOOKUP(A1,DIV_05Data!$A$1:$DZU$1000000,3140,FALSE)</f>
        <v>#N/A</v>
      </c>
      <c r="L185" s="93" t="e">
        <f>VLOOKUP(A1,DIV_05Data!$A$1:$DZU$1000000,3141,FALSE)</f>
        <v>#N/A</v>
      </c>
      <c r="M185" s="33" t="e">
        <f>VLOOKUP(A1,DIV_05Data!$A$1:$DZU$1000000,3142,FALSE)</f>
        <v>#N/A</v>
      </c>
      <c r="N185" s="34" t="e">
        <f>VLOOKUP(A1,DIV_05Data!$A$1:$DZU$1000000,3143,FALSE)</f>
        <v>#N/A</v>
      </c>
      <c r="O185" s="33" t="e">
        <f>VLOOKUP(A1,DIV_05Data!$A$1:$DZU$1000000,3144,FALSE)</f>
        <v>#N/A</v>
      </c>
      <c r="P185" s="116" t="e">
        <f>VLOOKUP(A1,DIV_05Data!$A$1:$DZU$1000000,3145,FALSE)</f>
        <v>#N/A</v>
      </c>
      <c r="Q185" s="268" t="e">
        <f>VLOOKUP(A1,DIV_05Data!$A$1:$DZU$1000000,3146,FALSE)</f>
        <v>#N/A</v>
      </c>
    </row>
    <row r="186" spans="1:17" x14ac:dyDescent="0.35">
      <c r="A186" s="265" t="e">
        <f>VLOOKUP(A1,DIV_05Data!$A$1:$DZU$1000000,3147,FALSE)</f>
        <v>#N/A</v>
      </c>
      <c r="B186" s="37" t="e">
        <f>VLOOKUP(A1,DIV_05Data!$A$1:$DZU$1000000,3148,FALSE)</f>
        <v>#N/A</v>
      </c>
      <c r="C186" s="38" t="e">
        <f>VLOOKUP(A1,DIV_05Data!$A$1:$DZU$1000000,3149,FALSE)</f>
        <v>#N/A</v>
      </c>
      <c r="D186" s="31" t="e">
        <f>VLOOKUP(A1,DIV_05Data!$A$1:$DZU$1000000,3150,FALSE)</f>
        <v>#N/A</v>
      </c>
      <c r="E186" s="32" t="e">
        <f>VLOOKUP(A1,DIV_05Data!$A$1:$DZU$1000000,3151,FALSE)</f>
        <v>#N/A</v>
      </c>
      <c r="F186" s="34" t="e">
        <f>VLOOKUP(A1,DIV_05Data!$A$1:$DZU$1000000,3152,FALSE)</f>
        <v>#N/A</v>
      </c>
      <c r="G186" s="33" t="e">
        <f>VLOOKUP(A1,DIV_05Data!$A$1:$DZU$1000000,3153,FALSE)</f>
        <v>#N/A</v>
      </c>
      <c r="H186" s="34" t="e">
        <f>VLOOKUP(A1,DIV_05Data!$A$1:$DZU$1000000,3154,FALSE)</f>
        <v>#N/A</v>
      </c>
      <c r="I186" s="33" t="e">
        <f>VLOOKUP(A1,DIV_05Data!$A$1:$DZU$1000000,3155,FALSE)</f>
        <v>#N/A</v>
      </c>
      <c r="J186" s="34" t="e">
        <f>VLOOKUP(A1,DIV_05Data!$A$1:$DZU$1000000,3156,FALSE)</f>
        <v>#N/A</v>
      </c>
      <c r="K186" s="34" t="e">
        <f>VLOOKUP(A1,DIV_05Data!$A$1:$DZU$1000000,3157,FALSE)</f>
        <v>#N/A</v>
      </c>
      <c r="L186" s="93" t="e">
        <f>VLOOKUP(A1,DIV_05Data!$A$1:$DZU$1000000,3158,FALSE)</f>
        <v>#N/A</v>
      </c>
      <c r="M186" s="33" t="e">
        <f>VLOOKUP(A1,DIV_05Data!$A$1:$DZU$1000000,3159,FALSE)</f>
        <v>#N/A</v>
      </c>
      <c r="N186" s="34" t="e">
        <f>VLOOKUP(A1,DIV_05Data!$A$1:$DZU$1000000,3160,FALSE)</f>
        <v>#N/A</v>
      </c>
      <c r="O186" s="33" t="e">
        <f>VLOOKUP(A1,DIV_05Data!$A$1:$DZU$1000000,3161,FALSE)</f>
        <v>#N/A</v>
      </c>
      <c r="P186" s="116" t="e">
        <f>VLOOKUP(A1,DIV_05Data!$A$1:$DZU$1000000,3162,FALSE)</f>
        <v>#N/A</v>
      </c>
      <c r="Q186" s="268" t="e">
        <f>VLOOKUP(A1,DIV_05Data!$A$1:$DZU$1000000,3163,FALSE)</f>
        <v>#N/A</v>
      </c>
    </row>
    <row r="187" spans="1:17" x14ac:dyDescent="0.35">
      <c r="A187" s="265" t="e">
        <f>VLOOKUP(A1,DIV_05Data!$A$1:$DZU$1000000,3164,FALSE)</f>
        <v>#N/A</v>
      </c>
      <c r="B187" s="37" t="e">
        <f>VLOOKUP(A1,DIV_05Data!$A$1:$DZU$1000000,3165,FALSE)</f>
        <v>#N/A</v>
      </c>
      <c r="C187" s="38" t="e">
        <f>VLOOKUP(A1,DIV_05Data!$A$1:$DZU$1000000,3166,FALSE)</f>
        <v>#N/A</v>
      </c>
      <c r="D187" s="31" t="e">
        <f>VLOOKUP(A1,DIV_05Data!$A$1:$DZU$1000000,3167,FALSE)</f>
        <v>#N/A</v>
      </c>
      <c r="E187" s="32" t="e">
        <f>VLOOKUP(A1,DIV_05Data!$A$1:$DZU$1000000,3168,FALSE)</f>
        <v>#N/A</v>
      </c>
      <c r="F187" s="34" t="e">
        <f>VLOOKUP(A1,DIV_05Data!$A$1:$DZU$1000000,3169,FALSE)</f>
        <v>#N/A</v>
      </c>
      <c r="G187" s="33" t="e">
        <f>VLOOKUP(A1,DIV_05Data!$A$1:$DZU$1000000,3170,FALSE)</f>
        <v>#N/A</v>
      </c>
      <c r="H187" s="34" t="e">
        <f>VLOOKUP(A1,DIV_05Data!$A$1:$DZU$1000000,3171,FALSE)</f>
        <v>#N/A</v>
      </c>
      <c r="I187" s="33" t="e">
        <f>VLOOKUP(A1,DIV_05Data!$A$1:$DZU$1000000,3172,FALSE)</f>
        <v>#N/A</v>
      </c>
      <c r="J187" s="34" t="e">
        <f>VLOOKUP(A1,DIV_05Data!$A$1:$DZU$1000000,3173,FALSE)</f>
        <v>#N/A</v>
      </c>
      <c r="K187" s="34" t="e">
        <f>VLOOKUP(A1,DIV_05Data!$A$1:$DZU$1000000,3174,FALSE)</f>
        <v>#N/A</v>
      </c>
      <c r="L187" s="93" t="e">
        <f>VLOOKUP(A1,DIV_05Data!$A$1:$DZU$1000000,3175,FALSE)</f>
        <v>#N/A</v>
      </c>
      <c r="M187" s="33" t="e">
        <f>VLOOKUP(A1,DIV_05Data!$A$1:$DZU$1000000,3176,FALSE)</f>
        <v>#N/A</v>
      </c>
      <c r="N187" s="34" t="e">
        <f>VLOOKUP(A1,DIV_05Data!$A$1:$DZU$1000000,3177,FALSE)</f>
        <v>#N/A</v>
      </c>
      <c r="O187" s="33" t="e">
        <f>VLOOKUP(A1,DIV_05Data!$A$1:$DZU$1000000,3178,FALSE)</f>
        <v>#N/A</v>
      </c>
      <c r="P187" s="116" t="e">
        <f>VLOOKUP(A1,DIV_05Data!$A$1:$DZU$1000000,3179,FALSE)</f>
        <v>#N/A</v>
      </c>
      <c r="Q187" s="268" t="e">
        <f>VLOOKUP(A1,DIV_05Data!$A$1:$DZU$1000000,3180,FALSE)</f>
        <v>#N/A</v>
      </c>
    </row>
    <row r="188" spans="1:17" x14ac:dyDescent="0.35">
      <c r="A188" s="265" t="e">
        <f>VLOOKUP(A1,DIV_05Data!$A$1:$DZU$1000000,3181,FALSE)</f>
        <v>#N/A</v>
      </c>
      <c r="B188" s="37" t="e">
        <f>VLOOKUP(A1,DIV_05Data!$A$1:$DZU$1000000,3182,FALSE)</f>
        <v>#N/A</v>
      </c>
      <c r="C188" s="38" t="e">
        <f>VLOOKUP(A1,DIV_05Data!$A$1:$DZU$1000000,3183,FALSE)</f>
        <v>#N/A</v>
      </c>
      <c r="D188" s="31" t="e">
        <f>VLOOKUP(A1,DIV_05Data!$A$1:$DZU$1000000,3184,FALSE)</f>
        <v>#N/A</v>
      </c>
      <c r="E188" s="32" t="e">
        <f>VLOOKUP(A1,DIV_05Data!$A$1:$DZU$1000000,3185,FALSE)</f>
        <v>#N/A</v>
      </c>
      <c r="F188" s="34" t="e">
        <f>VLOOKUP(A1,DIV_05Data!$A$1:$DZU$1000000,3186,FALSE)</f>
        <v>#N/A</v>
      </c>
      <c r="G188" s="33" t="e">
        <f>VLOOKUP(A1,DIV_05Data!$A$1:$DZU$1000000,3187,FALSE)</f>
        <v>#N/A</v>
      </c>
      <c r="H188" s="34" t="e">
        <f>VLOOKUP(A1,DIV_05Data!$A$1:$DZU$1000000,3188,FALSE)</f>
        <v>#N/A</v>
      </c>
      <c r="I188" s="33" t="e">
        <f>VLOOKUP(A1,DIV_05Data!$A$1:$DZU$1000000,3189,FALSE)</f>
        <v>#N/A</v>
      </c>
      <c r="J188" s="34" t="e">
        <f>VLOOKUP(A1,DIV_05Data!$A$1:$DZU$1000000,3190,FALSE)</f>
        <v>#N/A</v>
      </c>
      <c r="K188" s="34" t="e">
        <f>VLOOKUP(A1,DIV_05Data!$A$1:$DZU$1000000,3191,FALSE)</f>
        <v>#N/A</v>
      </c>
      <c r="L188" s="93" t="e">
        <f>VLOOKUP(A1,DIV_05Data!$A$1:$DZU$1000000,3192,FALSE)</f>
        <v>#N/A</v>
      </c>
      <c r="M188" s="33" t="e">
        <f>VLOOKUP(A1,DIV_05Data!$A$1:$DZU$1000000,3193,FALSE)</f>
        <v>#N/A</v>
      </c>
      <c r="N188" s="34" t="e">
        <f>VLOOKUP(A1,DIV_05Data!$A$1:$DZU$1000000,3194,FALSE)</f>
        <v>#N/A</v>
      </c>
      <c r="O188" s="33" t="e">
        <f>VLOOKUP(A1,DIV_05Data!$A$1:$DZU$1000000,3195,FALSE)</f>
        <v>#N/A</v>
      </c>
      <c r="P188" s="116" t="e">
        <f>VLOOKUP(A1,DIV_05Data!$A$1:$DZU$1000000,3196,FALSE)</f>
        <v>#N/A</v>
      </c>
      <c r="Q188" s="268" t="e">
        <f>VLOOKUP(A1,DIV_05Data!$A$1:$DZU$1000000,3197,FALSE)</f>
        <v>#N/A</v>
      </c>
    </row>
    <row r="189" spans="1:17" x14ac:dyDescent="0.35">
      <c r="A189" s="265" t="e">
        <f>VLOOKUP(A1,DIV_05Data!$A$1:$DZU$1000000,3198,FALSE)</f>
        <v>#N/A</v>
      </c>
      <c r="B189" s="37" t="e">
        <f>VLOOKUP(A1,DIV_05Data!$A$1:$DZU$1000000,3199,FALSE)</f>
        <v>#N/A</v>
      </c>
      <c r="C189" s="38" t="e">
        <f>VLOOKUP(A1,DIV_05Data!$A$1:$DZU$1000000,3200,FALSE)</f>
        <v>#N/A</v>
      </c>
      <c r="D189" s="31" t="e">
        <f>VLOOKUP(A1,DIV_05Data!$A$1:$DZU$1000000,3201,FALSE)</f>
        <v>#N/A</v>
      </c>
      <c r="E189" s="32" t="e">
        <f>VLOOKUP(A1,DIV_05Data!$A$1:$DZU$1000000,3202,FALSE)</f>
        <v>#N/A</v>
      </c>
      <c r="F189" s="34" t="e">
        <f>VLOOKUP(A1,DIV_05Data!$A$1:$DZU$1000000,3203,FALSE)</f>
        <v>#N/A</v>
      </c>
      <c r="G189" s="33" t="e">
        <f>VLOOKUP(A1,DIV_05Data!$A$1:$DZU$1000000,3204,FALSE)</f>
        <v>#N/A</v>
      </c>
      <c r="H189" s="34" t="e">
        <f>VLOOKUP(A1,DIV_05Data!$A$1:$DZU$1000000,3205,FALSE)</f>
        <v>#N/A</v>
      </c>
      <c r="I189" s="33" t="e">
        <f>VLOOKUP(A1,DIV_05Data!$A$1:$DZU$1000000,3206,FALSE)</f>
        <v>#N/A</v>
      </c>
      <c r="J189" s="34" t="e">
        <f>VLOOKUP(A1,DIV_05Data!$A$1:$DZU$1000000,3207,FALSE)</f>
        <v>#N/A</v>
      </c>
      <c r="K189" s="34" t="e">
        <f>VLOOKUP(A1,DIV_05Data!$A$1:$DZU$1000000,3208,FALSE)</f>
        <v>#N/A</v>
      </c>
      <c r="L189" s="93" t="e">
        <f>VLOOKUP(A1,DIV_05Data!$A$1:$DZU$1000000,3209,FALSE)</f>
        <v>#N/A</v>
      </c>
      <c r="M189" s="33" t="e">
        <f>VLOOKUP(A1,DIV_05Data!$A$1:$DZU$1000000,3210,FALSE)</f>
        <v>#N/A</v>
      </c>
      <c r="N189" s="34" t="e">
        <f>VLOOKUP(A1,DIV_05Data!$A$1:$DZU$1000000,3211,FALSE)</f>
        <v>#N/A</v>
      </c>
      <c r="O189" s="33" t="e">
        <f>VLOOKUP(A1,DIV_05Data!$A$1:$DZU$1000000,3212,FALSE)</f>
        <v>#N/A</v>
      </c>
      <c r="P189" s="116" t="e">
        <f>VLOOKUP(A1,DIV_05Data!$A$1:$DZU$1000000,3213,FALSE)</f>
        <v>#N/A</v>
      </c>
      <c r="Q189" s="268" t="e">
        <f>VLOOKUP(A1,DIV_05Data!$A$1:$DZU$1000000,3214,FALSE)</f>
        <v>#N/A</v>
      </c>
    </row>
    <row r="190" spans="1:17" x14ac:dyDescent="0.35">
      <c r="A190" s="265" t="e">
        <f>VLOOKUP(A1,DIV_05Data!$A$1:$DZU$1000000,3215,FALSE)</f>
        <v>#N/A</v>
      </c>
      <c r="B190" s="37" t="e">
        <f>VLOOKUP(A1,DIV_05Data!$A$1:$DZU$1000000,3216,FALSE)</f>
        <v>#N/A</v>
      </c>
      <c r="C190" s="38" t="e">
        <f>VLOOKUP(A1,DIV_05Data!$A$1:$DZU$1000000,3217,FALSE)</f>
        <v>#N/A</v>
      </c>
      <c r="D190" s="31" t="e">
        <f>VLOOKUP(A1,DIV_05Data!$A$1:$DZU$1000000,3218,FALSE)</f>
        <v>#N/A</v>
      </c>
      <c r="E190" s="32" t="e">
        <f>VLOOKUP(A1,DIV_05Data!$A$1:$DZU$1000000,3219,FALSE)</f>
        <v>#N/A</v>
      </c>
      <c r="F190" s="34" t="e">
        <f>VLOOKUP(A1,DIV_05Data!$A$1:$DZU$1000000,3220,FALSE)</f>
        <v>#N/A</v>
      </c>
      <c r="G190" s="33" t="e">
        <f>VLOOKUP(A1,DIV_05Data!$A$1:$DZU$1000000,3221,FALSE)</f>
        <v>#N/A</v>
      </c>
      <c r="H190" s="34" t="e">
        <f>VLOOKUP(A1,DIV_05Data!$A$1:$DZU$1000000,3222,FALSE)</f>
        <v>#N/A</v>
      </c>
      <c r="I190" s="33" t="e">
        <f>VLOOKUP(A1,DIV_05Data!$A$1:$DZU$1000000,3223,FALSE)</f>
        <v>#N/A</v>
      </c>
      <c r="J190" s="34" t="e">
        <f>VLOOKUP(A1,DIV_05Data!$A$1:$DZU$1000000,3224,FALSE)</f>
        <v>#N/A</v>
      </c>
      <c r="K190" s="34" t="e">
        <f>VLOOKUP(A1,DIV_05Data!$A$1:$DZU$1000000,3225,FALSE)</f>
        <v>#N/A</v>
      </c>
      <c r="L190" s="93" t="e">
        <f>VLOOKUP(A1,DIV_05Data!$A$1:$DZU$1000000,3226,FALSE)</f>
        <v>#N/A</v>
      </c>
      <c r="M190" s="33" t="e">
        <f>VLOOKUP(A1,DIV_05Data!$A$1:$DZU$1000000,3227,FALSE)</f>
        <v>#N/A</v>
      </c>
      <c r="N190" s="34" t="e">
        <f>VLOOKUP(A1,DIV_05Data!$A$1:$DZU$1000000,3228,FALSE)</f>
        <v>#N/A</v>
      </c>
      <c r="O190" s="33" t="e">
        <f>VLOOKUP(A1,DIV_05Data!$A$1:$DZU$1000000,3229,FALSE)</f>
        <v>#N/A</v>
      </c>
      <c r="P190" s="116" t="e">
        <f>VLOOKUP(A1,DIV_05Data!$A$1:$DZU$1000000,3230,FALSE)</f>
        <v>#N/A</v>
      </c>
      <c r="Q190" s="268" t="e">
        <f>VLOOKUP(A1,DIV_05Data!$A$1:$DZU$1000000,3231,FALSE)</f>
        <v>#N/A</v>
      </c>
    </row>
    <row r="191" spans="1:17" x14ac:dyDescent="0.35">
      <c r="A191" s="265" t="e">
        <f>VLOOKUP(A1,DIV_05Data!$A$1:$DZU$1000000,3232,FALSE)</f>
        <v>#N/A</v>
      </c>
      <c r="B191" s="37" t="e">
        <f>VLOOKUP(A1,DIV_05Data!$A$1:$DZU$1000000,3233,FALSE)</f>
        <v>#N/A</v>
      </c>
      <c r="C191" s="43" t="e">
        <f>VLOOKUP(A1,DIV_05Data!$A$1:$DZU$1000000,3234,FALSE)</f>
        <v>#N/A</v>
      </c>
      <c r="D191" s="31" t="e">
        <f>VLOOKUP(A1,DIV_05Data!$A$1:$DZU$1000000,3235,FALSE)</f>
        <v>#N/A</v>
      </c>
      <c r="E191" s="32" t="e">
        <f>VLOOKUP(A1,DIV_05Data!$A$1:$DZU$1000000,3236,FALSE)</f>
        <v>#N/A</v>
      </c>
      <c r="F191" s="44" t="e">
        <f>VLOOKUP(A1,DIV_05Data!$A$1:$DZU$1000000,3237,FALSE)</f>
        <v>#N/A</v>
      </c>
      <c r="G191" s="45" t="e">
        <f>VLOOKUP(A1,DIV_05Data!$A$1:$DZU$1000000,3238,FALSE)</f>
        <v>#N/A</v>
      </c>
      <c r="H191" s="44" t="e">
        <f>VLOOKUP(A1,DIV_05Data!$A$1:$DZU$1000000,3239,FALSE)</f>
        <v>#N/A</v>
      </c>
      <c r="I191" s="45" t="e">
        <f>VLOOKUP(A1,DIV_05Data!$A$1:$DZU$1000000,3240,FALSE)</f>
        <v>#N/A</v>
      </c>
      <c r="J191" s="34" t="e">
        <f>VLOOKUP(A1,DIV_05Data!$A$1:$DZU$1000000,3241,FALSE)</f>
        <v>#N/A</v>
      </c>
      <c r="K191" s="43" t="e">
        <f>VLOOKUP(A1,DIV_05Data!$A$1:$DZU$1000000,3242,FALSE)</f>
        <v>#N/A</v>
      </c>
      <c r="L191" s="44" t="e">
        <f>VLOOKUP(A1,DIV_05Data!$A$1:$DZU$1000000,3243,FALSE)</f>
        <v>#N/A</v>
      </c>
      <c r="M191" s="45" t="e">
        <f>VLOOKUP(A1,DIV_05Data!$A$1:$DZU$1000000,3244,FALSE)</f>
        <v>#N/A</v>
      </c>
      <c r="N191" s="44" t="e">
        <f>VLOOKUP(A1,DIV_05Data!$A$1:$DZU$1000000,3245,FALSE)</f>
        <v>#N/A</v>
      </c>
      <c r="O191" s="45" t="e">
        <f>VLOOKUP(A1,DIV_05Data!$A$1:$DZU$1000000,3246,FALSE)</f>
        <v>#N/A</v>
      </c>
      <c r="P191" s="116" t="e">
        <f>VLOOKUP(A1,DIV_05Data!$A$1:$DZU$1000000,3247,FALSE)</f>
        <v>#N/A</v>
      </c>
      <c r="Q191" s="269" t="e">
        <f>VLOOKUP(A1,DIV_05Data!$A$1:$DZU$1000000,3248,FALSE)</f>
        <v>#N/A</v>
      </c>
    </row>
    <row r="192" spans="1:17" x14ac:dyDescent="0.35">
      <c r="A192" s="265" t="e">
        <f>VLOOKUP(A1,DIV_05Data!$A$1:$DZU$1000000,3249,FALSE)</f>
        <v>#N/A</v>
      </c>
      <c r="B192" s="37" t="e">
        <f>VLOOKUP(A1,DIV_05Data!$A$1:$DZU$1000000,3250,FALSE)</f>
        <v>#N/A</v>
      </c>
      <c r="C192" s="38" t="e">
        <f>VLOOKUP(A1,DIV_05Data!$A$1:$DZU$1000000,3251,FALSE)</f>
        <v>#N/A</v>
      </c>
      <c r="D192" s="31" t="e">
        <f>VLOOKUP(A1,DIV_05Data!$A$1:$DZU$1000000,3252,FALSE)</f>
        <v>#N/A</v>
      </c>
      <c r="E192" s="32" t="e">
        <f>VLOOKUP(A1,DIV_05Data!$A$1:$DZU$1000000,3253,FALSE)</f>
        <v>#N/A</v>
      </c>
      <c r="F192" s="34" t="e">
        <f>VLOOKUP(A1,DIV_05Data!$A$1:$DZU$1000000,3254,FALSE)</f>
        <v>#N/A</v>
      </c>
      <c r="G192" s="33" t="e">
        <f>VLOOKUP(A1,DIV_05Data!$A$1:$DZU$1000000,3255,FALSE)</f>
        <v>#N/A</v>
      </c>
      <c r="H192" s="34" t="e">
        <f>VLOOKUP(A1,DIV_05Data!$A$1:$DZU$1000000,3256,FALSE)</f>
        <v>#N/A</v>
      </c>
      <c r="I192" s="33" t="e">
        <f>VLOOKUP(A1,DIV_05Data!$A$1:$DZU$1000000,3257,FALSE)</f>
        <v>#N/A</v>
      </c>
      <c r="J192" s="34" t="e">
        <f>VLOOKUP(A1,DIV_05Data!$A$1:$DZU$1000000,3258,FALSE)</f>
        <v>#N/A</v>
      </c>
      <c r="K192" s="34" t="e">
        <f>VLOOKUP(A1,DIV_05Data!$A$1:$DZU$1000000,3259,FALSE)</f>
        <v>#N/A</v>
      </c>
      <c r="L192" s="34" t="e">
        <f>VLOOKUP(A1,DIV_05Data!$A$1:$DZU$1000000,3260,FALSE)</f>
        <v>#N/A</v>
      </c>
      <c r="M192" s="33" t="e">
        <f>VLOOKUP(A1,DIV_05Data!$A$1:$DZU$1000000,3261,FALSE)</f>
        <v>#N/A</v>
      </c>
      <c r="N192" s="34" t="e">
        <f>VLOOKUP(A1,DIV_05Data!$A$1:$DZU$1000000,3262,FALSE)</f>
        <v>#N/A</v>
      </c>
      <c r="O192" s="33" t="e">
        <f>VLOOKUP(A1,DIV_05Data!$A$1:$DZU$1000000,3263,FALSE)</f>
        <v>#N/A</v>
      </c>
      <c r="P192" s="116" t="e">
        <f>VLOOKUP(A1,DIV_05Data!$A$1:$DZU$1000000,3264,FALSE)</f>
        <v>#N/A</v>
      </c>
      <c r="Q192" s="268" t="e">
        <f>VLOOKUP(A1,DIV_05Data!$A$1:$DZU$1000000,3265,FALSE)</f>
        <v>#N/A</v>
      </c>
    </row>
    <row r="193" spans="1:17" x14ac:dyDescent="0.35">
      <c r="A193" s="265" t="e">
        <f>VLOOKUP(A1,DIV_05Data!$A$1:$DZU$1000000,3266,FALSE)</f>
        <v>#N/A</v>
      </c>
      <c r="B193" s="37" t="e">
        <f>VLOOKUP(A1,DIV_05Data!$A$1:$DZU$1000000,3267,FALSE)</f>
        <v>#N/A</v>
      </c>
      <c r="C193" s="30" t="e">
        <f>VLOOKUP(A1,DIV_05Data!$A$1:$DZU$1000000,3268,FALSE)</f>
        <v>#N/A</v>
      </c>
      <c r="D193" s="31" t="e">
        <f>VLOOKUP(A1,DIV_05Data!$A$1:$DZU$1000000,3269,FALSE)</f>
        <v>#N/A</v>
      </c>
      <c r="E193" s="32" t="e">
        <f>VLOOKUP(A1,DIV_05Data!$A$1:$DZU$1000000,3270,FALSE)</f>
        <v>#N/A</v>
      </c>
      <c r="F193" s="34" t="e">
        <f>VLOOKUP(A1,DIV_05Data!$A$1:$DZU$1000000,3271,FALSE)</f>
        <v>#N/A</v>
      </c>
      <c r="G193" s="33" t="e">
        <f>VLOOKUP(A1,DIV_05Data!$A$1:$DZU$1000000,3272,FALSE)</f>
        <v>#N/A</v>
      </c>
      <c r="H193" s="34" t="e">
        <f>VLOOKUP(A1,DIV_05Data!$A$1:$DZU$1000000,3273,FALSE)</f>
        <v>#N/A</v>
      </c>
      <c r="I193" s="33" t="e">
        <f>VLOOKUP(A1,DIV_05Data!$A$1:$DZU$1000000,3274,FALSE)</f>
        <v>#N/A</v>
      </c>
      <c r="J193" s="34" t="e">
        <f>VLOOKUP(A1,DIV_05Data!$A$1:$DZU$1000000,3275,FALSE)</f>
        <v>#N/A</v>
      </c>
      <c r="K193" s="34" t="e">
        <f>VLOOKUP(A1,DIV_05Data!$A$1:$DZU$1000000,3276,FALSE)</f>
        <v>#N/A</v>
      </c>
      <c r="L193" s="34" t="e">
        <f>VLOOKUP(A1,DIV_05Data!$A$1:$DZU$1000000,3277,FALSE)</f>
        <v>#N/A</v>
      </c>
      <c r="M193" s="33" t="e">
        <f>VLOOKUP(A1,DIV_05Data!$A$1:$DZU$1000000,3278,FALSE)</f>
        <v>#N/A</v>
      </c>
      <c r="N193" s="34" t="e">
        <f>VLOOKUP(A1,DIV_05Data!$A$1:$DZU$1000000,3279,FALSE)</f>
        <v>#N/A</v>
      </c>
      <c r="O193" s="33" t="e">
        <f>VLOOKUP(A1,DIV_05Data!$A$1:$DZU$1000000,3280,FALSE)</f>
        <v>#N/A</v>
      </c>
      <c r="P193" s="116" t="e">
        <f>VLOOKUP(A1,DIV_05Data!$A$1:$DZU$1000000,3281,FALSE)</f>
        <v>#N/A</v>
      </c>
      <c r="Q193" s="268" t="e">
        <f>VLOOKUP(A1,DIV_05Data!$A$1:$DZU$1000000,3282,FALSE)</f>
        <v>#N/A</v>
      </c>
    </row>
    <row r="194" spans="1:17" x14ac:dyDescent="0.35">
      <c r="A194" s="265" t="e">
        <f>VLOOKUP(A1,DIV_05Data!$A$1:$DZU$1000000,3283,FALSE)</f>
        <v>#N/A</v>
      </c>
      <c r="B194" s="37" t="e">
        <f>VLOOKUP(A1,DIV_05Data!$A$1:$DZU$1000000,3284,FALSE)</f>
        <v>#N/A</v>
      </c>
      <c r="C194" s="38" t="e">
        <f>VLOOKUP(A1,DIV_05Data!$A$1:$DZU$1000000,3285,FALSE)</f>
        <v>#N/A</v>
      </c>
      <c r="D194" s="31" t="e">
        <f>VLOOKUP(A1,DIV_05Data!$A$1:$DZU$1000000,3286,FALSE)</f>
        <v>#N/A</v>
      </c>
      <c r="E194" s="32" t="e">
        <f>VLOOKUP(A1,DIV_05Data!$A$1:$DZU$1000000,3287,FALSE)</f>
        <v>#N/A</v>
      </c>
      <c r="F194" s="34" t="e">
        <f>VLOOKUP(A1,DIV_05Data!$A$1:$DZU$1000000,3288,FALSE)</f>
        <v>#N/A</v>
      </c>
      <c r="G194" s="33" t="e">
        <f>VLOOKUP(A1,DIV_05Data!$A$1:$DZU$1000000,3289,FALSE)</f>
        <v>#N/A</v>
      </c>
      <c r="H194" s="34" t="e">
        <f>VLOOKUP(A1,DIV_05Data!$A$1:$DZU$1000000,3290,FALSE)</f>
        <v>#N/A</v>
      </c>
      <c r="I194" s="33" t="e">
        <f>VLOOKUP(A1,DIV_05Data!$A$1:$DZU$1000000,3291,FALSE)</f>
        <v>#N/A</v>
      </c>
      <c r="J194" s="34" t="e">
        <f>VLOOKUP(A1,DIV_05Data!$A$1:$DZU$1000000,3292,FALSE)</f>
        <v>#N/A</v>
      </c>
      <c r="K194" s="34" t="e">
        <f>VLOOKUP(A1,DIV_05Data!$A$1:$DZU$1000000,3293,FALSE)</f>
        <v>#N/A</v>
      </c>
      <c r="L194" s="93" t="e">
        <f>VLOOKUP(A1,DIV_05Data!$A$1:$DZU$1000000,3294,FALSE)</f>
        <v>#N/A</v>
      </c>
      <c r="M194" s="33" t="e">
        <f>VLOOKUP(A1,DIV_05Data!$A$1:$DZU$1000000,3295,FALSE)</f>
        <v>#N/A</v>
      </c>
      <c r="N194" s="34" t="e">
        <f>VLOOKUP(A1,DIV_05Data!$A$1:$DZU$1000000,3296,FALSE)</f>
        <v>#N/A</v>
      </c>
      <c r="O194" s="33" t="e">
        <f>VLOOKUP(A1,DIV_05Data!$A$1:$DZU$1000000,3297,FALSE)</f>
        <v>#N/A</v>
      </c>
      <c r="P194" s="116" t="e">
        <f>VLOOKUP(A1,DIV_05Data!$A$1:$DZU$1000000,3298,FALSE)</f>
        <v>#N/A</v>
      </c>
      <c r="Q194" s="268" t="e">
        <f>VLOOKUP(A1,DIV_05Data!$A$1:$DZU$1000000,3299,FALSE)</f>
        <v>#N/A</v>
      </c>
    </row>
    <row r="195" spans="1:17" x14ac:dyDescent="0.35">
      <c r="A195" s="265" t="e">
        <f>VLOOKUP(A1,DIV_05Data!$A$1:$DZU$1000000,3300,FALSE)</f>
        <v>#N/A</v>
      </c>
      <c r="B195" s="37" t="e">
        <f>VLOOKUP(A1,DIV_05Data!$A$1:$DZU$1000000,3301,FALSE)</f>
        <v>#N/A</v>
      </c>
      <c r="C195" s="38" t="e">
        <f>VLOOKUP(A1,DIV_05Data!$A$1:$DZU$1000000,3302,FALSE)</f>
        <v>#N/A</v>
      </c>
      <c r="D195" s="31" t="e">
        <f>VLOOKUP(A1,DIV_05Data!$A$1:$DZU$1000000,3303,FALSE)</f>
        <v>#N/A</v>
      </c>
      <c r="E195" s="32" t="e">
        <f>VLOOKUP(A1,DIV_05Data!$A$1:$DZU$1000000,3304,FALSE)</f>
        <v>#N/A</v>
      </c>
      <c r="F195" s="34" t="e">
        <f>VLOOKUP(A1,DIV_05Data!$A$1:$DZU$1000000,3305,FALSE)</f>
        <v>#N/A</v>
      </c>
      <c r="G195" s="33" t="e">
        <f>VLOOKUP(A1,DIV_05Data!$A$1:$DZU$1000000,3306,FALSE)</f>
        <v>#N/A</v>
      </c>
      <c r="H195" s="34" t="e">
        <f>VLOOKUP(A1,DIV_05Data!$A$1:$DZU$1000000,3307,FALSE)</f>
        <v>#N/A</v>
      </c>
      <c r="I195" s="33" t="e">
        <f>VLOOKUP(A1,DIV_05Data!$A$1:$DZU$1000000,3308,FALSE)</f>
        <v>#N/A</v>
      </c>
      <c r="J195" s="34" t="e">
        <f>VLOOKUP(A1,DIV_05Data!$A$1:$DZU$1000000,3309,FALSE)</f>
        <v>#N/A</v>
      </c>
      <c r="K195" s="34" t="e">
        <f>VLOOKUP(A1,DIV_05Data!$A$1:$DZU$1000000,3310,FALSE)</f>
        <v>#N/A</v>
      </c>
      <c r="L195" s="93" t="e">
        <f>VLOOKUP(A1,DIV_05Data!$A$1:$DZU$1000000,3311,FALSE)</f>
        <v>#N/A</v>
      </c>
      <c r="M195" s="33" t="e">
        <f>VLOOKUP(A1,DIV_05Data!$A$1:$DZU$1000000,3312,FALSE)</f>
        <v>#N/A</v>
      </c>
      <c r="N195" s="34" t="e">
        <f>VLOOKUP(A1,DIV_05Data!$A$1:$DZU$1000000,3313,FALSE)</f>
        <v>#N/A</v>
      </c>
      <c r="O195" s="33" t="e">
        <f>VLOOKUP(A1,DIV_05Data!$A$1:$DZU$1000000,3314,FALSE)</f>
        <v>#N/A</v>
      </c>
      <c r="P195" s="116" t="e">
        <f>VLOOKUP(A1,DIV_05Data!$A$1:$DZU$1000000,3315,FALSE)</f>
        <v>#N/A</v>
      </c>
      <c r="Q195" s="268" t="e">
        <f>VLOOKUP(A1,DIV_05Data!$A$1:$DZU$1000000,3316,FALSE)</f>
        <v>#N/A</v>
      </c>
    </row>
    <row r="196" spans="1:17" x14ac:dyDescent="0.35">
      <c r="A196" s="265" t="e">
        <f>VLOOKUP(A1,DIV_05Data!$A$1:$DZU$1000000,3317,FALSE)</f>
        <v>#N/A</v>
      </c>
      <c r="B196" s="37" t="e">
        <f>VLOOKUP(A1,DIV_05Data!$A$1:$DZU$1000000,3318,FALSE)</f>
        <v>#N/A</v>
      </c>
      <c r="C196" s="38" t="e">
        <f>VLOOKUP(A1,DIV_05Data!$A$1:$DZU$1000000,3319,FALSE)</f>
        <v>#N/A</v>
      </c>
      <c r="D196" s="31" t="e">
        <f>VLOOKUP(A1,DIV_05Data!$A$1:$DZU$1000000,3320,FALSE)</f>
        <v>#N/A</v>
      </c>
      <c r="E196" s="32" t="e">
        <f>VLOOKUP(A1,DIV_05Data!$A$1:$DZU$1000000,3321,FALSE)</f>
        <v>#N/A</v>
      </c>
      <c r="F196" s="34" t="e">
        <f>VLOOKUP(A1,DIV_05Data!$A$1:$DZU$1000000,3322,FALSE)</f>
        <v>#N/A</v>
      </c>
      <c r="G196" s="33" t="e">
        <f>VLOOKUP(A1,DIV_05Data!$A$1:$DZU$1000000,3323,FALSE)</f>
        <v>#N/A</v>
      </c>
      <c r="H196" s="34" t="e">
        <f>VLOOKUP(A1,DIV_05Data!$A$1:$DZU$1000000,3324,FALSE)</f>
        <v>#N/A</v>
      </c>
      <c r="I196" s="33" t="e">
        <f>VLOOKUP(A1,DIV_05Data!$A$1:$DZU$1000000,3325,FALSE)</f>
        <v>#N/A</v>
      </c>
      <c r="J196" s="34" t="e">
        <f>VLOOKUP(A1,DIV_05Data!$A$1:$DZU$1000000,3326,FALSE)</f>
        <v>#N/A</v>
      </c>
      <c r="K196" s="34" t="e">
        <f>VLOOKUP(A1,DIV_05Data!$A$1:$DZU$1000000,3327,FALSE)</f>
        <v>#N/A</v>
      </c>
      <c r="L196" s="93" t="e">
        <f>VLOOKUP(A1,DIV_05Data!$A$1:$DZU$1000000,3328,FALSE)</f>
        <v>#N/A</v>
      </c>
      <c r="M196" s="33" t="e">
        <f>VLOOKUP(A1,DIV_05Data!$A$1:$DZU$1000000,3329,FALSE)</f>
        <v>#N/A</v>
      </c>
      <c r="N196" s="34" t="e">
        <f>VLOOKUP(A1,DIV_05Data!$A$1:$DZU$1000000,3330,FALSE)</f>
        <v>#N/A</v>
      </c>
      <c r="O196" s="33" t="e">
        <f>VLOOKUP(A1,DIV_05Data!$A$1:$DZU$1000000,3331,FALSE)</f>
        <v>#N/A</v>
      </c>
      <c r="P196" s="116" t="e">
        <f>VLOOKUP(A1,DIV_05Data!$A$1:$DZU$1000000,3332,FALSE)</f>
        <v>#N/A</v>
      </c>
      <c r="Q196" s="268" t="e">
        <f>VLOOKUP(A1,DIV_05Data!$A$1:$DZU$1000000,3333,FALSE)</f>
        <v>#N/A</v>
      </c>
    </row>
    <row r="197" spans="1:17" x14ac:dyDescent="0.35">
      <c r="A197" s="265" t="e">
        <f>VLOOKUP(A1,DIV_05Data!$A$1:$DZU$1000000,3334,FALSE)</f>
        <v>#N/A</v>
      </c>
      <c r="B197" s="37" t="e">
        <f>VLOOKUP(A1,DIV_05Data!$A$1:$DZU$1000000,3335,FALSE)</f>
        <v>#N/A</v>
      </c>
      <c r="C197" s="43" t="e">
        <f>VLOOKUP(A1,DIV_05Data!$A$1:$DZU$1000000,3336,FALSE)</f>
        <v>#N/A</v>
      </c>
      <c r="D197" s="31" t="e">
        <f>VLOOKUP(A1,DIV_05Data!$A$1:$DZU$1000000,3337,FALSE)</f>
        <v>#N/A</v>
      </c>
      <c r="E197" s="32" t="e">
        <f>VLOOKUP(A1,DIV_05Data!$A$1:$DZU$1000000,3338,FALSE)</f>
        <v>#N/A</v>
      </c>
      <c r="F197" s="44" t="e">
        <f>VLOOKUP(A1,DIV_05Data!$A$1:$DZU$1000000,3339,FALSE)</f>
        <v>#N/A</v>
      </c>
      <c r="G197" s="45" t="e">
        <f>VLOOKUP(A1,DIV_05Data!$A$1:$DZU$1000000,3340,FALSE)</f>
        <v>#N/A</v>
      </c>
      <c r="H197" s="44" t="e">
        <f>VLOOKUP(A1,DIV_05Data!$A$1:$DZU$1000000,3341,FALSE)</f>
        <v>#N/A</v>
      </c>
      <c r="I197" s="45" t="e">
        <f>VLOOKUP(A1,DIV_05Data!$A$1:$DZU$1000000,3342,FALSE)</f>
        <v>#N/A</v>
      </c>
      <c r="J197" s="34" t="e">
        <f>VLOOKUP(A1,DIV_05Data!$A$1:$DZU$1000000,3343,FALSE)</f>
        <v>#N/A</v>
      </c>
      <c r="K197" s="43" t="e">
        <f>VLOOKUP(A1,DIV_05Data!$A$1:$DZU$1000000,3344,FALSE)</f>
        <v>#N/A</v>
      </c>
      <c r="L197" s="44" t="e">
        <f>VLOOKUP(A1,DIV_05Data!$A$1:$DZU$1000000,3345,FALSE)</f>
        <v>#N/A</v>
      </c>
      <c r="M197" s="45" t="e">
        <f>VLOOKUP(A1,DIV_05Data!$A$1:$DZU$1000000,3346,FALSE)</f>
        <v>#N/A</v>
      </c>
      <c r="N197" s="44" t="e">
        <f>VLOOKUP(A1,DIV_05Data!$A$1:$DZU$1000000,3347,FALSE)</f>
        <v>#N/A</v>
      </c>
      <c r="O197" s="45" t="e">
        <f>VLOOKUP(A1,DIV_05Data!$A$1:$DZU$1000000,3348,FALSE)</f>
        <v>#N/A</v>
      </c>
      <c r="P197" s="114" t="e">
        <f>VLOOKUP(A1,DIV_05Data!$A$1:$DZU$1000000,3349,FALSE)</f>
        <v>#N/A</v>
      </c>
      <c r="Q197" s="269" t="e">
        <f>VLOOKUP(A1,DIV_05Data!$A$1:$DZU$1000000,3350,FALSE)</f>
        <v>#N/A</v>
      </c>
    </row>
    <row r="198" spans="1:17" x14ac:dyDescent="0.35">
      <c r="A198" s="265" t="e">
        <f>VLOOKUP(A1,DIV_05Data!$A$1:$DZU$1000000,3351,FALSE)</f>
        <v>#N/A</v>
      </c>
      <c r="B198" s="37" t="e">
        <f>VLOOKUP(A1,DIV_05Data!$A$1:$DZU$1000000,3352,FALSE)</f>
        <v>#N/A</v>
      </c>
      <c r="C198" s="38" t="e">
        <f>VLOOKUP(A1,DIV_05Data!$A$1:$DZU$1000000,3353,FALSE)</f>
        <v>#N/A</v>
      </c>
      <c r="D198" s="31" t="e">
        <f>VLOOKUP(A1,DIV_05Data!$A$1:$DZU$1000000,3354,FALSE)</f>
        <v>#N/A</v>
      </c>
      <c r="E198" s="32" t="e">
        <f>VLOOKUP(A1,DIV_05Data!$A$1:$DZU$1000000,3355,FALSE)</f>
        <v>#N/A</v>
      </c>
      <c r="F198" s="34" t="e">
        <f>VLOOKUP(A1,DIV_05Data!$A$1:$DZU$1000000,3356,FALSE)</f>
        <v>#N/A</v>
      </c>
      <c r="G198" s="33" t="e">
        <f>VLOOKUP(A1,DIV_05Data!$A$1:$DZU$1000000,3357,FALSE)</f>
        <v>#N/A</v>
      </c>
      <c r="H198" s="34" t="e">
        <f>VLOOKUP(A1,DIV_05Data!$A$1:$DZU$1000000,3358,FALSE)</f>
        <v>#N/A</v>
      </c>
      <c r="I198" s="33" t="e">
        <f>VLOOKUP(A1,DIV_05Data!$A$1:$DZU$1000000,3359,FALSE)</f>
        <v>#N/A</v>
      </c>
      <c r="J198" s="34" t="e">
        <f>VLOOKUP(A1,DIV_05Data!$A$1:$DZU$1000000,3360,FALSE)</f>
        <v>#N/A</v>
      </c>
      <c r="K198" s="34" t="e">
        <f>VLOOKUP(A1,DIV_05Data!$A$1:$DZU$1000000,3361,FALSE)</f>
        <v>#N/A</v>
      </c>
      <c r="L198" s="34" t="e">
        <f>VLOOKUP(A1,DIV_05Data!$A$1:$DZU$1000000,3362,FALSE)</f>
        <v>#N/A</v>
      </c>
      <c r="M198" s="33" t="e">
        <f>VLOOKUP(A1,DIV_05Data!$A$1:$DZU$1000000,3363,FALSE)</f>
        <v>#N/A</v>
      </c>
      <c r="N198" s="34" t="e">
        <f>VLOOKUP(A1,DIV_05Data!$A$1:$DZU$1000000,3364,FALSE)</f>
        <v>#N/A</v>
      </c>
      <c r="O198" s="35" t="e">
        <f>VLOOKUP(A1,DIV_05Data!$A$1:$DZU$1000000,3365,FALSE)</f>
        <v>#N/A</v>
      </c>
      <c r="P198" s="114" t="e">
        <f>VLOOKUP(A1,DIV_05Data!$A$1:$DZU$1000000,3366,FALSE)</f>
        <v>#N/A</v>
      </c>
      <c r="Q198" s="267" t="e">
        <f>VLOOKUP(A1,DIV_05Data!$A$1:$DZU$1000000,3367,FALSE)</f>
        <v>#N/A</v>
      </c>
    </row>
    <row r="199" spans="1:17" x14ac:dyDescent="0.35">
      <c r="A199" s="270" t="e">
        <f>VLOOKUP(A1,DIV_05Data!$A$1:$DZU$1000000,3368,FALSE)</f>
        <v>#N/A</v>
      </c>
      <c r="B199" s="63" t="e">
        <f>VLOOKUP(A1,DIV_05Data!$A$1:$DZU$1000000,3369,FALSE)</f>
        <v>#N/A</v>
      </c>
      <c r="C199" s="64" t="e">
        <f>VLOOKUP(A1,DIV_05Data!$A$1:$DZU$1000000,3370,FALSE)</f>
        <v>#N/A</v>
      </c>
      <c r="D199" s="65" t="e">
        <f>VLOOKUP(A1,DIV_05Data!$A$1:$DZU$1000000,3371,FALSE)</f>
        <v>#N/A</v>
      </c>
      <c r="E199" s="66" t="e">
        <f>VLOOKUP(A1,DIV_05Data!$A$1:$DZU$1000000,3372,FALSE)</f>
        <v>#N/A</v>
      </c>
      <c r="F199" s="67" t="e">
        <f>VLOOKUP(A1,DIV_05Data!$A$1:$DZU$1000000,3373,FALSE)</f>
        <v>#N/A</v>
      </c>
      <c r="G199" s="68" t="e">
        <f>VLOOKUP(A1,DIV_05Data!$A$1:$DZU$1000000,3374,FALSE)</f>
        <v>#N/A</v>
      </c>
      <c r="H199" s="67" t="e">
        <f>VLOOKUP(A1,DIV_05Data!$A$1:$DZU$1000000,3375,FALSE)</f>
        <v>#N/A</v>
      </c>
      <c r="I199" s="68" t="e">
        <f>VLOOKUP(A1,DIV_05Data!$A$1:$DZU$1000000,3376,FALSE)</f>
        <v>#N/A</v>
      </c>
      <c r="J199" s="67" t="e">
        <f>VLOOKUP(A1,DIV_05Data!$A$1:$DZU$1000000,3377,FALSE)</f>
        <v>#N/A</v>
      </c>
      <c r="K199" s="69" t="e">
        <f>VLOOKUP(A1,DIV_05Data!$A$1:$DZU$1000000,3378,FALSE)</f>
        <v>#N/A</v>
      </c>
      <c r="L199" s="67" t="e">
        <f>VLOOKUP(A1,DIV_05Data!$A$1:$DZU$1000000,3379,FALSE)</f>
        <v>#N/A</v>
      </c>
      <c r="M199" s="68" t="e">
        <f>VLOOKUP(A1,DIV_05Data!$A$1:$DZU$1000000,3380,FALSE)</f>
        <v>#N/A</v>
      </c>
      <c r="N199" s="67" t="e">
        <f>VLOOKUP(A1,DIV_05Data!$A$1:$DZU$1000000,3381,FALSE)</f>
        <v>#N/A</v>
      </c>
      <c r="O199" s="68" t="e">
        <f>VLOOKUP(A1,DIV_05Data!$A$1:$DZU$1000000,3382,FALSE)</f>
        <v>#N/A</v>
      </c>
      <c r="P199" s="70" t="e">
        <f>VLOOKUP(A1,DIV_05Data!$A$1:$DZU$1000000,3383,FALSE)</f>
        <v>#N/A</v>
      </c>
      <c r="Q199" s="271" t="e">
        <f>VLOOKUP(A1,DIV_05Data!$A$1:$DZU$1000000,3384,FALSE)</f>
        <v>#N/A</v>
      </c>
    </row>
    <row r="200" spans="1:17" x14ac:dyDescent="0.35">
      <c r="A200" s="58" t="e">
        <f>VLOOKUP(A1,DIV_05Data!$A$1:$DZU$1000000,3385,FALSE)</f>
        <v>#N/A</v>
      </c>
      <c r="B200" s="59" t="e">
        <f>VLOOKUP(A1,DIV_05Data!$A$1:$DZU$1000000,3386,FALSE)</f>
        <v>#N/A</v>
      </c>
      <c r="C200" s="59" t="e">
        <f>VLOOKUP(A1,DIV_05Data!$A$1:$DZU$1000000,3387,FALSE)</f>
        <v>#N/A</v>
      </c>
      <c r="D200" s="59" t="e">
        <f>VLOOKUP(A1,DIV_05Data!$A$1:$DZU$1000000,3388,FALSE)</f>
        <v>#N/A</v>
      </c>
      <c r="E200" s="59" t="e">
        <f>VLOOKUP(A1,DIV_05Data!$A$1:$DZU$1000000,3389,FALSE)</f>
        <v>#N/A</v>
      </c>
      <c r="F200" s="59" t="e">
        <f>VLOOKUP(A1,DIV_05Data!$A$1:$DZU$1000000,3390,FALSE)</f>
        <v>#N/A</v>
      </c>
      <c r="G200" s="59" t="e">
        <f>VLOOKUP(A1,DIV_05Data!$A$1:$DZU$1000000,3391,FALSE)</f>
        <v>#N/A</v>
      </c>
      <c r="H200" s="59" t="e">
        <f>VLOOKUP(A1,DIV_05Data!$A$1:$DZU$1000000,3392,FALSE)</f>
        <v>#N/A</v>
      </c>
      <c r="I200" s="59" t="e">
        <f>VLOOKUP(A1,DIV_05Data!$A$1:$DZU$1000000,3393,FALSE)</f>
        <v>#N/A</v>
      </c>
      <c r="J200" s="59" t="e">
        <f>VLOOKUP(A1,DIV_05Data!$A$1:$DZU$1000000,3394,FALSE)</f>
        <v>#N/A</v>
      </c>
      <c r="K200" s="59" t="e">
        <f>VLOOKUP(A1,DIV_05Data!$A$1:$DZU$1000000,3395,FALSE)</f>
        <v>#N/A</v>
      </c>
      <c r="L200" s="59" t="e">
        <f>VLOOKUP(A1,DIV_05Data!$A$1:$DZU$1000000,3396,FALSE)</f>
        <v>#N/A</v>
      </c>
      <c r="M200" s="59" t="e">
        <f>VLOOKUP(A1,DIV_05Data!$A$1:$DZU$1000000,3397,FALSE)</f>
        <v>#N/A</v>
      </c>
      <c r="N200" s="59" t="e">
        <f>VLOOKUP(A1,DIV_05Data!$A$1:$DZU$1000000,3398,FALSE)</f>
        <v>#N/A</v>
      </c>
      <c r="O200" s="59" t="e">
        <f>VLOOKUP(A1,DIV_05Data!$A$1:$DZU$1000000,3399,FALSE)</f>
        <v>#N/A</v>
      </c>
      <c r="P200" s="59" t="e">
        <f>VLOOKUP(A1,DIV_05Data!$A$1:$DZU$1000000,3400,FALSE)</f>
        <v>#N/A</v>
      </c>
      <c r="Q200" s="272" t="e">
        <f>VLOOKUP(A1,DIV_05Data!$A$1:$DZU$1000000,3401,FALSE)</f>
        <v>#N/A</v>
      </c>
    </row>
  </sheetData>
  <mergeCells count="9">
    <mergeCell ref="J5:K5"/>
    <mergeCell ref="J6:K6"/>
    <mergeCell ref="J7:K7"/>
    <mergeCell ref="B2:L2"/>
    <mergeCell ref="A3:B3"/>
    <mergeCell ref="D3:G3"/>
    <mergeCell ref="J3:K3"/>
    <mergeCell ref="A4:B4"/>
    <mergeCell ref="J4:K4"/>
  </mergeCells>
  <dataValidations count="1">
    <dataValidation type="list" allowBlank="1" showInputMessage="1" showErrorMessage="1" sqref="C16:C190" xr:uid="{D3C369EE-8529-4B20-9E12-4C51D8DA4DB6}">
      <formula1>$C$205:$C207</formula1>
    </dataValidation>
  </dataValidations>
  <hyperlinks>
    <hyperlink ref="D3" r:id="rId1" display="datamateapp@gmail.com" xr:uid="{CF63ABBD-C885-436B-864C-467396CBD61B}"/>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ViewInput">
                <anchor moveWithCells="1" sizeWithCells="1">
                  <from>
                    <xdr:col>17</xdr:col>
                    <xdr:colOff>0</xdr:colOff>
                    <xdr:row>2</xdr:row>
                    <xdr:rowOff>50800</xdr:rowOff>
                  </from>
                  <to>
                    <xdr:col>19</xdr:col>
                    <xdr:colOff>44450</xdr:colOff>
                    <xdr:row>4</xdr:row>
                    <xdr:rowOff>95250</xdr:rowOff>
                  </to>
                </anchor>
              </controlPr>
            </control>
          </mc:Choice>
        </mc:AlternateContent>
        <mc:AlternateContent xmlns:mc="http://schemas.openxmlformats.org/markup-compatibility/2006">
          <mc:Choice Requires="x14">
            <control shapeId="466946" r:id="rId5" name="Button 2">
              <controlPr defaultSize="0" print="0" autoFill="0" autoPict="0" macro="[0]!ViewLog">
                <anchor moveWithCells="1" sizeWithCells="1">
                  <from>
                    <xdr:col>17</xdr:col>
                    <xdr:colOff>0</xdr:colOff>
                    <xdr:row>5</xdr:row>
                    <xdr:rowOff>50800</xdr:rowOff>
                  </from>
                  <to>
                    <xdr:col>19</xdr:col>
                    <xdr:colOff>44450</xdr:colOff>
                    <xdr:row>7</xdr:row>
                    <xdr:rowOff>57150</xdr:rowOff>
                  </to>
                </anchor>
              </controlPr>
            </control>
          </mc:Choice>
        </mc:AlternateContent>
        <mc:AlternateContent xmlns:mc="http://schemas.openxmlformats.org/markup-compatibility/2006">
          <mc:Choice Requires="x14">
            <control shapeId="466947" r:id="rId6" name="Button 3">
              <controlPr defaultSize="0" print="0" autoFill="0" autoPict="0" macro="[0]!OpenDataMateAppPage">
                <anchor moveWithCells="1" sizeWithCells="1">
                  <from>
                    <xdr:col>17</xdr:col>
                    <xdr:colOff>0</xdr:colOff>
                    <xdr:row>7</xdr:row>
                    <xdr:rowOff>177800</xdr:rowOff>
                  </from>
                  <to>
                    <xdr:col>19</xdr:col>
                    <xdr:colOff>44450</xdr:colOff>
                    <xdr:row>9</xdr:row>
                    <xdr:rowOff>177800</xdr:rowOff>
                  </to>
                </anchor>
              </controlPr>
            </control>
          </mc:Choice>
        </mc:AlternateContent>
        <mc:AlternateContent xmlns:mc="http://schemas.openxmlformats.org/markup-compatibility/2006">
          <mc:Choice Requires="x14">
            <control shapeId="466948" r:id="rId7" name="Button 4">
              <controlPr defaultSize="0" print="0" autoFill="0" autoPict="0" macro="RefreshView">
                <anchor moveWithCells="1" sizeWithCells="1">
                  <from>
                    <xdr:col>17</xdr:col>
                    <xdr:colOff>0</xdr:colOff>
                    <xdr:row>0</xdr:row>
                    <xdr:rowOff>0</xdr:rowOff>
                  </from>
                  <to>
                    <xdr:col>19</xdr:col>
                    <xdr:colOff>44450</xdr:colOff>
                    <xdr:row>2</xdr:row>
                    <xdr:rowOff>6350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CACAE02-E7A2-45C2-AA19-E02841609C3F}">
          <x14:formula1>
            <xm:f>DIV_05Data!$A:$A</xm:f>
          </x14:formula1>
          <xm:sqref>B2:L2</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3EC3E8-B2DC-443D-B513-2D8C3583FBF1}">
  <sheetPr codeName="Sheet114"/>
  <dimension ref="A2:B3"/>
  <sheetViews>
    <sheetView zoomScale="75" zoomScaleNormal="75" workbookViewId="0">
      <selection activeCell="A3" sqref="A3"/>
    </sheetView>
  </sheetViews>
  <sheetFormatPr defaultRowHeight="14.5" x14ac:dyDescent="0.35"/>
  <cols>
    <col min="1" max="1" width="28.26953125" customWidth="1"/>
    <col min="2" max="8" width="13.36328125" customWidth="1"/>
    <col min="9" max="9" width="50.36328125" customWidth="1"/>
    <col min="13" max="15" width="10.26953125" customWidth="1"/>
  </cols>
  <sheetData>
    <row r="2" spans="1:2" ht="18.5" x14ac:dyDescent="0.45">
      <c r="A2" s="71" t="str">
        <f>DIV_05Input!A3</f>
        <v>DIV 05</v>
      </c>
      <c r="B2" s="1"/>
    </row>
    <row r="3" spans="1:2" x14ac:dyDescent="0.35">
      <c r="A3" s="1" t="s">
        <v>21395</v>
      </c>
      <c r="B3" s="246">
        <f ca="1">TODAY()</f>
        <v>45603</v>
      </c>
    </row>
  </sheetData>
  <phoneticPr fontId="15"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67972" r:id="rId3" name="Button 4">
              <controlPr defaultSize="0" print="0" autoFill="0" autoPict="0" macro="[0]!ViewInput">
                <anchor moveWithCells="1" sizeWithCells="1">
                  <from>
                    <xdr:col>16</xdr:col>
                    <xdr:colOff>603250</xdr:colOff>
                    <xdr:row>0</xdr:row>
                    <xdr:rowOff>0</xdr:rowOff>
                  </from>
                  <to>
                    <xdr:col>19</xdr:col>
                    <xdr:colOff>44450</xdr:colOff>
                    <xdr:row>2</xdr:row>
                    <xdr:rowOff>12700</xdr:rowOff>
                  </to>
                </anchor>
              </controlPr>
            </control>
          </mc:Choice>
        </mc:AlternateContent>
        <mc:AlternateContent xmlns:mc="http://schemas.openxmlformats.org/markup-compatibility/2006">
          <mc:Choice Requires="x14">
            <control shapeId="467973" r:id="rId4" name="Button 5">
              <controlPr defaultSize="0" print="0" autoFill="0" autoPict="0" macro="[0]!ViewView_Print">
                <anchor moveWithCells="1" sizeWithCells="1">
                  <from>
                    <xdr:col>16</xdr:col>
                    <xdr:colOff>603250</xdr:colOff>
                    <xdr:row>2</xdr:row>
                    <xdr:rowOff>38100</xdr:rowOff>
                  </from>
                  <to>
                    <xdr:col>19</xdr:col>
                    <xdr:colOff>44450</xdr:colOff>
                    <xdr:row>4</xdr:row>
                    <xdr:rowOff>50800</xdr:rowOff>
                  </to>
                </anchor>
              </controlPr>
            </control>
          </mc:Choice>
        </mc:AlternateContent>
        <mc:AlternateContent xmlns:mc="http://schemas.openxmlformats.org/markup-compatibility/2006">
          <mc:Choice Requires="x14">
            <control shapeId="467974" r:id="rId5" name="Button 6">
              <controlPr defaultSize="0" print="0" autoFill="0" autoPict="0" macro="[0]!ViewUpdate">
                <anchor moveWithCells="1" sizeWithCells="1">
                  <from>
                    <xdr:col>16</xdr:col>
                    <xdr:colOff>603250</xdr:colOff>
                    <xdr:row>4</xdr:row>
                    <xdr:rowOff>76200</xdr:rowOff>
                  </from>
                  <to>
                    <xdr:col>19</xdr:col>
                    <xdr:colOff>44450</xdr:colOff>
                    <xdr:row>6</xdr:row>
                    <xdr:rowOff>88900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E4A34-ABEC-4DE2-9211-BFE6FEC868F9}">
  <sheetPr codeName="Sheet115"/>
  <dimension ref="A1:P1"/>
  <sheetViews>
    <sheetView workbookViewId="0">
      <selection activeCell="B2" sqref="B2"/>
    </sheetView>
  </sheetViews>
  <sheetFormatPr defaultRowHeight="14.5" x14ac:dyDescent="0.35"/>
  <cols>
    <col min="1" max="1" width="8.7265625" style="248"/>
    <col min="5" max="5" width="22.08984375" style="248" customWidth="1"/>
    <col min="6" max="6" width="8.7265625" style="248"/>
    <col min="7" max="11" width="11.6328125" style="248" customWidth="1"/>
    <col min="12" max="12" width="12.26953125" style="248" customWidth="1"/>
    <col min="13" max="13" width="34.54296875" style="248" customWidth="1"/>
    <col min="14" max="16" width="8.7265625" style="248"/>
  </cols>
  <sheetData>
    <row r="1" spans="2:16" x14ac:dyDescent="0.35">
      <c r="B1" s="73" t="str">
        <f>DIV_08View_Print!M1</f>
        <v>Update 1</v>
      </c>
      <c r="C1" s="73" t="str">
        <f>DIV_08View_Print!N1</f>
        <v>Update 2</v>
      </c>
      <c r="D1" s="73" t="str">
        <f>DIV_08View_Print!O1</f>
        <v>Update 3</v>
      </c>
      <c r="E1" s="74" t="str">
        <f>SEC_081000!A1</f>
        <v>AREA/FLOOR/ZONE</v>
      </c>
      <c r="F1" s="74" t="str">
        <f>SEC_081000!B1</f>
        <v>Page</v>
      </c>
      <c r="G1" s="74" t="str">
        <f>SEC_081000!C1</f>
        <v>SUB COST</v>
      </c>
      <c r="H1" s="74" t="str">
        <f>SEC_081000!D1</f>
        <v>MAT COST</v>
      </c>
      <c r="I1" s="74" t="str">
        <f>SEC_081000!E1</f>
        <v>LAB COST</v>
      </c>
      <c r="J1" s="74" t="str">
        <f>SEC_081000!F1</f>
        <v>EQUIP COST</v>
      </c>
      <c r="K1" s="74" t="str">
        <f>SEC_081000!G1</f>
        <v>Total Cost</v>
      </c>
      <c r="L1" s="74" t="str">
        <f>SEC_081000!H1</f>
        <v>Date</v>
      </c>
      <c r="M1" s="74" t="str">
        <f>SEC_081000!I1</f>
        <v>Description</v>
      </c>
      <c r="N1" s="74" t="str">
        <f>SEC_081000!J1</f>
        <v>Log 10</v>
      </c>
      <c r="O1" s="74" t="str">
        <f>SEC_081000!K1</f>
        <v>Log 11</v>
      </c>
      <c r="P1" s="75" t="str">
        <f>SEC_081000!L1</f>
        <v>Log 12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64897" r:id="rId3" name="Button 1">
              <controlPr defaultSize="0" print="0" autoFill="0" autoPict="0" macro="[0]!ViewLog">
                <anchor moveWithCells="1" sizeWithCells="1">
                  <from>
                    <xdr:col>17</xdr:col>
                    <xdr:colOff>0</xdr:colOff>
                    <xdr:row>0</xdr:row>
                    <xdr:rowOff>44450</xdr:rowOff>
                  </from>
                  <to>
                    <xdr:col>19</xdr:col>
                    <xdr:colOff>50800</xdr:colOff>
                    <xdr:row>2</xdr:row>
                    <xdr:rowOff>57150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0CDB87-5B51-4EC5-AE36-65A345CB53E8}">
  <sheetPr codeName="Sheet116"/>
  <dimension ref="S1:AG1"/>
  <sheetViews>
    <sheetView workbookViewId="0">
      <selection activeCell="N33" sqref="N33"/>
    </sheetView>
  </sheetViews>
  <sheetFormatPr defaultRowHeight="14.5" x14ac:dyDescent="0.35"/>
  <sheetData>
    <row r="1" spans="19:33" x14ac:dyDescent="0.35">
      <c r="S1" t="str">
        <f>DIV_05Input!A1</f>
        <v>Log 1</v>
      </c>
      <c r="T1" t="str">
        <f>DIV_05Input!B1</f>
        <v>Log 2</v>
      </c>
      <c r="U1" t="str">
        <f>DIV_05Input!C1</f>
        <v>Log 3</v>
      </c>
      <c r="V1" t="str">
        <f>DIV_05Input!D1</f>
        <v>Log 4</v>
      </c>
      <c r="W1" t="str">
        <f>DIV_05Input!E1</f>
        <v>Log 5</v>
      </c>
      <c r="X1" t="str">
        <f>DIV_05Input!F1</f>
        <v>Log 6</v>
      </c>
      <c r="Y1" t="str">
        <f>DIV_05Input!G1</f>
        <v>Log 7</v>
      </c>
      <c r="Z1" t="str">
        <f>DIV_05Input!H1</f>
        <v>Log 8</v>
      </c>
      <c r="AA1" t="str">
        <f>DIV_05Input!I1</f>
        <v>Log 9</v>
      </c>
      <c r="AB1" t="str">
        <f>DIV_05Input!J1</f>
        <v>Log 10</v>
      </c>
      <c r="AC1" t="str">
        <f>DIV_05Input!K1</f>
        <v>Log 11</v>
      </c>
      <c r="AD1" t="str">
        <f>DIV_05Input!L1</f>
        <v>Log 12</v>
      </c>
      <c r="AE1" t="str">
        <f>DIV_05Input!M1</f>
        <v>Update 1</v>
      </c>
      <c r="AF1" t="str">
        <f>DIV_05Input!N1</f>
        <v>Update 2</v>
      </c>
      <c r="AG1" t="str">
        <f>DIV_05Input!O1</f>
        <v>Update 3</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08073-07BB-499C-AE1A-C7439A20CB97}">
  <sheetPr codeName="Sheet71"/>
  <dimension ref="A1:Q2572"/>
  <sheetViews>
    <sheetView zoomScale="75" zoomScaleNormal="75" workbookViewId="0"/>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STRUCTURAL METAL FRAMING</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05 10 00</v>
      </c>
      <c r="C10" s="24" t="str">
        <f>C206</f>
        <v>STRUCTURAL METAL FRAMING</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STRUCTURAL METAL FRAMING</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14186</v>
      </c>
      <c r="C206" s="82" t="s">
        <v>14187</v>
      </c>
      <c r="D206" s="1"/>
      <c r="E206" s="1"/>
      <c r="F206" s="1"/>
      <c r="G206" s="1"/>
      <c r="H206" s="1"/>
      <c r="I206" s="1"/>
      <c r="J206" s="1"/>
      <c r="K206" s="1"/>
      <c r="L206" s="1"/>
      <c r="M206" s="1"/>
      <c r="N206" s="1"/>
      <c r="O206" s="1"/>
      <c r="P206" s="1"/>
      <c r="Q206" s="1"/>
    </row>
    <row r="207" spans="2:17" x14ac:dyDescent="0.35">
      <c r="B207" s="49" t="s">
        <v>14188</v>
      </c>
      <c r="C207" s="53" t="s">
        <v>14189</v>
      </c>
      <c r="D207" s="1"/>
      <c r="E207" s="1"/>
      <c r="F207" s="1"/>
      <c r="G207" s="1"/>
      <c r="H207" s="1"/>
      <c r="I207" s="1"/>
      <c r="J207" s="1"/>
      <c r="K207" s="1"/>
      <c r="L207" s="1"/>
      <c r="M207" s="1"/>
      <c r="N207" s="1"/>
      <c r="O207" s="1"/>
      <c r="P207" s="1"/>
      <c r="Q207" s="1"/>
    </row>
    <row r="208" spans="2:17" x14ac:dyDescent="0.35">
      <c r="B208" s="49" t="s">
        <v>14190</v>
      </c>
      <c r="C208" s="53" t="s">
        <v>14191</v>
      </c>
    </row>
    <row r="209" spans="2:5" x14ac:dyDescent="0.35">
      <c r="B209" s="49" t="s">
        <v>14192</v>
      </c>
      <c r="C209" s="53" t="s">
        <v>14193</v>
      </c>
    </row>
    <row r="210" spans="2:5" x14ac:dyDescent="0.35">
      <c r="B210" s="49" t="s">
        <v>14194</v>
      </c>
      <c r="C210" s="53" t="s">
        <v>14195</v>
      </c>
    </row>
    <row r="211" spans="2:5" x14ac:dyDescent="0.35">
      <c r="B211" s="49" t="s">
        <v>14196</v>
      </c>
      <c r="C211" s="53" t="s">
        <v>14197</v>
      </c>
    </row>
    <row r="212" spans="2:5" x14ac:dyDescent="0.35">
      <c r="B212" s="49" t="s">
        <v>14198</v>
      </c>
      <c r="C212" s="53" t="s">
        <v>14199</v>
      </c>
    </row>
    <row r="213" spans="2:5" x14ac:dyDescent="0.35">
      <c r="B213" s="49" t="s">
        <v>14200</v>
      </c>
      <c r="C213" s="53" t="s">
        <v>14201</v>
      </c>
    </row>
    <row r="214" spans="2:5" x14ac:dyDescent="0.35">
      <c r="C214" s="1" t="s">
        <v>8341</v>
      </c>
      <c r="D214" s="1" t="s">
        <v>3023</v>
      </c>
      <c r="E214" s="250">
        <v>5040.1000000000004</v>
      </c>
    </row>
    <row r="215" spans="2:5" x14ac:dyDescent="0.35">
      <c r="C215" s="1" t="s">
        <v>8340</v>
      </c>
      <c r="D215" s="1" t="s">
        <v>3023</v>
      </c>
      <c r="E215" s="250">
        <v>5040.2</v>
      </c>
    </row>
    <row r="216" spans="2:5" x14ac:dyDescent="0.35">
      <c r="C216" s="1" t="s">
        <v>8339</v>
      </c>
      <c r="D216" s="1" t="s">
        <v>18</v>
      </c>
      <c r="E216" s="250">
        <v>5040.3</v>
      </c>
    </row>
    <row r="217" spans="2:5" x14ac:dyDescent="0.35">
      <c r="C217" s="1" t="s">
        <v>8338</v>
      </c>
      <c r="D217" s="1" t="s">
        <v>8337</v>
      </c>
      <c r="E217" s="250">
        <v>5040.3999999999996</v>
      </c>
    </row>
    <row r="218" spans="2:5" x14ac:dyDescent="0.35">
      <c r="C218" s="1" t="s">
        <v>8336</v>
      </c>
      <c r="D218" s="1" t="s">
        <v>8333</v>
      </c>
      <c r="E218" s="250">
        <v>5040.5</v>
      </c>
    </row>
    <row r="219" spans="2:5" x14ac:dyDescent="0.35">
      <c r="C219" s="1" t="s">
        <v>8335</v>
      </c>
      <c r="D219" s="1" t="s">
        <v>8333</v>
      </c>
      <c r="E219" s="250">
        <v>5102.1000000000004</v>
      </c>
    </row>
    <row r="220" spans="2:5" x14ac:dyDescent="0.35">
      <c r="C220" s="1" t="s">
        <v>8334</v>
      </c>
      <c r="D220" s="1" t="s">
        <v>8333</v>
      </c>
      <c r="E220" s="250">
        <v>5102.2</v>
      </c>
    </row>
    <row r="221" spans="2:5" x14ac:dyDescent="0.35">
      <c r="C221" s="1" t="s">
        <v>8332</v>
      </c>
      <c r="D221" s="1" t="s">
        <v>18</v>
      </c>
      <c r="E221" s="250">
        <v>5102.3</v>
      </c>
    </row>
    <row r="222" spans="2:5" x14ac:dyDescent="0.35">
      <c r="C222" s="1" t="s">
        <v>8331</v>
      </c>
      <c r="D222" s="1" t="s">
        <v>77</v>
      </c>
      <c r="E222" s="250">
        <v>5119.9009999999998</v>
      </c>
    </row>
    <row r="223" spans="2:5" x14ac:dyDescent="0.35">
      <c r="C223" s="1" t="s">
        <v>8330</v>
      </c>
      <c r="D223" s="1" t="s">
        <v>42</v>
      </c>
      <c r="E223" s="250">
        <v>5120.03</v>
      </c>
    </row>
    <row r="224" spans="2:5" x14ac:dyDescent="0.35">
      <c r="C224" s="1" t="s">
        <v>8329</v>
      </c>
      <c r="D224" s="1" t="s">
        <v>42</v>
      </c>
      <c r="E224" s="250">
        <v>5120.0309999999999</v>
      </c>
    </row>
    <row r="225" spans="3:5" x14ac:dyDescent="0.35">
      <c r="C225" s="1" t="s">
        <v>8328</v>
      </c>
      <c r="D225" s="1" t="s">
        <v>42</v>
      </c>
      <c r="E225" s="250">
        <v>5120.0320000000002</v>
      </c>
    </row>
    <row r="226" spans="3:5" x14ac:dyDescent="0.35">
      <c r="C226" s="1" t="s">
        <v>8327</v>
      </c>
      <c r="D226" s="1" t="s">
        <v>42</v>
      </c>
      <c r="E226" s="250">
        <v>5120.0330000000004</v>
      </c>
    </row>
    <row r="227" spans="3:5" x14ac:dyDescent="0.35">
      <c r="C227" s="1" t="s">
        <v>8326</v>
      </c>
      <c r="D227" s="1" t="s">
        <v>42</v>
      </c>
      <c r="E227" s="250">
        <v>5120.0339999999997</v>
      </c>
    </row>
    <row r="228" spans="3:5" x14ac:dyDescent="0.35">
      <c r="C228" s="1" t="s">
        <v>8325</v>
      </c>
      <c r="D228" s="1" t="s">
        <v>42</v>
      </c>
      <c r="E228" s="250">
        <v>5120.0349999999999</v>
      </c>
    </row>
    <row r="229" spans="3:5" x14ac:dyDescent="0.35">
      <c r="C229" s="1" t="s">
        <v>8324</v>
      </c>
      <c r="D229" s="1" t="s">
        <v>32</v>
      </c>
      <c r="E229" s="250">
        <v>5120.201</v>
      </c>
    </row>
    <row r="230" spans="3:5" x14ac:dyDescent="0.35">
      <c r="C230" s="1" t="s">
        <v>8323</v>
      </c>
      <c r="D230" s="1" t="s">
        <v>42</v>
      </c>
      <c r="E230" s="250">
        <v>5120.2020000000002</v>
      </c>
    </row>
    <row r="231" spans="3:5" x14ac:dyDescent="0.35">
      <c r="C231" s="1" t="s">
        <v>8322</v>
      </c>
      <c r="D231" s="1" t="s">
        <v>32</v>
      </c>
      <c r="E231" s="250">
        <v>5120.2030000000004</v>
      </c>
    </row>
    <row r="232" spans="3:5" x14ac:dyDescent="0.35">
      <c r="C232" s="1" t="s">
        <v>8321</v>
      </c>
      <c r="D232" s="1" t="s">
        <v>42</v>
      </c>
      <c r="E232" s="250">
        <v>5120.2039999999997</v>
      </c>
    </row>
    <row r="233" spans="3:5" x14ac:dyDescent="0.35">
      <c r="C233" s="1" t="s">
        <v>8320</v>
      </c>
      <c r="D233" s="1" t="s">
        <v>32</v>
      </c>
      <c r="E233" s="250">
        <v>5120.2049999999999</v>
      </c>
    </row>
    <row r="234" spans="3:5" x14ac:dyDescent="0.35">
      <c r="C234" s="1" t="s">
        <v>8319</v>
      </c>
      <c r="D234" s="1" t="s">
        <v>42</v>
      </c>
      <c r="E234" s="250">
        <v>5120.2060000000001</v>
      </c>
    </row>
    <row r="235" spans="3:5" x14ac:dyDescent="0.35">
      <c r="C235" s="1" t="s">
        <v>8318</v>
      </c>
      <c r="D235" s="1" t="s">
        <v>32</v>
      </c>
      <c r="E235" s="250">
        <v>5120.2070000000003</v>
      </c>
    </row>
    <row r="236" spans="3:5" x14ac:dyDescent="0.35">
      <c r="C236" s="1" t="s">
        <v>8317</v>
      </c>
      <c r="D236" s="1" t="s">
        <v>42</v>
      </c>
      <c r="E236" s="250">
        <v>5120.2079999999996</v>
      </c>
    </row>
    <row r="237" spans="3:5" x14ac:dyDescent="0.35">
      <c r="C237" s="1" t="s">
        <v>8316</v>
      </c>
      <c r="D237" s="1" t="s">
        <v>32</v>
      </c>
      <c r="E237" s="250">
        <v>5120.2089999999998</v>
      </c>
    </row>
    <row r="238" spans="3:5" x14ac:dyDescent="0.35">
      <c r="C238" s="1" t="s">
        <v>8315</v>
      </c>
      <c r="D238" s="1" t="s">
        <v>42</v>
      </c>
      <c r="E238" s="250">
        <v>5120.21</v>
      </c>
    </row>
    <row r="239" spans="3:5" x14ac:dyDescent="0.35">
      <c r="C239" s="1" t="s">
        <v>8314</v>
      </c>
      <c r="D239" s="1" t="s">
        <v>32</v>
      </c>
      <c r="E239" s="250">
        <v>5120.2110000000002</v>
      </c>
    </row>
    <row r="240" spans="3:5" x14ac:dyDescent="0.35">
      <c r="C240" s="1" t="s">
        <v>8313</v>
      </c>
      <c r="D240" s="1" t="s">
        <v>42</v>
      </c>
      <c r="E240" s="250">
        <v>5120.2120000000004</v>
      </c>
    </row>
    <row r="241" spans="3:5" x14ac:dyDescent="0.35">
      <c r="C241" s="1" t="s">
        <v>8312</v>
      </c>
      <c r="D241" s="1" t="s">
        <v>32</v>
      </c>
      <c r="E241" s="250">
        <v>5120.2129999999997</v>
      </c>
    </row>
    <row r="242" spans="3:5" x14ac:dyDescent="0.35">
      <c r="C242" s="1" t="s">
        <v>8311</v>
      </c>
      <c r="D242" s="1" t="s">
        <v>42</v>
      </c>
      <c r="E242" s="250">
        <v>5120.2139999999999</v>
      </c>
    </row>
    <row r="243" spans="3:5" x14ac:dyDescent="0.35">
      <c r="C243" s="1" t="s">
        <v>8310</v>
      </c>
      <c r="D243" s="1" t="s">
        <v>30</v>
      </c>
      <c r="E243" s="250">
        <v>5120.3010000000004</v>
      </c>
    </row>
    <row r="244" spans="3:5" x14ac:dyDescent="0.35">
      <c r="C244" s="1" t="s">
        <v>8309</v>
      </c>
      <c r="D244" s="1" t="s">
        <v>42</v>
      </c>
      <c r="E244" s="250">
        <v>5120.3019999999997</v>
      </c>
    </row>
    <row r="245" spans="3:5" x14ac:dyDescent="0.35">
      <c r="C245" s="1" t="s">
        <v>8308</v>
      </c>
      <c r="D245" s="1" t="s">
        <v>30</v>
      </c>
      <c r="E245" s="250">
        <v>5120.3109999999997</v>
      </c>
    </row>
    <row r="246" spans="3:5" x14ac:dyDescent="0.35">
      <c r="C246" s="1" t="s">
        <v>8307</v>
      </c>
      <c r="D246" s="1" t="s">
        <v>42</v>
      </c>
      <c r="E246" s="250">
        <v>5120.3119999999999</v>
      </c>
    </row>
    <row r="247" spans="3:5" x14ac:dyDescent="0.35">
      <c r="C247" s="1" t="s">
        <v>8306</v>
      </c>
      <c r="D247" s="1" t="s">
        <v>29</v>
      </c>
      <c r="E247" s="250">
        <v>5120.3209999999999</v>
      </c>
    </row>
    <row r="248" spans="3:5" x14ac:dyDescent="0.35">
      <c r="C248" s="1" t="s">
        <v>8305</v>
      </c>
      <c r="D248" s="1" t="s">
        <v>42</v>
      </c>
      <c r="E248" s="250">
        <v>5120.3220000000001</v>
      </c>
    </row>
    <row r="249" spans="3:5" x14ac:dyDescent="0.35">
      <c r="C249" s="1" t="s">
        <v>8304</v>
      </c>
      <c r="D249" s="1" t="s">
        <v>32</v>
      </c>
      <c r="E249" s="250">
        <v>5120.3999999999996</v>
      </c>
    </row>
    <row r="250" spans="3:5" x14ac:dyDescent="0.35">
      <c r="C250" s="1" t="s">
        <v>8303</v>
      </c>
      <c r="D250" s="1" t="s">
        <v>42</v>
      </c>
      <c r="E250" s="250">
        <v>5120.4009999999998</v>
      </c>
    </row>
    <row r="251" spans="3:5" x14ac:dyDescent="0.35">
      <c r="C251" s="1" t="s">
        <v>8302</v>
      </c>
      <c r="D251" s="1" t="s">
        <v>32</v>
      </c>
      <c r="E251" s="250">
        <v>5120.402</v>
      </c>
    </row>
    <row r="252" spans="3:5" x14ac:dyDescent="0.35">
      <c r="C252" s="1" t="s">
        <v>8301</v>
      </c>
      <c r="D252" s="1" t="s">
        <v>42</v>
      </c>
      <c r="E252" s="250">
        <v>5120.4030000000002</v>
      </c>
    </row>
    <row r="253" spans="3:5" x14ac:dyDescent="0.35">
      <c r="C253" s="1" t="s">
        <v>8300</v>
      </c>
      <c r="D253" s="1" t="s">
        <v>32</v>
      </c>
      <c r="E253" s="250">
        <v>5120.4040000000005</v>
      </c>
    </row>
    <row r="254" spans="3:5" x14ac:dyDescent="0.35">
      <c r="C254" s="1" t="s">
        <v>8299</v>
      </c>
      <c r="D254" s="1" t="s">
        <v>42</v>
      </c>
      <c r="E254" s="250">
        <v>5120.4049999999997</v>
      </c>
    </row>
    <row r="255" spans="3:5" x14ac:dyDescent="0.35">
      <c r="C255" s="1" t="s">
        <v>8298</v>
      </c>
      <c r="D255" s="1" t="s">
        <v>32</v>
      </c>
      <c r="E255" s="250">
        <v>5120.4059999999999</v>
      </c>
    </row>
    <row r="256" spans="3:5" x14ac:dyDescent="0.35">
      <c r="C256" s="1" t="s">
        <v>8297</v>
      </c>
      <c r="D256" s="1" t="s">
        <v>42</v>
      </c>
      <c r="E256" s="250">
        <v>5120.4070000000002</v>
      </c>
    </row>
    <row r="257" spans="3:5" x14ac:dyDescent="0.35">
      <c r="C257" s="1" t="s">
        <v>8296</v>
      </c>
      <c r="D257" s="1" t="s">
        <v>32</v>
      </c>
      <c r="E257" s="250">
        <v>5120.4080000000004</v>
      </c>
    </row>
    <row r="258" spans="3:5" x14ac:dyDescent="0.35">
      <c r="C258" s="1" t="s">
        <v>8295</v>
      </c>
      <c r="D258" s="1" t="s">
        <v>42</v>
      </c>
      <c r="E258" s="250">
        <v>5120.4089999999997</v>
      </c>
    </row>
    <row r="259" spans="3:5" x14ac:dyDescent="0.35">
      <c r="C259" s="1" t="s">
        <v>8294</v>
      </c>
      <c r="D259" s="1" t="s">
        <v>32</v>
      </c>
      <c r="E259" s="250">
        <v>5120.41</v>
      </c>
    </row>
    <row r="260" spans="3:5" x14ac:dyDescent="0.35">
      <c r="C260" s="1" t="s">
        <v>8293</v>
      </c>
      <c r="D260" s="1" t="s">
        <v>42</v>
      </c>
      <c r="E260" s="250">
        <v>5120.4110000000001</v>
      </c>
    </row>
    <row r="261" spans="3:5" x14ac:dyDescent="0.35">
      <c r="C261" s="1" t="s">
        <v>8292</v>
      </c>
      <c r="D261" s="1" t="s">
        <v>32</v>
      </c>
      <c r="E261" s="250">
        <v>5120.4120000000003</v>
      </c>
    </row>
    <row r="262" spans="3:5" x14ac:dyDescent="0.35">
      <c r="C262" s="1" t="s">
        <v>8291</v>
      </c>
      <c r="D262" s="1" t="s">
        <v>42</v>
      </c>
      <c r="E262" s="250">
        <v>5120.4129999999996</v>
      </c>
    </row>
    <row r="263" spans="3:5" x14ac:dyDescent="0.35">
      <c r="C263" s="1" t="s">
        <v>8290</v>
      </c>
      <c r="D263" s="1" t="s">
        <v>32</v>
      </c>
      <c r="E263" s="250">
        <v>5120.4139999999998</v>
      </c>
    </row>
    <row r="264" spans="3:5" x14ac:dyDescent="0.35">
      <c r="C264" s="1" t="s">
        <v>8289</v>
      </c>
      <c r="D264" s="1" t="s">
        <v>42</v>
      </c>
      <c r="E264" s="250">
        <v>5120.415</v>
      </c>
    </row>
    <row r="265" spans="3:5" x14ac:dyDescent="0.35">
      <c r="C265" s="1" t="s">
        <v>8288</v>
      </c>
      <c r="D265" s="1" t="s">
        <v>32</v>
      </c>
      <c r="E265" s="250">
        <v>5120.4160000000002</v>
      </c>
    </row>
    <row r="266" spans="3:5" x14ac:dyDescent="0.35">
      <c r="C266" s="1" t="s">
        <v>8287</v>
      </c>
      <c r="D266" s="1" t="s">
        <v>42</v>
      </c>
      <c r="E266" s="250">
        <v>5120.4170000000004</v>
      </c>
    </row>
    <row r="267" spans="3:5" x14ac:dyDescent="0.35">
      <c r="C267" s="1" t="s">
        <v>8286</v>
      </c>
      <c r="D267" s="1" t="s">
        <v>32</v>
      </c>
      <c r="E267" s="250">
        <v>5120.4179999999997</v>
      </c>
    </row>
    <row r="268" spans="3:5" x14ac:dyDescent="0.35">
      <c r="C268" s="1" t="s">
        <v>8285</v>
      </c>
      <c r="D268" s="1" t="s">
        <v>42</v>
      </c>
      <c r="E268" s="250">
        <v>5120.4189999999999</v>
      </c>
    </row>
    <row r="269" spans="3:5" x14ac:dyDescent="0.35">
      <c r="C269" s="1" t="s">
        <v>8284</v>
      </c>
      <c r="D269" s="1" t="s">
        <v>32</v>
      </c>
      <c r="E269" s="250">
        <v>5120.42</v>
      </c>
    </row>
    <row r="270" spans="3:5" x14ac:dyDescent="0.35">
      <c r="C270" s="1" t="s">
        <v>8283</v>
      </c>
      <c r="D270" s="1" t="s">
        <v>42</v>
      </c>
      <c r="E270" s="250">
        <v>5120.4210000000003</v>
      </c>
    </row>
    <row r="271" spans="3:5" x14ac:dyDescent="0.35">
      <c r="C271" s="1" t="s">
        <v>8282</v>
      </c>
      <c r="D271" s="1" t="s">
        <v>32</v>
      </c>
      <c r="E271" s="250">
        <v>5120.4219999999996</v>
      </c>
    </row>
    <row r="272" spans="3:5" x14ac:dyDescent="0.35">
      <c r="C272" s="1" t="s">
        <v>8281</v>
      </c>
      <c r="D272" s="1" t="s">
        <v>42</v>
      </c>
      <c r="E272" s="250">
        <v>5120.4229999999998</v>
      </c>
    </row>
    <row r="273" spans="3:5" x14ac:dyDescent="0.35">
      <c r="C273" s="1" t="s">
        <v>8280</v>
      </c>
      <c r="D273" s="1" t="s">
        <v>32</v>
      </c>
      <c r="E273" s="250">
        <v>5120.424</v>
      </c>
    </row>
    <row r="274" spans="3:5" x14ac:dyDescent="0.35">
      <c r="C274" s="1" t="s">
        <v>8279</v>
      </c>
      <c r="D274" s="1" t="s">
        <v>42</v>
      </c>
      <c r="E274" s="250">
        <v>5120.4250000000002</v>
      </c>
    </row>
    <row r="275" spans="3:5" x14ac:dyDescent="0.35">
      <c r="C275" s="1" t="s">
        <v>8278</v>
      </c>
      <c r="D275" s="1" t="s">
        <v>32</v>
      </c>
      <c r="E275" s="250">
        <v>5120.4260000000004</v>
      </c>
    </row>
    <row r="276" spans="3:5" x14ac:dyDescent="0.35">
      <c r="C276" s="1" t="s">
        <v>8277</v>
      </c>
      <c r="D276" s="1" t="s">
        <v>42</v>
      </c>
      <c r="E276" s="250">
        <v>5120.4269999999997</v>
      </c>
    </row>
    <row r="277" spans="3:5" x14ac:dyDescent="0.35">
      <c r="C277" s="1" t="s">
        <v>8276</v>
      </c>
      <c r="D277" s="1" t="s">
        <v>30</v>
      </c>
      <c r="E277" s="250">
        <v>5120.5</v>
      </c>
    </row>
    <row r="278" spans="3:5" x14ac:dyDescent="0.35">
      <c r="C278" s="1" t="s">
        <v>8275</v>
      </c>
      <c r="D278" s="1" t="s">
        <v>42</v>
      </c>
      <c r="E278" s="250">
        <v>5120.5010000000002</v>
      </c>
    </row>
    <row r="279" spans="3:5" x14ac:dyDescent="0.35">
      <c r="C279" s="1" t="s">
        <v>8274</v>
      </c>
      <c r="D279" s="1" t="s">
        <v>30</v>
      </c>
      <c r="E279" s="250">
        <v>5120.5020000000004</v>
      </c>
    </row>
    <row r="280" spans="3:5" x14ac:dyDescent="0.35">
      <c r="C280" s="1" t="s">
        <v>8273</v>
      </c>
      <c r="D280" s="1" t="s">
        <v>42</v>
      </c>
      <c r="E280" s="250">
        <v>5120.5029999999997</v>
      </c>
    </row>
    <row r="281" spans="3:5" x14ac:dyDescent="0.35">
      <c r="C281" s="1" t="s">
        <v>8272</v>
      </c>
      <c r="D281" s="1" t="s">
        <v>30</v>
      </c>
      <c r="E281" s="250">
        <v>5120.5039999999999</v>
      </c>
    </row>
    <row r="282" spans="3:5" x14ac:dyDescent="0.35">
      <c r="C282" s="1" t="s">
        <v>8271</v>
      </c>
      <c r="D282" s="1" t="s">
        <v>42</v>
      </c>
      <c r="E282" s="250">
        <v>5120.5050000000001</v>
      </c>
    </row>
    <row r="283" spans="3:5" x14ac:dyDescent="0.35">
      <c r="C283" s="1" t="s">
        <v>8270</v>
      </c>
      <c r="D283" s="1" t="s">
        <v>30</v>
      </c>
      <c r="E283" s="250">
        <v>5120.5060000000003</v>
      </c>
    </row>
    <row r="284" spans="3:5" x14ac:dyDescent="0.35">
      <c r="C284" s="1" t="s">
        <v>8269</v>
      </c>
      <c r="D284" s="1" t="s">
        <v>42</v>
      </c>
      <c r="E284" s="250">
        <v>5120.5069999999996</v>
      </c>
    </row>
    <row r="285" spans="3:5" x14ac:dyDescent="0.35">
      <c r="C285" s="1" t="s">
        <v>8268</v>
      </c>
      <c r="D285" s="1" t="s">
        <v>30</v>
      </c>
      <c r="E285" s="250">
        <v>5120.5079999999998</v>
      </c>
    </row>
    <row r="286" spans="3:5" x14ac:dyDescent="0.35">
      <c r="C286" s="1" t="s">
        <v>8267</v>
      </c>
      <c r="D286" s="1" t="s">
        <v>42</v>
      </c>
      <c r="E286" s="250">
        <v>5120.509</v>
      </c>
    </row>
    <row r="287" spans="3:5" x14ac:dyDescent="0.35">
      <c r="C287" s="1" t="s">
        <v>8266</v>
      </c>
      <c r="D287" s="1" t="s">
        <v>30</v>
      </c>
      <c r="E287" s="250">
        <v>5120.51</v>
      </c>
    </row>
    <row r="288" spans="3:5" x14ac:dyDescent="0.35">
      <c r="C288" s="1" t="s">
        <v>8265</v>
      </c>
      <c r="D288" s="1" t="s">
        <v>42</v>
      </c>
      <c r="E288" s="250">
        <v>5120.5110000000004</v>
      </c>
    </row>
    <row r="289" spans="3:5" x14ac:dyDescent="0.35">
      <c r="C289" s="1" t="s">
        <v>8264</v>
      </c>
      <c r="D289" s="1" t="s">
        <v>30</v>
      </c>
      <c r="E289" s="250">
        <v>5120.5119999999997</v>
      </c>
    </row>
    <row r="290" spans="3:5" x14ac:dyDescent="0.35">
      <c r="C290" s="1" t="s">
        <v>8263</v>
      </c>
      <c r="D290" s="1" t="s">
        <v>42</v>
      </c>
      <c r="E290" s="250">
        <v>5120.5129999999999</v>
      </c>
    </row>
    <row r="291" spans="3:5" x14ac:dyDescent="0.35">
      <c r="C291" s="1" t="s">
        <v>8262</v>
      </c>
      <c r="D291" s="1" t="s">
        <v>30</v>
      </c>
      <c r="E291" s="250">
        <v>5120.5140000000001</v>
      </c>
    </row>
    <row r="292" spans="3:5" x14ac:dyDescent="0.35">
      <c r="C292" s="1" t="s">
        <v>8261</v>
      </c>
      <c r="D292" s="1" t="s">
        <v>42</v>
      </c>
      <c r="E292" s="250">
        <v>5120.5150000000003</v>
      </c>
    </row>
    <row r="293" spans="3:5" x14ac:dyDescent="0.35">
      <c r="C293" s="1" t="s">
        <v>8260</v>
      </c>
      <c r="D293" s="1" t="s">
        <v>30</v>
      </c>
      <c r="E293" s="250">
        <v>5120.5159999999996</v>
      </c>
    </row>
    <row r="294" spans="3:5" x14ac:dyDescent="0.35">
      <c r="C294" s="1" t="s">
        <v>8259</v>
      </c>
      <c r="D294" s="1" t="s">
        <v>42</v>
      </c>
      <c r="E294" s="250">
        <v>5120.5169999999998</v>
      </c>
    </row>
    <row r="295" spans="3:5" x14ac:dyDescent="0.35">
      <c r="C295" s="1" t="s">
        <v>8258</v>
      </c>
      <c r="D295" s="1" t="s">
        <v>30</v>
      </c>
      <c r="E295" s="250">
        <v>5120.518</v>
      </c>
    </row>
    <row r="296" spans="3:5" x14ac:dyDescent="0.35">
      <c r="C296" s="1" t="s">
        <v>8257</v>
      </c>
      <c r="D296" s="1" t="s">
        <v>42</v>
      </c>
      <c r="E296" s="250">
        <v>5120.5190000000002</v>
      </c>
    </row>
    <row r="297" spans="3:5" x14ac:dyDescent="0.35">
      <c r="C297" s="1" t="s">
        <v>8256</v>
      </c>
      <c r="D297" s="1" t="s">
        <v>30</v>
      </c>
      <c r="E297" s="250">
        <v>5120.5200000000004</v>
      </c>
    </row>
    <row r="298" spans="3:5" x14ac:dyDescent="0.35">
      <c r="C298" s="1" t="s">
        <v>8255</v>
      </c>
      <c r="D298" s="1" t="s">
        <v>42</v>
      </c>
      <c r="E298" s="250">
        <v>5120.5209999999997</v>
      </c>
    </row>
    <row r="299" spans="3:5" x14ac:dyDescent="0.35">
      <c r="C299" s="1" t="s">
        <v>8254</v>
      </c>
      <c r="D299" s="1" t="s">
        <v>30</v>
      </c>
      <c r="E299" s="250">
        <v>5120.5219999999999</v>
      </c>
    </row>
    <row r="300" spans="3:5" x14ac:dyDescent="0.35">
      <c r="C300" s="1" t="s">
        <v>8253</v>
      </c>
      <c r="D300" s="1" t="s">
        <v>42</v>
      </c>
      <c r="E300" s="250">
        <v>5120.5230000000001</v>
      </c>
    </row>
    <row r="301" spans="3:5" x14ac:dyDescent="0.35">
      <c r="C301" s="1" t="s">
        <v>8252</v>
      </c>
      <c r="D301" s="1" t="s">
        <v>30</v>
      </c>
      <c r="E301" s="250">
        <v>5120.5240000000003</v>
      </c>
    </row>
    <row r="302" spans="3:5" x14ac:dyDescent="0.35">
      <c r="C302" s="1" t="s">
        <v>8251</v>
      </c>
      <c r="D302" s="1" t="s">
        <v>42</v>
      </c>
      <c r="E302" s="250">
        <v>5120.5249999999996</v>
      </c>
    </row>
    <row r="303" spans="3:5" x14ac:dyDescent="0.35">
      <c r="C303" s="1" t="s">
        <v>8250</v>
      </c>
      <c r="D303" s="1" t="s">
        <v>30</v>
      </c>
      <c r="E303" s="250">
        <v>5120.5259999999998</v>
      </c>
    </row>
    <row r="304" spans="3:5" x14ac:dyDescent="0.35">
      <c r="C304" s="1" t="s">
        <v>8249</v>
      </c>
      <c r="D304" s="1" t="s">
        <v>42</v>
      </c>
      <c r="E304" s="250">
        <v>5120.527</v>
      </c>
    </row>
    <row r="305" spans="3:5" x14ac:dyDescent="0.35">
      <c r="C305" s="1" t="s">
        <v>8248</v>
      </c>
      <c r="D305" s="1" t="s">
        <v>30</v>
      </c>
      <c r="E305" s="250">
        <v>5120.5280000000002</v>
      </c>
    </row>
    <row r="306" spans="3:5" x14ac:dyDescent="0.35">
      <c r="C306" s="1" t="s">
        <v>8247</v>
      </c>
      <c r="D306" s="1" t="s">
        <v>42</v>
      </c>
      <c r="E306" s="250">
        <v>5120.5290000000005</v>
      </c>
    </row>
    <row r="307" spans="3:5" x14ac:dyDescent="0.35">
      <c r="C307" s="1" t="s">
        <v>8246</v>
      </c>
      <c r="D307" s="1" t="s">
        <v>30</v>
      </c>
      <c r="E307" s="250">
        <v>5120.55</v>
      </c>
    </row>
    <row r="308" spans="3:5" x14ac:dyDescent="0.35">
      <c r="C308" s="1" t="s">
        <v>8245</v>
      </c>
      <c r="D308" s="1" t="s">
        <v>42</v>
      </c>
      <c r="E308" s="250">
        <v>5120.5510000000004</v>
      </c>
    </row>
    <row r="309" spans="3:5" x14ac:dyDescent="0.35">
      <c r="C309" s="1" t="s">
        <v>8244</v>
      </c>
      <c r="D309" s="1" t="s">
        <v>30</v>
      </c>
      <c r="E309" s="250">
        <v>5120.5519999999997</v>
      </c>
    </row>
    <row r="310" spans="3:5" x14ac:dyDescent="0.35">
      <c r="C310" s="1" t="s">
        <v>8243</v>
      </c>
      <c r="D310" s="1" t="s">
        <v>42</v>
      </c>
      <c r="E310" s="250">
        <v>5120.5529999999999</v>
      </c>
    </row>
    <row r="311" spans="3:5" x14ac:dyDescent="0.35">
      <c r="C311" s="1" t="s">
        <v>8242</v>
      </c>
      <c r="D311" s="1" t="s">
        <v>30</v>
      </c>
      <c r="E311" s="250">
        <v>5120.5540000000001</v>
      </c>
    </row>
    <row r="312" spans="3:5" x14ac:dyDescent="0.35">
      <c r="C312" s="1" t="s">
        <v>8241</v>
      </c>
      <c r="D312" s="1" t="s">
        <v>42</v>
      </c>
      <c r="E312" s="250">
        <v>5120.5550000000003</v>
      </c>
    </row>
    <row r="313" spans="3:5" x14ac:dyDescent="0.35">
      <c r="C313" s="1" t="s">
        <v>8240</v>
      </c>
      <c r="D313" s="1" t="s">
        <v>30</v>
      </c>
      <c r="E313" s="250">
        <v>5120.5559999999996</v>
      </c>
    </row>
    <row r="314" spans="3:5" x14ac:dyDescent="0.35">
      <c r="C314" s="1" t="s">
        <v>8239</v>
      </c>
      <c r="D314" s="1" t="s">
        <v>42</v>
      </c>
      <c r="E314" s="250">
        <v>5120.5569999999998</v>
      </c>
    </row>
    <row r="315" spans="3:5" x14ac:dyDescent="0.35">
      <c r="C315" s="1" t="s">
        <v>8238</v>
      </c>
      <c r="D315" s="1" t="s">
        <v>30</v>
      </c>
      <c r="E315" s="250">
        <v>5120.558</v>
      </c>
    </row>
    <row r="316" spans="3:5" x14ac:dyDescent="0.35">
      <c r="C316" s="1" t="s">
        <v>8237</v>
      </c>
      <c r="D316" s="1" t="s">
        <v>42</v>
      </c>
      <c r="E316" s="250">
        <v>5120.5590000000002</v>
      </c>
    </row>
    <row r="317" spans="3:5" x14ac:dyDescent="0.35">
      <c r="C317" s="1" t="s">
        <v>8236</v>
      </c>
      <c r="D317" s="1" t="s">
        <v>30</v>
      </c>
      <c r="E317" s="250">
        <v>5120.5600000000004</v>
      </c>
    </row>
    <row r="318" spans="3:5" x14ac:dyDescent="0.35">
      <c r="C318" s="1" t="s">
        <v>8235</v>
      </c>
      <c r="D318" s="1" t="s">
        <v>42</v>
      </c>
      <c r="E318" s="250">
        <v>5120.5609999999997</v>
      </c>
    </row>
    <row r="319" spans="3:5" x14ac:dyDescent="0.35">
      <c r="C319" s="1" t="s">
        <v>8234</v>
      </c>
      <c r="D319" s="1" t="s">
        <v>30</v>
      </c>
      <c r="E319" s="250">
        <v>5120.5619999999999</v>
      </c>
    </row>
    <row r="320" spans="3:5" x14ac:dyDescent="0.35">
      <c r="C320" s="1" t="s">
        <v>8233</v>
      </c>
      <c r="D320" s="1" t="s">
        <v>42</v>
      </c>
      <c r="E320" s="250">
        <v>5120.5630000000001</v>
      </c>
    </row>
    <row r="321" spans="3:5" x14ac:dyDescent="0.35">
      <c r="C321" s="1" t="s">
        <v>8232</v>
      </c>
      <c r="D321" s="1" t="s">
        <v>30</v>
      </c>
      <c r="E321" s="250">
        <v>5120.5640000000003</v>
      </c>
    </row>
    <row r="322" spans="3:5" x14ac:dyDescent="0.35">
      <c r="C322" s="1" t="s">
        <v>8231</v>
      </c>
      <c r="D322" s="1" t="s">
        <v>42</v>
      </c>
      <c r="E322" s="250">
        <v>5120.5649999999996</v>
      </c>
    </row>
    <row r="323" spans="3:5" x14ac:dyDescent="0.35">
      <c r="C323" s="1" t="s">
        <v>8230</v>
      </c>
      <c r="D323" s="1" t="s">
        <v>30</v>
      </c>
      <c r="E323" s="250">
        <v>5120.5659999999998</v>
      </c>
    </row>
    <row r="324" spans="3:5" x14ac:dyDescent="0.35">
      <c r="C324" s="1" t="s">
        <v>8229</v>
      </c>
      <c r="D324" s="1" t="s">
        <v>42</v>
      </c>
      <c r="E324" s="250">
        <v>5120.567</v>
      </c>
    </row>
    <row r="325" spans="3:5" x14ac:dyDescent="0.35">
      <c r="C325" s="1" t="s">
        <v>8228</v>
      </c>
      <c r="D325" s="1" t="s">
        <v>30</v>
      </c>
      <c r="E325" s="250">
        <v>5120.5680000000002</v>
      </c>
    </row>
    <row r="326" spans="3:5" x14ac:dyDescent="0.35">
      <c r="C326" s="1" t="s">
        <v>8227</v>
      </c>
      <c r="D326" s="1" t="s">
        <v>42</v>
      </c>
      <c r="E326" s="250">
        <v>5120.5690000000004</v>
      </c>
    </row>
    <row r="327" spans="3:5" x14ac:dyDescent="0.35">
      <c r="C327" s="1" t="s">
        <v>8226</v>
      </c>
      <c r="D327" s="1" t="s">
        <v>30</v>
      </c>
      <c r="E327" s="250">
        <v>5120.57</v>
      </c>
    </row>
    <row r="328" spans="3:5" x14ac:dyDescent="0.35">
      <c r="C328" s="1" t="s">
        <v>8225</v>
      </c>
      <c r="D328" s="1" t="s">
        <v>42</v>
      </c>
      <c r="E328" s="250">
        <v>5120.5709999999999</v>
      </c>
    </row>
    <row r="329" spans="3:5" x14ac:dyDescent="0.35">
      <c r="C329" s="1" t="s">
        <v>8224</v>
      </c>
      <c r="D329" s="1" t="s">
        <v>30</v>
      </c>
      <c r="E329" s="250">
        <v>5120.5720000000001</v>
      </c>
    </row>
    <row r="330" spans="3:5" x14ac:dyDescent="0.35">
      <c r="C330" s="1" t="s">
        <v>8223</v>
      </c>
      <c r="D330" s="1" t="s">
        <v>42</v>
      </c>
      <c r="E330" s="250">
        <v>5120.5730000000003</v>
      </c>
    </row>
    <row r="331" spans="3:5" x14ac:dyDescent="0.35">
      <c r="C331" s="1" t="s">
        <v>8222</v>
      </c>
      <c r="D331" s="1" t="s">
        <v>30</v>
      </c>
      <c r="E331" s="250">
        <v>5120.5739999999996</v>
      </c>
    </row>
    <row r="332" spans="3:5" x14ac:dyDescent="0.35">
      <c r="C332" s="1" t="s">
        <v>8221</v>
      </c>
      <c r="D332" s="1" t="s">
        <v>42</v>
      </c>
      <c r="E332" s="250">
        <v>5120.5749999999998</v>
      </c>
    </row>
    <row r="333" spans="3:5" x14ac:dyDescent="0.35">
      <c r="C333" s="1" t="s">
        <v>8220</v>
      </c>
      <c r="D333" s="1" t="s">
        <v>30</v>
      </c>
      <c r="E333" s="250">
        <v>5120.576</v>
      </c>
    </row>
    <row r="334" spans="3:5" x14ac:dyDescent="0.35">
      <c r="C334" s="1" t="s">
        <v>8219</v>
      </c>
      <c r="D334" s="1" t="s">
        <v>42</v>
      </c>
      <c r="E334" s="250">
        <v>5120.5770000000002</v>
      </c>
    </row>
    <row r="335" spans="3:5" x14ac:dyDescent="0.35">
      <c r="C335" s="1" t="s">
        <v>8218</v>
      </c>
      <c r="D335" s="1" t="s">
        <v>30</v>
      </c>
      <c r="E335" s="250">
        <v>5120.5780000000004</v>
      </c>
    </row>
    <row r="336" spans="3:5" x14ac:dyDescent="0.35">
      <c r="C336" s="1" t="s">
        <v>8217</v>
      </c>
      <c r="D336" s="1" t="s">
        <v>42</v>
      </c>
      <c r="E336" s="250">
        <v>5120.5789999999997</v>
      </c>
    </row>
    <row r="337" spans="3:5" x14ac:dyDescent="0.35">
      <c r="C337" s="1" t="s">
        <v>8216</v>
      </c>
      <c r="D337" s="1" t="s">
        <v>42</v>
      </c>
      <c r="E337" s="250">
        <v>5120.7</v>
      </c>
    </row>
    <row r="338" spans="3:5" x14ac:dyDescent="0.35">
      <c r="C338" s="1" t="s">
        <v>8215</v>
      </c>
      <c r="D338" s="1" t="s">
        <v>42</v>
      </c>
      <c r="E338" s="250">
        <v>5120.701</v>
      </c>
    </row>
    <row r="339" spans="3:5" x14ac:dyDescent="0.35">
      <c r="C339" s="1" t="s">
        <v>8214</v>
      </c>
      <c r="D339" s="1" t="s">
        <v>42</v>
      </c>
      <c r="E339" s="250">
        <v>5120.7020000000002</v>
      </c>
    </row>
    <row r="340" spans="3:5" x14ac:dyDescent="0.35">
      <c r="C340" s="1" t="s">
        <v>8213</v>
      </c>
      <c r="D340" s="1" t="s">
        <v>29</v>
      </c>
      <c r="E340" s="250">
        <v>5120.8</v>
      </c>
    </row>
    <row r="341" spans="3:5" x14ac:dyDescent="0.35">
      <c r="C341" s="1" t="s">
        <v>8212</v>
      </c>
      <c r="D341" s="1" t="s">
        <v>8211</v>
      </c>
      <c r="E341" s="250">
        <v>5120.8010000000004</v>
      </c>
    </row>
    <row r="342" spans="3:5" x14ac:dyDescent="0.35">
      <c r="C342" s="1" t="s">
        <v>8210</v>
      </c>
      <c r="D342" s="1" t="s">
        <v>42</v>
      </c>
      <c r="E342" s="250">
        <v>5120.8990000000003</v>
      </c>
    </row>
    <row r="343" spans="3:5" x14ac:dyDescent="0.35">
      <c r="C343" s="1" t="s">
        <v>8209</v>
      </c>
      <c r="D343" s="1" t="s">
        <v>77</v>
      </c>
      <c r="E343" s="250">
        <v>5120.9989999999998</v>
      </c>
    </row>
    <row r="344" spans="3:5" x14ac:dyDescent="0.35">
      <c r="C344" s="1" t="s">
        <v>8208</v>
      </c>
      <c r="D344" s="1" t="s">
        <v>66</v>
      </c>
      <c r="E344" s="250">
        <v>5121.0010000000002</v>
      </c>
    </row>
    <row r="345" spans="3:5" x14ac:dyDescent="0.35">
      <c r="C345" s="1" t="s">
        <v>8207</v>
      </c>
      <c r="D345" s="1" t="s">
        <v>66</v>
      </c>
      <c r="E345" s="250">
        <v>5121.0020000000004</v>
      </c>
    </row>
    <row r="346" spans="3:5" x14ac:dyDescent="0.35">
      <c r="C346" s="1" t="s">
        <v>8206</v>
      </c>
      <c r="D346" s="1" t="s">
        <v>66</v>
      </c>
      <c r="E346" s="250">
        <v>5121.0029999999997</v>
      </c>
    </row>
    <row r="347" spans="3:5" x14ac:dyDescent="0.35">
      <c r="C347" s="1" t="s">
        <v>8205</v>
      </c>
      <c r="D347" s="1" t="s">
        <v>66</v>
      </c>
      <c r="E347" s="250">
        <v>5121.0039999999999</v>
      </c>
    </row>
    <row r="348" spans="3:5" x14ac:dyDescent="0.35">
      <c r="C348" s="1" t="s">
        <v>8204</v>
      </c>
      <c r="D348" s="1" t="s">
        <v>66</v>
      </c>
      <c r="E348" s="250">
        <v>5121.0050000000001</v>
      </c>
    </row>
    <row r="349" spans="3:5" x14ac:dyDescent="0.35">
      <c r="C349" s="1" t="s">
        <v>8203</v>
      </c>
      <c r="D349" s="1" t="s">
        <v>66</v>
      </c>
      <c r="E349" s="250">
        <v>5121.0060000000003</v>
      </c>
    </row>
    <row r="350" spans="3:5" x14ac:dyDescent="0.35">
      <c r="C350" s="1" t="s">
        <v>8202</v>
      </c>
      <c r="D350" s="1" t="s">
        <v>66</v>
      </c>
      <c r="E350" s="250">
        <v>5121.0069999999996</v>
      </c>
    </row>
    <row r="351" spans="3:5" x14ac:dyDescent="0.35">
      <c r="C351" s="1" t="s">
        <v>8201</v>
      </c>
      <c r="D351" s="1" t="s">
        <v>66</v>
      </c>
      <c r="E351" s="250">
        <v>5121.0079999999998</v>
      </c>
    </row>
    <row r="352" spans="3:5" x14ac:dyDescent="0.35">
      <c r="C352" s="1" t="s">
        <v>8200</v>
      </c>
      <c r="D352" s="1" t="s">
        <v>66</v>
      </c>
      <c r="E352" s="250">
        <v>5121.009</v>
      </c>
    </row>
    <row r="353" spans="3:5" x14ac:dyDescent="0.35">
      <c r="C353" s="1" t="s">
        <v>8199</v>
      </c>
      <c r="D353" s="1" t="s">
        <v>66</v>
      </c>
      <c r="E353" s="250">
        <v>5121.01</v>
      </c>
    </row>
    <row r="354" spans="3:5" x14ac:dyDescent="0.35">
      <c r="C354" s="1" t="s">
        <v>8198</v>
      </c>
      <c r="D354" s="1" t="s">
        <v>66</v>
      </c>
      <c r="E354" s="250">
        <v>5121.0110000000004</v>
      </c>
    </row>
    <row r="355" spans="3:5" x14ac:dyDescent="0.35">
      <c r="C355" s="1" t="s">
        <v>8197</v>
      </c>
      <c r="D355" s="1" t="s">
        <v>66</v>
      </c>
      <c r="E355" s="250">
        <v>5121.0209999999997</v>
      </c>
    </row>
    <row r="356" spans="3:5" x14ac:dyDescent="0.35">
      <c r="C356" s="1" t="s">
        <v>8196</v>
      </c>
      <c r="D356" s="1" t="s">
        <v>66</v>
      </c>
      <c r="E356" s="250">
        <v>5121.0219999999999</v>
      </c>
    </row>
    <row r="357" spans="3:5" x14ac:dyDescent="0.35">
      <c r="C357" s="1" t="s">
        <v>8195</v>
      </c>
      <c r="D357" s="1" t="s">
        <v>66</v>
      </c>
      <c r="E357" s="250">
        <v>5121.0230000000001</v>
      </c>
    </row>
    <row r="358" spans="3:5" x14ac:dyDescent="0.35">
      <c r="C358" s="1" t="s">
        <v>8194</v>
      </c>
      <c r="D358" s="1" t="s">
        <v>66</v>
      </c>
      <c r="E358" s="250">
        <v>5121.0240000000003</v>
      </c>
    </row>
    <row r="359" spans="3:5" x14ac:dyDescent="0.35">
      <c r="C359" s="1" t="s">
        <v>8193</v>
      </c>
      <c r="D359" s="1" t="s">
        <v>66</v>
      </c>
      <c r="E359" s="250">
        <v>5121.0249999999996</v>
      </c>
    </row>
    <row r="360" spans="3:5" x14ac:dyDescent="0.35">
      <c r="C360" s="1" t="s">
        <v>8192</v>
      </c>
      <c r="D360" s="1" t="s">
        <v>66</v>
      </c>
      <c r="E360" s="250">
        <v>5121.0259999999998</v>
      </c>
    </row>
    <row r="361" spans="3:5" x14ac:dyDescent="0.35">
      <c r="C361" s="1" t="s">
        <v>8191</v>
      </c>
      <c r="D361" s="1" t="s">
        <v>66</v>
      </c>
      <c r="E361" s="250">
        <v>5121.027</v>
      </c>
    </row>
    <row r="362" spans="3:5" x14ac:dyDescent="0.35">
      <c r="C362" s="1" t="s">
        <v>8190</v>
      </c>
      <c r="D362" s="1" t="s">
        <v>66</v>
      </c>
      <c r="E362" s="250">
        <v>5121.0280000000002</v>
      </c>
    </row>
    <row r="363" spans="3:5" x14ac:dyDescent="0.35">
      <c r="C363" s="1" t="s">
        <v>8189</v>
      </c>
      <c r="D363" s="1" t="s">
        <v>66</v>
      </c>
      <c r="E363" s="250">
        <v>5121.0290000000005</v>
      </c>
    </row>
    <row r="364" spans="3:5" x14ac:dyDescent="0.35">
      <c r="C364" s="1" t="s">
        <v>8188</v>
      </c>
      <c r="D364" s="1" t="s">
        <v>66</v>
      </c>
      <c r="E364" s="250">
        <v>5121.03</v>
      </c>
    </row>
    <row r="365" spans="3:5" x14ac:dyDescent="0.35">
      <c r="C365" s="1" t="s">
        <v>8187</v>
      </c>
      <c r="D365" s="1" t="s">
        <v>66</v>
      </c>
      <c r="E365" s="250">
        <v>5121.0309999999999</v>
      </c>
    </row>
    <row r="366" spans="3:5" x14ac:dyDescent="0.35">
      <c r="C366" s="1" t="s">
        <v>8186</v>
      </c>
      <c r="D366" s="1" t="s">
        <v>66</v>
      </c>
      <c r="E366" s="250">
        <v>5121.0410000000002</v>
      </c>
    </row>
    <row r="367" spans="3:5" x14ac:dyDescent="0.35">
      <c r="C367" s="1" t="s">
        <v>8185</v>
      </c>
      <c r="D367" s="1" t="s">
        <v>66</v>
      </c>
      <c r="E367" s="250">
        <v>5121.0420000000004</v>
      </c>
    </row>
    <row r="368" spans="3:5" x14ac:dyDescent="0.35">
      <c r="C368" s="1" t="s">
        <v>8184</v>
      </c>
      <c r="D368" s="1" t="s">
        <v>66</v>
      </c>
      <c r="E368" s="250">
        <v>5121.0429999999997</v>
      </c>
    </row>
    <row r="369" spans="3:5" x14ac:dyDescent="0.35">
      <c r="C369" s="1" t="s">
        <v>8183</v>
      </c>
      <c r="D369" s="1" t="s">
        <v>66</v>
      </c>
      <c r="E369" s="250">
        <v>5121.0439999999999</v>
      </c>
    </row>
    <row r="370" spans="3:5" x14ac:dyDescent="0.35">
      <c r="C370" s="1" t="s">
        <v>8182</v>
      </c>
      <c r="D370" s="1" t="s">
        <v>66</v>
      </c>
      <c r="E370" s="250">
        <v>5121.0450000000001</v>
      </c>
    </row>
    <row r="371" spans="3:5" x14ac:dyDescent="0.35">
      <c r="C371" s="1" t="s">
        <v>8181</v>
      </c>
      <c r="D371" s="1" t="s">
        <v>66</v>
      </c>
      <c r="E371" s="250">
        <v>5121.0460000000003</v>
      </c>
    </row>
    <row r="372" spans="3:5" x14ac:dyDescent="0.35">
      <c r="C372" s="1" t="s">
        <v>8180</v>
      </c>
      <c r="D372" s="1" t="s">
        <v>66</v>
      </c>
      <c r="E372" s="250">
        <v>5121.0469999999996</v>
      </c>
    </row>
    <row r="373" spans="3:5" x14ac:dyDescent="0.35">
      <c r="C373" s="1" t="s">
        <v>8179</v>
      </c>
      <c r="D373" s="1" t="s">
        <v>66</v>
      </c>
      <c r="E373" s="250">
        <v>5121.0479999999998</v>
      </c>
    </row>
    <row r="374" spans="3:5" x14ac:dyDescent="0.35">
      <c r="C374" s="1" t="s">
        <v>8178</v>
      </c>
      <c r="D374" s="1" t="s">
        <v>66</v>
      </c>
      <c r="E374" s="250">
        <v>5121.049</v>
      </c>
    </row>
    <row r="375" spans="3:5" x14ac:dyDescent="0.35">
      <c r="C375" s="1" t="s">
        <v>8178</v>
      </c>
      <c r="D375" s="1" t="s">
        <v>66</v>
      </c>
      <c r="E375" s="250">
        <v>5121.05</v>
      </c>
    </row>
    <row r="376" spans="3:5" x14ac:dyDescent="0.35">
      <c r="C376" s="1" t="s">
        <v>8177</v>
      </c>
      <c r="D376" s="1" t="s">
        <v>66</v>
      </c>
      <c r="E376" s="250">
        <v>5121.0510000000004</v>
      </c>
    </row>
    <row r="377" spans="3:5" x14ac:dyDescent="0.35">
      <c r="C377" s="1" t="s">
        <v>8176</v>
      </c>
      <c r="D377" s="1" t="s">
        <v>66</v>
      </c>
      <c r="E377" s="250">
        <v>5121.0519999999997</v>
      </c>
    </row>
    <row r="378" spans="3:5" x14ac:dyDescent="0.35">
      <c r="C378" s="1" t="s">
        <v>8175</v>
      </c>
      <c r="D378" s="1" t="s">
        <v>66</v>
      </c>
      <c r="E378" s="250">
        <v>5121.0609999999997</v>
      </c>
    </row>
    <row r="379" spans="3:5" x14ac:dyDescent="0.35">
      <c r="C379" s="1" t="s">
        <v>8174</v>
      </c>
      <c r="D379" s="1" t="s">
        <v>66</v>
      </c>
      <c r="E379" s="250">
        <v>5121.0619999999999</v>
      </c>
    </row>
    <row r="380" spans="3:5" x14ac:dyDescent="0.35">
      <c r="C380" s="1" t="s">
        <v>8173</v>
      </c>
      <c r="D380" s="1" t="s">
        <v>66</v>
      </c>
      <c r="E380" s="250">
        <v>5121.0630000000001</v>
      </c>
    </row>
    <row r="381" spans="3:5" x14ac:dyDescent="0.35">
      <c r="C381" s="1" t="s">
        <v>8172</v>
      </c>
      <c r="D381" s="1" t="s">
        <v>66</v>
      </c>
      <c r="E381" s="250">
        <v>5121.0640000000003</v>
      </c>
    </row>
    <row r="382" spans="3:5" x14ac:dyDescent="0.35">
      <c r="C382" s="1" t="s">
        <v>8171</v>
      </c>
      <c r="D382" s="1" t="s">
        <v>66</v>
      </c>
      <c r="E382" s="250">
        <v>5121.0649999999996</v>
      </c>
    </row>
    <row r="383" spans="3:5" x14ac:dyDescent="0.35">
      <c r="C383" s="1" t="s">
        <v>8170</v>
      </c>
      <c r="D383" s="1" t="s">
        <v>66</v>
      </c>
      <c r="E383" s="250">
        <v>5121.0659999999998</v>
      </c>
    </row>
    <row r="384" spans="3:5" x14ac:dyDescent="0.35">
      <c r="C384" s="1" t="s">
        <v>8169</v>
      </c>
      <c r="D384" s="1" t="s">
        <v>66</v>
      </c>
      <c r="E384" s="250">
        <v>5121.067</v>
      </c>
    </row>
    <row r="385" spans="3:5" x14ac:dyDescent="0.35">
      <c r="C385" s="1" t="s">
        <v>8168</v>
      </c>
      <c r="D385" s="1" t="s">
        <v>66</v>
      </c>
      <c r="E385" s="250">
        <v>5121.0680000000002</v>
      </c>
    </row>
    <row r="386" spans="3:5" x14ac:dyDescent="0.35">
      <c r="C386" s="1" t="s">
        <v>8167</v>
      </c>
      <c r="D386" s="1" t="s">
        <v>66</v>
      </c>
      <c r="E386" s="250">
        <v>5121.0690000000004</v>
      </c>
    </row>
    <row r="387" spans="3:5" x14ac:dyDescent="0.35">
      <c r="C387" s="1" t="s">
        <v>8167</v>
      </c>
      <c r="D387" s="1" t="s">
        <v>66</v>
      </c>
      <c r="E387" s="250">
        <v>5121.07</v>
      </c>
    </row>
    <row r="388" spans="3:5" x14ac:dyDescent="0.35">
      <c r="C388" s="1" t="s">
        <v>8166</v>
      </c>
      <c r="D388" s="1" t="s">
        <v>66</v>
      </c>
      <c r="E388" s="250">
        <v>5121.0709999999999</v>
      </c>
    </row>
    <row r="389" spans="3:5" x14ac:dyDescent="0.35">
      <c r="C389" s="1" t="s">
        <v>8165</v>
      </c>
      <c r="D389" s="1" t="s">
        <v>66</v>
      </c>
      <c r="E389" s="250">
        <v>5121.0720000000001</v>
      </c>
    </row>
    <row r="390" spans="3:5" x14ac:dyDescent="0.35">
      <c r="C390" s="1" t="s">
        <v>8164</v>
      </c>
      <c r="D390" s="1" t="s">
        <v>66</v>
      </c>
      <c r="E390" s="250">
        <v>5121.0810000000001</v>
      </c>
    </row>
    <row r="391" spans="3:5" x14ac:dyDescent="0.35">
      <c r="C391" s="1" t="s">
        <v>8163</v>
      </c>
      <c r="D391" s="1" t="s">
        <v>66</v>
      </c>
      <c r="E391" s="250">
        <v>5121.0820000000003</v>
      </c>
    </row>
    <row r="392" spans="3:5" x14ac:dyDescent="0.35">
      <c r="C392" s="1" t="s">
        <v>8162</v>
      </c>
      <c r="D392" s="1" t="s">
        <v>66</v>
      </c>
      <c r="E392" s="250">
        <v>5121.0829999999996</v>
      </c>
    </row>
    <row r="393" spans="3:5" x14ac:dyDescent="0.35">
      <c r="C393" s="1" t="s">
        <v>8161</v>
      </c>
      <c r="D393" s="1" t="s">
        <v>66</v>
      </c>
      <c r="E393" s="250">
        <v>5121.0839999999998</v>
      </c>
    </row>
    <row r="394" spans="3:5" x14ac:dyDescent="0.35">
      <c r="C394" s="1" t="s">
        <v>8160</v>
      </c>
      <c r="D394" s="1" t="s">
        <v>66</v>
      </c>
      <c r="E394" s="250">
        <v>5121.085</v>
      </c>
    </row>
    <row r="395" spans="3:5" x14ac:dyDescent="0.35">
      <c r="C395" s="1" t="s">
        <v>8159</v>
      </c>
      <c r="D395" s="1" t="s">
        <v>66</v>
      </c>
      <c r="E395" s="250">
        <v>5121.0860000000002</v>
      </c>
    </row>
    <row r="396" spans="3:5" x14ac:dyDescent="0.35">
      <c r="C396" s="1" t="s">
        <v>8158</v>
      </c>
      <c r="D396" s="1" t="s">
        <v>66</v>
      </c>
      <c r="E396" s="250">
        <v>5121.0870000000004</v>
      </c>
    </row>
    <row r="397" spans="3:5" x14ac:dyDescent="0.35">
      <c r="C397" s="1" t="s">
        <v>8157</v>
      </c>
      <c r="D397" s="1" t="s">
        <v>66</v>
      </c>
      <c r="E397" s="250">
        <v>5121.0879999999997</v>
      </c>
    </row>
    <row r="398" spans="3:5" x14ac:dyDescent="0.35">
      <c r="C398" s="1" t="s">
        <v>8156</v>
      </c>
      <c r="D398" s="1" t="s">
        <v>66</v>
      </c>
      <c r="E398" s="250">
        <v>5121.0889999999999</v>
      </c>
    </row>
    <row r="399" spans="3:5" x14ac:dyDescent="0.35">
      <c r="C399" s="1" t="s">
        <v>8156</v>
      </c>
      <c r="D399" s="1" t="s">
        <v>66</v>
      </c>
      <c r="E399" s="250">
        <v>5121.09</v>
      </c>
    </row>
    <row r="400" spans="3:5" x14ac:dyDescent="0.35">
      <c r="C400" s="1" t="s">
        <v>8155</v>
      </c>
      <c r="D400" s="1" t="s">
        <v>66</v>
      </c>
      <c r="E400" s="250">
        <v>5121.0910000000003</v>
      </c>
    </row>
    <row r="401" spans="3:5" x14ac:dyDescent="0.35">
      <c r="C401" s="1" t="s">
        <v>8154</v>
      </c>
      <c r="D401" s="1" t="s">
        <v>66</v>
      </c>
      <c r="E401" s="250">
        <v>5121.0919999999996</v>
      </c>
    </row>
    <row r="402" spans="3:5" x14ac:dyDescent="0.35">
      <c r="C402" s="1" t="s">
        <v>8153</v>
      </c>
      <c r="D402" s="1" t="s">
        <v>66</v>
      </c>
      <c r="E402" s="250">
        <v>5121.1009999999997</v>
      </c>
    </row>
    <row r="403" spans="3:5" x14ac:dyDescent="0.35">
      <c r="C403" s="1" t="s">
        <v>8152</v>
      </c>
      <c r="D403" s="1" t="s">
        <v>66</v>
      </c>
      <c r="E403" s="250">
        <v>5121.1019999999999</v>
      </c>
    </row>
    <row r="404" spans="3:5" x14ac:dyDescent="0.35">
      <c r="C404" s="1" t="s">
        <v>8151</v>
      </c>
      <c r="D404" s="1" t="s">
        <v>66</v>
      </c>
      <c r="E404" s="250">
        <v>5121.1030000000001</v>
      </c>
    </row>
    <row r="405" spans="3:5" x14ac:dyDescent="0.35">
      <c r="C405" s="1" t="s">
        <v>8150</v>
      </c>
      <c r="D405" s="1" t="s">
        <v>66</v>
      </c>
      <c r="E405" s="250">
        <v>5121.1040000000003</v>
      </c>
    </row>
    <row r="406" spans="3:5" x14ac:dyDescent="0.35">
      <c r="C406" s="1" t="s">
        <v>8149</v>
      </c>
      <c r="D406" s="1" t="s">
        <v>66</v>
      </c>
      <c r="E406" s="250">
        <v>5121.1049999999996</v>
      </c>
    </row>
    <row r="407" spans="3:5" x14ac:dyDescent="0.35">
      <c r="C407" s="1" t="s">
        <v>8148</v>
      </c>
      <c r="D407" s="1" t="s">
        <v>66</v>
      </c>
      <c r="E407" s="250">
        <v>5121.1059999999998</v>
      </c>
    </row>
    <row r="408" spans="3:5" x14ac:dyDescent="0.35">
      <c r="C408" s="1" t="s">
        <v>8147</v>
      </c>
      <c r="D408" s="1" t="s">
        <v>66</v>
      </c>
      <c r="E408" s="250">
        <v>5121.107</v>
      </c>
    </row>
    <row r="409" spans="3:5" x14ac:dyDescent="0.35">
      <c r="C409" s="1" t="s">
        <v>8146</v>
      </c>
      <c r="D409" s="1" t="s">
        <v>66</v>
      </c>
      <c r="E409" s="250">
        <v>5121.1080000000002</v>
      </c>
    </row>
    <row r="410" spans="3:5" x14ac:dyDescent="0.35">
      <c r="C410" s="1" t="s">
        <v>8145</v>
      </c>
      <c r="D410" s="1" t="s">
        <v>66</v>
      </c>
      <c r="E410" s="250">
        <v>5121.1090000000004</v>
      </c>
    </row>
    <row r="411" spans="3:5" x14ac:dyDescent="0.35">
      <c r="C411" s="1" t="s">
        <v>8145</v>
      </c>
      <c r="D411" s="1" t="s">
        <v>66</v>
      </c>
      <c r="E411" s="250">
        <v>5121.1099999999997</v>
      </c>
    </row>
    <row r="412" spans="3:5" x14ac:dyDescent="0.35">
      <c r="C412" s="1" t="s">
        <v>8144</v>
      </c>
      <c r="D412" s="1" t="s">
        <v>66</v>
      </c>
      <c r="E412" s="250">
        <v>5121.1109999999999</v>
      </c>
    </row>
    <row r="413" spans="3:5" x14ac:dyDescent="0.35">
      <c r="C413" s="1" t="s">
        <v>8143</v>
      </c>
      <c r="D413" s="1" t="s">
        <v>66</v>
      </c>
      <c r="E413" s="250">
        <v>5121.1120000000001</v>
      </c>
    </row>
    <row r="414" spans="3:5" x14ac:dyDescent="0.35">
      <c r="C414" s="1" t="s">
        <v>8142</v>
      </c>
      <c r="D414" s="1" t="s">
        <v>66</v>
      </c>
      <c r="E414" s="250">
        <v>5121.1210000000001</v>
      </c>
    </row>
    <row r="415" spans="3:5" x14ac:dyDescent="0.35">
      <c r="C415" s="1" t="s">
        <v>8141</v>
      </c>
      <c r="D415" s="1" t="s">
        <v>66</v>
      </c>
      <c r="E415" s="250">
        <v>5121.1220000000003</v>
      </c>
    </row>
    <row r="416" spans="3:5" x14ac:dyDescent="0.35">
      <c r="C416" s="1" t="s">
        <v>8140</v>
      </c>
      <c r="D416" s="1" t="s">
        <v>66</v>
      </c>
      <c r="E416" s="250">
        <v>5121.1229999999996</v>
      </c>
    </row>
    <row r="417" spans="3:5" x14ac:dyDescent="0.35">
      <c r="C417" s="1" t="s">
        <v>8139</v>
      </c>
      <c r="D417" s="1" t="s">
        <v>66</v>
      </c>
      <c r="E417" s="250">
        <v>5121.1239999999998</v>
      </c>
    </row>
    <row r="418" spans="3:5" x14ac:dyDescent="0.35">
      <c r="C418" s="1" t="s">
        <v>8138</v>
      </c>
      <c r="D418" s="1" t="s">
        <v>66</v>
      </c>
      <c r="E418" s="250">
        <v>5121.125</v>
      </c>
    </row>
    <row r="419" spans="3:5" x14ac:dyDescent="0.35">
      <c r="C419" s="1" t="s">
        <v>8137</v>
      </c>
      <c r="D419" s="1" t="s">
        <v>66</v>
      </c>
      <c r="E419" s="250">
        <v>5121.1260000000002</v>
      </c>
    </row>
    <row r="420" spans="3:5" x14ac:dyDescent="0.35">
      <c r="C420" s="1" t="s">
        <v>8136</v>
      </c>
      <c r="D420" s="1" t="s">
        <v>66</v>
      </c>
      <c r="E420" s="250">
        <v>5121.1270000000004</v>
      </c>
    </row>
    <row r="421" spans="3:5" x14ac:dyDescent="0.35">
      <c r="C421" s="1" t="s">
        <v>8135</v>
      </c>
      <c r="D421" s="1" t="s">
        <v>66</v>
      </c>
      <c r="E421" s="250">
        <v>5121.1279999999997</v>
      </c>
    </row>
    <row r="422" spans="3:5" x14ac:dyDescent="0.35">
      <c r="C422" s="1" t="s">
        <v>8134</v>
      </c>
      <c r="D422" s="1" t="s">
        <v>66</v>
      </c>
      <c r="E422" s="250">
        <v>5121.1289999999999</v>
      </c>
    </row>
    <row r="423" spans="3:5" x14ac:dyDescent="0.35">
      <c r="C423" s="1" t="s">
        <v>8134</v>
      </c>
      <c r="D423" s="1" t="s">
        <v>66</v>
      </c>
      <c r="E423" s="250">
        <v>5121.13</v>
      </c>
    </row>
    <row r="424" spans="3:5" x14ac:dyDescent="0.35">
      <c r="C424" s="1" t="s">
        <v>8133</v>
      </c>
      <c r="D424" s="1" t="s">
        <v>66</v>
      </c>
      <c r="E424" s="250">
        <v>5121.1310000000003</v>
      </c>
    </row>
    <row r="425" spans="3:5" x14ac:dyDescent="0.35">
      <c r="C425" s="1" t="s">
        <v>8132</v>
      </c>
      <c r="D425" s="1" t="s">
        <v>66</v>
      </c>
      <c r="E425" s="250">
        <v>5121.1319999999996</v>
      </c>
    </row>
    <row r="426" spans="3:5" x14ac:dyDescent="0.35">
      <c r="C426" s="1" t="s">
        <v>8131</v>
      </c>
      <c r="D426" s="1" t="s">
        <v>66</v>
      </c>
      <c r="E426" s="250">
        <v>5121.1409999999996</v>
      </c>
    </row>
    <row r="427" spans="3:5" x14ac:dyDescent="0.35">
      <c r="C427" s="1" t="s">
        <v>8130</v>
      </c>
      <c r="D427" s="1" t="s">
        <v>66</v>
      </c>
      <c r="E427" s="250">
        <v>5121.1419999999998</v>
      </c>
    </row>
    <row r="428" spans="3:5" x14ac:dyDescent="0.35">
      <c r="C428" s="1" t="s">
        <v>8129</v>
      </c>
      <c r="D428" s="1" t="s">
        <v>66</v>
      </c>
      <c r="E428" s="250">
        <v>5121.143</v>
      </c>
    </row>
    <row r="429" spans="3:5" x14ac:dyDescent="0.35">
      <c r="C429" s="1" t="s">
        <v>8128</v>
      </c>
      <c r="D429" s="1" t="s">
        <v>66</v>
      </c>
      <c r="E429" s="250">
        <v>5121.1440000000002</v>
      </c>
    </row>
    <row r="430" spans="3:5" x14ac:dyDescent="0.35">
      <c r="C430" s="1" t="s">
        <v>8127</v>
      </c>
      <c r="D430" s="1" t="s">
        <v>66</v>
      </c>
      <c r="E430" s="250">
        <v>5121.1450000000004</v>
      </c>
    </row>
    <row r="431" spans="3:5" x14ac:dyDescent="0.35">
      <c r="C431" s="1" t="s">
        <v>8126</v>
      </c>
      <c r="D431" s="1" t="s">
        <v>66</v>
      </c>
      <c r="E431" s="250">
        <v>5121.1459999999997</v>
      </c>
    </row>
    <row r="432" spans="3:5" x14ac:dyDescent="0.35">
      <c r="C432" s="1" t="s">
        <v>8125</v>
      </c>
      <c r="D432" s="1" t="s">
        <v>66</v>
      </c>
      <c r="E432" s="250">
        <v>5121.1469999999999</v>
      </c>
    </row>
    <row r="433" spans="3:5" x14ac:dyDescent="0.35">
      <c r="C433" s="1" t="s">
        <v>8124</v>
      </c>
      <c r="D433" s="1" t="s">
        <v>66</v>
      </c>
      <c r="E433" s="250">
        <v>5121.1480000000001</v>
      </c>
    </row>
    <row r="434" spans="3:5" x14ac:dyDescent="0.35">
      <c r="C434" s="1" t="s">
        <v>8123</v>
      </c>
      <c r="D434" s="1" t="s">
        <v>66</v>
      </c>
      <c r="E434" s="250">
        <v>5121.1490000000003</v>
      </c>
    </row>
    <row r="435" spans="3:5" x14ac:dyDescent="0.35">
      <c r="C435" s="1" t="s">
        <v>8123</v>
      </c>
      <c r="D435" s="1" t="s">
        <v>66</v>
      </c>
      <c r="E435" s="250">
        <v>5121.1499999999996</v>
      </c>
    </row>
    <row r="436" spans="3:5" x14ac:dyDescent="0.35">
      <c r="C436" s="1" t="s">
        <v>8122</v>
      </c>
      <c r="D436" s="1" t="s">
        <v>66</v>
      </c>
      <c r="E436" s="250">
        <v>5121.1509999999998</v>
      </c>
    </row>
    <row r="437" spans="3:5" x14ac:dyDescent="0.35">
      <c r="C437" s="1" t="s">
        <v>8121</v>
      </c>
      <c r="D437" s="1" t="s">
        <v>66</v>
      </c>
      <c r="E437" s="250">
        <v>5121.152</v>
      </c>
    </row>
    <row r="438" spans="3:5" x14ac:dyDescent="0.35">
      <c r="C438" s="1" t="s">
        <v>8120</v>
      </c>
      <c r="D438" s="1" t="s">
        <v>66</v>
      </c>
      <c r="E438" s="250">
        <v>5121.1610000000001</v>
      </c>
    </row>
    <row r="439" spans="3:5" x14ac:dyDescent="0.35">
      <c r="C439" s="1" t="s">
        <v>8119</v>
      </c>
      <c r="D439" s="1" t="s">
        <v>66</v>
      </c>
      <c r="E439" s="250">
        <v>5121.1620000000003</v>
      </c>
    </row>
    <row r="440" spans="3:5" x14ac:dyDescent="0.35">
      <c r="C440" s="1" t="s">
        <v>8118</v>
      </c>
      <c r="D440" s="1" t="s">
        <v>66</v>
      </c>
      <c r="E440" s="250">
        <v>5121.1629999999996</v>
      </c>
    </row>
    <row r="441" spans="3:5" x14ac:dyDescent="0.35">
      <c r="C441" s="1" t="s">
        <v>8117</v>
      </c>
      <c r="D441" s="1" t="s">
        <v>66</v>
      </c>
      <c r="E441" s="250">
        <v>5121.1639999999998</v>
      </c>
    </row>
    <row r="442" spans="3:5" x14ac:dyDescent="0.35">
      <c r="C442" s="1" t="s">
        <v>8116</v>
      </c>
      <c r="D442" s="1" t="s">
        <v>66</v>
      </c>
      <c r="E442" s="250">
        <v>5121.165</v>
      </c>
    </row>
    <row r="443" spans="3:5" x14ac:dyDescent="0.35">
      <c r="C443" s="1" t="s">
        <v>8115</v>
      </c>
      <c r="D443" s="1" t="s">
        <v>66</v>
      </c>
      <c r="E443" s="250">
        <v>5121.1660000000002</v>
      </c>
    </row>
    <row r="444" spans="3:5" x14ac:dyDescent="0.35">
      <c r="C444" s="1" t="s">
        <v>8114</v>
      </c>
      <c r="D444" s="1" t="s">
        <v>66</v>
      </c>
      <c r="E444" s="250">
        <v>5121.1670000000004</v>
      </c>
    </row>
    <row r="445" spans="3:5" x14ac:dyDescent="0.35">
      <c r="C445" s="1" t="s">
        <v>8113</v>
      </c>
      <c r="D445" s="1" t="s">
        <v>66</v>
      </c>
      <c r="E445" s="250">
        <v>5121.1679999999997</v>
      </c>
    </row>
    <row r="446" spans="3:5" x14ac:dyDescent="0.35">
      <c r="C446" s="1" t="s">
        <v>8112</v>
      </c>
      <c r="D446" s="1" t="s">
        <v>66</v>
      </c>
      <c r="E446" s="250">
        <v>5121.1689999999999</v>
      </c>
    </row>
    <row r="447" spans="3:5" x14ac:dyDescent="0.35">
      <c r="C447" s="1" t="s">
        <v>8112</v>
      </c>
      <c r="D447" s="1" t="s">
        <v>66</v>
      </c>
      <c r="E447" s="250">
        <v>5121.17</v>
      </c>
    </row>
    <row r="448" spans="3:5" x14ac:dyDescent="0.35">
      <c r="C448" s="1" t="s">
        <v>8111</v>
      </c>
      <c r="D448" s="1" t="s">
        <v>66</v>
      </c>
      <c r="E448" s="250">
        <v>5121.1710000000003</v>
      </c>
    </row>
    <row r="449" spans="3:5" x14ac:dyDescent="0.35">
      <c r="C449" s="1" t="s">
        <v>8110</v>
      </c>
      <c r="D449" s="1" t="s">
        <v>66</v>
      </c>
      <c r="E449" s="250">
        <v>5121.1719999999996</v>
      </c>
    </row>
    <row r="450" spans="3:5" x14ac:dyDescent="0.35">
      <c r="C450" s="1" t="s">
        <v>8109</v>
      </c>
      <c r="D450" s="1" t="s">
        <v>66</v>
      </c>
      <c r="E450" s="250">
        <v>5121.1809999999996</v>
      </c>
    </row>
    <row r="451" spans="3:5" x14ac:dyDescent="0.35">
      <c r="C451" s="1" t="s">
        <v>8108</v>
      </c>
      <c r="D451" s="1" t="s">
        <v>66</v>
      </c>
      <c r="E451" s="250">
        <v>5121.1819999999998</v>
      </c>
    </row>
    <row r="452" spans="3:5" x14ac:dyDescent="0.35">
      <c r="C452" s="1" t="s">
        <v>8107</v>
      </c>
      <c r="D452" s="1" t="s">
        <v>66</v>
      </c>
      <c r="E452" s="250">
        <v>5121.183</v>
      </c>
    </row>
    <row r="453" spans="3:5" x14ac:dyDescent="0.35">
      <c r="C453" s="1" t="s">
        <v>8106</v>
      </c>
      <c r="D453" s="1" t="s">
        <v>66</v>
      </c>
      <c r="E453" s="250">
        <v>5121.1840000000002</v>
      </c>
    </row>
    <row r="454" spans="3:5" x14ac:dyDescent="0.35">
      <c r="C454" s="1" t="s">
        <v>8105</v>
      </c>
      <c r="D454" s="1" t="s">
        <v>66</v>
      </c>
      <c r="E454" s="250">
        <v>5121.1850000000004</v>
      </c>
    </row>
    <row r="455" spans="3:5" x14ac:dyDescent="0.35">
      <c r="C455" s="1" t="s">
        <v>8104</v>
      </c>
      <c r="D455" s="1" t="s">
        <v>66</v>
      </c>
      <c r="E455" s="250">
        <v>5121.1859999999997</v>
      </c>
    </row>
    <row r="456" spans="3:5" x14ac:dyDescent="0.35">
      <c r="C456" s="1" t="s">
        <v>8103</v>
      </c>
      <c r="D456" s="1" t="s">
        <v>66</v>
      </c>
      <c r="E456" s="250">
        <v>5121.1869999999999</v>
      </c>
    </row>
    <row r="457" spans="3:5" x14ac:dyDescent="0.35">
      <c r="C457" s="1" t="s">
        <v>8102</v>
      </c>
      <c r="D457" s="1" t="s">
        <v>66</v>
      </c>
      <c r="E457" s="250">
        <v>5121.1880000000001</v>
      </c>
    </row>
    <row r="458" spans="3:5" x14ac:dyDescent="0.35">
      <c r="C458" s="1" t="s">
        <v>8101</v>
      </c>
      <c r="D458" s="1" t="s">
        <v>66</v>
      </c>
      <c r="E458" s="250">
        <v>5121.1890000000003</v>
      </c>
    </row>
    <row r="459" spans="3:5" x14ac:dyDescent="0.35">
      <c r="C459" s="1" t="s">
        <v>8101</v>
      </c>
      <c r="D459" s="1" t="s">
        <v>66</v>
      </c>
      <c r="E459" s="250">
        <v>5121.1899999999996</v>
      </c>
    </row>
    <row r="460" spans="3:5" x14ac:dyDescent="0.35">
      <c r="C460" s="1" t="s">
        <v>8100</v>
      </c>
      <c r="D460" s="1" t="s">
        <v>66</v>
      </c>
      <c r="E460" s="250">
        <v>5121.1909999999998</v>
      </c>
    </row>
    <row r="461" spans="3:5" x14ac:dyDescent="0.35">
      <c r="C461" s="1" t="s">
        <v>8099</v>
      </c>
      <c r="D461" s="1" t="s">
        <v>66</v>
      </c>
      <c r="E461" s="250">
        <v>5121.192</v>
      </c>
    </row>
    <row r="462" spans="3:5" x14ac:dyDescent="0.35">
      <c r="C462" s="1" t="s">
        <v>8098</v>
      </c>
      <c r="D462" s="1" t="s">
        <v>66</v>
      </c>
      <c r="E462" s="250">
        <v>5122.0010000000002</v>
      </c>
    </row>
    <row r="463" spans="3:5" x14ac:dyDescent="0.35">
      <c r="C463" s="1" t="s">
        <v>8097</v>
      </c>
      <c r="D463" s="1" t="s">
        <v>66</v>
      </c>
      <c r="E463" s="250">
        <v>5122.0020000000004</v>
      </c>
    </row>
    <row r="464" spans="3:5" x14ac:dyDescent="0.35">
      <c r="C464" s="1" t="s">
        <v>8096</v>
      </c>
      <c r="D464" s="1" t="s">
        <v>66</v>
      </c>
      <c r="E464" s="250">
        <v>5122.0029999999997</v>
      </c>
    </row>
    <row r="465" spans="3:5" x14ac:dyDescent="0.35">
      <c r="C465" s="1" t="s">
        <v>8095</v>
      </c>
      <c r="D465" s="1" t="s">
        <v>66</v>
      </c>
      <c r="E465" s="250">
        <v>5122.0039999999999</v>
      </c>
    </row>
    <row r="466" spans="3:5" x14ac:dyDescent="0.35">
      <c r="C466" s="1" t="s">
        <v>8094</v>
      </c>
      <c r="D466" s="1" t="s">
        <v>66</v>
      </c>
      <c r="E466" s="250">
        <v>5122.0050000000001</v>
      </c>
    </row>
    <row r="467" spans="3:5" x14ac:dyDescent="0.35">
      <c r="C467" s="1" t="s">
        <v>8093</v>
      </c>
      <c r="D467" s="1" t="s">
        <v>66</v>
      </c>
      <c r="E467" s="250">
        <v>5122.0060000000003</v>
      </c>
    </row>
    <row r="468" spans="3:5" x14ac:dyDescent="0.35">
      <c r="C468" s="1" t="s">
        <v>8092</v>
      </c>
      <c r="D468" s="1" t="s">
        <v>66</v>
      </c>
      <c r="E468" s="250">
        <v>5122.0069999999996</v>
      </c>
    </row>
    <row r="469" spans="3:5" x14ac:dyDescent="0.35">
      <c r="C469" s="1" t="s">
        <v>8091</v>
      </c>
      <c r="D469" s="1" t="s">
        <v>66</v>
      </c>
      <c r="E469" s="250">
        <v>5122.0079999999998</v>
      </c>
    </row>
    <row r="470" spans="3:5" x14ac:dyDescent="0.35">
      <c r="C470" s="1" t="s">
        <v>8090</v>
      </c>
      <c r="D470" s="1" t="s">
        <v>66</v>
      </c>
      <c r="E470" s="250">
        <v>5122.009</v>
      </c>
    </row>
    <row r="471" spans="3:5" x14ac:dyDescent="0.35">
      <c r="C471" s="1" t="s">
        <v>8089</v>
      </c>
      <c r="D471" s="1" t="s">
        <v>66</v>
      </c>
      <c r="E471" s="250">
        <v>5122.01</v>
      </c>
    </row>
    <row r="472" spans="3:5" x14ac:dyDescent="0.35">
      <c r="C472" s="1" t="s">
        <v>8088</v>
      </c>
      <c r="D472" s="1" t="s">
        <v>66</v>
      </c>
      <c r="E472" s="250">
        <v>5122.0110000000004</v>
      </c>
    </row>
    <row r="473" spans="3:5" x14ac:dyDescent="0.35">
      <c r="C473" s="1" t="s">
        <v>8087</v>
      </c>
      <c r="D473" s="1" t="s">
        <v>66</v>
      </c>
      <c r="E473" s="250">
        <v>5122.0119999999997</v>
      </c>
    </row>
    <row r="474" spans="3:5" x14ac:dyDescent="0.35">
      <c r="C474" s="1" t="s">
        <v>8086</v>
      </c>
      <c r="D474" s="1" t="s">
        <v>66</v>
      </c>
      <c r="E474" s="250">
        <v>5122.0129999999999</v>
      </c>
    </row>
    <row r="475" spans="3:5" x14ac:dyDescent="0.35">
      <c r="C475" s="1" t="s">
        <v>8085</v>
      </c>
      <c r="D475" s="1" t="s">
        <v>66</v>
      </c>
      <c r="E475" s="250">
        <v>5122.0140000000001</v>
      </c>
    </row>
    <row r="476" spans="3:5" x14ac:dyDescent="0.35">
      <c r="C476" s="1" t="s">
        <v>8084</v>
      </c>
      <c r="D476" s="1" t="s">
        <v>66</v>
      </c>
      <c r="E476" s="250">
        <v>5122.0150000000003</v>
      </c>
    </row>
    <row r="477" spans="3:5" x14ac:dyDescent="0.35">
      <c r="C477" s="1" t="s">
        <v>8083</v>
      </c>
      <c r="D477" s="1" t="s">
        <v>66</v>
      </c>
      <c r="E477" s="250">
        <v>5122.0159999999996</v>
      </c>
    </row>
    <row r="478" spans="3:5" x14ac:dyDescent="0.35">
      <c r="C478" s="1" t="s">
        <v>8082</v>
      </c>
      <c r="D478" s="1" t="s">
        <v>66</v>
      </c>
      <c r="E478" s="250">
        <v>5122.0169999999998</v>
      </c>
    </row>
    <row r="479" spans="3:5" x14ac:dyDescent="0.35">
      <c r="C479" s="1" t="s">
        <v>8081</v>
      </c>
      <c r="D479" s="1" t="s">
        <v>66</v>
      </c>
      <c r="E479" s="250">
        <v>5122.018</v>
      </c>
    </row>
    <row r="480" spans="3:5" x14ac:dyDescent="0.35">
      <c r="C480" s="1" t="s">
        <v>8080</v>
      </c>
      <c r="D480" s="1" t="s">
        <v>66</v>
      </c>
      <c r="E480" s="250">
        <v>5122.0190000000002</v>
      </c>
    </row>
    <row r="481" spans="3:5" x14ac:dyDescent="0.35">
      <c r="C481" s="1" t="s">
        <v>8079</v>
      </c>
      <c r="D481" s="1" t="s">
        <v>66</v>
      </c>
      <c r="E481" s="250">
        <v>5122.0200000000004</v>
      </c>
    </row>
    <row r="482" spans="3:5" x14ac:dyDescent="0.35">
      <c r="C482" s="1" t="s">
        <v>8078</v>
      </c>
      <c r="D482" s="1" t="s">
        <v>66</v>
      </c>
      <c r="E482" s="250">
        <v>5122.1989999999996</v>
      </c>
    </row>
    <row r="483" spans="3:5" x14ac:dyDescent="0.35">
      <c r="C483" s="1" t="s">
        <v>6143</v>
      </c>
      <c r="D483" s="1" t="s">
        <v>57</v>
      </c>
      <c r="E483" s="250">
        <v>5122.3999999999996</v>
      </c>
    </row>
    <row r="484" spans="3:5" x14ac:dyDescent="0.35">
      <c r="C484" s="1" t="s">
        <v>1697</v>
      </c>
      <c r="D484" s="1" t="s">
        <v>20</v>
      </c>
      <c r="E484" s="250">
        <v>5122.4009999999998</v>
      </c>
    </row>
    <row r="485" spans="3:5" x14ac:dyDescent="0.35">
      <c r="C485" s="1" t="s">
        <v>1696</v>
      </c>
      <c r="D485" s="1" t="s">
        <v>20</v>
      </c>
      <c r="E485" s="250">
        <v>5122.402</v>
      </c>
    </row>
    <row r="486" spans="3:5" x14ac:dyDescent="0.35">
      <c r="C486" s="1" t="s">
        <v>1695</v>
      </c>
      <c r="D486" s="1" t="s">
        <v>20</v>
      </c>
      <c r="E486" s="250">
        <v>5122.4030000000002</v>
      </c>
    </row>
    <row r="487" spans="3:5" x14ac:dyDescent="0.35">
      <c r="C487" s="1" t="s">
        <v>1694</v>
      </c>
      <c r="D487" s="1" t="s">
        <v>20</v>
      </c>
      <c r="E487" s="250">
        <v>5122.4040000000005</v>
      </c>
    </row>
    <row r="488" spans="3:5" x14ac:dyDescent="0.35">
      <c r="C488" s="1" t="s">
        <v>1693</v>
      </c>
      <c r="D488" s="1" t="s">
        <v>20</v>
      </c>
      <c r="E488" s="250">
        <v>5122.4049999999997</v>
      </c>
    </row>
    <row r="489" spans="3:5" x14ac:dyDescent="0.35">
      <c r="C489" s="1" t="s">
        <v>6142</v>
      </c>
      <c r="D489" s="1" t="s">
        <v>20</v>
      </c>
      <c r="E489" s="250">
        <v>5122.4059999999999</v>
      </c>
    </row>
    <row r="490" spans="3:5" x14ac:dyDescent="0.35">
      <c r="C490" s="1" t="s">
        <v>8077</v>
      </c>
      <c r="D490" s="1"/>
      <c r="E490" s="250">
        <v>5122.5020000000004</v>
      </c>
    </row>
    <row r="491" spans="3:5" x14ac:dyDescent="0.35">
      <c r="C491" s="1" t="s">
        <v>8077</v>
      </c>
      <c r="D491" s="1"/>
      <c r="E491" s="250">
        <v>5122.5029999999997</v>
      </c>
    </row>
    <row r="492" spans="3:5" x14ac:dyDescent="0.35">
      <c r="C492" s="1" t="s">
        <v>8077</v>
      </c>
      <c r="D492" s="1"/>
      <c r="E492" s="250">
        <v>5122.5039999999999</v>
      </c>
    </row>
    <row r="493" spans="3:5" x14ac:dyDescent="0.35">
      <c r="C493" s="1" t="s">
        <v>8077</v>
      </c>
      <c r="D493" s="1"/>
      <c r="E493" s="250">
        <v>5122.5050000000001</v>
      </c>
    </row>
    <row r="494" spans="3:5" x14ac:dyDescent="0.35">
      <c r="C494" s="1" t="s">
        <v>8077</v>
      </c>
      <c r="D494" s="1"/>
      <c r="E494" s="250">
        <v>5122.5060000000003</v>
      </c>
    </row>
    <row r="495" spans="3:5" x14ac:dyDescent="0.35">
      <c r="C495" s="1" t="s">
        <v>8076</v>
      </c>
      <c r="D495" s="1"/>
      <c r="E495" s="250">
        <v>5122.5219999999999</v>
      </c>
    </row>
    <row r="496" spans="3:5" x14ac:dyDescent="0.35">
      <c r="C496" s="1" t="s">
        <v>8076</v>
      </c>
      <c r="D496" s="1"/>
      <c r="E496" s="250">
        <v>5122.5230000000001</v>
      </c>
    </row>
    <row r="497" spans="3:5" x14ac:dyDescent="0.35">
      <c r="C497" s="1" t="s">
        <v>8076</v>
      </c>
      <c r="D497" s="1"/>
      <c r="E497" s="250">
        <v>5122.5240000000003</v>
      </c>
    </row>
    <row r="498" spans="3:5" x14ac:dyDescent="0.35">
      <c r="C498" s="1" t="s">
        <v>8076</v>
      </c>
      <c r="D498" s="1"/>
      <c r="E498" s="250">
        <v>5122.5249999999996</v>
      </c>
    </row>
    <row r="499" spans="3:5" x14ac:dyDescent="0.35">
      <c r="C499" s="1" t="s">
        <v>8075</v>
      </c>
      <c r="D499" s="1"/>
      <c r="E499" s="250">
        <v>5122.5420000000004</v>
      </c>
    </row>
    <row r="500" spans="3:5" x14ac:dyDescent="0.35">
      <c r="C500" s="1" t="s">
        <v>8075</v>
      </c>
      <c r="D500" s="1"/>
      <c r="E500" s="250">
        <v>5122.5429999999997</v>
      </c>
    </row>
    <row r="501" spans="3:5" x14ac:dyDescent="0.35">
      <c r="C501" s="1" t="s">
        <v>8075</v>
      </c>
      <c r="D501" s="1"/>
      <c r="E501" s="250">
        <v>5122.5439999999999</v>
      </c>
    </row>
    <row r="502" spans="3:5" x14ac:dyDescent="0.35">
      <c r="C502" s="1" t="s">
        <v>8075</v>
      </c>
      <c r="D502" s="1"/>
      <c r="E502" s="250">
        <v>5122.5450000000001</v>
      </c>
    </row>
    <row r="503" spans="3:5" x14ac:dyDescent="0.35">
      <c r="C503" s="1" t="s">
        <v>8074</v>
      </c>
      <c r="D503" s="1"/>
      <c r="E503" s="250">
        <v>5122.5619999999999</v>
      </c>
    </row>
    <row r="504" spans="3:5" x14ac:dyDescent="0.35">
      <c r="C504" s="1" t="s">
        <v>8074</v>
      </c>
      <c r="D504" s="1"/>
      <c r="E504" s="250">
        <v>5122.5630000000001</v>
      </c>
    </row>
    <row r="505" spans="3:5" x14ac:dyDescent="0.35">
      <c r="C505" s="1" t="s">
        <v>8074</v>
      </c>
      <c r="D505" s="1"/>
      <c r="E505" s="250">
        <v>5122.5640000000003</v>
      </c>
    </row>
    <row r="506" spans="3:5" x14ac:dyDescent="0.35">
      <c r="C506" s="1" t="s">
        <v>8074</v>
      </c>
      <c r="D506" s="1"/>
      <c r="E506" s="250">
        <v>5122.5649999999996</v>
      </c>
    </row>
    <row r="507" spans="3:5" x14ac:dyDescent="0.35">
      <c r="C507" s="1" t="s">
        <v>8074</v>
      </c>
      <c r="D507" s="1"/>
      <c r="E507" s="250">
        <v>5122.5659999999998</v>
      </c>
    </row>
    <row r="508" spans="3:5" x14ac:dyDescent="0.35">
      <c r="C508" s="1" t="s">
        <v>8074</v>
      </c>
      <c r="D508" s="1"/>
      <c r="E508" s="250">
        <v>5122.567</v>
      </c>
    </row>
    <row r="509" spans="3:5" x14ac:dyDescent="0.35">
      <c r="C509" s="1" t="s">
        <v>8074</v>
      </c>
      <c r="D509" s="1"/>
      <c r="E509" s="250">
        <v>5122.5680000000002</v>
      </c>
    </row>
    <row r="510" spans="3:5" x14ac:dyDescent="0.35">
      <c r="C510" s="1" t="s">
        <v>8073</v>
      </c>
      <c r="D510" s="1"/>
      <c r="E510" s="250">
        <v>5122.5820000000003</v>
      </c>
    </row>
    <row r="511" spans="3:5" x14ac:dyDescent="0.35">
      <c r="C511" s="1" t="s">
        <v>8073</v>
      </c>
      <c r="D511" s="1"/>
      <c r="E511" s="250">
        <v>5122.5829999999996</v>
      </c>
    </row>
    <row r="512" spans="3:5" x14ac:dyDescent="0.35">
      <c r="C512" s="1" t="s">
        <v>8073</v>
      </c>
      <c r="D512" s="1"/>
      <c r="E512" s="250">
        <v>5122.5839999999998</v>
      </c>
    </row>
    <row r="513" spans="3:5" x14ac:dyDescent="0.35">
      <c r="C513" s="1" t="s">
        <v>8073</v>
      </c>
      <c r="D513" s="1"/>
      <c r="E513" s="250">
        <v>5122.585</v>
      </c>
    </row>
    <row r="514" spans="3:5" x14ac:dyDescent="0.35">
      <c r="C514" s="1" t="s">
        <v>8073</v>
      </c>
      <c r="D514" s="1"/>
      <c r="E514" s="250">
        <v>5122.5860000000002</v>
      </c>
    </row>
    <row r="515" spans="3:5" x14ac:dyDescent="0.35">
      <c r="C515" s="1" t="s">
        <v>8073</v>
      </c>
      <c r="D515" s="1"/>
      <c r="E515" s="250">
        <v>5122.5870000000004</v>
      </c>
    </row>
    <row r="516" spans="3:5" x14ac:dyDescent="0.35">
      <c r="C516" s="1" t="s">
        <v>8073</v>
      </c>
      <c r="D516" s="1"/>
      <c r="E516" s="250">
        <v>5122.5879999999997</v>
      </c>
    </row>
    <row r="517" spans="3:5" x14ac:dyDescent="0.35">
      <c r="C517" s="1" t="s">
        <v>8073</v>
      </c>
      <c r="D517" s="1"/>
      <c r="E517" s="250">
        <v>5122.5889999999999</v>
      </c>
    </row>
    <row r="518" spans="3:5" x14ac:dyDescent="0.35">
      <c r="C518" s="1" t="s">
        <v>8072</v>
      </c>
      <c r="D518" s="1"/>
      <c r="E518" s="250">
        <v>5122.6019999999999</v>
      </c>
    </row>
    <row r="519" spans="3:5" x14ac:dyDescent="0.35">
      <c r="C519" s="1" t="s">
        <v>8072</v>
      </c>
      <c r="D519" s="1"/>
      <c r="E519" s="250">
        <v>5122.6030000000001</v>
      </c>
    </row>
    <row r="520" spans="3:5" x14ac:dyDescent="0.35">
      <c r="C520" s="1" t="s">
        <v>8072</v>
      </c>
      <c r="D520" s="1"/>
      <c r="E520" s="250">
        <v>5122.6040000000003</v>
      </c>
    </row>
    <row r="521" spans="3:5" x14ac:dyDescent="0.35">
      <c r="C521" s="1" t="s">
        <v>8072</v>
      </c>
      <c r="D521" s="1"/>
      <c r="E521" s="250">
        <v>5122.6049999999996</v>
      </c>
    </row>
    <row r="522" spans="3:5" x14ac:dyDescent="0.35">
      <c r="C522" s="1" t="s">
        <v>8072</v>
      </c>
      <c r="D522" s="1"/>
      <c r="E522" s="250">
        <v>5122.6059999999998</v>
      </c>
    </row>
    <row r="523" spans="3:5" x14ac:dyDescent="0.35">
      <c r="C523" s="1" t="s">
        <v>8071</v>
      </c>
      <c r="D523" s="1"/>
      <c r="E523" s="250">
        <v>5122.6220000000003</v>
      </c>
    </row>
    <row r="524" spans="3:5" x14ac:dyDescent="0.35">
      <c r="C524" s="1" t="s">
        <v>8071</v>
      </c>
      <c r="D524" s="1"/>
      <c r="E524" s="250">
        <v>5122.6229999999996</v>
      </c>
    </row>
    <row r="525" spans="3:5" x14ac:dyDescent="0.35">
      <c r="C525" s="1" t="s">
        <v>8071</v>
      </c>
      <c r="D525" s="1"/>
      <c r="E525" s="250">
        <v>5122.6239999999998</v>
      </c>
    </row>
    <row r="526" spans="3:5" x14ac:dyDescent="0.35">
      <c r="C526" s="1" t="s">
        <v>8071</v>
      </c>
      <c r="D526" s="1"/>
      <c r="E526" s="250">
        <v>5122.625</v>
      </c>
    </row>
    <row r="527" spans="3:5" x14ac:dyDescent="0.35">
      <c r="C527" s="1" t="s">
        <v>8071</v>
      </c>
      <c r="D527" s="1"/>
      <c r="E527" s="250">
        <v>5122.6260000000002</v>
      </c>
    </row>
    <row r="528" spans="3:5" x14ac:dyDescent="0.35">
      <c r="C528" s="1" t="s">
        <v>8071</v>
      </c>
      <c r="D528" s="1"/>
      <c r="E528" s="250">
        <v>5122.6270000000004</v>
      </c>
    </row>
    <row r="529" spans="3:5" x14ac:dyDescent="0.35">
      <c r="C529" s="1" t="s">
        <v>8071</v>
      </c>
      <c r="D529" s="1"/>
      <c r="E529" s="250">
        <v>5122.6279999999997</v>
      </c>
    </row>
    <row r="530" spans="3:5" x14ac:dyDescent="0.35">
      <c r="C530" s="1" t="s">
        <v>8071</v>
      </c>
      <c r="D530" s="1"/>
      <c r="E530" s="250">
        <v>5122.6289999999999</v>
      </c>
    </row>
    <row r="531" spans="3:5" x14ac:dyDescent="0.35">
      <c r="C531" s="1" t="s">
        <v>8071</v>
      </c>
      <c r="D531" s="1"/>
      <c r="E531" s="250">
        <v>5122.63</v>
      </c>
    </row>
    <row r="532" spans="3:5" x14ac:dyDescent="0.35">
      <c r="C532" s="1" t="s">
        <v>8070</v>
      </c>
      <c r="D532" s="1"/>
      <c r="E532" s="250">
        <v>5122.6419999999998</v>
      </c>
    </row>
    <row r="533" spans="3:5" x14ac:dyDescent="0.35">
      <c r="C533" s="1" t="s">
        <v>8070</v>
      </c>
      <c r="D533" s="1"/>
      <c r="E533" s="250">
        <v>5122.643</v>
      </c>
    </row>
    <row r="534" spans="3:5" x14ac:dyDescent="0.35">
      <c r="C534" s="1" t="s">
        <v>8070</v>
      </c>
      <c r="D534" s="1"/>
      <c r="E534" s="250">
        <v>5122.6440000000002</v>
      </c>
    </row>
    <row r="535" spans="3:5" x14ac:dyDescent="0.35">
      <c r="C535" s="1" t="s">
        <v>8070</v>
      </c>
      <c r="D535" s="1"/>
      <c r="E535" s="250">
        <v>5122.6450000000004</v>
      </c>
    </row>
    <row r="536" spans="3:5" x14ac:dyDescent="0.35">
      <c r="C536" s="1" t="s">
        <v>8070</v>
      </c>
      <c r="D536" s="1"/>
      <c r="E536" s="250">
        <v>5122.6459999999997</v>
      </c>
    </row>
    <row r="537" spans="3:5" x14ac:dyDescent="0.35">
      <c r="C537" s="1" t="s">
        <v>8070</v>
      </c>
      <c r="D537" s="1"/>
      <c r="E537" s="250">
        <v>5122.6469999999999</v>
      </c>
    </row>
    <row r="538" spans="3:5" x14ac:dyDescent="0.35">
      <c r="C538" s="1" t="s">
        <v>8070</v>
      </c>
      <c r="D538" s="1"/>
      <c r="E538" s="250">
        <v>5122.6480000000001</v>
      </c>
    </row>
    <row r="539" spans="3:5" x14ac:dyDescent="0.35">
      <c r="C539" s="1" t="s">
        <v>8070</v>
      </c>
      <c r="D539" s="1"/>
      <c r="E539" s="250">
        <v>5122.6490000000003</v>
      </c>
    </row>
    <row r="540" spans="3:5" x14ac:dyDescent="0.35">
      <c r="C540" s="1" t="s">
        <v>8070</v>
      </c>
      <c r="D540" s="1"/>
      <c r="E540" s="250">
        <v>5122.6499999999996</v>
      </c>
    </row>
    <row r="541" spans="3:5" x14ac:dyDescent="0.35">
      <c r="C541" s="1" t="s">
        <v>8069</v>
      </c>
      <c r="D541" s="1"/>
      <c r="E541" s="250">
        <v>5122.6620000000003</v>
      </c>
    </row>
    <row r="542" spans="3:5" x14ac:dyDescent="0.35">
      <c r="C542" s="1" t="s">
        <v>8069</v>
      </c>
      <c r="D542" s="1"/>
      <c r="E542" s="250">
        <v>5122.6629999999996</v>
      </c>
    </row>
    <row r="543" spans="3:5" x14ac:dyDescent="0.35">
      <c r="C543" s="1" t="s">
        <v>8069</v>
      </c>
      <c r="D543" s="1"/>
      <c r="E543" s="250">
        <v>5122.6639999999998</v>
      </c>
    </row>
    <row r="544" spans="3:5" x14ac:dyDescent="0.35">
      <c r="C544" s="1" t="s">
        <v>8069</v>
      </c>
      <c r="D544" s="1"/>
      <c r="E544" s="250">
        <v>5122.665</v>
      </c>
    </row>
    <row r="545" spans="3:5" x14ac:dyDescent="0.35">
      <c r="C545" s="1" t="s">
        <v>8069</v>
      </c>
      <c r="D545" s="1"/>
      <c r="E545" s="250">
        <v>5122.6660000000002</v>
      </c>
    </row>
    <row r="546" spans="3:5" x14ac:dyDescent="0.35">
      <c r="C546" s="1" t="s">
        <v>8069</v>
      </c>
      <c r="D546" s="1"/>
      <c r="E546" s="250">
        <v>5122.6670000000004</v>
      </c>
    </row>
    <row r="547" spans="3:5" x14ac:dyDescent="0.35">
      <c r="C547" s="1" t="s">
        <v>8069</v>
      </c>
      <c r="D547" s="1"/>
      <c r="E547" s="250">
        <v>5122.6679999999997</v>
      </c>
    </row>
    <row r="548" spans="3:5" x14ac:dyDescent="0.35">
      <c r="C548" s="1" t="s">
        <v>8069</v>
      </c>
      <c r="D548" s="1"/>
      <c r="E548" s="250">
        <v>5122.6689999999999</v>
      </c>
    </row>
    <row r="549" spans="3:5" x14ac:dyDescent="0.35">
      <c r="C549" s="1" t="s">
        <v>8069</v>
      </c>
      <c r="D549" s="1"/>
      <c r="E549" s="250">
        <v>5122.67</v>
      </c>
    </row>
    <row r="550" spans="3:5" x14ac:dyDescent="0.35">
      <c r="C550" s="1" t="s">
        <v>8068</v>
      </c>
      <c r="D550" s="1" t="s">
        <v>18</v>
      </c>
      <c r="E550" s="250">
        <v>5122.701</v>
      </c>
    </row>
    <row r="551" spans="3:5" x14ac:dyDescent="0.35">
      <c r="C551" s="1" t="s">
        <v>8067</v>
      </c>
      <c r="D551" s="1" t="s">
        <v>18</v>
      </c>
      <c r="E551" s="250">
        <v>5122.7020000000002</v>
      </c>
    </row>
    <row r="552" spans="3:5" x14ac:dyDescent="0.35">
      <c r="C552" s="1" t="s">
        <v>8066</v>
      </c>
      <c r="D552" s="1" t="s">
        <v>18</v>
      </c>
      <c r="E552" s="250">
        <v>5122.7030000000004</v>
      </c>
    </row>
    <row r="553" spans="3:5" x14ac:dyDescent="0.35">
      <c r="C553" s="1" t="s">
        <v>8065</v>
      </c>
      <c r="D553" s="1" t="s">
        <v>18</v>
      </c>
      <c r="E553" s="250">
        <v>5122.7039999999997</v>
      </c>
    </row>
    <row r="554" spans="3:5" x14ac:dyDescent="0.35">
      <c r="C554" s="1" t="s">
        <v>8064</v>
      </c>
      <c r="D554" s="1" t="s">
        <v>18</v>
      </c>
      <c r="E554" s="250">
        <v>5122.7049999999999</v>
      </c>
    </row>
    <row r="555" spans="3:5" x14ac:dyDescent="0.35">
      <c r="C555" s="1" t="s">
        <v>8063</v>
      </c>
      <c r="D555" s="1" t="s">
        <v>18</v>
      </c>
      <c r="E555" s="250">
        <v>5122.7060000000001</v>
      </c>
    </row>
    <row r="556" spans="3:5" x14ac:dyDescent="0.35">
      <c r="C556" s="1" t="s">
        <v>8062</v>
      </c>
      <c r="D556" s="1" t="s">
        <v>18</v>
      </c>
      <c r="E556" s="250">
        <v>5122.7070000000003</v>
      </c>
    </row>
    <row r="557" spans="3:5" x14ac:dyDescent="0.35">
      <c r="C557" s="1" t="s">
        <v>8061</v>
      </c>
      <c r="D557" s="1" t="s">
        <v>18</v>
      </c>
      <c r="E557" s="250">
        <v>5122.7079999999996</v>
      </c>
    </row>
    <row r="558" spans="3:5" x14ac:dyDescent="0.35">
      <c r="C558" s="1" t="s">
        <v>8060</v>
      </c>
      <c r="D558" s="1" t="s">
        <v>18</v>
      </c>
      <c r="E558" s="250">
        <v>5122.7089999999998</v>
      </c>
    </row>
    <row r="559" spans="3:5" x14ac:dyDescent="0.35">
      <c r="C559" s="1" t="s">
        <v>8059</v>
      </c>
      <c r="D559" s="1" t="s">
        <v>18</v>
      </c>
      <c r="E559" s="250">
        <v>5122.71</v>
      </c>
    </row>
    <row r="560" spans="3:5" x14ac:dyDescent="0.35">
      <c r="C560" s="1" t="s">
        <v>8058</v>
      </c>
      <c r="D560" s="1" t="s">
        <v>18</v>
      </c>
      <c r="E560" s="250">
        <v>5122.7110000000002</v>
      </c>
    </row>
    <row r="561" spans="3:5" x14ac:dyDescent="0.35">
      <c r="C561" s="1" t="s">
        <v>8057</v>
      </c>
      <c r="D561" s="1" t="s">
        <v>18</v>
      </c>
      <c r="E561" s="250">
        <v>5122.7120000000004</v>
      </c>
    </row>
    <row r="562" spans="3:5" x14ac:dyDescent="0.35">
      <c r="C562" s="1" t="s">
        <v>8056</v>
      </c>
      <c r="D562" s="1" t="s">
        <v>18</v>
      </c>
      <c r="E562" s="250">
        <v>5122.7129999999997</v>
      </c>
    </row>
    <row r="563" spans="3:5" x14ac:dyDescent="0.35">
      <c r="C563" s="1" t="s">
        <v>8055</v>
      </c>
      <c r="D563" s="1" t="s">
        <v>18</v>
      </c>
      <c r="E563" s="250">
        <v>5122.7139999999999</v>
      </c>
    </row>
    <row r="564" spans="3:5" x14ac:dyDescent="0.35">
      <c r="C564" s="1" t="s">
        <v>8054</v>
      </c>
      <c r="D564" s="1" t="s">
        <v>18</v>
      </c>
      <c r="E564" s="250">
        <v>5122.7150000000001</v>
      </c>
    </row>
    <row r="565" spans="3:5" x14ac:dyDescent="0.35">
      <c r="C565" s="1" t="s">
        <v>8053</v>
      </c>
      <c r="D565" s="1" t="s">
        <v>18</v>
      </c>
      <c r="E565" s="250">
        <v>5122.7160000000003</v>
      </c>
    </row>
    <row r="566" spans="3:5" x14ac:dyDescent="0.35">
      <c r="C566" s="1" t="s">
        <v>8052</v>
      </c>
      <c r="D566" s="1" t="s">
        <v>18</v>
      </c>
      <c r="E566" s="250">
        <v>5122.7169999999996</v>
      </c>
    </row>
    <row r="567" spans="3:5" x14ac:dyDescent="0.35">
      <c r="C567" s="1" t="s">
        <v>8051</v>
      </c>
      <c r="D567" s="1" t="s">
        <v>18</v>
      </c>
      <c r="E567" s="250">
        <v>5122.7179999999998</v>
      </c>
    </row>
    <row r="568" spans="3:5" x14ac:dyDescent="0.35">
      <c r="C568" s="1" t="s">
        <v>8050</v>
      </c>
      <c r="D568" s="1" t="s">
        <v>18</v>
      </c>
      <c r="E568" s="250">
        <v>5122.7190000000001</v>
      </c>
    </row>
    <row r="569" spans="3:5" x14ac:dyDescent="0.35">
      <c r="C569" s="1" t="s">
        <v>8049</v>
      </c>
      <c r="D569" s="1" t="s">
        <v>18</v>
      </c>
      <c r="E569" s="250">
        <v>5122.72</v>
      </c>
    </row>
    <row r="570" spans="3:5" x14ac:dyDescent="0.35">
      <c r="C570" s="1" t="s">
        <v>8048</v>
      </c>
      <c r="D570" s="1" t="s">
        <v>18</v>
      </c>
      <c r="E570" s="250">
        <v>5122.7209999999995</v>
      </c>
    </row>
    <row r="571" spans="3:5" x14ac:dyDescent="0.35">
      <c r="C571" s="1" t="s">
        <v>8047</v>
      </c>
      <c r="D571" s="1" t="s">
        <v>18</v>
      </c>
      <c r="E571" s="250">
        <v>5122.7219999999998</v>
      </c>
    </row>
    <row r="572" spans="3:5" x14ac:dyDescent="0.35">
      <c r="C572" s="1" t="s">
        <v>8046</v>
      </c>
      <c r="D572" s="1" t="s">
        <v>18</v>
      </c>
      <c r="E572" s="250">
        <v>5122.723</v>
      </c>
    </row>
    <row r="573" spans="3:5" x14ac:dyDescent="0.35">
      <c r="C573" s="1" t="s">
        <v>8045</v>
      </c>
      <c r="D573" s="1" t="s">
        <v>18</v>
      </c>
      <c r="E573" s="250">
        <v>5122.7240000000002</v>
      </c>
    </row>
    <row r="574" spans="3:5" x14ac:dyDescent="0.35">
      <c r="C574" s="1" t="s">
        <v>8044</v>
      </c>
      <c r="D574" s="1" t="s">
        <v>18</v>
      </c>
      <c r="E574" s="250">
        <v>5122.7250000000004</v>
      </c>
    </row>
    <row r="575" spans="3:5" x14ac:dyDescent="0.35">
      <c r="C575" s="1" t="s">
        <v>8043</v>
      </c>
      <c r="D575" s="1" t="s">
        <v>18</v>
      </c>
      <c r="E575" s="250">
        <v>5122.7259999999997</v>
      </c>
    </row>
    <row r="576" spans="3:5" x14ac:dyDescent="0.35">
      <c r="C576" s="1" t="s">
        <v>8042</v>
      </c>
      <c r="D576" s="1" t="s">
        <v>18</v>
      </c>
      <c r="E576" s="250">
        <v>5122.7269999999999</v>
      </c>
    </row>
    <row r="577" spans="3:5" x14ac:dyDescent="0.35">
      <c r="C577" s="1" t="s">
        <v>8041</v>
      </c>
      <c r="D577" s="1" t="s">
        <v>18</v>
      </c>
      <c r="E577" s="250">
        <v>5122.7280000000001</v>
      </c>
    </row>
    <row r="578" spans="3:5" x14ac:dyDescent="0.35">
      <c r="C578" s="1" t="s">
        <v>8040</v>
      </c>
      <c r="D578" s="1" t="s">
        <v>18</v>
      </c>
      <c r="E578" s="250">
        <v>5122.7290000000003</v>
      </c>
    </row>
    <row r="579" spans="3:5" x14ac:dyDescent="0.35">
      <c r="C579" s="1" t="s">
        <v>8039</v>
      </c>
      <c r="D579" s="1" t="s">
        <v>18</v>
      </c>
      <c r="E579" s="250">
        <v>5122.7299999999996</v>
      </c>
    </row>
    <row r="580" spans="3:5" x14ac:dyDescent="0.35">
      <c r="C580" s="1" t="s">
        <v>8038</v>
      </c>
      <c r="D580" s="1" t="s">
        <v>18</v>
      </c>
      <c r="E580" s="250">
        <v>5122.7309999999998</v>
      </c>
    </row>
    <row r="581" spans="3:5" x14ac:dyDescent="0.35">
      <c r="C581" s="1" t="s">
        <v>8037</v>
      </c>
      <c r="D581" s="1" t="s">
        <v>18</v>
      </c>
      <c r="E581" s="250">
        <v>5122.732</v>
      </c>
    </row>
    <row r="582" spans="3:5" x14ac:dyDescent="0.35">
      <c r="C582" s="1" t="s">
        <v>8036</v>
      </c>
      <c r="D582" s="1" t="s">
        <v>18</v>
      </c>
      <c r="E582" s="250">
        <v>5122.7330000000002</v>
      </c>
    </row>
    <row r="583" spans="3:5" x14ac:dyDescent="0.35">
      <c r="C583" s="1" t="s">
        <v>8035</v>
      </c>
      <c r="D583" s="1" t="s">
        <v>18</v>
      </c>
      <c r="E583" s="250">
        <v>5122.7340000000004</v>
      </c>
    </row>
    <row r="584" spans="3:5" x14ac:dyDescent="0.35">
      <c r="C584" s="1" t="s">
        <v>8034</v>
      </c>
      <c r="D584" s="1" t="s">
        <v>18</v>
      </c>
      <c r="E584" s="250">
        <v>5122.7349999999997</v>
      </c>
    </row>
    <row r="585" spans="3:5" x14ac:dyDescent="0.35">
      <c r="C585" s="1" t="s">
        <v>8033</v>
      </c>
      <c r="D585" s="1" t="s">
        <v>18</v>
      </c>
      <c r="E585" s="250">
        <v>5122.7359999999999</v>
      </c>
    </row>
    <row r="586" spans="3:5" x14ac:dyDescent="0.35">
      <c r="C586" s="1" t="s">
        <v>8032</v>
      </c>
      <c r="D586" s="1" t="s">
        <v>18</v>
      </c>
      <c r="E586" s="250">
        <v>5122.7370000000001</v>
      </c>
    </row>
    <row r="587" spans="3:5" x14ac:dyDescent="0.35">
      <c r="C587" s="1" t="s">
        <v>8031</v>
      </c>
      <c r="D587" s="1" t="s">
        <v>18</v>
      </c>
      <c r="E587" s="250">
        <v>5122.7380000000003</v>
      </c>
    </row>
    <row r="588" spans="3:5" x14ac:dyDescent="0.35">
      <c r="C588" s="1" t="s">
        <v>8030</v>
      </c>
      <c r="D588" s="1" t="s">
        <v>18</v>
      </c>
      <c r="E588" s="250">
        <v>5122.7389999999996</v>
      </c>
    </row>
    <row r="589" spans="3:5" x14ac:dyDescent="0.35">
      <c r="C589" s="1" t="s">
        <v>8029</v>
      </c>
      <c r="D589" s="1" t="s">
        <v>18</v>
      </c>
      <c r="E589" s="250">
        <v>5122.74</v>
      </c>
    </row>
    <row r="590" spans="3:5" x14ac:dyDescent="0.35">
      <c r="C590" s="1" t="s">
        <v>8028</v>
      </c>
      <c r="D590" s="1" t="s">
        <v>18</v>
      </c>
      <c r="E590" s="250">
        <v>5122.741</v>
      </c>
    </row>
    <row r="591" spans="3:5" x14ac:dyDescent="0.35">
      <c r="C591" s="1" t="s">
        <v>8027</v>
      </c>
      <c r="D591" s="1" t="s">
        <v>18</v>
      </c>
      <c r="E591" s="250">
        <v>5122.7420000000002</v>
      </c>
    </row>
    <row r="592" spans="3:5" x14ac:dyDescent="0.35">
      <c r="C592" s="1" t="s">
        <v>8026</v>
      </c>
      <c r="D592" s="1" t="s">
        <v>18</v>
      </c>
      <c r="E592" s="250">
        <v>5122.7430000000004</v>
      </c>
    </row>
    <row r="593" spans="3:5" x14ac:dyDescent="0.35">
      <c r="C593" s="1" t="s">
        <v>8025</v>
      </c>
      <c r="D593" s="1" t="s">
        <v>18</v>
      </c>
      <c r="E593" s="250">
        <v>5122.7439999999997</v>
      </c>
    </row>
    <row r="594" spans="3:5" x14ac:dyDescent="0.35">
      <c r="C594" s="1" t="s">
        <v>8024</v>
      </c>
      <c r="D594" s="1" t="s">
        <v>18</v>
      </c>
      <c r="E594" s="250">
        <v>5122.7449999999999</v>
      </c>
    </row>
    <row r="595" spans="3:5" x14ac:dyDescent="0.35">
      <c r="C595" s="1" t="s">
        <v>8023</v>
      </c>
      <c r="D595" s="1" t="s">
        <v>18</v>
      </c>
      <c r="E595" s="250">
        <v>5122.7460000000001</v>
      </c>
    </row>
    <row r="596" spans="3:5" x14ac:dyDescent="0.35">
      <c r="C596" s="1" t="s">
        <v>8022</v>
      </c>
      <c r="D596" s="1" t="s">
        <v>18</v>
      </c>
      <c r="E596" s="250">
        <v>5122.7470000000003</v>
      </c>
    </row>
    <row r="597" spans="3:5" x14ac:dyDescent="0.35">
      <c r="C597" s="1" t="s">
        <v>8021</v>
      </c>
      <c r="D597" s="1" t="s">
        <v>18</v>
      </c>
      <c r="E597" s="250">
        <v>5122.7479999999996</v>
      </c>
    </row>
    <row r="598" spans="3:5" x14ac:dyDescent="0.35">
      <c r="C598" s="1" t="s">
        <v>8020</v>
      </c>
      <c r="D598" s="1" t="s">
        <v>18</v>
      </c>
      <c r="E598" s="250">
        <v>5122.7489999999998</v>
      </c>
    </row>
    <row r="599" spans="3:5" x14ac:dyDescent="0.35">
      <c r="C599" s="1" t="s">
        <v>8019</v>
      </c>
      <c r="D599" s="1" t="s">
        <v>18</v>
      </c>
      <c r="E599" s="250">
        <v>5122.75</v>
      </c>
    </row>
    <row r="600" spans="3:5" x14ac:dyDescent="0.35">
      <c r="C600" s="1" t="s">
        <v>8018</v>
      </c>
      <c r="D600" s="1" t="s">
        <v>18</v>
      </c>
      <c r="E600" s="250">
        <v>5122.7510000000002</v>
      </c>
    </row>
    <row r="601" spans="3:5" x14ac:dyDescent="0.35">
      <c r="C601" s="1" t="s">
        <v>8017</v>
      </c>
      <c r="D601" s="1" t="s">
        <v>18</v>
      </c>
      <c r="E601" s="250">
        <v>5122.7520000000004</v>
      </c>
    </row>
    <row r="602" spans="3:5" x14ac:dyDescent="0.35">
      <c r="C602" s="1" t="s">
        <v>8016</v>
      </c>
      <c r="D602" s="1" t="s">
        <v>18</v>
      </c>
      <c r="E602" s="250">
        <v>5122.7529999999997</v>
      </c>
    </row>
    <row r="603" spans="3:5" x14ac:dyDescent="0.35">
      <c r="C603" s="1" t="s">
        <v>8015</v>
      </c>
      <c r="D603" s="1" t="s">
        <v>18</v>
      </c>
      <c r="E603" s="250">
        <v>5122.7539999999999</v>
      </c>
    </row>
    <row r="604" spans="3:5" x14ac:dyDescent="0.35">
      <c r="C604" s="1" t="s">
        <v>8014</v>
      </c>
      <c r="D604" s="1" t="s">
        <v>18</v>
      </c>
      <c r="E604" s="250">
        <v>5122.7550000000001</v>
      </c>
    </row>
    <row r="605" spans="3:5" x14ac:dyDescent="0.35">
      <c r="C605" s="1" t="s">
        <v>8013</v>
      </c>
      <c r="D605" s="1" t="s">
        <v>18</v>
      </c>
      <c r="E605" s="250">
        <v>5122.7560000000003</v>
      </c>
    </row>
    <row r="606" spans="3:5" x14ac:dyDescent="0.35">
      <c r="C606" s="1" t="s">
        <v>8012</v>
      </c>
      <c r="D606" s="1" t="s">
        <v>18</v>
      </c>
      <c r="E606" s="250">
        <v>5122.7569999999996</v>
      </c>
    </row>
    <row r="607" spans="3:5" x14ac:dyDescent="0.35">
      <c r="C607" s="1" t="s">
        <v>8011</v>
      </c>
      <c r="D607" s="1" t="s">
        <v>18</v>
      </c>
      <c r="E607" s="250">
        <v>5122.7579999999998</v>
      </c>
    </row>
    <row r="608" spans="3:5" x14ac:dyDescent="0.35">
      <c r="C608" s="1" t="s">
        <v>8010</v>
      </c>
      <c r="D608" s="1" t="s">
        <v>18</v>
      </c>
      <c r="E608" s="250">
        <v>5122.759</v>
      </c>
    </row>
    <row r="609" spans="3:5" x14ac:dyDescent="0.35">
      <c r="C609" s="1" t="s">
        <v>8009</v>
      </c>
      <c r="D609" s="1" t="s">
        <v>18</v>
      </c>
      <c r="E609" s="250">
        <v>5122.76</v>
      </c>
    </row>
    <row r="610" spans="3:5" x14ac:dyDescent="0.35">
      <c r="C610" s="1" t="s">
        <v>8008</v>
      </c>
      <c r="D610" s="1" t="s">
        <v>18</v>
      </c>
      <c r="E610" s="250">
        <v>5122.7610000000004</v>
      </c>
    </row>
    <row r="611" spans="3:5" x14ac:dyDescent="0.35">
      <c r="C611" s="1" t="s">
        <v>8007</v>
      </c>
      <c r="D611" s="1" t="s">
        <v>18</v>
      </c>
      <c r="E611" s="250">
        <v>5122.7619999999997</v>
      </c>
    </row>
    <row r="612" spans="3:5" x14ac:dyDescent="0.35">
      <c r="C612" s="1" t="s">
        <v>8006</v>
      </c>
      <c r="D612" s="1" t="s">
        <v>18</v>
      </c>
      <c r="E612" s="250">
        <v>5122.7629999999999</v>
      </c>
    </row>
    <row r="613" spans="3:5" x14ac:dyDescent="0.35">
      <c r="C613" s="1" t="s">
        <v>8005</v>
      </c>
      <c r="D613" s="1" t="s">
        <v>18</v>
      </c>
      <c r="E613" s="250">
        <v>5122.7640000000001</v>
      </c>
    </row>
    <row r="614" spans="3:5" x14ac:dyDescent="0.35">
      <c r="C614" s="1" t="s">
        <v>8004</v>
      </c>
      <c r="D614" s="1" t="s">
        <v>18</v>
      </c>
      <c r="E614" s="250">
        <v>5122.7650000000003</v>
      </c>
    </row>
    <row r="615" spans="3:5" x14ac:dyDescent="0.35">
      <c r="C615" s="1" t="s">
        <v>8003</v>
      </c>
      <c r="D615" s="1" t="s">
        <v>18</v>
      </c>
      <c r="E615" s="250">
        <v>5122.7659999999996</v>
      </c>
    </row>
    <row r="616" spans="3:5" x14ac:dyDescent="0.35">
      <c r="C616" s="1" t="s">
        <v>8002</v>
      </c>
      <c r="D616" s="1" t="s">
        <v>18</v>
      </c>
      <c r="E616" s="250">
        <v>5122.7669999999998</v>
      </c>
    </row>
    <row r="617" spans="3:5" x14ac:dyDescent="0.35">
      <c r="C617" s="1" t="s">
        <v>8001</v>
      </c>
      <c r="D617" s="1" t="s">
        <v>18</v>
      </c>
      <c r="E617" s="250">
        <v>5122.768</v>
      </c>
    </row>
    <row r="618" spans="3:5" x14ac:dyDescent="0.35">
      <c r="C618" s="1" t="s">
        <v>8000</v>
      </c>
      <c r="D618" s="1" t="s">
        <v>18</v>
      </c>
      <c r="E618" s="250">
        <v>5122.7690000000002</v>
      </c>
    </row>
    <row r="619" spans="3:5" x14ac:dyDescent="0.35">
      <c r="C619" s="1" t="s">
        <v>7999</v>
      </c>
      <c r="D619" s="1" t="s">
        <v>18</v>
      </c>
      <c r="E619" s="250">
        <v>5122.7700000000004</v>
      </c>
    </row>
    <row r="620" spans="3:5" x14ac:dyDescent="0.35">
      <c r="C620" s="1" t="s">
        <v>7998</v>
      </c>
      <c r="D620" s="1" t="s">
        <v>18</v>
      </c>
      <c r="E620" s="250">
        <v>5122.7709999999997</v>
      </c>
    </row>
    <row r="621" spans="3:5" x14ac:dyDescent="0.35">
      <c r="C621" s="1" t="s">
        <v>7997</v>
      </c>
      <c r="D621" s="1" t="s">
        <v>18</v>
      </c>
      <c r="E621" s="250">
        <v>5122.7719999999999</v>
      </c>
    </row>
    <row r="622" spans="3:5" x14ac:dyDescent="0.35">
      <c r="C622" s="1" t="s">
        <v>7996</v>
      </c>
      <c r="D622" s="1" t="s">
        <v>18</v>
      </c>
      <c r="E622" s="250">
        <v>5122.7730000000001</v>
      </c>
    </row>
    <row r="623" spans="3:5" x14ac:dyDescent="0.35">
      <c r="C623" s="1" t="s">
        <v>7995</v>
      </c>
      <c r="D623" s="1" t="s">
        <v>18</v>
      </c>
      <c r="E623" s="250">
        <v>5122.7740000000003</v>
      </c>
    </row>
    <row r="624" spans="3:5" x14ac:dyDescent="0.35">
      <c r="C624" s="1" t="s">
        <v>7994</v>
      </c>
      <c r="D624" s="1" t="s">
        <v>18</v>
      </c>
      <c r="E624" s="250">
        <v>5122.7749999999996</v>
      </c>
    </row>
    <row r="625" spans="3:5" x14ac:dyDescent="0.35">
      <c r="C625" s="1" t="s">
        <v>7993</v>
      </c>
      <c r="D625" s="1" t="s">
        <v>18</v>
      </c>
      <c r="E625" s="250">
        <v>5122.7759999999998</v>
      </c>
    </row>
    <row r="626" spans="3:5" x14ac:dyDescent="0.35">
      <c r="C626" s="1" t="s">
        <v>7992</v>
      </c>
      <c r="D626" s="1" t="s">
        <v>18</v>
      </c>
      <c r="E626" s="250">
        <v>5122.777</v>
      </c>
    </row>
    <row r="627" spans="3:5" x14ac:dyDescent="0.35">
      <c r="C627" s="1" t="s">
        <v>7991</v>
      </c>
      <c r="D627" s="1" t="s">
        <v>18</v>
      </c>
      <c r="E627" s="250">
        <v>5122.7780000000002</v>
      </c>
    </row>
    <row r="628" spans="3:5" x14ac:dyDescent="0.35">
      <c r="C628" s="1" t="s">
        <v>7990</v>
      </c>
      <c r="D628" s="1" t="s">
        <v>18</v>
      </c>
      <c r="E628" s="250">
        <v>5122.7790000000005</v>
      </c>
    </row>
    <row r="629" spans="3:5" x14ac:dyDescent="0.35">
      <c r="C629" s="1" t="s">
        <v>7989</v>
      </c>
      <c r="D629" s="1" t="s">
        <v>18</v>
      </c>
      <c r="E629" s="250">
        <v>5122.78</v>
      </c>
    </row>
    <row r="630" spans="3:5" x14ac:dyDescent="0.35">
      <c r="C630" s="1" t="s">
        <v>7988</v>
      </c>
      <c r="D630" s="1" t="s">
        <v>18</v>
      </c>
      <c r="E630" s="250">
        <v>5122.7809999999999</v>
      </c>
    </row>
    <row r="631" spans="3:5" x14ac:dyDescent="0.35">
      <c r="C631" s="1" t="s">
        <v>7987</v>
      </c>
      <c r="D631" s="1" t="s">
        <v>18</v>
      </c>
      <c r="E631" s="250">
        <v>5122.7820000000002</v>
      </c>
    </row>
    <row r="632" spans="3:5" x14ac:dyDescent="0.35">
      <c r="C632" s="1" t="s">
        <v>7986</v>
      </c>
      <c r="D632" s="1" t="s">
        <v>18</v>
      </c>
      <c r="E632" s="250">
        <v>5122.7830000000004</v>
      </c>
    </row>
    <row r="633" spans="3:5" x14ac:dyDescent="0.35">
      <c r="C633" s="1" t="s">
        <v>7985</v>
      </c>
      <c r="D633" s="1" t="s">
        <v>18</v>
      </c>
      <c r="E633" s="250">
        <v>5122.7839999999997</v>
      </c>
    </row>
    <row r="634" spans="3:5" x14ac:dyDescent="0.35">
      <c r="C634" s="1" t="s">
        <v>7984</v>
      </c>
      <c r="D634" s="1" t="s">
        <v>18</v>
      </c>
      <c r="E634" s="250">
        <v>5122.7849999999999</v>
      </c>
    </row>
    <row r="635" spans="3:5" x14ac:dyDescent="0.35">
      <c r="C635" s="1" t="s">
        <v>7983</v>
      </c>
      <c r="D635" s="1" t="s">
        <v>18</v>
      </c>
      <c r="E635" s="250">
        <v>5122.7860000000001</v>
      </c>
    </row>
    <row r="636" spans="3:5" x14ac:dyDescent="0.35">
      <c r="C636" s="1" t="s">
        <v>7982</v>
      </c>
      <c r="D636" s="1" t="s">
        <v>18</v>
      </c>
      <c r="E636" s="250">
        <v>5122.7870000000003</v>
      </c>
    </row>
    <row r="637" spans="3:5" x14ac:dyDescent="0.35">
      <c r="C637" s="1" t="s">
        <v>7981</v>
      </c>
      <c r="D637" s="1" t="s">
        <v>18</v>
      </c>
      <c r="E637" s="250">
        <v>5122.7879999999996</v>
      </c>
    </row>
    <row r="638" spans="3:5" x14ac:dyDescent="0.35">
      <c r="C638" s="1" t="s">
        <v>7980</v>
      </c>
      <c r="D638" s="1" t="s">
        <v>18</v>
      </c>
      <c r="E638" s="250">
        <v>5122.7889999999998</v>
      </c>
    </row>
    <row r="639" spans="3:5" x14ac:dyDescent="0.35">
      <c r="C639" s="1" t="s">
        <v>7979</v>
      </c>
      <c r="D639" s="1" t="s">
        <v>18</v>
      </c>
      <c r="E639" s="250">
        <v>5122.79</v>
      </c>
    </row>
    <row r="640" spans="3:5" x14ac:dyDescent="0.35">
      <c r="C640" s="1" t="s">
        <v>7978</v>
      </c>
      <c r="D640" s="1" t="s">
        <v>18</v>
      </c>
      <c r="E640" s="250">
        <v>5122.7910000000002</v>
      </c>
    </row>
    <row r="641" spans="3:5" x14ac:dyDescent="0.35">
      <c r="C641" s="1" t="s">
        <v>7977</v>
      </c>
      <c r="D641" s="1" t="s">
        <v>18</v>
      </c>
      <c r="E641" s="250">
        <v>5122.7920000000004</v>
      </c>
    </row>
    <row r="642" spans="3:5" x14ac:dyDescent="0.35">
      <c r="C642" s="1" t="s">
        <v>7976</v>
      </c>
      <c r="D642" s="1" t="s">
        <v>18</v>
      </c>
      <c r="E642" s="250">
        <v>5122.7929999999997</v>
      </c>
    </row>
    <row r="643" spans="3:5" x14ac:dyDescent="0.35">
      <c r="C643" s="1" t="s">
        <v>7975</v>
      </c>
      <c r="D643" s="1" t="s">
        <v>18</v>
      </c>
      <c r="E643" s="250">
        <v>5122.7939999999999</v>
      </c>
    </row>
    <row r="644" spans="3:5" x14ac:dyDescent="0.35">
      <c r="C644" s="1" t="s">
        <v>7974</v>
      </c>
      <c r="D644" s="1" t="s">
        <v>18</v>
      </c>
      <c r="E644" s="250">
        <v>5122.7950000000001</v>
      </c>
    </row>
    <row r="645" spans="3:5" x14ac:dyDescent="0.35">
      <c r="C645" s="1" t="s">
        <v>7973</v>
      </c>
      <c r="D645" s="1" t="s">
        <v>18</v>
      </c>
      <c r="E645" s="250">
        <v>5122.7960000000003</v>
      </c>
    </row>
    <row r="646" spans="3:5" x14ac:dyDescent="0.35">
      <c r="C646" s="1" t="s">
        <v>7972</v>
      </c>
      <c r="D646" s="1" t="s">
        <v>18</v>
      </c>
      <c r="E646" s="250">
        <v>5122.7969999999996</v>
      </c>
    </row>
    <row r="647" spans="3:5" x14ac:dyDescent="0.35">
      <c r="C647" s="1" t="s">
        <v>7971</v>
      </c>
      <c r="D647" s="1" t="s">
        <v>18</v>
      </c>
      <c r="E647" s="250">
        <v>5122.7979999999998</v>
      </c>
    </row>
    <row r="648" spans="3:5" x14ac:dyDescent="0.35">
      <c r="C648" s="1" t="s">
        <v>7970</v>
      </c>
      <c r="D648" s="1" t="s">
        <v>18</v>
      </c>
      <c r="E648" s="250">
        <v>5122.799</v>
      </c>
    </row>
    <row r="649" spans="3:5" x14ac:dyDescent="0.35">
      <c r="C649" s="1" t="s">
        <v>7969</v>
      </c>
      <c r="D649" s="1" t="s">
        <v>18</v>
      </c>
      <c r="E649" s="250">
        <v>5122.8</v>
      </c>
    </row>
    <row r="650" spans="3:5" x14ac:dyDescent="0.35">
      <c r="C650" s="1" t="s">
        <v>7968</v>
      </c>
      <c r="D650" s="1" t="s">
        <v>18</v>
      </c>
      <c r="E650" s="250">
        <v>5122.8010000000004</v>
      </c>
    </row>
    <row r="651" spans="3:5" x14ac:dyDescent="0.35">
      <c r="C651" s="1" t="s">
        <v>7967</v>
      </c>
      <c r="D651" s="1" t="s">
        <v>18</v>
      </c>
      <c r="E651" s="250">
        <v>5122.8019999999997</v>
      </c>
    </row>
    <row r="652" spans="3:5" x14ac:dyDescent="0.35">
      <c r="C652" s="1" t="s">
        <v>7966</v>
      </c>
      <c r="D652" s="1" t="s">
        <v>18</v>
      </c>
      <c r="E652" s="250">
        <v>5122.8029999999999</v>
      </c>
    </row>
    <row r="653" spans="3:5" x14ac:dyDescent="0.35">
      <c r="C653" s="1" t="s">
        <v>7965</v>
      </c>
      <c r="D653" s="1" t="s">
        <v>18</v>
      </c>
      <c r="E653" s="250">
        <v>5122.8040000000001</v>
      </c>
    </row>
    <row r="654" spans="3:5" x14ac:dyDescent="0.35">
      <c r="C654" s="1" t="s">
        <v>7964</v>
      </c>
      <c r="D654" s="1" t="s">
        <v>18</v>
      </c>
      <c r="E654" s="250">
        <v>5122.8050000000003</v>
      </c>
    </row>
    <row r="655" spans="3:5" x14ac:dyDescent="0.35">
      <c r="C655" s="1" t="s">
        <v>7963</v>
      </c>
      <c r="D655" s="1" t="s">
        <v>18</v>
      </c>
      <c r="E655" s="250">
        <v>5122.8059999999996</v>
      </c>
    </row>
    <row r="656" spans="3:5" x14ac:dyDescent="0.35">
      <c r="C656" s="1" t="s">
        <v>7962</v>
      </c>
      <c r="D656" s="1" t="s">
        <v>18</v>
      </c>
      <c r="E656" s="250">
        <v>5122.8069999999998</v>
      </c>
    </row>
    <row r="657" spans="3:5" x14ac:dyDescent="0.35">
      <c r="C657" s="1" t="s">
        <v>7961</v>
      </c>
      <c r="D657" s="1" t="s">
        <v>18</v>
      </c>
      <c r="E657" s="250">
        <v>5122.808</v>
      </c>
    </row>
    <row r="658" spans="3:5" x14ac:dyDescent="0.35">
      <c r="C658" s="1" t="s">
        <v>7960</v>
      </c>
      <c r="D658" s="1" t="s">
        <v>18</v>
      </c>
      <c r="E658" s="250">
        <v>5122.8090000000002</v>
      </c>
    </row>
    <row r="659" spans="3:5" x14ac:dyDescent="0.35">
      <c r="C659" s="1" t="s">
        <v>7959</v>
      </c>
      <c r="D659" s="1" t="s">
        <v>18</v>
      </c>
      <c r="E659" s="250">
        <v>5122.8100000000004</v>
      </c>
    </row>
    <row r="660" spans="3:5" x14ac:dyDescent="0.35">
      <c r="C660" s="1" t="s">
        <v>7958</v>
      </c>
      <c r="D660" s="1" t="s">
        <v>18</v>
      </c>
      <c r="E660" s="250">
        <v>5122.8109999999997</v>
      </c>
    </row>
    <row r="661" spans="3:5" x14ac:dyDescent="0.35">
      <c r="C661" s="1" t="s">
        <v>7957</v>
      </c>
      <c r="D661" s="1" t="s">
        <v>18</v>
      </c>
      <c r="E661" s="250">
        <v>5122.8119999999999</v>
      </c>
    </row>
    <row r="662" spans="3:5" x14ac:dyDescent="0.35">
      <c r="C662" s="1" t="s">
        <v>7956</v>
      </c>
      <c r="D662" s="1" t="s">
        <v>18</v>
      </c>
      <c r="E662" s="250">
        <v>5122.8130000000001</v>
      </c>
    </row>
    <row r="663" spans="3:5" x14ac:dyDescent="0.35">
      <c r="C663" s="1" t="s">
        <v>7955</v>
      </c>
      <c r="D663" s="1" t="s">
        <v>18</v>
      </c>
      <c r="E663" s="250">
        <v>5122.8140000000003</v>
      </c>
    </row>
    <row r="664" spans="3:5" x14ac:dyDescent="0.35">
      <c r="C664" s="1" t="s">
        <v>7954</v>
      </c>
      <c r="D664" s="1" t="s">
        <v>18</v>
      </c>
      <c r="E664" s="250">
        <v>5122.8149999999996</v>
      </c>
    </row>
    <row r="665" spans="3:5" x14ac:dyDescent="0.35">
      <c r="C665" s="1" t="s">
        <v>7953</v>
      </c>
      <c r="D665" s="1" t="s">
        <v>18</v>
      </c>
      <c r="E665" s="250">
        <v>5122.8159999999998</v>
      </c>
    </row>
    <row r="666" spans="3:5" x14ac:dyDescent="0.35">
      <c r="C666" s="1" t="s">
        <v>7952</v>
      </c>
      <c r="D666" s="1" t="s">
        <v>18</v>
      </c>
      <c r="E666" s="250">
        <v>5122.817</v>
      </c>
    </row>
    <row r="667" spans="3:5" x14ac:dyDescent="0.35">
      <c r="C667" s="1" t="s">
        <v>7951</v>
      </c>
      <c r="D667" s="1" t="s">
        <v>18</v>
      </c>
      <c r="E667" s="250">
        <v>5122.8180000000002</v>
      </c>
    </row>
    <row r="668" spans="3:5" x14ac:dyDescent="0.35">
      <c r="C668" s="1" t="s">
        <v>7950</v>
      </c>
      <c r="D668" s="1" t="s">
        <v>18</v>
      </c>
      <c r="E668" s="250">
        <v>5122.8190000000004</v>
      </c>
    </row>
    <row r="669" spans="3:5" x14ac:dyDescent="0.35">
      <c r="C669" s="1" t="s">
        <v>7949</v>
      </c>
      <c r="D669" s="1" t="s">
        <v>18</v>
      </c>
      <c r="E669" s="250">
        <v>5122.82</v>
      </c>
    </row>
    <row r="670" spans="3:5" x14ac:dyDescent="0.35">
      <c r="C670" s="1" t="s">
        <v>7948</v>
      </c>
      <c r="D670" s="1" t="s">
        <v>18</v>
      </c>
      <c r="E670" s="250">
        <v>5122.8209999999999</v>
      </c>
    </row>
    <row r="671" spans="3:5" x14ac:dyDescent="0.35">
      <c r="C671" s="1" t="s">
        <v>7947</v>
      </c>
      <c r="D671" s="1" t="s">
        <v>18</v>
      </c>
      <c r="E671" s="250">
        <v>5122.8220000000001</v>
      </c>
    </row>
    <row r="672" spans="3:5" x14ac:dyDescent="0.35">
      <c r="C672" s="1" t="s">
        <v>7946</v>
      </c>
      <c r="D672" s="1" t="s">
        <v>18</v>
      </c>
      <c r="E672" s="250">
        <v>5122.8230000000003</v>
      </c>
    </row>
    <row r="673" spans="3:5" x14ac:dyDescent="0.35">
      <c r="C673" s="1" t="s">
        <v>7945</v>
      </c>
      <c r="D673" s="1" t="s">
        <v>18</v>
      </c>
      <c r="E673" s="250">
        <v>5122.8239999999996</v>
      </c>
    </row>
    <row r="674" spans="3:5" x14ac:dyDescent="0.35">
      <c r="C674" s="1" t="s">
        <v>7944</v>
      </c>
      <c r="D674" s="1" t="s">
        <v>18</v>
      </c>
      <c r="E674" s="250">
        <v>5122.8249999999998</v>
      </c>
    </row>
    <row r="675" spans="3:5" x14ac:dyDescent="0.35">
      <c r="C675" s="1" t="s">
        <v>7943</v>
      </c>
      <c r="D675" s="1" t="s">
        <v>18</v>
      </c>
      <c r="E675" s="250">
        <v>5122.826</v>
      </c>
    </row>
    <row r="676" spans="3:5" x14ac:dyDescent="0.35">
      <c r="C676" s="1" t="s">
        <v>7942</v>
      </c>
      <c r="D676" s="1" t="s">
        <v>18</v>
      </c>
      <c r="E676" s="250">
        <v>5122.8270000000002</v>
      </c>
    </row>
    <row r="677" spans="3:5" x14ac:dyDescent="0.35">
      <c r="C677" s="1" t="s">
        <v>7941</v>
      </c>
      <c r="D677" s="1" t="s">
        <v>18</v>
      </c>
      <c r="E677" s="250">
        <v>5122.8280000000004</v>
      </c>
    </row>
    <row r="678" spans="3:5" x14ac:dyDescent="0.35">
      <c r="C678" s="1" t="s">
        <v>7940</v>
      </c>
      <c r="D678" s="1" t="s">
        <v>18</v>
      </c>
      <c r="E678" s="250">
        <v>5122.8289999999997</v>
      </c>
    </row>
    <row r="679" spans="3:5" x14ac:dyDescent="0.35">
      <c r="C679" s="1" t="s">
        <v>7939</v>
      </c>
      <c r="D679" s="1" t="s">
        <v>18</v>
      </c>
      <c r="E679" s="250">
        <v>5122.83</v>
      </c>
    </row>
    <row r="680" spans="3:5" x14ac:dyDescent="0.35">
      <c r="C680" s="1" t="s">
        <v>7938</v>
      </c>
      <c r="D680" s="1" t="s">
        <v>18</v>
      </c>
      <c r="E680" s="250">
        <v>5122.8310000000001</v>
      </c>
    </row>
    <row r="681" spans="3:5" x14ac:dyDescent="0.35">
      <c r="C681" s="1" t="s">
        <v>7937</v>
      </c>
      <c r="D681" s="1" t="s">
        <v>18</v>
      </c>
      <c r="E681" s="250">
        <v>5122.8320000000003</v>
      </c>
    </row>
    <row r="682" spans="3:5" x14ac:dyDescent="0.35">
      <c r="C682" s="1" t="s">
        <v>7936</v>
      </c>
      <c r="D682" s="1" t="s">
        <v>18</v>
      </c>
      <c r="E682" s="250">
        <v>5122.8329999999996</v>
      </c>
    </row>
    <row r="683" spans="3:5" x14ac:dyDescent="0.35">
      <c r="C683" s="1" t="s">
        <v>7935</v>
      </c>
      <c r="D683" s="1" t="s">
        <v>18</v>
      </c>
      <c r="E683" s="250">
        <v>5122.8339999999998</v>
      </c>
    </row>
    <row r="684" spans="3:5" x14ac:dyDescent="0.35">
      <c r="C684" s="1" t="s">
        <v>7934</v>
      </c>
      <c r="D684" s="1" t="s">
        <v>18</v>
      </c>
      <c r="E684" s="250">
        <v>5122.835</v>
      </c>
    </row>
    <row r="685" spans="3:5" x14ac:dyDescent="0.35">
      <c r="C685" s="1" t="s">
        <v>7933</v>
      </c>
      <c r="D685" s="1" t="s">
        <v>18</v>
      </c>
      <c r="E685" s="250">
        <v>5122.8360000000002</v>
      </c>
    </row>
    <row r="686" spans="3:5" x14ac:dyDescent="0.35">
      <c r="C686" s="1" t="s">
        <v>7932</v>
      </c>
      <c r="D686" s="1" t="s">
        <v>18</v>
      </c>
      <c r="E686" s="250">
        <v>5122.8370000000004</v>
      </c>
    </row>
    <row r="687" spans="3:5" x14ac:dyDescent="0.35">
      <c r="C687" s="1" t="s">
        <v>7931</v>
      </c>
      <c r="D687" s="1" t="s">
        <v>18</v>
      </c>
      <c r="E687" s="250">
        <v>5122.8379999999997</v>
      </c>
    </row>
    <row r="688" spans="3:5" x14ac:dyDescent="0.35">
      <c r="C688" s="1" t="s">
        <v>7930</v>
      </c>
      <c r="D688" s="1" t="s">
        <v>18</v>
      </c>
      <c r="E688" s="250">
        <v>5122.8389999999999</v>
      </c>
    </row>
    <row r="689" spans="3:5" x14ac:dyDescent="0.35">
      <c r="C689" s="1" t="s">
        <v>7929</v>
      </c>
      <c r="D689" s="1" t="s">
        <v>18</v>
      </c>
      <c r="E689" s="250">
        <v>5122.84</v>
      </c>
    </row>
    <row r="690" spans="3:5" x14ac:dyDescent="0.35">
      <c r="C690" s="1" t="s">
        <v>7928</v>
      </c>
      <c r="D690" s="1" t="s">
        <v>18</v>
      </c>
      <c r="E690" s="250">
        <v>5122.8410000000003</v>
      </c>
    </row>
    <row r="691" spans="3:5" x14ac:dyDescent="0.35">
      <c r="C691" s="1" t="s">
        <v>7927</v>
      </c>
      <c r="D691" s="1" t="s">
        <v>18</v>
      </c>
      <c r="E691" s="250">
        <v>5122.8419999999996</v>
      </c>
    </row>
    <row r="692" spans="3:5" x14ac:dyDescent="0.35">
      <c r="C692" s="1" t="s">
        <v>7926</v>
      </c>
      <c r="D692" s="1" t="s">
        <v>18</v>
      </c>
      <c r="E692" s="250">
        <v>5122.8429999999998</v>
      </c>
    </row>
    <row r="693" spans="3:5" x14ac:dyDescent="0.35">
      <c r="C693" s="1" t="s">
        <v>7925</v>
      </c>
      <c r="D693" s="1" t="s">
        <v>18</v>
      </c>
      <c r="E693" s="250">
        <v>5122.8440000000001</v>
      </c>
    </row>
    <row r="694" spans="3:5" x14ac:dyDescent="0.35">
      <c r="C694" s="1" t="s">
        <v>7924</v>
      </c>
      <c r="D694" s="1" t="s">
        <v>18</v>
      </c>
      <c r="E694" s="250">
        <v>5122.8450000000003</v>
      </c>
    </row>
    <row r="695" spans="3:5" x14ac:dyDescent="0.35">
      <c r="C695" s="1" t="s">
        <v>7923</v>
      </c>
      <c r="D695" s="1" t="s">
        <v>18</v>
      </c>
      <c r="E695" s="250">
        <v>5122.8459999999995</v>
      </c>
    </row>
    <row r="696" spans="3:5" x14ac:dyDescent="0.35">
      <c r="C696" s="1" t="s">
        <v>7922</v>
      </c>
      <c r="D696" s="1" t="s">
        <v>18</v>
      </c>
      <c r="E696" s="250">
        <v>5122.8469999999998</v>
      </c>
    </row>
    <row r="697" spans="3:5" x14ac:dyDescent="0.35">
      <c r="C697" s="1" t="s">
        <v>7921</v>
      </c>
      <c r="D697" s="1" t="s">
        <v>18</v>
      </c>
      <c r="E697" s="250">
        <v>5122.848</v>
      </c>
    </row>
    <row r="698" spans="3:5" x14ac:dyDescent="0.35">
      <c r="C698" s="1" t="s">
        <v>7920</v>
      </c>
      <c r="D698" s="1" t="s">
        <v>18</v>
      </c>
      <c r="E698" s="250">
        <v>5122.8490000000002</v>
      </c>
    </row>
    <row r="699" spans="3:5" x14ac:dyDescent="0.35">
      <c r="C699" s="1" t="s">
        <v>7919</v>
      </c>
      <c r="D699" s="1" t="s">
        <v>18</v>
      </c>
      <c r="E699" s="250">
        <v>5122.8500000000004</v>
      </c>
    </row>
    <row r="700" spans="3:5" x14ac:dyDescent="0.35">
      <c r="C700" s="1" t="s">
        <v>7918</v>
      </c>
      <c r="D700" s="1" t="s">
        <v>18</v>
      </c>
      <c r="E700" s="250">
        <v>5122.8509999999997</v>
      </c>
    </row>
    <row r="701" spans="3:5" x14ac:dyDescent="0.35">
      <c r="C701" s="1" t="s">
        <v>7917</v>
      </c>
      <c r="D701" s="1" t="s">
        <v>18</v>
      </c>
      <c r="E701" s="250">
        <v>5122.8519999999999</v>
      </c>
    </row>
    <row r="702" spans="3:5" x14ac:dyDescent="0.35">
      <c r="C702" s="1" t="s">
        <v>7916</v>
      </c>
      <c r="D702" s="1" t="s">
        <v>18</v>
      </c>
      <c r="E702" s="250">
        <v>5122.8530000000001</v>
      </c>
    </row>
    <row r="703" spans="3:5" x14ac:dyDescent="0.35">
      <c r="C703" s="1" t="s">
        <v>7915</v>
      </c>
      <c r="D703" s="1" t="s">
        <v>18</v>
      </c>
      <c r="E703" s="250">
        <v>5122.8540000000003</v>
      </c>
    </row>
    <row r="704" spans="3:5" x14ac:dyDescent="0.35">
      <c r="C704" s="1" t="s">
        <v>7914</v>
      </c>
      <c r="D704" s="1" t="s">
        <v>18</v>
      </c>
      <c r="E704" s="250">
        <v>5122.8549999999996</v>
      </c>
    </row>
    <row r="705" spans="3:5" x14ac:dyDescent="0.35">
      <c r="C705" s="1" t="s">
        <v>7913</v>
      </c>
      <c r="D705" s="1" t="s">
        <v>18</v>
      </c>
      <c r="E705" s="250">
        <v>5122.8559999999998</v>
      </c>
    </row>
    <row r="706" spans="3:5" x14ac:dyDescent="0.35">
      <c r="C706" s="1" t="s">
        <v>7912</v>
      </c>
      <c r="D706" s="1" t="s">
        <v>18</v>
      </c>
      <c r="E706" s="250">
        <v>5122.857</v>
      </c>
    </row>
    <row r="707" spans="3:5" x14ac:dyDescent="0.35">
      <c r="C707" s="1" t="s">
        <v>7911</v>
      </c>
      <c r="D707" s="1" t="s">
        <v>18</v>
      </c>
      <c r="E707" s="250">
        <v>5122.8580000000002</v>
      </c>
    </row>
    <row r="708" spans="3:5" x14ac:dyDescent="0.35">
      <c r="C708" s="1" t="s">
        <v>7910</v>
      </c>
      <c r="D708" s="1" t="s">
        <v>18</v>
      </c>
      <c r="E708" s="250">
        <v>5122.8590000000004</v>
      </c>
    </row>
    <row r="709" spans="3:5" x14ac:dyDescent="0.35">
      <c r="C709" s="1" t="s">
        <v>7909</v>
      </c>
      <c r="D709" s="1" t="s">
        <v>18</v>
      </c>
      <c r="E709" s="250">
        <v>5122.8599999999997</v>
      </c>
    </row>
    <row r="710" spans="3:5" x14ac:dyDescent="0.35">
      <c r="C710" s="1" t="s">
        <v>7908</v>
      </c>
      <c r="D710" s="1" t="s">
        <v>18</v>
      </c>
      <c r="E710" s="250">
        <v>5122.8609999999999</v>
      </c>
    </row>
    <row r="711" spans="3:5" x14ac:dyDescent="0.35">
      <c r="C711" s="1" t="s">
        <v>7907</v>
      </c>
      <c r="D711" s="1" t="s">
        <v>18</v>
      </c>
      <c r="E711" s="250">
        <v>5122.8620000000001</v>
      </c>
    </row>
    <row r="712" spans="3:5" x14ac:dyDescent="0.35">
      <c r="C712" s="1" t="s">
        <v>7906</v>
      </c>
      <c r="D712" s="1" t="s">
        <v>18</v>
      </c>
      <c r="E712" s="250">
        <v>5122.8630000000003</v>
      </c>
    </row>
    <row r="713" spans="3:5" x14ac:dyDescent="0.35">
      <c r="C713" s="1" t="s">
        <v>7905</v>
      </c>
      <c r="D713" s="1" t="s">
        <v>18</v>
      </c>
      <c r="E713" s="250">
        <v>5122.8639999999996</v>
      </c>
    </row>
    <row r="714" spans="3:5" x14ac:dyDescent="0.35">
      <c r="C714" s="1" t="s">
        <v>7904</v>
      </c>
      <c r="D714" s="1" t="s">
        <v>18</v>
      </c>
      <c r="E714" s="250">
        <v>5122.8649999999998</v>
      </c>
    </row>
    <row r="715" spans="3:5" x14ac:dyDescent="0.35">
      <c r="C715" s="1" t="s">
        <v>7903</v>
      </c>
      <c r="D715" s="1" t="s">
        <v>18</v>
      </c>
      <c r="E715" s="250">
        <v>5122.866</v>
      </c>
    </row>
    <row r="716" spans="3:5" x14ac:dyDescent="0.35">
      <c r="C716" s="1" t="s">
        <v>7902</v>
      </c>
      <c r="D716" s="1" t="s">
        <v>18</v>
      </c>
      <c r="E716" s="250">
        <v>5122.8670000000002</v>
      </c>
    </row>
    <row r="717" spans="3:5" x14ac:dyDescent="0.35">
      <c r="C717" s="1" t="s">
        <v>7901</v>
      </c>
      <c r="D717" s="1" t="s">
        <v>18</v>
      </c>
      <c r="E717" s="250">
        <v>5122.8680000000004</v>
      </c>
    </row>
    <row r="718" spans="3:5" x14ac:dyDescent="0.35">
      <c r="C718" s="1" t="s">
        <v>7900</v>
      </c>
      <c r="D718" s="1" t="s">
        <v>18</v>
      </c>
      <c r="E718" s="250">
        <v>5122.8689999999997</v>
      </c>
    </row>
    <row r="719" spans="3:5" x14ac:dyDescent="0.35">
      <c r="C719" s="1" t="s">
        <v>7899</v>
      </c>
      <c r="D719" s="1" t="s">
        <v>18</v>
      </c>
      <c r="E719" s="250">
        <v>5122.87</v>
      </c>
    </row>
    <row r="720" spans="3:5" x14ac:dyDescent="0.35">
      <c r="C720" s="1" t="s">
        <v>7898</v>
      </c>
      <c r="D720" s="1" t="s">
        <v>18</v>
      </c>
      <c r="E720" s="250">
        <v>5122.8710000000001</v>
      </c>
    </row>
    <row r="721" spans="3:5" x14ac:dyDescent="0.35">
      <c r="C721" s="1" t="s">
        <v>7897</v>
      </c>
      <c r="D721" s="1" t="s">
        <v>18</v>
      </c>
      <c r="E721" s="250">
        <v>5122.8720000000003</v>
      </c>
    </row>
    <row r="722" spans="3:5" x14ac:dyDescent="0.35">
      <c r="C722" s="1" t="s">
        <v>7896</v>
      </c>
      <c r="D722" s="1" t="s">
        <v>18</v>
      </c>
      <c r="E722" s="250">
        <v>5122.8729999999996</v>
      </c>
    </row>
    <row r="723" spans="3:5" x14ac:dyDescent="0.35">
      <c r="C723" s="1" t="s">
        <v>7895</v>
      </c>
      <c r="D723" s="1" t="s">
        <v>18</v>
      </c>
      <c r="E723" s="250">
        <v>5122.8739999999998</v>
      </c>
    </row>
    <row r="724" spans="3:5" x14ac:dyDescent="0.35">
      <c r="C724" s="1" t="s">
        <v>7894</v>
      </c>
      <c r="D724" s="1" t="s">
        <v>18</v>
      </c>
      <c r="E724" s="250">
        <v>5122.875</v>
      </c>
    </row>
    <row r="725" spans="3:5" x14ac:dyDescent="0.35">
      <c r="C725" s="1" t="s">
        <v>7893</v>
      </c>
      <c r="D725" s="1" t="s">
        <v>18</v>
      </c>
      <c r="E725" s="250">
        <v>5122.8760000000002</v>
      </c>
    </row>
    <row r="726" spans="3:5" x14ac:dyDescent="0.35">
      <c r="C726" s="1" t="s">
        <v>7892</v>
      </c>
      <c r="D726" s="1" t="s">
        <v>18</v>
      </c>
      <c r="E726" s="250">
        <v>5122.8770000000004</v>
      </c>
    </row>
    <row r="727" spans="3:5" x14ac:dyDescent="0.35">
      <c r="C727" s="1" t="s">
        <v>7891</v>
      </c>
      <c r="D727" s="1" t="s">
        <v>18</v>
      </c>
      <c r="E727" s="250">
        <v>5122.8779999999997</v>
      </c>
    </row>
    <row r="728" spans="3:5" x14ac:dyDescent="0.35">
      <c r="C728" s="1" t="s">
        <v>7890</v>
      </c>
      <c r="D728" s="1" t="s">
        <v>18</v>
      </c>
      <c r="E728" s="250">
        <v>5122.8789999999999</v>
      </c>
    </row>
    <row r="729" spans="3:5" x14ac:dyDescent="0.35">
      <c r="C729" s="1" t="s">
        <v>7889</v>
      </c>
      <c r="D729" s="1" t="s">
        <v>18</v>
      </c>
      <c r="E729" s="250">
        <v>5122.88</v>
      </c>
    </row>
    <row r="730" spans="3:5" x14ac:dyDescent="0.35">
      <c r="C730" s="1" t="s">
        <v>7888</v>
      </c>
      <c r="D730" s="1" t="s">
        <v>18</v>
      </c>
      <c r="E730" s="250">
        <v>5122.8810000000003</v>
      </c>
    </row>
    <row r="731" spans="3:5" x14ac:dyDescent="0.35">
      <c r="C731" s="1" t="s">
        <v>7887</v>
      </c>
      <c r="D731" s="1" t="s">
        <v>18</v>
      </c>
      <c r="E731" s="250">
        <v>5122.8819999999996</v>
      </c>
    </row>
    <row r="732" spans="3:5" x14ac:dyDescent="0.35">
      <c r="C732" s="1" t="s">
        <v>7886</v>
      </c>
      <c r="D732" s="1" t="s">
        <v>18</v>
      </c>
      <c r="E732" s="250">
        <v>5122.8829999999998</v>
      </c>
    </row>
    <row r="733" spans="3:5" x14ac:dyDescent="0.35">
      <c r="C733" s="1" t="s">
        <v>7885</v>
      </c>
      <c r="D733" s="1" t="s">
        <v>18</v>
      </c>
      <c r="E733" s="250">
        <v>5122.884</v>
      </c>
    </row>
    <row r="734" spans="3:5" x14ac:dyDescent="0.35">
      <c r="C734" s="1" t="s">
        <v>7884</v>
      </c>
      <c r="D734" s="1" t="s">
        <v>18</v>
      </c>
      <c r="E734" s="250">
        <v>5122.8850000000002</v>
      </c>
    </row>
    <row r="735" spans="3:5" x14ac:dyDescent="0.35">
      <c r="C735" s="1" t="s">
        <v>7883</v>
      </c>
      <c r="D735" s="1" t="s">
        <v>18</v>
      </c>
      <c r="E735" s="250">
        <v>5122.8860000000004</v>
      </c>
    </row>
    <row r="736" spans="3:5" x14ac:dyDescent="0.35">
      <c r="C736" s="1" t="s">
        <v>7882</v>
      </c>
      <c r="D736" s="1" t="s">
        <v>18</v>
      </c>
      <c r="E736" s="250">
        <v>5122.8869999999997</v>
      </c>
    </row>
    <row r="737" spans="3:5" x14ac:dyDescent="0.35">
      <c r="C737" s="1" t="s">
        <v>7881</v>
      </c>
      <c r="D737" s="1" t="s">
        <v>18</v>
      </c>
      <c r="E737" s="250">
        <v>5122.8879999999999</v>
      </c>
    </row>
    <row r="738" spans="3:5" x14ac:dyDescent="0.35">
      <c r="C738" s="1" t="s">
        <v>7880</v>
      </c>
      <c r="D738" s="1" t="s">
        <v>18</v>
      </c>
      <c r="E738" s="250">
        <v>5122.8890000000001</v>
      </c>
    </row>
    <row r="739" spans="3:5" x14ac:dyDescent="0.35">
      <c r="C739" s="1" t="s">
        <v>7879</v>
      </c>
      <c r="D739" s="1" t="s">
        <v>18</v>
      </c>
      <c r="E739" s="250">
        <v>5122.8900000000003</v>
      </c>
    </row>
    <row r="740" spans="3:5" x14ac:dyDescent="0.35">
      <c r="C740" s="1" t="s">
        <v>7878</v>
      </c>
      <c r="D740" s="1" t="s">
        <v>18</v>
      </c>
      <c r="E740" s="250">
        <v>5122.8909999999996</v>
      </c>
    </row>
    <row r="741" spans="3:5" x14ac:dyDescent="0.35">
      <c r="C741" s="1" t="s">
        <v>7877</v>
      </c>
      <c r="D741" s="1" t="s">
        <v>18</v>
      </c>
      <c r="E741" s="250">
        <v>5122.8919999999998</v>
      </c>
    </row>
    <row r="742" spans="3:5" x14ac:dyDescent="0.35">
      <c r="C742" s="1" t="s">
        <v>7876</v>
      </c>
      <c r="D742" s="1" t="s">
        <v>18</v>
      </c>
      <c r="E742" s="250">
        <v>5122.893</v>
      </c>
    </row>
    <row r="743" spans="3:5" x14ac:dyDescent="0.35">
      <c r="C743" s="1" t="s">
        <v>7875</v>
      </c>
      <c r="D743" s="1" t="s">
        <v>18</v>
      </c>
      <c r="E743" s="250">
        <v>5122.8940000000002</v>
      </c>
    </row>
    <row r="744" spans="3:5" x14ac:dyDescent="0.35">
      <c r="C744" s="1" t="s">
        <v>7874</v>
      </c>
      <c r="D744" s="1" t="s">
        <v>18</v>
      </c>
      <c r="E744" s="250">
        <v>5122.8950000000004</v>
      </c>
    </row>
    <row r="745" spans="3:5" x14ac:dyDescent="0.35">
      <c r="C745" s="1" t="s">
        <v>7873</v>
      </c>
      <c r="D745" s="1" t="s">
        <v>18</v>
      </c>
      <c r="E745" s="250">
        <v>5122.8959999999997</v>
      </c>
    </row>
    <row r="746" spans="3:5" x14ac:dyDescent="0.35">
      <c r="C746" s="1" t="s">
        <v>7872</v>
      </c>
      <c r="D746" s="1" t="s">
        <v>18</v>
      </c>
      <c r="E746" s="250">
        <v>5122.8969999999999</v>
      </c>
    </row>
    <row r="747" spans="3:5" x14ac:dyDescent="0.35">
      <c r="C747" s="1" t="s">
        <v>7871</v>
      </c>
      <c r="D747" s="1" t="s">
        <v>18</v>
      </c>
      <c r="E747" s="250">
        <v>5122.8980000000001</v>
      </c>
    </row>
    <row r="748" spans="3:5" x14ac:dyDescent="0.35">
      <c r="C748" s="1" t="s">
        <v>7870</v>
      </c>
      <c r="D748" s="1" t="s">
        <v>18</v>
      </c>
      <c r="E748" s="250">
        <v>5122.8990000000003</v>
      </c>
    </row>
    <row r="749" spans="3:5" x14ac:dyDescent="0.35">
      <c r="C749" s="1" t="s">
        <v>7869</v>
      </c>
      <c r="D749" s="1" t="s">
        <v>18</v>
      </c>
      <c r="E749" s="250">
        <v>5122.8999999999996</v>
      </c>
    </row>
    <row r="750" spans="3:5" x14ac:dyDescent="0.35">
      <c r="C750" s="1" t="s">
        <v>7868</v>
      </c>
      <c r="D750" s="1" t="s">
        <v>18</v>
      </c>
      <c r="E750" s="250">
        <v>5122.9009999999998</v>
      </c>
    </row>
    <row r="751" spans="3:5" x14ac:dyDescent="0.35">
      <c r="C751" s="1" t="s">
        <v>7867</v>
      </c>
      <c r="D751" s="1" t="s">
        <v>18</v>
      </c>
      <c r="E751" s="250">
        <v>5122.902</v>
      </c>
    </row>
    <row r="752" spans="3:5" x14ac:dyDescent="0.35">
      <c r="C752" s="1" t="s">
        <v>7866</v>
      </c>
      <c r="D752" s="1" t="s">
        <v>18</v>
      </c>
      <c r="E752" s="250">
        <v>5122.9030000000002</v>
      </c>
    </row>
    <row r="753" spans="3:5" x14ac:dyDescent="0.35">
      <c r="C753" s="1" t="s">
        <v>7865</v>
      </c>
      <c r="D753" s="1" t="s">
        <v>18</v>
      </c>
      <c r="E753" s="250">
        <v>5122.9040000000005</v>
      </c>
    </row>
    <row r="754" spans="3:5" x14ac:dyDescent="0.35">
      <c r="C754" s="1" t="s">
        <v>7864</v>
      </c>
      <c r="D754" s="1" t="s">
        <v>18</v>
      </c>
      <c r="E754" s="250">
        <v>5122.9049999999997</v>
      </c>
    </row>
    <row r="755" spans="3:5" x14ac:dyDescent="0.35">
      <c r="C755" s="1" t="s">
        <v>7863</v>
      </c>
      <c r="D755" s="1" t="s">
        <v>18</v>
      </c>
      <c r="E755" s="250">
        <v>5122.9059999999999</v>
      </c>
    </row>
    <row r="756" spans="3:5" x14ac:dyDescent="0.35">
      <c r="C756" s="1" t="s">
        <v>7862</v>
      </c>
      <c r="D756" s="1" t="s">
        <v>18</v>
      </c>
      <c r="E756" s="250">
        <v>5122.9070000000002</v>
      </c>
    </row>
    <row r="757" spans="3:5" x14ac:dyDescent="0.35">
      <c r="C757" s="1" t="s">
        <v>7861</v>
      </c>
      <c r="D757" s="1" t="s">
        <v>18</v>
      </c>
      <c r="E757" s="250">
        <v>5122.9080000000004</v>
      </c>
    </row>
    <row r="758" spans="3:5" x14ac:dyDescent="0.35">
      <c r="C758" s="1" t="s">
        <v>7860</v>
      </c>
      <c r="D758" s="1" t="s">
        <v>18</v>
      </c>
      <c r="E758" s="250">
        <v>5122.9089999999997</v>
      </c>
    </row>
    <row r="759" spans="3:5" x14ac:dyDescent="0.35">
      <c r="C759" s="1" t="s">
        <v>7859</v>
      </c>
      <c r="D759" s="1" t="s">
        <v>18</v>
      </c>
      <c r="E759" s="250">
        <v>5122.91</v>
      </c>
    </row>
    <row r="760" spans="3:5" x14ac:dyDescent="0.35">
      <c r="C760" s="1" t="s">
        <v>7858</v>
      </c>
      <c r="D760" s="1" t="s">
        <v>18</v>
      </c>
      <c r="E760" s="250">
        <v>5122.9110000000001</v>
      </c>
    </row>
    <row r="761" spans="3:5" x14ac:dyDescent="0.35">
      <c r="C761" s="1" t="s">
        <v>7857</v>
      </c>
      <c r="D761" s="1" t="s">
        <v>18</v>
      </c>
      <c r="E761" s="250">
        <v>5122.9120000000003</v>
      </c>
    </row>
    <row r="762" spans="3:5" x14ac:dyDescent="0.35">
      <c r="C762" s="1" t="s">
        <v>7856</v>
      </c>
      <c r="D762" s="1" t="s">
        <v>18</v>
      </c>
      <c r="E762" s="250">
        <v>5122.9129999999996</v>
      </c>
    </row>
    <row r="763" spans="3:5" x14ac:dyDescent="0.35">
      <c r="C763" s="1" t="s">
        <v>7855</v>
      </c>
      <c r="D763" s="1" t="s">
        <v>18</v>
      </c>
      <c r="E763" s="250">
        <v>5122.9139999999998</v>
      </c>
    </row>
    <row r="764" spans="3:5" x14ac:dyDescent="0.35">
      <c r="C764" s="1" t="s">
        <v>7854</v>
      </c>
      <c r="D764" s="1" t="s">
        <v>18</v>
      </c>
      <c r="E764" s="250">
        <v>5122.915</v>
      </c>
    </row>
    <row r="765" spans="3:5" x14ac:dyDescent="0.35">
      <c r="C765" s="1" t="s">
        <v>7853</v>
      </c>
      <c r="D765" s="1" t="s">
        <v>18</v>
      </c>
      <c r="E765" s="250">
        <v>5122.9160000000002</v>
      </c>
    </row>
    <row r="766" spans="3:5" x14ac:dyDescent="0.35">
      <c r="C766" s="1" t="s">
        <v>7852</v>
      </c>
      <c r="D766" s="1" t="s">
        <v>18</v>
      </c>
      <c r="E766" s="250">
        <v>5122.9170000000004</v>
      </c>
    </row>
    <row r="767" spans="3:5" x14ac:dyDescent="0.35">
      <c r="C767" s="1" t="s">
        <v>7851</v>
      </c>
      <c r="D767" s="1" t="s">
        <v>18</v>
      </c>
      <c r="E767" s="250">
        <v>5122.9179999999997</v>
      </c>
    </row>
    <row r="768" spans="3:5" x14ac:dyDescent="0.35">
      <c r="C768" s="1" t="s">
        <v>7850</v>
      </c>
      <c r="D768" s="1" t="s">
        <v>18</v>
      </c>
      <c r="E768" s="250">
        <v>5122.9189999999999</v>
      </c>
    </row>
    <row r="769" spans="3:5" x14ac:dyDescent="0.35">
      <c r="C769" s="1" t="s">
        <v>7849</v>
      </c>
      <c r="D769" s="1" t="s">
        <v>18</v>
      </c>
      <c r="E769" s="250">
        <v>5122.92</v>
      </c>
    </row>
    <row r="770" spans="3:5" x14ac:dyDescent="0.35">
      <c r="C770" s="1" t="s">
        <v>7848</v>
      </c>
      <c r="D770" s="1" t="s">
        <v>18</v>
      </c>
      <c r="E770" s="250">
        <v>5122.9210000000003</v>
      </c>
    </row>
    <row r="771" spans="3:5" x14ac:dyDescent="0.35">
      <c r="C771" s="1" t="s">
        <v>7847</v>
      </c>
      <c r="D771" s="1" t="s">
        <v>18</v>
      </c>
      <c r="E771" s="250">
        <v>5122.9219999999996</v>
      </c>
    </row>
    <row r="772" spans="3:5" x14ac:dyDescent="0.35">
      <c r="C772" s="1" t="s">
        <v>7846</v>
      </c>
      <c r="D772" s="1" t="s">
        <v>18</v>
      </c>
      <c r="E772" s="250">
        <v>5122.9229999999998</v>
      </c>
    </row>
    <row r="773" spans="3:5" x14ac:dyDescent="0.35">
      <c r="C773" s="1" t="s">
        <v>7845</v>
      </c>
      <c r="D773" s="1" t="s">
        <v>18</v>
      </c>
      <c r="E773" s="250">
        <v>5122.924</v>
      </c>
    </row>
    <row r="774" spans="3:5" x14ac:dyDescent="0.35">
      <c r="C774" s="1" t="s">
        <v>7844</v>
      </c>
      <c r="D774" s="1" t="s">
        <v>18</v>
      </c>
      <c r="E774" s="250">
        <v>5122.9250000000002</v>
      </c>
    </row>
    <row r="775" spans="3:5" x14ac:dyDescent="0.35">
      <c r="C775" s="1" t="s">
        <v>7843</v>
      </c>
      <c r="D775" s="1" t="s">
        <v>18</v>
      </c>
      <c r="E775" s="250">
        <v>5122.9260000000004</v>
      </c>
    </row>
    <row r="776" spans="3:5" x14ac:dyDescent="0.35">
      <c r="C776" s="1" t="s">
        <v>7842</v>
      </c>
      <c r="D776" s="1" t="s">
        <v>18</v>
      </c>
      <c r="E776" s="250">
        <v>5122.9269999999997</v>
      </c>
    </row>
    <row r="777" spans="3:5" x14ac:dyDescent="0.35">
      <c r="C777" s="1" t="s">
        <v>7841</v>
      </c>
      <c r="D777" s="1" t="s">
        <v>18</v>
      </c>
      <c r="E777" s="250">
        <v>5122.9279999999999</v>
      </c>
    </row>
    <row r="778" spans="3:5" x14ac:dyDescent="0.35">
      <c r="C778" s="1" t="s">
        <v>7840</v>
      </c>
      <c r="D778" s="1" t="s">
        <v>18</v>
      </c>
      <c r="E778" s="250">
        <v>5122.9290000000001</v>
      </c>
    </row>
    <row r="779" spans="3:5" x14ac:dyDescent="0.35">
      <c r="C779" s="1" t="s">
        <v>7839</v>
      </c>
      <c r="D779" s="1" t="s">
        <v>18</v>
      </c>
      <c r="E779" s="250">
        <v>5122.93</v>
      </c>
    </row>
    <row r="780" spans="3:5" x14ac:dyDescent="0.35">
      <c r="C780" s="1" t="s">
        <v>7838</v>
      </c>
      <c r="D780" s="1" t="s">
        <v>18</v>
      </c>
      <c r="E780" s="250">
        <v>5122.9309999999996</v>
      </c>
    </row>
    <row r="781" spans="3:5" x14ac:dyDescent="0.35">
      <c r="C781" s="1" t="s">
        <v>7837</v>
      </c>
      <c r="D781" s="1" t="s">
        <v>18</v>
      </c>
      <c r="E781" s="250">
        <v>5122.9319999999998</v>
      </c>
    </row>
    <row r="782" spans="3:5" x14ac:dyDescent="0.35">
      <c r="C782" s="1" t="s">
        <v>7836</v>
      </c>
      <c r="D782" s="1" t="s">
        <v>18</v>
      </c>
      <c r="E782" s="250">
        <v>5122.933</v>
      </c>
    </row>
    <row r="783" spans="3:5" x14ac:dyDescent="0.35">
      <c r="C783" s="1" t="s">
        <v>7835</v>
      </c>
      <c r="D783" s="1" t="s">
        <v>18</v>
      </c>
      <c r="E783" s="250">
        <v>5122.9340000000002</v>
      </c>
    </row>
    <row r="784" spans="3:5" x14ac:dyDescent="0.35">
      <c r="C784" s="1" t="s">
        <v>7834</v>
      </c>
      <c r="D784" s="1" t="s">
        <v>18</v>
      </c>
      <c r="E784" s="250">
        <v>5122.9350000000004</v>
      </c>
    </row>
    <row r="785" spans="3:5" x14ac:dyDescent="0.35">
      <c r="C785" s="1" t="s">
        <v>7833</v>
      </c>
      <c r="D785" s="1" t="s">
        <v>18</v>
      </c>
      <c r="E785" s="250">
        <v>5122.9359999999997</v>
      </c>
    </row>
    <row r="786" spans="3:5" x14ac:dyDescent="0.35">
      <c r="C786" s="1" t="s">
        <v>7832</v>
      </c>
      <c r="D786" s="1" t="s">
        <v>18</v>
      </c>
      <c r="E786" s="250">
        <v>5122.9369999999999</v>
      </c>
    </row>
    <row r="787" spans="3:5" x14ac:dyDescent="0.35">
      <c r="C787" s="1" t="s">
        <v>7831</v>
      </c>
      <c r="D787" s="1" t="s">
        <v>18</v>
      </c>
      <c r="E787" s="250">
        <v>5122.9380000000001</v>
      </c>
    </row>
    <row r="788" spans="3:5" x14ac:dyDescent="0.35">
      <c r="C788" s="1" t="s">
        <v>7830</v>
      </c>
      <c r="D788" s="1" t="s">
        <v>18</v>
      </c>
      <c r="E788" s="250">
        <v>5122.9390000000003</v>
      </c>
    </row>
    <row r="789" spans="3:5" x14ac:dyDescent="0.35">
      <c r="C789" s="1" t="s">
        <v>7829</v>
      </c>
      <c r="D789" s="1" t="s">
        <v>18</v>
      </c>
      <c r="E789" s="250">
        <v>5122.9399999999996</v>
      </c>
    </row>
    <row r="790" spans="3:5" x14ac:dyDescent="0.35">
      <c r="C790" s="1" t="s">
        <v>7828</v>
      </c>
      <c r="D790" s="1" t="s">
        <v>18</v>
      </c>
      <c r="E790" s="250">
        <v>5122.9409999999998</v>
      </c>
    </row>
    <row r="791" spans="3:5" x14ac:dyDescent="0.35">
      <c r="C791" s="1" t="s">
        <v>7827</v>
      </c>
      <c r="D791" s="1" t="s">
        <v>18</v>
      </c>
      <c r="E791" s="250">
        <v>5122.942</v>
      </c>
    </row>
    <row r="792" spans="3:5" x14ac:dyDescent="0.35">
      <c r="C792" s="1" t="s">
        <v>7826</v>
      </c>
      <c r="D792" s="1" t="s">
        <v>18</v>
      </c>
      <c r="E792" s="250">
        <v>5122.9430000000002</v>
      </c>
    </row>
    <row r="793" spans="3:5" x14ac:dyDescent="0.35">
      <c r="C793" s="1" t="s">
        <v>7825</v>
      </c>
      <c r="D793" s="1" t="s">
        <v>18</v>
      </c>
      <c r="E793" s="250">
        <v>5122.9440000000004</v>
      </c>
    </row>
    <row r="794" spans="3:5" x14ac:dyDescent="0.35">
      <c r="C794" s="1" t="s">
        <v>7824</v>
      </c>
      <c r="D794" s="1" t="s">
        <v>18</v>
      </c>
      <c r="E794" s="250">
        <v>5122.9449999999997</v>
      </c>
    </row>
    <row r="795" spans="3:5" x14ac:dyDescent="0.35">
      <c r="C795" s="1" t="s">
        <v>7823</v>
      </c>
      <c r="D795" s="1" t="s">
        <v>18</v>
      </c>
      <c r="E795" s="250">
        <v>5122.9459999999999</v>
      </c>
    </row>
    <row r="796" spans="3:5" x14ac:dyDescent="0.35">
      <c r="C796" s="1" t="s">
        <v>7822</v>
      </c>
      <c r="D796" s="1" t="s">
        <v>18</v>
      </c>
      <c r="E796" s="250">
        <v>5122.9470000000001</v>
      </c>
    </row>
    <row r="797" spans="3:5" x14ac:dyDescent="0.35">
      <c r="C797" s="1" t="s">
        <v>7821</v>
      </c>
      <c r="D797" s="1" t="s">
        <v>18</v>
      </c>
      <c r="E797" s="250">
        <v>5122.9480000000003</v>
      </c>
    </row>
    <row r="798" spans="3:5" x14ac:dyDescent="0.35">
      <c r="C798" s="1" t="s">
        <v>7820</v>
      </c>
      <c r="D798" s="1" t="s">
        <v>18</v>
      </c>
      <c r="E798" s="250">
        <v>5122.9489999999996</v>
      </c>
    </row>
    <row r="799" spans="3:5" x14ac:dyDescent="0.35">
      <c r="C799" s="1" t="s">
        <v>7819</v>
      </c>
      <c r="D799" s="1" t="s">
        <v>18</v>
      </c>
      <c r="E799" s="250">
        <v>5122.95</v>
      </c>
    </row>
    <row r="800" spans="3:5" x14ac:dyDescent="0.35">
      <c r="C800" s="1" t="s">
        <v>7818</v>
      </c>
      <c r="D800" s="1" t="s">
        <v>18</v>
      </c>
      <c r="E800" s="250">
        <v>5122.951</v>
      </c>
    </row>
    <row r="801" spans="3:5" x14ac:dyDescent="0.35">
      <c r="C801" s="1" t="s">
        <v>7817</v>
      </c>
      <c r="D801" s="1" t="s">
        <v>18</v>
      </c>
      <c r="E801" s="250">
        <v>5122.9520000000002</v>
      </c>
    </row>
    <row r="802" spans="3:5" x14ac:dyDescent="0.35">
      <c r="C802" s="1" t="s">
        <v>7816</v>
      </c>
      <c r="D802" s="1" t="s">
        <v>18</v>
      </c>
      <c r="E802" s="250">
        <v>5122.9530000000004</v>
      </c>
    </row>
    <row r="803" spans="3:5" x14ac:dyDescent="0.35">
      <c r="C803" s="1" t="s">
        <v>7815</v>
      </c>
      <c r="D803" s="1" t="s">
        <v>18</v>
      </c>
      <c r="E803" s="250">
        <v>5122.9539999999997</v>
      </c>
    </row>
    <row r="804" spans="3:5" x14ac:dyDescent="0.35">
      <c r="C804" s="1" t="s">
        <v>7814</v>
      </c>
      <c r="D804" s="1" t="s">
        <v>18</v>
      </c>
      <c r="E804" s="250">
        <v>5122.9549999999999</v>
      </c>
    </row>
    <row r="805" spans="3:5" x14ac:dyDescent="0.35">
      <c r="C805" s="1" t="s">
        <v>7813</v>
      </c>
      <c r="D805" s="1" t="s">
        <v>18</v>
      </c>
      <c r="E805" s="250">
        <v>5122.9560000000001</v>
      </c>
    </row>
    <row r="806" spans="3:5" x14ac:dyDescent="0.35">
      <c r="C806" s="1" t="s">
        <v>7812</v>
      </c>
      <c r="D806" s="1" t="s">
        <v>18</v>
      </c>
      <c r="E806" s="250">
        <v>5122.9570000000003</v>
      </c>
    </row>
    <row r="807" spans="3:5" x14ac:dyDescent="0.35">
      <c r="C807" s="1" t="s">
        <v>7811</v>
      </c>
      <c r="D807" s="1" t="s">
        <v>18</v>
      </c>
      <c r="E807" s="250">
        <v>5122.9579999999996</v>
      </c>
    </row>
    <row r="808" spans="3:5" x14ac:dyDescent="0.35">
      <c r="C808" s="1" t="s">
        <v>7810</v>
      </c>
      <c r="D808" s="1" t="s">
        <v>18</v>
      </c>
      <c r="E808" s="250">
        <v>5122.9589999999998</v>
      </c>
    </row>
    <row r="809" spans="3:5" x14ac:dyDescent="0.35">
      <c r="C809" s="1" t="s">
        <v>7809</v>
      </c>
      <c r="D809" s="1" t="s">
        <v>18</v>
      </c>
      <c r="E809" s="250">
        <v>5122.96</v>
      </c>
    </row>
    <row r="810" spans="3:5" x14ac:dyDescent="0.35">
      <c r="C810" s="1" t="s">
        <v>7808</v>
      </c>
      <c r="D810" s="1" t="s">
        <v>18</v>
      </c>
      <c r="E810" s="250">
        <v>5122.9610000000002</v>
      </c>
    </row>
    <row r="811" spans="3:5" x14ac:dyDescent="0.35">
      <c r="C811" s="1" t="s">
        <v>7807</v>
      </c>
      <c r="D811" s="1" t="s">
        <v>18</v>
      </c>
      <c r="E811" s="250">
        <v>5122.9620000000004</v>
      </c>
    </row>
    <row r="812" spans="3:5" x14ac:dyDescent="0.35">
      <c r="C812" s="1" t="s">
        <v>7806</v>
      </c>
      <c r="D812" s="1" t="s">
        <v>18</v>
      </c>
      <c r="E812" s="250">
        <v>5122.9629999999997</v>
      </c>
    </row>
    <row r="813" spans="3:5" x14ac:dyDescent="0.35">
      <c r="C813" s="1" t="s">
        <v>7805</v>
      </c>
      <c r="D813" s="1" t="s">
        <v>18</v>
      </c>
      <c r="E813" s="250">
        <v>5122.9639999999999</v>
      </c>
    </row>
    <row r="814" spans="3:5" x14ac:dyDescent="0.35">
      <c r="C814" s="1" t="s">
        <v>7804</v>
      </c>
      <c r="D814" s="1" t="s">
        <v>18</v>
      </c>
      <c r="E814" s="250">
        <v>5122.9650000000001</v>
      </c>
    </row>
    <row r="815" spans="3:5" x14ac:dyDescent="0.35">
      <c r="C815" s="1" t="s">
        <v>7803</v>
      </c>
      <c r="D815" s="1" t="s">
        <v>18</v>
      </c>
      <c r="E815" s="250">
        <v>5122.9660000000003</v>
      </c>
    </row>
    <row r="816" spans="3:5" x14ac:dyDescent="0.35">
      <c r="C816" s="1" t="s">
        <v>7802</v>
      </c>
      <c r="D816" s="1" t="s">
        <v>18</v>
      </c>
      <c r="E816" s="250">
        <v>5122.9669999999996</v>
      </c>
    </row>
    <row r="817" spans="3:5" x14ac:dyDescent="0.35">
      <c r="C817" s="1" t="s">
        <v>7801</v>
      </c>
      <c r="D817" s="1" t="s">
        <v>18</v>
      </c>
      <c r="E817" s="250">
        <v>5122.9679999999998</v>
      </c>
    </row>
    <row r="818" spans="3:5" x14ac:dyDescent="0.35">
      <c r="C818" s="1" t="s">
        <v>7800</v>
      </c>
      <c r="D818" s="1" t="s">
        <v>18</v>
      </c>
      <c r="E818" s="250">
        <v>5122.9690000000001</v>
      </c>
    </row>
    <row r="819" spans="3:5" x14ac:dyDescent="0.35">
      <c r="C819" s="1" t="s">
        <v>7799</v>
      </c>
      <c r="D819" s="1" t="s">
        <v>18</v>
      </c>
      <c r="E819" s="250">
        <v>5122.97</v>
      </c>
    </row>
    <row r="820" spans="3:5" x14ac:dyDescent="0.35">
      <c r="C820" s="1" t="s">
        <v>7798</v>
      </c>
      <c r="D820" s="1" t="s">
        <v>18</v>
      </c>
      <c r="E820" s="250">
        <v>5122.9709999999995</v>
      </c>
    </row>
    <row r="821" spans="3:5" x14ac:dyDescent="0.35">
      <c r="C821" s="1" t="s">
        <v>7797</v>
      </c>
      <c r="D821" s="1" t="s">
        <v>18</v>
      </c>
      <c r="E821" s="250">
        <v>5122.9719999999998</v>
      </c>
    </row>
    <row r="822" spans="3:5" x14ac:dyDescent="0.35">
      <c r="C822" s="1" t="s">
        <v>7796</v>
      </c>
      <c r="D822" s="1" t="s">
        <v>18</v>
      </c>
      <c r="E822" s="250">
        <v>5122.973</v>
      </c>
    </row>
    <row r="823" spans="3:5" x14ac:dyDescent="0.35">
      <c r="C823" s="1" t="s">
        <v>7795</v>
      </c>
      <c r="D823" s="1" t="s">
        <v>18</v>
      </c>
      <c r="E823" s="250">
        <v>5122.9740000000002</v>
      </c>
    </row>
    <row r="824" spans="3:5" x14ac:dyDescent="0.35">
      <c r="C824" s="1" t="s">
        <v>7794</v>
      </c>
      <c r="D824" s="1" t="s">
        <v>18</v>
      </c>
      <c r="E824" s="250">
        <v>5122.9750000000004</v>
      </c>
    </row>
    <row r="825" spans="3:5" x14ac:dyDescent="0.35">
      <c r="C825" s="1" t="s">
        <v>7793</v>
      </c>
      <c r="D825" s="1" t="s">
        <v>18</v>
      </c>
      <c r="E825" s="250">
        <v>5122.9759999999997</v>
      </c>
    </row>
    <row r="826" spans="3:5" x14ac:dyDescent="0.35">
      <c r="C826" s="1" t="s">
        <v>7792</v>
      </c>
      <c r="D826" s="1" t="s">
        <v>18</v>
      </c>
      <c r="E826" s="250">
        <v>5122.9769999999999</v>
      </c>
    </row>
    <row r="827" spans="3:5" x14ac:dyDescent="0.35">
      <c r="C827" s="1" t="s">
        <v>7791</v>
      </c>
      <c r="D827" s="1" t="s">
        <v>18</v>
      </c>
      <c r="E827" s="250">
        <v>5122.9780000000001</v>
      </c>
    </row>
    <row r="828" spans="3:5" x14ac:dyDescent="0.35">
      <c r="C828" s="1" t="s">
        <v>7790</v>
      </c>
      <c r="D828" s="1" t="s">
        <v>18</v>
      </c>
      <c r="E828" s="250">
        <v>5122.9790000000003</v>
      </c>
    </row>
    <row r="829" spans="3:5" x14ac:dyDescent="0.35">
      <c r="C829" s="1" t="s">
        <v>7789</v>
      </c>
      <c r="D829" s="1" t="s">
        <v>18</v>
      </c>
      <c r="E829" s="250">
        <v>5122.9799999999996</v>
      </c>
    </row>
    <row r="830" spans="3:5" x14ac:dyDescent="0.35">
      <c r="C830" s="1" t="s">
        <v>7788</v>
      </c>
      <c r="D830" s="1" t="s">
        <v>18</v>
      </c>
      <c r="E830" s="250">
        <v>5122.9809999999998</v>
      </c>
    </row>
    <row r="831" spans="3:5" x14ac:dyDescent="0.35">
      <c r="C831" s="1" t="s">
        <v>7787</v>
      </c>
      <c r="D831" s="1" t="s">
        <v>18</v>
      </c>
      <c r="E831" s="250">
        <v>5122.982</v>
      </c>
    </row>
    <row r="832" spans="3:5" x14ac:dyDescent="0.35">
      <c r="C832" s="1" t="s">
        <v>7786</v>
      </c>
      <c r="D832" s="1" t="s">
        <v>18</v>
      </c>
      <c r="E832" s="250">
        <v>5122.9830000000002</v>
      </c>
    </row>
    <row r="833" spans="3:5" x14ac:dyDescent="0.35">
      <c r="C833" s="1" t="s">
        <v>7785</v>
      </c>
      <c r="D833" s="1" t="s">
        <v>18</v>
      </c>
      <c r="E833" s="250">
        <v>5122.9840000000004</v>
      </c>
    </row>
    <row r="834" spans="3:5" x14ac:dyDescent="0.35">
      <c r="C834" s="1" t="s">
        <v>7784</v>
      </c>
      <c r="D834" s="1" t="s">
        <v>18</v>
      </c>
      <c r="E834" s="250">
        <v>5122.9849999999997</v>
      </c>
    </row>
    <row r="835" spans="3:5" x14ac:dyDescent="0.35">
      <c r="C835" s="1" t="s">
        <v>7783</v>
      </c>
      <c r="D835" s="1" t="s">
        <v>18</v>
      </c>
      <c r="E835" s="250">
        <v>5122.9859999999999</v>
      </c>
    </row>
    <row r="836" spans="3:5" x14ac:dyDescent="0.35">
      <c r="C836" s="1" t="s">
        <v>7782</v>
      </c>
      <c r="D836" s="1" t="s">
        <v>18</v>
      </c>
      <c r="E836" s="250">
        <v>5122.9870000000001</v>
      </c>
    </row>
    <row r="837" spans="3:5" x14ac:dyDescent="0.35">
      <c r="C837" s="1" t="s">
        <v>7781</v>
      </c>
      <c r="D837" s="1" t="s">
        <v>18</v>
      </c>
      <c r="E837" s="250">
        <v>5122.9880000000003</v>
      </c>
    </row>
    <row r="838" spans="3:5" x14ac:dyDescent="0.35">
      <c r="C838" s="1" t="s">
        <v>7780</v>
      </c>
      <c r="D838" s="1" t="s">
        <v>18</v>
      </c>
      <c r="E838" s="250">
        <v>5122.9889999999996</v>
      </c>
    </row>
    <row r="839" spans="3:5" x14ac:dyDescent="0.35">
      <c r="C839" s="1" t="s">
        <v>7779</v>
      </c>
      <c r="D839" s="1" t="s">
        <v>18</v>
      </c>
      <c r="E839" s="250">
        <v>5122.99</v>
      </c>
    </row>
    <row r="840" spans="3:5" x14ac:dyDescent="0.35">
      <c r="C840" s="1" t="s">
        <v>7778</v>
      </c>
      <c r="D840" s="1" t="s">
        <v>18</v>
      </c>
      <c r="E840" s="250">
        <v>5122.991</v>
      </c>
    </row>
    <row r="841" spans="3:5" x14ac:dyDescent="0.35">
      <c r="C841" s="1" t="s">
        <v>7777</v>
      </c>
      <c r="D841" s="1" t="s">
        <v>18</v>
      </c>
      <c r="E841" s="250">
        <v>5122.9920000000002</v>
      </c>
    </row>
    <row r="842" spans="3:5" x14ac:dyDescent="0.35">
      <c r="C842" s="1" t="s">
        <v>7776</v>
      </c>
      <c r="D842" s="1" t="s">
        <v>18</v>
      </c>
      <c r="E842" s="250">
        <v>5122.9930000000004</v>
      </c>
    </row>
    <row r="843" spans="3:5" x14ac:dyDescent="0.35">
      <c r="C843" s="1" t="s">
        <v>7775</v>
      </c>
      <c r="D843" s="1" t="s">
        <v>18</v>
      </c>
      <c r="E843" s="250">
        <v>5122.9939999999997</v>
      </c>
    </row>
    <row r="844" spans="3:5" x14ac:dyDescent="0.35">
      <c r="C844" s="1" t="s">
        <v>7774</v>
      </c>
      <c r="D844" s="1" t="s">
        <v>18</v>
      </c>
      <c r="E844" s="250">
        <v>5122.9949999999999</v>
      </c>
    </row>
    <row r="845" spans="3:5" x14ac:dyDescent="0.35">
      <c r="C845" s="1" t="s">
        <v>7773</v>
      </c>
      <c r="D845" s="1" t="s">
        <v>18</v>
      </c>
      <c r="E845" s="250">
        <v>5124.0110000000004</v>
      </c>
    </row>
    <row r="846" spans="3:5" x14ac:dyDescent="0.35">
      <c r="C846" s="1" t="s">
        <v>7772</v>
      </c>
      <c r="D846" s="1" t="s">
        <v>18</v>
      </c>
      <c r="E846" s="250">
        <v>5124.0119999999997</v>
      </c>
    </row>
    <row r="847" spans="3:5" x14ac:dyDescent="0.35">
      <c r="C847" s="1" t="s">
        <v>7771</v>
      </c>
      <c r="D847" s="1" t="s">
        <v>18</v>
      </c>
      <c r="E847" s="250">
        <v>5124.0129999999999</v>
      </c>
    </row>
    <row r="848" spans="3:5" x14ac:dyDescent="0.35">
      <c r="C848" s="1" t="s">
        <v>7770</v>
      </c>
      <c r="D848" s="1" t="s">
        <v>18</v>
      </c>
      <c r="E848" s="250">
        <v>5124.0140000000001</v>
      </c>
    </row>
    <row r="849" spans="3:5" x14ac:dyDescent="0.35">
      <c r="C849" s="1" t="s">
        <v>7769</v>
      </c>
      <c r="D849" s="1" t="s">
        <v>18</v>
      </c>
      <c r="E849" s="250">
        <v>5124.0150000000003</v>
      </c>
    </row>
    <row r="850" spans="3:5" x14ac:dyDescent="0.35">
      <c r="C850" s="1" t="s">
        <v>7768</v>
      </c>
      <c r="D850" s="1" t="s">
        <v>18</v>
      </c>
      <c r="E850" s="250">
        <v>5124.0159999999996</v>
      </c>
    </row>
    <row r="851" spans="3:5" x14ac:dyDescent="0.35">
      <c r="C851" s="1" t="s">
        <v>7767</v>
      </c>
      <c r="D851" s="1" t="s">
        <v>18</v>
      </c>
      <c r="E851" s="250">
        <v>5124.0169999999998</v>
      </c>
    </row>
    <row r="852" spans="3:5" x14ac:dyDescent="0.35">
      <c r="C852" s="1" t="s">
        <v>7766</v>
      </c>
      <c r="D852" s="1" t="s">
        <v>18</v>
      </c>
      <c r="E852" s="250">
        <v>5124.018</v>
      </c>
    </row>
    <row r="853" spans="3:5" x14ac:dyDescent="0.35">
      <c r="C853" s="1" t="s">
        <v>7765</v>
      </c>
      <c r="D853" s="1" t="s">
        <v>18</v>
      </c>
      <c r="E853" s="250">
        <v>5124.0190000000002</v>
      </c>
    </row>
    <row r="854" spans="3:5" x14ac:dyDescent="0.35">
      <c r="C854" s="1" t="s">
        <v>7764</v>
      </c>
      <c r="D854" s="1" t="s">
        <v>18</v>
      </c>
      <c r="E854" s="250">
        <v>5124.0200000000004</v>
      </c>
    </row>
    <row r="855" spans="3:5" x14ac:dyDescent="0.35">
      <c r="C855" s="1" t="s">
        <v>7763</v>
      </c>
      <c r="D855" s="1" t="s">
        <v>18</v>
      </c>
      <c r="E855" s="250">
        <v>5124.0209999999997</v>
      </c>
    </row>
    <row r="856" spans="3:5" x14ac:dyDescent="0.35">
      <c r="C856" s="1" t="s">
        <v>7762</v>
      </c>
      <c r="D856" s="1" t="s">
        <v>18</v>
      </c>
      <c r="E856" s="250">
        <v>5124.0219999999999</v>
      </c>
    </row>
    <row r="857" spans="3:5" x14ac:dyDescent="0.35">
      <c r="C857" s="1" t="s">
        <v>7761</v>
      </c>
      <c r="D857" s="1" t="s">
        <v>18</v>
      </c>
      <c r="E857" s="250">
        <v>5124.0230000000001</v>
      </c>
    </row>
    <row r="858" spans="3:5" x14ac:dyDescent="0.35">
      <c r="C858" s="1" t="s">
        <v>7760</v>
      </c>
      <c r="D858" s="1" t="s">
        <v>18</v>
      </c>
      <c r="E858" s="250">
        <v>5124.0240000000003</v>
      </c>
    </row>
    <row r="859" spans="3:5" x14ac:dyDescent="0.35">
      <c r="C859" s="1" t="s">
        <v>7759</v>
      </c>
      <c r="D859" s="1" t="s">
        <v>18</v>
      </c>
      <c r="E859" s="250">
        <v>5124.0249999999996</v>
      </c>
    </row>
    <row r="860" spans="3:5" x14ac:dyDescent="0.35">
      <c r="C860" s="1" t="s">
        <v>7758</v>
      </c>
      <c r="D860" s="1" t="s">
        <v>18</v>
      </c>
      <c r="E860" s="250">
        <v>5124.0259999999998</v>
      </c>
    </row>
    <row r="861" spans="3:5" x14ac:dyDescent="0.35">
      <c r="C861" s="1" t="s">
        <v>7757</v>
      </c>
      <c r="D861" s="1" t="s">
        <v>18</v>
      </c>
      <c r="E861" s="250">
        <v>5124.027</v>
      </c>
    </row>
    <row r="862" spans="3:5" x14ac:dyDescent="0.35">
      <c r="C862" s="1" t="s">
        <v>7756</v>
      </c>
      <c r="D862" s="1" t="s">
        <v>18</v>
      </c>
      <c r="E862" s="250">
        <v>5124.0280000000002</v>
      </c>
    </row>
    <row r="863" spans="3:5" x14ac:dyDescent="0.35">
      <c r="C863" s="1" t="s">
        <v>7755</v>
      </c>
      <c r="D863" s="1" t="s">
        <v>18</v>
      </c>
      <c r="E863" s="250">
        <v>5124.0290000000005</v>
      </c>
    </row>
    <row r="864" spans="3:5" x14ac:dyDescent="0.35">
      <c r="C864" s="1" t="s">
        <v>7754</v>
      </c>
      <c r="D864" s="1" t="s">
        <v>18</v>
      </c>
      <c r="E864" s="250">
        <v>5124.03</v>
      </c>
    </row>
    <row r="865" spans="3:5" x14ac:dyDescent="0.35">
      <c r="C865" s="1" t="s">
        <v>7753</v>
      </c>
      <c r="D865" s="1" t="s">
        <v>18</v>
      </c>
      <c r="E865" s="250">
        <v>5124.0309999999999</v>
      </c>
    </row>
    <row r="866" spans="3:5" x14ac:dyDescent="0.35">
      <c r="C866" s="1" t="s">
        <v>7752</v>
      </c>
      <c r="D866" s="1" t="s">
        <v>18</v>
      </c>
      <c r="E866" s="250">
        <v>5124.0320000000002</v>
      </c>
    </row>
    <row r="867" spans="3:5" x14ac:dyDescent="0.35">
      <c r="C867" s="1" t="s">
        <v>7751</v>
      </c>
      <c r="D867" s="1" t="s">
        <v>18</v>
      </c>
      <c r="E867" s="250">
        <v>5124.0330000000004</v>
      </c>
    </row>
    <row r="868" spans="3:5" x14ac:dyDescent="0.35">
      <c r="C868" s="1" t="s">
        <v>7750</v>
      </c>
      <c r="D868" s="1" t="s">
        <v>18</v>
      </c>
      <c r="E868" s="250">
        <v>5124.0339999999997</v>
      </c>
    </row>
    <row r="869" spans="3:5" x14ac:dyDescent="0.35">
      <c r="C869" s="1" t="s">
        <v>7749</v>
      </c>
      <c r="D869" s="1" t="s">
        <v>18</v>
      </c>
      <c r="E869" s="250">
        <v>5124.0349999999999</v>
      </c>
    </row>
    <row r="870" spans="3:5" x14ac:dyDescent="0.35">
      <c r="C870" s="1" t="s">
        <v>7748</v>
      </c>
      <c r="D870" s="1" t="s">
        <v>18</v>
      </c>
      <c r="E870" s="250">
        <v>5124.0360000000001</v>
      </c>
    </row>
    <row r="871" spans="3:5" x14ac:dyDescent="0.35">
      <c r="C871" s="1" t="s">
        <v>7747</v>
      </c>
      <c r="D871" s="1" t="s">
        <v>18</v>
      </c>
      <c r="E871" s="250">
        <v>5124.0370000000003</v>
      </c>
    </row>
    <row r="872" spans="3:5" x14ac:dyDescent="0.35">
      <c r="C872" s="1" t="s">
        <v>7746</v>
      </c>
      <c r="D872" s="1" t="s">
        <v>18</v>
      </c>
      <c r="E872" s="250">
        <v>5124.0379999999996</v>
      </c>
    </row>
    <row r="873" spans="3:5" x14ac:dyDescent="0.35">
      <c r="C873" s="1" t="s">
        <v>7745</v>
      </c>
      <c r="D873" s="1" t="s">
        <v>18</v>
      </c>
      <c r="E873" s="250">
        <v>5124.0389999999998</v>
      </c>
    </row>
    <row r="874" spans="3:5" x14ac:dyDescent="0.35">
      <c r="C874" s="1" t="s">
        <v>7744</v>
      </c>
      <c r="D874" s="1" t="s">
        <v>18</v>
      </c>
      <c r="E874" s="250">
        <v>5124.04</v>
      </c>
    </row>
    <row r="875" spans="3:5" x14ac:dyDescent="0.35">
      <c r="C875" s="1" t="s">
        <v>7743</v>
      </c>
      <c r="D875" s="1" t="s">
        <v>18</v>
      </c>
      <c r="E875" s="250">
        <v>5124.0410000000002</v>
      </c>
    </row>
    <row r="876" spans="3:5" x14ac:dyDescent="0.35">
      <c r="C876" s="1" t="s">
        <v>7742</v>
      </c>
      <c r="D876" s="1" t="s">
        <v>18</v>
      </c>
      <c r="E876" s="250">
        <v>5124.0420000000004</v>
      </c>
    </row>
    <row r="877" spans="3:5" x14ac:dyDescent="0.35">
      <c r="C877" s="1" t="s">
        <v>7741</v>
      </c>
      <c r="D877" s="1" t="s">
        <v>18</v>
      </c>
      <c r="E877" s="250">
        <v>5124.0429999999997</v>
      </c>
    </row>
    <row r="878" spans="3:5" x14ac:dyDescent="0.35">
      <c r="C878" s="1" t="s">
        <v>7740</v>
      </c>
      <c r="D878" s="1" t="s">
        <v>18</v>
      </c>
      <c r="E878" s="250">
        <v>5124.0439999999999</v>
      </c>
    </row>
    <row r="879" spans="3:5" x14ac:dyDescent="0.35">
      <c r="C879" s="1" t="s">
        <v>7739</v>
      </c>
      <c r="D879" s="1" t="s">
        <v>18</v>
      </c>
      <c r="E879" s="250">
        <v>5124.0450000000001</v>
      </c>
    </row>
    <row r="880" spans="3:5" x14ac:dyDescent="0.35">
      <c r="C880" s="1" t="s">
        <v>7738</v>
      </c>
      <c r="D880" s="1" t="s">
        <v>18</v>
      </c>
      <c r="E880" s="250">
        <v>5124.0460000000003</v>
      </c>
    </row>
    <row r="881" spans="3:5" x14ac:dyDescent="0.35">
      <c r="C881" s="1" t="s">
        <v>7737</v>
      </c>
      <c r="D881" s="1" t="s">
        <v>18</v>
      </c>
      <c r="E881" s="250">
        <v>5124.0469999999996</v>
      </c>
    </row>
    <row r="882" spans="3:5" x14ac:dyDescent="0.35">
      <c r="C882" s="1" t="s">
        <v>7736</v>
      </c>
      <c r="D882" s="1" t="s">
        <v>18</v>
      </c>
      <c r="E882" s="250">
        <v>5124.0479999999998</v>
      </c>
    </row>
    <row r="883" spans="3:5" x14ac:dyDescent="0.35">
      <c r="C883" s="1" t="s">
        <v>7735</v>
      </c>
      <c r="D883" s="1" t="s">
        <v>18</v>
      </c>
      <c r="E883" s="250">
        <v>5124.049</v>
      </c>
    </row>
    <row r="884" spans="3:5" x14ac:dyDescent="0.35">
      <c r="C884" s="1" t="s">
        <v>7734</v>
      </c>
      <c r="D884" s="1" t="s">
        <v>18</v>
      </c>
      <c r="E884" s="250">
        <v>5124.05</v>
      </c>
    </row>
    <row r="885" spans="3:5" x14ac:dyDescent="0.35">
      <c r="C885" s="1" t="s">
        <v>7733</v>
      </c>
      <c r="D885" s="1" t="s">
        <v>18</v>
      </c>
      <c r="E885" s="250">
        <v>5124.0510000000004</v>
      </c>
    </row>
    <row r="886" spans="3:5" x14ac:dyDescent="0.35">
      <c r="C886" s="1" t="s">
        <v>7732</v>
      </c>
      <c r="D886" s="1" t="s">
        <v>18</v>
      </c>
      <c r="E886" s="250">
        <v>5124.0519999999997</v>
      </c>
    </row>
    <row r="887" spans="3:5" x14ac:dyDescent="0.35">
      <c r="C887" s="1" t="s">
        <v>7731</v>
      </c>
      <c r="D887" s="1" t="s">
        <v>18</v>
      </c>
      <c r="E887" s="250">
        <v>5124.0529999999999</v>
      </c>
    </row>
    <row r="888" spans="3:5" x14ac:dyDescent="0.35">
      <c r="C888" s="1" t="s">
        <v>7730</v>
      </c>
      <c r="D888" s="1" t="s">
        <v>18</v>
      </c>
      <c r="E888" s="250">
        <v>5124.0540000000001</v>
      </c>
    </row>
    <row r="889" spans="3:5" x14ac:dyDescent="0.35">
      <c r="C889" s="1" t="s">
        <v>7729</v>
      </c>
      <c r="D889" s="1" t="s">
        <v>18</v>
      </c>
      <c r="E889" s="250">
        <v>5124.0550000000003</v>
      </c>
    </row>
    <row r="890" spans="3:5" x14ac:dyDescent="0.35">
      <c r="C890" s="1" t="s">
        <v>7728</v>
      </c>
      <c r="D890" s="1" t="s">
        <v>18</v>
      </c>
      <c r="E890" s="250">
        <v>5124.0559999999996</v>
      </c>
    </row>
    <row r="891" spans="3:5" x14ac:dyDescent="0.35">
      <c r="C891" s="1" t="s">
        <v>7727</v>
      </c>
      <c r="D891" s="1" t="s">
        <v>18</v>
      </c>
      <c r="E891" s="250">
        <v>5124.0569999999998</v>
      </c>
    </row>
    <row r="892" spans="3:5" x14ac:dyDescent="0.35">
      <c r="C892" s="1" t="s">
        <v>7726</v>
      </c>
      <c r="D892" s="1" t="s">
        <v>18</v>
      </c>
      <c r="E892" s="250">
        <v>5124.058</v>
      </c>
    </row>
    <row r="893" spans="3:5" x14ac:dyDescent="0.35">
      <c r="C893" s="1" t="s">
        <v>7725</v>
      </c>
      <c r="D893" s="1" t="s">
        <v>18</v>
      </c>
      <c r="E893" s="250">
        <v>5124.0590000000002</v>
      </c>
    </row>
    <row r="894" spans="3:5" x14ac:dyDescent="0.35">
      <c r="C894" s="1" t="s">
        <v>7724</v>
      </c>
      <c r="D894" s="1" t="s">
        <v>18</v>
      </c>
      <c r="E894" s="250">
        <v>5124.0600000000004</v>
      </c>
    </row>
    <row r="895" spans="3:5" x14ac:dyDescent="0.35">
      <c r="C895" s="1" t="s">
        <v>7723</v>
      </c>
      <c r="D895" s="1" t="s">
        <v>18</v>
      </c>
      <c r="E895" s="250">
        <v>5124.0609999999997</v>
      </c>
    </row>
    <row r="896" spans="3:5" x14ac:dyDescent="0.35">
      <c r="C896" s="1" t="s">
        <v>7722</v>
      </c>
      <c r="D896" s="1" t="s">
        <v>18</v>
      </c>
      <c r="E896" s="250">
        <v>5124.0619999999999</v>
      </c>
    </row>
    <row r="897" spans="3:5" x14ac:dyDescent="0.35">
      <c r="C897" s="1" t="s">
        <v>7721</v>
      </c>
      <c r="D897" s="1" t="s">
        <v>18</v>
      </c>
      <c r="E897" s="250">
        <v>5124.0630000000001</v>
      </c>
    </row>
    <row r="898" spans="3:5" x14ac:dyDescent="0.35">
      <c r="C898" s="1" t="s">
        <v>7720</v>
      </c>
      <c r="D898" s="1" t="s">
        <v>18</v>
      </c>
      <c r="E898" s="250">
        <v>5124.0640000000003</v>
      </c>
    </row>
    <row r="899" spans="3:5" x14ac:dyDescent="0.35">
      <c r="C899" s="1" t="s">
        <v>7719</v>
      </c>
      <c r="D899" s="1" t="s">
        <v>18</v>
      </c>
      <c r="E899" s="250">
        <v>5124.0649999999996</v>
      </c>
    </row>
    <row r="900" spans="3:5" x14ac:dyDescent="0.35">
      <c r="C900" s="1" t="s">
        <v>7718</v>
      </c>
      <c r="D900" s="1" t="s">
        <v>18</v>
      </c>
      <c r="E900" s="250">
        <v>5124.0659999999998</v>
      </c>
    </row>
    <row r="901" spans="3:5" x14ac:dyDescent="0.35">
      <c r="C901" s="1" t="s">
        <v>7717</v>
      </c>
      <c r="D901" s="1" t="s">
        <v>18</v>
      </c>
      <c r="E901" s="250">
        <v>5124.067</v>
      </c>
    </row>
    <row r="902" spans="3:5" x14ac:dyDescent="0.35">
      <c r="C902" s="1" t="s">
        <v>7716</v>
      </c>
      <c r="D902" s="1" t="s">
        <v>18</v>
      </c>
      <c r="E902" s="250">
        <v>5124.0680000000002</v>
      </c>
    </row>
    <row r="903" spans="3:5" x14ac:dyDescent="0.35">
      <c r="C903" s="1" t="s">
        <v>7715</v>
      </c>
      <c r="D903" s="1" t="s">
        <v>18</v>
      </c>
      <c r="E903" s="250">
        <v>5124.0690000000004</v>
      </c>
    </row>
    <row r="904" spans="3:5" x14ac:dyDescent="0.35">
      <c r="C904" s="1" t="s">
        <v>7714</v>
      </c>
      <c r="D904" s="1" t="s">
        <v>18</v>
      </c>
      <c r="E904" s="250">
        <v>5124.07</v>
      </c>
    </row>
    <row r="905" spans="3:5" x14ac:dyDescent="0.35">
      <c r="C905" s="1" t="s">
        <v>7713</v>
      </c>
      <c r="D905" s="1" t="s">
        <v>18</v>
      </c>
      <c r="E905" s="250">
        <v>5124.0709999999999</v>
      </c>
    </row>
    <row r="906" spans="3:5" x14ac:dyDescent="0.35">
      <c r="C906" s="1" t="s">
        <v>7712</v>
      </c>
      <c r="D906" s="1" t="s">
        <v>18</v>
      </c>
      <c r="E906" s="250">
        <v>5124.0720000000001</v>
      </c>
    </row>
    <row r="907" spans="3:5" x14ac:dyDescent="0.35">
      <c r="C907" s="1" t="s">
        <v>7711</v>
      </c>
      <c r="D907" s="1" t="s">
        <v>18</v>
      </c>
      <c r="E907" s="250">
        <v>5124.0730000000003</v>
      </c>
    </row>
    <row r="908" spans="3:5" x14ac:dyDescent="0.35">
      <c r="C908" s="1" t="s">
        <v>7710</v>
      </c>
      <c r="D908" s="1" t="s">
        <v>18</v>
      </c>
      <c r="E908" s="250">
        <v>5124.0739999999996</v>
      </c>
    </row>
    <row r="909" spans="3:5" x14ac:dyDescent="0.35">
      <c r="C909" s="1" t="s">
        <v>7709</v>
      </c>
      <c r="D909" s="1" t="s">
        <v>18</v>
      </c>
      <c r="E909" s="250">
        <v>5124.0749999999998</v>
      </c>
    </row>
    <row r="910" spans="3:5" x14ac:dyDescent="0.35">
      <c r="C910" s="1" t="s">
        <v>7708</v>
      </c>
      <c r="D910" s="1" t="s">
        <v>18</v>
      </c>
      <c r="E910" s="250">
        <v>5124.076</v>
      </c>
    </row>
    <row r="911" spans="3:5" x14ac:dyDescent="0.35">
      <c r="C911" s="1" t="s">
        <v>7707</v>
      </c>
      <c r="D911" s="1" t="s">
        <v>18</v>
      </c>
      <c r="E911" s="250">
        <v>5124.0770000000002</v>
      </c>
    </row>
    <row r="912" spans="3:5" x14ac:dyDescent="0.35">
      <c r="C912" s="1" t="s">
        <v>7706</v>
      </c>
      <c r="D912" s="1" t="s">
        <v>18</v>
      </c>
      <c r="E912" s="250">
        <v>5124.0780000000004</v>
      </c>
    </row>
    <row r="913" spans="3:5" x14ac:dyDescent="0.35">
      <c r="C913" s="1" t="s">
        <v>7705</v>
      </c>
      <c r="D913" s="1" t="s">
        <v>18</v>
      </c>
      <c r="E913" s="250">
        <v>5124.0789999999997</v>
      </c>
    </row>
    <row r="914" spans="3:5" x14ac:dyDescent="0.35">
      <c r="C914" s="1" t="s">
        <v>7704</v>
      </c>
      <c r="D914" s="1" t="s">
        <v>18</v>
      </c>
      <c r="E914" s="250">
        <v>5124.08</v>
      </c>
    </row>
    <row r="915" spans="3:5" x14ac:dyDescent="0.35">
      <c r="C915" s="1" t="s">
        <v>7703</v>
      </c>
      <c r="D915" s="1" t="s">
        <v>18</v>
      </c>
      <c r="E915" s="250">
        <v>5124.0810000000001</v>
      </c>
    </row>
    <row r="916" spans="3:5" x14ac:dyDescent="0.35">
      <c r="C916" s="1" t="s">
        <v>7702</v>
      </c>
      <c r="D916" s="1" t="s">
        <v>18</v>
      </c>
      <c r="E916" s="250">
        <v>5124.0820000000003</v>
      </c>
    </row>
    <row r="917" spans="3:5" x14ac:dyDescent="0.35">
      <c r="C917" s="1" t="s">
        <v>7701</v>
      </c>
      <c r="D917" s="1" t="s">
        <v>18</v>
      </c>
      <c r="E917" s="250">
        <v>5124.0829999999996</v>
      </c>
    </row>
    <row r="918" spans="3:5" x14ac:dyDescent="0.35">
      <c r="C918" s="1" t="s">
        <v>7700</v>
      </c>
      <c r="D918" s="1" t="s">
        <v>18</v>
      </c>
      <c r="E918" s="250">
        <v>5124.0839999999998</v>
      </c>
    </row>
    <row r="919" spans="3:5" x14ac:dyDescent="0.35">
      <c r="C919" s="1" t="s">
        <v>7699</v>
      </c>
      <c r="D919" s="1" t="s">
        <v>18</v>
      </c>
      <c r="E919" s="250">
        <v>5124.085</v>
      </c>
    </row>
    <row r="920" spans="3:5" x14ac:dyDescent="0.35">
      <c r="C920" s="1" t="s">
        <v>7698</v>
      </c>
      <c r="D920" s="1" t="s">
        <v>18</v>
      </c>
      <c r="E920" s="250">
        <v>5124.0860000000002</v>
      </c>
    </row>
    <row r="921" spans="3:5" x14ac:dyDescent="0.35">
      <c r="C921" s="1" t="s">
        <v>7697</v>
      </c>
      <c r="D921" s="1" t="s">
        <v>18</v>
      </c>
      <c r="E921" s="250">
        <v>5124.0870000000004</v>
      </c>
    </row>
    <row r="922" spans="3:5" x14ac:dyDescent="0.35">
      <c r="C922" s="1" t="s">
        <v>7696</v>
      </c>
      <c r="D922" s="1" t="s">
        <v>18</v>
      </c>
      <c r="E922" s="250">
        <v>5124.0879999999997</v>
      </c>
    </row>
    <row r="923" spans="3:5" x14ac:dyDescent="0.35">
      <c r="C923" s="1" t="s">
        <v>7695</v>
      </c>
      <c r="D923" s="1" t="s">
        <v>18</v>
      </c>
      <c r="E923" s="250">
        <v>5124.0889999999999</v>
      </c>
    </row>
    <row r="924" spans="3:5" x14ac:dyDescent="0.35">
      <c r="C924" s="1" t="s">
        <v>7694</v>
      </c>
      <c r="D924" s="1" t="s">
        <v>18</v>
      </c>
      <c r="E924" s="250">
        <v>5124.09</v>
      </c>
    </row>
    <row r="925" spans="3:5" x14ac:dyDescent="0.35">
      <c r="C925" s="1" t="s">
        <v>7693</v>
      </c>
      <c r="D925" s="1" t="s">
        <v>18</v>
      </c>
      <c r="E925" s="250">
        <v>5124.0910000000003</v>
      </c>
    </row>
    <row r="926" spans="3:5" x14ac:dyDescent="0.35">
      <c r="C926" s="1" t="s">
        <v>7692</v>
      </c>
      <c r="D926" s="1" t="s">
        <v>18</v>
      </c>
      <c r="E926" s="250">
        <v>5124.0919999999996</v>
      </c>
    </row>
    <row r="927" spans="3:5" x14ac:dyDescent="0.35">
      <c r="C927" s="1" t="s">
        <v>7691</v>
      </c>
      <c r="D927" s="1" t="s">
        <v>18</v>
      </c>
      <c r="E927" s="250">
        <v>5124.0929999999998</v>
      </c>
    </row>
    <row r="928" spans="3:5" x14ac:dyDescent="0.35">
      <c r="C928" s="1" t="s">
        <v>7690</v>
      </c>
      <c r="D928" s="1" t="s">
        <v>18</v>
      </c>
      <c r="E928" s="250">
        <v>5124.0940000000001</v>
      </c>
    </row>
    <row r="929" spans="3:5" x14ac:dyDescent="0.35">
      <c r="C929" s="1" t="s">
        <v>7689</v>
      </c>
      <c r="D929" s="1" t="s">
        <v>18</v>
      </c>
      <c r="E929" s="250">
        <v>5124.0950000000003</v>
      </c>
    </row>
    <row r="930" spans="3:5" x14ac:dyDescent="0.35">
      <c r="C930" s="1" t="s">
        <v>7688</v>
      </c>
      <c r="D930" s="1" t="s">
        <v>18</v>
      </c>
      <c r="E930" s="250">
        <v>5124.0959999999995</v>
      </c>
    </row>
    <row r="931" spans="3:5" x14ac:dyDescent="0.35">
      <c r="C931" s="1" t="s">
        <v>7687</v>
      </c>
      <c r="D931" s="1" t="s">
        <v>18</v>
      </c>
      <c r="E931" s="250">
        <v>5124.0969999999998</v>
      </c>
    </row>
    <row r="932" spans="3:5" x14ac:dyDescent="0.35">
      <c r="C932" s="1" t="s">
        <v>7686</v>
      </c>
      <c r="D932" s="1" t="s">
        <v>18</v>
      </c>
      <c r="E932" s="250">
        <v>5124.098</v>
      </c>
    </row>
    <row r="933" spans="3:5" x14ac:dyDescent="0.35">
      <c r="C933" s="1" t="s">
        <v>7685</v>
      </c>
      <c r="D933" s="1" t="s">
        <v>18</v>
      </c>
      <c r="E933" s="250">
        <v>5124.0990000000002</v>
      </c>
    </row>
    <row r="934" spans="3:5" x14ac:dyDescent="0.35">
      <c r="C934" s="1" t="s">
        <v>7684</v>
      </c>
      <c r="D934" s="1" t="s">
        <v>18</v>
      </c>
      <c r="E934" s="250">
        <v>5124.1000000000004</v>
      </c>
    </row>
    <row r="935" spans="3:5" x14ac:dyDescent="0.35">
      <c r="C935" s="1" t="s">
        <v>7683</v>
      </c>
      <c r="D935" s="1" t="s">
        <v>18</v>
      </c>
      <c r="E935" s="250">
        <v>5124.1009999999997</v>
      </c>
    </row>
    <row r="936" spans="3:5" x14ac:dyDescent="0.35">
      <c r="C936" s="1" t="s">
        <v>7682</v>
      </c>
      <c r="D936" s="1" t="s">
        <v>18</v>
      </c>
      <c r="E936" s="250">
        <v>5124.1019999999999</v>
      </c>
    </row>
    <row r="937" spans="3:5" x14ac:dyDescent="0.35">
      <c r="C937" s="1" t="s">
        <v>7681</v>
      </c>
      <c r="D937" s="1" t="s">
        <v>18</v>
      </c>
      <c r="E937" s="250">
        <v>5124.1030000000001</v>
      </c>
    </row>
    <row r="938" spans="3:5" x14ac:dyDescent="0.35">
      <c r="C938" s="1" t="s">
        <v>7680</v>
      </c>
      <c r="D938" s="1" t="s">
        <v>18</v>
      </c>
      <c r="E938" s="250">
        <v>5124.1040000000003</v>
      </c>
    </row>
    <row r="939" spans="3:5" x14ac:dyDescent="0.35">
      <c r="C939" s="1" t="s">
        <v>7679</v>
      </c>
      <c r="D939" s="1" t="s">
        <v>18</v>
      </c>
      <c r="E939" s="250">
        <v>5124.1049999999996</v>
      </c>
    </row>
    <row r="940" spans="3:5" x14ac:dyDescent="0.35">
      <c r="C940" s="1" t="s">
        <v>7678</v>
      </c>
      <c r="D940" s="1" t="s">
        <v>18</v>
      </c>
      <c r="E940" s="250">
        <v>5124.1059999999998</v>
      </c>
    </row>
    <row r="941" spans="3:5" x14ac:dyDescent="0.35">
      <c r="C941" s="1" t="s">
        <v>7677</v>
      </c>
      <c r="D941" s="1" t="s">
        <v>18</v>
      </c>
      <c r="E941" s="250">
        <v>5124.107</v>
      </c>
    </row>
    <row r="942" spans="3:5" x14ac:dyDescent="0.35">
      <c r="C942" s="1" t="s">
        <v>7676</v>
      </c>
      <c r="D942" s="1" t="s">
        <v>18</v>
      </c>
      <c r="E942" s="250">
        <v>5124.1080000000002</v>
      </c>
    </row>
    <row r="943" spans="3:5" x14ac:dyDescent="0.35">
      <c r="C943" s="1" t="s">
        <v>7675</v>
      </c>
      <c r="D943" s="1" t="s">
        <v>18</v>
      </c>
      <c r="E943" s="250">
        <v>5124.1090000000004</v>
      </c>
    </row>
    <row r="944" spans="3:5" x14ac:dyDescent="0.35">
      <c r="C944" s="1" t="s">
        <v>7674</v>
      </c>
      <c r="D944" s="1" t="s">
        <v>18</v>
      </c>
      <c r="E944" s="250">
        <v>5124.1099999999997</v>
      </c>
    </row>
    <row r="945" spans="3:5" x14ac:dyDescent="0.35">
      <c r="C945" s="1" t="s">
        <v>7673</v>
      </c>
      <c r="D945" s="1" t="s">
        <v>18</v>
      </c>
      <c r="E945" s="250">
        <v>5124.1109999999999</v>
      </c>
    </row>
    <row r="946" spans="3:5" x14ac:dyDescent="0.35">
      <c r="C946" s="1" t="s">
        <v>7672</v>
      </c>
      <c r="D946" s="1" t="s">
        <v>18</v>
      </c>
      <c r="E946" s="250">
        <v>5124.1120000000001</v>
      </c>
    </row>
    <row r="947" spans="3:5" x14ac:dyDescent="0.35">
      <c r="C947" s="1" t="s">
        <v>7671</v>
      </c>
      <c r="D947" s="1" t="s">
        <v>18</v>
      </c>
      <c r="E947" s="250">
        <v>5124.1130000000003</v>
      </c>
    </row>
    <row r="948" spans="3:5" x14ac:dyDescent="0.35">
      <c r="C948" s="1" t="s">
        <v>7670</v>
      </c>
      <c r="D948" s="1" t="s">
        <v>18</v>
      </c>
      <c r="E948" s="250">
        <v>5124.1139999999996</v>
      </c>
    </row>
    <row r="949" spans="3:5" x14ac:dyDescent="0.35">
      <c r="C949" s="1" t="s">
        <v>7669</v>
      </c>
      <c r="D949" s="1" t="s">
        <v>18</v>
      </c>
      <c r="E949" s="250">
        <v>5124.1149999999998</v>
      </c>
    </row>
    <row r="950" spans="3:5" x14ac:dyDescent="0.35">
      <c r="C950" s="1" t="s">
        <v>7668</v>
      </c>
      <c r="D950" s="1" t="s">
        <v>18</v>
      </c>
      <c r="E950" s="250">
        <v>5124.116</v>
      </c>
    </row>
    <row r="951" spans="3:5" x14ac:dyDescent="0.35">
      <c r="C951" s="1" t="s">
        <v>7667</v>
      </c>
      <c r="D951" s="1" t="s">
        <v>18</v>
      </c>
      <c r="E951" s="250">
        <v>5124.1170000000002</v>
      </c>
    </row>
    <row r="952" spans="3:5" x14ac:dyDescent="0.35">
      <c r="C952" s="1" t="s">
        <v>7666</v>
      </c>
      <c r="D952" s="1" t="s">
        <v>18</v>
      </c>
      <c r="E952" s="250">
        <v>5124.1180000000004</v>
      </c>
    </row>
    <row r="953" spans="3:5" x14ac:dyDescent="0.35">
      <c r="C953" s="1" t="s">
        <v>7665</v>
      </c>
      <c r="D953" s="1" t="s">
        <v>18</v>
      </c>
      <c r="E953" s="250">
        <v>5124.1189999999997</v>
      </c>
    </row>
    <row r="954" spans="3:5" x14ac:dyDescent="0.35">
      <c r="C954" s="1" t="s">
        <v>7664</v>
      </c>
      <c r="D954" s="1" t="s">
        <v>18</v>
      </c>
      <c r="E954" s="250">
        <v>5124.12</v>
      </c>
    </row>
    <row r="955" spans="3:5" x14ac:dyDescent="0.35">
      <c r="C955" s="1" t="s">
        <v>7663</v>
      </c>
      <c r="D955" s="1" t="s">
        <v>18</v>
      </c>
      <c r="E955" s="250">
        <v>5124.1210000000001</v>
      </c>
    </row>
    <row r="956" spans="3:5" x14ac:dyDescent="0.35">
      <c r="C956" s="1" t="s">
        <v>7662</v>
      </c>
      <c r="D956" s="1" t="s">
        <v>18</v>
      </c>
      <c r="E956" s="250">
        <v>5124.1220000000003</v>
      </c>
    </row>
    <row r="957" spans="3:5" x14ac:dyDescent="0.35">
      <c r="C957" s="1" t="s">
        <v>7661</v>
      </c>
      <c r="D957" s="1" t="s">
        <v>18</v>
      </c>
      <c r="E957" s="250">
        <v>5124.1229999999996</v>
      </c>
    </row>
    <row r="958" spans="3:5" x14ac:dyDescent="0.35">
      <c r="C958" s="1" t="s">
        <v>7660</v>
      </c>
      <c r="D958" s="1" t="s">
        <v>18</v>
      </c>
      <c r="E958" s="250">
        <v>5124.1239999999998</v>
      </c>
    </row>
    <row r="959" spans="3:5" x14ac:dyDescent="0.35">
      <c r="C959" s="1" t="s">
        <v>7659</v>
      </c>
      <c r="D959" s="1" t="s">
        <v>18</v>
      </c>
      <c r="E959" s="250">
        <v>5124.125</v>
      </c>
    </row>
    <row r="960" spans="3:5" x14ac:dyDescent="0.35">
      <c r="C960" s="1" t="s">
        <v>7658</v>
      </c>
      <c r="D960" s="1" t="s">
        <v>18</v>
      </c>
      <c r="E960" s="250">
        <v>5124.1260000000002</v>
      </c>
    </row>
    <row r="961" spans="3:5" x14ac:dyDescent="0.35">
      <c r="C961" s="1" t="s">
        <v>7657</v>
      </c>
      <c r="D961" s="1" t="s">
        <v>18</v>
      </c>
      <c r="E961" s="250">
        <v>5124.1270000000004</v>
      </c>
    </row>
    <row r="962" spans="3:5" x14ac:dyDescent="0.35">
      <c r="C962" s="1" t="s">
        <v>7656</v>
      </c>
      <c r="D962" s="1" t="s">
        <v>18</v>
      </c>
      <c r="E962" s="250">
        <v>5124.1279999999997</v>
      </c>
    </row>
    <row r="963" spans="3:5" x14ac:dyDescent="0.35">
      <c r="C963" s="1" t="s">
        <v>7655</v>
      </c>
      <c r="D963" s="1" t="s">
        <v>18</v>
      </c>
      <c r="E963" s="250">
        <v>5124.1289999999999</v>
      </c>
    </row>
    <row r="964" spans="3:5" x14ac:dyDescent="0.35">
      <c r="C964" s="1" t="s">
        <v>7654</v>
      </c>
      <c r="D964" s="1" t="s">
        <v>18</v>
      </c>
      <c r="E964" s="250">
        <v>5124.13</v>
      </c>
    </row>
    <row r="965" spans="3:5" x14ac:dyDescent="0.35">
      <c r="C965" s="1" t="s">
        <v>7653</v>
      </c>
      <c r="D965" s="1" t="s">
        <v>18</v>
      </c>
      <c r="E965" s="250">
        <v>5124.1310000000003</v>
      </c>
    </row>
    <row r="966" spans="3:5" x14ac:dyDescent="0.35">
      <c r="C966" s="1" t="s">
        <v>7652</v>
      </c>
      <c r="D966" s="1" t="s">
        <v>18</v>
      </c>
      <c r="E966" s="250">
        <v>5124.1319999999996</v>
      </c>
    </row>
    <row r="967" spans="3:5" x14ac:dyDescent="0.35">
      <c r="C967" s="1" t="s">
        <v>7651</v>
      </c>
      <c r="D967" s="1" t="s">
        <v>18</v>
      </c>
      <c r="E967" s="250">
        <v>5124.1329999999998</v>
      </c>
    </row>
    <row r="968" spans="3:5" x14ac:dyDescent="0.35">
      <c r="C968" s="1" t="s">
        <v>7650</v>
      </c>
      <c r="D968" s="1" t="s">
        <v>18</v>
      </c>
      <c r="E968" s="250">
        <v>5124.134</v>
      </c>
    </row>
    <row r="969" spans="3:5" x14ac:dyDescent="0.35">
      <c r="C969" s="1" t="s">
        <v>7649</v>
      </c>
      <c r="D969" s="1" t="s">
        <v>18</v>
      </c>
      <c r="E969" s="250">
        <v>5124.1350000000002</v>
      </c>
    </row>
    <row r="970" spans="3:5" x14ac:dyDescent="0.35">
      <c r="C970" s="1" t="s">
        <v>7648</v>
      </c>
      <c r="D970" s="1" t="s">
        <v>18</v>
      </c>
      <c r="E970" s="250">
        <v>5124.1360000000004</v>
      </c>
    </row>
    <row r="971" spans="3:5" x14ac:dyDescent="0.35">
      <c r="C971" s="1" t="s">
        <v>7647</v>
      </c>
      <c r="D971" s="1" t="s">
        <v>18</v>
      </c>
      <c r="E971" s="250">
        <v>5124.1369999999997</v>
      </c>
    </row>
    <row r="972" spans="3:5" x14ac:dyDescent="0.35">
      <c r="C972" s="1" t="s">
        <v>7646</v>
      </c>
      <c r="D972" s="1" t="s">
        <v>18</v>
      </c>
      <c r="E972" s="250">
        <v>5124.1379999999999</v>
      </c>
    </row>
    <row r="973" spans="3:5" x14ac:dyDescent="0.35">
      <c r="C973" s="1" t="s">
        <v>7645</v>
      </c>
      <c r="D973" s="1" t="s">
        <v>18</v>
      </c>
      <c r="E973" s="250">
        <v>5124.1390000000001</v>
      </c>
    </row>
    <row r="974" spans="3:5" x14ac:dyDescent="0.35">
      <c r="C974" s="1" t="s">
        <v>7644</v>
      </c>
      <c r="D974" s="1" t="s">
        <v>18</v>
      </c>
      <c r="E974" s="250">
        <v>5124.1400000000003</v>
      </c>
    </row>
    <row r="975" spans="3:5" x14ac:dyDescent="0.35">
      <c r="C975" s="1" t="s">
        <v>7643</v>
      </c>
      <c r="D975" s="1" t="s">
        <v>18</v>
      </c>
      <c r="E975" s="250">
        <v>5124.1409999999996</v>
      </c>
    </row>
    <row r="976" spans="3:5" x14ac:dyDescent="0.35">
      <c r="C976" s="1" t="s">
        <v>7642</v>
      </c>
      <c r="D976" s="1" t="s">
        <v>18</v>
      </c>
      <c r="E976" s="250">
        <v>5124.1419999999998</v>
      </c>
    </row>
    <row r="977" spans="3:5" x14ac:dyDescent="0.35">
      <c r="C977" s="1" t="s">
        <v>7641</v>
      </c>
      <c r="D977" s="1" t="s">
        <v>18</v>
      </c>
      <c r="E977" s="250">
        <v>5124.143</v>
      </c>
    </row>
    <row r="978" spans="3:5" x14ac:dyDescent="0.35">
      <c r="C978" s="1" t="s">
        <v>7640</v>
      </c>
      <c r="D978" s="1" t="s">
        <v>18</v>
      </c>
      <c r="E978" s="250">
        <v>5124.1440000000002</v>
      </c>
    </row>
    <row r="979" spans="3:5" x14ac:dyDescent="0.35">
      <c r="C979" s="1" t="s">
        <v>7639</v>
      </c>
      <c r="D979" s="1" t="s">
        <v>18</v>
      </c>
      <c r="E979" s="250">
        <v>5124.1450000000004</v>
      </c>
    </row>
    <row r="980" spans="3:5" x14ac:dyDescent="0.35">
      <c r="C980" s="1" t="s">
        <v>7638</v>
      </c>
      <c r="D980" s="1" t="s">
        <v>18</v>
      </c>
      <c r="E980" s="250">
        <v>5124.1459999999997</v>
      </c>
    </row>
    <row r="981" spans="3:5" x14ac:dyDescent="0.35">
      <c r="C981" s="1" t="s">
        <v>7637</v>
      </c>
      <c r="D981" s="1" t="s">
        <v>18</v>
      </c>
      <c r="E981" s="250">
        <v>5124.1469999999999</v>
      </c>
    </row>
    <row r="982" spans="3:5" x14ac:dyDescent="0.35">
      <c r="C982" s="1" t="s">
        <v>7636</v>
      </c>
      <c r="D982" s="1" t="s">
        <v>18</v>
      </c>
      <c r="E982" s="250">
        <v>5124.5010000000002</v>
      </c>
    </row>
    <row r="983" spans="3:5" x14ac:dyDescent="0.35">
      <c r="C983" s="1" t="s">
        <v>7635</v>
      </c>
      <c r="D983" s="1" t="s">
        <v>18</v>
      </c>
      <c r="E983" s="250">
        <v>5124.5020000000004</v>
      </c>
    </row>
    <row r="984" spans="3:5" x14ac:dyDescent="0.35">
      <c r="C984" s="1" t="s">
        <v>7634</v>
      </c>
      <c r="D984" s="1" t="s">
        <v>18</v>
      </c>
      <c r="E984" s="250">
        <v>5124.5029999999997</v>
      </c>
    </row>
    <row r="985" spans="3:5" x14ac:dyDescent="0.35">
      <c r="C985" s="1" t="s">
        <v>7633</v>
      </c>
      <c r="D985" s="1" t="s">
        <v>18</v>
      </c>
      <c r="E985" s="250">
        <v>5124.5039999999999</v>
      </c>
    </row>
    <row r="986" spans="3:5" x14ac:dyDescent="0.35">
      <c r="C986" s="1" t="s">
        <v>7632</v>
      </c>
      <c r="D986" s="1" t="s">
        <v>18</v>
      </c>
      <c r="E986" s="250">
        <v>5124.5050000000001</v>
      </c>
    </row>
    <row r="987" spans="3:5" x14ac:dyDescent="0.35">
      <c r="C987" s="1" t="s">
        <v>7631</v>
      </c>
      <c r="D987" s="1" t="s">
        <v>18</v>
      </c>
      <c r="E987" s="250">
        <v>5124.5060000000003</v>
      </c>
    </row>
    <row r="988" spans="3:5" x14ac:dyDescent="0.35">
      <c r="C988" s="1" t="s">
        <v>7630</v>
      </c>
      <c r="D988" s="1" t="s">
        <v>18</v>
      </c>
      <c r="E988" s="250">
        <v>5124.5069999999996</v>
      </c>
    </row>
    <row r="989" spans="3:5" x14ac:dyDescent="0.35">
      <c r="C989" s="1" t="s">
        <v>7629</v>
      </c>
      <c r="D989" s="1" t="s">
        <v>18</v>
      </c>
      <c r="E989" s="250">
        <v>5124.5079999999998</v>
      </c>
    </row>
    <row r="990" spans="3:5" x14ac:dyDescent="0.35">
      <c r="C990" s="1" t="s">
        <v>7628</v>
      </c>
      <c r="D990" s="1" t="s">
        <v>18</v>
      </c>
      <c r="E990" s="250">
        <v>5124.509</v>
      </c>
    </row>
    <row r="991" spans="3:5" x14ac:dyDescent="0.35">
      <c r="C991" s="1" t="s">
        <v>7627</v>
      </c>
      <c r="D991" s="1" t="s">
        <v>18</v>
      </c>
      <c r="E991" s="250">
        <v>5124.51</v>
      </c>
    </row>
    <row r="992" spans="3:5" x14ac:dyDescent="0.35">
      <c r="C992" s="1" t="s">
        <v>7626</v>
      </c>
      <c r="D992" s="1" t="s">
        <v>18</v>
      </c>
      <c r="E992" s="250">
        <v>5124.5110000000004</v>
      </c>
    </row>
    <row r="993" spans="3:5" x14ac:dyDescent="0.35">
      <c r="C993" s="1" t="s">
        <v>7625</v>
      </c>
      <c r="D993" s="1" t="s">
        <v>18</v>
      </c>
      <c r="E993" s="250">
        <v>5124.5119999999997</v>
      </c>
    </row>
    <row r="994" spans="3:5" x14ac:dyDescent="0.35">
      <c r="C994" s="1" t="s">
        <v>7624</v>
      </c>
      <c r="D994" s="1" t="s">
        <v>18</v>
      </c>
      <c r="E994" s="250">
        <v>5124.5129999999999</v>
      </c>
    </row>
    <row r="995" spans="3:5" x14ac:dyDescent="0.35">
      <c r="C995" s="1" t="s">
        <v>7623</v>
      </c>
      <c r="D995" s="1" t="s">
        <v>18</v>
      </c>
      <c r="E995" s="250">
        <v>5124.5140000000001</v>
      </c>
    </row>
    <row r="996" spans="3:5" x14ac:dyDescent="0.35">
      <c r="C996" s="1" t="s">
        <v>7622</v>
      </c>
      <c r="D996" s="1" t="s">
        <v>18</v>
      </c>
      <c r="E996" s="250">
        <v>5124.5150000000003</v>
      </c>
    </row>
    <row r="997" spans="3:5" x14ac:dyDescent="0.35">
      <c r="C997" s="1" t="s">
        <v>7621</v>
      </c>
      <c r="D997" s="1" t="s">
        <v>18</v>
      </c>
      <c r="E997" s="250">
        <v>5124.5159999999996</v>
      </c>
    </row>
    <row r="998" spans="3:5" x14ac:dyDescent="0.35">
      <c r="C998" s="1" t="s">
        <v>7620</v>
      </c>
      <c r="D998" s="1" t="s">
        <v>18</v>
      </c>
      <c r="E998" s="250">
        <v>5124.5169999999998</v>
      </c>
    </row>
    <row r="999" spans="3:5" x14ac:dyDescent="0.35">
      <c r="C999" s="1" t="s">
        <v>7619</v>
      </c>
      <c r="D999" s="1" t="s">
        <v>18</v>
      </c>
      <c r="E999" s="250">
        <v>5124.518</v>
      </c>
    </row>
    <row r="1000" spans="3:5" x14ac:dyDescent="0.35">
      <c r="C1000" s="1" t="s">
        <v>7618</v>
      </c>
      <c r="D1000" s="1" t="s">
        <v>18</v>
      </c>
      <c r="E1000" s="250">
        <v>5124.5190000000002</v>
      </c>
    </row>
    <row r="1001" spans="3:5" x14ac:dyDescent="0.35">
      <c r="C1001" s="1" t="s">
        <v>7617</v>
      </c>
      <c r="D1001" s="1" t="s">
        <v>18</v>
      </c>
      <c r="E1001" s="250">
        <v>5124.5200000000004</v>
      </c>
    </row>
    <row r="1002" spans="3:5" x14ac:dyDescent="0.35">
      <c r="C1002" s="1" t="s">
        <v>7616</v>
      </c>
      <c r="D1002" s="1" t="s">
        <v>18</v>
      </c>
      <c r="E1002" s="250">
        <v>5124.5209999999997</v>
      </c>
    </row>
    <row r="1003" spans="3:5" x14ac:dyDescent="0.35">
      <c r="C1003" s="1" t="s">
        <v>7615</v>
      </c>
      <c r="D1003" s="1" t="s">
        <v>18</v>
      </c>
      <c r="E1003" s="250">
        <v>5124.5219999999999</v>
      </c>
    </row>
    <row r="1004" spans="3:5" x14ac:dyDescent="0.35">
      <c r="C1004" s="1" t="s">
        <v>7614</v>
      </c>
      <c r="D1004" s="1" t="s">
        <v>18</v>
      </c>
      <c r="E1004" s="250">
        <v>5124.5230000000001</v>
      </c>
    </row>
    <row r="1005" spans="3:5" x14ac:dyDescent="0.35">
      <c r="C1005" s="1" t="s">
        <v>7613</v>
      </c>
      <c r="D1005" s="1" t="s">
        <v>18</v>
      </c>
      <c r="E1005" s="250">
        <v>5124.5240000000003</v>
      </c>
    </row>
    <row r="1006" spans="3:5" x14ac:dyDescent="0.35">
      <c r="C1006" s="1" t="s">
        <v>7612</v>
      </c>
      <c r="D1006" s="1" t="s">
        <v>18</v>
      </c>
      <c r="E1006" s="250">
        <v>5124.5249999999996</v>
      </c>
    </row>
    <row r="1007" spans="3:5" x14ac:dyDescent="0.35">
      <c r="C1007" s="1" t="s">
        <v>7611</v>
      </c>
      <c r="D1007" s="1" t="s">
        <v>18</v>
      </c>
      <c r="E1007" s="250">
        <v>5124.5259999999998</v>
      </c>
    </row>
    <row r="1008" spans="3:5" x14ac:dyDescent="0.35">
      <c r="C1008" s="1" t="s">
        <v>7610</v>
      </c>
      <c r="D1008" s="1" t="s">
        <v>18</v>
      </c>
      <c r="E1008" s="250">
        <v>5124.527</v>
      </c>
    </row>
    <row r="1009" spans="3:5" x14ac:dyDescent="0.35">
      <c r="C1009" s="1" t="s">
        <v>7609</v>
      </c>
      <c r="D1009" s="1" t="s">
        <v>18</v>
      </c>
      <c r="E1009" s="250">
        <v>5124.5280000000002</v>
      </c>
    </row>
    <row r="1010" spans="3:5" x14ac:dyDescent="0.35">
      <c r="C1010" s="1" t="s">
        <v>7608</v>
      </c>
      <c r="D1010" s="1" t="s">
        <v>18</v>
      </c>
      <c r="E1010" s="250">
        <v>5124.5290000000005</v>
      </c>
    </row>
    <row r="1011" spans="3:5" x14ac:dyDescent="0.35">
      <c r="C1011" s="1" t="s">
        <v>7607</v>
      </c>
      <c r="D1011" s="1" t="s">
        <v>18</v>
      </c>
      <c r="E1011" s="250">
        <v>5124.53</v>
      </c>
    </row>
    <row r="1012" spans="3:5" x14ac:dyDescent="0.35">
      <c r="C1012" s="1" t="s">
        <v>7606</v>
      </c>
      <c r="D1012" s="1" t="s">
        <v>18</v>
      </c>
      <c r="E1012" s="250">
        <v>5124.5309999999999</v>
      </c>
    </row>
    <row r="1013" spans="3:5" x14ac:dyDescent="0.35">
      <c r="C1013" s="1" t="s">
        <v>7605</v>
      </c>
      <c r="D1013" s="1" t="s">
        <v>18</v>
      </c>
      <c r="E1013" s="250">
        <v>5124.5320000000002</v>
      </c>
    </row>
    <row r="1014" spans="3:5" x14ac:dyDescent="0.35">
      <c r="C1014" s="1" t="s">
        <v>7604</v>
      </c>
      <c r="D1014" s="1" t="s">
        <v>18</v>
      </c>
      <c r="E1014" s="250">
        <v>5124.5330000000004</v>
      </c>
    </row>
    <row r="1015" spans="3:5" x14ac:dyDescent="0.35">
      <c r="C1015" s="1" t="s">
        <v>7603</v>
      </c>
      <c r="D1015" s="1" t="s">
        <v>18</v>
      </c>
      <c r="E1015" s="250">
        <v>5124.5339999999997</v>
      </c>
    </row>
    <row r="1016" spans="3:5" x14ac:dyDescent="0.35">
      <c r="C1016" s="1" t="s">
        <v>7602</v>
      </c>
      <c r="D1016" s="1" t="s">
        <v>18</v>
      </c>
      <c r="E1016" s="250">
        <v>5124.5349999999999</v>
      </c>
    </row>
    <row r="1017" spans="3:5" x14ac:dyDescent="0.35">
      <c r="C1017" s="1" t="s">
        <v>7601</v>
      </c>
      <c r="D1017" s="1" t="s">
        <v>18</v>
      </c>
      <c r="E1017" s="250">
        <v>5124.5360000000001</v>
      </c>
    </row>
    <row r="1018" spans="3:5" x14ac:dyDescent="0.35">
      <c r="C1018" s="1" t="s">
        <v>7600</v>
      </c>
      <c r="D1018" s="1" t="s">
        <v>18</v>
      </c>
      <c r="E1018" s="250">
        <v>5124.5370000000003</v>
      </c>
    </row>
    <row r="1019" spans="3:5" x14ac:dyDescent="0.35">
      <c r="C1019" s="1" t="s">
        <v>7599</v>
      </c>
      <c r="D1019" s="1" t="s">
        <v>18</v>
      </c>
      <c r="E1019" s="250">
        <v>5124.5379999999996</v>
      </c>
    </row>
    <row r="1020" spans="3:5" x14ac:dyDescent="0.35">
      <c r="C1020" s="1" t="s">
        <v>7598</v>
      </c>
      <c r="D1020" s="1" t="s">
        <v>18</v>
      </c>
      <c r="E1020" s="250">
        <v>5124.5389999999998</v>
      </c>
    </row>
    <row r="1021" spans="3:5" x14ac:dyDescent="0.35">
      <c r="C1021" s="1" t="s">
        <v>7597</v>
      </c>
      <c r="D1021" s="1" t="s">
        <v>18</v>
      </c>
      <c r="E1021" s="250">
        <v>5124.54</v>
      </c>
    </row>
    <row r="1022" spans="3:5" x14ac:dyDescent="0.35">
      <c r="C1022" s="1" t="s">
        <v>7596</v>
      </c>
      <c r="D1022" s="1" t="s">
        <v>18</v>
      </c>
      <c r="E1022" s="250">
        <v>5124.5410000000002</v>
      </c>
    </row>
    <row r="1023" spans="3:5" x14ac:dyDescent="0.35">
      <c r="C1023" s="1" t="s">
        <v>7595</v>
      </c>
      <c r="D1023" s="1" t="s">
        <v>18</v>
      </c>
      <c r="E1023" s="250">
        <v>5124.5420000000004</v>
      </c>
    </row>
    <row r="1024" spans="3:5" x14ac:dyDescent="0.35">
      <c r="C1024" s="1" t="s">
        <v>7594</v>
      </c>
      <c r="D1024" s="1" t="s">
        <v>18</v>
      </c>
      <c r="E1024" s="250">
        <v>5124.5429999999997</v>
      </c>
    </row>
    <row r="1025" spans="3:5" x14ac:dyDescent="0.35">
      <c r="C1025" s="1" t="s">
        <v>7593</v>
      </c>
      <c r="D1025" s="1" t="s">
        <v>18</v>
      </c>
      <c r="E1025" s="250">
        <v>5124.5439999999999</v>
      </c>
    </row>
    <row r="1026" spans="3:5" x14ac:dyDescent="0.35">
      <c r="C1026" s="1" t="s">
        <v>7592</v>
      </c>
      <c r="D1026" s="1" t="s">
        <v>18</v>
      </c>
      <c r="E1026" s="250">
        <v>5124.5450000000001</v>
      </c>
    </row>
    <row r="1027" spans="3:5" x14ac:dyDescent="0.35">
      <c r="C1027" s="1" t="s">
        <v>7591</v>
      </c>
      <c r="D1027" s="1" t="s">
        <v>18</v>
      </c>
      <c r="E1027" s="250">
        <v>5124.5460000000003</v>
      </c>
    </row>
    <row r="1028" spans="3:5" x14ac:dyDescent="0.35">
      <c r="C1028" s="1" t="s">
        <v>7590</v>
      </c>
      <c r="D1028" s="1" t="s">
        <v>18</v>
      </c>
      <c r="E1028" s="250">
        <v>5124.5469999999996</v>
      </c>
    </row>
    <row r="1029" spans="3:5" x14ac:dyDescent="0.35">
      <c r="C1029" s="1" t="s">
        <v>7589</v>
      </c>
      <c r="D1029" s="1" t="s">
        <v>18</v>
      </c>
      <c r="E1029" s="250">
        <v>5124.5479999999998</v>
      </c>
    </row>
    <row r="1030" spans="3:5" x14ac:dyDescent="0.35">
      <c r="C1030" s="1" t="s">
        <v>7588</v>
      </c>
      <c r="D1030" s="1" t="s">
        <v>18</v>
      </c>
      <c r="E1030" s="250">
        <v>5124.549</v>
      </c>
    </row>
    <row r="1031" spans="3:5" x14ac:dyDescent="0.35">
      <c r="C1031" s="1" t="s">
        <v>7587</v>
      </c>
      <c r="D1031" s="1" t="s">
        <v>18</v>
      </c>
      <c r="E1031" s="250">
        <v>5124.55</v>
      </c>
    </row>
    <row r="1032" spans="3:5" x14ac:dyDescent="0.35">
      <c r="C1032" s="1" t="s">
        <v>7586</v>
      </c>
      <c r="D1032" s="1" t="s">
        <v>18</v>
      </c>
      <c r="E1032" s="250">
        <v>5124.5510000000004</v>
      </c>
    </row>
    <row r="1033" spans="3:5" x14ac:dyDescent="0.35">
      <c r="C1033" s="1" t="s">
        <v>7585</v>
      </c>
      <c r="D1033" s="1" t="s">
        <v>18</v>
      </c>
      <c r="E1033" s="250">
        <v>5124.5519999999997</v>
      </c>
    </row>
    <row r="1034" spans="3:5" x14ac:dyDescent="0.35">
      <c r="C1034" s="1" t="s">
        <v>7584</v>
      </c>
      <c r="D1034" s="1" t="s">
        <v>18</v>
      </c>
      <c r="E1034" s="250">
        <v>5124.5529999999999</v>
      </c>
    </row>
    <row r="1035" spans="3:5" x14ac:dyDescent="0.35">
      <c r="C1035" s="1" t="s">
        <v>7583</v>
      </c>
      <c r="D1035" s="1" t="s">
        <v>18</v>
      </c>
      <c r="E1035" s="250">
        <v>5124.5540000000001</v>
      </c>
    </row>
    <row r="1036" spans="3:5" x14ac:dyDescent="0.35">
      <c r="C1036" s="1" t="s">
        <v>7582</v>
      </c>
      <c r="D1036" s="1" t="s">
        <v>18</v>
      </c>
      <c r="E1036" s="250">
        <v>5124.5550000000003</v>
      </c>
    </row>
    <row r="1037" spans="3:5" x14ac:dyDescent="0.35">
      <c r="C1037" s="1" t="s">
        <v>7581</v>
      </c>
      <c r="D1037" s="1" t="s">
        <v>18</v>
      </c>
      <c r="E1037" s="250">
        <v>5124.5559999999996</v>
      </c>
    </row>
    <row r="1038" spans="3:5" x14ac:dyDescent="0.35">
      <c r="C1038" s="1" t="s">
        <v>7580</v>
      </c>
      <c r="D1038" s="1" t="s">
        <v>18</v>
      </c>
      <c r="E1038" s="250">
        <v>5124.5569999999998</v>
      </c>
    </row>
    <row r="1039" spans="3:5" x14ac:dyDescent="0.35">
      <c r="C1039" s="1" t="s">
        <v>7579</v>
      </c>
      <c r="D1039" s="1" t="s">
        <v>18</v>
      </c>
      <c r="E1039" s="250">
        <v>5124.558</v>
      </c>
    </row>
    <row r="1040" spans="3:5" x14ac:dyDescent="0.35">
      <c r="C1040" s="1" t="s">
        <v>7578</v>
      </c>
      <c r="D1040" s="1" t="s">
        <v>18</v>
      </c>
      <c r="E1040" s="250">
        <v>5124.5590000000002</v>
      </c>
    </row>
    <row r="1041" spans="3:5" x14ac:dyDescent="0.35">
      <c r="C1041" s="1" t="s">
        <v>7577</v>
      </c>
      <c r="D1041" s="1" t="s">
        <v>18</v>
      </c>
      <c r="E1041" s="250">
        <v>5124.5600000000004</v>
      </c>
    </row>
    <row r="1042" spans="3:5" x14ac:dyDescent="0.35">
      <c r="C1042" s="1" t="s">
        <v>7576</v>
      </c>
      <c r="D1042" s="1" t="s">
        <v>18</v>
      </c>
      <c r="E1042" s="250">
        <v>5124.5609999999997</v>
      </c>
    </row>
    <row r="1043" spans="3:5" x14ac:dyDescent="0.35">
      <c r="C1043" s="1" t="s">
        <v>7575</v>
      </c>
      <c r="D1043" s="1" t="s">
        <v>18</v>
      </c>
      <c r="E1043" s="250">
        <v>5124.5619999999999</v>
      </c>
    </row>
    <row r="1044" spans="3:5" x14ac:dyDescent="0.35">
      <c r="C1044" s="1" t="s">
        <v>7574</v>
      </c>
      <c r="D1044" s="1" t="s">
        <v>18</v>
      </c>
      <c r="E1044" s="250">
        <v>5124.5630000000001</v>
      </c>
    </row>
    <row r="1045" spans="3:5" x14ac:dyDescent="0.35">
      <c r="C1045" s="1" t="s">
        <v>7573</v>
      </c>
      <c r="D1045" s="1" t="s">
        <v>18</v>
      </c>
      <c r="E1045" s="250">
        <v>5124.5640000000003</v>
      </c>
    </row>
    <row r="1046" spans="3:5" x14ac:dyDescent="0.35">
      <c r="C1046" s="1" t="s">
        <v>7572</v>
      </c>
      <c r="D1046" s="1" t="s">
        <v>18</v>
      </c>
      <c r="E1046" s="250">
        <v>5124.5649999999996</v>
      </c>
    </row>
    <row r="1047" spans="3:5" x14ac:dyDescent="0.35">
      <c r="C1047" s="1" t="s">
        <v>7571</v>
      </c>
      <c r="D1047" s="1" t="s">
        <v>18</v>
      </c>
      <c r="E1047" s="250">
        <v>5124.5659999999998</v>
      </c>
    </row>
    <row r="1048" spans="3:5" x14ac:dyDescent="0.35">
      <c r="C1048" s="1" t="s">
        <v>7570</v>
      </c>
      <c r="D1048" s="1" t="s">
        <v>18</v>
      </c>
      <c r="E1048" s="250">
        <v>5124.567</v>
      </c>
    </row>
    <row r="1049" spans="3:5" x14ac:dyDescent="0.35">
      <c r="C1049" s="1" t="s">
        <v>7569</v>
      </c>
      <c r="D1049" s="1" t="s">
        <v>18</v>
      </c>
      <c r="E1049" s="250">
        <v>5124.5680000000002</v>
      </c>
    </row>
    <row r="1050" spans="3:5" x14ac:dyDescent="0.35">
      <c r="C1050" s="1" t="s">
        <v>7568</v>
      </c>
      <c r="D1050" s="1" t="s">
        <v>18</v>
      </c>
      <c r="E1050" s="250">
        <v>5124.5690000000004</v>
      </c>
    </row>
    <row r="1051" spans="3:5" x14ac:dyDescent="0.35">
      <c r="C1051" s="1" t="s">
        <v>7567</v>
      </c>
      <c r="D1051" s="1" t="s">
        <v>18</v>
      </c>
      <c r="E1051" s="250">
        <v>5124.57</v>
      </c>
    </row>
    <row r="1052" spans="3:5" x14ac:dyDescent="0.35">
      <c r="C1052" s="1" t="s">
        <v>7566</v>
      </c>
      <c r="D1052" s="1" t="s">
        <v>18</v>
      </c>
      <c r="E1052" s="250">
        <v>5124.5709999999999</v>
      </c>
    </row>
    <row r="1053" spans="3:5" x14ac:dyDescent="0.35">
      <c r="C1053" s="1" t="s">
        <v>7565</v>
      </c>
      <c r="D1053" s="1" t="s">
        <v>18</v>
      </c>
      <c r="E1053" s="250">
        <v>5124.5720000000001</v>
      </c>
    </row>
    <row r="1054" spans="3:5" x14ac:dyDescent="0.35">
      <c r="C1054" s="1" t="s">
        <v>7564</v>
      </c>
      <c r="D1054" s="1" t="s">
        <v>18</v>
      </c>
      <c r="E1054" s="250">
        <v>5124.5730000000003</v>
      </c>
    </row>
    <row r="1055" spans="3:5" x14ac:dyDescent="0.35">
      <c r="C1055" s="1" t="s">
        <v>7563</v>
      </c>
      <c r="D1055" s="1" t="s">
        <v>18</v>
      </c>
      <c r="E1055" s="250">
        <v>5124.5739999999996</v>
      </c>
    </row>
    <row r="1056" spans="3:5" x14ac:dyDescent="0.35">
      <c r="C1056" s="1" t="s">
        <v>7562</v>
      </c>
      <c r="D1056" s="1" t="s">
        <v>18</v>
      </c>
      <c r="E1056" s="250">
        <v>5124.5749999999998</v>
      </c>
    </row>
    <row r="1057" spans="3:5" x14ac:dyDescent="0.35">
      <c r="C1057" s="1" t="s">
        <v>7561</v>
      </c>
      <c r="D1057" s="1" t="s">
        <v>18</v>
      </c>
      <c r="E1057" s="250">
        <v>5124.576</v>
      </c>
    </row>
    <row r="1058" spans="3:5" x14ac:dyDescent="0.35">
      <c r="C1058" s="1" t="s">
        <v>7560</v>
      </c>
      <c r="D1058" s="1" t="s">
        <v>18</v>
      </c>
      <c r="E1058" s="250">
        <v>5124.5770000000002</v>
      </c>
    </row>
    <row r="1059" spans="3:5" x14ac:dyDescent="0.35">
      <c r="C1059" s="1" t="s">
        <v>7559</v>
      </c>
      <c r="D1059" s="1" t="s">
        <v>18</v>
      </c>
      <c r="E1059" s="250">
        <v>5124.5780000000004</v>
      </c>
    </row>
    <row r="1060" spans="3:5" x14ac:dyDescent="0.35">
      <c r="C1060" s="1" t="s">
        <v>7558</v>
      </c>
      <c r="D1060" s="1" t="s">
        <v>18</v>
      </c>
      <c r="E1060" s="250">
        <v>5124.5789999999997</v>
      </c>
    </row>
    <row r="1061" spans="3:5" x14ac:dyDescent="0.35">
      <c r="C1061" s="1" t="s">
        <v>7557</v>
      </c>
      <c r="D1061" s="1" t="s">
        <v>18</v>
      </c>
      <c r="E1061" s="250">
        <v>5124.58</v>
      </c>
    </row>
    <row r="1062" spans="3:5" x14ac:dyDescent="0.35">
      <c r="C1062" s="1" t="s">
        <v>7556</v>
      </c>
      <c r="D1062" s="1" t="s">
        <v>18</v>
      </c>
      <c r="E1062" s="250">
        <v>5124.5810000000001</v>
      </c>
    </row>
    <row r="1063" spans="3:5" x14ac:dyDescent="0.35">
      <c r="C1063" s="1" t="s">
        <v>7555</v>
      </c>
      <c r="D1063" s="1" t="s">
        <v>18</v>
      </c>
      <c r="E1063" s="250">
        <v>5124.5820000000003</v>
      </c>
    </row>
    <row r="1064" spans="3:5" x14ac:dyDescent="0.35">
      <c r="C1064" s="1" t="s">
        <v>7554</v>
      </c>
      <c r="D1064" s="1" t="s">
        <v>18</v>
      </c>
      <c r="E1064" s="250">
        <v>5124.5829999999996</v>
      </c>
    </row>
    <row r="1065" spans="3:5" x14ac:dyDescent="0.35">
      <c r="C1065" s="1" t="s">
        <v>7553</v>
      </c>
      <c r="D1065" s="1" t="s">
        <v>18</v>
      </c>
      <c r="E1065" s="250">
        <v>5124.5839999999998</v>
      </c>
    </row>
    <row r="1066" spans="3:5" x14ac:dyDescent="0.35">
      <c r="C1066" s="1" t="s">
        <v>7552</v>
      </c>
      <c r="D1066" s="1" t="s">
        <v>18</v>
      </c>
      <c r="E1066" s="250">
        <v>5124.585</v>
      </c>
    </row>
    <row r="1067" spans="3:5" x14ac:dyDescent="0.35">
      <c r="C1067" s="1" t="s">
        <v>7551</v>
      </c>
      <c r="D1067" s="1" t="s">
        <v>18</v>
      </c>
      <c r="E1067" s="250">
        <v>5124.5860000000002</v>
      </c>
    </row>
    <row r="1068" spans="3:5" x14ac:dyDescent="0.35">
      <c r="C1068" s="1" t="s">
        <v>7550</v>
      </c>
      <c r="D1068" s="1" t="s">
        <v>18</v>
      </c>
      <c r="E1068" s="250">
        <v>5124.5870000000004</v>
      </c>
    </row>
    <row r="1069" spans="3:5" x14ac:dyDescent="0.35">
      <c r="C1069" s="1" t="s">
        <v>7549</v>
      </c>
      <c r="D1069" s="1" t="s">
        <v>18</v>
      </c>
      <c r="E1069" s="250">
        <v>5124.5879999999997</v>
      </c>
    </row>
    <row r="1070" spans="3:5" x14ac:dyDescent="0.35">
      <c r="C1070" s="1" t="s">
        <v>7548</v>
      </c>
      <c r="D1070" s="1" t="s">
        <v>18</v>
      </c>
      <c r="E1070" s="250">
        <v>5124.5889999999999</v>
      </c>
    </row>
    <row r="1071" spans="3:5" x14ac:dyDescent="0.35">
      <c r="C1071" s="1" t="s">
        <v>7547</v>
      </c>
      <c r="D1071" s="1" t="s">
        <v>18</v>
      </c>
      <c r="E1071" s="250">
        <v>5124.59</v>
      </c>
    </row>
    <row r="1072" spans="3:5" x14ac:dyDescent="0.35">
      <c r="C1072" s="1" t="s">
        <v>7546</v>
      </c>
      <c r="D1072" s="1" t="s">
        <v>18</v>
      </c>
      <c r="E1072" s="250">
        <v>5124.5910000000003</v>
      </c>
    </row>
    <row r="1073" spans="3:5" x14ac:dyDescent="0.35">
      <c r="C1073" s="1" t="s">
        <v>7545</v>
      </c>
      <c r="D1073" s="1" t="s">
        <v>18</v>
      </c>
      <c r="E1073" s="250">
        <v>5124.5919999999996</v>
      </c>
    </row>
    <row r="1074" spans="3:5" x14ac:dyDescent="0.35">
      <c r="C1074" s="1" t="s">
        <v>7544</v>
      </c>
      <c r="D1074" s="1" t="s">
        <v>18</v>
      </c>
      <c r="E1074" s="250">
        <v>5124.5929999999998</v>
      </c>
    </row>
    <row r="1075" spans="3:5" x14ac:dyDescent="0.35">
      <c r="C1075" s="1" t="s">
        <v>7543</v>
      </c>
      <c r="D1075" s="1" t="s">
        <v>18</v>
      </c>
      <c r="E1075" s="250">
        <v>5124.5940000000001</v>
      </c>
    </row>
    <row r="1076" spans="3:5" x14ac:dyDescent="0.35">
      <c r="C1076" s="1" t="s">
        <v>7542</v>
      </c>
      <c r="D1076" s="1" t="s">
        <v>18</v>
      </c>
      <c r="E1076" s="250">
        <v>5124.5950000000003</v>
      </c>
    </row>
    <row r="1077" spans="3:5" x14ac:dyDescent="0.35">
      <c r="C1077" s="1" t="s">
        <v>7541</v>
      </c>
      <c r="D1077" s="1" t="s">
        <v>18</v>
      </c>
      <c r="E1077" s="250">
        <v>5124.5959999999995</v>
      </c>
    </row>
    <row r="1078" spans="3:5" x14ac:dyDescent="0.35">
      <c r="C1078" s="1" t="s">
        <v>7540</v>
      </c>
      <c r="D1078" s="1" t="s">
        <v>18</v>
      </c>
      <c r="E1078" s="250">
        <v>5124.5969999999998</v>
      </c>
    </row>
    <row r="1079" spans="3:5" x14ac:dyDescent="0.35">
      <c r="C1079" s="1" t="s">
        <v>7539</v>
      </c>
      <c r="D1079" s="1" t="s">
        <v>18</v>
      </c>
      <c r="E1079" s="250">
        <v>5124.598</v>
      </c>
    </row>
    <row r="1080" spans="3:5" x14ac:dyDescent="0.35">
      <c r="C1080" s="1" t="s">
        <v>7538</v>
      </c>
      <c r="D1080" s="1" t="s">
        <v>18</v>
      </c>
      <c r="E1080" s="250">
        <v>5124.5990000000002</v>
      </c>
    </row>
    <row r="1081" spans="3:5" x14ac:dyDescent="0.35">
      <c r="C1081" s="1" t="s">
        <v>7537</v>
      </c>
      <c r="D1081" s="1" t="s">
        <v>18</v>
      </c>
      <c r="E1081" s="250">
        <v>5124.6000000000004</v>
      </c>
    </row>
    <row r="1082" spans="3:5" x14ac:dyDescent="0.35">
      <c r="C1082" s="1" t="s">
        <v>7536</v>
      </c>
      <c r="D1082" s="1" t="s">
        <v>18</v>
      </c>
      <c r="E1082" s="250">
        <v>5124.6009999999997</v>
      </c>
    </row>
    <row r="1083" spans="3:5" x14ac:dyDescent="0.35">
      <c r="C1083" s="1" t="s">
        <v>7535</v>
      </c>
      <c r="D1083" s="1" t="s">
        <v>18</v>
      </c>
      <c r="E1083" s="250">
        <v>5124.6019999999999</v>
      </c>
    </row>
    <row r="1084" spans="3:5" x14ac:dyDescent="0.35">
      <c r="C1084" s="1" t="s">
        <v>7534</v>
      </c>
      <c r="D1084" s="1" t="s">
        <v>18</v>
      </c>
      <c r="E1084" s="250">
        <v>5124.6030000000001</v>
      </c>
    </row>
    <row r="1085" spans="3:5" x14ac:dyDescent="0.35">
      <c r="C1085" s="1" t="s">
        <v>7533</v>
      </c>
      <c r="D1085" s="1" t="s">
        <v>18</v>
      </c>
      <c r="E1085" s="250">
        <v>5124.6040000000003</v>
      </c>
    </row>
    <row r="1086" spans="3:5" x14ac:dyDescent="0.35">
      <c r="C1086" s="1" t="s">
        <v>7532</v>
      </c>
      <c r="D1086" s="1" t="s">
        <v>18</v>
      </c>
      <c r="E1086" s="250">
        <v>5124.6049999999996</v>
      </c>
    </row>
    <row r="1087" spans="3:5" x14ac:dyDescent="0.35">
      <c r="C1087" s="1" t="s">
        <v>7531</v>
      </c>
      <c r="D1087" s="1" t="s">
        <v>18</v>
      </c>
      <c r="E1087" s="250">
        <v>5124.6059999999998</v>
      </c>
    </row>
    <row r="1088" spans="3:5" x14ac:dyDescent="0.35">
      <c r="C1088" s="1" t="s">
        <v>7530</v>
      </c>
      <c r="D1088" s="1" t="s">
        <v>18</v>
      </c>
      <c r="E1088" s="250">
        <v>5124.607</v>
      </c>
    </row>
    <row r="1089" spans="3:5" x14ac:dyDescent="0.35">
      <c r="C1089" s="1" t="s">
        <v>7529</v>
      </c>
      <c r="D1089" s="1" t="s">
        <v>18</v>
      </c>
      <c r="E1089" s="250">
        <v>5124.6080000000002</v>
      </c>
    </row>
    <row r="1090" spans="3:5" x14ac:dyDescent="0.35">
      <c r="C1090" s="1" t="s">
        <v>7528</v>
      </c>
      <c r="D1090" s="1" t="s">
        <v>18</v>
      </c>
      <c r="E1090" s="250">
        <v>5124.6090000000004</v>
      </c>
    </row>
    <row r="1091" spans="3:5" x14ac:dyDescent="0.35">
      <c r="C1091" s="1" t="s">
        <v>7527</v>
      </c>
      <c r="D1091" s="1" t="s">
        <v>18</v>
      </c>
      <c r="E1091" s="250">
        <v>5124.6099999999997</v>
      </c>
    </row>
    <row r="1092" spans="3:5" x14ac:dyDescent="0.35">
      <c r="C1092" s="1" t="s">
        <v>7526</v>
      </c>
      <c r="D1092" s="1" t="s">
        <v>18</v>
      </c>
      <c r="E1092" s="250">
        <v>5124.6109999999999</v>
      </c>
    </row>
    <row r="1093" spans="3:5" x14ac:dyDescent="0.35">
      <c r="C1093" s="1" t="s">
        <v>7525</v>
      </c>
      <c r="D1093" s="1" t="s">
        <v>18</v>
      </c>
      <c r="E1093" s="250">
        <v>5124.6120000000001</v>
      </c>
    </row>
    <row r="1094" spans="3:5" x14ac:dyDescent="0.35">
      <c r="C1094" s="1" t="s">
        <v>7524</v>
      </c>
      <c r="D1094" s="1" t="s">
        <v>18</v>
      </c>
      <c r="E1094" s="250">
        <v>5124.6130000000003</v>
      </c>
    </row>
    <row r="1095" spans="3:5" x14ac:dyDescent="0.35">
      <c r="C1095" s="1" t="s">
        <v>7523</v>
      </c>
      <c r="D1095" s="1" t="s">
        <v>18</v>
      </c>
      <c r="E1095" s="250">
        <v>5124.6139999999996</v>
      </c>
    </row>
    <row r="1096" spans="3:5" x14ac:dyDescent="0.35">
      <c r="C1096" s="1" t="s">
        <v>7522</v>
      </c>
      <c r="D1096" s="1" t="s">
        <v>18</v>
      </c>
      <c r="E1096" s="250">
        <v>5124.6149999999998</v>
      </c>
    </row>
    <row r="1097" spans="3:5" x14ac:dyDescent="0.35">
      <c r="C1097" s="1" t="s">
        <v>7521</v>
      </c>
      <c r="D1097" s="1" t="s">
        <v>18</v>
      </c>
      <c r="E1097" s="250">
        <v>5124.616</v>
      </c>
    </row>
    <row r="1098" spans="3:5" x14ac:dyDescent="0.35">
      <c r="C1098" s="1" t="s">
        <v>7520</v>
      </c>
      <c r="D1098" s="1" t="s">
        <v>18</v>
      </c>
      <c r="E1098" s="250">
        <v>5124.6170000000002</v>
      </c>
    </row>
    <row r="1099" spans="3:5" x14ac:dyDescent="0.35">
      <c r="C1099" s="1" t="s">
        <v>7519</v>
      </c>
      <c r="D1099" s="1" t="s">
        <v>18</v>
      </c>
      <c r="E1099" s="250">
        <v>5124.6180000000004</v>
      </c>
    </row>
    <row r="1100" spans="3:5" x14ac:dyDescent="0.35">
      <c r="C1100" s="1" t="s">
        <v>7518</v>
      </c>
      <c r="D1100" s="1" t="s">
        <v>18</v>
      </c>
      <c r="E1100" s="250">
        <v>5124.6189999999997</v>
      </c>
    </row>
    <row r="1101" spans="3:5" x14ac:dyDescent="0.35">
      <c r="C1101" s="1" t="s">
        <v>7517</v>
      </c>
      <c r="D1101" s="1" t="s">
        <v>18</v>
      </c>
      <c r="E1101" s="250">
        <v>5124.62</v>
      </c>
    </row>
    <row r="1102" spans="3:5" x14ac:dyDescent="0.35">
      <c r="C1102" s="1" t="s">
        <v>7516</v>
      </c>
      <c r="D1102" s="1" t="s">
        <v>18</v>
      </c>
      <c r="E1102" s="250">
        <v>5124.6210000000001</v>
      </c>
    </row>
    <row r="1103" spans="3:5" x14ac:dyDescent="0.35">
      <c r="C1103" s="1" t="s">
        <v>7515</v>
      </c>
      <c r="D1103" s="1" t="s">
        <v>18</v>
      </c>
      <c r="E1103" s="250">
        <v>5124.6220000000003</v>
      </c>
    </row>
    <row r="1104" spans="3:5" x14ac:dyDescent="0.35">
      <c r="C1104" s="1" t="s">
        <v>7514</v>
      </c>
      <c r="D1104" s="1" t="s">
        <v>18</v>
      </c>
      <c r="E1104" s="250">
        <v>5124.6229999999996</v>
      </c>
    </row>
    <row r="1105" spans="3:5" x14ac:dyDescent="0.35">
      <c r="C1105" s="1" t="s">
        <v>7513</v>
      </c>
      <c r="D1105" s="1" t="s">
        <v>18</v>
      </c>
      <c r="E1105" s="250">
        <v>5124.6239999999998</v>
      </c>
    </row>
    <row r="1106" spans="3:5" x14ac:dyDescent="0.35">
      <c r="C1106" s="1" t="s">
        <v>7512</v>
      </c>
      <c r="D1106" s="1" t="s">
        <v>18</v>
      </c>
      <c r="E1106" s="250">
        <v>5124.625</v>
      </c>
    </row>
    <row r="1107" spans="3:5" x14ac:dyDescent="0.35">
      <c r="C1107" s="1" t="s">
        <v>7511</v>
      </c>
      <c r="D1107" s="1" t="s">
        <v>18</v>
      </c>
      <c r="E1107" s="250">
        <v>5124.6260000000002</v>
      </c>
    </row>
    <row r="1108" spans="3:5" x14ac:dyDescent="0.35">
      <c r="C1108" s="1" t="s">
        <v>7510</v>
      </c>
      <c r="D1108" s="1" t="s">
        <v>18</v>
      </c>
      <c r="E1108" s="250">
        <v>5124.6270000000004</v>
      </c>
    </row>
    <row r="1109" spans="3:5" x14ac:dyDescent="0.35">
      <c r="C1109" s="1" t="s">
        <v>7509</v>
      </c>
      <c r="D1109" s="1" t="s">
        <v>18</v>
      </c>
      <c r="E1109" s="250">
        <v>5124.6279999999997</v>
      </c>
    </row>
    <row r="1110" spans="3:5" x14ac:dyDescent="0.35">
      <c r="C1110" s="1" t="s">
        <v>7508</v>
      </c>
      <c r="D1110" s="1" t="s">
        <v>18</v>
      </c>
      <c r="E1110" s="250">
        <v>5124.6289999999999</v>
      </c>
    </row>
    <row r="1111" spans="3:5" x14ac:dyDescent="0.35">
      <c r="C1111" s="1" t="s">
        <v>7507</v>
      </c>
      <c r="D1111" s="1" t="s">
        <v>18</v>
      </c>
      <c r="E1111" s="250">
        <v>5124.63</v>
      </c>
    </row>
    <row r="1112" spans="3:5" x14ac:dyDescent="0.35">
      <c r="C1112" s="1" t="s">
        <v>7506</v>
      </c>
      <c r="D1112" s="1" t="s">
        <v>18</v>
      </c>
      <c r="E1112" s="250">
        <v>5124.6310000000003</v>
      </c>
    </row>
    <row r="1113" spans="3:5" x14ac:dyDescent="0.35">
      <c r="C1113" s="1" t="s">
        <v>7505</v>
      </c>
      <c r="D1113" s="1" t="s">
        <v>18</v>
      </c>
      <c r="E1113" s="250">
        <v>5124.6400000000003</v>
      </c>
    </row>
    <row r="1114" spans="3:5" x14ac:dyDescent="0.35">
      <c r="C1114" s="1" t="s">
        <v>7504</v>
      </c>
      <c r="D1114" s="1" t="s">
        <v>18</v>
      </c>
      <c r="E1114" s="250">
        <v>5124.6409999999996</v>
      </c>
    </row>
    <row r="1115" spans="3:5" x14ac:dyDescent="0.35">
      <c r="C1115" s="1" t="s">
        <v>7503</v>
      </c>
      <c r="D1115" s="1" t="s">
        <v>18</v>
      </c>
      <c r="E1115" s="250">
        <v>5124.6419999999998</v>
      </c>
    </row>
    <row r="1116" spans="3:5" x14ac:dyDescent="0.35">
      <c r="C1116" s="1" t="s">
        <v>7502</v>
      </c>
      <c r="D1116" s="1" t="s">
        <v>18</v>
      </c>
      <c r="E1116" s="250">
        <v>5124.643</v>
      </c>
    </row>
    <row r="1117" spans="3:5" x14ac:dyDescent="0.35">
      <c r="C1117" s="1" t="s">
        <v>7501</v>
      </c>
      <c r="D1117" s="1" t="s">
        <v>18</v>
      </c>
      <c r="E1117" s="250">
        <v>5124.6440000000002</v>
      </c>
    </row>
    <row r="1118" spans="3:5" x14ac:dyDescent="0.35">
      <c r="C1118" s="1" t="s">
        <v>7500</v>
      </c>
      <c r="D1118" s="1" t="s">
        <v>18</v>
      </c>
      <c r="E1118" s="250">
        <v>5124.6450000000004</v>
      </c>
    </row>
    <row r="1119" spans="3:5" x14ac:dyDescent="0.35">
      <c r="C1119" s="1" t="s">
        <v>7499</v>
      </c>
      <c r="D1119" s="1" t="s">
        <v>18</v>
      </c>
      <c r="E1119" s="250">
        <v>5124.6459999999997</v>
      </c>
    </row>
    <row r="1120" spans="3:5" x14ac:dyDescent="0.35">
      <c r="C1120" s="1" t="s">
        <v>7498</v>
      </c>
      <c r="D1120" s="1" t="s">
        <v>18</v>
      </c>
      <c r="E1120" s="250">
        <v>5124.6469999999999</v>
      </c>
    </row>
    <row r="1121" spans="3:5" x14ac:dyDescent="0.35">
      <c r="C1121" s="1" t="s">
        <v>7497</v>
      </c>
      <c r="D1121" s="1" t="s">
        <v>18</v>
      </c>
      <c r="E1121" s="250">
        <v>5124.6480000000001</v>
      </c>
    </row>
    <row r="1122" spans="3:5" x14ac:dyDescent="0.35">
      <c r="C1122" s="1" t="s">
        <v>7496</v>
      </c>
      <c r="D1122" s="1" t="s">
        <v>18</v>
      </c>
      <c r="E1122" s="250">
        <v>5124.6490000000003</v>
      </c>
    </row>
    <row r="1123" spans="3:5" x14ac:dyDescent="0.35">
      <c r="C1123" s="1" t="s">
        <v>7495</v>
      </c>
      <c r="D1123" s="1" t="s">
        <v>18</v>
      </c>
      <c r="E1123" s="250">
        <v>5124.6499999999996</v>
      </c>
    </row>
    <row r="1124" spans="3:5" x14ac:dyDescent="0.35">
      <c r="C1124" s="1" t="s">
        <v>7494</v>
      </c>
      <c r="D1124" s="1" t="s">
        <v>18</v>
      </c>
      <c r="E1124" s="250">
        <v>5124.6509999999998</v>
      </c>
    </row>
    <row r="1125" spans="3:5" x14ac:dyDescent="0.35">
      <c r="C1125" s="1" t="s">
        <v>7493</v>
      </c>
      <c r="D1125" s="1" t="s">
        <v>18</v>
      </c>
      <c r="E1125" s="250">
        <v>5124.652</v>
      </c>
    </row>
    <row r="1126" spans="3:5" x14ac:dyDescent="0.35">
      <c r="C1126" s="1" t="s">
        <v>7492</v>
      </c>
      <c r="D1126" s="1" t="s">
        <v>18</v>
      </c>
      <c r="E1126" s="250">
        <v>5124.6530000000002</v>
      </c>
    </row>
    <row r="1127" spans="3:5" x14ac:dyDescent="0.35">
      <c r="C1127" s="1" t="s">
        <v>7491</v>
      </c>
      <c r="D1127" s="1" t="s">
        <v>18</v>
      </c>
      <c r="E1127" s="250">
        <v>5124.6629999999996</v>
      </c>
    </row>
    <row r="1128" spans="3:5" x14ac:dyDescent="0.35">
      <c r="C1128" s="1" t="s">
        <v>7490</v>
      </c>
      <c r="D1128" s="1" t="s">
        <v>18</v>
      </c>
      <c r="E1128" s="250">
        <v>5124.6639999999998</v>
      </c>
    </row>
    <row r="1129" spans="3:5" x14ac:dyDescent="0.35">
      <c r="C1129" s="1" t="s">
        <v>7489</v>
      </c>
      <c r="D1129" s="1" t="s">
        <v>18</v>
      </c>
      <c r="E1129" s="250">
        <v>5124.665</v>
      </c>
    </row>
    <row r="1130" spans="3:5" x14ac:dyDescent="0.35">
      <c r="C1130" s="1" t="s">
        <v>7488</v>
      </c>
      <c r="D1130" s="1" t="s">
        <v>18</v>
      </c>
      <c r="E1130" s="250">
        <v>5124.6660000000002</v>
      </c>
    </row>
    <row r="1131" spans="3:5" x14ac:dyDescent="0.35">
      <c r="C1131" s="1" t="s">
        <v>7487</v>
      </c>
      <c r="D1131" s="1" t="s">
        <v>18</v>
      </c>
      <c r="E1131" s="250">
        <v>5124.6670000000004</v>
      </c>
    </row>
    <row r="1132" spans="3:5" x14ac:dyDescent="0.35">
      <c r="C1132" s="1" t="s">
        <v>7486</v>
      </c>
      <c r="D1132" s="1" t="s">
        <v>18</v>
      </c>
      <c r="E1132" s="250">
        <v>5124.6679999999997</v>
      </c>
    </row>
    <row r="1133" spans="3:5" x14ac:dyDescent="0.35">
      <c r="C1133" s="1" t="s">
        <v>7485</v>
      </c>
      <c r="D1133" s="1" t="s">
        <v>18</v>
      </c>
      <c r="E1133" s="250">
        <v>5124.6689999999999</v>
      </c>
    </row>
    <row r="1134" spans="3:5" x14ac:dyDescent="0.35">
      <c r="C1134" s="1" t="s">
        <v>7484</v>
      </c>
      <c r="D1134" s="1" t="s">
        <v>18</v>
      </c>
      <c r="E1134" s="250">
        <v>5124.67</v>
      </c>
    </row>
    <row r="1135" spans="3:5" x14ac:dyDescent="0.35">
      <c r="C1135" s="1" t="s">
        <v>7483</v>
      </c>
      <c r="D1135" s="1" t="s">
        <v>18</v>
      </c>
      <c r="E1135" s="250">
        <v>5124.6710000000003</v>
      </c>
    </row>
    <row r="1136" spans="3:5" x14ac:dyDescent="0.35">
      <c r="C1136" s="1" t="s">
        <v>7482</v>
      </c>
      <c r="D1136" s="1" t="s">
        <v>18</v>
      </c>
      <c r="E1136" s="250">
        <v>5124.6719999999996</v>
      </c>
    </row>
    <row r="1137" spans="3:5" x14ac:dyDescent="0.35">
      <c r="C1137" s="1" t="s">
        <v>7481</v>
      </c>
      <c r="D1137" s="1" t="s">
        <v>18</v>
      </c>
      <c r="E1137" s="250">
        <v>5124.6729999999998</v>
      </c>
    </row>
    <row r="1138" spans="3:5" x14ac:dyDescent="0.35">
      <c r="C1138" s="1" t="s">
        <v>7480</v>
      </c>
      <c r="D1138" s="1" t="s">
        <v>18</v>
      </c>
      <c r="E1138" s="250">
        <v>5124.674</v>
      </c>
    </row>
    <row r="1139" spans="3:5" x14ac:dyDescent="0.35">
      <c r="C1139" s="1" t="s">
        <v>7479</v>
      </c>
      <c r="D1139" s="1" t="s">
        <v>18</v>
      </c>
      <c r="E1139" s="250">
        <v>5124.6750000000002</v>
      </c>
    </row>
    <row r="1140" spans="3:5" x14ac:dyDescent="0.35">
      <c r="C1140" s="1" t="s">
        <v>7478</v>
      </c>
      <c r="D1140" s="1" t="s">
        <v>18</v>
      </c>
      <c r="E1140" s="250">
        <v>5124.6869999999999</v>
      </c>
    </row>
    <row r="1141" spans="3:5" x14ac:dyDescent="0.35">
      <c r="C1141" s="1" t="s">
        <v>7477</v>
      </c>
      <c r="D1141" s="1" t="s">
        <v>18</v>
      </c>
      <c r="E1141" s="250">
        <v>5124.6880000000001</v>
      </c>
    </row>
    <row r="1142" spans="3:5" x14ac:dyDescent="0.35">
      <c r="C1142" s="1" t="s">
        <v>7476</v>
      </c>
      <c r="D1142" s="1" t="s">
        <v>18</v>
      </c>
      <c r="E1142" s="250">
        <v>5124.6890000000003</v>
      </c>
    </row>
    <row r="1143" spans="3:5" x14ac:dyDescent="0.35">
      <c r="C1143" s="1" t="s">
        <v>7475</v>
      </c>
      <c r="D1143" s="1" t="s">
        <v>18</v>
      </c>
      <c r="E1143" s="250">
        <v>5124.6899999999996</v>
      </c>
    </row>
    <row r="1144" spans="3:5" x14ac:dyDescent="0.35">
      <c r="C1144" s="1" t="s">
        <v>7474</v>
      </c>
      <c r="D1144" s="1" t="s">
        <v>18</v>
      </c>
      <c r="E1144" s="250">
        <v>5124.6909999999998</v>
      </c>
    </row>
    <row r="1145" spans="3:5" x14ac:dyDescent="0.35">
      <c r="C1145" s="1" t="s">
        <v>7473</v>
      </c>
      <c r="D1145" s="1" t="s">
        <v>18</v>
      </c>
      <c r="E1145" s="250">
        <v>5124.692</v>
      </c>
    </row>
    <row r="1146" spans="3:5" x14ac:dyDescent="0.35">
      <c r="C1146" s="1" t="s">
        <v>7472</v>
      </c>
      <c r="D1146" s="1" t="s">
        <v>18</v>
      </c>
      <c r="E1146" s="250">
        <v>5124.6930000000002</v>
      </c>
    </row>
    <row r="1147" spans="3:5" x14ac:dyDescent="0.35">
      <c r="C1147" s="1" t="s">
        <v>7471</v>
      </c>
      <c r="D1147" s="1" t="s">
        <v>18</v>
      </c>
      <c r="E1147" s="250">
        <v>5124.6940000000004</v>
      </c>
    </row>
    <row r="1148" spans="3:5" x14ac:dyDescent="0.35">
      <c r="C1148" s="1" t="s">
        <v>7470</v>
      </c>
      <c r="D1148" s="1" t="s">
        <v>18</v>
      </c>
      <c r="E1148" s="250">
        <v>5124.6949999999997</v>
      </c>
    </row>
    <row r="1149" spans="3:5" x14ac:dyDescent="0.35">
      <c r="C1149" s="1" t="s">
        <v>7469</v>
      </c>
      <c r="D1149" s="1" t="s">
        <v>18</v>
      </c>
      <c r="E1149" s="250">
        <v>5124.6959999999999</v>
      </c>
    </row>
    <row r="1150" spans="3:5" x14ac:dyDescent="0.35">
      <c r="C1150" s="1" t="s">
        <v>7468</v>
      </c>
      <c r="D1150" s="1" t="s">
        <v>18</v>
      </c>
      <c r="E1150" s="250">
        <v>5124.7079999999996</v>
      </c>
    </row>
    <row r="1151" spans="3:5" x14ac:dyDescent="0.35">
      <c r="C1151" s="1" t="s">
        <v>7467</v>
      </c>
      <c r="D1151" s="1" t="s">
        <v>18</v>
      </c>
      <c r="E1151" s="250">
        <v>5124.7089999999998</v>
      </c>
    </row>
    <row r="1152" spans="3:5" x14ac:dyDescent="0.35">
      <c r="C1152" s="1" t="s">
        <v>7466</v>
      </c>
      <c r="D1152" s="1" t="s">
        <v>18</v>
      </c>
      <c r="E1152" s="250">
        <v>5124.71</v>
      </c>
    </row>
    <row r="1153" spans="3:5" x14ac:dyDescent="0.35">
      <c r="C1153" s="1" t="s">
        <v>7465</v>
      </c>
      <c r="D1153" s="1" t="s">
        <v>18</v>
      </c>
      <c r="E1153" s="250">
        <v>5124.7110000000002</v>
      </c>
    </row>
    <row r="1154" spans="3:5" x14ac:dyDescent="0.35">
      <c r="C1154" s="1" t="s">
        <v>7464</v>
      </c>
      <c r="D1154" s="1" t="s">
        <v>18</v>
      </c>
      <c r="E1154" s="250">
        <v>5124.7120000000004</v>
      </c>
    </row>
    <row r="1155" spans="3:5" x14ac:dyDescent="0.35">
      <c r="C1155" s="1" t="s">
        <v>7463</v>
      </c>
      <c r="D1155" s="1" t="s">
        <v>18</v>
      </c>
      <c r="E1155" s="250">
        <v>5124.7129999999997</v>
      </c>
    </row>
    <row r="1156" spans="3:5" x14ac:dyDescent="0.35">
      <c r="C1156" s="1" t="s">
        <v>7462</v>
      </c>
      <c r="D1156" s="1" t="s">
        <v>18</v>
      </c>
      <c r="E1156" s="250">
        <v>5124.7139999999999</v>
      </c>
    </row>
    <row r="1157" spans="3:5" x14ac:dyDescent="0.35">
      <c r="C1157" s="1" t="s">
        <v>7461</v>
      </c>
      <c r="D1157" s="1" t="s">
        <v>18</v>
      </c>
      <c r="E1157" s="250">
        <v>5124.7150000000001</v>
      </c>
    </row>
    <row r="1158" spans="3:5" x14ac:dyDescent="0.35">
      <c r="C1158" s="1" t="s">
        <v>7460</v>
      </c>
      <c r="D1158" s="1" t="s">
        <v>18</v>
      </c>
      <c r="E1158" s="250">
        <v>5124.7160000000003</v>
      </c>
    </row>
    <row r="1159" spans="3:5" x14ac:dyDescent="0.35">
      <c r="C1159" s="1" t="s">
        <v>7459</v>
      </c>
      <c r="D1159" s="1" t="s">
        <v>18</v>
      </c>
      <c r="E1159" s="250">
        <v>5124.7169999999996</v>
      </c>
    </row>
    <row r="1160" spans="3:5" x14ac:dyDescent="0.35">
      <c r="C1160" s="1" t="s">
        <v>7458</v>
      </c>
      <c r="D1160" s="1" t="s">
        <v>18</v>
      </c>
      <c r="E1160" s="250">
        <v>5124.7269999999999</v>
      </c>
    </row>
    <row r="1161" spans="3:5" x14ac:dyDescent="0.35">
      <c r="C1161" s="1" t="s">
        <v>7457</v>
      </c>
      <c r="D1161" s="1" t="s">
        <v>18</v>
      </c>
      <c r="E1161" s="250">
        <v>5124.7280000000001</v>
      </c>
    </row>
    <row r="1162" spans="3:5" x14ac:dyDescent="0.35">
      <c r="C1162" s="1" t="s">
        <v>7456</v>
      </c>
      <c r="D1162" s="1" t="s">
        <v>18</v>
      </c>
      <c r="E1162" s="250">
        <v>5124.7290000000003</v>
      </c>
    </row>
    <row r="1163" spans="3:5" x14ac:dyDescent="0.35">
      <c r="C1163" s="1" t="s">
        <v>7455</v>
      </c>
      <c r="D1163" s="1" t="s">
        <v>18</v>
      </c>
      <c r="E1163" s="250">
        <v>5124.7299999999996</v>
      </c>
    </row>
    <row r="1164" spans="3:5" x14ac:dyDescent="0.35">
      <c r="C1164" s="1" t="s">
        <v>7454</v>
      </c>
      <c r="D1164" s="1" t="s">
        <v>18</v>
      </c>
      <c r="E1164" s="250">
        <v>5124.7309999999998</v>
      </c>
    </row>
    <row r="1165" spans="3:5" x14ac:dyDescent="0.35">
      <c r="C1165" s="1" t="s">
        <v>7453</v>
      </c>
      <c r="D1165" s="1" t="s">
        <v>18</v>
      </c>
      <c r="E1165" s="250">
        <v>5124.732</v>
      </c>
    </row>
    <row r="1166" spans="3:5" x14ac:dyDescent="0.35">
      <c r="C1166" s="1" t="s">
        <v>7452</v>
      </c>
      <c r="D1166" s="1" t="s">
        <v>18</v>
      </c>
      <c r="E1166" s="250">
        <v>5124.7330000000002</v>
      </c>
    </row>
    <row r="1167" spans="3:5" x14ac:dyDescent="0.35">
      <c r="C1167" s="1" t="s">
        <v>7451</v>
      </c>
      <c r="D1167" s="1" t="s">
        <v>18</v>
      </c>
      <c r="E1167" s="250">
        <v>5124.7340000000004</v>
      </c>
    </row>
    <row r="1168" spans="3:5" x14ac:dyDescent="0.35">
      <c r="C1168" s="1" t="s">
        <v>7450</v>
      </c>
      <c r="D1168" s="1" t="s">
        <v>18</v>
      </c>
      <c r="E1168" s="250">
        <v>5124.7349999999997</v>
      </c>
    </row>
    <row r="1169" spans="3:5" x14ac:dyDescent="0.35">
      <c r="C1169" s="1" t="s">
        <v>7449</v>
      </c>
      <c r="D1169" s="1" t="s">
        <v>18</v>
      </c>
      <c r="E1169" s="250">
        <v>5124.7359999999999</v>
      </c>
    </row>
    <row r="1170" spans="3:5" x14ac:dyDescent="0.35">
      <c r="C1170" s="1" t="s">
        <v>7448</v>
      </c>
      <c r="D1170" s="1" t="s">
        <v>18</v>
      </c>
      <c r="E1170" s="250">
        <v>5124.7370000000001</v>
      </c>
    </row>
    <row r="1171" spans="3:5" x14ac:dyDescent="0.35">
      <c r="C1171" s="1" t="s">
        <v>7447</v>
      </c>
      <c r="D1171" s="1" t="s">
        <v>18</v>
      </c>
      <c r="E1171" s="250">
        <v>5124.7380000000003</v>
      </c>
    </row>
    <row r="1172" spans="3:5" x14ac:dyDescent="0.35">
      <c r="C1172" s="1" t="s">
        <v>7446</v>
      </c>
      <c r="D1172" s="1" t="s">
        <v>18</v>
      </c>
      <c r="E1172" s="250">
        <v>5124.7449999999999</v>
      </c>
    </row>
    <row r="1173" spans="3:5" x14ac:dyDescent="0.35">
      <c r="C1173" s="1" t="s">
        <v>7445</v>
      </c>
      <c r="D1173" s="1" t="s">
        <v>18</v>
      </c>
      <c r="E1173" s="250">
        <v>5124.7460000000001</v>
      </c>
    </row>
    <row r="1174" spans="3:5" x14ac:dyDescent="0.35">
      <c r="C1174" s="1" t="s">
        <v>7444</v>
      </c>
      <c r="D1174" s="1" t="s">
        <v>18</v>
      </c>
      <c r="E1174" s="250">
        <v>5124.7470000000003</v>
      </c>
    </row>
    <row r="1175" spans="3:5" x14ac:dyDescent="0.35">
      <c r="C1175" s="1" t="s">
        <v>7443</v>
      </c>
      <c r="D1175" s="1" t="s">
        <v>18</v>
      </c>
      <c r="E1175" s="250">
        <v>5124.7479999999996</v>
      </c>
    </row>
    <row r="1176" spans="3:5" x14ac:dyDescent="0.35">
      <c r="C1176" s="1" t="s">
        <v>7442</v>
      </c>
      <c r="D1176" s="1" t="s">
        <v>18</v>
      </c>
      <c r="E1176" s="250">
        <v>5124.7489999999998</v>
      </c>
    </row>
    <row r="1177" spans="3:5" x14ac:dyDescent="0.35">
      <c r="C1177" s="1" t="s">
        <v>7441</v>
      </c>
      <c r="D1177" s="1" t="s">
        <v>18</v>
      </c>
      <c r="E1177" s="250">
        <v>5124.75</v>
      </c>
    </row>
    <row r="1178" spans="3:5" x14ac:dyDescent="0.35">
      <c r="C1178" s="1" t="s">
        <v>7440</v>
      </c>
      <c r="D1178" s="1" t="s">
        <v>18</v>
      </c>
      <c r="E1178" s="250">
        <v>5124.7510000000002</v>
      </c>
    </row>
    <row r="1179" spans="3:5" x14ac:dyDescent="0.35">
      <c r="C1179" s="1" t="s">
        <v>7439</v>
      </c>
      <c r="D1179" s="1" t="s">
        <v>18</v>
      </c>
      <c r="E1179" s="250">
        <v>5124.7520000000004</v>
      </c>
    </row>
    <row r="1180" spans="3:5" x14ac:dyDescent="0.35">
      <c r="C1180" s="1" t="s">
        <v>7438</v>
      </c>
      <c r="D1180" s="1" t="s">
        <v>18</v>
      </c>
      <c r="E1180" s="250">
        <v>5124.7529999999997</v>
      </c>
    </row>
    <row r="1181" spans="3:5" x14ac:dyDescent="0.35">
      <c r="C1181" s="1" t="s">
        <v>7437</v>
      </c>
      <c r="D1181" s="1" t="s">
        <v>18</v>
      </c>
      <c r="E1181" s="250">
        <v>5124.7539999999999</v>
      </c>
    </row>
    <row r="1182" spans="3:5" x14ac:dyDescent="0.35">
      <c r="C1182" s="1" t="s">
        <v>7436</v>
      </c>
      <c r="D1182" s="1" t="s">
        <v>18</v>
      </c>
      <c r="E1182" s="250">
        <v>5124.7550000000001</v>
      </c>
    </row>
    <row r="1183" spans="3:5" x14ac:dyDescent="0.35">
      <c r="C1183" s="1" t="s">
        <v>7435</v>
      </c>
      <c r="D1183" s="1" t="s">
        <v>18</v>
      </c>
      <c r="E1183" s="250">
        <v>5124.7560000000003</v>
      </c>
    </row>
    <row r="1184" spans="3:5" x14ac:dyDescent="0.35">
      <c r="C1184" s="1" t="s">
        <v>7434</v>
      </c>
      <c r="D1184" s="1" t="s">
        <v>18</v>
      </c>
      <c r="E1184" s="250">
        <v>5124.7569999999996</v>
      </c>
    </row>
    <row r="1185" spans="3:5" x14ac:dyDescent="0.35">
      <c r="C1185" s="1" t="s">
        <v>7433</v>
      </c>
      <c r="D1185" s="1" t="s">
        <v>18</v>
      </c>
      <c r="E1185" s="250">
        <v>5124.7579999999998</v>
      </c>
    </row>
    <row r="1186" spans="3:5" x14ac:dyDescent="0.35">
      <c r="C1186" s="1" t="s">
        <v>7432</v>
      </c>
      <c r="D1186" s="1" t="s">
        <v>18</v>
      </c>
      <c r="E1186" s="250">
        <v>5124.759</v>
      </c>
    </row>
    <row r="1187" spans="3:5" x14ac:dyDescent="0.35">
      <c r="C1187" s="1" t="s">
        <v>7431</v>
      </c>
      <c r="D1187" s="1" t="s">
        <v>18</v>
      </c>
      <c r="E1187" s="250">
        <v>5124.76</v>
      </c>
    </row>
    <row r="1188" spans="3:5" x14ac:dyDescent="0.35">
      <c r="C1188" s="1" t="s">
        <v>7430</v>
      </c>
      <c r="D1188" s="1" t="s">
        <v>18</v>
      </c>
      <c r="E1188" s="250">
        <v>5125.0110000000004</v>
      </c>
    </row>
    <row r="1189" spans="3:5" x14ac:dyDescent="0.35">
      <c r="C1189" s="1" t="s">
        <v>7429</v>
      </c>
      <c r="D1189" s="1" t="s">
        <v>18</v>
      </c>
      <c r="E1189" s="250">
        <v>5125.0119999999997</v>
      </c>
    </row>
    <row r="1190" spans="3:5" x14ac:dyDescent="0.35">
      <c r="C1190" s="1" t="s">
        <v>7428</v>
      </c>
      <c r="D1190" s="1" t="s">
        <v>18</v>
      </c>
      <c r="E1190" s="250">
        <v>5125.0129999999999</v>
      </c>
    </row>
    <row r="1191" spans="3:5" x14ac:dyDescent="0.35">
      <c r="C1191" s="1" t="s">
        <v>7427</v>
      </c>
      <c r="D1191" s="1" t="s">
        <v>18</v>
      </c>
      <c r="E1191" s="250">
        <v>5125.0140000000001</v>
      </c>
    </row>
    <row r="1192" spans="3:5" x14ac:dyDescent="0.35">
      <c r="C1192" s="1" t="s">
        <v>7426</v>
      </c>
      <c r="D1192" s="1" t="s">
        <v>18</v>
      </c>
      <c r="E1192" s="250">
        <v>5125.0150000000003</v>
      </c>
    </row>
    <row r="1193" spans="3:5" x14ac:dyDescent="0.35">
      <c r="C1193" s="1" t="s">
        <v>7425</v>
      </c>
      <c r="D1193" s="1" t="s">
        <v>18</v>
      </c>
      <c r="E1193" s="250">
        <v>5125.0159999999996</v>
      </c>
    </row>
    <row r="1194" spans="3:5" x14ac:dyDescent="0.35">
      <c r="C1194" s="1" t="s">
        <v>7424</v>
      </c>
      <c r="D1194" s="1" t="s">
        <v>18</v>
      </c>
      <c r="E1194" s="250">
        <v>5125.0169999999998</v>
      </c>
    </row>
    <row r="1195" spans="3:5" x14ac:dyDescent="0.35">
      <c r="C1195" s="1" t="s">
        <v>7423</v>
      </c>
      <c r="D1195" s="1" t="s">
        <v>18</v>
      </c>
      <c r="E1195" s="250">
        <v>5125.018</v>
      </c>
    </row>
    <row r="1196" spans="3:5" x14ac:dyDescent="0.35">
      <c r="C1196" s="1" t="s">
        <v>7422</v>
      </c>
      <c r="D1196" s="1" t="s">
        <v>18</v>
      </c>
      <c r="E1196" s="250">
        <v>5125.0190000000002</v>
      </c>
    </row>
    <row r="1197" spans="3:5" x14ac:dyDescent="0.35">
      <c r="C1197" s="1" t="s">
        <v>7421</v>
      </c>
      <c r="D1197" s="1" t="s">
        <v>18</v>
      </c>
      <c r="E1197" s="250">
        <v>5125.0200000000004</v>
      </c>
    </row>
    <row r="1198" spans="3:5" x14ac:dyDescent="0.35">
      <c r="C1198" s="1" t="s">
        <v>7420</v>
      </c>
      <c r="D1198" s="1" t="s">
        <v>18</v>
      </c>
      <c r="E1198" s="250">
        <v>5125.0209999999997</v>
      </c>
    </row>
    <row r="1199" spans="3:5" x14ac:dyDescent="0.35">
      <c r="C1199" s="1" t="s">
        <v>7419</v>
      </c>
      <c r="D1199" s="1" t="s">
        <v>18</v>
      </c>
      <c r="E1199" s="250">
        <v>5125.0219999999999</v>
      </c>
    </row>
    <row r="1200" spans="3:5" x14ac:dyDescent="0.35">
      <c r="C1200" s="1" t="s">
        <v>7418</v>
      </c>
      <c r="D1200" s="1" t="s">
        <v>18</v>
      </c>
      <c r="E1200" s="250">
        <v>5125.0230000000001</v>
      </c>
    </row>
    <row r="1201" spans="3:5" x14ac:dyDescent="0.35">
      <c r="C1201" s="1" t="s">
        <v>7417</v>
      </c>
      <c r="D1201" s="1" t="s">
        <v>18</v>
      </c>
      <c r="E1201" s="250">
        <v>5125.0240000000003</v>
      </c>
    </row>
    <row r="1202" spans="3:5" x14ac:dyDescent="0.35">
      <c r="C1202" s="1" t="s">
        <v>7416</v>
      </c>
      <c r="D1202" s="1" t="s">
        <v>18</v>
      </c>
      <c r="E1202" s="250">
        <v>5125.0249999999996</v>
      </c>
    </row>
    <row r="1203" spans="3:5" x14ac:dyDescent="0.35">
      <c r="C1203" s="1" t="s">
        <v>7415</v>
      </c>
      <c r="D1203" s="1" t="s">
        <v>18</v>
      </c>
      <c r="E1203" s="250">
        <v>5125.0259999999998</v>
      </c>
    </row>
    <row r="1204" spans="3:5" x14ac:dyDescent="0.35">
      <c r="C1204" s="1" t="s">
        <v>7414</v>
      </c>
      <c r="D1204" s="1" t="s">
        <v>18</v>
      </c>
      <c r="E1204" s="250">
        <v>5125.027</v>
      </c>
    </row>
    <row r="1205" spans="3:5" x14ac:dyDescent="0.35">
      <c r="C1205" s="1" t="s">
        <v>7413</v>
      </c>
      <c r="D1205" s="1" t="s">
        <v>18</v>
      </c>
      <c r="E1205" s="250">
        <v>5125.0280000000002</v>
      </c>
    </row>
    <row r="1206" spans="3:5" x14ac:dyDescent="0.35">
      <c r="C1206" s="1" t="s">
        <v>7412</v>
      </c>
      <c r="D1206" s="1" t="s">
        <v>18</v>
      </c>
      <c r="E1206" s="250">
        <v>5125.0290000000005</v>
      </c>
    </row>
    <row r="1207" spans="3:5" x14ac:dyDescent="0.35">
      <c r="C1207" s="1" t="s">
        <v>7411</v>
      </c>
      <c r="D1207" s="1" t="s">
        <v>18</v>
      </c>
      <c r="E1207" s="250">
        <v>5125.03</v>
      </c>
    </row>
    <row r="1208" spans="3:5" x14ac:dyDescent="0.35">
      <c r="C1208" s="1" t="s">
        <v>7410</v>
      </c>
      <c r="D1208" s="1" t="s">
        <v>18</v>
      </c>
      <c r="E1208" s="250">
        <v>5125.0309999999999</v>
      </c>
    </row>
    <row r="1209" spans="3:5" x14ac:dyDescent="0.35">
      <c r="C1209" s="1" t="s">
        <v>7409</v>
      </c>
      <c r="D1209" s="1" t="s">
        <v>18</v>
      </c>
      <c r="E1209" s="250">
        <v>5125.0320000000002</v>
      </c>
    </row>
    <row r="1210" spans="3:5" x14ac:dyDescent="0.35">
      <c r="C1210" s="1" t="s">
        <v>7408</v>
      </c>
      <c r="D1210" s="1" t="s">
        <v>18</v>
      </c>
      <c r="E1210" s="250">
        <v>5125.0330000000004</v>
      </c>
    </row>
    <row r="1211" spans="3:5" x14ac:dyDescent="0.35">
      <c r="C1211" s="1" t="s">
        <v>7407</v>
      </c>
      <c r="D1211" s="1" t="s">
        <v>18</v>
      </c>
      <c r="E1211" s="250">
        <v>5125.0339999999997</v>
      </c>
    </row>
    <row r="1212" spans="3:5" x14ac:dyDescent="0.35">
      <c r="C1212" s="1" t="s">
        <v>7406</v>
      </c>
      <c r="D1212" s="1" t="s">
        <v>18</v>
      </c>
      <c r="E1212" s="250">
        <v>5125.0349999999999</v>
      </c>
    </row>
    <row r="1213" spans="3:5" x14ac:dyDescent="0.35">
      <c r="C1213" s="1" t="s">
        <v>7405</v>
      </c>
      <c r="D1213" s="1" t="s">
        <v>18</v>
      </c>
      <c r="E1213" s="250">
        <v>5125.0360000000001</v>
      </c>
    </row>
    <row r="1214" spans="3:5" x14ac:dyDescent="0.35">
      <c r="C1214" s="1" t="s">
        <v>7404</v>
      </c>
      <c r="D1214" s="1" t="s">
        <v>18</v>
      </c>
      <c r="E1214" s="250">
        <v>5125.0370000000003</v>
      </c>
    </row>
    <row r="1215" spans="3:5" x14ac:dyDescent="0.35">
      <c r="C1215" s="1" t="s">
        <v>7403</v>
      </c>
      <c r="D1215" s="1" t="s">
        <v>18</v>
      </c>
      <c r="E1215" s="250">
        <v>5125.0379999999996</v>
      </c>
    </row>
    <row r="1216" spans="3:5" x14ac:dyDescent="0.35">
      <c r="C1216" s="1" t="s">
        <v>7402</v>
      </c>
      <c r="D1216" s="1" t="s">
        <v>18</v>
      </c>
      <c r="E1216" s="250">
        <v>5125.0389999999998</v>
      </c>
    </row>
    <row r="1217" spans="3:5" x14ac:dyDescent="0.35">
      <c r="C1217" s="1" t="s">
        <v>7401</v>
      </c>
      <c r="D1217" s="1" t="s">
        <v>18</v>
      </c>
      <c r="E1217" s="250">
        <v>5125.04</v>
      </c>
    </row>
    <row r="1218" spans="3:5" x14ac:dyDescent="0.35">
      <c r="C1218" s="1" t="s">
        <v>7400</v>
      </c>
      <c r="D1218" s="1" t="s">
        <v>18</v>
      </c>
      <c r="E1218" s="250">
        <v>5125.0410000000002</v>
      </c>
    </row>
    <row r="1219" spans="3:5" x14ac:dyDescent="0.35">
      <c r="C1219" s="1" t="s">
        <v>7399</v>
      </c>
      <c r="D1219" s="1" t="s">
        <v>18</v>
      </c>
      <c r="E1219" s="250">
        <v>5125.1109999999999</v>
      </c>
    </row>
    <row r="1220" spans="3:5" x14ac:dyDescent="0.35">
      <c r="C1220" s="1" t="s">
        <v>7398</v>
      </c>
      <c r="D1220" s="1" t="s">
        <v>18</v>
      </c>
      <c r="E1220" s="250">
        <v>5125.1120000000001</v>
      </c>
    </row>
    <row r="1221" spans="3:5" x14ac:dyDescent="0.35">
      <c r="C1221" s="1" t="s">
        <v>7397</v>
      </c>
      <c r="D1221" s="1" t="s">
        <v>18</v>
      </c>
      <c r="E1221" s="250">
        <v>5125.1130000000003</v>
      </c>
    </row>
    <row r="1222" spans="3:5" x14ac:dyDescent="0.35">
      <c r="C1222" s="1" t="s">
        <v>7396</v>
      </c>
      <c r="D1222" s="1" t="s">
        <v>18</v>
      </c>
      <c r="E1222" s="250">
        <v>5125.1139999999996</v>
      </c>
    </row>
    <row r="1223" spans="3:5" x14ac:dyDescent="0.35">
      <c r="C1223" s="1" t="s">
        <v>7395</v>
      </c>
      <c r="D1223" s="1" t="s">
        <v>18</v>
      </c>
      <c r="E1223" s="250">
        <v>5125.1149999999998</v>
      </c>
    </row>
    <row r="1224" spans="3:5" x14ac:dyDescent="0.35">
      <c r="C1224" s="1" t="s">
        <v>7394</v>
      </c>
      <c r="D1224" s="1" t="s">
        <v>18</v>
      </c>
      <c r="E1224" s="250">
        <v>5125.116</v>
      </c>
    </row>
    <row r="1225" spans="3:5" x14ac:dyDescent="0.35">
      <c r="C1225" s="1" t="s">
        <v>7393</v>
      </c>
      <c r="D1225" s="1" t="s">
        <v>18</v>
      </c>
      <c r="E1225" s="250">
        <v>5125.1170000000002</v>
      </c>
    </row>
    <row r="1226" spans="3:5" x14ac:dyDescent="0.35">
      <c r="C1226" s="1" t="s">
        <v>7392</v>
      </c>
      <c r="D1226" s="1" t="s">
        <v>18</v>
      </c>
      <c r="E1226" s="250">
        <v>5125.1180000000004</v>
      </c>
    </row>
    <row r="1227" spans="3:5" x14ac:dyDescent="0.35">
      <c r="C1227" s="1" t="s">
        <v>7391</v>
      </c>
      <c r="D1227" s="1" t="s">
        <v>18</v>
      </c>
      <c r="E1227" s="250">
        <v>5125.1189999999997</v>
      </c>
    </row>
    <row r="1228" spans="3:5" x14ac:dyDescent="0.35">
      <c r="C1228" s="1" t="s">
        <v>7390</v>
      </c>
      <c r="D1228" s="1" t="s">
        <v>18</v>
      </c>
      <c r="E1228" s="250">
        <v>5125.12</v>
      </c>
    </row>
    <row r="1229" spans="3:5" x14ac:dyDescent="0.35">
      <c r="C1229" s="1" t="s">
        <v>7389</v>
      </c>
      <c r="D1229" s="1" t="s">
        <v>18</v>
      </c>
      <c r="E1229" s="250">
        <v>5125.1210000000001</v>
      </c>
    </row>
    <row r="1230" spans="3:5" x14ac:dyDescent="0.35">
      <c r="C1230" s="1" t="s">
        <v>7388</v>
      </c>
      <c r="D1230" s="1" t="s">
        <v>18</v>
      </c>
      <c r="E1230" s="250">
        <v>5125.1220000000003</v>
      </c>
    </row>
    <row r="1231" spans="3:5" x14ac:dyDescent="0.35">
      <c r="C1231" s="1" t="s">
        <v>7387</v>
      </c>
      <c r="D1231" s="1" t="s">
        <v>18</v>
      </c>
      <c r="E1231" s="250">
        <v>5125.1229999999996</v>
      </c>
    </row>
    <row r="1232" spans="3:5" x14ac:dyDescent="0.35">
      <c r="C1232" s="1" t="s">
        <v>7386</v>
      </c>
      <c r="D1232" s="1" t="s">
        <v>18</v>
      </c>
      <c r="E1232" s="250">
        <v>5125.1239999999998</v>
      </c>
    </row>
    <row r="1233" spans="3:5" x14ac:dyDescent="0.35">
      <c r="C1233" s="1" t="s">
        <v>7385</v>
      </c>
      <c r="D1233" s="1" t="s">
        <v>18</v>
      </c>
      <c r="E1233" s="250">
        <v>5125.125</v>
      </c>
    </row>
    <row r="1234" spans="3:5" x14ac:dyDescent="0.35">
      <c r="C1234" s="1" t="s">
        <v>7384</v>
      </c>
      <c r="D1234" s="1" t="s">
        <v>18</v>
      </c>
      <c r="E1234" s="250">
        <v>5125.1260000000002</v>
      </c>
    </row>
    <row r="1235" spans="3:5" x14ac:dyDescent="0.35">
      <c r="C1235" s="1" t="s">
        <v>7383</v>
      </c>
      <c r="D1235" s="1" t="s">
        <v>18</v>
      </c>
      <c r="E1235" s="250">
        <v>5125.1270000000004</v>
      </c>
    </row>
    <row r="1236" spans="3:5" x14ac:dyDescent="0.35">
      <c r="C1236" s="1" t="s">
        <v>7382</v>
      </c>
      <c r="D1236" s="1" t="s">
        <v>18</v>
      </c>
      <c r="E1236" s="250">
        <v>5125.1279999999997</v>
      </c>
    </row>
    <row r="1237" spans="3:5" x14ac:dyDescent="0.35">
      <c r="C1237" s="1" t="s">
        <v>7381</v>
      </c>
      <c r="D1237" s="1" t="s">
        <v>18</v>
      </c>
      <c r="E1237" s="250">
        <v>5125.1289999999999</v>
      </c>
    </row>
    <row r="1238" spans="3:5" x14ac:dyDescent="0.35">
      <c r="C1238" s="1" t="s">
        <v>7380</v>
      </c>
      <c r="D1238" s="1" t="s">
        <v>18</v>
      </c>
      <c r="E1238" s="250">
        <v>5125.13</v>
      </c>
    </row>
    <row r="1239" spans="3:5" x14ac:dyDescent="0.35">
      <c r="C1239" s="1" t="s">
        <v>7379</v>
      </c>
      <c r="D1239" s="1" t="s">
        <v>18</v>
      </c>
      <c r="E1239" s="250">
        <v>5125.1310000000003</v>
      </c>
    </row>
    <row r="1240" spans="3:5" x14ac:dyDescent="0.35">
      <c r="C1240" s="1" t="s">
        <v>7378</v>
      </c>
      <c r="D1240" s="1" t="s">
        <v>18</v>
      </c>
      <c r="E1240" s="250">
        <v>5125.1319999999996</v>
      </c>
    </row>
    <row r="1241" spans="3:5" x14ac:dyDescent="0.35">
      <c r="C1241" s="1" t="s">
        <v>7377</v>
      </c>
      <c r="D1241" s="1" t="s">
        <v>18</v>
      </c>
      <c r="E1241" s="250">
        <v>5125.1329999999998</v>
      </c>
    </row>
    <row r="1242" spans="3:5" x14ac:dyDescent="0.35">
      <c r="C1242" s="1" t="s">
        <v>7376</v>
      </c>
      <c r="D1242" s="1" t="s">
        <v>18</v>
      </c>
      <c r="E1242" s="250">
        <v>5125.134</v>
      </c>
    </row>
    <row r="1243" spans="3:5" x14ac:dyDescent="0.35">
      <c r="C1243" s="1" t="s">
        <v>7375</v>
      </c>
      <c r="D1243" s="1" t="s">
        <v>18</v>
      </c>
      <c r="E1243" s="250">
        <v>5125.1350000000002</v>
      </c>
    </row>
    <row r="1244" spans="3:5" x14ac:dyDescent="0.35">
      <c r="C1244" s="1" t="s">
        <v>7374</v>
      </c>
      <c r="D1244" s="1" t="s">
        <v>18</v>
      </c>
      <c r="E1244" s="250">
        <v>5125.1360000000004</v>
      </c>
    </row>
    <row r="1245" spans="3:5" x14ac:dyDescent="0.35">
      <c r="C1245" s="1" t="s">
        <v>7373</v>
      </c>
      <c r="D1245" s="1" t="s">
        <v>18</v>
      </c>
      <c r="E1245" s="250">
        <v>5125.1369999999997</v>
      </c>
    </row>
    <row r="1246" spans="3:5" x14ac:dyDescent="0.35">
      <c r="C1246" s="1" t="s">
        <v>7372</v>
      </c>
      <c r="D1246" s="1" t="s">
        <v>18</v>
      </c>
      <c r="E1246" s="250">
        <v>5125.1379999999999</v>
      </c>
    </row>
    <row r="1247" spans="3:5" x14ac:dyDescent="0.35">
      <c r="C1247" s="1" t="s">
        <v>7371</v>
      </c>
      <c r="D1247" s="1" t="s">
        <v>18</v>
      </c>
      <c r="E1247" s="250">
        <v>5125.1390000000001</v>
      </c>
    </row>
    <row r="1248" spans="3:5" x14ac:dyDescent="0.35">
      <c r="C1248" s="1" t="s">
        <v>7370</v>
      </c>
      <c r="D1248" s="1" t="s">
        <v>18</v>
      </c>
      <c r="E1248" s="250">
        <v>5125.1400000000003</v>
      </c>
    </row>
    <row r="1249" spans="3:5" x14ac:dyDescent="0.35">
      <c r="C1249" s="1" t="s">
        <v>7369</v>
      </c>
      <c r="D1249" s="1" t="s">
        <v>18</v>
      </c>
      <c r="E1249" s="250">
        <v>5125.1409999999996</v>
      </c>
    </row>
    <row r="1250" spans="3:5" x14ac:dyDescent="0.35">
      <c r="C1250" s="1" t="s">
        <v>7368</v>
      </c>
      <c r="D1250" s="1" t="s">
        <v>18</v>
      </c>
      <c r="E1250" s="250">
        <v>5125.2110000000002</v>
      </c>
    </row>
    <row r="1251" spans="3:5" x14ac:dyDescent="0.35">
      <c r="C1251" s="1" t="s">
        <v>7367</v>
      </c>
      <c r="D1251" s="1" t="s">
        <v>18</v>
      </c>
      <c r="E1251" s="250">
        <v>5125.2120000000004</v>
      </c>
    </row>
    <row r="1252" spans="3:5" x14ac:dyDescent="0.35">
      <c r="C1252" s="1" t="s">
        <v>7366</v>
      </c>
      <c r="D1252" s="1" t="s">
        <v>18</v>
      </c>
      <c r="E1252" s="250">
        <v>5125.2129999999997</v>
      </c>
    </row>
    <row r="1253" spans="3:5" x14ac:dyDescent="0.35">
      <c r="C1253" s="1" t="s">
        <v>7365</v>
      </c>
      <c r="D1253" s="1" t="s">
        <v>18</v>
      </c>
      <c r="E1253" s="250">
        <v>5125.2139999999999</v>
      </c>
    </row>
    <row r="1254" spans="3:5" x14ac:dyDescent="0.35">
      <c r="C1254" s="1" t="s">
        <v>7364</v>
      </c>
      <c r="D1254" s="1" t="s">
        <v>18</v>
      </c>
      <c r="E1254" s="250">
        <v>5125.2150000000001</v>
      </c>
    </row>
    <row r="1255" spans="3:5" x14ac:dyDescent="0.35">
      <c r="C1255" s="1" t="s">
        <v>7363</v>
      </c>
      <c r="D1255" s="1" t="s">
        <v>18</v>
      </c>
      <c r="E1255" s="250">
        <v>5125.2160000000003</v>
      </c>
    </row>
    <row r="1256" spans="3:5" x14ac:dyDescent="0.35">
      <c r="C1256" s="1" t="s">
        <v>7362</v>
      </c>
      <c r="D1256" s="1" t="s">
        <v>18</v>
      </c>
      <c r="E1256" s="250">
        <v>5125.2169999999996</v>
      </c>
    </row>
    <row r="1257" spans="3:5" x14ac:dyDescent="0.35">
      <c r="C1257" s="1" t="s">
        <v>7361</v>
      </c>
      <c r="D1257" s="1" t="s">
        <v>18</v>
      </c>
      <c r="E1257" s="250">
        <v>5125.2179999999998</v>
      </c>
    </row>
    <row r="1258" spans="3:5" x14ac:dyDescent="0.35">
      <c r="C1258" s="1" t="s">
        <v>7360</v>
      </c>
      <c r="D1258" s="1" t="s">
        <v>18</v>
      </c>
      <c r="E1258" s="250">
        <v>5125.2190000000001</v>
      </c>
    </row>
    <row r="1259" spans="3:5" x14ac:dyDescent="0.35">
      <c r="C1259" s="1" t="s">
        <v>7359</v>
      </c>
      <c r="D1259" s="1" t="s">
        <v>18</v>
      </c>
      <c r="E1259" s="250">
        <v>5125.22</v>
      </c>
    </row>
    <row r="1260" spans="3:5" x14ac:dyDescent="0.35">
      <c r="C1260" s="1" t="s">
        <v>7358</v>
      </c>
      <c r="D1260" s="1" t="s">
        <v>18</v>
      </c>
      <c r="E1260" s="250">
        <v>5125.2309999999998</v>
      </c>
    </row>
    <row r="1261" spans="3:5" x14ac:dyDescent="0.35">
      <c r="C1261" s="1" t="s">
        <v>7357</v>
      </c>
      <c r="D1261" s="1" t="s">
        <v>18</v>
      </c>
      <c r="E1261" s="250">
        <v>5125.232</v>
      </c>
    </row>
    <row r="1262" spans="3:5" x14ac:dyDescent="0.35">
      <c r="C1262" s="1" t="s">
        <v>7356</v>
      </c>
      <c r="D1262" s="1" t="s">
        <v>18</v>
      </c>
      <c r="E1262" s="250">
        <v>5125.2330000000002</v>
      </c>
    </row>
    <row r="1263" spans="3:5" x14ac:dyDescent="0.35">
      <c r="C1263" s="1" t="s">
        <v>7355</v>
      </c>
      <c r="D1263" s="1" t="s">
        <v>18</v>
      </c>
      <c r="E1263" s="250">
        <v>5125.2340000000004</v>
      </c>
    </row>
    <row r="1264" spans="3:5" x14ac:dyDescent="0.35">
      <c r="C1264" s="1" t="s">
        <v>7354</v>
      </c>
      <c r="D1264" s="1" t="s">
        <v>18</v>
      </c>
      <c r="E1264" s="250">
        <v>5125.2349999999997</v>
      </c>
    </row>
    <row r="1265" spans="3:5" x14ac:dyDescent="0.35">
      <c r="C1265" s="1" t="s">
        <v>7353</v>
      </c>
      <c r="D1265" s="1" t="s">
        <v>18</v>
      </c>
      <c r="E1265" s="250">
        <v>5125.2359999999999</v>
      </c>
    </row>
    <row r="1266" spans="3:5" x14ac:dyDescent="0.35">
      <c r="C1266" s="1" t="s">
        <v>7352</v>
      </c>
      <c r="D1266" s="1" t="s">
        <v>18</v>
      </c>
      <c r="E1266" s="250">
        <v>5126.0110000000004</v>
      </c>
    </row>
    <row r="1267" spans="3:5" x14ac:dyDescent="0.35">
      <c r="C1267" s="1" t="s">
        <v>7351</v>
      </c>
      <c r="D1267" s="1" t="s">
        <v>18</v>
      </c>
      <c r="E1267" s="250">
        <v>5126.0119999999997</v>
      </c>
    </row>
    <row r="1268" spans="3:5" x14ac:dyDescent="0.35">
      <c r="C1268" s="1" t="s">
        <v>7350</v>
      </c>
      <c r="D1268" s="1" t="s">
        <v>18</v>
      </c>
      <c r="E1268" s="250">
        <v>5126.0129999999999</v>
      </c>
    </row>
    <row r="1269" spans="3:5" x14ac:dyDescent="0.35">
      <c r="C1269" s="1" t="s">
        <v>7349</v>
      </c>
      <c r="D1269" s="1" t="s">
        <v>18</v>
      </c>
      <c r="E1269" s="250">
        <v>5126.0140000000001</v>
      </c>
    </row>
    <row r="1270" spans="3:5" x14ac:dyDescent="0.35">
      <c r="C1270" s="1" t="s">
        <v>7348</v>
      </c>
      <c r="D1270" s="1" t="s">
        <v>18</v>
      </c>
      <c r="E1270" s="250">
        <v>5126.0150000000003</v>
      </c>
    </row>
    <row r="1271" spans="3:5" x14ac:dyDescent="0.35">
      <c r="C1271" s="1" t="s">
        <v>7347</v>
      </c>
      <c r="D1271" s="1" t="s">
        <v>18</v>
      </c>
      <c r="E1271" s="250">
        <v>5126.0159999999996</v>
      </c>
    </row>
    <row r="1272" spans="3:5" x14ac:dyDescent="0.35">
      <c r="C1272" s="1" t="s">
        <v>7346</v>
      </c>
      <c r="D1272" s="1" t="s">
        <v>18</v>
      </c>
      <c r="E1272" s="250">
        <v>5126.0169999999998</v>
      </c>
    </row>
    <row r="1273" spans="3:5" x14ac:dyDescent="0.35">
      <c r="C1273" s="1" t="s">
        <v>7345</v>
      </c>
      <c r="D1273" s="1" t="s">
        <v>18</v>
      </c>
      <c r="E1273" s="250">
        <v>5126.018</v>
      </c>
    </row>
    <row r="1274" spans="3:5" x14ac:dyDescent="0.35">
      <c r="C1274" s="1" t="s">
        <v>7344</v>
      </c>
      <c r="D1274" s="1" t="s">
        <v>18</v>
      </c>
      <c r="E1274" s="250">
        <v>5126.0190000000002</v>
      </c>
    </row>
    <row r="1275" spans="3:5" x14ac:dyDescent="0.35">
      <c r="C1275" s="1" t="s">
        <v>7343</v>
      </c>
      <c r="D1275" s="1" t="s">
        <v>18</v>
      </c>
      <c r="E1275" s="250">
        <v>5126.0200000000004</v>
      </c>
    </row>
    <row r="1276" spans="3:5" x14ac:dyDescent="0.35">
      <c r="C1276" s="1" t="s">
        <v>7342</v>
      </c>
      <c r="D1276" s="1" t="s">
        <v>18</v>
      </c>
      <c r="E1276" s="250">
        <v>5126.0209999999997</v>
      </c>
    </row>
    <row r="1277" spans="3:5" x14ac:dyDescent="0.35">
      <c r="C1277" s="1" t="s">
        <v>7341</v>
      </c>
      <c r="D1277" s="1" t="s">
        <v>18</v>
      </c>
      <c r="E1277" s="250">
        <v>5126.0219999999999</v>
      </c>
    </row>
    <row r="1278" spans="3:5" x14ac:dyDescent="0.35">
      <c r="C1278" s="1" t="s">
        <v>7340</v>
      </c>
      <c r="D1278" s="1" t="s">
        <v>18</v>
      </c>
      <c r="E1278" s="250">
        <v>5126.0230000000001</v>
      </c>
    </row>
    <row r="1279" spans="3:5" x14ac:dyDescent="0.35">
      <c r="C1279" s="1" t="s">
        <v>7339</v>
      </c>
      <c r="D1279" s="1" t="s">
        <v>18</v>
      </c>
      <c r="E1279" s="250">
        <v>5126.0240000000003</v>
      </c>
    </row>
    <row r="1280" spans="3:5" x14ac:dyDescent="0.35">
      <c r="C1280" s="1" t="s">
        <v>7338</v>
      </c>
      <c r="D1280" s="1" t="s">
        <v>18</v>
      </c>
      <c r="E1280" s="250">
        <v>5126.0249999999996</v>
      </c>
    </row>
    <row r="1281" spans="3:5" x14ac:dyDescent="0.35">
      <c r="C1281" s="1" t="s">
        <v>7337</v>
      </c>
      <c r="D1281" s="1" t="s">
        <v>18</v>
      </c>
      <c r="E1281" s="250">
        <v>5126.0259999999998</v>
      </c>
    </row>
    <row r="1282" spans="3:5" x14ac:dyDescent="0.35">
      <c r="C1282" s="1" t="s">
        <v>7336</v>
      </c>
      <c r="D1282" s="1" t="s">
        <v>18</v>
      </c>
      <c r="E1282" s="250">
        <v>5126.027</v>
      </c>
    </row>
    <row r="1283" spans="3:5" x14ac:dyDescent="0.35">
      <c r="C1283" s="1" t="s">
        <v>7335</v>
      </c>
      <c r="D1283" s="1" t="s">
        <v>18</v>
      </c>
      <c r="E1283" s="250">
        <v>5126.0280000000002</v>
      </c>
    </row>
    <row r="1284" spans="3:5" x14ac:dyDescent="0.35">
      <c r="C1284" s="1" t="s">
        <v>7334</v>
      </c>
      <c r="D1284" s="1" t="s">
        <v>18</v>
      </c>
      <c r="E1284" s="250">
        <v>5126.0290000000005</v>
      </c>
    </row>
    <row r="1285" spans="3:5" x14ac:dyDescent="0.35">
      <c r="C1285" s="1" t="s">
        <v>7333</v>
      </c>
      <c r="D1285" s="1" t="s">
        <v>18</v>
      </c>
      <c r="E1285" s="250">
        <v>5126.03</v>
      </c>
    </row>
    <row r="1286" spans="3:5" x14ac:dyDescent="0.35">
      <c r="C1286" s="1" t="s">
        <v>7332</v>
      </c>
      <c r="D1286" s="1" t="s">
        <v>18</v>
      </c>
      <c r="E1286" s="250">
        <v>5126.0309999999999</v>
      </c>
    </row>
    <row r="1287" spans="3:5" x14ac:dyDescent="0.35">
      <c r="C1287" s="1" t="s">
        <v>7331</v>
      </c>
      <c r="D1287" s="1" t="s">
        <v>18</v>
      </c>
      <c r="E1287" s="250">
        <v>5126.0320000000002</v>
      </c>
    </row>
    <row r="1288" spans="3:5" x14ac:dyDescent="0.35">
      <c r="C1288" s="1" t="s">
        <v>7330</v>
      </c>
      <c r="D1288" s="1" t="s">
        <v>18</v>
      </c>
      <c r="E1288" s="250">
        <v>5126.0330000000004</v>
      </c>
    </row>
    <row r="1289" spans="3:5" x14ac:dyDescent="0.35">
      <c r="C1289" s="1" t="s">
        <v>7329</v>
      </c>
      <c r="D1289" s="1" t="s">
        <v>18</v>
      </c>
      <c r="E1289" s="250">
        <v>5126.0339999999997</v>
      </c>
    </row>
    <row r="1290" spans="3:5" x14ac:dyDescent="0.35">
      <c r="C1290" s="1" t="s">
        <v>7328</v>
      </c>
      <c r="D1290" s="1" t="s">
        <v>18</v>
      </c>
      <c r="E1290" s="250">
        <v>5126.0349999999999</v>
      </c>
    </row>
    <row r="1291" spans="3:5" x14ac:dyDescent="0.35">
      <c r="C1291" s="1" t="s">
        <v>7327</v>
      </c>
      <c r="D1291" s="1" t="s">
        <v>18</v>
      </c>
      <c r="E1291" s="250">
        <v>5126.0360000000001</v>
      </c>
    </row>
    <row r="1292" spans="3:5" x14ac:dyDescent="0.35">
      <c r="C1292" s="1" t="s">
        <v>7326</v>
      </c>
      <c r="D1292" s="1" t="s">
        <v>18</v>
      </c>
      <c r="E1292" s="250">
        <v>5126.0370000000003</v>
      </c>
    </row>
    <row r="1293" spans="3:5" x14ac:dyDescent="0.35">
      <c r="C1293" s="1" t="s">
        <v>7325</v>
      </c>
      <c r="D1293" s="1" t="s">
        <v>18</v>
      </c>
      <c r="E1293" s="250">
        <v>5126.0379999999996</v>
      </c>
    </row>
    <row r="1294" spans="3:5" x14ac:dyDescent="0.35">
      <c r="C1294" s="1" t="s">
        <v>7324</v>
      </c>
      <c r="D1294" s="1" t="s">
        <v>18</v>
      </c>
      <c r="E1294" s="250">
        <v>5126.0389999999998</v>
      </c>
    </row>
    <row r="1295" spans="3:5" x14ac:dyDescent="0.35">
      <c r="C1295" s="1" t="s">
        <v>7323</v>
      </c>
      <c r="D1295" s="1" t="s">
        <v>18</v>
      </c>
      <c r="E1295" s="250">
        <v>5126.04</v>
      </c>
    </row>
    <row r="1296" spans="3:5" x14ac:dyDescent="0.35">
      <c r="C1296" s="1" t="s">
        <v>7322</v>
      </c>
      <c r="D1296" s="1" t="s">
        <v>18</v>
      </c>
      <c r="E1296" s="250">
        <v>5126.0410000000002</v>
      </c>
    </row>
    <row r="1297" spans="3:5" x14ac:dyDescent="0.35">
      <c r="C1297" s="1" t="s">
        <v>7321</v>
      </c>
      <c r="D1297" s="1" t="s">
        <v>18</v>
      </c>
      <c r="E1297" s="250">
        <v>5126.0420000000004</v>
      </c>
    </row>
    <row r="1298" spans="3:5" x14ac:dyDescent="0.35">
      <c r="C1298" s="1" t="s">
        <v>7320</v>
      </c>
      <c r="D1298" s="1" t="s">
        <v>18</v>
      </c>
      <c r="E1298" s="250">
        <v>5126.0429999999997</v>
      </c>
    </row>
    <row r="1299" spans="3:5" x14ac:dyDescent="0.35">
      <c r="C1299" s="1" t="s">
        <v>7319</v>
      </c>
      <c r="D1299" s="1" t="s">
        <v>18</v>
      </c>
      <c r="E1299" s="250">
        <v>5126.0439999999999</v>
      </c>
    </row>
    <row r="1300" spans="3:5" x14ac:dyDescent="0.35">
      <c r="C1300" s="1" t="s">
        <v>7318</v>
      </c>
      <c r="D1300" s="1" t="s">
        <v>18</v>
      </c>
      <c r="E1300" s="250">
        <v>5126.0450000000001</v>
      </c>
    </row>
    <row r="1301" spans="3:5" x14ac:dyDescent="0.35">
      <c r="C1301" s="1" t="s">
        <v>7317</v>
      </c>
      <c r="D1301" s="1" t="s">
        <v>18</v>
      </c>
      <c r="E1301" s="250">
        <v>5126.0460000000003</v>
      </c>
    </row>
    <row r="1302" spans="3:5" x14ac:dyDescent="0.35">
      <c r="C1302" s="1" t="s">
        <v>7316</v>
      </c>
      <c r="D1302" s="1" t="s">
        <v>18</v>
      </c>
      <c r="E1302" s="250">
        <v>5126.0469999999996</v>
      </c>
    </row>
    <row r="1303" spans="3:5" x14ac:dyDescent="0.35">
      <c r="C1303" s="1" t="s">
        <v>7315</v>
      </c>
      <c r="D1303" s="1" t="s">
        <v>18</v>
      </c>
      <c r="E1303" s="250">
        <v>5126.0479999999998</v>
      </c>
    </row>
    <row r="1304" spans="3:5" x14ac:dyDescent="0.35">
      <c r="C1304" s="1" t="s">
        <v>7314</v>
      </c>
      <c r="D1304" s="1" t="s">
        <v>18</v>
      </c>
      <c r="E1304" s="250">
        <v>5126.049</v>
      </c>
    </row>
    <row r="1305" spans="3:5" x14ac:dyDescent="0.35">
      <c r="C1305" s="1" t="s">
        <v>7313</v>
      </c>
      <c r="D1305" s="1" t="s">
        <v>18</v>
      </c>
      <c r="E1305" s="250">
        <v>5126.05</v>
      </c>
    </row>
    <row r="1306" spans="3:5" x14ac:dyDescent="0.35">
      <c r="C1306" s="1" t="s">
        <v>7312</v>
      </c>
      <c r="D1306" s="1" t="s">
        <v>18</v>
      </c>
      <c r="E1306" s="250">
        <v>5126.0510000000004</v>
      </c>
    </row>
    <row r="1307" spans="3:5" x14ac:dyDescent="0.35">
      <c r="C1307" s="1" t="s">
        <v>7311</v>
      </c>
      <c r="D1307" s="1" t="s">
        <v>18</v>
      </c>
      <c r="E1307" s="250">
        <v>5126.0519999999997</v>
      </c>
    </row>
    <row r="1308" spans="3:5" x14ac:dyDescent="0.35">
      <c r="C1308" s="1" t="s">
        <v>7310</v>
      </c>
      <c r="D1308" s="1" t="s">
        <v>18</v>
      </c>
      <c r="E1308" s="250">
        <v>5126.0529999999999</v>
      </c>
    </row>
    <row r="1309" spans="3:5" x14ac:dyDescent="0.35">
      <c r="C1309" s="1" t="s">
        <v>7309</v>
      </c>
      <c r="D1309" s="1" t="s">
        <v>18</v>
      </c>
      <c r="E1309" s="250">
        <v>5126.0540000000001</v>
      </c>
    </row>
    <row r="1310" spans="3:5" x14ac:dyDescent="0.35">
      <c r="C1310" s="1" t="s">
        <v>7308</v>
      </c>
      <c r="D1310" s="1" t="s">
        <v>18</v>
      </c>
      <c r="E1310" s="250">
        <v>5126.0550000000003</v>
      </c>
    </row>
    <row r="1311" spans="3:5" x14ac:dyDescent="0.35">
      <c r="C1311" s="1" t="s">
        <v>7307</v>
      </c>
      <c r="D1311" s="1" t="s">
        <v>18</v>
      </c>
      <c r="E1311" s="250">
        <v>5126.0559999999996</v>
      </c>
    </row>
    <row r="1312" spans="3:5" x14ac:dyDescent="0.35">
      <c r="C1312" s="1" t="s">
        <v>7306</v>
      </c>
      <c r="D1312" s="1" t="s">
        <v>18</v>
      </c>
      <c r="E1312" s="250">
        <v>5126.0569999999998</v>
      </c>
    </row>
    <row r="1313" spans="3:5" x14ac:dyDescent="0.35">
      <c r="C1313" s="1" t="s">
        <v>7305</v>
      </c>
      <c r="D1313" s="1" t="s">
        <v>18</v>
      </c>
      <c r="E1313" s="250">
        <v>5126.058</v>
      </c>
    </row>
    <row r="1314" spans="3:5" x14ac:dyDescent="0.35">
      <c r="C1314" s="1" t="s">
        <v>7304</v>
      </c>
      <c r="D1314" s="1" t="s">
        <v>18</v>
      </c>
      <c r="E1314" s="250">
        <v>5126.0590000000002</v>
      </c>
    </row>
    <row r="1315" spans="3:5" x14ac:dyDescent="0.35">
      <c r="C1315" s="1" t="s">
        <v>7303</v>
      </c>
      <c r="D1315" s="1" t="s">
        <v>18</v>
      </c>
      <c r="E1315" s="250">
        <v>5126.0600000000004</v>
      </c>
    </row>
    <row r="1316" spans="3:5" x14ac:dyDescent="0.35">
      <c r="C1316" s="1" t="s">
        <v>7302</v>
      </c>
      <c r="D1316" s="1" t="s">
        <v>18</v>
      </c>
      <c r="E1316" s="250">
        <v>5126.0609999999997</v>
      </c>
    </row>
    <row r="1317" spans="3:5" x14ac:dyDescent="0.35">
      <c r="C1317" s="1" t="s">
        <v>7301</v>
      </c>
      <c r="D1317" s="1" t="s">
        <v>18</v>
      </c>
      <c r="E1317" s="250">
        <v>5126.0619999999999</v>
      </c>
    </row>
    <row r="1318" spans="3:5" x14ac:dyDescent="0.35">
      <c r="C1318" s="1" t="s">
        <v>7300</v>
      </c>
      <c r="D1318" s="1" t="s">
        <v>18</v>
      </c>
      <c r="E1318" s="250">
        <v>5126.0630000000001</v>
      </c>
    </row>
    <row r="1319" spans="3:5" x14ac:dyDescent="0.35">
      <c r="C1319" s="1" t="s">
        <v>7299</v>
      </c>
      <c r="D1319" s="1" t="s">
        <v>18</v>
      </c>
      <c r="E1319" s="250">
        <v>5126.0640000000003</v>
      </c>
    </row>
    <row r="1320" spans="3:5" x14ac:dyDescent="0.35">
      <c r="C1320" s="1" t="s">
        <v>7298</v>
      </c>
      <c r="D1320" s="1" t="s">
        <v>18</v>
      </c>
      <c r="E1320" s="250">
        <v>5126.0649999999996</v>
      </c>
    </row>
    <row r="1321" spans="3:5" x14ac:dyDescent="0.35">
      <c r="C1321" s="1" t="s">
        <v>7297</v>
      </c>
      <c r="D1321" s="1" t="s">
        <v>18</v>
      </c>
      <c r="E1321" s="250">
        <v>5126.0659999999998</v>
      </c>
    </row>
    <row r="1322" spans="3:5" x14ac:dyDescent="0.35">
      <c r="C1322" s="1" t="s">
        <v>7296</v>
      </c>
      <c r="D1322" s="1" t="s">
        <v>18</v>
      </c>
      <c r="E1322" s="250">
        <v>5126.067</v>
      </c>
    </row>
    <row r="1323" spans="3:5" x14ac:dyDescent="0.35">
      <c r="C1323" s="1" t="s">
        <v>7295</v>
      </c>
      <c r="D1323" s="1" t="s">
        <v>18</v>
      </c>
      <c r="E1323" s="250">
        <v>5126.0680000000002</v>
      </c>
    </row>
    <row r="1324" spans="3:5" x14ac:dyDescent="0.35">
      <c r="C1324" s="1" t="s">
        <v>7294</v>
      </c>
      <c r="D1324" s="1" t="s">
        <v>18</v>
      </c>
      <c r="E1324" s="250">
        <v>5126.0690000000004</v>
      </c>
    </row>
    <row r="1325" spans="3:5" x14ac:dyDescent="0.35">
      <c r="C1325" s="1" t="s">
        <v>7293</v>
      </c>
      <c r="D1325" s="1" t="s">
        <v>18</v>
      </c>
      <c r="E1325" s="250">
        <v>5126.07</v>
      </c>
    </row>
    <row r="1326" spans="3:5" x14ac:dyDescent="0.35">
      <c r="C1326" s="1" t="s">
        <v>7292</v>
      </c>
      <c r="D1326" s="1" t="s">
        <v>18</v>
      </c>
      <c r="E1326" s="250">
        <v>5126.0709999999999</v>
      </c>
    </row>
    <row r="1327" spans="3:5" x14ac:dyDescent="0.35">
      <c r="C1327" s="1" t="s">
        <v>7291</v>
      </c>
      <c r="D1327" s="1" t="s">
        <v>18</v>
      </c>
      <c r="E1327" s="250">
        <v>5126.0720000000001</v>
      </c>
    </row>
    <row r="1328" spans="3:5" x14ac:dyDescent="0.35">
      <c r="C1328" s="1" t="s">
        <v>7290</v>
      </c>
      <c r="D1328" s="1" t="s">
        <v>18</v>
      </c>
      <c r="E1328" s="250">
        <v>5126.0730000000003</v>
      </c>
    </row>
    <row r="1329" spans="3:5" x14ac:dyDescent="0.35">
      <c r="C1329" s="1" t="s">
        <v>7289</v>
      </c>
      <c r="D1329" s="1" t="s">
        <v>18</v>
      </c>
      <c r="E1329" s="250">
        <v>5126.0739999999996</v>
      </c>
    </row>
    <row r="1330" spans="3:5" x14ac:dyDescent="0.35">
      <c r="C1330" s="1" t="s">
        <v>7288</v>
      </c>
      <c r="D1330" s="1" t="s">
        <v>18</v>
      </c>
      <c r="E1330" s="250">
        <v>5126.0749999999998</v>
      </c>
    </row>
    <row r="1331" spans="3:5" x14ac:dyDescent="0.35">
      <c r="C1331" s="1" t="s">
        <v>7287</v>
      </c>
      <c r="D1331" s="1" t="s">
        <v>18</v>
      </c>
      <c r="E1331" s="250">
        <v>5126.076</v>
      </c>
    </row>
    <row r="1332" spans="3:5" x14ac:dyDescent="0.35">
      <c r="C1332" s="1" t="s">
        <v>7286</v>
      </c>
      <c r="D1332" s="1" t="s">
        <v>18</v>
      </c>
      <c r="E1332" s="250">
        <v>5126.0770000000002</v>
      </c>
    </row>
    <row r="1333" spans="3:5" x14ac:dyDescent="0.35">
      <c r="C1333" s="1" t="s">
        <v>7285</v>
      </c>
      <c r="D1333" s="1" t="s">
        <v>18</v>
      </c>
      <c r="E1333" s="250">
        <v>5126.0780000000004</v>
      </c>
    </row>
    <row r="1334" spans="3:5" x14ac:dyDescent="0.35">
      <c r="C1334" s="1" t="s">
        <v>7284</v>
      </c>
      <c r="D1334" s="1" t="s">
        <v>18</v>
      </c>
      <c r="E1334" s="250">
        <v>5126.0789999999997</v>
      </c>
    </row>
    <row r="1335" spans="3:5" x14ac:dyDescent="0.35">
      <c r="C1335" s="1" t="s">
        <v>7283</v>
      </c>
      <c r="D1335" s="1" t="s">
        <v>18</v>
      </c>
      <c r="E1335" s="250">
        <v>5126.08</v>
      </c>
    </row>
    <row r="1336" spans="3:5" x14ac:dyDescent="0.35">
      <c r="C1336" s="1" t="s">
        <v>7282</v>
      </c>
      <c r="D1336" s="1" t="s">
        <v>18</v>
      </c>
      <c r="E1336" s="250">
        <v>5126.0810000000001</v>
      </c>
    </row>
    <row r="1337" spans="3:5" x14ac:dyDescent="0.35">
      <c r="C1337" s="1" t="s">
        <v>7281</v>
      </c>
      <c r="D1337" s="1" t="s">
        <v>18</v>
      </c>
      <c r="E1337" s="250">
        <v>5126.1099999999997</v>
      </c>
    </row>
    <row r="1338" spans="3:5" x14ac:dyDescent="0.35">
      <c r="C1338" s="1" t="s">
        <v>7280</v>
      </c>
      <c r="D1338" s="1" t="s">
        <v>18</v>
      </c>
      <c r="E1338" s="250">
        <v>5126.1109999999999</v>
      </c>
    </row>
    <row r="1339" spans="3:5" x14ac:dyDescent="0.35">
      <c r="C1339" s="1" t="s">
        <v>7279</v>
      </c>
      <c r="D1339" s="1" t="s">
        <v>18</v>
      </c>
      <c r="E1339" s="250">
        <v>5126.1120000000001</v>
      </c>
    </row>
    <row r="1340" spans="3:5" x14ac:dyDescent="0.35">
      <c r="C1340" s="1" t="s">
        <v>7278</v>
      </c>
      <c r="D1340" s="1" t="s">
        <v>18</v>
      </c>
      <c r="E1340" s="250">
        <v>5126.1130000000003</v>
      </c>
    </row>
    <row r="1341" spans="3:5" x14ac:dyDescent="0.35">
      <c r="C1341" s="1" t="s">
        <v>7277</v>
      </c>
      <c r="D1341" s="1" t="s">
        <v>18</v>
      </c>
      <c r="E1341" s="250">
        <v>5126.1139999999996</v>
      </c>
    </row>
    <row r="1342" spans="3:5" x14ac:dyDescent="0.35">
      <c r="C1342" s="1" t="s">
        <v>7276</v>
      </c>
      <c r="D1342" s="1" t="s">
        <v>18</v>
      </c>
      <c r="E1342" s="250">
        <v>5126.1149999999998</v>
      </c>
    </row>
    <row r="1343" spans="3:5" x14ac:dyDescent="0.35">
      <c r="C1343" s="1" t="s">
        <v>7275</v>
      </c>
      <c r="D1343" s="1" t="s">
        <v>18</v>
      </c>
      <c r="E1343" s="250">
        <v>5126.116</v>
      </c>
    </row>
    <row r="1344" spans="3:5" x14ac:dyDescent="0.35">
      <c r="C1344" s="1" t="s">
        <v>7274</v>
      </c>
      <c r="D1344" s="1" t="s">
        <v>18</v>
      </c>
      <c r="E1344" s="250">
        <v>5126.1170000000002</v>
      </c>
    </row>
    <row r="1345" spans="3:5" x14ac:dyDescent="0.35">
      <c r="C1345" s="1" t="s">
        <v>7273</v>
      </c>
      <c r="D1345" s="1" t="s">
        <v>18</v>
      </c>
      <c r="E1345" s="250">
        <v>5126.1180000000004</v>
      </c>
    </row>
    <row r="1346" spans="3:5" x14ac:dyDescent="0.35">
      <c r="C1346" s="1" t="s">
        <v>7272</v>
      </c>
      <c r="D1346" s="1" t="s">
        <v>18</v>
      </c>
      <c r="E1346" s="250">
        <v>5126.1189999999997</v>
      </c>
    </row>
    <row r="1347" spans="3:5" x14ac:dyDescent="0.35">
      <c r="C1347" s="1" t="s">
        <v>7271</v>
      </c>
      <c r="D1347" s="1" t="s">
        <v>18</v>
      </c>
      <c r="E1347" s="250">
        <v>5126.12</v>
      </c>
    </row>
    <row r="1348" spans="3:5" x14ac:dyDescent="0.35">
      <c r="C1348" s="1" t="s">
        <v>7270</v>
      </c>
      <c r="D1348" s="1" t="s">
        <v>18</v>
      </c>
      <c r="E1348" s="250">
        <v>5126.1210000000001</v>
      </c>
    </row>
    <row r="1349" spans="3:5" x14ac:dyDescent="0.35">
      <c r="C1349" s="1" t="s">
        <v>7269</v>
      </c>
      <c r="D1349" s="1" t="s">
        <v>18</v>
      </c>
      <c r="E1349" s="250">
        <v>5126.1220000000003</v>
      </c>
    </row>
    <row r="1350" spans="3:5" x14ac:dyDescent="0.35">
      <c r="C1350" s="1" t="s">
        <v>7268</v>
      </c>
      <c r="D1350" s="1" t="s">
        <v>18</v>
      </c>
      <c r="E1350" s="250">
        <v>5126.1229999999996</v>
      </c>
    </row>
    <row r="1351" spans="3:5" x14ac:dyDescent="0.35">
      <c r="C1351" s="1" t="s">
        <v>7267</v>
      </c>
      <c r="D1351" s="1" t="s">
        <v>18</v>
      </c>
      <c r="E1351" s="250">
        <v>5126.1239999999998</v>
      </c>
    </row>
    <row r="1352" spans="3:5" x14ac:dyDescent="0.35">
      <c r="C1352" s="1" t="s">
        <v>7266</v>
      </c>
      <c r="D1352" s="1" t="s">
        <v>18</v>
      </c>
      <c r="E1352" s="250">
        <v>5126.125</v>
      </c>
    </row>
    <row r="1353" spans="3:5" x14ac:dyDescent="0.35">
      <c r="C1353" s="1" t="s">
        <v>7265</v>
      </c>
      <c r="D1353" s="1" t="s">
        <v>18</v>
      </c>
      <c r="E1353" s="250">
        <v>5126.1260000000002</v>
      </c>
    </row>
    <row r="1354" spans="3:5" x14ac:dyDescent="0.35">
      <c r="C1354" s="1" t="s">
        <v>7264</v>
      </c>
      <c r="D1354" s="1" t="s">
        <v>18</v>
      </c>
      <c r="E1354" s="250">
        <v>5126.1270000000004</v>
      </c>
    </row>
    <row r="1355" spans="3:5" x14ac:dyDescent="0.35">
      <c r="C1355" s="1" t="s">
        <v>7263</v>
      </c>
      <c r="D1355" s="1" t="s">
        <v>18</v>
      </c>
      <c r="E1355" s="250">
        <v>5126.1279999999997</v>
      </c>
    </row>
    <row r="1356" spans="3:5" x14ac:dyDescent="0.35">
      <c r="C1356" s="1" t="s">
        <v>7262</v>
      </c>
      <c r="D1356" s="1" t="s">
        <v>18</v>
      </c>
      <c r="E1356" s="250">
        <v>5126.1289999999999</v>
      </c>
    </row>
    <row r="1357" spans="3:5" x14ac:dyDescent="0.35">
      <c r="C1357" s="1" t="s">
        <v>7261</v>
      </c>
      <c r="D1357" s="1" t="s">
        <v>18</v>
      </c>
      <c r="E1357" s="250">
        <v>5126.13</v>
      </c>
    </row>
    <row r="1358" spans="3:5" x14ac:dyDescent="0.35">
      <c r="C1358" s="1" t="s">
        <v>7260</v>
      </c>
      <c r="D1358" s="1" t="s">
        <v>18</v>
      </c>
      <c r="E1358" s="250">
        <v>5126.1310000000003</v>
      </c>
    </row>
    <row r="1359" spans="3:5" x14ac:dyDescent="0.35">
      <c r="C1359" s="1" t="s">
        <v>7259</v>
      </c>
      <c r="D1359" s="1" t="s">
        <v>18</v>
      </c>
      <c r="E1359" s="250">
        <v>5126.1319999999996</v>
      </c>
    </row>
    <row r="1360" spans="3:5" x14ac:dyDescent="0.35">
      <c r="C1360" s="1" t="s">
        <v>7258</v>
      </c>
      <c r="D1360" s="1" t="s">
        <v>18</v>
      </c>
      <c r="E1360" s="250">
        <v>5126.1329999999998</v>
      </c>
    </row>
    <row r="1361" spans="3:5" x14ac:dyDescent="0.35">
      <c r="C1361" s="1" t="s">
        <v>7257</v>
      </c>
      <c r="D1361" s="1" t="s">
        <v>18</v>
      </c>
      <c r="E1361" s="250">
        <v>5126.134</v>
      </c>
    </row>
    <row r="1362" spans="3:5" x14ac:dyDescent="0.35">
      <c r="C1362" s="1" t="s">
        <v>7256</v>
      </c>
      <c r="D1362" s="1" t="s">
        <v>18</v>
      </c>
      <c r="E1362" s="250">
        <v>5126.1350000000002</v>
      </c>
    </row>
    <row r="1363" spans="3:5" x14ac:dyDescent="0.35">
      <c r="C1363" s="1" t="s">
        <v>7255</v>
      </c>
      <c r="D1363" s="1" t="s">
        <v>18</v>
      </c>
      <c r="E1363" s="250">
        <v>5126.1360000000004</v>
      </c>
    </row>
    <row r="1364" spans="3:5" x14ac:dyDescent="0.35">
      <c r="C1364" s="1" t="s">
        <v>7254</v>
      </c>
      <c r="D1364" s="1" t="s">
        <v>18</v>
      </c>
      <c r="E1364" s="250">
        <v>5126.1369999999997</v>
      </c>
    </row>
    <row r="1365" spans="3:5" x14ac:dyDescent="0.35">
      <c r="C1365" s="1" t="s">
        <v>7253</v>
      </c>
      <c r="D1365" s="1" t="s">
        <v>18</v>
      </c>
      <c r="E1365" s="250">
        <v>5126.1379999999999</v>
      </c>
    </row>
    <row r="1366" spans="3:5" x14ac:dyDescent="0.35">
      <c r="C1366" s="1" t="s">
        <v>7252</v>
      </c>
      <c r="D1366" s="1" t="s">
        <v>18</v>
      </c>
      <c r="E1366" s="250">
        <v>5126.1390000000001</v>
      </c>
    </row>
    <row r="1367" spans="3:5" x14ac:dyDescent="0.35">
      <c r="C1367" s="1" t="s">
        <v>7251</v>
      </c>
      <c r="D1367" s="1" t="s">
        <v>18</v>
      </c>
      <c r="E1367" s="250">
        <v>5126.1400000000003</v>
      </c>
    </row>
    <row r="1368" spans="3:5" x14ac:dyDescent="0.35">
      <c r="C1368" s="1" t="s">
        <v>7250</v>
      </c>
      <c r="D1368" s="1" t="s">
        <v>18</v>
      </c>
      <c r="E1368" s="250">
        <v>5126.1409999999996</v>
      </c>
    </row>
    <row r="1369" spans="3:5" x14ac:dyDescent="0.35">
      <c r="C1369" s="1" t="s">
        <v>7249</v>
      </c>
      <c r="D1369" s="1" t="s">
        <v>18</v>
      </c>
      <c r="E1369" s="250">
        <v>5126.1419999999998</v>
      </c>
    </row>
    <row r="1370" spans="3:5" x14ac:dyDescent="0.35">
      <c r="C1370" s="1" t="s">
        <v>7248</v>
      </c>
      <c r="D1370" s="1" t="s">
        <v>18</v>
      </c>
      <c r="E1370" s="250">
        <v>5126.143</v>
      </c>
    </row>
    <row r="1371" spans="3:5" x14ac:dyDescent="0.35">
      <c r="C1371" s="1" t="s">
        <v>7247</v>
      </c>
      <c r="D1371" s="1" t="s">
        <v>18</v>
      </c>
      <c r="E1371" s="250">
        <v>5126.1440000000002</v>
      </c>
    </row>
    <row r="1372" spans="3:5" x14ac:dyDescent="0.35">
      <c r="C1372" s="1" t="s">
        <v>7246</v>
      </c>
      <c r="D1372" s="1" t="s">
        <v>18</v>
      </c>
      <c r="E1372" s="250">
        <v>5126.1450000000004</v>
      </c>
    </row>
    <row r="1373" spans="3:5" x14ac:dyDescent="0.35">
      <c r="C1373" s="1" t="s">
        <v>7245</v>
      </c>
      <c r="D1373" s="1" t="s">
        <v>18</v>
      </c>
      <c r="E1373" s="250">
        <v>5126.1459999999997</v>
      </c>
    </row>
    <row r="1374" spans="3:5" x14ac:dyDescent="0.35">
      <c r="C1374" s="1" t="s">
        <v>7244</v>
      </c>
      <c r="D1374" s="1" t="s">
        <v>18</v>
      </c>
      <c r="E1374" s="250">
        <v>5126.1469999999999</v>
      </c>
    </row>
    <row r="1375" spans="3:5" x14ac:dyDescent="0.35">
      <c r="C1375" s="1" t="s">
        <v>7243</v>
      </c>
      <c r="D1375" s="1" t="s">
        <v>18</v>
      </c>
      <c r="E1375" s="250">
        <v>5126.1480000000001</v>
      </c>
    </row>
    <row r="1376" spans="3:5" x14ac:dyDescent="0.35">
      <c r="C1376" s="1" t="s">
        <v>7242</v>
      </c>
      <c r="D1376" s="1" t="s">
        <v>18</v>
      </c>
      <c r="E1376" s="250">
        <v>5126.1490000000003</v>
      </c>
    </row>
    <row r="1377" spans="3:5" x14ac:dyDescent="0.35">
      <c r="C1377" s="1" t="s">
        <v>7241</v>
      </c>
      <c r="D1377" s="1" t="s">
        <v>18</v>
      </c>
      <c r="E1377" s="250">
        <v>5126.1499999999996</v>
      </c>
    </row>
    <row r="1378" spans="3:5" x14ac:dyDescent="0.35">
      <c r="C1378" s="1" t="s">
        <v>7240</v>
      </c>
      <c r="D1378" s="1" t="s">
        <v>18</v>
      </c>
      <c r="E1378" s="250">
        <v>5126.1509999999998</v>
      </c>
    </row>
    <row r="1379" spans="3:5" x14ac:dyDescent="0.35">
      <c r="C1379" s="1" t="s">
        <v>7239</v>
      </c>
      <c r="D1379" s="1" t="s">
        <v>18</v>
      </c>
      <c r="E1379" s="250">
        <v>5126.152</v>
      </c>
    </row>
    <row r="1380" spans="3:5" x14ac:dyDescent="0.35">
      <c r="C1380" s="1" t="s">
        <v>7238</v>
      </c>
      <c r="D1380" s="1" t="s">
        <v>18</v>
      </c>
      <c r="E1380" s="250">
        <v>5126.1530000000002</v>
      </c>
    </row>
    <row r="1381" spans="3:5" x14ac:dyDescent="0.35">
      <c r="C1381" s="1" t="s">
        <v>7237</v>
      </c>
      <c r="D1381" s="1" t="s">
        <v>18</v>
      </c>
      <c r="E1381" s="250">
        <v>5126.1540000000005</v>
      </c>
    </row>
    <row r="1382" spans="3:5" x14ac:dyDescent="0.35">
      <c r="C1382" s="1" t="s">
        <v>7236</v>
      </c>
      <c r="D1382" s="1" t="s">
        <v>18</v>
      </c>
      <c r="E1382" s="250">
        <v>5126.1549999999997</v>
      </c>
    </row>
    <row r="1383" spans="3:5" x14ac:dyDescent="0.35">
      <c r="C1383" s="1" t="s">
        <v>7235</v>
      </c>
      <c r="D1383" s="1" t="s">
        <v>18</v>
      </c>
      <c r="E1383" s="250">
        <v>5126.1559999999999</v>
      </c>
    </row>
    <row r="1384" spans="3:5" x14ac:dyDescent="0.35">
      <c r="C1384" s="1" t="s">
        <v>7234</v>
      </c>
      <c r="D1384" s="1" t="s">
        <v>18</v>
      </c>
      <c r="E1384" s="250">
        <v>5126.1570000000002</v>
      </c>
    </row>
    <row r="1385" spans="3:5" x14ac:dyDescent="0.35">
      <c r="C1385" s="1" t="s">
        <v>7233</v>
      </c>
      <c r="D1385" s="1" t="s">
        <v>18</v>
      </c>
      <c r="E1385" s="250">
        <v>5126.1580000000004</v>
      </c>
    </row>
    <row r="1386" spans="3:5" x14ac:dyDescent="0.35">
      <c r="C1386" s="1" t="s">
        <v>7232</v>
      </c>
      <c r="D1386" s="1" t="s">
        <v>18</v>
      </c>
      <c r="E1386" s="250">
        <v>5126.1589999999997</v>
      </c>
    </row>
    <row r="1387" spans="3:5" x14ac:dyDescent="0.35">
      <c r="C1387" s="1" t="s">
        <v>7231</v>
      </c>
      <c r="D1387" s="1" t="s">
        <v>18</v>
      </c>
      <c r="E1387" s="250">
        <v>5126.16</v>
      </c>
    </row>
    <row r="1388" spans="3:5" x14ac:dyDescent="0.35">
      <c r="C1388" s="1" t="s">
        <v>7230</v>
      </c>
      <c r="D1388" s="1" t="s">
        <v>18</v>
      </c>
      <c r="E1388" s="250">
        <v>5126.1610000000001</v>
      </c>
    </row>
    <row r="1389" spans="3:5" x14ac:dyDescent="0.35">
      <c r="C1389" s="1" t="s">
        <v>7229</v>
      </c>
      <c r="D1389" s="1" t="s">
        <v>18</v>
      </c>
      <c r="E1389" s="250">
        <v>5126.1620000000003</v>
      </c>
    </row>
    <row r="1390" spans="3:5" x14ac:dyDescent="0.35">
      <c r="C1390" s="1" t="s">
        <v>7228</v>
      </c>
      <c r="D1390" s="1" t="s">
        <v>18</v>
      </c>
      <c r="E1390" s="250">
        <v>5126.1629999999996</v>
      </c>
    </row>
    <row r="1391" spans="3:5" x14ac:dyDescent="0.35">
      <c r="C1391" s="1" t="s">
        <v>7227</v>
      </c>
      <c r="D1391" s="1" t="s">
        <v>18</v>
      </c>
      <c r="E1391" s="250">
        <v>5126.1639999999998</v>
      </c>
    </row>
    <row r="1392" spans="3:5" x14ac:dyDescent="0.35">
      <c r="C1392" s="1" t="s">
        <v>7226</v>
      </c>
      <c r="D1392" s="1" t="s">
        <v>18</v>
      </c>
      <c r="E1392" s="250">
        <v>5126.165</v>
      </c>
    </row>
    <row r="1393" spans="3:5" x14ac:dyDescent="0.35">
      <c r="C1393" s="1" t="s">
        <v>7225</v>
      </c>
      <c r="D1393" s="1" t="s">
        <v>18</v>
      </c>
      <c r="E1393" s="250">
        <v>5126.1660000000002</v>
      </c>
    </row>
    <row r="1394" spans="3:5" x14ac:dyDescent="0.35">
      <c r="C1394" s="1" t="s">
        <v>7224</v>
      </c>
      <c r="D1394" s="1" t="s">
        <v>18</v>
      </c>
      <c r="E1394" s="250">
        <v>5126.1670000000004</v>
      </c>
    </row>
    <row r="1395" spans="3:5" x14ac:dyDescent="0.35">
      <c r="C1395" s="1" t="s">
        <v>7223</v>
      </c>
      <c r="D1395" s="1" t="s">
        <v>18</v>
      </c>
      <c r="E1395" s="250">
        <v>5126.1679999999997</v>
      </c>
    </row>
    <row r="1396" spans="3:5" x14ac:dyDescent="0.35">
      <c r="C1396" s="1" t="s">
        <v>7222</v>
      </c>
      <c r="D1396" s="1" t="s">
        <v>18</v>
      </c>
      <c r="E1396" s="250">
        <v>5126.1689999999999</v>
      </c>
    </row>
    <row r="1397" spans="3:5" x14ac:dyDescent="0.35">
      <c r="C1397" s="1" t="s">
        <v>7221</v>
      </c>
      <c r="D1397" s="1" t="s">
        <v>18</v>
      </c>
      <c r="E1397" s="250">
        <v>5126.17</v>
      </c>
    </row>
    <row r="1398" spans="3:5" x14ac:dyDescent="0.35">
      <c r="C1398" s="1" t="s">
        <v>7220</v>
      </c>
      <c r="D1398" s="1" t="s">
        <v>18</v>
      </c>
      <c r="E1398" s="250">
        <v>5126.1710000000003</v>
      </c>
    </row>
    <row r="1399" spans="3:5" x14ac:dyDescent="0.35">
      <c r="C1399" s="1" t="s">
        <v>7219</v>
      </c>
      <c r="D1399" s="1" t="s">
        <v>18</v>
      </c>
      <c r="E1399" s="250">
        <v>5126.1719999999996</v>
      </c>
    </row>
    <row r="1400" spans="3:5" x14ac:dyDescent="0.35">
      <c r="C1400" s="1" t="s">
        <v>7218</v>
      </c>
      <c r="D1400" s="1" t="s">
        <v>18</v>
      </c>
      <c r="E1400" s="250">
        <v>5126.1729999999998</v>
      </c>
    </row>
    <row r="1401" spans="3:5" x14ac:dyDescent="0.35">
      <c r="C1401" s="1" t="s">
        <v>7217</v>
      </c>
      <c r="D1401" s="1" t="s">
        <v>18</v>
      </c>
      <c r="E1401" s="250">
        <v>5126.174</v>
      </c>
    </row>
    <row r="1402" spans="3:5" x14ac:dyDescent="0.35">
      <c r="C1402" s="1" t="s">
        <v>7216</v>
      </c>
      <c r="D1402" s="1" t="s">
        <v>18</v>
      </c>
      <c r="E1402" s="250">
        <v>5126.1750000000002</v>
      </c>
    </row>
    <row r="1403" spans="3:5" x14ac:dyDescent="0.35">
      <c r="C1403" s="1" t="s">
        <v>7215</v>
      </c>
      <c r="D1403" s="1" t="s">
        <v>18</v>
      </c>
      <c r="E1403" s="250">
        <v>5126.1760000000004</v>
      </c>
    </row>
    <row r="1404" spans="3:5" x14ac:dyDescent="0.35">
      <c r="C1404" s="1" t="s">
        <v>7214</v>
      </c>
      <c r="D1404" s="1" t="s">
        <v>18</v>
      </c>
      <c r="E1404" s="250">
        <v>5126.1769999999997</v>
      </c>
    </row>
    <row r="1405" spans="3:5" x14ac:dyDescent="0.35">
      <c r="C1405" s="1" t="s">
        <v>7213</v>
      </c>
      <c r="D1405" s="1" t="s">
        <v>18</v>
      </c>
      <c r="E1405" s="250">
        <v>5126.1779999999999</v>
      </c>
    </row>
    <row r="1406" spans="3:5" x14ac:dyDescent="0.35">
      <c r="C1406" s="1" t="s">
        <v>7212</v>
      </c>
      <c r="D1406" s="1" t="s">
        <v>18</v>
      </c>
      <c r="E1406" s="250">
        <v>5126.1790000000001</v>
      </c>
    </row>
    <row r="1407" spans="3:5" x14ac:dyDescent="0.35">
      <c r="C1407" s="1" t="s">
        <v>7211</v>
      </c>
      <c r="D1407" s="1" t="s">
        <v>18</v>
      </c>
      <c r="E1407" s="250">
        <v>5126.18</v>
      </c>
    </row>
    <row r="1408" spans="3:5" x14ac:dyDescent="0.35">
      <c r="C1408" s="1" t="s">
        <v>7210</v>
      </c>
      <c r="D1408" s="1" t="s">
        <v>18</v>
      </c>
      <c r="E1408" s="250">
        <v>5126.1809999999996</v>
      </c>
    </row>
    <row r="1409" spans="3:5" x14ac:dyDescent="0.35">
      <c r="C1409" s="1" t="s">
        <v>7209</v>
      </c>
      <c r="D1409" s="1" t="s">
        <v>18</v>
      </c>
      <c r="E1409" s="250">
        <v>5126.1819999999998</v>
      </c>
    </row>
    <row r="1410" spans="3:5" x14ac:dyDescent="0.35">
      <c r="C1410" s="1" t="s">
        <v>7208</v>
      </c>
      <c r="D1410" s="1" t="s">
        <v>18</v>
      </c>
      <c r="E1410" s="250">
        <v>5126.183</v>
      </c>
    </row>
    <row r="1411" spans="3:5" x14ac:dyDescent="0.35">
      <c r="C1411" s="1" t="s">
        <v>7207</v>
      </c>
      <c r="D1411" s="1" t="s">
        <v>18</v>
      </c>
      <c r="E1411" s="250">
        <v>5126.1840000000002</v>
      </c>
    </row>
    <row r="1412" spans="3:5" x14ac:dyDescent="0.35">
      <c r="C1412" s="1" t="s">
        <v>7206</v>
      </c>
      <c r="D1412" s="1" t="s">
        <v>18</v>
      </c>
      <c r="E1412" s="250">
        <v>5126.1850000000004</v>
      </c>
    </row>
    <row r="1413" spans="3:5" x14ac:dyDescent="0.35">
      <c r="C1413" s="1" t="s">
        <v>7205</v>
      </c>
      <c r="D1413" s="1" t="s">
        <v>18</v>
      </c>
      <c r="E1413" s="250">
        <v>5126.1859999999997</v>
      </c>
    </row>
    <row r="1414" spans="3:5" x14ac:dyDescent="0.35">
      <c r="C1414" s="1" t="s">
        <v>7204</v>
      </c>
      <c r="D1414" s="1" t="s">
        <v>18</v>
      </c>
      <c r="E1414" s="250">
        <v>5126.1869999999999</v>
      </c>
    </row>
    <row r="1415" spans="3:5" x14ac:dyDescent="0.35">
      <c r="C1415" s="1" t="s">
        <v>7203</v>
      </c>
      <c r="D1415" s="1" t="s">
        <v>18</v>
      </c>
      <c r="E1415" s="250">
        <v>5126.1880000000001</v>
      </c>
    </row>
    <row r="1416" spans="3:5" x14ac:dyDescent="0.35">
      <c r="C1416" s="1" t="s">
        <v>7202</v>
      </c>
      <c r="D1416" s="1" t="s">
        <v>18</v>
      </c>
      <c r="E1416" s="250">
        <v>5126.1890000000003</v>
      </c>
    </row>
    <row r="1417" spans="3:5" x14ac:dyDescent="0.35">
      <c r="C1417" s="1" t="s">
        <v>7201</v>
      </c>
      <c r="D1417" s="1" t="s">
        <v>18</v>
      </c>
      <c r="E1417" s="250">
        <v>5126.1899999999996</v>
      </c>
    </row>
    <row r="1418" spans="3:5" x14ac:dyDescent="0.35">
      <c r="C1418" s="1" t="s">
        <v>7200</v>
      </c>
      <c r="D1418" s="1" t="s">
        <v>18</v>
      </c>
      <c r="E1418" s="250">
        <v>5126.1909999999998</v>
      </c>
    </row>
    <row r="1419" spans="3:5" x14ac:dyDescent="0.35">
      <c r="C1419" s="1" t="s">
        <v>7199</v>
      </c>
      <c r="D1419" s="1" t="s">
        <v>18</v>
      </c>
      <c r="E1419" s="250">
        <v>5126.192</v>
      </c>
    </row>
    <row r="1420" spans="3:5" x14ac:dyDescent="0.35">
      <c r="C1420" s="1" t="s">
        <v>7198</v>
      </c>
      <c r="D1420" s="1" t="s">
        <v>18</v>
      </c>
      <c r="E1420" s="250">
        <v>5126.1930000000002</v>
      </c>
    </row>
    <row r="1421" spans="3:5" x14ac:dyDescent="0.35">
      <c r="C1421" s="1" t="s">
        <v>7197</v>
      </c>
      <c r="D1421" s="1" t="s">
        <v>18</v>
      </c>
      <c r="E1421" s="250">
        <v>5126.1940000000004</v>
      </c>
    </row>
    <row r="1422" spans="3:5" x14ac:dyDescent="0.35">
      <c r="C1422" s="1" t="s">
        <v>7196</v>
      </c>
      <c r="D1422" s="1" t="s">
        <v>18</v>
      </c>
      <c r="E1422" s="250">
        <v>5126.1949999999997</v>
      </c>
    </row>
    <row r="1423" spans="3:5" x14ac:dyDescent="0.35">
      <c r="C1423" s="1" t="s">
        <v>7195</v>
      </c>
      <c r="D1423" s="1" t="s">
        <v>18</v>
      </c>
      <c r="E1423" s="250">
        <v>5126.1959999999999</v>
      </c>
    </row>
    <row r="1424" spans="3:5" x14ac:dyDescent="0.35">
      <c r="C1424" s="1" t="s">
        <v>7194</v>
      </c>
      <c r="D1424" s="1" t="s">
        <v>18</v>
      </c>
      <c r="E1424" s="250">
        <v>5126.1970000000001</v>
      </c>
    </row>
    <row r="1425" spans="3:5" x14ac:dyDescent="0.35">
      <c r="C1425" s="1" t="s">
        <v>7193</v>
      </c>
      <c r="D1425" s="1" t="s">
        <v>18</v>
      </c>
      <c r="E1425" s="250">
        <v>5126.1980000000003</v>
      </c>
    </row>
    <row r="1426" spans="3:5" x14ac:dyDescent="0.35">
      <c r="C1426" s="1" t="s">
        <v>7192</v>
      </c>
      <c r="D1426" s="1" t="s">
        <v>18</v>
      </c>
      <c r="E1426" s="250">
        <v>5126.1989999999996</v>
      </c>
    </row>
    <row r="1427" spans="3:5" x14ac:dyDescent="0.35">
      <c r="C1427" s="1" t="s">
        <v>7191</v>
      </c>
      <c r="D1427" s="1" t="s">
        <v>18</v>
      </c>
      <c r="E1427" s="250">
        <v>5126.2</v>
      </c>
    </row>
    <row r="1428" spans="3:5" x14ac:dyDescent="0.35">
      <c r="C1428" s="1" t="s">
        <v>7190</v>
      </c>
      <c r="D1428" s="1" t="s">
        <v>18</v>
      </c>
      <c r="E1428" s="250">
        <v>5126.201</v>
      </c>
    </row>
    <row r="1429" spans="3:5" x14ac:dyDescent="0.35">
      <c r="C1429" s="1" t="s">
        <v>7189</v>
      </c>
      <c r="D1429" s="1" t="s">
        <v>18</v>
      </c>
      <c r="E1429" s="250">
        <v>5126.2020000000002</v>
      </c>
    </row>
    <row r="1430" spans="3:5" x14ac:dyDescent="0.35">
      <c r="C1430" s="1" t="s">
        <v>7188</v>
      </c>
      <c r="D1430" s="1" t="s">
        <v>18</v>
      </c>
      <c r="E1430" s="250">
        <v>5126.2030000000004</v>
      </c>
    </row>
    <row r="1431" spans="3:5" x14ac:dyDescent="0.35">
      <c r="C1431" s="1" t="s">
        <v>7187</v>
      </c>
      <c r="D1431" s="1" t="s">
        <v>18</v>
      </c>
      <c r="E1431" s="250">
        <v>5126.2039999999997</v>
      </c>
    </row>
    <row r="1432" spans="3:5" x14ac:dyDescent="0.35">
      <c r="C1432" s="1" t="s">
        <v>7186</v>
      </c>
      <c r="D1432" s="1" t="s">
        <v>18</v>
      </c>
      <c r="E1432" s="250">
        <v>5126.2049999999999</v>
      </c>
    </row>
    <row r="1433" spans="3:5" x14ac:dyDescent="0.35">
      <c r="C1433" s="1" t="s">
        <v>7185</v>
      </c>
      <c r="D1433" s="1" t="s">
        <v>18</v>
      </c>
      <c r="E1433" s="250">
        <v>5126.2060000000001</v>
      </c>
    </row>
    <row r="1434" spans="3:5" x14ac:dyDescent="0.35">
      <c r="C1434" s="1" t="s">
        <v>7184</v>
      </c>
      <c r="D1434" s="1" t="s">
        <v>18</v>
      </c>
      <c r="E1434" s="250">
        <v>5126.2070000000003</v>
      </c>
    </row>
    <row r="1435" spans="3:5" x14ac:dyDescent="0.35">
      <c r="C1435" s="1" t="s">
        <v>7183</v>
      </c>
      <c r="D1435" s="1" t="s">
        <v>18</v>
      </c>
      <c r="E1435" s="250">
        <v>5126.2079999999996</v>
      </c>
    </row>
    <row r="1436" spans="3:5" x14ac:dyDescent="0.35">
      <c r="C1436" s="1" t="s">
        <v>7182</v>
      </c>
      <c r="D1436" s="1" t="s">
        <v>18</v>
      </c>
      <c r="E1436" s="250">
        <v>5126.2089999999998</v>
      </c>
    </row>
    <row r="1437" spans="3:5" x14ac:dyDescent="0.35">
      <c r="C1437" s="1" t="s">
        <v>7181</v>
      </c>
      <c r="D1437" s="1" t="s">
        <v>18</v>
      </c>
      <c r="E1437" s="250">
        <v>5126.21</v>
      </c>
    </row>
    <row r="1438" spans="3:5" x14ac:dyDescent="0.35">
      <c r="C1438" s="1" t="s">
        <v>7180</v>
      </c>
      <c r="D1438" s="1" t="s">
        <v>18</v>
      </c>
      <c r="E1438" s="250">
        <v>5126.2110000000002</v>
      </c>
    </row>
    <row r="1439" spans="3:5" x14ac:dyDescent="0.35">
      <c r="C1439" s="1" t="s">
        <v>7179</v>
      </c>
      <c r="D1439" s="1" t="s">
        <v>18</v>
      </c>
      <c r="E1439" s="250">
        <v>5126.2120000000004</v>
      </c>
    </row>
    <row r="1440" spans="3:5" x14ac:dyDescent="0.35">
      <c r="C1440" s="1" t="s">
        <v>7178</v>
      </c>
      <c r="D1440" s="1" t="s">
        <v>18</v>
      </c>
      <c r="E1440" s="250">
        <v>5126.2129999999997</v>
      </c>
    </row>
    <row r="1441" spans="3:5" x14ac:dyDescent="0.35">
      <c r="C1441" s="1" t="s">
        <v>7177</v>
      </c>
      <c r="D1441" s="1" t="s">
        <v>18</v>
      </c>
      <c r="E1441" s="250">
        <v>5126.2139999999999</v>
      </c>
    </row>
    <row r="1442" spans="3:5" x14ac:dyDescent="0.35">
      <c r="C1442" s="1" t="s">
        <v>7176</v>
      </c>
      <c r="D1442" s="1" t="s">
        <v>18</v>
      </c>
      <c r="E1442" s="250">
        <v>5126.2150000000001</v>
      </c>
    </row>
    <row r="1443" spans="3:5" x14ac:dyDescent="0.35">
      <c r="C1443" s="1" t="s">
        <v>7175</v>
      </c>
      <c r="D1443" s="1" t="s">
        <v>18</v>
      </c>
      <c r="E1443" s="250">
        <v>5126.2160000000003</v>
      </c>
    </row>
    <row r="1444" spans="3:5" x14ac:dyDescent="0.35">
      <c r="C1444" s="1" t="s">
        <v>7174</v>
      </c>
      <c r="D1444" s="1" t="s">
        <v>18</v>
      </c>
      <c r="E1444" s="250">
        <v>5126.2169999999996</v>
      </c>
    </row>
    <row r="1445" spans="3:5" x14ac:dyDescent="0.35">
      <c r="C1445" s="1" t="s">
        <v>7173</v>
      </c>
      <c r="D1445" s="1" t="s">
        <v>18</v>
      </c>
      <c r="E1445" s="250">
        <v>5126.2179999999998</v>
      </c>
    </row>
    <row r="1446" spans="3:5" x14ac:dyDescent="0.35">
      <c r="C1446" s="1" t="s">
        <v>7172</v>
      </c>
      <c r="D1446" s="1" t="s">
        <v>18</v>
      </c>
      <c r="E1446" s="250">
        <v>5126.2190000000001</v>
      </c>
    </row>
    <row r="1447" spans="3:5" x14ac:dyDescent="0.35">
      <c r="C1447" s="1" t="s">
        <v>7171</v>
      </c>
      <c r="D1447" s="1" t="s">
        <v>18</v>
      </c>
      <c r="E1447" s="250">
        <v>5126.22</v>
      </c>
    </row>
    <row r="1448" spans="3:5" x14ac:dyDescent="0.35">
      <c r="C1448" s="1" t="s">
        <v>7170</v>
      </c>
      <c r="D1448" s="1" t="s">
        <v>18</v>
      </c>
      <c r="E1448" s="250">
        <v>5126.2209999999995</v>
      </c>
    </row>
    <row r="1449" spans="3:5" x14ac:dyDescent="0.35">
      <c r="C1449" s="1" t="s">
        <v>7169</v>
      </c>
      <c r="D1449" s="1" t="s">
        <v>18</v>
      </c>
      <c r="E1449" s="250">
        <v>5126.223</v>
      </c>
    </row>
    <row r="1450" spans="3:5" x14ac:dyDescent="0.35">
      <c r="C1450" s="1" t="s">
        <v>7168</v>
      </c>
      <c r="D1450" s="1" t="s">
        <v>18</v>
      </c>
      <c r="E1450" s="250">
        <v>5126.2240000000002</v>
      </c>
    </row>
    <row r="1451" spans="3:5" x14ac:dyDescent="0.35">
      <c r="C1451" s="1" t="s">
        <v>7167</v>
      </c>
      <c r="D1451" s="1" t="s">
        <v>18</v>
      </c>
      <c r="E1451" s="250">
        <v>5126.2250000000004</v>
      </c>
    </row>
    <row r="1452" spans="3:5" x14ac:dyDescent="0.35">
      <c r="C1452" s="1" t="s">
        <v>7166</v>
      </c>
      <c r="D1452" s="1" t="s">
        <v>18</v>
      </c>
      <c r="E1452" s="250">
        <v>5126.2259999999997</v>
      </c>
    </row>
    <row r="1453" spans="3:5" x14ac:dyDescent="0.35">
      <c r="C1453" s="1" t="s">
        <v>7165</v>
      </c>
      <c r="D1453" s="1" t="s">
        <v>18</v>
      </c>
      <c r="E1453" s="250">
        <v>5126.2269999999999</v>
      </c>
    </row>
    <row r="1454" spans="3:5" x14ac:dyDescent="0.35">
      <c r="C1454" s="1" t="s">
        <v>7164</v>
      </c>
      <c r="D1454" s="1" t="s">
        <v>18</v>
      </c>
      <c r="E1454" s="250">
        <v>5126.2280000000001</v>
      </c>
    </row>
    <row r="1455" spans="3:5" x14ac:dyDescent="0.35">
      <c r="C1455" s="1" t="s">
        <v>7163</v>
      </c>
      <c r="D1455" s="1" t="s">
        <v>18</v>
      </c>
      <c r="E1455" s="250">
        <v>5126.2290000000003</v>
      </c>
    </row>
    <row r="1456" spans="3:5" x14ac:dyDescent="0.35">
      <c r="C1456" s="1" t="s">
        <v>7162</v>
      </c>
      <c r="D1456" s="1" t="s">
        <v>18</v>
      </c>
      <c r="E1456" s="250">
        <v>5126.2299999999996</v>
      </c>
    </row>
    <row r="1457" spans="3:5" x14ac:dyDescent="0.35">
      <c r="C1457" s="1" t="s">
        <v>7161</v>
      </c>
      <c r="D1457" s="1" t="s">
        <v>18</v>
      </c>
      <c r="E1457" s="250">
        <v>5126.2309999999998</v>
      </c>
    </row>
    <row r="1458" spans="3:5" x14ac:dyDescent="0.35">
      <c r="C1458" s="1" t="s">
        <v>7160</v>
      </c>
      <c r="D1458" s="1" t="s">
        <v>18</v>
      </c>
      <c r="E1458" s="250">
        <v>5126.232</v>
      </c>
    </row>
    <row r="1459" spans="3:5" x14ac:dyDescent="0.35">
      <c r="C1459" s="1" t="s">
        <v>7159</v>
      </c>
      <c r="D1459" s="1" t="s">
        <v>18</v>
      </c>
      <c r="E1459" s="250">
        <v>5126.2330000000002</v>
      </c>
    </row>
    <row r="1460" spans="3:5" x14ac:dyDescent="0.35">
      <c r="C1460" s="1" t="s">
        <v>7158</v>
      </c>
      <c r="D1460" s="1" t="s">
        <v>18</v>
      </c>
      <c r="E1460" s="250">
        <v>5126.2340000000004</v>
      </c>
    </row>
    <row r="1461" spans="3:5" x14ac:dyDescent="0.35">
      <c r="C1461" s="1" t="s">
        <v>7157</v>
      </c>
      <c r="D1461" s="1" t="s">
        <v>18</v>
      </c>
      <c r="E1461" s="250">
        <v>5126.2349999999997</v>
      </c>
    </row>
    <row r="1462" spans="3:5" x14ac:dyDescent="0.35">
      <c r="C1462" s="1" t="s">
        <v>7156</v>
      </c>
      <c r="D1462" s="1" t="s">
        <v>18</v>
      </c>
      <c r="E1462" s="250">
        <v>5126.2359999999999</v>
      </c>
    </row>
    <row r="1463" spans="3:5" x14ac:dyDescent="0.35">
      <c r="C1463" s="1" t="s">
        <v>7155</v>
      </c>
      <c r="D1463" s="1" t="s">
        <v>18</v>
      </c>
      <c r="E1463" s="250">
        <v>5126.2370000000001</v>
      </c>
    </row>
    <row r="1464" spans="3:5" x14ac:dyDescent="0.35">
      <c r="C1464" s="1" t="s">
        <v>7154</v>
      </c>
      <c r="D1464" s="1" t="s">
        <v>18</v>
      </c>
      <c r="E1464" s="250">
        <v>5126.2380000000003</v>
      </c>
    </row>
    <row r="1465" spans="3:5" x14ac:dyDescent="0.35">
      <c r="C1465" s="1" t="s">
        <v>7153</v>
      </c>
      <c r="D1465" s="1" t="s">
        <v>18</v>
      </c>
      <c r="E1465" s="250">
        <v>5126.2389999999996</v>
      </c>
    </row>
    <row r="1466" spans="3:5" x14ac:dyDescent="0.35">
      <c r="C1466" s="1" t="s">
        <v>7152</v>
      </c>
      <c r="D1466" s="1" t="s">
        <v>18</v>
      </c>
      <c r="E1466" s="250">
        <v>5126.24</v>
      </c>
    </row>
    <row r="1467" spans="3:5" x14ac:dyDescent="0.35">
      <c r="C1467" s="1" t="s">
        <v>7151</v>
      </c>
      <c r="D1467" s="1" t="s">
        <v>18</v>
      </c>
      <c r="E1467" s="250">
        <v>5126.241</v>
      </c>
    </row>
    <row r="1468" spans="3:5" x14ac:dyDescent="0.35">
      <c r="C1468" s="1" t="s">
        <v>7150</v>
      </c>
      <c r="D1468" s="1" t="s">
        <v>18</v>
      </c>
      <c r="E1468" s="250">
        <v>5126.2420000000002</v>
      </c>
    </row>
    <row r="1469" spans="3:5" x14ac:dyDescent="0.35">
      <c r="C1469" s="1" t="s">
        <v>7149</v>
      </c>
      <c r="D1469" s="1" t="s">
        <v>18</v>
      </c>
      <c r="E1469" s="250">
        <v>5126.2430000000004</v>
      </c>
    </row>
    <row r="1470" spans="3:5" x14ac:dyDescent="0.35">
      <c r="C1470" s="1" t="s">
        <v>7148</v>
      </c>
      <c r="D1470" s="1" t="s">
        <v>18</v>
      </c>
      <c r="E1470" s="250">
        <v>5126.2439999999997</v>
      </c>
    </row>
    <row r="1471" spans="3:5" x14ac:dyDescent="0.35">
      <c r="C1471" s="1" t="s">
        <v>7147</v>
      </c>
      <c r="D1471" s="1" t="s">
        <v>18</v>
      </c>
      <c r="E1471" s="250">
        <v>5126.2449999999999</v>
      </c>
    </row>
    <row r="1472" spans="3:5" x14ac:dyDescent="0.35">
      <c r="C1472" s="1" t="s">
        <v>7146</v>
      </c>
      <c r="D1472" s="1" t="s">
        <v>18</v>
      </c>
      <c r="E1472" s="250">
        <v>5126.2460000000001</v>
      </c>
    </row>
    <row r="1473" spans="3:5" x14ac:dyDescent="0.35">
      <c r="C1473" s="1" t="s">
        <v>7145</v>
      </c>
      <c r="D1473" s="1" t="s">
        <v>18</v>
      </c>
      <c r="E1473" s="250">
        <v>5126.2470000000003</v>
      </c>
    </row>
    <row r="1474" spans="3:5" x14ac:dyDescent="0.35">
      <c r="C1474" s="1" t="s">
        <v>7144</v>
      </c>
      <c r="D1474" s="1" t="s">
        <v>18</v>
      </c>
      <c r="E1474" s="250">
        <v>5126.2479999999996</v>
      </c>
    </row>
    <row r="1475" spans="3:5" x14ac:dyDescent="0.35">
      <c r="C1475" s="1" t="s">
        <v>7143</v>
      </c>
      <c r="D1475" s="1" t="s">
        <v>18</v>
      </c>
      <c r="E1475" s="250">
        <v>5126.2489999999998</v>
      </c>
    </row>
    <row r="1476" spans="3:5" x14ac:dyDescent="0.35">
      <c r="C1476" s="1" t="s">
        <v>7142</v>
      </c>
      <c r="D1476" s="1" t="s">
        <v>18</v>
      </c>
      <c r="E1476" s="250">
        <v>5126.25</v>
      </c>
    </row>
    <row r="1477" spans="3:5" x14ac:dyDescent="0.35">
      <c r="C1477" s="1" t="s">
        <v>7141</v>
      </c>
      <c r="D1477" s="1" t="s">
        <v>18</v>
      </c>
      <c r="E1477" s="250">
        <v>5126.2510000000002</v>
      </c>
    </row>
    <row r="1478" spans="3:5" x14ac:dyDescent="0.35">
      <c r="C1478" s="1" t="s">
        <v>7140</v>
      </c>
      <c r="D1478" s="1" t="s">
        <v>18</v>
      </c>
      <c r="E1478" s="250">
        <v>5126.2520000000004</v>
      </c>
    </row>
    <row r="1479" spans="3:5" x14ac:dyDescent="0.35">
      <c r="C1479" s="1" t="s">
        <v>7139</v>
      </c>
      <c r="D1479" s="1" t="s">
        <v>18</v>
      </c>
      <c r="E1479" s="250">
        <v>5126.2529999999997</v>
      </c>
    </row>
    <row r="1480" spans="3:5" x14ac:dyDescent="0.35">
      <c r="C1480" s="1" t="s">
        <v>7138</v>
      </c>
      <c r="D1480" s="1" t="s">
        <v>18</v>
      </c>
      <c r="E1480" s="250">
        <v>5126.2539999999999</v>
      </c>
    </row>
    <row r="1481" spans="3:5" x14ac:dyDescent="0.35">
      <c r="C1481" s="1" t="s">
        <v>7137</v>
      </c>
      <c r="D1481" s="1" t="s">
        <v>18</v>
      </c>
      <c r="E1481" s="250">
        <v>5126.2550000000001</v>
      </c>
    </row>
    <row r="1482" spans="3:5" x14ac:dyDescent="0.35">
      <c r="C1482" s="1" t="s">
        <v>7136</v>
      </c>
      <c r="D1482" s="1" t="s">
        <v>18</v>
      </c>
      <c r="E1482" s="250">
        <v>5126.2560000000003</v>
      </c>
    </row>
    <row r="1483" spans="3:5" x14ac:dyDescent="0.35">
      <c r="C1483" s="1" t="s">
        <v>7135</v>
      </c>
      <c r="D1483" s="1" t="s">
        <v>18</v>
      </c>
      <c r="E1483" s="250">
        <v>5126.2569999999996</v>
      </c>
    </row>
    <row r="1484" spans="3:5" x14ac:dyDescent="0.35">
      <c r="C1484" s="1" t="s">
        <v>7134</v>
      </c>
      <c r="D1484" s="1" t="s">
        <v>18</v>
      </c>
      <c r="E1484" s="250">
        <v>5126.2579999999998</v>
      </c>
    </row>
    <row r="1485" spans="3:5" x14ac:dyDescent="0.35">
      <c r="C1485" s="1" t="s">
        <v>7133</v>
      </c>
      <c r="D1485" s="1" t="s">
        <v>18</v>
      </c>
      <c r="E1485" s="250">
        <v>5126.259</v>
      </c>
    </row>
    <row r="1486" spans="3:5" x14ac:dyDescent="0.35">
      <c r="C1486" s="1" t="s">
        <v>7132</v>
      </c>
      <c r="D1486" s="1" t="s">
        <v>18</v>
      </c>
      <c r="E1486" s="250">
        <v>5126.26</v>
      </c>
    </row>
    <row r="1487" spans="3:5" x14ac:dyDescent="0.35">
      <c r="C1487" s="1" t="s">
        <v>7131</v>
      </c>
      <c r="D1487" s="1" t="s">
        <v>18</v>
      </c>
      <c r="E1487" s="250">
        <v>5126.2610000000004</v>
      </c>
    </row>
    <row r="1488" spans="3:5" x14ac:dyDescent="0.35">
      <c r="C1488" s="1" t="s">
        <v>7130</v>
      </c>
      <c r="D1488" s="1" t="s">
        <v>18</v>
      </c>
      <c r="E1488" s="250">
        <v>5126.2619999999997</v>
      </c>
    </row>
    <row r="1489" spans="3:5" x14ac:dyDescent="0.35">
      <c r="C1489" s="1" t="s">
        <v>7129</v>
      </c>
      <c r="D1489" s="1" t="s">
        <v>18</v>
      </c>
      <c r="E1489" s="250">
        <v>5126.2629999999999</v>
      </c>
    </row>
    <row r="1490" spans="3:5" x14ac:dyDescent="0.35">
      <c r="C1490" s="1" t="s">
        <v>7128</v>
      </c>
      <c r="D1490" s="1" t="s">
        <v>18</v>
      </c>
      <c r="E1490" s="250">
        <v>5126.2640000000001</v>
      </c>
    </row>
    <row r="1491" spans="3:5" x14ac:dyDescent="0.35">
      <c r="C1491" s="1" t="s">
        <v>7127</v>
      </c>
      <c r="D1491" s="1" t="s">
        <v>18</v>
      </c>
      <c r="E1491" s="250">
        <v>5126.2650000000003</v>
      </c>
    </row>
    <row r="1492" spans="3:5" x14ac:dyDescent="0.35">
      <c r="C1492" s="1" t="s">
        <v>7126</v>
      </c>
      <c r="D1492" s="1" t="s">
        <v>18</v>
      </c>
      <c r="E1492" s="250">
        <v>5126.2659999999996</v>
      </c>
    </row>
    <row r="1493" spans="3:5" x14ac:dyDescent="0.35">
      <c r="C1493" s="1" t="s">
        <v>7125</v>
      </c>
      <c r="D1493" s="1" t="s">
        <v>18</v>
      </c>
      <c r="E1493" s="250">
        <v>5126.2669999999998</v>
      </c>
    </row>
    <row r="1494" spans="3:5" x14ac:dyDescent="0.35">
      <c r="C1494" s="1" t="s">
        <v>7124</v>
      </c>
      <c r="D1494" s="1" t="s">
        <v>18</v>
      </c>
      <c r="E1494" s="250">
        <v>5126.268</v>
      </c>
    </row>
    <row r="1495" spans="3:5" x14ac:dyDescent="0.35">
      <c r="C1495" s="1" t="s">
        <v>7123</v>
      </c>
      <c r="D1495" s="1" t="s">
        <v>18</v>
      </c>
      <c r="E1495" s="250">
        <v>5126.2690000000002</v>
      </c>
    </row>
    <row r="1496" spans="3:5" x14ac:dyDescent="0.35">
      <c r="C1496" s="1" t="s">
        <v>7122</v>
      </c>
      <c r="D1496" s="1" t="s">
        <v>18</v>
      </c>
      <c r="E1496" s="250">
        <v>5126.2700000000004</v>
      </c>
    </row>
    <row r="1497" spans="3:5" x14ac:dyDescent="0.35">
      <c r="C1497" s="1" t="s">
        <v>7121</v>
      </c>
      <c r="D1497" s="1" t="s">
        <v>18</v>
      </c>
      <c r="E1497" s="250">
        <v>5126.2709999999997</v>
      </c>
    </row>
    <row r="1498" spans="3:5" x14ac:dyDescent="0.35">
      <c r="C1498" s="1" t="s">
        <v>7120</v>
      </c>
      <c r="D1498" s="1" t="s">
        <v>18</v>
      </c>
      <c r="E1498" s="250">
        <v>5126.2719999999999</v>
      </c>
    </row>
    <row r="1499" spans="3:5" x14ac:dyDescent="0.35">
      <c r="C1499" s="1" t="s">
        <v>7119</v>
      </c>
      <c r="D1499" s="1" t="s">
        <v>18</v>
      </c>
      <c r="E1499" s="250">
        <v>5126.2730000000001</v>
      </c>
    </row>
    <row r="1500" spans="3:5" x14ac:dyDescent="0.35">
      <c r="C1500" s="1" t="s">
        <v>7118</v>
      </c>
      <c r="D1500" s="1" t="s">
        <v>18</v>
      </c>
      <c r="E1500" s="250">
        <v>5126.2740000000003</v>
      </c>
    </row>
    <row r="1501" spans="3:5" x14ac:dyDescent="0.35">
      <c r="C1501" s="1" t="s">
        <v>7117</v>
      </c>
      <c r="D1501" s="1" t="s">
        <v>18</v>
      </c>
      <c r="E1501" s="250">
        <v>5126.2749999999996</v>
      </c>
    </row>
    <row r="1502" spans="3:5" x14ac:dyDescent="0.35">
      <c r="C1502" s="1" t="s">
        <v>7116</v>
      </c>
      <c r="D1502" s="1" t="s">
        <v>18</v>
      </c>
      <c r="E1502" s="250">
        <v>5126.2759999999998</v>
      </c>
    </row>
    <row r="1503" spans="3:5" x14ac:dyDescent="0.35">
      <c r="C1503" s="1" t="s">
        <v>7115</v>
      </c>
      <c r="D1503" s="1" t="s">
        <v>18</v>
      </c>
      <c r="E1503" s="250">
        <v>5126.277</v>
      </c>
    </row>
    <row r="1504" spans="3:5" x14ac:dyDescent="0.35">
      <c r="C1504" s="1" t="s">
        <v>7114</v>
      </c>
      <c r="D1504" s="1" t="s">
        <v>18</v>
      </c>
      <c r="E1504" s="250">
        <v>5126.2780000000002</v>
      </c>
    </row>
    <row r="1505" spans="3:5" x14ac:dyDescent="0.35">
      <c r="C1505" s="1" t="s">
        <v>7113</v>
      </c>
      <c r="D1505" s="1" t="s">
        <v>18</v>
      </c>
      <c r="E1505" s="250">
        <v>5126.2790000000005</v>
      </c>
    </row>
    <row r="1506" spans="3:5" x14ac:dyDescent="0.35">
      <c r="C1506" s="1" t="s">
        <v>7112</v>
      </c>
      <c r="D1506" s="1" t="s">
        <v>18</v>
      </c>
      <c r="E1506" s="250">
        <v>5126.28</v>
      </c>
    </row>
    <row r="1507" spans="3:5" x14ac:dyDescent="0.35">
      <c r="C1507" s="1" t="s">
        <v>7111</v>
      </c>
      <c r="D1507" s="1" t="s">
        <v>18</v>
      </c>
      <c r="E1507" s="250">
        <v>5126.2809999999999</v>
      </c>
    </row>
    <row r="1508" spans="3:5" x14ac:dyDescent="0.35">
      <c r="C1508" s="1" t="s">
        <v>7110</v>
      </c>
      <c r="D1508" s="1" t="s">
        <v>18</v>
      </c>
      <c r="E1508" s="250">
        <v>5126.2820000000002</v>
      </c>
    </row>
    <row r="1509" spans="3:5" x14ac:dyDescent="0.35">
      <c r="C1509" s="1" t="s">
        <v>7109</v>
      </c>
      <c r="D1509" s="1" t="s">
        <v>18</v>
      </c>
      <c r="E1509" s="250">
        <v>5126.2830000000004</v>
      </c>
    </row>
    <row r="1510" spans="3:5" x14ac:dyDescent="0.35">
      <c r="C1510" s="1" t="s">
        <v>7108</v>
      </c>
      <c r="D1510" s="1" t="s">
        <v>18</v>
      </c>
      <c r="E1510" s="250">
        <v>5126.2839999999997</v>
      </c>
    </row>
    <row r="1511" spans="3:5" x14ac:dyDescent="0.35">
      <c r="C1511" s="1" t="s">
        <v>7107</v>
      </c>
      <c r="D1511" s="1" t="s">
        <v>18</v>
      </c>
      <c r="E1511" s="250">
        <v>5126.2849999999999</v>
      </c>
    </row>
    <row r="1512" spans="3:5" x14ac:dyDescent="0.35">
      <c r="C1512" s="1" t="s">
        <v>7106</v>
      </c>
      <c r="D1512" s="1" t="s">
        <v>18</v>
      </c>
      <c r="E1512" s="250">
        <v>5126.2860000000001</v>
      </c>
    </row>
    <row r="1513" spans="3:5" x14ac:dyDescent="0.35">
      <c r="C1513" s="1" t="s">
        <v>7105</v>
      </c>
      <c r="D1513" s="1" t="s">
        <v>18</v>
      </c>
      <c r="E1513" s="250">
        <v>5126.2870000000003</v>
      </c>
    </row>
    <row r="1514" spans="3:5" x14ac:dyDescent="0.35">
      <c r="C1514" s="1" t="s">
        <v>7104</v>
      </c>
      <c r="D1514" s="1" t="s">
        <v>18</v>
      </c>
      <c r="E1514" s="250">
        <v>5126.2879999999996</v>
      </c>
    </row>
    <row r="1515" spans="3:5" x14ac:dyDescent="0.35">
      <c r="C1515" s="1" t="s">
        <v>7103</v>
      </c>
      <c r="D1515" s="1" t="s">
        <v>18</v>
      </c>
      <c r="E1515" s="250">
        <v>5126.2889999999998</v>
      </c>
    </row>
    <row r="1516" spans="3:5" x14ac:dyDescent="0.35">
      <c r="C1516" s="1" t="s">
        <v>7102</v>
      </c>
      <c r="D1516" s="1" t="s">
        <v>18</v>
      </c>
      <c r="E1516" s="250">
        <v>5126.29</v>
      </c>
    </row>
    <row r="1517" spans="3:5" x14ac:dyDescent="0.35">
      <c r="C1517" s="1" t="s">
        <v>7101</v>
      </c>
      <c r="D1517" s="1" t="s">
        <v>18</v>
      </c>
      <c r="E1517" s="250">
        <v>5126.2910000000002</v>
      </c>
    </row>
    <row r="1518" spans="3:5" x14ac:dyDescent="0.35">
      <c r="C1518" s="1" t="s">
        <v>7100</v>
      </c>
      <c r="D1518" s="1" t="s">
        <v>18</v>
      </c>
      <c r="E1518" s="250">
        <v>5126.2920000000004</v>
      </c>
    </row>
    <row r="1519" spans="3:5" x14ac:dyDescent="0.35">
      <c r="C1519" s="1" t="s">
        <v>7099</v>
      </c>
      <c r="D1519" s="1" t="s">
        <v>18</v>
      </c>
      <c r="E1519" s="250">
        <v>5126.2929999999997</v>
      </c>
    </row>
    <row r="1520" spans="3:5" x14ac:dyDescent="0.35">
      <c r="C1520" s="1" t="s">
        <v>7098</v>
      </c>
      <c r="D1520" s="1" t="s">
        <v>18</v>
      </c>
      <c r="E1520" s="250">
        <v>5126.2939999999999</v>
      </c>
    </row>
    <row r="1521" spans="3:5" x14ac:dyDescent="0.35">
      <c r="C1521" s="1" t="s">
        <v>7097</v>
      </c>
      <c r="D1521" s="1" t="s">
        <v>18</v>
      </c>
      <c r="E1521" s="250">
        <v>5126.2950000000001</v>
      </c>
    </row>
    <row r="1522" spans="3:5" x14ac:dyDescent="0.35">
      <c r="C1522" s="1" t="s">
        <v>7096</v>
      </c>
      <c r="D1522" s="1" t="s">
        <v>18</v>
      </c>
      <c r="E1522" s="250">
        <v>5126.2960000000003</v>
      </c>
    </row>
    <row r="1523" spans="3:5" x14ac:dyDescent="0.35">
      <c r="C1523" s="1" t="s">
        <v>7095</v>
      </c>
      <c r="D1523" s="1" t="s">
        <v>18</v>
      </c>
      <c r="E1523" s="250">
        <v>5126.2969999999996</v>
      </c>
    </row>
    <row r="1524" spans="3:5" x14ac:dyDescent="0.35">
      <c r="C1524" s="1" t="s">
        <v>7094</v>
      </c>
      <c r="D1524" s="1" t="s">
        <v>18</v>
      </c>
      <c r="E1524" s="250">
        <v>5126.2979999999998</v>
      </c>
    </row>
    <row r="1525" spans="3:5" x14ac:dyDescent="0.35">
      <c r="C1525" s="1" t="s">
        <v>7093</v>
      </c>
      <c r="D1525" s="1" t="s">
        <v>18</v>
      </c>
      <c r="E1525" s="250">
        <v>5126.299</v>
      </c>
    </row>
    <row r="1526" spans="3:5" x14ac:dyDescent="0.35">
      <c r="C1526" s="1" t="s">
        <v>7092</v>
      </c>
      <c r="D1526" s="1" t="s">
        <v>18</v>
      </c>
      <c r="E1526" s="250">
        <v>5126.3</v>
      </c>
    </row>
    <row r="1527" spans="3:5" x14ac:dyDescent="0.35">
      <c r="C1527" s="1" t="s">
        <v>7091</v>
      </c>
      <c r="D1527" s="1" t="s">
        <v>18</v>
      </c>
      <c r="E1527" s="250">
        <v>5126.33</v>
      </c>
    </row>
    <row r="1528" spans="3:5" x14ac:dyDescent="0.35">
      <c r="C1528" s="1" t="s">
        <v>7090</v>
      </c>
      <c r="D1528" s="1" t="s">
        <v>18</v>
      </c>
      <c r="E1528" s="250">
        <v>5126.3310000000001</v>
      </c>
    </row>
    <row r="1529" spans="3:5" x14ac:dyDescent="0.35">
      <c r="C1529" s="1" t="s">
        <v>7089</v>
      </c>
      <c r="D1529" s="1" t="s">
        <v>18</v>
      </c>
      <c r="E1529" s="250">
        <v>5126.3320000000003</v>
      </c>
    </row>
    <row r="1530" spans="3:5" x14ac:dyDescent="0.35">
      <c r="C1530" s="1" t="s">
        <v>7088</v>
      </c>
      <c r="D1530" s="1" t="s">
        <v>18</v>
      </c>
      <c r="E1530" s="250">
        <v>5126.3329999999996</v>
      </c>
    </row>
    <row r="1531" spans="3:5" x14ac:dyDescent="0.35">
      <c r="C1531" s="1" t="s">
        <v>7087</v>
      </c>
      <c r="D1531" s="1" t="s">
        <v>18</v>
      </c>
      <c r="E1531" s="250">
        <v>5126.3339999999998</v>
      </c>
    </row>
    <row r="1532" spans="3:5" x14ac:dyDescent="0.35">
      <c r="C1532" s="1" t="s">
        <v>7086</v>
      </c>
      <c r="D1532" s="1" t="s">
        <v>18</v>
      </c>
      <c r="E1532" s="250">
        <v>5126.335</v>
      </c>
    </row>
    <row r="1533" spans="3:5" x14ac:dyDescent="0.35">
      <c r="C1533" s="1" t="s">
        <v>7085</v>
      </c>
      <c r="D1533" s="1" t="s">
        <v>18</v>
      </c>
      <c r="E1533" s="250">
        <v>5126.3360000000002</v>
      </c>
    </row>
    <row r="1534" spans="3:5" x14ac:dyDescent="0.35">
      <c r="C1534" s="1" t="s">
        <v>7084</v>
      </c>
      <c r="D1534" s="1" t="s">
        <v>18</v>
      </c>
      <c r="E1534" s="250">
        <v>5126.3370000000004</v>
      </c>
    </row>
    <row r="1535" spans="3:5" x14ac:dyDescent="0.35">
      <c r="C1535" s="1" t="s">
        <v>7083</v>
      </c>
      <c r="D1535" s="1" t="s">
        <v>18</v>
      </c>
      <c r="E1535" s="250">
        <v>5126.3379999999997</v>
      </c>
    </row>
    <row r="1536" spans="3:5" x14ac:dyDescent="0.35">
      <c r="C1536" s="1" t="s">
        <v>7082</v>
      </c>
      <c r="D1536" s="1" t="s">
        <v>18</v>
      </c>
      <c r="E1536" s="250">
        <v>5126.3389999999999</v>
      </c>
    </row>
    <row r="1537" spans="3:5" x14ac:dyDescent="0.35">
      <c r="C1537" s="1" t="s">
        <v>7081</v>
      </c>
      <c r="D1537" s="1" t="s">
        <v>18</v>
      </c>
      <c r="E1537" s="250">
        <v>5126.34</v>
      </c>
    </row>
    <row r="1538" spans="3:5" x14ac:dyDescent="0.35">
      <c r="C1538" s="1" t="s">
        <v>7080</v>
      </c>
      <c r="D1538" s="1" t="s">
        <v>18</v>
      </c>
      <c r="E1538" s="250">
        <v>5126.3410000000003</v>
      </c>
    </row>
    <row r="1539" spans="3:5" x14ac:dyDescent="0.35">
      <c r="C1539" s="1" t="s">
        <v>7079</v>
      </c>
      <c r="D1539" s="1" t="s">
        <v>18</v>
      </c>
      <c r="E1539" s="250">
        <v>5126.3419999999996</v>
      </c>
    </row>
    <row r="1540" spans="3:5" x14ac:dyDescent="0.35">
      <c r="C1540" s="1" t="s">
        <v>7078</v>
      </c>
      <c r="D1540" s="1" t="s">
        <v>18</v>
      </c>
      <c r="E1540" s="250">
        <v>5126.3429999999998</v>
      </c>
    </row>
    <row r="1541" spans="3:5" x14ac:dyDescent="0.35">
      <c r="C1541" s="1" t="s">
        <v>7077</v>
      </c>
      <c r="D1541" s="1" t="s">
        <v>18</v>
      </c>
      <c r="E1541" s="250">
        <v>5126.3440000000001</v>
      </c>
    </row>
    <row r="1542" spans="3:5" x14ac:dyDescent="0.35">
      <c r="C1542" s="1" t="s">
        <v>7076</v>
      </c>
      <c r="D1542" s="1" t="s">
        <v>18</v>
      </c>
      <c r="E1542" s="250">
        <v>5126.3450000000003</v>
      </c>
    </row>
    <row r="1543" spans="3:5" x14ac:dyDescent="0.35">
      <c r="C1543" s="1" t="s">
        <v>7075</v>
      </c>
      <c r="D1543" s="1" t="s">
        <v>18</v>
      </c>
      <c r="E1543" s="250">
        <v>5126.3459999999995</v>
      </c>
    </row>
    <row r="1544" spans="3:5" x14ac:dyDescent="0.35">
      <c r="C1544" s="1" t="s">
        <v>7074</v>
      </c>
      <c r="D1544" s="1" t="s">
        <v>18</v>
      </c>
      <c r="E1544" s="250">
        <v>5126.3469999999998</v>
      </c>
    </row>
    <row r="1545" spans="3:5" x14ac:dyDescent="0.35">
      <c r="C1545" s="1" t="s">
        <v>7073</v>
      </c>
      <c r="D1545" s="1" t="s">
        <v>18</v>
      </c>
      <c r="E1545" s="250">
        <v>5126.348</v>
      </c>
    </row>
    <row r="1546" spans="3:5" x14ac:dyDescent="0.35">
      <c r="C1546" s="1" t="s">
        <v>7072</v>
      </c>
      <c r="D1546" s="1" t="s">
        <v>18</v>
      </c>
      <c r="E1546" s="250">
        <v>5126.3490000000002</v>
      </c>
    </row>
    <row r="1547" spans="3:5" x14ac:dyDescent="0.35">
      <c r="C1547" s="1" t="s">
        <v>7071</v>
      </c>
      <c r="D1547" s="1" t="s">
        <v>18</v>
      </c>
      <c r="E1547" s="250">
        <v>5126.3500000000004</v>
      </c>
    </row>
    <row r="1548" spans="3:5" x14ac:dyDescent="0.35">
      <c r="C1548" s="1" t="s">
        <v>7070</v>
      </c>
      <c r="D1548" s="1" t="s">
        <v>18</v>
      </c>
      <c r="E1548" s="250">
        <v>5126.3509999999997</v>
      </c>
    </row>
    <row r="1549" spans="3:5" x14ac:dyDescent="0.35">
      <c r="C1549" s="1" t="s">
        <v>7069</v>
      </c>
      <c r="D1549" s="1" t="s">
        <v>18</v>
      </c>
      <c r="E1549" s="250">
        <v>5126.3519999999999</v>
      </c>
    </row>
    <row r="1550" spans="3:5" x14ac:dyDescent="0.35">
      <c r="C1550" s="1" t="s">
        <v>7068</v>
      </c>
      <c r="D1550" s="1" t="s">
        <v>18</v>
      </c>
      <c r="E1550" s="250">
        <v>5126.3530000000001</v>
      </c>
    </row>
    <row r="1551" spans="3:5" x14ac:dyDescent="0.35">
      <c r="C1551" s="1" t="s">
        <v>7067</v>
      </c>
      <c r="D1551" s="1" t="s">
        <v>18</v>
      </c>
      <c r="E1551" s="250">
        <v>5126.3540000000003</v>
      </c>
    </row>
    <row r="1552" spans="3:5" x14ac:dyDescent="0.35">
      <c r="C1552" s="1" t="s">
        <v>7066</v>
      </c>
      <c r="D1552" s="1" t="s">
        <v>18</v>
      </c>
      <c r="E1552" s="250">
        <v>5126.3549999999996</v>
      </c>
    </row>
    <row r="1553" spans="3:5" x14ac:dyDescent="0.35">
      <c r="C1553" s="1" t="s">
        <v>7065</v>
      </c>
      <c r="D1553" s="1" t="s">
        <v>18</v>
      </c>
      <c r="E1553" s="250">
        <v>5126.3559999999998</v>
      </c>
    </row>
    <row r="1554" spans="3:5" x14ac:dyDescent="0.35">
      <c r="C1554" s="1" t="s">
        <v>7064</v>
      </c>
      <c r="D1554" s="1" t="s">
        <v>18</v>
      </c>
      <c r="E1554" s="250">
        <v>5126.37</v>
      </c>
    </row>
    <row r="1555" spans="3:5" x14ac:dyDescent="0.35">
      <c r="C1555" s="1" t="s">
        <v>7063</v>
      </c>
      <c r="D1555" s="1" t="s">
        <v>18</v>
      </c>
      <c r="E1555" s="250">
        <v>5126.3710000000001</v>
      </c>
    </row>
    <row r="1556" spans="3:5" x14ac:dyDescent="0.35">
      <c r="C1556" s="1" t="s">
        <v>7062</v>
      </c>
      <c r="D1556" s="1" t="s">
        <v>18</v>
      </c>
      <c r="E1556" s="250">
        <v>5126.3720000000003</v>
      </c>
    </row>
    <row r="1557" spans="3:5" x14ac:dyDescent="0.35">
      <c r="C1557" s="1" t="s">
        <v>7061</v>
      </c>
      <c r="D1557" s="1" t="s">
        <v>18</v>
      </c>
      <c r="E1557" s="250">
        <v>5126.3729999999996</v>
      </c>
    </row>
    <row r="1558" spans="3:5" x14ac:dyDescent="0.35">
      <c r="C1558" s="1" t="s">
        <v>7060</v>
      </c>
      <c r="D1558" s="1" t="s">
        <v>18</v>
      </c>
      <c r="E1558" s="250">
        <v>5126.3739999999998</v>
      </c>
    </row>
    <row r="1559" spans="3:5" x14ac:dyDescent="0.35">
      <c r="C1559" s="1" t="s">
        <v>7059</v>
      </c>
      <c r="D1559" s="1" t="s">
        <v>18</v>
      </c>
      <c r="E1559" s="250">
        <v>5126.375</v>
      </c>
    </row>
    <row r="1560" spans="3:5" x14ac:dyDescent="0.35">
      <c r="C1560" s="1" t="s">
        <v>7058</v>
      </c>
      <c r="D1560" s="1" t="s">
        <v>18</v>
      </c>
      <c r="E1560" s="250">
        <v>5126.3760000000002</v>
      </c>
    </row>
    <row r="1561" spans="3:5" x14ac:dyDescent="0.35">
      <c r="C1561" s="1" t="s">
        <v>7057</v>
      </c>
      <c r="D1561" s="1" t="s">
        <v>18</v>
      </c>
      <c r="E1561" s="250">
        <v>5126.3770000000004</v>
      </c>
    </row>
    <row r="1562" spans="3:5" x14ac:dyDescent="0.35">
      <c r="C1562" s="1" t="s">
        <v>7056</v>
      </c>
      <c r="D1562" s="1" t="s">
        <v>18</v>
      </c>
      <c r="E1562" s="250">
        <v>5126.3779999999997</v>
      </c>
    </row>
    <row r="1563" spans="3:5" x14ac:dyDescent="0.35">
      <c r="C1563" s="1" t="s">
        <v>7055</v>
      </c>
      <c r="D1563" s="1" t="s">
        <v>18</v>
      </c>
      <c r="E1563" s="250">
        <v>5126.3789999999999</v>
      </c>
    </row>
    <row r="1564" spans="3:5" x14ac:dyDescent="0.35">
      <c r="C1564" s="1" t="s">
        <v>7054</v>
      </c>
      <c r="D1564" s="1" t="s">
        <v>18</v>
      </c>
      <c r="E1564" s="250">
        <v>5126.38</v>
      </c>
    </row>
    <row r="1565" spans="3:5" x14ac:dyDescent="0.35">
      <c r="C1565" s="1" t="s">
        <v>7053</v>
      </c>
      <c r="D1565" s="1" t="s">
        <v>18</v>
      </c>
      <c r="E1565" s="250">
        <v>5126.3810000000003</v>
      </c>
    </row>
    <row r="1566" spans="3:5" x14ac:dyDescent="0.35">
      <c r="C1566" s="1" t="s">
        <v>7052</v>
      </c>
      <c r="D1566" s="1" t="s">
        <v>18</v>
      </c>
      <c r="E1566" s="250">
        <v>5126.3819999999996</v>
      </c>
    </row>
    <row r="1567" spans="3:5" x14ac:dyDescent="0.35">
      <c r="C1567" s="1" t="s">
        <v>7051</v>
      </c>
      <c r="D1567" s="1" t="s">
        <v>18</v>
      </c>
      <c r="E1567" s="250">
        <v>5126.3829999999998</v>
      </c>
    </row>
    <row r="1568" spans="3:5" x14ac:dyDescent="0.35">
      <c r="C1568" s="1" t="s">
        <v>7050</v>
      </c>
      <c r="D1568" s="1" t="s">
        <v>18</v>
      </c>
      <c r="E1568" s="250">
        <v>5126.384</v>
      </c>
    </row>
    <row r="1569" spans="3:5" x14ac:dyDescent="0.35">
      <c r="C1569" s="1" t="s">
        <v>7049</v>
      </c>
      <c r="D1569" s="1" t="s">
        <v>18</v>
      </c>
      <c r="E1569" s="250">
        <v>5126.3850000000002</v>
      </c>
    </row>
    <row r="1570" spans="3:5" x14ac:dyDescent="0.35">
      <c r="C1570" s="1" t="s">
        <v>7048</v>
      </c>
      <c r="D1570" s="1" t="s">
        <v>18</v>
      </c>
      <c r="E1570" s="250">
        <v>5126.3860000000004</v>
      </c>
    </row>
    <row r="1571" spans="3:5" x14ac:dyDescent="0.35">
      <c r="C1571" s="1" t="s">
        <v>7047</v>
      </c>
      <c r="D1571" s="1" t="s">
        <v>18</v>
      </c>
      <c r="E1571" s="250">
        <v>5126.3869999999997</v>
      </c>
    </row>
    <row r="1572" spans="3:5" x14ac:dyDescent="0.35">
      <c r="C1572" s="1" t="s">
        <v>7046</v>
      </c>
      <c r="D1572" s="1" t="s">
        <v>18</v>
      </c>
      <c r="E1572" s="250">
        <v>5126.3879999999999</v>
      </c>
    </row>
    <row r="1573" spans="3:5" x14ac:dyDescent="0.35">
      <c r="C1573" s="1" t="s">
        <v>7045</v>
      </c>
      <c r="D1573" s="1" t="s">
        <v>18</v>
      </c>
      <c r="E1573" s="250">
        <v>5126.3890000000001</v>
      </c>
    </row>
    <row r="1574" spans="3:5" x14ac:dyDescent="0.35">
      <c r="C1574" s="1" t="s">
        <v>7044</v>
      </c>
      <c r="D1574" s="1" t="s">
        <v>18</v>
      </c>
      <c r="E1574" s="250">
        <v>5126.3900000000003</v>
      </c>
    </row>
    <row r="1575" spans="3:5" x14ac:dyDescent="0.35">
      <c r="C1575" s="1" t="s">
        <v>7043</v>
      </c>
      <c r="D1575" s="1" t="s">
        <v>18</v>
      </c>
      <c r="E1575" s="250">
        <v>5126.3909999999996</v>
      </c>
    </row>
    <row r="1576" spans="3:5" x14ac:dyDescent="0.35">
      <c r="C1576" s="1" t="s">
        <v>7042</v>
      </c>
      <c r="D1576" s="1" t="s">
        <v>18</v>
      </c>
      <c r="E1576" s="250">
        <v>5126.3919999999998</v>
      </c>
    </row>
    <row r="1577" spans="3:5" x14ac:dyDescent="0.35">
      <c r="C1577" s="1" t="s">
        <v>7041</v>
      </c>
      <c r="D1577" s="1" t="s">
        <v>18</v>
      </c>
      <c r="E1577" s="250">
        <v>5126.393</v>
      </c>
    </row>
    <row r="1578" spans="3:5" x14ac:dyDescent="0.35">
      <c r="C1578" s="1" t="s">
        <v>7040</v>
      </c>
      <c r="D1578" s="1" t="s">
        <v>18</v>
      </c>
      <c r="E1578" s="250">
        <v>5126.3940000000002</v>
      </c>
    </row>
    <row r="1579" spans="3:5" x14ac:dyDescent="0.35">
      <c r="C1579" s="1" t="s">
        <v>7039</v>
      </c>
      <c r="D1579" s="1" t="s">
        <v>18</v>
      </c>
      <c r="E1579" s="250">
        <v>5126.3950000000004</v>
      </c>
    </row>
    <row r="1580" spans="3:5" x14ac:dyDescent="0.35">
      <c r="C1580" s="1" t="s">
        <v>7038</v>
      </c>
      <c r="D1580" s="1" t="s">
        <v>18</v>
      </c>
      <c r="E1580" s="250">
        <v>5126.3959999999997</v>
      </c>
    </row>
    <row r="1581" spans="3:5" x14ac:dyDescent="0.35">
      <c r="C1581" s="1" t="s">
        <v>7037</v>
      </c>
      <c r="D1581" s="1" t="s">
        <v>18</v>
      </c>
      <c r="E1581" s="250">
        <v>5126.41</v>
      </c>
    </row>
    <row r="1582" spans="3:5" x14ac:dyDescent="0.35">
      <c r="C1582" s="1" t="s">
        <v>7036</v>
      </c>
      <c r="D1582" s="1" t="s">
        <v>18</v>
      </c>
      <c r="E1582" s="250">
        <v>5126.4110000000001</v>
      </c>
    </row>
    <row r="1583" spans="3:5" x14ac:dyDescent="0.35">
      <c r="C1583" s="1" t="s">
        <v>7035</v>
      </c>
      <c r="D1583" s="1" t="s">
        <v>18</v>
      </c>
      <c r="E1583" s="250">
        <v>5126.4120000000003</v>
      </c>
    </row>
    <row r="1584" spans="3:5" x14ac:dyDescent="0.35">
      <c r="C1584" s="1" t="s">
        <v>7034</v>
      </c>
      <c r="D1584" s="1" t="s">
        <v>18</v>
      </c>
      <c r="E1584" s="250">
        <v>5126.4129999999996</v>
      </c>
    </row>
    <row r="1585" spans="3:5" x14ac:dyDescent="0.35">
      <c r="C1585" s="1" t="s">
        <v>7033</v>
      </c>
      <c r="D1585" s="1" t="s">
        <v>18</v>
      </c>
      <c r="E1585" s="250">
        <v>5126.4139999999998</v>
      </c>
    </row>
    <row r="1586" spans="3:5" x14ac:dyDescent="0.35">
      <c r="C1586" s="1" t="s">
        <v>7032</v>
      </c>
      <c r="D1586" s="1" t="s">
        <v>18</v>
      </c>
      <c r="E1586" s="250">
        <v>5126.415</v>
      </c>
    </row>
    <row r="1587" spans="3:5" x14ac:dyDescent="0.35">
      <c r="C1587" s="1" t="s">
        <v>7031</v>
      </c>
      <c r="D1587" s="1" t="s">
        <v>18</v>
      </c>
      <c r="E1587" s="250">
        <v>5126.4160000000002</v>
      </c>
    </row>
    <row r="1588" spans="3:5" x14ac:dyDescent="0.35">
      <c r="C1588" s="1" t="s">
        <v>7030</v>
      </c>
      <c r="D1588" s="1" t="s">
        <v>18</v>
      </c>
      <c r="E1588" s="250">
        <v>5126.4170000000004</v>
      </c>
    </row>
    <row r="1589" spans="3:5" x14ac:dyDescent="0.35">
      <c r="C1589" s="1" t="s">
        <v>7029</v>
      </c>
      <c r="D1589" s="1" t="s">
        <v>18</v>
      </c>
      <c r="E1589" s="250">
        <v>5126.4179999999997</v>
      </c>
    </row>
    <row r="1590" spans="3:5" x14ac:dyDescent="0.35">
      <c r="C1590" s="1" t="s">
        <v>7028</v>
      </c>
      <c r="D1590" s="1" t="s">
        <v>18</v>
      </c>
      <c r="E1590" s="250">
        <v>5126.4189999999999</v>
      </c>
    </row>
    <row r="1591" spans="3:5" x14ac:dyDescent="0.35">
      <c r="C1591" s="1" t="s">
        <v>7027</v>
      </c>
      <c r="D1591" s="1" t="s">
        <v>18</v>
      </c>
      <c r="E1591" s="250">
        <v>5126.42</v>
      </c>
    </row>
    <row r="1592" spans="3:5" x14ac:dyDescent="0.35">
      <c r="C1592" s="1" t="s">
        <v>7026</v>
      </c>
      <c r="D1592" s="1" t="s">
        <v>18</v>
      </c>
      <c r="E1592" s="250">
        <v>5126.4210000000003</v>
      </c>
    </row>
    <row r="1593" spans="3:5" x14ac:dyDescent="0.35">
      <c r="C1593" s="1" t="s">
        <v>7025</v>
      </c>
      <c r="D1593" s="1" t="s">
        <v>18</v>
      </c>
      <c r="E1593" s="250">
        <v>5126.4219999999996</v>
      </c>
    </row>
    <row r="1594" spans="3:5" x14ac:dyDescent="0.35">
      <c r="C1594" s="1" t="s">
        <v>7024</v>
      </c>
      <c r="D1594" s="1" t="s">
        <v>18</v>
      </c>
      <c r="E1594" s="250">
        <v>5126.4229999999998</v>
      </c>
    </row>
    <row r="1595" spans="3:5" x14ac:dyDescent="0.35">
      <c r="C1595" s="1" t="s">
        <v>7023</v>
      </c>
      <c r="D1595" s="1" t="s">
        <v>18</v>
      </c>
      <c r="E1595" s="250">
        <v>5126.424</v>
      </c>
    </row>
    <row r="1596" spans="3:5" x14ac:dyDescent="0.35">
      <c r="C1596" s="1" t="s">
        <v>7022</v>
      </c>
      <c r="D1596" s="1" t="s">
        <v>18</v>
      </c>
      <c r="E1596" s="250">
        <v>5126.4610000000002</v>
      </c>
    </row>
    <row r="1597" spans="3:5" x14ac:dyDescent="0.35">
      <c r="C1597" s="1" t="s">
        <v>7021</v>
      </c>
      <c r="D1597" s="1" t="s">
        <v>18</v>
      </c>
      <c r="E1597" s="250">
        <v>5126.4620000000004</v>
      </c>
    </row>
    <row r="1598" spans="3:5" x14ac:dyDescent="0.35">
      <c r="C1598" s="1" t="s">
        <v>7020</v>
      </c>
      <c r="D1598" s="1" t="s">
        <v>18</v>
      </c>
      <c r="E1598" s="250">
        <v>5126.4629999999997</v>
      </c>
    </row>
    <row r="1599" spans="3:5" x14ac:dyDescent="0.35">
      <c r="C1599" s="1" t="s">
        <v>7019</v>
      </c>
      <c r="D1599" s="1" t="s">
        <v>18</v>
      </c>
      <c r="E1599" s="250">
        <v>5126.4639999999999</v>
      </c>
    </row>
    <row r="1600" spans="3:5" x14ac:dyDescent="0.35">
      <c r="C1600" s="1" t="s">
        <v>7018</v>
      </c>
      <c r="D1600" s="1" t="s">
        <v>18</v>
      </c>
      <c r="E1600" s="250">
        <v>5126.4650000000001</v>
      </c>
    </row>
    <row r="1601" spans="3:5" x14ac:dyDescent="0.35">
      <c r="C1601" s="1" t="s">
        <v>7017</v>
      </c>
      <c r="D1601" s="1" t="s">
        <v>18</v>
      </c>
      <c r="E1601" s="250">
        <v>5126.4660000000003</v>
      </c>
    </row>
    <row r="1602" spans="3:5" x14ac:dyDescent="0.35">
      <c r="C1602" s="1" t="s">
        <v>7016</v>
      </c>
      <c r="D1602" s="1" t="s">
        <v>18</v>
      </c>
      <c r="E1602" s="250">
        <v>5126.4669999999996</v>
      </c>
    </row>
    <row r="1603" spans="3:5" x14ac:dyDescent="0.35">
      <c r="C1603" s="1" t="s">
        <v>7015</v>
      </c>
      <c r="D1603" s="1" t="s">
        <v>18</v>
      </c>
      <c r="E1603" s="250">
        <v>5126.4679999999998</v>
      </c>
    </row>
    <row r="1604" spans="3:5" x14ac:dyDescent="0.35">
      <c r="C1604" s="1" t="s">
        <v>7014</v>
      </c>
      <c r="D1604" s="1" t="s">
        <v>18</v>
      </c>
      <c r="E1604" s="250">
        <v>5126.4690000000001</v>
      </c>
    </row>
    <row r="1605" spans="3:5" x14ac:dyDescent="0.35">
      <c r="C1605" s="1" t="s">
        <v>7013</v>
      </c>
      <c r="D1605" s="1" t="s">
        <v>18</v>
      </c>
      <c r="E1605" s="250">
        <v>5126.47</v>
      </c>
    </row>
    <row r="1606" spans="3:5" x14ac:dyDescent="0.35">
      <c r="C1606" s="1" t="s">
        <v>7012</v>
      </c>
      <c r="D1606" s="1" t="s">
        <v>18</v>
      </c>
      <c r="E1606" s="250">
        <v>5126.4709999999995</v>
      </c>
    </row>
    <row r="1607" spans="3:5" x14ac:dyDescent="0.35">
      <c r="C1607" s="1" t="s">
        <v>7011</v>
      </c>
      <c r="D1607" s="1" t="s">
        <v>18</v>
      </c>
      <c r="E1607" s="250">
        <v>5126.4719999999998</v>
      </c>
    </row>
    <row r="1608" spans="3:5" x14ac:dyDescent="0.35">
      <c r="C1608" s="1" t="s">
        <v>7010</v>
      </c>
      <c r="D1608" s="1" t="s">
        <v>18</v>
      </c>
      <c r="E1608" s="250">
        <v>5126.473</v>
      </c>
    </row>
    <row r="1609" spans="3:5" x14ac:dyDescent="0.35">
      <c r="C1609" s="1" t="s">
        <v>7009</v>
      </c>
      <c r="D1609" s="1" t="s">
        <v>18</v>
      </c>
      <c r="E1609" s="250">
        <v>5126.4750000000004</v>
      </c>
    </row>
    <row r="1610" spans="3:5" x14ac:dyDescent="0.35">
      <c r="C1610" s="1" t="s">
        <v>7008</v>
      </c>
      <c r="D1610" s="1" t="s">
        <v>18</v>
      </c>
      <c r="E1610" s="250">
        <v>5126.4759999999997</v>
      </c>
    </row>
    <row r="1611" spans="3:5" x14ac:dyDescent="0.35">
      <c r="C1611" s="1" t="s">
        <v>7007</v>
      </c>
      <c r="D1611" s="1" t="s">
        <v>18</v>
      </c>
      <c r="E1611" s="250">
        <v>5126.4780000000001</v>
      </c>
    </row>
    <row r="1612" spans="3:5" x14ac:dyDescent="0.35">
      <c r="C1612" s="1" t="s">
        <v>7006</v>
      </c>
      <c r="D1612" s="1" t="s">
        <v>18</v>
      </c>
      <c r="E1612" s="250">
        <v>5126.4799999999996</v>
      </c>
    </row>
    <row r="1613" spans="3:5" x14ac:dyDescent="0.35">
      <c r="C1613" s="1" t="s">
        <v>7005</v>
      </c>
      <c r="D1613" s="1" t="s">
        <v>18</v>
      </c>
      <c r="E1613" s="250">
        <v>5126.482</v>
      </c>
    </row>
    <row r="1614" spans="3:5" x14ac:dyDescent="0.35">
      <c r="C1614" s="1" t="s">
        <v>7004</v>
      </c>
      <c r="D1614" s="1" t="s">
        <v>18</v>
      </c>
      <c r="E1614" s="250">
        <v>5126.5010000000002</v>
      </c>
    </row>
    <row r="1615" spans="3:5" x14ac:dyDescent="0.35">
      <c r="C1615" s="1" t="s">
        <v>7003</v>
      </c>
      <c r="D1615" s="1" t="s">
        <v>18</v>
      </c>
      <c r="E1615" s="250">
        <v>5126.5020000000004</v>
      </c>
    </row>
    <row r="1616" spans="3:5" x14ac:dyDescent="0.35">
      <c r="C1616" s="1" t="s">
        <v>7002</v>
      </c>
      <c r="D1616" s="1" t="s">
        <v>18</v>
      </c>
      <c r="E1616" s="250">
        <v>5126.5029999999997</v>
      </c>
    </row>
    <row r="1617" spans="3:5" x14ac:dyDescent="0.35">
      <c r="C1617" s="1" t="s">
        <v>7001</v>
      </c>
      <c r="D1617" s="1" t="s">
        <v>18</v>
      </c>
      <c r="E1617" s="250">
        <v>5126.5039999999999</v>
      </c>
    </row>
    <row r="1618" spans="3:5" x14ac:dyDescent="0.35">
      <c r="C1618" s="1" t="s">
        <v>7000</v>
      </c>
      <c r="D1618" s="1" t="s">
        <v>18</v>
      </c>
      <c r="E1618" s="250">
        <v>5126.5050000000001</v>
      </c>
    </row>
    <row r="1619" spans="3:5" x14ac:dyDescent="0.35">
      <c r="C1619" s="1" t="s">
        <v>6999</v>
      </c>
      <c r="D1619" s="1" t="s">
        <v>18</v>
      </c>
      <c r="E1619" s="250">
        <v>5126.5060000000003</v>
      </c>
    </row>
    <row r="1620" spans="3:5" x14ac:dyDescent="0.35">
      <c r="C1620" s="1" t="s">
        <v>6998</v>
      </c>
      <c r="D1620" s="1" t="s">
        <v>18</v>
      </c>
      <c r="E1620" s="250">
        <v>5126.5069999999996</v>
      </c>
    </row>
    <row r="1621" spans="3:5" x14ac:dyDescent="0.35">
      <c r="C1621" s="1" t="s">
        <v>6997</v>
      </c>
      <c r="D1621" s="1" t="s">
        <v>18</v>
      </c>
      <c r="E1621" s="250">
        <v>5126.5079999999998</v>
      </c>
    </row>
    <row r="1622" spans="3:5" x14ac:dyDescent="0.35">
      <c r="C1622" s="1" t="s">
        <v>6996</v>
      </c>
      <c r="D1622" s="1" t="s">
        <v>18</v>
      </c>
      <c r="E1622" s="250">
        <v>5126.509</v>
      </c>
    </row>
    <row r="1623" spans="3:5" x14ac:dyDescent="0.35">
      <c r="C1623" s="1" t="s">
        <v>6995</v>
      </c>
      <c r="D1623" s="1" t="s">
        <v>18</v>
      </c>
      <c r="E1623" s="250">
        <v>5126.51</v>
      </c>
    </row>
    <row r="1624" spans="3:5" x14ac:dyDescent="0.35">
      <c r="C1624" s="1" t="s">
        <v>6994</v>
      </c>
      <c r="D1624" s="1" t="s">
        <v>18</v>
      </c>
      <c r="E1624" s="250">
        <v>5126.5110000000004</v>
      </c>
    </row>
    <row r="1625" spans="3:5" x14ac:dyDescent="0.35">
      <c r="C1625" s="1" t="s">
        <v>6993</v>
      </c>
      <c r="D1625" s="1" t="s">
        <v>18</v>
      </c>
      <c r="E1625" s="250">
        <v>5126.5119999999997</v>
      </c>
    </row>
    <row r="1626" spans="3:5" x14ac:dyDescent="0.35">
      <c r="C1626" s="1" t="s">
        <v>6992</v>
      </c>
      <c r="D1626" s="1" t="s">
        <v>18</v>
      </c>
      <c r="E1626" s="250">
        <v>5126.5129999999999</v>
      </c>
    </row>
    <row r="1627" spans="3:5" x14ac:dyDescent="0.35">
      <c r="C1627" s="1" t="s">
        <v>6991</v>
      </c>
      <c r="D1627" s="1" t="s">
        <v>18</v>
      </c>
      <c r="E1627" s="250">
        <v>5126.5150000000003</v>
      </c>
    </row>
    <row r="1628" spans="3:5" x14ac:dyDescent="0.35">
      <c r="C1628" s="1" t="s">
        <v>6990</v>
      </c>
      <c r="D1628" s="1" t="s">
        <v>18</v>
      </c>
      <c r="E1628" s="250">
        <v>5126.5159999999996</v>
      </c>
    </row>
    <row r="1629" spans="3:5" x14ac:dyDescent="0.35">
      <c r="C1629" s="1" t="s">
        <v>6989</v>
      </c>
      <c r="D1629" s="1" t="s">
        <v>18</v>
      </c>
      <c r="E1629" s="250">
        <v>5126.518</v>
      </c>
    </row>
    <row r="1630" spans="3:5" x14ac:dyDescent="0.35">
      <c r="C1630" s="1" t="s">
        <v>6988</v>
      </c>
      <c r="D1630" s="1" t="s">
        <v>18</v>
      </c>
      <c r="E1630" s="250">
        <v>5126.5200000000004</v>
      </c>
    </row>
    <row r="1631" spans="3:5" x14ac:dyDescent="0.35">
      <c r="C1631" s="1" t="s">
        <v>6987</v>
      </c>
      <c r="D1631" s="1" t="s">
        <v>18</v>
      </c>
      <c r="E1631" s="250">
        <v>5126.5219999999999</v>
      </c>
    </row>
    <row r="1632" spans="3:5" x14ac:dyDescent="0.35">
      <c r="C1632" s="1" t="s">
        <v>6986</v>
      </c>
      <c r="D1632" s="1" t="s">
        <v>18</v>
      </c>
      <c r="E1632" s="250">
        <v>5126.5230000000001</v>
      </c>
    </row>
    <row r="1633" spans="3:5" x14ac:dyDescent="0.35">
      <c r="C1633" s="1" t="s">
        <v>6985</v>
      </c>
      <c r="D1633" s="1" t="s">
        <v>18</v>
      </c>
      <c r="E1633" s="250">
        <v>5126.5240000000003</v>
      </c>
    </row>
    <row r="1634" spans="3:5" x14ac:dyDescent="0.35">
      <c r="C1634" s="1" t="s">
        <v>6984</v>
      </c>
      <c r="D1634" s="1" t="s">
        <v>18</v>
      </c>
      <c r="E1634" s="250">
        <v>5126.5249999999996</v>
      </c>
    </row>
    <row r="1635" spans="3:5" x14ac:dyDescent="0.35">
      <c r="C1635" s="1" t="s">
        <v>6983</v>
      </c>
      <c r="D1635" s="1" t="s">
        <v>18</v>
      </c>
      <c r="E1635" s="250">
        <v>5126.5259999999998</v>
      </c>
    </row>
    <row r="1636" spans="3:5" x14ac:dyDescent="0.35">
      <c r="C1636" s="1" t="s">
        <v>6982</v>
      </c>
      <c r="D1636" s="1" t="s">
        <v>18</v>
      </c>
      <c r="E1636" s="250">
        <v>5126.527</v>
      </c>
    </row>
    <row r="1637" spans="3:5" x14ac:dyDescent="0.35">
      <c r="C1637" s="1" t="s">
        <v>6981</v>
      </c>
      <c r="D1637" s="1" t="s">
        <v>18</v>
      </c>
      <c r="E1637" s="250">
        <v>5126.558</v>
      </c>
    </row>
    <row r="1638" spans="3:5" x14ac:dyDescent="0.35">
      <c r="C1638" s="1" t="s">
        <v>6980</v>
      </c>
      <c r="D1638" s="1" t="s">
        <v>18</v>
      </c>
      <c r="E1638" s="250">
        <v>5126.5600000000004</v>
      </c>
    </row>
    <row r="1639" spans="3:5" x14ac:dyDescent="0.35">
      <c r="C1639" s="1" t="s">
        <v>6979</v>
      </c>
      <c r="D1639" s="1" t="s">
        <v>18</v>
      </c>
      <c r="E1639" s="250">
        <v>5126.5619999999999</v>
      </c>
    </row>
    <row r="1640" spans="3:5" x14ac:dyDescent="0.35">
      <c r="C1640" s="1" t="s">
        <v>6978</v>
      </c>
      <c r="D1640" s="1" t="s">
        <v>18</v>
      </c>
      <c r="E1640" s="250">
        <v>5126.5630000000001</v>
      </c>
    </row>
    <row r="1641" spans="3:5" x14ac:dyDescent="0.35">
      <c r="C1641" s="1" t="s">
        <v>6977</v>
      </c>
      <c r="D1641" s="1" t="s">
        <v>18</v>
      </c>
      <c r="E1641" s="250">
        <v>5126.5640000000003</v>
      </c>
    </row>
    <row r="1642" spans="3:5" x14ac:dyDescent="0.35">
      <c r="C1642" s="1" t="s">
        <v>6976</v>
      </c>
      <c r="D1642" s="1" t="s">
        <v>18</v>
      </c>
      <c r="E1642" s="250">
        <v>5126.5649999999996</v>
      </c>
    </row>
    <row r="1643" spans="3:5" x14ac:dyDescent="0.35">
      <c r="C1643" s="1" t="s">
        <v>6975</v>
      </c>
      <c r="D1643" s="1" t="s">
        <v>18</v>
      </c>
      <c r="E1643" s="250">
        <v>5126.5659999999998</v>
      </c>
    </row>
    <row r="1644" spans="3:5" x14ac:dyDescent="0.35">
      <c r="C1644" s="1" t="s">
        <v>6974</v>
      </c>
      <c r="D1644" s="1" t="s">
        <v>18</v>
      </c>
      <c r="E1644" s="250">
        <v>5126.567</v>
      </c>
    </row>
    <row r="1645" spans="3:5" x14ac:dyDescent="0.35">
      <c r="C1645" s="1" t="s">
        <v>6973</v>
      </c>
      <c r="D1645" s="1" t="s">
        <v>18</v>
      </c>
      <c r="E1645" s="250">
        <v>5126.598</v>
      </c>
    </row>
    <row r="1646" spans="3:5" x14ac:dyDescent="0.35">
      <c r="C1646" s="1" t="s">
        <v>6972</v>
      </c>
      <c r="D1646" s="1" t="s">
        <v>18</v>
      </c>
      <c r="E1646" s="250">
        <v>5126.6000000000004</v>
      </c>
    </row>
    <row r="1647" spans="3:5" x14ac:dyDescent="0.35">
      <c r="C1647" s="1" t="s">
        <v>6971</v>
      </c>
      <c r="D1647" s="1" t="s">
        <v>18</v>
      </c>
      <c r="E1647" s="250">
        <v>5126.6019999999999</v>
      </c>
    </row>
    <row r="1648" spans="3:5" x14ac:dyDescent="0.35">
      <c r="C1648" s="1" t="s">
        <v>6970</v>
      </c>
      <c r="D1648" s="1" t="s">
        <v>18</v>
      </c>
      <c r="E1648" s="250">
        <v>5126.6030000000001</v>
      </c>
    </row>
    <row r="1649" spans="3:5" x14ac:dyDescent="0.35">
      <c r="C1649" s="1" t="s">
        <v>6969</v>
      </c>
      <c r="D1649" s="1" t="s">
        <v>18</v>
      </c>
      <c r="E1649" s="250">
        <v>5126.6040000000003</v>
      </c>
    </row>
    <row r="1650" spans="3:5" x14ac:dyDescent="0.35">
      <c r="C1650" s="1" t="s">
        <v>6968</v>
      </c>
      <c r="D1650" s="1" t="s">
        <v>18</v>
      </c>
      <c r="E1650" s="250">
        <v>5126.6049999999996</v>
      </c>
    </row>
    <row r="1651" spans="3:5" x14ac:dyDescent="0.35">
      <c r="C1651" s="1" t="s">
        <v>6967</v>
      </c>
      <c r="D1651" s="1" t="s">
        <v>18</v>
      </c>
      <c r="E1651" s="250">
        <v>5126.6059999999998</v>
      </c>
    </row>
    <row r="1652" spans="3:5" x14ac:dyDescent="0.35">
      <c r="C1652" s="1" t="s">
        <v>6966</v>
      </c>
      <c r="D1652" s="1" t="s">
        <v>18</v>
      </c>
      <c r="E1652" s="250">
        <v>5126.607</v>
      </c>
    </row>
    <row r="1653" spans="3:5" x14ac:dyDescent="0.35">
      <c r="C1653" s="1" t="s">
        <v>6965</v>
      </c>
      <c r="D1653" s="1" t="s">
        <v>18</v>
      </c>
      <c r="E1653" s="250">
        <v>5126.6210000000001</v>
      </c>
    </row>
    <row r="1654" spans="3:5" x14ac:dyDescent="0.35">
      <c r="C1654" s="1" t="s">
        <v>6964</v>
      </c>
      <c r="D1654" s="1" t="s">
        <v>18</v>
      </c>
      <c r="E1654" s="250">
        <v>5126.6220000000003</v>
      </c>
    </row>
    <row r="1655" spans="3:5" x14ac:dyDescent="0.35">
      <c r="C1655" s="1" t="s">
        <v>6963</v>
      </c>
      <c r="D1655" s="1" t="s">
        <v>18</v>
      </c>
      <c r="E1655" s="250">
        <v>5126.6229999999996</v>
      </c>
    </row>
    <row r="1656" spans="3:5" x14ac:dyDescent="0.35">
      <c r="C1656" s="1" t="s">
        <v>6962</v>
      </c>
      <c r="D1656" s="1" t="s">
        <v>18</v>
      </c>
      <c r="E1656" s="250">
        <v>5126.6239999999998</v>
      </c>
    </row>
    <row r="1657" spans="3:5" x14ac:dyDescent="0.35">
      <c r="C1657" s="1" t="s">
        <v>6961</v>
      </c>
      <c r="D1657" s="1" t="s">
        <v>18</v>
      </c>
      <c r="E1657" s="250">
        <v>5126.625</v>
      </c>
    </row>
    <row r="1658" spans="3:5" x14ac:dyDescent="0.35">
      <c r="C1658" s="1" t="s">
        <v>6960</v>
      </c>
      <c r="D1658" s="1" t="s">
        <v>18</v>
      </c>
      <c r="E1658" s="250">
        <v>5126.6260000000002</v>
      </c>
    </row>
    <row r="1659" spans="3:5" x14ac:dyDescent="0.35">
      <c r="C1659" s="1" t="s">
        <v>6959</v>
      </c>
      <c r="D1659" s="1" t="s">
        <v>18</v>
      </c>
      <c r="E1659" s="250">
        <v>5126.6270000000004</v>
      </c>
    </row>
    <row r="1660" spans="3:5" x14ac:dyDescent="0.35">
      <c r="C1660" s="1" t="s">
        <v>6958</v>
      </c>
      <c r="D1660" s="1" t="s">
        <v>18</v>
      </c>
      <c r="E1660" s="250">
        <v>5126.6279999999997</v>
      </c>
    </row>
    <row r="1661" spans="3:5" x14ac:dyDescent="0.35">
      <c r="C1661" s="1" t="s">
        <v>6957</v>
      </c>
      <c r="D1661" s="1" t="s">
        <v>18</v>
      </c>
      <c r="E1661" s="250">
        <v>5126.6289999999999</v>
      </c>
    </row>
    <row r="1662" spans="3:5" x14ac:dyDescent="0.35">
      <c r="C1662" s="1" t="s">
        <v>6956</v>
      </c>
      <c r="D1662" s="1" t="s">
        <v>18</v>
      </c>
      <c r="E1662" s="250">
        <v>5126.63</v>
      </c>
    </row>
    <row r="1663" spans="3:5" x14ac:dyDescent="0.35">
      <c r="C1663" s="1" t="s">
        <v>6955</v>
      </c>
      <c r="D1663" s="1" t="s">
        <v>18</v>
      </c>
      <c r="E1663" s="250">
        <v>5126.6310000000003</v>
      </c>
    </row>
    <row r="1664" spans="3:5" x14ac:dyDescent="0.35">
      <c r="C1664" s="1" t="s">
        <v>6954</v>
      </c>
      <c r="D1664" s="1" t="s">
        <v>18</v>
      </c>
      <c r="E1664" s="250">
        <v>5126.6319999999996</v>
      </c>
    </row>
    <row r="1665" spans="3:5" x14ac:dyDescent="0.35">
      <c r="C1665" s="1" t="s">
        <v>6953</v>
      </c>
      <c r="D1665" s="1" t="s">
        <v>18</v>
      </c>
      <c r="E1665" s="250">
        <v>5126.6329999999998</v>
      </c>
    </row>
    <row r="1666" spans="3:5" x14ac:dyDescent="0.35">
      <c r="C1666" s="1" t="s">
        <v>6952</v>
      </c>
      <c r="D1666" s="1" t="s">
        <v>18</v>
      </c>
      <c r="E1666" s="250">
        <v>5126.6350000000002</v>
      </c>
    </row>
    <row r="1667" spans="3:5" x14ac:dyDescent="0.35">
      <c r="C1667" s="1" t="s">
        <v>6951</v>
      </c>
      <c r="D1667" s="1" t="s">
        <v>18</v>
      </c>
      <c r="E1667" s="250">
        <v>5126.6360000000004</v>
      </c>
    </row>
    <row r="1668" spans="3:5" x14ac:dyDescent="0.35">
      <c r="C1668" s="1" t="s">
        <v>6950</v>
      </c>
      <c r="D1668" s="1" t="s">
        <v>18</v>
      </c>
      <c r="E1668" s="250">
        <v>5126.6379999999999</v>
      </c>
    </row>
    <row r="1669" spans="3:5" x14ac:dyDescent="0.35">
      <c r="C1669" s="1" t="s">
        <v>6949</v>
      </c>
      <c r="D1669" s="1" t="s">
        <v>18</v>
      </c>
      <c r="E1669" s="250">
        <v>5126.6400000000003</v>
      </c>
    </row>
    <row r="1670" spans="3:5" x14ac:dyDescent="0.35">
      <c r="C1670" s="1" t="s">
        <v>6948</v>
      </c>
      <c r="D1670" s="1" t="s">
        <v>18</v>
      </c>
      <c r="E1670" s="250">
        <v>5126.6419999999998</v>
      </c>
    </row>
    <row r="1671" spans="3:5" x14ac:dyDescent="0.35">
      <c r="C1671" s="1" t="s">
        <v>6947</v>
      </c>
      <c r="D1671" s="1" t="s">
        <v>18</v>
      </c>
      <c r="E1671" s="250">
        <v>5126.643</v>
      </c>
    </row>
    <row r="1672" spans="3:5" x14ac:dyDescent="0.35">
      <c r="C1672" s="1" t="s">
        <v>6946</v>
      </c>
      <c r="D1672" s="1" t="s">
        <v>18</v>
      </c>
      <c r="E1672" s="250">
        <v>5126.6440000000002</v>
      </c>
    </row>
    <row r="1673" spans="3:5" x14ac:dyDescent="0.35">
      <c r="C1673" s="1" t="s">
        <v>6945</v>
      </c>
      <c r="D1673" s="1" t="s">
        <v>18</v>
      </c>
      <c r="E1673" s="250">
        <v>5126.6450000000004</v>
      </c>
    </row>
    <row r="1674" spans="3:5" x14ac:dyDescent="0.35">
      <c r="C1674" s="1" t="s">
        <v>6944</v>
      </c>
      <c r="D1674" s="1" t="s">
        <v>18</v>
      </c>
      <c r="E1674" s="250">
        <v>5126.6459999999997</v>
      </c>
    </row>
    <row r="1675" spans="3:5" x14ac:dyDescent="0.35">
      <c r="C1675" s="1" t="s">
        <v>6943</v>
      </c>
      <c r="D1675" s="1" t="s">
        <v>18</v>
      </c>
      <c r="E1675" s="250">
        <v>5126.6469999999999</v>
      </c>
    </row>
    <row r="1676" spans="3:5" x14ac:dyDescent="0.35">
      <c r="C1676" s="1" t="s">
        <v>6942</v>
      </c>
      <c r="D1676" s="1" t="s">
        <v>18</v>
      </c>
      <c r="E1676" s="250">
        <v>5126.6729999999998</v>
      </c>
    </row>
    <row r="1677" spans="3:5" x14ac:dyDescent="0.35">
      <c r="C1677" s="1" t="s">
        <v>6941</v>
      </c>
      <c r="D1677" s="1" t="s">
        <v>18</v>
      </c>
      <c r="E1677" s="250">
        <v>5126.6779999999999</v>
      </c>
    </row>
    <row r="1678" spans="3:5" x14ac:dyDescent="0.35">
      <c r="C1678" s="1" t="s">
        <v>6940</v>
      </c>
      <c r="D1678" s="1" t="s">
        <v>18</v>
      </c>
      <c r="E1678" s="250">
        <v>5126.68</v>
      </c>
    </row>
    <row r="1679" spans="3:5" x14ac:dyDescent="0.35">
      <c r="C1679" s="1" t="s">
        <v>6939</v>
      </c>
      <c r="D1679" s="1" t="s">
        <v>18</v>
      </c>
      <c r="E1679" s="250">
        <v>5126.6819999999998</v>
      </c>
    </row>
    <row r="1680" spans="3:5" x14ac:dyDescent="0.35">
      <c r="C1680" s="1" t="s">
        <v>6938</v>
      </c>
      <c r="D1680" s="1" t="s">
        <v>18</v>
      </c>
      <c r="E1680" s="250">
        <v>5126.683</v>
      </c>
    </row>
    <row r="1681" spans="3:5" x14ac:dyDescent="0.35">
      <c r="C1681" s="1" t="s">
        <v>6937</v>
      </c>
      <c r="D1681" s="1" t="s">
        <v>18</v>
      </c>
      <c r="E1681" s="250">
        <v>5126.6840000000002</v>
      </c>
    </row>
    <row r="1682" spans="3:5" x14ac:dyDescent="0.35">
      <c r="C1682" s="1" t="s">
        <v>6936</v>
      </c>
      <c r="D1682" s="1" t="s">
        <v>18</v>
      </c>
      <c r="E1682" s="250">
        <v>5126.6850000000004</v>
      </c>
    </row>
    <row r="1683" spans="3:5" x14ac:dyDescent="0.35">
      <c r="C1683" s="1" t="s">
        <v>6935</v>
      </c>
      <c r="D1683" s="1" t="s">
        <v>18</v>
      </c>
      <c r="E1683" s="250">
        <v>5126.6859999999997</v>
      </c>
    </row>
    <row r="1684" spans="3:5" x14ac:dyDescent="0.35">
      <c r="C1684" s="1" t="s">
        <v>6934</v>
      </c>
      <c r="D1684" s="1" t="s">
        <v>18</v>
      </c>
      <c r="E1684" s="250">
        <v>5126.6869999999999</v>
      </c>
    </row>
    <row r="1685" spans="3:5" x14ac:dyDescent="0.35">
      <c r="C1685" s="1" t="s">
        <v>6933</v>
      </c>
      <c r="D1685" s="1" t="s">
        <v>18</v>
      </c>
      <c r="E1685" s="250">
        <v>5126.701</v>
      </c>
    </row>
    <row r="1686" spans="3:5" x14ac:dyDescent="0.35">
      <c r="C1686" s="1" t="s">
        <v>6932</v>
      </c>
      <c r="D1686" s="1" t="s">
        <v>18</v>
      </c>
      <c r="E1686" s="250">
        <v>5126.7020000000002</v>
      </c>
    </row>
    <row r="1687" spans="3:5" x14ac:dyDescent="0.35">
      <c r="C1687" s="1" t="s">
        <v>6931</v>
      </c>
      <c r="D1687" s="1" t="s">
        <v>18</v>
      </c>
      <c r="E1687" s="250">
        <v>5126.7030000000004</v>
      </c>
    </row>
    <row r="1688" spans="3:5" x14ac:dyDescent="0.35">
      <c r="C1688" s="1" t="s">
        <v>6930</v>
      </c>
      <c r="D1688" s="1" t="s">
        <v>18</v>
      </c>
      <c r="E1688" s="250">
        <v>5126.7039999999997</v>
      </c>
    </row>
    <row r="1689" spans="3:5" x14ac:dyDescent="0.35">
      <c r="C1689" s="1" t="s">
        <v>6929</v>
      </c>
      <c r="D1689" s="1" t="s">
        <v>18</v>
      </c>
      <c r="E1689" s="250">
        <v>5126.7049999999999</v>
      </c>
    </row>
    <row r="1690" spans="3:5" x14ac:dyDescent="0.35">
      <c r="C1690" s="1" t="s">
        <v>6928</v>
      </c>
      <c r="D1690" s="1" t="s">
        <v>18</v>
      </c>
      <c r="E1690" s="250">
        <v>5126.7060000000001</v>
      </c>
    </row>
    <row r="1691" spans="3:5" x14ac:dyDescent="0.35">
      <c r="C1691" s="1" t="s">
        <v>6927</v>
      </c>
      <c r="D1691" s="1" t="s">
        <v>18</v>
      </c>
      <c r="E1691" s="250">
        <v>5126.7070000000003</v>
      </c>
    </row>
    <row r="1692" spans="3:5" x14ac:dyDescent="0.35">
      <c r="C1692" s="1" t="s">
        <v>6926</v>
      </c>
      <c r="D1692" s="1" t="s">
        <v>18</v>
      </c>
      <c r="E1692" s="250">
        <v>5126.7079999999996</v>
      </c>
    </row>
    <row r="1693" spans="3:5" x14ac:dyDescent="0.35">
      <c r="C1693" s="1" t="s">
        <v>6925</v>
      </c>
      <c r="D1693" s="1" t="s">
        <v>18</v>
      </c>
      <c r="E1693" s="250">
        <v>5126.7089999999998</v>
      </c>
    </row>
    <row r="1694" spans="3:5" x14ac:dyDescent="0.35">
      <c r="C1694" s="1" t="s">
        <v>6924</v>
      </c>
      <c r="D1694" s="1" t="s">
        <v>18</v>
      </c>
      <c r="E1694" s="250">
        <v>5126.71</v>
      </c>
    </row>
    <row r="1695" spans="3:5" x14ac:dyDescent="0.35">
      <c r="C1695" s="1" t="s">
        <v>6923</v>
      </c>
      <c r="D1695" s="1" t="s">
        <v>18</v>
      </c>
      <c r="E1695" s="250">
        <v>5126.7110000000002</v>
      </c>
    </row>
    <row r="1696" spans="3:5" x14ac:dyDescent="0.35">
      <c r="C1696" s="1" t="s">
        <v>6922</v>
      </c>
      <c r="D1696" s="1" t="s">
        <v>18</v>
      </c>
      <c r="E1696" s="250">
        <v>5126.7120000000004</v>
      </c>
    </row>
    <row r="1697" spans="3:5" x14ac:dyDescent="0.35">
      <c r="C1697" s="1" t="s">
        <v>6921</v>
      </c>
      <c r="D1697" s="1" t="s">
        <v>18</v>
      </c>
      <c r="E1697" s="250">
        <v>5126.7129999999997</v>
      </c>
    </row>
    <row r="1698" spans="3:5" x14ac:dyDescent="0.35">
      <c r="C1698" s="1" t="s">
        <v>6920</v>
      </c>
      <c r="D1698" s="1" t="s">
        <v>18</v>
      </c>
      <c r="E1698" s="250">
        <v>5126.7150000000001</v>
      </c>
    </row>
    <row r="1699" spans="3:5" x14ac:dyDescent="0.35">
      <c r="C1699" s="1" t="s">
        <v>6919</v>
      </c>
      <c r="D1699" s="1" t="s">
        <v>18</v>
      </c>
      <c r="E1699" s="250">
        <v>5126.7160000000003</v>
      </c>
    </row>
    <row r="1700" spans="3:5" x14ac:dyDescent="0.35">
      <c r="C1700" s="1" t="s">
        <v>6918</v>
      </c>
      <c r="D1700" s="1" t="s">
        <v>18</v>
      </c>
      <c r="E1700" s="250">
        <v>5126.7179999999998</v>
      </c>
    </row>
    <row r="1701" spans="3:5" x14ac:dyDescent="0.35">
      <c r="C1701" s="1" t="s">
        <v>6917</v>
      </c>
      <c r="D1701" s="1" t="s">
        <v>18</v>
      </c>
      <c r="E1701" s="250">
        <v>5126.72</v>
      </c>
    </row>
    <row r="1702" spans="3:5" x14ac:dyDescent="0.35">
      <c r="C1702" s="1" t="s">
        <v>6916</v>
      </c>
      <c r="D1702" s="1" t="s">
        <v>18</v>
      </c>
      <c r="E1702" s="250">
        <v>5126.7219999999998</v>
      </c>
    </row>
    <row r="1703" spans="3:5" x14ac:dyDescent="0.35">
      <c r="C1703" s="1" t="s">
        <v>6915</v>
      </c>
      <c r="D1703" s="1" t="s">
        <v>18</v>
      </c>
      <c r="E1703" s="250">
        <v>5126.723</v>
      </c>
    </row>
    <row r="1704" spans="3:5" x14ac:dyDescent="0.35">
      <c r="C1704" s="1" t="s">
        <v>6914</v>
      </c>
      <c r="D1704" s="1" t="s">
        <v>18</v>
      </c>
      <c r="E1704" s="250">
        <v>5126.7240000000002</v>
      </c>
    </row>
    <row r="1705" spans="3:5" x14ac:dyDescent="0.35">
      <c r="C1705" s="1" t="s">
        <v>6913</v>
      </c>
      <c r="D1705" s="1" t="s">
        <v>18</v>
      </c>
      <c r="E1705" s="250">
        <v>5126.7250000000004</v>
      </c>
    </row>
    <row r="1706" spans="3:5" x14ac:dyDescent="0.35">
      <c r="C1706" s="1" t="s">
        <v>6912</v>
      </c>
      <c r="D1706" s="1" t="s">
        <v>18</v>
      </c>
      <c r="E1706" s="250">
        <v>5126.7259999999997</v>
      </c>
    </row>
    <row r="1707" spans="3:5" x14ac:dyDescent="0.35">
      <c r="C1707" s="1" t="s">
        <v>6911</v>
      </c>
      <c r="D1707" s="1" t="s">
        <v>18</v>
      </c>
      <c r="E1707" s="250">
        <v>5126.7269999999999</v>
      </c>
    </row>
    <row r="1708" spans="3:5" x14ac:dyDescent="0.35">
      <c r="C1708" s="1" t="s">
        <v>6910</v>
      </c>
      <c r="D1708" s="1" t="s">
        <v>18</v>
      </c>
      <c r="E1708" s="250">
        <v>5126.7579999999998</v>
      </c>
    </row>
    <row r="1709" spans="3:5" x14ac:dyDescent="0.35">
      <c r="C1709" s="1" t="s">
        <v>6909</v>
      </c>
      <c r="D1709" s="1" t="s">
        <v>18</v>
      </c>
      <c r="E1709" s="250">
        <v>5126.76</v>
      </c>
    </row>
    <row r="1710" spans="3:5" x14ac:dyDescent="0.35">
      <c r="C1710" s="1" t="s">
        <v>6908</v>
      </c>
      <c r="D1710" s="1" t="s">
        <v>18</v>
      </c>
      <c r="E1710" s="250">
        <v>5126.7619999999997</v>
      </c>
    </row>
    <row r="1711" spans="3:5" x14ac:dyDescent="0.35">
      <c r="C1711" s="1" t="s">
        <v>6907</v>
      </c>
      <c r="D1711" s="1" t="s">
        <v>18</v>
      </c>
      <c r="E1711" s="250">
        <v>5126.7629999999999</v>
      </c>
    </row>
    <row r="1712" spans="3:5" x14ac:dyDescent="0.35">
      <c r="C1712" s="1" t="s">
        <v>6906</v>
      </c>
      <c r="D1712" s="1" t="s">
        <v>18</v>
      </c>
      <c r="E1712" s="250">
        <v>5126.7640000000001</v>
      </c>
    </row>
    <row r="1713" spans="3:5" x14ac:dyDescent="0.35">
      <c r="C1713" s="1" t="s">
        <v>6905</v>
      </c>
      <c r="D1713" s="1" t="s">
        <v>18</v>
      </c>
      <c r="E1713" s="250">
        <v>5126.7650000000003</v>
      </c>
    </row>
    <row r="1714" spans="3:5" x14ac:dyDescent="0.35">
      <c r="C1714" s="1" t="s">
        <v>6904</v>
      </c>
      <c r="D1714" s="1" t="s">
        <v>18</v>
      </c>
      <c r="E1714" s="250">
        <v>5126.7659999999996</v>
      </c>
    </row>
    <row r="1715" spans="3:5" x14ac:dyDescent="0.35">
      <c r="C1715" s="1" t="s">
        <v>6903</v>
      </c>
      <c r="D1715" s="1" t="s">
        <v>18</v>
      </c>
      <c r="E1715" s="250">
        <v>5126.7669999999998</v>
      </c>
    </row>
    <row r="1716" spans="3:5" x14ac:dyDescent="0.35">
      <c r="C1716" s="1" t="s">
        <v>6902</v>
      </c>
      <c r="D1716" s="1" t="s">
        <v>18</v>
      </c>
      <c r="E1716" s="250">
        <v>5126.7929999999997</v>
      </c>
    </row>
    <row r="1717" spans="3:5" x14ac:dyDescent="0.35">
      <c r="C1717" s="1" t="s">
        <v>6901</v>
      </c>
      <c r="D1717" s="1" t="s">
        <v>18</v>
      </c>
      <c r="E1717" s="250">
        <v>5126.7950000000001</v>
      </c>
    </row>
    <row r="1718" spans="3:5" x14ac:dyDescent="0.35">
      <c r="C1718" s="1" t="s">
        <v>6900</v>
      </c>
      <c r="D1718" s="1" t="s">
        <v>18</v>
      </c>
      <c r="E1718" s="250">
        <v>5126.7960000000003</v>
      </c>
    </row>
    <row r="1719" spans="3:5" x14ac:dyDescent="0.35">
      <c r="C1719" s="1" t="s">
        <v>6899</v>
      </c>
      <c r="D1719" s="1" t="s">
        <v>18</v>
      </c>
      <c r="E1719" s="250">
        <v>5126.7979999999998</v>
      </c>
    </row>
    <row r="1720" spans="3:5" x14ac:dyDescent="0.35">
      <c r="C1720" s="1" t="s">
        <v>6898</v>
      </c>
      <c r="D1720" s="1" t="s">
        <v>18</v>
      </c>
      <c r="E1720" s="250">
        <v>5126.8</v>
      </c>
    </row>
    <row r="1721" spans="3:5" x14ac:dyDescent="0.35">
      <c r="C1721" s="1" t="s">
        <v>6897</v>
      </c>
      <c r="D1721" s="1" t="s">
        <v>18</v>
      </c>
      <c r="E1721" s="250">
        <v>5126.8019999999997</v>
      </c>
    </row>
    <row r="1722" spans="3:5" x14ac:dyDescent="0.35">
      <c r="C1722" s="1" t="s">
        <v>6896</v>
      </c>
      <c r="D1722" s="1" t="s">
        <v>18</v>
      </c>
      <c r="E1722" s="250">
        <v>5126.8029999999999</v>
      </c>
    </row>
    <row r="1723" spans="3:5" x14ac:dyDescent="0.35">
      <c r="C1723" s="1" t="s">
        <v>6895</v>
      </c>
      <c r="D1723" s="1" t="s">
        <v>18</v>
      </c>
      <c r="E1723" s="250">
        <v>5126.8040000000001</v>
      </c>
    </row>
    <row r="1724" spans="3:5" x14ac:dyDescent="0.35">
      <c r="C1724" s="1" t="s">
        <v>6894</v>
      </c>
      <c r="D1724" s="1" t="s">
        <v>18</v>
      </c>
      <c r="E1724" s="250">
        <v>5126.8050000000003</v>
      </c>
    </row>
    <row r="1725" spans="3:5" x14ac:dyDescent="0.35">
      <c r="C1725" s="1" t="s">
        <v>6893</v>
      </c>
      <c r="D1725" s="1" t="s">
        <v>18</v>
      </c>
      <c r="E1725" s="250">
        <v>5126.8059999999996</v>
      </c>
    </row>
    <row r="1726" spans="3:5" x14ac:dyDescent="0.35">
      <c r="C1726" s="1" t="s">
        <v>6892</v>
      </c>
      <c r="D1726" s="1" t="s">
        <v>18</v>
      </c>
      <c r="E1726" s="250">
        <v>5126.8069999999998</v>
      </c>
    </row>
    <row r="1727" spans="3:5" x14ac:dyDescent="0.35">
      <c r="C1727" s="1" t="s">
        <v>6891</v>
      </c>
      <c r="D1727" s="1" t="s">
        <v>18</v>
      </c>
      <c r="E1727" s="250">
        <v>5126.8379999999997</v>
      </c>
    </row>
    <row r="1728" spans="3:5" x14ac:dyDescent="0.35">
      <c r="C1728" s="1" t="s">
        <v>6890</v>
      </c>
      <c r="D1728" s="1" t="s">
        <v>18</v>
      </c>
      <c r="E1728" s="250">
        <v>5126.84</v>
      </c>
    </row>
    <row r="1729" spans="3:5" x14ac:dyDescent="0.35">
      <c r="C1729" s="1" t="s">
        <v>6889</v>
      </c>
      <c r="D1729" s="1" t="s">
        <v>18</v>
      </c>
      <c r="E1729" s="250">
        <v>5126.8419999999996</v>
      </c>
    </row>
    <row r="1730" spans="3:5" x14ac:dyDescent="0.35">
      <c r="C1730" s="1" t="s">
        <v>6888</v>
      </c>
      <c r="D1730" s="1" t="s">
        <v>18</v>
      </c>
      <c r="E1730" s="250">
        <v>5126.8429999999998</v>
      </c>
    </row>
    <row r="1731" spans="3:5" x14ac:dyDescent="0.35">
      <c r="C1731" s="1" t="s">
        <v>6887</v>
      </c>
      <c r="D1731" s="1" t="s">
        <v>18</v>
      </c>
      <c r="E1731" s="250">
        <v>5126.8440000000001</v>
      </c>
    </row>
    <row r="1732" spans="3:5" x14ac:dyDescent="0.35">
      <c r="C1732" s="1" t="s">
        <v>6886</v>
      </c>
      <c r="D1732" s="1" t="s">
        <v>18</v>
      </c>
      <c r="E1732" s="250">
        <v>5126.8450000000003</v>
      </c>
    </row>
    <row r="1733" spans="3:5" x14ac:dyDescent="0.35">
      <c r="C1733" s="1" t="s">
        <v>6885</v>
      </c>
      <c r="D1733" s="1" t="s">
        <v>18</v>
      </c>
      <c r="E1733" s="250">
        <v>5126.8459999999995</v>
      </c>
    </row>
    <row r="1734" spans="3:5" x14ac:dyDescent="0.35">
      <c r="C1734" s="1" t="s">
        <v>6884</v>
      </c>
      <c r="D1734" s="1" t="s">
        <v>18</v>
      </c>
      <c r="E1734" s="250">
        <v>5126.8469999999998</v>
      </c>
    </row>
    <row r="1735" spans="3:5" x14ac:dyDescent="0.35">
      <c r="C1735" s="1" t="s">
        <v>6883</v>
      </c>
      <c r="D1735" s="1" t="s">
        <v>18</v>
      </c>
      <c r="E1735" s="250">
        <v>5126.8639999999996</v>
      </c>
    </row>
    <row r="1736" spans="3:5" x14ac:dyDescent="0.35">
      <c r="C1736" s="1" t="s">
        <v>6882</v>
      </c>
      <c r="D1736" s="1" t="s">
        <v>18</v>
      </c>
      <c r="E1736" s="250">
        <v>5126.8649999999998</v>
      </c>
    </row>
    <row r="1737" spans="3:5" x14ac:dyDescent="0.35">
      <c r="C1737" s="1" t="s">
        <v>6881</v>
      </c>
      <c r="D1737" s="1" t="s">
        <v>18</v>
      </c>
      <c r="E1737" s="250">
        <v>5126.866</v>
      </c>
    </row>
    <row r="1738" spans="3:5" x14ac:dyDescent="0.35">
      <c r="C1738" s="1" t="s">
        <v>6880</v>
      </c>
      <c r="D1738" s="1" t="s">
        <v>18</v>
      </c>
      <c r="E1738" s="250">
        <v>5126.8670000000002</v>
      </c>
    </row>
    <row r="1739" spans="3:5" x14ac:dyDescent="0.35">
      <c r="C1739" s="1" t="s">
        <v>6879</v>
      </c>
      <c r="D1739" s="1" t="s">
        <v>18</v>
      </c>
      <c r="E1739" s="250">
        <v>5126.8680000000004</v>
      </c>
    </row>
    <row r="1740" spans="3:5" x14ac:dyDescent="0.35">
      <c r="C1740" s="1" t="s">
        <v>6878</v>
      </c>
      <c r="D1740" s="1" t="s">
        <v>18</v>
      </c>
      <c r="E1740" s="250">
        <v>5126.8689999999997</v>
      </c>
    </row>
    <row r="1741" spans="3:5" x14ac:dyDescent="0.35">
      <c r="C1741" s="1" t="s">
        <v>6877</v>
      </c>
      <c r="D1741" s="1" t="s">
        <v>18</v>
      </c>
      <c r="E1741" s="250">
        <v>5126.87</v>
      </c>
    </row>
    <row r="1742" spans="3:5" x14ac:dyDescent="0.35">
      <c r="C1742" s="1" t="s">
        <v>6876</v>
      </c>
      <c r="D1742" s="1" t="s">
        <v>18</v>
      </c>
      <c r="E1742" s="250">
        <v>5126.8710000000001</v>
      </c>
    </row>
    <row r="1743" spans="3:5" x14ac:dyDescent="0.35">
      <c r="C1743" s="1" t="s">
        <v>6875</v>
      </c>
      <c r="D1743" s="1" t="s">
        <v>18</v>
      </c>
      <c r="E1743" s="250">
        <v>5126.8729999999996</v>
      </c>
    </row>
    <row r="1744" spans="3:5" x14ac:dyDescent="0.35">
      <c r="C1744" s="1" t="s">
        <v>6874</v>
      </c>
      <c r="D1744" s="1" t="s">
        <v>18</v>
      </c>
      <c r="E1744" s="250">
        <v>5126.875</v>
      </c>
    </row>
    <row r="1745" spans="3:5" x14ac:dyDescent="0.35">
      <c r="C1745" s="1" t="s">
        <v>6873</v>
      </c>
      <c r="D1745" s="1" t="s">
        <v>18</v>
      </c>
      <c r="E1745" s="250">
        <v>5126.8760000000002</v>
      </c>
    </row>
    <row r="1746" spans="3:5" x14ac:dyDescent="0.35">
      <c r="C1746" s="1" t="s">
        <v>6872</v>
      </c>
      <c r="D1746" s="1" t="s">
        <v>18</v>
      </c>
      <c r="E1746" s="250">
        <v>5126.8779999999997</v>
      </c>
    </row>
    <row r="1747" spans="3:5" x14ac:dyDescent="0.35">
      <c r="C1747" s="1" t="s">
        <v>6871</v>
      </c>
      <c r="D1747" s="1" t="s">
        <v>18</v>
      </c>
      <c r="E1747" s="250">
        <v>5126.88</v>
      </c>
    </row>
    <row r="1748" spans="3:5" x14ac:dyDescent="0.35">
      <c r="C1748" s="1" t="s">
        <v>6870</v>
      </c>
      <c r="D1748" s="1" t="s">
        <v>18</v>
      </c>
      <c r="E1748" s="250">
        <v>5126.8819999999996</v>
      </c>
    </row>
    <row r="1749" spans="3:5" x14ac:dyDescent="0.35">
      <c r="C1749" s="1" t="s">
        <v>6869</v>
      </c>
      <c r="D1749" s="1" t="s">
        <v>18</v>
      </c>
      <c r="E1749" s="250">
        <v>5126.8829999999998</v>
      </c>
    </row>
    <row r="1750" spans="3:5" x14ac:dyDescent="0.35">
      <c r="C1750" s="1" t="s">
        <v>6868</v>
      </c>
      <c r="D1750" s="1" t="s">
        <v>18</v>
      </c>
      <c r="E1750" s="250">
        <v>5126.884</v>
      </c>
    </row>
    <row r="1751" spans="3:5" x14ac:dyDescent="0.35">
      <c r="C1751" s="1" t="s">
        <v>6867</v>
      </c>
      <c r="D1751" s="1" t="s">
        <v>18</v>
      </c>
      <c r="E1751" s="250">
        <v>5126.8850000000002</v>
      </c>
    </row>
    <row r="1752" spans="3:5" x14ac:dyDescent="0.35">
      <c r="C1752" s="1" t="s">
        <v>6866</v>
      </c>
      <c r="D1752" s="1" t="s">
        <v>18</v>
      </c>
      <c r="E1752" s="250">
        <v>5126.8860000000004</v>
      </c>
    </row>
    <row r="1753" spans="3:5" x14ac:dyDescent="0.35">
      <c r="C1753" s="1" t="s">
        <v>6865</v>
      </c>
      <c r="D1753" s="1" t="s">
        <v>18</v>
      </c>
      <c r="E1753" s="250">
        <v>5126.8869999999997</v>
      </c>
    </row>
    <row r="1754" spans="3:5" x14ac:dyDescent="0.35">
      <c r="C1754" s="1" t="s">
        <v>6864</v>
      </c>
      <c r="D1754" s="1" t="s">
        <v>18</v>
      </c>
      <c r="E1754" s="250">
        <v>5127.0110000000004</v>
      </c>
    </row>
    <row r="1755" spans="3:5" x14ac:dyDescent="0.35">
      <c r="C1755" s="1" t="s">
        <v>6863</v>
      </c>
      <c r="D1755" s="1" t="s">
        <v>18</v>
      </c>
      <c r="E1755" s="250">
        <v>5127.0119999999997</v>
      </c>
    </row>
    <row r="1756" spans="3:5" x14ac:dyDescent="0.35">
      <c r="C1756" s="1" t="s">
        <v>6862</v>
      </c>
      <c r="D1756" s="1" t="s">
        <v>18</v>
      </c>
      <c r="E1756" s="250">
        <v>5127.0129999999999</v>
      </c>
    </row>
    <row r="1757" spans="3:5" x14ac:dyDescent="0.35">
      <c r="C1757" s="1" t="s">
        <v>6861</v>
      </c>
      <c r="D1757" s="1" t="s">
        <v>18</v>
      </c>
      <c r="E1757" s="250">
        <v>5127.0140000000001</v>
      </c>
    </row>
    <row r="1758" spans="3:5" x14ac:dyDescent="0.35">
      <c r="C1758" s="1" t="s">
        <v>6860</v>
      </c>
      <c r="D1758" s="1" t="s">
        <v>18</v>
      </c>
      <c r="E1758" s="250">
        <v>5127.0150000000003</v>
      </c>
    </row>
    <row r="1759" spans="3:5" x14ac:dyDescent="0.35">
      <c r="C1759" s="1" t="s">
        <v>6859</v>
      </c>
      <c r="D1759" s="1" t="s">
        <v>18</v>
      </c>
      <c r="E1759" s="250">
        <v>5127.0159999999996</v>
      </c>
    </row>
    <row r="1760" spans="3:5" x14ac:dyDescent="0.35">
      <c r="C1760" s="1" t="s">
        <v>6858</v>
      </c>
      <c r="D1760" s="1" t="s">
        <v>18</v>
      </c>
      <c r="E1760" s="250">
        <v>5127.0169999999998</v>
      </c>
    </row>
    <row r="1761" spans="3:5" x14ac:dyDescent="0.35">
      <c r="C1761" s="1" t="s">
        <v>6857</v>
      </c>
      <c r="D1761" s="1" t="s">
        <v>18</v>
      </c>
      <c r="E1761" s="250">
        <v>5127.018</v>
      </c>
    </row>
    <row r="1762" spans="3:5" x14ac:dyDescent="0.35">
      <c r="C1762" s="1" t="s">
        <v>6856</v>
      </c>
      <c r="D1762" s="1" t="s">
        <v>18</v>
      </c>
      <c r="E1762" s="250">
        <v>5127.0190000000002</v>
      </c>
    </row>
    <row r="1763" spans="3:5" x14ac:dyDescent="0.35">
      <c r="C1763" s="1" t="s">
        <v>6855</v>
      </c>
      <c r="D1763" s="1" t="s">
        <v>18</v>
      </c>
      <c r="E1763" s="250">
        <v>5127.0200000000004</v>
      </c>
    </row>
    <row r="1764" spans="3:5" x14ac:dyDescent="0.35">
      <c r="C1764" s="1" t="s">
        <v>6854</v>
      </c>
      <c r="D1764" s="1" t="s">
        <v>18</v>
      </c>
      <c r="E1764" s="250">
        <v>5127.0209999999997</v>
      </c>
    </row>
    <row r="1765" spans="3:5" x14ac:dyDescent="0.35">
      <c r="C1765" s="1" t="s">
        <v>6853</v>
      </c>
      <c r="D1765" s="1" t="s">
        <v>18</v>
      </c>
      <c r="E1765" s="250">
        <v>5127.0219999999999</v>
      </c>
    </row>
    <row r="1766" spans="3:5" x14ac:dyDescent="0.35">
      <c r="C1766" s="1" t="s">
        <v>6852</v>
      </c>
      <c r="D1766" s="1" t="s">
        <v>18</v>
      </c>
      <c r="E1766" s="250">
        <v>5127.0230000000001</v>
      </c>
    </row>
    <row r="1767" spans="3:5" x14ac:dyDescent="0.35">
      <c r="C1767" s="1" t="s">
        <v>6851</v>
      </c>
      <c r="D1767" s="1" t="s">
        <v>18</v>
      </c>
      <c r="E1767" s="250">
        <v>5127.0240000000003</v>
      </c>
    </row>
    <row r="1768" spans="3:5" x14ac:dyDescent="0.35">
      <c r="C1768" s="1" t="s">
        <v>6850</v>
      </c>
      <c r="D1768" s="1" t="s">
        <v>18</v>
      </c>
      <c r="E1768" s="250">
        <v>5127.0249999999996</v>
      </c>
    </row>
    <row r="1769" spans="3:5" x14ac:dyDescent="0.35">
      <c r="C1769" s="1" t="s">
        <v>6849</v>
      </c>
      <c r="D1769" s="1" t="s">
        <v>18</v>
      </c>
      <c r="E1769" s="250">
        <v>5127.0259999999998</v>
      </c>
    </row>
    <row r="1770" spans="3:5" x14ac:dyDescent="0.35">
      <c r="C1770" s="1" t="s">
        <v>6848</v>
      </c>
      <c r="D1770" s="1" t="s">
        <v>18</v>
      </c>
      <c r="E1770" s="250">
        <v>5127.027</v>
      </c>
    </row>
    <row r="1771" spans="3:5" x14ac:dyDescent="0.35">
      <c r="C1771" s="1" t="s">
        <v>6847</v>
      </c>
      <c r="D1771" s="1" t="s">
        <v>18</v>
      </c>
      <c r="E1771" s="250">
        <v>5127.0280000000002</v>
      </c>
    </row>
    <row r="1772" spans="3:5" x14ac:dyDescent="0.35">
      <c r="C1772" s="1" t="s">
        <v>6846</v>
      </c>
      <c r="D1772" s="1" t="s">
        <v>18</v>
      </c>
      <c r="E1772" s="250">
        <v>5127.0290000000005</v>
      </c>
    </row>
    <row r="1773" spans="3:5" x14ac:dyDescent="0.35">
      <c r="C1773" s="1" t="s">
        <v>6845</v>
      </c>
      <c r="D1773" s="1" t="s">
        <v>18</v>
      </c>
      <c r="E1773" s="250">
        <v>5127.03</v>
      </c>
    </row>
    <row r="1774" spans="3:5" x14ac:dyDescent="0.35">
      <c r="C1774" s="1" t="s">
        <v>6844</v>
      </c>
      <c r="D1774" s="1" t="s">
        <v>18</v>
      </c>
      <c r="E1774" s="250">
        <v>5127.0309999999999</v>
      </c>
    </row>
    <row r="1775" spans="3:5" x14ac:dyDescent="0.35">
      <c r="C1775" s="1" t="s">
        <v>6843</v>
      </c>
      <c r="D1775" s="1" t="s">
        <v>18</v>
      </c>
      <c r="E1775" s="250">
        <v>5127.0320000000002</v>
      </c>
    </row>
    <row r="1776" spans="3:5" x14ac:dyDescent="0.35">
      <c r="C1776" s="1" t="s">
        <v>6842</v>
      </c>
      <c r="D1776" s="1" t="s">
        <v>18</v>
      </c>
      <c r="E1776" s="250">
        <v>5127.0330000000004</v>
      </c>
    </row>
    <row r="1777" spans="3:5" x14ac:dyDescent="0.35">
      <c r="C1777" s="1" t="s">
        <v>6841</v>
      </c>
      <c r="D1777" s="1" t="s">
        <v>18</v>
      </c>
      <c r="E1777" s="250">
        <v>5127.0339999999997</v>
      </c>
    </row>
    <row r="1778" spans="3:5" x14ac:dyDescent="0.35">
      <c r="C1778" s="1" t="s">
        <v>6840</v>
      </c>
      <c r="D1778" s="1" t="s">
        <v>18</v>
      </c>
      <c r="E1778" s="250">
        <v>5127.0349999999999</v>
      </c>
    </row>
    <row r="1779" spans="3:5" x14ac:dyDescent="0.35">
      <c r="C1779" s="1" t="s">
        <v>6839</v>
      </c>
      <c r="D1779" s="1" t="s">
        <v>18</v>
      </c>
      <c r="E1779" s="250">
        <v>5127.0360000000001</v>
      </c>
    </row>
    <row r="1780" spans="3:5" x14ac:dyDescent="0.35">
      <c r="C1780" s="1" t="s">
        <v>6838</v>
      </c>
      <c r="D1780" s="1" t="s">
        <v>18</v>
      </c>
      <c r="E1780" s="250">
        <v>5127.0370000000003</v>
      </c>
    </row>
    <row r="1781" spans="3:5" x14ac:dyDescent="0.35">
      <c r="C1781" s="1" t="s">
        <v>6837</v>
      </c>
      <c r="D1781" s="1" t="s">
        <v>18</v>
      </c>
      <c r="E1781" s="250">
        <v>5127.0379999999996</v>
      </c>
    </row>
    <row r="1782" spans="3:5" x14ac:dyDescent="0.35">
      <c r="C1782" s="1" t="s">
        <v>6836</v>
      </c>
      <c r="D1782" s="1" t="s">
        <v>18</v>
      </c>
      <c r="E1782" s="250">
        <v>5127.0389999999998</v>
      </c>
    </row>
    <row r="1783" spans="3:5" x14ac:dyDescent="0.35">
      <c r="C1783" s="1" t="s">
        <v>6835</v>
      </c>
      <c r="D1783" s="1" t="s">
        <v>18</v>
      </c>
      <c r="E1783" s="250">
        <v>5127.1109999999999</v>
      </c>
    </row>
    <row r="1784" spans="3:5" x14ac:dyDescent="0.35">
      <c r="C1784" s="1" t="s">
        <v>6834</v>
      </c>
      <c r="D1784" s="1" t="s">
        <v>18</v>
      </c>
      <c r="E1784" s="250">
        <v>5127.1120000000001</v>
      </c>
    </row>
    <row r="1785" spans="3:5" x14ac:dyDescent="0.35">
      <c r="C1785" s="1" t="s">
        <v>6833</v>
      </c>
      <c r="D1785" s="1" t="s">
        <v>18</v>
      </c>
      <c r="E1785" s="250">
        <v>5127.1130000000003</v>
      </c>
    </row>
    <row r="1786" spans="3:5" x14ac:dyDescent="0.35">
      <c r="C1786" s="1" t="s">
        <v>6832</v>
      </c>
      <c r="D1786" s="1" t="s">
        <v>18</v>
      </c>
      <c r="E1786" s="250">
        <v>5127.1139999999996</v>
      </c>
    </row>
    <row r="1787" spans="3:5" x14ac:dyDescent="0.35">
      <c r="C1787" s="1" t="s">
        <v>6831</v>
      </c>
      <c r="D1787" s="1" t="s">
        <v>18</v>
      </c>
      <c r="E1787" s="250">
        <v>5127.1149999999998</v>
      </c>
    </row>
    <row r="1788" spans="3:5" x14ac:dyDescent="0.35">
      <c r="C1788" s="1" t="s">
        <v>6830</v>
      </c>
      <c r="D1788" s="1" t="s">
        <v>18</v>
      </c>
      <c r="E1788" s="250">
        <v>5127.116</v>
      </c>
    </row>
    <row r="1789" spans="3:5" x14ac:dyDescent="0.35">
      <c r="C1789" s="1" t="s">
        <v>6829</v>
      </c>
      <c r="D1789" s="1" t="s">
        <v>18</v>
      </c>
      <c r="E1789" s="250">
        <v>5127.1170000000002</v>
      </c>
    </row>
    <row r="1790" spans="3:5" x14ac:dyDescent="0.35">
      <c r="C1790" s="1" t="s">
        <v>6828</v>
      </c>
      <c r="D1790" s="1" t="s">
        <v>18</v>
      </c>
      <c r="E1790" s="250">
        <v>5127.1180000000004</v>
      </c>
    </row>
    <row r="1791" spans="3:5" x14ac:dyDescent="0.35">
      <c r="C1791" s="1" t="s">
        <v>6827</v>
      </c>
      <c r="D1791" s="1" t="s">
        <v>18</v>
      </c>
      <c r="E1791" s="250">
        <v>5127.1189999999997</v>
      </c>
    </row>
    <row r="1792" spans="3:5" x14ac:dyDescent="0.35">
      <c r="C1792" s="1" t="s">
        <v>6826</v>
      </c>
      <c r="D1792" s="1" t="s">
        <v>18</v>
      </c>
      <c r="E1792" s="250">
        <v>5127.12</v>
      </c>
    </row>
    <row r="1793" spans="3:5" x14ac:dyDescent="0.35">
      <c r="C1793" s="1" t="s">
        <v>6825</v>
      </c>
      <c r="D1793" s="1" t="s">
        <v>18</v>
      </c>
      <c r="E1793" s="250">
        <v>5127.1210000000001</v>
      </c>
    </row>
    <row r="1794" spans="3:5" x14ac:dyDescent="0.35">
      <c r="C1794" s="1" t="s">
        <v>6824</v>
      </c>
      <c r="D1794" s="1" t="s">
        <v>18</v>
      </c>
      <c r="E1794" s="250">
        <v>5127.1220000000003</v>
      </c>
    </row>
    <row r="1795" spans="3:5" x14ac:dyDescent="0.35">
      <c r="C1795" s="1" t="s">
        <v>6823</v>
      </c>
      <c r="D1795" s="1" t="s">
        <v>18</v>
      </c>
      <c r="E1795" s="250">
        <v>5127.1229999999996</v>
      </c>
    </row>
    <row r="1796" spans="3:5" x14ac:dyDescent="0.35">
      <c r="C1796" s="1" t="s">
        <v>6822</v>
      </c>
      <c r="D1796" s="1" t="s">
        <v>18</v>
      </c>
      <c r="E1796" s="250">
        <v>5127.1239999999998</v>
      </c>
    </row>
    <row r="1797" spans="3:5" x14ac:dyDescent="0.35">
      <c r="C1797" s="1" t="s">
        <v>6821</v>
      </c>
      <c r="D1797" s="1" t="s">
        <v>18</v>
      </c>
      <c r="E1797" s="250">
        <v>5127.125</v>
      </c>
    </row>
    <row r="1798" spans="3:5" x14ac:dyDescent="0.35">
      <c r="C1798" s="1" t="s">
        <v>6820</v>
      </c>
      <c r="D1798" s="1" t="s">
        <v>18</v>
      </c>
      <c r="E1798" s="250">
        <v>5127.1260000000002</v>
      </c>
    </row>
    <row r="1799" spans="3:5" x14ac:dyDescent="0.35">
      <c r="C1799" s="1" t="s">
        <v>6819</v>
      </c>
      <c r="D1799" s="1" t="s">
        <v>18</v>
      </c>
      <c r="E1799" s="250">
        <v>5127.1270000000004</v>
      </c>
    </row>
    <row r="1800" spans="3:5" x14ac:dyDescent="0.35">
      <c r="C1800" s="1" t="s">
        <v>6818</v>
      </c>
      <c r="D1800" s="1" t="s">
        <v>18</v>
      </c>
      <c r="E1800" s="250">
        <v>5127.1279999999997</v>
      </c>
    </row>
    <row r="1801" spans="3:5" x14ac:dyDescent="0.35">
      <c r="C1801" s="1" t="s">
        <v>6817</v>
      </c>
      <c r="D1801" s="1" t="s">
        <v>18</v>
      </c>
      <c r="E1801" s="250">
        <v>5127.1289999999999</v>
      </c>
    </row>
    <row r="1802" spans="3:5" x14ac:dyDescent="0.35">
      <c r="C1802" s="1" t="s">
        <v>6816</v>
      </c>
      <c r="D1802" s="1" t="s">
        <v>18</v>
      </c>
      <c r="E1802" s="250">
        <v>5127.13</v>
      </c>
    </row>
    <row r="1803" spans="3:5" x14ac:dyDescent="0.35">
      <c r="C1803" s="1" t="s">
        <v>6815</v>
      </c>
      <c r="D1803" s="1" t="s">
        <v>18</v>
      </c>
      <c r="E1803" s="250">
        <v>5127.1310000000003</v>
      </c>
    </row>
    <row r="1804" spans="3:5" x14ac:dyDescent="0.35">
      <c r="C1804" s="1" t="s">
        <v>6814</v>
      </c>
      <c r="D1804" s="1" t="s">
        <v>18</v>
      </c>
      <c r="E1804" s="250">
        <v>5127.1319999999996</v>
      </c>
    </row>
    <row r="1805" spans="3:5" x14ac:dyDescent="0.35">
      <c r="C1805" s="1" t="s">
        <v>6813</v>
      </c>
      <c r="D1805" s="1" t="s">
        <v>18</v>
      </c>
      <c r="E1805" s="250">
        <v>5127.1329999999998</v>
      </c>
    </row>
    <row r="1806" spans="3:5" x14ac:dyDescent="0.35">
      <c r="C1806" s="1" t="s">
        <v>6812</v>
      </c>
      <c r="D1806" s="1" t="s">
        <v>18</v>
      </c>
      <c r="E1806" s="250">
        <v>5127.134</v>
      </c>
    </row>
    <row r="1807" spans="3:5" x14ac:dyDescent="0.35">
      <c r="C1807" s="1" t="s">
        <v>6811</v>
      </c>
      <c r="D1807" s="1" t="s">
        <v>18</v>
      </c>
      <c r="E1807" s="250">
        <v>5127.1350000000002</v>
      </c>
    </row>
    <row r="1808" spans="3:5" x14ac:dyDescent="0.35">
      <c r="C1808" s="1" t="s">
        <v>6810</v>
      </c>
      <c r="D1808" s="1" t="s">
        <v>18</v>
      </c>
      <c r="E1808" s="250">
        <v>5127.1360000000004</v>
      </c>
    </row>
    <row r="1809" spans="3:5" x14ac:dyDescent="0.35">
      <c r="C1809" s="1" t="s">
        <v>6809</v>
      </c>
      <c r="D1809" s="1" t="s">
        <v>18</v>
      </c>
      <c r="E1809" s="250">
        <v>5127.1369999999997</v>
      </c>
    </row>
    <row r="1810" spans="3:5" x14ac:dyDescent="0.35">
      <c r="C1810" s="1" t="s">
        <v>6808</v>
      </c>
      <c r="D1810" s="1" t="s">
        <v>18</v>
      </c>
      <c r="E1810" s="250">
        <v>5127.1379999999999</v>
      </c>
    </row>
    <row r="1811" spans="3:5" x14ac:dyDescent="0.35">
      <c r="C1811" s="1" t="s">
        <v>6807</v>
      </c>
      <c r="D1811" s="1" t="s">
        <v>18</v>
      </c>
      <c r="E1811" s="250">
        <v>5127.1390000000001</v>
      </c>
    </row>
    <row r="1812" spans="3:5" x14ac:dyDescent="0.35">
      <c r="C1812" s="1" t="s">
        <v>6806</v>
      </c>
      <c r="D1812" s="1" t="s">
        <v>18</v>
      </c>
      <c r="E1812" s="250">
        <v>5127.1400000000003</v>
      </c>
    </row>
    <row r="1813" spans="3:5" x14ac:dyDescent="0.35">
      <c r="C1813" s="1" t="s">
        <v>6805</v>
      </c>
      <c r="D1813" s="1" t="s">
        <v>18</v>
      </c>
      <c r="E1813" s="250">
        <v>5127.1409999999996</v>
      </c>
    </row>
    <row r="1814" spans="3:5" x14ac:dyDescent="0.35">
      <c r="C1814" s="1" t="s">
        <v>6804</v>
      </c>
      <c r="D1814" s="1" t="s">
        <v>18</v>
      </c>
      <c r="E1814" s="250">
        <v>5127.1419999999998</v>
      </c>
    </row>
    <row r="1815" spans="3:5" x14ac:dyDescent="0.35">
      <c r="C1815" s="1" t="s">
        <v>6803</v>
      </c>
      <c r="D1815" s="1" t="s">
        <v>18</v>
      </c>
      <c r="E1815" s="250">
        <v>5127.143</v>
      </c>
    </row>
    <row r="1816" spans="3:5" x14ac:dyDescent="0.35">
      <c r="C1816" s="1" t="s">
        <v>6802</v>
      </c>
      <c r="D1816" s="1" t="s">
        <v>18</v>
      </c>
      <c r="E1816" s="250">
        <v>5127.1440000000002</v>
      </c>
    </row>
    <row r="1817" spans="3:5" x14ac:dyDescent="0.35">
      <c r="C1817" s="1" t="s">
        <v>6801</v>
      </c>
      <c r="D1817" s="1" t="s">
        <v>18</v>
      </c>
      <c r="E1817" s="250">
        <v>5127.1450000000004</v>
      </c>
    </row>
    <row r="1818" spans="3:5" x14ac:dyDescent="0.35">
      <c r="C1818" s="1" t="s">
        <v>6800</v>
      </c>
      <c r="D1818" s="1" t="s">
        <v>18</v>
      </c>
      <c r="E1818" s="250">
        <v>5127.3109999999997</v>
      </c>
    </row>
    <row r="1819" spans="3:5" x14ac:dyDescent="0.35">
      <c r="C1819" s="1" t="s">
        <v>6799</v>
      </c>
      <c r="D1819" s="1" t="s">
        <v>18</v>
      </c>
      <c r="E1819" s="250">
        <v>5127.3119999999999</v>
      </c>
    </row>
    <row r="1820" spans="3:5" x14ac:dyDescent="0.35">
      <c r="C1820" s="1" t="s">
        <v>6798</v>
      </c>
      <c r="D1820" s="1" t="s">
        <v>18</v>
      </c>
      <c r="E1820" s="250">
        <v>5127.3130000000001</v>
      </c>
    </row>
    <row r="1821" spans="3:5" x14ac:dyDescent="0.35">
      <c r="C1821" s="1" t="s">
        <v>6797</v>
      </c>
      <c r="D1821" s="1" t="s">
        <v>18</v>
      </c>
      <c r="E1821" s="250">
        <v>5127.3140000000003</v>
      </c>
    </row>
    <row r="1822" spans="3:5" x14ac:dyDescent="0.35">
      <c r="C1822" s="1" t="s">
        <v>6796</v>
      </c>
      <c r="D1822" s="1" t="s">
        <v>18</v>
      </c>
      <c r="E1822" s="250">
        <v>5127.3149999999996</v>
      </c>
    </row>
    <row r="1823" spans="3:5" x14ac:dyDescent="0.35">
      <c r="C1823" s="1" t="s">
        <v>6795</v>
      </c>
      <c r="D1823" s="1" t="s">
        <v>18</v>
      </c>
      <c r="E1823" s="250">
        <v>5127.3159999999998</v>
      </c>
    </row>
    <row r="1824" spans="3:5" x14ac:dyDescent="0.35">
      <c r="C1824" s="1" t="s">
        <v>6794</v>
      </c>
      <c r="D1824" s="1" t="s">
        <v>18</v>
      </c>
      <c r="E1824" s="250">
        <v>5127.317</v>
      </c>
    </row>
    <row r="1825" spans="3:5" x14ac:dyDescent="0.35">
      <c r="C1825" s="1" t="s">
        <v>6793</v>
      </c>
      <c r="D1825" s="1" t="s">
        <v>18</v>
      </c>
      <c r="E1825" s="250">
        <v>5127.3180000000002</v>
      </c>
    </row>
    <row r="1826" spans="3:5" x14ac:dyDescent="0.35">
      <c r="C1826" s="1" t="s">
        <v>6792</v>
      </c>
      <c r="D1826" s="1" t="s">
        <v>18</v>
      </c>
      <c r="E1826" s="250">
        <v>5127.3190000000004</v>
      </c>
    </row>
    <row r="1827" spans="3:5" x14ac:dyDescent="0.35">
      <c r="C1827" s="1" t="s">
        <v>6791</v>
      </c>
      <c r="D1827" s="1" t="s">
        <v>18</v>
      </c>
      <c r="E1827" s="250">
        <v>5127.32</v>
      </c>
    </row>
    <row r="1828" spans="3:5" x14ac:dyDescent="0.35">
      <c r="C1828" s="1" t="s">
        <v>6790</v>
      </c>
      <c r="D1828" s="1" t="s">
        <v>18</v>
      </c>
      <c r="E1828" s="250">
        <v>5127.3209999999999</v>
      </c>
    </row>
    <row r="1829" spans="3:5" x14ac:dyDescent="0.35">
      <c r="C1829" s="1" t="s">
        <v>6789</v>
      </c>
      <c r="D1829" s="1" t="s">
        <v>18</v>
      </c>
      <c r="E1829" s="250">
        <v>5127.3220000000001</v>
      </c>
    </row>
    <row r="1830" spans="3:5" x14ac:dyDescent="0.35">
      <c r="C1830" s="1" t="s">
        <v>6788</v>
      </c>
      <c r="D1830" s="1" t="s">
        <v>18</v>
      </c>
      <c r="E1830" s="250">
        <v>5127.3230000000003</v>
      </c>
    </row>
    <row r="1831" spans="3:5" x14ac:dyDescent="0.35">
      <c r="C1831" s="1" t="s">
        <v>6787</v>
      </c>
      <c r="D1831" s="1" t="s">
        <v>18</v>
      </c>
      <c r="E1831" s="250">
        <v>5127.3239999999996</v>
      </c>
    </row>
    <row r="1832" spans="3:5" x14ac:dyDescent="0.35">
      <c r="C1832" s="1" t="s">
        <v>6786</v>
      </c>
      <c r="D1832" s="1" t="s">
        <v>18</v>
      </c>
      <c r="E1832" s="250">
        <v>5127.3249999999998</v>
      </c>
    </row>
    <row r="1833" spans="3:5" x14ac:dyDescent="0.35">
      <c r="C1833" s="1" t="s">
        <v>6785</v>
      </c>
      <c r="D1833" s="1" t="s">
        <v>18</v>
      </c>
      <c r="E1833" s="250">
        <v>5127.4110000000001</v>
      </c>
    </row>
    <row r="1834" spans="3:5" x14ac:dyDescent="0.35">
      <c r="C1834" s="1" t="s">
        <v>6784</v>
      </c>
      <c r="D1834" s="1" t="s">
        <v>18</v>
      </c>
      <c r="E1834" s="250">
        <v>5127.4129999999996</v>
      </c>
    </row>
    <row r="1835" spans="3:5" x14ac:dyDescent="0.35">
      <c r="C1835" s="1" t="s">
        <v>6783</v>
      </c>
      <c r="D1835" s="1" t="s">
        <v>18</v>
      </c>
      <c r="E1835" s="250">
        <v>5127.415</v>
      </c>
    </row>
    <row r="1836" spans="3:5" x14ac:dyDescent="0.35">
      <c r="C1836" s="1" t="s">
        <v>6782</v>
      </c>
      <c r="D1836" s="1" t="s">
        <v>18</v>
      </c>
      <c r="E1836" s="250">
        <v>5127.4170000000004</v>
      </c>
    </row>
    <row r="1837" spans="3:5" x14ac:dyDescent="0.35">
      <c r="C1837" s="1" t="s">
        <v>6781</v>
      </c>
      <c r="D1837" s="1" t="s">
        <v>18</v>
      </c>
      <c r="E1837" s="250">
        <v>5127.4189999999999</v>
      </c>
    </row>
    <row r="1838" spans="3:5" x14ac:dyDescent="0.35">
      <c r="C1838" s="1" t="s">
        <v>6780</v>
      </c>
      <c r="D1838" s="1" t="s">
        <v>18</v>
      </c>
      <c r="E1838" s="250">
        <v>5127.4210000000003</v>
      </c>
    </row>
    <row r="1839" spans="3:5" x14ac:dyDescent="0.35">
      <c r="C1839" s="1" t="s">
        <v>6779</v>
      </c>
      <c r="D1839" s="1" t="s">
        <v>18</v>
      </c>
      <c r="E1839" s="250">
        <v>5127.4229999999998</v>
      </c>
    </row>
    <row r="1840" spans="3:5" x14ac:dyDescent="0.35">
      <c r="C1840" s="1" t="s">
        <v>6778</v>
      </c>
      <c r="D1840" s="1" t="s">
        <v>18</v>
      </c>
      <c r="E1840" s="250">
        <v>5127.4250000000002</v>
      </c>
    </row>
    <row r="1841" spans="3:5" x14ac:dyDescent="0.35">
      <c r="C1841" s="1" t="s">
        <v>6777</v>
      </c>
      <c r="D1841" s="1" t="s">
        <v>18</v>
      </c>
      <c r="E1841" s="250">
        <v>5127.4269999999997</v>
      </c>
    </row>
    <row r="1842" spans="3:5" x14ac:dyDescent="0.35">
      <c r="C1842" s="1" t="s">
        <v>6776</v>
      </c>
      <c r="D1842" s="1" t="s">
        <v>18</v>
      </c>
      <c r="E1842" s="250">
        <v>5127.4290000000001</v>
      </c>
    </row>
    <row r="1843" spans="3:5" x14ac:dyDescent="0.35">
      <c r="C1843" s="1" t="s">
        <v>6775</v>
      </c>
      <c r="D1843" s="1" t="s">
        <v>18</v>
      </c>
      <c r="E1843" s="250">
        <v>5127.4309999999996</v>
      </c>
    </row>
    <row r="1844" spans="3:5" x14ac:dyDescent="0.35">
      <c r="C1844" s="1" t="s">
        <v>6774</v>
      </c>
      <c r="D1844" s="1" t="s">
        <v>18</v>
      </c>
      <c r="E1844" s="250">
        <v>5127.433</v>
      </c>
    </row>
    <row r="1845" spans="3:5" x14ac:dyDescent="0.35">
      <c r="C1845" s="1" t="s">
        <v>6773</v>
      </c>
      <c r="D1845" s="1" t="s">
        <v>18</v>
      </c>
      <c r="E1845" s="250">
        <v>5127.4350000000004</v>
      </c>
    </row>
    <row r="1846" spans="3:5" x14ac:dyDescent="0.35">
      <c r="C1846" s="1" t="s">
        <v>6772</v>
      </c>
      <c r="D1846" s="1" t="s">
        <v>18</v>
      </c>
      <c r="E1846" s="250">
        <v>5127.4369999999999</v>
      </c>
    </row>
    <row r="1847" spans="3:5" x14ac:dyDescent="0.35">
      <c r="C1847" s="1" t="s">
        <v>6771</v>
      </c>
      <c r="D1847" s="1" t="s">
        <v>18</v>
      </c>
      <c r="E1847" s="250">
        <v>5127.4390000000003</v>
      </c>
    </row>
    <row r="1848" spans="3:5" x14ac:dyDescent="0.35">
      <c r="C1848" s="1" t="s">
        <v>6770</v>
      </c>
      <c r="D1848" s="1" t="s">
        <v>18</v>
      </c>
      <c r="E1848" s="250">
        <v>5127.4409999999998</v>
      </c>
    </row>
    <row r="1849" spans="3:5" x14ac:dyDescent="0.35">
      <c r="C1849" s="1" t="s">
        <v>6769</v>
      </c>
      <c r="D1849" s="1" t="s">
        <v>18</v>
      </c>
      <c r="E1849" s="250">
        <v>5127.4430000000002</v>
      </c>
    </row>
    <row r="1850" spans="3:5" x14ac:dyDescent="0.35">
      <c r="C1850" s="1" t="s">
        <v>6768</v>
      </c>
      <c r="D1850" s="1" t="s">
        <v>18</v>
      </c>
      <c r="E1850" s="250">
        <v>5127.4449999999997</v>
      </c>
    </row>
    <row r="1851" spans="3:5" x14ac:dyDescent="0.35">
      <c r="C1851" s="1" t="s">
        <v>6767</v>
      </c>
      <c r="D1851" s="1" t="s">
        <v>18</v>
      </c>
      <c r="E1851" s="250">
        <v>5127.4470000000001</v>
      </c>
    </row>
    <row r="1852" spans="3:5" x14ac:dyDescent="0.35">
      <c r="C1852" s="1" t="s">
        <v>6766</v>
      </c>
      <c r="D1852" s="1" t="s">
        <v>18</v>
      </c>
      <c r="E1852" s="250">
        <v>5127.4489999999996</v>
      </c>
    </row>
    <row r="1853" spans="3:5" x14ac:dyDescent="0.35">
      <c r="C1853" s="1" t="s">
        <v>6765</v>
      </c>
      <c r="D1853" s="1" t="s">
        <v>18</v>
      </c>
      <c r="E1853" s="250">
        <v>5127.451</v>
      </c>
    </row>
    <row r="1854" spans="3:5" x14ac:dyDescent="0.35">
      <c r="C1854" s="1" t="s">
        <v>6764</v>
      </c>
      <c r="D1854" s="1" t="s">
        <v>18</v>
      </c>
      <c r="E1854" s="250">
        <v>5127.4530000000004</v>
      </c>
    </row>
    <row r="1855" spans="3:5" x14ac:dyDescent="0.35">
      <c r="C1855" s="1" t="s">
        <v>6763</v>
      </c>
      <c r="D1855" s="1" t="s">
        <v>18</v>
      </c>
      <c r="E1855" s="250">
        <v>5127.4549999999999</v>
      </c>
    </row>
    <row r="1856" spans="3:5" x14ac:dyDescent="0.35">
      <c r="C1856" s="1" t="s">
        <v>6762</v>
      </c>
      <c r="D1856" s="1" t="s">
        <v>18</v>
      </c>
      <c r="E1856" s="250">
        <v>5127.4570000000003</v>
      </c>
    </row>
    <row r="1857" spans="3:5" x14ac:dyDescent="0.35">
      <c r="C1857" s="1" t="s">
        <v>6761</v>
      </c>
      <c r="D1857" s="1" t="s">
        <v>18</v>
      </c>
      <c r="E1857" s="250">
        <v>5127.4589999999998</v>
      </c>
    </row>
    <row r="1858" spans="3:5" x14ac:dyDescent="0.35">
      <c r="C1858" s="1" t="s">
        <v>6760</v>
      </c>
      <c r="D1858" s="1" t="s">
        <v>18</v>
      </c>
      <c r="E1858" s="250">
        <v>5127.4610000000002</v>
      </c>
    </row>
    <row r="1859" spans="3:5" x14ac:dyDescent="0.35">
      <c r="C1859" s="1" t="s">
        <v>6759</v>
      </c>
      <c r="D1859" s="1" t="s">
        <v>18</v>
      </c>
      <c r="E1859" s="250">
        <v>5127.4629999999997</v>
      </c>
    </row>
    <row r="1860" spans="3:5" x14ac:dyDescent="0.35">
      <c r="C1860" s="1" t="s">
        <v>6758</v>
      </c>
      <c r="D1860" s="1" t="s">
        <v>18</v>
      </c>
      <c r="E1860" s="250">
        <v>5127.4650000000001</v>
      </c>
    </row>
    <row r="1861" spans="3:5" x14ac:dyDescent="0.35">
      <c r="C1861" s="1" t="s">
        <v>6757</v>
      </c>
      <c r="D1861" s="1" t="s">
        <v>18</v>
      </c>
      <c r="E1861" s="250">
        <v>5127.4669999999996</v>
      </c>
    </row>
    <row r="1862" spans="3:5" x14ac:dyDescent="0.35">
      <c r="C1862" s="1" t="s">
        <v>6756</v>
      </c>
      <c r="D1862" s="1" t="s">
        <v>18</v>
      </c>
      <c r="E1862" s="250">
        <v>5127.4690000000001</v>
      </c>
    </row>
    <row r="1863" spans="3:5" x14ac:dyDescent="0.35">
      <c r="C1863" s="1" t="s">
        <v>6755</v>
      </c>
      <c r="D1863" s="1" t="s">
        <v>18</v>
      </c>
      <c r="E1863" s="250">
        <v>5127.4709999999995</v>
      </c>
    </row>
    <row r="1864" spans="3:5" x14ac:dyDescent="0.35">
      <c r="C1864" s="1" t="s">
        <v>6754</v>
      </c>
      <c r="D1864" s="1" t="s">
        <v>18</v>
      </c>
      <c r="E1864" s="250">
        <v>5127.473</v>
      </c>
    </row>
    <row r="1865" spans="3:5" x14ac:dyDescent="0.35">
      <c r="C1865" s="1" t="s">
        <v>6753</v>
      </c>
      <c r="D1865" s="1" t="s">
        <v>18</v>
      </c>
      <c r="E1865" s="250">
        <v>5127.4750000000004</v>
      </c>
    </row>
    <row r="1866" spans="3:5" x14ac:dyDescent="0.35">
      <c r="C1866" s="1" t="s">
        <v>6752</v>
      </c>
      <c r="D1866" s="1" t="s">
        <v>18</v>
      </c>
      <c r="E1866" s="250">
        <v>5127.4769999999999</v>
      </c>
    </row>
    <row r="1867" spans="3:5" x14ac:dyDescent="0.35">
      <c r="C1867" s="1" t="s">
        <v>6751</v>
      </c>
      <c r="D1867" s="1" t="s">
        <v>18</v>
      </c>
      <c r="E1867" s="250">
        <v>5127.4790000000003</v>
      </c>
    </row>
    <row r="1868" spans="3:5" x14ac:dyDescent="0.35">
      <c r="C1868" s="1" t="s">
        <v>6750</v>
      </c>
      <c r="D1868" s="1" t="s">
        <v>18</v>
      </c>
      <c r="E1868" s="250">
        <v>5127.4809999999998</v>
      </c>
    </row>
    <row r="1869" spans="3:5" x14ac:dyDescent="0.35">
      <c r="C1869" s="1" t="s">
        <v>6749</v>
      </c>
      <c r="D1869" s="1" t="s">
        <v>18</v>
      </c>
      <c r="E1869" s="250">
        <v>5127.4830000000002</v>
      </c>
    </row>
    <row r="1870" spans="3:5" x14ac:dyDescent="0.35">
      <c r="C1870" s="1" t="s">
        <v>6748</v>
      </c>
      <c r="D1870" s="1" t="s">
        <v>18</v>
      </c>
      <c r="E1870" s="250">
        <v>5127.4849999999997</v>
      </c>
    </row>
    <row r="1871" spans="3:5" x14ac:dyDescent="0.35">
      <c r="C1871" s="1" t="s">
        <v>6747</v>
      </c>
      <c r="D1871" s="1" t="s">
        <v>18</v>
      </c>
      <c r="E1871" s="250">
        <v>5127.4870000000001</v>
      </c>
    </row>
    <row r="1872" spans="3:5" x14ac:dyDescent="0.35">
      <c r="C1872" s="1" t="s">
        <v>6746</v>
      </c>
      <c r="D1872" s="1" t="s">
        <v>18</v>
      </c>
      <c r="E1872" s="250">
        <v>5127.4889999999996</v>
      </c>
    </row>
    <row r="1873" spans="3:5" x14ac:dyDescent="0.35">
      <c r="C1873" s="1" t="s">
        <v>6745</v>
      </c>
      <c r="D1873" s="1" t="s">
        <v>18</v>
      </c>
      <c r="E1873" s="250">
        <v>5127.491</v>
      </c>
    </row>
    <row r="1874" spans="3:5" x14ac:dyDescent="0.35">
      <c r="C1874" s="1" t="s">
        <v>6744</v>
      </c>
      <c r="D1874" s="1" t="s">
        <v>18</v>
      </c>
      <c r="E1874" s="250">
        <v>5127.4930000000004</v>
      </c>
    </row>
    <row r="1875" spans="3:5" x14ac:dyDescent="0.35">
      <c r="C1875" s="1" t="s">
        <v>6743</v>
      </c>
      <c r="D1875" s="1" t="s">
        <v>18</v>
      </c>
      <c r="E1875" s="250">
        <v>5127.4949999999999</v>
      </c>
    </row>
    <row r="1876" spans="3:5" x14ac:dyDescent="0.35">
      <c r="C1876" s="1" t="s">
        <v>6742</v>
      </c>
      <c r="D1876" s="1" t="s">
        <v>18</v>
      </c>
      <c r="E1876" s="250">
        <v>5127.4970000000003</v>
      </c>
    </row>
    <row r="1877" spans="3:5" x14ac:dyDescent="0.35">
      <c r="C1877" s="1" t="s">
        <v>6741</v>
      </c>
      <c r="D1877" s="1" t="s">
        <v>18</v>
      </c>
      <c r="E1877" s="250">
        <v>5127.4989999999998</v>
      </c>
    </row>
    <row r="1878" spans="3:5" x14ac:dyDescent="0.35">
      <c r="C1878" s="1" t="s">
        <v>6740</v>
      </c>
      <c r="D1878" s="1" t="s">
        <v>18</v>
      </c>
      <c r="E1878" s="250">
        <v>5127.5010000000002</v>
      </c>
    </row>
    <row r="1879" spans="3:5" x14ac:dyDescent="0.35">
      <c r="C1879" s="1" t="s">
        <v>6739</v>
      </c>
      <c r="D1879" s="1" t="s">
        <v>18</v>
      </c>
      <c r="E1879" s="250">
        <v>5127.5029999999997</v>
      </c>
    </row>
    <row r="1880" spans="3:5" x14ac:dyDescent="0.35">
      <c r="C1880" s="1" t="s">
        <v>6738</v>
      </c>
      <c r="D1880" s="1" t="s">
        <v>18</v>
      </c>
      <c r="E1880" s="250">
        <v>5127.5050000000001</v>
      </c>
    </row>
    <row r="1881" spans="3:5" x14ac:dyDescent="0.35">
      <c r="C1881" s="1" t="s">
        <v>6737</v>
      </c>
      <c r="D1881" s="1" t="s">
        <v>18</v>
      </c>
      <c r="E1881" s="250">
        <v>5127.5069999999996</v>
      </c>
    </row>
    <row r="1882" spans="3:5" x14ac:dyDescent="0.35">
      <c r="C1882" s="1" t="s">
        <v>6736</v>
      </c>
      <c r="D1882" s="1" t="s">
        <v>18</v>
      </c>
      <c r="E1882" s="250">
        <v>5127.6109999999999</v>
      </c>
    </row>
    <row r="1883" spans="3:5" x14ac:dyDescent="0.35">
      <c r="C1883" s="1" t="s">
        <v>6735</v>
      </c>
      <c r="D1883" s="1" t="s">
        <v>18</v>
      </c>
      <c r="E1883" s="250">
        <v>5127.6130000000003</v>
      </c>
    </row>
    <row r="1884" spans="3:5" x14ac:dyDescent="0.35">
      <c r="C1884" s="1" t="s">
        <v>6734</v>
      </c>
      <c r="D1884" s="1" t="s">
        <v>18</v>
      </c>
      <c r="E1884" s="250">
        <v>5127.6149999999998</v>
      </c>
    </row>
    <row r="1885" spans="3:5" x14ac:dyDescent="0.35">
      <c r="C1885" s="1" t="s">
        <v>6733</v>
      </c>
      <c r="D1885" s="1" t="s">
        <v>18</v>
      </c>
      <c r="E1885" s="250">
        <v>5127.6170000000002</v>
      </c>
    </row>
    <row r="1886" spans="3:5" x14ac:dyDescent="0.35">
      <c r="C1886" s="1" t="s">
        <v>6732</v>
      </c>
      <c r="D1886" s="1" t="s">
        <v>18</v>
      </c>
      <c r="E1886" s="250">
        <v>5127.6189999999997</v>
      </c>
    </row>
    <row r="1887" spans="3:5" x14ac:dyDescent="0.35">
      <c r="C1887" s="1" t="s">
        <v>6731</v>
      </c>
      <c r="D1887" s="1" t="s">
        <v>18</v>
      </c>
      <c r="E1887" s="250">
        <v>5127.6210000000001</v>
      </c>
    </row>
    <row r="1888" spans="3:5" x14ac:dyDescent="0.35">
      <c r="C1888" s="1" t="s">
        <v>6730</v>
      </c>
      <c r="D1888" s="1" t="s">
        <v>18</v>
      </c>
      <c r="E1888" s="250">
        <v>5127.6229999999996</v>
      </c>
    </row>
    <row r="1889" spans="3:5" x14ac:dyDescent="0.35">
      <c r="C1889" s="1" t="s">
        <v>6729</v>
      </c>
      <c r="D1889" s="1" t="s">
        <v>18</v>
      </c>
      <c r="E1889" s="250">
        <v>5127.625</v>
      </c>
    </row>
    <row r="1890" spans="3:5" x14ac:dyDescent="0.35">
      <c r="C1890" s="1" t="s">
        <v>6728</v>
      </c>
      <c r="D1890" s="1" t="s">
        <v>18</v>
      </c>
      <c r="E1890" s="250">
        <v>5127.6270000000004</v>
      </c>
    </row>
    <row r="1891" spans="3:5" x14ac:dyDescent="0.35">
      <c r="C1891" s="1" t="s">
        <v>6727</v>
      </c>
      <c r="D1891" s="1" t="s">
        <v>18</v>
      </c>
      <c r="E1891" s="250">
        <v>5127.6289999999999</v>
      </c>
    </row>
    <row r="1892" spans="3:5" x14ac:dyDescent="0.35">
      <c r="C1892" s="1" t="s">
        <v>6726</v>
      </c>
      <c r="D1892" s="1" t="s">
        <v>18</v>
      </c>
      <c r="E1892" s="250">
        <v>5127.6310000000003</v>
      </c>
    </row>
    <row r="1893" spans="3:5" x14ac:dyDescent="0.35">
      <c r="C1893" s="1" t="s">
        <v>6725</v>
      </c>
      <c r="D1893" s="1" t="s">
        <v>18</v>
      </c>
      <c r="E1893" s="250">
        <v>5127.6329999999998</v>
      </c>
    </row>
    <row r="1894" spans="3:5" x14ac:dyDescent="0.35">
      <c r="C1894" s="1" t="s">
        <v>6724</v>
      </c>
      <c r="D1894" s="1" t="s">
        <v>18</v>
      </c>
      <c r="E1894" s="250">
        <v>5127.6350000000002</v>
      </c>
    </row>
    <row r="1895" spans="3:5" x14ac:dyDescent="0.35">
      <c r="C1895" s="1" t="s">
        <v>6723</v>
      </c>
      <c r="D1895" s="1" t="s">
        <v>18</v>
      </c>
      <c r="E1895" s="250">
        <v>5127.6369999999997</v>
      </c>
    </row>
    <row r="1896" spans="3:5" x14ac:dyDescent="0.35">
      <c r="C1896" s="1" t="s">
        <v>6722</v>
      </c>
      <c r="D1896" s="1" t="s">
        <v>18</v>
      </c>
      <c r="E1896" s="250">
        <v>5127.6390000000001</v>
      </c>
    </row>
    <row r="1897" spans="3:5" x14ac:dyDescent="0.35">
      <c r="C1897" s="1" t="s">
        <v>6721</v>
      </c>
      <c r="D1897" s="1" t="s">
        <v>18</v>
      </c>
      <c r="E1897" s="250">
        <v>5127.6409999999996</v>
      </c>
    </row>
    <row r="1898" spans="3:5" x14ac:dyDescent="0.35">
      <c r="C1898" s="1" t="s">
        <v>6720</v>
      </c>
      <c r="D1898" s="1" t="s">
        <v>18</v>
      </c>
      <c r="E1898" s="250">
        <v>5127.643</v>
      </c>
    </row>
    <row r="1899" spans="3:5" x14ac:dyDescent="0.35">
      <c r="C1899" s="1" t="s">
        <v>6719</v>
      </c>
      <c r="D1899" s="1" t="s">
        <v>18</v>
      </c>
      <c r="E1899" s="250">
        <v>5127.6450000000004</v>
      </c>
    </row>
    <row r="1900" spans="3:5" x14ac:dyDescent="0.35">
      <c r="C1900" s="1" t="s">
        <v>6718</v>
      </c>
      <c r="D1900" s="1" t="s">
        <v>18</v>
      </c>
      <c r="E1900" s="250">
        <v>5127.6469999999999</v>
      </c>
    </row>
    <row r="1901" spans="3:5" x14ac:dyDescent="0.35">
      <c r="C1901" s="1" t="s">
        <v>6717</v>
      </c>
      <c r="D1901" s="1" t="s">
        <v>18</v>
      </c>
      <c r="E1901" s="250">
        <v>5127.6490000000003</v>
      </c>
    </row>
    <row r="1902" spans="3:5" x14ac:dyDescent="0.35">
      <c r="C1902" s="1" t="s">
        <v>6716</v>
      </c>
      <c r="D1902" s="1" t="s">
        <v>18</v>
      </c>
      <c r="E1902" s="250">
        <v>5127.6509999999998</v>
      </c>
    </row>
    <row r="1903" spans="3:5" x14ac:dyDescent="0.35">
      <c r="C1903" s="1" t="s">
        <v>6715</v>
      </c>
      <c r="D1903" s="1" t="s">
        <v>18</v>
      </c>
      <c r="E1903" s="250">
        <v>5127.6530000000002</v>
      </c>
    </row>
    <row r="1904" spans="3:5" x14ac:dyDescent="0.35">
      <c r="C1904" s="1" t="s">
        <v>6714</v>
      </c>
      <c r="D1904" s="1" t="s">
        <v>18</v>
      </c>
      <c r="E1904" s="250">
        <v>5127.6549999999997</v>
      </c>
    </row>
    <row r="1905" spans="3:5" x14ac:dyDescent="0.35">
      <c r="C1905" s="1" t="s">
        <v>6713</v>
      </c>
      <c r="D1905" s="1" t="s">
        <v>18</v>
      </c>
      <c r="E1905" s="250">
        <v>5127.6570000000002</v>
      </c>
    </row>
    <row r="1906" spans="3:5" x14ac:dyDescent="0.35">
      <c r="C1906" s="1" t="s">
        <v>6712</v>
      </c>
      <c r="D1906" s="1" t="s">
        <v>18</v>
      </c>
      <c r="E1906" s="250">
        <v>5127.6589999999997</v>
      </c>
    </row>
    <row r="1907" spans="3:5" x14ac:dyDescent="0.35">
      <c r="C1907" s="1" t="s">
        <v>6711</v>
      </c>
      <c r="D1907" s="1" t="s">
        <v>18</v>
      </c>
      <c r="E1907" s="250">
        <v>5127.6610000000001</v>
      </c>
    </row>
    <row r="1908" spans="3:5" x14ac:dyDescent="0.35">
      <c r="C1908" s="1" t="s">
        <v>6710</v>
      </c>
      <c r="D1908" s="1" t="s">
        <v>18</v>
      </c>
      <c r="E1908" s="250">
        <v>5127.6629999999996</v>
      </c>
    </row>
    <row r="1909" spans="3:5" x14ac:dyDescent="0.35">
      <c r="C1909" s="1" t="s">
        <v>6709</v>
      </c>
      <c r="D1909" s="1" t="s">
        <v>18</v>
      </c>
      <c r="E1909" s="250">
        <v>5127.665</v>
      </c>
    </row>
    <row r="1910" spans="3:5" x14ac:dyDescent="0.35">
      <c r="C1910" s="1" t="s">
        <v>6708</v>
      </c>
      <c r="D1910" s="1" t="s">
        <v>18</v>
      </c>
      <c r="E1910" s="250">
        <v>5127.6670000000004</v>
      </c>
    </row>
    <row r="1911" spans="3:5" x14ac:dyDescent="0.35">
      <c r="C1911" s="1" t="s">
        <v>6707</v>
      </c>
      <c r="D1911" s="1" t="s">
        <v>18</v>
      </c>
      <c r="E1911" s="250">
        <v>5127.6689999999999</v>
      </c>
    </row>
    <row r="1912" spans="3:5" x14ac:dyDescent="0.35">
      <c r="C1912" s="1" t="s">
        <v>6706</v>
      </c>
      <c r="D1912" s="1" t="s">
        <v>18</v>
      </c>
      <c r="E1912" s="250">
        <v>5127.6710000000003</v>
      </c>
    </row>
    <row r="1913" spans="3:5" x14ac:dyDescent="0.35">
      <c r="C1913" s="1" t="s">
        <v>6705</v>
      </c>
      <c r="D1913" s="1" t="s">
        <v>18</v>
      </c>
      <c r="E1913" s="250">
        <v>5127.6729999999998</v>
      </c>
    </row>
    <row r="1914" spans="3:5" x14ac:dyDescent="0.35">
      <c r="C1914" s="1" t="s">
        <v>6704</v>
      </c>
      <c r="D1914" s="1" t="s">
        <v>18</v>
      </c>
      <c r="E1914" s="250">
        <v>5127.6750000000002</v>
      </c>
    </row>
    <row r="1915" spans="3:5" x14ac:dyDescent="0.35">
      <c r="C1915" s="1" t="s">
        <v>6703</v>
      </c>
      <c r="D1915" s="1" t="s">
        <v>18</v>
      </c>
      <c r="E1915" s="250">
        <v>5127.6769999999997</v>
      </c>
    </row>
    <row r="1916" spans="3:5" x14ac:dyDescent="0.35">
      <c r="C1916" s="1" t="s">
        <v>6702</v>
      </c>
      <c r="D1916" s="1" t="s">
        <v>18</v>
      </c>
      <c r="E1916" s="250">
        <v>5127.6790000000001</v>
      </c>
    </row>
    <row r="1917" spans="3:5" x14ac:dyDescent="0.35">
      <c r="C1917" s="1" t="s">
        <v>6701</v>
      </c>
      <c r="D1917" s="1" t="s">
        <v>18</v>
      </c>
      <c r="E1917" s="250">
        <v>5127.6809999999996</v>
      </c>
    </row>
    <row r="1918" spans="3:5" x14ac:dyDescent="0.35">
      <c r="C1918" s="1" t="s">
        <v>6700</v>
      </c>
      <c r="D1918" s="1" t="s">
        <v>18</v>
      </c>
      <c r="E1918" s="250">
        <v>5127.683</v>
      </c>
    </row>
    <row r="1919" spans="3:5" x14ac:dyDescent="0.35">
      <c r="C1919" s="1" t="s">
        <v>6699</v>
      </c>
      <c r="D1919" s="1" t="s">
        <v>18</v>
      </c>
      <c r="E1919" s="250">
        <v>5127.6850000000004</v>
      </c>
    </row>
    <row r="1920" spans="3:5" x14ac:dyDescent="0.35">
      <c r="C1920" s="1" t="s">
        <v>6698</v>
      </c>
      <c r="D1920" s="1" t="s">
        <v>18</v>
      </c>
      <c r="E1920" s="250">
        <v>5127.6869999999999</v>
      </c>
    </row>
    <row r="1921" spans="3:5" x14ac:dyDescent="0.35">
      <c r="C1921" s="1" t="s">
        <v>6697</v>
      </c>
      <c r="D1921" s="1" t="s">
        <v>18</v>
      </c>
      <c r="E1921" s="250">
        <v>5127.6890000000003</v>
      </c>
    </row>
    <row r="1922" spans="3:5" x14ac:dyDescent="0.35">
      <c r="C1922" s="1" t="s">
        <v>6696</v>
      </c>
      <c r="D1922" s="1" t="s">
        <v>18</v>
      </c>
      <c r="E1922" s="250">
        <v>5127.6909999999998</v>
      </c>
    </row>
    <row r="1923" spans="3:5" x14ac:dyDescent="0.35">
      <c r="C1923" s="1" t="s">
        <v>6695</v>
      </c>
      <c r="D1923" s="1" t="s">
        <v>18</v>
      </c>
      <c r="E1923" s="250">
        <v>5127.6930000000002</v>
      </c>
    </row>
    <row r="1924" spans="3:5" x14ac:dyDescent="0.35">
      <c r="C1924" s="1" t="s">
        <v>6694</v>
      </c>
      <c r="D1924" s="1" t="s">
        <v>18</v>
      </c>
      <c r="E1924" s="250">
        <v>5127.6949999999997</v>
      </c>
    </row>
    <row r="1925" spans="3:5" x14ac:dyDescent="0.35">
      <c r="C1925" s="1" t="s">
        <v>6693</v>
      </c>
      <c r="D1925" s="1" t="s">
        <v>18</v>
      </c>
      <c r="E1925" s="250">
        <v>5127.6970000000001</v>
      </c>
    </row>
    <row r="1926" spans="3:5" x14ac:dyDescent="0.35">
      <c r="C1926" s="1" t="s">
        <v>6692</v>
      </c>
      <c r="D1926" s="1" t="s">
        <v>18</v>
      </c>
      <c r="E1926" s="250">
        <v>5127.6989999999996</v>
      </c>
    </row>
    <row r="1927" spans="3:5" x14ac:dyDescent="0.35">
      <c r="C1927" s="1" t="s">
        <v>6691</v>
      </c>
      <c r="D1927" s="1" t="s">
        <v>18</v>
      </c>
      <c r="E1927" s="250">
        <v>5127.701</v>
      </c>
    </row>
    <row r="1928" spans="3:5" x14ac:dyDescent="0.35">
      <c r="C1928" s="1" t="s">
        <v>6690</v>
      </c>
      <c r="D1928" s="1" t="s">
        <v>18</v>
      </c>
      <c r="E1928" s="250">
        <v>5127.7030000000004</v>
      </c>
    </row>
    <row r="1929" spans="3:5" x14ac:dyDescent="0.35">
      <c r="C1929" s="1" t="s">
        <v>6689</v>
      </c>
      <c r="D1929" s="1" t="s">
        <v>18</v>
      </c>
      <c r="E1929" s="250">
        <v>5127.7049999999999</v>
      </c>
    </row>
    <row r="1930" spans="3:5" x14ac:dyDescent="0.35">
      <c r="C1930" s="1" t="s">
        <v>6688</v>
      </c>
      <c r="D1930" s="1" t="s">
        <v>18</v>
      </c>
      <c r="E1930" s="250">
        <v>5127.7070000000003</v>
      </c>
    </row>
    <row r="1931" spans="3:5" x14ac:dyDescent="0.35">
      <c r="C1931" s="1" t="s">
        <v>6687</v>
      </c>
      <c r="D1931" s="1" t="s">
        <v>18</v>
      </c>
      <c r="E1931" s="250">
        <v>5127.71</v>
      </c>
    </row>
    <row r="1932" spans="3:5" x14ac:dyDescent="0.35">
      <c r="C1932" s="1" t="s">
        <v>6686</v>
      </c>
      <c r="D1932" s="1" t="s">
        <v>18</v>
      </c>
      <c r="E1932" s="250">
        <v>5127.7110000000002</v>
      </c>
    </row>
    <row r="1933" spans="3:5" x14ac:dyDescent="0.35">
      <c r="C1933" s="1" t="s">
        <v>6685</v>
      </c>
      <c r="D1933" s="1" t="s">
        <v>18</v>
      </c>
      <c r="E1933" s="250">
        <v>5127.7120000000004</v>
      </c>
    </row>
    <row r="1934" spans="3:5" x14ac:dyDescent="0.35">
      <c r="C1934" s="1" t="s">
        <v>6684</v>
      </c>
      <c r="D1934" s="1" t="s">
        <v>18</v>
      </c>
      <c r="E1934" s="250">
        <v>5127.7129999999997</v>
      </c>
    </row>
    <row r="1935" spans="3:5" x14ac:dyDescent="0.35">
      <c r="C1935" s="1" t="s">
        <v>6683</v>
      </c>
      <c r="D1935" s="1" t="s">
        <v>18</v>
      </c>
      <c r="E1935" s="250">
        <v>5127.7139999999999</v>
      </c>
    </row>
    <row r="1936" spans="3:5" x14ac:dyDescent="0.35">
      <c r="C1936" s="1" t="s">
        <v>6682</v>
      </c>
      <c r="D1936" s="1" t="s">
        <v>18</v>
      </c>
      <c r="E1936" s="250">
        <v>5127.7150000000001</v>
      </c>
    </row>
    <row r="1937" spans="3:5" x14ac:dyDescent="0.35">
      <c r="C1937" s="1" t="s">
        <v>6681</v>
      </c>
      <c r="D1937" s="1" t="s">
        <v>18</v>
      </c>
      <c r="E1937" s="250">
        <v>5127.7160000000003</v>
      </c>
    </row>
    <row r="1938" spans="3:5" x14ac:dyDescent="0.35">
      <c r="C1938" s="1" t="s">
        <v>6680</v>
      </c>
      <c r="D1938" s="1" t="s">
        <v>18</v>
      </c>
      <c r="E1938" s="250">
        <v>5127.7169999999996</v>
      </c>
    </row>
    <row r="1939" spans="3:5" x14ac:dyDescent="0.35">
      <c r="C1939" s="1" t="s">
        <v>6679</v>
      </c>
      <c r="D1939" s="1" t="s">
        <v>18</v>
      </c>
      <c r="E1939" s="250">
        <v>5127.7179999999998</v>
      </c>
    </row>
    <row r="1940" spans="3:5" x14ac:dyDescent="0.35">
      <c r="C1940" s="1" t="s">
        <v>6678</v>
      </c>
      <c r="D1940" s="1" t="s">
        <v>18</v>
      </c>
      <c r="E1940" s="250">
        <v>5128.0110000000004</v>
      </c>
    </row>
    <row r="1941" spans="3:5" x14ac:dyDescent="0.35">
      <c r="C1941" s="1" t="s">
        <v>6677</v>
      </c>
      <c r="D1941" s="1" t="s">
        <v>18</v>
      </c>
      <c r="E1941" s="250">
        <v>5128.0119999999997</v>
      </c>
    </row>
    <row r="1942" spans="3:5" x14ac:dyDescent="0.35">
      <c r="C1942" s="1" t="s">
        <v>6676</v>
      </c>
      <c r="D1942" s="1" t="s">
        <v>18</v>
      </c>
      <c r="E1942" s="250">
        <v>5128.0129999999999</v>
      </c>
    </row>
    <row r="1943" spans="3:5" x14ac:dyDescent="0.35">
      <c r="C1943" s="1" t="s">
        <v>6675</v>
      </c>
      <c r="D1943" s="1" t="s">
        <v>18</v>
      </c>
      <c r="E1943" s="250">
        <v>5128.0140000000001</v>
      </c>
    </row>
    <row r="1944" spans="3:5" x14ac:dyDescent="0.35">
      <c r="C1944" s="1" t="s">
        <v>6674</v>
      </c>
      <c r="D1944" s="1" t="s">
        <v>18</v>
      </c>
      <c r="E1944" s="250">
        <v>5128.0150000000003</v>
      </c>
    </row>
    <row r="1945" spans="3:5" x14ac:dyDescent="0.35">
      <c r="C1945" s="1" t="s">
        <v>6673</v>
      </c>
      <c r="D1945" s="1" t="s">
        <v>18</v>
      </c>
      <c r="E1945" s="250">
        <v>5128.0159999999996</v>
      </c>
    </row>
    <row r="1946" spans="3:5" x14ac:dyDescent="0.35">
      <c r="C1946" s="1" t="s">
        <v>6672</v>
      </c>
      <c r="D1946" s="1" t="s">
        <v>18</v>
      </c>
      <c r="E1946" s="250">
        <v>5128.0169999999998</v>
      </c>
    </row>
    <row r="1947" spans="3:5" x14ac:dyDescent="0.35">
      <c r="C1947" s="1" t="s">
        <v>6671</v>
      </c>
      <c r="D1947" s="1" t="s">
        <v>18</v>
      </c>
      <c r="E1947" s="250">
        <v>5128.018</v>
      </c>
    </row>
    <row r="1948" spans="3:5" x14ac:dyDescent="0.35">
      <c r="C1948" s="1" t="s">
        <v>6670</v>
      </c>
      <c r="D1948" s="1" t="s">
        <v>18</v>
      </c>
      <c r="E1948" s="250">
        <v>5128.0190000000002</v>
      </c>
    </row>
    <row r="1949" spans="3:5" x14ac:dyDescent="0.35">
      <c r="C1949" s="1" t="s">
        <v>6669</v>
      </c>
      <c r="D1949" s="1" t="s">
        <v>18</v>
      </c>
      <c r="E1949" s="250">
        <v>5128.0200000000004</v>
      </c>
    </row>
    <row r="1950" spans="3:5" x14ac:dyDescent="0.35">
      <c r="C1950" s="1" t="s">
        <v>6668</v>
      </c>
      <c r="D1950" s="1" t="s">
        <v>18</v>
      </c>
      <c r="E1950" s="250">
        <v>5128.0209999999997</v>
      </c>
    </row>
    <row r="1951" spans="3:5" x14ac:dyDescent="0.35">
      <c r="C1951" s="1" t="s">
        <v>6667</v>
      </c>
      <c r="D1951" s="1" t="s">
        <v>18</v>
      </c>
      <c r="E1951" s="250">
        <v>5128.0219999999999</v>
      </c>
    </row>
    <row r="1952" spans="3:5" x14ac:dyDescent="0.35">
      <c r="C1952" s="1" t="s">
        <v>6666</v>
      </c>
      <c r="D1952" s="1" t="s">
        <v>18</v>
      </c>
      <c r="E1952" s="250">
        <v>5128.0230000000001</v>
      </c>
    </row>
    <row r="1953" spans="3:5" x14ac:dyDescent="0.35">
      <c r="C1953" s="1" t="s">
        <v>6665</v>
      </c>
      <c r="D1953" s="1" t="s">
        <v>18</v>
      </c>
      <c r="E1953" s="250">
        <v>5128.0240000000003</v>
      </c>
    </row>
    <row r="1954" spans="3:5" x14ac:dyDescent="0.35">
      <c r="C1954" s="1" t="s">
        <v>6664</v>
      </c>
      <c r="D1954" s="1" t="s">
        <v>18</v>
      </c>
      <c r="E1954" s="250">
        <v>5128.0249999999996</v>
      </c>
    </row>
    <row r="1955" spans="3:5" x14ac:dyDescent="0.35">
      <c r="C1955" s="1" t="s">
        <v>6663</v>
      </c>
      <c r="D1955" s="1" t="s">
        <v>18</v>
      </c>
      <c r="E1955" s="250">
        <v>5128.0259999999998</v>
      </c>
    </row>
    <row r="1956" spans="3:5" x14ac:dyDescent="0.35">
      <c r="C1956" s="1" t="s">
        <v>6662</v>
      </c>
      <c r="D1956" s="1" t="s">
        <v>18</v>
      </c>
      <c r="E1956" s="250">
        <v>5128.027</v>
      </c>
    </row>
    <row r="1957" spans="3:5" x14ac:dyDescent="0.35">
      <c r="C1957" s="1" t="s">
        <v>6661</v>
      </c>
      <c r="D1957" s="1" t="s">
        <v>18</v>
      </c>
      <c r="E1957" s="250">
        <v>5128.0280000000002</v>
      </c>
    </row>
    <row r="1958" spans="3:5" x14ac:dyDescent="0.35">
      <c r="C1958" s="1" t="s">
        <v>6660</v>
      </c>
      <c r="D1958" s="1" t="s">
        <v>18</v>
      </c>
      <c r="E1958" s="250">
        <v>5128.0290000000005</v>
      </c>
    </row>
    <row r="1959" spans="3:5" x14ac:dyDescent="0.35">
      <c r="C1959" s="1" t="s">
        <v>6659</v>
      </c>
      <c r="D1959" s="1" t="s">
        <v>18</v>
      </c>
      <c r="E1959" s="250">
        <v>5128.03</v>
      </c>
    </row>
    <row r="1960" spans="3:5" x14ac:dyDescent="0.35">
      <c r="C1960" s="1" t="s">
        <v>6658</v>
      </c>
      <c r="D1960" s="1" t="s">
        <v>18</v>
      </c>
      <c r="E1960" s="250">
        <v>5128.0309999999999</v>
      </c>
    </row>
    <row r="1961" spans="3:5" x14ac:dyDescent="0.35">
      <c r="C1961" s="1" t="s">
        <v>6657</v>
      </c>
      <c r="D1961" s="1" t="s">
        <v>18</v>
      </c>
      <c r="E1961" s="250">
        <v>5128.0320000000002</v>
      </c>
    </row>
    <row r="1962" spans="3:5" x14ac:dyDescent="0.35">
      <c r="C1962" s="1" t="s">
        <v>6656</v>
      </c>
      <c r="D1962" s="1" t="s">
        <v>18</v>
      </c>
      <c r="E1962" s="250">
        <v>5128.0330000000004</v>
      </c>
    </row>
    <row r="1963" spans="3:5" x14ac:dyDescent="0.35">
      <c r="C1963" s="1" t="s">
        <v>6655</v>
      </c>
      <c r="D1963" s="1" t="s">
        <v>18</v>
      </c>
      <c r="E1963" s="250">
        <v>5128.0339999999997</v>
      </c>
    </row>
    <row r="1964" spans="3:5" x14ac:dyDescent="0.35">
      <c r="C1964" s="1" t="s">
        <v>6654</v>
      </c>
      <c r="D1964" s="1" t="s">
        <v>18</v>
      </c>
      <c r="E1964" s="250">
        <v>5128.0349999999999</v>
      </c>
    </row>
    <row r="1965" spans="3:5" x14ac:dyDescent="0.35">
      <c r="C1965" s="1" t="s">
        <v>6653</v>
      </c>
      <c r="D1965" s="1" t="s">
        <v>18</v>
      </c>
      <c r="E1965" s="250">
        <v>5128.0360000000001</v>
      </c>
    </row>
    <row r="1966" spans="3:5" x14ac:dyDescent="0.35">
      <c r="C1966" s="1" t="s">
        <v>6652</v>
      </c>
      <c r="D1966" s="1" t="s">
        <v>18</v>
      </c>
      <c r="E1966" s="250">
        <v>5128.0370000000003</v>
      </c>
    </row>
    <row r="1967" spans="3:5" x14ac:dyDescent="0.35">
      <c r="C1967" s="1" t="s">
        <v>6651</v>
      </c>
      <c r="D1967" s="1" t="s">
        <v>18</v>
      </c>
      <c r="E1967" s="250">
        <v>5128.0379999999996</v>
      </c>
    </row>
    <row r="1968" spans="3:5" x14ac:dyDescent="0.35">
      <c r="C1968" s="1" t="s">
        <v>6650</v>
      </c>
      <c r="D1968" s="1" t="s">
        <v>18</v>
      </c>
      <c r="E1968" s="250">
        <v>5128.0389999999998</v>
      </c>
    </row>
    <row r="1969" spans="3:5" x14ac:dyDescent="0.35">
      <c r="C1969" s="1" t="s">
        <v>6649</v>
      </c>
      <c r="D1969" s="1" t="s">
        <v>18</v>
      </c>
      <c r="E1969" s="250">
        <v>5128.04</v>
      </c>
    </row>
    <row r="1970" spans="3:5" x14ac:dyDescent="0.35">
      <c r="C1970" s="1" t="s">
        <v>6648</v>
      </c>
      <c r="D1970" s="1" t="s">
        <v>18</v>
      </c>
      <c r="E1970" s="250">
        <v>5128.0410000000002</v>
      </c>
    </row>
    <row r="1971" spans="3:5" x14ac:dyDescent="0.35">
      <c r="C1971" s="1" t="s">
        <v>6647</v>
      </c>
      <c r="D1971" s="1" t="s">
        <v>18</v>
      </c>
      <c r="E1971" s="250">
        <v>5128.0420000000004</v>
      </c>
    </row>
    <row r="1972" spans="3:5" x14ac:dyDescent="0.35">
      <c r="C1972" s="1" t="s">
        <v>6646</v>
      </c>
      <c r="D1972" s="1" t="s">
        <v>18</v>
      </c>
      <c r="E1972" s="250">
        <v>5128.0429999999997</v>
      </c>
    </row>
    <row r="1973" spans="3:5" x14ac:dyDescent="0.35">
      <c r="C1973" s="1" t="s">
        <v>6645</v>
      </c>
      <c r="D1973" s="1" t="s">
        <v>18</v>
      </c>
      <c r="E1973" s="250">
        <v>5128.0439999999999</v>
      </c>
    </row>
    <row r="1974" spans="3:5" x14ac:dyDescent="0.35">
      <c r="C1974" s="1" t="s">
        <v>6644</v>
      </c>
      <c r="D1974" s="1" t="s">
        <v>18</v>
      </c>
      <c r="E1974" s="250">
        <v>5128.0450000000001</v>
      </c>
    </row>
    <row r="1975" spans="3:5" x14ac:dyDescent="0.35">
      <c r="C1975" s="1" t="s">
        <v>6643</v>
      </c>
      <c r="D1975" s="1" t="s">
        <v>18</v>
      </c>
      <c r="E1975" s="250">
        <v>5128.0460000000003</v>
      </c>
    </row>
    <row r="1976" spans="3:5" x14ac:dyDescent="0.35">
      <c r="C1976" s="1" t="s">
        <v>6642</v>
      </c>
      <c r="D1976" s="1" t="s">
        <v>18</v>
      </c>
      <c r="E1976" s="250">
        <v>5128.0469999999996</v>
      </c>
    </row>
    <row r="1977" spans="3:5" x14ac:dyDescent="0.35">
      <c r="C1977" s="1" t="s">
        <v>6641</v>
      </c>
      <c r="D1977" s="1" t="s">
        <v>18</v>
      </c>
      <c r="E1977" s="250">
        <v>5128.0479999999998</v>
      </c>
    </row>
    <row r="1978" spans="3:5" x14ac:dyDescent="0.35">
      <c r="C1978" s="1" t="s">
        <v>6640</v>
      </c>
      <c r="D1978" s="1" t="s">
        <v>18</v>
      </c>
      <c r="E1978" s="250">
        <v>5128.049</v>
      </c>
    </row>
    <row r="1979" spans="3:5" x14ac:dyDescent="0.35">
      <c r="C1979" s="1" t="s">
        <v>6639</v>
      </c>
      <c r="D1979" s="1" t="s">
        <v>18</v>
      </c>
      <c r="E1979" s="250">
        <v>5128.05</v>
      </c>
    </row>
    <row r="1980" spans="3:5" x14ac:dyDescent="0.35">
      <c r="C1980" s="1" t="s">
        <v>6638</v>
      </c>
      <c r="D1980" s="1" t="s">
        <v>18</v>
      </c>
      <c r="E1980" s="250">
        <v>5128.0510000000004</v>
      </c>
    </row>
    <row r="1981" spans="3:5" x14ac:dyDescent="0.35">
      <c r="C1981" s="1" t="s">
        <v>6637</v>
      </c>
      <c r="D1981" s="1" t="s">
        <v>18</v>
      </c>
      <c r="E1981" s="250">
        <v>5128.0519999999997</v>
      </c>
    </row>
    <row r="1982" spans="3:5" x14ac:dyDescent="0.35">
      <c r="C1982" s="1" t="s">
        <v>6636</v>
      </c>
      <c r="D1982" s="1" t="s">
        <v>18</v>
      </c>
      <c r="E1982" s="250">
        <v>5128.0529999999999</v>
      </c>
    </row>
    <row r="1983" spans="3:5" x14ac:dyDescent="0.35">
      <c r="C1983" s="1" t="s">
        <v>6635</v>
      </c>
      <c r="D1983" s="1" t="s">
        <v>18</v>
      </c>
      <c r="E1983" s="250">
        <v>5128.0540000000001</v>
      </c>
    </row>
    <row r="1984" spans="3:5" x14ac:dyDescent="0.35">
      <c r="C1984" s="1" t="s">
        <v>6634</v>
      </c>
      <c r="D1984" s="1" t="s">
        <v>18</v>
      </c>
      <c r="E1984" s="250">
        <v>5128.0550000000003</v>
      </c>
    </row>
    <row r="1985" spans="3:5" x14ac:dyDescent="0.35">
      <c r="C1985" s="1" t="s">
        <v>6633</v>
      </c>
      <c r="D1985" s="1" t="s">
        <v>18</v>
      </c>
      <c r="E1985" s="250">
        <v>5128.0559999999996</v>
      </c>
    </row>
    <row r="1986" spans="3:5" x14ac:dyDescent="0.35">
      <c r="C1986" s="1" t="s">
        <v>6632</v>
      </c>
      <c r="D1986" s="1" t="s">
        <v>18</v>
      </c>
      <c r="E1986" s="250">
        <v>5128.0569999999998</v>
      </c>
    </row>
    <row r="1987" spans="3:5" x14ac:dyDescent="0.35">
      <c r="C1987" s="1" t="s">
        <v>6631</v>
      </c>
      <c r="D1987" s="1" t="s">
        <v>18</v>
      </c>
      <c r="E1987" s="250">
        <v>5128.058</v>
      </c>
    </row>
    <row r="1988" spans="3:5" x14ac:dyDescent="0.35">
      <c r="C1988" s="1" t="s">
        <v>6630</v>
      </c>
      <c r="D1988" s="1" t="s">
        <v>18</v>
      </c>
      <c r="E1988" s="250">
        <v>5128.0590000000002</v>
      </c>
    </row>
    <row r="1989" spans="3:5" x14ac:dyDescent="0.35">
      <c r="C1989" s="1" t="s">
        <v>6629</v>
      </c>
      <c r="D1989" s="1" t="s">
        <v>18</v>
      </c>
      <c r="E1989" s="250">
        <v>5128.0600000000004</v>
      </c>
    </row>
    <row r="1990" spans="3:5" x14ac:dyDescent="0.35">
      <c r="C1990" s="1" t="s">
        <v>6628</v>
      </c>
      <c r="D1990" s="1" t="s">
        <v>18</v>
      </c>
      <c r="E1990" s="250">
        <v>5128.0609999999997</v>
      </c>
    </row>
    <row r="1991" spans="3:5" x14ac:dyDescent="0.35">
      <c r="C1991" s="1" t="s">
        <v>6627</v>
      </c>
      <c r="D1991" s="1" t="s">
        <v>18</v>
      </c>
      <c r="E1991" s="250">
        <v>5128.0619999999999</v>
      </c>
    </row>
    <row r="1992" spans="3:5" x14ac:dyDescent="0.35">
      <c r="C1992" s="1" t="s">
        <v>6626</v>
      </c>
      <c r="D1992" s="1" t="s">
        <v>18</v>
      </c>
      <c r="E1992" s="250">
        <v>5128.0630000000001</v>
      </c>
    </row>
    <row r="1993" spans="3:5" x14ac:dyDescent="0.35">
      <c r="C1993" s="1" t="s">
        <v>6625</v>
      </c>
      <c r="D1993" s="1" t="s">
        <v>18</v>
      </c>
      <c r="E1993" s="250">
        <v>5128.0640000000003</v>
      </c>
    </row>
    <row r="1994" spans="3:5" x14ac:dyDescent="0.35">
      <c r="C1994" s="1" t="s">
        <v>6624</v>
      </c>
      <c r="D1994" s="1" t="s">
        <v>18</v>
      </c>
      <c r="E1994" s="250">
        <v>5128.0649999999996</v>
      </c>
    </row>
    <row r="1995" spans="3:5" x14ac:dyDescent="0.35">
      <c r="C1995" s="1" t="s">
        <v>6623</v>
      </c>
      <c r="D1995" s="1" t="s">
        <v>18</v>
      </c>
      <c r="E1995" s="250">
        <v>5128.0659999999998</v>
      </c>
    </row>
    <row r="1996" spans="3:5" x14ac:dyDescent="0.35">
      <c r="C1996" s="1" t="s">
        <v>6622</v>
      </c>
      <c r="D1996" s="1" t="s">
        <v>18</v>
      </c>
      <c r="E1996" s="250">
        <v>5128.067</v>
      </c>
    </row>
    <row r="1997" spans="3:5" x14ac:dyDescent="0.35">
      <c r="C1997" s="1" t="s">
        <v>6621</v>
      </c>
      <c r="D1997" s="1" t="s">
        <v>18</v>
      </c>
      <c r="E1997" s="250">
        <v>5128.0680000000002</v>
      </c>
    </row>
    <row r="1998" spans="3:5" x14ac:dyDescent="0.35">
      <c r="C1998" s="1" t="s">
        <v>6620</v>
      </c>
      <c r="D1998" s="1" t="s">
        <v>18</v>
      </c>
      <c r="E1998" s="250">
        <v>5128.0690000000004</v>
      </c>
    </row>
    <row r="1999" spans="3:5" x14ac:dyDescent="0.35">
      <c r="C1999" s="1" t="s">
        <v>6619</v>
      </c>
      <c r="D1999" s="1" t="s">
        <v>18</v>
      </c>
      <c r="E1999" s="250">
        <v>5128.07</v>
      </c>
    </row>
    <row r="2000" spans="3:5" x14ac:dyDescent="0.35">
      <c r="C2000" s="1" t="s">
        <v>6618</v>
      </c>
      <c r="D2000" s="1" t="s">
        <v>18</v>
      </c>
      <c r="E2000" s="250">
        <v>5128.0709999999999</v>
      </c>
    </row>
    <row r="2001" spans="3:5" x14ac:dyDescent="0.35">
      <c r="C2001" s="1" t="s">
        <v>6617</v>
      </c>
      <c r="D2001" s="1" t="s">
        <v>18</v>
      </c>
      <c r="E2001" s="250">
        <v>5128.0720000000001</v>
      </c>
    </row>
    <row r="2002" spans="3:5" x14ac:dyDescent="0.35">
      <c r="C2002" s="1" t="s">
        <v>6616</v>
      </c>
      <c r="D2002" s="1" t="s">
        <v>18</v>
      </c>
      <c r="E2002" s="250">
        <v>5128.0730000000003</v>
      </c>
    </row>
    <row r="2003" spans="3:5" x14ac:dyDescent="0.35">
      <c r="C2003" s="1" t="s">
        <v>6615</v>
      </c>
      <c r="D2003" s="1" t="s">
        <v>18</v>
      </c>
      <c r="E2003" s="250">
        <v>5128.0739999999996</v>
      </c>
    </row>
    <row r="2004" spans="3:5" x14ac:dyDescent="0.35">
      <c r="C2004" s="1" t="s">
        <v>6614</v>
      </c>
      <c r="D2004" s="1" t="s">
        <v>18</v>
      </c>
      <c r="E2004" s="250">
        <v>5128.0749999999998</v>
      </c>
    </row>
    <row r="2005" spans="3:5" x14ac:dyDescent="0.35">
      <c r="C2005" s="1" t="s">
        <v>6613</v>
      </c>
      <c r="D2005" s="1" t="s">
        <v>18</v>
      </c>
      <c r="E2005" s="250">
        <v>5128.076</v>
      </c>
    </row>
    <row r="2006" spans="3:5" x14ac:dyDescent="0.35">
      <c r="C2006" s="1" t="s">
        <v>6612</v>
      </c>
      <c r="D2006" s="1" t="s">
        <v>18</v>
      </c>
      <c r="E2006" s="250">
        <v>5128.0770000000002</v>
      </c>
    </row>
    <row r="2007" spans="3:5" x14ac:dyDescent="0.35">
      <c r="C2007" s="1" t="s">
        <v>6611</v>
      </c>
      <c r="D2007" s="1" t="s">
        <v>18</v>
      </c>
      <c r="E2007" s="250">
        <v>5128.0780000000004</v>
      </c>
    </row>
    <row r="2008" spans="3:5" x14ac:dyDescent="0.35">
      <c r="C2008" s="1" t="s">
        <v>6610</v>
      </c>
      <c r="D2008" s="1" t="s">
        <v>18</v>
      </c>
      <c r="E2008" s="250">
        <v>5128.0789999999997</v>
      </c>
    </row>
    <row r="2009" spans="3:5" x14ac:dyDescent="0.35">
      <c r="C2009" s="1" t="s">
        <v>6609</v>
      </c>
      <c r="D2009" s="1" t="s">
        <v>18</v>
      </c>
      <c r="E2009" s="250">
        <v>5128.08</v>
      </c>
    </row>
    <row r="2010" spans="3:5" x14ac:dyDescent="0.35">
      <c r="C2010" s="1" t="s">
        <v>6608</v>
      </c>
      <c r="D2010" s="1" t="s">
        <v>18</v>
      </c>
      <c r="E2010" s="250">
        <v>5128.0810000000001</v>
      </c>
    </row>
    <row r="2011" spans="3:5" x14ac:dyDescent="0.35">
      <c r="C2011" s="1" t="s">
        <v>6607</v>
      </c>
      <c r="D2011" s="1" t="s">
        <v>18</v>
      </c>
      <c r="E2011" s="250">
        <v>5128.0820000000003</v>
      </c>
    </row>
    <row r="2012" spans="3:5" x14ac:dyDescent="0.35">
      <c r="C2012" s="1" t="s">
        <v>6606</v>
      </c>
      <c r="D2012" s="1" t="s">
        <v>18</v>
      </c>
      <c r="E2012" s="250">
        <v>5128.0829999999996</v>
      </c>
    </row>
    <row r="2013" spans="3:5" x14ac:dyDescent="0.35">
      <c r="C2013" s="1" t="s">
        <v>6605</v>
      </c>
      <c r="D2013" s="1" t="s">
        <v>18</v>
      </c>
      <c r="E2013" s="250">
        <v>5128.0839999999998</v>
      </c>
    </row>
    <row r="2014" spans="3:5" x14ac:dyDescent="0.35">
      <c r="C2014" s="1" t="s">
        <v>6604</v>
      </c>
      <c r="D2014" s="1" t="s">
        <v>18</v>
      </c>
      <c r="E2014" s="250">
        <v>5128.085</v>
      </c>
    </row>
    <row r="2015" spans="3:5" x14ac:dyDescent="0.35">
      <c r="C2015" s="1" t="s">
        <v>6603</v>
      </c>
      <c r="D2015" s="1" t="s">
        <v>18</v>
      </c>
      <c r="E2015" s="250">
        <v>5128.0860000000002</v>
      </c>
    </row>
    <row r="2016" spans="3:5" x14ac:dyDescent="0.35">
      <c r="C2016" s="1" t="s">
        <v>6602</v>
      </c>
      <c r="D2016" s="1" t="s">
        <v>18</v>
      </c>
      <c r="E2016" s="250">
        <v>5128.0870000000004</v>
      </c>
    </row>
    <row r="2017" spans="3:5" x14ac:dyDescent="0.35">
      <c r="C2017" s="1" t="s">
        <v>6601</v>
      </c>
      <c r="D2017" s="1" t="s">
        <v>18</v>
      </c>
      <c r="E2017" s="250">
        <v>5128.0879999999997</v>
      </c>
    </row>
    <row r="2018" spans="3:5" x14ac:dyDescent="0.35">
      <c r="C2018" s="1" t="s">
        <v>6600</v>
      </c>
      <c r="D2018" s="1" t="s">
        <v>18</v>
      </c>
      <c r="E2018" s="250">
        <v>5128.0889999999999</v>
      </c>
    </row>
    <row r="2019" spans="3:5" x14ac:dyDescent="0.35">
      <c r="C2019" s="1" t="s">
        <v>6599</v>
      </c>
      <c r="D2019" s="1" t="s">
        <v>18</v>
      </c>
      <c r="E2019" s="250">
        <v>5128.09</v>
      </c>
    </row>
    <row r="2020" spans="3:5" x14ac:dyDescent="0.35">
      <c r="C2020" s="1" t="s">
        <v>6598</v>
      </c>
      <c r="D2020" s="1" t="s">
        <v>18</v>
      </c>
      <c r="E2020" s="250">
        <v>5128.0910000000003</v>
      </c>
    </row>
    <row r="2021" spans="3:5" x14ac:dyDescent="0.35">
      <c r="C2021" s="1" t="s">
        <v>6597</v>
      </c>
      <c r="D2021" s="1" t="s">
        <v>18</v>
      </c>
      <c r="E2021" s="250">
        <v>5128.0919999999996</v>
      </c>
    </row>
    <row r="2022" spans="3:5" x14ac:dyDescent="0.35">
      <c r="C2022" s="1" t="s">
        <v>6596</v>
      </c>
      <c r="D2022" s="1" t="s">
        <v>18</v>
      </c>
      <c r="E2022" s="250">
        <v>5128.0929999999998</v>
      </c>
    </row>
    <row r="2023" spans="3:5" x14ac:dyDescent="0.35">
      <c r="C2023" s="1" t="s">
        <v>6595</v>
      </c>
      <c r="D2023" s="1" t="s">
        <v>18</v>
      </c>
      <c r="E2023" s="250">
        <v>5128.0940000000001</v>
      </c>
    </row>
    <row r="2024" spans="3:5" x14ac:dyDescent="0.35">
      <c r="C2024" s="1" t="s">
        <v>6594</v>
      </c>
      <c r="D2024" s="1" t="s">
        <v>18</v>
      </c>
      <c r="E2024" s="250">
        <v>5128.0950000000003</v>
      </c>
    </row>
    <row r="2025" spans="3:5" x14ac:dyDescent="0.35">
      <c r="C2025" s="1" t="s">
        <v>6593</v>
      </c>
      <c r="D2025" s="1" t="s">
        <v>18</v>
      </c>
      <c r="E2025" s="250">
        <v>5128.0959999999995</v>
      </c>
    </row>
    <row r="2026" spans="3:5" x14ac:dyDescent="0.35">
      <c r="C2026" s="1" t="s">
        <v>6592</v>
      </c>
      <c r="D2026" s="1" t="s">
        <v>18</v>
      </c>
      <c r="E2026" s="250">
        <v>5128.0969999999998</v>
      </c>
    </row>
    <row r="2027" spans="3:5" x14ac:dyDescent="0.35">
      <c r="C2027" s="1" t="s">
        <v>6591</v>
      </c>
      <c r="D2027" s="1" t="s">
        <v>18</v>
      </c>
      <c r="E2027" s="250">
        <v>5128.098</v>
      </c>
    </row>
    <row r="2028" spans="3:5" x14ac:dyDescent="0.35">
      <c r="C2028" s="1" t="s">
        <v>6590</v>
      </c>
      <c r="D2028" s="1" t="s">
        <v>18</v>
      </c>
      <c r="E2028" s="250">
        <v>5128.0990000000002</v>
      </c>
    </row>
    <row r="2029" spans="3:5" x14ac:dyDescent="0.35">
      <c r="C2029" s="1" t="s">
        <v>6589</v>
      </c>
      <c r="D2029" s="1" t="s">
        <v>18</v>
      </c>
      <c r="E2029" s="250">
        <v>5128.1000000000004</v>
      </c>
    </row>
    <row r="2030" spans="3:5" x14ac:dyDescent="0.35">
      <c r="C2030" s="1" t="s">
        <v>6588</v>
      </c>
      <c r="D2030" s="1" t="s">
        <v>18</v>
      </c>
      <c r="E2030" s="250">
        <v>5128.1009999999997</v>
      </c>
    </row>
    <row r="2031" spans="3:5" x14ac:dyDescent="0.35">
      <c r="C2031" s="1" t="s">
        <v>6587</v>
      </c>
      <c r="D2031" s="1" t="s">
        <v>18</v>
      </c>
      <c r="E2031" s="250">
        <v>5128.1019999999999</v>
      </c>
    </row>
    <row r="2032" spans="3:5" x14ac:dyDescent="0.35">
      <c r="C2032" s="1" t="s">
        <v>6586</v>
      </c>
      <c r="D2032" s="1" t="s">
        <v>18</v>
      </c>
      <c r="E2032" s="250">
        <v>5128.1030000000001</v>
      </c>
    </row>
    <row r="2033" spans="3:5" x14ac:dyDescent="0.35">
      <c r="C2033" s="1" t="s">
        <v>6585</v>
      </c>
      <c r="D2033" s="1" t="s">
        <v>18</v>
      </c>
      <c r="E2033" s="250">
        <v>5128.1040000000003</v>
      </c>
    </row>
    <row r="2034" spans="3:5" x14ac:dyDescent="0.35">
      <c r="C2034" s="1" t="s">
        <v>6584</v>
      </c>
      <c r="D2034" s="1" t="s">
        <v>18</v>
      </c>
      <c r="E2034" s="250">
        <v>5128.1049999999996</v>
      </c>
    </row>
    <row r="2035" spans="3:5" x14ac:dyDescent="0.35">
      <c r="C2035" s="1" t="s">
        <v>6583</v>
      </c>
      <c r="D2035" s="1" t="s">
        <v>18</v>
      </c>
      <c r="E2035" s="250">
        <v>5128.1059999999998</v>
      </c>
    </row>
    <row r="2036" spans="3:5" x14ac:dyDescent="0.35">
      <c r="C2036" s="1" t="s">
        <v>6582</v>
      </c>
      <c r="D2036" s="1" t="s">
        <v>18</v>
      </c>
      <c r="E2036" s="250">
        <v>5128.107</v>
      </c>
    </row>
    <row r="2037" spans="3:5" x14ac:dyDescent="0.35">
      <c r="C2037" s="1" t="s">
        <v>6581</v>
      </c>
      <c r="D2037" s="1" t="s">
        <v>18</v>
      </c>
      <c r="E2037" s="250">
        <v>5128.1080000000002</v>
      </c>
    </row>
    <row r="2038" spans="3:5" x14ac:dyDescent="0.35">
      <c r="C2038" s="1" t="s">
        <v>6580</v>
      </c>
      <c r="D2038" s="1" t="s">
        <v>18</v>
      </c>
      <c r="E2038" s="250">
        <v>5128.1090000000004</v>
      </c>
    </row>
    <row r="2039" spans="3:5" x14ac:dyDescent="0.35">
      <c r="C2039" s="1" t="s">
        <v>6579</v>
      </c>
      <c r="D2039" s="1" t="s">
        <v>18</v>
      </c>
      <c r="E2039" s="250">
        <v>5128.1099999999997</v>
      </c>
    </row>
    <row r="2040" spans="3:5" x14ac:dyDescent="0.35">
      <c r="C2040" s="1" t="s">
        <v>6578</v>
      </c>
      <c r="D2040" s="1" t="s">
        <v>18</v>
      </c>
      <c r="E2040" s="250">
        <v>5128.1109999999999</v>
      </c>
    </row>
    <row r="2041" spans="3:5" x14ac:dyDescent="0.35">
      <c r="C2041" s="1" t="s">
        <v>6577</v>
      </c>
      <c r="D2041" s="1" t="s">
        <v>18</v>
      </c>
      <c r="E2041" s="250">
        <v>5128.1120000000001</v>
      </c>
    </row>
    <row r="2042" spans="3:5" x14ac:dyDescent="0.35">
      <c r="C2042" s="1" t="s">
        <v>6576</v>
      </c>
      <c r="D2042" s="1" t="s">
        <v>18</v>
      </c>
      <c r="E2042" s="250">
        <v>5128.1130000000003</v>
      </c>
    </row>
    <row r="2043" spans="3:5" x14ac:dyDescent="0.35">
      <c r="C2043" s="1" t="s">
        <v>6575</v>
      </c>
      <c r="D2043" s="1" t="s">
        <v>18</v>
      </c>
      <c r="E2043" s="250">
        <v>5128.1139999999996</v>
      </c>
    </row>
    <row r="2044" spans="3:5" x14ac:dyDescent="0.35">
      <c r="C2044" s="1" t="s">
        <v>6574</v>
      </c>
      <c r="D2044" s="1" t="s">
        <v>18</v>
      </c>
      <c r="E2044" s="250">
        <v>5128.1149999999998</v>
      </c>
    </row>
    <row r="2045" spans="3:5" x14ac:dyDescent="0.35">
      <c r="C2045" s="1" t="s">
        <v>6573</v>
      </c>
      <c r="D2045" s="1" t="s">
        <v>18</v>
      </c>
      <c r="E2045" s="250">
        <v>5128.116</v>
      </c>
    </row>
    <row r="2046" spans="3:5" x14ac:dyDescent="0.35">
      <c r="C2046" s="1" t="s">
        <v>6572</v>
      </c>
      <c r="D2046" s="1" t="s">
        <v>18</v>
      </c>
      <c r="E2046" s="250">
        <v>5128.1170000000002</v>
      </c>
    </row>
    <row r="2047" spans="3:5" x14ac:dyDescent="0.35">
      <c r="C2047" s="1" t="s">
        <v>6571</v>
      </c>
      <c r="D2047" s="1" t="s">
        <v>18</v>
      </c>
      <c r="E2047" s="250">
        <v>5128.1180000000004</v>
      </c>
    </row>
    <row r="2048" spans="3:5" x14ac:dyDescent="0.35">
      <c r="C2048" s="1" t="s">
        <v>6570</v>
      </c>
      <c r="D2048" s="1" t="s">
        <v>18</v>
      </c>
      <c r="E2048" s="250">
        <v>5128.1189999999997</v>
      </c>
    </row>
    <row r="2049" spans="3:5" x14ac:dyDescent="0.35">
      <c r="C2049" s="1" t="s">
        <v>6569</v>
      </c>
      <c r="D2049" s="1" t="s">
        <v>18</v>
      </c>
      <c r="E2049" s="250">
        <v>5128.12</v>
      </c>
    </row>
    <row r="2050" spans="3:5" x14ac:dyDescent="0.35">
      <c r="C2050" s="1" t="s">
        <v>6568</v>
      </c>
      <c r="D2050" s="1" t="s">
        <v>18</v>
      </c>
      <c r="E2050" s="250">
        <v>5128.1210000000001</v>
      </c>
    </row>
    <row r="2051" spans="3:5" x14ac:dyDescent="0.35">
      <c r="C2051" s="1" t="s">
        <v>6567</v>
      </c>
      <c r="D2051" s="1" t="s">
        <v>18</v>
      </c>
      <c r="E2051" s="250">
        <v>5128.1220000000003</v>
      </c>
    </row>
    <row r="2052" spans="3:5" x14ac:dyDescent="0.35">
      <c r="C2052" s="1" t="s">
        <v>6566</v>
      </c>
      <c r="D2052" s="1" t="s">
        <v>18</v>
      </c>
      <c r="E2052" s="250">
        <v>5128.1229999999996</v>
      </c>
    </row>
    <row r="2053" spans="3:5" x14ac:dyDescent="0.35">
      <c r="C2053" s="1" t="s">
        <v>6565</v>
      </c>
      <c r="D2053" s="1" t="s">
        <v>18</v>
      </c>
      <c r="E2053" s="250">
        <v>5128.1239999999998</v>
      </c>
    </row>
    <row r="2054" spans="3:5" x14ac:dyDescent="0.35">
      <c r="C2054" s="1" t="s">
        <v>6564</v>
      </c>
      <c r="D2054" s="1" t="s">
        <v>18</v>
      </c>
      <c r="E2054" s="250">
        <v>5128.125</v>
      </c>
    </row>
    <row r="2055" spans="3:5" x14ac:dyDescent="0.35">
      <c r="C2055" s="1" t="s">
        <v>6563</v>
      </c>
      <c r="D2055" s="1" t="s">
        <v>18</v>
      </c>
      <c r="E2055" s="250">
        <v>5128.1260000000002</v>
      </c>
    </row>
    <row r="2056" spans="3:5" x14ac:dyDescent="0.35">
      <c r="C2056" s="1" t="s">
        <v>6562</v>
      </c>
      <c r="D2056" s="1" t="s">
        <v>18</v>
      </c>
      <c r="E2056" s="250">
        <v>5128.1270000000004</v>
      </c>
    </row>
    <row r="2057" spans="3:5" x14ac:dyDescent="0.35">
      <c r="C2057" s="1" t="s">
        <v>6561</v>
      </c>
      <c r="D2057" s="1" t="s">
        <v>18</v>
      </c>
      <c r="E2057" s="250">
        <v>5128.1279999999997</v>
      </c>
    </row>
    <row r="2058" spans="3:5" x14ac:dyDescent="0.35">
      <c r="C2058" s="1" t="s">
        <v>6560</v>
      </c>
      <c r="D2058" s="1" t="s">
        <v>18</v>
      </c>
      <c r="E2058" s="250">
        <v>5128.1289999999999</v>
      </c>
    </row>
    <row r="2059" spans="3:5" x14ac:dyDescent="0.35">
      <c r="C2059" s="1" t="s">
        <v>6559</v>
      </c>
      <c r="D2059" s="1" t="s">
        <v>18</v>
      </c>
      <c r="E2059" s="250">
        <v>5128.13</v>
      </c>
    </row>
    <row r="2060" spans="3:5" x14ac:dyDescent="0.35">
      <c r="C2060" s="1" t="s">
        <v>6558</v>
      </c>
      <c r="D2060" s="1" t="s">
        <v>18</v>
      </c>
      <c r="E2060" s="250">
        <v>5128.1310000000003</v>
      </c>
    </row>
    <row r="2061" spans="3:5" x14ac:dyDescent="0.35">
      <c r="C2061" s="1" t="s">
        <v>6557</v>
      </c>
      <c r="D2061" s="1" t="s">
        <v>18</v>
      </c>
      <c r="E2061" s="250">
        <v>5128.1319999999996</v>
      </c>
    </row>
    <row r="2062" spans="3:5" x14ac:dyDescent="0.35">
      <c r="C2062" s="1" t="s">
        <v>6556</v>
      </c>
      <c r="D2062" s="1" t="s">
        <v>18</v>
      </c>
      <c r="E2062" s="250">
        <v>5128.1329999999998</v>
      </c>
    </row>
    <row r="2063" spans="3:5" x14ac:dyDescent="0.35">
      <c r="C2063" s="1" t="s">
        <v>6555</v>
      </c>
      <c r="D2063" s="1" t="s">
        <v>18</v>
      </c>
      <c r="E2063" s="250">
        <v>5128.134</v>
      </c>
    </row>
    <row r="2064" spans="3:5" x14ac:dyDescent="0.35">
      <c r="C2064" s="1" t="s">
        <v>6554</v>
      </c>
      <c r="D2064" s="1" t="s">
        <v>18</v>
      </c>
      <c r="E2064" s="250">
        <v>5128.1350000000002</v>
      </c>
    </row>
    <row r="2065" spans="3:5" x14ac:dyDescent="0.35">
      <c r="C2065" s="1" t="s">
        <v>6553</v>
      </c>
      <c r="D2065" s="1" t="s">
        <v>18</v>
      </c>
      <c r="E2065" s="250">
        <v>5128.1360000000004</v>
      </c>
    </row>
    <row r="2066" spans="3:5" x14ac:dyDescent="0.35">
      <c r="C2066" s="1" t="s">
        <v>6552</v>
      </c>
      <c r="D2066" s="1" t="s">
        <v>18</v>
      </c>
      <c r="E2066" s="250">
        <v>5128.1369999999997</v>
      </c>
    </row>
    <row r="2067" spans="3:5" x14ac:dyDescent="0.35">
      <c r="C2067" s="1" t="s">
        <v>6551</v>
      </c>
      <c r="D2067" s="1" t="s">
        <v>18</v>
      </c>
      <c r="E2067" s="250">
        <v>5128.1379999999999</v>
      </c>
    </row>
    <row r="2068" spans="3:5" x14ac:dyDescent="0.35">
      <c r="C2068" s="1" t="s">
        <v>6550</v>
      </c>
      <c r="D2068" s="1" t="s">
        <v>18</v>
      </c>
      <c r="E2068" s="250">
        <v>5128.1390000000001</v>
      </c>
    </row>
    <row r="2069" spans="3:5" x14ac:dyDescent="0.35">
      <c r="C2069" s="1" t="s">
        <v>6549</v>
      </c>
      <c r="D2069" s="1" t="s">
        <v>18</v>
      </c>
      <c r="E2069" s="250">
        <v>5128.1400000000003</v>
      </c>
    </row>
    <row r="2070" spans="3:5" x14ac:dyDescent="0.35">
      <c r="C2070" s="1" t="s">
        <v>6548</v>
      </c>
      <c r="D2070" s="1" t="s">
        <v>18</v>
      </c>
      <c r="E2070" s="250">
        <v>5128.1409999999996</v>
      </c>
    </row>
    <row r="2071" spans="3:5" x14ac:dyDescent="0.35">
      <c r="C2071" s="1" t="s">
        <v>6547</v>
      </c>
      <c r="D2071" s="1" t="s">
        <v>18</v>
      </c>
      <c r="E2071" s="250">
        <v>5128.1419999999998</v>
      </c>
    </row>
    <row r="2072" spans="3:5" x14ac:dyDescent="0.35">
      <c r="C2072" s="1" t="s">
        <v>6546</v>
      </c>
      <c r="D2072" s="1" t="s">
        <v>18</v>
      </c>
      <c r="E2072" s="250">
        <v>5128.143</v>
      </c>
    </row>
    <row r="2073" spans="3:5" x14ac:dyDescent="0.35">
      <c r="C2073" s="1" t="s">
        <v>6545</v>
      </c>
      <c r="D2073" s="1" t="s">
        <v>18</v>
      </c>
      <c r="E2073" s="250">
        <v>5128.1440000000002</v>
      </c>
    </row>
    <row r="2074" spans="3:5" x14ac:dyDescent="0.35">
      <c r="C2074" s="1" t="s">
        <v>6544</v>
      </c>
      <c r="D2074" s="1" t="s">
        <v>18</v>
      </c>
      <c r="E2074" s="250">
        <v>5128.1450000000004</v>
      </c>
    </row>
    <row r="2075" spans="3:5" x14ac:dyDescent="0.35">
      <c r="C2075" s="1" t="s">
        <v>6543</v>
      </c>
      <c r="D2075" s="1" t="s">
        <v>18</v>
      </c>
      <c r="E2075" s="250">
        <v>5128.1459999999997</v>
      </c>
    </row>
    <row r="2076" spans="3:5" x14ac:dyDescent="0.35">
      <c r="C2076" s="1" t="s">
        <v>6542</v>
      </c>
      <c r="D2076" s="1" t="s">
        <v>18</v>
      </c>
      <c r="E2076" s="250">
        <v>5128.1469999999999</v>
      </c>
    </row>
    <row r="2077" spans="3:5" x14ac:dyDescent="0.35">
      <c r="C2077" s="1" t="s">
        <v>6541</v>
      </c>
      <c r="D2077" s="1" t="s">
        <v>18</v>
      </c>
      <c r="E2077" s="250">
        <v>5128.1480000000001</v>
      </c>
    </row>
    <row r="2078" spans="3:5" x14ac:dyDescent="0.35">
      <c r="C2078" s="1" t="s">
        <v>6540</v>
      </c>
      <c r="D2078" s="1" t="s">
        <v>18</v>
      </c>
      <c r="E2078" s="250">
        <v>5128.1490000000003</v>
      </c>
    </row>
    <row r="2079" spans="3:5" x14ac:dyDescent="0.35">
      <c r="C2079" s="1" t="s">
        <v>6539</v>
      </c>
      <c r="D2079" s="1" t="s">
        <v>18</v>
      </c>
      <c r="E2079" s="250">
        <v>5128.1499999999996</v>
      </c>
    </row>
    <row r="2080" spans="3:5" x14ac:dyDescent="0.35">
      <c r="C2080" s="1" t="s">
        <v>6538</v>
      </c>
      <c r="D2080" s="1" t="s">
        <v>18</v>
      </c>
      <c r="E2080" s="250">
        <v>5128.1509999999998</v>
      </c>
    </row>
    <row r="2081" spans="3:5" x14ac:dyDescent="0.35">
      <c r="C2081" s="1" t="s">
        <v>6537</v>
      </c>
      <c r="D2081" s="1" t="s">
        <v>18</v>
      </c>
      <c r="E2081" s="250">
        <v>5128.152</v>
      </c>
    </row>
    <row r="2082" spans="3:5" x14ac:dyDescent="0.35">
      <c r="C2082" s="1" t="s">
        <v>6536</v>
      </c>
      <c r="D2082" s="1" t="s">
        <v>18</v>
      </c>
      <c r="E2082" s="250">
        <v>5128.1530000000002</v>
      </c>
    </row>
    <row r="2083" spans="3:5" x14ac:dyDescent="0.35">
      <c r="C2083" s="1" t="s">
        <v>6535</v>
      </c>
      <c r="D2083" s="1" t="s">
        <v>18</v>
      </c>
      <c r="E2083" s="250">
        <v>5128.1540000000005</v>
      </c>
    </row>
    <row r="2084" spans="3:5" x14ac:dyDescent="0.35">
      <c r="C2084" s="1" t="s">
        <v>6534</v>
      </c>
      <c r="D2084" s="1" t="s">
        <v>18</v>
      </c>
      <c r="E2084" s="250">
        <v>5128.1549999999997</v>
      </c>
    </row>
    <row r="2085" spans="3:5" x14ac:dyDescent="0.35">
      <c r="C2085" s="1" t="s">
        <v>6533</v>
      </c>
      <c r="D2085" s="1" t="s">
        <v>18</v>
      </c>
      <c r="E2085" s="250">
        <v>5128.1559999999999</v>
      </c>
    </row>
    <row r="2086" spans="3:5" x14ac:dyDescent="0.35">
      <c r="C2086" s="1" t="s">
        <v>6532</v>
      </c>
      <c r="D2086" s="1" t="s">
        <v>18</v>
      </c>
      <c r="E2086" s="250">
        <v>5128.1570000000002</v>
      </c>
    </row>
    <row r="2087" spans="3:5" x14ac:dyDescent="0.35">
      <c r="C2087" s="1" t="s">
        <v>6531</v>
      </c>
      <c r="D2087" s="1" t="s">
        <v>18</v>
      </c>
      <c r="E2087" s="250">
        <v>5128.1580000000004</v>
      </c>
    </row>
    <row r="2088" spans="3:5" x14ac:dyDescent="0.35">
      <c r="C2088" s="1" t="s">
        <v>6530</v>
      </c>
      <c r="D2088" s="1" t="s">
        <v>18</v>
      </c>
      <c r="E2088" s="250">
        <v>5128.1589999999997</v>
      </c>
    </row>
    <row r="2089" spans="3:5" x14ac:dyDescent="0.35">
      <c r="C2089" s="1" t="s">
        <v>6529</v>
      </c>
      <c r="D2089" s="1" t="s">
        <v>18</v>
      </c>
      <c r="E2089" s="250">
        <v>5128.16</v>
      </c>
    </row>
    <row r="2090" spans="3:5" x14ac:dyDescent="0.35">
      <c r="C2090" s="1" t="s">
        <v>6528</v>
      </c>
      <c r="D2090" s="1" t="s">
        <v>18</v>
      </c>
      <c r="E2090" s="250">
        <v>5128.1610000000001</v>
      </c>
    </row>
    <row r="2091" spans="3:5" x14ac:dyDescent="0.35">
      <c r="C2091" s="1" t="s">
        <v>6527</v>
      </c>
      <c r="D2091" s="1" t="s">
        <v>18</v>
      </c>
      <c r="E2091" s="250">
        <v>5128.1620000000003</v>
      </c>
    </row>
    <row r="2092" spans="3:5" x14ac:dyDescent="0.35">
      <c r="C2092" s="1" t="s">
        <v>6526</v>
      </c>
      <c r="D2092" s="1" t="s">
        <v>18</v>
      </c>
      <c r="E2092" s="250">
        <v>5128.1629999999996</v>
      </c>
    </row>
    <row r="2093" spans="3:5" x14ac:dyDescent="0.35">
      <c r="C2093" s="1" t="s">
        <v>6525</v>
      </c>
      <c r="D2093" s="1" t="s">
        <v>18</v>
      </c>
      <c r="E2093" s="250">
        <v>5128.1639999999998</v>
      </c>
    </row>
    <row r="2094" spans="3:5" x14ac:dyDescent="0.35">
      <c r="C2094" s="1" t="s">
        <v>6524</v>
      </c>
      <c r="D2094" s="1" t="s">
        <v>18</v>
      </c>
      <c r="E2094" s="250">
        <v>5128.165</v>
      </c>
    </row>
    <row r="2095" spans="3:5" x14ac:dyDescent="0.35">
      <c r="C2095" s="1" t="s">
        <v>6523</v>
      </c>
      <c r="D2095" s="1" t="s">
        <v>18</v>
      </c>
      <c r="E2095" s="250">
        <v>5128.1660000000002</v>
      </c>
    </row>
    <row r="2096" spans="3:5" x14ac:dyDescent="0.35">
      <c r="C2096" s="1" t="s">
        <v>6522</v>
      </c>
      <c r="D2096" s="1" t="s">
        <v>18</v>
      </c>
      <c r="E2096" s="250">
        <v>5128.1670000000004</v>
      </c>
    </row>
    <row r="2097" spans="3:5" x14ac:dyDescent="0.35">
      <c r="C2097" s="1" t="s">
        <v>6521</v>
      </c>
      <c r="D2097" s="1" t="s">
        <v>18</v>
      </c>
      <c r="E2097" s="250">
        <v>5128.1679999999997</v>
      </c>
    </row>
    <row r="2098" spans="3:5" x14ac:dyDescent="0.35">
      <c r="C2098" s="1" t="s">
        <v>6520</v>
      </c>
      <c r="D2098" s="1" t="s">
        <v>18</v>
      </c>
      <c r="E2098" s="250">
        <v>5128.1689999999999</v>
      </c>
    </row>
    <row r="2099" spans="3:5" x14ac:dyDescent="0.35">
      <c r="C2099" s="1" t="s">
        <v>6519</v>
      </c>
      <c r="D2099" s="1" t="s">
        <v>18</v>
      </c>
      <c r="E2099" s="250">
        <v>5128.17</v>
      </c>
    </row>
    <row r="2100" spans="3:5" x14ac:dyDescent="0.35">
      <c r="C2100" s="1" t="s">
        <v>6518</v>
      </c>
      <c r="D2100" s="1" t="s">
        <v>18</v>
      </c>
      <c r="E2100" s="250">
        <v>5128.1710000000003</v>
      </c>
    </row>
    <row r="2101" spans="3:5" x14ac:dyDescent="0.35">
      <c r="C2101" s="1" t="s">
        <v>6517</v>
      </c>
      <c r="D2101" s="1" t="s">
        <v>18</v>
      </c>
      <c r="E2101" s="250">
        <v>5128.1719999999996</v>
      </c>
    </row>
    <row r="2102" spans="3:5" x14ac:dyDescent="0.35">
      <c r="C2102" s="1" t="s">
        <v>6516</v>
      </c>
      <c r="D2102" s="1" t="s">
        <v>18</v>
      </c>
      <c r="E2102" s="250">
        <v>5128.1729999999998</v>
      </c>
    </row>
    <row r="2103" spans="3:5" x14ac:dyDescent="0.35">
      <c r="C2103" s="1" t="s">
        <v>6515</v>
      </c>
      <c r="D2103" s="1" t="s">
        <v>18</v>
      </c>
      <c r="E2103" s="250">
        <v>5128.174</v>
      </c>
    </row>
    <row r="2104" spans="3:5" x14ac:dyDescent="0.35">
      <c r="C2104" s="1" t="s">
        <v>6514</v>
      </c>
      <c r="D2104" s="1" t="s">
        <v>18</v>
      </c>
      <c r="E2104" s="250">
        <v>5128.1750000000002</v>
      </c>
    </row>
    <row r="2105" spans="3:5" x14ac:dyDescent="0.35">
      <c r="C2105" s="1" t="s">
        <v>6513</v>
      </c>
      <c r="D2105" s="1" t="s">
        <v>18</v>
      </c>
      <c r="E2105" s="250">
        <v>5128.1760000000004</v>
      </c>
    </row>
    <row r="2106" spans="3:5" x14ac:dyDescent="0.35">
      <c r="C2106" s="1" t="s">
        <v>6512</v>
      </c>
      <c r="D2106" s="1" t="s">
        <v>18</v>
      </c>
      <c r="E2106" s="250">
        <v>5128.1769999999997</v>
      </c>
    </row>
    <row r="2107" spans="3:5" x14ac:dyDescent="0.35">
      <c r="C2107" s="1" t="s">
        <v>6511</v>
      </c>
      <c r="D2107" s="1" t="s">
        <v>18</v>
      </c>
      <c r="E2107" s="250">
        <v>5128.1779999999999</v>
      </c>
    </row>
    <row r="2108" spans="3:5" x14ac:dyDescent="0.35">
      <c r="C2108" s="1" t="s">
        <v>6510</v>
      </c>
      <c r="D2108" s="1" t="s">
        <v>18</v>
      </c>
      <c r="E2108" s="250">
        <v>5128.1790000000001</v>
      </c>
    </row>
    <row r="2109" spans="3:5" x14ac:dyDescent="0.35">
      <c r="C2109" s="1" t="s">
        <v>6509</v>
      </c>
      <c r="D2109" s="1" t="s">
        <v>18</v>
      </c>
      <c r="E2109" s="250">
        <v>5128.18</v>
      </c>
    </row>
    <row r="2110" spans="3:5" x14ac:dyDescent="0.35">
      <c r="C2110" s="1" t="s">
        <v>6508</v>
      </c>
      <c r="D2110" s="1" t="s">
        <v>18</v>
      </c>
      <c r="E2110" s="250">
        <v>5128.1809999999996</v>
      </c>
    </row>
    <row r="2111" spans="3:5" x14ac:dyDescent="0.35">
      <c r="C2111" s="1" t="s">
        <v>6507</v>
      </c>
      <c r="D2111" s="1" t="s">
        <v>18</v>
      </c>
      <c r="E2111" s="250">
        <v>5128.1819999999998</v>
      </c>
    </row>
    <row r="2112" spans="3:5" x14ac:dyDescent="0.35">
      <c r="C2112" s="1" t="s">
        <v>6506</v>
      </c>
      <c r="D2112" s="1" t="s">
        <v>18</v>
      </c>
      <c r="E2112" s="250">
        <v>5128.183</v>
      </c>
    </row>
    <row r="2113" spans="3:5" x14ac:dyDescent="0.35">
      <c r="C2113" s="1" t="s">
        <v>6505</v>
      </c>
      <c r="D2113" s="1" t="s">
        <v>18</v>
      </c>
      <c r="E2113" s="250">
        <v>5128.1840000000002</v>
      </c>
    </row>
    <row r="2114" spans="3:5" x14ac:dyDescent="0.35">
      <c r="C2114" s="1" t="s">
        <v>6504</v>
      </c>
      <c r="D2114" s="1" t="s">
        <v>18</v>
      </c>
      <c r="E2114" s="250">
        <v>5128.1850000000004</v>
      </c>
    </row>
    <row r="2115" spans="3:5" x14ac:dyDescent="0.35">
      <c r="C2115" s="1" t="s">
        <v>6503</v>
      </c>
      <c r="D2115" s="1" t="s">
        <v>18</v>
      </c>
      <c r="E2115" s="250">
        <v>5128.1859999999997</v>
      </c>
    </row>
    <row r="2116" spans="3:5" x14ac:dyDescent="0.35">
      <c r="C2116" s="1" t="s">
        <v>6502</v>
      </c>
      <c r="D2116" s="1" t="s">
        <v>18</v>
      </c>
      <c r="E2116" s="250">
        <v>5128.1869999999999</v>
      </c>
    </row>
    <row r="2117" spans="3:5" x14ac:dyDescent="0.35">
      <c r="C2117" s="1" t="s">
        <v>6501</v>
      </c>
      <c r="D2117" s="1" t="s">
        <v>18</v>
      </c>
      <c r="E2117" s="250">
        <v>5128.1880000000001</v>
      </c>
    </row>
    <row r="2118" spans="3:5" x14ac:dyDescent="0.35">
      <c r="C2118" s="1" t="s">
        <v>6500</v>
      </c>
      <c r="D2118" s="1" t="s">
        <v>18</v>
      </c>
      <c r="E2118" s="250">
        <v>5128.1890000000003</v>
      </c>
    </row>
    <row r="2119" spans="3:5" x14ac:dyDescent="0.35">
      <c r="C2119" s="1" t="s">
        <v>6499</v>
      </c>
      <c r="D2119" s="1" t="s">
        <v>18</v>
      </c>
      <c r="E2119" s="250">
        <v>5128.1899999999996</v>
      </c>
    </row>
    <row r="2120" spans="3:5" x14ac:dyDescent="0.35">
      <c r="C2120" s="1" t="s">
        <v>6498</v>
      </c>
      <c r="D2120" s="1" t="s">
        <v>18</v>
      </c>
      <c r="E2120" s="250">
        <v>5128.1909999999998</v>
      </c>
    </row>
    <row r="2121" spans="3:5" x14ac:dyDescent="0.35">
      <c r="C2121" s="1" t="s">
        <v>6497</v>
      </c>
      <c r="D2121" s="1" t="s">
        <v>18</v>
      </c>
      <c r="E2121" s="250">
        <v>5128.192</v>
      </c>
    </row>
    <row r="2122" spans="3:5" x14ac:dyDescent="0.35">
      <c r="C2122" s="1" t="s">
        <v>6496</v>
      </c>
      <c r="D2122" s="1" t="s">
        <v>18</v>
      </c>
      <c r="E2122" s="250">
        <v>5128.1930000000002</v>
      </c>
    </row>
    <row r="2123" spans="3:5" x14ac:dyDescent="0.35">
      <c r="C2123" s="1" t="s">
        <v>6495</v>
      </c>
      <c r="D2123" s="1" t="s">
        <v>18</v>
      </c>
      <c r="E2123" s="250">
        <v>5128.1940000000004</v>
      </c>
    </row>
    <row r="2124" spans="3:5" x14ac:dyDescent="0.35">
      <c r="C2124" s="1" t="s">
        <v>6494</v>
      </c>
      <c r="D2124" s="1" t="s">
        <v>18</v>
      </c>
      <c r="E2124" s="250">
        <v>5128.1949999999997</v>
      </c>
    </row>
    <row r="2125" spans="3:5" x14ac:dyDescent="0.35">
      <c r="C2125" s="1" t="s">
        <v>6493</v>
      </c>
      <c r="D2125" s="1" t="s">
        <v>18</v>
      </c>
      <c r="E2125" s="250">
        <v>5128.1959999999999</v>
      </c>
    </row>
    <row r="2126" spans="3:5" x14ac:dyDescent="0.35">
      <c r="C2126" s="1" t="s">
        <v>6492</v>
      </c>
      <c r="D2126" s="1" t="s">
        <v>18</v>
      </c>
      <c r="E2126" s="250">
        <v>5128.1970000000001</v>
      </c>
    </row>
    <row r="2127" spans="3:5" x14ac:dyDescent="0.35">
      <c r="C2127" s="1" t="s">
        <v>6491</v>
      </c>
      <c r="D2127" s="1" t="s">
        <v>18</v>
      </c>
      <c r="E2127" s="250">
        <v>5128.1980000000003</v>
      </c>
    </row>
    <row r="2128" spans="3:5" x14ac:dyDescent="0.35">
      <c r="C2128" s="1" t="s">
        <v>6490</v>
      </c>
      <c r="D2128" s="1" t="s">
        <v>18</v>
      </c>
      <c r="E2128" s="250">
        <v>5128.1989999999996</v>
      </c>
    </row>
    <row r="2129" spans="3:5" x14ac:dyDescent="0.35">
      <c r="C2129" s="1" t="s">
        <v>6489</v>
      </c>
      <c r="D2129" s="1" t="s">
        <v>18</v>
      </c>
      <c r="E2129" s="250">
        <v>5128.2</v>
      </c>
    </row>
    <row r="2130" spans="3:5" x14ac:dyDescent="0.35">
      <c r="C2130" s="1" t="s">
        <v>6488</v>
      </c>
      <c r="D2130" s="1" t="s">
        <v>18</v>
      </c>
      <c r="E2130" s="250">
        <v>5128.201</v>
      </c>
    </row>
    <row r="2131" spans="3:5" x14ac:dyDescent="0.35">
      <c r="C2131" s="1" t="s">
        <v>6487</v>
      </c>
      <c r="D2131" s="1" t="s">
        <v>18</v>
      </c>
      <c r="E2131" s="250">
        <v>5128.2020000000002</v>
      </c>
    </row>
    <row r="2132" spans="3:5" x14ac:dyDescent="0.35">
      <c r="C2132" s="1" t="s">
        <v>6486</v>
      </c>
      <c r="D2132" s="1" t="s">
        <v>18</v>
      </c>
      <c r="E2132" s="250">
        <v>5128.3109999999997</v>
      </c>
    </row>
    <row r="2133" spans="3:5" x14ac:dyDescent="0.35">
      <c r="C2133" s="1" t="s">
        <v>6485</v>
      </c>
      <c r="D2133" s="1" t="s">
        <v>18</v>
      </c>
      <c r="E2133" s="250">
        <v>5128.3119999999999</v>
      </c>
    </row>
    <row r="2134" spans="3:5" x14ac:dyDescent="0.35">
      <c r="C2134" s="1" t="s">
        <v>6484</v>
      </c>
      <c r="D2134" s="1" t="s">
        <v>18</v>
      </c>
      <c r="E2134" s="250">
        <v>5128.3130000000001</v>
      </c>
    </row>
    <row r="2135" spans="3:5" x14ac:dyDescent="0.35">
      <c r="C2135" s="1" t="s">
        <v>6483</v>
      </c>
      <c r="D2135" s="1" t="s">
        <v>18</v>
      </c>
      <c r="E2135" s="250">
        <v>5128.3140000000003</v>
      </c>
    </row>
    <row r="2136" spans="3:5" x14ac:dyDescent="0.35">
      <c r="C2136" s="1" t="s">
        <v>6482</v>
      </c>
      <c r="D2136" s="1" t="s">
        <v>18</v>
      </c>
      <c r="E2136" s="250">
        <v>5128.3149999999996</v>
      </c>
    </row>
    <row r="2137" spans="3:5" x14ac:dyDescent="0.35">
      <c r="C2137" s="1" t="s">
        <v>6481</v>
      </c>
      <c r="D2137" s="1" t="s">
        <v>18</v>
      </c>
      <c r="E2137" s="250">
        <v>5128.3159999999998</v>
      </c>
    </row>
    <row r="2138" spans="3:5" x14ac:dyDescent="0.35">
      <c r="C2138" s="1" t="s">
        <v>6480</v>
      </c>
      <c r="D2138" s="1" t="s">
        <v>18</v>
      </c>
      <c r="E2138" s="250">
        <v>5128.317</v>
      </c>
    </row>
    <row r="2139" spans="3:5" x14ac:dyDescent="0.35">
      <c r="C2139" s="1" t="s">
        <v>6479</v>
      </c>
      <c r="D2139" s="1" t="s">
        <v>18</v>
      </c>
      <c r="E2139" s="250">
        <v>5128.3180000000002</v>
      </c>
    </row>
    <row r="2140" spans="3:5" x14ac:dyDescent="0.35">
      <c r="C2140" s="1" t="s">
        <v>6478</v>
      </c>
      <c r="D2140" s="1" t="s">
        <v>18</v>
      </c>
      <c r="E2140" s="250">
        <v>5128.3190000000004</v>
      </c>
    </row>
    <row r="2141" spans="3:5" x14ac:dyDescent="0.35">
      <c r="C2141" s="1" t="s">
        <v>6477</v>
      </c>
      <c r="D2141" s="1" t="s">
        <v>18</v>
      </c>
      <c r="E2141" s="250">
        <v>5128.32</v>
      </c>
    </row>
    <row r="2142" spans="3:5" x14ac:dyDescent="0.35">
      <c r="C2142" s="1" t="s">
        <v>6476</v>
      </c>
      <c r="D2142" s="1" t="s">
        <v>18</v>
      </c>
      <c r="E2142" s="250">
        <v>5128.3209999999999</v>
      </c>
    </row>
    <row r="2143" spans="3:5" x14ac:dyDescent="0.35">
      <c r="C2143" s="1" t="s">
        <v>6475</v>
      </c>
      <c r="D2143" s="1" t="s">
        <v>18</v>
      </c>
      <c r="E2143" s="250">
        <v>5128.3220000000001</v>
      </c>
    </row>
    <row r="2144" spans="3:5" x14ac:dyDescent="0.35">
      <c r="C2144" s="1" t="s">
        <v>6474</v>
      </c>
      <c r="D2144" s="1" t="s">
        <v>18</v>
      </c>
      <c r="E2144" s="250">
        <v>5128.3230000000003</v>
      </c>
    </row>
    <row r="2145" spans="3:5" x14ac:dyDescent="0.35">
      <c r="C2145" s="1" t="s">
        <v>6473</v>
      </c>
      <c r="D2145" s="1" t="s">
        <v>18</v>
      </c>
      <c r="E2145" s="250">
        <v>5128.3239999999996</v>
      </c>
    </row>
    <row r="2146" spans="3:5" x14ac:dyDescent="0.35">
      <c r="C2146" s="1" t="s">
        <v>6472</v>
      </c>
      <c r="D2146" s="1" t="s">
        <v>18</v>
      </c>
      <c r="E2146" s="250">
        <v>5128.3249999999998</v>
      </c>
    </row>
    <row r="2147" spans="3:5" x14ac:dyDescent="0.35">
      <c r="C2147" s="1" t="s">
        <v>6471</v>
      </c>
      <c r="D2147" s="1" t="s">
        <v>18</v>
      </c>
      <c r="E2147" s="250">
        <v>5128.326</v>
      </c>
    </row>
    <row r="2148" spans="3:5" x14ac:dyDescent="0.35">
      <c r="C2148" s="1" t="s">
        <v>6470</v>
      </c>
      <c r="D2148" s="1" t="s">
        <v>18</v>
      </c>
      <c r="E2148" s="250">
        <v>5128.3270000000002</v>
      </c>
    </row>
    <row r="2149" spans="3:5" x14ac:dyDescent="0.35">
      <c r="C2149" s="1" t="s">
        <v>6469</v>
      </c>
      <c r="D2149" s="1" t="s">
        <v>18</v>
      </c>
      <c r="E2149" s="250">
        <v>5128.3280000000004</v>
      </c>
    </row>
    <row r="2150" spans="3:5" x14ac:dyDescent="0.35">
      <c r="C2150" s="1" t="s">
        <v>6468</v>
      </c>
      <c r="D2150" s="1" t="s">
        <v>18</v>
      </c>
      <c r="E2150" s="250">
        <v>5128.3289999999997</v>
      </c>
    </row>
    <row r="2151" spans="3:5" x14ac:dyDescent="0.35">
      <c r="C2151" s="1" t="s">
        <v>6467</v>
      </c>
      <c r="D2151" s="1" t="s">
        <v>18</v>
      </c>
      <c r="E2151" s="250">
        <v>5128.33</v>
      </c>
    </row>
    <row r="2152" spans="3:5" x14ac:dyDescent="0.35">
      <c r="C2152" s="1" t="s">
        <v>6466</v>
      </c>
      <c r="D2152" s="1" t="s">
        <v>18</v>
      </c>
      <c r="E2152" s="250">
        <v>5128.3310000000001</v>
      </c>
    </row>
    <row r="2153" spans="3:5" x14ac:dyDescent="0.35">
      <c r="C2153" s="1" t="s">
        <v>6465</v>
      </c>
      <c r="D2153" s="1" t="s">
        <v>18</v>
      </c>
      <c r="E2153" s="250">
        <v>5128.3320000000003</v>
      </c>
    </row>
    <row r="2154" spans="3:5" x14ac:dyDescent="0.35">
      <c r="C2154" s="1" t="s">
        <v>6464</v>
      </c>
      <c r="D2154" s="1" t="s">
        <v>18</v>
      </c>
      <c r="E2154" s="250">
        <v>5128.3329999999996</v>
      </c>
    </row>
    <row r="2155" spans="3:5" x14ac:dyDescent="0.35">
      <c r="C2155" s="1" t="s">
        <v>6463</v>
      </c>
      <c r="D2155" s="1" t="s">
        <v>18</v>
      </c>
      <c r="E2155" s="250">
        <v>5128.3339999999998</v>
      </c>
    </row>
    <row r="2156" spans="3:5" x14ac:dyDescent="0.35">
      <c r="C2156" s="1" t="s">
        <v>6462</v>
      </c>
      <c r="D2156" s="1" t="s">
        <v>18</v>
      </c>
      <c r="E2156" s="250">
        <v>5128.335</v>
      </c>
    </row>
    <row r="2157" spans="3:5" x14ac:dyDescent="0.35">
      <c r="C2157" s="1" t="s">
        <v>6461</v>
      </c>
      <c r="D2157" s="1" t="s">
        <v>18</v>
      </c>
      <c r="E2157" s="250">
        <v>5128.3360000000002</v>
      </c>
    </row>
    <row r="2158" spans="3:5" x14ac:dyDescent="0.35">
      <c r="C2158" s="1" t="s">
        <v>6460</v>
      </c>
      <c r="D2158" s="1" t="s">
        <v>18</v>
      </c>
      <c r="E2158" s="250">
        <v>5128.3370000000004</v>
      </c>
    </row>
    <row r="2159" spans="3:5" x14ac:dyDescent="0.35">
      <c r="C2159" s="1" t="s">
        <v>6459</v>
      </c>
      <c r="D2159" s="1" t="s">
        <v>18</v>
      </c>
      <c r="E2159" s="250">
        <v>5128.3379999999997</v>
      </c>
    </row>
    <row r="2160" spans="3:5" x14ac:dyDescent="0.35">
      <c r="C2160" s="1" t="s">
        <v>6458</v>
      </c>
      <c r="D2160" s="1" t="s">
        <v>18</v>
      </c>
      <c r="E2160" s="250">
        <v>5128.3389999999999</v>
      </c>
    </row>
    <row r="2161" spans="3:5" x14ac:dyDescent="0.35">
      <c r="C2161" s="1" t="s">
        <v>6457</v>
      </c>
      <c r="D2161" s="1" t="s">
        <v>18</v>
      </c>
      <c r="E2161" s="250">
        <v>5128.34</v>
      </c>
    </row>
    <row r="2162" spans="3:5" x14ac:dyDescent="0.35">
      <c r="C2162" s="1" t="s">
        <v>6456</v>
      </c>
      <c r="D2162" s="1" t="s">
        <v>18</v>
      </c>
      <c r="E2162" s="250">
        <v>5128.3410000000003</v>
      </c>
    </row>
    <row r="2163" spans="3:5" x14ac:dyDescent="0.35">
      <c r="C2163" s="1" t="s">
        <v>6455</v>
      </c>
      <c r="D2163" s="1" t="s">
        <v>18</v>
      </c>
      <c r="E2163" s="250">
        <v>5128.3419999999996</v>
      </c>
    </row>
    <row r="2164" spans="3:5" x14ac:dyDescent="0.35">
      <c r="C2164" s="1" t="s">
        <v>6454</v>
      </c>
      <c r="D2164" s="1" t="s">
        <v>18</v>
      </c>
      <c r="E2164" s="250">
        <v>5128.3429999999998</v>
      </c>
    </row>
    <row r="2165" spans="3:5" x14ac:dyDescent="0.35">
      <c r="C2165" s="1" t="s">
        <v>6453</v>
      </c>
      <c r="D2165" s="1" t="s">
        <v>18</v>
      </c>
      <c r="E2165" s="250">
        <v>5128.3440000000001</v>
      </c>
    </row>
    <row r="2166" spans="3:5" x14ac:dyDescent="0.35">
      <c r="C2166" s="1" t="s">
        <v>6452</v>
      </c>
      <c r="D2166" s="1" t="s">
        <v>18</v>
      </c>
      <c r="E2166" s="250">
        <v>5128.3450000000003</v>
      </c>
    </row>
    <row r="2167" spans="3:5" x14ac:dyDescent="0.35">
      <c r="C2167" s="1" t="s">
        <v>6451</v>
      </c>
      <c r="D2167" s="1" t="s">
        <v>18</v>
      </c>
      <c r="E2167" s="250">
        <v>5128.3459999999995</v>
      </c>
    </row>
    <row r="2168" spans="3:5" x14ac:dyDescent="0.35">
      <c r="C2168" s="1" t="s">
        <v>6450</v>
      </c>
      <c r="D2168" s="1" t="s">
        <v>18</v>
      </c>
      <c r="E2168" s="250">
        <v>5128.3469999999998</v>
      </c>
    </row>
    <row r="2169" spans="3:5" x14ac:dyDescent="0.35">
      <c r="C2169" s="1" t="s">
        <v>6449</v>
      </c>
      <c r="D2169" s="1" t="s">
        <v>18</v>
      </c>
      <c r="E2169" s="250">
        <v>5128.348</v>
      </c>
    </row>
    <row r="2170" spans="3:5" x14ac:dyDescent="0.35">
      <c r="C2170" s="1" t="s">
        <v>6448</v>
      </c>
      <c r="D2170" s="1" t="s">
        <v>18</v>
      </c>
      <c r="E2170" s="250">
        <v>5128.3490000000002</v>
      </c>
    </row>
    <row r="2171" spans="3:5" x14ac:dyDescent="0.35">
      <c r="C2171" s="1" t="s">
        <v>6447</v>
      </c>
      <c r="D2171" s="1" t="s">
        <v>18</v>
      </c>
      <c r="E2171" s="250">
        <v>5128.3500000000004</v>
      </c>
    </row>
    <row r="2172" spans="3:5" x14ac:dyDescent="0.35">
      <c r="C2172" s="1" t="s">
        <v>6446</v>
      </c>
      <c r="D2172" s="1" t="s">
        <v>18</v>
      </c>
      <c r="E2172" s="250">
        <v>5128.3509999999997</v>
      </c>
    </row>
    <row r="2173" spans="3:5" x14ac:dyDescent="0.35">
      <c r="C2173" s="1" t="s">
        <v>6445</v>
      </c>
      <c r="D2173" s="1" t="s">
        <v>18</v>
      </c>
      <c r="E2173" s="250">
        <v>5128.3519999999999</v>
      </c>
    </row>
    <row r="2174" spans="3:5" x14ac:dyDescent="0.35">
      <c r="C2174" s="1" t="s">
        <v>6444</v>
      </c>
      <c r="D2174" s="1" t="s">
        <v>18</v>
      </c>
      <c r="E2174" s="250">
        <v>5128.3530000000001</v>
      </c>
    </row>
    <row r="2175" spans="3:5" x14ac:dyDescent="0.35">
      <c r="C2175" s="1" t="s">
        <v>6443</v>
      </c>
      <c r="D2175" s="1" t="s">
        <v>18</v>
      </c>
      <c r="E2175" s="250">
        <v>5128.3540000000003</v>
      </c>
    </row>
    <row r="2176" spans="3:5" x14ac:dyDescent="0.35">
      <c r="C2176" s="1" t="s">
        <v>6442</v>
      </c>
      <c r="D2176" s="1" t="s">
        <v>18</v>
      </c>
      <c r="E2176" s="250">
        <v>5128.3549999999996</v>
      </c>
    </row>
    <row r="2177" spans="3:5" x14ac:dyDescent="0.35">
      <c r="C2177" s="1" t="s">
        <v>6441</v>
      </c>
      <c r="D2177" s="1" t="s">
        <v>18</v>
      </c>
      <c r="E2177" s="250">
        <v>5128.3559999999998</v>
      </c>
    </row>
    <row r="2178" spans="3:5" x14ac:dyDescent="0.35">
      <c r="C2178" s="1" t="s">
        <v>6440</v>
      </c>
      <c r="D2178" s="1" t="s">
        <v>18</v>
      </c>
      <c r="E2178" s="250">
        <v>5128.357</v>
      </c>
    </row>
    <row r="2179" spans="3:5" x14ac:dyDescent="0.35">
      <c r="C2179" s="1" t="s">
        <v>6439</v>
      </c>
      <c r="D2179" s="1" t="s">
        <v>18</v>
      </c>
      <c r="E2179" s="250">
        <v>5128.3580000000002</v>
      </c>
    </row>
    <row r="2180" spans="3:5" x14ac:dyDescent="0.35">
      <c r="C2180" s="1" t="s">
        <v>6438</v>
      </c>
      <c r="D2180" s="1" t="s">
        <v>18</v>
      </c>
      <c r="E2180" s="250">
        <v>5128.3590000000004</v>
      </c>
    </row>
    <row r="2181" spans="3:5" x14ac:dyDescent="0.35">
      <c r="C2181" s="1" t="s">
        <v>6437</v>
      </c>
      <c r="D2181" s="1" t="s">
        <v>18</v>
      </c>
      <c r="E2181" s="250">
        <v>5128.3599999999997</v>
      </c>
    </row>
    <row r="2182" spans="3:5" x14ac:dyDescent="0.35">
      <c r="C2182" s="1" t="s">
        <v>6436</v>
      </c>
      <c r="D2182" s="1" t="s">
        <v>18</v>
      </c>
      <c r="E2182" s="250">
        <v>5128.3609999999999</v>
      </c>
    </row>
    <row r="2183" spans="3:5" x14ac:dyDescent="0.35">
      <c r="C2183" s="1" t="s">
        <v>6435</v>
      </c>
      <c r="D2183" s="1" t="s">
        <v>18</v>
      </c>
      <c r="E2183" s="250">
        <v>5128.3620000000001</v>
      </c>
    </row>
    <row r="2184" spans="3:5" x14ac:dyDescent="0.35">
      <c r="C2184" s="1" t="s">
        <v>6434</v>
      </c>
      <c r="D2184" s="1" t="s">
        <v>18</v>
      </c>
      <c r="E2184" s="250">
        <v>5128.3630000000003</v>
      </c>
    </row>
    <row r="2185" spans="3:5" x14ac:dyDescent="0.35">
      <c r="C2185" s="1" t="s">
        <v>6433</v>
      </c>
      <c r="D2185" s="1" t="s">
        <v>18</v>
      </c>
      <c r="E2185" s="250">
        <v>5128.3639999999996</v>
      </c>
    </row>
    <row r="2186" spans="3:5" x14ac:dyDescent="0.35">
      <c r="C2186" s="1" t="s">
        <v>6432</v>
      </c>
      <c r="D2186" s="1" t="s">
        <v>18</v>
      </c>
      <c r="E2186" s="250">
        <v>5128.3649999999998</v>
      </c>
    </row>
    <row r="2187" spans="3:5" x14ac:dyDescent="0.35">
      <c r="C2187" s="1" t="s">
        <v>6431</v>
      </c>
      <c r="D2187" s="1" t="s">
        <v>18</v>
      </c>
      <c r="E2187" s="250">
        <v>5128.366</v>
      </c>
    </row>
    <row r="2188" spans="3:5" x14ac:dyDescent="0.35">
      <c r="C2188" s="1" t="s">
        <v>6430</v>
      </c>
      <c r="D2188" s="1" t="s">
        <v>18</v>
      </c>
      <c r="E2188" s="250">
        <v>5128.3670000000002</v>
      </c>
    </row>
    <row r="2189" spans="3:5" x14ac:dyDescent="0.35">
      <c r="C2189" s="1" t="s">
        <v>6429</v>
      </c>
      <c r="D2189" s="1" t="s">
        <v>18</v>
      </c>
      <c r="E2189" s="250">
        <v>5128.3680000000004</v>
      </c>
    </row>
    <row r="2190" spans="3:5" x14ac:dyDescent="0.35">
      <c r="C2190" s="1" t="s">
        <v>6428</v>
      </c>
      <c r="D2190" s="1" t="s">
        <v>18</v>
      </c>
      <c r="E2190" s="250">
        <v>5128.3689999999997</v>
      </c>
    </row>
    <row r="2191" spans="3:5" x14ac:dyDescent="0.35">
      <c r="C2191" s="1" t="s">
        <v>6427</v>
      </c>
      <c r="D2191" s="1" t="s">
        <v>18</v>
      </c>
      <c r="E2191" s="250">
        <v>5128.37</v>
      </c>
    </row>
    <row r="2192" spans="3:5" x14ac:dyDescent="0.35">
      <c r="C2192" s="1" t="s">
        <v>6426</v>
      </c>
      <c r="D2192" s="1" t="s">
        <v>18</v>
      </c>
      <c r="E2192" s="250">
        <v>5128.3710000000001</v>
      </c>
    </row>
    <row r="2193" spans="3:5" x14ac:dyDescent="0.35">
      <c r="C2193" s="1" t="s">
        <v>6425</v>
      </c>
      <c r="D2193" s="1" t="s">
        <v>18</v>
      </c>
      <c r="E2193" s="250">
        <v>5128.3720000000003</v>
      </c>
    </row>
    <row r="2194" spans="3:5" x14ac:dyDescent="0.35">
      <c r="C2194" s="1" t="s">
        <v>6424</v>
      </c>
      <c r="D2194" s="1" t="s">
        <v>18</v>
      </c>
      <c r="E2194" s="250">
        <v>5128.3729999999996</v>
      </c>
    </row>
    <row r="2195" spans="3:5" x14ac:dyDescent="0.35">
      <c r="C2195" s="1" t="s">
        <v>6423</v>
      </c>
      <c r="D2195" s="1" t="s">
        <v>18</v>
      </c>
      <c r="E2195" s="250">
        <v>5128.3739999999998</v>
      </c>
    </row>
    <row r="2196" spans="3:5" x14ac:dyDescent="0.35">
      <c r="C2196" s="1" t="s">
        <v>6422</v>
      </c>
      <c r="D2196" s="1" t="s">
        <v>18</v>
      </c>
      <c r="E2196" s="250">
        <v>5128.375</v>
      </c>
    </row>
    <row r="2197" spans="3:5" x14ac:dyDescent="0.35">
      <c r="C2197" s="1" t="s">
        <v>6421</v>
      </c>
      <c r="D2197" s="1" t="s">
        <v>18</v>
      </c>
      <c r="E2197" s="250">
        <v>5128.3760000000002</v>
      </c>
    </row>
    <row r="2198" spans="3:5" x14ac:dyDescent="0.35">
      <c r="C2198" s="1" t="s">
        <v>6420</v>
      </c>
      <c r="D2198" s="1" t="s">
        <v>18</v>
      </c>
      <c r="E2198" s="250">
        <v>5128.3770000000004</v>
      </c>
    </row>
    <row r="2199" spans="3:5" x14ac:dyDescent="0.35">
      <c r="C2199" s="1" t="s">
        <v>6419</v>
      </c>
      <c r="D2199" s="1" t="s">
        <v>18</v>
      </c>
      <c r="E2199" s="250">
        <v>5128.3779999999997</v>
      </c>
    </row>
    <row r="2200" spans="3:5" x14ac:dyDescent="0.35">
      <c r="C2200" s="1" t="s">
        <v>6418</v>
      </c>
      <c r="D2200" s="1" t="s">
        <v>18</v>
      </c>
      <c r="E2200" s="250">
        <v>5128.3789999999999</v>
      </c>
    </row>
    <row r="2201" spans="3:5" x14ac:dyDescent="0.35">
      <c r="C2201" s="1" t="s">
        <v>6417</v>
      </c>
      <c r="D2201" s="1" t="s">
        <v>18</v>
      </c>
      <c r="E2201" s="250">
        <v>5128.38</v>
      </c>
    </row>
    <row r="2202" spans="3:5" x14ac:dyDescent="0.35">
      <c r="C2202" s="1" t="s">
        <v>6416</v>
      </c>
      <c r="D2202" s="1" t="s">
        <v>18</v>
      </c>
      <c r="E2202" s="250">
        <v>5128.3810000000003</v>
      </c>
    </row>
    <row r="2203" spans="3:5" x14ac:dyDescent="0.35">
      <c r="C2203" s="1" t="s">
        <v>6415</v>
      </c>
      <c r="D2203" s="1" t="s">
        <v>18</v>
      </c>
      <c r="E2203" s="250">
        <v>5128.3819999999996</v>
      </c>
    </row>
    <row r="2204" spans="3:5" x14ac:dyDescent="0.35">
      <c r="C2204" s="1" t="s">
        <v>6414</v>
      </c>
      <c r="D2204" s="1" t="s">
        <v>18</v>
      </c>
      <c r="E2204" s="250">
        <v>5128.3829999999998</v>
      </c>
    </row>
    <row r="2205" spans="3:5" x14ac:dyDescent="0.35">
      <c r="C2205" s="1" t="s">
        <v>6413</v>
      </c>
      <c r="D2205" s="1" t="s">
        <v>18</v>
      </c>
      <c r="E2205" s="250">
        <v>5128.384</v>
      </c>
    </row>
    <row r="2206" spans="3:5" x14ac:dyDescent="0.35">
      <c r="C2206" s="1" t="s">
        <v>6412</v>
      </c>
      <c r="D2206" s="1" t="s">
        <v>18</v>
      </c>
      <c r="E2206" s="250">
        <v>5128.3850000000002</v>
      </c>
    </row>
    <row r="2207" spans="3:5" x14ac:dyDescent="0.35">
      <c r="C2207" s="1" t="s">
        <v>6411</v>
      </c>
      <c r="D2207" s="1" t="s">
        <v>18</v>
      </c>
      <c r="E2207" s="250">
        <v>5128.3860000000004</v>
      </c>
    </row>
    <row r="2208" spans="3:5" x14ac:dyDescent="0.35">
      <c r="C2208" s="1" t="s">
        <v>6410</v>
      </c>
      <c r="D2208" s="1" t="s">
        <v>18</v>
      </c>
      <c r="E2208" s="250">
        <v>5128.3869999999997</v>
      </c>
    </row>
    <row r="2209" spans="3:5" x14ac:dyDescent="0.35">
      <c r="C2209" s="1" t="s">
        <v>6409</v>
      </c>
      <c r="D2209" s="1" t="s">
        <v>18</v>
      </c>
      <c r="E2209" s="250">
        <v>5128.3879999999999</v>
      </c>
    </row>
    <row r="2210" spans="3:5" x14ac:dyDescent="0.35">
      <c r="C2210" s="1" t="s">
        <v>6408</v>
      </c>
      <c r="D2210" s="1" t="s">
        <v>18</v>
      </c>
      <c r="E2210" s="250">
        <v>5128.3890000000001</v>
      </c>
    </row>
    <row r="2211" spans="3:5" x14ac:dyDescent="0.35">
      <c r="C2211" s="1" t="s">
        <v>6407</v>
      </c>
      <c r="D2211" s="1" t="s">
        <v>18</v>
      </c>
      <c r="E2211" s="250">
        <v>5128.3900000000003</v>
      </c>
    </row>
    <row r="2212" spans="3:5" x14ac:dyDescent="0.35">
      <c r="C2212" s="1" t="s">
        <v>6406</v>
      </c>
      <c r="D2212" s="1" t="s">
        <v>18</v>
      </c>
      <c r="E2212" s="250">
        <v>5128.3909999999996</v>
      </c>
    </row>
    <row r="2213" spans="3:5" x14ac:dyDescent="0.35">
      <c r="C2213" s="1" t="s">
        <v>6405</v>
      </c>
      <c r="D2213" s="1" t="s">
        <v>18</v>
      </c>
      <c r="E2213" s="250">
        <v>5128.3919999999998</v>
      </c>
    </row>
    <row r="2214" spans="3:5" x14ac:dyDescent="0.35">
      <c r="C2214" s="1" t="s">
        <v>6404</v>
      </c>
      <c r="D2214" s="1" t="s">
        <v>18</v>
      </c>
      <c r="E2214" s="250">
        <v>5128.393</v>
      </c>
    </row>
    <row r="2215" spans="3:5" x14ac:dyDescent="0.35">
      <c r="C2215" s="1" t="s">
        <v>6403</v>
      </c>
      <c r="D2215" s="1" t="s">
        <v>18</v>
      </c>
      <c r="E2215" s="250">
        <v>5128.3940000000002</v>
      </c>
    </row>
    <row r="2216" spans="3:5" x14ac:dyDescent="0.35">
      <c r="C2216" s="1" t="s">
        <v>6402</v>
      </c>
      <c r="D2216" s="1" t="s">
        <v>18</v>
      </c>
      <c r="E2216" s="250">
        <v>5128.3950000000004</v>
      </c>
    </row>
    <row r="2217" spans="3:5" x14ac:dyDescent="0.35">
      <c r="C2217" s="1" t="s">
        <v>6401</v>
      </c>
      <c r="D2217" s="1" t="s">
        <v>18</v>
      </c>
      <c r="E2217" s="250">
        <v>5128.3959999999997</v>
      </c>
    </row>
    <row r="2218" spans="3:5" x14ac:dyDescent="0.35">
      <c r="C2218" s="1" t="s">
        <v>6400</v>
      </c>
      <c r="D2218" s="1" t="s">
        <v>18</v>
      </c>
      <c r="E2218" s="250">
        <v>5128.3969999999999</v>
      </c>
    </row>
    <row r="2219" spans="3:5" x14ac:dyDescent="0.35">
      <c r="C2219" s="1" t="s">
        <v>6399</v>
      </c>
      <c r="D2219" s="1" t="s">
        <v>18</v>
      </c>
      <c r="E2219" s="250">
        <v>5128.3980000000001</v>
      </c>
    </row>
    <row r="2220" spans="3:5" x14ac:dyDescent="0.35">
      <c r="C2220" s="1" t="s">
        <v>6398</v>
      </c>
      <c r="D2220" s="1" t="s">
        <v>18</v>
      </c>
      <c r="E2220" s="250">
        <v>5128.3990000000003</v>
      </c>
    </row>
    <row r="2221" spans="3:5" x14ac:dyDescent="0.35">
      <c r="C2221" s="1" t="s">
        <v>6397</v>
      </c>
      <c r="D2221" s="1" t="s">
        <v>18</v>
      </c>
      <c r="E2221" s="250">
        <v>5128.3999999999996</v>
      </c>
    </row>
    <row r="2222" spans="3:5" x14ac:dyDescent="0.35">
      <c r="C2222" s="1" t="s">
        <v>6396</v>
      </c>
      <c r="D2222" s="1" t="s">
        <v>18</v>
      </c>
      <c r="E2222" s="250">
        <v>5128.4009999999998</v>
      </c>
    </row>
    <row r="2223" spans="3:5" x14ac:dyDescent="0.35">
      <c r="C2223" s="1" t="s">
        <v>6395</v>
      </c>
      <c r="D2223" s="1" t="s">
        <v>18</v>
      </c>
      <c r="E2223" s="250">
        <v>5128.402</v>
      </c>
    </row>
    <row r="2224" spans="3:5" x14ac:dyDescent="0.35">
      <c r="C2224" s="1" t="s">
        <v>6394</v>
      </c>
      <c r="D2224" s="1" t="s">
        <v>18</v>
      </c>
      <c r="E2224" s="250">
        <v>5128.4030000000002</v>
      </c>
    </row>
    <row r="2225" spans="3:5" x14ac:dyDescent="0.35">
      <c r="C2225" s="1" t="s">
        <v>6393</v>
      </c>
      <c r="D2225" s="1" t="s">
        <v>18</v>
      </c>
      <c r="E2225" s="250">
        <v>5128.4040000000005</v>
      </c>
    </row>
    <row r="2226" spans="3:5" x14ac:dyDescent="0.35">
      <c r="C2226" s="1" t="s">
        <v>6392</v>
      </c>
      <c r="D2226" s="1" t="s">
        <v>18</v>
      </c>
      <c r="E2226" s="250">
        <v>5128.4049999999997</v>
      </c>
    </row>
    <row r="2227" spans="3:5" x14ac:dyDescent="0.35">
      <c r="C2227" s="1" t="s">
        <v>6391</v>
      </c>
      <c r="D2227" s="1" t="s">
        <v>18</v>
      </c>
      <c r="E2227" s="250">
        <v>5128.4059999999999</v>
      </c>
    </row>
    <row r="2228" spans="3:5" x14ac:dyDescent="0.35">
      <c r="C2228" s="1" t="s">
        <v>6390</v>
      </c>
      <c r="D2228" s="1" t="s">
        <v>18</v>
      </c>
      <c r="E2228" s="250">
        <v>5128.4070000000002</v>
      </c>
    </row>
    <row r="2229" spans="3:5" x14ac:dyDescent="0.35">
      <c r="C2229" s="1" t="s">
        <v>6389</v>
      </c>
      <c r="D2229" s="1" t="s">
        <v>18</v>
      </c>
      <c r="E2229" s="250">
        <v>5128.4080000000004</v>
      </c>
    </row>
    <row r="2230" spans="3:5" x14ac:dyDescent="0.35">
      <c r="C2230" s="1" t="s">
        <v>6388</v>
      </c>
      <c r="D2230" s="1" t="s">
        <v>18</v>
      </c>
      <c r="E2230" s="250">
        <v>5128.4089999999997</v>
      </c>
    </row>
    <row r="2231" spans="3:5" x14ac:dyDescent="0.35">
      <c r="C2231" s="1" t="s">
        <v>6387</v>
      </c>
      <c r="D2231" s="1" t="s">
        <v>18</v>
      </c>
      <c r="E2231" s="250">
        <v>5128.41</v>
      </c>
    </row>
    <row r="2232" spans="3:5" x14ac:dyDescent="0.35">
      <c r="C2232" s="1" t="s">
        <v>6386</v>
      </c>
      <c r="D2232" s="1" t="s">
        <v>18</v>
      </c>
      <c r="E2232" s="250">
        <v>5128.4110000000001</v>
      </c>
    </row>
    <row r="2233" spans="3:5" x14ac:dyDescent="0.35">
      <c r="C2233" s="1" t="s">
        <v>6385</v>
      </c>
      <c r="D2233" s="1" t="s">
        <v>18</v>
      </c>
      <c r="E2233" s="250">
        <v>5128.4120000000003</v>
      </c>
    </row>
    <row r="2234" spans="3:5" x14ac:dyDescent="0.35">
      <c r="C2234" s="1" t="s">
        <v>6384</v>
      </c>
      <c r="D2234" s="1" t="s">
        <v>18</v>
      </c>
      <c r="E2234" s="250">
        <v>5128.4129999999996</v>
      </c>
    </row>
    <row r="2235" spans="3:5" x14ac:dyDescent="0.35">
      <c r="C2235" s="1" t="s">
        <v>6383</v>
      </c>
      <c r="D2235" s="1" t="s">
        <v>18</v>
      </c>
      <c r="E2235" s="250">
        <v>5128.4139999999998</v>
      </c>
    </row>
    <row r="2236" spans="3:5" x14ac:dyDescent="0.35">
      <c r="C2236" s="1" t="s">
        <v>6382</v>
      </c>
      <c r="D2236" s="1" t="s">
        <v>18</v>
      </c>
      <c r="E2236" s="250">
        <v>5128.415</v>
      </c>
    </row>
    <row r="2237" spans="3:5" x14ac:dyDescent="0.35">
      <c r="C2237" s="1" t="s">
        <v>6381</v>
      </c>
      <c r="D2237" s="1" t="s">
        <v>18</v>
      </c>
      <c r="E2237" s="250">
        <v>5128.4160000000002</v>
      </c>
    </row>
    <row r="2238" spans="3:5" x14ac:dyDescent="0.35">
      <c r="C2238" s="1" t="s">
        <v>6380</v>
      </c>
      <c r="D2238" s="1" t="s">
        <v>18</v>
      </c>
      <c r="E2238" s="250">
        <v>5128.4170000000004</v>
      </c>
    </row>
    <row r="2239" spans="3:5" x14ac:dyDescent="0.35">
      <c r="C2239" s="1" t="s">
        <v>6379</v>
      </c>
      <c r="D2239" s="1" t="s">
        <v>18</v>
      </c>
      <c r="E2239" s="250">
        <v>5128.4179999999997</v>
      </c>
    </row>
    <row r="2240" spans="3:5" x14ac:dyDescent="0.35">
      <c r="C2240" s="1" t="s">
        <v>6378</v>
      </c>
      <c r="D2240" s="1" t="s">
        <v>18</v>
      </c>
      <c r="E2240" s="250">
        <v>5128.4189999999999</v>
      </c>
    </row>
    <row r="2241" spans="3:5" x14ac:dyDescent="0.35">
      <c r="C2241" s="1" t="s">
        <v>6377</v>
      </c>
      <c r="D2241" s="1" t="s">
        <v>18</v>
      </c>
      <c r="E2241" s="250">
        <v>5128.42</v>
      </c>
    </row>
    <row r="2242" spans="3:5" x14ac:dyDescent="0.35">
      <c r="C2242" s="1" t="s">
        <v>6376</v>
      </c>
      <c r="D2242" s="1" t="s">
        <v>18</v>
      </c>
      <c r="E2242" s="250">
        <v>5128.4210000000003</v>
      </c>
    </row>
    <row r="2243" spans="3:5" x14ac:dyDescent="0.35">
      <c r="C2243" s="1" t="s">
        <v>6375</v>
      </c>
      <c r="D2243" s="1" t="s">
        <v>18</v>
      </c>
      <c r="E2243" s="250">
        <v>5128.4219999999996</v>
      </c>
    </row>
    <row r="2244" spans="3:5" x14ac:dyDescent="0.35">
      <c r="C2244" s="1" t="s">
        <v>6374</v>
      </c>
      <c r="D2244" s="1" t="s">
        <v>18</v>
      </c>
      <c r="E2244" s="250">
        <v>5128.4229999999998</v>
      </c>
    </row>
    <row r="2245" spans="3:5" x14ac:dyDescent="0.35">
      <c r="C2245" s="1" t="s">
        <v>6373</v>
      </c>
      <c r="D2245" s="1" t="s">
        <v>18</v>
      </c>
      <c r="E2245" s="250">
        <v>5128.424</v>
      </c>
    </row>
    <row r="2246" spans="3:5" x14ac:dyDescent="0.35">
      <c r="C2246" s="1" t="s">
        <v>6372</v>
      </c>
      <c r="D2246" s="1" t="s">
        <v>18</v>
      </c>
      <c r="E2246" s="250">
        <v>5128.4250000000002</v>
      </c>
    </row>
    <row r="2247" spans="3:5" x14ac:dyDescent="0.35">
      <c r="C2247" s="1" t="s">
        <v>6371</v>
      </c>
      <c r="D2247" s="1" t="s">
        <v>18</v>
      </c>
      <c r="E2247" s="250">
        <v>5128.4260000000004</v>
      </c>
    </row>
    <row r="2248" spans="3:5" x14ac:dyDescent="0.35">
      <c r="C2248" s="1" t="s">
        <v>6370</v>
      </c>
      <c r="D2248" s="1" t="s">
        <v>18</v>
      </c>
      <c r="E2248" s="250">
        <v>5128.4269999999997</v>
      </c>
    </row>
    <row r="2249" spans="3:5" x14ac:dyDescent="0.35">
      <c r="C2249" s="1" t="s">
        <v>6369</v>
      </c>
      <c r="D2249" s="1" t="s">
        <v>18</v>
      </c>
      <c r="E2249" s="250">
        <v>5128.4279999999999</v>
      </c>
    </row>
    <row r="2250" spans="3:5" x14ac:dyDescent="0.35">
      <c r="C2250" s="1" t="s">
        <v>6368</v>
      </c>
      <c r="D2250" s="1" t="s">
        <v>18</v>
      </c>
      <c r="E2250" s="250">
        <v>5128.4290000000001</v>
      </c>
    </row>
    <row r="2251" spans="3:5" x14ac:dyDescent="0.35">
      <c r="C2251" s="1" t="s">
        <v>6367</v>
      </c>
      <c r="D2251" s="1" t="s">
        <v>18</v>
      </c>
      <c r="E2251" s="250">
        <v>5128.43</v>
      </c>
    </row>
    <row r="2252" spans="3:5" x14ac:dyDescent="0.35">
      <c r="C2252" s="1" t="s">
        <v>6366</v>
      </c>
      <c r="D2252" s="1" t="s">
        <v>18</v>
      </c>
      <c r="E2252" s="250">
        <v>5128.4309999999996</v>
      </c>
    </row>
    <row r="2253" spans="3:5" x14ac:dyDescent="0.35">
      <c r="C2253" s="1" t="s">
        <v>6365</v>
      </c>
      <c r="D2253" s="1" t="s">
        <v>18</v>
      </c>
      <c r="E2253" s="250">
        <v>5128.4319999999998</v>
      </c>
    </row>
    <row r="2254" spans="3:5" x14ac:dyDescent="0.35">
      <c r="C2254" s="1" t="s">
        <v>6364</v>
      </c>
      <c r="D2254" s="1" t="s">
        <v>18</v>
      </c>
      <c r="E2254" s="250">
        <v>5128.433</v>
      </c>
    </row>
    <row r="2255" spans="3:5" x14ac:dyDescent="0.35">
      <c r="C2255" s="1" t="s">
        <v>6363</v>
      </c>
      <c r="D2255" s="1" t="s">
        <v>18</v>
      </c>
      <c r="E2255" s="250">
        <v>5128.4340000000002</v>
      </c>
    </row>
    <row r="2256" spans="3:5" x14ac:dyDescent="0.35">
      <c r="C2256" s="1" t="s">
        <v>6362</v>
      </c>
      <c r="D2256" s="1" t="s">
        <v>18</v>
      </c>
      <c r="E2256" s="250">
        <v>5128.4350000000004</v>
      </c>
    </row>
    <row r="2257" spans="3:5" x14ac:dyDescent="0.35">
      <c r="C2257" s="1" t="s">
        <v>6361</v>
      </c>
      <c r="D2257" s="1" t="s">
        <v>18</v>
      </c>
      <c r="E2257" s="250">
        <v>5128.4359999999997</v>
      </c>
    </row>
    <row r="2258" spans="3:5" x14ac:dyDescent="0.35">
      <c r="C2258" s="1" t="s">
        <v>6360</v>
      </c>
      <c r="D2258" s="1" t="s">
        <v>18</v>
      </c>
      <c r="E2258" s="250">
        <v>5128.4369999999999</v>
      </c>
    </row>
    <row r="2259" spans="3:5" x14ac:dyDescent="0.35">
      <c r="C2259" s="1" t="s">
        <v>6359</v>
      </c>
      <c r="D2259" s="1" t="s">
        <v>18</v>
      </c>
      <c r="E2259" s="250">
        <v>5128.4380000000001</v>
      </c>
    </row>
    <row r="2260" spans="3:5" x14ac:dyDescent="0.35">
      <c r="C2260" s="1" t="s">
        <v>6358</v>
      </c>
      <c r="D2260" s="1" t="s">
        <v>18</v>
      </c>
      <c r="E2260" s="250">
        <v>5128.4390000000003</v>
      </c>
    </row>
    <row r="2261" spans="3:5" x14ac:dyDescent="0.35">
      <c r="C2261" s="1" t="s">
        <v>6357</v>
      </c>
      <c r="D2261" s="1" t="s">
        <v>18</v>
      </c>
      <c r="E2261" s="250">
        <v>5128.4399999999996</v>
      </c>
    </row>
    <row r="2262" spans="3:5" x14ac:dyDescent="0.35">
      <c r="C2262" s="1" t="s">
        <v>6356</v>
      </c>
      <c r="D2262" s="1" t="s">
        <v>18</v>
      </c>
      <c r="E2262" s="250">
        <v>5128.4409999999998</v>
      </c>
    </row>
    <row r="2263" spans="3:5" x14ac:dyDescent="0.35">
      <c r="C2263" s="1" t="s">
        <v>6355</v>
      </c>
      <c r="D2263" s="1" t="s">
        <v>18</v>
      </c>
      <c r="E2263" s="250">
        <v>5128.442</v>
      </c>
    </row>
    <row r="2264" spans="3:5" x14ac:dyDescent="0.35">
      <c r="C2264" s="1" t="s">
        <v>6354</v>
      </c>
      <c r="D2264" s="1" t="s">
        <v>18</v>
      </c>
      <c r="E2264" s="250">
        <v>5128.4430000000002</v>
      </c>
    </row>
    <row r="2265" spans="3:5" x14ac:dyDescent="0.35">
      <c r="C2265" s="1" t="s">
        <v>6353</v>
      </c>
      <c r="D2265" s="1" t="s">
        <v>18</v>
      </c>
      <c r="E2265" s="250">
        <v>5128.4440000000004</v>
      </c>
    </row>
    <row r="2266" spans="3:5" x14ac:dyDescent="0.35">
      <c r="C2266" s="1" t="s">
        <v>6352</v>
      </c>
      <c r="D2266" s="1" t="s">
        <v>18</v>
      </c>
      <c r="E2266" s="250">
        <v>5128.4449999999997</v>
      </c>
    </row>
    <row r="2267" spans="3:5" x14ac:dyDescent="0.35">
      <c r="C2267" s="1" t="s">
        <v>6351</v>
      </c>
      <c r="D2267" s="1" t="s">
        <v>18</v>
      </c>
      <c r="E2267" s="250">
        <v>5128.4459999999999</v>
      </c>
    </row>
    <row r="2268" spans="3:5" x14ac:dyDescent="0.35">
      <c r="C2268" s="1" t="s">
        <v>6350</v>
      </c>
      <c r="D2268" s="1" t="s">
        <v>18</v>
      </c>
      <c r="E2268" s="250">
        <v>5128.4470000000001</v>
      </c>
    </row>
    <row r="2269" spans="3:5" x14ac:dyDescent="0.35">
      <c r="C2269" s="1" t="s">
        <v>6349</v>
      </c>
      <c r="D2269" s="1" t="s">
        <v>18</v>
      </c>
      <c r="E2269" s="250">
        <v>5128.4480000000003</v>
      </c>
    </row>
    <row r="2270" spans="3:5" x14ac:dyDescent="0.35">
      <c r="C2270" s="1" t="s">
        <v>6348</v>
      </c>
      <c r="D2270" s="1" t="s">
        <v>18</v>
      </c>
      <c r="E2270" s="250">
        <v>5128.4489999999996</v>
      </c>
    </row>
    <row r="2271" spans="3:5" x14ac:dyDescent="0.35">
      <c r="C2271" s="1" t="s">
        <v>6347</v>
      </c>
      <c r="D2271" s="1" t="s">
        <v>18</v>
      </c>
      <c r="E2271" s="250">
        <v>5128.45</v>
      </c>
    </row>
    <row r="2272" spans="3:5" x14ac:dyDescent="0.35">
      <c r="C2272" s="1" t="s">
        <v>6346</v>
      </c>
      <c r="D2272" s="1" t="s">
        <v>18</v>
      </c>
      <c r="E2272" s="250">
        <v>5128.451</v>
      </c>
    </row>
    <row r="2273" spans="3:5" x14ac:dyDescent="0.35">
      <c r="C2273" s="1" t="s">
        <v>6345</v>
      </c>
      <c r="D2273" s="1" t="s">
        <v>18</v>
      </c>
      <c r="E2273" s="250">
        <v>5128.4520000000002</v>
      </c>
    </row>
    <row r="2274" spans="3:5" x14ac:dyDescent="0.35">
      <c r="C2274" s="1" t="s">
        <v>6344</v>
      </c>
      <c r="D2274" s="1" t="s">
        <v>18</v>
      </c>
      <c r="E2274" s="250">
        <v>5128.4530000000004</v>
      </c>
    </row>
    <row r="2275" spans="3:5" x14ac:dyDescent="0.35">
      <c r="C2275" s="1" t="s">
        <v>6343</v>
      </c>
      <c r="D2275" s="1" t="s">
        <v>18</v>
      </c>
      <c r="E2275" s="250">
        <v>5128.4539999999997</v>
      </c>
    </row>
    <row r="2276" spans="3:5" x14ac:dyDescent="0.35">
      <c r="C2276" s="1" t="s">
        <v>6342</v>
      </c>
      <c r="D2276" s="1" t="s">
        <v>18</v>
      </c>
      <c r="E2276" s="250">
        <v>5128.4549999999999</v>
      </c>
    </row>
    <row r="2277" spans="3:5" x14ac:dyDescent="0.35">
      <c r="C2277" s="1" t="s">
        <v>6341</v>
      </c>
      <c r="D2277" s="1" t="s">
        <v>18</v>
      </c>
      <c r="E2277" s="250">
        <v>5128.4560000000001</v>
      </c>
    </row>
    <row r="2278" spans="3:5" x14ac:dyDescent="0.35">
      <c r="C2278" s="1" t="s">
        <v>6340</v>
      </c>
      <c r="D2278" s="1" t="s">
        <v>18</v>
      </c>
      <c r="E2278" s="250">
        <v>5128.4570000000003</v>
      </c>
    </row>
    <row r="2279" spans="3:5" x14ac:dyDescent="0.35">
      <c r="C2279" s="1" t="s">
        <v>6339</v>
      </c>
      <c r="D2279" s="1" t="s">
        <v>18</v>
      </c>
      <c r="E2279" s="250">
        <v>5128.4579999999996</v>
      </c>
    </row>
    <row r="2280" spans="3:5" x14ac:dyDescent="0.35">
      <c r="C2280" s="1" t="s">
        <v>6338</v>
      </c>
      <c r="D2280" s="1" t="s">
        <v>18</v>
      </c>
      <c r="E2280" s="250">
        <v>5128.4589999999998</v>
      </c>
    </row>
    <row r="2281" spans="3:5" x14ac:dyDescent="0.35">
      <c r="C2281" s="1" t="s">
        <v>6337</v>
      </c>
      <c r="D2281" s="1" t="s">
        <v>18</v>
      </c>
      <c r="E2281" s="250">
        <v>5128.46</v>
      </c>
    </row>
    <row r="2282" spans="3:5" x14ac:dyDescent="0.35">
      <c r="C2282" s="1" t="s">
        <v>6336</v>
      </c>
      <c r="D2282" s="1" t="s">
        <v>18</v>
      </c>
      <c r="E2282" s="250">
        <v>5128.4610000000002</v>
      </c>
    </row>
    <row r="2283" spans="3:5" x14ac:dyDescent="0.35">
      <c r="C2283" s="1" t="s">
        <v>6335</v>
      </c>
      <c r="D2283" s="1" t="s">
        <v>18</v>
      </c>
      <c r="E2283" s="250">
        <v>5128.4620000000004</v>
      </c>
    </row>
    <row r="2284" spans="3:5" x14ac:dyDescent="0.35">
      <c r="C2284" s="1" t="s">
        <v>6334</v>
      </c>
      <c r="D2284" s="1" t="s">
        <v>18</v>
      </c>
      <c r="E2284" s="250">
        <v>5128.4629999999997</v>
      </c>
    </row>
    <row r="2285" spans="3:5" x14ac:dyDescent="0.35">
      <c r="C2285" s="1" t="s">
        <v>6333</v>
      </c>
      <c r="D2285" s="1" t="s">
        <v>18</v>
      </c>
      <c r="E2285" s="250">
        <v>5128.4639999999999</v>
      </c>
    </row>
    <row r="2286" spans="3:5" x14ac:dyDescent="0.35">
      <c r="C2286" s="1" t="s">
        <v>6332</v>
      </c>
      <c r="D2286" s="1" t="s">
        <v>18</v>
      </c>
      <c r="E2286" s="250">
        <v>5128.4650000000001</v>
      </c>
    </row>
    <row r="2287" spans="3:5" x14ac:dyDescent="0.35">
      <c r="C2287" s="1" t="s">
        <v>6331</v>
      </c>
      <c r="D2287" s="1" t="s">
        <v>18</v>
      </c>
      <c r="E2287" s="250">
        <v>5128.4660000000003</v>
      </c>
    </row>
    <row r="2288" spans="3:5" x14ac:dyDescent="0.35">
      <c r="C2288" s="1" t="s">
        <v>6330</v>
      </c>
      <c r="D2288" s="1" t="s">
        <v>18</v>
      </c>
      <c r="E2288" s="250">
        <v>5128.4669999999996</v>
      </c>
    </row>
    <row r="2289" spans="3:5" x14ac:dyDescent="0.35">
      <c r="C2289" s="1" t="s">
        <v>6329</v>
      </c>
      <c r="D2289" s="1" t="s">
        <v>18</v>
      </c>
      <c r="E2289" s="250">
        <v>5128.4679999999998</v>
      </c>
    </row>
    <row r="2290" spans="3:5" x14ac:dyDescent="0.35">
      <c r="C2290" s="1" t="s">
        <v>6328</v>
      </c>
      <c r="D2290" s="1" t="s">
        <v>18</v>
      </c>
      <c r="E2290" s="250">
        <v>5128.4690000000001</v>
      </c>
    </row>
    <row r="2291" spans="3:5" x14ac:dyDescent="0.35">
      <c r="C2291" s="1" t="s">
        <v>6327</v>
      </c>
      <c r="D2291" s="1" t="s">
        <v>18</v>
      </c>
      <c r="E2291" s="250">
        <v>5128.47</v>
      </c>
    </row>
    <row r="2292" spans="3:5" x14ac:dyDescent="0.35">
      <c r="C2292" s="1" t="s">
        <v>6326</v>
      </c>
      <c r="D2292" s="1" t="s">
        <v>18</v>
      </c>
      <c r="E2292" s="250">
        <v>5128.4709999999995</v>
      </c>
    </row>
    <row r="2293" spans="3:5" x14ac:dyDescent="0.35">
      <c r="C2293" s="1" t="s">
        <v>6325</v>
      </c>
      <c r="D2293" s="1" t="s">
        <v>18</v>
      </c>
      <c r="E2293" s="250">
        <v>5128.4719999999998</v>
      </c>
    </row>
    <row r="2294" spans="3:5" x14ac:dyDescent="0.35">
      <c r="C2294" s="1" t="s">
        <v>6324</v>
      </c>
      <c r="D2294" s="1" t="s">
        <v>18</v>
      </c>
      <c r="E2294" s="250">
        <v>5128.473</v>
      </c>
    </row>
    <row r="2295" spans="3:5" x14ac:dyDescent="0.35">
      <c r="C2295" s="1" t="s">
        <v>6323</v>
      </c>
      <c r="D2295" s="1" t="s">
        <v>18</v>
      </c>
      <c r="E2295" s="250">
        <v>5128.4740000000002</v>
      </c>
    </row>
    <row r="2296" spans="3:5" x14ac:dyDescent="0.35">
      <c r="C2296" s="1" t="s">
        <v>6322</v>
      </c>
      <c r="D2296" s="1" t="s">
        <v>18</v>
      </c>
      <c r="E2296" s="250">
        <v>5128.4750000000004</v>
      </c>
    </row>
    <row r="2297" spans="3:5" x14ac:dyDescent="0.35">
      <c r="C2297" s="1" t="s">
        <v>6321</v>
      </c>
      <c r="D2297" s="1" t="s">
        <v>18</v>
      </c>
      <c r="E2297" s="250">
        <v>5128.4759999999997</v>
      </c>
    </row>
    <row r="2298" spans="3:5" x14ac:dyDescent="0.35">
      <c r="C2298" s="1" t="s">
        <v>6320</v>
      </c>
      <c r="D2298" s="1" t="s">
        <v>18</v>
      </c>
      <c r="E2298" s="250">
        <v>5128.4769999999999</v>
      </c>
    </row>
    <row r="2299" spans="3:5" x14ac:dyDescent="0.35">
      <c r="C2299" s="1" t="s">
        <v>6319</v>
      </c>
      <c r="D2299" s="1" t="s">
        <v>18</v>
      </c>
      <c r="E2299" s="250">
        <v>5128.4780000000001</v>
      </c>
    </row>
    <row r="2300" spans="3:5" x14ac:dyDescent="0.35">
      <c r="C2300" s="1" t="s">
        <v>6318</v>
      </c>
      <c r="D2300" s="1" t="s">
        <v>18</v>
      </c>
      <c r="E2300" s="250">
        <v>5128.4790000000003</v>
      </c>
    </row>
    <row r="2301" spans="3:5" x14ac:dyDescent="0.35">
      <c r="C2301" s="1" t="s">
        <v>6317</v>
      </c>
      <c r="D2301" s="1" t="s">
        <v>18</v>
      </c>
      <c r="E2301" s="250">
        <v>5128.4799999999996</v>
      </c>
    </row>
    <row r="2302" spans="3:5" x14ac:dyDescent="0.35">
      <c r="C2302" s="1" t="s">
        <v>6316</v>
      </c>
      <c r="D2302" s="1" t="s">
        <v>18</v>
      </c>
      <c r="E2302" s="250">
        <v>5128.4809999999998</v>
      </c>
    </row>
    <row r="2303" spans="3:5" x14ac:dyDescent="0.35">
      <c r="C2303" s="1" t="s">
        <v>6315</v>
      </c>
      <c r="D2303" s="1" t="s">
        <v>18</v>
      </c>
      <c r="E2303" s="250">
        <v>5128.482</v>
      </c>
    </row>
    <row r="2304" spans="3:5" x14ac:dyDescent="0.35">
      <c r="C2304" s="1" t="s">
        <v>6314</v>
      </c>
      <c r="D2304" s="1" t="s">
        <v>18</v>
      </c>
      <c r="E2304" s="250">
        <v>5128.4830000000002</v>
      </c>
    </row>
    <row r="2305" spans="3:5" x14ac:dyDescent="0.35">
      <c r="C2305" s="1" t="s">
        <v>6313</v>
      </c>
      <c r="D2305" s="1" t="s">
        <v>18</v>
      </c>
      <c r="E2305" s="250">
        <v>5128.4840000000004</v>
      </c>
    </row>
    <row r="2306" spans="3:5" x14ac:dyDescent="0.35">
      <c r="C2306" s="1" t="s">
        <v>6312</v>
      </c>
      <c r="D2306" s="1" t="s">
        <v>18</v>
      </c>
      <c r="E2306" s="250">
        <v>5128.4849999999997</v>
      </c>
    </row>
    <row r="2307" spans="3:5" x14ac:dyDescent="0.35">
      <c r="C2307" s="1" t="s">
        <v>6311</v>
      </c>
      <c r="D2307" s="1" t="s">
        <v>18</v>
      </c>
      <c r="E2307" s="250">
        <v>5128.4859999999999</v>
      </c>
    </row>
    <row r="2308" spans="3:5" x14ac:dyDescent="0.35">
      <c r="C2308" s="1" t="s">
        <v>6310</v>
      </c>
      <c r="D2308" s="1" t="s">
        <v>18</v>
      </c>
      <c r="E2308" s="250">
        <v>5128.4870000000001</v>
      </c>
    </row>
    <row r="2309" spans="3:5" x14ac:dyDescent="0.35">
      <c r="C2309" s="1" t="s">
        <v>6309</v>
      </c>
      <c r="D2309" s="1" t="s">
        <v>18</v>
      </c>
      <c r="E2309" s="250">
        <v>5128.4880000000003</v>
      </c>
    </row>
    <row r="2310" spans="3:5" x14ac:dyDescent="0.35">
      <c r="C2310" s="1" t="s">
        <v>6308</v>
      </c>
      <c r="D2310" s="1" t="s">
        <v>18</v>
      </c>
      <c r="E2310" s="250">
        <v>5128.4889999999996</v>
      </c>
    </row>
    <row r="2311" spans="3:5" x14ac:dyDescent="0.35">
      <c r="C2311" s="1" t="s">
        <v>6307</v>
      </c>
      <c r="D2311" s="1" t="s">
        <v>18</v>
      </c>
      <c r="E2311" s="250">
        <v>5128.49</v>
      </c>
    </row>
    <row r="2312" spans="3:5" x14ac:dyDescent="0.35">
      <c r="C2312" s="1" t="s">
        <v>6306</v>
      </c>
      <c r="D2312" s="1" t="s">
        <v>18</v>
      </c>
      <c r="E2312" s="250">
        <v>5128.491</v>
      </c>
    </row>
    <row r="2313" spans="3:5" x14ac:dyDescent="0.35">
      <c r="C2313" s="1" t="s">
        <v>6305</v>
      </c>
      <c r="D2313" s="1" t="s">
        <v>18</v>
      </c>
      <c r="E2313" s="250">
        <v>5128.4920000000002</v>
      </c>
    </row>
    <row r="2314" spans="3:5" x14ac:dyDescent="0.35">
      <c r="C2314" s="1" t="s">
        <v>6304</v>
      </c>
      <c r="D2314" s="1" t="s">
        <v>18</v>
      </c>
      <c r="E2314" s="250">
        <v>5128.4930000000004</v>
      </c>
    </row>
    <row r="2315" spans="3:5" x14ac:dyDescent="0.35">
      <c r="C2315" s="1" t="s">
        <v>6303</v>
      </c>
      <c r="D2315" s="1" t="s">
        <v>18</v>
      </c>
      <c r="E2315" s="250">
        <v>5128.4939999999997</v>
      </c>
    </row>
    <row r="2316" spans="3:5" x14ac:dyDescent="0.35">
      <c r="C2316" s="1" t="s">
        <v>6302</v>
      </c>
      <c r="D2316" s="1" t="s">
        <v>18</v>
      </c>
      <c r="E2316" s="250">
        <v>5128.4949999999999</v>
      </c>
    </row>
    <row r="2317" spans="3:5" x14ac:dyDescent="0.35">
      <c r="C2317" s="1" t="s">
        <v>6301</v>
      </c>
      <c r="D2317" s="1" t="s">
        <v>18</v>
      </c>
      <c r="E2317" s="250">
        <v>5128.4960000000001</v>
      </c>
    </row>
    <row r="2318" spans="3:5" x14ac:dyDescent="0.35">
      <c r="C2318" s="1" t="s">
        <v>6300</v>
      </c>
      <c r="D2318" s="1" t="s">
        <v>18</v>
      </c>
      <c r="E2318" s="250">
        <v>5128.4970000000003</v>
      </c>
    </row>
    <row r="2319" spans="3:5" x14ac:dyDescent="0.35">
      <c r="C2319" s="1" t="s">
        <v>6299</v>
      </c>
      <c r="D2319" s="1" t="s">
        <v>18</v>
      </c>
      <c r="E2319" s="250">
        <v>5128.4979999999996</v>
      </c>
    </row>
    <row r="2320" spans="3:5" x14ac:dyDescent="0.35">
      <c r="C2320" s="1" t="s">
        <v>6298</v>
      </c>
      <c r="D2320" s="1" t="s">
        <v>18</v>
      </c>
      <c r="E2320" s="250">
        <v>5128.4989999999998</v>
      </c>
    </row>
    <row r="2321" spans="3:5" x14ac:dyDescent="0.35">
      <c r="C2321" s="1" t="s">
        <v>6297</v>
      </c>
      <c r="D2321" s="1" t="s">
        <v>18</v>
      </c>
      <c r="E2321" s="250">
        <v>5128.5</v>
      </c>
    </row>
    <row r="2322" spans="3:5" x14ac:dyDescent="0.35">
      <c r="C2322" s="1" t="s">
        <v>6296</v>
      </c>
      <c r="D2322" s="1" t="s">
        <v>18</v>
      </c>
      <c r="E2322" s="250">
        <v>5128.5010000000002</v>
      </c>
    </row>
    <row r="2323" spans="3:5" x14ac:dyDescent="0.35">
      <c r="C2323" s="1" t="s">
        <v>6295</v>
      </c>
      <c r="D2323" s="1" t="s">
        <v>18</v>
      </c>
      <c r="E2323" s="250">
        <v>5128.5020000000004</v>
      </c>
    </row>
    <row r="2324" spans="3:5" x14ac:dyDescent="0.35">
      <c r="C2324" s="1" t="s">
        <v>6294</v>
      </c>
      <c r="D2324" s="1" t="s">
        <v>18</v>
      </c>
      <c r="E2324" s="250">
        <v>5128.6109999999999</v>
      </c>
    </row>
    <row r="2325" spans="3:5" x14ac:dyDescent="0.35">
      <c r="C2325" s="1" t="s">
        <v>6293</v>
      </c>
      <c r="D2325" s="1" t="s">
        <v>18</v>
      </c>
      <c r="E2325" s="250">
        <v>5128.6120000000001</v>
      </c>
    </row>
    <row r="2326" spans="3:5" x14ac:dyDescent="0.35">
      <c r="C2326" s="1" t="s">
        <v>6292</v>
      </c>
      <c r="D2326" s="1" t="s">
        <v>18</v>
      </c>
      <c r="E2326" s="250">
        <v>5128.6130000000003</v>
      </c>
    </row>
    <row r="2327" spans="3:5" x14ac:dyDescent="0.35">
      <c r="C2327" s="1" t="s">
        <v>6291</v>
      </c>
      <c r="D2327" s="1" t="s">
        <v>18</v>
      </c>
      <c r="E2327" s="250">
        <v>5128.6139999999996</v>
      </c>
    </row>
    <row r="2328" spans="3:5" x14ac:dyDescent="0.35">
      <c r="C2328" s="1" t="s">
        <v>6290</v>
      </c>
      <c r="D2328" s="1" t="s">
        <v>18</v>
      </c>
      <c r="E2328" s="250">
        <v>5128.6149999999998</v>
      </c>
    </row>
    <row r="2329" spans="3:5" x14ac:dyDescent="0.35">
      <c r="C2329" s="1" t="s">
        <v>6289</v>
      </c>
      <c r="D2329" s="1" t="s">
        <v>18</v>
      </c>
      <c r="E2329" s="250">
        <v>5128.616</v>
      </c>
    </row>
    <row r="2330" spans="3:5" x14ac:dyDescent="0.35">
      <c r="C2330" s="1" t="s">
        <v>6288</v>
      </c>
      <c r="D2330" s="1" t="s">
        <v>18</v>
      </c>
      <c r="E2330" s="250">
        <v>5128.6170000000002</v>
      </c>
    </row>
    <row r="2331" spans="3:5" x14ac:dyDescent="0.35">
      <c r="C2331" s="1" t="s">
        <v>6287</v>
      </c>
      <c r="D2331" s="1" t="s">
        <v>18</v>
      </c>
      <c r="E2331" s="250">
        <v>5128.6180000000004</v>
      </c>
    </row>
    <row r="2332" spans="3:5" x14ac:dyDescent="0.35">
      <c r="C2332" s="1" t="s">
        <v>6286</v>
      </c>
      <c r="D2332" s="1" t="s">
        <v>18</v>
      </c>
      <c r="E2332" s="250">
        <v>5128.6189999999997</v>
      </c>
    </row>
    <row r="2333" spans="3:5" x14ac:dyDescent="0.35">
      <c r="C2333" s="1" t="s">
        <v>6285</v>
      </c>
      <c r="D2333" s="1" t="s">
        <v>18</v>
      </c>
      <c r="E2333" s="250">
        <v>5128.62</v>
      </c>
    </row>
    <row r="2334" spans="3:5" x14ac:dyDescent="0.35">
      <c r="C2334" s="1" t="s">
        <v>6284</v>
      </c>
      <c r="D2334" s="1" t="s">
        <v>18</v>
      </c>
      <c r="E2334" s="250">
        <v>5128.6210000000001</v>
      </c>
    </row>
    <row r="2335" spans="3:5" x14ac:dyDescent="0.35">
      <c r="C2335" s="1" t="s">
        <v>6283</v>
      </c>
      <c r="D2335" s="1" t="s">
        <v>18</v>
      </c>
      <c r="E2335" s="250">
        <v>5128.6310000000003</v>
      </c>
    </row>
    <row r="2336" spans="3:5" x14ac:dyDescent="0.35">
      <c r="C2336" s="1" t="s">
        <v>6282</v>
      </c>
      <c r="D2336" s="1" t="s">
        <v>18</v>
      </c>
      <c r="E2336" s="250">
        <v>5128.6319999999996</v>
      </c>
    </row>
    <row r="2337" spans="3:5" x14ac:dyDescent="0.35">
      <c r="C2337" s="1" t="s">
        <v>6281</v>
      </c>
      <c r="D2337" s="1" t="s">
        <v>18</v>
      </c>
      <c r="E2337" s="250">
        <v>5128.6329999999998</v>
      </c>
    </row>
    <row r="2338" spans="3:5" x14ac:dyDescent="0.35">
      <c r="C2338" s="1" t="s">
        <v>6280</v>
      </c>
      <c r="D2338" s="1" t="s">
        <v>18</v>
      </c>
      <c r="E2338" s="250">
        <v>5128.634</v>
      </c>
    </row>
    <row r="2339" spans="3:5" x14ac:dyDescent="0.35">
      <c r="C2339" s="1" t="s">
        <v>6279</v>
      </c>
      <c r="D2339" s="1" t="s">
        <v>18</v>
      </c>
      <c r="E2339" s="250">
        <v>5128.6350000000002</v>
      </c>
    </row>
    <row r="2340" spans="3:5" x14ac:dyDescent="0.35">
      <c r="C2340" s="1" t="s">
        <v>6278</v>
      </c>
      <c r="D2340" s="1" t="s">
        <v>18</v>
      </c>
      <c r="E2340" s="250">
        <v>5128.6360000000004</v>
      </c>
    </row>
    <row r="2341" spans="3:5" x14ac:dyDescent="0.35">
      <c r="C2341" s="1" t="s">
        <v>6277</v>
      </c>
      <c r="D2341" s="1" t="s">
        <v>18</v>
      </c>
      <c r="E2341" s="250">
        <v>5128.6369999999997</v>
      </c>
    </row>
    <row r="2342" spans="3:5" x14ac:dyDescent="0.35">
      <c r="C2342" s="1" t="s">
        <v>6276</v>
      </c>
      <c r="D2342" s="1" t="s">
        <v>18</v>
      </c>
      <c r="E2342" s="250">
        <v>5128.6379999999999</v>
      </c>
    </row>
    <row r="2343" spans="3:5" x14ac:dyDescent="0.35">
      <c r="C2343" s="1" t="s">
        <v>6275</v>
      </c>
      <c r="D2343" s="1" t="s">
        <v>18</v>
      </c>
      <c r="E2343" s="250">
        <v>5128.6390000000001</v>
      </c>
    </row>
    <row r="2344" spans="3:5" x14ac:dyDescent="0.35">
      <c r="C2344" s="1" t="s">
        <v>6274</v>
      </c>
      <c r="D2344" s="1" t="s">
        <v>18</v>
      </c>
      <c r="E2344" s="250">
        <v>5128.6400000000003</v>
      </c>
    </row>
    <row r="2345" spans="3:5" x14ac:dyDescent="0.35">
      <c r="C2345" s="1" t="s">
        <v>6273</v>
      </c>
      <c r="D2345" s="1" t="s">
        <v>18</v>
      </c>
      <c r="E2345" s="250">
        <v>5128.6409999999996</v>
      </c>
    </row>
    <row r="2346" spans="3:5" x14ac:dyDescent="0.35">
      <c r="C2346" s="1" t="s">
        <v>6272</v>
      </c>
      <c r="D2346" s="1" t="s">
        <v>18</v>
      </c>
      <c r="E2346" s="250">
        <v>5128.6509999999998</v>
      </c>
    </row>
    <row r="2347" spans="3:5" x14ac:dyDescent="0.35">
      <c r="C2347" s="1" t="s">
        <v>6271</v>
      </c>
      <c r="D2347" s="1" t="s">
        <v>18</v>
      </c>
      <c r="E2347" s="250">
        <v>5128.652</v>
      </c>
    </row>
    <row r="2348" spans="3:5" x14ac:dyDescent="0.35">
      <c r="C2348" s="1" t="s">
        <v>6270</v>
      </c>
      <c r="D2348" s="1" t="s">
        <v>18</v>
      </c>
      <c r="E2348" s="250">
        <v>5128.6530000000002</v>
      </c>
    </row>
    <row r="2349" spans="3:5" x14ac:dyDescent="0.35">
      <c r="C2349" s="1" t="s">
        <v>6269</v>
      </c>
      <c r="D2349" s="1" t="s">
        <v>18</v>
      </c>
      <c r="E2349" s="250">
        <v>5128.6540000000005</v>
      </c>
    </row>
    <row r="2350" spans="3:5" x14ac:dyDescent="0.35">
      <c r="C2350" s="1" t="s">
        <v>6268</v>
      </c>
      <c r="D2350" s="1" t="s">
        <v>18</v>
      </c>
      <c r="E2350" s="250">
        <v>5128.6549999999997</v>
      </c>
    </row>
    <row r="2351" spans="3:5" x14ac:dyDescent="0.35">
      <c r="C2351" s="1" t="s">
        <v>6267</v>
      </c>
      <c r="D2351" s="1" t="s">
        <v>18</v>
      </c>
      <c r="E2351" s="250">
        <v>5128.6559999999999</v>
      </c>
    </row>
    <row r="2352" spans="3:5" x14ac:dyDescent="0.35">
      <c r="C2352" s="1" t="s">
        <v>6266</v>
      </c>
      <c r="D2352" s="1" t="s">
        <v>18</v>
      </c>
      <c r="E2352" s="250">
        <v>5128.6570000000002</v>
      </c>
    </row>
    <row r="2353" spans="3:5" x14ac:dyDescent="0.35">
      <c r="C2353" s="1" t="s">
        <v>6265</v>
      </c>
      <c r="D2353" s="1" t="s">
        <v>18</v>
      </c>
      <c r="E2353" s="250">
        <v>5128.6580000000004</v>
      </c>
    </row>
    <row r="2354" spans="3:5" x14ac:dyDescent="0.35">
      <c r="C2354" s="1" t="s">
        <v>6264</v>
      </c>
      <c r="D2354" s="1" t="s">
        <v>18</v>
      </c>
      <c r="E2354" s="250">
        <v>5128.6589999999997</v>
      </c>
    </row>
    <row r="2355" spans="3:5" x14ac:dyDescent="0.35">
      <c r="C2355" s="1" t="s">
        <v>6263</v>
      </c>
      <c r="D2355" s="1" t="s">
        <v>18</v>
      </c>
      <c r="E2355" s="250">
        <v>5128.66</v>
      </c>
    </row>
    <row r="2356" spans="3:5" x14ac:dyDescent="0.35">
      <c r="C2356" s="1" t="s">
        <v>6262</v>
      </c>
      <c r="D2356" s="1" t="s">
        <v>18</v>
      </c>
      <c r="E2356" s="250">
        <v>5128.6610000000001</v>
      </c>
    </row>
    <row r="2357" spans="3:5" x14ac:dyDescent="0.35">
      <c r="C2357" s="1" t="s">
        <v>6261</v>
      </c>
      <c r="D2357" s="1" t="s">
        <v>18</v>
      </c>
      <c r="E2357" s="250">
        <v>5128.6710000000003</v>
      </c>
    </row>
    <row r="2358" spans="3:5" x14ac:dyDescent="0.35">
      <c r="C2358" s="1" t="s">
        <v>6260</v>
      </c>
      <c r="D2358" s="1" t="s">
        <v>18</v>
      </c>
      <c r="E2358" s="250">
        <v>5128.6719999999996</v>
      </c>
    </row>
    <row r="2359" spans="3:5" x14ac:dyDescent="0.35">
      <c r="C2359" s="1" t="s">
        <v>6259</v>
      </c>
      <c r="D2359" s="1" t="s">
        <v>18</v>
      </c>
      <c r="E2359" s="250">
        <v>5128.6729999999998</v>
      </c>
    </row>
    <row r="2360" spans="3:5" x14ac:dyDescent="0.35">
      <c r="C2360" s="1" t="s">
        <v>6258</v>
      </c>
      <c r="D2360" s="1" t="s">
        <v>18</v>
      </c>
      <c r="E2360" s="250">
        <v>5128.674</v>
      </c>
    </row>
    <row r="2361" spans="3:5" x14ac:dyDescent="0.35">
      <c r="C2361" s="1" t="s">
        <v>6257</v>
      </c>
      <c r="D2361" s="1" t="s">
        <v>18</v>
      </c>
      <c r="E2361" s="250">
        <v>5128.6750000000002</v>
      </c>
    </row>
    <row r="2362" spans="3:5" x14ac:dyDescent="0.35">
      <c r="C2362" s="1" t="s">
        <v>6256</v>
      </c>
      <c r="D2362" s="1" t="s">
        <v>18</v>
      </c>
      <c r="E2362" s="250">
        <v>5128.6760000000004</v>
      </c>
    </row>
    <row r="2363" spans="3:5" x14ac:dyDescent="0.35">
      <c r="C2363" s="1" t="s">
        <v>6255</v>
      </c>
      <c r="D2363" s="1" t="s">
        <v>18</v>
      </c>
      <c r="E2363" s="250">
        <v>5128.6769999999997</v>
      </c>
    </row>
    <row r="2364" spans="3:5" x14ac:dyDescent="0.35">
      <c r="C2364" s="1" t="s">
        <v>6254</v>
      </c>
      <c r="D2364" s="1" t="s">
        <v>18</v>
      </c>
      <c r="E2364" s="250">
        <v>5128.6779999999999</v>
      </c>
    </row>
    <row r="2365" spans="3:5" x14ac:dyDescent="0.35">
      <c r="C2365" s="1" t="s">
        <v>6253</v>
      </c>
      <c r="D2365" s="1" t="s">
        <v>18</v>
      </c>
      <c r="E2365" s="250">
        <v>5128.6790000000001</v>
      </c>
    </row>
    <row r="2366" spans="3:5" x14ac:dyDescent="0.35">
      <c r="C2366" s="1" t="s">
        <v>6252</v>
      </c>
      <c r="D2366" s="1" t="s">
        <v>18</v>
      </c>
      <c r="E2366" s="250">
        <v>5128.68</v>
      </c>
    </row>
    <row r="2367" spans="3:5" x14ac:dyDescent="0.35">
      <c r="C2367" s="1" t="s">
        <v>6251</v>
      </c>
      <c r="D2367" s="1" t="s">
        <v>18</v>
      </c>
      <c r="E2367" s="250">
        <v>5128.6809999999996</v>
      </c>
    </row>
    <row r="2368" spans="3:5" x14ac:dyDescent="0.35">
      <c r="C2368" s="1" t="s">
        <v>6250</v>
      </c>
      <c r="D2368" s="1" t="s">
        <v>18</v>
      </c>
      <c r="E2368" s="250">
        <v>5128.6909999999998</v>
      </c>
    </row>
    <row r="2369" spans="3:5" x14ac:dyDescent="0.35">
      <c r="C2369" s="1" t="s">
        <v>6249</v>
      </c>
      <c r="D2369" s="1" t="s">
        <v>18</v>
      </c>
      <c r="E2369" s="250">
        <v>5128.692</v>
      </c>
    </row>
    <row r="2370" spans="3:5" x14ac:dyDescent="0.35">
      <c r="C2370" s="1" t="s">
        <v>6248</v>
      </c>
      <c r="D2370" s="1" t="s">
        <v>18</v>
      </c>
      <c r="E2370" s="250">
        <v>5128.6930000000002</v>
      </c>
    </row>
    <row r="2371" spans="3:5" x14ac:dyDescent="0.35">
      <c r="C2371" s="1" t="s">
        <v>6247</v>
      </c>
      <c r="D2371" s="1" t="s">
        <v>18</v>
      </c>
      <c r="E2371" s="250">
        <v>5128.6940000000004</v>
      </c>
    </row>
    <row r="2372" spans="3:5" x14ac:dyDescent="0.35">
      <c r="C2372" s="1" t="s">
        <v>6246</v>
      </c>
      <c r="D2372" s="1" t="s">
        <v>18</v>
      </c>
      <c r="E2372" s="250">
        <v>5128.6949999999997</v>
      </c>
    </row>
    <row r="2373" spans="3:5" x14ac:dyDescent="0.35">
      <c r="C2373" s="1" t="s">
        <v>6245</v>
      </c>
      <c r="D2373" s="1" t="s">
        <v>18</v>
      </c>
      <c r="E2373" s="250">
        <v>5128.6959999999999</v>
      </c>
    </row>
    <row r="2374" spans="3:5" x14ac:dyDescent="0.35">
      <c r="C2374" s="1" t="s">
        <v>6244</v>
      </c>
      <c r="D2374" s="1" t="s">
        <v>18</v>
      </c>
      <c r="E2374" s="250">
        <v>5128.6970000000001</v>
      </c>
    </row>
    <row r="2375" spans="3:5" x14ac:dyDescent="0.35">
      <c r="C2375" s="1" t="s">
        <v>6243</v>
      </c>
      <c r="D2375" s="1" t="s">
        <v>18</v>
      </c>
      <c r="E2375" s="250">
        <v>5128.6980000000003</v>
      </c>
    </row>
    <row r="2376" spans="3:5" x14ac:dyDescent="0.35">
      <c r="C2376" s="1" t="s">
        <v>6242</v>
      </c>
      <c r="D2376" s="1" t="s">
        <v>18</v>
      </c>
      <c r="E2376" s="250">
        <v>5128.6989999999996</v>
      </c>
    </row>
    <row r="2377" spans="3:5" x14ac:dyDescent="0.35">
      <c r="C2377" s="1" t="s">
        <v>6241</v>
      </c>
      <c r="D2377" s="1" t="s">
        <v>18</v>
      </c>
      <c r="E2377" s="250">
        <v>5128.7</v>
      </c>
    </row>
    <row r="2378" spans="3:5" x14ac:dyDescent="0.35">
      <c r="C2378" s="1" t="s">
        <v>6240</v>
      </c>
      <c r="D2378" s="1" t="s">
        <v>18</v>
      </c>
      <c r="E2378" s="250">
        <v>5128.701</v>
      </c>
    </row>
    <row r="2379" spans="3:5" x14ac:dyDescent="0.35">
      <c r="C2379" s="1" t="s">
        <v>6239</v>
      </c>
      <c r="D2379" s="1" t="s">
        <v>18</v>
      </c>
      <c r="E2379" s="250">
        <v>5128.7110000000002</v>
      </c>
    </row>
    <row r="2380" spans="3:5" x14ac:dyDescent="0.35">
      <c r="C2380" s="1" t="s">
        <v>6238</v>
      </c>
      <c r="D2380" s="1" t="s">
        <v>18</v>
      </c>
      <c r="E2380" s="250">
        <v>5128.7120000000004</v>
      </c>
    </row>
    <row r="2381" spans="3:5" x14ac:dyDescent="0.35">
      <c r="C2381" s="1" t="s">
        <v>6237</v>
      </c>
      <c r="D2381" s="1" t="s">
        <v>18</v>
      </c>
      <c r="E2381" s="250">
        <v>5128.7129999999997</v>
      </c>
    </row>
    <row r="2382" spans="3:5" x14ac:dyDescent="0.35">
      <c r="C2382" s="1" t="s">
        <v>6236</v>
      </c>
      <c r="D2382" s="1" t="s">
        <v>18</v>
      </c>
      <c r="E2382" s="250">
        <v>5128.7139999999999</v>
      </c>
    </row>
    <row r="2383" spans="3:5" x14ac:dyDescent="0.35">
      <c r="C2383" s="1" t="s">
        <v>6235</v>
      </c>
      <c r="D2383" s="1" t="s">
        <v>18</v>
      </c>
      <c r="E2383" s="250">
        <v>5128.7150000000001</v>
      </c>
    </row>
    <row r="2384" spans="3:5" x14ac:dyDescent="0.35">
      <c r="C2384" s="1" t="s">
        <v>6234</v>
      </c>
      <c r="D2384" s="1" t="s">
        <v>18</v>
      </c>
      <c r="E2384" s="250">
        <v>5128.7160000000003</v>
      </c>
    </row>
    <row r="2385" spans="3:5" x14ac:dyDescent="0.35">
      <c r="C2385" s="1" t="s">
        <v>6233</v>
      </c>
      <c r="D2385" s="1" t="s">
        <v>18</v>
      </c>
      <c r="E2385" s="250">
        <v>5128.7169999999996</v>
      </c>
    </row>
    <row r="2386" spans="3:5" x14ac:dyDescent="0.35">
      <c r="C2386" s="1" t="s">
        <v>6232</v>
      </c>
      <c r="D2386" s="1" t="s">
        <v>18</v>
      </c>
      <c r="E2386" s="250">
        <v>5128.7179999999998</v>
      </c>
    </row>
    <row r="2387" spans="3:5" x14ac:dyDescent="0.35">
      <c r="C2387" s="1" t="s">
        <v>6231</v>
      </c>
      <c r="D2387" s="1" t="s">
        <v>18</v>
      </c>
      <c r="E2387" s="250">
        <v>5128.7190000000001</v>
      </c>
    </row>
    <row r="2388" spans="3:5" x14ac:dyDescent="0.35">
      <c r="C2388" s="1" t="s">
        <v>6230</v>
      </c>
      <c r="D2388" s="1" t="s">
        <v>18</v>
      </c>
      <c r="E2388" s="250">
        <v>5128.72</v>
      </c>
    </row>
    <row r="2389" spans="3:5" x14ac:dyDescent="0.35">
      <c r="C2389" s="1" t="s">
        <v>6229</v>
      </c>
      <c r="D2389" s="1" t="s">
        <v>18</v>
      </c>
      <c r="E2389" s="250">
        <v>5128.7209999999995</v>
      </c>
    </row>
    <row r="2390" spans="3:5" x14ac:dyDescent="0.35">
      <c r="C2390" s="1" t="s">
        <v>6228</v>
      </c>
      <c r="D2390" s="1" t="s">
        <v>18</v>
      </c>
      <c r="E2390" s="250">
        <v>5128.7309999999998</v>
      </c>
    </row>
    <row r="2391" spans="3:5" x14ac:dyDescent="0.35">
      <c r="C2391" s="1" t="s">
        <v>6227</v>
      </c>
      <c r="D2391" s="1" t="s">
        <v>18</v>
      </c>
      <c r="E2391" s="250">
        <v>5128.732</v>
      </c>
    </row>
    <row r="2392" spans="3:5" x14ac:dyDescent="0.35">
      <c r="C2392" s="1" t="s">
        <v>6226</v>
      </c>
      <c r="D2392" s="1" t="s">
        <v>18</v>
      </c>
      <c r="E2392" s="250">
        <v>5128.7330000000002</v>
      </c>
    </row>
    <row r="2393" spans="3:5" x14ac:dyDescent="0.35">
      <c r="C2393" s="1" t="s">
        <v>6225</v>
      </c>
      <c r="D2393" s="1" t="s">
        <v>18</v>
      </c>
      <c r="E2393" s="250">
        <v>5128.7340000000004</v>
      </c>
    </row>
    <row r="2394" spans="3:5" x14ac:dyDescent="0.35">
      <c r="C2394" s="1" t="s">
        <v>6224</v>
      </c>
      <c r="D2394" s="1" t="s">
        <v>18</v>
      </c>
      <c r="E2394" s="250">
        <v>5128.7349999999997</v>
      </c>
    </row>
    <row r="2395" spans="3:5" x14ac:dyDescent="0.35">
      <c r="C2395" s="1" t="s">
        <v>6223</v>
      </c>
      <c r="D2395" s="1" t="s">
        <v>18</v>
      </c>
      <c r="E2395" s="250">
        <v>5128.7359999999999</v>
      </c>
    </row>
    <row r="2396" spans="3:5" x14ac:dyDescent="0.35">
      <c r="C2396" s="1" t="s">
        <v>6222</v>
      </c>
      <c r="D2396" s="1" t="s">
        <v>18</v>
      </c>
      <c r="E2396" s="250">
        <v>5128.7370000000001</v>
      </c>
    </row>
    <row r="2397" spans="3:5" x14ac:dyDescent="0.35">
      <c r="C2397" s="1" t="s">
        <v>6221</v>
      </c>
      <c r="D2397" s="1" t="s">
        <v>18</v>
      </c>
      <c r="E2397" s="250">
        <v>5128.7380000000003</v>
      </c>
    </row>
    <row r="2398" spans="3:5" x14ac:dyDescent="0.35">
      <c r="C2398" s="1" t="s">
        <v>6220</v>
      </c>
      <c r="D2398" s="1" t="s">
        <v>18</v>
      </c>
      <c r="E2398" s="250">
        <v>5128.7389999999996</v>
      </c>
    </row>
    <row r="2399" spans="3:5" x14ac:dyDescent="0.35">
      <c r="C2399" s="1" t="s">
        <v>6219</v>
      </c>
      <c r="D2399" s="1" t="s">
        <v>18</v>
      </c>
      <c r="E2399" s="250">
        <v>5128.74</v>
      </c>
    </row>
    <row r="2400" spans="3:5" x14ac:dyDescent="0.35">
      <c r="C2400" s="1" t="s">
        <v>6218</v>
      </c>
      <c r="D2400" s="1" t="s">
        <v>18</v>
      </c>
      <c r="E2400" s="250">
        <v>5128.741</v>
      </c>
    </row>
    <row r="2401" spans="3:5" x14ac:dyDescent="0.35">
      <c r="C2401" s="1" t="s">
        <v>6217</v>
      </c>
      <c r="D2401" s="1" t="s">
        <v>18</v>
      </c>
      <c r="E2401" s="250">
        <v>5128.7510000000002</v>
      </c>
    </row>
    <row r="2402" spans="3:5" x14ac:dyDescent="0.35">
      <c r="C2402" s="1" t="s">
        <v>6216</v>
      </c>
      <c r="D2402" s="1" t="s">
        <v>18</v>
      </c>
      <c r="E2402" s="250">
        <v>5128.7520000000004</v>
      </c>
    </row>
    <row r="2403" spans="3:5" x14ac:dyDescent="0.35">
      <c r="C2403" s="1" t="s">
        <v>6215</v>
      </c>
      <c r="D2403" s="1" t="s">
        <v>18</v>
      </c>
      <c r="E2403" s="250">
        <v>5128.7529999999997</v>
      </c>
    </row>
    <row r="2404" spans="3:5" x14ac:dyDescent="0.35">
      <c r="C2404" s="1" t="s">
        <v>6214</v>
      </c>
      <c r="D2404" s="1" t="s">
        <v>18</v>
      </c>
      <c r="E2404" s="250">
        <v>5128.7539999999999</v>
      </c>
    </row>
    <row r="2405" spans="3:5" x14ac:dyDescent="0.35">
      <c r="C2405" s="1" t="s">
        <v>6213</v>
      </c>
      <c r="D2405" s="1" t="s">
        <v>18</v>
      </c>
      <c r="E2405" s="250">
        <v>5128.7550000000001</v>
      </c>
    </row>
    <row r="2406" spans="3:5" x14ac:dyDescent="0.35">
      <c r="C2406" s="1" t="s">
        <v>6212</v>
      </c>
      <c r="D2406" s="1" t="s">
        <v>18</v>
      </c>
      <c r="E2406" s="250">
        <v>5128.7560000000003</v>
      </c>
    </row>
    <row r="2407" spans="3:5" x14ac:dyDescent="0.35">
      <c r="C2407" s="1" t="s">
        <v>6211</v>
      </c>
      <c r="D2407" s="1" t="s">
        <v>18</v>
      </c>
      <c r="E2407" s="250">
        <v>5128.7569999999996</v>
      </c>
    </row>
    <row r="2408" spans="3:5" x14ac:dyDescent="0.35">
      <c r="C2408" s="1" t="s">
        <v>6210</v>
      </c>
      <c r="D2408" s="1" t="s">
        <v>18</v>
      </c>
      <c r="E2408" s="250">
        <v>5128.7579999999998</v>
      </c>
    </row>
    <row r="2409" spans="3:5" x14ac:dyDescent="0.35">
      <c r="C2409" s="1" t="s">
        <v>6209</v>
      </c>
      <c r="D2409" s="1" t="s">
        <v>18</v>
      </c>
      <c r="E2409" s="250">
        <v>5128.759</v>
      </c>
    </row>
    <row r="2410" spans="3:5" x14ac:dyDescent="0.35">
      <c r="C2410" s="1" t="s">
        <v>6208</v>
      </c>
      <c r="D2410" s="1" t="s">
        <v>18</v>
      </c>
      <c r="E2410" s="250">
        <v>5128.76</v>
      </c>
    </row>
    <row r="2411" spans="3:5" x14ac:dyDescent="0.35">
      <c r="C2411" s="1" t="s">
        <v>6207</v>
      </c>
      <c r="D2411" s="1" t="s">
        <v>18</v>
      </c>
      <c r="E2411" s="250">
        <v>5128.7610000000004</v>
      </c>
    </row>
    <row r="2412" spans="3:5" x14ac:dyDescent="0.35">
      <c r="C2412" s="1" t="s">
        <v>6206</v>
      </c>
      <c r="D2412" s="1" t="s">
        <v>18</v>
      </c>
      <c r="E2412" s="250">
        <v>5128.7709999999997</v>
      </c>
    </row>
    <row r="2413" spans="3:5" x14ac:dyDescent="0.35">
      <c r="C2413" s="1" t="s">
        <v>6205</v>
      </c>
      <c r="D2413" s="1" t="s">
        <v>18</v>
      </c>
      <c r="E2413" s="250">
        <v>5128.7719999999999</v>
      </c>
    </row>
    <row r="2414" spans="3:5" x14ac:dyDescent="0.35">
      <c r="C2414" s="1" t="s">
        <v>6204</v>
      </c>
      <c r="D2414" s="1" t="s">
        <v>18</v>
      </c>
      <c r="E2414" s="250">
        <v>5128.7730000000001</v>
      </c>
    </row>
    <row r="2415" spans="3:5" x14ac:dyDescent="0.35">
      <c r="C2415" s="1" t="s">
        <v>6203</v>
      </c>
      <c r="D2415" s="1" t="s">
        <v>18</v>
      </c>
      <c r="E2415" s="250">
        <v>5128.7740000000003</v>
      </c>
    </row>
    <row r="2416" spans="3:5" x14ac:dyDescent="0.35">
      <c r="C2416" s="1" t="s">
        <v>6202</v>
      </c>
      <c r="D2416" s="1" t="s">
        <v>18</v>
      </c>
      <c r="E2416" s="250">
        <v>5128.7749999999996</v>
      </c>
    </row>
    <row r="2417" spans="3:5" x14ac:dyDescent="0.35">
      <c r="C2417" s="1" t="s">
        <v>6201</v>
      </c>
      <c r="D2417" s="1" t="s">
        <v>18</v>
      </c>
      <c r="E2417" s="250">
        <v>5128.7759999999998</v>
      </c>
    </row>
    <row r="2418" spans="3:5" x14ac:dyDescent="0.35">
      <c r="C2418" s="1" t="s">
        <v>6200</v>
      </c>
      <c r="D2418" s="1" t="s">
        <v>18</v>
      </c>
      <c r="E2418" s="250">
        <v>5128.777</v>
      </c>
    </row>
    <row r="2419" spans="3:5" x14ac:dyDescent="0.35">
      <c r="C2419" s="1" t="s">
        <v>6199</v>
      </c>
      <c r="D2419" s="1" t="s">
        <v>18</v>
      </c>
      <c r="E2419" s="250">
        <v>5128.7780000000002</v>
      </c>
    </row>
    <row r="2420" spans="3:5" x14ac:dyDescent="0.35">
      <c r="C2420" s="1" t="s">
        <v>6198</v>
      </c>
      <c r="D2420" s="1" t="s">
        <v>18</v>
      </c>
      <c r="E2420" s="250">
        <v>5128.7790000000005</v>
      </c>
    </row>
    <row r="2421" spans="3:5" x14ac:dyDescent="0.35">
      <c r="C2421" s="1" t="s">
        <v>6197</v>
      </c>
      <c r="D2421" s="1" t="s">
        <v>18</v>
      </c>
      <c r="E2421" s="250">
        <v>5128.78</v>
      </c>
    </row>
    <row r="2422" spans="3:5" x14ac:dyDescent="0.35">
      <c r="C2422" s="1" t="s">
        <v>6196</v>
      </c>
      <c r="D2422" s="1" t="s">
        <v>18</v>
      </c>
      <c r="E2422" s="250">
        <v>5128.7809999999999</v>
      </c>
    </row>
    <row r="2423" spans="3:5" x14ac:dyDescent="0.35">
      <c r="C2423" s="1" t="s">
        <v>6195</v>
      </c>
      <c r="D2423" s="1" t="s">
        <v>18</v>
      </c>
      <c r="E2423" s="250">
        <v>5128.7910000000002</v>
      </c>
    </row>
    <row r="2424" spans="3:5" x14ac:dyDescent="0.35">
      <c r="C2424" s="1" t="s">
        <v>6194</v>
      </c>
      <c r="D2424" s="1" t="s">
        <v>18</v>
      </c>
      <c r="E2424" s="250">
        <v>5128.7920000000004</v>
      </c>
    </row>
    <row r="2425" spans="3:5" x14ac:dyDescent="0.35">
      <c r="C2425" s="1" t="s">
        <v>6193</v>
      </c>
      <c r="D2425" s="1" t="s">
        <v>18</v>
      </c>
      <c r="E2425" s="250">
        <v>5128.7929999999997</v>
      </c>
    </row>
    <row r="2426" spans="3:5" x14ac:dyDescent="0.35">
      <c r="C2426" s="1" t="s">
        <v>6192</v>
      </c>
      <c r="D2426" s="1" t="s">
        <v>18</v>
      </c>
      <c r="E2426" s="250">
        <v>5128.7939999999999</v>
      </c>
    </row>
    <row r="2427" spans="3:5" x14ac:dyDescent="0.35">
      <c r="C2427" s="1" t="s">
        <v>6191</v>
      </c>
      <c r="D2427" s="1" t="s">
        <v>18</v>
      </c>
      <c r="E2427" s="250">
        <v>5128.7950000000001</v>
      </c>
    </row>
    <row r="2428" spans="3:5" x14ac:dyDescent="0.35">
      <c r="C2428" s="1" t="s">
        <v>6190</v>
      </c>
      <c r="D2428" s="1" t="s">
        <v>18</v>
      </c>
      <c r="E2428" s="250">
        <v>5128.7960000000003</v>
      </c>
    </row>
    <row r="2429" spans="3:5" x14ac:dyDescent="0.35">
      <c r="C2429" s="1" t="s">
        <v>6189</v>
      </c>
      <c r="D2429" s="1" t="s">
        <v>18</v>
      </c>
      <c r="E2429" s="250">
        <v>5128.7969999999996</v>
      </c>
    </row>
    <row r="2430" spans="3:5" x14ac:dyDescent="0.35">
      <c r="C2430" s="1" t="s">
        <v>6188</v>
      </c>
      <c r="D2430" s="1" t="s">
        <v>18</v>
      </c>
      <c r="E2430" s="250">
        <v>5128.7979999999998</v>
      </c>
    </row>
    <row r="2431" spans="3:5" x14ac:dyDescent="0.35">
      <c r="C2431" s="1" t="s">
        <v>6187</v>
      </c>
      <c r="D2431" s="1" t="s">
        <v>18</v>
      </c>
      <c r="E2431" s="250">
        <v>5128.799</v>
      </c>
    </row>
    <row r="2432" spans="3:5" x14ac:dyDescent="0.35">
      <c r="C2432" s="1" t="s">
        <v>6186</v>
      </c>
      <c r="D2432" s="1" t="s">
        <v>18</v>
      </c>
      <c r="E2432" s="250">
        <v>5128.8</v>
      </c>
    </row>
    <row r="2433" spans="3:5" x14ac:dyDescent="0.35">
      <c r="C2433" s="1" t="s">
        <v>6185</v>
      </c>
      <c r="D2433" s="1" t="s">
        <v>18</v>
      </c>
      <c r="E2433" s="250">
        <v>5128.8010000000004</v>
      </c>
    </row>
    <row r="2434" spans="3:5" x14ac:dyDescent="0.35">
      <c r="C2434" s="1" t="s">
        <v>6184</v>
      </c>
      <c r="D2434" s="1" t="s">
        <v>20</v>
      </c>
      <c r="E2434" s="250">
        <v>5129.01</v>
      </c>
    </row>
    <row r="2435" spans="3:5" x14ac:dyDescent="0.35">
      <c r="C2435" s="1" t="s">
        <v>6184</v>
      </c>
      <c r="D2435" s="1" t="s">
        <v>77</v>
      </c>
      <c r="E2435" s="250">
        <v>5129.0110000000004</v>
      </c>
    </row>
    <row r="2436" spans="3:5" x14ac:dyDescent="0.35">
      <c r="C2436" s="1" t="s">
        <v>6183</v>
      </c>
      <c r="D2436" s="1" t="s">
        <v>20</v>
      </c>
      <c r="E2436" s="250">
        <v>5129.0200000000004</v>
      </c>
    </row>
    <row r="2437" spans="3:5" x14ac:dyDescent="0.35">
      <c r="C2437" s="1" t="s">
        <v>6183</v>
      </c>
      <c r="D2437" s="1" t="s">
        <v>77</v>
      </c>
      <c r="E2437" s="250">
        <v>5129.0209999999997</v>
      </c>
    </row>
    <row r="2438" spans="3:5" x14ac:dyDescent="0.35">
      <c r="C2438" s="1" t="s">
        <v>6182</v>
      </c>
      <c r="D2438" s="1" t="s">
        <v>20</v>
      </c>
      <c r="E2438" s="250">
        <v>5129.03</v>
      </c>
    </row>
    <row r="2439" spans="3:5" x14ac:dyDescent="0.35">
      <c r="C2439" s="1" t="s">
        <v>6182</v>
      </c>
      <c r="D2439" s="1" t="s">
        <v>77</v>
      </c>
      <c r="E2439" s="250">
        <v>5129.0309999999999</v>
      </c>
    </row>
    <row r="2440" spans="3:5" x14ac:dyDescent="0.35">
      <c r="C2440" s="1" t="s">
        <v>6181</v>
      </c>
      <c r="D2440" s="1" t="s">
        <v>20</v>
      </c>
      <c r="E2440" s="250">
        <v>5129.09</v>
      </c>
    </row>
    <row r="2441" spans="3:5" x14ac:dyDescent="0.35">
      <c r="C2441" s="1" t="s">
        <v>6181</v>
      </c>
      <c r="D2441" s="1" t="s">
        <v>77</v>
      </c>
      <c r="E2441" s="250">
        <v>5129.0910000000003</v>
      </c>
    </row>
    <row r="2442" spans="3:5" x14ac:dyDescent="0.35">
      <c r="C2442" s="1" t="s">
        <v>6180</v>
      </c>
      <c r="D2442" s="1" t="s">
        <v>621</v>
      </c>
      <c r="E2442" s="250">
        <v>5129.0990000000002</v>
      </c>
    </row>
    <row r="2443" spans="3:5" x14ac:dyDescent="0.35">
      <c r="C2443" s="1" t="s">
        <v>6179</v>
      </c>
      <c r="D2443" s="1" t="s">
        <v>57</v>
      </c>
      <c r="E2443" s="250">
        <v>5129.1009999999997</v>
      </c>
    </row>
    <row r="2444" spans="3:5" x14ac:dyDescent="0.35">
      <c r="C2444" s="1" t="s">
        <v>6169</v>
      </c>
      <c r="D2444" s="1" t="s">
        <v>77</v>
      </c>
      <c r="E2444" s="250">
        <v>5129.1019999999999</v>
      </c>
    </row>
    <row r="2445" spans="3:5" x14ac:dyDescent="0.35">
      <c r="C2445" s="1" t="s">
        <v>6168</v>
      </c>
      <c r="D2445" s="1" t="s">
        <v>77</v>
      </c>
      <c r="E2445" s="250">
        <v>5129.1030000000001</v>
      </c>
    </row>
    <row r="2446" spans="3:5" x14ac:dyDescent="0.35">
      <c r="C2446" s="1" t="s">
        <v>6167</v>
      </c>
      <c r="D2446" s="1" t="s">
        <v>77</v>
      </c>
      <c r="E2446" s="250">
        <v>5129.1040000000003</v>
      </c>
    </row>
    <row r="2447" spans="3:5" x14ac:dyDescent="0.35">
      <c r="C2447" s="1" t="s">
        <v>6166</v>
      </c>
      <c r="D2447" s="1" t="s">
        <v>77</v>
      </c>
      <c r="E2447" s="250">
        <v>5129.1049999999996</v>
      </c>
    </row>
    <row r="2448" spans="3:5" x14ac:dyDescent="0.35">
      <c r="C2448" s="1" t="s">
        <v>6164</v>
      </c>
      <c r="D2448" s="1" t="s">
        <v>77</v>
      </c>
      <c r="E2448" s="250">
        <v>5129.1059999999998</v>
      </c>
    </row>
    <row r="2449" spans="3:5" x14ac:dyDescent="0.35">
      <c r="C2449" s="1" t="s">
        <v>6178</v>
      </c>
      <c r="D2449" s="1" t="s">
        <v>57</v>
      </c>
      <c r="E2449" s="250">
        <v>5129.1210000000001</v>
      </c>
    </row>
    <row r="2450" spans="3:5" x14ac:dyDescent="0.35">
      <c r="C2450" s="1" t="s">
        <v>6177</v>
      </c>
      <c r="D2450" s="1" t="s">
        <v>77</v>
      </c>
      <c r="E2450" s="250">
        <v>5129.1220000000003</v>
      </c>
    </row>
    <row r="2451" spans="3:5" x14ac:dyDescent="0.35">
      <c r="C2451" s="1" t="s">
        <v>6168</v>
      </c>
      <c r="D2451" s="1" t="s">
        <v>77</v>
      </c>
      <c r="E2451" s="250">
        <v>5129.1229999999996</v>
      </c>
    </row>
    <row r="2452" spans="3:5" x14ac:dyDescent="0.35">
      <c r="C2452" s="1" t="s">
        <v>6165</v>
      </c>
      <c r="D2452" s="1" t="s">
        <v>77</v>
      </c>
      <c r="E2452" s="250">
        <v>5129.1239999999998</v>
      </c>
    </row>
    <row r="2453" spans="3:5" x14ac:dyDescent="0.35">
      <c r="C2453" s="1" t="s">
        <v>6164</v>
      </c>
      <c r="D2453" s="1" t="s">
        <v>77</v>
      </c>
      <c r="E2453" s="250">
        <v>5129.125</v>
      </c>
    </row>
    <row r="2454" spans="3:5" x14ac:dyDescent="0.35">
      <c r="C2454" s="1" t="s">
        <v>6176</v>
      </c>
      <c r="D2454" s="1" t="s">
        <v>57</v>
      </c>
      <c r="E2454" s="250">
        <v>5129.1409999999996</v>
      </c>
    </row>
    <row r="2455" spans="3:5" x14ac:dyDescent="0.35">
      <c r="C2455" s="1" t="s">
        <v>6169</v>
      </c>
      <c r="D2455" s="1" t="s">
        <v>77</v>
      </c>
      <c r="E2455" s="250">
        <v>5129.1419999999998</v>
      </c>
    </row>
    <row r="2456" spans="3:5" x14ac:dyDescent="0.35">
      <c r="C2456" s="1" t="s">
        <v>6168</v>
      </c>
      <c r="D2456" s="1" t="s">
        <v>77</v>
      </c>
      <c r="E2456" s="250">
        <v>5129.143</v>
      </c>
    </row>
    <row r="2457" spans="3:5" x14ac:dyDescent="0.35">
      <c r="C2457" s="1" t="s">
        <v>6167</v>
      </c>
      <c r="D2457" s="1" t="s">
        <v>77</v>
      </c>
      <c r="E2457" s="250">
        <v>5129.1440000000002</v>
      </c>
    </row>
    <row r="2458" spans="3:5" x14ac:dyDescent="0.35">
      <c r="C2458" s="1" t="s">
        <v>6163</v>
      </c>
      <c r="D2458" s="1" t="s">
        <v>77</v>
      </c>
      <c r="E2458" s="250">
        <v>5129.1450000000004</v>
      </c>
    </row>
    <row r="2459" spans="3:5" x14ac:dyDescent="0.35">
      <c r="C2459" s="1" t="s">
        <v>6175</v>
      </c>
      <c r="D2459" s="1" t="s">
        <v>57</v>
      </c>
      <c r="E2459" s="250">
        <v>5129.1610000000001</v>
      </c>
    </row>
    <row r="2460" spans="3:5" x14ac:dyDescent="0.35">
      <c r="C2460" s="1" t="s">
        <v>6169</v>
      </c>
      <c r="D2460" s="1" t="s">
        <v>77</v>
      </c>
      <c r="E2460" s="250">
        <v>5129.1620000000003</v>
      </c>
    </row>
    <row r="2461" spans="3:5" x14ac:dyDescent="0.35">
      <c r="C2461" s="1" t="s">
        <v>6168</v>
      </c>
      <c r="D2461" s="1" t="s">
        <v>77</v>
      </c>
      <c r="E2461" s="250">
        <v>5129.1629999999996</v>
      </c>
    </row>
    <row r="2462" spans="3:5" x14ac:dyDescent="0.35">
      <c r="C2462" s="1" t="s">
        <v>6167</v>
      </c>
      <c r="D2462" s="1" t="s">
        <v>77</v>
      </c>
      <c r="E2462" s="250">
        <v>5129.1639999999998</v>
      </c>
    </row>
    <row r="2463" spans="3:5" x14ac:dyDescent="0.35">
      <c r="C2463" s="1" t="s">
        <v>6166</v>
      </c>
      <c r="D2463" s="1" t="s">
        <v>77</v>
      </c>
      <c r="E2463" s="250">
        <v>5129.165</v>
      </c>
    </row>
    <row r="2464" spans="3:5" x14ac:dyDescent="0.35">
      <c r="C2464" s="1" t="s">
        <v>6165</v>
      </c>
      <c r="D2464" s="1" t="s">
        <v>77</v>
      </c>
      <c r="E2464" s="250">
        <v>5129.1660000000002</v>
      </c>
    </row>
    <row r="2465" spans="3:5" x14ac:dyDescent="0.35">
      <c r="C2465" s="1" t="s">
        <v>6164</v>
      </c>
      <c r="D2465" s="1" t="s">
        <v>77</v>
      </c>
      <c r="E2465" s="250">
        <v>5129.1670000000004</v>
      </c>
    </row>
    <row r="2466" spans="3:5" x14ac:dyDescent="0.35">
      <c r="C2466" s="1" t="s">
        <v>6163</v>
      </c>
      <c r="D2466" s="1" t="s">
        <v>77</v>
      </c>
      <c r="E2466" s="250">
        <v>5129.1679999999997</v>
      </c>
    </row>
    <row r="2467" spans="3:5" x14ac:dyDescent="0.35">
      <c r="C2467" s="1" t="s">
        <v>6174</v>
      </c>
      <c r="D2467" s="1" t="s">
        <v>57</v>
      </c>
      <c r="E2467" s="250">
        <v>5129.1809999999996</v>
      </c>
    </row>
    <row r="2468" spans="3:5" x14ac:dyDescent="0.35">
      <c r="C2468" s="1" t="s">
        <v>6169</v>
      </c>
      <c r="D2468" s="1" t="s">
        <v>77</v>
      </c>
      <c r="E2468" s="250">
        <v>5129.1819999999998</v>
      </c>
    </row>
    <row r="2469" spans="3:5" x14ac:dyDescent="0.35">
      <c r="C2469" s="1" t="s">
        <v>6168</v>
      </c>
      <c r="D2469" s="1" t="s">
        <v>77</v>
      </c>
      <c r="E2469" s="250">
        <v>5129.183</v>
      </c>
    </row>
    <row r="2470" spans="3:5" x14ac:dyDescent="0.35">
      <c r="C2470" s="1" t="s">
        <v>6167</v>
      </c>
      <c r="D2470" s="1" t="s">
        <v>77</v>
      </c>
      <c r="E2470" s="250">
        <v>5129.1840000000002</v>
      </c>
    </row>
    <row r="2471" spans="3:5" x14ac:dyDescent="0.35">
      <c r="C2471" s="1" t="s">
        <v>6166</v>
      </c>
      <c r="D2471" s="1" t="s">
        <v>77</v>
      </c>
      <c r="E2471" s="250">
        <v>5129.1850000000004</v>
      </c>
    </row>
    <row r="2472" spans="3:5" x14ac:dyDescent="0.35">
      <c r="C2472" s="1" t="s">
        <v>6165</v>
      </c>
      <c r="D2472" s="1" t="s">
        <v>77</v>
      </c>
      <c r="E2472" s="250">
        <v>5129.1859999999997</v>
      </c>
    </row>
    <row r="2473" spans="3:5" x14ac:dyDescent="0.35">
      <c r="C2473" s="1" t="s">
        <v>6164</v>
      </c>
      <c r="D2473" s="1" t="s">
        <v>77</v>
      </c>
      <c r="E2473" s="250">
        <v>5129.1869999999999</v>
      </c>
    </row>
    <row r="2474" spans="3:5" x14ac:dyDescent="0.35">
      <c r="C2474" s="1" t="s">
        <v>6163</v>
      </c>
      <c r="D2474" s="1" t="s">
        <v>77</v>
      </c>
      <c r="E2474" s="250">
        <v>5129.1880000000001</v>
      </c>
    </row>
    <row r="2475" spans="3:5" x14ac:dyDescent="0.35">
      <c r="C2475" s="1" t="s">
        <v>6161</v>
      </c>
      <c r="D2475" s="1" t="s">
        <v>77</v>
      </c>
      <c r="E2475" s="250">
        <v>5129.1890000000003</v>
      </c>
    </row>
    <row r="2476" spans="3:5" x14ac:dyDescent="0.35">
      <c r="C2476" s="1" t="s">
        <v>6173</v>
      </c>
      <c r="D2476" s="1" t="s">
        <v>57</v>
      </c>
      <c r="E2476" s="250">
        <v>5129.201</v>
      </c>
    </row>
    <row r="2477" spans="3:5" x14ac:dyDescent="0.35">
      <c r="C2477" s="1" t="s">
        <v>6169</v>
      </c>
      <c r="D2477" s="1" t="s">
        <v>77</v>
      </c>
      <c r="E2477" s="250">
        <v>5129.2020000000002</v>
      </c>
    </row>
    <row r="2478" spans="3:5" x14ac:dyDescent="0.35">
      <c r="C2478" s="1" t="s">
        <v>6168</v>
      </c>
      <c r="D2478" s="1" t="s">
        <v>77</v>
      </c>
      <c r="E2478" s="250">
        <v>5129.2030000000004</v>
      </c>
    </row>
    <row r="2479" spans="3:5" x14ac:dyDescent="0.35">
      <c r="C2479" s="1" t="s">
        <v>6167</v>
      </c>
      <c r="D2479" s="1" t="s">
        <v>77</v>
      </c>
      <c r="E2479" s="250">
        <v>5129.2039999999997</v>
      </c>
    </row>
    <row r="2480" spans="3:5" x14ac:dyDescent="0.35">
      <c r="C2480" s="1" t="s">
        <v>6166</v>
      </c>
      <c r="D2480" s="1" t="s">
        <v>77</v>
      </c>
      <c r="E2480" s="250">
        <v>5129.2049999999999</v>
      </c>
    </row>
    <row r="2481" spans="3:5" x14ac:dyDescent="0.35">
      <c r="C2481" s="1" t="s">
        <v>6163</v>
      </c>
      <c r="D2481" s="1" t="s">
        <v>77</v>
      </c>
      <c r="E2481" s="250">
        <v>5129.2060000000001</v>
      </c>
    </row>
    <row r="2482" spans="3:5" x14ac:dyDescent="0.35">
      <c r="C2482" s="1" t="s">
        <v>6172</v>
      </c>
      <c r="D2482" s="1" t="s">
        <v>57</v>
      </c>
      <c r="E2482" s="250">
        <v>5129.2209999999995</v>
      </c>
    </row>
    <row r="2483" spans="3:5" x14ac:dyDescent="0.35">
      <c r="C2483" s="1" t="s">
        <v>6169</v>
      </c>
      <c r="D2483" s="1" t="s">
        <v>77</v>
      </c>
      <c r="E2483" s="250">
        <v>5129.2219999999998</v>
      </c>
    </row>
    <row r="2484" spans="3:5" x14ac:dyDescent="0.35">
      <c r="C2484" s="1" t="s">
        <v>6168</v>
      </c>
      <c r="D2484" s="1" t="s">
        <v>77</v>
      </c>
      <c r="E2484" s="250">
        <v>5129.223</v>
      </c>
    </row>
    <row r="2485" spans="3:5" x14ac:dyDescent="0.35">
      <c r="C2485" s="1" t="s">
        <v>6167</v>
      </c>
      <c r="D2485" s="1" t="s">
        <v>77</v>
      </c>
      <c r="E2485" s="250">
        <v>5129.2240000000002</v>
      </c>
    </row>
    <row r="2486" spans="3:5" x14ac:dyDescent="0.35">
      <c r="C2486" s="1" t="s">
        <v>6166</v>
      </c>
      <c r="D2486" s="1" t="s">
        <v>77</v>
      </c>
      <c r="E2486" s="250">
        <v>5129.2250000000004</v>
      </c>
    </row>
    <row r="2487" spans="3:5" x14ac:dyDescent="0.35">
      <c r="C2487" s="1" t="s">
        <v>6165</v>
      </c>
      <c r="D2487" s="1" t="s">
        <v>77</v>
      </c>
      <c r="E2487" s="250">
        <v>5129.2259999999997</v>
      </c>
    </row>
    <row r="2488" spans="3:5" x14ac:dyDescent="0.35">
      <c r="C2488" s="1" t="s">
        <v>6164</v>
      </c>
      <c r="D2488" s="1" t="s">
        <v>77</v>
      </c>
      <c r="E2488" s="250">
        <v>5129.2269999999999</v>
      </c>
    </row>
    <row r="2489" spans="3:5" x14ac:dyDescent="0.35">
      <c r="C2489" s="1" t="s">
        <v>6163</v>
      </c>
      <c r="D2489" s="1" t="s">
        <v>77</v>
      </c>
      <c r="E2489" s="250">
        <v>5129.2280000000001</v>
      </c>
    </row>
    <row r="2490" spans="3:5" x14ac:dyDescent="0.35">
      <c r="C2490" s="1" t="s">
        <v>6162</v>
      </c>
      <c r="D2490" s="1" t="s">
        <v>77</v>
      </c>
      <c r="E2490" s="250">
        <v>5129.2290000000003</v>
      </c>
    </row>
    <row r="2491" spans="3:5" x14ac:dyDescent="0.35">
      <c r="C2491" s="1" t="s">
        <v>6161</v>
      </c>
      <c r="D2491" s="1" t="s">
        <v>77</v>
      </c>
      <c r="E2491" s="250">
        <v>5129.2299999999996</v>
      </c>
    </row>
    <row r="2492" spans="3:5" x14ac:dyDescent="0.35">
      <c r="C2492" s="1" t="s">
        <v>6171</v>
      </c>
      <c r="D2492" s="1" t="s">
        <v>57</v>
      </c>
      <c r="E2492" s="250">
        <v>5129.241</v>
      </c>
    </row>
    <row r="2493" spans="3:5" x14ac:dyDescent="0.35">
      <c r="C2493" s="1" t="s">
        <v>6169</v>
      </c>
      <c r="D2493" s="1" t="s">
        <v>77</v>
      </c>
      <c r="E2493" s="250">
        <v>5129.2420000000002</v>
      </c>
    </row>
    <row r="2494" spans="3:5" x14ac:dyDescent="0.35">
      <c r="C2494" s="1" t="s">
        <v>6168</v>
      </c>
      <c r="D2494" s="1" t="s">
        <v>77</v>
      </c>
      <c r="E2494" s="250">
        <v>5129.2430000000004</v>
      </c>
    </row>
    <row r="2495" spans="3:5" x14ac:dyDescent="0.35">
      <c r="C2495" s="1" t="s">
        <v>6167</v>
      </c>
      <c r="D2495" s="1" t="s">
        <v>77</v>
      </c>
      <c r="E2495" s="250">
        <v>5129.2439999999997</v>
      </c>
    </row>
    <row r="2496" spans="3:5" x14ac:dyDescent="0.35">
      <c r="C2496" s="1" t="s">
        <v>6166</v>
      </c>
      <c r="D2496" s="1" t="s">
        <v>77</v>
      </c>
      <c r="E2496" s="250">
        <v>5129.2449999999999</v>
      </c>
    </row>
    <row r="2497" spans="3:5" x14ac:dyDescent="0.35">
      <c r="C2497" s="1" t="s">
        <v>6165</v>
      </c>
      <c r="D2497" s="1" t="s">
        <v>77</v>
      </c>
      <c r="E2497" s="250">
        <v>5129.2460000000001</v>
      </c>
    </row>
    <row r="2498" spans="3:5" x14ac:dyDescent="0.35">
      <c r="C2498" s="1" t="s">
        <v>6164</v>
      </c>
      <c r="D2498" s="1" t="s">
        <v>77</v>
      </c>
      <c r="E2498" s="250">
        <v>5129.2470000000003</v>
      </c>
    </row>
    <row r="2499" spans="3:5" x14ac:dyDescent="0.35">
      <c r="C2499" s="1" t="s">
        <v>6163</v>
      </c>
      <c r="D2499" s="1" t="s">
        <v>77</v>
      </c>
      <c r="E2499" s="250">
        <v>5129.2479999999996</v>
      </c>
    </row>
    <row r="2500" spans="3:5" x14ac:dyDescent="0.35">
      <c r="C2500" s="1" t="s">
        <v>6162</v>
      </c>
      <c r="D2500" s="1" t="s">
        <v>77</v>
      </c>
      <c r="E2500" s="250">
        <v>5129.2489999999998</v>
      </c>
    </row>
    <row r="2501" spans="3:5" x14ac:dyDescent="0.35">
      <c r="C2501" s="1" t="s">
        <v>6161</v>
      </c>
      <c r="D2501" s="1" t="s">
        <v>77</v>
      </c>
      <c r="E2501" s="250">
        <v>5129.25</v>
      </c>
    </row>
    <row r="2502" spans="3:5" x14ac:dyDescent="0.35">
      <c r="C2502" s="1" t="s">
        <v>6170</v>
      </c>
      <c r="D2502" s="1" t="s">
        <v>57</v>
      </c>
      <c r="E2502" s="250">
        <v>5129.2610000000004</v>
      </c>
    </row>
    <row r="2503" spans="3:5" x14ac:dyDescent="0.35">
      <c r="C2503" s="1" t="s">
        <v>6169</v>
      </c>
      <c r="D2503" s="1" t="s">
        <v>77</v>
      </c>
      <c r="E2503" s="250">
        <v>5129.2619999999997</v>
      </c>
    </row>
    <row r="2504" spans="3:5" x14ac:dyDescent="0.35">
      <c r="C2504" s="1" t="s">
        <v>6168</v>
      </c>
      <c r="D2504" s="1" t="s">
        <v>77</v>
      </c>
      <c r="E2504" s="250">
        <v>5129.2629999999999</v>
      </c>
    </row>
    <row r="2505" spans="3:5" x14ac:dyDescent="0.35">
      <c r="C2505" s="1" t="s">
        <v>6167</v>
      </c>
      <c r="D2505" s="1" t="s">
        <v>77</v>
      </c>
      <c r="E2505" s="250">
        <v>5129.2640000000001</v>
      </c>
    </row>
    <row r="2506" spans="3:5" x14ac:dyDescent="0.35">
      <c r="C2506" s="1" t="s">
        <v>6166</v>
      </c>
      <c r="D2506" s="1" t="s">
        <v>77</v>
      </c>
      <c r="E2506" s="250">
        <v>5129.2650000000003</v>
      </c>
    </row>
    <row r="2507" spans="3:5" x14ac:dyDescent="0.35">
      <c r="C2507" s="1" t="s">
        <v>6165</v>
      </c>
      <c r="D2507" s="1" t="s">
        <v>77</v>
      </c>
      <c r="E2507" s="250">
        <v>5129.2659999999996</v>
      </c>
    </row>
    <row r="2508" spans="3:5" x14ac:dyDescent="0.35">
      <c r="C2508" s="1" t="s">
        <v>6164</v>
      </c>
      <c r="D2508" s="1" t="s">
        <v>77</v>
      </c>
      <c r="E2508" s="250">
        <v>5129.2669999999998</v>
      </c>
    </row>
    <row r="2509" spans="3:5" x14ac:dyDescent="0.35">
      <c r="C2509" s="1" t="s">
        <v>6163</v>
      </c>
      <c r="D2509" s="1" t="s">
        <v>77</v>
      </c>
      <c r="E2509" s="250">
        <v>5129.268</v>
      </c>
    </row>
    <row r="2510" spans="3:5" x14ac:dyDescent="0.35">
      <c r="C2510" s="1" t="s">
        <v>6162</v>
      </c>
      <c r="D2510" s="1" t="s">
        <v>77</v>
      </c>
      <c r="E2510" s="250">
        <v>5129.2690000000002</v>
      </c>
    </row>
    <row r="2511" spans="3:5" x14ac:dyDescent="0.35">
      <c r="C2511" s="1" t="s">
        <v>6161</v>
      </c>
      <c r="D2511" s="1" t="s">
        <v>77</v>
      </c>
      <c r="E2511" s="250">
        <v>5129.2700000000004</v>
      </c>
    </row>
    <row r="2512" spans="3:5" x14ac:dyDescent="0.35">
      <c r="C2512" s="1" t="s">
        <v>6160</v>
      </c>
      <c r="D2512" s="1" t="s">
        <v>77</v>
      </c>
      <c r="E2512" s="250">
        <v>5129.3010000000004</v>
      </c>
    </row>
    <row r="2513" spans="3:5" x14ac:dyDescent="0.35">
      <c r="C2513" s="1" t="s">
        <v>6159</v>
      </c>
      <c r="D2513" s="1" t="s">
        <v>77</v>
      </c>
      <c r="E2513" s="250">
        <v>5129.3019999999997</v>
      </c>
    </row>
    <row r="2514" spans="3:5" x14ac:dyDescent="0.35">
      <c r="C2514" s="1" t="s">
        <v>6158</v>
      </c>
      <c r="D2514" s="1" t="s">
        <v>77</v>
      </c>
      <c r="E2514" s="250">
        <v>5129.3029999999999</v>
      </c>
    </row>
    <row r="2515" spans="3:5" x14ac:dyDescent="0.35">
      <c r="C2515" s="1" t="s">
        <v>6157</v>
      </c>
      <c r="D2515" s="1" t="s">
        <v>77</v>
      </c>
      <c r="E2515" s="250">
        <v>5129.3040000000001</v>
      </c>
    </row>
    <row r="2516" spans="3:5" x14ac:dyDescent="0.35">
      <c r="C2516" s="1" t="s">
        <v>6156</v>
      </c>
      <c r="D2516" s="1" t="s">
        <v>77</v>
      </c>
      <c r="E2516" s="250">
        <v>5129.3050000000003</v>
      </c>
    </row>
    <row r="2517" spans="3:5" x14ac:dyDescent="0.35">
      <c r="C2517" s="1" t="s">
        <v>6155</v>
      </c>
      <c r="D2517" s="1" t="s">
        <v>77</v>
      </c>
      <c r="E2517" s="250">
        <v>5129.3059999999996</v>
      </c>
    </row>
    <row r="2518" spans="3:5" x14ac:dyDescent="0.35">
      <c r="C2518" s="1" t="s">
        <v>6154</v>
      </c>
      <c r="D2518" s="1" t="s">
        <v>77</v>
      </c>
      <c r="E2518" s="250">
        <v>5129.3069999999998</v>
      </c>
    </row>
    <row r="2519" spans="3:5" x14ac:dyDescent="0.35">
      <c r="C2519" s="1" t="s">
        <v>6153</v>
      </c>
      <c r="D2519" s="1" t="s">
        <v>77</v>
      </c>
      <c r="E2519" s="250">
        <v>5129.308</v>
      </c>
    </row>
    <row r="2520" spans="3:5" x14ac:dyDescent="0.35">
      <c r="C2520" s="1" t="s">
        <v>6152</v>
      </c>
      <c r="D2520" s="1" t="s">
        <v>77</v>
      </c>
      <c r="E2520" s="250">
        <v>5129.3090000000002</v>
      </c>
    </row>
    <row r="2521" spans="3:5" x14ac:dyDescent="0.35">
      <c r="C2521" s="1" t="s">
        <v>6151</v>
      </c>
      <c r="D2521" s="1" t="s">
        <v>77</v>
      </c>
      <c r="E2521" s="250">
        <v>5129.3100000000004</v>
      </c>
    </row>
    <row r="2522" spans="3:5" x14ac:dyDescent="0.35">
      <c r="C2522" s="1" t="s">
        <v>6150</v>
      </c>
      <c r="D2522" s="1" t="s">
        <v>77</v>
      </c>
      <c r="E2522" s="250">
        <v>5129.3119999999999</v>
      </c>
    </row>
    <row r="2523" spans="3:5" x14ac:dyDescent="0.35">
      <c r="C2523" s="1" t="s">
        <v>6149</v>
      </c>
      <c r="D2523" s="1" t="s">
        <v>77</v>
      </c>
      <c r="E2523" s="250">
        <v>5129.3130000000001</v>
      </c>
    </row>
    <row r="2524" spans="3:5" x14ac:dyDescent="0.35">
      <c r="C2524" s="1" t="s">
        <v>6148</v>
      </c>
      <c r="D2524" s="1" t="s">
        <v>18</v>
      </c>
      <c r="E2524" s="250">
        <v>5129.3999999999996</v>
      </c>
    </row>
    <row r="2525" spans="3:5" x14ac:dyDescent="0.35">
      <c r="C2525" s="1" t="s">
        <v>6147</v>
      </c>
      <c r="D2525" s="1" t="s">
        <v>18</v>
      </c>
      <c r="E2525" s="250">
        <v>5129.4009999999998</v>
      </c>
    </row>
    <row r="2526" spans="3:5" x14ac:dyDescent="0.35">
      <c r="C2526" s="1" t="s">
        <v>6146</v>
      </c>
      <c r="D2526" s="1" t="s">
        <v>18</v>
      </c>
      <c r="E2526" s="250">
        <v>5129.402</v>
      </c>
    </row>
    <row r="2527" spans="3:5" x14ac:dyDescent="0.35">
      <c r="C2527" s="1" t="s">
        <v>6145</v>
      </c>
      <c r="D2527" s="1" t="s">
        <v>18</v>
      </c>
      <c r="E2527" s="250">
        <v>5129.4030000000002</v>
      </c>
    </row>
    <row r="2528" spans="3:5" x14ac:dyDescent="0.35">
      <c r="C2528" s="1" t="s">
        <v>6144</v>
      </c>
      <c r="D2528" s="1" t="s">
        <v>18</v>
      </c>
      <c r="E2528" s="250">
        <v>5129.4040000000005</v>
      </c>
    </row>
    <row r="2529" spans="3:5" x14ac:dyDescent="0.35">
      <c r="C2529" s="1" t="s">
        <v>6143</v>
      </c>
      <c r="D2529" s="1" t="s">
        <v>57</v>
      </c>
      <c r="E2529" s="250">
        <v>5129.5010000000002</v>
      </c>
    </row>
    <row r="2530" spans="3:5" x14ac:dyDescent="0.35">
      <c r="C2530" s="1" t="s">
        <v>1697</v>
      </c>
      <c r="D2530" s="1" t="s">
        <v>20</v>
      </c>
      <c r="E2530" s="250">
        <v>5129.5020000000004</v>
      </c>
    </row>
    <row r="2531" spans="3:5" x14ac:dyDescent="0.35">
      <c r="C2531" s="1" t="s">
        <v>1696</v>
      </c>
      <c r="D2531" s="1" t="s">
        <v>20</v>
      </c>
      <c r="E2531" s="250">
        <v>5129.5029999999997</v>
      </c>
    </row>
    <row r="2532" spans="3:5" x14ac:dyDescent="0.35">
      <c r="C2532" s="1" t="s">
        <v>1695</v>
      </c>
      <c r="D2532" s="1" t="s">
        <v>20</v>
      </c>
      <c r="E2532" s="250">
        <v>5129.5039999999999</v>
      </c>
    </row>
    <row r="2533" spans="3:5" x14ac:dyDescent="0.35">
      <c r="C2533" s="1" t="s">
        <v>1694</v>
      </c>
      <c r="D2533" s="1" t="s">
        <v>20</v>
      </c>
      <c r="E2533" s="250">
        <v>5129.5050000000001</v>
      </c>
    </row>
    <row r="2534" spans="3:5" x14ac:dyDescent="0.35">
      <c r="C2534" s="1" t="s">
        <v>1693</v>
      </c>
      <c r="D2534" s="1" t="s">
        <v>20</v>
      </c>
      <c r="E2534" s="250">
        <v>5129.5060000000003</v>
      </c>
    </row>
    <row r="2535" spans="3:5" x14ac:dyDescent="0.35">
      <c r="C2535" s="1" t="s">
        <v>6142</v>
      </c>
      <c r="D2535" s="1" t="s">
        <v>20</v>
      </c>
      <c r="E2535" s="250">
        <v>5129.5069999999996</v>
      </c>
    </row>
    <row r="2536" spans="3:5" x14ac:dyDescent="0.35">
      <c r="C2536" s="1" t="s">
        <v>6141</v>
      </c>
      <c r="D2536" s="1" t="s">
        <v>18</v>
      </c>
      <c r="E2536" s="250">
        <v>5129.6009999999997</v>
      </c>
    </row>
    <row r="2537" spans="3:5" x14ac:dyDescent="0.35">
      <c r="C2537" s="1" t="s">
        <v>6140</v>
      </c>
      <c r="D2537" s="1" t="s">
        <v>18</v>
      </c>
      <c r="E2537" s="250">
        <v>5129.7</v>
      </c>
    </row>
    <row r="2538" spans="3:5" x14ac:dyDescent="0.35">
      <c r="C2538" s="1" t="s">
        <v>6139</v>
      </c>
      <c r="D2538" s="1" t="s">
        <v>20</v>
      </c>
      <c r="E2538" s="250">
        <v>5129.71</v>
      </c>
    </row>
    <row r="2539" spans="3:5" x14ac:dyDescent="0.35">
      <c r="C2539" s="1" t="s">
        <v>6139</v>
      </c>
      <c r="D2539" s="1" t="s">
        <v>58</v>
      </c>
      <c r="E2539" s="250">
        <v>5129.7110000000002</v>
      </c>
    </row>
    <row r="2540" spans="3:5" x14ac:dyDescent="0.35">
      <c r="C2540" s="1" t="s">
        <v>6138</v>
      </c>
      <c r="D2540" s="1" t="s">
        <v>18</v>
      </c>
      <c r="E2540" s="250">
        <v>5129.7150000000001</v>
      </c>
    </row>
    <row r="2541" spans="3:5" x14ac:dyDescent="0.35">
      <c r="C2541" s="1" t="s">
        <v>6137</v>
      </c>
      <c r="D2541" s="1" t="s">
        <v>18</v>
      </c>
      <c r="E2541" s="250">
        <v>5129.7160000000003</v>
      </c>
    </row>
    <row r="2542" spans="3:5" x14ac:dyDescent="0.35">
      <c r="C2542" s="1" t="s">
        <v>6136</v>
      </c>
      <c r="D2542" s="1" t="s">
        <v>18</v>
      </c>
      <c r="E2542" s="250">
        <v>5129.7169999999996</v>
      </c>
    </row>
    <row r="2543" spans="3:5" x14ac:dyDescent="0.35">
      <c r="C2543" s="1" t="s">
        <v>6135</v>
      </c>
      <c r="D2543" s="1" t="s">
        <v>77</v>
      </c>
      <c r="E2543" s="250">
        <v>5129.8</v>
      </c>
    </row>
    <row r="2544" spans="3:5" x14ac:dyDescent="0.35">
      <c r="C2544" s="1" t="s">
        <v>6134</v>
      </c>
      <c r="D2544" s="1" t="s">
        <v>77</v>
      </c>
      <c r="E2544" s="250">
        <v>5129.8010000000004</v>
      </c>
    </row>
    <row r="2545" spans="3:5" x14ac:dyDescent="0.35">
      <c r="C2545" s="1" t="s">
        <v>6133</v>
      </c>
      <c r="D2545" s="1" t="s">
        <v>77</v>
      </c>
      <c r="E2545" s="250">
        <v>5129.8019999999997</v>
      </c>
    </row>
    <row r="2546" spans="3:5" x14ac:dyDescent="0.35">
      <c r="C2546" s="1" t="s">
        <v>6132</v>
      </c>
      <c r="D2546" s="1" t="s">
        <v>77</v>
      </c>
      <c r="E2546" s="250">
        <v>5129.8029999999999</v>
      </c>
    </row>
    <row r="2547" spans="3:5" x14ac:dyDescent="0.35">
      <c r="C2547" s="1" t="s">
        <v>6131</v>
      </c>
      <c r="D2547" s="1" t="s">
        <v>77</v>
      </c>
      <c r="E2547" s="250">
        <v>5129.8040000000001</v>
      </c>
    </row>
    <row r="2548" spans="3:5" x14ac:dyDescent="0.35">
      <c r="C2548" s="1" t="s">
        <v>6130</v>
      </c>
      <c r="D2548" s="1" t="s">
        <v>77</v>
      </c>
      <c r="E2548" s="250">
        <v>5129.8050000000003</v>
      </c>
    </row>
    <row r="2549" spans="3:5" x14ac:dyDescent="0.35">
      <c r="C2549" s="1" t="s">
        <v>6129</v>
      </c>
      <c r="D2549" s="1" t="s">
        <v>77</v>
      </c>
      <c r="E2549" s="250">
        <v>5129.8059999999996</v>
      </c>
    </row>
    <row r="2550" spans="3:5" x14ac:dyDescent="0.35">
      <c r="C2550" s="1" t="s">
        <v>6128</v>
      </c>
      <c r="D2550" s="1" t="s">
        <v>77</v>
      </c>
      <c r="E2550" s="250">
        <v>5129.8069999999998</v>
      </c>
    </row>
    <row r="2551" spans="3:5" x14ac:dyDescent="0.35">
      <c r="C2551" s="1" t="s">
        <v>6127</v>
      </c>
      <c r="D2551" s="1" t="s">
        <v>77</v>
      </c>
      <c r="E2551" s="250">
        <v>5129.808</v>
      </c>
    </row>
    <row r="2552" spans="3:5" x14ac:dyDescent="0.35">
      <c r="C2552" s="1" t="s">
        <v>6126</v>
      </c>
      <c r="D2552" s="1" t="s">
        <v>66</v>
      </c>
      <c r="E2552" s="250">
        <v>5129.8090000000002</v>
      </c>
    </row>
    <row r="2553" spans="3:5" x14ac:dyDescent="0.35">
      <c r="C2553" s="1" t="s">
        <v>6125</v>
      </c>
      <c r="D2553" s="1" t="s">
        <v>1692</v>
      </c>
      <c r="E2553" s="250">
        <v>5129.83</v>
      </c>
    </row>
    <row r="2554" spans="3:5" x14ac:dyDescent="0.35">
      <c r="C2554" s="1" t="s">
        <v>6124</v>
      </c>
      <c r="D2554" s="1" t="s">
        <v>1692</v>
      </c>
      <c r="E2554" s="250">
        <v>5129.8310000000001</v>
      </c>
    </row>
    <row r="2555" spans="3:5" x14ac:dyDescent="0.35">
      <c r="C2555" s="1" t="s">
        <v>6123</v>
      </c>
      <c r="D2555" s="1" t="s">
        <v>77</v>
      </c>
      <c r="E2555" s="250">
        <v>5129.8500000000004</v>
      </c>
    </row>
    <row r="2556" spans="3:5" x14ac:dyDescent="0.35">
      <c r="C2556" s="1" t="s">
        <v>6122</v>
      </c>
      <c r="D2556" s="1" t="s">
        <v>77</v>
      </c>
      <c r="E2556" s="250">
        <v>5129.8509999999997</v>
      </c>
    </row>
    <row r="2557" spans="3:5" x14ac:dyDescent="0.35">
      <c r="C2557" s="1" t="s">
        <v>6121</v>
      </c>
      <c r="D2557" s="1" t="s">
        <v>77</v>
      </c>
      <c r="E2557" s="250">
        <v>5129.8519999999999</v>
      </c>
    </row>
    <row r="2558" spans="3:5" x14ac:dyDescent="0.35">
      <c r="C2558" s="1" t="s">
        <v>6120</v>
      </c>
      <c r="D2558" s="1" t="s">
        <v>77</v>
      </c>
      <c r="E2558" s="250">
        <v>5129.8530000000001</v>
      </c>
    </row>
    <row r="2559" spans="3:5" x14ac:dyDescent="0.35">
      <c r="C2559" s="1" t="s">
        <v>6119</v>
      </c>
      <c r="D2559" s="1" t="s">
        <v>77</v>
      </c>
      <c r="E2559" s="250">
        <v>5129.8540000000003</v>
      </c>
    </row>
    <row r="2560" spans="3:5" x14ac:dyDescent="0.35">
      <c r="C2560" s="1" t="s">
        <v>6118</v>
      </c>
      <c r="D2560" s="1" t="s">
        <v>77</v>
      </c>
      <c r="E2560" s="250">
        <v>5129.8549999999996</v>
      </c>
    </row>
    <row r="2561" spans="3:5" x14ac:dyDescent="0.35">
      <c r="C2561" s="1" t="s">
        <v>6117</v>
      </c>
      <c r="D2561" s="1" t="s">
        <v>42</v>
      </c>
      <c r="E2561" s="250">
        <v>5129.99</v>
      </c>
    </row>
    <row r="2562" spans="3:5" x14ac:dyDescent="0.35">
      <c r="C2562" s="1" t="s">
        <v>6116</v>
      </c>
      <c r="D2562" s="1" t="s">
        <v>18</v>
      </c>
      <c r="E2562" s="250">
        <v>5129.991</v>
      </c>
    </row>
    <row r="2563" spans="3:5" x14ac:dyDescent="0.35">
      <c r="C2563" s="1" t="s">
        <v>6115</v>
      </c>
      <c r="D2563" s="1" t="s">
        <v>18</v>
      </c>
      <c r="E2563" s="250">
        <v>5131.0039999999999</v>
      </c>
    </row>
    <row r="2564" spans="3:5" x14ac:dyDescent="0.35">
      <c r="C2564" s="1" t="s">
        <v>6114</v>
      </c>
      <c r="D2564" s="1" t="s">
        <v>19</v>
      </c>
      <c r="E2564" s="250">
        <v>5131.0050000000001</v>
      </c>
    </row>
    <row r="2565" spans="3:5" x14ac:dyDescent="0.35">
      <c r="C2565" s="1" t="s">
        <v>6113</v>
      </c>
      <c r="D2565" s="1" t="s">
        <v>18</v>
      </c>
      <c r="E2565" s="250">
        <v>5131.0060000000003</v>
      </c>
    </row>
    <row r="2566" spans="3:5" x14ac:dyDescent="0.35">
      <c r="C2566" s="1" t="s">
        <v>6112</v>
      </c>
      <c r="D2566" s="1" t="s">
        <v>19</v>
      </c>
      <c r="E2566" s="250">
        <v>5131.0069999999996</v>
      </c>
    </row>
    <row r="2567" spans="3:5" x14ac:dyDescent="0.35">
      <c r="C2567" s="1" t="s">
        <v>6111</v>
      </c>
      <c r="D2567" s="1" t="s">
        <v>18</v>
      </c>
      <c r="E2567" s="250">
        <v>5131.0079999999998</v>
      </c>
    </row>
    <row r="2568" spans="3:5" x14ac:dyDescent="0.35">
      <c r="C2568" s="1" t="s">
        <v>6110</v>
      </c>
      <c r="D2568" s="1" t="s">
        <v>19</v>
      </c>
      <c r="E2568" s="250">
        <v>5131.0110000000004</v>
      </c>
    </row>
    <row r="2569" spans="3:5" x14ac:dyDescent="0.35">
      <c r="C2569" s="1" t="s">
        <v>6109</v>
      </c>
      <c r="D2569" s="1" t="s">
        <v>19</v>
      </c>
      <c r="E2569" s="250">
        <v>5131.0119999999997</v>
      </c>
    </row>
    <row r="2570" spans="3:5" x14ac:dyDescent="0.35">
      <c r="C2570" s="1" t="s">
        <v>6108</v>
      </c>
      <c r="D2570" s="1" t="s">
        <v>6107</v>
      </c>
      <c r="E2570" s="250">
        <v>5131.0140000000001</v>
      </c>
    </row>
    <row r="2571" spans="3:5" x14ac:dyDescent="0.35">
      <c r="C2571" s="1" t="s">
        <v>6106</v>
      </c>
      <c r="D2571" s="1" t="s">
        <v>18</v>
      </c>
      <c r="E2571" s="250">
        <v>5131.018</v>
      </c>
    </row>
    <row r="2572" spans="3:5" x14ac:dyDescent="0.35">
      <c r="C2572" s="1" t="s">
        <v>6105</v>
      </c>
      <c r="D2572" s="1" t="s">
        <v>77</v>
      </c>
      <c r="E2572" s="250">
        <v>5131.1009999999997</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93171688-8880-40C4-8684-1575457D55DA}">
      <formula1>$C$205:$C207</formula1>
    </dataValidation>
  </dataValidations>
  <hyperlinks>
    <hyperlink ref="D3" r:id="rId1" display="datamateapp@gmail.com" xr:uid="{4982A16C-C7CD-45E1-9A3B-11C049805AD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20521" r:id="rId4" name="Button 9">
              <controlPr defaultSize="0" print="0" autoFill="0" autoPict="0" macro="[0]!ExitSEC_051000">
                <anchor moveWithCells="1" sizeWithCells="1">
                  <from>
                    <xdr:col>16</xdr:col>
                    <xdr:colOff>203200</xdr:colOff>
                    <xdr:row>0</xdr:row>
                    <xdr:rowOff>0</xdr:rowOff>
                  </from>
                  <to>
                    <xdr:col>16</xdr:col>
                    <xdr:colOff>1473200</xdr:colOff>
                    <xdr:row>2</xdr:row>
                    <xdr:rowOff>12700</xdr:rowOff>
                  </to>
                </anchor>
              </controlPr>
            </control>
          </mc:Choice>
        </mc:AlternateContent>
        <mc:AlternateContent xmlns:mc="http://schemas.openxmlformats.org/markup-compatibility/2006">
          <mc:Choice Requires="x14">
            <control shapeId="320549" r:id="rId5" name="Button 37">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320550" r:id="rId6" name="Button 38">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320551" r:id="rId7" name="Button 39">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320552" r:id="rId8" name="Button 40">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320553" r:id="rId9" name="Button 41">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320554" r:id="rId10" name="Button 42">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320555" r:id="rId11" name="Button 43">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320556" r:id="rId12" name="Button 44">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35FA9-BA64-4D01-B299-3700C88F7ACC}">
  <sheetPr codeName="Sheet72"/>
  <dimension ref="A1:Q231"/>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METAL JOISTS</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05 20 00</v>
      </c>
      <c r="C10" s="24" t="str">
        <f>C206</f>
        <v>METAL JOISTS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METAL JOISTS</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14202</v>
      </c>
      <c r="C206" s="82" t="s">
        <v>14203</v>
      </c>
      <c r="D206" s="1"/>
      <c r="E206" s="1"/>
      <c r="F206" s="1"/>
      <c r="G206" s="1"/>
      <c r="H206" s="1"/>
      <c r="I206" s="1"/>
      <c r="J206" s="1"/>
      <c r="K206" s="1"/>
      <c r="L206" s="1"/>
      <c r="M206" s="1"/>
      <c r="N206" s="1"/>
      <c r="O206" s="1"/>
      <c r="P206" s="1"/>
      <c r="Q206" s="1"/>
    </row>
    <row r="207" spans="2:17" x14ac:dyDescent="0.35">
      <c r="B207" s="49" t="s">
        <v>14204</v>
      </c>
      <c r="C207" s="53" t="s">
        <v>14205</v>
      </c>
      <c r="D207" s="1"/>
      <c r="E207" s="1"/>
      <c r="F207" s="1"/>
      <c r="G207" s="1"/>
      <c r="H207" s="1"/>
      <c r="I207" s="1"/>
      <c r="J207" s="1"/>
      <c r="K207" s="1"/>
      <c r="L207" s="1"/>
      <c r="M207" s="1"/>
      <c r="N207" s="1"/>
      <c r="O207" s="1"/>
      <c r="P207" s="1"/>
      <c r="Q207" s="1"/>
    </row>
    <row r="208" spans="2:17" x14ac:dyDescent="0.35">
      <c r="B208" s="49" t="s">
        <v>14206</v>
      </c>
      <c r="C208" s="53" t="s">
        <v>14207</v>
      </c>
    </row>
    <row r="209" spans="3:5" x14ac:dyDescent="0.35">
      <c r="C209" s="1" t="s">
        <v>6104</v>
      </c>
      <c r="D209" s="1" t="s">
        <v>77</v>
      </c>
      <c r="E209" s="250">
        <v>5210.0110000000004</v>
      </c>
    </row>
    <row r="210" spans="3:5" x14ac:dyDescent="0.35">
      <c r="C210" s="1" t="s">
        <v>6103</v>
      </c>
      <c r="D210" s="1" t="s">
        <v>77</v>
      </c>
      <c r="E210" s="250">
        <v>5210.0119999999997</v>
      </c>
    </row>
    <row r="211" spans="3:5" x14ac:dyDescent="0.35">
      <c r="C211" s="1" t="s">
        <v>6102</v>
      </c>
      <c r="D211" s="1" t="s">
        <v>77</v>
      </c>
      <c r="E211" s="250">
        <v>5210.0129999999999</v>
      </c>
    </row>
    <row r="212" spans="3:5" x14ac:dyDescent="0.35">
      <c r="C212" s="1" t="s">
        <v>6101</v>
      </c>
      <c r="D212" s="1" t="s">
        <v>77</v>
      </c>
      <c r="E212" s="250">
        <v>5210.0140000000001</v>
      </c>
    </row>
    <row r="213" spans="3:5" x14ac:dyDescent="0.35">
      <c r="C213" s="1" t="s">
        <v>6100</v>
      </c>
      <c r="D213" s="1" t="s">
        <v>77</v>
      </c>
      <c r="E213" s="250">
        <v>5210.0150000000003</v>
      </c>
    </row>
    <row r="214" spans="3:5" x14ac:dyDescent="0.35">
      <c r="C214" s="1" t="s">
        <v>6099</v>
      </c>
      <c r="D214" s="1" t="s">
        <v>20</v>
      </c>
      <c r="E214" s="250">
        <v>5210.1000000000004</v>
      </c>
    </row>
    <row r="215" spans="3:5" x14ac:dyDescent="0.35">
      <c r="C215" s="1" t="s">
        <v>6099</v>
      </c>
      <c r="D215" s="1" t="s">
        <v>77</v>
      </c>
      <c r="E215" s="250">
        <v>5210.1009999999997</v>
      </c>
    </row>
    <row r="216" spans="3:5" x14ac:dyDescent="0.35">
      <c r="C216" s="1" t="s">
        <v>6098</v>
      </c>
      <c r="D216" s="1" t="s">
        <v>77</v>
      </c>
      <c r="E216" s="250">
        <v>5210.3</v>
      </c>
    </row>
    <row r="217" spans="3:5" x14ac:dyDescent="0.35">
      <c r="C217" s="1" t="s">
        <v>6097</v>
      </c>
      <c r="D217" s="1" t="s">
        <v>77</v>
      </c>
      <c r="E217" s="250">
        <v>5210.3010000000004</v>
      </c>
    </row>
    <row r="218" spans="3:5" x14ac:dyDescent="0.35">
      <c r="C218" s="1" t="s">
        <v>6096</v>
      </c>
      <c r="D218" s="1" t="s">
        <v>77</v>
      </c>
      <c r="E218" s="250">
        <v>5212.1009999999997</v>
      </c>
    </row>
    <row r="219" spans="3:5" x14ac:dyDescent="0.35">
      <c r="C219" s="1" t="s">
        <v>6095</v>
      </c>
      <c r="D219" s="1" t="s">
        <v>77</v>
      </c>
      <c r="E219" s="250">
        <v>5212.1019999999999</v>
      </c>
    </row>
    <row r="220" spans="3:5" x14ac:dyDescent="0.35">
      <c r="C220" s="1" t="s">
        <v>6094</v>
      </c>
      <c r="D220" s="1" t="s">
        <v>77</v>
      </c>
      <c r="E220" s="250">
        <v>5212.1030000000001</v>
      </c>
    </row>
    <row r="221" spans="3:5" x14ac:dyDescent="0.35">
      <c r="C221" s="1" t="s">
        <v>6093</v>
      </c>
      <c r="D221" s="1" t="s">
        <v>77</v>
      </c>
      <c r="E221" s="250">
        <v>5212.1040000000003</v>
      </c>
    </row>
    <row r="222" spans="3:5" x14ac:dyDescent="0.35">
      <c r="C222" s="1" t="s">
        <v>6092</v>
      </c>
      <c r="D222" s="1" t="s">
        <v>77</v>
      </c>
      <c r="E222" s="250">
        <v>5212.1499999999996</v>
      </c>
    </row>
    <row r="223" spans="3:5" x14ac:dyDescent="0.35">
      <c r="C223" s="1" t="s">
        <v>6091</v>
      </c>
      <c r="D223" s="1" t="s">
        <v>41</v>
      </c>
      <c r="E223" s="250">
        <v>5212.16</v>
      </c>
    </row>
    <row r="224" spans="3:5" x14ac:dyDescent="0.35">
      <c r="C224" s="1" t="s">
        <v>6090</v>
      </c>
      <c r="D224" s="1" t="s">
        <v>1692</v>
      </c>
      <c r="E224" s="250">
        <v>5213.1000000000004</v>
      </c>
    </row>
    <row r="225" spans="3:5" x14ac:dyDescent="0.35">
      <c r="C225" s="1" t="s">
        <v>6089</v>
      </c>
      <c r="D225" s="1" t="s">
        <v>1692</v>
      </c>
      <c r="E225" s="250">
        <v>5213.2</v>
      </c>
    </row>
    <row r="226" spans="3:5" x14ac:dyDescent="0.35">
      <c r="C226" s="1" t="s">
        <v>6088</v>
      </c>
      <c r="D226" s="1" t="s">
        <v>18</v>
      </c>
      <c r="E226" s="250">
        <v>5213.3</v>
      </c>
    </row>
    <row r="227" spans="3:5" x14ac:dyDescent="0.35">
      <c r="C227" s="1" t="s">
        <v>6087</v>
      </c>
      <c r="D227" s="1" t="s">
        <v>19</v>
      </c>
      <c r="E227" s="250">
        <v>5213.3999999999996</v>
      </c>
    </row>
    <row r="228" spans="3:5" x14ac:dyDescent="0.35">
      <c r="C228" s="1" t="s">
        <v>6086</v>
      </c>
      <c r="D228" s="1" t="s">
        <v>18</v>
      </c>
      <c r="E228" s="250">
        <v>5213.5</v>
      </c>
    </row>
    <row r="229" spans="3:5" x14ac:dyDescent="0.35">
      <c r="C229" s="1" t="s">
        <v>6085</v>
      </c>
      <c r="D229" s="1" t="s">
        <v>20</v>
      </c>
      <c r="E229" s="250">
        <v>5219.99</v>
      </c>
    </row>
    <row r="230" spans="3:5" x14ac:dyDescent="0.35">
      <c r="C230" s="1" t="s">
        <v>6084</v>
      </c>
      <c r="D230" s="1" t="s">
        <v>19</v>
      </c>
      <c r="E230" s="250">
        <v>5219.991</v>
      </c>
    </row>
    <row r="231" spans="3:5" x14ac:dyDescent="0.35">
      <c r="C231" s="1" t="s">
        <v>6083</v>
      </c>
      <c r="D231" s="1" t="s">
        <v>77</v>
      </c>
      <c r="E231" s="250">
        <v>5219.9920000000002</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A5659A3A-8B4D-4ED0-BBEA-17C0BEC4459C}">
      <formula1>$C$205:$C207</formula1>
    </dataValidation>
  </dataValidations>
  <hyperlinks>
    <hyperlink ref="D3" r:id="rId1" display="datamateapp@gmail.com" xr:uid="{4C0D124F-5EB5-4F49-A2A2-F773828CEE8F}"/>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21545" r:id="rId4" name="Button 9">
              <controlPr defaultSize="0" print="0" autoFill="0" autoPict="0" macro="[0]!ExitSEC_052000">
                <anchor moveWithCells="1" sizeWithCells="1">
                  <from>
                    <xdr:col>16</xdr:col>
                    <xdr:colOff>203200</xdr:colOff>
                    <xdr:row>0</xdr:row>
                    <xdr:rowOff>0</xdr:rowOff>
                  </from>
                  <to>
                    <xdr:col>16</xdr:col>
                    <xdr:colOff>1473200</xdr:colOff>
                    <xdr:row>2</xdr:row>
                    <xdr:rowOff>12700</xdr:rowOff>
                  </to>
                </anchor>
              </controlPr>
            </control>
          </mc:Choice>
        </mc:AlternateContent>
        <mc:AlternateContent xmlns:mc="http://schemas.openxmlformats.org/markup-compatibility/2006">
          <mc:Choice Requires="x14">
            <control shapeId="321572" r:id="rId5" name="Button 36">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321573" r:id="rId6" name="Button 37">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321574" r:id="rId7" name="Button 38">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321575" r:id="rId8" name="Button 39">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321576" r:id="rId9" name="Button 40">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321577" r:id="rId10" name="Button 41">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321578" r:id="rId11" name="Button 42">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321579" r:id="rId12" name="Button 43">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76F51-A9C5-4A4B-B445-36B85C8F9C6E}">
  <sheetPr codeName="Sheet73"/>
  <dimension ref="A1:Q324"/>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METAL DECKING</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05 30 00</v>
      </c>
      <c r="C10" s="24" t="str">
        <f>C206</f>
        <v>METAL DECKING</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METAL DECKING</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14208</v>
      </c>
      <c r="C206" s="82" t="s">
        <v>14209</v>
      </c>
      <c r="D206" s="1"/>
      <c r="E206" s="1"/>
      <c r="F206" s="1"/>
      <c r="G206" s="1"/>
      <c r="H206" s="1"/>
      <c r="I206" s="1"/>
      <c r="J206" s="1"/>
      <c r="K206" s="1"/>
      <c r="L206" s="1"/>
      <c r="M206" s="1"/>
      <c r="N206" s="1"/>
      <c r="O206" s="1"/>
      <c r="P206" s="1"/>
      <c r="Q206" s="1"/>
    </row>
    <row r="207" spans="2:17" x14ac:dyDescent="0.35">
      <c r="B207" s="49" t="s">
        <v>14210</v>
      </c>
      <c r="C207" s="53" t="s">
        <v>14211</v>
      </c>
      <c r="D207" s="1"/>
      <c r="E207" s="1"/>
      <c r="F207" s="1"/>
      <c r="G207" s="1"/>
      <c r="H207" s="1"/>
      <c r="I207" s="1"/>
      <c r="J207" s="1"/>
      <c r="K207" s="1"/>
      <c r="L207" s="1"/>
      <c r="M207" s="1"/>
      <c r="N207" s="1"/>
      <c r="O207" s="1"/>
      <c r="P207" s="1"/>
      <c r="Q207" s="1"/>
    </row>
    <row r="208" spans="2:17" x14ac:dyDescent="0.35">
      <c r="B208" s="49" t="s">
        <v>14212</v>
      </c>
      <c r="C208" s="53" t="s">
        <v>14213</v>
      </c>
    </row>
    <row r="209" spans="2:5" x14ac:dyDescent="0.35">
      <c r="B209" s="49" t="s">
        <v>14214</v>
      </c>
      <c r="C209" s="53" t="s">
        <v>14215</v>
      </c>
    </row>
    <row r="210" spans="2:5" x14ac:dyDescent="0.35">
      <c r="B210" s="49" t="s">
        <v>14216</v>
      </c>
      <c r="C210" s="53" t="s">
        <v>14217</v>
      </c>
    </row>
    <row r="211" spans="2:5" x14ac:dyDescent="0.35">
      <c r="B211" s="49" t="s">
        <v>14218</v>
      </c>
      <c r="C211" s="53" t="s">
        <v>14219</v>
      </c>
    </row>
    <row r="212" spans="2:5" x14ac:dyDescent="0.35">
      <c r="C212" s="1" t="s">
        <v>6082</v>
      </c>
      <c r="D212" s="1" t="s">
        <v>3023</v>
      </c>
      <c r="E212" s="250">
        <v>5300.1</v>
      </c>
    </row>
    <row r="213" spans="2:5" x14ac:dyDescent="0.35">
      <c r="C213" s="1" t="s">
        <v>6081</v>
      </c>
      <c r="D213" s="1" t="s">
        <v>20</v>
      </c>
      <c r="E213" s="250">
        <v>5310.0110000000004</v>
      </c>
    </row>
    <row r="214" spans="2:5" x14ac:dyDescent="0.35">
      <c r="C214" s="1" t="s">
        <v>6080</v>
      </c>
      <c r="D214" s="1" t="s">
        <v>20</v>
      </c>
      <c r="E214" s="250">
        <v>5310.0119999999997</v>
      </c>
    </row>
    <row r="215" spans="2:5" x14ac:dyDescent="0.35">
      <c r="C215" s="1" t="s">
        <v>6079</v>
      </c>
      <c r="D215" s="1" t="s">
        <v>20</v>
      </c>
      <c r="E215" s="250">
        <v>5310.0129999999999</v>
      </c>
    </row>
    <row r="216" spans="2:5" x14ac:dyDescent="0.35">
      <c r="C216" s="1" t="s">
        <v>6078</v>
      </c>
      <c r="D216" s="1" t="s">
        <v>20</v>
      </c>
      <c r="E216" s="250">
        <v>5310.0140000000001</v>
      </c>
    </row>
    <row r="217" spans="2:5" x14ac:dyDescent="0.35">
      <c r="C217" s="1" t="s">
        <v>6077</v>
      </c>
      <c r="D217" s="1" t="s">
        <v>20</v>
      </c>
      <c r="E217" s="250">
        <v>5310.0150000000003</v>
      </c>
    </row>
    <row r="218" spans="2:5" x14ac:dyDescent="0.35">
      <c r="C218" s="1" t="s">
        <v>6076</v>
      </c>
      <c r="D218" s="1" t="s">
        <v>20</v>
      </c>
      <c r="E218" s="250">
        <v>5310.0159999999996</v>
      </c>
    </row>
    <row r="219" spans="2:5" x14ac:dyDescent="0.35">
      <c r="C219" s="1" t="s">
        <v>6007</v>
      </c>
      <c r="D219" s="1" t="s">
        <v>20</v>
      </c>
      <c r="E219" s="250">
        <v>5310.0169999999998</v>
      </c>
    </row>
    <row r="220" spans="2:5" x14ac:dyDescent="0.35">
      <c r="C220" s="1" t="s">
        <v>6006</v>
      </c>
      <c r="D220" s="1" t="s">
        <v>20</v>
      </c>
      <c r="E220" s="250">
        <v>5310.018</v>
      </c>
    </row>
    <row r="221" spans="2:5" x14ac:dyDescent="0.35">
      <c r="C221" s="1" t="s">
        <v>6005</v>
      </c>
      <c r="D221" s="1" t="s">
        <v>20</v>
      </c>
      <c r="E221" s="250">
        <v>5310.0190000000002</v>
      </c>
    </row>
    <row r="222" spans="2:5" x14ac:dyDescent="0.35">
      <c r="C222" s="1" t="s">
        <v>6075</v>
      </c>
      <c r="D222" s="1" t="s">
        <v>20</v>
      </c>
      <c r="E222" s="250">
        <v>5310.0209999999997</v>
      </c>
    </row>
    <row r="223" spans="2:5" x14ac:dyDescent="0.35">
      <c r="C223" s="1" t="s">
        <v>6074</v>
      </c>
      <c r="D223" s="1" t="s">
        <v>20</v>
      </c>
      <c r="E223" s="250">
        <v>5310.0219999999999</v>
      </c>
    </row>
    <row r="224" spans="2:5" x14ac:dyDescent="0.35">
      <c r="C224" s="1" t="s">
        <v>6073</v>
      </c>
      <c r="D224" s="1" t="s">
        <v>20</v>
      </c>
      <c r="E224" s="250">
        <v>5310.0230000000001</v>
      </c>
    </row>
    <row r="225" spans="3:5" x14ac:dyDescent="0.35">
      <c r="C225" s="1" t="s">
        <v>6072</v>
      </c>
      <c r="D225" s="1" t="s">
        <v>20</v>
      </c>
      <c r="E225" s="250">
        <v>5310.0240000000003</v>
      </c>
    </row>
    <row r="226" spans="3:5" x14ac:dyDescent="0.35">
      <c r="C226" s="1" t="s">
        <v>6071</v>
      </c>
      <c r="D226" s="1" t="s">
        <v>20</v>
      </c>
      <c r="E226" s="250">
        <v>5310.0249999999996</v>
      </c>
    </row>
    <row r="227" spans="3:5" x14ac:dyDescent="0.35">
      <c r="C227" s="1" t="s">
        <v>6070</v>
      </c>
      <c r="D227" s="1" t="s">
        <v>20</v>
      </c>
      <c r="E227" s="250">
        <v>5310.0259999999998</v>
      </c>
    </row>
    <row r="228" spans="3:5" x14ac:dyDescent="0.35">
      <c r="C228" s="1" t="s">
        <v>6069</v>
      </c>
      <c r="D228" s="1" t="s">
        <v>20</v>
      </c>
      <c r="E228" s="250">
        <v>5310.027</v>
      </c>
    </row>
    <row r="229" spans="3:5" x14ac:dyDescent="0.35">
      <c r="C229" s="1" t="s">
        <v>6068</v>
      </c>
      <c r="D229" s="1" t="s">
        <v>20</v>
      </c>
      <c r="E229" s="250">
        <v>5310.0280000000002</v>
      </c>
    </row>
    <row r="230" spans="3:5" x14ac:dyDescent="0.35">
      <c r="C230" s="1" t="s">
        <v>6067</v>
      </c>
      <c r="D230" s="1" t="s">
        <v>20</v>
      </c>
      <c r="E230" s="250">
        <v>5310.0290000000005</v>
      </c>
    </row>
    <row r="231" spans="3:5" x14ac:dyDescent="0.35">
      <c r="C231" s="1" t="s">
        <v>6066</v>
      </c>
      <c r="D231" s="1" t="s">
        <v>20</v>
      </c>
      <c r="E231" s="250">
        <v>5310.03</v>
      </c>
    </row>
    <row r="232" spans="3:5" x14ac:dyDescent="0.35">
      <c r="C232" s="1" t="s">
        <v>6065</v>
      </c>
      <c r="D232" s="1" t="s">
        <v>20</v>
      </c>
      <c r="E232" s="250">
        <v>5310.0309999999999</v>
      </c>
    </row>
    <row r="233" spans="3:5" x14ac:dyDescent="0.35">
      <c r="C233" s="1" t="s">
        <v>6064</v>
      </c>
      <c r="D233" s="1" t="s">
        <v>20</v>
      </c>
      <c r="E233" s="250">
        <v>5310.0320000000002</v>
      </c>
    </row>
    <row r="234" spans="3:5" x14ac:dyDescent="0.35">
      <c r="C234" s="1" t="s">
        <v>6063</v>
      </c>
      <c r="D234" s="1" t="s">
        <v>20</v>
      </c>
      <c r="E234" s="250">
        <v>5310.0330000000004</v>
      </c>
    </row>
    <row r="235" spans="3:5" x14ac:dyDescent="0.35">
      <c r="C235" s="1" t="s">
        <v>6062</v>
      </c>
      <c r="D235" s="1" t="s">
        <v>20</v>
      </c>
      <c r="E235" s="250">
        <v>5310.0339999999997</v>
      </c>
    </row>
    <row r="236" spans="3:5" x14ac:dyDescent="0.35">
      <c r="C236" s="1" t="s">
        <v>6061</v>
      </c>
      <c r="D236" s="1" t="s">
        <v>20</v>
      </c>
      <c r="E236" s="250">
        <v>5310.0349999999999</v>
      </c>
    </row>
    <row r="237" spans="3:5" x14ac:dyDescent="0.35">
      <c r="C237" s="1" t="s">
        <v>6060</v>
      </c>
      <c r="D237" s="1" t="s">
        <v>20</v>
      </c>
      <c r="E237" s="250">
        <v>5310.0360000000001</v>
      </c>
    </row>
    <row r="238" spans="3:5" x14ac:dyDescent="0.35">
      <c r="C238" s="1" t="s">
        <v>6059</v>
      </c>
      <c r="D238" s="1" t="s">
        <v>20</v>
      </c>
      <c r="E238" s="250">
        <v>5310.0370000000003</v>
      </c>
    </row>
    <row r="239" spans="3:5" x14ac:dyDescent="0.35">
      <c r="C239" s="1" t="s">
        <v>6058</v>
      </c>
      <c r="D239" s="1" t="s">
        <v>20</v>
      </c>
      <c r="E239" s="250">
        <v>5310.0379999999996</v>
      </c>
    </row>
    <row r="240" spans="3:5" x14ac:dyDescent="0.35">
      <c r="C240" s="1" t="s">
        <v>6057</v>
      </c>
      <c r="D240" s="1" t="s">
        <v>20</v>
      </c>
      <c r="E240" s="250">
        <v>5310.0389999999998</v>
      </c>
    </row>
    <row r="241" spans="3:5" x14ac:dyDescent="0.35">
      <c r="C241" s="1" t="s">
        <v>6056</v>
      </c>
      <c r="D241" s="1" t="s">
        <v>20</v>
      </c>
      <c r="E241" s="250">
        <v>5310.04</v>
      </c>
    </row>
    <row r="242" spans="3:5" x14ac:dyDescent="0.35">
      <c r="C242" s="1" t="s">
        <v>6055</v>
      </c>
      <c r="D242" s="1" t="s">
        <v>20</v>
      </c>
      <c r="E242" s="250">
        <v>5310.0410000000002</v>
      </c>
    </row>
    <row r="243" spans="3:5" x14ac:dyDescent="0.35">
      <c r="C243" s="1" t="s">
        <v>6054</v>
      </c>
      <c r="D243" s="1" t="s">
        <v>20</v>
      </c>
      <c r="E243" s="250">
        <v>5310.0420000000004</v>
      </c>
    </row>
    <row r="244" spans="3:5" x14ac:dyDescent="0.35">
      <c r="C244" s="1" t="s">
        <v>6053</v>
      </c>
      <c r="D244" s="1" t="s">
        <v>20</v>
      </c>
      <c r="E244" s="250">
        <v>5310.0429999999997</v>
      </c>
    </row>
    <row r="245" spans="3:5" x14ac:dyDescent="0.35">
      <c r="C245" s="1" t="s">
        <v>6052</v>
      </c>
      <c r="D245" s="1" t="s">
        <v>20</v>
      </c>
      <c r="E245" s="250">
        <v>5310.0439999999999</v>
      </c>
    </row>
    <row r="246" spans="3:5" x14ac:dyDescent="0.35">
      <c r="C246" s="1" t="s">
        <v>6051</v>
      </c>
      <c r="D246" s="1" t="s">
        <v>20</v>
      </c>
      <c r="E246" s="250">
        <v>5310.0450000000001</v>
      </c>
    </row>
    <row r="247" spans="3:5" x14ac:dyDescent="0.35">
      <c r="C247" s="1" t="s">
        <v>6050</v>
      </c>
      <c r="D247" s="1" t="s">
        <v>20</v>
      </c>
      <c r="E247" s="250">
        <v>5310.0460000000003</v>
      </c>
    </row>
    <row r="248" spans="3:5" x14ac:dyDescent="0.35">
      <c r="C248" s="1" t="s">
        <v>6049</v>
      </c>
      <c r="D248" s="1" t="s">
        <v>20</v>
      </c>
      <c r="E248" s="250">
        <v>5310.0469999999996</v>
      </c>
    </row>
    <row r="249" spans="3:5" x14ac:dyDescent="0.35">
      <c r="C249" s="1" t="s">
        <v>6048</v>
      </c>
      <c r="D249" s="1" t="s">
        <v>20</v>
      </c>
      <c r="E249" s="250">
        <v>5310.0479999999998</v>
      </c>
    </row>
    <row r="250" spans="3:5" x14ac:dyDescent="0.35">
      <c r="C250" s="1" t="s">
        <v>6047</v>
      </c>
      <c r="D250" s="1" t="s">
        <v>20</v>
      </c>
      <c r="E250" s="250">
        <v>5310.049</v>
      </c>
    </row>
    <row r="251" spans="3:5" x14ac:dyDescent="0.35">
      <c r="C251" s="1" t="s">
        <v>6046</v>
      </c>
      <c r="D251" s="1" t="s">
        <v>20</v>
      </c>
      <c r="E251" s="250">
        <v>5310.05</v>
      </c>
    </row>
    <row r="252" spans="3:5" x14ac:dyDescent="0.35">
      <c r="C252" s="1" t="s">
        <v>6045</v>
      </c>
      <c r="D252" s="1" t="s">
        <v>20</v>
      </c>
      <c r="E252" s="250">
        <v>5310.0510000000004</v>
      </c>
    </row>
    <row r="253" spans="3:5" x14ac:dyDescent="0.35">
      <c r="C253" s="1" t="s">
        <v>6044</v>
      </c>
      <c r="D253" s="1" t="s">
        <v>20</v>
      </c>
      <c r="E253" s="250">
        <v>5310.0519999999997</v>
      </c>
    </row>
    <row r="254" spans="3:5" x14ac:dyDescent="0.35">
      <c r="C254" s="1" t="s">
        <v>6043</v>
      </c>
      <c r="D254" s="1" t="s">
        <v>20</v>
      </c>
      <c r="E254" s="250">
        <v>5310.0529999999999</v>
      </c>
    </row>
    <row r="255" spans="3:5" x14ac:dyDescent="0.35">
      <c r="C255" s="1" t="s">
        <v>6042</v>
      </c>
      <c r="D255" s="1" t="s">
        <v>20</v>
      </c>
      <c r="E255" s="250">
        <v>5310.0540000000001</v>
      </c>
    </row>
    <row r="256" spans="3:5" x14ac:dyDescent="0.35">
      <c r="C256" s="1" t="s">
        <v>6041</v>
      </c>
      <c r="D256" s="1" t="s">
        <v>20</v>
      </c>
      <c r="E256" s="250">
        <v>5310.0550000000003</v>
      </c>
    </row>
    <row r="257" spans="3:5" x14ac:dyDescent="0.35">
      <c r="C257" s="1" t="s">
        <v>6040</v>
      </c>
      <c r="D257" s="1" t="s">
        <v>20</v>
      </c>
      <c r="E257" s="250">
        <v>5310.0559999999996</v>
      </c>
    </row>
    <row r="258" spans="3:5" x14ac:dyDescent="0.35">
      <c r="C258" s="1" t="s">
        <v>6039</v>
      </c>
      <c r="D258" s="1" t="s">
        <v>20</v>
      </c>
      <c r="E258" s="250">
        <v>5310.0569999999998</v>
      </c>
    </row>
    <row r="259" spans="3:5" x14ac:dyDescent="0.35">
      <c r="C259" s="1" t="s">
        <v>6038</v>
      </c>
      <c r="D259" s="1" t="s">
        <v>20</v>
      </c>
      <c r="E259" s="250">
        <v>5310.058</v>
      </c>
    </row>
    <row r="260" spans="3:5" x14ac:dyDescent="0.35">
      <c r="C260" s="1" t="s">
        <v>6037</v>
      </c>
      <c r="D260" s="1" t="s">
        <v>20</v>
      </c>
      <c r="E260" s="250">
        <v>5310.0590000000002</v>
      </c>
    </row>
    <row r="261" spans="3:5" x14ac:dyDescent="0.35">
      <c r="C261" s="1" t="s">
        <v>6036</v>
      </c>
      <c r="D261" s="1" t="s">
        <v>20</v>
      </c>
      <c r="E261" s="250">
        <v>5310.06</v>
      </c>
    </row>
    <row r="262" spans="3:5" x14ac:dyDescent="0.35">
      <c r="C262" s="1" t="s">
        <v>6035</v>
      </c>
      <c r="D262" s="1" t="s">
        <v>20</v>
      </c>
      <c r="E262" s="250">
        <v>5310.0609999999997</v>
      </c>
    </row>
    <row r="263" spans="3:5" x14ac:dyDescent="0.35">
      <c r="C263" s="1" t="s">
        <v>6034</v>
      </c>
      <c r="D263" s="1" t="s">
        <v>20</v>
      </c>
      <c r="E263" s="250">
        <v>5310.0619999999999</v>
      </c>
    </row>
    <row r="264" spans="3:5" x14ac:dyDescent="0.35">
      <c r="C264" s="1" t="s">
        <v>6033</v>
      </c>
      <c r="D264" s="1" t="s">
        <v>20</v>
      </c>
      <c r="E264" s="250">
        <v>5310.0630000000001</v>
      </c>
    </row>
    <row r="265" spans="3:5" x14ac:dyDescent="0.35">
      <c r="C265" s="1" t="s">
        <v>6032</v>
      </c>
      <c r="D265" s="1" t="s">
        <v>20</v>
      </c>
      <c r="E265" s="250">
        <v>5310.0640000000003</v>
      </c>
    </row>
    <row r="266" spans="3:5" x14ac:dyDescent="0.35">
      <c r="C266" s="1" t="s">
        <v>6031</v>
      </c>
      <c r="D266" s="1" t="s">
        <v>20</v>
      </c>
      <c r="E266" s="250">
        <v>5310.0649999999996</v>
      </c>
    </row>
    <row r="267" spans="3:5" x14ac:dyDescent="0.35">
      <c r="C267" s="1" t="s">
        <v>6030</v>
      </c>
      <c r="D267" s="1" t="s">
        <v>20</v>
      </c>
      <c r="E267" s="250">
        <v>5310.0659999999998</v>
      </c>
    </row>
    <row r="268" spans="3:5" x14ac:dyDescent="0.35">
      <c r="C268" s="1" t="s">
        <v>6029</v>
      </c>
      <c r="D268" s="1" t="s">
        <v>20</v>
      </c>
      <c r="E268" s="250">
        <v>5310.067</v>
      </c>
    </row>
    <row r="269" spans="3:5" x14ac:dyDescent="0.35">
      <c r="C269" s="1" t="s">
        <v>6028</v>
      </c>
      <c r="D269" s="1" t="s">
        <v>20</v>
      </c>
      <c r="E269" s="250">
        <v>5310.0680000000002</v>
      </c>
    </row>
    <row r="270" spans="3:5" x14ac:dyDescent="0.35">
      <c r="C270" s="1" t="s">
        <v>6027</v>
      </c>
      <c r="D270" s="1" t="s">
        <v>20</v>
      </c>
      <c r="E270" s="250">
        <v>5310.0690000000004</v>
      </c>
    </row>
    <row r="271" spans="3:5" x14ac:dyDescent="0.35">
      <c r="C271" s="1" t="s">
        <v>6026</v>
      </c>
      <c r="D271" s="1" t="s">
        <v>20</v>
      </c>
      <c r="E271" s="250">
        <v>5310.07</v>
      </c>
    </row>
    <row r="272" spans="3:5" x14ac:dyDescent="0.35">
      <c r="C272" s="1" t="s">
        <v>6025</v>
      </c>
      <c r="D272" s="1" t="s">
        <v>20</v>
      </c>
      <c r="E272" s="250">
        <v>5310.0709999999999</v>
      </c>
    </row>
    <row r="273" spans="3:5" x14ac:dyDescent="0.35">
      <c r="C273" s="1" t="s">
        <v>6024</v>
      </c>
      <c r="D273" s="1" t="s">
        <v>20</v>
      </c>
      <c r="E273" s="250">
        <v>5310.0720000000001</v>
      </c>
    </row>
    <row r="274" spans="3:5" x14ac:dyDescent="0.35">
      <c r="C274" s="1" t="s">
        <v>6023</v>
      </c>
      <c r="D274" s="1" t="s">
        <v>20</v>
      </c>
      <c r="E274" s="250">
        <v>5310.0730000000003</v>
      </c>
    </row>
    <row r="275" spans="3:5" x14ac:dyDescent="0.35">
      <c r="C275" s="1" t="s">
        <v>6022</v>
      </c>
      <c r="D275" s="1" t="s">
        <v>20</v>
      </c>
      <c r="E275" s="250">
        <v>5310.0739999999996</v>
      </c>
    </row>
    <row r="276" spans="3:5" x14ac:dyDescent="0.35">
      <c r="C276" s="1" t="s">
        <v>6021</v>
      </c>
      <c r="D276" s="1" t="s">
        <v>20</v>
      </c>
      <c r="E276" s="250">
        <v>5310.0749999999998</v>
      </c>
    </row>
    <row r="277" spans="3:5" x14ac:dyDescent="0.35">
      <c r="C277" s="1" t="s">
        <v>6020</v>
      </c>
      <c r="D277" s="1" t="s">
        <v>20</v>
      </c>
      <c r="E277" s="250">
        <v>5310.076</v>
      </c>
    </row>
    <row r="278" spans="3:5" x14ac:dyDescent="0.35">
      <c r="C278" s="1" t="s">
        <v>6019</v>
      </c>
      <c r="D278" s="1" t="s">
        <v>20</v>
      </c>
      <c r="E278" s="250">
        <v>5310.0770000000002</v>
      </c>
    </row>
    <row r="279" spans="3:5" x14ac:dyDescent="0.35">
      <c r="C279" s="1" t="s">
        <v>6018</v>
      </c>
      <c r="D279" s="1" t="s">
        <v>20</v>
      </c>
      <c r="E279" s="250">
        <v>5310.0780000000004</v>
      </c>
    </row>
    <row r="280" spans="3:5" x14ac:dyDescent="0.35">
      <c r="C280" s="1" t="s">
        <v>6017</v>
      </c>
      <c r="D280" s="1" t="s">
        <v>20</v>
      </c>
      <c r="E280" s="250">
        <v>5310.0789999999997</v>
      </c>
    </row>
    <row r="281" spans="3:5" x14ac:dyDescent="0.35">
      <c r="C281" s="1" t="s">
        <v>6016</v>
      </c>
      <c r="D281" s="1" t="s">
        <v>20</v>
      </c>
      <c r="E281" s="250">
        <v>5310.08</v>
      </c>
    </row>
    <row r="282" spans="3:5" x14ac:dyDescent="0.35">
      <c r="C282" s="1" t="s">
        <v>6015</v>
      </c>
      <c r="D282" s="1" t="s">
        <v>20</v>
      </c>
      <c r="E282" s="250">
        <v>5310.0810000000001</v>
      </c>
    </row>
    <row r="283" spans="3:5" x14ac:dyDescent="0.35">
      <c r="C283" s="1" t="s">
        <v>6014</v>
      </c>
      <c r="D283" s="1" t="s">
        <v>20</v>
      </c>
      <c r="E283" s="250">
        <v>5310.0820000000003</v>
      </c>
    </row>
    <row r="284" spans="3:5" x14ac:dyDescent="0.35">
      <c r="C284" s="1" t="s">
        <v>6013</v>
      </c>
      <c r="D284" s="1" t="s">
        <v>20</v>
      </c>
      <c r="E284" s="250">
        <v>5310.0829999999996</v>
      </c>
    </row>
    <row r="285" spans="3:5" x14ac:dyDescent="0.35">
      <c r="C285" s="1" t="s">
        <v>6012</v>
      </c>
      <c r="D285" s="1" t="s">
        <v>20</v>
      </c>
      <c r="E285" s="250">
        <v>5310.0839999999998</v>
      </c>
    </row>
    <row r="286" spans="3:5" x14ac:dyDescent="0.35">
      <c r="C286" s="1" t="s">
        <v>6011</v>
      </c>
      <c r="D286" s="1" t="s">
        <v>20</v>
      </c>
      <c r="E286" s="250">
        <v>5310.085</v>
      </c>
    </row>
    <row r="287" spans="3:5" x14ac:dyDescent="0.35">
      <c r="C287" s="1" t="s">
        <v>6010</v>
      </c>
      <c r="D287" s="1" t="s">
        <v>20</v>
      </c>
      <c r="E287" s="250">
        <v>5310.0860000000002</v>
      </c>
    </row>
    <row r="288" spans="3:5" x14ac:dyDescent="0.35">
      <c r="C288" s="1" t="s">
        <v>6009</v>
      </c>
      <c r="D288" s="1" t="s">
        <v>20</v>
      </c>
      <c r="E288" s="250">
        <v>5310.1149999999998</v>
      </c>
    </row>
    <row r="289" spans="3:5" x14ac:dyDescent="0.35">
      <c r="C289" s="1" t="s">
        <v>6008</v>
      </c>
      <c r="D289" s="1" t="s">
        <v>20</v>
      </c>
      <c r="E289" s="250">
        <v>5310.116</v>
      </c>
    </row>
    <row r="290" spans="3:5" x14ac:dyDescent="0.35">
      <c r="C290" s="1" t="s">
        <v>6007</v>
      </c>
      <c r="D290" s="1" t="s">
        <v>20</v>
      </c>
      <c r="E290" s="250">
        <v>5310.21</v>
      </c>
    </row>
    <row r="291" spans="3:5" x14ac:dyDescent="0.35">
      <c r="C291" s="1" t="s">
        <v>6006</v>
      </c>
      <c r="D291" s="1" t="s">
        <v>20</v>
      </c>
      <c r="E291" s="250">
        <v>5310.2110000000002</v>
      </c>
    </row>
    <row r="292" spans="3:5" x14ac:dyDescent="0.35">
      <c r="C292" s="1" t="s">
        <v>6005</v>
      </c>
      <c r="D292" s="1" t="s">
        <v>20</v>
      </c>
      <c r="E292" s="250">
        <v>5310.2120000000004</v>
      </c>
    </row>
    <row r="293" spans="3:5" x14ac:dyDescent="0.35">
      <c r="C293" s="1" t="s">
        <v>6004</v>
      </c>
      <c r="D293" s="1" t="s">
        <v>20</v>
      </c>
      <c r="E293" s="250">
        <v>5310.2129999999997</v>
      </c>
    </row>
    <row r="294" spans="3:5" x14ac:dyDescent="0.35">
      <c r="C294" s="1" t="s">
        <v>6003</v>
      </c>
      <c r="D294" s="1" t="s">
        <v>20</v>
      </c>
      <c r="E294" s="250">
        <v>5310.2139999999999</v>
      </c>
    </row>
    <row r="295" spans="3:5" x14ac:dyDescent="0.35">
      <c r="C295" s="1" t="s">
        <v>6002</v>
      </c>
      <c r="D295" s="1" t="s">
        <v>20</v>
      </c>
      <c r="E295" s="250">
        <v>5310.2150000000001</v>
      </c>
    </row>
    <row r="296" spans="3:5" x14ac:dyDescent="0.35">
      <c r="C296" s="1" t="s">
        <v>6001</v>
      </c>
      <c r="D296" s="1" t="s">
        <v>20</v>
      </c>
      <c r="E296" s="250">
        <v>5310.2510000000002</v>
      </c>
    </row>
    <row r="297" spans="3:5" x14ac:dyDescent="0.35">
      <c r="C297" s="1" t="s">
        <v>6000</v>
      </c>
      <c r="D297" s="1" t="s">
        <v>20</v>
      </c>
      <c r="E297" s="250">
        <v>5310.2520000000004</v>
      </c>
    </row>
    <row r="298" spans="3:5" x14ac:dyDescent="0.35">
      <c r="C298" s="1" t="s">
        <v>5999</v>
      </c>
      <c r="D298" s="1" t="s">
        <v>20</v>
      </c>
      <c r="E298" s="250">
        <v>5310.2529999999997</v>
      </c>
    </row>
    <row r="299" spans="3:5" x14ac:dyDescent="0.35">
      <c r="C299" s="1" t="s">
        <v>5998</v>
      </c>
      <c r="D299" s="1" t="s">
        <v>20</v>
      </c>
      <c r="E299" s="250">
        <v>5310.2539999999999</v>
      </c>
    </row>
    <row r="300" spans="3:5" x14ac:dyDescent="0.35">
      <c r="C300" s="1" t="s">
        <v>5997</v>
      </c>
      <c r="D300" s="1" t="s">
        <v>20</v>
      </c>
      <c r="E300" s="250">
        <v>5310.2610000000004</v>
      </c>
    </row>
    <row r="301" spans="3:5" x14ac:dyDescent="0.35">
      <c r="C301" s="1" t="s">
        <v>5996</v>
      </c>
      <c r="D301" s="1" t="s">
        <v>20</v>
      </c>
      <c r="E301" s="250">
        <v>5310.2619999999997</v>
      </c>
    </row>
    <row r="302" spans="3:5" x14ac:dyDescent="0.35">
      <c r="C302" s="1" t="s">
        <v>5995</v>
      </c>
      <c r="D302" s="1" t="s">
        <v>20</v>
      </c>
      <c r="E302" s="250">
        <v>5310.2629999999999</v>
      </c>
    </row>
    <row r="303" spans="3:5" x14ac:dyDescent="0.35">
      <c r="C303" s="1" t="s">
        <v>5994</v>
      </c>
      <c r="D303" s="1" t="s">
        <v>20</v>
      </c>
      <c r="E303" s="250">
        <v>5310.2640000000001</v>
      </c>
    </row>
    <row r="304" spans="3:5" x14ac:dyDescent="0.35">
      <c r="C304" s="1" t="s">
        <v>5993</v>
      </c>
      <c r="D304" s="1" t="s">
        <v>20</v>
      </c>
      <c r="E304" s="250">
        <v>5310.2650000000003</v>
      </c>
    </row>
    <row r="305" spans="3:5" x14ac:dyDescent="0.35">
      <c r="C305" s="1" t="s">
        <v>5992</v>
      </c>
      <c r="D305" s="1" t="s">
        <v>20</v>
      </c>
      <c r="E305" s="250">
        <v>5310.99</v>
      </c>
    </row>
    <row r="306" spans="3:5" x14ac:dyDescent="0.35">
      <c r="C306" s="1" t="s">
        <v>5991</v>
      </c>
      <c r="D306" s="1" t="s">
        <v>621</v>
      </c>
      <c r="E306" s="250">
        <v>5310.991</v>
      </c>
    </row>
    <row r="307" spans="3:5" x14ac:dyDescent="0.35">
      <c r="C307" s="1" t="s">
        <v>5984</v>
      </c>
      <c r="D307" s="1" t="s">
        <v>20</v>
      </c>
      <c r="E307" s="250">
        <v>5311.0110000000004</v>
      </c>
    </row>
    <row r="308" spans="3:5" x14ac:dyDescent="0.35">
      <c r="C308" s="1" t="s">
        <v>5983</v>
      </c>
      <c r="D308" s="1" t="s">
        <v>20</v>
      </c>
      <c r="E308" s="250">
        <v>5311.0119999999997</v>
      </c>
    </row>
    <row r="309" spans="3:5" x14ac:dyDescent="0.35">
      <c r="C309" s="1" t="s">
        <v>5982</v>
      </c>
      <c r="D309" s="1" t="s">
        <v>20</v>
      </c>
      <c r="E309" s="250">
        <v>5311.0129999999999</v>
      </c>
    </row>
    <row r="310" spans="3:5" x14ac:dyDescent="0.35">
      <c r="C310" s="1" t="s">
        <v>5990</v>
      </c>
      <c r="D310" s="1" t="s">
        <v>20</v>
      </c>
      <c r="E310" s="250">
        <v>5311.0140000000001</v>
      </c>
    </row>
    <row r="311" spans="3:5" x14ac:dyDescent="0.35">
      <c r="C311" s="1" t="s">
        <v>5989</v>
      </c>
      <c r="D311" s="1" t="s">
        <v>20</v>
      </c>
      <c r="E311" s="250">
        <v>5311.0150000000003</v>
      </c>
    </row>
    <row r="312" spans="3:5" x14ac:dyDescent="0.35">
      <c r="C312" s="1" t="s">
        <v>5988</v>
      </c>
      <c r="D312" s="1" t="s">
        <v>20</v>
      </c>
      <c r="E312" s="250">
        <v>5311.0159999999996</v>
      </c>
    </row>
    <row r="313" spans="3:5" x14ac:dyDescent="0.35">
      <c r="C313" s="1" t="s">
        <v>5987</v>
      </c>
      <c r="D313" s="1" t="s">
        <v>20</v>
      </c>
      <c r="E313" s="250">
        <v>5311.0169999999998</v>
      </c>
    </row>
    <row r="314" spans="3:5" x14ac:dyDescent="0.35">
      <c r="C314" s="1" t="s">
        <v>5986</v>
      </c>
      <c r="D314" s="1" t="s">
        <v>20</v>
      </c>
      <c r="E314" s="250">
        <v>5311.018</v>
      </c>
    </row>
    <row r="315" spans="3:5" x14ac:dyDescent="0.35">
      <c r="C315" s="1" t="s">
        <v>5985</v>
      </c>
      <c r="D315" s="1" t="s">
        <v>20</v>
      </c>
      <c r="E315" s="250">
        <v>5311.0190000000002</v>
      </c>
    </row>
    <row r="316" spans="3:5" x14ac:dyDescent="0.35">
      <c r="C316" s="1" t="s">
        <v>5984</v>
      </c>
      <c r="D316" s="1" t="s">
        <v>20</v>
      </c>
      <c r="E316" s="250">
        <v>5311.0209999999997</v>
      </c>
    </row>
    <row r="317" spans="3:5" x14ac:dyDescent="0.35">
      <c r="C317" s="1" t="s">
        <v>5983</v>
      </c>
      <c r="D317" s="1" t="s">
        <v>20</v>
      </c>
      <c r="E317" s="250">
        <v>5311.0219999999999</v>
      </c>
    </row>
    <row r="318" spans="3:5" x14ac:dyDescent="0.35">
      <c r="C318" s="1" t="s">
        <v>5982</v>
      </c>
      <c r="D318" s="1" t="s">
        <v>20</v>
      </c>
      <c r="E318" s="250">
        <v>5311.0230000000001</v>
      </c>
    </row>
    <row r="319" spans="3:5" x14ac:dyDescent="0.35">
      <c r="C319" s="1" t="s">
        <v>5981</v>
      </c>
      <c r="D319" s="1" t="s">
        <v>20</v>
      </c>
      <c r="E319" s="250">
        <v>5311.0240000000003</v>
      </c>
    </row>
    <row r="320" spans="3:5" x14ac:dyDescent="0.35">
      <c r="C320" s="1" t="s">
        <v>5980</v>
      </c>
      <c r="D320" s="1" t="s">
        <v>20</v>
      </c>
      <c r="E320" s="250">
        <v>5311.0249999999996</v>
      </c>
    </row>
    <row r="321" spans="3:5" x14ac:dyDescent="0.35">
      <c r="C321" s="1" t="s">
        <v>5979</v>
      </c>
      <c r="D321" s="1" t="s">
        <v>20</v>
      </c>
      <c r="E321" s="250">
        <v>5311.0259999999998</v>
      </c>
    </row>
    <row r="322" spans="3:5" x14ac:dyDescent="0.35">
      <c r="C322" s="1" t="s">
        <v>5978</v>
      </c>
      <c r="D322" s="1" t="s">
        <v>20</v>
      </c>
      <c r="E322" s="250">
        <v>5311.027</v>
      </c>
    </row>
    <row r="323" spans="3:5" x14ac:dyDescent="0.35">
      <c r="C323" s="1" t="s">
        <v>5977</v>
      </c>
      <c r="D323" s="1" t="s">
        <v>20</v>
      </c>
      <c r="E323" s="250">
        <v>5311.0280000000002</v>
      </c>
    </row>
    <row r="324" spans="3:5" x14ac:dyDescent="0.35">
      <c r="C324" s="1" t="s">
        <v>5976</v>
      </c>
      <c r="D324" s="1" t="s">
        <v>20</v>
      </c>
      <c r="E324" s="250">
        <v>5311.0290000000005</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C6C12FE3-A7C4-47FE-B96D-4DCD27A6D828}">
      <formula1>$C$205:$C207</formula1>
    </dataValidation>
  </dataValidations>
  <hyperlinks>
    <hyperlink ref="D3" r:id="rId1" display="datamateapp@gmail.com" xr:uid="{3DEE8C8F-59DB-481C-8A94-F4C8891206BE}"/>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44073" r:id="rId4" name="Button 9">
              <controlPr defaultSize="0" print="0" autoFill="0" autoPict="0" macro="[0]!ExitSEC_053000">
                <anchor moveWithCells="1" sizeWithCells="1">
                  <from>
                    <xdr:col>16</xdr:col>
                    <xdr:colOff>254000</xdr:colOff>
                    <xdr:row>0</xdr:row>
                    <xdr:rowOff>0</xdr:rowOff>
                  </from>
                  <to>
                    <xdr:col>17</xdr:col>
                    <xdr:colOff>31750</xdr:colOff>
                    <xdr:row>2</xdr:row>
                    <xdr:rowOff>12700</xdr:rowOff>
                  </to>
                </anchor>
              </controlPr>
            </control>
          </mc:Choice>
        </mc:AlternateContent>
        <mc:AlternateContent xmlns:mc="http://schemas.openxmlformats.org/markup-compatibility/2006">
          <mc:Choice Requires="x14">
            <control shapeId="344100" r:id="rId5" name="Button 36">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344101" r:id="rId6" name="Button 37">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344102" r:id="rId7" name="Button 38">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344103" r:id="rId8" name="Button 39">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344104" r:id="rId9" name="Button 40">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344105" r:id="rId10" name="Button 41">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344106" r:id="rId11" name="Button 42">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344107" r:id="rId12" name="Button 43">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2B6FF-36F0-4E46-A19A-29044DB0EA96}">
  <sheetPr codeName="Sheet74"/>
  <dimension ref="A1:Q212"/>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COLD-FORMED METAL FRAMING</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05 40 00</v>
      </c>
      <c r="C10" s="24" t="str">
        <f>C206</f>
        <v>COLD-FORMED METAL FRAMING</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COLD-FORMED METAL FRAMING</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14220</v>
      </c>
      <c r="C206" s="82" t="s">
        <v>14221</v>
      </c>
      <c r="D206" s="1"/>
      <c r="E206" s="1"/>
      <c r="F206" s="1"/>
      <c r="G206" s="1"/>
      <c r="H206" s="1"/>
      <c r="I206" s="1"/>
      <c r="J206" s="1"/>
      <c r="K206" s="1"/>
      <c r="L206" s="1"/>
      <c r="M206" s="1"/>
      <c r="N206" s="1"/>
      <c r="O206" s="1"/>
      <c r="P206" s="1"/>
      <c r="Q206" s="1"/>
    </row>
    <row r="207" spans="2:17" x14ac:dyDescent="0.35">
      <c r="B207" s="49" t="s">
        <v>14222</v>
      </c>
      <c r="C207" s="53" t="s">
        <v>14223</v>
      </c>
      <c r="D207" s="1"/>
      <c r="E207" s="1"/>
      <c r="F207" s="1"/>
      <c r="G207" s="1"/>
      <c r="H207" s="1"/>
      <c r="I207" s="1"/>
      <c r="J207" s="1"/>
      <c r="K207" s="1"/>
      <c r="L207" s="1"/>
      <c r="M207" s="1"/>
      <c r="N207" s="1"/>
      <c r="O207" s="1"/>
      <c r="P207" s="1"/>
      <c r="Q207" s="1"/>
    </row>
    <row r="208" spans="2:17" x14ac:dyDescent="0.35">
      <c r="B208" s="49" t="s">
        <v>14224</v>
      </c>
      <c r="C208" s="53" t="s">
        <v>14225</v>
      </c>
    </row>
    <row r="209" spans="2:5" x14ac:dyDescent="0.35">
      <c r="B209" s="49" t="s">
        <v>14226</v>
      </c>
      <c r="C209" s="53" t="s">
        <v>14227</v>
      </c>
    </row>
    <row r="210" spans="2:5" x14ac:dyDescent="0.35">
      <c r="B210" s="49" t="s">
        <v>14228</v>
      </c>
      <c r="C210" s="53" t="s">
        <v>14229</v>
      </c>
    </row>
    <row r="211" spans="2:5" x14ac:dyDescent="0.35">
      <c r="B211" s="49" t="s">
        <v>14230</v>
      </c>
      <c r="C211" s="53" t="s">
        <v>14231</v>
      </c>
    </row>
    <row r="212" spans="2:5" x14ac:dyDescent="0.35">
      <c r="C212" s="1" t="s">
        <v>5975</v>
      </c>
      <c r="D212" s="1" t="s">
        <v>20</v>
      </c>
      <c r="E212" s="250">
        <v>5410.0110000000004</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4C9579E1-0BFA-4E62-AE5E-C6A2B8D1F8E7}">
      <formula1>$C$205:$C207</formula1>
    </dataValidation>
  </dataValidations>
  <hyperlinks>
    <hyperlink ref="D3" r:id="rId1" display="datamateapp@gmail.com" xr:uid="{E185463C-F36E-4ECE-848F-5FAB3BCA780E}"/>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45097" r:id="rId4" name="Button 9">
              <controlPr defaultSize="0" print="0" autoFill="0" autoPict="0" macro="[0]!ExitSEC_054000">
                <anchor moveWithCells="1" sizeWithCells="1">
                  <from>
                    <xdr:col>16</xdr:col>
                    <xdr:colOff>209550</xdr:colOff>
                    <xdr:row>0</xdr:row>
                    <xdr:rowOff>0</xdr:rowOff>
                  </from>
                  <to>
                    <xdr:col>16</xdr:col>
                    <xdr:colOff>1479550</xdr:colOff>
                    <xdr:row>2</xdr:row>
                    <xdr:rowOff>12700</xdr:rowOff>
                  </to>
                </anchor>
              </controlPr>
            </control>
          </mc:Choice>
        </mc:AlternateContent>
        <mc:AlternateContent xmlns:mc="http://schemas.openxmlformats.org/markup-compatibility/2006">
          <mc:Choice Requires="x14">
            <control shapeId="345124" r:id="rId5" name="Button 36">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345125" r:id="rId6" name="Button 37">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345126" r:id="rId7" name="Button 38">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345127" r:id="rId8" name="Button 39">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345128" r:id="rId9" name="Button 40">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345129" r:id="rId10" name="Button 41">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345130" r:id="rId11" name="Button 42">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345131" r:id="rId12" name="Button 43">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58B8CE-1C2F-4BD8-A830-B2FBB03C102A}">
  <sheetPr codeName="Sheet75"/>
  <dimension ref="A1:Q297"/>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METAL FABRICATIONS</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05 50 00</v>
      </c>
      <c r="C10" s="24" t="str">
        <f>C206</f>
        <v>METAL FABRICATIONS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METAL FABRICATIONS</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14232</v>
      </c>
      <c r="C206" s="82" t="s">
        <v>14233</v>
      </c>
      <c r="D206" s="1"/>
      <c r="E206" s="1"/>
      <c r="F206" s="1"/>
      <c r="G206" s="1"/>
      <c r="H206" s="1"/>
      <c r="I206" s="1"/>
      <c r="J206" s="1"/>
      <c r="K206" s="1"/>
      <c r="L206" s="1"/>
      <c r="M206" s="1"/>
      <c r="N206" s="1"/>
      <c r="O206" s="1"/>
      <c r="P206" s="1"/>
      <c r="Q206" s="1"/>
    </row>
    <row r="207" spans="2:17" x14ac:dyDescent="0.35">
      <c r="B207" s="49" t="s">
        <v>14234</v>
      </c>
      <c r="C207" s="53" t="s">
        <v>14235</v>
      </c>
      <c r="D207" s="1"/>
      <c r="E207" s="1"/>
      <c r="F207" s="1"/>
      <c r="G207" s="1"/>
      <c r="H207" s="1"/>
      <c r="I207" s="1"/>
      <c r="J207" s="1"/>
      <c r="K207" s="1"/>
      <c r="L207" s="1"/>
      <c r="M207" s="1"/>
      <c r="N207" s="1"/>
      <c r="O207" s="1"/>
      <c r="P207" s="1"/>
      <c r="Q207" s="1"/>
    </row>
    <row r="208" spans="2:17" x14ac:dyDescent="0.35">
      <c r="B208" s="49" t="s">
        <v>14236</v>
      </c>
      <c r="C208" s="53" t="s">
        <v>14237</v>
      </c>
    </row>
    <row r="209" spans="2:5" x14ac:dyDescent="0.35">
      <c r="B209" s="49" t="s">
        <v>14238</v>
      </c>
      <c r="C209" s="53" t="s">
        <v>14239</v>
      </c>
    </row>
    <row r="210" spans="2:5" x14ac:dyDescent="0.35">
      <c r="B210" s="49" t="s">
        <v>14240</v>
      </c>
      <c r="C210" s="53" t="s">
        <v>14241</v>
      </c>
    </row>
    <row r="211" spans="2:5" x14ac:dyDescent="0.35">
      <c r="B211" s="49" t="s">
        <v>14242</v>
      </c>
      <c r="C211" s="53" t="s">
        <v>14243</v>
      </c>
    </row>
    <row r="212" spans="2:5" x14ac:dyDescent="0.35">
      <c r="B212" s="49" t="s">
        <v>14244</v>
      </c>
      <c r="C212" s="53" t="s">
        <v>14245</v>
      </c>
    </row>
    <row r="213" spans="2:5" x14ac:dyDescent="0.35">
      <c r="B213" s="49" t="s">
        <v>14246</v>
      </c>
      <c r="C213" s="53" t="s">
        <v>14247</v>
      </c>
    </row>
    <row r="214" spans="2:5" x14ac:dyDescent="0.35">
      <c r="B214" s="49" t="s">
        <v>14248</v>
      </c>
      <c r="C214" s="53" t="s">
        <v>14249</v>
      </c>
    </row>
    <row r="215" spans="2:5" x14ac:dyDescent="0.35">
      <c r="C215" s="1" t="s">
        <v>5974</v>
      </c>
      <c r="D215" s="1" t="s">
        <v>66</v>
      </c>
      <c r="E215" s="250">
        <v>5510.0110000000004</v>
      </c>
    </row>
    <row r="216" spans="2:5" x14ac:dyDescent="0.35">
      <c r="C216" s="1" t="s">
        <v>5973</v>
      </c>
      <c r="D216" s="1" t="s">
        <v>20</v>
      </c>
      <c r="E216" s="250">
        <v>5510.0209999999997</v>
      </c>
    </row>
    <row r="217" spans="2:5" x14ac:dyDescent="0.35">
      <c r="C217" s="1" t="s">
        <v>5972</v>
      </c>
      <c r="D217" s="1" t="s">
        <v>20</v>
      </c>
      <c r="E217" s="250">
        <v>5510.0219999999999</v>
      </c>
    </row>
    <row r="218" spans="2:5" x14ac:dyDescent="0.35">
      <c r="C218" s="1" t="s">
        <v>5971</v>
      </c>
      <c r="D218" s="1" t="s">
        <v>19</v>
      </c>
      <c r="E218" s="250">
        <v>5510.0309999999999</v>
      </c>
    </row>
    <row r="219" spans="2:5" x14ac:dyDescent="0.35">
      <c r="C219" s="1" t="s">
        <v>5970</v>
      </c>
      <c r="D219" s="1" t="s">
        <v>19</v>
      </c>
      <c r="E219" s="250">
        <v>5510.0320000000002</v>
      </c>
    </row>
    <row r="220" spans="2:5" x14ac:dyDescent="0.35">
      <c r="C220" s="1" t="s">
        <v>5969</v>
      </c>
      <c r="D220" s="1" t="s">
        <v>19</v>
      </c>
      <c r="E220" s="250">
        <v>5510.0330000000004</v>
      </c>
    </row>
    <row r="221" spans="2:5" x14ac:dyDescent="0.35">
      <c r="C221" s="1" t="s">
        <v>5968</v>
      </c>
      <c r="D221" s="1" t="s">
        <v>1698</v>
      </c>
      <c r="E221" s="250">
        <v>5510.0339999999997</v>
      </c>
    </row>
    <row r="222" spans="2:5" x14ac:dyDescent="0.35">
      <c r="C222" s="1" t="s">
        <v>5967</v>
      </c>
      <c r="D222" s="1" t="s">
        <v>1698</v>
      </c>
      <c r="E222" s="250">
        <v>5510.0349999999999</v>
      </c>
    </row>
    <row r="223" spans="2:5" x14ac:dyDescent="0.35">
      <c r="C223" s="1" t="s">
        <v>5966</v>
      </c>
      <c r="D223" s="1" t="s">
        <v>1698</v>
      </c>
      <c r="E223" s="250">
        <v>5510.0360000000001</v>
      </c>
    </row>
    <row r="224" spans="2:5" x14ac:dyDescent="0.35">
      <c r="C224" s="1" t="s">
        <v>5965</v>
      </c>
      <c r="D224" s="1" t="s">
        <v>19</v>
      </c>
      <c r="E224" s="250">
        <v>5510.0410000000002</v>
      </c>
    </row>
    <row r="225" spans="3:5" x14ac:dyDescent="0.35">
      <c r="C225" s="1" t="s">
        <v>5964</v>
      </c>
      <c r="D225" s="1" t="s">
        <v>18</v>
      </c>
      <c r="E225" s="250">
        <v>5510.09</v>
      </c>
    </row>
    <row r="226" spans="3:5" x14ac:dyDescent="0.35">
      <c r="C226" s="1" t="s">
        <v>5963</v>
      </c>
      <c r="D226" s="1" t="s">
        <v>3053</v>
      </c>
      <c r="E226" s="250">
        <v>5510.0910000000003</v>
      </c>
    </row>
    <row r="227" spans="3:5" x14ac:dyDescent="0.35">
      <c r="C227" s="1" t="s">
        <v>5962</v>
      </c>
      <c r="D227" s="1" t="s">
        <v>1698</v>
      </c>
      <c r="E227" s="250">
        <v>5510.2</v>
      </c>
    </row>
    <row r="228" spans="3:5" x14ac:dyDescent="0.35">
      <c r="C228" s="1" t="s">
        <v>5961</v>
      </c>
      <c r="D228" s="1" t="s">
        <v>20</v>
      </c>
      <c r="E228" s="250">
        <v>5510.21</v>
      </c>
    </row>
    <row r="229" spans="3:5" x14ac:dyDescent="0.35">
      <c r="C229" s="1" t="s">
        <v>5960</v>
      </c>
      <c r="D229" s="1" t="s">
        <v>19</v>
      </c>
      <c r="E229" s="250">
        <v>5520.0110000000004</v>
      </c>
    </row>
    <row r="230" spans="3:5" x14ac:dyDescent="0.35">
      <c r="C230" s="1" t="s">
        <v>5959</v>
      </c>
      <c r="D230" s="1" t="s">
        <v>19</v>
      </c>
      <c r="E230" s="250">
        <v>5520.0119999999997</v>
      </c>
    </row>
    <row r="231" spans="3:5" x14ac:dyDescent="0.35">
      <c r="C231" s="1" t="s">
        <v>5958</v>
      </c>
      <c r="D231" s="1" t="s">
        <v>19</v>
      </c>
      <c r="E231" s="250">
        <v>5520.0129999999999</v>
      </c>
    </row>
    <row r="232" spans="3:5" x14ac:dyDescent="0.35">
      <c r="C232" s="1" t="s">
        <v>5957</v>
      </c>
      <c r="D232" s="1" t="s">
        <v>19</v>
      </c>
      <c r="E232" s="250">
        <v>5520.0140000000001</v>
      </c>
    </row>
    <row r="233" spans="3:5" x14ac:dyDescent="0.35">
      <c r="C233" s="1" t="s">
        <v>5956</v>
      </c>
      <c r="D233" s="1" t="s">
        <v>19</v>
      </c>
      <c r="E233" s="250">
        <v>5520.0150000000003</v>
      </c>
    </row>
    <row r="234" spans="3:5" x14ac:dyDescent="0.35">
      <c r="C234" s="1" t="s">
        <v>5955</v>
      </c>
      <c r="D234" s="1" t="s">
        <v>19</v>
      </c>
      <c r="E234" s="250">
        <v>5520.0159999999996</v>
      </c>
    </row>
    <row r="235" spans="3:5" x14ac:dyDescent="0.35">
      <c r="C235" s="1" t="s">
        <v>5954</v>
      </c>
      <c r="D235" s="1" t="s">
        <v>19</v>
      </c>
      <c r="E235" s="250">
        <v>5520.0169999999998</v>
      </c>
    </row>
    <row r="236" spans="3:5" x14ac:dyDescent="0.35">
      <c r="C236" s="1" t="s">
        <v>5953</v>
      </c>
      <c r="D236" s="1" t="s">
        <v>19</v>
      </c>
      <c r="E236" s="250">
        <v>5520.0190000000002</v>
      </c>
    </row>
    <row r="237" spans="3:5" x14ac:dyDescent="0.35">
      <c r="C237" s="1" t="s">
        <v>5952</v>
      </c>
      <c r="D237" s="1" t="s">
        <v>19</v>
      </c>
      <c r="E237" s="250">
        <v>5520.02</v>
      </c>
    </row>
    <row r="238" spans="3:5" x14ac:dyDescent="0.35">
      <c r="C238" s="1" t="s">
        <v>5951</v>
      </c>
      <c r="D238" s="1" t="s">
        <v>19</v>
      </c>
      <c r="E238" s="250">
        <v>5520.0209999999997</v>
      </c>
    </row>
    <row r="239" spans="3:5" x14ac:dyDescent="0.35">
      <c r="C239" s="1" t="s">
        <v>5950</v>
      </c>
      <c r="D239" s="1" t="s">
        <v>19</v>
      </c>
      <c r="E239" s="250">
        <v>5520.0219999999999</v>
      </c>
    </row>
    <row r="240" spans="3:5" x14ac:dyDescent="0.35">
      <c r="C240" s="1" t="s">
        <v>5949</v>
      </c>
      <c r="D240" s="1" t="s">
        <v>19</v>
      </c>
      <c r="E240" s="250">
        <v>5520.0230000000001</v>
      </c>
    </row>
    <row r="241" spans="3:5" x14ac:dyDescent="0.35">
      <c r="C241" s="1" t="s">
        <v>5948</v>
      </c>
      <c r="D241" s="1" t="s">
        <v>19</v>
      </c>
      <c r="E241" s="250">
        <v>5520.0240000000003</v>
      </c>
    </row>
    <row r="242" spans="3:5" x14ac:dyDescent="0.35">
      <c r="C242" s="1" t="s">
        <v>5947</v>
      </c>
      <c r="D242" s="1" t="s">
        <v>19</v>
      </c>
      <c r="E242" s="250">
        <v>5520.0249999999996</v>
      </c>
    </row>
    <row r="243" spans="3:5" x14ac:dyDescent="0.35">
      <c r="C243" s="1" t="s">
        <v>5946</v>
      </c>
      <c r="D243" s="1" t="s">
        <v>19</v>
      </c>
      <c r="E243" s="250">
        <v>5520.0259999999998</v>
      </c>
    </row>
    <row r="244" spans="3:5" x14ac:dyDescent="0.35">
      <c r="C244" s="1" t="s">
        <v>5945</v>
      </c>
      <c r="D244" s="1" t="s">
        <v>19</v>
      </c>
      <c r="E244" s="250">
        <v>5520.0290000000005</v>
      </c>
    </row>
    <row r="245" spans="3:5" x14ac:dyDescent="0.35">
      <c r="C245" s="1" t="s">
        <v>5944</v>
      </c>
      <c r="D245" s="1" t="s">
        <v>19</v>
      </c>
      <c r="E245" s="250">
        <v>5520.0309999999999</v>
      </c>
    </row>
    <row r="246" spans="3:5" x14ac:dyDescent="0.35">
      <c r="C246" s="1" t="s">
        <v>5943</v>
      </c>
      <c r="D246" s="1" t="s">
        <v>19</v>
      </c>
      <c r="E246" s="250">
        <v>5520.0320000000002</v>
      </c>
    </row>
    <row r="247" spans="3:5" x14ac:dyDescent="0.35">
      <c r="C247" s="1" t="s">
        <v>5942</v>
      </c>
      <c r="D247" s="1" t="s">
        <v>19</v>
      </c>
      <c r="E247" s="250">
        <v>5520.05</v>
      </c>
    </row>
    <row r="248" spans="3:5" x14ac:dyDescent="0.35">
      <c r="C248" s="1" t="s">
        <v>3673</v>
      </c>
      <c r="D248" s="1" t="s">
        <v>19</v>
      </c>
      <c r="E248" s="250">
        <v>5520.0510000000004</v>
      </c>
    </row>
    <row r="249" spans="3:5" x14ac:dyDescent="0.35">
      <c r="C249" s="1" t="s">
        <v>5941</v>
      </c>
      <c r="D249" s="1" t="s">
        <v>18</v>
      </c>
      <c r="E249" s="250">
        <v>5520.06</v>
      </c>
    </row>
    <row r="250" spans="3:5" x14ac:dyDescent="0.35">
      <c r="C250" s="1" t="s">
        <v>5940</v>
      </c>
      <c r="D250" s="1" t="s">
        <v>19</v>
      </c>
      <c r="E250" s="250">
        <v>5520.1</v>
      </c>
    </row>
    <row r="251" spans="3:5" x14ac:dyDescent="0.35">
      <c r="C251" s="1" t="s">
        <v>5939</v>
      </c>
      <c r="D251" s="1" t="s">
        <v>19</v>
      </c>
      <c r="E251" s="250">
        <v>5520.1049999999996</v>
      </c>
    </row>
    <row r="252" spans="3:5" x14ac:dyDescent="0.35">
      <c r="C252" s="1" t="s">
        <v>5938</v>
      </c>
      <c r="D252" s="1" t="s">
        <v>19</v>
      </c>
      <c r="E252" s="250">
        <v>5520.11</v>
      </c>
    </row>
    <row r="253" spans="3:5" x14ac:dyDescent="0.35">
      <c r="C253" s="1" t="s">
        <v>5937</v>
      </c>
      <c r="D253" s="1" t="s">
        <v>62</v>
      </c>
      <c r="E253" s="250">
        <v>5529.9</v>
      </c>
    </row>
    <row r="254" spans="3:5" x14ac:dyDescent="0.35">
      <c r="C254" s="1" t="s">
        <v>5936</v>
      </c>
      <c r="D254" s="1" t="s">
        <v>20</v>
      </c>
      <c r="E254" s="250">
        <v>5530.01</v>
      </c>
    </row>
    <row r="255" spans="3:5" x14ac:dyDescent="0.35">
      <c r="C255" s="1" t="s">
        <v>5935</v>
      </c>
      <c r="D255" s="1" t="s">
        <v>20</v>
      </c>
      <c r="E255" s="250">
        <v>5530.0110000000004</v>
      </c>
    </row>
    <row r="256" spans="3:5" x14ac:dyDescent="0.35">
      <c r="C256" s="1" t="s">
        <v>5934</v>
      </c>
      <c r="D256" s="1" t="s">
        <v>20</v>
      </c>
      <c r="E256" s="250">
        <v>5530.0119999999997</v>
      </c>
    </row>
    <row r="257" spans="3:5" x14ac:dyDescent="0.35">
      <c r="C257" s="1" t="s">
        <v>5934</v>
      </c>
      <c r="D257" s="1" t="s">
        <v>77</v>
      </c>
      <c r="E257" s="250">
        <v>5530.0129999999999</v>
      </c>
    </row>
    <row r="258" spans="3:5" x14ac:dyDescent="0.35">
      <c r="C258" s="1" t="s">
        <v>5933</v>
      </c>
      <c r="D258" s="1" t="s">
        <v>20</v>
      </c>
      <c r="E258" s="250">
        <v>5530.0159999999996</v>
      </c>
    </row>
    <row r="259" spans="3:5" x14ac:dyDescent="0.35">
      <c r="C259" s="1" t="s">
        <v>5932</v>
      </c>
      <c r="D259" s="1" t="s">
        <v>20</v>
      </c>
      <c r="E259" s="250">
        <v>5530.0169999999998</v>
      </c>
    </row>
    <row r="260" spans="3:5" x14ac:dyDescent="0.35">
      <c r="C260" s="1" t="s">
        <v>5931</v>
      </c>
      <c r="D260" s="1" t="s">
        <v>20</v>
      </c>
      <c r="E260" s="250">
        <v>5530.018</v>
      </c>
    </row>
    <row r="261" spans="3:5" x14ac:dyDescent="0.35">
      <c r="C261" s="1" t="s">
        <v>5930</v>
      </c>
      <c r="D261" s="1" t="s">
        <v>20</v>
      </c>
      <c r="E261" s="250">
        <v>5530.0249999999996</v>
      </c>
    </row>
    <row r="262" spans="3:5" x14ac:dyDescent="0.35">
      <c r="C262" s="1" t="s">
        <v>5929</v>
      </c>
      <c r="D262" s="1" t="s">
        <v>5928</v>
      </c>
      <c r="E262" s="250">
        <v>5530.09</v>
      </c>
    </row>
    <row r="263" spans="3:5" x14ac:dyDescent="0.35">
      <c r="C263" s="1" t="s">
        <v>5927</v>
      </c>
      <c r="D263" s="1" t="s">
        <v>18</v>
      </c>
      <c r="E263" s="250">
        <v>5540.0110000000004</v>
      </c>
    </row>
    <row r="264" spans="3:5" x14ac:dyDescent="0.35">
      <c r="C264" s="1" t="s">
        <v>5926</v>
      </c>
      <c r="D264" s="1" t="s">
        <v>18</v>
      </c>
      <c r="E264" s="250">
        <v>5540.0119999999997</v>
      </c>
    </row>
    <row r="265" spans="3:5" x14ac:dyDescent="0.35">
      <c r="C265" s="1" t="s">
        <v>5925</v>
      </c>
      <c r="D265" s="1" t="s">
        <v>18</v>
      </c>
      <c r="E265" s="250">
        <v>5540.0129999999999</v>
      </c>
    </row>
    <row r="266" spans="3:5" x14ac:dyDescent="0.35">
      <c r="C266" s="1" t="s">
        <v>5924</v>
      </c>
      <c r="D266" s="1" t="s">
        <v>18</v>
      </c>
      <c r="E266" s="250">
        <v>5540.0140000000001</v>
      </c>
    </row>
    <row r="267" spans="3:5" x14ac:dyDescent="0.35">
      <c r="C267" s="1" t="s">
        <v>5923</v>
      </c>
      <c r="D267" s="1" t="s">
        <v>18</v>
      </c>
      <c r="E267" s="250">
        <v>5540.0150000000003</v>
      </c>
    </row>
    <row r="268" spans="3:5" x14ac:dyDescent="0.35">
      <c r="C268" s="1" t="s">
        <v>5922</v>
      </c>
      <c r="D268" s="1" t="s">
        <v>20</v>
      </c>
      <c r="E268" s="250">
        <v>5540.0209999999997</v>
      </c>
    </row>
    <row r="269" spans="3:5" x14ac:dyDescent="0.35">
      <c r="C269" s="1" t="s">
        <v>5921</v>
      </c>
      <c r="D269" s="1" t="s">
        <v>20</v>
      </c>
      <c r="E269" s="250">
        <v>5540.0219999999999</v>
      </c>
    </row>
    <row r="270" spans="3:5" x14ac:dyDescent="0.35">
      <c r="C270" s="1" t="s">
        <v>5917</v>
      </c>
      <c r="D270" s="1" t="s">
        <v>19</v>
      </c>
      <c r="E270" s="250">
        <v>5550.0110000000004</v>
      </c>
    </row>
    <row r="271" spans="3:5" x14ac:dyDescent="0.35">
      <c r="C271" s="1" t="s">
        <v>5920</v>
      </c>
      <c r="D271" s="1" t="s">
        <v>19</v>
      </c>
      <c r="E271" s="250">
        <v>5550.0119999999997</v>
      </c>
    </row>
    <row r="272" spans="3:5" x14ac:dyDescent="0.35">
      <c r="C272" s="1" t="s">
        <v>5919</v>
      </c>
      <c r="D272" s="1" t="s">
        <v>20</v>
      </c>
      <c r="E272" s="250">
        <v>5550.0209999999997</v>
      </c>
    </row>
    <row r="273" spans="3:5" x14ac:dyDescent="0.35">
      <c r="C273" s="1" t="s">
        <v>5918</v>
      </c>
      <c r="D273" s="1" t="s">
        <v>20</v>
      </c>
      <c r="E273" s="250">
        <v>5550.0219999999999</v>
      </c>
    </row>
    <row r="274" spans="3:5" x14ac:dyDescent="0.35">
      <c r="C274" s="1" t="s">
        <v>5917</v>
      </c>
      <c r="D274" s="1" t="s">
        <v>19</v>
      </c>
      <c r="E274" s="250">
        <v>5550.0309999999999</v>
      </c>
    </row>
    <row r="275" spans="3:5" x14ac:dyDescent="0.35">
      <c r="C275" s="1" t="s">
        <v>5916</v>
      </c>
      <c r="D275" s="1" t="s">
        <v>58</v>
      </c>
      <c r="E275" s="250">
        <v>5560.1210000000001</v>
      </c>
    </row>
    <row r="276" spans="3:5" x14ac:dyDescent="0.35">
      <c r="C276" s="1" t="s">
        <v>5915</v>
      </c>
      <c r="D276" s="1" t="s">
        <v>18</v>
      </c>
      <c r="E276" s="250">
        <v>5580.01</v>
      </c>
    </row>
    <row r="277" spans="3:5" x14ac:dyDescent="0.35">
      <c r="C277" s="1" t="s">
        <v>5914</v>
      </c>
      <c r="D277" s="1" t="s">
        <v>18</v>
      </c>
      <c r="E277" s="250">
        <v>5580.0110000000004</v>
      </c>
    </row>
    <row r="278" spans="3:5" x14ac:dyDescent="0.35">
      <c r="C278" s="1" t="s">
        <v>5913</v>
      </c>
      <c r="D278" s="1" t="s">
        <v>18</v>
      </c>
      <c r="E278" s="250">
        <v>5580.0119999999997</v>
      </c>
    </row>
    <row r="279" spans="3:5" x14ac:dyDescent="0.35">
      <c r="C279" s="1" t="s">
        <v>5912</v>
      </c>
      <c r="D279" s="1" t="s">
        <v>18</v>
      </c>
      <c r="E279" s="250">
        <v>5580.0129999999999</v>
      </c>
    </row>
    <row r="280" spans="3:5" x14ac:dyDescent="0.35">
      <c r="C280" s="1" t="s">
        <v>5911</v>
      </c>
      <c r="D280" s="1" t="s">
        <v>18</v>
      </c>
      <c r="E280" s="250">
        <v>5580.0140000000001</v>
      </c>
    </row>
    <row r="281" spans="3:5" x14ac:dyDescent="0.35">
      <c r="C281" s="1" t="s">
        <v>5910</v>
      </c>
      <c r="D281" s="1" t="s">
        <v>18</v>
      </c>
      <c r="E281" s="250">
        <v>5580.0150000000003</v>
      </c>
    </row>
    <row r="282" spans="3:5" x14ac:dyDescent="0.35">
      <c r="C282" s="1" t="s">
        <v>5909</v>
      </c>
      <c r="D282" s="1" t="s">
        <v>18</v>
      </c>
      <c r="E282" s="250">
        <v>5580.0159999999996</v>
      </c>
    </row>
    <row r="283" spans="3:5" x14ac:dyDescent="0.35">
      <c r="C283" s="1" t="s">
        <v>5908</v>
      </c>
      <c r="D283" s="1" t="s">
        <v>18</v>
      </c>
      <c r="E283" s="250">
        <v>5580.0169999999998</v>
      </c>
    </row>
    <row r="284" spans="3:5" x14ac:dyDescent="0.35">
      <c r="C284" s="1" t="s">
        <v>5907</v>
      </c>
      <c r="D284" s="1" t="s">
        <v>18</v>
      </c>
      <c r="E284" s="250">
        <v>5580.02</v>
      </c>
    </row>
    <row r="285" spans="3:5" x14ac:dyDescent="0.35">
      <c r="C285" s="1" t="s">
        <v>5906</v>
      </c>
      <c r="D285" s="1" t="s">
        <v>18</v>
      </c>
      <c r="E285" s="250">
        <v>5580.0209999999997</v>
      </c>
    </row>
    <row r="286" spans="3:5" x14ac:dyDescent="0.35">
      <c r="C286" s="1" t="s">
        <v>5905</v>
      </c>
      <c r="D286" s="1" t="s">
        <v>18</v>
      </c>
      <c r="E286" s="250">
        <v>5580.0219999999999</v>
      </c>
    </row>
    <row r="287" spans="3:5" x14ac:dyDescent="0.35">
      <c r="C287" s="1" t="s">
        <v>5904</v>
      </c>
      <c r="D287" s="1" t="s">
        <v>18</v>
      </c>
      <c r="E287" s="250">
        <v>5580.0230000000001</v>
      </c>
    </row>
    <row r="288" spans="3:5" x14ac:dyDescent="0.35">
      <c r="C288" s="1" t="s">
        <v>5903</v>
      </c>
      <c r="D288" s="1" t="s">
        <v>18</v>
      </c>
      <c r="E288" s="250">
        <v>5580.0240000000003</v>
      </c>
    </row>
    <row r="289" spans="3:5" x14ac:dyDescent="0.35">
      <c r="C289" s="1" t="s">
        <v>5902</v>
      </c>
      <c r="D289" s="1" t="s">
        <v>18</v>
      </c>
      <c r="E289" s="250">
        <v>5580.0249999999996</v>
      </c>
    </row>
    <row r="290" spans="3:5" x14ac:dyDescent="0.35">
      <c r="C290" s="1" t="s">
        <v>5901</v>
      </c>
      <c r="D290" s="1" t="s">
        <v>18</v>
      </c>
      <c r="E290" s="250">
        <v>5580.0259999999998</v>
      </c>
    </row>
    <row r="291" spans="3:5" x14ac:dyDescent="0.35">
      <c r="C291" s="1" t="s">
        <v>5900</v>
      </c>
      <c r="D291" s="1" t="s">
        <v>18</v>
      </c>
      <c r="E291" s="250">
        <v>5580.027</v>
      </c>
    </row>
    <row r="292" spans="3:5" x14ac:dyDescent="0.35">
      <c r="C292" s="1" t="s">
        <v>5899</v>
      </c>
      <c r="D292" s="1" t="s">
        <v>18</v>
      </c>
      <c r="E292" s="250">
        <v>5580.03</v>
      </c>
    </row>
    <row r="293" spans="3:5" x14ac:dyDescent="0.35">
      <c r="C293" s="1" t="s">
        <v>5898</v>
      </c>
      <c r="D293" s="1" t="s">
        <v>18</v>
      </c>
      <c r="E293" s="250">
        <v>5580.0309999999999</v>
      </c>
    </row>
    <row r="294" spans="3:5" x14ac:dyDescent="0.35">
      <c r="C294" s="1" t="s">
        <v>5897</v>
      </c>
      <c r="D294" s="1" t="s">
        <v>18</v>
      </c>
      <c r="E294" s="250">
        <v>5580.04</v>
      </c>
    </row>
    <row r="295" spans="3:5" x14ac:dyDescent="0.35">
      <c r="C295" s="1" t="s">
        <v>5896</v>
      </c>
      <c r="D295" s="1" t="s">
        <v>18</v>
      </c>
      <c r="E295" s="250">
        <v>5580.08</v>
      </c>
    </row>
    <row r="296" spans="3:5" x14ac:dyDescent="0.35">
      <c r="C296" s="1" t="s">
        <v>5895</v>
      </c>
      <c r="D296" s="1" t="s">
        <v>18</v>
      </c>
      <c r="E296" s="250">
        <v>5580.09</v>
      </c>
    </row>
    <row r="297" spans="3:5" x14ac:dyDescent="0.35">
      <c r="C297" s="1" t="s">
        <v>5894</v>
      </c>
      <c r="D297" s="1" t="s">
        <v>19</v>
      </c>
      <c r="E297" s="250">
        <v>5580.5010000000002</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92EA2C83-3CCD-4EB7-A715-A522D7BE878B}">
      <formula1>$C$205:$C207</formula1>
    </dataValidation>
  </dataValidations>
  <hyperlinks>
    <hyperlink ref="D3" r:id="rId1" display="datamateapp@gmail.com" xr:uid="{ACC7287D-269A-4B2E-BD5D-8903B62DEA3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46122" r:id="rId4" name="Button 10">
              <controlPr defaultSize="0" print="0" autoFill="0" autoPict="0" macro="[0]!ExitSEC_055000">
                <anchor moveWithCells="1" sizeWithCells="1">
                  <from>
                    <xdr:col>16</xdr:col>
                    <xdr:colOff>196850</xdr:colOff>
                    <xdr:row>0</xdr:row>
                    <xdr:rowOff>0</xdr:rowOff>
                  </from>
                  <to>
                    <xdr:col>16</xdr:col>
                    <xdr:colOff>1466850</xdr:colOff>
                    <xdr:row>2</xdr:row>
                    <xdr:rowOff>12700</xdr:rowOff>
                  </to>
                </anchor>
              </controlPr>
            </control>
          </mc:Choice>
        </mc:AlternateContent>
        <mc:AlternateContent xmlns:mc="http://schemas.openxmlformats.org/markup-compatibility/2006">
          <mc:Choice Requires="x14">
            <control shapeId="346147" r:id="rId5" name="Button 35">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346148" r:id="rId6" name="Button 36">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346149" r:id="rId7" name="Button 37">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346150" r:id="rId8" name="Button 38">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346151" r:id="rId9" name="Button 39">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346152" r:id="rId10" name="Button 40">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346153" r:id="rId11" name="Button 41">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346154" r:id="rId12" name="Button 42">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EDBDC-FF24-4DEE-92C2-8519C4A8B34D}">
  <sheetPr codeName="Sheet76"/>
  <dimension ref="A1:Q225"/>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DECORATIVE METAL</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05 70 00</v>
      </c>
      <c r="C10" s="24" t="str">
        <f>C206</f>
        <v>DECORATIVE METAL</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DECORATIVE METAL</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14250</v>
      </c>
      <c r="C206" s="82" t="s">
        <v>14251</v>
      </c>
      <c r="D206" s="1"/>
      <c r="E206" s="1"/>
      <c r="F206" s="1"/>
      <c r="G206" s="1"/>
      <c r="H206" s="1"/>
      <c r="I206" s="1"/>
      <c r="J206" s="1"/>
      <c r="K206" s="1"/>
      <c r="L206" s="1"/>
      <c r="M206" s="1"/>
      <c r="N206" s="1"/>
      <c r="O206" s="1"/>
      <c r="P206" s="1"/>
      <c r="Q206" s="1"/>
    </row>
    <row r="207" spans="2:17" x14ac:dyDescent="0.35">
      <c r="B207" s="49" t="s">
        <v>14252</v>
      </c>
      <c r="C207" s="53" t="s">
        <v>14253</v>
      </c>
      <c r="D207" s="1"/>
      <c r="E207" s="1"/>
      <c r="F207" s="1"/>
      <c r="G207" s="1"/>
      <c r="H207" s="1"/>
      <c r="I207" s="1"/>
      <c r="J207" s="1"/>
      <c r="K207" s="1"/>
      <c r="L207" s="1"/>
      <c r="M207" s="1"/>
      <c r="N207" s="1"/>
      <c r="O207" s="1"/>
      <c r="P207" s="1"/>
      <c r="Q207" s="1"/>
    </row>
    <row r="208" spans="2:17" x14ac:dyDescent="0.35">
      <c r="B208" s="49" t="s">
        <v>14254</v>
      </c>
      <c r="C208" s="53" t="s">
        <v>14255</v>
      </c>
    </row>
    <row r="209" spans="2:5" x14ac:dyDescent="0.35">
      <c r="B209" s="49" t="s">
        <v>14256</v>
      </c>
      <c r="C209" s="53" t="s">
        <v>14257</v>
      </c>
    </row>
    <row r="210" spans="2:5" x14ac:dyDescent="0.35">
      <c r="B210" s="49" t="s">
        <v>14258</v>
      </c>
      <c r="C210" s="53" t="s">
        <v>14259</v>
      </c>
    </row>
    <row r="211" spans="2:5" x14ac:dyDescent="0.35">
      <c r="B211" s="49" t="s">
        <v>14260</v>
      </c>
      <c r="C211" s="53" t="s">
        <v>14261</v>
      </c>
    </row>
    <row r="212" spans="2:5" x14ac:dyDescent="0.35">
      <c r="B212" s="49" t="s">
        <v>14262</v>
      </c>
      <c r="C212" s="53" t="s">
        <v>14263</v>
      </c>
    </row>
    <row r="213" spans="2:5" x14ac:dyDescent="0.35">
      <c r="C213" s="1" t="s">
        <v>5893</v>
      </c>
      <c r="D213" s="1" t="s">
        <v>18</v>
      </c>
      <c r="E213" s="250">
        <v>5710.01</v>
      </c>
    </row>
    <row r="214" spans="2:5" x14ac:dyDescent="0.35">
      <c r="C214" s="1" t="s">
        <v>5892</v>
      </c>
      <c r="D214" s="1" t="s">
        <v>1698</v>
      </c>
      <c r="E214" s="250">
        <v>5715.01</v>
      </c>
    </row>
    <row r="215" spans="2:5" x14ac:dyDescent="0.35">
      <c r="C215" s="1" t="s">
        <v>5891</v>
      </c>
      <c r="D215" s="1" t="s">
        <v>1698</v>
      </c>
      <c r="E215" s="250">
        <v>5715.0150000000003</v>
      </c>
    </row>
    <row r="216" spans="2:5" x14ac:dyDescent="0.35">
      <c r="C216" s="1" t="s">
        <v>5890</v>
      </c>
      <c r="D216" s="1" t="s">
        <v>1698</v>
      </c>
      <c r="E216" s="250">
        <v>5715.02</v>
      </c>
    </row>
    <row r="217" spans="2:5" x14ac:dyDescent="0.35">
      <c r="C217" s="1" t="s">
        <v>5889</v>
      </c>
      <c r="D217" s="1" t="s">
        <v>1698</v>
      </c>
      <c r="E217" s="250">
        <v>5715.0249999999996</v>
      </c>
    </row>
    <row r="218" spans="2:5" x14ac:dyDescent="0.35">
      <c r="C218" s="1" t="s">
        <v>5888</v>
      </c>
      <c r="D218" s="1" t="s">
        <v>1698</v>
      </c>
      <c r="E218" s="250">
        <v>5715.0259999999998</v>
      </c>
    </row>
    <row r="219" spans="2:5" x14ac:dyDescent="0.35">
      <c r="C219" s="1" t="s">
        <v>5887</v>
      </c>
      <c r="D219" s="1" t="s">
        <v>19</v>
      </c>
      <c r="E219" s="250">
        <v>5720.1</v>
      </c>
    </row>
    <row r="220" spans="2:5" x14ac:dyDescent="0.35">
      <c r="C220" s="1" t="s">
        <v>5886</v>
      </c>
      <c r="D220" s="1" t="s">
        <v>19</v>
      </c>
      <c r="E220" s="250">
        <v>5720.1049999999996</v>
      </c>
    </row>
    <row r="221" spans="2:5" x14ac:dyDescent="0.35">
      <c r="C221" s="1" t="s">
        <v>5885</v>
      </c>
      <c r="D221" s="1" t="s">
        <v>19</v>
      </c>
      <c r="E221" s="250">
        <v>5720.11</v>
      </c>
    </row>
    <row r="222" spans="2:5" x14ac:dyDescent="0.35">
      <c r="C222" s="1" t="s">
        <v>5884</v>
      </c>
      <c r="D222" s="1" t="s">
        <v>19</v>
      </c>
      <c r="E222" s="250">
        <v>5720.2</v>
      </c>
    </row>
    <row r="223" spans="2:5" x14ac:dyDescent="0.35">
      <c r="C223" s="1" t="s">
        <v>5883</v>
      </c>
      <c r="D223" s="1" t="s">
        <v>19</v>
      </c>
      <c r="E223" s="250">
        <v>5720.2049999999999</v>
      </c>
    </row>
    <row r="224" spans="2:5" x14ac:dyDescent="0.35">
      <c r="C224" s="1" t="s">
        <v>5882</v>
      </c>
      <c r="D224" s="1" t="s">
        <v>1698</v>
      </c>
      <c r="E224" s="250">
        <v>5720.22</v>
      </c>
    </row>
    <row r="225" spans="3:5" x14ac:dyDescent="0.35">
      <c r="C225" s="1" t="s">
        <v>5881</v>
      </c>
      <c r="D225" s="1" t="s">
        <v>19</v>
      </c>
      <c r="E225" s="250">
        <v>5720.3</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D5879821-6DEB-4D4D-8A9B-7EF1FD1EFD9C}">
      <formula1>$C$205:$C207</formula1>
    </dataValidation>
  </dataValidations>
  <hyperlinks>
    <hyperlink ref="D3" r:id="rId1" display="datamateapp@gmail.com" xr:uid="{E2EC5654-DEDD-407E-8CC5-FDC1A40AC1D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47146" r:id="rId4" name="Button 10">
              <controlPr defaultSize="0" print="0" autoFill="0" autoPict="0" macro="[0]!ExitSEC_057000">
                <anchor moveWithCells="1" sizeWithCells="1">
                  <from>
                    <xdr:col>16</xdr:col>
                    <xdr:colOff>196850</xdr:colOff>
                    <xdr:row>0</xdr:row>
                    <xdr:rowOff>0</xdr:rowOff>
                  </from>
                  <to>
                    <xdr:col>16</xdr:col>
                    <xdr:colOff>1466850</xdr:colOff>
                    <xdr:row>2</xdr:row>
                    <xdr:rowOff>12700</xdr:rowOff>
                  </to>
                </anchor>
              </controlPr>
            </control>
          </mc:Choice>
        </mc:AlternateContent>
        <mc:AlternateContent xmlns:mc="http://schemas.openxmlformats.org/markup-compatibility/2006">
          <mc:Choice Requires="x14">
            <control shapeId="347178" r:id="rId5" name="Button 42">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347179" r:id="rId6" name="Button 43">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347180" r:id="rId7" name="Button 44">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347181" r:id="rId8" name="Button 45">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347182" r:id="rId9" name="Button 46">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347183" r:id="rId10" name="Button 47">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347184" r:id="rId11" name="Button 48">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347185" r:id="rId12" name="Button 49">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75C9B-6CAD-4BF4-ABBC-7270BB1FD453}">
  <sheetPr codeName="Sheet66"/>
  <dimension ref="A1:Q206"/>
  <sheetViews>
    <sheetView zoomScale="75" zoomScaleNormal="75" workbookViewId="0">
      <selection activeCell="C50" sqref="C50"/>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WOOD, PLASTICS, AND COMPOSITES</v>
      </c>
      <c r="J2" s="59"/>
      <c r="K2" s="59"/>
      <c r="L2" s="1"/>
      <c r="M2" s="59"/>
      <c r="N2" s="59"/>
      <c r="O2" s="60"/>
      <c r="P2" s="57"/>
      <c r="Q2" s="57"/>
    </row>
    <row r="3" spans="1:17" ht="15" thickBot="1" x14ac:dyDescent="0.4">
      <c r="A3" s="446" t="s">
        <v>21541</v>
      </c>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7"/>
      <c r="Q3" s="8"/>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40"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06 00 00</v>
      </c>
      <c r="C10" s="24" t="str">
        <f>C206</f>
        <v>WOOD, PLASTICS, AND COMPOSITES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WOOD, PLASTICS, AND COMPOSITES</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21402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14265</v>
      </c>
      <c r="C206" s="106" t="s">
        <v>14266</v>
      </c>
      <c r="D206" s="1"/>
      <c r="E206" s="1"/>
      <c r="F206" s="1"/>
      <c r="G206" s="1"/>
      <c r="H206" s="1"/>
      <c r="I206" s="1"/>
      <c r="J206" s="1"/>
      <c r="K206" s="1"/>
      <c r="L206" s="1"/>
      <c r="M206" s="1"/>
      <c r="N206" s="1"/>
      <c r="O206" s="1"/>
      <c r="P206" s="1"/>
      <c r="Q206" s="1"/>
    </row>
  </sheetData>
  <mergeCells count="8">
    <mergeCell ref="J6:K6"/>
    <mergeCell ref="J7:K7"/>
    <mergeCell ref="A3:B3"/>
    <mergeCell ref="D3:G3"/>
    <mergeCell ref="J3:K3"/>
    <mergeCell ref="A4:B4"/>
    <mergeCell ref="J4:K4"/>
    <mergeCell ref="J5:K5"/>
  </mergeCells>
  <dataValidations count="1">
    <dataValidation type="list" allowBlank="1" showInputMessage="1" showErrorMessage="1" sqref="C16:C190" xr:uid="{9F7BC61E-2356-4D7C-93DF-E525EB05CBCC}">
      <formula1>$C$205:$C207</formula1>
    </dataValidation>
  </dataValidations>
  <hyperlinks>
    <hyperlink ref="D3" r:id="rId1" display="datamateapp@gmail.com" xr:uid="{221B0FED-C973-4B5C-91EC-2726846E0534}"/>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19490" r:id="rId4" name="Button 2">
              <controlPr defaultSize="0" print="0" autoFill="0" autoPict="0">
                <anchor moveWithCells="1" sizeWithCells="1">
                  <from>
                    <xdr:col>17</xdr:col>
                    <xdr:colOff>0</xdr:colOff>
                    <xdr:row>0</xdr:row>
                    <xdr:rowOff>0</xdr:rowOff>
                  </from>
                  <to>
                    <xdr:col>19</xdr:col>
                    <xdr:colOff>50800</xdr:colOff>
                    <xdr:row>2</xdr:row>
                    <xdr:rowOff>19050</xdr:rowOff>
                  </to>
                </anchor>
              </controlPr>
            </control>
          </mc:Choice>
        </mc:AlternateContent>
        <mc:AlternateContent xmlns:mc="http://schemas.openxmlformats.org/markup-compatibility/2006">
          <mc:Choice Requires="x14">
            <control shapeId="319491" r:id="rId5" name="Button 3">
              <controlPr defaultSize="0" print="0" autoFill="0" autoPict="0" macro="[0]!ClearContentsAndDropdowns">
                <anchor moveWithCells="1" sizeWithCells="1">
                  <from>
                    <xdr:col>17</xdr:col>
                    <xdr:colOff>0</xdr:colOff>
                    <xdr:row>2</xdr:row>
                    <xdr:rowOff>184150</xdr:rowOff>
                  </from>
                  <to>
                    <xdr:col>19</xdr:col>
                    <xdr:colOff>50800</xdr:colOff>
                    <xdr:row>5</xdr:row>
                    <xdr:rowOff>25400</xdr:rowOff>
                  </to>
                </anchor>
              </controlPr>
            </control>
          </mc:Choice>
        </mc:AlternateContent>
        <mc:AlternateContent xmlns:mc="http://schemas.openxmlformats.org/markup-compatibility/2006">
          <mc:Choice Requires="x14">
            <control shapeId="319492" r:id="rId6" name="Button 4">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63500</xdr:rowOff>
                  </to>
                </anchor>
              </controlPr>
            </control>
          </mc:Choice>
        </mc:AlternateContent>
        <mc:AlternateContent xmlns:mc="http://schemas.openxmlformats.org/markup-compatibility/2006">
          <mc:Choice Requires="x14">
            <control shapeId="319493" r:id="rId7" name="Button 5">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76200</xdr:rowOff>
                  </to>
                </anchor>
              </controlPr>
            </control>
          </mc:Choice>
        </mc:AlternateContent>
        <mc:AlternateContent xmlns:mc="http://schemas.openxmlformats.org/markup-compatibility/2006">
          <mc:Choice Requires="x14">
            <control shapeId="319494" r:id="rId8" name="Button 6">
              <controlPr defaultSize="0" print="0" autoFill="0" autoPict="0" macro="[0]!Dashboard">
                <anchor moveWithCells="1" sizeWithCells="1">
                  <from>
                    <xdr:col>17</xdr:col>
                    <xdr:colOff>0</xdr:colOff>
                    <xdr:row>11</xdr:row>
                    <xdr:rowOff>12700</xdr:rowOff>
                  </from>
                  <to>
                    <xdr:col>19</xdr:col>
                    <xdr:colOff>50800</xdr:colOff>
                    <xdr:row>13</xdr:row>
                    <xdr:rowOff>31750</xdr:rowOff>
                  </to>
                </anchor>
              </controlPr>
            </control>
          </mc:Choice>
        </mc:AlternateContent>
        <mc:AlternateContent xmlns:mc="http://schemas.openxmlformats.org/markup-compatibility/2006">
          <mc:Choice Requires="x14">
            <control shapeId="319495" r:id="rId9" name="Button 7">
              <controlPr defaultSize="0" print="0" autoFill="0" autoPict="0" macro="[0]!ViewLog">
                <anchor moveWithCells="1" sizeWithCells="1">
                  <from>
                    <xdr:col>17</xdr:col>
                    <xdr:colOff>0</xdr:colOff>
                    <xdr:row>14</xdr:row>
                    <xdr:rowOff>12700</xdr:rowOff>
                  </from>
                  <to>
                    <xdr:col>19</xdr:col>
                    <xdr:colOff>50800</xdr:colOff>
                    <xdr:row>16</xdr:row>
                    <xdr:rowOff>31750</xdr:rowOff>
                  </to>
                </anchor>
              </controlPr>
            </control>
          </mc:Choice>
        </mc:AlternateContent>
        <mc:AlternateContent xmlns:mc="http://schemas.openxmlformats.org/markup-compatibility/2006">
          <mc:Choice Requires="x14">
            <control shapeId="319496" r:id="rId10" name="Button 8">
              <controlPr defaultSize="0" print="0" autoFill="0" autoPict="0" macro="[0]!ViewView_Print">
                <anchor moveWithCells="1" sizeWithCells="1">
                  <from>
                    <xdr:col>17</xdr:col>
                    <xdr:colOff>0</xdr:colOff>
                    <xdr:row>17</xdr:row>
                    <xdr:rowOff>19050</xdr:rowOff>
                  </from>
                  <to>
                    <xdr:col>19</xdr:col>
                    <xdr:colOff>50800</xdr:colOff>
                    <xdr:row>19</xdr:row>
                    <xdr:rowOff>38100</xdr:rowOff>
                  </to>
                </anchor>
              </controlPr>
            </control>
          </mc:Choice>
        </mc:AlternateContent>
        <mc:AlternateContent xmlns:mc="http://schemas.openxmlformats.org/markup-compatibility/2006">
          <mc:Choice Requires="x14">
            <control shapeId="319497" r:id="rId11" name="Button 9">
              <controlPr defaultSize="0" print="0" autoFill="0" autoPict="0" macro="[0]!ExitDIV_06Sheets">
                <anchor moveWithCells="1" sizeWithCells="1">
                  <from>
                    <xdr:col>16</xdr:col>
                    <xdr:colOff>203200</xdr:colOff>
                    <xdr:row>0</xdr:row>
                    <xdr:rowOff>0</xdr:rowOff>
                  </from>
                  <to>
                    <xdr:col>16</xdr:col>
                    <xdr:colOff>1479550</xdr:colOff>
                    <xdr:row>2</xdr:row>
                    <xdr:rowOff>12700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17A4C2-BCE5-48BA-AC67-576A4A43E05E}">
  <sheetPr codeName="Sheet67"/>
  <dimension ref="A1:Q200"/>
  <sheetViews>
    <sheetView zoomScale="75" zoomScaleNormal="75" workbookViewId="0">
      <selection activeCell="C34" sqref="C3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7" t="str">
        <f>DIV_06View_Print!B2</f>
        <v>AREA/FLOOR/ZONE- Page- SUB COST- MAT COST- LAB COST- EQUIP COST- Total Cost- Date- Description- Log 10- Log 11- Log 12</v>
      </c>
      <c r="B1" s="57"/>
      <c r="C1" s="57"/>
      <c r="D1" s="57"/>
      <c r="E1" s="57"/>
      <c r="F1" s="57"/>
      <c r="G1" s="57"/>
      <c r="H1" s="57"/>
      <c r="I1" s="57"/>
      <c r="J1" s="57"/>
      <c r="K1" s="57"/>
      <c r="L1" s="57"/>
      <c r="M1" s="57" t="str">
        <f>DIV_02Input!M1</f>
        <v>Update 1</v>
      </c>
      <c r="N1" s="57" t="str">
        <f>DIV_02Input!N1</f>
        <v>Update 2</v>
      </c>
      <c r="O1" s="57" t="str">
        <f>DIV_02Input!O1</f>
        <v>Update 3</v>
      </c>
      <c r="P1" s="57"/>
      <c r="Q1" s="57"/>
    </row>
    <row r="2" spans="1:17" x14ac:dyDescent="0.35">
      <c r="A2" s="57"/>
      <c r="B2" s="436" t="s">
        <v>21420</v>
      </c>
      <c r="C2" s="436"/>
      <c r="D2" s="436"/>
      <c r="E2" s="436"/>
      <c r="F2" s="436"/>
      <c r="G2" s="436"/>
      <c r="H2" s="436"/>
      <c r="I2" s="436"/>
      <c r="J2" s="436"/>
      <c r="K2" s="436"/>
      <c r="L2" s="436"/>
      <c r="M2" s="1"/>
      <c r="N2" s="1"/>
      <c r="O2" s="1"/>
      <c r="P2" s="57"/>
      <c r="Q2" s="57"/>
    </row>
    <row r="3" spans="1:17" ht="15" thickBot="1" x14ac:dyDescent="0.4">
      <c r="A3" s="446" t="e">
        <f>VLOOKUP(A1,DIV_06Data!$A$1:$DZU$1000000,36,FALSE)</f>
        <v>#N/A</v>
      </c>
      <c r="B3" s="425"/>
      <c r="C3" s="103" t="e">
        <f>VLOOKUP(A1,DIV_06Data!$A$1:$DZU$1000000,38,FALSE)</f>
        <v>#N/A</v>
      </c>
      <c r="D3" s="447" t="e">
        <f>VLOOKUP(A1,DIV_06Data!$A$1:$DZU$1000000,39,FALSE)</f>
        <v>#N/A</v>
      </c>
      <c r="E3" s="448"/>
      <c r="F3" s="448"/>
      <c r="G3" s="448"/>
      <c r="H3" s="6" t="e">
        <f>VLOOKUP(A1,DIV_06Data!$A$1:$DZU$1000000,43,FALSE)</f>
        <v>#N/A</v>
      </c>
      <c r="I3" s="6" t="e">
        <f>VLOOKUP(A1,DIV_06Data!$A$1:$DZU$1000000,44,FALSE)</f>
        <v>#N/A</v>
      </c>
      <c r="J3" s="449" t="e">
        <f>VLOOKUP(A1,DIV_06Data!$A$1:$DZU$1000000,45,FALSE)</f>
        <v>#N/A</v>
      </c>
      <c r="K3" s="450"/>
      <c r="L3" s="100" t="e">
        <f>VLOOKUP(A1,DIV_06Data!$A$1:$DZU$1000000,47,FALSE)</f>
        <v>#N/A</v>
      </c>
      <c r="M3" s="8" t="e">
        <f>VLOOKUP(A1,DIV_06Data!$A$1:$DZU$1000000,48,FALSE)</f>
        <v>#N/A</v>
      </c>
      <c r="N3" s="6" t="e">
        <f>VLOOKUP(A1,DIV_06Data!$A$1:$DZU$1000000,49,FALSE)</f>
        <v>#N/A</v>
      </c>
      <c r="O3" s="8" t="e">
        <f>VLOOKUP(A1,DIV_06Data!$A$1:$DZU$1000000,50,FALSE)</f>
        <v>#N/A</v>
      </c>
      <c r="P3" s="7" t="e">
        <f>VLOOKUP(A1,DIV_06Data!$A$1:$DZU$1000000,51,FALSE)</f>
        <v>#N/A</v>
      </c>
      <c r="Q3" s="8" t="e">
        <f>VLOOKUP(A1,DIV_06Data!$A$1:$DZU$1000000,52,FALSE)</f>
        <v>#N/A</v>
      </c>
    </row>
    <row r="4" spans="1:17" ht="15" thickBot="1" x14ac:dyDescent="0.4">
      <c r="A4" s="451" t="e">
        <f>VLOOKUP(A1,DIV_06Data!$A$1:$DZU$1000000,53,FALSE)</f>
        <v>#N/A</v>
      </c>
      <c r="B4" s="452"/>
      <c r="C4" s="79" t="e">
        <f>VLOOKUP(A1,DIV_06Data!$A$1:$DZU$1000000,55,FALSE)</f>
        <v>#N/A</v>
      </c>
      <c r="D4" s="6" t="e">
        <f>VLOOKUP(A1,DIV_06Data!$A$1:$DZU$1000000,56,FALSE)</f>
        <v>#N/A</v>
      </c>
      <c r="E4" s="5" t="e">
        <f>VLOOKUP(A1,DIV_06Data!$A$1:$DZU$1000000,57,FALSE)</f>
        <v>#N/A</v>
      </c>
      <c r="F4" s="61" t="e">
        <f>VLOOKUP(A1,DIV_06Data!$A$1:$DZU$1000000,58,FALSE)</f>
        <v>#N/A</v>
      </c>
      <c r="G4" s="8" t="e">
        <f>VLOOKUP(A1,DIV_06Data!$A$1:$DZU$1000000,59,FALSE)</f>
        <v>#N/A</v>
      </c>
      <c r="H4" s="6" t="e">
        <f>VLOOKUP(A1,DIV_06Data!$A$1:$DZU$1000000,60,FALSE)</f>
        <v>#N/A</v>
      </c>
      <c r="I4" s="6" t="e">
        <f>VLOOKUP(A1,DIV_06Data!$A$1:$DZU$1000000,61,FALSE)</f>
        <v>#N/A</v>
      </c>
      <c r="J4" s="443" t="e">
        <f>VLOOKUP(A1,DIV_06Data!$A$1:$DZU$1000000,62,FALSE)</f>
        <v>#N/A</v>
      </c>
      <c r="K4" s="444"/>
      <c r="L4" s="102" t="e">
        <f>VLOOKUP(A1,DIV_06Data!$A$1:$DZU$1000000,64,FALSE)</f>
        <v>#N/A</v>
      </c>
      <c r="M4" s="9" t="e">
        <f>VLOOKUP(A1,DIV_06Data!$A$1:$DZU$1000000,65,FALSE)</f>
        <v>#N/A</v>
      </c>
      <c r="N4" s="31" t="e">
        <f>VLOOKUP(A1,DIV_06Data!$A$1:$DZU$1000000,66,FALSE)</f>
        <v>#N/A</v>
      </c>
      <c r="O4" s="98" t="e">
        <f>VLOOKUP(A1,DIV_06Data!$A$1:$DZU$1000000,67,FALSE)</f>
        <v>#N/A</v>
      </c>
      <c r="P4" s="7" t="e">
        <f>VLOOKUP(A1,DIV_06Data!$A$1:$DZU$1000000,68,FALSE)</f>
        <v>#N/A</v>
      </c>
      <c r="Q4" s="10" t="e">
        <f>VLOOKUP(A1,DIV_06Data!$A$1:$DZU$1000000,69,FALSE)</f>
        <v>#N/A</v>
      </c>
    </row>
    <row r="5" spans="1:17" ht="15" thickBot="1" x14ac:dyDescent="0.4">
      <c r="A5" s="3" t="e">
        <f>VLOOKUP(A1,DIV_06Data!$A$1:$DZU$1000000,70,FALSE)</f>
        <v>#N/A</v>
      </c>
      <c r="B5" s="4" t="e">
        <f>VLOOKUP(A1,DIV_06Data!$A$1:$DZU$1000000,71,FALSE)</f>
        <v>#N/A</v>
      </c>
      <c r="C5" s="5" t="e">
        <f>VLOOKUP(A1,DIV_06Data!$A$1:$DZU$1000000,72,FALSE)</f>
        <v>#N/A</v>
      </c>
      <c r="D5" s="6" t="e">
        <f>VLOOKUP(A1,DIV_06Data!$A$1:$DZU$1000000,73,FALSE)</f>
        <v>#N/A</v>
      </c>
      <c r="E5" s="7" t="e">
        <f>VLOOKUP(A1,DIV_06Data!$A$1:$DZU$1000000,74,FALSE)</f>
        <v>#N/A</v>
      </c>
      <c r="F5" s="6" t="e">
        <f>VLOOKUP(A1,DIV_06Data!$A$1:$DZU$1000000,75,FALSE)</f>
        <v>#N/A</v>
      </c>
      <c r="G5" s="8" t="e">
        <f>VLOOKUP(A1,DIV_06Data!$A$1:$DZU$1000000,76,FALSE)</f>
        <v>#N/A</v>
      </c>
      <c r="H5" s="6" t="e">
        <f>VLOOKUP(A1,DIV_06Data!$A$1:$DZU$1000000,77,FALSE)</f>
        <v>#N/A</v>
      </c>
      <c r="I5" s="6" t="e">
        <f>VLOOKUP(A1,DIV_06Data!$A$1:$DZU$1000000,78,FALSE)</f>
        <v>#N/A</v>
      </c>
      <c r="J5" s="443" t="e">
        <f>VLOOKUP(A1,DIV_06Data!$A$1:$DZU$1000000,79,FALSE)</f>
        <v>#N/A</v>
      </c>
      <c r="K5" s="444"/>
      <c r="L5" s="11" t="e">
        <f>VLOOKUP(A1,DIV_06Data!$A$1:$DZU$1000000,81,FALSE)</f>
        <v>#N/A</v>
      </c>
      <c r="M5" s="91" t="e">
        <f>VLOOKUP(A1,DIV_06Data!$A$1:$DZU$1000000,82,FALSE)</f>
        <v>#N/A</v>
      </c>
      <c r="N5" s="31" t="e">
        <f>VLOOKUP(A1,DIV_06Data!$A$1:$DZU$1000000,83,FALSE)</f>
        <v>#N/A</v>
      </c>
      <c r="O5" s="96" t="e">
        <f>VLOOKUP(A1,DIV_06Data!$A$1:$DZU$1000000,84,FALSE)</f>
        <v>#N/A</v>
      </c>
      <c r="P5" s="86" t="e">
        <f>VLOOKUP(A1,DIV_06Data!$A$1:$DZU$1000000,85,FALSE)</f>
        <v>#N/A</v>
      </c>
      <c r="Q5" s="8" t="e">
        <f>VLOOKUP(A1,DIV_06Data!$A$1:$DZU$1000000,86,FALSE)</f>
        <v>#N/A</v>
      </c>
    </row>
    <row r="6" spans="1:17" ht="15" thickBot="1" x14ac:dyDescent="0.4">
      <c r="A6" s="3" t="e">
        <f>VLOOKUP(A1,DIV_06Data!$A$1:$DZU$1000000,87,FALSE)</f>
        <v>#N/A</v>
      </c>
      <c r="B6" s="4" t="e">
        <f>VLOOKUP(A1,DIV_06Data!$A$1:$DZU$1000000,88,FALSE)</f>
        <v>#N/A</v>
      </c>
      <c r="C6" s="5" t="e">
        <f>VLOOKUP(A1,DIV_06Data!$A$1:$DZU$1000000,89,FALSE)</f>
        <v>#N/A</v>
      </c>
      <c r="D6" s="6" t="e">
        <f>VLOOKUP(A1,DIV_06Data!$A$1:$DZU$1000000,90,FALSE)</f>
        <v>#N/A</v>
      </c>
      <c r="E6" s="7" t="e">
        <f>VLOOKUP(A1,DIV_06Data!$A$1:$DZU$1000000,91,FALSE)</f>
        <v>#N/A</v>
      </c>
      <c r="F6" s="6" t="e">
        <f>VLOOKUP(A1,DIV_06Data!$A$1:$DZU$1000000,92,FALSE)</f>
        <v>#N/A</v>
      </c>
      <c r="G6" s="10" t="e">
        <f>VLOOKUP(A1,DIV_06Data!$A$1:$DZU$1000000,93,FALSE)</f>
        <v>#N/A</v>
      </c>
      <c r="H6" s="12" t="e">
        <f>VLOOKUP(A1,DIV_06Data!$A$1:$DZU$1000000,94,FALSE)</f>
        <v>#N/A</v>
      </c>
      <c r="I6" s="13" t="e">
        <f>VLOOKUP(A1,DIV_06Data!$A$1:$DZU$1000000,95,FALSE)</f>
        <v>#N/A</v>
      </c>
      <c r="J6" s="445" t="e">
        <f>VLOOKUP(A1,DIV_06Data!$A$1:$DZU$1000000,96,FALSE)</f>
        <v>#N/A</v>
      </c>
      <c r="K6" s="444"/>
      <c r="L6" s="11" t="e">
        <f>VLOOKUP(A1,DIV_06Data!$A$1:$DZU$1000000,98,FALSE)</f>
        <v>#N/A</v>
      </c>
      <c r="M6" s="9" t="e">
        <f>VLOOKUP(A1,DIV_06Data!$A$1:$DZU$1000000,99,FALSE)</f>
        <v>#N/A</v>
      </c>
      <c r="N6" s="31" t="e">
        <f>VLOOKUP(A1,DIV_06Data!$A$1:$DZU$1000000,100,FALSE)</f>
        <v>#N/A</v>
      </c>
      <c r="O6" s="97" t="e">
        <f>VLOOKUP(A1,DIV_06Data!$A$1:$DZU$1000000,101,FALSE)</f>
        <v>#N/A</v>
      </c>
      <c r="P6" s="7" t="e">
        <f>VLOOKUP(A1,DIV_06Data!$A$1:$DZU$1000000,102,FALSE)</f>
        <v>#N/A</v>
      </c>
      <c r="Q6" s="8" t="e">
        <f>VLOOKUP(A1,DIV_06Data!$A$1:$DZU$1000000,103,FALSE)</f>
        <v>#N/A</v>
      </c>
    </row>
    <row r="7" spans="1:17" x14ac:dyDescent="0.35">
      <c r="A7" s="3" t="e">
        <f>VLOOKUP(A1,DIV_06Data!$A$1:$DZU$1000000,104,FALSE)</f>
        <v>#N/A</v>
      </c>
      <c r="B7" s="4" t="e">
        <f>VLOOKUP(A1,DIV_06Data!$A$1:$DZU$1000000,105,FALSE)</f>
        <v>#N/A</v>
      </c>
      <c r="C7" s="84" t="e">
        <f>VLOOKUP(A1,DIV_06Data!$A$1:$DZU$1000000,106,FALSE)</f>
        <v>#N/A</v>
      </c>
      <c r="D7" s="6" t="e">
        <f>VLOOKUP(A1,DIV_06Data!$A$1:$DZU$1000000,107,FALSE)</f>
        <v>#N/A</v>
      </c>
      <c r="E7" s="7" t="e">
        <f>VLOOKUP(A1,DIV_06Data!$A$1:$DZU$1000000,108,FALSE)</f>
        <v>#N/A</v>
      </c>
      <c r="F7" s="6" t="e">
        <f>VLOOKUP(A1,DIV_06Data!$A$1:$DZU$1000000,109,FALSE)</f>
        <v>#N/A</v>
      </c>
      <c r="G7" s="7" t="e">
        <f>VLOOKUP(A1,DIV_06Data!$A$1:$DZU$1000000,110,FALSE)</f>
        <v>#N/A</v>
      </c>
      <c r="H7" s="14" t="e">
        <f>VLOOKUP(A1,DIV_06Data!$A$1:$DZU$1000000,111,FALSE)</f>
        <v>#N/A</v>
      </c>
      <c r="I7" s="6" t="e">
        <f>VLOOKUP(A1,DIV_06Data!$A$1:$DZU$1000000,112,FALSE)</f>
        <v>#N/A</v>
      </c>
      <c r="J7" s="443" t="e">
        <f>VLOOKUP(A1,DIV_06Data!$A$1:$DZU$1000000,113,FALSE)</f>
        <v>#N/A</v>
      </c>
      <c r="K7" s="444"/>
      <c r="L7" s="11" t="e">
        <f>VLOOKUP(A1,DIV_06Data!$A$1:$DZU$1000000,115,FALSE)</f>
        <v>#N/A</v>
      </c>
      <c r="M7" s="6" t="e">
        <f>VLOOKUP(A1,DIV_06Data!$A$1:$DZU$1000000,116,FALSE)</f>
        <v>#N/A</v>
      </c>
      <c r="N7" s="31" t="e">
        <f>VLOOKUP(A1,DIV_06Data!$A$1:$DZU$1000000,117,FALSE)</f>
        <v>#N/A</v>
      </c>
      <c r="O7" s="96" t="e">
        <f>VLOOKUP(A1,DIV_06Data!$A$1:$DZU$1000000,118,FALSE)</f>
        <v>#N/A</v>
      </c>
      <c r="P7" s="90" t="e">
        <f>VLOOKUP(A1,DIV_06Data!$A$1:$DZU$1000000,119,FALSE)</f>
        <v>#N/A</v>
      </c>
      <c r="Q7" s="90" t="e">
        <f>VLOOKUP(A1,DIV_06Data!$A$1:$DZU$1000000,120,FALSE)</f>
        <v>#N/A</v>
      </c>
    </row>
    <row r="8" spans="1:17" ht="15" thickBot="1" x14ac:dyDescent="0.4">
      <c r="A8" s="3" t="e">
        <f>VLOOKUP(A1,DIV_06Data!$A$1:$DZU$1000000,121,FALSE)</f>
        <v>#N/A</v>
      </c>
      <c r="B8" s="4" t="e">
        <f>VLOOKUP(A1,DIV_06Data!$A$1:$DZU$1000000,122,FALSE)</f>
        <v>#N/A</v>
      </c>
      <c r="C8" s="86" t="e">
        <f>VLOOKUP(A1,DIV_06Data!$A$1:$DZU$1000000,123,FALSE)</f>
        <v>#N/A</v>
      </c>
      <c r="D8" s="6" t="e">
        <f>VLOOKUP(A1,DIV_06Data!$A$1:$DZU$1000000,124,FALSE)</f>
        <v>#N/A</v>
      </c>
      <c r="E8" s="7" t="e">
        <f>VLOOKUP(A1,DIV_06Data!$A$1:$DZU$1000000,125,FALSE)</f>
        <v>#N/A</v>
      </c>
      <c r="F8" s="6" t="e">
        <f>VLOOKUP(A1,DIV_06Data!$A$1:$DZU$1000000,126,FALSE)</f>
        <v>#N/A</v>
      </c>
      <c r="G8" s="6" t="e">
        <f>VLOOKUP(A1,DIV_06Data!$A$1:$DZU$1000000,127,FALSE)</f>
        <v>#N/A</v>
      </c>
      <c r="H8" s="6" t="e">
        <f>VLOOKUP(A1,DIV_06Data!$A$1:$DZU$1000000,128,FALSE)</f>
        <v>#N/A</v>
      </c>
      <c r="I8" s="6" t="e">
        <f>VLOOKUP(A1,DIV_06Data!$A$1:$DZU$1000000,129,FALSE)</f>
        <v>#N/A</v>
      </c>
      <c r="J8" s="6" t="e">
        <f>VLOOKUP(A1,DIV_06Data!$A$1:$DZU$1000000,130,FALSE)</f>
        <v>#N/A</v>
      </c>
      <c r="K8" s="6" t="e">
        <f>VLOOKUP(A1,DIV_06Data!$A$1:$DZU$1000000,131,FALSE)</f>
        <v>#N/A</v>
      </c>
      <c r="L8" s="83" t="e">
        <f>VLOOKUP(A1,DIV_06Data!$A$1:$DZU$1000000,132,FALSE)</f>
        <v>#N/A</v>
      </c>
      <c r="M8" s="6" t="e">
        <f>VLOOKUP(A1,DIV_06Data!$A$1:$DZU$1000000,133,FALSE)</f>
        <v>#N/A</v>
      </c>
      <c r="N8" s="6" t="e">
        <f>VLOOKUP(A1,DIV_06Data!$A$1:$DZU$1000000,134,FALSE)</f>
        <v>#N/A</v>
      </c>
      <c r="O8" s="95" t="e">
        <f>VLOOKUP(A1,DIV_06Data!$A$1:$DZU$1000000,135,FALSE)</f>
        <v>#N/A</v>
      </c>
      <c r="P8" s="6" t="e">
        <f>VLOOKUP(A1,DIV_06Data!$A$1:$DZU$1000000,136,FALSE)</f>
        <v>#N/A</v>
      </c>
      <c r="Q8" s="6" t="e">
        <f>VLOOKUP(A1,DIV_06Data!$A$1:$DZU$1000000,137,FALSE)</f>
        <v>#N/A</v>
      </c>
    </row>
    <row r="9" spans="1:17" ht="15" thickBot="1" x14ac:dyDescent="0.4">
      <c r="A9" s="15" t="e">
        <f>VLOOKUP(A1,DIV_06Data!$A$1:$DZU$1000000,138,FALSE)</f>
        <v>#N/A</v>
      </c>
      <c r="B9" s="16" t="e">
        <f>VLOOKUP(A1,DIV_06Data!$A$1:$DZU$1000000,139,FALSE)</f>
        <v>#N/A</v>
      </c>
      <c r="C9" s="17" t="e">
        <f>VLOOKUP(A1,DIV_06Data!$A$1:$DZU$1000000,140,FALSE)</f>
        <v>#N/A</v>
      </c>
      <c r="D9" s="18" t="e">
        <f>VLOOKUP(A1,DIV_06Data!$A$1:$DZU$1000000,141,FALSE)</f>
        <v>#N/A</v>
      </c>
      <c r="E9" s="19" t="e">
        <f>VLOOKUP(A1,DIV_06Data!$A$1:$DZU$1000000,142,FALSE)</f>
        <v>#N/A</v>
      </c>
      <c r="F9" s="16" t="e">
        <f>VLOOKUP(A1,DIV_06Data!$A$1:$DZU$1000000,143,FALSE)</f>
        <v>#N/A</v>
      </c>
      <c r="G9" s="20" t="e">
        <f>VLOOKUP(A1,DIV_06Data!$A$1:$DZU$1000000,144,FALSE)</f>
        <v>#N/A</v>
      </c>
      <c r="H9" s="16" t="e">
        <f>VLOOKUP(A1,DIV_06Data!$A$1:$DZU$1000000,145,FALSE)</f>
        <v>#N/A</v>
      </c>
      <c r="I9" s="20" t="e">
        <f>VLOOKUP(A1,DIV_06Data!$A$1:$DZU$1000000,146,FALSE)</f>
        <v>#N/A</v>
      </c>
      <c r="J9" s="21" t="e">
        <f>VLOOKUP(A1,DIV_06Data!$A$1:$DZU$1000000,147,FALSE)</f>
        <v>#N/A</v>
      </c>
      <c r="K9" s="16" t="e">
        <f>VLOOKUP(A1,DIV_06Data!$A$1:$DZU$1000000,148,FALSE)</f>
        <v>#N/A</v>
      </c>
      <c r="L9" s="21" t="e">
        <f>VLOOKUP(A1,DIV_06Data!$A$1:$DZU$1000000,149,FALSE)</f>
        <v>#N/A</v>
      </c>
      <c r="M9" s="20" t="e">
        <f>VLOOKUP(A1,DIV_06Data!$A$1:$DZU$1000000,150,FALSE)</f>
        <v>#N/A</v>
      </c>
      <c r="N9" s="16" t="e">
        <f>VLOOKUP(A1,DIV_06Data!$A$1:$DZU$1000000,151,FALSE)</f>
        <v>#N/A</v>
      </c>
      <c r="O9" s="20" t="e">
        <f>VLOOKUP(A1,DIV_06Data!$A$1:$DZU$1000000,152,FALSE)</f>
        <v>#N/A</v>
      </c>
      <c r="P9" s="18" t="e">
        <f>VLOOKUP(A1,DIV_06Data!$A$1:$DZU$1000000,153,FALSE)</f>
        <v>#N/A</v>
      </c>
      <c r="Q9" s="20" t="e">
        <f>VLOOKUP(A1,DIV_06Data!$A$1:$DZU$1000000,154,FALSE)</f>
        <v>#N/A</v>
      </c>
    </row>
    <row r="10" spans="1:17" ht="15" thickBot="1" x14ac:dyDescent="0.4">
      <c r="A10" s="22" t="e">
        <f>VLOOKUP(A1,DIV_06Data!$A$1:$DZU$1000000,155,FALSE)</f>
        <v>#N/A</v>
      </c>
      <c r="B10" s="23" t="e">
        <f>VLOOKUP(A1,DIV_06Data!$A$1:$DZU$1000000,156,FALSE)</f>
        <v>#N/A</v>
      </c>
      <c r="C10" s="24" t="e">
        <f>VLOOKUP(A1,DIV_06Data!$A$1:$DZU$1000000,157,FALSE)</f>
        <v>#N/A</v>
      </c>
      <c r="D10" s="25" t="e">
        <f>VLOOKUP(A1,DIV_06Data!$A$1:$DZU$1000000,158,FALSE)</f>
        <v>#N/A</v>
      </c>
      <c r="E10" s="26" t="e">
        <f>VLOOKUP(A1,DIV_06Data!$A$1:$DZU$1000000,159,FALSE)</f>
        <v>#N/A</v>
      </c>
      <c r="F10" s="27" t="e">
        <f>VLOOKUP(A1,DIV_06Data!$A$1:$DZU$1000000,160,FALSE)</f>
        <v>#N/A</v>
      </c>
      <c r="G10" s="28" t="e">
        <f>VLOOKUP(A1,DIV_06Data!$A$1:$DZU$1000000,161,FALSE)</f>
        <v>#N/A</v>
      </c>
      <c r="H10" s="27" t="e">
        <f>VLOOKUP(A1,DIV_06Data!$A$1:$DZU$1000000,162,FALSE)</f>
        <v>#N/A</v>
      </c>
      <c r="I10" s="28" t="e">
        <f>VLOOKUP(A1,DIV_06Data!$A$1:$DZU$1000000,163,FALSE)</f>
        <v>#N/A</v>
      </c>
      <c r="J10" s="27" t="e">
        <f>VLOOKUP(A1,DIV_06Data!$A$1:$DZU$1000000,164,FALSE)</f>
        <v>#N/A</v>
      </c>
      <c r="K10" s="27" t="e">
        <f>VLOOKUP(A1,DIV_06Data!$A$1:$DZU$1000000,165,FALSE)</f>
        <v>#N/A</v>
      </c>
      <c r="L10" s="27" t="e">
        <f>VLOOKUP(A1,DIV_06Data!$A$1:$DZU$1000000,166,FALSE)</f>
        <v>#N/A</v>
      </c>
      <c r="M10" s="28" t="e">
        <f>VLOOKUP(A1,DIV_06Data!$A$1:$DZU$1000000,167,FALSE)</f>
        <v>#N/A</v>
      </c>
      <c r="N10" s="27" t="e">
        <f>VLOOKUP(A1,DIV_06Data!$A$1:$DZU$1000000,168,FALSE)</f>
        <v>#N/A</v>
      </c>
      <c r="O10" s="28" t="e">
        <f>VLOOKUP(A1,DIV_06Data!$A$1:$DZU$1000000,169,FALSE)</f>
        <v>#N/A</v>
      </c>
      <c r="P10" s="25" t="e">
        <f>VLOOKUP(A1,DIV_06Data!$A$1:$DZU$1000000,170,FALSE)</f>
        <v>#N/A</v>
      </c>
      <c r="Q10" s="28" t="e">
        <f>VLOOKUP(A1,DIV_06Data!$A$1:$DZU$1000000,171,FALSE)</f>
        <v>#N/A</v>
      </c>
    </row>
    <row r="11" spans="1:17" x14ac:dyDescent="0.35">
      <c r="A11" s="22" t="e">
        <f>VLOOKUP(A1,DIV_06Data!$A$1:$DZU$1000000,172,FALSE)</f>
        <v>#N/A</v>
      </c>
      <c r="B11" s="29" t="e">
        <f>VLOOKUP(A1,DIV_06Data!$A$1:$DZU$1000000,173,FALSE)</f>
        <v>#N/A</v>
      </c>
      <c r="C11" s="30" t="e">
        <f>VLOOKUP(A1,DIV_06Data!$A$1:$DZU$1000000,174,FALSE)</f>
        <v>#N/A</v>
      </c>
      <c r="D11" s="31" t="e">
        <f>VLOOKUP(A1,DIV_06Data!$A$1:$DZU$1000000,175,FALSE)</f>
        <v>#N/A</v>
      </c>
      <c r="E11" s="32" t="e">
        <f>VLOOKUP(A1,DIV_06Data!$A$1:$DZU$1000000,176,FALSE)</f>
        <v>#N/A</v>
      </c>
      <c r="F11" s="34" t="e">
        <f>VLOOKUP(A1,DIV_06Data!$A$1:$DZU$1000000,177,FALSE)</f>
        <v>#N/A</v>
      </c>
      <c r="G11" s="33" t="e">
        <f>VLOOKUP(A1,DIV_06Data!$A$1:$DZU$1000000,178,FALSE)</f>
        <v>#N/A</v>
      </c>
      <c r="H11" s="34" t="e">
        <f>VLOOKUP(A1,DIV_06Data!$A$1:$DZU$1000000,179,FALSE)</f>
        <v>#N/A</v>
      </c>
      <c r="I11" s="33" t="e">
        <f>VLOOKUP(A1,DIV_06Data!$A$1:$DZU$1000000,180,FALSE)</f>
        <v>#N/A</v>
      </c>
      <c r="J11" s="34" t="e">
        <f>VLOOKUP(A1,DIV_06Data!$A$1:$DZU$1000000,181,FALSE)</f>
        <v>#N/A</v>
      </c>
      <c r="K11" s="34" t="e">
        <f>VLOOKUP(A1,DIV_06Data!$A$1:$DZU$1000000,182,FALSE)</f>
        <v>#N/A</v>
      </c>
      <c r="L11" s="34" t="e">
        <f>VLOOKUP(A1,DIV_06Data!$A$1:$DZU$1000000,183,FALSE)</f>
        <v>#N/A</v>
      </c>
      <c r="M11" s="33" t="e">
        <f>VLOOKUP(A1,DIV_06Data!$A$1:$DZU$1000000,184,FALSE)</f>
        <v>#N/A</v>
      </c>
      <c r="N11" s="34" t="e">
        <f>VLOOKUP(A1,DIV_06Data!$A$1:$DZU$1000000,185,FALSE)</f>
        <v>#N/A</v>
      </c>
      <c r="O11" s="35" t="e">
        <f>VLOOKUP(A1,DIV_06Data!$A$1:$DZU$1000000,186,FALSE)</f>
        <v>#N/A</v>
      </c>
      <c r="P11" s="31" t="e">
        <f>VLOOKUP(A1,DIV_06Data!$A$1:$DZU$1000000,187,FALSE)</f>
        <v>#N/A</v>
      </c>
      <c r="Q11" s="35" t="e">
        <f>VLOOKUP(A1,DIV_06Data!$A$1:$DZU$1000000,188,FALSE)</f>
        <v>#N/A</v>
      </c>
    </row>
    <row r="12" spans="1:17" x14ac:dyDescent="0.35">
      <c r="A12" s="22" t="e">
        <f>VLOOKUP(A1,DIV_06Data!$A$1:$DZU$1000000,189,FALSE)</f>
        <v>#N/A</v>
      </c>
      <c r="B12" s="29" t="e">
        <f>VLOOKUP(A1,DIV_06Data!$A$1:$DZU$1000000,190,FALSE)</f>
        <v>#N/A</v>
      </c>
      <c r="C12" s="30" t="e">
        <f>VLOOKUP(A1,DIV_06Data!$A$1:$DZU$1000000,191,FALSE)</f>
        <v>#N/A</v>
      </c>
      <c r="D12" s="31" t="e">
        <f>VLOOKUP(A1,DIV_06Data!$A$1:$DZU$1000000,192,FALSE)</f>
        <v>#N/A</v>
      </c>
      <c r="E12" s="32" t="e">
        <f>VLOOKUP(A1,DIV_06Data!$A$1:$DZU$1000000,193,FALSE)</f>
        <v>#N/A</v>
      </c>
      <c r="F12" s="34" t="e">
        <f>VLOOKUP(A1,DIV_06Data!$A$1:$DZU$1000000,194,FALSE)</f>
        <v>#N/A</v>
      </c>
      <c r="G12" s="33" t="e">
        <f>VLOOKUP(A1,DIV_06Data!$A$1:$DZU$1000000,195,FALSE)</f>
        <v>#N/A</v>
      </c>
      <c r="H12" s="34" t="e">
        <f>VLOOKUP(A1,DIV_06Data!$A$1:$DZU$1000000,196,FALSE)</f>
        <v>#N/A</v>
      </c>
      <c r="I12" s="33" t="e">
        <f>VLOOKUP(A1,DIV_06Data!$A$1:$DZU$1000000,197,FALSE)</f>
        <v>#N/A</v>
      </c>
      <c r="J12" s="34" t="e">
        <f>VLOOKUP(A1,DIV_06Data!$A$1:$DZU$1000000,198,FALSE)</f>
        <v>#N/A</v>
      </c>
      <c r="K12" s="34" t="e">
        <f>VLOOKUP(A1,DIV_06Data!$A$1:$DZU$1000000,199,FALSE)</f>
        <v>#N/A</v>
      </c>
      <c r="L12" s="34" t="e">
        <f>VLOOKUP(A1,DIV_06Data!$A$1:$DZU$1000000,200,FALSE)</f>
        <v>#N/A</v>
      </c>
      <c r="M12" s="33" t="e">
        <f>VLOOKUP(A1,DIV_06Data!$A$1:$DZU$1000000,201,FALSE)</f>
        <v>#N/A</v>
      </c>
      <c r="N12" s="34" t="e">
        <f>VLOOKUP(A1,DIV_06Data!$A$1:$DZU$1000000,202,FALSE)</f>
        <v>#N/A</v>
      </c>
      <c r="O12" s="35" t="e">
        <f>VLOOKUP(A1,DIV_06Data!$A$1:$DZU$1000000,203,FALSE)</f>
        <v>#N/A</v>
      </c>
      <c r="P12" s="31" t="e">
        <f>VLOOKUP(A1,DIV_06Data!$A$1:$DZU$1000000,204,FALSE)</f>
        <v>#N/A</v>
      </c>
      <c r="Q12" s="35" t="e">
        <f>VLOOKUP(A1,DIV_06Data!$A$1:$DZU$1000000,205,FALSE)</f>
        <v>#N/A</v>
      </c>
    </row>
    <row r="13" spans="1:17" x14ac:dyDescent="0.35">
      <c r="A13" s="22" t="e">
        <f>VLOOKUP(A1,DIV_06Data!$A$1:$DZU$1000000,206,FALSE)</f>
        <v>#N/A</v>
      </c>
      <c r="B13" s="37" t="e">
        <f>VLOOKUP(A1,DIV_06Data!$A$1:$DZU$1000000,207,FALSE)</f>
        <v>#N/A</v>
      </c>
      <c r="C13" s="38" t="e">
        <f>VLOOKUP(A1,DIV_06Data!$A$1:$DZU$1000000,208,FALSE)</f>
        <v>#N/A</v>
      </c>
      <c r="D13" s="31" t="e">
        <f>VLOOKUP(A1,DIV_06Data!$A$1:$DZU$1000000,209,FALSE)</f>
        <v>#N/A</v>
      </c>
      <c r="E13" s="32" t="e">
        <f>VLOOKUP(A1,DIV_06Data!$A$1:$DZU$1000000,210,FALSE)</f>
        <v>#N/A</v>
      </c>
      <c r="F13" s="93" t="e">
        <f>VLOOKUP(A1,DIV_06Data!$A$1:$DZU$1000000,211,FALSE)</f>
        <v>#N/A</v>
      </c>
      <c r="G13" s="33" t="e">
        <f>VLOOKUP(A1,DIV_06Data!$A$1:$DZU$1000000,212,FALSE)</f>
        <v>#N/A</v>
      </c>
      <c r="H13" s="93" t="e">
        <f>VLOOKUP(A1,DIV_06Data!$A$1:$DZU$1000000,213,FALSE)</f>
        <v>#N/A</v>
      </c>
      <c r="I13" s="33" t="e">
        <f>VLOOKUP(A1,DIV_06Data!$A$1:$DZU$1000000,214,FALSE)</f>
        <v>#N/A</v>
      </c>
      <c r="J13" s="34" t="e">
        <f>VLOOKUP(A1,DIV_06Data!$A$1:$DZU$1000000,215,FALSE)</f>
        <v>#N/A</v>
      </c>
      <c r="K13" s="34" t="e">
        <f>VLOOKUP(A1,DIV_06Data!$A$1:$DZU$1000000,216,FALSE)</f>
        <v>#N/A</v>
      </c>
      <c r="L13" s="93" t="e">
        <f>VLOOKUP(A1,DIV_06Data!$A$1:$DZU$1000000,217,FALSE)</f>
        <v>#N/A</v>
      </c>
      <c r="M13" s="33" t="e">
        <f>VLOOKUP(A1,DIV_06Data!$A$1:$DZU$1000000,218,FALSE)</f>
        <v>#N/A</v>
      </c>
      <c r="N13" s="93" t="e">
        <f>VLOOKUP(A1,DIV_06Data!$A$1:$DZU$1000000,219,FALSE)</f>
        <v>#N/A</v>
      </c>
      <c r="O13" s="33" t="e">
        <f>VLOOKUP(A1,DIV_06Data!$A$1:$DZU$1000000,220,FALSE)</f>
        <v>#N/A</v>
      </c>
      <c r="P13" s="46" t="e">
        <f>VLOOKUP(A1,DIV_06Data!$A$1:$DZU$1000000,221,FALSE)</f>
        <v>#N/A</v>
      </c>
      <c r="Q13" s="33" t="e">
        <f>VLOOKUP(A1,DIV_06Data!$A$1:$DZU$1000000,222,FALSE)</f>
        <v>#N/A</v>
      </c>
    </row>
    <row r="14" spans="1:17" x14ac:dyDescent="0.35">
      <c r="A14" s="22" t="e">
        <f>VLOOKUP(A1,DIV_06Data!$A$1:$DZU$1000000,223,FALSE)</f>
        <v>#N/A</v>
      </c>
      <c r="B14" s="37" t="e">
        <f>VLOOKUP(A1,DIV_06Data!$A$1:$DZU$1000000,224,FALSE)</f>
        <v>#N/A</v>
      </c>
      <c r="C14" s="38" t="e">
        <f>VLOOKUP(A1,DIV_06Data!$A$1:$DZU$1000000,225,FALSE)</f>
        <v>#N/A</v>
      </c>
      <c r="D14" s="31" t="e">
        <f>VLOOKUP(A1,DIV_06Data!$A$1:$DZU$1000000,226,FALSE)</f>
        <v>#N/A</v>
      </c>
      <c r="E14" s="32" t="e">
        <f>VLOOKUP(A1,DIV_06Data!$A$1:$DZU$1000000,227,FALSE)</f>
        <v>#N/A</v>
      </c>
      <c r="F14" s="34" t="e">
        <f>VLOOKUP(A1,DIV_06Data!$A$1:$DZU$1000000,228,FALSE)</f>
        <v>#N/A</v>
      </c>
      <c r="G14" s="33" t="e">
        <f>VLOOKUP(A1,DIV_06Data!$A$1:$DZU$1000000,229,FALSE)</f>
        <v>#N/A</v>
      </c>
      <c r="H14" s="34" t="e">
        <f>VLOOKUP(A1,DIV_06Data!$A$1:$DZU$1000000,230,FALSE)</f>
        <v>#N/A</v>
      </c>
      <c r="I14" s="33" t="e">
        <f>VLOOKUP(A1,DIV_06Data!$A$1:$DZU$1000000,231,FALSE)</f>
        <v>#N/A</v>
      </c>
      <c r="J14" s="34" t="e">
        <f>VLOOKUP(A1,DIV_06Data!$A$1:$DZU$1000000,232,FALSE)</f>
        <v>#N/A</v>
      </c>
      <c r="K14" s="34" t="e">
        <f>VLOOKUP(A1,DIV_06Data!$A$1:$DZU$1000000,233,FALSE)</f>
        <v>#N/A</v>
      </c>
      <c r="L14" s="34" t="e">
        <f>VLOOKUP(A1,DIV_06Data!$A$1:$DZU$1000000,234,FALSE)</f>
        <v>#N/A</v>
      </c>
      <c r="M14" s="33" t="e">
        <f>VLOOKUP(A1,DIV_06Data!$A$1:$DZU$1000000,235,FALSE)</f>
        <v>#N/A</v>
      </c>
      <c r="N14" s="34" t="e">
        <f>VLOOKUP(A1,DIV_06Data!$A$1:$DZU$1000000,236,FALSE)</f>
        <v>#N/A</v>
      </c>
      <c r="O14" s="33" t="e">
        <f>VLOOKUP(A1,DIV_06Data!$A$1:$DZU$1000000,237,FALSE)</f>
        <v>#N/A</v>
      </c>
      <c r="P14" s="46" t="e">
        <f>VLOOKUP(A1,DIV_06Data!$A$1:$DZU$1000000,238,FALSE)</f>
        <v>#N/A</v>
      </c>
      <c r="Q14" s="33" t="e">
        <f>VLOOKUP(A1,DIV_06Data!$A$1:$DZU$1000000,239,FALSE)</f>
        <v>#N/A</v>
      </c>
    </row>
    <row r="15" spans="1:17" x14ac:dyDescent="0.35">
      <c r="A15" s="22" t="e">
        <f>VLOOKUP(A1,DIV_06Data!$A$1:$DZU$1000000,240,FALSE)</f>
        <v>#N/A</v>
      </c>
      <c r="B15" s="37" t="e">
        <f>VLOOKUP(A1,DIV_06Data!$A$1:$DZU$1000000,241,FALSE)</f>
        <v>#N/A</v>
      </c>
      <c r="C15" s="38" t="e">
        <f>VLOOKUP(A1,DIV_06Data!$A$1:$DZU$1000000,242,FALSE)</f>
        <v>#N/A</v>
      </c>
      <c r="D15" s="31" t="e">
        <f>VLOOKUP(A1,DIV_06Data!$A$1:$DZU$1000000,243,FALSE)</f>
        <v>#N/A</v>
      </c>
      <c r="E15" s="32" t="e">
        <f>VLOOKUP(A1,DIV_06Data!$A$1:$DZU$1000000,244,FALSE)</f>
        <v>#N/A</v>
      </c>
      <c r="F15" s="34" t="e">
        <f>VLOOKUP(A1,DIV_06Data!$A$1:$DZU$1000000,245,FALSE)</f>
        <v>#N/A</v>
      </c>
      <c r="G15" s="33" t="e">
        <f>VLOOKUP(A1,DIV_06Data!$A$1:$DZU$1000000,246,FALSE)</f>
        <v>#N/A</v>
      </c>
      <c r="H15" s="34" t="e">
        <f>VLOOKUP(A1,DIV_06Data!$A$1:$DZU$1000000,247,FALSE)</f>
        <v>#N/A</v>
      </c>
      <c r="I15" s="33" t="e">
        <f>VLOOKUP(A1,DIV_06Data!$A$1:$DZU$1000000,248,FALSE)</f>
        <v>#N/A</v>
      </c>
      <c r="J15" s="34" t="e">
        <f>VLOOKUP(A1,DIV_06Data!$A$1:$DZU$1000000,249,FALSE)</f>
        <v>#N/A</v>
      </c>
      <c r="K15" s="34" t="e">
        <f>VLOOKUP(A1,DIV_06Data!$A$1:$DZU$1000000,250,FALSE)</f>
        <v>#N/A</v>
      </c>
      <c r="L15" s="34" t="e">
        <f>VLOOKUP(A1,DIV_06Data!$A$1:$DZU$1000000,251,FALSE)</f>
        <v>#N/A</v>
      </c>
      <c r="M15" s="33" t="e">
        <f>VLOOKUP(A1,DIV_06Data!$A$1:$DZU$1000000,252,FALSE)</f>
        <v>#N/A</v>
      </c>
      <c r="N15" s="34" t="e">
        <f>VLOOKUP(A1,DIV_06Data!$A$1:$DZU$1000000,253,FALSE)</f>
        <v>#N/A</v>
      </c>
      <c r="O15" s="33" t="e">
        <f>VLOOKUP(A1,DIV_06Data!$A$1:$DZU$1000000,254,FALSE)</f>
        <v>#N/A</v>
      </c>
      <c r="P15" s="31" t="e">
        <f>VLOOKUP(A1,DIV_06Data!$A$1:$DZU$1000000,255,FALSE)</f>
        <v>#N/A</v>
      </c>
      <c r="Q15" s="33" t="e">
        <f>VLOOKUP(A1,DIV_06Data!$A$1:$DZU$1000000,256,FALSE)</f>
        <v>#N/A</v>
      </c>
    </row>
    <row r="16" spans="1:17" x14ac:dyDescent="0.35">
      <c r="A16" s="22" t="e">
        <f>VLOOKUP(A1,DIV_06Data!$A$1:$DZU$1000000,257,FALSE)</f>
        <v>#N/A</v>
      </c>
      <c r="B16" s="37" t="e">
        <f>VLOOKUP(A1,DIV_06Data!$A$1:$DZU$1000000,258,FALSE)</f>
        <v>#N/A</v>
      </c>
      <c r="C16" s="38" t="e">
        <f>VLOOKUP(A1,DIV_06Data!$A$1:$DZU$1000000,259,FALSE)</f>
        <v>#N/A</v>
      </c>
      <c r="D16" s="31" t="e">
        <f>VLOOKUP(A1,DIV_06Data!$A$1:$DZU$1000000,260,FALSE)</f>
        <v>#N/A</v>
      </c>
      <c r="E16" s="32" t="e">
        <f>VLOOKUP(A1,DIV_06Data!$A$1:$DZU$1000000,261,FALSE)</f>
        <v>#N/A</v>
      </c>
      <c r="F16" s="34" t="e">
        <f>VLOOKUP(A1,DIV_06Data!$A$1:$DZU$1000000,262,FALSE)</f>
        <v>#N/A</v>
      </c>
      <c r="G16" s="33" t="e">
        <f>VLOOKUP(A1,DIV_06Data!$A$1:$DZU$1000000,263,FALSE)</f>
        <v>#N/A</v>
      </c>
      <c r="H16" s="34" t="e">
        <f>VLOOKUP(A1,DIV_06Data!$A$1:$DZU$1000000,264,FALSE)</f>
        <v>#N/A</v>
      </c>
      <c r="I16" s="33" t="e">
        <f>VLOOKUP(A1,DIV_06Data!$A$1:$DZU$1000000,265,FALSE)</f>
        <v>#N/A</v>
      </c>
      <c r="J16" s="34" t="e">
        <f>VLOOKUP(A1,DIV_06Data!$A$1:$DZU$1000000,266,FALSE)</f>
        <v>#N/A</v>
      </c>
      <c r="K16" s="34" t="e">
        <f>VLOOKUP(A1,DIV_06Data!$A$1:$DZU$1000000,267,FALSE)</f>
        <v>#N/A</v>
      </c>
      <c r="L16" s="93" t="e">
        <f>VLOOKUP(A1,DIV_06Data!$A$1:$DZU$1000000,268,FALSE)</f>
        <v>#N/A</v>
      </c>
      <c r="M16" s="33" t="e">
        <f>VLOOKUP(A1,DIV_06Data!$A$1:$DZU$1000000,269,FALSE)</f>
        <v>#N/A</v>
      </c>
      <c r="N16" s="34" t="e">
        <f>VLOOKUP(A1,DIV_06Data!$A$1:$DZU$1000000,270,FALSE)</f>
        <v>#N/A</v>
      </c>
      <c r="O16" s="33" t="e">
        <f>VLOOKUP(A1,DIV_06Data!$A$1:$DZU$1000000,271,FALSE)</f>
        <v>#N/A</v>
      </c>
      <c r="P16" s="46" t="e">
        <f>VLOOKUP(A1,DIV_06Data!$A$1:$DZU$1000000,272,FALSE)</f>
        <v>#N/A</v>
      </c>
      <c r="Q16" s="33" t="e">
        <f>VLOOKUP(A1,DIV_06Data!$A$1:$DZU$1000000,273,FALSE)</f>
        <v>#N/A</v>
      </c>
    </row>
    <row r="17" spans="1:17" x14ac:dyDescent="0.35">
      <c r="A17" s="22" t="e">
        <f>VLOOKUP(A1,DIV_06Data!$A$1:$DZU$1000000,274,FALSE)</f>
        <v>#N/A</v>
      </c>
      <c r="B17" s="37" t="e">
        <f>VLOOKUP(A1,DIV_06Data!$A$1:$DZU$1000000,275,FALSE)</f>
        <v>#N/A</v>
      </c>
      <c r="C17" s="38" t="e">
        <f>VLOOKUP(A1,DIV_06Data!$A$1:$DZU$1000000,276,FALSE)</f>
        <v>#N/A</v>
      </c>
      <c r="D17" s="31" t="e">
        <f>VLOOKUP(A1,DIV_06Data!$A$1:$DZU$1000000,277,FALSE)</f>
        <v>#N/A</v>
      </c>
      <c r="E17" s="32" t="e">
        <f>VLOOKUP(A1,DIV_06Data!$A$1:$DZU$1000000,278,FALSE)</f>
        <v>#N/A</v>
      </c>
      <c r="F17" s="34" t="e">
        <f>VLOOKUP(A1,DIV_06Data!$A$1:$DZU$1000000,279,FALSE)</f>
        <v>#N/A</v>
      </c>
      <c r="G17" s="33" t="e">
        <f>VLOOKUP(A1,DIV_06Data!$A$1:$DZU$1000000,280,FALSE)</f>
        <v>#N/A</v>
      </c>
      <c r="H17" s="34" t="e">
        <f>VLOOKUP(A1,DIV_06Data!$A$1:$DZU$1000000,281,FALSE)</f>
        <v>#N/A</v>
      </c>
      <c r="I17" s="33" t="e">
        <f>VLOOKUP(A1,DIV_06Data!$A$1:$DZU$1000000,282,FALSE)</f>
        <v>#N/A</v>
      </c>
      <c r="J17" s="34" t="e">
        <f>VLOOKUP(A1,DIV_06Data!$A$1:$DZU$1000000,283,FALSE)</f>
        <v>#N/A</v>
      </c>
      <c r="K17" s="34" t="e">
        <f>VLOOKUP(A1,DIV_06Data!$A$1:$DZU$1000000,284,FALSE)</f>
        <v>#N/A</v>
      </c>
      <c r="L17" s="93" t="e">
        <f>VLOOKUP(A1,DIV_06Data!$A$1:$DZU$1000000,285,FALSE)</f>
        <v>#N/A</v>
      </c>
      <c r="M17" s="33" t="e">
        <f>VLOOKUP(A1,DIV_06Data!$A$1:$DZU$1000000,286,FALSE)</f>
        <v>#N/A</v>
      </c>
      <c r="N17" s="34" t="e">
        <f>VLOOKUP(A1,DIV_06Data!$A$1:$DZU$1000000,287,FALSE)</f>
        <v>#N/A</v>
      </c>
      <c r="O17" s="33" t="e">
        <f>VLOOKUP(A1,DIV_06Data!$A$1:$DZU$1000000,288,FALSE)</f>
        <v>#N/A</v>
      </c>
      <c r="P17" s="46" t="e">
        <f>VLOOKUP(A1,DIV_06Data!$A$1:$DZU$1000000,289,FALSE)</f>
        <v>#N/A</v>
      </c>
      <c r="Q17" s="33" t="e">
        <f>VLOOKUP(A1,DIV_06Data!$A$1:$DZU$1000000,290,FALSE)</f>
        <v>#N/A</v>
      </c>
    </row>
    <row r="18" spans="1:17" x14ac:dyDescent="0.35">
      <c r="A18" s="22" t="e">
        <f>VLOOKUP(A1,DIV_06Data!$A$1:$DZU$1000000,291,FALSE)</f>
        <v>#N/A</v>
      </c>
      <c r="B18" s="37" t="e">
        <f>VLOOKUP(A1,DIV_06Data!$A$1:$DZU$1000000,292,FALSE)</f>
        <v>#N/A</v>
      </c>
      <c r="C18" s="38" t="e">
        <f>VLOOKUP(A1,DIV_06Data!$A$1:$DZU$1000000,293,FALSE)</f>
        <v>#N/A</v>
      </c>
      <c r="D18" s="31" t="e">
        <f>VLOOKUP(A1,DIV_06Data!$A$1:$DZU$1000000,294,FALSE)</f>
        <v>#N/A</v>
      </c>
      <c r="E18" s="32" t="e">
        <f>VLOOKUP(A1,DIV_06Data!$A$1:$DZU$1000000,295,FALSE)</f>
        <v>#N/A</v>
      </c>
      <c r="F18" s="34" t="e">
        <f>VLOOKUP(A1,DIV_06Data!$A$1:$DZU$1000000,296,FALSE)</f>
        <v>#N/A</v>
      </c>
      <c r="G18" s="33" t="e">
        <f>VLOOKUP(A1,DIV_06Data!$A$1:$DZU$1000000,297,FALSE)</f>
        <v>#N/A</v>
      </c>
      <c r="H18" s="34" t="e">
        <f>VLOOKUP(A1,DIV_06Data!$A$1:$DZU$1000000,298,FALSE)</f>
        <v>#N/A</v>
      </c>
      <c r="I18" s="33" t="e">
        <f>VLOOKUP(A1,DIV_06Data!$A$1:$DZU$1000000,299,FALSE)</f>
        <v>#N/A</v>
      </c>
      <c r="J18" s="34" t="e">
        <f>VLOOKUP(A1,DIV_06Data!$A$1:$DZU$1000000,300,FALSE)</f>
        <v>#N/A</v>
      </c>
      <c r="K18" s="34" t="e">
        <f>VLOOKUP(A1,DIV_06Data!$A$1:$DZU$1000000,301,FALSE)</f>
        <v>#N/A</v>
      </c>
      <c r="L18" s="93" t="e">
        <f>VLOOKUP(A1,DIV_06Data!$A$1:$DZU$1000000,302,FALSE)</f>
        <v>#N/A</v>
      </c>
      <c r="M18" s="33" t="e">
        <f>VLOOKUP(A1,DIV_06Data!$A$1:$DZU$1000000,303,FALSE)</f>
        <v>#N/A</v>
      </c>
      <c r="N18" s="34" t="e">
        <f>VLOOKUP(A1,DIV_06Data!$A$1:$DZU$1000000,304,FALSE)</f>
        <v>#N/A</v>
      </c>
      <c r="O18" s="33" t="e">
        <f>VLOOKUP(A1,DIV_06Data!$A$1:$DZU$1000000,305,FALSE)</f>
        <v>#N/A</v>
      </c>
      <c r="P18" s="46" t="e">
        <f>VLOOKUP(A1,DIV_06Data!$A$1:$DZU$1000000,306,FALSE)</f>
        <v>#N/A</v>
      </c>
      <c r="Q18" s="33" t="e">
        <f>VLOOKUP(A1,DIV_06Data!$A$1:$DZU$1000000,307,FALSE)</f>
        <v>#N/A</v>
      </c>
    </row>
    <row r="19" spans="1:17" x14ac:dyDescent="0.35">
      <c r="A19" s="22" t="e">
        <f>VLOOKUP(A1,DIV_06Data!$A$1:$DZU$1000000,308,FALSE)</f>
        <v>#N/A</v>
      </c>
      <c r="B19" s="37" t="e">
        <f>VLOOKUP(A1,DIV_06Data!$A$1:$DZU$1000000,309,FALSE)</f>
        <v>#N/A</v>
      </c>
      <c r="C19" s="38" t="e">
        <f>VLOOKUP(A1,DIV_06Data!$A$1:$DZU$1000000,310,FALSE)</f>
        <v>#N/A</v>
      </c>
      <c r="D19" s="31" t="e">
        <f>VLOOKUP(A1,DIV_06Data!$A$1:$DZU$1000000,311,FALSE)</f>
        <v>#N/A</v>
      </c>
      <c r="E19" s="32" t="e">
        <f>VLOOKUP(A1,DIV_06Data!$A$1:$DZU$1000000,312,FALSE)</f>
        <v>#N/A</v>
      </c>
      <c r="F19" s="34" t="e">
        <f>VLOOKUP(A1,DIV_06Data!$A$1:$DZU$1000000,313,FALSE)</f>
        <v>#N/A</v>
      </c>
      <c r="G19" s="33" t="e">
        <f>VLOOKUP(A1,DIV_06Data!$A$1:$DZU$1000000,314,FALSE)</f>
        <v>#N/A</v>
      </c>
      <c r="H19" s="34" t="e">
        <f>VLOOKUP(A1,DIV_06Data!$A$1:$DZU$1000000,315,FALSE)</f>
        <v>#N/A</v>
      </c>
      <c r="I19" s="33" t="e">
        <f>VLOOKUP(A1,DIV_06Data!$A$1:$DZU$1000000,316,FALSE)</f>
        <v>#N/A</v>
      </c>
      <c r="J19" s="34" t="e">
        <f>VLOOKUP(A1,DIV_06Data!$A$1:$DZU$1000000,317,FALSE)</f>
        <v>#N/A</v>
      </c>
      <c r="K19" s="34" t="e">
        <f>VLOOKUP(A1,DIV_06Data!$A$1:$DZU$1000000,318,FALSE)</f>
        <v>#N/A</v>
      </c>
      <c r="L19" s="93" t="e">
        <f>VLOOKUP(A1,DIV_06Data!$A$1:$DZU$1000000,319,FALSE)</f>
        <v>#N/A</v>
      </c>
      <c r="M19" s="33" t="e">
        <f>VLOOKUP(A1,DIV_06Data!$A$1:$DZU$1000000,320,FALSE)</f>
        <v>#N/A</v>
      </c>
      <c r="N19" s="34" t="e">
        <f>VLOOKUP(A1,DIV_06Data!$A$1:$DZU$1000000,321,FALSE)</f>
        <v>#N/A</v>
      </c>
      <c r="O19" s="33" t="e">
        <f>VLOOKUP(A1,DIV_06Data!$A$1:$DZU$1000000,322,FALSE)</f>
        <v>#N/A</v>
      </c>
      <c r="P19" s="46" t="e">
        <f>VLOOKUP(A1,DIV_06Data!$A$1:$DZU$1000000,323,FALSE)</f>
        <v>#N/A</v>
      </c>
      <c r="Q19" s="33" t="e">
        <f>VLOOKUP(A1,DIV_06Data!$A$1:$DZU$1000000,324,FALSE)</f>
        <v>#N/A</v>
      </c>
    </row>
    <row r="20" spans="1:17" x14ac:dyDescent="0.35">
      <c r="A20" s="22" t="e">
        <f>VLOOKUP(A1,DIV_06Data!$A$1:$DZU$1000000,325,FALSE)</f>
        <v>#N/A</v>
      </c>
      <c r="B20" s="37" t="e">
        <f>VLOOKUP(A1,DIV_06Data!$A$1:$DZU$1000000,326,FALSE)</f>
        <v>#N/A</v>
      </c>
      <c r="C20" s="38" t="e">
        <f>VLOOKUP(A1,DIV_06Data!$A$1:$DZU$1000000,327,FALSE)</f>
        <v>#N/A</v>
      </c>
      <c r="D20" s="31" t="e">
        <f>VLOOKUP(A1,DIV_06Data!$A$1:$DZU$1000000,328,FALSE)</f>
        <v>#N/A</v>
      </c>
      <c r="E20" s="32" t="e">
        <f>VLOOKUP(A1,DIV_06Data!$A$1:$DZU$1000000,329,FALSE)</f>
        <v>#N/A</v>
      </c>
      <c r="F20" s="34" t="e">
        <f>VLOOKUP(A1,DIV_06Data!$A$1:$DZU$1000000,330,FALSE)</f>
        <v>#N/A</v>
      </c>
      <c r="G20" s="33" t="e">
        <f>VLOOKUP(A1,DIV_06Data!$A$1:$DZU$1000000,331,FALSE)</f>
        <v>#N/A</v>
      </c>
      <c r="H20" s="34" t="e">
        <f>VLOOKUP(A1,DIV_06Data!$A$1:$DZU$1000000,332,FALSE)</f>
        <v>#N/A</v>
      </c>
      <c r="I20" s="33" t="e">
        <f>VLOOKUP(A1,DIV_06Data!$A$1:$DZU$1000000,333,FALSE)</f>
        <v>#N/A</v>
      </c>
      <c r="J20" s="34" t="e">
        <f>VLOOKUP(A1,DIV_06Data!$A$1:$DZU$1000000,334,FALSE)</f>
        <v>#N/A</v>
      </c>
      <c r="K20" s="34" t="e">
        <f>VLOOKUP(A1,DIV_06Data!$A$1:$DZU$1000000,335,FALSE)</f>
        <v>#N/A</v>
      </c>
      <c r="L20" s="93" t="e">
        <f>VLOOKUP(A1,DIV_06Data!$A$1:$DZU$1000000,336,FALSE)</f>
        <v>#N/A</v>
      </c>
      <c r="M20" s="33" t="e">
        <f>VLOOKUP(A1,DIV_06Data!$A$1:$DZU$1000000,337,FALSE)</f>
        <v>#N/A</v>
      </c>
      <c r="N20" s="34" t="e">
        <f>VLOOKUP(A1,DIV_06Data!$A$1:$DZU$1000000,338,FALSE)</f>
        <v>#N/A</v>
      </c>
      <c r="O20" s="33" t="e">
        <f>VLOOKUP(A1,DIV_06Data!$A$1:$DZU$1000000,339,FALSE)</f>
        <v>#N/A</v>
      </c>
      <c r="P20" s="46" t="e">
        <f>VLOOKUP(A1,DIV_06Data!$A$1:$DZU$1000000,340,FALSE)</f>
        <v>#N/A</v>
      </c>
      <c r="Q20" s="33" t="e">
        <f>VLOOKUP(A1,DIV_06Data!$A$1:$DZU$1000000,341,FALSE)</f>
        <v>#N/A</v>
      </c>
    </row>
    <row r="21" spans="1:17" x14ac:dyDescent="0.35">
      <c r="A21" s="22" t="e">
        <f>VLOOKUP(A1,DIV_06Data!$A$1:$DZU$1000000,342,FALSE)</f>
        <v>#N/A</v>
      </c>
      <c r="B21" s="37" t="e">
        <f>VLOOKUP(A1,DIV_06Data!$A$1:$DZU$1000000,343,FALSE)</f>
        <v>#N/A</v>
      </c>
      <c r="C21" s="38" t="e">
        <f>VLOOKUP(A1,DIV_06Data!$A$1:$DZU$1000000,344,FALSE)</f>
        <v>#N/A</v>
      </c>
      <c r="D21" s="31" t="e">
        <f>VLOOKUP(A1,DIV_06Data!$A$1:$DZU$1000000,345,FALSE)</f>
        <v>#N/A</v>
      </c>
      <c r="E21" s="32" t="e">
        <f>VLOOKUP(A1,DIV_06Data!$A$1:$DZU$1000000,346,FALSE)</f>
        <v>#N/A</v>
      </c>
      <c r="F21" s="34" t="e">
        <f>VLOOKUP(A1,DIV_06Data!$A$1:$DZU$1000000,347,FALSE)</f>
        <v>#N/A</v>
      </c>
      <c r="G21" s="33" t="e">
        <f>VLOOKUP(A1,DIV_06Data!$A$1:$DZU$1000000,348,FALSE)</f>
        <v>#N/A</v>
      </c>
      <c r="H21" s="34" t="e">
        <f>VLOOKUP(A1,DIV_06Data!$A$1:$DZU$1000000,349,FALSE)</f>
        <v>#N/A</v>
      </c>
      <c r="I21" s="33" t="e">
        <f>VLOOKUP(A1,DIV_06Data!$A$1:$DZU$1000000,350,FALSE)</f>
        <v>#N/A</v>
      </c>
      <c r="J21" s="34" t="e">
        <f>VLOOKUP(A1,DIV_06Data!$A$1:$DZU$1000000,351,FALSE)</f>
        <v>#N/A</v>
      </c>
      <c r="K21" s="34" t="e">
        <f>VLOOKUP(A1,DIV_06Data!$A$1:$DZU$1000000,352,FALSE)</f>
        <v>#N/A</v>
      </c>
      <c r="L21" s="93" t="e">
        <f>VLOOKUP(A1,DIV_06Data!$A$1:$DZU$1000000,353,FALSE)</f>
        <v>#N/A</v>
      </c>
      <c r="M21" s="33" t="e">
        <f>VLOOKUP(A1,DIV_06Data!$A$1:$DZU$1000000,354,FALSE)</f>
        <v>#N/A</v>
      </c>
      <c r="N21" s="34" t="e">
        <f>VLOOKUP(A1,DIV_06Data!$A$1:$DZU$1000000,355,FALSE)</f>
        <v>#N/A</v>
      </c>
      <c r="O21" s="33" t="e">
        <f>VLOOKUP(A1,DIV_06Data!$A$1:$DZU$1000000,356,FALSE)</f>
        <v>#N/A</v>
      </c>
      <c r="P21" s="46" t="e">
        <f>VLOOKUP(A1,DIV_06Data!$A$1:$DZU$1000000,357,FALSE)</f>
        <v>#N/A</v>
      </c>
      <c r="Q21" s="33" t="e">
        <f>VLOOKUP(A1,DIV_06Data!$A$1:$DZU$1000000,358,FALSE)</f>
        <v>#N/A</v>
      </c>
    </row>
    <row r="22" spans="1:17" x14ac:dyDescent="0.35">
      <c r="A22" s="22" t="e">
        <f>VLOOKUP(A1,DIV_06Data!$A$1:$DZU$1000000,359,FALSE)</f>
        <v>#N/A</v>
      </c>
      <c r="B22" s="37" t="e">
        <f>VLOOKUP(A1,DIV_06Data!$A$1:$DZU$1000000,360,FALSE)</f>
        <v>#N/A</v>
      </c>
      <c r="C22" s="38" t="e">
        <f>VLOOKUP(A1,DIV_06Data!$A$1:$DZU$1000000,361,FALSE)</f>
        <v>#N/A</v>
      </c>
      <c r="D22" s="31" t="e">
        <f>VLOOKUP(A1,DIV_06Data!$A$1:$DZU$1000000,362,FALSE)</f>
        <v>#N/A</v>
      </c>
      <c r="E22" s="32" t="e">
        <f>VLOOKUP(A1,DIV_06Data!$A$1:$DZU$1000000,363,FALSE)</f>
        <v>#N/A</v>
      </c>
      <c r="F22" s="34" t="e">
        <f>VLOOKUP(A1,DIV_06Data!$A$1:$DZU$1000000,364,FALSE)</f>
        <v>#N/A</v>
      </c>
      <c r="G22" s="33" t="e">
        <f>VLOOKUP(A1,DIV_06Data!$A$1:$DZU$1000000,365,FALSE)</f>
        <v>#N/A</v>
      </c>
      <c r="H22" s="34" t="e">
        <f>VLOOKUP(A1,DIV_06Data!$A$1:$DZU$1000000,366,FALSE)</f>
        <v>#N/A</v>
      </c>
      <c r="I22" s="33" t="e">
        <f>VLOOKUP(A1,DIV_06Data!$A$1:$DZU$1000000,367,FALSE)</f>
        <v>#N/A</v>
      </c>
      <c r="J22" s="34" t="e">
        <f>VLOOKUP(A1,DIV_06Data!$A$1:$DZU$1000000,368,FALSE)</f>
        <v>#N/A</v>
      </c>
      <c r="K22" s="34" t="e">
        <f>VLOOKUP(A1,DIV_06Data!$A$1:$DZU$1000000,369,FALSE)</f>
        <v>#N/A</v>
      </c>
      <c r="L22" s="93" t="e">
        <f>VLOOKUP(A1,DIV_06Data!$A$1:$DZU$1000000,370,FALSE)</f>
        <v>#N/A</v>
      </c>
      <c r="M22" s="33" t="e">
        <f>VLOOKUP(A1,DIV_06Data!$A$1:$DZU$1000000,371,FALSE)</f>
        <v>#N/A</v>
      </c>
      <c r="N22" s="34" t="e">
        <f>VLOOKUP(A1,DIV_06Data!$A$1:$DZU$1000000,372,FALSE)</f>
        <v>#N/A</v>
      </c>
      <c r="O22" s="33" t="e">
        <f>VLOOKUP(A1,DIV_06Data!$A$1:$DZU$1000000,373,FALSE)</f>
        <v>#N/A</v>
      </c>
      <c r="P22" s="46" t="e">
        <f>VLOOKUP(A1,DIV_06Data!$A$1:$DZU$1000000,374,FALSE)</f>
        <v>#N/A</v>
      </c>
      <c r="Q22" s="33" t="e">
        <f>VLOOKUP(A1,DIV_06Data!$A$1:$DZU$1000000,375,FALSE)</f>
        <v>#N/A</v>
      </c>
    </row>
    <row r="23" spans="1:17" x14ac:dyDescent="0.35">
      <c r="A23" s="22" t="e">
        <f>VLOOKUP(A1,DIV_06Data!$A$1:$DZU$1000000,376,FALSE)</f>
        <v>#N/A</v>
      </c>
      <c r="B23" s="37" t="e">
        <f>VLOOKUP(A1,DIV_06Data!$A$1:$DZU$1000000,377,FALSE)</f>
        <v>#N/A</v>
      </c>
      <c r="C23" s="38" t="e">
        <f>VLOOKUP(A1,DIV_06Data!$A$1:$DZU$1000000,378,FALSE)</f>
        <v>#N/A</v>
      </c>
      <c r="D23" s="31" t="e">
        <f>VLOOKUP(A1,DIV_06Data!$A$1:$DZU$1000000,379,FALSE)</f>
        <v>#N/A</v>
      </c>
      <c r="E23" s="32" t="e">
        <f>VLOOKUP(A1,DIV_06Data!$A$1:$DZU$1000000,380,FALSE)</f>
        <v>#N/A</v>
      </c>
      <c r="F23" s="34" t="e">
        <f>VLOOKUP(A1,DIV_06Data!$A$1:$DZU$1000000,381,FALSE)</f>
        <v>#N/A</v>
      </c>
      <c r="G23" s="33" t="e">
        <f>VLOOKUP(A1,DIV_06Data!$A$1:$DZU$1000000,382,FALSE)</f>
        <v>#N/A</v>
      </c>
      <c r="H23" s="34" t="e">
        <f>VLOOKUP(A1,DIV_06Data!$A$1:$DZU$1000000,383,FALSE)</f>
        <v>#N/A</v>
      </c>
      <c r="I23" s="33" t="e">
        <f>VLOOKUP(A1,DIV_06Data!$A$1:$DZU$1000000,384,FALSE)</f>
        <v>#N/A</v>
      </c>
      <c r="J23" s="34" t="e">
        <f>VLOOKUP(A1,DIV_06Data!$A$1:$DZU$1000000,385,FALSE)</f>
        <v>#N/A</v>
      </c>
      <c r="K23" s="34" t="e">
        <f>VLOOKUP(A1,DIV_06Data!$A$1:$DZU$1000000,386,FALSE)</f>
        <v>#N/A</v>
      </c>
      <c r="L23" s="93" t="e">
        <f>VLOOKUP(A1,DIV_06Data!$A$1:$DZU$1000000,387,FALSE)</f>
        <v>#N/A</v>
      </c>
      <c r="M23" s="33" t="e">
        <f>VLOOKUP(A1,DIV_06Data!$A$1:$DZU$1000000,388,FALSE)</f>
        <v>#N/A</v>
      </c>
      <c r="N23" s="34" t="e">
        <f>VLOOKUP(A1,DIV_06Data!$A$1:$DZU$1000000,389,FALSE)</f>
        <v>#N/A</v>
      </c>
      <c r="O23" s="33" t="e">
        <f>VLOOKUP(A1,DIV_06Data!$A$1:$DZU$1000000,390,FALSE)</f>
        <v>#N/A</v>
      </c>
      <c r="P23" s="46" t="e">
        <f>VLOOKUP(A1,DIV_06Data!$A$1:$DZU$1000000,391,FALSE)</f>
        <v>#N/A</v>
      </c>
      <c r="Q23" s="33" t="e">
        <f>VLOOKUP(A1,DIV_06Data!$A$1:$DZU$1000000,392,FALSE)</f>
        <v>#N/A</v>
      </c>
    </row>
    <row r="24" spans="1:17" x14ac:dyDescent="0.35">
      <c r="A24" s="22" t="e">
        <f>VLOOKUP(A1,DIV_06Data!$A$1:$DZU$1000000,393,FALSE)</f>
        <v>#N/A</v>
      </c>
      <c r="B24" s="37" t="e">
        <f>VLOOKUP(A1,DIV_06Data!$A$1:$DZU$1000000,394,FALSE)</f>
        <v>#N/A</v>
      </c>
      <c r="C24" s="38" t="e">
        <f>VLOOKUP(A1,DIV_06Data!$A$1:$DZU$1000000,395,FALSE)</f>
        <v>#N/A</v>
      </c>
      <c r="D24" s="31" t="e">
        <f>VLOOKUP(A1,DIV_06Data!$A$1:$DZU$1000000,396,FALSE)</f>
        <v>#N/A</v>
      </c>
      <c r="E24" s="32" t="e">
        <f>VLOOKUP(A1,DIV_06Data!$A$1:$DZU$1000000,397,FALSE)</f>
        <v>#N/A</v>
      </c>
      <c r="F24" s="34" t="e">
        <f>VLOOKUP(A1,DIV_06Data!$A$1:$DZU$1000000,398,FALSE)</f>
        <v>#N/A</v>
      </c>
      <c r="G24" s="33" t="e">
        <f>VLOOKUP(A1,DIV_06Data!$A$1:$DZU$1000000,399,FALSE)</f>
        <v>#N/A</v>
      </c>
      <c r="H24" s="34" t="e">
        <f>VLOOKUP(A1,DIV_06Data!$A$1:$DZU$1000000,400,FALSE)</f>
        <v>#N/A</v>
      </c>
      <c r="I24" s="33" t="e">
        <f>VLOOKUP(A1,DIV_06Data!$A$1:$DZU$1000000,401,FALSE)</f>
        <v>#N/A</v>
      </c>
      <c r="J24" s="34" t="e">
        <f>VLOOKUP(A1,DIV_06Data!$A$1:$DZU$1000000,402,FALSE)</f>
        <v>#N/A</v>
      </c>
      <c r="K24" s="34" t="e">
        <f>VLOOKUP(A1,DIV_06Data!$A$1:$DZU$1000000,403,FALSE)</f>
        <v>#N/A</v>
      </c>
      <c r="L24" s="93" t="e">
        <f>VLOOKUP(A1,DIV_06Data!$A$1:$DZU$1000000,404,FALSE)</f>
        <v>#N/A</v>
      </c>
      <c r="M24" s="33" t="e">
        <f>VLOOKUP(A1,DIV_06Data!$A$1:$DZU$1000000,405,FALSE)</f>
        <v>#N/A</v>
      </c>
      <c r="N24" s="34" t="e">
        <f>VLOOKUP(A1,DIV_06Data!$A$1:$DZU$1000000,406,FALSE)</f>
        <v>#N/A</v>
      </c>
      <c r="O24" s="33" t="e">
        <f>VLOOKUP(A1,DIV_06Data!$A$1:$DZU$1000000,407,FALSE)</f>
        <v>#N/A</v>
      </c>
      <c r="P24" s="46" t="e">
        <f>VLOOKUP(A1,DIV_06Data!$A$1:$DZU$1000000,408,FALSE)</f>
        <v>#N/A</v>
      </c>
      <c r="Q24" s="33" t="e">
        <f>VLOOKUP(A1,DIV_06Data!$A$1:$DZU$1000000,409,FALSE)</f>
        <v>#N/A</v>
      </c>
    </row>
    <row r="25" spans="1:17" x14ac:dyDescent="0.35">
      <c r="A25" s="22" t="e">
        <f>VLOOKUP(A1,DIV_06Data!$A$1:$DZU$1000000,410,FALSE)</f>
        <v>#N/A</v>
      </c>
      <c r="B25" s="37" t="e">
        <f>VLOOKUP(A1,DIV_06Data!$A$1:$DZU$1000000,411,FALSE)</f>
        <v>#N/A</v>
      </c>
      <c r="C25" s="38" t="e">
        <f>VLOOKUP(A1,DIV_06Data!$A$1:$DZU$1000000,412,FALSE)</f>
        <v>#N/A</v>
      </c>
      <c r="D25" s="31" t="e">
        <f>VLOOKUP(A1,DIV_06Data!$A$1:$DZU$1000000,413,FALSE)</f>
        <v>#N/A</v>
      </c>
      <c r="E25" s="32" t="e">
        <f>VLOOKUP(A1,DIV_06Data!$A$1:$DZU$1000000,414,FALSE)</f>
        <v>#N/A</v>
      </c>
      <c r="F25" s="34" t="e">
        <f>VLOOKUP(A1,DIV_06Data!$A$1:$DZU$1000000,415,FALSE)</f>
        <v>#N/A</v>
      </c>
      <c r="G25" s="33" t="e">
        <f>VLOOKUP(A1,DIV_06Data!$A$1:$DZU$1000000,416,FALSE)</f>
        <v>#N/A</v>
      </c>
      <c r="H25" s="34" t="e">
        <f>VLOOKUP(A1,DIV_06Data!$A$1:$DZU$1000000,417,FALSE)</f>
        <v>#N/A</v>
      </c>
      <c r="I25" s="33" t="e">
        <f>VLOOKUP(A1,DIV_06Data!$A$1:$DZU$1000000,418,FALSE)</f>
        <v>#N/A</v>
      </c>
      <c r="J25" s="34" t="e">
        <f>VLOOKUP(A1,DIV_06Data!$A$1:$DZU$1000000,419,FALSE)</f>
        <v>#N/A</v>
      </c>
      <c r="K25" s="34" t="e">
        <f>VLOOKUP(A1,DIV_06Data!$A$1:$DZU$1000000,420,FALSE)</f>
        <v>#N/A</v>
      </c>
      <c r="L25" s="93" t="e">
        <f>VLOOKUP(A1,DIV_06Data!$A$1:$DZU$1000000,421,FALSE)</f>
        <v>#N/A</v>
      </c>
      <c r="M25" s="33" t="e">
        <f>VLOOKUP(A1,DIV_06Data!$A$1:$DZU$1000000,422,FALSE)</f>
        <v>#N/A</v>
      </c>
      <c r="N25" s="34" t="e">
        <f>VLOOKUP(A1,DIV_06Data!$A$1:$DZU$1000000,423,FALSE)</f>
        <v>#N/A</v>
      </c>
      <c r="O25" s="33" t="e">
        <f>VLOOKUP(A1,DIV_06Data!$A$1:$DZU$1000000,424,FALSE)</f>
        <v>#N/A</v>
      </c>
      <c r="P25" s="46" t="e">
        <f>VLOOKUP(A1,DIV_06Data!$A$1:$DZU$1000000,425,FALSE)</f>
        <v>#N/A</v>
      </c>
      <c r="Q25" s="33" t="e">
        <f>VLOOKUP(A1,DIV_06Data!$A$1:$DZU$1000000,426,FALSE)</f>
        <v>#N/A</v>
      </c>
    </row>
    <row r="26" spans="1:17" x14ac:dyDescent="0.35">
      <c r="A26" s="22" t="e">
        <f>VLOOKUP(A1,DIV_06Data!$A$1:$DZU$1000000,427,FALSE)</f>
        <v>#N/A</v>
      </c>
      <c r="B26" s="37" t="e">
        <f>VLOOKUP(A1,DIV_06Data!$A$1:$DZU$1000000,428,FALSE)</f>
        <v>#N/A</v>
      </c>
      <c r="C26" s="38" t="e">
        <f>VLOOKUP(A1,DIV_06Data!$A$1:$DZU$1000000,429,FALSE)</f>
        <v>#N/A</v>
      </c>
      <c r="D26" s="31" t="e">
        <f>VLOOKUP(A1,DIV_06Data!$A$1:$DZU$1000000,430,FALSE)</f>
        <v>#N/A</v>
      </c>
      <c r="E26" s="32" t="e">
        <f>VLOOKUP(A1,DIV_06Data!$A$1:$DZU$1000000,431,FALSE)</f>
        <v>#N/A</v>
      </c>
      <c r="F26" s="34" t="e">
        <f>VLOOKUP(A1,DIV_06Data!$A$1:$DZU$1000000,432,FALSE)</f>
        <v>#N/A</v>
      </c>
      <c r="G26" s="33" t="e">
        <f>VLOOKUP(A1,DIV_06Data!$A$1:$DZU$1000000,433,FALSE)</f>
        <v>#N/A</v>
      </c>
      <c r="H26" s="34" t="e">
        <f>VLOOKUP(A1,DIV_06Data!$A$1:$DZU$1000000,434,FALSE)</f>
        <v>#N/A</v>
      </c>
      <c r="I26" s="33" t="e">
        <f>VLOOKUP(A1,DIV_06Data!$A$1:$DZU$1000000,435,FALSE)</f>
        <v>#N/A</v>
      </c>
      <c r="J26" s="34" t="e">
        <f>VLOOKUP(A1,DIV_06Data!$A$1:$DZU$1000000,436,FALSE)</f>
        <v>#N/A</v>
      </c>
      <c r="K26" s="34" t="e">
        <f>VLOOKUP(A1,DIV_06Data!$A$1:$DZU$1000000,437,FALSE)</f>
        <v>#N/A</v>
      </c>
      <c r="L26" s="93" t="e">
        <f>VLOOKUP(A1,DIV_06Data!$A$1:$DZU$1000000,438,FALSE)</f>
        <v>#N/A</v>
      </c>
      <c r="M26" s="33" t="e">
        <f>VLOOKUP(A1,DIV_06Data!$A$1:$DZU$1000000,439,FALSE)</f>
        <v>#N/A</v>
      </c>
      <c r="N26" s="34" t="e">
        <f>VLOOKUP(A1,DIV_06Data!$A$1:$DZU$1000000,440,FALSE)</f>
        <v>#N/A</v>
      </c>
      <c r="O26" s="33" t="e">
        <f>VLOOKUP(A1,DIV_06Data!$A$1:$DZU$1000000,441,FALSE)</f>
        <v>#N/A</v>
      </c>
      <c r="P26" s="46" t="e">
        <f>VLOOKUP(A1,DIV_06Data!$A$1:$DZU$1000000,442,FALSE)</f>
        <v>#N/A</v>
      </c>
      <c r="Q26" s="33" t="e">
        <f>VLOOKUP(A1,DIV_06Data!$A$1:$DZU$1000000,443,FALSE)</f>
        <v>#N/A</v>
      </c>
    </row>
    <row r="27" spans="1:17" x14ac:dyDescent="0.35">
      <c r="A27" s="22" t="e">
        <f>VLOOKUP(A1,DIV_06Data!$A$1:$DZU$1000000,444,FALSE)</f>
        <v>#N/A</v>
      </c>
      <c r="B27" s="37" t="e">
        <f>VLOOKUP(A1,DIV_06Data!$A$1:$DZU$1000000,445,FALSE)</f>
        <v>#N/A</v>
      </c>
      <c r="C27" s="38" t="e">
        <f>VLOOKUP(A1,DIV_06Data!$A$1:$DZU$1000000,446,FALSE)</f>
        <v>#N/A</v>
      </c>
      <c r="D27" s="31" t="e">
        <f>VLOOKUP(A1,DIV_06Data!$A$1:$DZU$1000000,447,FALSE)</f>
        <v>#N/A</v>
      </c>
      <c r="E27" s="32" t="e">
        <f>VLOOKUP(A1,DIV_06Data!$A$1:$DZU$1000000,448,FALSE)</f>
        <v>#N/A</v>
      </c>
      <c r="F27" s="34" t="e">
        <f>VLOOKUP(A1,DIV_06Data!$A$1:$DZU$1000000,449,FALSE)</f>
        <v>#N/A</v>
      </c>
      <c r="G27" s="33" t="e">
        <f>VLOOKUP(A1,DIV_06Data!$A$1:$DZU$1000000,450,FALSE)</f>
        <v>#N/A</v>
      </c>
      <c r="H27" s="34" t="e">
        <f>VLOOKUP(A1,DIV_06Data!$A$1:$DZU$1000000,451,FALSE)</f>
        <v>#N/A</v>
      </c>
      <c r="I27" s="33" t="e">
        <f>VLOOKUP(A1,DIV_06Data!$A$1:$DZU$1000000,452,FALSE)</f>
        <v>#N/A</v>
      </c>
      <c r="J27" s="34" t="e">
        <f>VLOOKUP(A1,DIV_06Data!$A$1:$DZU$1000000,453,FALSE)</f>
        <v>#N/A</v>
      </c>
      <c r="K27" s="34" t="e">
        <f>VLOOKUP(A1,DIV_06Data!$A$1:$DZU$1000000,454,FALSE)</f>
        <v>#N/A</v>
      </c>
      <c r="L27" s="93" t="e">
        <f>VLOOKUP(A1,DIV_06Data!$A$1:$DZU$1000000,455,FALSE)</f>
        <v>#N/A</v>
      </c>
      <c r="M27" s="33" t="e">
        <f>VLOOKUP(A1,DIV_06Data!$A$1:$DZU$1000000,456,FALSE)</f>
        <v>#N/A</v>
      </c>
      <c r="N27" s="34" t="e">
        <f>VLOOKUP(A1,DIV_06Data!$A$1:$DZU$1000000,457,FALSE)</f>
        <v>#N/A</v>
      </c>
      <c r="O27" s="33" t="e">
        <f>VLOOKUP(A1,DIV_06Data!$A$1:$DZU$1000000,458,FALSE)</f>
        <v>#N/A</v>
      </c>
      <c r="P27" s="46" t="e">
        <f>VLOOKUP(A1,DIV_06Data!$A$1:$DZU$1000000,459,FALSE)</f>
        <v>#N/A</v>
      </c>
      <c r="Q27" s="33" t="e">
        <f>VLOOKUP(A1,DIV_06Data!$A$1:$DZU$1000000,460,FALSE)</f>
        <v>#N/A</v>
      </c>
    </row>
    <row r="28" spans="1:17" x14ac:dyDescent="0.35">
      <c r="A28" s="22" t="e">
        <f>VLOOKUP(A1,DIV_06Data!$A$1:$DZU$1000000,461,FALSE)</f>
        <v>#N/A</v>
      </c>
      <c r="B28" s="37" t="e">
        <f>VLOOKUP(A1,DIV_06Data!$A$1:$DZU$1000000,462,FALSE)</f>
        <v>#N/A</v>
      </c>
      <c r="C28" s="38" t="e">
        <f>VLOOKUP(A1,DIV_06Data!$A$1:$DZU$1000000,463,FALSE)</f>
        <v>#N/A</v>
      </c>
      <c r="D28" s="31" t="e">
        <f>VLOOKUP(A1,DIV_06Data!$A$1:$DZU$1000000,464,FALSE)</f>
        <v>#N/A</v>
      </c>
      <c r="E28" s="32" t="e">
        <f>VLOOKUP(A1,DIV_06Data!$A$1:$DZU$1000000,465,FALSE)</f>
        <v>#N/A</v>
      </c>
      <c r="F28" s="34" t="e">
        <f>VLOOKUP(A1,DIV_06Data!$A$1:$DZU$1000000,466,FALSE)</f>
        <v>#N/A</v>
      </c>
      <c r="G28" s="33" t="e">
        <f>VLOOKUP(A1,DIV_06Data!$A$1:$DZU$1000000,467,FALSE)</f>
        <v>#N/A</v>
      </c>
      <c r="H28" s="34" t="e">
        <f>VLOOKUP(A1,DIV_06Data!$A$1:$DZU$1000000,468,FALSE)</f>
        <v>#N/A</v>
      </c>
      <c r="I28" s="33" t="e">
        <f>VLOOKUP(A1,DIV_06Data!$A$1:$DZU$1000000,469,FALSE)</f>
        <v>#N/A</v>
      </c>
      <c r="J28" s="34" t="e">
        <f>VLOOKUP(A1,DIV_06Data!$A$1:$DZU$1000000,470,FALSE)</f>
        <v>#N/A</v>
      </c>
      <c r="K28" s="34" t="e">
        <f>VLOOKUP(A1,DIV_06Data!$A$1:$DZU$1000000,471,FALSE)</f>
        <v>#N/A</v>
      </c>
      <c r="L28" s="93" t="e">
        <f>VLOOKUP(A1,DIV_06Data!$A$1:$DZU$1000000,472,FALSE)</f>
        <v>#N/A</v>
      </c>
      <c r="M28" s="33" t="e">
        <f>VLOOKUP(A1,DIV_06Data!$A$1:$DZU$1000000,473,FALSE)</f>
        <v>#N/A</v>
      </c>
      <c r="N28" s="34" t="e">
        <f>VLOOKUP(A1,DIV_06Data!$A$1:$DZU$1000000,474,FALSE)</f>
        <v>#N/A</v>
      </c>
      <c r="O28" s="33" t="e">
        <f>VLOOKUP(A1,DIV_06Data!$A$1:$DZU$1000000,475,FALSE)</f>
        <v>#N/A</v>
      </c>
      <c r="P28" s="46" t="e">
        <f>VLOOKUP(A1,DIV_06Data!$A$1:$DZU$1000000,476,FALSE)</f>
        <v>#N/A</v>
      </c>
      <c r="Q28" s="33" t="e">
        <f>VLOOKUP(A1,DIV_06Data!$A$1:$DZU$1000000,477,FALSE)</f>
        <v>#N/A</v>
      </c>
    </row>
    <row r="29" spans="1:17" x14ac:dyDescent="0.35">
      <c r="A29" s="22" t="e">
        <f>VLOOKUP(A1,DIV_06Data!$A$1:$DZU$1000000,478,FALSE)</f>
        <v>#N/A</v>
      </c>
      <c r="B29" s="37" t="e">
        <f>VLOOKUP(A1,DIV_06Data!$A$1:$DZU$1000000,479,FALSE)</f>
        <v>#N/A</v>
      </c>
      <c r="C29" s="38" t="e">
        <f>VLOOKUP(A1,DIV_06Data!$A$1:$DZU$1000000,480,FALSE)</f>
        <v>#N/A</v>
      </c>
      <c r="D29" s="31" t="e">
        <f>VLOOKUP(A1,DIV_06Data!$A$1:$DZU$1000000,481,FALSE)</f>
        <v>#N/A</v>
      </c>
      <c r="E29" s="32" t="e">
        <f>VLOOKUP(A1,DIV_06Data!$A$1:$DZU$1000000,482,FALSE)</f>
        <v>#N/A</v>
      </c>
      <c r="F29" s="34" t="e">
        <f>VLOOKUP(A1,DIV_06Data!$A$1:$DZU$1000000,483,FALSE)</f>
        <v>#N/A</v>
      </c>
      <c r="G29" s="33" t="e">
        <f>VLOOKUP(A1,DIV_06Data!$A$1:$DZU$1000000,484,FALSE)</f>
        <v>#N/A</v>
      </c>
      <c r="H29" s="34" t="e">
        <f>VLOOKUP(A1,DIV_06Data!$A$1:$DZU$1000000,485,FALSE)</f>
        <v>#N/A</v>
      </c>
      <c r="I29" s="33" t="e">
        <f>VLOOKUP(A1,DIV_06Data!$A$1:$DZU$1000000,486,FALSE)</f>
        <v>#N/A</v>
      </c>
      <c r="J29" s="34" t="e">
        <f>VLOOKUP(A1,DIV_06Data!$A$1:$DZU$1000000,487,FALSE)</f>
        <v>#N/A</v>
      </c>
      <c r="K29" s="34" t="e">
        <f>VLOOKUP(A1,DIV_06Data!$A$1:$DZU$1000000,488,FALSE)</f>
        <v>#N/A</v>
      </c>
      <c r="L29" s="93" t="e">
        <f>VLOOKUP(A1,DIV_06Data!$A$1:$DZU$1000000,489,FALSE)</f>
        <v>#N/A</v>
      </c>
      <c r="M29" s="33" t="e">
        <f>VLOOKUP(A1,DIV_06Data!$A$1:$DZU$1000000,490,FALSE)</f>
        <v>#N/A</v>
      </c>
      <c r="N29" s="34" t="e">
        <f>VLOOKUP(A1,DIV_06Data!$A$1:$DZU$1000000,491,FALSE)</f>
        <v>#N/A</v>
      </c>
      <c r="O29" s="33" t="e">
        <f>VLOOKUP(A1,DIV_06Data!$A$1:$DZU$1000000,492,FALSE)</f>
        <v>#N/A</v>
      </c>
      <c r="P29" s="46" t="e">
        <f>VLOOKUP(A1,DIV_06Data!$A$1:$DZU$1000000,493,FALSE)</f>
        <v>#N/A</v>
      </c>
      <c r="Q29" s="33" t="e">
        <f>VLOOKUP(A1,DIV_06Data!$A$1:$DZU$1000000,494,FALSE)</f>
        <v>#N/A</v>
      </c>
    </row>
    <row r="30" spans="1:17" x14ac:dyDescent="0.35">
      <c r="A30" s="22" t="e">
        <f>VLOOKUP(A1,DIV_06Data!$A$1:$DZU$1000000,495,FALSE)</f>
        <v>#N/A</v>
      </c>
      <c r="B30" s="37" t="e">
        <f>VLOOKUP(A1,DIV_06Data!$A$1:$DZU$1000000,496,FALSE)</f>
        <v>#N/A</v>
      </c>
      <c r="C30" s="38" t="e">
        <f>VLOOKUP(A1,DIV_06Data!$A$1:$DZU$1000000,497,FALSE)</f>
        <v>#N/A</v>
      </c>
      <c r="D30" s="31" t="e">
        <f>VLOOKUP(A1,DIV_06Data!$A$1:$DZU$1000000,498,FALSE)</f>
        <v>#N/A</v>
      </c>
      <c r="E30" s="32" t="e">
        <f>VLOOKUP(A1,DIV_06Data!$A$1:$DZU$1000000,499,FALSE)</f>
        <v>#N/A</v>
      </c>
      <c r="F30" s="34" t="e">
        <f>VLOOKUP(A1,DIV_06Data!$A$1:$DZU$1000000,500,FALSE)</f>
        <v>#N/A</v>
      </c>
      <c r="G30" s="33" t="e">
        <f>VLOOKUP(A1,DIV_06Data!$A$1:$DZU$1000000,501,FALSE)</f>
        <v>#N/A</v>
      </c>
      <c r="H30" s="34" t="e">
        <f>VLOOKUP(A1,DIV_06Data!$A$1:$DZU$1000000,502,FALSE)</f>
        <v>#N/A</v>
      </c>
      <c r="I30" s="33" t="e">
        <f>VLOOKUP(A1,DIV_06Data!$A$1:$DZU$1000000,503,FALSE)</f>
        <v>#N/A</v>
      </c>
      <c r="J30" s="34" t="e">
        <f>VLOOKUP(A1,DIV_06Data!$A$1:$DZU$1000000,504,FALSE)</f>
        <v>#N/A</v>
      </c>
      <c r="K30" s="34" t="e">
        <f>VLOOKUP(A1,DIV_06Data!$A$1:$DZU$1000000,505,FALSE)</f>
        <v>#N/A</v>
      </c>
      <c r="L30" s="93" t="e">
        <f>VLOOKUP(A1,DIV_06Data!$A$1:$DZU$1000000,506,FALSE)</f>
        <v>#N/A</v>
      </c>
      <c r="M30" s="33" t="e">
        <f>VLOOKUP(A1,DIV_06Data!$A$1:$DZU$1000000,507,FALSE)</f>
        <v>#N/A</v>
      </c>
      <c r="N30" s="34" t="e">
        <f>VLOOKUP(A1,DIV_06Data!$A$1:$DZU$1000000,508,FALSE)</f>
        <v>#N/A</v>
      </c>
      <c r="O30" s="33" t="e">
        <f>VLOOKUP(A1,DIV_06Data!$A$1:$DZU$1000000,509,FALSE)</f>
        <v>#N/A</v>
      </c>
      <c r="P30" s="46" t="e">
        <f>VLOOKUP(A1,DIV_06Data!$A$1:$DZU$1000000,510,FALSE)</f>
        <v>#N/A</v>
      </c>
      <c r="Q30" s="33" t="e">
        <f>VLOOKUP(A1,DIV_06Data!$A$1:$DZU$1000000,511,FALSE)</f>
        <v>#N/A</v>
      </c>
    </row>
    <row r="31" spans="1:17" x14ac:dyDescent="0.35">
      <c r="A31" s="22" t="e">
        <f>VLOOKUP(A1,DIV_06Data!$A$1:$DZU$1000000,512,FALSE)</f>
        <v>#N/A</v>
      </c>
      <c r="B31" s="37" t="e">
        <f>VLOOKUP(A1,DIV_06Data!$A$1:$DZU$1000000,513,FALSE)</f>
        <v>#N/A</v>
      </c>
      <c r="C31" s="38" t="e">
        <f>VLOOKUP(A1,DIV_06Data!$A$1:$DZU$1000000,514,FALSE)</f>
        <v>#N/A</v>
      </c>
      <c r="D31" s="31" t="e">
        <f>VLOOKUP(A1,DIV_06Data!$A$1:$DZU$1000000,515,FALSE)</f>
        <v>#N/A</v>
      </c>
      <c r="E31" s="32" t="e">
        <f>VLOOKUP(A1,DIV_06Data!$A$1:$DZU$1000000,516,FALSE)</f>
        <v>#N/A</v>
      </c>
      <c r="F31" s="34" t="e">
        <f>VLOOKUP(A1,DIV_06Data!$A$1:$DZU$1000000,517,FALSE)</f>
        <v>#N/A</v>
      </c>
      <c r="G31" s="33" t="e">
        <f>VLOOKUP(A1,DIV_06Data!$A$1:$DZU$1000000,518,FALSE)</f>
        <v>#N/A</v>
      </c>
      <c r="H31" s="34" t="e">
        <f>VLOOKUP(A1,DIV_06Data!$A$1:$DZU$1000000,519,FALSE)</f>
        <v>#N/A</v>
      </c>
      <c r="I31" s="33" t="e">
        <f>VLOOKUP(A1,DIV_06Data!$A$1:$DZU$1000000,520,FALSE)</f>
        <v>#N/A</v>
      </c>
      <c r="J31" s="34" t="e">
        <f>VLOOKUP(A1,DIV_06Data!$A$1:$DZU$1000000,521,FALSE)</f>
        <v>#N/A</v>
      </c>
      <c r="K31" s="34" t="e">
        <f>VLOOKUP(A1,DIV_06Data!$A$1:$DZU$1000000,522,FALSE)</f>
        <v>#N/A</v>
      </c>
      <c r="L31" s="93" t="e">
        <f>VLOOKUP(A1,DIV_06Data!$A$1:$DZU$1000000,523,FALSE)</f>
        <v>#N/A</v>
      </c>
      <c r="M31" s="33" t="e">
        <f>VLOOKUP(A1,DIV_06Data!$A$1:$DZU$1000000,524,FALSE)</f>
        <v>#N/A</v>
      </c>
      <c r="N31" s="34" t="e">
        <f>VLOOKUP(A1,DIV_06Data!$A$1:$DZU$1000000,525,FALSE)</f>
        <v>#N/A</v>
      </c>
      <c r="O31" s="33" t="e">
        <f>VLOOKUP(A1,DIV_06Data!$A$1:$DZU$1000000,526,FALSE)</f>
        <v>#N/A</v>
      </c>
      <c r="P31" s="46" t="e">
        <f>VLOOKUP(A1,DIV_06Data!$A$1:$DZU$1000000,527,FALSE)</f>
        <v>#N/A</v>
      </c>
      <c r="Q31" s="33" t="e">
        <f>VLOOKUP(A1,DIV_06Data!$A$1:$DZU$1000000,528,FALSE)</f>
        <v>#N/A</v>
      </c>
    </row>
    <row r="32" spans="1:17" x14ac:dyDescent="0.35">
      <c r="A32" s="22" t="e">
        <f>VLOOKUP(A1,DIV_06Data!$A$1:$DZU$1000000,529,FALSE)</f>
        <v>#N/A</v>
      </c>
      <c r="B32" s="37" t="e">
        <f>VLOOKUP(A1,DIV_06Data!$A$1:$DZU$1000000,530,FALSE)</f>
        <v>#N/A</v>
      </c>
      <c r="C32" s="38" t="e">
        <f>VLOOKUP(A1,DIV_06Data!$A$1:$DZU$1000000,531,FALSE)</f>
        <v>#N/A</v>
      </c>
      <c r="D32" s="31" t="e">
        <f>VLOOKUP(A1,DIV_06Data!$A$1:$DZU$1000000,532,FALSE)</f>
        <v>#N/A</v>
      </c>
      <c r="E32" s="32" t="e">
        <f>VLOOKUP(A1,DIV_06Data!$A$1:$DZU$1000000,533,FALSE)</f>
        <v>#N/A</v>
      </c>
      <c r="F32" s="34" t="e">
        <f>VLOOKUP(A1,DIV_06Data!$A$1:$DZU$1000000,534,FALSE)</f>
        <v>#N/A</v>
      </c>
      <c r="G32" s="33" t="e">
        <f>VLOOKUP(A1,DIV_06Data!$A$1:$DZU$1000000,535,FALSE)</f>
        <v>#N/A</v>
      </c>
      <c r="H32" s="34" t="e">
        <f>VLOOKUP(A1,DIV_06Data!$A$1:$DZU$1000000,536,FALSE)</f>
        <v>#N/A</v>
      </c>
      <c r="I32" s="33" t="e">
        <f>VLOOKUP(A1,DIV_06Data!$A$1:$DZU$1000000,537,FALSE)</f>
        <v>#N/A</v>
      </c>
      <c r="J32" s="34" t="e">
        <f>VLOOKUP(A1,DIV_06Data!$A$1:$DZU$1000000,538,FALSE)</f>
        <v>#N/A</v>
      </c>
      <c r="K32" s="34" t="e">
        <f>VLOOKUP(A1,DIV_06Data!$A$1:$DZU$1000000,539,FALSE)</f>
        <v>#N/A</v>
      </c>
      <c r="L32" s="93" t="e">
        <f>VLOOKUP(A1,DIV_06Data!$A$1:$DZU$1000000,540,FALSE)</f>
        <v>#N/A</v>
      </c>
      <c r="M32" s="33" t="e">
        <f>VLOOKUP(A1,DIV_06Data!$A$1:$DZU$1000000,541,FALSE)</f>
        <v>#N/A</v>
      </c>
      <c r="N32" s="34" t="e">
        <f>VLOOKUP(A1,DIV_06Data!$A$1:$DZU$1000000,542,FALSE)</f>
        <v>#N/A</v>
      </c>
      <c r="O32" s="33" t="e">
        <f>VLOOKUP(A1,DIV_06Data!$A$1:$DZU$1000000,543,FALSE)</f>
        <v>#N/A</v>
      </c>
      <c r="P32" s="46" t="e">
        <f>VLOOKUP(A1,DIV_06Data!$A$1:$DZU$1000000,544,FALSE)</f>
        <v>#N/A</v>
      </c>
      <c r="Q32" s="33" t="e">
        <f>VLOOKUP(A1,DIV_06Data!$A$1:$DZU$1000000,545,FALSE)</f>
        <v>#N/A</v>
      </c>
    </row>
    <row r="33" spans="1:17" x14ac:dyDescent="0.35">
      <c r="A33" s="22" t="e">
        <f>VLOOKUP(A1,DIV_06Data!$A$1:$DZU$1000000,546,FALSE)</f>
        <v>#N/A</v>
      </c>
      <c r="B33" s="37" t="e">
        <f>VLOOKUP(A1,DIV_06Data!$A$1:$DZU$1000000,547,FALSE)</f>
        <v>#N/A</v>
      </c>
      <c r="C33" s="38" t="e">
        <f>VLOOKUP(A1,DIV_06Data!$A$1:$DZU$1000000,548,FALSE)</f>
        <v>#N/A</v>
      </c>
      <c r="D33" s="31" t="e">
        <f>VLOOKUP(A1,DIV_06Data!$A$1:$DZU$1000000,549,FALSE)</f>
        <v>#N/A</v>
      </c>
      <c r="E33" s="32" t="e">
        <f>VLOOKUP(A1,DIV_06Data!$A$1:$DZU$1000000,550,FALSE)</f>
        <v>#N/A</v>
      </c>
      <c r="F33" s="34" t="e">
        <f>VLOOKUP(A1,DIV_06Data!$A$1:$DZU$1000000,551,FALSE)</f>
        <v>#N/A</v>
      </c>
      <c r="G33" s="33" t="e">
        <f>VLOOKUP(A1,DIV_06Data!$A$1:$DZU$1000000,552,FALSE)</f>
        <v>#N/A</v>
      </c>
      <c r="H33" s="34" t="e">
        <f>VLOOKUP(A1,DIV_06Data!$A$1:$DZU$1000000,553,FALSE)</f>
        <v>#N/A</v>
      </c>
      <c r="I33" s="33" t="e">
        <f>VLOOKUP(A1,DIV_06Data!$A$1:$DZU$1000000,554,FALSE)</f>
        <v>#N/A</v>
      </c>
      <c r="J33" s="34" t="e">
        <f>VLOOKUP(A1,DIV_06Data!$A$1:$DZU$1000000,555,FALSE)</f>
        <v>#N/A</v>
      </c>
      <c r="K33" s="34" t="e">
        <f>VLOOKUP(A1,DIV_06Data!$A$1:$DZU$1000000,556,FALSE)</f>
        <v>#N/A</v>
      </c>
      <c r="L33" s="93" t="e">
        <f>VLOOKUP(A1,DIV_06Data!$A$1:$DZU$1000000,557,FALSE)</f>
        <v>#N/A</v>
      </c>
      <c r="M33" s="33" t="e">
        <f>VLOOKUP(A1,DIV_06Data!$A$1:$DZU$1000000,558,FALSE)</f>
        <v>#N/A</v>
      </c>
      <c r="N33" s="34" t="e">
        <f>VLOOKUP(A1,DIV_06Data!$A$1:$DZU$1000000,559,FALSE)</f>
        <v>#N/A</v>
      </c>
      <c r="O33" s="33" t="e">
        <f>VLOOKUP(A1,DIV_06Data!$A$1:$DZU$1000000,560,FALSE)</f>
        <v>#N/A</v>
      </c>
      <c r="P33" s="46" t="e">
        <f>VLOOKUP(A1,DIV_06Data!$A$1:$DZU$1000000,561,FALSE)</f>
        <v>#N/A</v>
      </c>
      <c r="Q33" s="33" t="e">
        <f>VLOOKUP(A1,DIV_06Data!$A$1:$DZU$1000000,562,FALSE)</f>
        <v>#N/A</v>
      </c>
    </row>
    <row r="34" spans="1:17" x14ac:dyDescent="0.35">
      <c r="A34" s="22" t="e">
        <f>VLOOKUP(A1,DIV_06Data!$A$1:$DZU$1000000,563,FALSE)</f>
        <v>#N/A</v>
      </c>
      <c r="B34" s="37" t="e">
        <f>VLOOKUP(A1,DIV_06Data!$A$1:$DZU$1000000,564,FALSE)</f>
        <v>#N/A</v>
      </c>
      <c r="C34" s="38" t="e">
        <f>VLOOKUP(A1,DIV_06Data!$A$1:$DZU$1000000,565,FALSE)</f>
        <v>#N/A</v>
      </c>
      <c r="D34" s="31" t="e">
        <f>VLOOKUP(A1,DIV_06Data!$A$1:$DZU$1000000,566,FALSE)</f>
        <v>#N/A</v>
      </c>
      <c r="E34" s="32" t="e">
        <f>VLOOKUP(A1,DIV_06Data!$A$1:$DZU$1000000,567,FALSE)</f>
        <v>#N/A</v>
      </c>
      <c r="F34" s="34" t="e">
        <f>VLOOKUP(A1,DIV_06Data!$A$1:$DZU$1000000,568,FALSE)</f>
        <v>#N/A</v>
      </c>
      <c r="G34" s="33" t="e">
        <f>VLOOKUP(A1,DIV_06Data!$A$1:$DZU$1000000,569,FALSE)</f>
        <v>#N/A</v>
      </c>
      <c r="H34" s="34" t="e">
        <f>VLOOKUP(A1,DIV_06Data!$A$1:$DZU$1000000,570,FALSE)</f>
        <v>#N/A</v>
      </c>
      <c r="I34" s="33" t="e">
        <f>VLOOKUP(A1,DIV_06Data!$A$1:$DZU$1000000,571,FALSE)</f>
        <v>#N/A</v>
      </c>
      <c r="J34" s="34" t="e">
        <f>VLOOKUP(A1,DIV_06Data!$A$1:$DZU$1000000,572,FALSE)</f>
        <v>#N/A</v>
      </c>
      <c r="K34" s="34" t="e">
        <f>VLOOKUP(A1,DIV_06Data!$A$1:$DZU$1000000,573,FALSE)</f>
        <v>#N/A</v>
      </c>
      <c r="L34" s="93" t="e">
        <f>VLOOKUP(A1,DIV_06Data!$A$1:$DZU$1000000,574,FALSE)</f>
        <v>#N/A</v>
      </c>
      <c r="M34" s="33" t="e">
        <f>VLOOKUP(A1,DIV_06Data!$A$1:$DZU$1000000,575,FALSE)</f>
        <v>#N/A</v>
      </c>
      <c r="N34" s="34" t="e">
        <f>VLOOKUP(A1,DIV_06Data!$A$1:$DZU$1000000,576,FALSE)</f>
        <v>#N/A</v>
      </c>
      <c r="O34" s="33" t="e">
        <f>VLOOKUP(A1,DIV_06Data!$A$1:$DZU$1000000,577,FALSE)</f>
        <v>#N/A</v>
      </c>
      <c r="P34" s="46" t="e">
        <f>VLOOKUP(A1,DIV_06Data!$A$1:$DZU$1000000,578,FALSE)</f>
        <v>#N/A</v>
      </c>
      <c r="Q34" s="33" t="e">
        <f>VLOOKUP(A1,DIV_06Data!$A$1:$DZU$1000000,579,FALSE)</f>
        <v>#N/A</v>
      </c>
    </row>
    <row r="35" spans="1:17" x14ac:dyDescent="0.35">
      <c r="A35" s="22" t="e">
        <f>VLOOKUP(A1,DIV_06Data!$A$1:$DZU$1000000,580,FALSE)</f>
        <v>#N/A</v>
      </c>
      <c r="B35" s="37" t="e">
        <f>VLOOKUP(A1,DIV_06Data!$A$1:$DZU$1000000,581,FALSE)</f>
        <v>#N/A</v>
      </c>
      <c r="C35" s="38" t="e">
        <f>VLOOKUP(A1,DIV_06Data!$A$1:$DZU$1000000,582,FALSE)</f>
        <v>#N/A</v>
      </c>
      <c r="D35" s="31" t="e">
        <f>VLOOKUP(A1,DIV_06Data!$A$1:$DZU$1000000,583,FALSE)</f>
        <v>#N/A</v>
      </c>
      <c r="E35" s="32" t="e">
        <f>VLOOKUP(A1,DIV_06Data!$A$1:$DZU$1000000,584,FALSE)</f>
        <v>#N/A</v>
      </c>
      <c r="F35" s="34" t="e">
        <f>VLOOKUP(A1,DIV_06Data!$A$1:$DZU$1000000,585,FALSE)</f>
        <v>#N/A</v>
      </c>
      <c r="G35" s="33" t="e">
        <f>VLOOKUP(A1,DIV_06Data!$A$1:$DZU$1000000,586,FALSE)</f>
        <v>#N/A</v>
      </c>
      <c r="H35" s="34" t="e">
        <f>VLOOKUP(A1,DIV_06Data!$A$1:$DZU$1000000,587,FALSE)</f>
        <v>#N/A</v>
      </c>
      <c r="I35" s="33" t="e">
        <f>VLOOKUP(A1,DIV_06Data!$A$1:$DZU$1000000,588,FALSE)</f>
        <v>#N/A</v>
      </c>
      <c r="J35" s="34" t="e">
        <f>VLOOKUP(A1,DIV_06Data!$A$1:$DZU$1000000,589,FALSE)</f>
        <v>#N/A</v>
      </c>
      <c r="K35" s="34" t="e">
        <f>VLOOKUP(A1,DIV_06Data!$A$1:$DZU$1000000,590,FALSE)</f>
        <v>#N/A</v>
      </c>
      <c r="L35" s="93" t="e">
        <f>VLOOKUP(A1,DIV_06Data!$A$1:$DZU$1000000,591,FALSE)</f>
        <v>#N/A</v>
      </c>
      <c r="M35" s="33" t="e">
        <f>VLOOKUP(A1,DIV_06Data!$A$1:$DZU$1000000,592,FALSE)</f>
        <v>#N/A</v>
      </c>
      <c r="N35" s="34" t="e">
        <f>VLOOKUP(A1,DIV_06Data!$A$1:$DZU$1000000,593,FALSE)</f>
        <v>#N/A</v>
      </c>
      <c r="O35" s="33" t="e">
        <f>VLOOKUP(A1,DIV_06Data!$A$1:$DZU$1000000,594,FALSE)</f>
        <v>#N/A</v>
      </c>
      <c r="P35" s="46" t="e">
        <f>VLOOKUP(A1,DIV_06Data!$A$1:$DZU$1000000,595,FALSE)</f>
        <v>#N/A</v>
      </c>
      <c r="Q35" s="33" t="e">
        <f>VLOOKUP(A1,DIV_06Data!$A$1:$DZU$1000000,596,FALSE)</f>
        <v>#N/A</v>
      </c>
    </row>
    <row r="36" spans="1:17" x14ac:dyDescent="0.35">
      <c r="A36" s="22" t="e">
        <f>VLOOKUP(A1,DIV_06Data!$A$1:$DZU$1000000,597,FALSE)</f>
        <v>#N/A</v>
      </c>
      <c r="B36" s="37" t="e">
        <f>VLOOKUP(A1,DIV_06Data!$A$1:$DZU$1000000,598,FALSE)</f>
        <v>#N/A</v>
      </c>
      <c r="C36" s="38" t="e">
        <f>VLOOKUP(A1,DIV_06Data!$A$1:$DZU$1000000,599,FALSE)</f>
        <v>#N/A</v>
      </c>
      <c r="D36" s="31" t="e">
        <f>VLOOKUP(A1,DIV_06Data!$A$1:$DZU$1000000,600,FALSE)</f>
        <v>#N/A</v>
      </c>
      <c r="E36" s="32" t="e">
        <f>VLOOKUP(A1,DIV_06Data!$A$1:$DZU$1000000,601,FALSE)</f>
        <v>#N/A</v>
      </c>
      <c r="F36" s="34" t="e">
        <f>VLOOKUP(A1,DIV_06Data!$A$1:$DZU$1000000,602,FALSE)</f>
        <v>#N/A</v>
      </c>
      <c r="G36" s="33" t="e">
        <f>VLOOKUP(A1,DIV_06Data!$A$1:$DZU$1000000,603,FALSE)</f>
        <v>#N/A</v>
      </c>
      <c r="H36" s="34" t="e">
        <f>VLOOKUP(A1,DIV_06Data!$A$1:$DZU$1000000,604,FALSE)</f>
        <v>#N/A</v>
      </c>
      <c r="I36" s="33" t="e">
        <f>VLOOKUP(A1,DIV_06Data!$A$1:$DZU$1000000,605,FALSE)</f>
        <v>#N/A</v>
      </c>
      <c r="J36" s="34" t="e">
        <f>VLOOKUP(A1,DIV_06Data!$A$1:$DZU$1000000,606,FALSE)</f>
        <v>#N/A</v>
      </c>
      <c r="K36" s="34" t="e">
        <f>VLOOKUP(A1,DIV_06Data!$A$1:$DZU$1000000,607,FALSE)</f>
        <v>#N/A</v>
      </c>
      <c r="L36" s="93" t="e">
        <f>VLOOKUP(A1,DIV_06Data!$A$1:$DZU$1000000,608,FALSE)</f>
        <v>#N/A</v>
      </c>
      <c r="M36" s="33" t="e">
        <f>VLOOKUP(A1,DIV_06Data!$A$1:$DZU$1000000,609,FALSE)</f>
        <v>#N/A</v>
      </c>
      <c r="N36" s="34" t="e">
        <f>VLOOKUP(A1,DIV_06Data!$A$1:$DZU$1000000,610,FALSE)</f>
        <v>#N/A</v>
      </c>
      <c r="O36" s="33" t="e">
        <f>VLOOKUP(A1,DIV_06Data!$A$1:$DZU$1000000,611,FALSE)</f>
        <v>#N/A</v>
      </c>
      <c r="P36" s="46" t="e">
        <f>VLOOKUP(A1,DIV_06Data!$A$1:$DZU$1000000,612,FALSE)</f>
        <v>#N/A</v>
      </c>
      <c r="Q36" s="33" t="e">
        <f>VLOOKUP(A1,DIV_06Data!$A$1:$DZU$1000000,613,FALSE)</f>
        <v>#N/A</v>
      </c>
    </row>
    <row r="37" spans="1:17" x14ac:dyDescent="0.35">
      <c r="A37" s="22" t="e">
        <f>VLOOKUP(A1,DIV_06Data!$A$1:$DZU$1000000,614,FALSE)</f>
        <v>#N/A</v>
      </c>
      <c r="B37" s="37" t="e">
        <f>VLOOKUP(A1,DIV_06Data!$A$1:$DZU$1000000,615,FALSE)</f>
        <v>#N/A</v>
      </c>
      <c r="C37" s="38" t="e">
        <f>VLOOKUP(A1,DIV_06Data!$A$1:$DZU$1000000,616,FALSE)</f>
        <v>#N/A</v>
      </c>
      <c r="D37" s="31" t="e">
        <f>VLOOKUP(A1,DIV_06Data!$A$1:$DZU$1000000,617,FALSE)</f>
        <v>#N/A</v>
      </c>
      <c r="E37" s="32" t="e">
        <f>VLOOKUP(A1,DIV_06Data!$A$1:$DZU$1000000,618,FALSE)</f>
        <v>#N/A</v>
      </c>
      <c r="F37" s="34" t="e">
        <f>VLOOKUP(A1,DIV_06Data!$A$1:$DZU$1000000,619,FALSE)</f>
        <v>#N/A</v>
      </c>
      <c r="G37" s="33" t="e">
        <f>VLOOKUP(A1,DIV_06Data!$A$1:$DZU$1000000,620,FALSE)</f>
        <v>#N/A</v>
      </c>
      <c r="H37" s="34" t="e">
        <f>VLOOKUP(A1,DIV_06Data!$A$1:$DZU$1000000,621,FALSE)</f>
        <v>#N/A</v>
      </c>
      <c r="I37" s="33" t="e">
        <f>VLOOKUP(A1,DIV_06Data!$A$1:$DZU$1000000,622,FALSE)</f>
        <v>#N/A</v>
      </c>
      <c r="J37" s="34" t="e">
        <f>VLOOKUP(A1,DIV_06Data!$A$1:$DZU$1000000,623,FALSE)</f>
        <v>#N/A</v>
      </c>
      <c r="K37" s="34" t="e">
        <f>VLOOKUP(A1,DIV_06Data!$A$1:$DZU$1000000,624,FALSE)</f>
        <v>#N/A</v>
      </c>
      <c r="L37" s="93" t="e">
        <f>VLOOKUP(A1,DIV_06Data!$A$1:$DZU$1000000,625,FALSE)</f>
        <v>#N/A</v>
      </c>
      <c r="M37" s="33" t="e">
        <f>VLOOKUP(A1,DIV_06Data!$A$1:$DZU$1000000,626,FALSE)</f>
        <v>#N/A</v>
      </c>
      <c r="N37" s="34" t="e">
        <f>VLOOKUP(A1,DIV_06Data!$A$1:$DZU$1000000,627,FALSE)</f>
        <v>#N/A</v>
      </c>
      <c r="O37" s="33" t="e">
        <f>VLOOKUP(A1,DIV_06Data!$A$1:$DZU$1000000,628,FALSE)</f>
        <v>#N/A</v>
      </c>
      <c r="P37" s="46" t="e">
        <f>VLOOKUP(A1,DIV_06Data!$A$1:$DZU$1000000,629,FALSE)</f>
        <v>#N/A</v>
      </c>
      <c r="Q37" s="33" t="e">
        <f>VLOOKUP(A1,DIV_06Data!$A$1:$DZU$1000000,630,FALSE)</f>
        <v>#N/A</v>
      </c>
    </row>
    <row r="38" spans="1:17" x14ac:dyDescent="0.35">
      <c r="A38" s="22" t="e">
        <f>VLOOKUP(A1,DIV_06Data!$A$1:$DZU$1000000,631,FALSE)</f>
        <v>#N/A</v>
      </c>
      <c r="B38" s="37" t="e">
        <f>VLOOKUP(A1,DIV_06Data!$A$1:$DZU$1000000,632,FALSE)</f>
        <v>#N/A</v>
      </c>
      <c r="C38" s="38" t="e">
        <f>VLOOKUP(A1,DIV_06Data!$A$1:$DZU$1000000,633,FALSE)</f>
        <v>#N/A</v>
      </c>
      <c r="D38" s="31" t="e">
        <f>VLOOKUP(A1,DIV_06Data!$A$1:$DZU$1000000,634,FALSE)</f>
        <v>#N/A</v>
      </c>
      <c r="E38" s="32" t="e">
        <f>VLOOKUP(A1,DIV_06Data!$A$1:$DZU$1000000,635,FALSE)</f>
        <v>#N/A</v>
      </c>
      <c r="F38" s="34" t="e">
        <f>VLOOKUP(A1,DIV_06Data!$A$1:$DZU$1000000,636,FALSE)</f>
        <v>#N/A</v>
      </c>
      <c r="G38" s="33" t="e">
        <f>VLOOKUP(A1,DIV_06Data!$A$1:$DZU$1000000,637,FALSE)</f>
        <v>#N/A</v>
      </c>
      <c r="H38" s="34" t="e">
        <f>VLOOKUP(A1,DIV_06Data!$A$1:$DZU$1000000,638,FALSE)</f>
        <v>#N/A</v>
      </c>
      <c r="I38" s="33" t="e">
        <f>VLOOKUP(A1,DIV_06Data!$A$1:$DZU$1000000,639,FALSE)</f>
        <v>#N/A</v>
      </c>
      <c r="J38" s="34" t="e">
        <f>VLOOKUP(A1,DIV_06Data!$A$1:$DZU$1000000,640,FALSE)</f>
        <v>#N/A</v>
      </c>
      <c r="K38" s="34" t="e">
        <f>VLOOKUP(A1,DIV_06Data!$A$1:$DZU$1000000,641,FALSE)</f>
        <v>#N/A</v>
      </c>
      <c r="L38" s="93" t="e">
        <f>VLOOKUP(A1,DIV_06Data!$A$1:$DZU$1000000,642,FALSE)</f>
        <v>#N/A</v>
      </c>
      <c r="M38" s="33" t="e">
        <f>VLOOKUP(A1,DIV_06Data!$A$1:$DZU$1000000,643,FALSE)</f>
        <v>#N/A</v>
      </c>
      <c r="N38" s="34" t="e">
        <f>VLOOKUP(A1,DIV_06Data!$A$1:$DZU$1000000,644,FALSE)</f>
        <v>#N/A</v>
      </c>
      <c r="O38" s="33" t="e">
        <f>VLOOKUP(A1,DIV_06Data!$A$1:$DZU$1000000,645,FALSE)</f>
        <v>#N/A</v>
      </c>
      <c r="P38" s="46" t="e">
        <f>VLOOKUP(A1,DIV_06Data!$A$1:$DZU$1000000,646,FALSE)</f>
        <v>#N/A</v>
      </c>
      <c r="Q38" s="33" t="e">
        <f>VLOOKUP(A1,DIV_06Data!$A$1:$DZU$1000000,647,FALSE)</f>
        <v>#N/A</v>
      </c>
    </row>
    <row r="39" spans="1:17" x14ac:dyDescent="0.35">
      <c r="A39" s="22" t="e">
        <f>VLOOKUP(A1,DIV_06Data!$A$1:$DZU$1000000,648,FALSE)</f>
        <v>#N/A</v>
      </c>
      <c r="B39" s="37" t="e">
        <f>VLOOKUP(A1,DIV_06Data!$A$1:$DZU$1000000,649,FALSE)</f>
        <v>#N/A</v>
      </c>
      <c r="C39" s="38" t="e">
        <f>VLOOKUP(A1,DIV_06Data!$A$1:$DZU$1000000,650,FALSE)</f>
        <v>#N/A</v>
      </c>
      <c r="D39" s="31" t="e">
        <f>VLOOKUP(A1,DIV_06Data!$A$1:$DZU$1000000,651,FALSE)</f>
        <v>#N/A</v>
      </c>
      <c r="E39" s="32" t="e">
        <f>VLOOKUP(A1,DIV_06Data!$A$1:$DZU$1000000,652,FALSE)</f>
        <v>#N/A</v>
      </c>
      <c r="F39" s="34" t="e">
        <f>VLOOKUP(A1,DIV_06Data!$A$1:$DZU$1000000,653,FALSE)</f>
        <v>#N/A</v>
      </c>
      <c r="G39" s="33" t="e">
        <f>VLOOKUP(A1,DIV_06Data!$A$1:$DZU$1000000,654,FALSE)</f>
        <v>#N/A</v>
      </c>
      <c r="H39" s="34" t="e">
        <f>VLOOKUP(A1,DIV_06Data!$A$1:$DZU$1000000,655,FALSE)</f>
        <v>#N/A</v>
      </c>
      <c r="I39" s="33" t="e">
        <f>VLOOKUP(A1,DIV_06Data!$A$1:$DZU$1000000,656,FALSE)</f>
        <v>#N/A</v>
      </c>
      <c r="J39" s="34" t="e">
        <f>VLOOKUP(A1,DIV_06Data!$A$1:$DZU$1000000,657,FALSE)</f>
        <v>#N/A</v>
      </c>
      <c r="K39" s="34" t="e">
        <f>VLOOKUP(A1,DIV_06Data!$A$1:$DZU$1000000,658,FALSE)</f>
        <v>#N/A</v>
      </c>
      <c r="L39" s="93" t="e">
        <f>VLOOKUP(A1,DIV_06Data!$A$1:$DZU$1000000,659,FALSE)</f>
        <v>#N/A</v>
      </c>
      <c r="M39" s="33" t="e">
        <f>VLOOKUP(A1,DIV_06Data!$A$1:$DZU$1000000,660,FALSE)</f>
        <v>#N/A</v>
      </c>
      <c r="N39" s="34" t="e">
        <f>VLOOKUP(A1,DIV_06Data!$A$1:$DZU$1000000,661,FALSE)</f>
        <v>#N/A</v>
      </c>
      <c r="O39" s="33" t="e">
        <f>VLOOKUP(A1,DIV_06Data!$A$1:$DZU$1000000,662,FALSE)</f>
        <v>#N/A</v>
      </c>
      <c r="P39" s="46" t="e">
        <f>VLOOKUP(A1,DIV_06Data!$A$1:$DZU$1000000,663,FALSE)</f>
        <v>#N/A</v>
      </c>
      <c r="Q39" s="33" t="e">
        <f>VLOOKUP(A1,DIV_06Data!$A$1:$DZU$1000000,664,FALSE)</f>
        <v>#N/A</v>
      </c>
    </row>
    <row r="40" spans="1:17" x14ac:dyDescent="0.35">
      <c r="A40" s="22" t="e">
        <f>VLOOKUP(A1,DIV_06Data!$A$1:$DZU$1000000,665,FALSE)</f>
        <v>#N/A</v>
      </c>
      <c r="B40" s="37" t="e">
        <f>VLOOKUP(A1,DIV_06Data!$A$1:$DZU$1000000,666,FALSE)</f>
        <v>#N/A</v>
      </c>
      <c r="C40" s="38" t="e">
        <f>VLOOKUP(A1,DIV_06Data!$A$1:$DZU$1000000,667,FALSE)</f>
        <v>#N/A</v>
      </c>
      <c r="D40" s="31" t="e">
        <f>VLOOKUP(A1,DIV_06Data!$A$1:$DZU$1000000,668,FALSE)</f>
        <v>#N/A</v>
      </c>
      <c r="E40" s="32" t="e">
        <f>VLOOKUP(A1,DIV_06Data!$A$1:$DZU$1000000,669,FALSE)</f>
        <v>#N/A</v>
      </c>
      <c r="F40" s="34" t="e">
        <f>VLOOKUP(A1,DIV_06Data!$A$1:$DZU$1000000,670,FALSE)</f>
        <v>#N/A</v>
      </c>
      <c r="G40" s="33" t="e">
        <f>VLOOKUP(A1,DIV_06Data!$A$1:$DZU$1000000,671,FALSE)</f>
        <v>#N/A</v>
      </c>
      <c r="H40" s="34" t="e">
        <f>VLOOKUP(A1,DIV_06Data!$A$1:$DZU$1000000,672,FALSE)</f>
        <v>#N/A</v>
      </c>
      <c r="I40" s="33" t="e">
        <f>VLOOKUP(A1,DIV_06Data!$A$1:$DZU$1000000,673,FALSE)</f>
        <v>#N/A</v>
      </c>
      <c r="J40" s="34" t="e">
        <f>VLOOKUP(A1,DIV_06Data!$A$1:$DZU$1000000,674,FALSE)</f>
        <v>#N/A</v>
      </c>
      <c r="K40" s="34" t="e">
        <f>VLOOKUP(A1,DIV_06Data!$A$1:$DZU$1000000,675,FALSE)</f>
        <v>#N/A</v>
      </c>
      <c r="L40" s="93" t="e">
        <f>VLOOKUP(A1,DIV_06Data!$A$1:$DZU$1000000,676,FALSE)</f>
        <v>#N/A</v>
      </c>
      <c r="M40" s="33" t="e">
        <f>VLOOKUP(A1,DIV_06Data!$A$1:$DZU$1000000,677,FALSE)</f>
        <v>#N/A</v>
      </c>
      <c r="N40" s="34" t="e">
        <f>VLOOKUP(A1,DIV_06Data!$A$1:$DZU$1000000,678,FALSE)</f>
        <v>#N/A</v>
      </c>
      <c r="O40" s="33" t="e">
        <f>VLOOKUP(A1,DIV_06Data!$A$1:$DZU$1000000,679,FALSE)</f>
        <v>#N/A</v>
      </c>
      <c r="P40" s="46" t="e">
        <f>VLOOKUP(A1,DIV_06Data!$A$1:$DZU$1000000,680,FALSE)</f>
        <v>#N/A</v>
      </c>
      <c r="Q40" s="33" t="e">
        <f>VLOOKUP(A1,DIV_06Data!$A$1:$DZU$1000000,681,FALSE)</f>
        <v>#N/A</v>
      </c>
    </row>
    <row r="41" spans="1:17" x14ac:dyDescent="0.35">
      <c r="A41" s="22" t="e">
        <f>VLOOKUP(A1,DIV_06Data!$A$1:$DZU$1000000,682,FALSE)</f>
        <v>#N/A</v>
      </c>
      <c r="B41" s="37" t="e">
        <f>VLOOKUP(A1,DIV_06Data!$A$1:$DZU$1000000,683,FALSE)</f>
        <v>#N/A</v>
      </c>
      <c r="C41" s="38" t="e">
        <f>VLOOKUP(A1,DIV_06Data!$A$1:$DZU$1000000,684,FALSE)</f>
        <v>#N/A</v>
      </c>
      <c r="D41" s="31" t="e">
        <f>VLOOKUP(A1,DIV_06Data!$A$1:$DZU$1000000,685,FALSE)</f>
        <v>#N/A</v>
      </c>
      <c r="E41" s="32" t="e">
        <f>VLOOKUP(A1,DIV_06Data!$A$1:$DZU$1000000,686,FALSE)</f>
        <v>#N/A</v>
      </c>
      <c r="F41" s="34" t="e">
        <f>VLOOKUP(A1,DIV_06Data!$A$1:$DZU$1000000,687,FALSE)</f>
        <v>#N/A</v>
      </c>
      <c r="G41" s="33" t="e">
        <f>VLOOKUP(A1,DIV_06Data!$A$1:$DZU$1000000,688,FALSE)</f>
        <v>#N/A</v>
      </c>
      <c r="H41" s="34" t="e">
        <f>VLOOKUP(A1,DIV_06Data!$A$1:$DZU$1000000,689,FALSE)</f>
        <v>#N/A</v>
      </c>
      <c r="I41" s="33" t="e">
        <f>VLOOKUP(A1,DIV_06Data!$A$1:$DZU$1000000,690,FALSE)</f>
        <v>#N/A</v>
      </c>
      <c r="J41" s="34" t="e">
        <f>VLOOKUP(A1,DIV_06Data!$A$1:$DZU$1000000,691,FALSE)</f>
        <v>#N/A</v>
      </c>
      <c r="K41" s="34" t="e">
        <f>VLOOKUP(A1,DIV_06Data!$A$1:$DZU$1000000,692,FALSE)</f>
        <v>#N/A</v>
      </c>
      <c r="L41" s="93" t="e">
        <f>VLOOKUP(A1,DIV_06Data!$A$1:$DZU$1000000,693,FALSE)</f>
        <v>#N/A</v>
      </c>
      <c r="M41" s="33" t="e">
        <f>VLOOKUP(A1,DIV_06Data!$A$1:$DZU$1000000,694,FALSE)</f>
        <v>#N/A</v>
      </c>
      <c r="N41" s="34" t="e">
        <f>VLOOKUP(A1,DIV_06Data!$A$1:$DZU$1000000,695,FALSE)</f>
        <v>#N/A</v>
      </c>
      <c r="O41" s="33" t="e">
        <f>VLOOKUP(A1,DIV_06Data!$A$1:$DZU$1000000,696,FALSE)</f>
        <v>#N/A</v>
      </c>
      <c r="P41" s="46" t="e">
        <f>VLOOKUP(A1,DIV_06Data!$A$1:$DZU$1000000,697,FALSE)</f>
        <v>#N/A</v>
      </c>
      <c r="Q41" s="33" t="e">
        <f>VLOOKUP(A1,DIV_06Data!$A$1:$DZU$1000000,698,FALSE)</f>
        <v>#N/A</v>
      </c>
    </row>
    <row r="42" spans="1:17" x14ac:dyDescent="0.35">
      <c r="A42" s="22" t="e">
        <f>VLOOKUP(A1,DIV_06Data!$A$1:$DZU$1000000,699,FALSE)</f>
        <v>#N/A</v>
      </c>
      <c r="B42" s="37" t="e">
        <f>VLOOKUP(A1,DIV_06Data!$A$1:$DZU$1000000,700,FALSE)</f>
        <v>#N/A</v>
      </c>
      <c r="C42" s="38" t="e">
        <f>VLOOKUP(A1,DIV_06Data!$A$1:$DZU$1000000,701,FALSE)</f>
        <v>#N/A</v>
      </c>
      <c r="D42" s="31" t="e">
        <f>VLOOKUP(A1,DIV_06Data!$A$1:$DZU$1000000,702,FALSE)</f>
        <v>#N/A</v>
      </c>
      <c r="E42" s="32" t="e">
        <f>VLOOKUP(A1,DIV_06Data!$A$1:$DZU$1000000,703,FALSE)</f>
        <v>#N/A</v>
      </c>
      <c r="F42" s="34" t="e">
        <f>VLOOKUP(A1,DIV_06Data!$A$1:$DZU$1000000,704,FALSE)</f>
        <v>#N/A</v>
      </c>
      <c r="G42" s="33" t="e">
        <f>VLOOKUP(A1,DIV_06Data!$A$1:$DZU$1000000,705,FALSE)</f>
        <v>#N/A</v>
      </c>
      <c r="H42" s="34" t="e">
        <f>VLOOKUP(A1,DIV_06Data!$A$1:$DZU$1000000,706,FALSE)</f>
        <v>#N/A</v>
      </c>
      <c r="I42" s="33" t="e">
        <f>VLOOKUP(A1,DIV_06Data!$A$1:$DZU$1000000,707,FALSE)</f>
        <v>#N/A</v>
      </c>
      <c r="J42" s="34" t="e">
        <f>VLOOKUP(A1,DIV_06Data!$A$1:$DZU$1000000,708,FALSE)</f>
        <v>#N/A</v>
      </c>
      <c r="K42" s="34" t="e">
        <f>VLOOKUP(A1,DIV_06Data!$A$1:$DZU$1000000,709,FALSE)</f>
        <v>#N/A</v>
      </c>
      <c r="L42" s="93" t="e">
        <f>VLOOKUP(A1,DIV_06Data!$A$1:$DZU$1000000,710,FALSE)</f>
        <v>#N/A</v>
      </c>
      <c r="M42" s="33" t="e">
        <f>VLOOKUP(A1,DIV_06Data!$A$1:$DZU$1000000,711,FALSE)</f>
        <v>#N/A</v>
      </c>
      <c r="N42" s="34" t="e">
        <f>VLOOKUP(A1,DIV_06Data!$A$1:$DZU$1000000,712,FALSE)</f>
        <v>#N/A</v>
      </c>
      <c r="O42" s="33" t="e">
        <f>VLOOKUP(A1,DIV_06Data!$A$1:$DZU$1000000,713,FALSE)</f>
        <v>#N/A</v>
      </c>
      <c r="P42" s="46" t="e">
        <f>VLOOKUP(A1,DIV_06Data!$A$1:$DZU$1000000,714,FALSE)</f>
        <v>#N/A</v>
      </c>
      <c r="Q42" s="33" t="e">
        <f>VLOOKUP(A1,DIV_06Data!$A$1:$DZU$1000000,715,FALSE)</f>
        <v>#N/A</v>
      </c>
    </row>
    <row r="43" spans="1:17" x14ac:dyDescent="0.35">
      <c r="A43" s="22" t="e">
        <f>VLOOKUP(A1,DIV_06Data!$A$1:$DZU$1000000,716,FALSE)</f>
        <v>#N/A</v>
      </c>
      <c r="B43" s="37" t="e">
        <f>VLOOKUP(A1,DIV_06Data!$A$1:$DZU$1000000,717,FALSE)</f>
        <v>#N/A</v>
      </c>
      <c r="C43" s="38" t="e">
        <f>VLOOKUP(A1,DIV_06Data!$A$1:$DZU$1000000,718,FALSE)</f>
        <v>#N/A</v>
      </c>
      <c r="D43" s="31" t="e">
        <f>VLOOKUP(A1,DIV_06Data!$A$1:$DZU$1000000,719,FALSE)</f>
        <v>#N/A</v>
      </c>
      <c r="E43" s="32" t="e">
        <f>VLOOKUP(A1,DIV_06Data!$A$1:$DZU$1000000,720,FALSE)</f>
        <v>#N/A</v>
      </c>
      <c r="F43" s="34" t="e">
        <f>VLOOKUP(A1,DIV_06Data!$A$1:$DZU$1000000,721,FALSE)</f>
        <v>#N/A</v>
      </c>
      <c r="G43" s="33" t="e">
        <f>VLOOKUP(A1,DIV_06Data!$A$1:$DZU$1000000,722,FALSE)</f>
        <v>#N/A</v>
      </c>
      <c r="H43" s="34" t="e">
        <f>VLOOKUP(A1,DIV_06Data!$A$1:$DZU$1000000,723,FALSE)</f>
        <v>#N/A</v>
      </c>
      <c r="I43" s="33" t="e">
        <f>VLOOKUP(A1,DIV_06Data!$A$1:$DZU$1000000,724,FALSE)</f>
        <v>#N/A</v>
      </c>
      <c r="J43" s="34" t="e">
        <f>VLOOKUP(A1,DIV_06Data!$A$1:$DZU$1000000,725,FALSE)</f>
        <v>#N/A</v>
      </c>
      <c r="K43" s="34" t="e">
        <f>VLOOKUP(A1,DIV_06Data!$A$1:$DZU$1000000,726,FALSE)</f>
        <v>#N/A</v>
      </c>
      <c r="L43" s="93" t="e">
        <f>VLOOKUP(A1,DIV_06Data!$A$1:$DZU$1000000,727,FALSE)</f>
        <v>#N/A</v>
      </c>
      <c r="M43" s="33" t="e">
        <f>VLOOKUP(A1,DIV_06Data!$A$1:$DZU$1000000,728,FALSE)</f>
        <v>#N/A</v>
      </c>
      <c r="N43" s="34" t="e">
        <f>VLOOKUP(A1,DIV_06Data!$A$1:$DZU$1000000,729,FALSE)</f>
        <v>#N/A</v>
      </c>
      <c r="O43" s="33" t="e">
        <f>VLOOKUP(A1,DIV_06Data!$A$1:$DZU$1000000,730,FALSE)</f>
        <v>#N/A</v>
      </c>
      <c r="P43" s="46" t="e">
        <f>VLOOKUP(A1,DIV_06Data!$A$1:$DZU$1000000,731,FALSE)</f>
        <v>#N/A</v>
      </c>
      <c r="Q43" s="33" t="e">
        <f>VLOOKUP(A1,DIV_06Data!$A$1:$DZU$1000000,732,FALSE)</f>
        <v>#N/A</v>
      </c>
    </row>
    <row r="44" spans="1:17" x14ac:dyDescent="0.35">
      <c r="A44" s="22" t="e">
        <f>VLOOKUP(A1,DIV_06Data!$A$1:$DZU$1000000,733,FALSE)</f>
        <v>#N/A</v>
      </c>
      <c r="B44" s="37" t="e">
        <f>VLOOKUP(A1,DIV_06Data!$A$1:$DZU$1000000,734,FALSE)</f>
        <v>#N/A</v>
      </c>
      <c r="C44" s="38" t="e">
        <f>VLOOKUP(A1,DIV_06Data!$A$1:$DZU$1000000,735,FALSE)</f>
        <v>#N/A</v>
      </c>
      <c r="D44" s="31" t="e">
        <f>VLOOKUP(A1,DIV_06Data!$A$1:$DZU$1000000,736,FALSE)</f>
        <v>#N/A</v>
      </c>
      <c r="E44" s="32" t="e">
        <f>VLOOKUP(A1,DIV_06Data!$A$1:$DZU$1000000,737,FALSE)</f>
        <v>#N/A</v>
      </c>
      <c r="F44" s="34" t="e">
        <f>VLOOKUP(A1,DIV_06Data!$A$1:$DZU$1000000,738,FALSE)</f>
        <v>#N/A</v>
      </c>
      <c r="G44" s="33" t="e">
        <f>VLOOKUP(A1,DIV_06Data!$A$1:$DZU$1000000,739,FALSE)</f>
        <v>#N/A</v>
      </c>
      <c r="H44" s="34" t="e">
        <f>VLOOKUP(A1,DIV_06Data!$A$1:$DZU$1000000,740,FALSE)</f>
        <v>#N/A</v>
      </c>
      <c r="I44" s="33" t="e">
        <f>VLOOKUP(A1,DIV_06Data!$A$1:$DZU$1000000,741,FALSE)</f>
        <v>#N/A</v>
      </c>
      <c r="J44" s="34" t="e">
        <f>VLOOKUP(A1,DIV_06Data!$A$1:$DZU$1000000,742,FALSE)</f>
        <v>#N/A</v>
      </c>
      <c r="K44" s="34" t="e">
        <f>VLOOKUP(A1,DIV_06Data!$A$1:$DZU$1000000,743,FALSE)</f>
        <v>#N/A</v>
      </c>
      <c r="L44" s="93" t="e">
        <f>VLOOKUP(A1,DIV_06Data!$A$1:$DZU$1000000,744,FALSE)</f>
        <v>#N/A</v>
      </c>
      <c r="M44" s="33" t="e">
        <f>VLOOKUP(A1,DIV_06Data!$A$1:$DZU$1000000,745,FALSE)</f>
        <v>#N/A</v>
      </c>
      <c r="N44" s="34" t="e">
        <f>VLOOKUP(A1,DIV_06Data!$A$1:$DZU$1000000,746,FALSE)</f>
        <v>#N/A</v>
      </c>
      <c r="O44" s="33" t="e">
        <f>VLOOKUP(A1,DIV_06Data!$A$1:$DZU$1000000,747,FALSE)</f>
        <v>#N/A</v>
      </c>
      <c r="P44" s="46" t="e">
        <f>VLOOKUP(A1,DIV_06Data!$A$1:$DZU$1000000,748,FALSE)</f>
        <v>#N/A</v>
      </c>
      <c r="Q44" s="33" t="e">
        <f>VLOOKUP(A1,DIV_06Data!$A$1:$DZU$1000000,749,FALSE)</f>
        <v>#N/A</v>
      </c>
    </row>
    <row r="45" spans="1:17" x14ac:dyDescent="0.35">
      <c r="A45" s="22" t="e">
        <f>VLOOKUP(A1,DIV_06Data!$A$1:$DZU$1000000,750,FALSE)</f>
        <v>#N/A</v>
      </c>
      <c r="B45" s="37" t="e">
        <f>VLOOKUP(A1,DIV_06Data!$A$1:$DZU$1000000,751,FALSE)</f>
        <v>#N/A</v>
      </c>
      <c r="C45" s="38" t="e">
        <f>VLOOKUP(A1,DIV_06Data!$A$1:$DZU$1000000,752,FALSE)</f>
        <v>#N/A</v>
      </c>
      <c r="D45" s="31" t="e">
        <f>VLOOKUP(A1,DIV_06Data!$A$1:$DZU$1000000,753,FALSE)</f>
        <v>#N/A</v>
      </c>
      <c r="E45" s="32" t="e">
        <f>VLOOKUP(A1,DIV_06Data!$A$1:$DZU$1000000,754,FALSE)</f>
        <v>#N/A</v>
      </c>
      <c r="F45" s="34" t="e">
        <f>VLOOKUP(A1,DIV_06Data!$A$1:$DZU$1000000,755,FALSE)</f>
        <v>#N/A</v>
      </c>
      <c r="G45" s="33" t="e">
        <f>VLOOKUP(A1,DIV_06Data!$A$1:$DZU$1000000,756,FALSE)</f>
        <v>#N/A</v>
      </c>
      <c r="H45" s="34" t="e">
        <f>VLOOKUP(A1,DIV_06Data!$A$1:$DZU$1000000,757,FALSE)</f>
        <v>#N/A</v>
      </c>
      <c r="I45" s="33" t="e">
        <f>VLOOKUP(A1,DIV_06Data!$A$1:$DZU$1000000,758,FALSE)</f>
        <v>#N/A</v>
      </c>
      <c r="J45" s="34" t="e">
        <f>VLOOKUP(A1,DIV_06Data!$A$1:$DZU$1000000,759,FALSE)</f>
        <v>#N/A</v>
      </c>
      <c r="K45" s="34" t="e">
        <f>VLOOKUP(A1,DIV_06Data!$A$1:$DZU$1000000,760,FALSE)</f>
        <v>#N/A</v>
      </c>
      <c r="L45" s="93" t="e">
        <f>VLOOKUP(A1,DIV_06Data!$A$1:$DZU$1000000,761,FALSE)</f>
        <v>#N/A</v>
      </c>
      <c r="M45" s="33" t="e">
        <f>VLOOKUP(A1,DIV_06Data!$A$1:$DZU$1000000,762,FALSE)</f>
        <v>#N/A</v>
      </c>
      <c r="N45" s="34" t="e">
        <f>VLOOKUP(A1,DIV_06Data!$A$1:$DZU$1000000,763,FALSE)</f>
        <v>#N/A</v>
      </c>
      <c r="O45" s="33" t="e">
        <f>VLOOKUP(A1,DIV_06Data!$A$1:$DZU$1000000,764,FALSE)</f>
        <v>#N/A</v>
      </c>
      <c r="P45" s="46" t="e">
        <f>VLOOKUP(A1,DIV_06Data!$A$1:$DZU$1000000,765,FALSE)</f>
        <v>#N/A</v>
      </c>
      <c r="Q45" s="33" t="e">
        <f>VLOOKUP(A1,DIV_06Data!$A$1:$DZU$1000000,766,FALSE)</f>
        <v>#N/A</v>
      </c>
    </row>
    <row r="46" spans="1:17" x14ac:dyDescent="0.35">
      <c r="A46" s="22" t="e">
        <f>VLOOKUP(A1,DIV_06Data!$A$1:$DZU$1000000,767,FALSE)</f>
        <v>#N/A</v>
      </c>
      <c r="B46" s="37" t="e">
        <f>VLOOKUP(A1,DIV_06Data!$A$1:$DZU$1000000,768,FALSE)</f>
        <v>#N/A</v>
      </c>
      <c r="C46" s="38" t="e">
        <f>VLOOKUP(A1,DIV_06Data!$A$1:$DZU$1000000,769,FALSE)</f>
        <v>#N/A</v>
      </c>
      <c r="D46" s="31" t="e">
        <f>VLOOKUP(A1,DIV_06Data!$A$1:$DZU$1000000,770,FALSE)</f>
        <v>#N/A</v>
      </c>
      <c r="E46" s="32" t="e">
        <f>VLOOKUP(A1,DIV_06Data!$A$1:$DZU$1000000,771,FALSE)</f>
        <v>#N/A</v>
      </c>
      <c r="F46" s="34" t="e">
        <f>VLOOKUP(A1,DIV_06Data!$A$1:$DZU$1000000,772,FALSE)</f>
        <v>#N/A</v>
      </c>
      <c r="G46" s="33" t="e">
        <f>VLOOKUP(A1,DIV_06Data!$A$1:$DZU$1000000,773,FALSE)</f>
        <v>#N/A</v>
      </c>
      <c r="H46" s="34" t="e">
        <f>VLOOKUP(A1,DIV_06Data!$A$1:$DZU$1000000,774,FALSE)</f>
        <v>#N/A</v>
      </c>
      <c r="I46" s="33" t="e">
        <f>VLOOKUP(A1,DIV_06Data!$A$1:$DZU$1000000,775,FALSE)</f>
        <v>#N/A</v>
      </c>
      <c r="J46" s="34" t="e">
        <f>VLOOKUP(A1,DIV_06Data!$A$1:$DZU$1000000,776,FALSE)</f>
        <v>#N/A</v>
      </c>
      <c r="K46" s="34" t="e">
        <f>VLOOKUP(A1,DIV_06Data!$A$1:$DZU$1000000,777,FALSE)</f>
        <v>#N/A</v>
      </c>
      <c r="L46" s="93" t="e">
        <f>VLOOKUP(A1,DIV_06Data!$A$1:$DZU$1000000,778,FALSE)</f>
        <v>#N/A</v>
      </c>
      <c r="M46" s="33" t="e">
        <f>VLOOKUP(A1,DIV_06Data!$A$1:$DZU$1000000,779,FALSE)</f>
        <v>#N/A</v>
      </c>
      <c r="N46" s="34" t="e">
        <f>VLOOKUP(A1,DIV_06Data!$A$1:$DZU$1000000,780,FALSE)</f>
        <v>#N/A</v>
      </c>
      <c r="O46" s="33" t="e">
        <f>VLOOKUP(A1,DIV_06Data!$A$1:$DZU$1000000,781,FALSE)</f>
        <v>#N/A</v>
      </c>
      <c r="P46" s="46" t="e">
        <f>VLOOKUP(A1,DIV_06Data!$A$1:$DZU$1000000,782,FALSE)</f>
        <v>#N/A</v>
      </c>
      <c r="Q46" s="33" t="e">
        <f>VLOOKUP(A1,DIV_06Data!$A$1:$DZU$1000000,783,FALSE)</f>
        <v>#N/A</v>
      </c>
    </row>
    <row r="47" spans="1:17" x14ac:dyDescent="0.35">
      <c r="A47" s="22" t="e">
        <f>VLOOKUP(A1,DIV_06Data!$A$1:$DZU$1000000,784,FALSE)</f>
        <v>#N/A</v>
      </c>
      <c r="B47" s="37" t="e">
        <f>VLOOKUP(A1,DIV_06Data!$A$1:$DZU$1000000,785,FALSE)</f>
        <v>#N/A</v>
      </c>
      <c r="C47" s="38" t="e">
        <f>VLOOKUP(A1,DIV_06Data!$A$1:$DZU$1000000,786,FALSE)</f>
        <v>#N/A</v>
      </c>
      <c r="D47" s="31" t="e">
        <f>VLOOKUP(A1,DIV_06Data!$A$1:$DZU$1000000,787,FALSE)</f>
        <v>#N/A</v>
      </c>
      <c r="E47" s="32" t="e">
        <f>VLOOKUP(A1,DIV_06Data!$A$1:$DZU$1000000,788,FALSE)</f>
        <v>#N/A</v>
      </c>
      <c r="F47" s="34" t="e">
        <f>VLOOKUP(A1,DIV_06Data!$A$1:$DZU$1000000,789,FALSE)</f>
        <v>#N/A</v>
      </c>
      <c r="G47" s="33" t="e">
        <f>VLOOKUP(A1,DIV_06Data!$A$1:$DZU$1000000,790,FALSE)</f>
        <v>#N/A</v>
      </c>
      <c r="H47" s="34" t="e">
        <f>VLOOKUP(A1,DIV_06Data!$A$1:$DZU$1000000,791,FALSE)</f>
        <v>#N/A</v>
      </c>
      <c r="I47" s="33" t="e">
        <f>VLOOKUP(A1,DIV_06Data!$A$1:$DZU$1000000,792,FALSE)</f>
        <v>#N/A</v>
      </c>
      <c r="J47" s="34" t="e">
        <f>VLOOKUP(A1,DIV_06Data!$A$1:$DZU$1000000,793,FALSE)</f>
        <v>#N/A</v>
      </c>
      <c r="K47" s="34" t="e">
        <f>VLOOKUP(A1,DIV_06Data!$A$1:$DZU$1000000,794,FALSE)</f>
        <v>#N/A</v>
      </c>
      <c r="L47" s="93" t="e">
        <f>VLOOKUP(A1,DIV_06Data!$A$1:$DZU$1000000,795,FALSE)</f>
        <v>#N/A</v>
      </c>
      <c r="M47" s="33" t="e">
        <f>VLOOKUP(A1,DIV_06Data!$A$1:$DZU$1000000,796,FALSE)</f>
        <v>#N/A</v>
      </c>
      <c r="N47" s="34" t="e">
        <f>VLOOKUP(A1,DIV_06Data!$A$1:$DZU$1000000,797,FALSE)</f>
        <v>#N/A</v>
      </c>
      <c r="O47" s="33" t="e">
        <f>VLOOKUP(A1,DIV_06Data!$A$1:$DZU$1000000,798,FALSE)</f>
        <v>#N/A</v>
      </c>
      <c r="P47" s="46" t="e">
        <f>VLOOKUP(A1,DIV_06Data!$A$1:$DZU$1000000,799,FALSE)</f>
        <v>#N/A</v>
      </c>
      <c r="Q47" s="33" t="e">
        <f>VLOOKUP(A1,DIV_06Data!$A$1:$DZU$1000000,800,FALSE)</f>
        <v>#N/A</v>
      </c>
    </row>
    <row r="48" spans="1:17" x14ac:dyDescent="0.35">
      <c r="A48" s="22" t="e">
        <f>VLOOKUP(A1,DIV_06Data!$A$1:$DZU$1000000,801,FALSE)</f>
        <v>#N/A</v>
      </c>
      <c r="B48" s="37" t="e">
        <f>VLOOKUP(A1,DIV_06Data!$A$1:$DZU$1000000,802,FALSE)</f>
        <v>#N/A</v>
      </c>
      <c r="C48" s="38" t="e">
        <f>VLOOKUP(A1,DIV_06Data!$A$1:$DZU$1000000,803,FALSE)</f>
        <v>#N/A</v>
      </c>
      <c r="D48" s="31" t="e">
        <f>VLOOKUP(A1,DIV_06Data!$A$1:$DZU$1000000,804,FALSE)</f>
        <v>#N/A</v>
      </c>
      <c r="E48" s="32" t="e">
        <f>VLOOKUP(A1,DIV_06Data!$A$1:$DZU$1000000,805,FALSE)</f>
        <v>#N/A</v>
      </c>
      <c r="F48" s="34" t="e">
        <f>VLOOKUP(A1,DIV_06Data!$A$1:$DZU$1000000,806,FALSE)</f>
        <v>#N/A</v>
      </c>
      <c r="G48" s="33" t="e">
        <f>VLOOKUP(A1,DIV_06Data!$A$1:$DZU$1000000,807,FALSE)</f>
        <v>#N/A</v>
      </c>
      <c r="H48" s="34" t="e">
        <f>VLOOKUP(A1,DIV_06Data!$A$1:$DZU$1000000,808,FALSE)</f>
        <v>#N/A</v>
      </c>
      <c r="I48" s="33" t="e">
        <f>VLOOKUP(A1,DIV_06Data!$A$1:$DZU$1000000,809,FALSE)</f>
        <v>#N/A</v>
      </c>
      <c r="J48" s="34" t="e">
        <f>VLOOKUP(A1,DIV_06Data!$A$1:$DZU$1000000,810,FALSE)</f>
        <v>#N/A</v>
      </c>
      <c r="K48" s="34" t="e">
        <f>VLOOKUP(A1,DIV_06Data!$A$1:$DZU$1000000,811,FALSE)</f>
        <v>#N/A</v>
      </c>
      <c r="L48" s="93" t="e">
        <f>VLOOKUP(A1,DIV_06Data!$A$1:$DZU$1000000,812,FALSE)</f>
        <v>#N/A</v>
      </c>
      <c r="M48" s="33" t="e">
        <f>VLOOKUP(A1,DIV_06Data!$A$1:$DZU$1000000,813,FALSE)</f>
        <v>#N/A</v>
      </c>
      <c r="N48" s="34" t="e">
        <f>VLOOKUP(A1,DIV_06Data!$A$1:$DZU$1000000,814,FALSE)</f>
        <v>#N/A</v>
      </c>
      <c r="O48" s="33" t="e">
        <f>VLOOKUP(A1,DIV_06Data!$A$1:$DZU$1000000,815,FALSE)</f>
        <v>#N/A</v>
      </c>
      <c r="P48" s="46" t="e">
        <f>VLOOKUP(A1,DIV_06Data!$A$1:$DZU$1000000,816,FALSE)</f>
        <v>#N/A</v>
      </c>
      <c r="Q48" s="33" t="e">
        <f>VLOOKUP(A1,DIV_06Data!$A$1:$DZU$1000000,817,FALSE)</f>
        <v>#N/A</v>
      </c>
    </row>
    <row r="49" spans="1:17" x14ac:dyDescent="0.35">
      <c r="A49" s="22" t="e">
        <f>VLOOKUP(A1,DIV_06Data!$A$1:$DZU$1000000,818,FALSE)</f>
        <v>#N/A</v>
      </c>
      <c r="B49" s="37" t="e">
        <f>VLOOKUP(A1,DIV_06Data!$A$1:$DZU$1000000,819,FALSE)</f>
        <v>#N/A</v>
      </c>
      <c r="C49" s="38" t="e">
        <f>VLOOKUP(A1,DIV_06Data!$A$1:$DZU$1000000,820,FALSE)</f>
        <v>#N/A</v>
      </c>
      <c r="D49" s="31" t="e">
        <f>VLOOKUP(A1,DIV_06Data!$A$1:$DZU$1000000,821,FALSE)</f>
        <v>#N/A</v>
      </c>
      <c r="E49" s="32" t="e">
        <f>VLOOKUP(A1,DIV_06Data!$A$1:$DZU$1000000,822,FALSE)</f>
        <v>#N/A</v>
      </c>
      <c r="F49" s="34" t="e">
        <f>VLOOKUP(A1,DIV_06Data!$A$1:$DZU$1000000,823,FALSE)</f>
        <v>#N/A</v>
      </c>
      <c r="G49" s="33" t="e">
        <f>VLOOKUP(A1,DIV_06Data!$A$1:$DZU$1000000,824,FALSE)</f>
        <v>#N/A</v>
      </c>
      <c r="H49" s="34" t="e">
        <f>VLOOKUP(A1,DIV_06Data!$A$1:$DZU$1000000,825,FALSE)</f>
        <v>#N/A</v>
      </c>
      <c r="I49" s="33" t="e">
        <f>VLOOKUP(A1,DIV_06Data!$A$1:$DZU$1000000,826,FALSE)</f>
        <v>#N/A</v>
      </c>
      <c r="J49" s="34" t="e">
        <f>VLOOKUP(A1,DIV_06Data!$A$1:$DZU$1000000,827,FALSE)</f>
        <v>#N/A</v>
      </c>
      <c r="K49" s="34" t="e">
        <f>VLOOKUP(A1,DIV_06Data!$A$1:$DZU$1000000,828,FALSE)</f>
        <v>#N/A</v>
      </c>
      <c r="L49" s="93" t="e">
        <f>VLOOKUP(A1,DIV_06Data!$A$1:$DZU$1000000,829,FALSE)</f>
        <v>#N/A</v>
      </c>
      <c r="M49" s="33" t="e">
        <f>VLOOKUP(A1,DIV_06Data!$A$1:$DZU$1000000,830,FALSE)</f>
        <v>#N/A</v>
      </c>
      <c r="N49" s="34" t="e">
        <f>VLOOKUP(A1,DIV_06Data!$A$1:$DZU$1000000,831,FALSE)</f>
        <v>#N/A</v>
      </c>
      <c r="O49" s="33" t="e">
        <f>VLOOKUP(A1,DIV_06Data!$A$1:$DZU$1000000,832,FALSE)</f>
        <v>#N/A</v>
      </c>
      <c r="P49" s="46" t="e">
        <f>VLOOKUP(A1,DIV_06Data!$A$1:$DZU$1000000,833,FALSE)</f>
        <v>#N/A</v>
      </c>
      <c r="Q49" s="33" t="e">
        <f>VLOOKUP(A1,DIV_06Data!$A$1:$DZU$1000000,834,FALSE)</f>
        <v>#N/A</v>
      </c>
    </row>
    <row r="50" spans="1:17" x14ac:dyDescent="0.35">
      <c r="A50" s="22" t="e">
        <f>VLOOKUP(A1,DIV_06Data!$A$1:$DZU$1000000,835,FALSE)</f>
        <v>#N/A</v>
      </c>
      <c r="B50" s="37" t="e">
        <f>VLOOKUP(A1,DIV_06Data!$A$1:$DZU$1000000,836,FALSE)</f>
        <v>#N/A</v>
      </c>
      <c r="C50" s="38" t="e">
        <f>VLOOKUP(A1,DIV_06Data!$A$1:$DZU$1000000,837,FALSE)</f>
        <v>#N/A</v>
      </c>
      <c r="D50" s="31" t="e">
        <f>VLOOKUP(A1,DIV_06Data!$A$1:$DZU$1000000,838,FALSE)</f>
        <v>#N/A</v>
      </c>
      <c r="E50" s="32" t="e">
        <f>VLOOKUP(A1,DIV_06Data!$A$1:$DZU$1000000,839,FALSE)</f>
        <v>#N/A</v>
      </c>
      <c r="F50" s="34" t="e">
        <f>VLOOKUP(A1,DIV_06Data!$A$1:$DZU$1000000,840,FALSE)</f>
        <v>#N/A</v>
      </c>
      <c r="G50" s="33" t="e">
        <f>VLOOKUP(A1,DIV_06Data!$A$1:$DZU$1000000,841,FALSE)</f>
        <v>#N/A</v>
      </c>
      <c r="H50" s="34" t="e">
        <f>VLOOKUP(A1,DIV_06Data!$A$1:$DZU$1000000,842,FALSE)</f>
        <v>#N/A</v>
      </c>
      <c r="I50" s="33" t="e">
        <f>VLOOKUP(A1,DIV_06Data!$A$1:$DZU$1000000,843,FALSE)</f>
        <v>#N/A</v>
      </c>
      <c r="J50" s="34" t="e">
        <f>VLOOKUP(A1,DIV_06Data!$A$1:$DZU$1000000,844,FALSE)</f>
        <v>#N/A</v>
      </c>
      <c r="K50" s="34" t="e">
        <f>VLOOKUP(A1,DIV_06Data!$A$1:$DZU$1000000,845,FALSE)</f>
        <v>#N/A</v>
      </c>
      <c r="L50" s="93" t="e">
        <f>VLOOKUP(A1,DIV_06Data!$A$1:$DZU$1000000,846,FALSE)</f>
        <v>#N/A</v>
      </c>
      <c r="M50" s="33" t="e">
        <f>VLOOKUP(A1,DIV_06Data!$A$1:$DZU$1000000,847,FALSE)</f>
        <v>#N/A</v>
      </c>
      <c r="N50" s="34" t="e">
        <f>VLOOKUP(A1,DIV_06Data!$A$1:$DZU$1000000,848,FALSE)</f>
        <v>#N/A</v>
      </c>
      <c r="O50" s="33" t="e">
        <f>VLOOKUP(A1,DIV_06Data!$A$1:$DZU$1000000,849,FALSE)</f>
        <v>#N/A</v>
      </c>
      <c r="P50" s="46" t="e">
        <f>VLOOKUP(A1,DIV_06Data!$A$1:$DZU$1000000,850,FALSE)</f>
        <v>#N/A</v>
      </c>
      <c r="Q50" s="33" t="e">
        <f>VLOOKUP(A1,DIV_06Data!$A$1:$DZU$1000000,851,FALSE)</f>
        <v>#N/A</v>
      </c>
    </row>
    <row r="51" spans="1:17" x14ac:dyDescent="0.35">
      <c r="A51" s="22" t="e">
        <f>VLOOKUP(A1,DIV_06Data!$A$1:$DZU$1000000,852,FALSE)</f>
        <v>#N/A</v>
      </c>
      <c r="B51" s="37" t="e">
        <f>VLOOKUP(A1,DIV_06Data!$A$1:$DZU$1000000,853,FALSE)</f>
        <v>#N/A</v>
      </c>
      <c r="C51" s="38" t="e">
        <f>VLOOKUP(A1,DIV_06Data!$A$1:$DZU$1000000,854,FALSE)</f>
        <v>#N/A</v>
      </c>
      <c r="D51" s="31" t="e">
        <f>VLOOKUP(A1,DIV_06Data!$A$1:$DZU$1000000,855,FALSE)</f>
        <v>#N/A</v>
      </c>
      <c r="E51" s="32" t="e">
        <f>VLOOKUP(A1,DIV_06Data!$A$1:$DZU$1000000,856,FALSE)</f>
        <v>#N/A</v>
      </c>
      <c r="F51" s="34" t="e">
        <f>VLOOKUP(A1,DIV_06Data!$A$1:$DZU$1000000,857,FALSE)</f>
        <v>#N/A</v>
      </c>
      <c r="G51" s="33" t="e">
        <f>VLOOKUP(A1,DIV_06Data!$A$1:$DZU$1000000,858,FALSE)</f>
        <v>#N/A</v>
      </c>
      <c r="H51" s="34" t="e">
        <f>VLOOKUP(A1,DIV_06Data!$A$1:$DZU$1000000,859,FALSE)</f>
        <v>#N/A</v>
      </c>
      <c r="I51" s="33" t="e">
        <f>VLOOKUP(A1,DIV_06Data!$A$1:$DZU$1000000,860,FALSE)</f>
        <v>#N/A</v>
      </c>
      <c r="J51" s="34" t="e">
        <f>VLOOKUP(A1,DIV_06Data!$A$1:$DZU$1000000,861,FALSE)</f>
        <v>#N/A</v>
      </c>
      <c r="K51" s="34" t="e">
        <f>VLOOKUP(A1,DIV_06Data!$A$1:$DZU$1000000,862,FALSE)</f>
        <v>#N/A</v>
      </c>
      <c r="L51" s="93" t="e">
        <f>VLOOKUP(A1,DIV_06Data!$A$1:$DZU$1000000,863,FALSE)</f>
        <v>#N/A</v>
      </c>
      <c r="M51" s="33" t="e">
        <f>VLOOKUP(A1,DIV_06Data!$A$1:$DZU$1000000,864,FALSE)</f>
        <v>#N/A</v>
      </c>
      <c r="N51" s="34" t="e">
        <f>VLOOKUP(A1,DIV_06Data!$A$1:$DZU$1000000,865,FALSE)</f>
        <v>#N/A</v>
      </c>
      <c r="O51" s="33" t="e">
        <f>VLOOKUP(A1,DIV_06Data!$A$1:$DZU$1000000,866,FALSE)</f>
        <v>#N/A</v>
      </c>
      <c r="P51" s="46" t="e">
        <f>VLOOKUP(A1,DIV_06Data!$A$1:$DZU$1000000,867,FALSE)</f>
        <v>#N/A</v>
      </c>
      <c r="Q51" s="33" t="e">
        <f>VLOOKUP(A1,DIV_06Data!$A$1:$DZU$1000000,868,FALSE)</f>
        <v>#N/A</v>
      </c>
    </row>
    <row r="52" spans="1:17" x14ac:dyDescent="0.35">
      <c r="A52" s="22" t="e">
        <f>VLOOKUP(A1,DIV_06Data!$A$1:$DZU$1000000,869,FALSE)</f>
        <v>#N/A</v>
      </c>
      <c r="B52" s="37" t="e">
        <f>VLOOKUP(A1,DIV_06Data!$A$1:$DZU$1000000,870,FALSE)</f>
        <v>#N/A</v>
      </c>
      <c r="C52" s="38" t="e">
        <f>VLOOKUP(A1,DIV_06Data!$A$1:$DZU$1000000,871,FALSE)</f>
        <v>#N/A</v>
      </c>
      <c r="D52" s="31" t="e">
        <f>VLOOKUP(A1,DIV_06Data!$A$1:$DZU$1000000,872,FALSE)</f>
        <v>#N/A</v>
      </c>
      <c r="E52" s="32" t="e">
        <f>VLOOKUP(A1,DIV_06Data!$A$1:$DZU$1000000,873,FALSE)</f>
        <v>#N/A</v>
      </c>
      <c r="F52" s="34" t="e">
        <f>VLOOKUP(A1,DIV_06Data!$A$1:$DZU$1000000,874,FALSE)</f>
        <v>#N/A</v>
      </c>
      <c r="G52" s="33" t="e">
        <f>VLOOKUP(A1,DIV_06Data!$A$1:$DZU$1000000,875,FALSE)</f>
        <v>#N/A</v>
      </c>
      <c r="H52" s="34" t="e">
        <f>VLOOKUP(A1,DIV_06Data!$A$1:$DZU$1000000,876,FALSE)</f>
        <v>#N/A</v>
      </c>
      <c r="I52" s="33" t="e">
        <f>VLOOKUP(A1,DIV_06Data!$A$1:$DZU$1000000,877,FALSE)</f>
        <v>#N/A</v>
      </c>
      <c r="J52" s="34" t="e">
        <f>VLOOKUP(A1,DIV_06Data!$A$1:$DZU$1000000,878,FALSE)</f>
        <v>#N/A</v>
      </c>
      <c r="K52" s="34" t="e">
        <f>VLOOKUP(A1,DIV_06Data!$A$1:$DZU$1000000,879,FALSE)</f>
        <v>#N/A</v>
      </c>
      <c r="L52" s="93" t="e">
        <f>VLOOKUP(A1,DIV_06Data!$A$1:$DZU$1000000,880,FALSE)</f>
        <v>#N/A</v>
      </c>
      <c r="M52" s="33" t="e">
        <f>VLOOKUP(A1,DIV_06Data!$A$1:$DZU$1000000,881,FALSE)</f>
        <v>#N/A</v>
      </c>
      <c r="N52" s="34" t="e">
        <f>VLOOKUP(A1,DIV_06Data!$A$1:$DZU$1000000,882,FALSE)</f>
        <v>#N/A</v>
      </c>
      <c r="O52" s="33" t="e">
        <f>VLOOKUP(A1,DIV_06Data!$A$1:$DZU$1000000,883,FALSE)</f>
        <v>#N/A</v>
      </c>
      <c r="P52" s="46" t="e">
        <f>VLOOKUP(A1,DIV_06Data!$A$1:$DZU$1000000,884,FALSE)</f>
        <v>#N/A</v>
      </c>
      <c r="Q52" s="33" t="e">
        <f>VLOOKUP(A1,DIV_06Data!$A$1:$DZU$1000000,885,FALSE)</f>
        <v>#N/A</v>
      </c>
    </row>
    <row r="53" spans="1:17" x14ac:dyDescent="0.35">
      <c r="A53" s="22" t="e">
        <f>VLOOKUP(A1,DIV_06Data!$A$1:$DZU$1000000,886,FALSE)</f>
        <v>#N/A</v>
      </c>
      <c r="B53" s="37" t="e">
        <f>VLOOKUP(A1,DIV_06Data!$A$1:$DZU$1000000,887,FALSE)</f>
        <v>#N/A</v>
      </c>
      <c r="C53" s="38" t="e">
        <f>VLOOKUP(A1,DIV_06Data!$A$1:$DZU$1000000,888,FALSE)</f>
        <v>#N/A</v>
      </c>
      <c r="D53" s="31" t="e">
        <f>VLOOKUP(A1,DIV_06Data!$A$1:$DZU$1000000,889,FALSE)</f>
        <v>#N/A</v>
      </c>
      <c r="E53" s="32" t="e">
        <f>VLOOKUP(A1,DIV_06Data!$A$1:$DZU$1000000,890,FALSE)</f>
        <v>#N/A</v>
      </c>
      <c r="F53" s="34" t="e">
        <f>VLOOKUP(A1,DIV_06Data!$A$1:$DZU$1000000,891,FALSE)</f>
        <v>#N/A</v>
      </c>
      <c r="G53" s="33" t="e">
        <f>VLOOKUP(A1,DIV_06Data!$A$1:$DZU$1000000,892,FALSE)</f>
        <v>#N/A</v>
      </c>
      <c r="H53" s="34" t="e">
        <f>VLOOKUP(A1,DIV_06Data!$A$1:$DZU$1000000,893,FALSE)</f>
        <v>#N/A</v>
      </c>
      <c r="I53" s="33" t="e">
        <f>VLOOKUP(A1,DIV_06Data!$A$1:$DZU$1000000,894,FALSE)</f>
        <v>#N/A</v>
      </c>
      <c r="J53" s="34" t="e">
        <f>VLOOKUP(A1,DIV_06Data!$A$1:$DZU$1000000,895,FALSE)</f>
        <v>#N/A</v>
      </c>
      <c r="K53" s="34" t="e">
        <f>VLOOKUP(A1,DIV_06Data!$A$1:$DZU$1000000,896,FALSE)</f>
        <v>#N/A</v>
      </c>
      <c r="L53" s="93" t="e">
        <f>VLOOKUP(A1,DIV_06Data!$A$1:$DZU$1000000,897,FALSE)</f>
        <v>#N/A</v>
      </c>
      <c r="M53" s="33" t="e">
        <f>VLOOKUP(A1,DIV_06Data!$A$1:$DZU$1000000,898,FALSE)</f>
        <v>#N/A</v>
      </c>
      <c r="N53" s="34" t="e">
        <f>VLOOKUP(A1,DIV_06Data!$A$1:$DZU$1000000,899,FALSE)</f>
        <v>#N/A</v>
      </c>
      <c r="O53" s="33" t="e">
        <f>VLOOKUP(A1,DIV_06Data!$A$1:$DZU$1000000,900,FALSE)</f>
        <v>#N/A</v>
      </c>
      <c r="P53" s="46" t="e">
        <f>VLOOKUP(A1,DIV_06Data!$A$1:$DZU$1000000,901,FALSE)</f>
        <v>#N/A</v>
      </c>
      <c r="Q53" s="33" t="e">
        <f>VLOOKUP(A1,DIV_06Data!$A$1:$DZU$1000000,902,FALSE)</f>
        <v>#N/A</v>
      </c>
    </row>
    <row r="54" spans="1:17" x14ac:dyDescent="0.35">
      <c r="A54" s="22" t="e">
        <f>VLOOKUP(A1,DIV_06Data!$A$1:$DZU$1000000,903,FALSE)</f>
        <v>#N/A</v>
      </c>
      <c r="B54" s="37" t="e">
        <f>VLOOKUP(A1,DIV_06Data!$A$1:$DZU$1000000,904,FALSE)</f>
        <v>#N/A</v>
      </c>
      <c r="C54" s="38" t="e">
        <f>VLOOKUP(A1,DIV_06Data!$A$1:$DZU$1000000,905,FALSE)</f>
        <v>#N/A</v>
      </c>
      <c r="D54" s="31" t="e">
        <f>VLOOKUP(A1,DIV_06Data!$A$1:$DZU$1000000,906,FALSE)</f>
        <v>#N/A</v>
      </c>
      <c r="E54" s="32" t="e">
        <f>VLOOKUP(A1,DIV_06Data!$A$1:$DZU$1000000,907,FALSE)</f>
        <v>#N/A</v>
      </c>
      <c r="F54" s="34" t="e">
        <f>VLOOKUP(A1,DIV_06Data!$A$1:$DZU$1000000,908,FALSE)</f>
        <v>#N/A</v>
      </c>
      <c r="G54" s="33" t="e">
        <f>VLOOKUP(A1,DIV_06Data!$A$1:$DZU$1000000,909,FALSE)</f>
        <v>#N/A</v>
      </c>
      <c r="H54" s="34" t="e">
        <f>VLOOKUP(A1,DIV_06Data!$A$1:$DZU$1000000,910,FALSE)</f>
        <v>#N/A</v>
      </c>
      <c r="I54" s="33" t="e">
        <f>VLOOKUP(A1,DIV_06Data!$A$1:$DZU$1000000,911,FALSE)</f>
        <v>#N/A</v>
      </c>
      <c r="J54" s="34" t="e">
        <f>VLOOKUP(A1,DIV_06Data!$A$1:$DZU$1000000,912,FALSE)</f>
        <v>#N/A</v>
      </c>
      <c r="K54" s="34" t="e">
        <f>VLOOKUP(A1,DIV_06Data!$A$1:$DZU$1000000,913,FALSE)</f>
        <v>#N/A</v>
      </c>
      <c r="L54" s="93" t="e">
        <f>VLOOKUP(A1,DIV_06Data!$A$1:$DZU$1000000,914,FALSE)</f>
        <v>#N/A</v>
      </c>
      <c r="M54" s="33" t="e">
        <f>VLOOKUP(A1,DIV_06Data!$A$1:$DZU$1000000,915,FALSE)</f>
        <v>#N/A</v>
      </c>
      <c r="N54" s="34" t="e">
        <f>VLOOKUP(A1,DIV_06Data!$A$1:$DZU$1000000,916,FALSE)</f>
        <v>#N/A</v>
      </c>
      <c r="O54" s="33" t="e">
        <f>VLOOKUP(A1,DIV_06Data!$A$1:$DZU$1000000,917,FALSE)</f>
        <v>#N/A</v>
      </c>
      <c r="P54" s="46" t="e">
        <f>VLOOKUP(A1,DIV_06Data!$A$1:$DZU$1000000,918,FALSE)</f>
        <v>#N/A</v>
      </c>
      <c r="Q54" s="33" t="e">
        <f>VLOOKUP(A1,DIV_06Data!$A$1:$DZU$1000000,919,FALSE)</f>
        <v>#N/A</v>
      </c>
    </row>
    <row r="55" spans="1:17" x14ac:dyDescent="0.35">
      <c r="A55" s="22" t="e">
        <f>VLOOKUP(A1,DIV_06Data!$A$1:$DZU$1000000,920,FALSE)</f>
        <v>#N/A</v>
      </c>
      <c r="B55" s="37" t="e">
        <f>VLOOKUP(A1,DIV_06Data!$A$1:$DZU$1000000,921,FALSE)</f>
        <v>#N/A</v>
      </c>
      <c r="C55" s="38" t="e">
        <f>VLOOKUP(A1,DIV_06Data!$A$1:$DZU$1000000,922,FALSE)</f>
        <v>#N/A</v>
      </c>
      <c r="D55" s="31" t="e">
        <f>VLOOKUP(A1,DIV_06Data!$A$1:$DZU$1000000,923,FALSE)</f>
        <v>#N/A</v>
      </c>
      <c r="E55" s="32" t="e">
        <f>VLOOKUP(A1,DIV_06Data!$A$1:$DZU$1000000,924,FALSE)</f>
        <v>#N/A</v>
      </c>
      <c r="F55" s="34" t="e">
        <f>VLOOKUP(A1,DIV_06Data!$A$1:$DZU$1000000,925,FALSE)</f>
        <v>#N/A</v>
      </c>
      <c r="G55" s="33" t="e">
        <f>VLOOKUP(A1,DIV_06Data!$A$1:$DZU$1000000,926,FALSE)</f>
        <v>#N/A</v>
      </c>
      <c r="H55" s="34" t="e">
        <f>VLOOKUP(A1,DIV_06Data!$A$1:$DZU$1000000,927,FALSE)</f>
        <v>#N/A</v>
      </c>
      <c r="I55" s="33" t="e">
        <f>VLOOKUP(A1,DIV_06Data!$A$1:$DZU$1000000,928,FALSE)</f>
        <v>#N/A</v>
      </c>
      <c r="J55" s="34" t="e">
        <f>VLOOKUP(A1,DIV_06Data!$A$1:$DZU$1000000,929,FALSE)</f>
        <v>#N/A</v>
      </c>
      <c r="K55" s="34" t="e">
        <f>VLOOKUP(A1,DIV_06Data!$A$1:$DZU$1000000,930,FALSE)</f>
        <v>#N/A</v>
      </c>
      <c r="L55" s="93" t="e">
        <f>VLOOKUP(A1,DIV_06Data!$A$1:$DZU$1000000,931,FALSE)</f>
        <v>#N/A</v>
      </c>
      <c r="M55" s="33" t="e">
        <f>VLOOKUP(A1,DIV_06Data!$A$1:$DZU$1000000,932,FALSE)</f>
        <v>#N/A</v>
      </c>
      <c r="N55" s="34" t="e">
        <f>VLOOKUP(A1,DIV_06Data!$A$1:$DZU$1000000,933,FALSE)</f>
        <v>#N/A</v>
      </c>
      <c r="O55" s="33" t="e">
        <f>VLOOKUP(A1,DIV_06Data!$A$1:$DZU$1000000,934,FALSE)</f>
        <v>#N/A</v>
      </c>
      <c r="P55" s="46" t="e">
        <f>VLOOKUP(A1,DIV_06Data!$A$1:$DZU$1000000,935,FALSE)</f>
        <v>#N/A</v>
      </c>
      <c r="Q55" s="33" t="e">
        <f>VLOOKUP(A1,DIV_06Data!$A$1:$DZU$1000000,936,FALSE)</f>
        <v>#N/A</v>
      </c>
    </row>
    <row r="56" spans="1:17" x14ac:dyDescent="0.35">
      <c r="A56" s="22" t="e">
        <f>VLOOKUP(A1,DIV_06Data!$A$1:$DZU$1000000,937,FALSE)</f>
        <v>#N/A</v>
      </c>
      <c r="B56" s="37" t="e">
        <f>VLOOKUP(A1,DIV_06Data!$A$1:$DZU$1000000,938,FALSE)</f>
        <v>#N/A</v>
      </c>
      <c r="C56" s="38" t="e">
        <f>VLOOKUP(A1,DIV_06Data!$A$1:$DZU$1000000,939,FALSE)</f>
        <v>#N/A</v>
      </c>
      <c r="D56" s="31" t="e">
        <f>VLOOKUP(A1,DIV_06Data!$A$1:$DZU$1000000,940,FALSE)</f>
        <v>#N/A</v>
      </c>
      <c r="E56" s="32" t="e">
        <f>VLOOKUP(A1,DIV_06Data!$A$1:$DZU$1000000,941,FALSE)</f>
        <v>#N/A</v>
      </c>
      <c r="F56" s="34" t="e">
        <f>VLOOKUP(A1,DIV_06Data!$A$1:$DZU$1000000,942,FALSE)</f>
        <v>#N/A</v>
      </c>
      <c r="G56" s="33" t="e">
        <f>VLOOKUP(A1,DIV_06Data!$A$1:$DZU$1000000,943,FALSE)</f>
        <v>#N/A</v>
      </c>
      <c r="H56" s="34" t="e">
        <f>VLOOKUP(A1,DIV_06Data!$A$1:$DZU$1000000,944,FALSE)</f>
        <v>#N/A</v>
      </c>
      <c r="I56" s="33" t="e">
        <f>VLOOKUP(A1,DIV_06Data!$A$1:$DZU$1000000,945,FALSE)</f>
        <v>#N/A</v>
      </c>
      <c r="J56" s="34" t="e">
        <f>VLOOKUP(A1,DIV_06Data!$A$1:$DZU$1000000,946,FALSE)</f>
        <v>#N/A</v>
      </c>
      <c r="K56" s="34" t="e">
        <f>VLOOKUP(A1,DIV_06Data!$A$1:$DZU$1000000,947,FALSE)</f>
        <v>#N/A</v>
      </c>
      <c r="L56" s="93" t="e">
        <f>VLOOKUP(A1,DIV_06Data!$A$1:$DZU$1000000,948,FALSE)</f>
        <v>#N/A</v>
      </c>
      <c r="M56" s="33" t="e">
        <f>VLOOKUP(A1,DIV_06Data!$A$1:$DZU$1000000,949,FALSE)</f>
        <v>#N/A</v>
      </c>
      <c r="N56" s="34" t="e">
        <f>VLOOKUP(A1,DIV_06Data!$A$1:$DZU$1000000,950,FALSE)</f>
        <v>#N/A</v>
      </c>
      <c r="O56" s="33" t="e">
        <f>VLOOKUP(A1,DIV_06Data!$A$1:$DZU$1000000,951,FALSE)</f>
        <v>#N/A</v>
      </c>
      <c r="P56" s="46" t="e">
        <f>VLOOKUP(A1,DIV_06Data!$A$1:$DZU$1000000,952,FALSE)</f>
        <v>#N/A</v>
      </c>
      <c r="Q56" s="33" t="e">
        <f>VLOOKUP(A1,DIV_06Data!$A$1:$DZU$1000000,953,FALSE)</f>
        <v>#N/A</v>
      </c>
    </row>
    <row r="57" spans="1:17" x14ac:dyDescent="0.35">
      <c r="A57" s="22" t="e">
        <f>VLOOKUP(A1,DIV_06Data!$A$1:$DZU$1000000,954,FALSE)</f>
        <v>#N/A</v>
      </c>
      <c r="B57" s="37" t="e">
        <f>VLOOKUP(A1,DIV_06Data!$A$1:$DZU$1000000,955,FALSE)</f>
        <v>#N/A</v>
      </c>
      <c r="C57" s="38" t="e">
        <f>VLOOKUP(A1,DIV_06Data!$A$1:$DZU$1000000,956,FALSE)</f>
        <v>#N/A</v>
      </c>
      <c r="D57" s="31" t="e">
        <f>VLOOKUP(A1,DIV_06Data!$A$1:$DZU$1000000,957,FALSE)</f>
        <v>#N/A</v>
      </c>
      <c r="E57" s="32" t="e">
        <f>VLOOKUP(A1,DIV_06Data!$A$1:$DZU$1000000,958,FALSE)</f>
        <v>#N/A</v>
      </c>
      <c r="F57" s="34" t="e">
        <f>VLOOKUP(A1,DIV_06Data!$A$1:$DZU$1000000,959,FALSE)</f>
        <v>#N/A</v>
      </c>
      <c r="G57" s="33" t="e">
        <f>VLOOKUP(A1,DIV_06Data!$A$1:$DZU$1000000,960,FALSE)</f>
        <v>#N/A</v>
      </c>
      <c r="H57" s="34" t="e">
        <f>VLOOKUP(A1,DIV_06Data!$A$1:$DZU$1000000,961,FALSE)</f>
        <v>#N/A</v>
      </c>
      <c r="I57" s="33" t="e">
        <f>VLOOKUP(A1,DIV_06Data!$A$1:$DZU$1000000,962,FALSE)</f>
        <v>#N/A</v>
      </c>
      <c r="J57" s="34" t="e">
        <f>VLOOKUP(A1,DIV_06Data!$A$1:$DZU$1000000,963,FALSE)</f>
        <v>#N/A</v>
      </c>
      <c r="K57" s="34" t="e">
        <f>VLOOKUP(A1,DIV_06Data!$A$1:$DZU$1000000,964,FALSE)</f>
        <v>#N/A</v>
      </c>
      <c r="L57" s="93" t="e">
        <f>VLOOKUP(A1,DIV_06Data!$A$1:$DZU$1000000,965,FALSE)</f>
        <v>#N/A</v>
      </c>
      <c r="M57" s="33" t="e">
        <f>VLOOKUP(A1,DIV_06Data!$A$1:$DZU$1000000,966,FALSE)</f>
        <v>#N/A</v>
      </c>
      <c r="N57" s="34" t="e">
        <f>VLOOKUP(A1,DIV_06Data!$A$1:$DZU$1000000,967,FALSE)</f>
        <v>#N/A</v>
      </c>
      <c r="O57" s="33" t="e">
        <f>VLOOKUP(A1,DIV_06Data!$A$1:$DZU$1000000,968,FALSE)</f>
        <v>#N/A</v>
      </c>
      <c r="P57" s="46" t="e">
        <f>VLOOKUP(A1,DIV_06Data!$A$1:$DZU$1000000,969,FALSE)</f>
        <v>#N/A</v>
      </c>
      <c r="Q57" s="33" t="e">
        <f>VLOOKUP(A1,DIV_06Data!$A$1:$DZU$1000000,970,FALSE)</f>
        <v>#N/A</v>
      </c>
    </row>
    <row r="58" spans="1:17" x14ac:dyDescent="0.35">
      <c r="A58" s="22" t="e">
        <f>VLOOKUP(A1,DIV_06Data!$A$1:$DZU$1000000,971,FALSE)</f>
        <v>#N/A</v>
      </c>
      <c r="B58" s="37" t="e">
        <f>VLOOKUP(A1,DIV_06Data!$A$1:$DZU$1000000,972,FALSE)</f>
        <v>#N/A</v>
      </c>
      <c r="C58" s="38" t="e">
        <f>VLOOKUP(A1,DIV_06Data!$A$1:$DZU$1000000,973,FALSE)</f>
        <v>#N/A</v>
      </c>
      <c r="D58" s="31" t="e">
        <f>VLOOKUP(A1,DIV_06Data!$A$1:$DZU$1000000,974,FALSE)</f>
        <v>#N/A</v>
      </c>
      <c r="E58" s="32" t="e">
        <f>VLOOKUP(A1,DIV_06Data!$A$1:$DZU$1000000,975,FALSE)</f>
        <v>#N/A</v>
      </c>
      <c r="F58" s="34" t="e">
        <f>VLOOKUP(A1,DIV_06Data!$A$1:$DZU$1000000,976,FALSE)</f>
        <v>#N/A</v>
      </c>
      <c r="G58" s="33" t="e">
        <f>VLOOKUP(A1,DIV_06Data!$A$1:$DZU$1000000,977,FALSE)</f>
        <v>#N/A</v>
      </c>
      <c r="H58" s="34" t="e">
        <f>VLOOKUP(A1,DIV_06Data!$A$1:$DZU$1000000,978,FALSE)</f>
        <v>#N/A</v>
      </c>
      <c r="I58" s="33" t="e">
        <f>VLOOKUP(A1,DIV_06Data!$A$1:$DZU$1000000,979,FALSE)</f>
        <v>#N/A</v>
      </c>
      <c r="J58" s="34" t="e">
        <f>VLOOKUP(A1,DIV_06Data!$A$1:$DZU$1000000,980,FALSE)</f>
        <v>#N/A</v>
      </c>
      <c r="K58" s="34" t="e">
        <f>VLOOKUP(A1,DIV_06Data!$A$1:$DZU$1000000,981,FALSE)</f>
        <v>#N/A</v>
      </c>
      <c r="L58" s="93" t="e">
        <f>VLOOKUP(A1,DIV_06Data!$A$1:$DZU$1000000,982,FALSE)</f>
        <v>#N/A</v>
      </c>
      <c r="M58" s="33" t="e">
        <f>VLOOKUP(A1,DIV_06Data!$A$1:$DZU$1000000,983,FALSE)</f>
        <v>#N/A</v>
      </c>
      <c r="N58" s="34" t="e">
        <f>VLOOKUP(A1,DIV_06Data!$A$1:$DZU$1000000,984,FALSE)</f>
        <v>#N/A</v>
      </c>
      <c r="O58" s="33" t="e">
        <f>VLOOKUP(A1,DIV_06Data!$A$1:$DZU$1000000,985,FALSE)</f>
        <v>#N/A</v>
      </c>
      <c r="P58" s="46" t="e">
        <f>VLOOKUP(A1,DIV_06Data!$A$1:$DZU$1000000,986,FALSE)</f>
        <v>#N/A</v>
      </c>
      <c r="Q58" s="33" t="e">
        <f>VLOOKUP(A1,DIV_06Data!$A$1:$DZU$1000000,987,FALSE)</f>
        <v>#N/A</v>
      </c>
    </row>
    <row r="59" spans="1:17" x14ac:dyDescent="0.35">
      <c r="A59" s="22" t="e">
        <f>VLOOKUP(A1,DIV_06Data!$A$1:$DZU$1000000,988,FALSE)</f>
        <v>#N/A</v>
      </c>
      <c r="B59" s="37" t="e">
        <f>VLOOKUP(A1,DIV_06Data!$A$1:$DZU$1000000,989,FALSE)</f>
        <v>#N/A</v>
      </c>
      <c r="C59" s="38" t="e">
        <f>VLOOKUP(A1,DIV_06Data!$A$1:$DZU$1000000,990,FALSE)</f>
        <v>#N/A</v>
      </c>
      <c r="D59" s="31" t="e">
        <f>VLOOKUP(A1,DIV_06Data!$A$1:$DZU$1000000,991,FALSE)</f>
        <v>#N/A</v>
      </c>
      <c r="E59" s="32" t="e">
        <f>VLOOKUP(A1,DIV_06Data!$A$1:$DZU$1000000,992,FALSE)</f>
        <v>#N/A</v>
      </c>
      <c r="F59" s="34" t="e">
        <f>VLOOKUP(A1,DIV_06Data!$A$1:$DZU$1000000,993,FALSE)</f>
        <v>#N/A</v>
      </c>
      <c r="G59" s="33" t="e">
        <f>VLOOKUP(A1,DIV_06Data!$A$1:$DZU$1000000,994,FALSE)</f>
        <v>#N/A</v>
      </c>
      <c r="H59" s="34" t="e">
        <f>VLOOKUP(A1,DIV_06Data!$A$1:$DZU$1000000,995,FALSE)</f>
        <v>#N/A</v>
      </c>
      <c r="I59" s="33" t="e">
        <f>VLOOKUP(A1,DIV_06Data!$A$1:$DZU$1000000,996,FALSE)</f>
        <v>#N/A</v>
      </c>
      <c r="J59" s="34" t="e">
        <f>VLOOKUP(A1,DIV_06Data!$A$1:$DZU$1000000,997,FALSE)</f>
        <v>#N/A</v>
      </c>
      <c r="K59" s="34" t="e">
        <f>VLOOKUP(A1,DIV_06Data!$A$1:$DZU$1000000,998,FALSE)</f>
        <v>#N/A</v>
      </c>
      <c r="L59" s="93" t="e">
        <f>VLOOKUP(A1,DIV_06Data!$A$1:$DZU$1000000,999,FALSE)</f>
        <v>#N/A</v>
      </c>
      <c r="M59" s="33" t="e">
        <f>VLOOKUP(A1,DIV_06Data!$A$1:$DZU$1000000,1000,FALSE)</f>
        <v>#N/A</v>
      </c>
      <c r="N59" s="34" t="e">
        <f>VLOOKUP(A1,DIV_06Data!$A$1:$DZU$1000000,1001,FALSE)</f>
        <v>#N/A</v>
      </c>
      <c r="O59" s="33" t="e">
        <f>VLOOKUP(A1,DIV_06Data!$A$1:$DZU$1000000,1002,FALSE)</f>
        <v>#N/A</v>
      </c>
      <c r="P59" s="46" t="e">
        <f>VLOOKUP(A1,DIV_06Data!$A$1:$DZU$1000000,1003,FALSE)</f>
        <v>#N/A</v>
      </c>
      <c r="Q59" s="33" t="e">
        <f>VLOOKUP(A1,DIV_06Data!$A$1:$DZU$1000000,1004,FALSE)</f>
        <v>#N/A</v>
      </c>
    </row>
    <row r="60" spans="1:17" x14ac:dyDescent="0.35">
      <c r="A60" s="22" t="e">
        <f>VLOOKUP(A1,DIV_06Data!$A$1:$DZU$1000000,1005,FALSE)</f>
        <v>#N/A</v>
      </c>
      <c r="B60" s="37" t="e">
        <f>VLOOKUP(A1,DIV_06Data!$A$1:$DZU$1000000,1006,FALSE)</f>
        <v>#N/A</v>
      </c>
      <c r="C60" s="38" t="e">
        <f>VLOOKUP(A1,DIV_06Data!$A$1:$DZU$1000000,1007,FALSE)</f>
        <v>#N/A</v>
      </c>
      <c r="D60" s="31" t="e">
        <f>VLOOKUP(A1,DIV_06Data!$A$1:$DZU$1000000,1008,FALSE)</f>
        <v>#N/A</v>
      </c>
      <c r="E60" s="32" t="e">
        <f>VLOOKUP(A1,DIV_06Data!$A$1:$DZU$1000000,1009,FALSE)</f>
        <v>#N/A</v>
      </c>
      <c r="F60" s="34" t="e">
        <f>VLOOKUP(A1,DIV_06Data!$A$1:$DZU$1000000,1010,FALSE)</f>
        <v>#N/A</v>
      </c>
      <c r="G60" s="33" t="e">
        <f>VLOOKUP(A1,DIV_06Data!$A$1:$DZU$1000000,1011,FALSE)</f>
        <v>#N/A</v>
      </c>
      <c r="H60" s="34" t="e">
        <f>VLOOKUP(A1,DIV_06Data!$A$1:$DZU$1000000,1012,FALSE)</f>
        <v>#N/A</v>
      </c>
      <c r="I60" s="33" t="e">
        <f>VLOOKUP(A1,DIV_06Data!$A$1:$DZU$1000000,1013,FALSE)</f>
        <v>#N/A</v>
      </c>
      <c r="J60" s="34" t="e">
        <f>VLOOKUP(A1,DIV_06Data!$A$1:$DZU$1000000,1014,FALSE)</f>
        <v>#N/A</v>
      </c>
      <c r="K60" s="34" t="e">
        <f>VLOOKUP(A1,DIV_06Data!$A$1:$DZU$1000000,1015,FALSE)</f>
        <v>#N/A</v>
      </c>
      <c r="L60" s="93" t="e">
        <f>VLOOKUP(A1,DIV_06Data!$A$1:$DZU$1000000,1016,FALSE)</f>
        <v>#N/A</v>
      </c>
      <c r="M60" s="33" t="e">
        <f>VLOOKUP(A1,DIV_06Data!$A$1:$DZU$1000000,1017,FALSE)</f>
        <v>#N/A</v>
      </c>
      <c r="N60" s="34" t="e">
        <f>VLOOKUP(A1,DIV_06Data!$A$1:$DZU$1000000,1018,FALSE)</f>
        <v>#N/A</v>
      </c>
      <c r="O60" s="33" t="e">
        <f>VLOOKUP(A1,DIV_06Data!$A$1:$DZU$1000000,1019,FALSE)</f>
        <v>#N/A</v>
      </c>
      <c r="P60" s="46" t="e">
        <f>VLOOKUP(A1,DIV_06Data!$A$1:$DZU$1000000,1020,FALSE)</f>
        <v>#N/A</v>
      </c>
      <c r="Q60" s="33" t="e">
        <f>VLOOKUP(A1,DIV_06Data!$A$1:$DZU$1000000,1021,FALSE)</f>
        <v>#N/A</v>
      </c>
    </row>
    <row r="61" spans="1:17" x14ac:dyDescent="0.35">
      <c r="A61" s="22" t="e">
        <f>VLOOKUP(A1,DIV_06Data!$A$1:$DZU$1000000,1022,FALSE)</f>
        <v>#N/A</v>
      </c>
      <c r="B61" s="37" t="e">
        <f>VLOOKUP(A1,DIV_06Data!$A$1:$DZU$1000000,1023,FALSE)</f>
        <v>#N/A</v>
      </c>
      <c r="C61" s="38" t="e">
        <f>VLOOKUP(A1,DIV_06Data!$A$1:$DZU$1000000,1024,FALSE)</f>
        <v>#N/A</v>
      </c>
      <c r="D61" s="31" t="e">
        <f>VLOOKUP(A1,DIV_06Data!$A$1:$DZU$1000000,1025,FALSE)</f>
        <v>#N/A</v>
      </c>
      <c r="E61" s="32" t="e">
        <f>VLOOKUP(A1,DIV_06Data!$A$1:$DZU$1000000,1026,FALSE)</f>
        <v>#N/A</v>
      </c>
      <c r="F61" s="34" t="e">
        <f>VLOOKUP(A1,DIV_06Data!$A$1:$DZU$1000000,1027,FALSE)</f>
        <v>#N/A</v>
      </c>
      <c r="G61" s="33" t="e">
        <f>VLOOKUP(A1,DIV_06Data!$A$1:$DZU$1000000,1028,FALSE)</f>
        <v>#N/A</v>
      </c>
      <c r="H61" s="34" t="e">
        <f>VLOOKUP(A1,DIV_06Data!$A$1:$DZU$1000000,1029,FALSE)</f>
        <v>#N/A</v>
      </c>
      <c r="I61" s="33" t="e">
        <f>VLOOKUP(A1,DIV_06Data!$A$1:$DZU$1000000,1030,FALSE)</f>
        <v>#N/A</v>
      </c>
      <c r="J61" s="34" t="e">
        <f>VLOOKUP(A1,DIV_06Data!$A$1:$DZU$1000000,1031,FALSE)</f>
        <v>#N/A</v>
      </c>
      <c r="K61" s="34" t="e">
        <f>VLOOKUP(A1,DIV_06Data!$A$1:$DZU$1000000,1032,FALSE)</f>
        <v>#N/A</v>
      </c>
      <c r="L61" s="93" t="e">
        <f>VLOOKUP(A1,DIV_06Data!$A$1:$DZU$1000000,1033,FALSE)</f>
        <v>#N/A</v>
      </c>
      <c r="M61" s="33" t="e">
        <f>VLOOKUP(A1,DIV_06Data!$A$1:$DZU$1000000,1034,FALSE)</f>
        <v>#N/A</v>
      </c>
      <c r="N61" s="34" t="e">
        <f>VLOOKUP(A1,DIV_06Data!$A$1:$DZU$1000000,1035,FALSE)</f>
        <v>#N/A</v>
      </c>
      <c r="O61" s="33" t="e">
        <f>VLOOKUP(A1,DIV_06Data!$A$1:$DZU$1000000,1036,FALSE)</f>
        <v>#N/A</v>
      </c>
      <c r="P61" s="46" t="e">
        <f>VLOOKUP(A1,DIV_06Data!$A$1:$DZU$1000000,1037,FALSE)</f>
        <v>#N/A</v>
      </c>
      <c r="Q61" s="33" t="e">
        <f>VLOOKUP(A1,DIV_06Data!$A$1:$DZU$1000000,1038,FALSE)</f>
        <v>#N/A</v>
      </c>
    </row>
    <row r="62" spans="1:17" x14ac:dyDescent="0.35">
      <c r="A62" s="22" t="e">
        <f>VLOOKUP(A1,DIV_06Data!$A$1:$DZU$1000000,1039,FALSE)</f>
        <v>#N/A</v>
      </c>
      <c r="B62" s="37" t="e">
        <f>VLOOKUP(A1,DIV_06Data!$A$1:$DZU$1000000,1040,FALSE)</f>
        <v>#N/A</v>
      </c>
      <c r="C62" s="38" t="e">
        <f>VLOOKUP(A1,DIV_06Data!$A$1:$DZU$1000000,1041,FALSE)</f>
        <v>#N/A</v>
      </c>
      <c r="D62" s="31" t="e">
        <f>VLOOKUP(A1,DIV_06Data!$A$1:$DZU$1000000,1042,FALSE)</f>
        <v>#N/A</v>
      </c>
      <c r="E62" s="32" t="e">
        <f>VLOOKUP(A1,DIV_06Data!$A$1:$DZU$1000000,1043,FALSE)</f>
        <v>#N/A</v>
      </c>
      <c r="F62" s="34" t="e">
        <f>VLOOKUP(A1,DIV_06Data!$A$1:$DZU$1000000,1044,FALSE)</f>
        <v>#N/A</v>
      </c>
      <c r="G62" s="33" t="e">
        <f>VLOOKUP(A1,DIV_06Data!$A$1:$DZU$1000000,1045,FALSE)</f>
        <v>#N/A</v>
      </c>
      <c r="H62" s="34" t="e">
        <f>VLOOKUP(A1,DIV_06Data!$A$1:$DZU$1000000,1046,FALSE)</f>
        <v>#N/A</v>
      </c>
      <c r="I62" s="33" t="e">
        <f>VLOOKUP(A1,DIV_06Data!$A$1:$DZU$1000000,1047,FALSE)</f>
        <v>#N/A</v>
      </c>
      <c r="J62" s="34" t="e">
        <f>VLOOKUP(A1,DIV_06Data!$A$1:$DZU$1000000,1048,FALSE)</f>
        <v>#N/A</v>
      </c>
      <c r="K62" s="34" t="e">
        <f>VLOOKUP(A1,DIV_06Data!$A$1:$DZU$1000000,1049,FALSE)</f>
        <v>#N/A</v>
      </c>
      <c r="L62" s="93" t="e">
        <f>VLOOKUP(A1,DIV_06Data!$A$1:$DZU$1000000,1050,FALSE)</f>
        <v>#N/A</v>
      </c>
      <c r="M62" s="33" t="e">
        <f>VLOOKUP(A1,DIV_06Data!$A$1:$DZU$1000000,1051,FALSE)</f>
        <v>#N/A</v>
      </c>
      <c r="N62" s="34" t="e">
        <f>VLOOKUP(A1,DIV_06Data!$A$1:$DZU$1000000,1052,FALSE)</f>
        <v>#N/A</v>
      </c>
      <c r="O62" s="33" t="e">
        <f>VLOOKUP(A1,DIV_06Data!$A$1:$DZU$1000000,1053,FALSE)</f>
        <v>#N/A</v>
      </c>
      <c r="P62" s="46" t="e">
        <f>VLOOKUP(A1,DIV_06Data!$A$1:$DZU$1000000,1054,FALSE)</f>
        <v>#N/A</v>
      </c>
      <c r="Q62" s="33" t="e">
        <f>VLOOKUP(A1,DIV_06Data!$A$1:$DZU$1000000,1055,FALSE)</f>
        <v>#N/A</v>
      </c>
    </row>
    <row r="63" spans="1:17" x14ac:dyDescent="0.35">
      <c r="A63" s="22" t="e">
        <f>VLOOKUP(A1,DIV_06Data!$A$1:$DZU$1000000,1056,FALSE)</f>
        <v>#N/A</v>
      </c>
      <c r="B63" s="37" t="e">
        <f>VLOOKUP(A1,DIV_06Data!$A$1:$DZU$1000000,1057,FALSE)</f>
        <v>#N/A</v>
      </c>
      <c r="C63" s="38" t="e">
        <f>VLOOKUP(A1,DIV_06Data!$A$1:$DZU$1000000,1058,FALSE)</f>
        <v>#N/A</v>
      </c>
      <c r="D63" s="31" t="e">
        <f>VLOOKUP(A1,DIV_06Data!$A$1:$DZU$1000000,1059,FALSE)</f>
        <v>#N/A</v>
      </c>
      <c r="E63" s="32" t="e">
        <f>VLOOKUP(A1,DIV_06Data!$A$1:$DZU$1000000,1060,FALSE)</f>
        <v>#N/A</v>
      </c>
      <c r="F63" s="34" t="e">
        <f>VLOOKUP(A1,DIV_06Data!$A$1:$DZU$1000000,1061,FALSE)</f>
        <v>#N/A</v>
      </c>
      <c r="G63" s="33" t="e">
        <f>VLOOKUP(A1,DIV_06Data!$A$1:$DZU$1000000,1062,FALSE)</f>
        <v>#N/A</v>
      </c>
      <c r="H63" s="34" t="e">
        <f>VLOOKUP(A1,DIV_06Data!$A$1:$DZU$1000000,1063,FALSE)</f>
        <v>#N/A</v>
      </c>
      <c r="I63" s="33" t="e">
        <f>VLOOKUP(A1,DIV_06Data!$A$1:$DZU$1000000,1064,FALSE)</f>
        <v>#N/A</v>
      </c>
      <c r="J63" s="34" t="e">
        <f>VLOOKUP(A1,DIV_06Data!$A$1:$DZU$1000000,1065,FALSE)</f>
        <v>#N/A</v>
      </c>
      <c r="K63" s="34" t="e">
        <f>VLOOKUP(A1,DIV_06Data!$A$1:$DZU$1000000,1066,FALSE)</f>
        <v>#N/A</v>
      </c>
      <c r="L63" s="93" t="e">
        <f>VLOOKUP(A1,DIV_06Data!$A$1:$DZU$1000000,1067,FALSE)</f>
        <v>#N/A</v>
      </c>
      <c r="M63" s="33" t="e">
        <f>VLOOKUP(A1,DIV_06Data!$A$1:$DZU$1000000,1068,FALSE)</f>
        <v>#N/A</v>
      </c>
      <c r="N63" s="34" t="e">
        <f>VLOOKUP(A1,DIV_06Data!$A$1:$DZU$1000000,1069,FALSE)</f>
        <v>#N/A</v>
      </c>
      <c r="O63" s="33" t="e">
        <f>VLOOKUP(A1,DIV_06Data!$A$1:$DZU$1000000,1070,FALSE)</f>
        <v>#N/A</v>
      </c>
      <c r="P63" s="46" t="e">
        <f>VLOOKUP(A1,DIV_06Data!$A$1:$DZU$1000000,1071,FALSE)</f>
        <v>#N/A</v>
      </c>
      <c r="Q63" s="33" t="e">
        <f>VLOOKUP(A1,DIV_06Data!$A$1:$DZU$1000000,1072,FALSE)</f>
        <v>#N/A</v>
      </c>
    </row>
    <row r="64" spans="1:17" x14ac:dyDescent="0.35">
      <c r="A64" s="22" t="e">
        <f>VLOOKUP(A1,DIV_06Data!$A$1:$DZU$1000000,1073,FALSE)</f>
        <v>#N/A</v>
      </c>
      <c r="B64" s="37" t="e">
        <f>VLOOKUP(A1,DIV_06Data!$A$1:$DZU$1000000,1074,FALSE)</f>
        <v>#N/A</v>
      </c>
      <c r="C64" s="38" t="e">
        <f>VLOOKUP(A1,DIV_06Data!$A$1:$DZU$1000000,1075,FALSE)</f>
        <v>#N/A</v>
      </c>
      <c r="D64" s="31" t="e">
        <f>VLOOKUP(A1,DIV_06Data!$A$1:$DZU$1000000,1076,FALSE)</f>
        <v>#N/A</v>
      </c>
      <c r="E64" s="32" t="e">
        <f>VLOOKUP(A1,DIV_06Data!$A$1:$DZU$1000000,1077,FALSE)</f>
        <v>#N/A</v>
      </c>
      <c r="F64" s="34" t="e">
        <f>VLOOKUP(A1,DIV_06Data!$A$1:$DZU$1000000,1078,FALSE)</f>
        <v>#N/A</v>
      </c>
      <c r="G64" s="33" t="e">
        <f>VLOOKUP(A1,DIV_06Data!$A$1:$DZU$1000000,1079,FALSE)</f>
        <v>#N/A</v>
      </c>
      <c r="H64" s="34" t="e">
        <f>VLOOKUP(A1,DIV_06Data!$A$1:$DZU$1000000,1080,FALSE)</f>
        <v>#N/A</v>
      </c>
      <c r="I64" s="33" t="e">
        <f>VLOOKUP(A1,DIV_06Data!$A$1:$DZU$1000000,1081,FALSE)</f>
        <v>#N/A</v>
      </c>
      <c r="J64" s="34" t="e">
        <f>VLOOKUP(A1,DIV_06Data!$A$1:$DZU$1000000,1082,FALSE)</f>
        <v>#N/A</v>
      </c>
      <c r="K64" s="34" t="e">
        <f>VLOOKUP(A1,DIV_06Data!$A$1:$DZU$1000000,1083,FALSE)</f>
        <v>#N/A</v>
      </c>
      <c r="L64" s="93" t="e">
        <f>VLOOKUP(A1,DIV_06Data!$A$1:$DZU$1000000,1084,FALSE)</f>
        <v>#N/A</v>
      </c>
      <c r="M64" s="33" t="e">
        <f>VLOOKUP(A1,DIV_06Data!$A$1:$DZU$1000000,1085,FALSE)</f>
        <v>#N/A</v>
      </c>
      <c r="N64" s="34" t="e">
        <f>VLOOKUP(A1,DIV_06Data!$A$1:$DZU$1000000,1086,FALSE)</f>
        <v>#N/A</v>
      </c>
      <c r="O64" s="33" t="e">
        <f>VLOOKUP(A1,DIV_06Data!$A$1:$DZU$1000000,1087,FALSE)</f>
        <v>#N/A</v>
      </c>
      <c r="P64" s="46" t="e">
        <f>VLOOKUP(A1,DIV_06Data!$A$1:$DZU$1000000,1088,FALSE)</f>
        <v>#N/A</v>
      </c>
      <c r="Q64" s="33" t="e">
        <f>VLOOKUP(A1,DIV_06Data!$A$1:$DZU$1000000,1089,FALSE)</f>
        <v>#N/A</v>
      </c>
    </row>
    <row r="65" spans="1:17" x14ac:dyDescent="0.35">
      <c r="A65" s="22" t="e">
        <f>VLOOKUP(A1,DIV_06Data!$A$1:$DZU$1000000,1090,FALSE)</f>
        <v>#N/A</v>
      </c>
      <c r="B65" s="37" t="e">
        <f>VLOOKUP(A1,DIV_06Data!$A$1:$DZU$1000000,1091,FALSE)</f>
        <v>#N/A</v>
      </c>
      <c r="C65" s="38" t="e">
        <f>VLOOKUP(A1,DIV_06Data!$A$1:$DZU$1000000,1092,FALSE)</f>
        <v>#N/A</v>
      </c>
      <c r="D65" s="31" t="e">
        <f>VLOOKUP(A1,DIV_06Data!$A$1:$DZU$1000000,1093,FALSE)</f>
        <v>#N/A</v>
      </c>
      <c r="E65" s="32" t="e">
        <f>VLOOKUP(A1,DIV_06Data!$A$1:$DZU$1000000,1094,FALSE)</f>
        <v>#N/A</v>
      </c>
      <c r="F65" s="34" t="e">
        <f>VLOOKUP(A1,DIV_06Data!$A$1:$DZU$1000000,1095,FALSE)</f>
        <v>#N/A</v>
      </c>
      <c r="G65" s="33" t="e">
        <f>VLOOKUP(A1,DIV_06Data!$A$1:$DZU$1000000,1096,FALSE)</f>
        <v>#N/A</v>
      </c>
      <c r="H65" s="34" t="e">
        <f>VLOOKUP(A1,DIV_06Data!$A$1:$DZU$1000000,1097,FALSE)</f>
        <v>#N/A</v>
      </c>
      <c r="I65" s="33" t="e">
        <f>VLOOKUP(A1,DIV_06Data!$A$1:$DZU$1000000,1098,FALSE)</f>
        <v>#N/A</v>
      </c>
      <c r="J65" s="34" t="e">
        <f>VLOOKUP(A1,DIV_06Data!$A$1:$DZU$1000000,1099,FALSE)</f>
        <v>#N/A</v>
      </c>
      <c r="K65" s="34" t="e">
        <f>VLOOKUP(A1,DIV_06Data!$A$1:$DZU$1000000,1100,FALSE)</f>
        <v>#N/A</v>
      </c>
      <c r="L65" s="93" t="e">
        <f>VLOOKUP(A1,DIV_06Data!$A$1:$DZU$1000000,1101,FALSE)</f>
        <v>#N/A</v>
      </c>
      <c r="M65" s="33" t="e">
        <f>VLOOKUP(A1,DIV_06Data!$A$1:$DZU$1000000,1102,FALSE)</f>
        <v>#N/A</v>
      </c>
      <c r="N65" s="34" t="e">
        <f>VLOOKUP(A1,DIV_06Data!$A$1:$DZU$1000000,1103,FALSE)</f>
        <v>#N/A</v>
      </c>
      <c r="O65" s="33" t="e">
        <f>VLOOKUP(A1,DIV_06Data!$A$1:$DZU$1000000,1104,FALSE)</f>
        <v>#N/A</v>
      </c>
      <c r="P65" s="46" t="e">
        <f>VLOOKUP(A1,DIV_06Data!$A$1:$DZU$1000000,1105,FALSE)</f>
        <v>#N/A</v>
      </c>
      <c r="Q65" s="33" t="e">
        <f>VLOOKUP(A1,DIV_06Data!$A$1:$DZU$1000000,1106,FALSE)</f>
        <v>#N/A</v>
      </c>
    </row>
    <row r="66" spans="1:17" x14ac:dyDescent="0.35">
      <c r="A66" s="22" t="e">
        <f>VLOOKUP(A1,DIV_06Data!$A$1:$DZU$1000000,1107,FALSE)</f>
        <v>#N/A</v>
      </c>
      <c r="B66" s="37" t="e">
        <f>VLOOKUP(A1,DIV_06Data!$A$1:$DZU$1000000,1108,FALSE)</f>
        <v>#N/A</v>
      </c>
      <c r="C66" s="38" t="e">
        <f>VLOOKUP(A1,DIV_06Data!$A$1:$DZU$1000000,1109,FALSE)</f>
        <v>#N/A</v>
      </c>
      <c r="D66" s="31" t="e">
        <f>VLOOKUP(A1,DIV_06Data!$A$1:$DZU$1000000,1110,FALSE)</f>
        <v>#N/A</v>
      </c>
      <c r="E66" s="32" t="e">
        <f>VLOOKUP(A1,DIV_06Data!$A$1:$DZU$1000000,1111,FALSE)</f>
        <v>#N/A</v>
      </c>
      <c r="F66" s="34" t="e">
        <f>VLOOKUP(A1,DIV_06Data!$A$1:$DZU$1000000,1112,FALSE)</f>
        <v>#N/A</v>
      </c>
      <c r="G66" s="33" t="e">
        <f>VLOOKUP(A1,DIV_06Data!$A$1:$DZU$1000000,1113,FALSE)</f>
        <v>#N/A</v>
      </c>
      <c r="H66" s="34" t="e">
        <f>VLOOKUP(A1,DIV_06Data!$A$1:$DZU$1000000,1114,FALSE)</f>
        <v>#N/A</v>
      </c>
      <c r="I66" s="33" t="e">
        <f>VLOOKUP(A1,DIV_06Data!$A$1:$DZU$1000000,1115,FALSE)</f>
        <v>#N/A</v>
      </c>
      <c r="J66" s="34" t="e">
        <f>VLOOKUP(A1,DIV_06Data!$A$1:$DZU$1000000,1116,FALSE)</f>
        <v>#N/A</v>
      </c>
      <c r="K66" s="34" t="e">
        <f>VLOOKUP(A1,DIV_06Data!$A$1:$DZU$1000000,1117,FALSE)</f>
        <v>#N/A</v>
      </c>
      <c r="L66" s="93" t="e">
        <f>VLOOKUP(A1,DIV_06Data!$A$1:$DZU$1000000,1118,FALSE)</f>
        <v>#N/A</v>
      </c>
      <c r="M66" s="33" t="e">
        <f>VLOOKUP(A1,DIV_06Data!$A$1:$DZU$1000000,1119,FALSE)</f>
        <v>#N/A</v>
      </c>
      <c r="N66" s="34" t="e">
        <f>VLOOKUP(A1,DIV_06Data!$A$1:$DZU$1000000,1120,FALSE)</f>
        <v>#N/A</v>
      </c>
      <c r="O66" s="33" t="e">
        <f>VLOOKUP(A1,DIV_06Data!$A$1:$DZU$1000000,1121,FALSE)</f>
        <v>#N/A</v>
      </c>
      <c r="P66" s="46" t="e">
        <f>VLOOKUP(A1,DIV_06Data!$A$1:$DZU$1000000,1122,FALSE)</f>
        <v>#N/A</v>
      </c>
      <c r="Q66" s="33" t="e">
        <f>VLOOKUP(A1,DIV_06Data!$A$1:$DZU$1000000,1123,FALSE)</f>
        <v>#N/A</v>
      </c>
    </row>
    <row r="67" spans="1:17" x14ac:dyDescent="0.35">
      <c r="A67" s="22" t="e">
        <f>VLOOKUP(A1,DIV_06Data!$A$1:$DZU$1000000,1124,FALSE)</f>
        <v>#N/A</v>
      </c>
      <c r="B67" s="37" t="e">
        <f>VLOOKUP(A1,DIV_06Data!$A$1:$DZU$1000000,1125,FALSE)</f>
        <v>#N/A</v>
      </c>
      <c r="C67" s="38" t="e">
        <f>VLOOKUP(A1,DIV_06Data!$A$1:$DZU$1000000,1126,FALSE)</f>
        <v>#N/A</v>
      </c>
      <c r="D67" s="31" t="e">
        <f>VLOOKUP(A1,DIV_06Data!$A$1:$DZU$1000000,1127,FALSE)</f>
        <v>#N/A</v>
      </c>
      <c r="E67" s="32" t="e">
        <f>VLOOKUP(A1,DIV_06Data!$A$1:$DZU$1000000,1128,FALSE)</f>
        <v>#N/A</v>
      </c>
      <c r="F67" s="34" t="e">
        <f>VLOOKUP(A1,DIV_06Data!$A$1:$DZU$1000000,1129,FALSE)</f>
        <v>#N/A</v>
      </c>
      <c r="G67" s="33" t="e">
        <f>VLOOKUP(A1,DIV_06Data!$A$1:$DZU$1000000,1130,FALSE)</f>
        <v>#N/A</v>
      </c>
      <c r="H67" s="34" t="e">
        <f>VLOOKUP(A1,DIV_06Data!$A$1:$DZU$1000000,1131,FALSE)</f>
        <v>#N/A</v>
      </c>
      <c r="I67" s="33" t="e">
        <f>VLOOKUP(A1,DIV_06Data!$A$1:$DZU$1000000,1132,FALSE)</f>
        <v>#N/A</v>
      </c>
      <c r="J67" s="34" t="e">
        <f>VLOOKUP(A1,DIV_06Data!$A$1:$DZU$1000000,1133,FALSE)</f>
        <v>#N/A</v>
      </c>
      <c r="K67" s="34" t="e">
        <f>VLOOKUP(A1,DIV_06Data!$A$1:$DZU$1000000,1134,FALSE)</f>
        <v>#N/A</v>
      </c>
      <c r="L67" s="93" t="e">
        <f>VLOOKUP(A1,DIV_06Data!$A$1:$DZU$1000000,1135,FALSE)</f>
        <v>#N/A</v>
      </c>
      <c r="M67" s="33" t="e">
        <f>VLOOKUP(A1,DIV_06Data!$A$1:$DZU$1000000,1136,FALSE)</f>
        <v>#N/A</v>
      </c>
      <c r="N67" s="34" t="e">
        <f>VLOOKUP(A1,DIV_06Data!$A$1:$DZU$1000000,1137,FALSE)</f>
        <v>#N/A</v>
      </c>
      <c r="O67" s="33" t="e">
        <f>VLOOKUP(A1,DIV_06Data!$A$1:$DZU$1000000,1138,FALSE)</f>
        <v>#N/A</v>
      </c>
      <c r="P67" s="46" t="e">
        <f>VLOOKUP(A1,DIV_06Data!$A$1:$DZU$1000000,1139,FALSE)</f>
        <v>#N/A</v>
      </c>
      <c r="Q67" s="33" t="e">
        <f>VLOOKUP(A1,DIV_06Data!$A$1:$DZU$1000000,1140,FALSE)</f>
        <v>#N/A</v>
      </c>
    </row>
    <row r="68" spans="1:17" x14ac:dyDescent="0.35">
      <c r="A68" s="22" t="e">
        <f>VLOOKUP(A1,DIV_06Data!$A$1:$DZU$1000000,1141,FALSE)</f>
        <v>#N/A</v>
      </c>
      <c r="B68" s="37" t="e">
        <f>VLOOKUP(A1,DIV_06Data!$A$1:$DZU$1000000,1142,FALSE)</f>
        <v>#N/A</v>
      </c>
      <c r="C68" s="38" t="e">
        <f>VLOOKUP(A1,DIV_06Data!$A$1:$DZU$1000000,1143,FALSE)</f>
        <v>#N/A</v>
      </c>
      <c r="D68" s="31" t="e">
        <f>VLOOKUP(A1,DIV_06Data!$A$1:$DZU$1000000,1144,FALSE)</f>
        <v>#N/A</v>
      </c>
      <c r="E68" s="32" t="e">
        <f>VLOOKUP(A1,DIV_06Data!$A$1:$DZU$1000000,1145,FALSE)</f>
        <v>#N/A</v>
      </c>
      <c r="F68" s="34" t="e">
        <f>VLOOKUP(A1,DIV_06Data!$A$1:$DZU$1000000,1146,FALSE)</f>
        <v>#N/A</v>
      </c>
      <c r="G68" s="33" t="e">
        <f>VLOOKUP(A1,DIV_06Data!$A$1:$DZU$1000000,1147,FALSE)</f>
        <v>#N/A</v>
      </c>
      <c r="H68" s="34" t="e">
        <f>VLOOKUP(A1,DIV_06Data!$A$1:$DZU$1000000,1148,FALSE)</f>
        <v>#N/A</v>
      </c>
      <c r="I68" s="33" t="e">
        <f>VLOOKUP(A1,DIV_06Data!$A$1:$DZU$1000000,1149,FALSE)</f>
        <v>#N/A</v>
      </c>
      <c r="J68" s="34" t="e">
        <f>VLOOKUP(A1,DIV_06Data!$A$1:$DZU$1000000,1150,FALSE)</f>
        <v>#N/A</v>
      </c>
      <c r="K68" s="34" t="e">
        <f>VLOOKUP(A1,DIV_06Data!$A$1:$DZU$1000000,1151,FALSE)</f>
        <v>#N/A</v>
      </c>
      <c r="L68" s="93" t="e">
        <f>VLOOKUP(A1,DIV_06Data!$A$1:$DZU$1000000,1152,FALSE)</f>
        <v>#N/A</v>
      </c>
      <c r="M68" s="33" t="e">
        <f>VLOOKUP(A1,DIV_06Data!$A$1:$DZU$1000000,1153,FALSE)</f>
        <v>#N/A</v>
      </c>
      <c r="N68" s="34" t="e">
        <f>VLOOKUP(A1,DIV_06Data!$A$1:$DZU$1000000,1154,FALSE)</f>
        <v>#N/A</v>
      </c>
      <c r="O68" s="33" t="e">
        <f>VLOOKUP(A1,DIV_06Data!$A$1:$DZU$1000000,1155,FALSE)</f>
        <v>#N/A</v>
      </c>
      <c r="P68" s="46" t="e">
        <f>VLOOKUP(A1,DIV_06Data!$A$1:$DZU$1000000,1156,FALSE)</f>
        <v>#N/A</v>
      </c>
      <c r="Q68" s="33" t="e">
        <f>VLOOKUP(A1,DIV_06Data!$A$1:$DZU$1000000,1157,FALSE)</f>
        <v>#N/A</v>
      </c>
    </row>
    <row r="69" spans="1:17" x14ac:dyDescent="0.35">
      <c r="A69" s="22" t="e">
        <f>VLOOKUP(A1,DIV_06Data!$A$1:$DZU$1000000,1158,FALSE)</f>
        <v>#N/A</v>
      </c>
      <c r="B69" s="37" t="e">
        <f>VLOOKUP(A1,DIV_06Data!$A$1:$DZU$1000000,1159,FALSE)</f>
        <v>#N/A</v>
      </c>
      <c r="C69" s="38" t="e">
        <f>VLOOKUP(A1,DIV_06Data!$A$1:$DZU$1000000,1160,FALSE)</f>
        <v>#N/A</v>
      </c>
      <c r="D69" s="31" t="e">
        <f>VLOOKUP(A1,DIV_06Data!$A$1:$DZU$1000000,1161,FALSE)</f>
        <v>#N/A</v>
      </c>
      <c r="E69" s="32" t="e">
        <f>VLOOKUP(A1,DIV_06Data!$A$1:$DZU$1000000,1162,FALSE)</f>
        <v>#N/A</v>
      </c>
      <c r="F69" s="34" t="e">
        <f>VLOOKUP(A1,DIV_06Data!$A$1:$DZU$1000000,1163,FALSE)</f>
        <v>#N/A</v>
      </c>
      <c r="G69" s="33" t="e">
        <f>VLOOKUP(A1,DIV_06Data!$A$1:$DZU$1000000,1164,FALSE)</f>
        <v>#N/A</v>
      </c>
      <c r="H69" s="34" t="e">
        <f>VLOOKUP(A1,DIV_06Data!$A$1:$DZU$1000000,1165,FALSE)</f>
        <v>#N/A</v>
      </c>
      <c r="I69" s="33" t="e">
        <f>VLOOKUP(A1,DIV_06Data!$A$1:$DZU$1000000,1166,FALSE)</f>
        <v>#N/A</v>
      </c>
      <c r="J69" s="34" t="e">
        <f>VLOOKUP(A1,DIV_06Data!$A$1:$DZU$1000000,1167,FALSE)</f>
        <v>#N/A</v>
      </c>
      <c r="K69" s="34" t="e">
        <f>VLOOKUP(A1,DIV_06Data!$A$1:$DZU$1000000,1168,FALSE)</f>
        <v>#N/A</v>
      </c>
      <c r="L69" s="93" t="e">
        <f>VLOOKUP(A1,DIV_06Data!$A$1:$DZU$1000000,1169,FALSE)</f>
        <v>#N/A</v>
      </c>
      <c r="M69" s="33" t="e">
        <f>VLOOKUP(A1,DIV_06Data!$A$1:$DZU$1000000,1170,FALSE)</f>
        <v>#N/A</v>
      </c>
      <c r="N69" s="34" t="e">
        <f>VLOOKUP(A1,DIV_06Data!$A$1:$DZU$1000000,1171,FALSE)</f>
        <v>#N/A</v>
      </c>
      <c r="O69" s="33" t="e">
        <f>VLOOKUP(A1,DIV_06Data!$A$1:$DZU$1000000,1172,FALSE)</f>
        <v>#N/A</v>
      </c>
      <c r="P69" s="46" t="e">
        <f>VLOOKUP(A1,DIV_06Data!$A$1:$DZU$1000000,1173,FALSE)</f>
        <v>#N/A</v>
      </c>
      <c r="Q69" s="33" t="e">
        <f>VLOOKUP(A1,DIV_06Data!$A$1:$DZU$1000000,1174,FALSE)</f>
        <v>#N/A</v>
      </c>
    </row>
    <row r="70" spans="1:17" x14ac:dyDescent="0.35">
      <c r="A70" s="22" t="e">
        <f>VLOOKUP(A1,DIV_06Data!$A$1:$DZU$1000000,1175,FALSE)</f>
        <v>#N/A</v>
      </c>
      <c r="B70" s="37" t="e">
        <f>VLOOKUP(A1,DIV_06Data!$A$1:$DZU$1000000,1176,FALSE)</f>
        <v>#N/A</v>
      </c>
      <c r="C70" s="38" t="e">
        <f>VLOOKUP(A1,DIV_06Data!$A$1:$DZU$1000000,1177,FALSE)</f>
        <v>#N/A</v>
      </c>
      <c r="D70" s="31" t="e">
        <f>VLOOKUP(A1,DIV_06Data!$A$1:$DZU$1000000,1178,FALSE)</f>
        <v>#N/A</v>
      </c>
      <c r="E70" s="32" t="e">
        <f>VLOOKUP(A1,DIV_06Data!$A$1:$DZU$1000000,1179,FALSE)</f>
        <v>#N/A</v>
      </c>
      <c r="F70" s="34" t="e">
        <f>VLOOKUP(A1,DIV_06Data!$A$1:$DZU$1000000,1180,FALSE)</f>
        <v>#N/A</v>
      </c>
      <c r="G70" s="33" t="e">
        <f>VLOOKUP(A1,DIV_06Data!$A$1:$DZU$1000000,1181,FALSE)</f>
        <v>#N/A</v>
      </c>
      <c r="H70" s="34" t="e">
        <f>VLOOKUP(A1,DIV_06Data!$A$1:$DZU$1000000,1182,FALSE)</f>
        <v>#N/A</v>
      </c>
      <c r="I70" s="33" t="e">
        <f>VLOOKUP(A1,DIV_06Data!$A$1:$DZU$1000000,1183,FALSE)</f>
        <v>#N/A</v>
      </c>
      <c r="J70" s="34" t="e">
        <f>VLOOKUP(A1,DIV_06Data!$A$1:$DZU$1000000,1184,FALSE)</f>
        <v>#N/A</v>
      </c>
      <c r="K70" s="34" t="e">
        <f>VLOOKUP(A1,DIV_06Data!$A$1:$DZU$1000000,1185,FALSE)</f>
        <v>#N/A</v>
      </c>
      <c r="L70" s="93" t="e">
        <f>VLOOKUP(A1,DIV_06Data!$A$1:$DZU$1000000,1186,FALSE)</f>
        <v>#N/A</v>
      </c>
      <c r="M70" s="33" t="e">
        <f>VLOOKUP(A1,DIV_06Data!$A$1:$DZU$1000000,1187,FALSE)</f>
        <v>#N/A</v>
      </c>
      <c r="N70" s="34" t="e">
        <f>VLOOKUP(A1,DIV_06Data!$A$1:$DZU$1000000,1188,FALSE)</f>
        <v>#N/A</v>
      </c>
      <c r="O70" s="33" t="e">
        <f>VLOOKUP(A1,DIV_06Data!$A$1:$DZU$1000000,1189,FALSE)</f>
        <v>#N/A</v>
      </c>
      <c r="P70" s="46" t="e">
        <f>VLOOKUP(A1,DIV_06Data!$A$1:$DZU$1000000,1190,FALSE)</f>
        <v>#N/A</v>
      </c>
      <c r="Q70" s="33" t="e">
        <f>VLOOKUP(A1,DIV_06Data!$A$1:$DZU$1000000,1191,FALSE)</f>
        <v>#N/A</v>
      </c>
    </row>
    <row r="71" spans="1:17" x14ac:dyDescent="0.35">
      <c r="A71" s="22" t="e">
        <f>VLOOKUP(A1,DIV_06Data!$A$1:$DZU$1000000,1192,FALSE)</f>
        <v>#N/A</v>
      </c>
      <c r="B71" s="37" t="e">
        <f>VLOOKUP(A1,DIV_06Data!$A$1:$DZU$1000000,1193,FALSE)</f>
        <v>#N/A</v>
      </c>
      <c r="C71" s="38" t="e">
        <f>VLOOKUP(A1,DIV_06Data!$A$1:$DZU$1000000,1194,FALSE)</f>
        <v>#N/A</v>
      </c>
      <c r="D71" s="31" t="e">
        <f>VLOOKUP(A1,DIV_06Data!$A$1:$DZU$1000000,1195,FALSE)</f>
        <v>#N/A</v>
      </c>
      <c r="E71" s="32" t="e">
        <f>VLOOKUP(A1,DIV_06Data!$A$1:$DZU$1000000,1196,FALSE)</f>
        <v>#N/A</v>
      </c>
      <c r="F71" s="34" t="e">
        <f>VLOOKUP(A1,DIV_06Data!$A$1:$DZU$1000000,1197,FALSE)</f>
        <v>#N/A</v>
      </c>
      <c r="G71" s="33" t="e">
        <f>VLOOKUP(A1,DIV_06Data!$A$1:$DZU$1000000,1198,FALSE)</f>
        <v>#N/A</v>
      </c>
      <c r="H71" s="34" t="e">
        <f>VLOOKUP(A1,DIV_06Data!$A$1:$DZU$1000000,1199,FALSE)</f>
        <v>#N/A</v>
      </c>
      <c r="I71" s="33" t="e">
        <f>VLOOKUP(A1,DIV_06Data!$A$1:$DZU$1000000,1200,FALSE)</f>
        <v>#N/A</v>
      </c>
      <c r="J71" s="34" t="e">
        <f>VLOOKUP(A1,DIV_06Data!$A$1:$DZU$1000000,1201,FALSE)</f>
        <v>#N/A</v>
      </c>
      <c r="K71" s="34" t="e">
        <f>VLOOKUP(A1,DIV_06Data!$A$1:$DZU$1000000,1202,FALSE)</f>
        <v>#N/A</v>
      </c>
      <c r="L71" s="93" t="e">
        <f>VLOOKUP(A1,DIV_06Data!$A$1:$DZU$1000000,1203,FALSE)</f>
        <v>#N/A</v>
      </c>
      <c r="M71" s="33" t="e">
        <f>VLOOKUP(A1,DIV_06Data!$A$1:$DZU$1000000,1204,FALSE)</f>
        <v>#N/A</v>
      </c>
      <c r="N71" s="34" t="e">
        <f>VLOOKUP(A1,DIV_06Data!$A$1:$DZU$1000000,1205,FALSE)</f>
        <v>#N/A</v>
      </c>
      <c r="O71" s="33" t="e">
        <f>VLOOKUP(A1,DIV_06Data!$A$1:$DZU$1000000,1206,FALSE)</f>
        <v>#N/A</v>
      </c>
      <c r="P71" s="46" t="e">
        <f>VLOOKUP(A1,DIV_06Data!$A$1:$DZU$1000000,1207,FALSE)</f>
        <v>#N/A</v>
      </c>
      <c r="Q71" s="33" t="e">
        <f>VLOOKUP(A1,DIV_06Data!$A$1:$DZU$1000000,1208,FALSE)</f>
        <v>#N/A</v>
      </c>
    </row>
    <row r="72" spans="1:17" x14ac:dyDescent="0.35">
      <c r="A72" s="22" t="e">
        <f>VLOOKUP(A1,DIV_06Data!$A$1:$DZU$1000000,1209,FALSE)</f>
        <v>#N/A</v>
      </c>
      <c r="B72" s="37" t="e">
        <f>VLOOKUP(A1,DIV_06Data!$A$1:$DZU$1000000,1210,FALSE)</f>
        <v>#N/A</v>
      </c>
      <c r="C72" s="38" t="e">
        <f>VLOOKUP(A1,DIV_06Data!$A$1:$DZU$1000000,1211,FALSE)</f>
        <v>#N/A</v>
      </c>
      <c r="D72" s="31" t="e">
        <f>VLOOKUP(A1,DIV_06Data!$A$1:$DZU$1000000,1212,FALSE)</f>
        <v>#N/A</v>
      </c>
      <c r="E72" s="32" t="e">
        <f>VLOOKUP(A1,DIV_06Data!$A$1:$DZU$1000000,1213,FALSE)</f>
        <v>#N/A</v>
      </c>
      <c r="F72" s="34" t="e">
        <f>VLOOKUP(A1,DIV_06Data!$A$1:$DZU$1000000,1214,FALSE)</f>
        <v>#N/A</v>
      </c>
      <c r="G72" s="33" t="e">
        <f>VLOOKUP(A1,DIV_06Data!$A$1:$DZU$1000000,1215,FALSE)</f>
        <v>#N/A</v>
      </c>
      <c r="H72" s="34" t="e">
        <f>VLOOKUP(A1,DIV_06Data!$A$1:$DZU$1000000,1216,FALSE)</f>
        <v>#N/A</v>
      </c>
      <c r="I72" s="33" t="e">
        <f>VLOOKUP(A1,DIV_06Data!$A$1:$DZU$1000000,1217,FALSE)</f>
        <v>#N/A</v>
      </c>
      <c r="J72" s="34" t="e">
        <f>VLOOKUP(A1,DIV_06Data!$A$1:$DZU$1000000,1218,FALSE)</f>
        <v>#N/A</v>
      </c>
      <c r="K72" s="34" t="e">
        <f>VLOOKUP(A1,DIV_06Data!$A$1:$DZU$1000000,1219,FALSE)</f>
        <v>#N/A</v>
      </c>
      <c r="L72" s="93" t="e">
        <f>VLOOKUP(A1,DIV_06Data!$A$1:$DZU$1000000,1220,FALSE)</f>
        <v>#N/A</v>
      </c>
      <c r="M72" s="33" t="e">
        <f>VLOOKUP(A1,DIV_06Data!$A$1:$DZU$1000000,1221,FALSE)</f>
        <v>#N/A</v>
      </c>
      <c r="N72" s="34" t="e">
        <f>VLOOKUP(A1,DIV_06Data!$A$1:$DZU$1000000,1222,FALSE)</f>
        <v>#N/A</v>
      </c>
      <c r="O72" s="33" t="e">
        <f>VLOOKUP(A1,DIV_06Data!$A$1:$DZU$1000000,1223,FALSE)</f>
        <v>#N/A</v>
      </c>
      <c r="P72" s="46" t="e">
        <f>VLOOKUP(A1,DIV_06Data!$A$1:$DZU$1000000,1224,FALSE)</f>
        <v>#N/A</v>
      </c>
      <c r="Q72" s="33" t="e">
        <f>VLOOKUP(A1,DIV_06Data!$A$1:$DZU$1000000,1225,FALSE)</f>
        <v>#N/A</v>
      </c>
    </row>
    <row r="73" spans="1:17" x14ac:dyDescent="0.35">
      <c r="A73" s="22" t="e">
        <f>VLOOKUP(A1,DIV_06Data!$A$1:$DZU$1000000,1226,FALSE)</f>
        <v>#N/A</v>
      </c>
      <c r="B73" s="37" t="e">
        <f>VLOOKUP(A1,DIV_06Data!$A$1:$DZU$1000000,1227,FALSE)</f>
        <v>#N/A</v>
      </c>
      <c r="C73" s="38" t="e">
        <f>VLOOKUP(A1,DIV_06Data!$A$1:$DZU$1000000,1228,FALSE)</f>
        <v>#N/A</v>
      </c>
      <c r="D73" s="31" t="e">
        <f>VLOOKUP(A1,DIV_06Data!$A$1:$DZU$1000000,1229,FALSE)</f>
        <v>#N/A</v>
      </c>
      <c r="E73" s="32" t="e">
        <f>VLOOKUP(A1,DIV_06Data!$A$1:$DZU$1000000,1230,FALSE)</f>
        <v>#N/A</v>
      </c>
      <c r="F73" s="34" t="e">
        <f>VLOOKUP(A1,DIV_06Data!$A$1:$DZU$1000000,1231,FALSE)</f>
        <v>#N/A</v>
      </c>
      <c r="G73" s="33" t="e">
        <f>VLOOKUP(A1,DIV_06Data!$A$1:$DZU$1000000,1232,FALSE)</f>
        <v>#N/A</v>
      </c>
      <c r="H73" s="34" t="e">
        <f>VLOOKUP(A1,DIV_06Data!$A$1:$DZU$1000000,1233,FALSE)</f>
        <v>#N/A</v>
      </c>
      <c r="I73" s="33" t="e">
        <f>VLOOKUP(A1,DIV_06Data!$A$1:$DZU$1000000,1234,FALSE)</f>
        <v>#N/A</v>
      </c>
      <c r="J73" s="34" t="e">
        <f>VLOOKUP(A1,DIV_06Data!$A$1:$DZU$1000000,1235,FALSE)</f>
        <v>#N/A</v>
      </c>
      <c r="K73" s="34" t="e">
        <f>VLOOKUP(A1,DIV_06Data!$A$1:$DZU$1000000,1236,FALSE)</f>
        <v>#N/A</v>
      </c>
      <c r="L73" s="93" t="e">
        <f>VLOOKUP(A1,DIV_06Data!$A$1:$DZU$1000000,1237,FALSE)</f>
        <v>#N/A</v>
      </c>
      <c r="M73" s="33" t="e">
        <f>VLOOKUP(A1,DIV_06Data!$A$1:$DZU$1000000,1238,FALSE)</f>
        <v>#N/A</v>
      </c>
      <c r="N73" s="34" t="e">
        <f>VLOOKUP(A1,DIV_06Data!$A$1:$DZU$1000000,1239,FALSE)</f>
        <v>#N/A</v>
      </c>
      <c r="O73" s="33" t="e">
        <f>VLOOKUP(A1,DIV_06Data!$A$1:$DZU$1000000,1240,FALSE)</f>
        <v>#N/A</v>
      </c>
      <c r="P73" s="46" t="e">
        <f>VLOOKUP(A1,DIV_06Data!$A$1:$DZU$1000000,1241,FALSE)</f>
        <v>#N/A</v>
      </c>
      <c r="Q73" s="33" t="e">
        <f>VLOOKUP(A1,DIV_06Data!$A$1:$DZU$1000000,1242,FALSE)</f>
        <v>#N/A</v>
      </c>
    </row>
    <row r="74" spans="1:17" x14ac:dyDescent="0.35">
      <c r="A74" s="22" t="e">
        <f>VLOOKUP(A1,DIV_06Data!$A$1:$DZU$1000000,1243,FALSE)</f>
        <v>#N/A</v>
      </c>
      <c r="B74" s="37" t="e">
        <f>VLOOKUP(A1,DIV_06Data!$A$1:$DZU$1000000,1244,FALSE)</f>
        <v>#N/A</v>
      </c>
      <c r="C74" s="38" t="e">
        <f>VLOOKUP(A1,DIV_06Data!$A$1:$DZU$1000000,1245,FALSE)</f>
        <v>#N/A</v>
      </c>
      <c r="D74" s="31" t="e">
        <f>VLOOKUP(A1,DIV_06Data!$A$1:$DZU$1000000,1246,FALSE)</f>
        <v>#N/A</v>
      </c>
      <c r="E74" s="32" t="e">
        <f>VLOOKUP(A1,DIV_06Data!$A$1:$DZU$1000000,1247,FALSE)</f>
        <v>#N/A</v>
      </c>
      <c r="F74" s="34" t="e">
        <f>VLOOKUP(A1,DIV_06Data!$A$1:$DZU$1000000,1248,FALSE)</f>
        <v>#N/A</v>
      </c>
      <c r="G74" s="33" t="e">
        <f>VLOOKUP(A1,DIV_06Data!$A$1:$DZU$1000000,1249,FALSE)</f>
        <v>#N/A</v>
      </c>
      <c r="H74" s="34" t="e">
        <f>VLOOKUP(A1,DIV_06Data!$A$1:$DZU$1000000,1250,FALSE)</f>
        <v>#N/A</v>
      </c>
      <c r="I74" s="33" t="e">
        <f>VLOOKUP(A1,DIV_06Data!$A$1:$DZU$1000000,1251,FALSE)</f>
        <v>#N/A</v>
      </c>
      <c r="J74" s="34" t="e">
        <f>VLOOKUP(A1,DIV_06Data!$A$1:$DZU$1000000,1252,FALSE)</f>
        <v>#N/A</v>
      </c>
      <c r="K74" s="34" t="e">
        <f>VLOOKUP(A1,DIV_06Data!$A$1:$DZU$1000000,1253,FALSE)</f>
        <v>#N/A</v>
      </c>
      <c r="L74" s="93" t="e">
        <f>VLOOKUP(A1,DIV_06Data!$A$1:$DZU$1000000,1254,FALSE)</f>
        <v>#N/A</v>
      </c>
      <c r="M74" s="33" t="e">
        <f>VLOOKUP(A1,DIV_06Data!$A$1:$DZU$1000000,1255,FALSE)</f>
        <v>#N/A</v>
      </c>
      <c r="N74" s="34" t="e">
        <f>VLOOKUP(A1,DIV_06Data!$A$1:$DZU$1000000,1256,FALSE)</f>
        <v>#N/A</v>
      </c>
      <c r="O74" s="33" t="e">
        <f>VLOOKUP(A1,DIV_06Data!$A$1:$DZU$1000000,1257,FALSE)</f>
        <v>#N/A</v>
      </c>
      <c r="P74" s="46" t="e">
        <f>VLOOKUP(A1,DIV_06Data!$A$1:$DZU$1000000,1258,FALSE)</f>
        <v>#N/A</v>
      </c>
      <c r="Q74" s="33" t="e">
        <f>VLOOKUP(A1,DIV_06Data!$A$1:$DZU$1000000,1259,FALSE)</f>
        <v>#N/A</v>
      </c>
    </row>
    <row r="75" spans="1:17" x14ac:dyDescent="0.35">
      <c r="A75" s="22" t="e">
        <f>VLOOKUP(A1,DIV_06Data!$A$1:$DZU$1000000,1260,FALSE)</f>
        <v>#N/A</v>
      </c>
      <c r="B75" s="37" t="e">
        <f>VLOOKUP(A1,DIV_06Data!$A$1:$DZU$1000000,1261,FALSE)</f>
        <v>#N/A</v>
      </c>
      <c r="C75" s="38" t="e">
        <f>VLOOKUP(A1,DIV_06Data!$A$1:$DZU$1000000,1262,FALSE)</f>
        <v>#N/A</v>
      </c>
      <c r="D75" s="31" t="e">
        <f>VLOOKUP(A1,DIV_06Data!$A$1:$DZU$1000000,1263,FALSE)</f>
        <v>#N/A</v>
      </c>
      <c r="E75" s="32" t="e">
        <f>VLOOKUP(A1,DIV_06Data!$A$1:$DZU$1000000,1264,FALSE)</f>
        <v>#N/A</v>
      </c>
      <c r="F75" s="34" t="e">
        <f>VLOOKUP(A1,DIV_06Data!$A$1:$DZU$1000000,1265,FALSE)</f>
        <v>#N/A</v>
      </c>
      <c r="G75" s="33" t="e">
        <f>VLOOKUP(A1,DIV_06Data!$A$1:$DZU$1000000,1266,FALSE)</f>
        <v>#N/A</v>
      </c>
      <c r="H75" s="34" t="e">
        <f>VLOOKUP(A1,DIV_06Data!$A$1:$DZU$1000000,1267,FALSE)</f>
        <v>#N/A</v>
      </c>
      <c r="I75" s="33" t="e">
        <f>VLOOKUP(A1,DIV_06Data!$A$1:$DZU$1000000,1268,FALSE)</f>
        <v>#N/A</v>
      </c>
      <c r="J75" s="34" t="e">
        <f>VLOOKUP(A1,DIV_06Data!$A$1:$DZU$1000000,1269,FALSE)</f>
        <v>#N/A</v>
      </c>
      <c r="K75" s="34" t="e">
        <f>VLOOKUP(A1,DIV_06Data!$A$1:$DZU$1000000,1270,FALSE)</f>
        <v>#N/A</v>
      </c>
      <c r="L75" s="93" t="e">
        <f>VLOOKUP(A1,DIV_06Data!$A$1:$DZU$1000000,1271,FALSE)</f>
        <v>#N/A</v>
      </c>
      <c r="M75" s="33" t="e">
        <f>VLOOKUP(A1,DIV_06Data!$A$1:$DZU$1000000,1272,FALSE)</f>
        <v>#N/A</v>
      </c>
      <c r="N75" s="34" t="e">
        <f>VLOOKUP(A1,DIV_06Data!$A$1:$DZU$1000000,1273,FALSE)</f>
        <v>#N/A</v>
      </c>
      <c r="O75" s="33" t="e">
        <f>VLOOKUP(A1,DIV_06Data!$A$1:$DZU$1000000,1274,FALSE)</f>
        <v>#N/A</v>
      </c>
      <c r="P75" s="46" t="e">
        <f>VLOOKUP(A1,DIV_06Data!$A$1:$DZU$1000000,1275,FALSE)</f>
        <v>#N/A</v>
      </c>
      <c r="Q75" s="33" t="e">
        <f>VLOOKUP(A1,DIV_06Data!$A$1:$DZU$1000000,1276,FALSE)</f>
        <v>#N/A</v>
      </c>
    </row>
    <row r="76" spans="1:17" x14ac:dyDescent="0.35">
      <c r="A76" s="22" t="e">
        <f>VLOOKUP(A1,DIV_06Data!$A$1:$DZU$1000000,1277,FALSE)</f>
        <v>#N/A</v>
      </c>
      <c r="B76" s="37" t="e">
        <f>VLOOKUP(A1,DIV_06Data!$A$1:$DZU$1000000,1278,FALSE)</f>
        <v>#N/A</v>
      </c>
      <c r="C76" s="38" t="e">
        <f>VLOOKUP(A1,DIV_06Data!$A$1:$DZU$1000000,1279,FALSE)</f>
        <v>#N/A</v>
      </c>
      <c r="D76" s="31" t="e">
        <f>VLOOKUP(A1,DIV_06Data!$A$1:$DZU$1000000,1280,FALSE)</f>
        <v>#N/A</v>
      </c>
      <c r="E76" s="32" t="e">
        <f>VLOOKUP(A1,DIV_06Data!$A$1:$DZU$1000000,1281,FALSE)</f>
        <v>#N/A</v>
      </c>
      <c r="F76" s="34" t="e">
        <f>VLOOKUP(A1,DIV_06Data!$A$1:$DZU$1000000,1282,FALSE)</f>
        <v>#N/A</v>
      </c>
      <c r="G76" s="33" t="e">
        <f>VLOOKUP(A1,DIV_06Data!$A$1:$DZU$1000000,1283,FALSE)</f>
        <v>#N/A</v>
      </c>
      <c r="H76" s="34" t="e">
        <f>VLOOKUP(A1,DIV_06Data!$A$1:$DZU$1000000,1284,FALSE)</f>
        <v>#N/A</v>
      </c>
      <c r="I76" s="33" t="e">
        <f>VLOOKUP(A1,DIV_06Data!$A$1:$DZU$1000000,1285,FALSE)</f>
        <v>#N/A</v>
      </c>
      <c r="J76" s="34" t="e">
        <f>VLOOKUP(A1,DIV_06Data!$A$1:$DZU$1000000,1286,FALSE)</f>
        <v>#N/A</v>
      </c>
      <c r="K76" s="34" t="e">
        <f>VLOOKUP(A1,DIV_06Data!$A$1:$DZU$1000000,1287,FALSE)</f>
        <v>#N/A</v>
      </c>
      <c r="L76" s="93" t="e">
        <f>VLOOKUP(A1,DIV_06Data!$A$1:$DZU$1000000,1288,FALSE)</f>
        <v>#N/A</v>
      </c>
      <c r="M76" s="33" t="e">
        <f>VLOOKUP(A1,DIV_06Data!$A$1:$DZU$1000000,1289,FALSE)</f>
        <v>#N/A</v>
      </c>
      <c r="N76" s="34" t="e">
        <f>VLOOKUP(A1,DIV_06Data!$A$1:$DZU$1000000,1290,FALSE)</f>
        <v>#N/A</v>
      </c>
      <c r="O76" s="33" t="e">
        <f>VLOOKUP(A1,DIV_06Data!$A$1:$DZU$1000000,1291,FALSE)</f>
        <v>#N/A</v>
      </c>
      <c r="P76" s="46" t="e">
        <f>VLOOKUP(A1,DIV_06Data!$A$1:$DZU$1000000,1292,FALSE)</f>
        <v>#N/A</v>
      </c>
      <c r="Q76" s="33" t="e">
        <f>VLOOKUP(A1,DIV_06Data!$A$1:$DZU$1000000,1293,FALSE)</f>
        <v>#N/A</v>
      </c>
    </row>
    <row r="77" spans="1:17" x14ac:dyDescent="0.35">
      <c r="A77" s="22" t="e">
        <f>VLOOKUP(A1,DIV_06Data!$A$1:$DZU$1000000,1294,FALSE)</f>
        <v>#N/A</v>
      </c>
      <c r="B77" s="37" t="e">
        <f>VLOOKUP(A1,DIV_06Data!$A$1:$DZU$1000000,1295,FALSE)</f>
        <v>#N/A</v>
      </c>
      <c r="C77" s="38" t="e">
        <f>VLOOKUP(A1,DIV_06Data!$A$1:$DZU$1000000,1296,FALSE)</f>
        <v>#N/A</v>
      </c>
      <c r="D77" s="31" t="e">
        <f>VLOOKUP(A1,DIV_06Data!$A$1:$DZU$1000000,1297,FALSE)</f>
        <v>#N/A</v>
      </c>
      <c r="E77" s="32" t="e">
        <f>VLOOKUP(A1,DIV_06Data!$A$1:$DZU$1000000,1298,FALSE)</f>
        <v>#N/A</v>
      </c>
      <c r="F77" s="34" t="e">
        <f>VLOOKUP(A1,DIV_06Data!$A$1:$DZU$1000000,1299,FALSE)</f>
        <v>#N/A</v>
      </c>
      <c r="G77" s="33" t="e">
        <f>VLOOKUP(A1,DIV_06Data!$A$1:$DZU$1000000,1300,FALSE)</f>
        <v>#N/A</v>
      </c>
      <c r="H77" s="34" t="e">
        <f>VLOOKUP(A1,DIV_06Data!$A$1:$DZU$1000000,1301,FALSE)</f>
        <v>#N/A</v>
      </c>
      <c r="I77" s="33" t="e">
        <f>VLOOKUP(A1,DIV_06Data!$A$1:$DZU$1000000,1302,FALSE)</f>
        <v>#N/A</v>
      </c>
      <c r="J77" s="34" t="e">
        <f>VLOOKUP(A1,DIV_06Data!$A$1:$DZU$1000000,1303,FALSE)</f>
        <v>#N/A</v>
      </c>
      <c r="K77" s="34" t="e">
        <f>VLOOKUP(A1,DIV_06Data!$A$1:$DZU$1000000,1304,FALSE)</f>
        <v>#N/A</v>
      </c>
      <c r="L77" s="93" t="e">
        <f>VLOOKUP(A1,DIV_06Data!$A$1:$DZU$1000000,1305,FALSE)</f>
        <v>#N/A</v>
      </c>
      <c r="M77" s="33" t="e">
        <f>VLOOKUP(A1,DIV_06Data!$A$1:$DZU$1000000,1306,FALSE)</f>
        <v>#N/A</v>
      </c>
      <c r="N77" s="34" t="e">
        <f>VLOOKUP(A1,DIV_06Data!$A$1:$DZU$1000000,1307,FALSE)</f>
        <v>#N/A</v>
      </c>
      <c r="O77" s="33" t="e">
        <f>VLOOKUP(A1,DIV_06Data!$A$1:$DZU$1000000,1308,FALSE)</f>
        <v>#N/A</v>
      </c>
      <c r="P77" s="46" t="e">
        <f>VLOOKUP(A1,DIV_06Data!$A$1:$DZU$1000000,1309,FALSE)</f>
        <v>#N/A</v>
      </c>
      <c r="Q77" s="33" t="e">
        <f>VLOOKUP(A1,DIV_06Data!$A$1:$DZU$1000000,1310,FALSE)</f>
        <v>#N/A</v>
      </c>
    </row>
    <row r="78" spans="1:17" x14ac:dyDescent="0.35">
      <c r="A78" s="22" t="e">
        <f>VLOOKUP(A1,DIV_06Data!$A$1:$DZU$1000000,1311,FALSE)</f>
        <v>#N/A</v>
      </c>
      <c r="B78" s="37" t="e">
        <f>VLOOKUP(A1,DIV_06Data!$A$1:$DZU$1000000,1312,FALSE)</f>
        <v>#N/A</v>
      </c>
      <c r="C78" s="38" t="e">
        <f>VLOOKUP(A1,DIV_06Data!$A$1:$DZU$1000000,1313,FALSE)</f>
        <v>#N/A</v>
      </c>
      <c r="D78" s="31" t="e">
        <f>VLOOKUP(A1,DIV_06Data!$A$1:$DZU$1000000,1314,FALSE)</f>
        <v>#N/A</v>
      </c>
      <c r="E78" s="32" t="e">
        <f>VLOOKUP(A1,DIV_06Data!$A$1:$DZU$1000000,1315,FALSE)</f>
        <v>#N/A</v>
      </c>
      <c r="F78" s="34" t="e">
        <f>VLOOKUP(A1,DIV_06Data!$A$1:$DZU$1000000,1316,FALSE)</f>
        <v>#N/A</v>
      </c>
      <c r="G78" s="33" t="e">
        <f>VLOOKUP(A1,DIV_06Data!$A$1:$DZU$1000000,1317,FALSE)</f>
        <v>#N/A</v>
      </c>
      <c r="H78" s="34" t="e">
        <f>VLOOKUP(A1,DIV_06Data!$A$1:$DZU$1000000,1318,FALSE)</f>
        <v>#N/A</v>
      </c>
      <c r="I78" s="33" t="e">
        <f>VLOOKUP(A1,DIV_06Data!$A$1:$DZU$1000000,1319,FALSE)</f>
        <v>#N/A</v>
      </c>
      <c r="J78" s="34" t="e">
        <f>VLOOKUP(A1,DIV_06Data!$A$1:$DZU$1000000,1320,FALSE)</f>
        <v>#N/A</v>
      </c>
      <c r="K78" s="34" t="e">
        <f>VLOOKUP(A1,DIV_06Data!$A$1:$DZU$1000000,1321,FALSE)</f>
        <v>#N/A</v>
      </c>
      <c r="L78" s="93" t="e">
        <f>VLOOKUP(A1,DIV_06Data!$A$1:$DZU$1000000,1322,FALSE)</f>
        <v>#N/A</v>
      </c>
      <c r="M78" s="33" t="e">
        <f>VLOOKUP(A1,DIV_06Data!$A$1:$DZU$1000000,1323,FALSE)</f>
        <v>#N/A</v>
      </c>
      <c r="N78" s="34" t="e">
        <f>VLOOKUP(A1,DIV_06Data!$A$1:$DZU$1000000,1324,FALSE)</f>
        <v>#N/A</v>
      </c>
      <c r="O78" s="33" t="e">
        <f>VLOOKUP(A1,DIV_06Data!$A$1:$DZU$1000000,1325,FALSE)</f>
        <v>#N/A</v>
      </c>
      <c r="P78" s="46" t="e">
        <f>VLOOKUP(A1,DIV_06Data!$A$1:$DZU$1000000,1326,FALSE)</f>
        <v>#N/A</v>
      </c>
      <c r="Q78" s="33" t="e">
        <f>VLOOKUP(A1,DIV_06Data!$A$1:$DZU$1000000,1327,FALSE)</f>
        <v>#N/A</v>
      </c>
    </row>
    <row r="79" spans="1:17" x14ac:dyDescent="0.35">
      <c r="A79" s="22" t="e">
        <f>VLOOKUP(A1,DIV_06Data!$A$1:$DZU$1000000,1328,FALSE)</f>
        <v>#N/A</v>
      </c>
      <c r="B79" s="37" t="e">
        <f>VLOOKUP(A1,DIV_06Data!$A$1:$DZU$1000000,1329,FALSE)</f>
        <v>#N/A</v>
      </c>
      <c r="C79" s="38" t="e">
        <f>VLOOKUP(A1,DIV_06Data!$A$1:$DZU$1000000,1330,FALSE)</f>
        <v>#N/A</v>
      </c>
      <c r="D79" s="31" t="e">
        <f>VLOOKUP(A1,DIV_06Data!$A$1:$DZU$1000000,1331,FALSE)</f>
        <v>#N/A</v>
      </c>
      <c r="E79" s="32" t="e">
        <f>VLOOKUP(A1,DIV_06Data!$A$1:$DZU$1000000,1332,FALSE)</f>
        <v>#N/A</v>
      </c>
      <c r="F79" s="34" t="e">
        <f>VLOOKUP(A1,DIV_06Data!$A$1:$DZU$1000000,1333,FALSE)</f>
        <v>#N/A</v>
      </c>
      <c r="G79" s="33" t="e">
        <f>VLOOKUP(A1,DIV_06Data!$A$1:$DZU$1000000,1334,FALSE)</f>
        <v>#N/A</v>
      </c>
      <c r="H79" s="34" t="e">
        <f>VLOOKUP(A1,DIV_06Data!$A$1:$DZU$1000000,1335,FALSE)</f>
        <v>#N/A</v>
      </c>
      <c r="I79" s="33" t="e">
        <f>VLOOKUP(A1,DIV_06Data!$A$1:$DZU$1000000,1336,FALSE)</f>
        <v>#N/A</v>
      </c>
      <c r="J79" s="34" t="e">
        <f>VLOOKUP(A1,DIV_06Data!$A$1:$DZU$1000000,1337,FALSE)</f>
        <v>#N/A</v>
      </c>
      <c r="K79" s="34" t="e">
        <f>VLOOKUP(A1,DIV_06Data!$A$1:$DZU$1000000,1338,FALSE)</f>
        <v>#N/A</v>
      </c>
      <c r="L79" s="93" t="e">
        <f>VLOOKUP(A1,DIV_06Data!$A$1:$DZU$1000000,1339,FALSE)</f>
        <v>#N/A</v>
      </c>
      <c r="M79" s="33" t="e">
        <f>VLOOKUP(A1,DIV_06Data!$A$1:$DZU$1000000,1340,FALSE)</f>
        <v>#N/A</v>
      </c>
      <c r="N79" s="34" t="e">
        <f>VLOOKUP(A1,DIV_06Data!$A$1:$DZU$1000000,1341,FALSE)</f>
        <v>#N/A</v>
      </c>
      <c r="O79" s="33" t="e">
        <f>VLOOKUP(A1,DIV_06Data!$A$1:$DZU$1000000,1342,FALSE)</f>
        <v>#N/A</v>
      </c>
      <c r="P79" s="46" t="e">
        <f>VLOOKUP(A1,DIV_06Data!$A$1:$DZU$1000000,1343,FALSE)</f>
        <v>#N/A</v>
      </c>
      <c r="Q79" s="33" t="e">
        <f>VLOOKUP(A1,DIV_06Data!$A$1:$DZU$1000000,1344,FALSE)</f>
        <v>#N/A</v>
      </c>
    </row>
    <row r="80" spans="1:17" x14ac:dyDescent="0.35">
      <c r="A80" s="22" t="e">
        <f>VLOOKUP(A1,DIV_06Data!$A$1:$DZU$1000000,1345,FALSE)</f>
        <v>#N/A</v>
      </c>
      <c r="B80" s="37" t="e">
        <f>VLOOKUP(A1,DIV_06Data!$A$1:$DZU$1000000,1346,FALSE)</f>
        <v>#N/A</v>
      </c>
      <c r="C80" s="38" t="e">
        <f>VLOOKUP(A1,DIV_06Data!$A$1:$DZU$1000000,1347,FALSE)</f>
        <v>#N/A</v>
      </c>
      <c r="D80" s="31" t="e">
        <f>VLOOKUP(A1,DIV_06Data!$A$1:$DZU$1000000,1348,FALSE)</f>
        <v>#N/A</v>
      </c>
      <c r="E80" s="32" t="e">
        <f>VLOOKUP(A1,DIV_06Data!$A$1:$DZU$1000000,1349,FALSE)</f>
        <v>#N/A</v>
      </c>
      <c r="F80" s="34" t="e">
        <f>VLOOKUP(A1,DIV_06Data!$A$1:$DZU$1000000,1350,FALSE)</f>
        <v>#N/A</v>
      </c>
      <c r="G80" s="33" t="e">
        <f>VLOOKUP(A1,DIV_06Data!$A$1:$DZU$1000000,1351,FALSE)</f>
        <v>#N/A</v>
      </c>
      <c r="H80" s="34" t="e">
        <f>VLOOKUP(A1,DIV_06Data!$A$1:$DZU$1000000,1352,FALSE)</f>
        <v>#N/A</v>
      </c>
      <c r="I80" s="33" t="e">
        <f>VLOOKUP(A1,DIV_06Data!$A$1:$DZU$1000000,1353,FALSE)</f>
        <v>#N/A</v>
      </c>
      <c r="J80" s="34" t="e">
        <f>VLOOKUP(A1,DIV_06Data!$A$1:$DZU$1000000,1354,FALSE)</f>
        <v>#N/A</v>
      </c>
      <c r="K80" s="34" t="e">
        <f>VLOOKUP(A1,DIV_06Data!$A$1:$DZU$1000000,1355,FALSE)</f>
        <v>#N/A</v>
      </c>
      <c r="L80" s="93" t="e">
        <f>VLOOKUP(A1,DIV_06Data!$A$1:$DZU$1000000,1356,FALSE)</f>
        <v>#N/A</v>
      </c>
      <c r="M80" s="33" t="e">
        <f>VLOOKUP(A1,DIV_06Data!$A$1:$DZU$1000000,1357,FALSE)</f>
        <v>#N/A</v>
      </c>
      <c r="N80" s="34" t="e">
        <f>VLOOKUP(A1,DIV_06Data!$A$1:$DZU$1000000,1358,FALSE)</f>
        <v>#N/A</v>
      </c>
      <c r="O80" s="33" t="e">
        <f>VLOOKUP(A1,DIV_06Data!$A$1:$DZU$1000000,1359,FALSE)</f>
        <v>#N/A</v>
      </c>
      <c r="P80" s="46" t="e">
        <f>VLOOKUP(A1,DIV_06Data!$A$1:$DZU$1000000,1360,FALSE)</f>
        <v>#N/A</v>
      </c>
      <c r="Q80" s="33" t="e">
        <f>VLOOKUP(A1,DIV_06Data!$A$1:$DZU$1000000,1361,FALSE)</f>
        <v>#N/A</v>
      </c>
    </row>
    <row r="81" spans="1:17" x14ac:dyDescent="0.35">
      <c r="A81" s="22" t="e">
        <f>VLOOKUP(A1,DIV_06Data!$A$1:$DZU$1000000,1362,FALSE)</f>
        <v>#N/A</v>
      </c>
      <c r="B81" s="37" t="e">
        <f>VLOOKUP(A1,DIV_06Data!$A$1:$DZU$1000000,1363,FALSE)</f>
        <v>#N/A</v>
      </c>
      <c r="C81" s="38" t="e">
        <f>VLOOKUP(A1,DIV_06Data!$A$1:$DZU$1000000,1364,FALSE)</f>
        <v>#N/A</v>
      </c>
      <c r="D81" s="31" t="e">
        <f>VLOOKUP(A1,DIV_06Data!$A$1:$DZU$1000000,1365,FALSE)</f>
        <v>#N/A</v>
      </c>
      <c r="E81" s="32" t="e">
        <f>VLOOKUP(A1,DIV_06Data!$A$1:$DZU$1000000,1366,FALSE)</f>
        <v>#N/A</v>
      </c>
      <c r="F81" s="34" t="e">
        <f>VLOOKUP(A1,DIV_06Data!$A$1:$DZU$1000000,1367,FALSE)</f>
        <v>#N/A</v>
      </c>
      <c r="G81" s="33" t="e">
        <f>VLOOKUP(A1,DIV_06Data!$A$1:$DZU$1000000,1368,FALSE)</f>
        <v>#N/A</v>
      </c>
      <c r="H81" s="34" t="e">
        <f>VLOOKUP(A1,DIV_06Data!$A$1:$DZU$1000000,1369,FALSE)</f>
        <v>#N/A</v>
      </c>
      <c r="I81" s="33" t="e">
        <f>VLOOKUP(A1,DIV_06Data!$A$1:$DZU$1000000,1370,FALSE)</f>
        <v>#N/A</v>
      </c>
      <c r="J81" s="34" t="e">
        <f>VLOOKUP(A1,DIV_06Data!$A$1:$DZU$1000000,1371,FALSE)</f>
        <v>#N/A</v>
      </c>
      <c r="K81" s="34" t="e">
        <f>VLOOKUP(A1,DIV_06Data!$A$1:$DZU$1000000,1372,FALSE)</f>
        <v>#N/A</v>
      </c>
      <c r="L81" s="93" t="e">
        <f>VLOOKUP(A1,DIV_06Data!$A$1:$DZU$1000000,1373,FALSE)</f>
        <v>#N/A</v>
      </c>
      <c r="M81" s="33" t="e">
        <f>VLOOKUP(A1,DIV_06Data!$A$1:$DZU$1000000,1374,FALSE)</f>
        <v>#N/A</v>
      </c>
      <c r="N81" s="34" t="e">
        <f>VLOOKUP(A1,DIV_06Data!$A$1:$DZU$1000000,1375,FALSE)</f>
        <v>#N/A</v>
      </c>
      <c r="O81" s="33" t="e">
        <f>VLOOKUP(A1,DIV_06Data!$A$1:$DZU$1000000,1376,FALSE)</f>
        <v>#N/A</v>
      </c>
      <c r="P81" s="46" t="e">
        <f>VLOOKUP(A1,DIV_06Data!$A$1:$DZU$1000000,1377,FALSE)</f>
        <v>#N/A</v>
      </c>
      <c r="Q81" s="33" t="e">
        <f>VLOOKUP(A1,DIV_06Data!$A$1:$DZU$1000000,1378,FALSE)</f>
        <v>#N/A</v>
      </c>
    </row>
    <row r="82" spans="1:17" x14ac:dyDescent="0.35">
      <c r="A82" s="22" t="e">
        <f>VLOOKUP(A1,DIV_06Data!$A$1:$DZU$1000000,1379,FALSE)</f>
        <v>#N/A</v>
      </c>
      <c r="B82" s="37" t="e">
        <f>VLOOKUP(A1,DIV_06Data!$A$1:$DZU$1000000,1380,FALSE)</f>
        <v>#N/A</v>
      </c>
      <c r="C82" s="38" t="e">
        <f>VLOOKUP(A1,DIV_06Data!$A$1:$DZU$1000000,1381,FALSE)</f>
        <v>#N/A</v>
      </c>
      <c r="D82" s="31" t="e">
        <f>VLOOKUP(A1,DIV_06Data!$A$1:$DZU$1000000,1382,FALSE)</f>
        <v>#N/A</v>
      </c>
      <c r="E82" s="32" t="e">
        <f>VLOOKUP(A1,DIV_06Data!$A$1:$DZU$1000000,1383,FALSE)</f>
        <v>#N/A</v>
      </c>
      <c r="F82" s="34" t="e">
        <f>VLOOKUP(A1,DIV_06Data!$A$1:$DZU$1000000,1384,FALSE)</f>
        <v>#N/A</v>
      </c>
      <c r="G82" s="33" t="e">
        <f>VLOOKUP(A1,DIV_06Data!$A$1:$DZU$1000000,1385,FALSE)</f>
        <v>#N/A</v>
      </c>
      <c r="H82" s="34" t="e">
        <f>VLOOKUP(A1,DIV_06Data!$A$1:$DZU$1000000,1386,FALSE)</f>
        <v>#N/A</v>
      </c>
      <c r="I82" s="33" t="e">
        <f>VLOOKUP(A1,DIV_06Data!$A$1:$DZU$1000000,1387,FALSE)</f>
        <v>#N/A</v>
      </c>
      <c r="J82" s="34" t="e">
        <f>VLOOKUP(A1,DIV_06Data!$A$1:$DZU$1000000,1388,FALSE)</f>
        <v>#N/A</v>
      </c>
      <c r="K82" s="34" t="e">
        <f>VLOOKUP(A1,DIV_06Data!$A$1:$DZU$1000000,1389,FALSE)</f>
        <v>#N/A</v>
      </c>
      <c r="L82" s="93" t="e">
        <f>VLOOKUP(A1,DIV_06Data!$A$1:$DZU$1000000,1390,FALSE)</f>
        <v>#N/A</v>
      </c>
      <c r="M82" s="33" t="e">
        <f>VLOOKUP(A1,DIV_06Data!$A$1:$DZU$1000000,1391,FALSE)</f>
        <v>#N/A</v>
      </c>
      <c r="N82" s="34" t="e">
        <f>VLOOKUP(A1,DIV_06Data!$A$1:$DZU$1000000,1392,FALSE)</f>
        <v>#N/A</v>
      </c>
      <c r="O82" s="33" t="e">
        <f>VLOOKUP(A1,DIV_06Data!$A$1:$DZU$1000000,1393,FALSE)</f>
        <v>#N/A</v>
      </c>
      <c r="P82" s="46" t="e">
        <f>VLOOKUP(A1,DIV_06Data!$A$1:$DZU$1000000,1394,FALSE)</f>
        <v>#N/A</v>
      </c>
      <c r="Q82" s="33" t="e">
        <f>VLOOKUP(A1,DIV_06Data!$A$1:$DZU$1000000,1395,FALSE)</f>
        <v>#N/A</v>
      </c>
    </row>
    <row r="83" spans="1:17" x14ac:dyDescent="0.35">
      <c r="A83" s="22" t="e">
        <f>VLOOKUP(A1,DIV_06Data!$A$1:$DZU$1000000,1396,FALSE)</f>
        <v>#N/A</v>
      </c>
      <c r="B83" s="37" t="e">
        <f>VLOOKUP(A1,DIV_06Data!$A$1:$DZU$1000000,1397,FALSE)</f>
        <v>#N/A</v>
      </c>
      <c r="C83" s="38" t="e">
        <f>VLOOKUP(A1,DIV_06Data!$A$1:$DZU$1000000,1398,FALSE)</f>
        <v>#N/A</v>
      </c>
      <c r="D83" s="31" t="e">
        <f>VLOOKUP(A1,DIV_06Data!$A$1:$DZU$1000000,1399,FALSE)</f>
        <v>#N/A</v>
      </c>
      <c r="E83" s="32" t="e">
        <f>VLOOKUP(A1,DIV_06Data!$A$1:$DZU$1000000,1400,FALSE)</f>
        <v>#N/A</v>
      </c>
      <c r="F83" s="34" t="e">
        <f>VLOOKUP(A1,DIV_06Data!$A$1:$DZU$1000000,1401,FALSE)</f>
        <v>#N/A</v>
      </c>
      <c r="G83" s="33" t="e">
        <f>VLOOKUP(A1,DIV_06Data!$A$1:$DZU$1000000,1402,FALSE)</f>
        <v>#N/A</v>
      </c>
      <c r="H83" s="34" t="e">
        <f>VLOOKUP(A1,DIV_06Data!$A$1:$DZU$1000000,1403,FALSE)</f>
        <v>#N/A</v>
      </c>
      <c r="I83" s="33" t="e">
        <f>VLOOKUP(A1,DIV_06Data!$A$1:$DZU$1000000,1404,FALSE)</f>
        <v>#N/A</v>
      </c>
      <c r="J83" s="34" t="e">
        <f>VLOOKUP(A1,DIV_06Data!$A$1:$DZU$1000000,1405,FALSE)</f>
        <v>#N/A</v>
      </c>
      <c r="K83" s="34" t="e">
        <f>VLOOKUP(A1,DIV_06Data!$A$1:$DZU$1000000,1406,FALSE)</f>
        <v>#N/A</v>
      </c>
      <c r="L83" s="93" t="e">
        <f>VLOOKUP(A1,DIV_06Data!$A$1:$DZU$1000000,1407,FALSE)</f>
        <v>#N/A</v>
      </c>
      <c r="M83" s="33" t="e">
        <f>VLOOKUP(A1,DIV_06Data!$A$1:$DZU$1000000,1408,FALSE)</f>
        <v>#N/A</v>
      </c>
      <c r="N83" s="34" t="e">
        <f>VLOOKUP(A1,DIV_06Data!$A$1:$DZU$1000000,1409,FALSE)</f>
        <v>#N/A</v>
      </c>
      <c r="O83" s="33" t="e">
        <f>VLOOKUP(A1,DIV_06Data!$A$1:$DZU$1000000,1410,FALSE)</f>
        <v>#N/A</v>
      </c>
      <c r="P83" s="46" t="e">
        <f>VLOOKUP(A1,DIV_06Data!$A$1:$DZU$1000000,1411,FALSE)</f>
        <v>#N/A</v>
      </c>
      <c r="Q83" s="33" t="e">
        <f>VLOOKUP(A1,DIV_06Data!$A$1:$DZU$1000000,1412,FALSE)</f>
        <v>#N/A</v>
      </c>
    </row>
    <row r="84" spans="1:17" x14ac:dyDescent="0.35">
      <c r="A84" s="22" t="e">
        <f>VLOOKUP(A1,DIV_06Data!$A$1:$DZU$1000000,1413,FALSE)</f>
        <v>#N/A</v>
      </c>
      <c r="B84" s="37" t="e">
        <f>VLOOKUP(A1,DIV_06Data!$A$1:$DZU$1000000,1414,FALSE)</f>
        <v>#N/A</v>
      </c>
      <c r="C84" s="38" t="e">
        <f>VLOOKUP(A1,DIV_06Data!$A$1:$DZU$1000000,1415,FALSE)</f>
        <v>#N/A</v>
      </c>
      <c r="D84" s="31" t="e">
        <f>VLOOKUP(A1,DIV_06Data!$A$1:$DZU$1000000,1416,FALSE)</f>
        <v>#N/A</v>
      </c>
      <c r="E84" s="32" t="e">
        <f>VLOOKUP(A1,DIV_06Data!$A$1:$DZU$1000000,1417,FALSE)</f>
        <v>#N/A</v>
      </c>
      <c r="F84" s="34" t="e">
        <f>VLOOKUP(A1,DIV_06Data!$A$1:$DZU$1000000,1418,FALSE)</f>
        <v>#N/A</v>
      </c>
      <c r="G84" s="33" t="e">
        <f>VLOOKUP(A1,DIV_06Data!$A$1:$DZU$1000000,1419,FALSE)</f>
        <v>#N/A</v>
      </c>
      <c r="H84" s="34" t="e">
        <f>VLOOKUP(A1,DIV_06Data!$A$1:$DZU$1000000,1420,FALSE)</f>
        <v>#N/A</v>
      </c>
      <c r="I84" s="33" t="e">
        <f>VLOOKUP(A1,DIV_06Data!$A$1:$DZU$1000000,1421,FALSE)</f>
        <v>#N/A</v>
      </c>
      <c r="J84" s="34" t="e">
        <f>VLOOKUP(A1,DIV_06Data!$A$1:$DZU$1000000,1422,FALSE)</f>
        <v>#N/A</v>
      </c>
      <c r="K84" s="34" t="e">
        <f>VLOOKUP(A1,DIV_06Data!$A$1:$DZU$1000000,1423,FALSE)</f>
        <v>#N/A</v>
      </c>
      <c r="L84" s="93" t="e">
        <f>VLOOKUP(A1,DIV_06Data!$A$1:$DZU$1000000,1424,FALSE)</f>
        <v>#N/A</v>
      </c>
      <c r="M84" s="33" t="e">
        <f>VLOOKUP(A1,DIV_06Data!$A$1:$DZU$1000000,1425,FALSE)</f>
        <v>#N/A</v>
      </c>
      <c r="N84" s="34" t="e">
        <f>VLOOKUP(A1,DIV_06Data!$A$1:$DZU$1000000,1426,FALSE)</f>
        <v>#N/A</v>
      </c>
      <c r="O84" s="33" t="e">
        <f>VLOOKUP(A1,DIV_06Data!$A$1:$DZU$1000000,1427,FALSE)</f>
        <v>#N/A</v>
      </c>
      <c r="P84" s="46" t="e">
        <f>VLOOKUP(A1,DIV_06Data!$A$1:$DZU$1000000,1428,FALSE)</f>
        <v>#N/A</v>
      </c>
      <c r="Q84" s="33" t="e">
        <f>VLOOKUP(A1,DIV_06Data!$A$1:$DZU$1000000,1429,FALSE)</f>
        <v>#N/A</v>
      </c>
    </row>
    <row r="85" spans="1:17" x14ac:dyDescent="0.35">
      <c r="A85" s="22" t="e">
        <f>VLOOKUP(A1,DIV_06Data!$A$1:$DZU$1000000,1430,FALSE)</f>
        <v>#N/A</v>
      </c>
      <c r="B85" s="37" t="e">
        <f>VLOOKUP(A1,DIV_06Data!$A$1:$DZU$1000000,1431,FALSE)</f>
        <v>#N/A</v>
      </c>
      <c r="C85" s="38" t="e">
        <f>VLOOKUP(A1,DIV_06Data!$A$1:$DZU$1000000,1432,FALSE)</f>
        <v>#N/A</v>
      </c>
      <c r="D85" s="31" t="e">
        <f>VLOOKUP(A1,DIV_06Data!$A$1:$DZU$1000000,1433,FALSE)</f>
        <v>#N/A</v>
      </c>
      <c r="E85" s="32" t="e">
        <f>VLOOKUP(A1,DIV_06Data!$A$1:$DZU$1000000,1434,FALSE)</f>
        <v>#N/A</v>
      </c>
      <c r="F85" s="34" t="e">
        <f>VLOOKUP(A1,DIV_06Data!$A$1:$DZU$1000000,1435,FALSE)</f>
        <v>#N/A</v>
      </c>
      <c r="G85" s="33" t="e">
        <f>VLOOKUP(A1,DIV_06Data!$A$1:$DZU$1000000,1436,FALSE)</f>
        <v>#N/A</v>
      </c>
      <c r="H85" s="34" t="e">
        <f>VLOOKUP(A1,DIV_06Data!$A$1:$DZU$1000000,1437,FALSE)</f>
        <v>#N/A</v>
      </c>
      <c r="I85" s="33" t="e">
        <f>VLOOKUP(A1,DIV_06Data!$A$1:$DZU$1000000,1438,FALSE)</f>
        <v>#N/A</v>
      </c>
      <c r="J85" s="34" t="e">
        <f>VLOOKUP(A1,DIV_06Data!$A$1:$DZU$1000000,1439,FALSE)</f>
        <v>#N/A</v>
      </c>
      <c r="K85" s="34" t="e">
        <f>VLOOKUP(A1,DIV_06Data!$A$1:$DZU$1000000,1440,FALSE)</f>
        <v>#N/A</v>
      </c>
      <c r="L85" s="93" t="e">
        <f>VLOOKUP(A1,DIV_06Data!$A$1:$DZU$1000000,1441,FALSE)</f>
        <v>#N/A</v>
      </c>
      <c r="M85" s="33" t="e">
        <f>VLOOKUP(A1,DIV_06Data!$A$1:$DZU$1000000,1442,FALSE)</f>
        <v>#N/A</v>
      </c>
      <c r="N85" s="34" t="e">
        <f>VLOOKUP(A1,DIV_06Data!$A$1:$DZU$1000000,1443,FALSE)</f>
        <v>#N/A</v>
      </c>
      <c r="O85" s="33" t="e">
        <f>VLOOKUP(A1,DIV_06Data!$A$1:$DZU$1000000,1444,FALSE)</f>
        <v>#N/A</v>
      </c>
      <c r="P85" s="46" t="e">
        <f>VLOOKUP(A1,DIV_06Data!$A$1:$DZU$1000000,1445,FALSE)</f>
        <v>#N/A</v>
      </c>
      <c r="Q85" s="33" t="e">
        <f>VLOOKUP(A1,DIV_06Data!$A$1:$DZU$1000000,1446,FALSE)</f>
        <v>#N/A</v>
      </c>
    </row>
    <row r="86" spans="1:17" x14ac:dyDescent="0.35">
      <c r="A86" s="22" t="e">
        <f>VLOOKUP(A1,DIV_06Data!$A$1:$DZU$1000000,1447,FALSE)</f>
        <v>#N/A</v>
      </c>
      <c r="B86" s="37" t="e">
        <f>VLOOKUP(A1,DIV_06Data!$A$1:$DZU$1000000,1448,FALSE)</f>
        <v>#N/A</v>
      </c>
      <c r="C86" s="38" t="e">
        <f>VLOOKUP(A1,DIV_06Data!$A$1:$DZU$1000000,1449,FALSE)</f>
        <v>#N/A</v>
      </c>
      <c r="D86" s="31" t="e">
        <f>VLOOKUP(A1,DIV_06Data!$A$1:$DZU$1000000,1450,FALSE)</f>
        <v>#N/A</v>
      </c>
      <c r="E86" s="32" t="e">
        <f>VLOOKUP(A1,DIV_06Data!$A$1:$DZU$1000000,1451,FALSE)</f>
        <v>#N/A</v>
      </c>
      <c r="F86" s="34" t="e">
        <f>VLOOKUP(A1,DIV_06Data!$A$1:$DZU$1000000,1452,FALSE)</f>
        <v>#N/A</v>
      </c>
      <c r="G86" s="33" t="e">
        <f>VLOOKUP(A1,DIV_06Data!$A$1:$DZU$1000000,1453,FALSE)</f>
        <v>#N/A</v>
      </c>
      <c r="H86" s="34" t="e">
        <f>VLOOKUP(A1,DIV_06Data!$A$1:$DZU$1000000,1454,FALSE)</f>
        <v>#N/A</v>
      </c>
      <c r="I86" s="33" t="e">
        <f>VLOOKUP(A1,DIV_06Data!$A$1:$DZU$1000000,1455,FALSE)</f>
        <v>#N/A</v>
      </c>
      <c r="J86" s="34" t="e">
        <f>VLOOKUP(A1,DIV_06Data!$A$1:$DZU$1000000,1456,FALSE)</f>
        <v>#N/A</v>
      </c>
      <c r="K86" s="34" t="e">
        <f>VLOOKUP(A1,DIV_06Data!$A$1:$DZU$1000000,1457,FALSE)</f>
        <v>#N/A</v>
      </c>
      <c r="L86" s="93" t="e">
        <f>VLOOKUP(A1,DIV_06Data!$A$1:$DZU$1000000,1458,FALSE)</f>
        <v>#N/A</v>
      </c>
      <c r="M86" s="33" t="e">
        <f>VLOOKUP(A1,DIV_06Data!$A$1:$DZU$1000000,1459,FALSE)</f>
        <v>#N/A</v>
      </c>
      <c r="N86" s="34" t="e">
        <f>VLOOKUP(A1,DIV_06Data!$A$1:$DZU$1000000,1460,FALSE)</f>
        <v>#N/A</v>
      </c>
      <c r="O86" s="33" t="e">
        <f>VLOOKUP(A1,DIV_06Data!$A$1:$DZU$1000000,1461,FALSE)</f>
        <v>#N/A</v>
      </c>
      <c r="P86" s="46" t="e">
        <f>VLOOKUP(A1,DIV_06Data!$A$1:$DZU$1000000,1462,FALSE)</f>
        <v>#N/A</v>
      </c>
      <c r="Q86" s="33" t="e">
        <f>VLOOKUP(A1,DIV_06Data!$A$1:$DZU$1000000,1463,FALSE)</f>
        <v>#N/A</v>
      </c>
    </row>
    <row r="87" spans="1:17" x14ac:dyDescent="0.35">
      <c r="A87" s="22" t="e">
        <f>VLOOKUP(A1,DIV_06Data!$A$1:$DZU$1000000,1464,FALSE)</f>
        <v>#N/A</v>
      </c>
      <c r="B87" s="37" t="e">
        <f>VLOOKUP(A1,DIV_06Data!$A$1:$DZU$1000000,1465,FALSE)</f>
        <v>#N/A</v>
      </c>
      <c r="C87" s="38" t="e">
        <f>VLOOKUP(A1,DIV_06Data!$A$1:$DZU$1000000,1466,FALSE)</f>
        <v>#N/A</v>
      </c>
      <c r="D87" s="31" t="e">
        <f>VLOOKUP(A1,DIV_06Data!$A$1:$DZU$1000000,1467,FALSE)</f>
        <v>#N/A</v>
      </c>
      <c r="E87" s="32" t="e">
        <f>VLOOKUP(A1,DIV_06Data!$A$1:$DZU$1000000,1468,FALSE)</f>
        <v>#N/A</v>
      </c>
      <c r="F87" s="34" t="e">
        <f>VLOOKUP(A1,DIV_06Data!$A$1:$DZU$1000000,1469,FALSE)</f>
        <v>#N/A</v>
      </c>
      <c r="G87" s="33" t="e">
        <f>VLOOKUP(A1,DIV_06Data!$A$1:$DZU$1000000,1470,FALSE)</f>
        <v>#N/A</v>
      </c>
      <c r="H87" s="34" t="e">
        <f>VLOOKUP(A1,DIV_06Data!$A$1:$DZU$1000000,1471,FALSE)</f>
        <v>#N/A</v>
      </c>
      <c r="I87" s="33" t="e">
        <f>VLOOKUP(A1,DIV_06Data!$A$1:$DZU$1000000,1472,FALSE)</f>
        <v>#N/A</v>
      </c>
      <c r="J87" s="34" t="e">
        <f>VLOOKUP(A1,DIV_06Data!$A$1:$DZU$1000000,1473,FALSE)</f>
        <v>#N/A</v>
      </c>
      <c r="K87" s="34" t="e">
        <f>VLOOKUP(A1,DIV_06Data!$A$1:$DZU$1000000,1474,FALSE)</f>
        <v>#N/A</v>
      </c>
      <c r="L87" s="93" t="e">
        <f>VLOOKUP(A1,DIV_06Data!$A$1:$DZU$1000000,1475,FALSE)</f>
        <v>#N/A</v>
      </c>
      <c r="M87" s="33" t="e">
        <f>VLOOKUP(A1,DIV_06Data!$A$1:$DZU$1000000,1476,FALSE)</f>
        <v>#N/A</v>
      </c>
      <c r="N87" s="34" t="e">
        <f>VLOOKUP(A1,DIV_06Data!$A$1:$DZU$1000000,1477,FALSE)</f>
        <v>#N/A</v>
      </c>
      <c r="O87" s="33" t="e">
        <f>VLOOKUP(A1,DIV_06Data!$A$1:$DZU$1000000,1478,FALSE)</f>
        <v>#N/A</v>
      </c>
      <c r="P87" s="46" t="e">
        <f>VLOOKUP(A1,DIV_06Data!$A$1:$DZU$1000000,1479,FALSE)</f>
        <v>#N/A</v>
      </c>
      <c r="Q87" s="33" t="e">
        <f>VLOOKUP(A1,DIV_06Data!$A$1:$DZU$1000000,1480,FALSE)</f>
        <v>#N/A</v>
      </c>
    </row>
    <row r="88" spans="1:17" x14ac:dyDescent="0.35">
      <c r="A88" s="22" t="e">
        <f>VLOOKUP(A1,DIV_06Data!$A$1:$DZU$1000000,1481,FALSE)</f>
        <v>#N/A</v>
      </c>
      <c r="B88" s="37" t="e">
        <f>VLOOKUP(A1,DIV_06Data!$A$1:$DZU$1000000,1482,FALSE)</f>
        <v>#N/A</v>
      </c>
      <c r="C88" s="38" t="e">
        <f>VLOOKUP(A1,DIV_06Data!$A$1:$DZU$1000000,1483,FALSE)</f>
        <v>#N/A</v>
      </c>
      <c r="D88" s="31" t="e">
        <f>VLOOKUP(A1,DIV_06Data!$A$1:$DZU$1000000,1484,FALSE)</f>
        <v>#N/A</v>
      </c>
      <c r="E88" s="32" t="e">
        <f>VLOOKUP(A1,DIV_06Data!$A$1:$DZU$1000000,1485,FALSE)</f>
        <v>#N/A</v>
      </c>
      <c r="F88" s="34" t="e">
        <f>VLOOKUP(A1,DIV_06Data!$A$1:$DZU$1000000,1486,FALSE)</f>
        <v>#N/A</v>
      </c>
      <c r="G88" s="33" t="e">
        <f>VLOOKUP(A1,DIV_06Data!$A$1:$DZU$1000000,1487,FALSE)</f>
        <v>#N/A</v>
      </c>
      <c r="H88" s="34" t="e">
        <f>VLOOKUP(A1,DIV_06Data!$A$1:$DZU$1000000,1488,FALSE)</f>
        <v>#N/A</v>
      </c>
      <c r="I88" s="33" t="e">
        <f>VLOOKUP(A1,DIV_06Data!$A$1:$DZU$1000000,1489,FALSE)</f>
        <v>#N/A</v>
      </c>
      <c r="J88" s="34" t="e">
        <f>VLOOKUP(A1,DIV_06Data!$A$1:$DZU$1000000,1490,FALSE)</f>
        <v>#N/A</v>
      </c>
      <c r="K88" s="34" t="e">
        <f>VLOOKUP(A1,DIV_06Data!$A$1:$DZU$1000000,1491,FALSE)</f>
        <v>#N/A</v>
      </c>
      <c r="L88" s="93" t="e">
        <f>VLOOKUP(A1,DIV_06Data!$A$1:$DZU$1000000,1492,FALSE)</f>
        <v>#N/A</v>
      </c>
      <c r="M88" s="33" t="e">
        <f>VLOOKUP(A1,DIV_06Data!$A$1:$DZU$1000000,1493,FALSE)</f>
        <v>#N/A</v>
      </c>
      <c r="N88" s="34" t="e">
        <f>VLOOKUP(A1,DIV_06Data!$A$1:$DZU$1000000,1494,FALSE)</f>
        <v>#N/A</v>
      </c>
      <c r="O88" s="33" t="e">
        <f>VLOOKUP(A1,DIV_06Data!$A$1:$DZU$1000000,1495,FALSE)</f>
        <v>#N/A</v>
      </c>
      <c r="P88" s="46" t="e">
        <f>VLOOKUP(A1,DIV_06Data!$A$1:$DZU$1000000,1496,FALSE)</f>
        <v>#N/A</v>
      </c>
      <c r="Q88" s="33" t="e">
        <f>VLOOKUP(A1,DIV_06Data!$A$1:$DZU$1000000,1497,FALSE)</f>
        <v>#N/A</v>
      </c>
    </row>
    <row r="89" spans="1:17" x14ac:dyDescent="0.35">
      <c r="A89" s="22" t="e">
        <f>VLOOKUP(A1,DIV_06Data!$A$1:$DZU$1000000,1498,FALSE)</f>
        <v>#N/A</v>
      </c>
      <c r="B89" s="37" t="e">
        <f>VLOOKUP(A1,DIV_06Data!$A$1:$DZU$1000000,1499,FALSE)</f>
        <v>#N/A</v>
      </c>
      <c r="C89" s="38" t="e">
        <f>VLOOKUP(A1,DIV_06Data!$A$1:$DZU$1000000,1500,FALSE)</f>
        <v>#N/A</v>
      </c>
      <c r="D89" s="31" t="e">
        <f>VLOOKUP(A1,DIV_06Data!$A$1:$DZU$1000000,1501,FALSE)</f>
        <v>#N/A</v>
      </c>
      <c r="E89" s="32" t="e">
        <f>VLOOKUP(A1,DIV_06Data!$A$1:$DZU$1000000,1502,FALSE)</f>
        <v>#N/A</v>
      </c>
      <c r="F89" s="34" t="e">
        <f>VLOOKUP(A1,DIV_06Data!$A$1:$DZU$1000000,1503,FALSE)</f>
        <v>#N/A</v>
      </c>
      <c r="G89" s="33" t="e">
        <f>VLOOKUP(A1,DIV_06Data!$A$1:$DZU$1000000,1504,FALSE)</f>
        <v>#N/A</v>
      </c>
      <c r="H89" s="34" t="e">
        <f>VLOOKUP(A1,DIV_06Data!$A$1:$DZU$1000000,1505,FALSE)</f>
        <v>#N/A</v>
      </c>
      <c r="I89" s="33" t="e">
        <f>VLOOKUP(A1,DIV_06Data!$A$1:$DZU$1000000,1506,FALSE)</f>
        <v>#N/A</v>
      </c>
      <c r="J89" s="34" t="e">
        <f>VLOOKUP(A1,DIV_06Data!$A$1:$DZU$1000000,1507,FALSE)</f>
        <v>#N/A</v>
      </c>
      <c r="K89" s="34" t="e">
        <f>VLOOKUP(A1,DIV_06Data!$A$1:$DZU$1000000,1508,FALSE)</f>
        <v>#N/A</v>
      </c>
      <c r="L89" s="93" t="e">
        <f>VLOOKUP(A1,DIV_06Data!$A$1:$DZU$1000000,1509,FALSE)</f>
        <v>#N/A</v>
      </c>
      <c r="M89" s="33" t="e">
        <f>VLOOKUP(A1,DIV_06Data!$A$1:$DZU$1000000,1510,FALSE)</f>
        <v>#N/A</v>
      </c>
      <c r="N89" s="34" t="e">
        <f>VLOOKUP(A1,DIV_06Data!$A$1:$DZU$1000000,1511,FALSE)</f>
        <v>#N/A</v>
      </c>
      <c r="O89" s="33" t="e">
        <f>VLOOKUP(A1,DIV_06Data!$A$1:$DZU$1000000,1512,FALSE)</f>
        <v>#N/A</v>
      </c>
      <c r="P89" s="46" t="e">
        <f>VLOOKUP(A1,DIV_06Data!$A$1:$DZU$1000000,1513,FALSE)</f>
        <v>#N/A</v>
      </c>
      <c r="Q89" s="33" t="e">
        <f>VLOOKUP(A1,DIV_06Data!$A$1:$DZU$1000000,1514,FALSE)</f>
        <v>#N/A</v>
      </c>
    </row>
    <row r="90" spans="1:17" x14ac:dyDescent="0.35">
      <c r="A90" s="22" t="e">
        <f>VLOOKUP(A1,DIV_06Data!$A$1:$DZU$1000000,1515,FALSE)</f>
        <v>#N/A</v>
      </c>
      <c r="B90" s="37" t="e">
        <f>VLOOKUP(A1,DIV_06Data!$A$1:$DZU$1000000,1516,FALSE)</f>
        <v>#N/A</v>
      </c>
      <c r="C90" s="38" t="e">
        <f>VLOOKUP(A1,DIV_06Data!$A$1:$DZU$1000000,1517,FALSE)</f>
        <v>#N/A</v>
      </c>
      <c r="D90" s="31" t="e">
        <f>VLOOKUP(A1,DIV_06Data!$A$1:$DZU$1000000,1518,FALSE)</f>
        <v>#N/A</v>
      </c>
      <c r="E90" s="32" t="e">
        <f>VLOOKUP(A1,DIV_06Data!$A$1:$DZU$1000000,1519,FALSE)</f>
        <v>#N/A</v>
      </c>
      <c r="F90" s="34" t="e">
        <f>VLOOKUP(A1,DIV_06Data!$A$1:$DZU$1000000,1520,FALSE)</f>
        <v>#N/A</v>
      </c>
      <c r="G90" s="33" t="e">
        <f>VLOOKUP(A1,DIV_06Data!$A$1:$DZU$1000000,1521,FALSE)</f>
        <v>#N/A</v>
      </c>
      <c r="H90" s="34" t="e">
        <f>VLOOKUP(A1,DIV_06Data!$A$1:$DZU$1000000,1522,FALSE)</f>
        <v>#N/A</v>
      </c>
      <c r="I90" s="33" t="e">
        <f>VLOOKUP(A1,DIV_06Data!$A$1:$DZU$1000000,1523,FALSE)</f>
        <v>#N/A</v>
      </c>
      <c r="J90" s="34" t="e">
        <f>VLOOKUP(A1,DIV_06Data!$A$1:$DZU$1000000,1524,FALSE)</f>
        <v>#N/A</v>
      </c>
      <c r="K90" s="34" t="e">
        <f>VLOOKUP(A1,DIV_06Data!$A$1:$DZU$1000000,1525,FALSE)</f>
        <v>#N/A</v>
      </c>
      <c r="L90" s="93" t="e">
        <f>VLOOKUP(A1,DIV_06Data!$A$1:$DZU$1000000,1526,FALSE)</f>
        <v>#N/A</v>
      </c>
      <c r="M90" s="33" t="e">
        <f>VLOOKUP(A1,DIV_06Data!$A$1:$DZU$1000000,1527,FALSE)</f>
        <v>#N/A</v>
      </c>
      <c r="N90" s="34" t="e">
        <f>VLOOKUP(A1,DIV_06Data!$A$1:$DZU$1000000,1528,FALSE)</f>
        <v>#N/A</v>
      </c>
      <c r="O90" s="33" t="e">
        <f>VLOOKUP(A1,DIV_06Data!$A$1:$DZU$1000000,1529,FALSE)</f>
        <v>#N/A</v>
      </c>
      <c r="P90" s="46" t="e">
        <f>VLOOKUP(A1,DIV_06Data!$A$1:$DZU$1000000,1530,FALSE)</f>
        <v>#N/A</v>
      </c>
      <c r="Q90" s="33" t="e">
        <f>VLOOKUP(A1,DIV_06Data!$A$1:$DZU$1000000,1531,FALSE)</f>
        <v>#N/A</v>
      </c>
    </row>
    <row r="91" spans="1:17" x14ac:dyDescent="0.35">
      <c r="A91" s="22" t="e">
        <f>VLOOKUP(A1,DIV_06Data!$A$1:$DZU$1000000,1532,FALSE)</f>
        <v>#N/A</v>
      </c>
      <c r="B91" s="37" t="e">
        <f>VLOOKUP(A1,DIV_06Data!$A$1:$DZU$1000000,1533,FALSE)</f>
        <v>#N/A</v>
      </c>
      <c r="C91" s="38" t="e">
        <f>VLOOKUP(A1,DIV_06Data!$A$1:$DZU$1000000,1534,FALSE)</f>
        <v>#N/A</v>
      </c>
      <c r="D91" s="31" t="e">
        <f>VLOOKUP(A1,DIV_06Data!$A$1:$DZU$1000000,1535,FALSE)</f>
        <v>#N/A</v>
      </c>
      <c r="E91" s="32" t="e">
        <f>VLOOKUP(A1,DIV_06Data!$A$1:$DZU$1000000,1536,FALSE)</f>
        <v>#N/A</v>
      </c>
      <c r="F91" s="34" t="e">
        <f>VLOOKUP(A1,DIV_06Data!$A$1:$DZU$1000000,1537,FALSE)</f>
        <v>#N/A</v>
      </c>
      <c r="G91" s="33" t="e">
        <f>VLOOKUP(A1,DIV_06Data!$A$1:$DZU$1000000,1538,FALSE)</f>
        <v>#N/A</v>
      </c>
      <c r="H91" s="34" t="e">
        <f>VLOOKUP(A1,DIV_06Data!$A$1:$DZU$1000000,1539,FALSE)</f>
        <v>#N/A</v>
      </c>
      <c r="I91" s="33" t="e">
        <f>VLOOKUP(A1,DIV_06Data!$A$1:$DZU$1000000,1540,FALSE)</f>
        <v>#N/A</v>
      </c>
      <c r="J91" s="34" t="e">
        <f>VLOOKUP(A1,DIV_06Data!$A$1:$DZU$1000000,1541,FALSE)</f>
        <v>#N/A</v>
      </c>
      <c r="K91" s="34" t="e">
        <f>VLOOKUP(A1,DIV_06Data!$A$1:$DZU$1000000,1542,FALSE)</f>
        <v>#N/A</v>
      </c>
      <c r="L91" s="93" t="e">
        <f>VLOOKUP(A1,DIV_06Data!$A$1:$DZU$1000000,1543,FALSE)</f>
        <v>#N/A</v>
      </c>
      <c r="M91" s="33" t="e">
        <f>VLOOKUP(A1,DIV_06Data!$A$1:$DZU$1000000,1544,FALSE)</f>
        <v>#N/A</v>
      </c>
      <c r="N91" s="34" t="e">
        <f>VLOOKUP(A1,DIV_06Data!$A$1:$DZU$1000000,1545,FALSE)</f>
        <v>#N/A</v>
      </c>
      <c r="O91" s="33" t="e">
        <f>VLOOKUP(A1,DIV_06Data!$A$1:$DZU$1000000,1546,FALSE)</f>
        <v>#N/A</v>
      </c>
      <c r="P91" s="46" t="e">
        <f>VLOOKUP(A1,DIV_06Data!$A$1:$DZU$1000000,1547,FALSE)</f>
        <v>#N/A</v>
      </c>
      <c r="Q91" s="33" t="e">
        <f>VLOOKUP(A1,DIV_06Data!$A$1:$DZU$1000000,1548,FALSE)</f>
        <v>#N/A</v>
      </c>
    </row>
    <row r="92" spans="1:17" x14ac:dyDescent="0.35">
      <c r="A92" s="22" t="e">
        <f>VLOOKUP(A1,DIV_06Data!$A$1:$DZU$1000000,1549,FALSE)</f>
        <v>#N/A</v>
      </c>
      <c r="B92" s="37" t="e">
        <f>VLOOKUP(A1,DIV_06Data!$A$1:$DZU$1000000,1550,FALSE)</f>
        <v>#N/A</v>
      </c>
      <c r="C92" s="38" t="e">
        <f>VLOOKUP(A1,DIV_06Data!$A$1:$DZU$1000000,1551,FALSE)</f>
        <v>#N/A</v>
      </c>
      <c r="D92" s="31" t="e">
        <f>VLOOKUP(A1,DIV_06Data!$A$1:$DZU$1000000,1552,FALSE)</f>
        <v>#N/A</v>
      </c>
      <c r="E92" s="32" t="e">
        <f>VLOOKUP(A1,DIV_06Data!$A$1:$DZU$1000000,1553,FALSE)</f>
        <v>#N/A</v>
      </c>
      <c r="F92" s="34" t="e">
        <f>VLOOKUP(A1,DIV_06Data!$A$1:$DZU$1000000,1554,FALSE)</f>
        <v>#N/A</v>
      </c>
      <c r="G92" s="33" t="e">
        <f>VLOOKUP(A1,DIV_06Data!$A$1:$DZU$1000000,1555,FALSE)</f>
        <v>#N/A</v>
      </c>
      <c r="H92" s="34" t="e">
        <f>VLOOKUP(A1,DIV_06Data!$A$1:$DZU$1000000,1556,FALSE)</f>
        <v>#N/A</v>
      </c>
      <c r="I92" s="33" t="e">
        <f>VLOOKUP(A1,DIV_06Data!$A$1:$DZU$1000000,1557,FALSE)</f>
        <v>#N/A</v>
      </c>
      <c r="J92" s="34" t="e">
        <f>VLOOKUP(A1,DIV_06Data!$A$1:$DZU$1000000,1558,FALSE)</f>
        <v>#N/A</v>
      </c>
      <c r="K92" s="34" t="e">
        <f>VLOOKUP(A1,DIV_06Data!$A$1:$DZU$1000000,1559,FALSE)</f>
        <v>#N/A</v>
      </c>
      <c r="L92" s="93" t="e">
        <f>VLOOKUP(A1,DIV_06Data!$A$1:$DZU$1000000,1560,FALSE)</f>
        <v>#N/A</v>
      </c>
      <c r="M92" s="33" t="e">
        <f>VLOOKUP(A1,DIV_06Data!$A$1:$DZU$1000000,1561,FALSE)</f>
        <v>#N/A</v>
      </c>
      <c r="N92" s="34" t="e">
        <f>VLOOKUP(A1,DIV_06Data!$A$1:$DZU$1000000,1562,FALSE)</f>
        <v>#N/A</v>
      </c>
      <c r="O92" s="33" t="e">
        <f>VLOOKUP(A1,DIV_06Data!$A$1:$DZU$1000000,1563,FALSE)</f>
        <v>#N/A</v>
      </c>
      <c r="P92" s="46" t="e">
        <f>VLOOKUP(A1,DIV_06Data!$A$1:$DZU$1000000,1564,FALSE)</f>
        <v>#N/A</v>
      </c>
      <c r="Q92" s="33" t="e">
        <f>VLOOKUP(A1,DIV_06Data!$A$1:$DZU$1000000,1565,FALSE)</f>
        <v>#N/A</v>
      </c>
    </row>
    <row r="93" spans="1:17" x14ac:dyDescent="0.35">
      <c r="A93" s="22" t="e">
        <f>VLOOKUP(A1,DIV_06Data!$A$1:$DZU$1000000,1566,FALSE)</f>
        <v>#N/A</v>
      </c>
      <c r="B93" s="37" t="e">
        <f>VLOOKUP(A1,DIV_06Data!$A$1:$DZU$1000000,1567,FALSE)</f>
        <v>#N/A</v>
      </c>
      <c r="C93" s="38" t="e">
        <f>VLOOKUP(A1,DIV_06Data!$A$1:$DZU$1000000,1568,FALSE)</f>
        <v>#N/A</v>
      </c>
      <c r="D93" s="31" t="e">
        <f>VLOOKUP(A1,DIV_06Data!$A$1:$DZU$1000000,1569,FALSE)</f>
        <v>#N/A</v>
      </c>
      <c r="E93" s="32" t="e">
        <f>VLOOKUP(A1,DIV_06Data!$A$1:$DZU$1000000,1570,FALSE)</f>
        <v>#N/A</v>
      </c>
      <c r="F93" s="34" t="e">
        <f>VLOOKUP(A1,DIV_06Data!$A$1:$DZU$1000000,1571,FALSE)</f>
        <v>#N/A</v>
      </c>
      <c r="G93" s="33" t="e">
        <f>VLOOKUP(A1,DIV_06Data!$A$1:$DZU$1000000,1572,FALSE)</f>
        <v>#N/A</v>
      </c>
      <c r="H93" s="34" t="e">
        <f>VLOOKUP(A1,DIV_06Data!$A$1:$DZU$1000000,1573,FALSE)</f>
        <v>#N/A</v>
      </c>
      <c r="I93" s="33" t="e">
        <f>VLOOKUP(A1,DIV_06Data!$A$1:$DZU$1000000,1574,FALSE)</f>
        <v>#N/A</v>
      </c>
      <c r="J93" s="34" t="e">
        <f>VLOOKUP(A1,DIV_06Data!$A$1:$DZU$1000000,1575,FALSE)</f>
        <v>#N/A</v>
      </c>
      <c r="K93" s="34" t="e">
        <f>VLOOKUP(A1,DIV_06Data!$A$1:$DZU$1000000,1576,FALSE)</f>
        <v>#N/A</v>
      </c>
      <c r="L93" s="93" t="e">
        <f>VLOOKUP(A1,DIV_06Data!$A$1:$DZU$1000000,1577,FALSE)</f>
        <v>#N/A</v>
      </c>
      <c r="M93" s="33" t="e">
        <f>VLOOKUP(A1,DIV_06Data!$A$1:$DZU$1000000,1578,FALSE)</f>
        <v>#N/A</v>
      </c>
      <c r="N93" s="34" t="e">
        <f>VLOOKUP(A1,DIV_06Data!$A$1:$DZU$1000000,1579,FALSE)</f>
        <v>#N/A</v>
      </c>
      <c r="O93" s="33" t="e">
        <f>VLOOKUP(A1,DIV_06Data!$A$1:$DZU$1000000,1580,FALSE)</f>
        <v>#N/A</v>
      </c>
      <c r="P93" s="46" t="e">
        <f>VLOOKUP(A1,DIV_06Data!$A$1:$DZU$1000000,1581,FALSE)</f>
        <v>#N/A</v>
      </c>
      <c r="Q93" s="33" t="e">
        <f>VLOOKUP(A1,DIV_06Data!$A$1:$DZU$1000000,1582,FALSE)</f>
        <v>#N/A</v>
      </c>
    </row>
    <row r="94" spans="1:17" x14ac:dyDescent="0.35">
      <c r="A94" s="22" t="e">
        <f>VLOOKUP(A1,DIV_06Data!$A$1:$DZU$1000000,1583,FALSE)</f>
        <v>#N/A</v>
      </c>
      <c r="B94" s="37" t="e">
        <f>VLOOKUP(A1,DIV_06Data!$A$1:$DZU$1000000,1584,FALSE)</f>
        <v>#N/A</v>
      </c>
      <c r="C94" s="38" t="e">
        <f>VLOOKUP(A1,DIV_06Data!$A$1:$DZU$1000000,1585,FALSE)</f>
        <v>#N/A</v>
      </c>
      <c r="D94" s="31" t="e">
        <f>VLOOKUP(A1,DIV_06Data!$A$1:$DZU$1000000,1586,FALSE)</f>
        <v>#N/A</v>
      </c>
      <c r="E94" s="32" t="e">
        <f>VLOOKUP(A1,DIV_06Data!$A$1:$DZU$1000000,1587,FALSE)</f>
        <v>#N/A</v>
      </c>
      <c r="F94" s="34" t="e">
        <f>VLOOKUP(A1,DIV_06Data!$A$1:$DZU$1000000,1588,FALSE)</f>
        <v>#N/A</v>
      </c>
      <c r="G94" s="33" t="e">
        <f>VLOOKUP(A1,DIV_06Data!$A$1:$DZU$1000000,1589,FALSE)</f>
        <v>#N/A</v>
      </c>
      <c r="H94" s="34" t="e">
        <f>VLOOKUP(A1,DIV_06Data!$A$1:$DZU$1000000,1590,FALSE)</f>
        <v>#N/A</v>
      </c>
      <c r="I94" s="33" t="e">
        <f>VLOOKUP(A1,DIV_06Data!$A$1:$DZU$1000000,1591,FALSE)</f>
        <v>#N/A</v>
      </c>
      <c r="J94" s="34" t="e">
        <f>VLOOKUP(A1,DIV_06Data!$A$1:$DZU$1000000,1592,FALSE)</f>
        <v>#N/A</v>
      </c>
      <c r="K94" s="34" t="e">
        <f>VLOOKUP(A1,DIV_06Data!$A$1:$DZU$1000000,1593,FALSE)</f>
        <v>#N/A</v>
      </c>
      <c r="L94" s="93" t="e">
        <f>VLOOKUP(A1,DIV_06Data!$A$1:$DZU$1000000,1594,FALSE)</f>
        <v>#N/A</v>
      </c>
      <c r="M94" s="33" t="e">
        <f>VLOOKUP(A1,DIV_06Data!$A$1:$DZU$1000000,1595,FALSE)</f>
        <v>#N/A</v>
      </c>
      <c r="N94" s="34" t="e">
        <f>VLOOKUP(A1,DIV_06Data!$A$1:$DZU$1000000,1596,FALSE)</f>
        <v>#N/A</v>
      </c>
      <c r="O94" s="33" t="e">
        <f>VLOOKUP(A1,DIV_06Data!$A$1:$DZU$1000000,1597,FALSE)</f>
        <v>#N/A</v>
      </c>
      <c r="P94" s="46" t="e">
        <f>VLOOKUP(A1,DIV_06Data!$A$1:$DZU$1000000,1598,FALSE)</f>
        <v>#N/A</v>
      </c>
      <c r="Q94" s="33" t="e">
        <f>VLOOKUP(A1,DIV_06Data!$A$1:$DZU$1000000,1599,FALSE)</f>
        <v>#N/A</v>
      </c>
    </row>
    <row r="95" spans="1:17" x14ac:dyDescent="0.35">
      <c r="A95" s="22" t="e">
        <f>VLOOKUP(A1,DIV_06Data!$A$1:$DZU$1000000,1600,FALSE)</f>
        <v>#N/A</v>
      </c>
      <c r="B95" s="37" t="e">
        <f>VLOOKUP(A1,DIV_06Data!$A$1:$DZU$1000000,1601,FALSE)</f>
        <v>#N/A</v>
      </c>
      <c r="C95" s="38" t="e">
        <f>VLOOKUP(A1,DIV_06Data!$A$1:$DZU$1000000,1602,FALSE)</f>
        <v>#N/A</v>
      </c>
      <c r="D95" s="31" t="e">
        <f>VLOOKUP(A1,DIV_06Data!$A$1:$DZU$1000000,1603,FALSE)</f>
        <v>#N/A</v>
      </c>
      <c r="E95" s="32" t="e">
        <f>VLOOKUP(A1,DIV_06Data!$A$1:$DZU$1000000,1604,FALSE)</f>
        <v>#N/A</v>
      </c>
      <c r="F95" s="34" t="e">
        <f>VLOOKUP(A1,DIV_06Data!$A$1:$DZU$1000000,1605,FALSE)</f>
        <v>#N/A</v>
      </c>
      <c r="G95" s="33" t="e">
        <f>VLOOKUP(A1,DIV_06Data!$A$1:$DZU$1000000,1606,FALSE)</f>
        <v>#N/A</v>
      </c>
      <c r="H95" s="34" t="e">
        <f>VLOOKUP(A1,DIV_06Data!$A$1:$DZU$1000000,1607,FALSE)</f>
        <v>#N/A</v>
      </c>
      <c r="I95" s="33" t="e">
        <f>VLOOKUP(A1,DIV_06Data!$A$1:$DZU$1000000,1608,FALSE)</f>
        <v>#N/A</v>
      </c>
      <c r="J95" s="34" t="e">
        <f>VLOOKUP(A1,DIV_06Data!$A$1:$DZU$1000000,1609,FALSE)</f>
        <v>#N/A</v>
      </c>
      <c r="K95" s="34" t="e">
        <f>VLOOKUP(A1,DIV_06Data!$A$1:$DZU$1000000,1610,FALSE)</f>
        <v>#N/A</v>
      </c>
      <c r="L95" s="93" t="e">
        <f>VLOOKUP(A1,DIV_06Data!$A$1:$DZU$1000000,1611,FALSE)</f>
        <v>#N/A</v>
      </c>
      <c r="M95" s="33" t="e">
        <f>VLOOKUP(A1,DIV_06Data!$A$1:$DZU$1000000,1612,FALSE)</f>
        <v>#N/A</v>
      </c>
      <c r="N95" s="34" t="e">
        <f>VLOOKUP(A1,DIV_06Data!$A$1:$DZU$1000000,1613,FALSE)</f>
        <v>#N/A</v>
      </c>
      <c r="O95" s="33" t="e">
        <f>VLOOKUP(A1,DIV_06Data!$A$1:$DZU$1000000,1614,FALSE)</f>
        <v>#N/A</v>
      </c>
      <c r="P95" s="46" t="e">
        <f>VLOOKUP(A1,DIV_06Data!$A$1:$DZU$1000000,1615,FALSE)</f>
        <v>#N/A</v>
      </c>
      <c r="Q95" s="33" t="e">
        <f>VLOOKUP(A1,DIV_06Data!$A$1:$DZU$1000000,1616,FALSE)</f>
        <v>#N/A</v>
      </c>
    </row>
    <row r="96" spans="1:17" x14ac:dyDescent="0.35">
      <c r="A96" s="22" t="e">
        <f>VLOOKUP(A1,DIV_06Data!$A$1:$DZU$1000000,1617,FALSE)</f>
        <v>#N/A</v>
      </c>
      <c r="B96" s="37" t="e">
        <f>VLOOKUP(A1,DIV_06Data!$A$1:$DZU$1000000,1618,FALSE)</f>
        <v>#N/A</v>
      </c>
      <c r="C96" s="38" t="e">
        <f>VLOOKUP(A1,DIV_06Data!$A$1:$DZU$1000000,1619,FALSE)</f>
        <v>#N/A</v>
      </c>
      <c r="D96" s="31" t="e">
        <f>VLOOKUP(A1,DIV_06Data!$A$1:$DZU$1000000,1620,FALSE)</f>
        <v>#N/A</v>
      </c>
      <c r="E96" s="32" t="e">
        <f>VLOOKUP(A1,DIV_06Data!$A$1:$DZU$1000000,1621,FALSE)</f>
        <v>#N/A</v>
      </c>
      <c r="F96" s="34" t="e">
        <f>VLOOKUP(A1,DIV_06Data!$A$1:$DZU$1000000,1622,FALSE)</f>
        <v>#N/A</v>
      </c>
      <c r="G96" s="33" t="e">
        <f>VLOOKUP(A1,DIV_06Data!$A$1:$DZU$1000000,1623,FALSE)</f>
        <v>#N/A</v>
      </c>
      <c r="H96" s="34" t="e">
        <f>VLOOKUP(A1,DIV_06Data!$A$1:$DZU$1000000,1624,FALSE)</f>
        <v>#N/A</v>
      </c>
      <c r="I96" s="33" t="e">
        <f>VLOOKUP(A1,DIV_06Data!$A$1:$DZU$1000000,1625,FALSE)</f>
        <v>#N/A</v>
      </c>
      <c r="J96" s="34" t="e">
        <f>VLOOKUP(A1,DIV_06Data!$A$1:$DZU$1000000,1626,FALSE)</f>
        <v>#N/A</v>
      </c>
      <c r="K96" s="34" t="e">
        <f>VLOOKUP(A1,DIV_06Data!$A$1:$DZU$1000000,1627,FALSE)</f>
        <v>#N/A</v>
      </c>
      <c r="L96" s="93" t="e">
        <f>VLOOKUP(A1,DIV_06Data!$A$1:$DZU$1000000,1628,FALSE)</f>
        <v>#N/A</v>
      </c>
      <c r="M96" s="33" t="e">
        <f>VLOOKUP(A1,DIV_06Data!$A$1:$DZU$1000000,1629,FALSE)</f>
        <v>#N/A</v>
      </c>
      <c r="N96" s="34" t="e">
        <f>VLOOKUP(A1,DIV_06Data!$A$1:$DZU$1000000,1630,FALSE)</f>
        <v>#N/A</v>
      </c>
      <c r="O96" s="33" t="e">
        <f>VLOOKUP(A1,DIV_06Data!$A$1:$DZU$1000000,1631,FALSE)</f>
        <v>#N/A</v>
      </c>
      <c r="P96" s="46" t="e">
        <f>VLOOKUP(A1,DIV_06Data!$A$1:$DZU$1000000,1632,FALSE)</f>
        <v>#N/A</v>
      </c>
      <c r="Q96" s="33" t="e">
        <f>VLOOKUP(A1,DIV_06Data!$A$1:$DZU$1000000,1633,FALSE)</f>
        <v>#N/A</v>
      </c>
    </row>
    <row r="97" spans="1:17" x14ac:dyDescent="0.35">
      <c r="A97" s="22" t="e">
        <f>VLOOKUP(A1,DIV_06Data!$A$1:$DZU$1000000,1634,FALSE)</f>
        <v>#N/A</v>
      </c>
      <c r="B97" s="37" t="e">
        <f>VLOOKUP(A1,DIV_06Data!$A$1:$DZU$1000000,1635,FALSE)</f>
        <v>#N/A</v>
      </c>
      <c r="C97" s="38" t="e">
        <f>VLOOKUP(A1,DIV_06Data!$A$1:$DZU$1000000,1636,FALSE)</f>
        <v>#N/A</v>
      </c>
      <c r="D97" s="31" t="e">
        <f>VLOOKUP(A1,DIV_06Data!$A$1:$DZU$1000000,1637,FALSE)</f>
        <v>#N/A</v>
      </c>
      <c r="E97" s="32" t="e">
        <f>VLOOKUP(A1,DIV_06Data!$A$1:$DZU$1000000,1638,FALSE)</f>
        <v>#N/A</v>
      </c>
      <c r="F97" s="34" t="e">
        <f>VLOOKUP(A1,DIV_06Data!$A$1:$DZU$1000000,1639,FALSE)</f>
        <v>#N/A</v>
      </c>
      <c r="G97" s="33" t="e">
        <f>VLOOKUP(A1,DIV_06Data!$A$1:$DZU$1000000,1640,FALSE)</f>
        <v>#N/A</v>
      </c>
      <c r="H97" s="34" t="e">
        <f>VLOOKUP(A1,DIV_06Data!$A$1:$DZU$1000000,1641,FALSE)</f>
        <v>#N/A</v>
      </c>
      <c r="I97" s="33" t="e">
        <f>VLOOKUP(A1,DIV_06Data!$A$1:$DZU$1000000,1642,FALSE)</f>
        <v>#N/A</v>
      </c>
      <c r="J97" s="34" t="e">
        <f>VLOOKUP(A1,DIV_06Data!$A$1:$DZU$1000000,1643,FALSE)</f>
        <v>#N/A</v>
      </c>
      <c r="K97" s="34" t="e">
        <f>VLOOKUP(A1,DIV_06Data!$A$1:$DZU$1000000,1644,FALSE)</f>
        <v>#N/A</v>
      </c>
      <c r="L97" s="93" t="e">
        <f>VLOOKUP(A1,DIV_06Data!$A$1:$DZU$1000000,1645,FALSE)</f>
        <v>#N/A</v>
      </c>
      <c r="M97" s="33" t="e">
        <f>VLOOKUP(A1,DIV_06Data!$A$1:$DZU$1000000,1646,FALSE)</f>
        <v>#N/A</v>
      </c>
      <c r="N97" s="34" t="e">
        <f>VLOOKUP(A1,DIV_06Data!$A$1:$DZU$1000000,1647,FALSE)</f>
        <v>#N/A</v>
      </c>
      <c r="O97" s="33" t="e">
        <f>VLOOKUP(A1,DIV_06Data!$A$1:$DZU$1000000,1648,FALSE)</f>
        <v>#N/A</v>
      </c>
      <c r="P97" s="46" t="e">
        <f>VLOOKUP(A1,DIV_06Data!$A$1:$DZU$1000000,1649,FALSE)</f>
        <v>#N/A</v>
      </c>
      <c r="Q97" s="33" t="e">
        <f>VLOOKUP(A1,DIV_06Data!$A$1:$DZU$1000000,1650,FALSE)</f>
        <v>#N/A</v>
      </c>
    </row>
    <row r="98" spans="1:17" x14ac:dyDescent="0.35">
      <c r="A98" s="22" t="e">
        <f>VLOOKUP(A1,DIV_06Data!$A$1:$DZU$1000000,1651,FALSE)</f>
        <v>#N/A</v>
      </c>
      <c r="B98" s="37" t="e">
        <f>VLOOKUP(A1,DIV_06Data!$A$1:$DZU$1000000,1652,FALSE)</f>
        <v>#N/A</v>
      </c>
      <c r="C98" s="38" t="e">
        <f>VLOOKUP(A1,DIV_06Data!$A$1:$DZU$1000000,1653,FALSE)</f>
        <v>#N/A</v>
      </c>
      <c r="D98" s="31" t="e">
        <f>VLOOKUP(A1,DIV_06Data!$A$1:$DZU$1000000,1654,FALSE)</f>
        <v>#N/A</v>
      </c>
      <c r="E98" s="32" t="e">
        <f>VLOOKUP(A1,DIV_06Data!$A$1:$DZU$1000000,1655,FALSE)</f>
        <v>#N/A</v>
      </c>
      <c r="F98" s="34" t="e">
        <f>VLOOKUP(A1,DIV_06Data!$A$1:$DZU$1000000,1656,FALSE)</f>
        <v>#N/A</v>
      </c>
      <c r="G98" s="33" t="e">
        <f>VLOOKUP(A1,DIV_06Data!$A$1:$DZU$1000000,1657,FALSE)</f>
        <v>#N/A</v>
      </c>
      <c r="H98" s="34" t="e">
        <f>VLOOKUP(A1,DIV_06Data!$A$1:$DZU$1000000,1658,FALSE)</f>
        <v>#N/A</v>
      </c>
      <c r="I98" s="33" t="e">
        <f>VLOOKUP(A1,DIV_06Data!$A$1:$DZU$1000000,1659,FALSE)</f>
        <v>#N/A</v>
      </c>
      <c r="J98" s="34" t="e">
        <f>VLOOKUP(A1,DIV_06Data!$A$1:$DZU$1000000,1660,FALSE)</f>
        <v>#N/A</v>
      </c>
      <c r="K98" s="34" t="e">
        <f>VLOOKUP(A1,DIV_06Data!$A$1:$DZU$1000000,1661,FALSE)</f>
        <v>#N/A</v>
      </c>
      <c r="L98" s="93" t="e">
        <f>VLOOKUP(A1,DIV_06Data!$A$1:$DZU$1000000,1662,FALSE)</f>
        <v>#N/A</v>
      </c>
      <c r="M98" s="33" t="e">
        <f>VLOOKUP(A1,DIV_06Data!$A$1:$DZU$1000000,1663,FALSE)</f>
        <v>#N/A</v>
      </c>
      <c r="N98" s="34" t="e">
        <f>VLOOKUP(A1,DIV_06Data!$A$1:$DZU$1000000,1664,FALSE)</f>
        <v>#N/A</v>
      </c>
      <c r="O98" s="33" t="e">
        <f>VLOOKUP(A1,DIV_06Data!$A$1:$DZU$1000000,1665,FALSE)</f>
        <v>#N/A</v>
      </c>
      <c r="P98" s="46" t="e">
        <f>VLOOKUP(A1,DIV_06Data!$A$1:$DZU$1000000,1666,FALSE)</f>
        <v>#N/A</v>
      </c>
      <c r="Q98" s="33" t="e">
        <f>VLOOKUP(A1,DIV_06Data!$A$1:$DZU$1000000,1667,FALSE)</f>
        <v>#N/A</v>
      </c>
    </row>
    <row r="99" spans="1:17" x14ac:dyDescent="0.35">
      <c r="A99" s="22" t="e">
        <f>VLOOKUP(A1,DIV_06Data!$A$1:$DZU$1000000,1668,FALSE)</f>
        <v>#N/A</v>
      </c>
      <c r="B99" s="37" t="e">
        <f>VLOOKUP(A1,DIV_06Data!$A$1:$DZU$1000000,1669,FALSE)</f>
        <v>#N/A</v>
      </c>
      <c r="C99" s="38" t="e">
        <f>VLOOKUP(A1,DIV_06Data!$A$1:$DZU$1000000,1670,FALSE)</f>
        <v>#N/A</v>
      </c>
      <c r="D99" s="31" t="e">
        <f>VLOOKUP(A1,DIV_06Data!$A$1:$DZU$1000000,1671,FALSE)</f>
        <v>#N/A</v>
      </c>
      <c r="E99" s="32" t="e">
        <f>VLOOKUP(A1,DIV_06Data!$A$1:$DZU$1000000,1672,FALSE)</f>
        <v>#N/A</v>
      </c>
      <c r="F99" s="34" t="e">
        <f>VLOOKUP(A1,DIV_06Data!$A$1:$DZU$1000000,1673,FALSE)</f>
        <v>#N/A</v>
      </c>
      <c r="G99" s="33" t="e">
        <f>VLOOKUP(A1,DIV_06Data!$A$1:$DZU$1000000,1674,FALSE)</f>
        <v>#N/A</v>
      </c>
      <c r="H99" s="34" t="e">
        <f>VLOOKUP(A1,DIV_06Data!$A$1:$DZU$1000000,1675,FALSE)</f>
        <v>#N/A</v>
      </c>
      <c r="I99" s="33" t="e">
        <f>VLOOKUP(A1,DIV_06Data!$A$1:$DZU$1000000,1676,FALSE)</f>
        <v>#N/A</v>
      </c>
      <c r="J99" s="34" t="e">
        <f>VLOOKUP(A1,DIV_06Data!$A$1:$DZU$1000000,1677,FALSE)</f>
        <v>#N/A</v>
      </c>
      <c r="K99" s="34" t="e">
        <f>VLOOKUP(A1,DIV_06Data!$A$1:$DZU$1000000,1678,FALSE)</f>
        <v>#N/A</v>
      </c>
      <c r="L99" s="93" t="e">
        <f>VLOOKUP(A1,DIV_06Data!$A$1:$DZU$1000000,1679,FALSE)</f>
        <v>#N/A</v>
      </c>
      <c r="M99" s="33" t="e">
        <f>VLOOKUP(A1,DIV_06Data!$A$1:$DZU$1000000,1680,FALSE)</f>
        <v>#N/A</v>
      </c>
      <c r="N99" s="34" t="e">
        <f>VLOOKUP(A1,DIV_06Data!$A$1:$DZU$1000000,1681,FALSE)</f>
        <v>#N/A</v>
      </c>
      <c r="O99" s="33" t="e">
        <f>VLOOKUP(A1,DIV_06Data!$A$1:$DZU$1000000,1682,FALSE)</f>
        <v>#N/A</v>
      </c>
      <c r="P99" s="46" t="e">
        <f>VLOOKUP(A1,DIV_06Data!$A$1:$DZU$1000000,1683,FALSE)</f>
        <v>#N/A</v>
      </c>
      <c r="Q99" s="33" t="e">
        <f>VLOOKUP(A1,DIV_06Data!$A$1:$DZU$1000000,1684,FALSE)</f>
        <v>#N/A</v>
      </c>
    </row>
    <row r="100" spans="1:17" x14ac:dyDescent="0.35">
      <c r="A100" s="22" t="e">
        <f>VLOOKUP(A1,DIV_06Data!$A$1:$DZU$1000000,1685,FALSE)</f>
        <v>#N/A</v>
      </c>
      <c r="B100" s="37" t="e">
        <f>VLOOKUP(A1,DIV_06Data!$A$1:$DZU$1000000,1686,FALSE)</f>
        <v>#N/A</v>
      </c>
      <c r="C100" s="38" t="e">
        <f>VLOOKUP(A1,DIV_06Data!$A$1:$DZU$1000000,1687,FALSE)</f>
        <v>#N/A</v>
      </c>
      <c r="D100" s="31" t="e">
        <f>VLOOKUP(A1,DIV_06Data!$A$1:$DZU$1000000,1688,FALSE)</f>
        <v>#N/A</v>
      </c>
      <c r="E100" s="32" t="e">
        <f>VLOOKUP(A1,DIV_06Data!$A$1:$DZU$1000000,1689,FALSE)</f>
        <v>#N/A</v>
      </c>
      <c r="F100" s="34" t="e">
        <f>VLOOKUP(A1,DIV_06Data!$A$1:$DZU$1000000,1690,FALSE)</f>
        <v>#N/A</v>
      </c>
      <c r="G100" s="33" t="e">
        <f>VLOOKUP(A1,DIV_06Data!$A$1:$DZU$1000000,1691,FALSE)</f>
        <v>#N/A</v>
      </c>
      <c r="H100" s="34" t="e">
        <f>VLOOKUP(A1,DIV_06Data!$A$1:$DZU$1000000,1692,FALSE)</f>
        <v>#N/A</v>
      </c>
      <c r="I100" s="33" t="e">
        <f>VLOOKUP(A1,DIV_06Data!$A$1:$DZU$1000000,1693,FALSE)</f>
        <v>#N/A</v>
      </c>
      <c r="J100" s="34" t="e">
        <f>VLOOKUP(A1,DIV_06Data!$A$1:$DZU$1000000,1694,FALSE)</f>
        <v>#N/A</v>
      </c>
      <c r="K100" s="34" t="e">
        <f>VLOOKUP(A1,DIV_06Data!$A$1:$DZU$1000000,1695,FALSE)</f>
        <v>#N/A</v>
      </c>
      <c r="L100" s="93" t="e">
        <f>VLOOKUP(A1,DIV_06Data!$A$1:$DZU$1000000,1696,FALSE)</f>
        <v>#N/A</v>
      </c>
      <c r="M100" s="33" t="e">
        <f>VLOOKUP(A1,DIV_06Data!$A$1:$DZU$1000000,1697,FALSE)</f>
        <v>#N/A</v>
      </c>
      <c r="N100" s="34" t="e">
        <f>VLOOKUP(A1,DIV_06Data!$A$1:$DZU$1000000,1698,FALSE)</f>
        <v>#N/A</v>
      </c>
      <c r="O100" s="33" t="e">
        <f>VLOOKUP(A1,DIV_06Data!$A$1:$DZU$1000000,1699,FALSE)</f>
        <v>#N/A</v>
      </c>
      <c r="P100" s="46" t="e">
        <f>VLOOKUP(A1,DIV_06Data!$A$1:$DZU$1000000,1700,FALSE)</f>
        <v>#N/A</v>
      </c>
      <c r="Q100" s="33" t="e">
        <f>VLOOKUP(A1,DIV_06Data!$A$1:$DZU$1000000,1701,FALSE)</f>
        <v>#N/A</v>
      </c>
    </row>
    <row r="101" spans="1:17" x14ac:dyDescent="0.35">
      <c r="A101" s="22" t="e">
        <f>VLOOKUP(A1,DIV_06Data!$A$1:$DZU$1000000,1702,FALSE)</f>
        <v>#N/A</v>
      </c>
      <c r="B101" s="37" t="e">
        <f>VLOOKUP(A1,DIV_06Data!$A$1:$DZU$1000000,1703,FALSE)</f>
        <v>#N/A</v>
      </c>
      <c r="C101" s="38" t="e">
        <f>VLOOKUP(A1,DIV_06Data!$A$1:$DZU$1000000,1704,FALSE)</f>
        <v>#N/A</v>
      </c>
      <c r="D101" s="31" t="e">
        <f>VLOOKUP(A1,DIV_06Data!$A$1:$DZU$1000000,1705,FALSE)</f>
        <v>#N/A</v>
      </c>
      <c r="E101" s="32" t="e">
        <f>VLOOKUP(A1,DIV_06Data!$A$1:$DZU$1000000,1706,FALSE)</f>
        <v>#N/A</v>
      </c>
      <c r="F101" s="34" t="e">
        <f>VLOOKUP(A1,DIV_06Data!$A$1:$DZU$1000000,1707,FALSE)</f>
        <v>#N/A</v>
      </c>
      <c r="G101" s="33" t="e">
        <f>VLOOKUP(A1,DIV_06Data!$A$1:$DZU$1000000,1708,FALSE)</f>
        <v>#N/A</v>
      </c>
      <c r="H101" s="34" t="e">
        <f>VLOOKUP(A1,DIV_06Data!$A$1:$DZU$1000000,1709,FALSE)</f>
        <v>#N/A</v>
      </c>
      <c r="I101" s="33" t="e">
        <f>VLOOKUP(A1,DIV_06Data!$A$1:$DZU$1000000,1710,FALSE)</f>
        <v>#N/A</v>
      </c>
      <c r="J101" s="34" t="e">
        <f>VLOOKUP(A1,DIV_06Data!$A$1:$DZU$1000000,1711,FALSE)</f>
        <v>#N/A</v>
      </c>
      <c r="K101" s="34" t="e">
        <f>VLOOKUP(A1,DIV_06Data!$A$1:$DZU$1000000,1712,FALSE)</f>
        <v>#N/A</v>
      </c>
      <c r="L101" s="93" t="e">
        <f>VLOOKUP(A1,DIV_06Data!$A$1:$DZU$1000000,1713,FALSE)</f>
        <v>#N/A</v>
      </c>
      <c r="M101" s="33" t="e">
        <f>VLOOKUP(A1,DIV_06Data!$A$1:$DZU$1000000,1714,FALSE)</f>
        <v>#N/A</v>
      </c>
      <c r="N101" s="34" t="e">
        <f>VLOOKUP(A1,DIV_06Data!$A$1:$DZU$1000000,1715,FALSE)</f>
        <v>#N/A</v>
      </c>
      <c r="O101" s="33" t="e">
        <f>VLOOKUP(A1,DIV_06Data!$A$1:$DZU$1000000,1716,FALSE)</f>
        <v>#N/A</v>
      </c>
      <c r="P101" s="46" t="e">
        <f>VLOOKUP(A1,DIV_06Data!$A$1:$DZU$1000000,1717,FALSE)</f>
        <v>#N/A</v>
      </c>
      <c r="Q101" s="33" t="e">
        <f>VLOOKUP(A1,DIV_06Data!$A$1:$DZU$1000000,1718,FALSE)</f>
        <v>#N/A</v>
      </c>
    </row>
    <row r="102" spans="1:17" x14ac:dyDescent="0.35">
      <c r="A102" s="22" t="e">
        <f>VLOOKUP(A1,DIV_06Data!$A$1:$DZU$1000000,1719,FALSE)</f>
        <v>#N/A</v>
      </c>
      <c r="B102" s="37" t="e">
        <f>VLOOKUP(A1,DIV_06Data!$A$1:$DZU$1000000,1720,FALSE)</f>
        <v>#N/A</v>
      </c>
      <c r="C102" s="38" t="e">
        <f>VLOOKUP(A1,DIV_06Data!$A$1:$DZU$1000000,1721,FALSE)</f>
        <v>#N/A</v>
      </c>
      <c r="D102" s="31" t="e">
        <f>VLOOKUP(A1,DIV_06Data!$A$1:$DZU$1000000,1722,FALSE)</f>
        <v>#N/A</v>
      </c>
      <c r="E102" s="32" t="e">
        <f>VLOOKUP(A1,DIV_06Data!$A$1:$DZU$1000000,1723,FALSE)</f>
        <v>#N/A</v>
      </c>
      <c r="F102" s="34" t="e">
        <f>VLOOKUP(A1,DIV_06Data!$A$1:$DZU$1000000,1724,FALSE)</f>
        <v>#N/A</v>
      </c>
      <c r="G102" s="33" t="e">
        <f>VLOOKUP(A1,DIV_06Data!$A$1:$DZU$1000000,1725,FALSE)</f>
        <v>#N/A</v>
      </c>
      <c r="H102" s="34" t="e">
        <f>VLOOKUP(A1,DIV_06Data!$A$1:$DZU$1000000,1726,FALSE)</f>
        <v>#N/A</v>
      </c>
      <c r="I102" s="33" t="e">
        <f>VLOOKUP(A1,DIV_06Data!$A$1:$DZU$1000000,1727,FALSE)</f>
        <v>#N/A</v>
      </c>
      <c r="J102" s="34" t="e">
        <f>VLOOKUP(A1,DIV_06Data!$A$1:$DZU$1000000,1728,FALSE)</f>
        <v>#N/A</v>
      </c>
      <c r="K102" s="34" t="e">
        <f>VLOOKUP(A1,DIV_06Data!$A$1:$DZU$1000000,1729,FALSE)</f>
        <v>#N/A</v>
      </c>
      <c r="L102" s="93" t="e">
        <f>VLOOKUP(A1,DIV_06Data!$A$1:$DZU$1000000,1730,FALSE)</f>
        <v>#N/A</v>
      </c>
      <c r="M102" s="33" t="e">
        <f>VLOOKUP(A1,DIV_06Data!$A$1:$DZU$1000000,1731,FALSE)</f>
        <v>#N/A</v>
      </c>
      <c r="N102" s="34" t="e">
        <f>VLOOKUP(A1,DIV_06Data!$A$1:$DZU$1000000,1732,FALSE)</f>
        <v>#N/A</v>
      </c>
      <c r="O102" s="33" t="e">
        <f>VLOOKUP(A1,DIV_06Data!$A$1:$DZU$1000000,1733,FALSE)</f>
        <v>#N/A</v>
      </c>
      <c r="P102" s="46" t="e">
        <f>VLOOKUP(A1,DIV_06Data!$A$1:$DZU$1000000,1734,FALSE)</f>
        <v>#N/A</v>
      </c>
      <c r="Q102" s="33" t="e">
        <f>VLOOKUP(A1,DIV_06Data!$A$1:$DZU$1000000,1735,FALSE)</f>
        <v>#N/A</v>
      </c>
    </row>
    <row r="103" spans="1:17" x14ac:dyDescent="0.35">
      <c r="A103" s="22" t="e">
        <f>VLOOKUP(A1,DIV_06Data!$A$1:$DZU$1000000,1736,FALSE)</f>
        <v>#N/A</v>
      </c>
      <c r="B103" s="37" t="e">
        <f>VLOOKUP(A1,DIV_06Data!$A$1:$DZU$1000000,1737,FALSE)</f>
        <v>#N/A</v>
      </c>
      <c r="C103" s="38" t="e">
        <f>VLOOKUP(A1,DIV_06Data!$A$1:$DZU$1000000,1738,FALSE)</f>
        <v>#N/A</v>
      </c>
      <c r="D103" s="31" t="e">
        <f>VLOOKUP(A1,DIV_06Data!$A$1:$DZU$1000000,1739,FALSE)</f>
        <v>#N/A</v>
      </c>
      <c r="E103" s="32" t="e">
        <f>VLOOKUP(A1,DIV_06Data!$A$1:$DZU$1000000,1740,FALSE)</f>
        <v>#N/A</v>
      </c>
      <c r="F103" s="34" t="e">
        <f>VLOOKUP(A1,DIV_06Data!$A$1:$DZU$1000000,1741,FALSE)</f>
        <v>#N/A</v>
      </c>
      <c r="G103" s="33" t="e">
        <f>VLOOKUP(A1,DIV_06Data!$A$1:$DZU$1000000,1742,FALSE)</f>
        <v>#N/A</v>
      </c>
      <c r="H103" s="34" t="e">
        <f>VLOOKUP(A1,DIV_06Data!$A$1:$DZU$1000000,1743,FALSE)</f>
        <v>#N/A</v>
      </c>
      <c r="I103" s="33" t="e">
        <f>VLOOKUP(A1,DIV_06Data!$A$1:$DZU$1000000,1744,FALSE)</f>
        <v>#N/A</v>
      </c>
      <c r="J103" s="34" t="e">
        <f>VLOOKUP(A1,DIV_06Data!$A$1:$DZU$1000000,1745,FALSE)</f>
        <v>#N/A</v>
      </c>
      <c r="K103" s="34" t="e">
        <f>VLOOKUP(A1,DIV_06Data!$A$1:$DZU$1000000,1746,FALSE)</f>
        <v>#N/A</v>
      </c>
      <c r="L103" s="93" t="e">
        <f>VLOOKUP(A1,DIV_06Data!$A$1:$DZU$1000000,1747,FALSE)</f>
        <v>#N/A</v>
      </c>
      <c r="M103" s="33" t="e">
        <f>VLOOKUP(A1,DIV_06Data!$A$1:$DZU$1000000,1748,FALSE)</f>
        <v>#N/A</v>
      </c>
      <c r="N103" s="34" t="e">
        <f>VLOOKUP(A1,DIV_06Data!$A$1:$DZU$1000000,1749,FALSE)</f>
        <v>#N/A</v>
      </c>
      <c r="O103" s="33" t="e">
        <f>VLOOKUP(A1,DIV_06Data!$A$1:$DZU$1000000,1750,FALSE)</f>
        <v>#N/A</v>
      </c>
      <c r="P103" s="46" t="e">
        <f>VLOOKUP(A1,DIV_06Data!$A$1:$DZU$1000000,1751,FALSE)</f>
        <v>#N/A</v>
      </c>
      <c r="Q103" s="33" t="e">
        <f>VLOOKUP(A1,DIV_06Data!$A$1:$DZU$1000000,1752,FALSE)</f>
        <v>#N/A</v>
      </c>
    </row>
    <row r="104" spans="1:17" x14ac:dyDescent="0.35">
      <c r="A104" s="22" t="e">
        <f>VLOOKUP(A1,DIV_06Data!$A$1:$DZU$1000000,1753,FALSE)</f>
        <v>#N/A</v>
      </c>
      <c r="B104" s="37" t="e">
        <f>VLOOKUP(A1,DIV_06Data!$A$1:$DZU$1000000,1754,FALSE)</f>
        <v>#N/A</v>
      </c>
      <c r="C104" s="38" t="e">
        <f>VLOOKUP(A1,DIV_06Data!$A$1:$DZU$1000000,1755,FALSE)</f>
        <v>#N/A</v>
      </c>
      <c r="D104" s="31" t="e">
        <f>VLOOKUP(A1,DIV_06Data!$A$1:$DZU$1000000,1756,FALSE)</f>
        <v>#N/A</v>
      </c>
      <c r="E104" s="32" t="e">
        <f>VLOOKUP(A1,DIV_06Data!$A$1:$DZU$1000000,1757,FALSE)</f>
        <v>#N/A</v>
      </c>
      <c r="F104" s="34" t="e">
        <f>VLOOKUP(A1,DIV_06Data!$A$1:$DZU$1000000,1758,FALSE)</f>
        <v>#N/A</v>
      </c>
      <c r="G104" s="33" t="e">
        <f>VLOOKUP(A1,DIV_06Data!$A$1:$DZU$1000000,1759,FALSE)</f>
        <v>#N/A</v>
      </c>
      <c r="H104" s="34" t="e">
        <f>VLOOKUP(A1,DIV_06Data!$A$1:$DZU$1000000,1760,FALSE)</f>
        <v>#N/A</v>
      </c>
      <c r="I104" s="33" t="e">
        <f>VLOOKUP(A1,DIV_06Data!$A$1:$DZU$1000000,1761,FALSE)</f>
        <v>#N/A</v>
      </c>
      <c r="J104" s="34" t="e">
        <f>VLOOKUP(A1,DIV_06Data!$A$1:$DZU$1000000,1762,FALSE)</f>
        <v>#N/A</v>
      </c>
      <c r="K104" s="34" t="e">
        <f>VLOOKUP(A1,DIV_06Data!$A$1:$DZU$1000000,1763,FALSE)</f>
        <v>#N/A</v>
      </c>
      <c r="L104" s="93" t="e">
        <f>VLOOKUP(A1,DIV_06Data!$A$1:$DZU$1000000,1764,FALSE)</f>
        <v>#N/A</v>
      </c>
      <c r="M104" s="33" t="e">
        <f>VLOOKUP(A1,DIV_06Data!$A$1:$DZU$1000000,1765,FALSE)</f>
        <v>#N/A</v>
      </c>
      <c r="N104" s="34" t="e">
        <f>VLOOKUP(A1,DIV_06Data!$A$1:$DZU$1000000,1766,FALSE)</f>
        <v>#N/A</v>
      </c>
      <c r="O104" s="33" t="e">
        <f>VLOOKUP(A1,DIV_06Data!$A$1:$DZU$1000000,1767,FALSE)</f>
        <v>#N/A</v>
      </c>
      <c r="P104" s="46" t="e">
        <f>VLOOKUP(A1,DIV_06Data!$A$1:$DZU$1000000,1768,FALSE)</f>
        <v>#N/A</v>
      </c>
      <c r="Q104" s="33" t="e">
        <f>VLOOKUP(A1,DIV_06Data!$A$1:$DZU$1000000,1769,FALSE)</f>
        <v>#N/A</v>
      </c>
    </row>
    <row r="105" spans="1:17" x14ac:dyDescent="0.35">
      <c r="A105" s="22" t="e">
        <f>VLOOKUP(A1,DIV_06Data!$A$1:$DZU$1000000,1770,FALSE)</f>
        <v>#N/A</v>
      </c>
      <c r="B105" s="37" t="e">
        <f>VLOOKUP(A1,DIV_06Data!$A$1:$DZU$1000000,1771,FALSE)</f>
        <v>#N/A</v>
      </c>
      <c r="C105" s="38" t="e">
        <f>VLOOKUP(A1,DIV_06Data!$A$1:$DZU$1000000,1772,FALSE)</f>
        <v>#N/A</v>
      </c>
      <c r="D105" s="31" t="e">
        <f>VLOOKUP(A1,DIV_06Data!$A$1:$DZU$1000000,1773,FALSE)</f>
        <v>#N/A</v>
      </c>
      <c r="E105" s="32" t="e">
        <f>VLOOKUP(A1,DIV_06Data!$A$1:$DZU$1000000,1774,FALSE)</f>
        <v>#N/A</v>
      </c>
      <c r="F105" s="34" t="e">
        <f>VLOOKUP(A1,DIV_06Data!$A$1:$DZU$1000000,1775,FALSE)</f>
        <v>#N/A</v>
      </c>
      <c r="G105" s="33" t="e">
        <f>VLOOKUP(A1,DIV_06Data!$A$1:$DZU$1000000,1776,FALSE)</f>
        <v>#N/A</v>
      </c>
      <c r="H105" s="34" t="e">
        <f>VLOOKUP(A1,DIV_06Data!$A$1:$DZU$1000000,1777,FALSE)</f>
        <v>#N/A</v>
      </c>
      <c r="I105" s="33" t="e">
        <f>VLOOKUP(A1,DIV_06Data!$A$1:$DZU$1000000,1778,FALSE)</f>
        <v>#N/A</v>
      </c>
      <c r="J105" s="34" t="e">
        <f>VLOOKUP(A1,DIV_06Data!$A$1:$DZU$1000000,1779,FALSE)</f>
        <v>#N/A</v>
      </c>
      <c r="K105" s="34" t="e">
        <f>VLOOKUP(A1,DIV_06Data!$A$1:$DZU$1000000,1780,FALSE)</f>
        <v>#N/A</v>
      </c>
      <c r="L105" s="93" t="e">
        <f>VLOOKUP(A1,DIV_06Data!$A$1:$DZU$1000000,1781,FALSE)</f>
        <v>#N/A</v>
      </c>
      <c r="M105" s="33" t="e">
        <f>VLOOKUP(A1,DIV_06Data!$A$1:$DZU$1000000,1782,FALSE)</f>
        <v>#N/A</v>
      </c>
      <c r="N105" s="34" t="e">
        <f>VLOOKUP(A1,DIV_06Data!$A$1:$DZU$1000000,1783,FALSE)</f>
        <v>#N/A</v>
      </c>
      <c r="O105" s="33" t="e">
        <f>VLOOKUP(A1,DIV_06Data!$A$1:$DZU$1000000,1784,FALSE)</f>
        <v>#N/A</v>
      </c>
      <c r="P105" s="46" t="e">
        <f>VLOOKUP(A1,DIV_06Data!$A$1:$DZU$1000000,1785,FALSE)</f>
        <v>#N/A</v>
      </c>
      <c r="Q105" s="33" t="e">
        <f>VLOOKUP(A1,DIV_06Data!$A$1:$DZU$1000000,1786,FALSE)</f>
        <v>#N/A</v>
      </c>
    </row>
    <row r="106" spans="1:17" x14ac:dyDescent="0.35">
      <c r="A106" s="22" t="e">
        <f>VLOOKUP(A1,DIV_06Data!$A$1:$DZU$1000000,1787,FALSE)</f>
        <v>#N/A</v>
      </c>
      <c r="B106" s="37" t="e">
        <f>VLOOKUP(A1,DIV_06Data!$A$1:$DZU$1000000,1788,FALSE)</f>
        <v>#N/A</v>
      </c>
      <c r="C106" s="38" t="e">
        <f>VLOOKUP(A1,DIV_06Data!$A$1:$DZU$1000000,1789,FALSE)</f>
        <v>#N/A</v>
      </c>
      <c r="D106" s="31" t="e">
        <f>VLOOKUP(A1,DIV_06Data!$A$1:$DZU$1000000,1790,FALSE)</f>
        <v>#N/A</v>
      </c>
      <c r="E106" s="32" t="e">
        <f>VLOOKUP(A1,DIV_06Data!$A$1:$DZU$1000000,1791,FALSE)</f>
        <v>#N/A</v>
      </c>
      <c r="F106" s="34" t="e">
        <f>VLOOKUP(A1,DIV_06Data!$A$1:$DZU$1000000,1792,FALSE)</f>
        <v>#N/A</v>
      </c>
      <c r="G106" s="33" t="e">
        <f>VLOOKUP(A1,DIV_06Data!$A$1:$DZU$1000000,1793,FALSE)</f>
        <v>#N/A</v>
      </c>
      <c r="H106" s="34" t="e">
        <f>VLOOKUP(A1,DIV_06Data!$A$1:$DZU$1000000,1794,FALSE)</f>
        <v>#N/A</v>
      </c>
      <c r="I106" s="33" t="e">
        <f>VLOOKUP(A1,DIV_06Data!$A$1:$DZU$1000000,1795,FALSE)</f>
        <v>#N/A</v>
      </c>
      <c r="J106" s="34" t="e">
        <f>VLOOKUP(A1,DIV_06Data!$A$1:$DZU$1000000,1796,FALSE)</f>
        <v>#N/A</v>
      </c>
      <c r="K106" s="34" t="e">
        <f>VLOOKUP(A1,DIV_06Data!$A$1:$DZU$1000000,1797,FALSE)</f>
        <v>#N/A</v>
      </c>
      <c r="L106" s="93" t="e">
        <f>VLOOKUP(A1,DIV_06Data!$A$1:$DZU$1000000,1798,FALSE)</f>
        <v>#N/A</v>
      </c>
      <c r="M106" s="33" t="e">
        <f>VLOOKUP(A1,DIV_06Data!$A$1:$DZU$1000000,1799,FALSE)</f>
        <v>#N/A</v>
      </c>
      <c r="N106" s="34" t="e">
        <f>VLOOKUP(A1,DIV_06Data!$A$1:$DZU$1000000,1800,FALSE)</f>
        <v>#N/A</v>
      </c>
      <c r="O106" s="33" t="e">
        <f>VLOOKUP(A1,DIV_06Data!$A$1:$DZU$1000000,1801,FALSE)</f>
        <v>#N/A</v>
      </c>
      <c r="P106" s="46" t="e">
        <f>VLOOKUP(A1,DIV_06Data!$A$1:$DZU$1000000,1802,FALSE)</f>
        <v>#N/A</v>
      </c>
      <c r="Q106" s="33" t="e">
        <f>VLOOKUP(A1,DIV_06Data!$A$1:$DZU$1000000,1803,FALSE)</f>
        <v>#N/A</v>
      </c>
    </row>
    <row r="107" spans="1:17" x14ac:dyDescent="0.35">
      <c r="A107" s="22" t="e">
        <f>VLOOKUP(A1,DIV_06Data!$A$1:$DZU$1000000,1804,FALSE)</f>
        <v>#N/A</v>
      </c>
      <c r="B107" s="37" t="e">
        <f>VLOOKUP(A1,DIV_06Data!$A$1:$DZU$1000000,1805,FALSE)</f>
        <v>#N/A</v>
      </c>
      <c r="C107" s="38" t="e">
        <f>VLOOKUP(A1,DIV_06Data!$A$1:$DZU$1000000,1806,FALSE)</f>
        <v>#N/A</v>
      </c>
      <c r="D107" s="31" t="e">
        <f>VLOOKUP(A1,DIV_06Data!$A$1:$DZU$1000000,1807,FALSE)</f>
        <v>#N/A</v>
      </c>
      <c r="E107" s="32" t="e">
        <f>VLOOKUP(A1,DIV_06Data!$A$1:$DZU$1000000,1808,FALSE)</f>
        <v>#N/A</v>
      </c>
      <c r="F107" s="34" t="e">
        <f>VLOOKUP(A1,DIV_06Data!$A$1:$DZU$1000000,1809,FALSE)</f>
        <v>#N/A</v>
      </c>
      <c r="G107" s="33" t="e">
        <f>VLOOKUP(A1,DIV_06Data!$A$1:$DZU$1000000,1810,FALSE)</f>
        <v>#N/A</v>
      </c>
      <c r="H107" s="34" t="e">
        <f>VLOOKUP(A1,DIV_06Data!$A$1:$DZU$1000000,1811,FALSE)</f>
        <v>#N/A</v>
      </c>
      <c r="I107" s="33" t="e">
        <f>VLOOKUP(A1,DIV_06Data!$A$1:$DZU$1000000,1812,FALSE)</f>
        <v>#N/A</v>
      </c>
      <c r="J107" s="34" t="e">
        <f>VLOOKUP(A1,DIV_06Data!$A$1:$DZU$1000000,1813,FALSE)</f>
        <v>#N/A</v>
      </c>
      <c r="K107" s="34" t="e">
        <f>VLOOKUP(A1,DIV_06Data!$A$1:$DZU$1000000,1814,FALSE)</f>
        <v>#N/A</v>
      </c>
      <c r="L107" s="93" t="e">
        <f>VLOOKUP(A1,DIV_06Data!$A$1:$DZU$1000000,1815,FALSE)</f>
        <v>#N/A</v>
      </c>
      <c r="M107" s="33" t="e">
        <f>VLOOKUP(A1,DIV_06Data!$A$1:$DZU$1000000,1816,FALSE)</f>
        <v>#N/A</v>
      </c>
      <c r="N107" s="34" t="e">
        <f>VLOOKUP(A1,DIV_06Data!$A$1:$DZU$1000000,1817,FALSE)</f>
        <v>#N/A</v>
      </c>
      <c r="O107" s="33" t="e">
        <f>VLOOKUP(A1,DIV_06Data!$A$1:$DZU$1000000,1818,FALSE)</f>
        <v>#N/A</v>
      </c>
      <c r="P107" s="46" t="e">
        <f>VLOOKUP(A1,DIV_06Data!$A$1:$DZU$1000000,1819,FALSE)</f>
        <v>#N/A</v>
      </c>
      <c r="Q107" s="33" t="e">
        <f>VLOOKUP(A1,DIV_06Data!$A$1:$DZU$1000000,1820,FALSE)</f>
        <v>#N/A</v>
      </c>
    </row>
    <row r="108" spans="1:17" x14ac:dyDescent="0.35">
      <c r="A108" s="22" t="e">
        <f>VLOOKUP(A1,DIV_06Data!$A$1:$DZU$1000000,1821,FALSE)</f>
        <v>#N/A</v>
      </c>
      <c r="B108" s="37" t="e">
        <f>VLOOKUP(A1,DIV_06Data!$A$1:$DZU$1000000,1822,FALSE)</f>
        <v>#N/A</v>
      </c>
      <c r="C108" s="38" t="e">
        <f>VLOOKUP(A1,DIV_06Data!$A$1:$DZU$1000000,1823,FALSE)</f>
        <v>#N/A</v>
      </c>
      <c r="D108" s="31" t="e">
        <f>VLOOKUP(A1,DIV_06Data!$A$1:$DZU$1000000,1824,FALSE)</f>
        <v>#N/A</v>
      </c>
      <c r="E108" s="32" t="e">
        <f>VLOOKUP(A1,DIV_06Data!$A$1:$DZU$1000000,1825,FALSE)</f>
        <v>#N/A</v>
      </c>
      <c r="F108" s="34" t="e">
        <f>VLOOKUP(A1,DIV_06Data!$A$1:$DZU$1000000,1826,FALSE)</f>
        <v>#N/A</v>
      </c>
      <c r="G108" s="33" t="e">
        <f>VLOOKUP(A1,DIV_06Data!$A$1:$DZU$1000000,1827,FALSE)</f>
        <v>#N/A</v>
      </c>
      <c r="H108" s="34" t="e">
        <f>VLOOKUP(A1,DIV_06Data!$A$1:$DZU$1000000,1828,FALSE)</f>
        <v>#N/A</v>
      </c>
      <c r="I108" s="33" t="e">
        <f>VLOOKUP(A1,DIV_06Data!$A$1:$DZU$1000000,1829,FALSE)</f>
        <v>#N/A</v>
      </c>
      <c r="J108" s="34" t="e">
        <f>VLOOKUP(A1,DIV_06Data!$A$1:$DZU$1000000,1830,FALSE)</f>
        <v>#N/A</v>
      </c>
      <c r="K108" s="34" t="e">
        <f>VLOOKUP(A1,DIV_06Data!$A$1:$DZU$1000000,1831,FALSE)</f>
        <v>#N/A</v>
      </c>
      <c r="L108" s="93" t="e">
        <f>VLOOKUP(A1,DIV_06Data!$A$1:$DZU$1000000,1832,FALSE)</f>
        <v>#N/A</v>
      </c>
      <c r="M108" s="33" t="e">
        <f>VLOOKUP(A1,DIV_06Data!$A$1:$DZU$1000000,1833,FALSE)</f>
        <v>#N/A</v>
      </c>
      <c r="N108" s="34" t="e">
        <f>VLOOKUP(A1,DIV_06Data!$A$1:$DZU$1000000,1834,FALSE)</f>
        <v>#N/A</v>
      </c>
      <c r="O108" s="33" t="e">
        <f>VLOOKUP(A1,DIV_06Data!$A$1:$DZU$1000000,1835,FALSE)</f>
        <v>#N/A</v>
      </c>
      <c r="P108" s="46" t="e">
        <f>VLOOKUP(A1,DIV_06Data!$A$1:$DZU$1000000,1836,FALSE)</f>
        <v>#N/A</v>
      </c>
      <c r="Q108" s="33" t="e">
        <f>VLOOKUP(A1,DIV_06Data!$A$1:$DZU$1000000,1837,FALSE)</f>
        <v>#N/A</v>
      </c>
    </row>
    <row r="109" spans="1:17" x14ac:dyDescent="0.35">
      <c r="A109" s="22" t="e">
        <f>VLOOKUP(A1,DIV_06Data!$A$1:$DZU$1000000,1838,FALSE)</f>
        <v>#N/A</v>
      </c>
      <c r="B109" s="37" t="e">
        <f>VLOOKUP(A1,DIV_06Data!$A$1:$DZU$1000000,1839,FALSE)</f>
        <v>#N/A</v>
      </c>
      <c r="C109" s="38" t="e">
        <f>VLOOKUP(A1,DIV_06Data!$A$1:$DZU$1000000,1840,FALSE)</f>
        <v>#N/A</v>
      </c>
      <c r="D109" s="31" t="e">
        <f>VLOOKUP(A1,DIV_06Data!$A$1:$DZU$1000000,1841,FALSE)</f>
        <v>#N/A</v>
      </c>
      <c r="E109" s="32" t="e">
        <f>VLOOKUP(A1,DIV_06Data!$A$1:$DZU$1000000,1842,FALSE)</f>
        <v>#N/A</v>
      </c>
      <c r="F109" s="34" t="e">
        <f>VLOOKUP(A1,DIV_06Data!$A$1:$DZU$1000000,1843,FALSE)</f>
        <v>#N/A</v>
      </c>
      <c r="G109" s="33" t="e">
        <f>VLOOKUP(A1,DIV_06Data!$A$1:$DZU$1000000,1844,FALSE)</f>
        <v>#N/A</v>
      </c>
      <c r="H109" s="34" t="e">
        <f>VLOOKUP(A1,DIV_06Data!$A$1:$DZU$1000000,1845,FALSE)</f>
        <v>#N/A</v>
      </c>
      <c r="I109" s="33" t="e">
        <f>VLOOKUP(A1,DIV_06Data!$A$1:$DZU$1000000,1846,FALSE)</f>
        <v>#N/A</v>
      </c>
      <c r="J109" s="34" t="e">
        <f>VLOOKUP(A1,DIV_06Data!$A$1:$DZU$1000000,1847,FALSE)</f>
        <v>#N/A</v>
      </c>
      <c r="K109" s="34" t="e">
        <f>VLOOKUP(A1,DIV_06Data!$A$1:$DZU$1000000,1848,FALSE)</f>
        <v>#N/A</v>
      </c>
      <c r="L109" s="93" t="e">
        <f>VLOOKUP(A1,DIV_06Data!$A$1:$DZU$1000000,1849,FALSE)</f>
        <v>#N/A</v>
      </c>
      <c r="M109" s="33" t="e">
        <f>VLOOKUP(A1,DIV_06Data!$A$1:$DZU$1000000,1850,FALSE)</f>
        <v>#N/A</v>
      </c>
      <c r="N109" s="34" t="e">
        <f>VLOOKUP(A1,DIV_06Data!$A$1:$DZU$1000000,1851,FALSE)</f>
        <v>#N/A</v>
      </c>
      <c r="O109" s="33" t="e">
        <f>VLOOKUP(A1,DIV_06Data!$A$1:$DZU$1000000,1852,FALSE)</f>
        <v>#N/A</v>
      </c>
      <c r="P109" s="46" t="e">
        <f>VLOOKUP(A1,DIV_06Data!$A$1:$DZU$1000000,1853,FALSE)</f>
        <v>#N/A</v>
      </c>
      <c r="Q109" s="33" t="e">
        <f>VLOOKUP(A1,DIV_06Data!$A$1:$DZU$1000000,1854,FALSE)</f>
        <v>#N/A</v>
      </c>
    </row>
    <row r="110" spans="1:17" x14ac:dyDescent="0.35">
      <c r="A110" s="22" t="e">
        <f>VLOOKUP(A1,DIV_06Data!$A$1:$DZU$1000000,1855,FALSE)</f>
        <v>#N/A</v>
      </c>
      <c r="B110" s="37" t="e">
        <f>VLOOKUP(A1,DIV_06Data!$A$1:$DZU$1000000,1856,FALSE)</f>
        <v>#N/A</v>
      </c>
      <c r="C110" s="38" t="e">
        <f>VLOOKUP(A1,DIV_06Data!$A$1:$DZU$1000000,1857,FALSE)</f>
        <v>#N/A</v>
      </c>
      <c r="D110" s="31" t="e">
        <f>VLOOKUP(A1,DIV_06Data!$A$1:$DZU$1000000,1858,FALSE)</f>
        <v>#N/A</v>
      </c>
      <c r="E110" s="32" t="e">
        <f>VLOOKUP(A1,DIV_06Data!$A$1:$DZU$1000000,1859,FALSE)</f>
        <v>#N/A</v>
      </c>
      <c r="F110" s="34" t="e">
        <f>VLOOKUP(A1,DIV_06Data!$A$1:$DZU$1000000,1860,FALSE)</f>
        <v>#N/A</v>
      </c>
      <c r="G110" s="33" t="e">
        <f>VLOOKUP(A1,DIV_06Data!$A$1:$DZU$1000000,1861,FALSE)</f>
        <v>#N/A</v>
      </c>
      <c r="H110" s="34" t="e">
        <f>VLOOKUP(A1,DIV_06Data!$A$1:$DZU$1000000,1862,FALSE)</f>
        <v>#N/A</v>
      </c>
      <c r="I110" s="33" t="e">
        <f>VLOOKUP(A1,DIV_06Data!$A$1:$DZU$1000000,1863,FALSE)</f>
        <v>#N/A</v>
      </c>
      <c r="J110" s="34" t="e">
        <f>VLOOKUP(A1,DIV_06Data!$A$1:$DZU$1000000,1864,FALSE)</f>
        <v>#N/A</v>
      </c>
      <c r="K110" s="34" t="e">
        <f>VLOOKUP(A1,DIV_06Data!$A$1:$DZU$1000000,1865,FALSE)</f>
        <v>#N/A</v>
      </c>
      <c r="L110" s="93" t="e">
        <f>VLOOKUP(A1,DIV_06Data!$A$1:$DZU$1000000,1866,FALSE)</f>
        <v>#N/A</v>
      </c>
      <c r="M110" s="33" t="e">
        <f>VLOOKUP(A1,DIV_06Data!$A$1:$DZU$1000000,1867,FALSE)</f>
        <v>#N/A</v>
      </c>
      <c r="N110" s="34" t="e">
        <f>VLOOKUP(A1,DIV_06Data!$A$1:$DZU$1000000,1868,FALSE)</f>
        <v>#N/A</v>
      </c>
      <c r="O110" s="33" t="e">
        <f>VLOOKUP(A1,DIV_06Data!$A$1:$DZU$1000000,1869,FALSE)</f>
        <v>#N/A</v>
      </c>
      <c r="P110" s="46" t="e">
        <f>VLOOKUP(A1,DIV_06Data!$A$1:$DZU$1000000,1870,FALSE)</f>
        <v>#N/A</v>
      </c>
      <c r="Q110" s="33" t="e">
        <f>VLOOKUP(A1,DIV_06Data!$A$1:$DZU$1000000,1871,FALSE)</f>
        <v>#N/A</v>
      </c>
    </row>
    <row r="111" spans="1:17" x14ac:dyDescent="0.35">
      <c r="A111" s="22" t="e">
        <f>VLOOKUP(A1,DIV_06Data!$A$1:$DZU$1000000,1872,FALSE)</f>
        <v>#N/A</v>
      </c>
      <c r="B111" s="37" t="e">
        <f>VLOOKUP(A1,DIV_06Data!$A$1:$DZU$1000000,1873,FALSE)</f>
        <v>#N/A</v>
      </c>
      <c r="C111" s="38" t="e">
        <f>VLOOKUP(A1,DIV_06Data!$A$1:$DZU$1000000,1874,FALSE)</f>
        <v>#N/A</v>
      </c>
      <c r="D111" s="31" t="e">
        <f>VLOOKUP(A1,DIV_06Data!$A$1:$DZU$1000000,1875,FALSE)</f>
        <v>#N/A</v>
      </c>
      <c r="E111" s="32" t="e">
        <f>VLOOKUP(A1,DIV_06Data!$A$1:$DZU$1000000,1876,FALSE)</f>
        <v>#N/A</v>
      </c>
      <c r="F111" s="34" t="e">
        <f>VLOOKUP(A1,DIV_06Data!$A$1:$DZU$1000000,1877,FALSE)</f>
        <v>#N/A</v>
      </c>
      <c r="G111" s="33" t="e">
        <f>VLOOKUP(A1,DIV_06Data!$A$1:$DZU$1000000,1878,FALSE)</f>
        <v>#N/A</v>
      </c>
      <c r="H111" s="34" t="e">
        <f>VLOOKUP(A1,DIV_06Data!$A$1:$DZU$1000000,1879,FALSE)</f>
        <v>#N/A</v>
      </c>
      <c r="I111" s="33" t="e">
        <f>VLOOKUP(A1,DIV_06Data!$A$1:$DZU$1000000,1880,FALSE)</f>
        <v>#N/A</v>
      </c>
      <c r="J111" s="34" t="e">
        <f>VLOOKUP(A1,DIV_06Data!$A$1:$DZU$1000000,1881,FALSE)</f>
        <v>#N/A</v>
      </c>
      <c r="K111" s="34" t="e">
        <f>VLOOKUP(A1,DIV_06Data!$A$1:$DZU$1000000,1882,FALSE)</f>
        <v>#N/A</v>
      </c>
      <c r="L111" s="93" t="e">
        <f>VLOOKUP(A1,DIV_06Data!$A$1:$DZU$1000000,1883,FALSE)</f>
        <v>#N/A</v>
      </c>
      <c r="M111" s="33" t="e">
        <f>VLOOKUP(A1,DIV_06Data!$A$1:$DZU$1000000,1884,FALSE)</f>
        <v>#N/A</v>
      </c>
      <c r="N111" s="34" t="e">
        <f>VLOOKUP(A1,DIV_06Data!$A$1:$DZU$1000000,1885,FALSE)</f>
        <v>#N/A</v>
      </c>
      <c r="O111" s="33" t="e">
        <f>VLOOKUP(A1,DIV_06Data!$A$1:$DZU$1000000,1886,FALSE)</f>
        <v>#N/A</v>
      </c>
      <c r="P111" s="46" t="e">
        <f>VLOOKUP(A1,DIV_06Data!$A$1:$DZU$1000000,1887,FALSE)</f>
        <v>#N/A</v>
      </c>
      <c r="Q111" s="33" t="e">
        <f>VLOOKUP(A1,DIV_06Data!$A$1:$DZU$1000000,1888,FALSE)</f>
        <v>#N/A</v>
      </c>
    </row>
    <row r="112" spans="1:17" x14ac:dyDescent="0.35">
      <c r="A112" s="22" t="e">
        <f>VLOOKUP(A1,DIV_06Data!$A$1:$DZU$1000000,1889,FALSE)</f>
        <v>#N/A</v>
      </c>
      <c r="B112" s="37" t="e">
        <f>VLOOKUP(A1,DIV_06Data!$A$1:$DZU$1000000,1890,FALSE)</f>
        <v>#N/A</v>
      </c>
      <c r="C112" s="38" t="e">
        <f>VLOOKUP(A1,DIV_06Data!$A$1:$DZU$1000000,1891,FALSE)</f>
        <v>#N/A</v>
      </c>
      <c r="D112" s="31" t="e">
        <f>VLOOKUP(A1,DIV_06Data!$A$1:$DZU$1000000,1892,FALSE)</f>
        <v>#N/A</v>
      </c>
      <c r="E112" s="32" t="e">
        <f>VLOOKUP(A1,DIV_06Data!$A$1:$DZU$1000000,1893,FALSE)</f>
        <v>#N/A</v>
      </c>
      <c r="F112" s="34" t="e">
        <f>VLOOKUP(A1,DIV_06Data!$A$1:$DZU$1000000,1894,FALSE)</f>
        <v>#N/A</v>
      </c>
      <c r="G112" s="33" t="e">
        <f>VLOOKUP(A1,DIV_06Data!$A$1:$DZU$1000000,1895,FALSE)</f>
        <v>#N/A</v>
      </c>
      <c r="H112" s="34" t="e">
        <f>VLOOKUP(A1,DIV_06Data!$A$1:$DZU$1000000,1896,FALSE)</f>
        <v>#N/A</v>
      </c>
      <c r="I112" s="33" t="e">
        <f>VLOOKUP(A1,DIV_06Data!$A$1:$DZU$1000000,1897,FALSE)</f>
        <v>#N/A</v>
      </c>
      <c r="J112" s="34" t="e">
        <f>VLOOKUP(A1,DIV_06Data!$A$1:$DZU$1000000,1898,FALSE)</f>
        <v>#N/A</v>
      </c>
      <c r="K112" s="34" t="e">
        <f>VLOOKUP(A1,DIV_06Data!$A$1:$DZU$1000000,1899,FALSE)</f>
        <v>#N/A</v>
      </c>
      <c r="L112" s="93" t="e">
        <f>VLOOKUP(A1,DIV_06Data!$A$1:$DZU$1000000,1900,FALSE)</f>
        <v>#N/A</v>
      </c>
      <c r="M112" s="33" t="e">
        <f>VLOOKUP(A1,DIV_06Data!$A$1:$DZU$1000000,1901,FALSE)</f>
        <v>#N/A</v>
      </c>
      <c r="N112" s="34" t="e">
        <f>VLOOKUP(A1,DIV_06Data!$A$1:$DZU$1000000,1902,FALSE)</f>
        <v>#N/A</v>
      </c>
      <c r="O112" s="33" t="e">
        <f>VLOOKUP(A1,DIV_06Data!$A$1:$DZU$1000000,1903,FALSE)</f>
        <v>#N/A</v>
      </c>
      <c r="P112" s="46" t="e">
        <f>VLOOKUP(A1,DIV_06Data!$A$1:$DZU$1000000,1904,FALSE)</f>
        <v>#N/A</v>
      </c>
      <c r="Q112" s="33" t="e">
        <f>VLOOKUP(A1,DIV_06Data!$A$1:$DZU$1000000,1905,FALSE)</f>
        <v>#N/A</v>
      </c>
    </row>
    <row r="113" spans="1:17" x14ac:dyDescent="0.35">
      <c r="A113" s="22" t="e">
        <f>VLOOKUP(A1,DIV_06Data!$A$1:$DZU$1000000,1906,FALSE)</f>
        <v>#N/A</v>
      </c>
      <c r="B113" s="37" t="e">
        <f>VLOOKUP(A1,DIV_06Data!$A$1:$DZU$1000000,1907,FALSE)</f>
        <v>#N/A</v>
      </c>
      <c r="C113" s="38" t="e">
        <f>VLOOKUP(A1,DIV_06Data!$A$1:$DZU$1000000,1908,FALSE)</f>
        <v>#N/A</v>
      </c>
      <c r="D113" s="31" t="e">
        <f>VLOOKUP(A1,DIV_06Data!$A$1:$DZU$1000000,1909,FALSE)</f>
        <v>#N/A</v>
      </c>
      <c r="E113" s="32" t="e">
        <f>VLOOKUP(A1,DIV_06Data!$A$1:$DZU$1000000,1910,FALSE)</f>
        <v>#N/A</v>
      </c>
      <c r="F113" s="34" t="e">
        <f>VLOOKUP(A1,DIV_06Data!$A$1:$DZU$1000000,1911,FALSE)</f>
        <v>#N/A</v>
      </c>
      <c r="G113" s="33" t="e">
        <f>VLOOKUP(A1,DIV_06Data!$A$1:$DZU$1000000,1912,FALSE)</f>
        <v>#N/A</v>
      </c>
      <c r="H113" s="34" t="e">
        <f>VLOOKUP(A1,DIV_06Data!$A$1:$DZU$1000000,1913,FALSE)</f>
        <v>#N/A</v>
      </c>
      <c r="I113" s="33" t="e">
        <f>VLOOKUP(A1,DIV_06Data!$A$1:$DZU$1000000,1914,FALSE)</f>
        <v>#N/A</v>
      </c>
      <c r="J113" s="34" t="e">
        <f>VLOOKUP(A1,DIV_06Data!$A$1:$DZU$1000000,1915,FALSE)</f>
        <v>#N/A</v>
      </c>
      <c r="K113" s="34" t="e">
        <f>VLOOKUP(A1,DIV_06Data!$A$1:$DZU$1000000,1916,FALSE)</f>
        <v>#N/A</v>
      </c>
      <c r="L113" s="93" t="e">
        <f>VLOOKUP(A1,DIV_06Data!$A$1:$DZU$1000000,1917,FALSE)</f>
        <v>#N/A</v>
      </c>
      <c r="M113" s="33" t="e">
        <f>VLOOKUP(A1,DIV_06Data!$A$1:$DZU$1000000,1918,FALSE)</f>
        <v>#N/A</v>
      </c>
      <c r="N113" s="34" t="e">
        <f>VLOOKUP(A1,DIV_06Data!$A$1:$DZU$1000000,1919,FALSE)</f>
        <v>#N/A</v>
      </c>
      <c r="O113" s="33" t="e">
        <f>VLOOKUP(A1,DIV_06Data!$A$1:$DZU$1000000,1920,FALSE)</f>
        <v>#N/A</v>
      </c>
      <c r="P113" s="46" t="e">
        <f>VLOOKUP(A1,DIV_06Data!$A$1:$DZU$1000000,1921,FALSE)</f>
        <v>#N/A</v>
      </c>
      <c r="Q113" s="33" t="e">
        <f>VLOOKUP(A1,DIV_06Data!$A$1:$DZU$1000000,1922,FALSE)</f>
        <v>#N/A</v>
      </c>
    </row>
    <row r="114" spans="1:17" x14ac:dyDescent="0.35">
      <c r="A114" s="22" t="e">
        <f>VLOOKUP(A1,DIV_06Data!$A$1:$DZU$1000000,1923,FALSE)</f>
        <v>#N/A</v>
      </c>
      <c r="B114" s="37" t="e">
        <f>VLOOKUP(A1,DIV_06Data!$A$1:$DZU$1000000,1924,FALSE)</f>
        <v>#N/A</v>
      </c>
      <c r="C114" s="38" t="e">
        <f>VLOOKUP(A1,DIV_06Data!$A$1:$DZU$1000000,1925,FALSE)</f>
        <v>#N/A</v>
      </c>
      <c r="D114" s="31" t="e">
        <f>VLOOKUP(A1,DIV_06Data!$A$1:$DZU$1000000,1926,FALSE)</f>
        <v>#N/A</v>
      </c>
      <c r="E114" s="32" t="e">
        <f>VLOOKUP(A1,DIV_06Data!$A$1:$DZU$1000000,1927,FALSE)</f>
        <v>#N/A</v>
      </c>
      <c r="F114" s="34" t="e">
        <f>VLOOKUP(A1,DIV_06Data!$A$1:$DZU$1000000,1928,FALSE)</f>
        <v>#N/A</v>
      </c>
      <c r="G114" s="33" t="e">
        <f>VLOOKUP(A1,DIV_06Data!$A$1:$DZU$1000000,1929,FALSE)</f>
        <v>#N/A</v>
      </c>
      <c r="H114" s="34" t="e">
        <f>VLOOKUP(A1,DIV_06Data!$A$1:$DZU$1000000,1930,FALSE)</f>
        <v>#N/A</v>
      </c>
      <c r="I114" s="33" t="e">
        <f>VLOOKUP(A1,DIV_06Data!$A$1:$DZU$1000000,1931,FALSE)</f>
        <v>#N/A</v>
      </c>
      <c r="J114" s="34" t="e">
        <f>VLOOKUP(A1,DIV_06Data!$A$1:$DZU$1000000,1932,FALSE)</f>
        <v>#N/A</v>
      </c>
      <c r="K114" s="34" t="e">
        <f>VLOOKUP(A1,DIV_06Data!$A$1:$DZU$1000000,1933,FALSE)</f>
        <v>#N/A</v>
      </c>
      <c r="L114" s="93" t="e">
        <f>VLOOKUP(A1,DIV_06Data!$A$1:$DZU$1000000,1934,FALSE)</f>
        <v>#N/A</v>
      </c>
      <c r="M114" s="33" t="e">
        <f>VLOOKUP(A1,DIV_06Data!$A$1:$DZU$1000000,1935,FALSE)</f>
        <v>#N/A</v>
      </c>
      <c r="N114" s="34" t="e">
        <f>VLOOKUP(A1,DIV_06Data!$A$1:$DZU$1000000,1936,FALSE)</f>
        <v>#N/A</v>
      </c>
      <c r="O114" s="33" t="e">
        <f>VLOOKUP(A1,DIV_06Data!$A$1:$DZU$1000000,1937,FALSE)</f>
        <v>#N/A</v>
      </c>
      <c r="P114" s="46" t="e">
        <f>VLOOKUP(A1,DIV_06Data!$A$1:$DZU$1000000,1938,FALSE)</f>
        <v>#N/A</v>
      </c>
      <c r="Q114" s="33" t="e">
        <f>VLOOKUP(A1,DIV_06Data!$A$1:$DZU$1000000,1939,FALSE)</f>
        <v>#N/A</v>
      </c>
    </row>
    <row r="115" spans="1:17" x14ac:dyDescent="0.35">
      <c r="A115" s="22" t="e">
        <f>VLOOKUP(A1,DIV_06Data!$A$1:$DZU$1000000,1940,FALSE)</f>
        <v>#N/A</v>
      </c>
      <c r="B115" s="37" t="e">
        <f>VLOOKUP(A1,DIV_06Data!$A$1:$DZU$1000000,1941,FALSE)</f>
        <v>#N/A</v>
      </c>
      <c r="C115" s="38" t="e">
        <f>VLOOKUP(A1,DIV_06Data!$A$1:$DZU$1000000,1942,FALSE)</f>
        <v>#N/A</v>
      </c>
      <c r="D115" s="31" t="e">
        <f>VLOOKUP(A1,DIV_06Data!$A$1:$DZU$1000000,1943,FALSE)</f>
        <v>#N/A</v>
      </c>
      <c r="E115" s="32" t="e">
        <f>VLOOKUP(A1,DIV_06Data!$A$1:$DZU$1000000,1944,FALSE)</f>
        <v>#N/A</v>
      </c>
      <c r="F115" s="34" t="e">
        <f>VLOOKUP(A1,DIV_06Data!$A$1:$DZU$1000000,1945,FALSE)</f>
        <v>#N/A</v>
      </c>
      <c r="G115" s="33" t="e">
        <f>VLOOKUP(A1,DIV_06Data!$A$1:$DZU$1000000,1946,FALSE)</f>
        <v>#N/A</v>
      </c>
      <c r="H115" s="34" t="e">
        <f>VLOOKUP(A1,DIV_06Data!$A$1:$DZU$1000000,1947,FALSE)</f>
        <v>#N/A</v>
      </c>
      <c r="I115" s="33" t="e">
        <f>VLOOKUP(A1,DIV_06Data!$A$1:$DZU$1000000,1948,FALSE)</f>
        <v>#N/A</v>
      </c>
      <c r="J115" s="34" t="e">
        <f>VLOOKUP(A1,DIV_06Data!$A$1:$DZU$1000000,1949,FALSE)</f>
        <v>#N/A</v>
      </c>
      <c r="K115" s="34" t="e">
        <f>VLOOKUP(A1,DIV_06Data!$A$1:$DZU$1000000,1950,FALSE)</f>
        <v>#N/A</v>
      </c>
      <c r="L115" s="93" t="e">
        <f>VLOOKUP(A1,DIV_06Data!$A$1:$DZU$1000000,1951,FALSE)</f>
        <v>#N/A</v>
      </c>
      <c r="M115" s="33" t="e">
        <f>VLOOKUP(A1,DIV_06Data!$A$1:$DZU$1000000,1952,FALSE)</f>
        <v>#N/A</v>
      </c>
      <c r="N115" s="34" t="e">
        <f>VLOOKUP(A1,DIV_06Data!$A$1:$DZU$1000000,1953,FALSE)</f>
        <v>#N/A</v>
      </c>
      <c r="O115" s="33" t="e">
        <f>VLOOKUP(A1,DIV_06Data!$A$1:$DZU$1000000,1954,FALSE)</f>
        <v>#N/A</v>
      </c>
      <c r="P115" s="46" t="e">
        <f>VLOOKUP(A1,DIV_06Data!$A$1:$DZU$1000000,1955,FALSE)</f>
        <v>#N/A</v>
      </c>
      <c r="Q115" s="33" t="e">
        <f>VLOOKUP(A1,DIV_06Data!$A$1:$DZU$1000000,1956,FALSE)</f>
        <v>#N/A</v>
      </c>
    </row>
    <row r="116" spans="1:17" x14ac:dyDescent="0.35">
      <c r="A116" s="22" t="e">
        <f>VLOOKUP(A1,DIV_06Data!$A$1:$DZU$1000000,1957,FALSE)</f>
        <v>#N/A</v>
      </c>
      <c r="B116" s="37" t="e">
        <f>VLOOKUP(A1,DIV_06Data!$A$1:$DZU$1000000,1958,FALSE)</f>
        <v>#N/A</v>
      </c>
      <c r="C116" s="38" t="e">
        <f>VLOOKUP(A1,DIV_06Data!$A$1:$DZU$1000000,1959,FALSE)</f>
        <v>#N/A</v>
      </c>
      <c r="D116" s="31" t="e">
        <f>VLOOKUP(A1,DIV_06Data!$A$1:$DZU$1000000,1960,FALSE)</f>
        <v>#N/A</v>
      </c>
      <c r="E116" s="32" t="e">
        <f>VLOOKUP(A1,DIV_06Data!$A$1:$DZU$1000000,1961,FALSE)</f>
        <v>#N/A</v>
      </c>
      <c r="F116" s="34" t="e">
        <f>VLOOKUP(A1,DIV_06Data!$A$1:$DZU$1000000,1962,FALSE)</f>
        <v>#N/A</v>
      </c>
      <c r="G116" s="33" t="e">
        <f>VLOOKUP(A1,DIV_06Data!$A$1:$DZU$1000000,1963,FALSE)</f>
        <v>#N/A</v>
      </c>
      <c r="H116" s="34" t="e">
        <f>VLOOKUP(A1,DIV_06Data!$A$1:$DZU$1000000,1964,FALSE)</f>
        <v>#N/A</v>
      </c>
      <c r="I116" s="33" t="e">
        <f>VLOOKUP(A1,DIV_06Data!$A$1:$DZU$1000000,1965,FALSE)</f>
        <v>#N/A</v>
      </c>
      <c r="J116" s="34" t="e">
        <f>VLOOKUP(A1,DIV_06Data!$A$1:$DZU$1000000,1966,FALSE)</f>
        <v>#N/A</v>
      </c>
      <c r="K116" s="34" t="e">
        <f>VLOOKUP(A1,DIV_06Data!$A$1:$DZU$1000000,1967,FALSE)</f>
        <v>#N/A</v>
      </c>
      <c r="L116" s="93" t="e">
        <f>VLOOKUP(A1,DIV_06Data!$A$1:$DZU$1000000,1968,FALSE)</f>
        <v>#N/A</v>
      </c>
      <c r="M116" s="33" t="e">
        <f>VLOOKUP(A1,DIV_06Data!$A$1:$DZU$1000000,1969,FALSE)</f>
        <v>#N/A</v>
      </c>
      <c r="N116" s="34" t="e">
        <f>VLOOKUP(A1,DIV_06Data!$A$1:$DZU$1000000,1970,FALSE)</f>
        <v>#N/A</v>
      </c>
      <c r="O116" s="33" t="e">
        <f>VLOOKUP(A1,DIV_06Data!$A$1:$DZU$1000000,1971,FALSE)</f>
        <v>#N/A</v>
      </c>
      <c r="P116" s="46" t="e">
        <f>VLOOKUP(A1,DIV_06Data!$A$1:$DZU$1000000,1972,FALSE)</f>
        <v>#N/A</v>
      </c>
      <c r="Q116" s="33" t="e">
        <f>VLOOKUP(A1,DIV_06Data!$A$1:$DZU$1000000,1973,FALSE)</f>
        <v>#N/A</v>
      </c>
    </row>
    <row r="117" spans="1:17" x14ac:dyDescent="0.35">
      <c r="A117" s="22" t="e">
        <f>VLOOKUP(A1,DIV_06Data!$A$1:$DZU$1000000,1974,FALSE)</f>
        <v>#N/A</v>
      </c>
      <c r="B117" s="37" t="e">
        <f>VLOOKUP(A1,DIV_06Data!$A$1:$DZU$1000000,1975,FALSE)</f>
        <v>#N/A</v>
      </c>
      <c r="C117" s="38" t="e">
        <f>VLOOKUP(A1,DIV_06Data!$A$1:$DZU$1000000,1976,FALSE)</f>
        <v>#N/A</v>
      </c>
      <c r="D117" s="31" t="e">
        <f>VLOOKUP(A1,DIV_06Data!$A$1:$DZU$1000000,1977,FALSE)</f>
        <v>#N/A</v>
      </c>
      <c r="E117" s="32" t="e">
        <f>VLOOKUP(A1,DIV_06Data!$A$1:$DZU$1000000,1978,FALSE)</f>
        <v>#N/A</v>
      </c>
      <c r="F117" s="34" t="e">
        <f>VLOOKUP(A1,DIV_06Data!$A$1:$DZU$1000000,1979,FALSE)</f>
        <v>#N/A</v>
      </c>
      <c r="G117" s="33" t="e">
        <f>VLOOKUP(A1,DIV_06Data!$A$1:$DZU$1000000,1980,FALSE)</f>
        <v>#N/A</v>
      </c>
      <c r="H117" s="34" t="e">
        <f>VLOOKUP(A1,DIV_06Data!$A$1:$DZU$1000000,1981,FALSE)</f>
        <v>#N/A</v>
      </c>
      <c r="I117" s="33" t="e">
        <f>VLOOKUP(A1,DIV_06Data!$A$1:$DZU$1000000,1982,FALSE)</f>
        <v>#N/A</v>
      </c>
      <c r="J117" s="34" t="e">
        <f>VLOOKUP(A1,DIV_06Data!$A$1:$DZU$1000000,1983,FALSE)</f>
        <v>#N/A</v>
      </c>
      <c r="K117" s="34" t="e">
        <f>VLOOKUP(A1,DIV_06Data!$A$1:$DZU$1000000,1984,FALSE)</f>
        <v>#N/A</v>
      </c>
      <c r="L117" s="93" t="e">
        <f>VLOOKUP(A1,DIV_06Data!$A$1:$DZU$1000000,1985,FALSE)</f>
        <v>#N/A</v>
      </c>
      <c r="M117" s="33" t="e">
        <f>VLOOKUP(A1,DIV_06Data!$A$1:$DZU$1000000,1986,FALSE)</f>
        <v>#N/A</v>
      </c>
      <c r="N117" s="34" t="e">
        <f>VLOOKUP(A1,DIV_06Data!$A$1:$DZU$1000000,1987,FALSE)</f>
        <v>#N/A</v>
      </c>
      <c r="O117" s="33" t="e">
        <f>VLOOKUP(A1,DIV_06Data!$A$1:$DZU$1000000,1988,FALSE)</f>
        <v>#N/A</v>
      </c>
      <c r="P117" s="46" t="e">
        <f>VLOOKUP(A1,DIV_06Data!$A$1:$DZU$1000000,1989,FALSE)</f>
        <v>#N/A</v>
      </c>
      <c r="Q117" s="33" t="e">
        <f>VLOOKUP(A1,DIV_06Data!$A$1:$DZU$1000000,1990,FALSE)</f>
        <v>#N/A</v>
      </c>
    </row>
    <row r="118" spans="1:17" x14ac:dyDescent="0.35">
      <c r="A118" s="22" t="e">
        <f>VLOOKUP(A1,DIV_06Data!$A$1:$DZU$1000000,1991,FALSE)</f>
        <v>#N/A</v>
      </c>
      <c r="B118" s="37" t="e">
        <f>VLOOKUP(A1,DIV_06Data!$A$1:$DZU$1000000,1992,FALSE)</f>
        <v>#N/A</v>
      </c>
      <c r="C118" s="38" t="e">
        <f>VLOOKUP(A1,DIV_06Data!$A$1:$DZU$1000000,1993,FALSE)</f>
        <v>#N/A</v>
      </c>
      <c r="D118" s="31" t="e">
        <f>VLOOKUP(A1,DIV_06Data!$A$1:$DZU$1000000,1994,FALSE)</f>
        <v>#N/A</v>
      </c>
      <c r="E118" s="32" t="e">
        <f>VLOOKUP(A1,DIV_06Data!$A$1:$DZU$1000000,1995,FALSE)</f>
        <v>#N/A</v>
      </c>
      <c r="F118" s="34" t="e">
        <f>VLOOKUP(A1,DIV_06Data!$A$1:$DZU$1000000,1996,FALSE)</f>
        <v>#N/A</v>
      </c>
      <c r="G118" s="33" t="e">
        <f>VLOOKUP(A1,DIV_06Data!$A$1:$DZU$1000000,1997,FALSE)</f>
        <v>#N/A</v>
      </c>
      <c r="H118" s="34" t="e">
        <f>VLOOKUP(A1,DIV_06Data!$A$1:$DZU$1000000,1998,FALSE)</f>
        <v>#N/A</v>
      </c>
      <c r="I118" s="33" t="e">
        <f>VLOOKUP(A1,DIV_06Data!$A$1:$DZU$1000000,1999,FALSE)</f>
        <v>#N/A</v>
      </c>
      <c r="J118" s="34" t="e">
        <f>VLOOKUP(A1,DIV_06Data!$A$1:$DZU$1000000,2000,FALSE)</f>
        <v>#N/A</v>
      </c>
      <c r="K118" s="34" t="e">
        <f>VLOOKUP(A1,DIV_06Data!$A$1:$DZU$1000000,2001,FALSE)</f>
        <v>#N/A</v>
      </c>
      <c r="L118" s="93" t="e">
        <f>VLOOKUP(A1,DIV_06Data!$A$1:$DZU$1000000,2002,FALSE)</f>
        <v>#N/A</v>
      </c>
      <c r="M118" s="33" t="e">
        <f>VLOOKUP(A1,DIV_06Data!$A$1:$DZU$1000000,2003,FALSE)</f>
        <v>#N/A</v>
      </c>
      <c r="N118" s="34" t="e">
        <f>VLOOKUP(A1,DIV_06Data!$A$1:$DZU$1000000,2004,FALSE)</f>
        <v>#N/A</v>
      </c>
      <c r="O118" s="33" t="e">
        <f>VLOOKUP(A1,DIV_06Data!$A$1:$DZU$1000000,2005,FALSE)</f>
        <v>#N/A</v>
      </c>
      <c r="P118" s="46" t="e">
        <f>VLOOKUP(A1,DIV_06Data!$A$1:$DZU$1000000,2006,FALSE)</f>
        <v>#N/A</v>
      </c>
      <c r="Q118" s="33" t="e">
        <f>VLOOKUP(A1,DIV_06Data!$A$1:$DZU$1000000,2007,FALSE)</f>
        <v>#N/A</v>
      </c>
    </row>
    <row r="119" spans="1:17" x14ac:dyDescent="0.35">
      <c r="A119" s="22" t="e">
        <f>VLOOKUP(A1,DIV_06Data!$A$1:$DZU$1000000,2008,FALSE)</f>
        <v>#N/A</v>
      </c>
      <c r="B119" s="37" t="e">
        <f>VLOOKUP(A1,DIV_06Data!$A$1:$DZU$1000000,2009,FALSE)</f>
        <v>#N/A</v>
      </c>
      <c r="C119" s="38" t="e">
        <f>VLOOKUP(A1,DIV_06Data!$A$1:$DZU$1000000,2010,FALSE)</f>
        <v>#N/A</v>
      </c>
      <c r="D119" s="31" t="e">
        <f>VLOOKUP(A1,DIV_06Data!$A$1:$DZU$1000000,2011,FALSE)</f>
        <v>#N/A</v>
      </c>
      <c r="E119" s="32" t="e">
        <f>VLOOKUP(A1,DIV_06Data!$A$1:$DZU$1000000,2012,FALSE)</f>
        <v>#N/A</v>
      </c>
      <c r="F119" s="34" t="e">
        <f>VLOOKUP(A1,DIV_06Data!$A$1:$DZU$1000000,2013,FALSE)</f>
        <v>#N/A</v>
      </c>
      <c r="G119" s="33" t="e">
        <f>VLOOKUP(A1,DIV_06Data!$A$1:$DZU$1000000,2014,FALSE)</f>
        <v>#N/A</v>
      </c>
      <c r="H119" s="34" t="e">
        <f>VLOOKUP(A1,DIV_06Data!$A$1:$DZU$1000000,2015,FALSE)</f>
        <v>#N/A</v>
      </c>
      <c r="I119" s="33" t="e">
        <f>VLOOKUP(A1,DIV_06Data!$A$1:$DZU$1000000,2016,FALSE)</f>
        <v>#N/A</v>
      </c>
      <c r="J119" s="34" t="e">
        <f>VLOOKUP(A1,DIV_06Data!$A$1:$DZU$1000000,2017,FALSE)</f>
        <v>#N/A</v>
      </c>
      <c r="K119" s="34" t="e">
        <f>VLOOKUP(A1,DIV_06Data!$A$1:$DZU$1000000,2018,FALSE)</f>
        <v>#N/A</v>
      </c>
      <c r="L119" s="93" t="e">
        <f>VLOOKUP(A1,DIV_06Data!$A$1:$DZU$1000000,2019,FALSE)</f>
        <v>#N/A</v>
      </c>
      <c r="M119" s="33" t="e">
        <f>VLOOKUP(A1,DIV_06Data!$A$1:$DZU$1000000,2020,FALSE)</f>
        <v>#N/A</v>
      </c>
      <c r="N119" s="34" t="e">
        <f>VLOOKUP(A1,DIV_06Data!$A$1:$DZU$1000000,2021,FALSE)</f>
        <v>#N/A</v>
      </c>
      <c r="O119" s="33" t="e">
        <f>VLOOKUP(A1,DIV_06Data!$A$1:$DZU$1000000,2022,FALSE)</f>
        <v>#N/A</v>
      </c>
      <c r="P119" s="46" t="e">
        <f>VLOOKUP(A1,DIV_06Data!$A$1:$DZU$1000000,2023,FALSE)</f>
        <v>#N/A</v>
      </c>
      <c r="Q119" s="33" t="e">
        <f>VLOOKUP(A1,DIV_06Data!$A$1:$DZU$1000000,2024,FALSE)</f>
        <v>#N/A</v>
      </c>
    </row>
    <row r="120" spans="1:17" x14ac:dyDescent="0.35">
      <c r="A120" s="22" t="e">
        <f>VLOOKUP(A1,DIV_06Data!$A$1:$DZU$1000000,2025,FALSE)</f>
        <v>#N/A</v>
      </c>
      <c r="B120" s="37" t="e">
        <f>VLOOKUP(A1,DIV_06Data!$A$1:$DZU$1000000,2026,FALSE)</f>
        <v>#N/A</v>
      </c>
      <c r="C120" s="38" t="e">
        <f>VLOOKUP(A1,DIV_06Data!$A$1:$DZU$1000000,2027,FALSE)</f>
        <v>#N/A</v>
      </c>
      <c r="D120" s="31" t="e">
        <f>VLOOKUP(A1,DIV_06Data!$A$1:$DZU$1000000,2028,FALSE)</f>
        <v>#N/A</v>
      </c>
      <c r="E120" s="32" t="e">
        <f>VLOOKUP(A1,DIV_06Data!$A$1:$DZU$1000000,2029,FALSE)</f>
        <v>#N/A</v>
      </c>
      <c r="F120" s="34" t="e">
        <f>VLOOKUP(A1,DIV_06Data!$A$1:$DZU$1000000,2030,FALSE)</f>
        <v>#N/A</v>
      </c>
      <c r="G120" s="33" t="e">
        <f>VLOOKUP(A1,DIV_06Data!$A$1:$DZU$1000000,2031,FALSE)</f>
        <v>#N/A</v>
      </c>
      <c r="H120" s="34" t="e">
        <f>VLOOKUP(A1,DIV_06Data!$A$1:$DZU$1000000,2032,FALSE)</f>
        <v>#N/A</v>
      </c>
      <c r="I120" s="33" t="e">
        <f>VLOOKUP(A1,DIV_06Data!$A$1:$DZU$1000000,2033,FALSE)</f>
        <v>#N/A</v>
      </c>
      <c r="J120" s="34" t="e">
        <f>VLOOKUP(A1,DIV_06Data!$A$1:$DZU$1000000,2034,FALSE)</f>
        <v>#N/A</v>
      </c>
      <c r="K120" s="34" t="e">
        <f>VLOOKUP(A1,DIV_06Data!$A$1:$DZU$1000000,2035,FALSE)</f>
        <v>#N/A</v>
      </c>
      <c r="L120" s="93" t="e">
        <f>VLOOKUP(A1,DIV_06Data!$A$1:$DZU$1000000,2036,FALSE)</f>
        <v>#N/A</v>
      </c>
      <c r="M120" s="33" t="e">
        <f>VLOOKUP(A1,DIV_06Data!$A$1:$DZU$1000000,2037,FALSE)</f>
        <v>#N/A</v>
      </c>
      <c r="N120" s="34" t="e">
        <f>VLOOKUP(A1,DIV_06Data!$A$1:$DZU$1000000,2038,FALSE)</f>
        <v>#N/A</v>
      </c>
      <c r="O120" s="33" t="e">
        <f>VLOOKUP(A1,DIV_06Data!$A$1:$DZU$1000000,2039,FALSE)</f>
        <v>#N/A</v>
      </c>
      <c r="P120" s="46" t="e">
        <f>VLOOKUP(A1,DIV_06Data!$A$1:$DZU$1000000,2040,FALSE)</f>
        <v>#N/A</v>
      </c>
      <c r="Q120" s="33" t="e">
        <f>VLOOKUP(A1,DIV_06Data!$A$1:$DZU$1000000,2041,FALSE)</f>
        <v>#N/A</v>
      </c>
    </row>
    <row r="121" spans="1:17" x14ac:dyDescent="0.35">
      <c r="A121" s="22" t="e">
        <f>VLOOKUP(A1,DIV_06Data!$A$1:$DZU$1000000,2042,FALSE)</f>
        <v>#N/A</v>
      </c>
      <c r="B121" s="37" t="e">
        <f>VLOOKUP(A1,DIV_06Data!$A$1:$DZU$1000000,2043,FALSE)</f>
        <v>#N/A</v>
      </c>
      <c r="C121" s="38" t="e">
        <f>VLOOKUP(A1,DIV_06Data!$A$1:$DZU$1000000,2044,FALSE)</f>
        <v>#N/A</v>
      </c>
      <c r="D121" s="31" t="e">
        <f>VLOOKUP(A1,DIV_06Data!$A$1:$DZU$1000000,2045,FALSE)</f>
        <v>#N/A</v>
      </c>
      <c r="E121" s="32" t="e">
        <f>VLOOKUP(A1,DIV_06Data!$A$1:$DZU$1000000,2046,FALSE)</f>
        <v>#N/A</v>
      </c>
      <c r="F121" s="34" t="e">
        <f>VLOOKUP(A1,DIV_06Data!$A$1:$DZU$1000000,2047,FALSE)</f>
        <v>#N/A</v>
      </c>
      <c r="G121" s="33" t="e">
        <f>VLOOKUP(A1,DIV_06Data!$A$1:$DZU$1000000,2048,FALSE)</f>
        <v>#N/A</v>
      </c>
      <c r="H121" s="34" t="e">
        <f>VLOOKUP(A1,DIV_06Data!$A$1:$DZU$1000000,2049,FALSE)</f>
        <v>#N/A</v>
      </c>
      <c r="I121" s="33" t="e">
        <f>VLOOKUP(A1,DIV_06Data!$A$1:$DZU$1000000,2050,FALSE)</f>
        <v>#N/A</v>
      </c>
      <c r="J121" s="34" t="e">
        <f>VLOOKUP(A1,DIV_06Data!$A$1:$DZU$1000000,2051,FALSE)</f>
        <v>#N/A</v>
      </c>
      <c r="K121" s="34" t="e">
        <f>VLOOKUP(A1,DIV_06Data!$A$1:$DZU$1000000,2052,FALSE)</f>
        <v>#N/A</v>
      </c>
      <c r="L121" s="93" t="e">
        <f>VLOOKUP(A1,DIV_06Data!$A$1:$DZU$1000000,2053,FALSE)</f>
        <v>#N/A</v>
      </c>
      <c r="M121" s="33" t="e">
        <f>VLOOKUP(A1,DIV_06Data!$A$1:$DZU$1000000,2054,FALSE)</f>
        <v>#N/A</v>
      </c>
      <c r="N121" s="34" t="e">
        <f>VLOOKUP(A1,DIV_06Data!$A$1:$DZU$1000000,2055,FALSE)</f>
        <v>#N/A</v>
      </c>
      <c r="O121" s="33" t="e">
        <f>VLOOKUP(A1,DIV_06Data!$A$1:$DZU$1000000,2056,FALSE)</f>
        <v>#N/A</v>
      </c>
      <c r="P121" s="46" t="e">
        <f>VLOOKUP(A1,DIV_06Data!$A$1:$DZU$1000000,2057,FALSE)</f>
        <v>#N/A</v>
      </c>
      <c r="Q121" s="33" t="e">
        <f>VLOOKUP(A1,DIV_06Data!$A$1:$DZU$1000000,2058,FALSE)</f>
        <v>#N/A</v>
      </c>
    </row>
    <row r="122" spans="1:17" x14ac:dyDescent="0.35">
      <c r="A122" s="22" t="e">
        <f>VLOOKUP(A1,DIV_06Data!$A$1:$DZU$1000000,2059,FALSE)</f>
        <v>#N/A</v>
      </c>
      <c r="B122" s="37" t="e">
        <f>VLOOKUP(A1,DIV_06Data!$A$1:$DZU$1000000,2060,FALSE)</f>
        <v>#N/A</v>
      </c>
      <c r="C122" s="38" t="e">
        <f>VLOOKUP(A1,DIV_06Data!$A$1:$DZU$1000000,2061,FALSE)</f>
        <v>#N/A</v>
      </c>
      <c r="D122" s="31" t="e">
        <f>VLOOKUP(A1,DIV_06Data!$A$1:$DZU$1000000,2062,FALSE)</f>
        <v>#N/A</v>
      </c>
      <c r="E122" s="32" t="e">
        <f>VLOOKUP(A1,DIV_06Data!$A$1:$DZU$1000000,2063,FALSE)</f>
        <v>#N/A</v>
      </c>
      <c r="F122" s="34" t="e">
        <f>VLOOKUP(A1,DIV_06Data!$A$1:$DZU$1000000,2064,FALSE)</f>
        <v>#N/A</v>
      </c>
      <c r="G122" s="33" t="e">
        <f>VLOOKUP(A1,DIV_06Data!$A$1:$DZU$1000000,2065,FALSE)</f>
        <v>#N/A</v>
      </c>
      <c r="H122" s="34" t="e">
        <f>VLOOKUP(A1,DIV_06Data!$A$1:$DZU$1000000,2066,FALSE)</f>
        <v>#N/A</v>
      </c>
      <c r="I122" s="33" t="e">
        <f>VLOOKUP(A1,DIV_06Data!$A$1:$DZU$1000000,2067,FALSE)</f>
        <v>#N/A</v>
      </c>
      <c r="J122" s="34" t="e">
        <f>VLOOKUP(A1,DIV_06Data!$A$1:$DZU$1000000,2068,FALSE)</f>
        <v>#N/A</v>
      </c>
      <c r="K122" s="34" t="e">
        <f>VLOOKUP(A1,DIV_06Data!$A$1:$DZU$1000000,2069,FALSE)</f>
        <v>#N/A</v>
      </c>
      <c r="L122" s="93" t="e">
        <f>VLOOKUP(A1,DIV_06Data!$A$1:$DZU$1000000,2070,FALSE)</f>
        <v>#N/A</v>
      </c>
      <c r="M122" s="33" t="e">
        <f>VLOOKUP(A1,DIV_06Data!$A$1:$DZU$1000000,2071,FALSE)</f>
        <v>#N/A</v>
      </c>
      <c r="N122" s="34" t="e">
        <f>VLOOKUP(A1,DIV_06Data!$A$1:$DZU$1000000,2072,FALSE)</f>
        <v>#N/A</v>
      </c>
      <c r="O122" s="33" t="e">
        <f>VLOOKUP(A1,DIV_06Data!$A$1:$DZU$1000000,2073,FALSE)</f>
        <v>#N/A</v>
      </c>
      <c r="P122" s="46" t="e">
        <f>VLOOKUP(A1,DIV_06Data!$A$1:$DZU$1000000,2074,FALSE)</f>
        <v>#N/A</v>
      </c>
      <c r="Q122" s="33" t="e">
        <f>VLOOKUP(A1,DIV_06Data!$A$1:$DZU$1000000,2075,FALSE)</f>
        <v>#N/A</v>
      </c>
    </row>
    <row r="123" spans="1:17" x14ac:dyDescent="0.35">
      <c r="A123" s="22" t="e">
        <f>VLOOKUP(A1,DIV_06Data!$A$1:$DZU$1000000,2076,FALSE)</f>
        <v>#N/A</v>
      </c>
      <c r="B123" s="37" t="e">
        <f>VLOOKUP(A1,DIV_06Data!$A$1:$DZU$1000000,2077,FALSE)</f>
        <v>#N/A</v>
      </c>
      <c r="C123" s="38" t="e">
        <f>VLOOKUP(A1,DIV_06Data!$A$1:$DZU$1000000,2078,FALSE)</f>
        <v>#N/A</v>
      </c>
      <c r="D123" s="31" t="e">
        <f>VLOOKUP(A1,DIV_06Data!$A$1:$DZU$1000000,2079,FALSE)</f>
        <v>#N/A</v>
      </c>
      <c r="E123" s="32" t="e">
        <f>VLOOKUP(A1,DIV_06Data!$A$1:$DZU$1000000,2080,FALSE)</f>
        <v>#N/A</v>
      </c>
      <c r="F123" s="34" t="e">
        <f>VLOOKUP(A1,DIV_06Data!$A$1:$DZU$1000000,2081,FALSE)</f>
        <v>#N/A</v>
      </c>
      <c r="G123" s="33" t="e">
        <f>VLOOKUP(A1,DIV_06Data!$A$1:$DZU$1000000,2082,FALSE)</f>
        <v>#N/A</v>
      </c>
      <c r="H123" s="34" t="e">
        <f>VLOOKUP(A1,DIV_06Data!$A$1:$DZU$1000000,2083,FALSE)</f>
        <v>#N/A</v>
      </c>
      <c r="I123" s="33" t="e">
        <f>VLOOKUP(A1,DIV_06Data!$A$1:$DZU$1000000,2084,FALSE)</f>
        <v>#N/A</v>
      </c>
      <c r="J123" s="34" t="e">
        <f>VLOOKUP(A1,DIV_06Data!$A$1:$DZU$1000000,2085,FALSE)</f>
        <v>#N/A</v>
      </c>
      <c r="K123" s="34" t="e">
        <f>VLOOKUP(A1,DIV_06Data!$A$1:$DZU$1000000,2086,FALSE)</f>
        <v>#N/A</v>
      </c>
      <c r="L123" s="93" t="e">
        <f>VLOOKUP(A1,DIV_06Data!$A$1:$DZU$1000000,2087,FALSE)</f>
        <v>#N/A</v>
      </c>
      <c r="M123" s="33" t="e">
        <f>VLOOKUP(A1,DIV_06Data!$A$1:$DZU$1000000,2088,FALSE)</f>
        <v>#N/A</v>
      </c>
      <c r="N123" s="34" t="e">
        <f>VLOOKUP(A1,DIV_06Data!$A$1:$DZU$1000000,2089,FALSE)</f>
        <v>#N/A</v>
      </c>
      <c r="O123" s="33" t="e">
        <f>VLOOKUP(A1,DIV_06Data!$A$1:$DZU$1000000,2090,FALSE)</f>
        <v>#N/A</v>
      </c>
      <c r="P123" s="46" t="e">
        <f>VLOOKUP(A1,DIV_06Data!$A$1:$DZU$1000000,2091,FALSE)</f>
        <v>#N/A</v>
      </c>
      <c r="Q123" s="33" t="e">
        <f>VLOOKUP(A1,DIV_06Data!$A$1:$DZU$1000000,2092,FALSE)</f>
        <v>#N/A</v>
      </c>
    </row>
    <row r="124" spans="1:17" x14ac:dyDescent="0.35">
      <c r="A124" s="22" t="e">
        <f>VLOOKUP(A1,DIV_06Data!$A$1:$DZU$1000000,2093,FALSE)</f>
        <v>#N/A</v>
      </c>
      <c r="B124" s="37" t="e">
        <f>VLOOKUP(A1,DIV_06Data!$A$1:$DZU$1000000,2094,FALSE)</f>
        <v>#N/A</v>
      </c>
      <c r="C124" s="38" t="e">
        <f>VLOOKUP(A1,DIV_06Data!$A$1:$DZU$1000000,2095,FALSE)</f>
        <v>#N/A</v>
      </c>
      <c r="D124" s="31" t="e">
        <f>VLOOKUP(A1,DIV_06Data!$A$1:$DZU$1000000,2096,FALSE)</f>
        <v>#N/A</v>
      </c>
      <c r="E124" s="32" t="e">
        <f>VLOOKUP(A1,DIV_06Data!$A$1:$DZU$1000000,2097,FALSE)</f>
        <v>#N/A</v>
      </c>
      <c r="F124" s="34" t="e">
        <f>VLOOKUP(A1,DIV_06Data!$A$1:$DZU$1000000,2098,FALSE)</f>
        <v>#N/A</v>
      </c>
      <c r="G124" s="33" t="e">
        <f>VLOOKUP(A1,DIV_06Data!$A$1:$DZU$1000000,2099,FALSE)</f>
        <v>#N/A</v>
      </c>
      <c r="H124" s="34" t="e">
        <f>VLOOKUP(A1,DIV_06Data!$A$1:$DZU$1000000,2100,FALSE)</f>
        <v>#N/A</v>
      </c>
      <c r="I124" s="33" t="e">
        <f>VLOOKUP(A1,DIV_06Data!$A$1:$DZU$1000000,2101,FALSE)</f>
        <v>#N/A</v>
      </c>
      <c r="J124" s="34" t="e">
        <f>VLOOKUP(A1,DIV_06Data!$A$1:$DZU$1000000,2102,FALSE)</f>
        <v>#N/A</v>
      </c>
      <c r="K124" s="34" t="e">
        <f>VLOOKUP(A1,DIV_06Data!$A$1:$DZU$1000000,2103,FALSE)</f>
        <v>#N/A</v>
      </c>
      <c r="L124" s="93" t="e">
        <f>VLOOKUP(A1,DIV_06Data!$A$1:$DZU$1000000,2104,FALSE)</f>
        <v>#N/A</v>
      </c>
      <c r="M124" s="33" t="e">
        <f>VLOOKUP(A1,DIV_06Data!$A$1:$DZU$1000000,2105,FALSE)</f>
        <v>#N/A</v>
      </c>
      <c r="N124" s="34" t="e">
        <f>VLOOKUP(A1,DIV_06Data!$A$1:$DZU$1000000,2106,FALSE)</f>
        <v>#N/A</v>
      </c>
      <c r="O124" s="33" t="e">
        <f>VLOOKUP(A1,DIV_06Data!$A$1:$DZU$1000000,2107,FALSE)</f>
        <v>#N/A</v>
      </c>
      <c r="P124" s="46" t="e">
        <f>VLOOKUP(A1,DIV_06Data!$A$1:$DZU$1000000,2108,FALSE)</f>
        <v>#N/A</v>
      </c>
      <c r="Q124" s="33" t="e">
        <f>VLOOKUP(A1,DIV_06Data!$A$1:$DZU$1000000,2109,FALSE)</f>
        <v>#N/A</v>
      </c>
    </row>
    <row r="125" spans="1:17" x14ac:dyDescent="0.35">
      <c r="A125" s="22" t="e">
        <f>VLOOKUP(A1,DIV_06Data!$A$1:$DZU$1000000,2110,FALSE)</f>
        <v>#N/A</v>
      </c>
      <c r="B125" s="37" t="e">
        <f>VLOOKUP(A1,DIV_06Data!$A$1:$DZU$1000000,2111,FALSE)</f>
        <v>#N/A</v>
      </c>
      <c r="C125" s="38" t="e">
        <f>VLOOKUP(A1,DIV_06Data!$A$1:$DZU$1000000,2112,FALSE)</f>
        <v>#N/A</v>
      </c>
      <c r="D125" s="31" t="e">
        <f>VLOOKUP(A1,DIV_06Data!$A$1:$DZU$1000000,2113,FALSE)</f>
        <v>#N/A</v>
      </c>
      <c r="E125" s="32" t="e">
        <f>VLOOKUP(A1,DIV_06Data!$A$1:$DZU$1000000,2114,FALSE)</f>
        <v>#N/A</v>
      </c>
      <c r="F125" s="34" t="e">
        <f>VLOOKUP(A1,DIV_06Data!$A$1:$DZU$1000000,2115,FALSE)</f>
        <v>#N/A</v>
      </c>
      <c r="G125" s="33" t="e">
        <f>VLOOKUP(A1,DIV_06Data!$A$1:$DZU$1000000,2116,FALSE)</f>
        <v>#N/A</v>
      </c>
      <c r="H125" s="34" t="e">
        <f>VLOOKUP(A1,DIV_06Data!$A$1:$DZU$1000000,2117,FALSE)</f>
        <v>#N/A</v>
      </c>
      <c r="I125" s="33" t="e">
        <f>VLOOKUP(A1,DIV_06Data!$A$1:$DZU$1000000,2118,FALSE)</f>
        <v>#N/A</v>
      </c>
      <c r="J125" s="34" t="e">
        <f>VLOOKUP(A1,DIV_06Data!$A$1:$DZU$1000000,2119,FALSE)</f>
        <v>#N/A</v>
      </c>
      <c r="K125" s="34" t="e">
        <f>VLOOKUP(A1,DIV_06Data!$A$1:$DZU$1000000,2120,FALSE)</f>
        <v>#N/A</v>
      </c>
      <c r="L125" s="93" t="e">
        <f>VLOOKUP(A1,DIV_06Data!$A$1:$DZU$1000000,2121,FALSE)</f>
        <v>#N/A</v>
      </c>
      <c r="M125" s="33" t="e">
        <f>VLOOKUP(A1,DIV_06Data!$A$1:$DZU$1000000,2122,FALSE)</f>
        <v>#N/A</v>
      </c>
      <c r="N125" s="34" t="e">
        <f>VLOOKUP(A1,DIV_06Data!$A$1:$DZU$1000000,2123,FALSE)</f>
        <v>#N/A</v>
      </c>
      <c r="O125" s="33" t="e">
        <f>VLOOKUP(A1,DIV_06Data!$A$1:$DZU$1000000,2124,FALSE)</f>
        <v>#N/A</v>
      </c>
      <c r="P125" s="46" t="e">
        <f>VLOOKUP(A1,DIV_06Data!$A$1:$DZU$1000000,2125,FALSE)</f>
        <v>#N/A</v>
      </c>
      <c r="Q125" s="33" t="e">
        <f>VLOOKUP(A1,DIV_06Data!$A$1:$DZU$1000000,2126,FALSE)</f>
        <v>#N/A</v>
      </c>
    </row>
    <row r="126" spans="1:17" x14ac:dyDescent="0.35">
      <c r="A126" s="22" t="e">
        <f>VLOOKUP(A1,DIV_06Data!$A$1:$DZU$1000000,2127,FALSE)</f>
        <v>#N/A</v>
      </c>
      <c r="B126" s="37" t="e">
        <f>VLOOKUP(A1,DIV_06Data!$A$1:$DZU$1000000,2128,FALSE)</f>
        <v>#N/A</v>
      </c>
      <c r="C126" s="38" t="e">
        <f>VLOOKUP(A1,DIV_06Data!$A$1:$DZU$1000000,2129,FALSE)</f>
        <v>#N/A</v>
      </c>
      <c r="D126" s="31" t="e">
        <f>VLOOKUP(A1,DIV_06Data!$A$1:$DZU$1000000,2130,FALSE)</f>
        <v>#N/A</v>
      </c>
      <c r="E126" s="32" t="e">
        <f>VLOOKUP(A1,DIV_06Data!$A$1:$DZU$1000000,2131,FALSE)</f>
        <v>#N/A</v>
      </c>
      <c r="F126" s="34" t="e">
        <f>VLOOKUP(A1,DIV_06Data!$A$1:$DZU$1000000,2132,FALSE)</f>
        <v>#N/A</v>
      </c>
      <c r="G126" s="33" t="e">
        <f>VLOOKUP(A1,DIV_06Data!$A$1:$DZU$1000000,2133,FALSE)</f>
        <v>#N/A</v>
      </c>
      <c r="H126" s="34" t="e">
        <f>VLOOKUP(A1,DIV_06Data!$A$1:$DZU$1000000,2134,FALSE)</f>
        <v>#N/A</v>
      </c>
      <c r="I126" s="33" t="e">
        <f>VLOOKUP(A1,DIV_06Data!$A$1:$DZU$1000000,2135,FALSE)</f>
        <v>#N/A</v>
      </c>
      <c r="J126" s="34" t="e">
        <f>VLOOKUP(A1,DIV_06Data!$A$1:$DZU$1000000,2136,FALSE)</f>
        <v>#N/A</v>
      </c>
      <c r="K126" s="34" t="e">
        <f>VLOOKUP(A1,DIV_06Data!$A$1:$DZU$1000000,2137,FALSE)</f>
        <v>#N/A</v>
      </c>
      <c r="L126" s="93" t="e">
        <f>VLOOKUP(A1,DIV_06Data!$A$1:$DZU$1000000,2138,FALSE)</f>
        <v>#N/A</v>
      </c>
      <c r="M126" s="33" t="e">
        <f>VLOOKUP(A1,DIV_06Data!$A$1:$DZU$1000000,2139,FALSE)</f>
        <v>#N/A</v>
      </c>
      <c r="N126" s="34" t="e">
        <f>VLOOKUP(A1,DIV_06Data!$A$1:$DZU$1000000,2140,FALSE)</f>
        <v>#N/A</v>
      </c>
      <c r="O126" s="33" t="e">
        <f>VLOOKUP(A1,DIV_06Data!$A$1:$DZU$1000000,2141,FALSE)</f>
        <v>#N/A</v>
      </c>
      <c r="P126" s="46" t="e">
        <f>VLOOKUP(A1,DIV_06Data!$A$1:$DZU$1000000,2142,FALSE)</f>
        <v>#N/A</v>
      </c>
      <c r="Q126" s="33" t="e">
        <f>VLOOKUP(A1,DIV_06Data!$A$1:$DZU$1000000,2143,FALSE)</f>
        <v>#N/A</v>
      </c>
    </row>
    <row r="127" spans="1:17" x14ac:dyDescent="0.35">
      <c r="A127" s="22" t="e">
        <f>VLOOKUP(A1,DIV_06Data!$A$1:$DZU$1000000,2144,FALSE)</f>
        <v>#N/A</v>
      </c>
      <c r="B127" s="37" t="e">
        <f>VLOOKUP(A1,DIV_06Data!$A$1:$DZU$1000000,2145,FALSE)</f>
        <v>#N/A</v>
      </c>
      <c r="C127" s="38" t="e">
        <f>VLOOKUP(A1,DIV_06Data!$A$1:$DZU$1000000,2146,FALSE)</f>
        <v>#N/A</v>
      </c>
      <c r="D127" s="31" t="e">
        <f>VLOOKUP(A1,DIV_06Data!$A$1:$DZU$1000000,2147,FALSE)</f>
        <v>#N/A</v>
      </c>
      <c r="E127" s="32" t="e">
        <f>VLOOKUP(A1,DIV_06Data!$A$1:$DZU$1000000,2148,FALSE)</f>
        <v>#N/A</v>
      </c>
      <c r="F127" s="34" t="e">
        <f>VLOOKUP(A1,DIV_06Data!$A$1:$DZU$1000000,2149,FALSE)</f>
        <v>#N/A</v>
      </c>
      <c r="G127" s="33" t="e">
        <f>VLOOKUP(A1,DIV_06Data!$A$1:$DZU$1000000,2150,FALSE)</f>
        <v>#N/A</v>
      </c>
      <c r="H127" s="34" t="e">
        <f>VLOOKUP(A1,DIV_06Data!$A$1:$DZU$1000000,2151,FALSE)</f>
        <v>#N/A</v>
      </c>
      <c r="I127" s="33" t="e">
        <f>VLOOKUP(A1,DIV_06Data!$A$1:$DZU$1000000,2152,FALSE)</f>
        <v>#N/A</v>
      </c>
      <c r="J127" s="34" t="e">
        <f>VLOOKUP(A1,DIV_06Data!$A$1:$DZU$1000000,2153,FALSE)</f>
        <v>#N/A</v>
      </c>
      <c r="K127" s="34" t="e">
        <f>VLOOKUP(A1,DIV_06Data!$A$1:$DZU$1000000,2154,FALSE)</f>
        <v>#N/A</v>
      </c>
      <c r="L127" s="93" t="e">
        <f>VLOOKUP(A1,DIV_06Data!$A$1:$DZU$1000000,2155,FALSE)</f>
        <v>#N/A</v>
      </c>
      <c r="M127" s="33" t="e">
        <f>VLOOKUP(A1,DIV_06Data!$A$1:$DZU$1000000,2156,FALSE)</f>
        <v>#N/A</v>
      </c>
      <c r="N127" s="34" t="e">
        <f>VLOOKUP(A1,DIV_06Data!$A$1:$DZU$1000000,2157,FALSE)</f>
        <v>#N/A</v>
      </c>
      <c r="O127" s="33" t="e">
        <f>VLOOKUP(A1,DIV_06Data!$A$1:$DZU$1000000,2158,FALSE)</f>
        <v>#N/A</v>
      </c>
      <c r="P127" s="46" t="e">
        <f>VLOOKUP(A1,DIV_06Data!$A$1:$DZU$1000000,2159,FALSE)</f>
        <v>#N/A</v>
      </c>
      <c r="Q127" s="33" t="e">
        <f>VLOOKUP(A1,DIV_06Data!$A$1:$DZU$1000000,2160,FALSE)</f>
        <v>#N/A</v>
      </c>
    </row>
    <row r="128" spans="1:17" x14ac:dyDescent="0.35">
      <c r="A128" s="22" t="e">
        <f>VLOOKUP(A1,DIV_06Data!$A$1:$DZU$1000000,2161,FALSE)</f>
        <v>#N/A</v>
      </c>
      <c r="B128" s="37" t="e">
        <f>VLOOKUP(A1,DIV_06Data!$A$1:$DZU$1000000,2162,FALSE)</f>
        <v>#N/A</v>
      </c>
      <c r="C128" s="38" t="e">
        <f>VLOOKUP(A1,DIV_06Data!$A$1:$DZU$1000000,2163,FALSE)</f>
        <v>#N/A</v>
      </c>
      <c r="D128" s="31" t="e">
        <f>VLOOKUP(A1,DIV_06Data!$A$1:$DZU$1000000,2164,FALSE)</f>
        <v>#N/A</v>
      </c>
      <c r="E128" s="32" t="e">
        <f>VLOOKUP(A1,DIV_06Data!$A$1:$DZU$1000000,2165,FALSE)</f>
        <v>#N/A</v>
      </c>
      <c r="F128" s="34" t="e">
        <f>VLOOKUP(A1,DIV_06Data!$A$1:$DZU$1000000,2166,FALSE)</f>
        <v>#N/A</v>
      </c>
      <c r="G128" s="33" t="e">
        <f>VLOOKUP(A1,DIV_06Data!$A$1:$DZU$1000000,2167,FALSE)</f>
        <v>#N/A</v>
      </c>
      <c r="H128" s="34" t="e">
        <f>VLOOKUP(A1,DIV_06Data!$A$1:$DZU$1000000,2168,FALSE)</f>
        <v>#N/A</v>
      </c>
      <c r="I128" s="33" t="e">
        <f>VLOOKUP(A1,DIV_06Data!$A$1:$DZU$1000000,2169,FALSE)</f>
        <v>#N/A</v>
      </c>
      <c r="J128" s="34" t="e">
        <f>VLOOKUP(A1,DIV_06Data!$A$1:$DZU$1000000,2170,FALSE)</f>
        <v>#N/A</v>
      </c>
      <c r="K128" s="34" t="e">
        <f>VLOOKUP(A1,DIV_06Data!$A$1:$DZU$1000000,2171,FALSE)</f>
        <v>#N/A</v>
      </c>
      <c r="L128" s="93" t="e">
        <f>VLOOKUP(A1,DIV_06Data!$A$1:$DZU$1000000,2172,FALSE)</f>
        <v>#N/A</v>
      </c>
      <c r="M128" s="33" t="e">
        <f>VLOOKUP(A1,DIV_06Data!$A$1:$DZU$1000000,2173,FALSE)</f>
        <v>#N/A</v>
      </c>
      <c r="N128" s="34" t="e">
        <f>VLOOKUP(A1,DIV_06Data!$A$1:$DZU$1000000,2174,FALSE)</f>
        <v>#N/A</v>
      </c>
      <c r="O128" s="33" t="e">
        <f>VLOOKUP(A1,DIV_06Data!$A$1:$DZU$1000000,2175,FALSE)</f>
        <v>#N/A</v>
      </c>
      <c r="P128" s="46" t="e">
        <f>VLOOKUP(A1,DIV_06Data!$A$1:$DZU$1000000,2176,FALSE)</f>
        <v>#N/A</v>
      </c>
      <c r="Q128" s="33" t="e">
        <f>VLOOKUP(A1,DIV_06Data!$A$1:$DZU$1000000,2177,FALSE)</f>
        <v>#N/A</v>
      </c>
    </row>
    <row r="129" spans="1:17" x14ac:dyDescent="0.35">
      <c r="A129" s="22" t="e">
        <f>VLOOKUP(A1,DIV_06Data!$A$1:$DZU$1000000,2178,FALSE)</f>
        <v>#N/A</v>
      </c>
      <c r="B129" s="37" t="e">
        <f>VLOOKUP(A1,DIV_06Data!$A$1:$DZU$1000000,2179,FALSE)</f>
        <v>#N/A</v>
      </c>
      <c r="C129" s="38" t="e">
        <f>VLOOKUP(A1,DIV_06Data!$A$1:$DZU$1000000,2180,FALSE)</f>
        <v>#N/A</v>
      </c>
      <c r="D129" s="31" t="e">
        <f>VLOOKUP(A1,DIV_06Data!$A$1:$DZU$1000000,2181,FALSE)</f>
        <v>#N/A</v>
      </c>
      <c r="E129" s="32" t="e">
        <f>VLOOKUP(A1,DIV_06Data!$A$1:$DZU$1000000,2182,FALSE)</f>
        <v>#N/A</v>
      </c>
      <c r="F129" s="34" t="e">
        <f>VLOOKUP(A1,DIV_06Data!$A$1:$DZU$1000000,2183,FALSE)</f>
        <v>#N/A</v>
      </c>
      <c r="G129" s="33" t="e">
        <f>VLOOKUP(A1,DIV_06Data!$A$1:$DZU$1000000,2184,FALSE)</f>
        <v>#N/A</v>
      </c>
      <c r="H129" s="34" t="e">
        <f>VLOOKUP(A1,DIV_06Data!$A$1:$DZU$1000000,2185,FALSE)</f>
        <v>#N/A</v>
      </c>
      <c r="I129" s="33" t="e">
        <f>VLOOKUP(A1,DIV_06Data!$A$1:$DZU$1000000,2186,FALSE)</f>
        <v>#N/A</v>
      </c>
      <c r="J129" s="34" t="e">
        <f>VLOOKUP(A1,DIV_06Data!$A$1:$DZU$1000000,2187,FALSE)</f>
        <v>#N/A</v>
      </c>
      <c r="K129" s="34" t="e">
        <f>VLOOKUP(A1,DIV_06Data!$A$1:$DZU$1000000,2188,FALSE)</f>
        <v>#N/A</v>
      </c>
      <c r="L129" s="93" t="e">
        <f>VLOOKUP(A1,DIV_06Data!$A$1:$DZU$1000000,2189,FALSE)</f>
        <v>#N/A</v>
      </c>
      <c r="M129" s="33" t="e">
        <f>VLOOKUP(A1,DIV_06Data!$A$1:$DZU$1000000,2190,FALSE)</f>
        <v>#N/A</v>
      </c>
      <c r="N129" s="34" t="e">
        <f>VLOOKUP(A1,DIV_06Data!$A$1:$DZU$1000000,2191,FALSE)</f>
        <v>#N/A</v>
      </c>
      <c r="O129" s="33" t="e">
        <f>VLOOKUP(A1,DIV_06Data!$A$1:$DZU$1000000,2192,FALSE)</f>
        <v>#N/A</v>
      </c>
      <c r="P129" s="46" t="e">
        <f>VLOOKUP(A1,DIV_06Data!$A$1:$DZU$1000000,2193,FALSE)</f>
        <v>#N/A</v>
      </c>
      <c r="Q129" s="33" t="e">
        <f>VLOOKUP(A1,DIV_06Data!$A$1:$DZU$1000000,2194,FALSE)</f>
        <v>#N/A</v>
      </c>
    </row>
    <row r="130" spans="1:17" x14ac:dyDescent="0.35">
      <c r="A130" s="22" t="e">
        <f>VLOOKUP(A1,DIV_06Data!$A$1:$DZU$1000000,2195,FALSE)</f>
        <v>#N/A</v>
      </c>
      <c r="B130" s="37" t="e">
        <f>VLOOKUP(A1,DIV_06Data!$A$1:$DZU$1000000,2196,FALSE)</f>
        <v>#N/A</v>
      </c>
      <c r="C130" s="38" t="e">
        <f>VLOOKUP(A1,DIV_06Data!$A$1:$DZU$1000000,2197,FALSE)</f>
        <v>#N/A</v>
      </c>
      <c r="D130" s="31" t="e">
        <f>VLOOKUP(A1,DIV_06Data!$A$1:$DZU$1000000,2198,FALSE)</f>
        <v>#N/A</v>
      </c>
      <c r="E130" s="32" t="e">
        <f>VLOOKUP(A1,DIV_06Data!$A$1:$DZU$1000000,2199,FALSE)</f>
        <v>#N/A</v>
      </c>
      <c r="F130" s="34" t="e">
        <f>VLOOKUP(A1,DIV_06Data!$A$1:$DZU$1000000,2200,FALSE)</f>
        <v>#N/A</v>
      </c>
      <c r="G130" s="33" t="e">
        <f>VLOOKUP(A1,DIV_06Data!$A$1:$DZU$1000000,2201,FALSE)</f>
        <v>#N/A</v>
      </c>
      <c r="H130" s="34" t="e">
        <f>VLOOKUP(A1,DIV_06Data!$A$1:$DZU$1000000,2202,FALSE)</f>
        <v>#N/A</v>
      </c>
      <c r="I130" s="33" t="e">
        <f>VLOOKUP(A1,DIV_06Data!$A$1:$DZU$1000000,2203,FALSE)</f>
        <v>#N/A</v>
      </c>
      <c r="J130" s="34" t="e">
        <f>VLOOKUP(A1,DIV_06Data!$A$1:$DZU$1000000,2204,FALSE)</f>
        <v>#N/A</v>
      </c>
      <c r="K130" s="34" t="e">
        <f>VLOOKUP(A1,DIV_06Data!$A$1:$DZU$1000000,2205,FALSE)</f>
        <v>#N/A</v>
      </c>
      <c r="L130" s="93" t="e">
        <f>VLOOKUP(A1,DIV_06Data!$A$1:$DZU$1000000,2206,FALSE)</f>
        <v>#N/A</v>
      </c>
      <c r="M130" s="33" t="e">
        <f>VLOOKUP(A1,DIV_06Data!$A$1:$DZU$1000000,2207,FALSE)</f>
        <v>#N/A</v>
      </c>
      <c r="N130" s="34" t="e">
        <f>VLOOKUP(A1,DIV_06Data!$A$1:$DZU$1000000,2208,FALSE)</f>
        <v>#N/A</v>
      </c>
      <c r="O130" s="33" t="e">
        <f>VLOOKUP(A1,DIV_06Data!$A$1:$DZU$1000000,2209,FALSE)</f>
        <v>#N/A</v>
      </c>
      <c r="P130" s="46" t="e">
        <f>VLOOKUP(A1,DIV_06Data!$A$1:$DZU$1000000,2210,FALSE)</f>
        <v>#N/A</v>
      </c>
      <c r="Q130" s="33" t="e">
        <f>VLOOKUP(A1,DIV_06Data!$A$1:$DZU$1000000,2211,FALSE)</f>
        <v>#N/A</v>
      </c>
    </row>
    <row r="131" spans="1:17" x14ac:dyDescent="0.35">
      <c r="A131" s="22" t="e">
        <f>VLOOKUP(A1,DIV_06Data!$A$1:$DZU$1000000,2212,FALSE)</f>
        <v>#N/A</v>
      </c>
      <c r="B131" s="37" t="e">
        <f>VLOOKUP(A1,DIV_06Data!$A$1:$DZU$1000000,2213,FALSE)</f>
        <v>#N/A</v>
      </c>
      <c r="C131" s="38" t="e">
        <f>VLOOKUP(A1,DIV_06Data!$A$1:$DZU$1000000,2214,FALSE)</f>
        <v>#N/A</v>
      </c>
      <c r="D131" s="31" t="e">
        <f>VLOOKUP(A1,DIV_06Data!$A$1:$DZU$1000000,2215,FALSE)</f>
        <v>#N/A</v>
      </c>
      <c r="E131" s="32" t="e">
        <f>VLOOKUP(A1,DIV_06Data!$A$1:$DZU$1000000,2216,FALSE)</f>
        <v>#N/A</v>
      </c>
      <c r="F131" s="34" t="e">
        <f>VLOOKUP(A1,DIV_06Data!$A$1:$DZU$1000000,2217,FALSE)</f>
        <v>#N/A</v>
      </c>
      <c r="G131" s="33" t="e">
        <f>VLOOKUP(A1,DIV_06Data!$A$1:$DZU$1000000,2218,FALSE)</f>
        <v>#N/A</v>
      </c>
      <c r="H131" s="34" t="e">
        <f>VLOOKUP(A1,DIV_06Data!$A$1:$DZU$1000000,2219,FALSE)</f>
        <v>#N/A</v>
      </c>
      <c r="I131" s="33" t="e">
        <f>VLOOKUP(A1,DIV_06Data!$A$1:$DZU$1000000,2220,FALSE)</f>
        <v>#N/A</v>
      </c>
      <c r="J131" s="34" t="e">
        <f>VLOOKUP(A1,DIV_06Data!$A$1:$DZU$1000000,2221,FALSE)</f>
        <v>#N/A</v>
      </c>
      <c r="K131" s="34" t="e">
        <f>VLOOKUP(A1,DIV_06Data!$A$1:$DZU$1000000,2222,FALSE)</f>
        <v>#N/A</v>
      </c>
      <c r="L131" s="93" t="e">
        <f>VLOOKUP(A1,DIV_06Data!$A$1:$DZU$1000000,2223,FALSE)</f>
        <v>#N/A</v>
      </c>
      <c r="M131" s="33" t="e">
        <f>VLOOKUP(A1,DIV_06Data!$A$1:$DZU$1000000,2224,FALSE)</f>
        <v>#N/A</v>
      </c>
      <c r="N131" s="34" t="e">
        <f>VLOOKUP(A1,DIV_06Data!$A$1:$DZU$1000000,2225,FALSE)</f>
        <v>#N/A</v>
      </c>
      <c r="O131" s="33" t="e">
        <f>VLOOKUP(A1,DIV_06Data!$A$1:$DZU$1000000,2226,FALSE)</f>
        <v>#N/A</v>
      </c>
      <c r="P131" s="46" t="e">
        <f>VLOOKUP(A1,DIV_06Data!$A$1:$DZU$1000000,2227,FALSE)</f>
        <v>#N/A</v>
      </c>
      <c r="Q131" s="33" t="e">
        <f>VLOOKUP(A1,DIV_06Data!$A$1:$DZU$1000000,2228,FALSE)</f>
        <v>#N/A</v>
      </c>
    </row>
    <row r="132" spans="1:17" x14ac:dyDescent="0.35">
      <c r="A132" s="22" t="e">
        <f>VLOOKUP(A1,DIV_06Data!$A$1:$DZU$1000000,2229,FALSE)</f>
        <v>#N/A</v>
      </c>
      <c r="B132" s="37" t="e">
        <f>VLOOKUP(A1,DIV_06Data!$A$1:$DZU$1000000,2230,FALSE)</f>
        <v>#N/A</v>
      </c>
      <c r="C132" s="38" t="e">
        <f>VLOOKUP(A1,DIV_06Data!$A$1:$DZU$1000000,2231,FALSE)</f>
        <v>#N/A</v>
      </c>
      <c r="D132" s="31" t="e">
        <f>VLOOKUP(A1,DIV_06Data!$A$1:$DZU$1000000,2232,FALSE)</f>
        <v>#N/A</v>
      </c>
      <c r="E132" s="32" t="e">
        <f>VLOOKUP(A1,DIV_06Data!$A$1:$DZU$1000000,2233,FALSE)</f>
        <v>#N/A</v>
      </c>
      <c r="F132" s="34" t="e">
        <f>VLOOKUP(A1,DIV_06Data!$A$1:$DZU$1000000,2234,FALSE)</f>
        <v>#N/A</v>
      </c>
      <c r="G132" s="33" t="e">
        <f>VLOOKUP(A1,DIV_06Data!$A$1:$DZU$1000000,2235,FALSE)</f>
        <v>#N/A</v>
      </c>
      <c r="H132" s="34" t="e">
        <f>VLOOKUP(A1,DIV_06Data!$A$1:$DZU$1000000,2236,FALSE)</f>
        <v>#N/A</v>
      </c>
      <c r="I132" s="33" t="e">
        <f>VLOOKUP(A1,DIV_06Data!$A$1:$DZU$1000000,2237,FALSE)</f>
        <v>#N/A</v>
      </c>
      <c r="J132" s="34" t="e">
        <f>VLOOKUP(A1,DIV_06Data!$A$1:$DZU$1000000,2238,FALSE)</f>
        <v>#N/A</v>
      </c>
      <c r="K132" s="34" t="e">
        <f>VLOOKUP(A1,DIV_06Data!$A$1:$DZU$1000000,2239,FALSE)</f>
        <v>#N/A</v>
      </c>
      <c r="L132" s="93" t="e">
        <f>VLOOKUP(A1,DIV_06Data!$A$1:$DZU$1000000,2240,FALSE)</f>
        <v>#N/A</v>
      </c>
      <c r="M132" s="33" t="e">
        <f>VLOOKUP(A1,DIV_06Data!$A$1:$DZU$1000000,2241,FALSE)</f>
        <v>#N/A</v>
      </c>
      <c r="N132" s="34" t="e">
        <f>VLOOKUP(A1,DIV_06Data!$A$1:$DZU$1000000,2242,FALSE)</f>
        <v>#N/A</v>
      </c>
      <c r="O132" s="33" t="e">
        <f>VLOOKUP(A1,DIV_06Data!$A$1:$DZU$1000000,2243,FALSE)</f>
        <v>#N/A</v>
      </c>
      <c r="P132" s="46" t="e">
        <f>VLOOKUP(A1,DIV_06Data!$A$1:$DZU$1000000,2244,FALSE)</f>
        <v>#N/A</v>
      </c>
      <c r="Q132" s="33" t="e">
        <f>VLOOKUP(A1,DIV_06Data!$A$1:$DZU$1000000,2245,FALSE)</f>
        <v>#N/A</v>
      </c>
    </row>
    <row r="133" spans="1:17" x14ac:dyDescent="0.35">
      <c r="A133" s="22" t="e">
        <f>VLOOKUP(A1,DIV_06Data!$A$1:$DZU$1000000,2246,FALSE)</f>
        <v>#N/A</v>
      </c>
      <c r="B133" s="37" t="e">
        <f>VLOOKUP(A1,DIV_06Data!$A$1:$DZU$1000000,2247,FALSE)</f>
        <v>#N/A</v>
      </c>
      <c r="C133" s="38" t="e">
        <f>VLOOKUP(A1,DIV_06Data!$A$1:$DZU$1000000,2248,FALSE)</f>
        <v>#N/A</v>
      </c>
      <c r="D133" s="31" t="e">
        <f>VLOOKUP(A1,DIV_06Data!$A$1:$DZU$1000000,2249,FALSE)</f>
        <v>#N/A</v>
      </c>
      <c r="E133" s="32" t="e">
        <f>VLOOKUP(A1,DIV_06Data!$A$1:$DZU$1000000,2250,FALSE)</f>
        <v>#N/A</v>
      </c>
      <c r="F133" s="34" t="e">
        <f>VLOOKUP(A1,DIV_06Data!$A$1:$DZU$1000000,2251,FALSE)</f>
        <v>#N/A</v>
      </c>
      <c r="G133" s="33" t="e">
        <f>VLOOKUP(A1,DIV_06Data!$A$1:$DZU$1000000,2252,FALSE)</f>
        <v>#N/A</v>
      </c>
      <c r="H133" s="34" t="e">
        <f>VLOOKUP(A1,DIV_06Data!$A$1:$DZU$1000000,2253,FALSE)</f>
        <v>#N/A</v>
      </c>
      <c r="I133" s="33" t="e">
        <f>VLOOKUP(A1,DIV_06Data!$A$1:$DZU$1000000,2254,FALSE)</f>
        <v>#N/A</v>
      </c>
      <c r="J133" s="34" t="e">
        <f>VLOOKUP(A1,DIV_06Data!$A$1:$DZU$1000000,2255,FALSE)</f>
        <v>#N/A</v>
      </c>
      <c r="K133" s="34" t="e">
        <f>VLOOKUP(A1,DIV_06Data!$A$1:$DZU$1000000,2256,FALSE)</f>
        <v>#N/A</v>
      </c>
      <c r="L133" s="93" t="e">
        <f>VLOOKUP(A1,DIV_06Data!$A$1:$DZU$1000000,2257,FALSE)</f>
        <v>#N/A</v>
      </c>
      <c r="M133" s="33" t="e">
        <f>VLOOKUP(A1,DIV_06Data!$A$1:$DZU$1000000,2258,FALSE)</f>
        <v>#N/A</v>
      </c>
      <c r="N133" s="34" t="e">
        <f>VLOOKUP(A1,DIV_06Data!$A$1:$DZU$1000000,2259,FALSE)</f>
        <v>#N/A</v>
      </c>
      <c r="O133" s="33" t="e">
        <f>VLOOKUP(A1,DIV_06Data!$A$1:$DZU$1000000,2260,FALSE)</f>
        <v>#N/A</v>
      </c>
      <c r="P133" s="46" t="e">
        <f>VLOOKUP(A1,DIV_06Data!$A$1:$DZU$1000000,2261,FALSE)</f>
        <v>#N/A</v>
      </c>
      <c r="Q133" s="33" t="e">
        <f>VLOOKUP(A1,DIV_06Data!$A$1:$DZU$1000000,2262,FALSE)</f>
        <v>#N/A</v>
      </c>
    </row>
    <row r="134" spans="1:17" x14ac:dyDescent="0.35">
      <c r="A134" s="22" t="e">
        <f>VLOOKUP(A1,DIV_06Data!$A$1:$DZU$1000000,2263,FALSE)</f>
        <v>#N/A</v>
      </c>
      <c r="B134" s="37" t="e">
        <f>VLOOKUP(A1,DIV_06Data!$A$1:$DZU$1000000,2264,FALSE)</f>
        <v>#N/A</v>
      </c>
      <c r="C134" s="38" t="e">
        <f>VLOOKUP(A1,DIV_06Data!$A$1:$DZU$1000000,2265,FALSE)</f>
        <v>#N/A</v>
      </c>
      <c r="D134" s="31" t="e">
        <f>VLOOKUP(A1,DIV_06Data!$A$1:$DZU$1000000,2266,FALSE)</f>
        <v>#N/A</v>
      </c>
      <c r="E134" s="32" t="e">
        <f>VLOOKUP(A1,DIV_06Data!$A$1:$DZU$1000000,2267,FALSE)</f>
        <v>#N/A</v>
      </c>
      <c r="F134" s="34" t="e">
        <f>VLOOKUP(A1,DIV_06Data!$A$1:$DZU$1000000,2268,FALSE)</f>
        <v>#N/A</v>
      </c>
      <c r="G134" s="33" t="e">
        <f>VLOOKUP(A1,DIV_06Data!$A$1:$DZU$1000000,2269,FALSE)</f>
        <v>#N/A</v>
      </c>
      <c r="H134" s="34" t="e">
        <f>VLOOKUP(A1,DIV_06Data!$A$1:$DZU$1000000,2270,FALSE)</f>
        <v>#N/A</v>
      </c>
      <c r="I134" s="33" t="e">
        <f>VLOOKUP(A1,DIV_06Data!$A$1:$DZU$1000000,2271,FALSE)</f>
        <v>#N/A</v>
      </c>
      <c r="J134" s="34" t="e">
        <f>VLOOKUP(A1,DIV_06Data!$A$1:$DZU$1000000,2272,FALSE)</f>
        <v>#N/A</v>
      </c>
      <c r="K134" s="34" t="e">
        <f>VLOOKUP(A1,DIV_06Data!$A$1:$DZU$1000000,2273,FALSE)</f>
        <v>#N/A</v>
      </c>
      <c r="L134" s="93" t="e">
        <f>VLOOKUP(A1,DIV_06Data!$A$1:$DZU$1000000,2274,FALSE)</f>
        <v>#N/A</v>
      </c>
      <c r="M134" s="33" t="e">
        <f>VLOOKUP(A1,DIV_06Data!$A$1:$DZU$1000000,2275,FALSE)</f>
        <v>#N/A</v>
      </c>
      <c r="N134" s="34" t="e">
        <f>VLOOKUP(A1,DIV_06Data!$A$1:$DZU$1000000,2276,FALSE)</f>
        <v>#N/A</v>
      </c>
      <c r="O134" s="33" t="e">
        <f>VLOOKUP(A1,DIV_06Data!$A$1:$DZU$1000000,2277,FALSE)</f>
        <v>#N/A</v>
      </c>
      <c r="P134" s="46" t="e">
        <f>VLOOKUP(A1,DIV_06Data!$A$1:$DZU$1000000,2278,FALSE)</f>
        <v>#N/A</v>
      </c>
      <c r="Q134" s="33" t="e">
        <f>VLOOKUP(A1,DIV_06Data!$A$1:$DZU$1000000,2279,FALSE)</f>
        <v>#N/A</v>
      </c>
    </row>
    <row r="135" spans="1:17" x14ac:dyDescent="0.35">
      <c r="A135" s="22" t="e">
        <f>VLOOKUP(A1,DIV_06Data!$A$1:$DZU$1000000,2280,FALSE)</f>
        <v>#N/A</v>
      </c>
      <c r="B135" s="37" t="e">
        <f>VLOOKUP(A1,DIV_06Data!$A$1:$DZU$1000000,2281,FALSE)</f>
        <v>#N/A</v>
      </c>
      <c r="C135" s="38" t="e">
        <f>VLOOKUP(A1,DIV_06Data!$A$1:$DZU$1000000,2282,FALSE)</f>
        <v>#N/A</v>
      </c>
      <c r="D135" s="31" t="e">
        <f>VLOOKUP(A1,DIV_06Data!$A$1:$DZU$1000000,2283,FALSE)</f>
        <v>#N/A</v>
      </c>
      <c r="E135" s="32" t="e">
        <f>VLOOKUP(A1,DIV_06Data!$A$1:$DZU$1000000,2284,FALSE)</f>
        <v>#N/A</v>
      </c>
      <c r="F135" s="34" t="e">
        <f>VLOOKUP(A1,DIV_06Data!$A$1:$DZU$1000000,2285,FALSE)</f>
        <v>#N/A</v>
      </c>
      <c r="G135" s="33" t="e">
        <f>VLOOKUP(A1,DIV_06Data!$A$1:$DZU$1000000,2286,FALSE)</f>
        <v>#N/A</v>
      </c>
      <c r="H135" s="34" t="e">
        <f>VLOOKUP(A1,DIV_06Data!$A$1:$DZU$1000000,2287,FALSE)</f>
        <v>#N/A</v>
      </c>
      <c r="I135" s="33" t="e">
        <f>VLOOKUP(A1,DIV_06Data!$A$1:$DZU$1000000,2288,FALSE)</f>
        <v>#N/A</v>
      </c>
      <c r="J135" s="34" t="e">
        <f>VLOOKUP(A1,DIV_06Data!$A$1:$DZU$1000000,2289,FALSE)</f>
        <v>#N/A</v>
      </c>
      <c r="K135" s="34" t="e">
        <f>VLOOKUP(A1,DIV_06Data!$A$1:$DZU$1000000,2290,FALSE)</f>
        <v>#N/A</v>
      </c>
      <c r="L135" s="93" t="e">
        <f>VLOOKUP(A1,DIV_06Data!$A$1:$DZU$1000000,2291,FALSE)</f>
        <v>#N/A</v>
      </c>
      <c r="M135" s="33" t="e">
        <f>VLOOKUP(A1,DIV_06Data!$A$1:$DZU$1000000,2292,FALSE)</f>
        <v>#N/A</v>
      </c>
      <c r="N135" s="34" t="e">
        <f>VLOOKUP(A1,DIV_06Data!$A$1:$DZU$1000000,2293,FALSE)</f>
        <v>#N/A</v>
      </c>
      <c r="O135" s="33" t="e">
        <f>VLOOKUP(A1,DIV_06Data!$A$1:$DZU$1000000,2294,FALSE)</f>
        <v>#N/A</v>
      </c>
      <c r="P135" s="46" t="e">
        <f>VLOOKUP(A1,DIV_06Data!$A$1:$DZU$1000000,2295,FALSE)</f>
        <v>#N/A</v>
      </c>
      <c r="Q135" s="33" t="e">
        <f>VLOOKUP(A1,DIV_06Data!$A$1:$DZU$1000000,2296,FALSE)</f>
        <v>#N/A</v>
      </c>
    </row>
    <row r="136" spans="1:17" x14ac:dyDescent="0.35">
      <c r="A136" s="22" t="e">
        <f>VLOOKUP(A1,DIV_06Data!$A$1:$DZU$1000000,2297,FALSE)</f>
        <v>#N/A</v>
      </c>
      <c r="B136" s="37" t="e">
        <f>VLOOKUP(A1,DIV_06Data!$A$1:$DZU$1000000,2298,FALSE)</f>
        <v>#N/A</v>
      </c>
      <c r="C136" s="38" t="e">
        <f>VLOOKUP(A1,DIV_06Data!$A$1:$DZU$1000000,2299,FALSE)</f>
        <v>#N/A</v>
      </c>
      <c r="D136" s="31" t="e">
        <f>VLOOKUP(A1,DIV_06Data!$A$1:$DZU$1000000,2300,FALSE)</f>
        <v>#N/A</v>
      </c>
      <c r="E136" s="32" t="e">
        <f>VLOOKUP(A1,DIV_06Data!$A$1:$DZU$1000000,2301,FALSE)</f>
        <v>#N/A</v>
      </c>
      <c r="F136" s="34" t="e">
        <f>VLOOKUP(A1,DIV_06Data!$A$1:$DZU$1000000,2302,FALSE)</f>
        <v>#N/A</v>
      </c>
      <c r="G136" s="33" t="e">
        <f>VLOOKUP(A1,DIV_06Data!$A$1:$DZU$1000000,2303,FALSE)</f>
        <v>#N/A</v>
      </c>
      <c r="H136" s="34" t="e">
        <f>VLOOKUP(A1,DIV_06Data!$A$1:$DZU$1000000,2304,FALSE)</f>
        <v>#N/A</v>
      </c>
      <c r="I136" s="33" t="e">
        <f>VLOOKUP(A1,DIV_06Data!$A$1:$DZU$1000000,2305,FALSE)</f>
        <v>#N/A</v>
      </c>
      <c r="J136" s="34" t="e">
        <f>VLOOKUP(A1,DIV_06Data!$A$1:$DZU$1000000,2306,FALSE)</f>
        <v>#N/A</v>
      </c>
      <c r="K136" s="34" t="e">
        <f>VLOOKUP(A1,DIV_06Data!$A$1:$DZU$1000000,2307,FALSE)</f>
        <v>#N/A</v>
      </c>
      <c r="L136" s="93" t="e">
        <f>VLOOKUP(A1,DIV_06Data!$A$1:$DZU$1000000,2308,FALSE)</f>
        <v>#N/A</v>
      </c>
      <c r="M136" s="33" t="e">
        <f>VLOOKUP(A1,DIV_06Data!$A$1:$DZU$1000000,2309,FALSE)</f>
        <v>#N/A</v>
      </c>
      <c r="N136" s="34" t="e">
        <f>VLOOKUP(A1,DIV_06Data!$A$1:$DZU$1000000,2310,FALSE)</f>
        <v>#N/A</v>
      </c>
      <c r="O136" s="33" t="e">
        <f>VLOOKUP(A1,DIV_06Data!$A$1:$DZU$1000000,2311,FALSE)</f>
        <v>#N/A</v>
      </c>
      <c r="P136" s="46" t="e">
        <f>VLOOKUP(A1,DIV_06Data!$A$1:$DZU$1000000,2312,FALSE)</f>
        <v>#N/A</v>
      </c>
      <c r="Q136" s="33" t="e">
        <f>VLOOKUP(A1,DIV_06Data!$A$1:$DZU$1000000,2313,FALSE)</f>
        <v>#N/A</v>
      </c>
    </row>
    <row r="137" spans="1:17" x14ac:dyDescent="0.35">
      <c r="A137" s="22" t="e">
        <f>VLOOKUP(A1,DIV_06Data!$A$1:$DZU$1000000,2314,FALSE)</f>
        <v>#N/A</v>
      </c>
      <c r="B137" s="37" t="e">
        <f>VLOOKUP(A1,DIV_06Data!$A$1:$DZU$1000000,2315,FALSE)</f>
        <v>#N/A</v>
      </c>
      <c r="C137" s="38" t="e">
        <f>VLOOKUP(A1,DIV_06Data!$A$1:$DZU$1000000,2316,FALSE)</f>
        <v>#N/A</v>
      </c>
      <c r="D137" s="31" t="e">
        <f>VLOOKUP(A1,DIV_06Data!$A$1:$DZU$1000000,2317,FALSE)</f>
        <v>#N/A</v>
      </c>
      <c r="E137" s="32" t="e">
        <f>VLOOKUP(A1,DIV_06Data!$A$1:$DZU$1000000,2318,FALSE)</f>
        <v>#N/A</v>
      </c>
      <c r="F137" s="34" t="e">
        <f>VLOOKUP(A1,DIV_06Data!$A$1:$DZU$1000000,2319,FALSE)</f>
        <v>#N/A</v>
      </c>
      <c r="G137" s="33" t="e">
        <f>VLOOKUP(A1,DIV_06Data!$A$1:$DZU$1000000,2320,FALSE)</f>
        <v>#N/A</v>
      </c>
      <c r="H137" s="34" t="e">
        <f>VLOOKUP(A1,DIV_06Data!$A$1:$DZU$1000000,2321,FALSE)</f>
        <v>#N/A</v>
      </c>
      <c r="I137" s="33" t="e">
        <f>VLOOKUP(A1,DIV_06Data!$A$1:$DZU$1000000,2322,FALSE)</f>
        <v>#N/A</v>
      </c>
      <c r="J137" s="34" t="e">
        <f>VLOOKUP(A1,DIV_06Data!$A$1:$DZU$1000000,2323,FALSE)</f>
        <v>#N/A</v>
      </c>
      <c r="K137" s="34" t="e">
        <f>VLOOKUP(A1,DIV_06Data!$A$1:$DZU$1000000,2324,FALSE)</f>
        <v>#N/A</v>
      </c>
      <c r="L137" s="93" t="e">
        <f>VLOOKUP(A1,DIV_06Data!$A$1:$DZU$1000000,2325,FALSE)</f>
        <v>#N/A</v>
      </c>
      <c r="M137" s="33" t="e">
        <f>VLOOKUP(A1,DIV_06Data!$A$1:$DZU$1000000,2326,FALSE)</f>
        <v>#N/A</v>
      </c>
      <c r="N137" s="34" t="e">
        <f>VLOOKUP(A1,DIV_06Data!$A$1:$DZU$1000000,2327,FALSE)</f>
        <v>#N/A</v>
      </c>
      <c r="O137" s="33" t="e">
        <f>VLOOKUP(A1,DIV_06Data!$A$1:$DZU$1000000,2328,FALSE)</f>
        <v>#N/A</v>
      </c>
      <c r="P137" s="46" t="e">
        <f>VLOOKUP(A1,DIV_06Data!$A$1:$DZU$1000000,2329,FALSE)</f>
        <v>#N/A</v>
      </c>
      <c r="Q137" s="33" t="e">
        <f>VLOOKUP(A1,DIV_06Data!$A$1:$DZU$1000000,2330,FALSE)</f>
        <v>#N/A</v>
      </c>
    </row>
    <row r="138" spans="1:17" x14ac:dyDescent="0.35">
      <c r="A138" s="22" t="e">
        <f>VLOOKUP(A1,DIV_06Data!$A$1:$DZU$1000000,2331,FALSE)</f>
        <v>#N/A</v>
      </c>
      <c r="B138" s="37" t="e">
        <f>VLOOKUP(A1,DIV_06Data!$A$1:$DZU$1000000,2332,FALSE)</f>
        <v>#N/A</v>
      </c>
      <c r="C138" s="38" t="e">
        <f>VLOOKUP(A1,DIV_06Data!$A$1:$DZU$1000000,2333,FALSE)</f>
        <v>#N/A</v>
      </c>
      <c r="D138" s="31" t="e">
        <f>VLOOKUP(A1,DIV_06Data!$A$1:$DZU$1000000,2334,FALSE)</f>
        <v>#N/A</v>
      </c>
      <c r="E138" s="32" t="e">
        <f>VLOOKUP(A1,DIV_06Data!$A$1:$DZU$1000000,2335,FALSE)</f>
        <v>#N/A</v>
      </c>
      <c r="F138" s="34" t="e">
        <f>VLOOKUP(A1,DIV_06Data!$A$1:$DZU$1000000,2336,FALSE)</f>
        <v>#N/A</v>
      </c>
      <c r="G138" s="33" t="e">
        <f>VLOOKUP(A1,DIV_06Data!$A$1:$DZU$1000000,2337,FALSE)</f>
        <v>#N/A</v>
      </c>
      <c r="H138" s="34" t="e">
        <f>VLOOKUP(A1,DIV_06Data!$A$1:$DZU$1000000,2338,FALSE)</f>
        <v>#N/A</v>
      </c>
      <c r="I138" s="33" t="e">
        <f>VLOOKUP(A1,DIV_06Data!$A$1:$DZU$1000000,2339,FALSE)</f>
        <v>#N/A</v>
      </c>
      <c r="J138" s="34" t="e">
        <f>VLOOKUP(A1,DIV_06Data!$A$1:$DZU$1000000,2340,FALSE)</f>
        <v>#N/A</v>
      </c>
      <c r="K138" s="34" t="e">
        <f>VLOOKUP(A1,DIV_06Data!$A$1:$DZU$1000000,2341,FALSE)</f>
        <v>#N/A</v>
      </c>
      <c r="L138" s="93" t="e">
        <f>VLOOKUP(A1,DIV_06Data!$A$1:$DZU$1000000,2342,FALSE)</f>
        <v>#N/A</v>
      </c>
      <c r="M138" s="33" t="e">
        <f>VLOOKUP(A1,DIV_06Data!$A$1:$DZU$1000000,2343,FALSE)</f>
        <v>#N/A</v>
      </c>
      <c r="N138" s="34" t="e">
        <f>VLOOKUP(A1,DIV_06Data!$A$1:$DZU$1000000,2344,FALSE)</f>
        <v>#N/A</v>
      </c>
      <c r="O138" s="33" t="e">
        <f>VLOOKUP(A1,DIV_06Data!$A$1:$DZU$1000000,2345,FALSE)</f>
        <v>#N/A</v>
      </c>
      <c r="P138" s="46" t="e">
        <f>VLOOKUP(A1,DIV_06Data!$A$1:$DZU$1000000,2346,FALSE)</f>
        <v>#N/A</v>
      </c>
      <c r="Q138" s="33" t="e">
        <f>VLOOKUP(A1,DIV_06Data!$A$1:$DZU$1000000,2347,FALSE)</f>
        <v>#N/A</v>
      </c>
    </row>
    <row r="139" spans="1:17" x14ac:dyDescent="0.35">
      <c r="A139" s="22" t="e">
        <f>VLOOKUP(A1,DIV_06Data!$A$1:$DZU$1000000,2348,FALSE)</f>
        <v>#N/A</v>
      </c>
      <c r="B139" s="37" t="e">
        <f>VLOOKUP(A1,DIV_06Data!$A$1:$DZU$1000000,2349,FALSE)</f>
        <v>#N/A</v>
      </c>
      <c r="C139" s="38" t="e">
        <f>VLOOKUP(A1,DIV_06Data!$A$1:$DZU$1000000,2350,FALSE)</f>
        <v>#N/A</v>
      </c>
      <c r="D139" s="31" t="e">
        <f>VLOOKUP(A1,DIV_06Data!$A$1:$DZU$1000000,2351,FALSE)</f>
        <v>#N/A</v>
      </c>
      <c r="E139" s="32" t="e">
        <f>VLOOKUP(A1,DIV_06Data!$A$1:$DZU$1000000,2352,FALSE)</f>
        <v>#N/A</v>
      </c>
      <c r="F139" s="34" t="e">
        <f>VLOOKUP(A1,DIV_06Data!$A$1:$DZU$1000000,2353,FALSE)</f>
        <v>#N/A</v>
      </c>
      <c r="G139" s="33" t="e">
        <f>VLOOKUP(A1,DIV_06Data!$A$1:$DZU$1000000,2354,FALSE)</f>
        <v>#N/A</v>
      </c>
      <c r="H139" s="34" t="e">
        <f>VLOOKUP(A1,DIV_06Data!$A$1:$DZU$1000000,2355,FALSE)</f>
        <v>#N/A</v>
      </c>
      <c r="I139" s="33" t="e">
        <f>VLOOKUP(A1,DIV_06Data!$A$1:$DZU$1000000,2356,FALSE)</f>
        <v>#N/A</v>
      </c>
      <c r="J139" s="34" t="e">
        <f>VLOOKUP(A1,DIV_06Data!$A$1:$DZU$1000000,2357,FALSE)</f>
        <v>#N/A</v>
      </c>
      <c r="K139" s="34" t="e">
        <f>VLOOKUP(A1,DIV_06Data!$A$1:$DZU$1000000,2358,FALSE)</f>
        <v>#N/A</v>
      </c>
      <c r="L139" s="93" t="e">
        <f>VLOOKUP(A1,DIV_06Data!$A$1:$DZU$1000000,2359,FALSE)</f>
        <v>#N/A</v>
      </c>
      <c r="M139" s="33" t="e">
        <f>VLOOKUP(A1,DIV_06Data!$A$1:$DZU$1000000,2360,FALSE)</f>
        <v>#N/A</v>
      </c>
      <c r="N139" s="34" t="e">
        <f>VLOOKUP(A1,DIV_06Data!$A$1:$DZU$1000000,2361,FALSE)</f>
        <v>#N/A</v>
      </c>
      <c r="O139" s="33" t="e">
        <f>VLOOKUP(A1,DIV_06Data!$A$1:$DZU$1000000,2362,FALSE)</f>
        <v>#N/A</v>
      </c>
      <c r="P139" s="46" t="e">
        <f>VLOOKUP(A1,DIV_06Data!$A$1:$DZU$1000000,2363,FALSE)</f>
        <v>#N/A</v>
      </c>
      <c r="Q139" s="33" t="e">
        <f>VLOOKUP(A1,DIV_06Data!$A$1:$DZU$1000000,2364,FALSE)</f>
        <v>#N/A</v>
      </c>
    </row>
    <row r="140" spans="1:17" x14ac:dyDescent="0.35">
      <c r="A140" s="22" t="e">
        <f>VLOOKUP(A1,DIV_06Data!$A$1:$DZU$1000000,2365,FALSE)</f>
        <v>#N/A</v>
      </c>
      <c r="B140" s="37" t="e">
        <f>VLOOKUP(A1,DIV_06Data!$A$1:$DZU$1000000,2366,FALSE)</f>
        <v>#N/A</v>
      </c>
      <c r="C140" s="38" t="e">
        <f>VLOOKUP(A1,DIV_06Data!$A$1:$DZU$1000000,2367,FALSE)</f>
        <v>#N/A</v>
      </c>
      <c r="D140" s="31" t="e">
        <f>VLOOKUP(A1,DIV_06Data!$A$1:$DZU$1000000,2368,FALSE)</f>
        <v>#N/A</v>
      </c>
      <c r="E140" s="32" t="e">
        <f>VLOOKUP(A1,DIV_06Data!$A$1:$DZU$1000000,2369,FALSE)</f>
        <v>#N/A</v>
      </c>
      <c r="F140" s="34" t="e">
        <f>VLOOKUP(A1,DIV_06Data!$A$1:$DZU$1000000,2370,FALSE)</f>
        <v>#N/A</v>
      </c>
      <c r="G140" s="33" t="e">
        <f>VLOOKUP(A1,DIV_06Data!$A$1:$DZU$1000000,2371,FALSE)</f>
        <v>#N/A</v>
      </c>
      <c r="H140" s="34" t="e">
        <f>VLOOKUP(A1,DIV_06Data!$A$1:$DZU$1000000,2372,FALSE)</f>
        <v>#N/A</v>
      </c>
      <c r="I140" s="33" t="e">
        <f>VLOOKUP(A1,DIV_06Data!$A$1:$DZU$1000000,2373,FALSE)</f>
        <v>#N/A</v>
      </c>
      <c r="J140" s="34" t="e">
        <f>VLOOKUP(A1,DIV_06Data!$A$1:$DZU$1000000,2374,FALSE)</f>
        <v>#N/A</v>
      </c>
      <c r="K140" s="34" t="e">
        <f>VLOOKUP(A1,DIV_06Data!$A$1:$DZU$1000000,2375,FALSE)</f>
        <v>#N/A</v>
      </c>
      <c r="L140" s="93" t="e">
        <f>VLOOKUP(A1,DIV_06Data!$A$1:$DZU$1000000,2376,FALSE)</f>
        <v>#N/A</v>
      </c>
      <c r="M140" s="33" t="e">
        <f>VLOOKUP(A1,DIV_06Data!$A$1:$DZU$1000000,2377,FALSE)</f>
        <v>#N/A</v>
      </c>
      <c r="N140" s="34" t="e">
        <f>VLOOKUP(A1,DIV_06Data!$A$1:$DZU$1000000,2378,FALSE)</f>
        <v>#N/A</v>
      </c>
      <c r="O140" s="33" t="e">
        <f>VLOOKUP(A1,DIV_06Data!$A$1:$DZU$1000000,2379,FALSE)</f>
        <v>#N/A</v>
      </c>
      <c r="P140" s="46" t="e">
        <f>VLOOKUP(A1,DIV_06Data!$A$1:$DZU$1000000,2380,FALSE)</f>
        <v>#N/A</v>
      </c>
      <c r="Q140" s="33" t="e">
        <f>VLOOKUP(A1,DIV_06Data!$A$1:$DZU$1000000,2381,FALSE)</f>
        <v>#N/A</v>
      </c>
    </row>
    <row r="141" spans="1:17" x14ac:dyDescent="0.35">
      <c r="A141" s="22" t="e">
        <f>VLOOKUP(A1,DIV_06Data!$A$1:$DZU$1000000,2382,FALSE)</f>
        <v>#N/A</v>
      </c>
      <c r="B141" s="37" t="e">
        <f>VLOOKUP(A1,DIV_06Data!$A$1:$DZU$1000000,2383,FALSE)</f>
        <v>#N/A</v>
      </c>
      <c r="C141" s="38" t="e">
        <f>VLOOKUP(A1,DIV_06Data!$A$1:$DZU$1000000,2384,FALSE)</f>
        <v>#N/A</v>
      </c>
      <c r="D141" s="31" t="e">
        <f>VLOOKUP(A1,DIV_06Data!$A$1:$DZU$1000000,2385,FALSE)</f>
        <v>#N/A</v>
      </c>
      <c r="E141" s="32" t="e">
        <f>VLOOKUP(A1,DIV_06Data!$A$1:$DZU$1000000,2386,FALSE)</f>
        <v>#N/A</v>
      </c>
      <c r="F141" s="34" t="e">
        <f>VLOOKUP(A1,DIV_06Data!$A$1:$DZU$1000000,2387,FALSE)</f>
        <v>#N/A</v>
      </c>
      <c r="G141" s="33" t="e">
        <f>VLOOKUP(A1,DIV_06Data!$A$1:$DZU$1000000,2388,FALSE)</f>
        <v>#N/A</v>
      </c>
      <c r="H141" s="34" t="e">
        <f>VLOOKUP(A1,DIV_06Data!$A$1:$DZU$1000000,2389,FALSE)</f>
        <v>#N/A</v>
      </c>
      <c r="I141" s="33" t="e">
        <f>VLOOKUP(A1,DIV_06Data!$A$1:$DZU$1000000,2390,FALSE)</f>
        <v>#N/A</v>
      </c>
      <c r="J141" s="34" t="e">
        <f>VLOOKUP(A1,DIV_06Data!$A$1:$DZU$1000000,2391,FALSE)</f>
        <v>#N/A</v>
      </c>
      <c r="K141" s="34" t="e">
        <f>VLOOKUP(A1,DIV_06Data!$A$1:$DZU$1000000,2392,FALSE)</f>
        <v>#N/A</v>
      </c>
      <c r="L141" s="93" t="e">
        <f>VLOOKUP(A1,DIV_06Data!$A$1:$DZU$1000000,2393,FALSE)</f>
        <v>#N/A</v>
      </c>
      <c r="M141" s="33" t="e">
        <f>VLOOKUP(A1,DIV_06Data!$A$1:$DZU$1000000,2394,FALSE)</f>
        <v>#N/A</v>
      </c>
      <c r="N141" s="34" t="e">
        <f>VLOOKUP(A1,DIV_06Data!$A$1:$DZU$1000000,2395,FALSE)</f>
        <v>#N/A</v>
      </c>
      <c r="O141" s="33" t="e">
        <f>VLOOKUP(A1,DIV_06Data!$A$1:$DZU$1000000,2396,FALSE)</f>
        <v>#N/A</v>
      </c>
      <c r="P141" s="46" t="e">
        <f>VLOOKUP(A1,DIV_06Data!$A$1:$DZU$1000000,2397,FALSE)</f>
        <v>#N/A</v>
      </c>
      <c r="Q141" s="33" t="e">
        <f>VLOOKUP(A1,DIV_06Data!$A$1:$DZU$1000000,2398,FALSE)</f>
        <v>#N/A</v>
      </c>
    </row>
    <row r="142" spans="1:17" x14ac:dyDescent="0.35">
      <c r="A142" s="22" t="e">
        <f>VLOOKUP(A1,DIV_06Data!$A$1:$DZU$1000000,2399,FALSE)</f>
        <v>#N/A</v>
      </c>
      <c r="B142" s="37" t="e">
        <f>VLOOKUP(A1,DIV_06Data!$A$1:$DZU$1000000,2400,FALSE)</f>
        <v>#N/A</v>
      </c>
      <c r="C142" s="38" t="e">
        <f>VLOOKUP(A1,DIV_06Data!$A$1:$DZU$1000000,2401,FALSE)</f>
        <v>#N/A</v>
      </c>
      <c r="D142" s="31" t="e">
        <f>VLOOKUP(A1,DIV_06Data!$A$1:$DZU$1000000,2402,FALSE)</f>
        <v>#N/A</v>
      </c>
      <c r="E142" s="32" t="e">
        <f>VLOOKUP(A1,DIV_06Data!$A$1:$DZU$1000000,2403,FALSE)</f>
        <v>#N/A</v>
      </c>
      <c r="F142" s="34" t="e">
        <f>VLOOKUP(A1,DIV_06Data!$A$1:$DZU$1000000,2404,FALSE)</f>
        <v>#N/A</v>
      </c>
      <c r="G142" s="33" t="e">
        <f>VLOOKUP(A1,DIV_06Data!$A$1:$DZU$1000000,2405,FALSE)</f>
        <v>#N/A</v>
      </c>
      <c r="H142" s="34" t="e">
        <f>VLOOKUP(A1,DIV_06Data!$A$1:$DZU$1000000,2406,FALSE)</f>
        <v>#N/A</v>
      </c>
      <c r="I142" s="33" t="e">
        <f>VLOOKUP(A1,DIV_06Data!$A$1:$DZU$1000000,2407,FALSE)</f>
        <v>#N/A</v>
      </c>
      <c r="J142" s="34" t="e">
        <f>VLOOKUP(A1,DIV_06Data!$A$1:$DZU$1000000,2408,FALSE)</f>
        <v>#N/A</v>
      </c>
      <c r="K142" s="34" t="e">
        <f>VLOOKUP(A1,DIV_06Data!$A$1:$DZU$1000000,2409,FALSE)</f>
        <v>#N/A</v>
      </c>
      <c r="L142" s="93" t="e">
        <f>VLOOKUP(A1,DIV_06Data!$A$1:$DZU$1000000,2410,FALSE)</f>
        <v>#N/A</v>
      </c>
      <c r="M142" s="33" t="e">
        <f>VLOOKUP(A1,DIV_06Data!$A$1:$DZU$1000000,2411,FALSE)</f>
        <v>#N/A</v>
      </c>
      <c r="N142" s="34" t="e">
        <f>VLOOKUP(A1,DIV_06Data!$A$1:$DZU$1000000,2412,FALSE)</f>
        <v>#N/A</v>
      </c>
      <c r="O142" s="33" t="e">
        <f>VLOOKUP(A1,DIV_06Data!$A$1:$DZU$1000000,2413,FALSE)</f>
        <v>#N/A</v>
      </c>
      <c r="P142" s="46" t="e">
        <f>VLOOKUP(A1,DIV_06Data!$A$1:$DZU$1000000,2414,FALSE)</f>
        <v>#N/A</v>
      </c>
      <c r="Q142" s="33" t="e">
        <f>VLOOKUP(A1,DIV_06Data!$A$1:$DZU$1000000,2415,FALSE)</f>
        <v>#N/A</v>
      </c>
    </row>
    <row r="143" spans="1:17" x14ac:dyDescent="0.35">
      <c r="A143" s="22" t="e">
        <f>VLOOKUP(A1,DIV_06Data!$A$1:$DZU$1000000,2416,FALSE)</f>
        <v>#N/A</v>
      </c>
      <c r="B143" s="37" t="e">
        <f>VLOOKUP(A1,DIV_06Data!$A$1:$DZU$1000000,2417,FALSE)</f>
        <v>#N/A</v>
      </c>
      <c r="C143" s="38" t="e">
        <f>VLOOKUP(A1,DIV_06Data!$A$1:$DZU$1000000,2418,FALSE)</f>
        <v>#N/A</v>
      </c>
      <c r="D143" s="31" t="e">
        <f>VLOOKUP(A1,DIV_06Data!$A$1:$DZU$1000000,2419,FALSE)</f>
        <v>#N/A</v>
      </c>
      <c r="E143" s="32" t="e">
        <f>VLOOKUP(A1,DIV_06Data!$A$1:$DZU$1000000,2420,FALSE)</f>
        <v>#N/A</v>
      </c>
      <c r="F143" s="34" t="e">
        <f>VLOOKUP(A1,DIV_06Data!$A$1:$DZU$1000000,2421,FALSE)</f>
        <v>#N/A</v>
      </c>
      <c r="G143" s="33" t="e">
        <f>VLOOKUP(A1,DIV_06Data!$A$1:$DZU$1000000,2422,FALSE)</f>
        <v>#N/A</v>
      </c>
      <c r="H143" s="34" t="e">
        <f>VLOOKUP(A1,DIV_06Data!$A$1:$DZU$1000000,2423,FALSE)</f>
        <v>#N/A</v>
      </c>
      <c r="I143" s="33" t="e">
        <f>VLOOKUP(A1,DIV_06Data!$A$1:$DZU$1000000,2424,FALSE)</f>
        <v>#N/A</v>
      </c>
      <c r="J143" s="34" t="e">
        <f>VLOOKUP(A1,DIV_06Data!$A$1:$DZU$1000000,2425,FALSE)</f>
        <v>#N/A</v>
      </c>
      <c r="K143" s="34" t="e">
        <f>VLOOKUP(A1,DIV_06Data!$A$1:$DZU$1000000,2426,FALSE)</f>
        <v>#N/A</v>
      </c>
      <c r="L143" s="93" t="e">
        <f>VLOOKUP(A1,DIV_06Data!$A$1:$DZU$1000000,2427,FALSE)</f>
        <v>#N/A</v>
      </c>
      <c r="M143" s="33" t="e">
        <f>VLOOKUP(A1,DIV_06Data!$A$1:$DZU$1000000,2428,FALSE)</f>
        <v>#N/A</v>
      </c>
      <c r="N143" s="34" t="e">
        <f>VLOOKUP(A1,DIV_06Data!$A$1:$DZU$1000000,2429,FALSE)</f>
        <v>#N/A</v>
      </c>
      <c r="O143" s="33" t="e">
        <f>VLOOKUP(A1,DIV_06Data!$A$1:$DZU$1000000,2430,FALSE)</f>
        <v>#N/A</v>
      </c>
      <c r="P143" s="46" t="e">
        <f>VLOOKUP(A1,DIV_06Data!$A$1:$DZU$1000000,2431,FALSE)</f>
        <v>#N/A</v>
      </c>
      <c r="Q143" s="33" t="e">
        <f>VLOOKUP(A1,DIV_06Data!$A$1:$DZU$1000000,2432,FALSE)</f>
        <v>#N/A</v>
      </c>
    </row>
    <row r="144" spans="1:17" x14ac:dyDescent="0.35">
      <c r="A144" s="22" t="e">
        <f>VLOOKUP(A1,DIV_06Data!$A$1:$DZU$1000000,2433,FALSE)</f>
        <v>#N/A</v>
      </c>
      <c r="B144" s="37" t="e">
        <f>VLOOKUP(A1,DIV_06Data!$A$1:$DZU$1000000,2434,FALSE)</f>
        <v>#N/A</v>
      </c>
      <c r="C144" s="38" t="e">
        <f>VLOOKUP(A1,DIV_06Data!$A$1:$DZU$1000000,2435,FALSE)</f>
        <v>#N/A</v>
      </c>
      <c r="D144" s="31" t="e">
        <f>VLOOKUP(A1,DIV_06Data!$A$1:$DZU$1000000,2436,FALSE)</f>
        <v>#N/A</v>
      </c>
      <c r="E144" s="32" t="e">
        <f>VLOOKUP(A1,DIV_06Data!$A$1:$DZU$1000000,2437,FALSE)</f>
        <v>#N/A</v>
      </c>
      <c r="F144" s="34" t="e">
        <f>VLOOKUP(A1,DIV_06Data!$A$1:$DZU$1000000,2438,FALSE)</f>
        <v>#N/A</v>
      </c>
      <c r="G144" s="33" t="e">
        <f>VLOOKUP(A1,DIV_06Data!$A$1:$DZU$1000000,2439,FALSE)</f>
        <v>#N/A</v>
      </c>
      <c r="H144" s="34" t="e">
        <f>VLOOKUP(A1,DIV_06Data!$A$1:$DZU$1000000,2440,FALSE)</f>
        <v>#N/A</v>
      </c>
      <c r="I144" s="33" t="e">
        <f>VLOOKUP(A1,DIV_06Data!$A$1:$DZU$1000000,2441,FALSE)</f>
        <v>#N/A</v>
      </c>
      <c r="J144" s="34" t="e">
        <f>VLOOKUP(A1,DIV_06Data!$A$1:$DZU$1000000,2442,FALSE)</f>
        <v>#N/A</v>
      </c>
      <c r="K144" s="34" t="e">
        <f>VLOOKUP(A1,DIV_06Data!$A$1:$DZU$1000000,2443,FALSE)</f>
        <v>#N/A</v>
      </c>
      <c r="L144" s="93" t="e">
        <f>VLOOKUP(A1,DIV_06Data!$A$1:$DZU$1000000,2444,FALSE)</f>
        <v>#N/A</v>
      </c>
      <c r="M144" s="33" t="e">
        <f>VLOOKUP(A1,DIV_06Data!$A$1:$DZU$1000000,2445,FALSE)</f>
        <v>#N/A</v>
      </c>
      <c r="N144" s="34" t="e">
        <f>VLOOKUP(A1,DIV_06Data!$A$1:$DZU$1000000,2446,FALSE)</f>
        <v>#N/A</v>
      </c>
      <c r="O144" s="33" t="e">
        <f>VLOOKUP(A1,DIV_06Data!$A$1:$DZU$1000000,2447,FALSE)</f>
        <v>#N/A</v>
      </c>
      <c r="P144" s="46" t="e">
        <f>VLOOKUP(A1,DIV_06Data!$A$1:$DZU$1000000,2448,FALSE)</f>
        <v>#N/A</v>
      </c>
      <c r="Q144" s="33" t="e">
        <f>VLOOKUP(A1,DIV_06Data!$A$1:$DZU$1000000,2449,FALSE)</f>
        <v>#N/A</v>
      </c>
    </row>
    <row r="145" spans="1:17" x14ac:dyDescent="0.35">
      <c r="A145" s="22" t="e">
        <f>VLOOKUP(A1,DIV_06Data!$A$1:$DZU$1000000,2450,FALSE)</f>
        <v>#N/A</v>
      </c>
      <c r="B145" s="37" t="e">
        <f>VLOOKUP(A1,DIV_06Data!$A$1:$DZU$1000000,2451,FALSE)</f>
        <v>#N/A</v>
      </c>
      <c r="C145" s="38" t="e">
        <f>VLOOKUP(A1,DIV_06Data!$A$1:$DZU$1000000,2452,FALSE)</f>
        <v>#N/A</v>
      </c>
      <c r="D145" s="31" t="e">
        <f>VLOOKUP(A1,DIV_06Data!$A$1:$DZU$1000000,2453,FALSE)</f>
        <v>#N/A</v>
      </c>
      <c r="E145" s="32" t="e">
        <f>VLOOKUP(A1,DIV_06Data!$A$1:$DZU$1000000,2454,FALSE)</f>
        <v>#N/A</v>
      </c>
      <c r="F145" s="34" t="e">
        <f>VLOOKUP(A1,DIV_06Data!$A$1:$DZU$1000000,2455,FALSE)</f>
        <v>#N/A</v>
      </c>
      <c r="G145" s="33" t="e">
        <f>VLOOKUP(A1,DIV_06Data!$A$1:$DZU$1000000,2456,FALSE)</f>
        <v>#N/A</v>
      </c>
      <c r="H145" s="34" t="e">
        <f>VLOOKUP(A1,DIV_06Data!$A$1:$DZU$1000000,2457,FALSE)</f>
        <v>#N/A</v>
      </c>
      <c r="I145" s="33" t="e">
        <f>VLOOKUP(A1,DIV_06Data!$A$1:$DZU$1000000,2458,FALSE)</f>
        <v>#N/A</v>
      </c>
      <c r="J145" s="34" t="e">
        <f>VLOOKUP(A1,DIV_06Data!$A$1:$DZU$1000000,2459,FALSE)</f>
        <v>#N/A</v>
      </c>
      <c r="K145" s="34" t="e">
        <f>VLOOKUP(A1,DIV_06Data!$A$1:$DZU$1000000,2460,FALSE)</f>
        <v>#N/A</v>
      </c>
      <c r="L145" s="93" t="e">
        <f>VLOOKUP(A1,DIV_06Data!$A$1:$DZU$1000000,2461,FALSE)</f>
        <v>#N/A</v>
      </c>
      <c r="M145" s="33" t="e">
        <f>VLOOKUP(A1,DIV_06Data!$A$1:$DZU$1000000,2462,FALSE)</f>
        <v>#N/A</v>
      </c>
      <c r="N145" s="34" t="e">
        <f>VLOOKUP(A1,DIV_06Data!$A$1:$DZU$1000000,2463,FALSE)</f>
        <v>#N/A</v>
      </c>
      <c r="O145" s="33" t="e">
        <f>VLOOKUP(A1,DIV_06Data!$A$1:$DZU$1000000,2464,FALSE)</f>
        <v>#N/A</v>
      </c>
      <c r="P145" s="46" t="e">
        <f>VLOOKUP(A1,DIV_06Data!$A$1:$DZU$1000000,2465,FALSE)</f>
        <v>#N/A</v>
      </c>
      <c r="Q145" s="33" t="e">
        <f>VLOOKUP(A1,DIV_06Data!$A$1:$DZU$1000000,2466,FALSE)</f>
        <v>#N/A</v>
      </c>
    </row>
    <row r="146" spans="1:17" x14ac:dyDescent="0.35">
      <c r="A146" s="22" t="e">
        <f>VLOOKUP(A1,DIV_06Data!$A$1:$DZU$1000000,2467,FALSE)</f>
        <v>#N/A</v>
      </c>
      <c r="B146" s="37" t="e">
        <f>VLOOKUP(A1,DIV_06Data!$A$1:$DZU$1000000,2468,FALSE)</f>
        <v>#N/A</v>
      </c>
      <c r="C146" s="38" t="e">
        <f>VLOOKUP(A1,DIV_06Data!$A$1:$DZU$1000000,2469,FALSE)</f>
        <v>#N/A</v>
      </c>
      <c r="D146" s="31" t="e">
        <f>VLOOKUP(A1,DIV_06Data!$A$1:$DZU$1000000,2470,FALSE)</f>
        <v>#N/A</v>
      </c>
      <c r="E146" s="32" t="e">
        <f>VLOOKUP(A1,DIV_06Data!$A$1:$DZU$1000000,2471,FALSE)</f>
        <v>#N/A</v>
      </c>
      <c r="F146" s="34" t="e">
        <f>VLOOKUP(A1,DIV_06Data!$A$1:$DZU$1000000,2472,FALSE)</f>
        <v>#N/A</v>
      </c>
      <c r="G146" s="33" t="e">
        <f>VLOOKUP(A1,DIV_06Data!$A$1:$DZU$1000000,2473,FALSE)</f>
        <v>#N/A</v>
      </c>
      <c r="H146" s="34" t="e">
        <f>VLOOKUP(A1,DIV_06Data!$A$1:$DZU$1000000,2474,FALSE)</f>
        <v>#N/A</v>
      </c>
      <c r="I146" s="33" t="e">
        <f>VLOOKUP(A1,DIV_06Data!$A$1:$DZU$1000000,2475,FALSE)</f>
        <v>#N/A</v>
      </c>
      <c r="J146" s="34" t="e">
        <f>VLOOKUP(A1,DIV_06Data!$A$1:$DZU$1000000,2476,FALSE)</f>
        <v>#N/A</v>
      </c>
      <c r="K146" s="34" t="e">
        <f>VLOOKUP(A1,DIV_06Data!$A$1:$DZU$1000000,2477,FALSE)</f>
        <v>#N/A</v>
      </c>
      <c r="L146" s="93" t="e">
        <f>VLOOKUP(A1,DIV_06Data!$A$1:$DZU$1000000,2478,FALSE)</f>
        <v>#N/A</v>
      </c>
      <c r="M146" s="33" t="e">
        <f>VLOOKUP(A1,DIV_06Data!$A$1:$DZU$1000000,2479,FALSE)</f>
        <v>#N/A</v>
      </c>
      <c r="N146" s="34" t="e">
        <f>VLOOKUP(A1,DIV_06Data!$A$1:$DZU$1000000,2480,FALSE)</f>
        <v>#N/A</v>
      </c>
      <c r="O146" s="33" t="e">
        <f>VLOOKUP(A1,DIV_06Data!$A$1:$DZU$1000000,2481,FALSE)</f>
        <v>#N/A</v>
      </c>
      <c r="P146" s="46" t="e">
        <f>VLOOKUP(A1,DIV_06Data!$A$1:$DZU$1000000,2482,FALSE)</f>
        <v>#N/A</v>
      </c>
      <c r="Q146" s="33" t="e">
        <f>VLOOKUP(A1,DIV_06Data!$A$1:$DZU$1000000,2483,FALSE)</f>
        <v>#N/A</v>
      </c>
    </row>
    <row r="147" spans="1:17" x14ac:dyDescent="0.35">
      <c r="A147" s="22" t="e">
        <f>VLOOKUP(A1,DIV_06Data!$A$1:$DZU$1000000,2484,FALSE)</f>
        <v>#N/A</v>
      </c>
      <c r="B147" s="37" t="e">
        <f>VLOOKUP(A1,DIV_06Data!$A$1:$DZU$1000000,2485,FALSE)</f>
        <v>#N/A</v>
      </c>
      <c r="C147" s="38" t="e">
        <f>VLOOKUP(A1,DIV_06Data!$A$1:$DZU$1000000,2486,FALSE)</f>
        <v>#N/A</v>
      </c>
      <c r="D147" s="31" t="e">
        <f>VLOOKUP(A1,DIV_06Data!$A$1:$DZU$1000000,2487,FALSE)</f>
        <v>#N/A</v>
      </c>
      <c r="E147" s="32" t="e">
        <f>VLOOKUP(A1,DIV_06Data!$A$1:$DZU$1000000,2488,FALSE)</f>
        <v>#N/A</v>
      </c>
      <c r="F147" s="34" t="e">
        <f>VLOOKUP(A1,DIV_06Data!$A$1:$DZU$1000000,2489,FALSE)</f>
        <v>#N/A</v>
      </c>
      <c r="G147" s="33" t="e">
        <f>VLOOKUP(A1,DIV_06Data!$A$1:$DZU$1000000,2490,FALSE)</f>
        <v>#N/A</v>
      </c>
      <c r="H147" s="34" t="e">
        <f>VLOOKUP(A1,DIV_06Data!$A$1:$DZU$1000000,2491,FALSE)</f>
        <v>#N/A</v>
      </c>
      <c r="I147" s="33" t="e">
        <f>VLOOKUP(A1,DIV_06Data!$A$1:$DZU$1000000,2492,FALSE)</f>
        <v>#N/A</v>
      </c>
      <c r="J147" s="34" t="e">
        <f>VLOOKUP(A1,DIV_06Data!$A$1:$DZU$1000000,2493,FALSE)</f>
        <v>#N/A</v>
      </c>
      <c r="K147" s="34" t="e">
        <f>VLOOKUP(A1,DIV_06Data!$A$1:$DZU$1000000,2494,FALSE)</f>
        <v>#N/A</v>
      </c>
      <c r="L147" s="93" t="e">
        <f>VLOOKUP(A1,DIV_06Data!$A$1:$DZU$1000000,2495,FALSE)</f>
        <v>#N/A</v>
      </c>
      <c r="M147" s="33" t="e">
        <f>VLOOKUP(A1,DIV_06Data!$A$1:$DZU$1000000,2496,FALSE)</f>
        <v>#N/A</v>
      </c>
      <c r="N147" s="34" t="e">
        <f>VLOOKUP(A1,DIV_06Data!$A$1:$DZU$1000000,2497,FALSE)</f>
        <v>#N/A</v>
      </c>
      <c r="O147" s="33" t="e">
        <f>VLOOKUP(A1,DIV_06Data!$A$1:$DZU$1000000,2498,FALSE)</f>
        <v>#N/A</v>
      </c>
      <c r="P147" s="46" t="e">
        <f>VLOOKUP(A1,DIV_06Data!$A$1:$DZU$1000000,2499,FALSE)</f>
        <v>#N/A</v>
      </c>
      <c r="Q147" s="33" t="e">
        <f>VLOOKUP(A1,DIV_06Data!$A$1:$DZU$1000000,2500,FALSE)</f>
        <v>#N/A</v>
      </c>
    </row>
    <row r="148" spans="1:17" x14ac:dyDescent="0.35">
      <c r="A148" s="22" t="e">
        <f>VLOOKUP(A1,DIV_06Data!$A$1:$DZU$1000000,2501,FALSE)</f>
        <v>#N/A</v>
      </c>
      <c r="B148" s="37" t="e">
        <f>VLOOKUP(A1,DIV_06Data!$A$1:$DZU$1000000,2502,FALSE)</f>
        <v>#N/A</v>
      </c>
      <c r="C148" s="38" t="e">
        <f>VLOOKUP(A1,DIV_06Data!$A$1:$DZU$1000000,2503,FALSE)</f>
        <v>#N/A</v>
      </c>
      <c r="D148" s="31" t="e">
        <f>VLOOKUP(A1,DIV_06Data!$A$1:$DZU$1000000,2504,FALSE)</f>
        <v>#N/A</v>
      </c>
      <c r="E148" s="32" t="e">
        <f>VLOOKUP(A1,DIV_06Data!$A$1:$DZU$1000000,2505,FALSE)</f>
        <v>#N/A</v>
      </c>
      <c r="F148" s="34" t="e">
        <f>VLOOKUP(A1,DIV_06Data!$A$1:$DZU$1000000,2506,FALSE)</f>
        <v>#N/A</v>
      </c>
      <c r="G148" s="33" t="e">
        <f>VLOOKUP(A1,DIV_06Data!$A$1:$DZU$1000000,2507,FALSE)</f>
        <v>#N/A</v>
      </c>
      <c r="H148" s="34" t="e">
        <f>VLOOKUP(A1,DIV_06Data!$A$1:$DZU$1000000,2508,FALSE)</f>
        <v>#N/A</v>
      </c>
      <c r="I148" s="33" t="e">
        <f>VLOOKUP(A1,DIV_06Data!$A$1:$DZU$1000000,2509,FALSE)</f>
        <v>#N/A</v>
      </c>
      <c r="J148" s="34" t="e">
        <f>VLOOKUP(A1,DIV_06Data!$A$1:$DZU$1000000,2510,FALSE)</f>
        <v>#N/A</v>
      </c>
      <c r="K148" s="34" t="e">
        <f>VLOOKUP(A1,DIV_06Data!$A$1:$DZU$1000000,2511,FALSE)</f>
        <v>#N/A</v>
      </c>
      <c r="L148" s="93" t="e">
        <f>VLOOKUP(A1,DIV_06Data!$A$1:$DZU$1000000,2512,FALSE)</f>
        <v>#N/A</v>
      </c>
      <c r="M148" s="33" t="e">
        <f>VLOOKUP(A1,DIV_06Data!$A$1:$DZU$1000000,2513,FALSE)</f>
        <v>#N/A</v>
      </c>
      <c r="N148" s="34" t="e">
        <f>VLOOKUP(A1,DIV_06Data!$A$1:$DZU$1000000,2514,FALSE)</f>
        <v>#N/A</v>
      </c>
      <c r="O148" s="33" t="e">
        <f>VLOOKUP(A1,DIV_06Data!$A$1:$DZU$1000000,2515,FALSE)</f>
        <v>#N/A</v>
      </c>
      <c r="P148" s="46" t="e">
        <f>VLOOKUP(A1,DIV_06Data!$A$1:$DZU$1000000,2516,FALSE)</f>
        <v>#N/A</v>
      </c>
      <c r="Q148" s="33" t="e">
        <f>VLOOKUP(A1,DIV_06Data!$A$1:$DZU$1000000,2517,FALSE)</f>
        <v>#N/A</v>
      </c>
    </row>
    <row r="149" spans="1:17" x14ac:dyDescent="0.35">
      <c r="A149" s="22" t="e">
        <f>VLOOKUP(A1,DIV_06Data!$A$1:$DZU$1000000,2518,FALSE)</f>
        <v>#N/A</v>
      </c>
      <c r="B149" s="37" t="e">
        <f>VLOOKUP(A1,DIV_06Data!$A$1:$DZU$1000000,2519,FALSE)</f>
        <v>#N/A</v>
      </c>
      <c r="C149" s="38" t="e">
        <f>VLOOKUP(A1,DIV_06Data!$A$1:$DZU$1000000,2520,FALSE)</f>
        <v>#N/A</v>
      </c>
      <c r="D149" s="31" t="e">
        <f>VLOOKUP(A1,DIV_06Data!$A$1:$DZU$1000000,2521,FALSE)</f>
        <v>#N/A</v>
      </c>
      <c r="E149" s="32" t="e">
        <f>VLOOKUP(A1,DIV_06Data!$A$1:$DZU$1000000,2522,FALSE)</f>
        <v>#N/A</v>
      </c>
      <c r="F149" s="34" t="e">
        <f>VLOOKUP(A1,DIV_06Data!$A$1:$DZU$1000000,2523,FALSE)</f>
        <v>#N/A</v>
      </c>
      <c r="G149" s="33" t="e">
        <f>VLOOKUP(A1,DIV_06Data!$A$1:$DZU$1000000,2524,FALSE)</f>
        <v>#N/A</v>
      </c>
      <c r="H149" s="34" t="e">
        <f>VLOOKUP(A1,DIV_06Data!$A$1:$DZU$1000000,2525,FALSE)</f>
        <v>#N/A</v>
      </c>
      <c r="I149" s="33" t="e">
        <f>VLOOKUP(A1,DIV_06Data!$A$1:$DZU$1000000,2526,FALSE)</f>
        <v>#N/A</v>
      </c>
      <c r="J149" s="34" t="e">
        <f>VLOOKUP(A1,DIV_06Data!$A$1:$DZU$1000000,2527,FALSE)</f>
        <v>#N/A</v>
      </c>
      <c r="K149" s="34" t="e">
        <f>VLOOKUP(A1,DIV_06Data!$A$1:$DZU$1000000,2528,FALSE)</f>
        <v>#N/A</v>
      </c>
      <c r="L149" s="93" t="e">
        <f>VLOOKUP(A1,DIV_06Data!$A$1:$DZU$1000000,2529,FALSE)</f>
        <v>#N/A</v>
      </c>
      <c r="M149" s="33" t="e">
        <f>VLOOKUP(A1,DIV_06Data!$A$1:$DZU$1000000,2530,FALSE)</f>
        <v>#N/A</v>
      </c>
      <c r="N149" s="34" t="e">
        <f>VLOOKUP(A1,DIV_06Data!$A$1:$DZU$1000000,2531,FALSE)</f>
        <v>#N/A</v>
      </c>
      <c r="O149" s="33" t="e">
        <f>VLOOKUP(A1,DIV_06Data!$A$1:$DZU$1000000,2532,FALSE)</f>
        <v>#N/A</v>
      </c>
      <c r="P149" s="46" t="e">
        <f>VLOOKUP(A1,DIV_06Data!$A$1:$DZU$1000000,2533,FALSE)</f>
        <v>#N/A</v>
      </c>
      <c r="Q149" s="33" t="e">
        <f>VLOOKUP(A1,DIV_06Data!$A$1:$DZU$1000000,2534,FALSE)</f>
        <v>#N/A</v>
      </c>
    </row>
    <row r="150" spans="1:17" x14ac:dyDescent="0.35">
      <c r="A150" s="22" t="e">
        <f>VLOOKUP(A1,DIV_06Data!$A$1:$DZU$1000000,2535,FALSE)</f>
        <v>#N/A</v>
      </c>
      <c r="B150" s="37" t="e">
        <f>VLOOKUP(A1,DIV_06Data!$A$1:$DZU$1000000,2536,FALSE)</f>
        <v>#N/A</v>
      </c>
      <c r="C150" s="38" t="e">
        <f>VLOOKUP(A1,DIV_06Data!$A$1:$DZU$1000000,2537,FALSE)</f>
        <v>#N/A</v>
      </c>
      <c r="D150" s="31" t="e">
        <f>VLOOKUP(A1,DIV_06Data!$A$1:$DZU$1000000,2538,FALSE)</f>
        <v>#N/A</v>
      </c>
      <c r="E150" s="32" t="e">
        <f>VLOOKUP(A1,DIV_06Data!$A$1:$DZU$1000000,2539,FALSE)</f>
        <v>#N/A</v>
      </c>
      <c r="F150" s="34" t="e">
        <f>VLOOKUP(A1,DIV_06Data!$A$1:$DZU$1000000,2540,FALSE)</f>
        <v>#N/A</v>
      </c>
      <c r="G150" s="33" t="e">
        <f>VLOOKUP(A1,DIV_06Data!$A$1:$DZU$1000000,2541,FALSE)</f>
        <v>#N/A</v>
      </c>
      <c r="H150" s="34" t="e">
        <f>VLOOKUP(A1,DIV_06Data!$A$1:$DZU$1000000,2542,FALSE)</f>
        <v>#N/A</v>
      </c>
      <c r="I150" s="33" t="e">
        <f>VLOOKUP(A1,DIV_06Data!$A$1:$DZU$1000000,2543,FALSE)</f>
        <v>#N/A</v>
      </c>
      <c r="J150" s="34" t="e">
        <f>VLOOKUP(A1,DIV_06Data!$A$1:$DZU$1000000,2544,FALSE)</f>
        <v>#N/A</v>
      </c>
      <c r="K150" s="34" t="e">
        <f>VLOOKUP(A1,DIV_06Data!$A$1:$DZU$1000000,2545,FALSE)</f>
        <v>#N/A</v>
      </c>
      <c r="L150" s="93" t="e">
        <f>VLOOKUP(A1,DIV_06Data!$A$1:$DZU$1000000,2546,FALSE)</f>
        <v>#N/A</v>
      </c>
      <c r="M150" s="33" t="e">
        <f>VLOOKUP(A1,DIV_06Data!$A$1:$DZU$1000000,2547,FALSE)</f>
        <v>#N/A</v>
      </c>
      <c r="N150" s="34" t="e">
        <f>VLOOKUP(A1,DIV_06Data!$A$1:$DZU$1000000,2548,FALSE)</f>
        <v>#N/A</v>
      </c>
      <c r="O150" s="33" t="e">
        <f>VLOOKUP(A1,DIV_06Data!$A$1:$DZU$1000000,2549,FALSE)</f>
        <v>#N/A</v>
      </c>
      <c r="P150" s="46" t="e">
        <f>VLOOKUP(A1,DIV_06Data!$A$1:$DZU$1000000,2550,FALSE)</f>
        <v>#N/A</v>
      </c>
      <c r="Q150" s="33" t="e">
        <f>VLOOKUP(A1,DIV_06Data!$A$1:$DZU$1000000,2551,FALSE)</f>
        <v>#N/A</v>
      </c>
    </row>
    <row r="151" spans="1:17" x14ac:dyDescent="0.35">
      <c r="A151" s="22" t="e">
        <f>VLOOKUP(A1,DIV_06Data!$A$1:$DZU$1000000,2552,FALSE)</f>
        <v>#N/A</v>
      </c>
      <c r="B151" s="37" t="e">
        <f>VLOOKUP(A1,DIV_06Data!$A$1:$DZU$1000000,2553,FALSE)</f>
        <v>#N/A</v>
      </c>
      <c r="C151" s="38" t="e">
        <f>VLOOKUP(A1,DIV_06Data!$A$1:$DZU$1000000,2554,FALSE)</f>
        <v>#N/A</v>
      </c>
      <c r="D151" s="31" t="e">
        <f>VLOOKUP(A1,DIV_06Data!$A$1:$DZU$1000000,2555,FALSE)</f>
        <v>#N/A</v>
      </c>
      <c r="E151" s="32" t="e">
        <f>VLOOKUP(A1,DIV_06Data!$A$1:$DZU$1000000,2556,FALSE)</f>
        <v>#N/A</v>
      </c>
      <c r="F151" s="34" t="e">
        <f>VLOOKUP(A1,DIV_06Data!$A$1:$DZU$1000000,2557,FALSE)</f>
        <v>#N/A</v>
      </c>
      <c r="G151" s="33" t="e">
        <f>VLOOKUP(A1,DIV_06Data!$A$1:$DZU$1000000,2558,FALSE)</f>
        <v>#N/A</v>
      </c>
      <c r="H151" s="34" t="e">
        <f>VLOOKUP(A1,DIV_06Data!$A$1:$DZU$1000000,2559,FALSE)</f>
        <v>#N/A</v>
      </c>
      <c r="I151" s="33" t="e">
        <f>VLOOKUP(A1,DIV_06Data!$A$1:$DZU$1000000,2560,FALSE)</f>
        <v>#N/A</v>
      </c>
      <c r="J151" s="34" t="e">
        <f>VLOOKUP(A1,DIV_06Data!$A$1:$DZU$1000000,2561,FALSE)</f>
        <v>#N/A</v>
      </c>
      <c r="K151" s="34" t="e">
        <f>VLOOKUP(A1,DIV_06Data!$A$1:$DZU$1000000,2562,FALSE)</f>
        <v>#N/A</v>
      </c>
      <c r="L151" s="93" t="e">
        <f>VLOOKUP(A1,DIV_06Data!$A$1:$DZU$1000000,2563,FALSE)</f>
        <v>#N/A</v>
      </c>
      <c r="M151" s="33" t="e">
        <f>VLOOKUP(A1,DIV_06Data!$A$1:$DZU$1000000,2564,FALSE)</f>
        <v>#N/A</v>
      </c>
      <c r="N151" s="34" t="e">
        <f>VLOOKUP(A1,DIV_06Data!$A$1:$DZU$1000000,2565,FALSE)</f>
        <v>#N/A</v>
      </c>
      <c r="O151" s="33" t="e">
        <f>VLOOKUP(A1,DIV_06Data!$A$1:$DZU$1000000,2566,FALSE)</f>
        <v>#N/A</v>
      </c>
      <c r="P151" s="46" t="e">
        <f>VLOOKUP(A1,DIV_06Data!$A$1:$DZU$1000000,2567,FALSE)</f>
        <v>#N/A</v>
      </c>
      <c r="Q151" s="33" t="e">
        <f>VLOOKUP(A1,DIV_06Data!$A$1:$DZU$1000000,2568,FALSE)</f>
        <v>#N/A</v>
      </c>
    </row>
    <row r="152" spans="1:17" x14ac:dyDescent="0.35">
      <c r="A152" s="22" t="e">
        <f>VLOOKUP(A1,DIV_06Data!$A$1:$DZU$1000000,2569,FALSE)</f>
        <v>#N/A</v>
      </c>
      <c r="B152" s="37" t="e">
        <f>VLOOKUP(A1,DIV_06Data!$A$1:$DZU$1000000,2570,FALSE)</f>
        <v>#N/A</v>
      </c>
      <c r="C152" s="38" t="e">
        <f>VLOOKUP(A1,DIV_06Data!$A$1:$DZU$1000000,2571,FALSE)</f>
        <v>#N/A</v>
      </c>
      <c r="D152" s="31" t="e">
        <f>VLOOKUP(A1,DIV_06Data!$A$1:$DZU$1000000,2572,FALSE)</f>
        <v>#N/A</v>
      </c>
      <c r="E152" s="32" t="e">
        <f>VLOOKUP(A1,DIV_06Data!$A$1:$DZU$1000000,2573,FALSE)</f>
        <v>#N/A</v>
      </c>
      <c r="F152" s="34" t="e">
        <f>VLOOKUP(A1,DIV_06Data!$A$1:$DZU$1000000,2574,FALSE)</f>
        <v>#N/A</v>
      </c>
      <c r="G152" s="33" t="e">
        <f>VLOOKUP(A1,DIV_06Data!$A$1:$DZU$1000000,2575,FALSE)</f>
        <v>#N/A</v>
      </c>
      <c r="H152" s="34" t="e">
        <f>VLOOKUP(A1,DIV_06Data!$A$1:$DZU$1000000,2576,FALSE)</f>
        <v>#N/A</v>
      </c>
      <c r="I152" s="33" t="e">
        <f>VLOOKUP(A1,DIV_06Data!$A$1:$DZU$1000000,2577,FALSE)</f>
        <v>#N/A</v>
      </c>
      <c r="J152" s="34" t="e">
        <f>VLOOKUP(A1,DIV_06Data!$A$1:$DZU$1000000,2578,FALSE)</f>
        <v>#N/A</v>
      </c>
      <c r="K152" s="34" t="e">
        <f>VLOOKUP(A1,DIV_06Data!$A$1:$DZU$1000000,2579,FALSE)</f>
        <v>#N/A</v>
      </c>
      <c r="L152" s="93" t="e">
        <f>VLOOKUP(A1,DIV_06Data!$A$1:$DZU$1000000,2580,FALSE)</f>
        <v>#N/A</v>
      </c>
      <c r="M152" s="33" t="e">
        <f>VLOOKUP(A1,DIV_06Data!$A$1:$DZU$1000000,2581,FALSE)</f>
        <v>#N/A</v>
      </c>
      <c r="N152" s="34" t="e">
        <f>VLOOKUP(A1,DIV_06Data!$A$1:$DZU$1000000,2582,FALSE)</f>
        <v>#N/A</v>
      </c>
      <c r="O152" s="33" t="e">
        <f>VLOOKUP(A1,DIV_06Data!$A$1:$DZU$1000000,2583,FALSE)</f>
        <v>#N/A</v>
      </c>
      <c r="P152" s="46" t="e">
        <f>VLOOKUP(A1,DIV_06Data!$A$1:$DZU$1000000,2584,FALSE)</f>
        <v>#N/A</v>
      </c>
      <c r="Q152" s="33" t="e">
        <f>VLOOKUP(A1,DIV_06Data!$A$1:$DZU$1000000,2585,FALSE)</f>
        <v>#N/A</v>
      </c>
    </row>
    <row r="153" spans="1:17" x14ac:dyDescent="0.35">
      <c r="A153" s="22" t="e">
        <f>VLOOKUP(A1,DIV_06Data!$A$1:$DZU$1000000,2586,FALSE)</f>
        <v>#N/A</v>
      </c>
      <c r="B153" s="37" t="e">
        <f>VLOOKUP(A1,DIV_06Data!$A$1:$DZU$1000000,2587,FALSE)</f>
        <v>#N/A</v>
      </c>
      <c r="C153" s="38" t="e">
        <f>VLOOKUP(A1,DIV_06Data!$A$1:$DZU$1000000,2588,FALSE)</f>
        <v>#N/A</v>
      </c>
      <c r="D153" s="31" t="e">
        <f>VLOOKUP(A1,DIV_06Data!$A$1:$DZU$1000000,2589,FALSE)</f>
        <v>#N/A</v>
      </c>
      <c r="E153" s="32" t="e">
        <f>VLOOKUP(A1,DIV_06Data!$A$1:$DZU$1000000,2590,FALSE)</f>
        <v>#N/A</v>
      </c>
      <c r="F153" s="34" t="e">
        <f>VLOOKUP(A1,DIV_06Data!$A$1:$DZU$1000000,2591,FALSE)</f>
        <v>#N/A</v>
      </c>
      <c r="G153" s="33" t="e">
        <f>VLOOKUP(A1,DIV_06Data!$A$1:$DZU$1000000,2592,FALSE)</f>
        <v>#N/A</v>
      </c>
      <c r="H153" s="34" t="e">
        <f>VLOOKUP(A1,DIV_06Data!$A$1:$DZU$1000000,2593,FALSE)</f>
        <v>#N/A</v>
      </c>
      <c r="I153" s="33" t="e">
        <f>VLOOKUP(A1,DIV_06Data!$A$1:$DZU$1000000,2594,FALSE)</f>
        <v>#N/A</v>
      </c>
      <c r="J153" s="34" t="e">
        <f>VLOOKUP(A1,DIV_06Data!$A$1:$DZU$1000000,2595,FALSE)</f>
        <v>#N/A</v>
      </c>
      <c r="K153" s="34" t="e">
        <f>VLOOKUP(A1,DIV_06Data!$A$1:$DZU$1000000,2596,FALSE)</f>
        <v>#N/A</v>
      </c>
      <c r="L153" s="93" t="e">
        <f>VLOOKUP(A1,DIV_06Data!$A$1:$DZU$1000000,2597,FALSE)</f>
        <v>#N/A</v>
      </c>
      <c r="M153" s="33" t="e">
        <f>VLOOKUP(A1,DIV_06Data!$A$1:$DZU$1000000,2598,FALSE)</f>
        <v>#N/A</v>
      </c>
      <c r="N153" s="34" t="e">
        <f>VLOOKUP(A1,DIV_06Data!$A$1:$DZU$1000000,2599,FALSE)</f>
        <v>#N/A</v>
      </c>
      <c r="O153" s="33" t="e">
        <f>VLOOKUP(A1,DIV_06Data!$A$1:$DZU$1000000,2600,FALSE)</f>
        <v>#N/A</v>
      </c>
      <c r="P153" s="46" t="e">
        <f>VLOOKUP(A1,DIV_06Data!$A$1:$DZU$1000000,2601,FALSE)</f>
        <v>#N/A</v>
      </c>
      <c r="Q153" s="33" t="e">
        <f>VLOOKUP(A1,DIV_06Data!$A$1:$DZU$1000000,2602,FALSE)</f>
        <v>#N/A</v>
      </c>
    </row>
    <row r="154" spans="1:17" x14ac:dyDescent="0.35">
      <c r="A154" s="22" t="e">
        <f>VLOOKUP(A1,DIV_06Data!$A$1:$DZU$1000000,2603,FALSE)</f>
        <v>#N/A</v>
      </c>
      <c r="B154" s="37" t="e">
        <f>VLOOKUP(A1,DIV_06Data!$A$1:$DZU$1000000,2604,FALSE)</f>
        <v>#N/A</v>
      </c>
      <c r="C154" s="38" t="e">
        <f>VLOOKUP(A1,DIV_06Data!$A$1:$DZU$1000000,2605,FALSE)</f>
        <v>#N/A</v>
      </c>
      <c r="D154" s="31" t="e">
        <f>VLOOKUP(A1,DIV_06Data!$A$1:$DZU$1000000,2606,FALSE)</f>
        <v>#N/A</v>
      </c>
      <c r="E154" s="32" t="e">
        <f>VLOOKUP(A1,DIV_06Data!$A$1:$DZU$1000000,2607,FALSE)</f>
        <v>#N/A</v>
      </c>
      <c r="F154" s="34" t="e">
        <f>VLOOKUP(A1,DIV_06Data!$A$1:$DZU$1000000,2608,FALSE)</f>
        <v>#N/A</v>
      </c>
      <c r="G154" s="33" t="e">
        <f>VLOOKUP(A1,DIV_06Data!$A$1:$DZU$1000000,2609,FALSE)</f>
        <v>#N/A</v>
      </c>
      <c r="H154" s="34" t="e">
        <f>VLOOKUP(A1,DIV_06Data!$A$1:$DZU$1000000,2610,FALSE)</f>
        <v>#N/A</v>
      </c>
      <c r="I154" s="33" t="e">
        <f>VLOOKUP(A1,DIV_06Data!$A$1:$DZU$1000000,2611,FALSE)</f>
        <v>#N/A</v>
      </c>
      <c r="J154" s="34" t="e">
        <f>VLOOKUP(A1,DIV_06Data!$A$1:$DZU$1000000,2612,FALSE)</f>
        <v>#N/A</v>
      </c>
      <c r="K154" s="34" t="e">
        <f>VLOOKUP(A1,DIV_06Data!$A$1:$DZU$1000000,2613,FALSE)</f>
        <v>#N/A</v>
      </c>
      <c r="L154" s="93" t="e">
        <f>VLOOKUP(A1,DIV_06Data!$A$1:$DZU$1000000,2614,FALSE)</f>
        <v>#N/A</v>
      </c>
      <c r="M154" s="33" t="e">
        <f>VLOOKUP(A1,DIV_06Data!$A$1:$DZU$1000000,2615,FALSE)</f>
        <v>#N/A</v>
      </c>
      <c r="N154" s="34" t="e">
        <f>VLOOKUP(A1,DIV_06Data!$A$1:$DZU$1000000,2616,FALSE)</f>
        <v>#N/A</v>
      </c>
      <c r="O154" s="33" t="e">
        <f>VLOOKUP(A1,DIV_06Data!$A$1:$DZU$1000000,2617,FALSE)</f>
        <v>#N/A</v>
      </c>
      <c r="P154" s="46" t="e">
        <f>VLOOKUP(A1,DIV_06Data!$A$1:$DZU$1000000,2618,FALSE)</f>
        <v>#N/A</v>
      </c>
      <c r="Q154" s="33" t="e">
        <f>VLOOKUP(A1,DIV_06Data!$A$1:$DZU$1000000,2619,FALSE)</f>
        <v>#N/A</v>
      </c>
    </row>
    <row r="155" spans="1:17" x14ac:dyDescent="0.35">
      <c r="A155" s="22" t="e">
        <f>VLOOKUP(A1,DIV_06Data!$A$1:$DZU$1000000,2620,FALSE)</f>
        <v>#N/A</v>
      </c>
      <c r="B155" s="37" t="e">
        <f>VLOOKUP(A1,DIV_06Data!$A$1:$DZU$1000000,2621,FALSE)</f>
        <v>#N/A</v>
      </c>
      <c r="C155" s="38" t="e">
        <f>VLOOKUP(A1,DIV_06Data!$A$1:$DZU$1000000,2622,FALSE)</f>
        <v>#N/A</v>
      </c>
      <c r="D155" s="31" t="e">
        <f>VLOOKUP(A1,DIV_06Data!$A$1:$DZU$1000000,2623,FALSE)</f>
        <v>#N/A</v>
      </c>
      <c r="E155" s="32" t="e">
        <f>VLOOKUP(A1,DIV_06Data!$A$1:$DZU$1000000,2624,FALSE)</f>
        <v>#N/A</v>
      </c>
      <c r="F155" s="34" t="e">
        <f>VLOOKUP(A1,DIV_06Data!$A$1:$DZU$1000000,2625,FALSE)</f>
        <v>#N/A</v>
      </c>
      <c r="G155" s="33" t="e">
        <f>VLOOKUP(A1,DIV_06Data!$A$1:$DZU$1000000,2626,FALSE)</f>
        <v>#N/A</v>
      </c>
      <c r="H155" s="34" t="e">
        <f>VLOOKUP(A1,DIV_06Data!$A$1:$DZU$1000000,2627,FALSE)</f>
        <v>#N/A</v>
      </c>
      <c r="I155" s="33" t="e">
        <f>VLOOKUP(A1,DIV_06Data!$A$1:$DZU$1000000,2628,FALSE)</f>
        <v>#N/A</v>
      </c>
      <c r="J155" s="34" t="e">
        <f>VLOOKUP(A1,DIV_06Data!$A$1:$DZU$1000000,2629,FALSE)</f>
        <v>#N/A</v>
      </c>
      <c r="K155" s="34" t="e">
        <f>VLOOKUP(A1,DIV_06Data!$A$1:$DZU$1000000,2630,FALSE)</f>
        <v>#N/A</v>
      </c>
      <c r="L155" s="93" t="e">
        <f>VLOOKUP(A1,DIV_06Data!$A$1:$DZU$1000000,2631,FALSE)</f>
        <v>#N/A</v>
      </c>
      <c r="M155" s="33" t="e">
        <f>VLOOKUP(A1,DIV_06Data!$A$1:$DZU$1000000,2632,FALSE)</f>
        <v>#N/A</v>
      </c>
      <c r="N155" s="34" t="e">
        <f>VLOOKUP(A1,DIV_06Data!$A$1:$DZU$1000000,2633,FALSE)</f>
        <v>#N/A</v>
      </c>
      <c r="O155" s="33" t="e">
        <f>VLOOKUP(A1,DIV_06Data!$A$1:$DZU$1000000,2634,FALSE)</f>
        <v>#N/A</v>
      </c>
      <c r="P155" s="46" t="e">
        <f>VLOOKUP(A1,DIV_06Data!$A$1:$DZU$1000000,2635,FALSE)</f>
        <v>#N/A</v>
      </c>
      <c r="Q155" s="33" t="e">
        <f>VLOOKUP(A1,DIV_06Data!$A$1:$DZU$1000000,2636,FALSE)</f>
        <v>#N/A</v>
      </c>
    </row>
    <row r="156" spans="1:17" x14ac:dyDescent="0.35">
      <c r="A156" s="22" t="e">
        <f>VLOOKUP(A1,DIV_06Data!$A$1:$DZU$1000000,2637,FALSE)</f>
        <v>#N/A</v>
      </c>
      <c r="B156" s="37" t="e">
        <f>VLOOKUP(A1,DIV_06Data!$A$1:$DZU$1000000,2638,FALSE)</f>
        <v>#N/A</v>
      </c>
      <c r="C156" s="38" t="e">
        <f>VLOOKUP(A1,DIV_06Data!$A$1:$DZU$1000000,2639,FALSE)</f>
        <v>#N/A</v>
      </c>
      <c r="D156" s="31" t="e">
        <f>VLOOKUP(A1,DIV_06Data!$A$1:$DZU$1000000,2640,FALSE)</f>
        <v>#N/A</v>
      </c>
      <c r="E156" s="32" t="e">
        <f>VLOOKUP(A1,DIV_06Data!$A$1:$DZU$1000000,2641,FALSE)</f>
        <v>#N/A</v>
      </c>
      <c r="F156" s="34" t="e">
        <f>VLOOKUP(A1,DIV_06Data!$A$1:$DZU$1000000,2642,FALSE)</f>
        <v>#N/A</v>
      </c>
      <c r="G156" s="33" t="e">
        <f>VLOOKUP(A1,DIV_06Data!$A$1:$DZU$1000000,2643,FALSE)</f>
        <v>#N/A</v>
      </c>
      <c r="H156" s="34" t="e">
        <f>VLOOKUP(A1,DIV_06Data!$A$1:$DZU$1000000,2644,FALSE)</f>
        <v>#N/A</v>
      </c>
      <c r="I156" s="33" t="e">
        <f>VLOOKUP(A1,DIV_06Data!$A$1:$DZU$1000000,2645,FALSE)</f>
        <v>#N/A</v>
      </c>
      <c r="J156" s="34" t="e">
        <f>VLOOKUP(A1,DIV_06Data!$A$1:$DZU$1000000,2646,FALSE)</f>
        <v>#N/A</v>
      </c>
      <c r="K156" s="34" t="e">
        <f>VLOOKUP(A1,DIV_06Data!$A$1:$DZU$1000000,2647,FALSE)</f>
        <v>#N/A</v>
      </c>
      <c r="L156" s="93" t="e">
        <f>VLOOKUP(A1,DIV_06Data!$A$1:$DZU$1000000,2648,FALSE)</f>
        <v>#N/A</v>
      </c>
      <c r="M156" s="33" t="e">
        <f>VLOOKUP(A1,DIV_06Data!$A$1:$DZU$1000000,2649,FALSE)</f>
        <v>#N/A</v>
      </c>
      <c r="N156" s="34" t="e">
        <f>VLOOKUP(A1,DIV_06Data!$A$1:$DZU$1000000,2650,FALSE)</f>
        <v>#N/A</v>
      </c>
      <c r="O156" s="33" t="e">
        <f>VLOOKUP(A1,DIV_06Data!$A$1:$DZU$1000000,2651,FALSE)</f>
        <v>#N/A</v>
      </c>
      <c r="P156" s="46" t="e">
        <f>VLOOKUP(A1,DIV_06Data!$A$1:$DZU$1000000,2652,FALSE)</f>
        <v>#N/A</v>
      </c>
      <c r="Q156" s="33" t="e">
        <f>VLOOKUP(A1,DIV_06Data!$A$1:$DZU$1000000,2653,FALSE)</f>
        <v>#N/A</v>
      </c>
    </row>
    <row r="157" spans="1:17" x14ac:dyDescent="0.35">
      <c r="A157" s="22" t="e">
        <f>VLOOKUP(A1,DIV_06Data!$A$1:$DZU$1000000,2654,FALSE)</f>
        <v>#N/A</v>
      </c>
      <c r="B157" s="37" t="e">
        <f>VLOOKUP(A1,DIV_06Data!$A$1:$DZU$1000000,2655,FALSE)</f>
        <v>#N/A</v>
      </c>
      <c r="C157" s="38" t="e">
        <f>VLOOKUP(A1,DIV_06Data!$A$1:$DZU$1000000,2656,FALSE)</f>
        <v>#N/A</v>
      </c>
      <c r="D157" s="31" t="e">
        <f>VLOOKUP(A1,DIV_06Data!$A$1:$DZU$1000000,2657,FALSE)</f>
        <v>#N/A</v>
      </c>
      <c r="E157" s="32" t="e">
        <f>VLOOKUP(A1,DIV_06Data!$A$1:$DZU$1000000,2658,FALSE)</f>
        <v>#N/A</v>
      </c>
      <c r="F157" s="34" t="e">
        <f>VLOOKUP(A1,DIV_06Data!$A$1:$DZU$1000000,2659,FALSE)</f>
        <v>#N/A</v>
      </c>
      <c r="G157" s="33" t="e">
        <f>VLOOKUP(A1,DIV_06Data!$A$1:$DZU$1000000,2660,FALSE)</f>
        <v>#N/A</v>
      </c>
      <c r="H157" s="34" t="e">
        <f>VLOOKUP(A1,DIV_06Data!$A$1:$DZU$1000000,2661,FALSE)</f>
        <v>#N/A</v>
      </c>
      <c r="I157" s="33" t="e">
        <f>VLOOKUP(A1,DIV_06Data!$A$1:$DZU$1000000,2662,FALSE)</f>
        <v>#N/A</v>
      </c>
      <c r="J157" s="34" t="e">
        <f>VLOOKUP(A1,DIV_06Data!$A$1:$DZU$1000000,2663,FALSE)</f>
        <v>#N/A</v>
      </c>
      <c r="K157" s="34" t="e">
        <f>VLOOKUP(A1,DIV_06Data!$A$1:$DZU$1000000,2664,FALSE)</f>
        <v>#N/A</v>
      </c>
      <c r="L157" s="93" t="e">
        <f>VLOOKUP(A1,DIV_06Data!$A$1:$DZU$1000000,2665,FALSE)</f>
        <v>#N/A</v>
      </c>
      <c r="M157" s="33" t="e">
        <f>VLOOKUP(A1,DIV_06Data!$A$1:$DZU$1000000,2666,FALSE)</f>
        <v>#N/A</v>
      </c>
      <c r="N157" s="34" t="e">
        <f>VLOOKUP(A1,DIV_06Data!$A$1:$DZU$1000000,2667,FALSE)</f>
        <v>#N/A</v>
      </c>
      <c r="O157" s="33" t="e">
        <f>VLOOKUP(A1,DIV_06Data!$A$1:$DZU$1000000,2668,FALSE)</f>
        <v>#N/A</v>
      </c>
      <c r="P157" s="46" t="e">
        <f>VLOOKUP(A1,DIV_06Data!$A$1:$DZU$1000000,2669,FALSE)</f>
        <v>#N/A</v>
      </c>
      <c r="Q157" s="33" t="e">
        <f>VLOOKUP(A1,DIV_06Data!$A$1:$DZU$1000000,2670,FALSE)</f>
        <v>#N/A</v>
      </c>
    </row>
    <row r="158" spans="1:17" x14ac:dyDescent="0.35">
      <c r="A158" s="22" t="e">
        <f>VLOOKUP(A1,DIV_06Data!$A$1:$DZU$1000000,2671,FALSE)</f>
        <v>#N/A</v>
      </c>
      <c r="B158" s="37" t="e">
        <f>VLOOKUP(A1,DIV_06Data!$A$1:$DZU$1000000,2672,FALSE)</f>
        <v>#N/A</v>
      </c>
      <c r="C158" s="38" t="e">
        <f>VLOOKUP(A1,DIV_06Data!$A$1:$DZU$1000000,2673,FALSE)</f>
        <v>#N/A</v>
      </c>
      <c r="D158" s="31" t="e">
        <f>VLOOKUP(A1,DIV_06Data!$A$1:$DZU$1000000,2674,FALSE)</f>
        <v>#N/A</v>
      </c>
      <c r="E158" s="32" t="e">
        <f>VLOOKUP(A1,DIV_06Data!$A$1:$DZU$1000000,2675,FALSE)</f>
        <v>#N/A</v>
      </c>
      <c r="F158" s="34" t="e">
        <f>VLOOKUP(A1,DIV_06Data!$A$1:$DZU$1000000,2676,FALSE)</f>
        <v>#N/A</v>
      </c>
      <c r="G158" s="33" t="e">
        <f>VLOOKUP(A1,DIV_06Data!$A$1:$DZU$1000000,2677,FALSE)</f>
        <v>#N/A</v>
      </c>
      <c r="H158" s="34" t="e">
        <f>VLOOKUP(A1,DIV_06Data!$A$1:$DZU$1000000,2678,FALSE)</f>
        <v>#N/A</v>
      </c>
      <c r="I158" s="33" t="e">
        <f>VLOOKUP(A1,DIV_06Data!$A$1:$DZU$1000000,2679,FALSE)</f>
        <v>#N/A</v>
      </c>
      <c r="J158" s="34" t="e">
        <f>VLOOKUP(A1,DIV_06Data!$A$1:$DZU$1000000,2680,FALSE)</f>
        <v>#N/A</v>
      </c>
      <c r="K158" s="34" t="e">
        <f>VLOOKUP(A1,DIV_06Data!$A$1:$DZU$1000000,2681,FALSE)</f>
        <v>#N/A</v>
      </c>
      <c r="L158" s="93" t="e">
        <f>VLOOKUP(A1,DIV_06Data!$A$1:$DZU$1000000,2682,FALSE)</f>
        <v>#N/A</v>
      </c>
      <c r="M158" s="33" t="e">
        <f>VLOOKUP(A1,DIV_06Data!$A$1:$DZU$1000000,2683,FALSE)</f>
        <v>#N/A</v>
      </c>
      <c r="N158" s="34" t="e">
        <f>VLOOKUP(A1,DIV_06Data!$A$1:$DZU$1000000,2684,FALSE)</f>
        <v>#N/A</v>
      </c>
      <c r="O158" s="33" t="e">
        <f>VLOOKUP(A1,DIV_06Data!$A$1:$DZU$1000000,2685,FALSE)</f>
        <v>#N/A</v>
      </c>
      <c r="P158" s="46" t="e">
        <f>VLOOKUP(A1,DIV_06Data!$A$1:$DZU$1000000,2686,FALSE)</f>
        <v>#N/A</v>
      </c>
      <c r="Q158" s="33" t="e">
        <f>VLOOKUP(A1,DIV_06Data!$A$1:$DZU$1000000,2687,FALSE)</f>
        <v>#N/A</v>
      </c>
    </row>
    <row r="159" spans="1:17" x14ac:dyDescent="0.35">
      <c r="A159" s="22" t="e">
        <f>VLOOKUP(A1,DIV_06Data!$A$1:$DZU$1000000,2688,FALSE)</f>
        <v>#N/A</v>
      </c>
      <c r="B159" s="37" t="e">
        <f>VLOOKUP(A1,DIV_06Data!$A$1:$DZU$1000000,2689,FALSE)</f>
        <v>#N/A</v>
      </c>
      <c r="C159" s="38" t="e">
        <f>VLOOKUP(A1,DIV_06Data!$A$1:$DZU$1000000,2690,FALSE)</f>
        <v>#N/A</v>
      </c>
      <c r="D159" s="31" t="e">
        <f>VLOOKUP(A1,DIV_06Data!$A$1:$DZU$1000000,2691,FALSE)</f>
        <v>#N/A</v>
      </c>
      <c r="E159" s="32" t="e">
        <f>VLOOKUP(A1,DIV_06Data!$A$1:$DZU$1000000,2692,FALSE)</f>
        <v>#N/A</v>
      </c>
      <c r="F159" s="34" t="e">
        <f>VLOOKUP(A1,DIV_06Data!$A$1:$DZU$1000000,2693,FALSE)</f>
        <v>#N/A</v>
      </c>
      <c r="G159" s="33" t="e">
        <f>VLOOKUP(A1,DIV_06Data!$A$1:$DZU$1000000,2694,FALSE)</f>
        <v>#N/A</v>
      </c>
      <c r="H159" s="34" t="e">
        <f>VLOOKUP(A1,DIV_06Data!$A$1:$DZU$1000000,2695,FALSE)</f>
        <v>#N/A</v>
      </c>
      <c r="I159" s="33" t="e">
        <f>VLOOKUP(A1,DIV_06Data!$A$1:$DZU$1000000,2696,FALSE)</f>
        <v>#N/A</v>
      </c>
      <c r="J159" s="34" t="e">
        <f>VLOOKUP(A1,DIV_06Data!$A$1:$DZU$1000000,2697,FALSE)</f>
        <v>#N/A</v>
      </c>
      <c r="K159" s="34" t="e">
        <f>VLOOKUP(A1,DIV_06Data!$A$1:$DZU$1000000,2698,FALSE)</f>
        <v>#N/A</v>
      </c>
      <c r="L159" s="93" t="e">
        <f>VLOOKUP(A1,DIV_06Data!$A$1:$DZU$1000000,2699,FALSE)</f>
        <v>#N/A</v>
      </c>
      <c r="M159" s="33" t="e">
        <f>VLOOKUP(A1,DIV_06Data!$A$1:$DZU$1000000,2700,FALSE)</f>
        <v>#N/A</v>
      </c>
      <c r="N159" s="34" t="e">
        <f>VLOOKUP(A1,DIV_06Data!$A$1:$DZU$1000000,2701,FALSE)</f>
        <v>#N/A</v>
      </c>
      <c r="O159" s="33" t="e">
        <f>VLOOKUP(A1,DIV_06Data!$A$1:$DZU$1000000,2702,FALSE)</f>
        <v>#N/A</v>
      </c>
      <c r="P159" s="46" t="e">
        <f>VLOOKUP(A1,DIV_06Data!$A$1:$DZU$1000000,2703,FALSE)</f>
        <v>#N/A</v>
      </c>
      <c r="Q159" s="33" t="e">
        <f>VLOOKUP(A1,DIV_06Data!$A$1:$DZU$1000000,2704,FALSE)</f>
        <v>#N/A</v>
      </c>
    </row>
    <row r="160" spans="1:17" x14ac:dyDescent="0.35">
      <c r="A160" s="22" t="e">
        <f>VLOOKUP(A1,DIV_06Data!$A$1:$DZU$1000000,2705,FALSE)</f>
        <v>#N/A</v>
      </c>
      <c r="B160" s="37" t="e">
        <f>VLOOKUP(A1,DIV_06Data!$A$1:$DZU$1000000,2706,FALSE)</f>
        <v>#N/A</v>
      </c>
      <c r="C160" s="38" t="e">
        <f>VLOOKUP(A1,DIV_06Data!$A$1:$DZU$1000000,2707,FALSE)</f>
        <v>#N/A</v>
      </c>
      <c r="D160" s="31" t="e">
        <f>VLOOKUP(A1,DIV_06Data!$A$1:$DZU$1000000,2708,FALSE)</f>
        <v>#N/A</v>
      </c>
      <c r="E160" s="32" t="e">
        <f>VLOOKUP(A1,DIV_06Data!$A$1:$DZU$1000000,2709,FALSE)</f>
        <v>#N/A</v>
      </c>
      <c r="F160" s="34" t="e">
        <f>VLOOKUP(A1,DIV_06Data!$A$1:$DZU$1000000,2710,FALSE)</f>
        <v>#N/A</v>
      </c>
      <c r="G160" s="33" t="e">
        <f>VLOOKUP(A1,DIV_06Data!$A$1:$DZU$1000000,2711,FALSE)</f>
        <v>#N/A</v>
      </c>
      <c r="H160" s="34" t="e">
        <f>VLOOKUP(A1,DIV_06Data!$A$1:$DZU$1000000,2712,FALSE)</f>
        <v>#N/A</v>
      </c>
      <c r="I160" s="33" t="e">
        <f>VLOOKUP(A1,DIV_06Data!$A$1:$DZU$1000000,2713,FALSE)</f>
        <v>#N/A</v>
      </c>
      <c r="J160" s="34" t="e">
        <f>VLOOKUP(A1,DIV_06Data!$A$1:$DZU$1000000,2714,FALSE)</f>
        <v>#N/A</v>
      </c>
      <c r="K160" s="34" t="e">
        <f>VLOOKUP(A1,DIV_06Data!$A$1:$DZU$1000000,2715,FALSE)</f>
        <v>#N/A</v>
      </c>
      <c r="L160" s="93" t="e">
        <f>VLOOKUP(A1,DIV_06Data!$A$1:$DZU$1000000,2716,FALSE)</f>
        <v>#N/A</v>
      </c>
      <c r="M160" s="33" t="e">
        <f>VLOOKUP(A1,DIV_06Data!$A$1:$DZU$1000000,2717,FALSE)</f>
        <v>#N/A</v>
      </c>
      <c r="N160" s="34" t="e">
        <f>VLOOKUP(A1,DIV_06Data!$A$1:$DZU$1000000,2718,FALSE)</f>
        <v>#N/A</v>
      </c>
      <c r="O160" s="33" t="e">
        <f>VLOOKUP(A1,DIV_06Data!$A$1:$DZU$1000000,2719,FALSE)</f>
        <v>#N/A</v>
      </c>
      <c r="P160" s="46" t="e">
        <f>VLOOKUP(A1,DIV_06Data!$A$1:$DZU$1000000,2720,FALSE)</f>
        <v>#N/A</v>
      </c>
      <c r="Q160" s="33" t="e">
        <f>VLOOKUP(A1,DIV_06Data!$A$1:$DZU$1000000,2721,FALSE)</f>
        <v>#N/A</v>
      </c>
    </row>
    <row r="161" spans="1:17" x14ac:dyDescent="0.35">
      <c r="A161" s="22" t="e">
        <f>VLOOKUP(A1,DIV_06Data!$A$1:$DZU$1000000,2722,FALSE)</f>
        <v>#N/A</v>
      </c>
      <c r="B161" s="37" t="e">
        <f>VLOOKUP(A1,DIV_06Data!$A$1:$DZU$1000000,2723,FALSE)</f>
        <v>#N/A</v>
      </c>
      <c r="C161" s="38" t="e">
        <f>VLOOKUP(A1,DIV_06Data!$A$1:$DZU$1000000,2724,FALSE)</f>
        <v>#N/A</v>
      </c>
      <c r="D161" s="31" t="e">
        <f>VLOOKUP(A1,DIV_06Data!$A$1:$DZU$1000000,2725,FALSE)</f>
        <v>#N/A</v>
      </c>
      <c r="E161" s="32" t="e">
        <f>VLOOKUP(A1,DIV_06Data!$A$1:$DZU$1000000,2726,FALSE)</f>
        <v>#N/A</v>
      </c>
      <c r="F161" s="34" t="e">
        <f>VLOOKUP(A1,DIV_06Data!$A$1:$DZU$1000000,2727,FALSE)</f>
        <v>#N/A</v>
      </c>
      <c r="G161" s="33" t="e">
        <f>VLOOKUP(A1,DIV_06Data!$A$1:$DZU$1000000,2728,FALSE)</f>
        <v>#N/A</v>
      </c>
      <c r="H161" s="34" t="e">
        <f>VLOOKUP(A1,DIV_06Data!$A$1:$DZU$1000000,2729,FALSE)</f>
        <v>#N/A</v>
      </c>
      <c r="I161" s="33" t="e">
        <f>VLOOKUP(A1,DIV_06Data!$A$1:$DZU$1000000,2730,FALSE)</f>
        <v>#N/A</v>
      </c>
      <c r="J161" s="34" t="e">
        <f>VLOOKUP(A1,DIV_06Data!$A$1:$DZU$1000000,2731,FALSE)</f>
        <v>#N/A</v>
      </c>
      <c r="K161" s="34" t="e">
        <f>VLOOKUP(A1,DIV_06Data!$A$1:$DZU$1000000,2732,FALSE)</f>
        <v>#N/A</v>
      </c>
      <c r="L161" s="93" t="e">
        <f>VLOOKUP(A1,DIV_06Data!$A$1:$DZU$1000000,2733,FALSE)</f>
        <v>#N/A</v>
      </c>
      <c r="M161" s="33" t="e">
        <f>VLOOKUP(A1,DIV_06Data!$A$1:$DZU$1000000,2734,FALSE)</f>
        <v>#N/A</v>
      </c>
      <c r="N161" s="34" t="e">
        <f>VLOOKUP(A1,DIV_06Data!$A$1:$DZU$1000000,2735,FALSE)</f>
        <v>#N/A</v>
      </c>
      <c r="O161" s="33" t="e">
        <f>VLOOKUP(A1,DIV_06Data!$A$1:$DZU$1000000,2736,FALSE)</f>
        <v>#N/A</v>
      </c>
      <c r="P161" s="46" t="e">
        <f>VLOOKUP(A1,DIV_06Data!$A$1:$DZU$1000000,2737,FALSE)</f>
        <v>#N/A</v>
      </c>
      <c r="Q161" s="33" t="e">
        <f>VLOOKUP(A1,DIV_06Data!$A$1:$DZU$1000000,2738,FALSE)</f>
        <v>#N/A</v>
      </c>
    </row>
    <row r="162" spans="1:17" x14ac:dyDescent="0.35">
      <c r="A162" s="22" t="e">
        <f>VLOOKUP(A1,DIV_06Data!$A$1:$DZU$1000000,2739,FALSE)</f>
        <v>#N/A</v>
      </c>
      <c r="B162" s="37" t="e">
        <f>VLOOKUP(A1,DIV_06Data!$A$1:$DZU$1000000,2740,FALSE)</f>
        <v>#N/A</v>
      </c>
      <c r="C162" s="38" t="e">
        <f>VLOOKUP(A1,DIV_06Data!$A$1:$DZU$1000000,2741,FALSE)</f>
        <v>#N/A</v>
      </c>
      <c r="D162" s="31" t="e">
        <f>VLOOKUP(A1,DIV_06Data!$A$1:$DZU$1000000,2742,FALSE)</f>
        <v>#N/A</v>
      </c>
      <c r="E162" s="32" t="e">
        <f>VLOOKUP(A1,DIV_06Data!$A$1:$DZU$1000000,2743,FALSE)</f>
        <v>#N/A</v>
      </c>
      <c r="F162" s="34" t="e">
        <f>VLOOKUP(A1,DIV_06Data!$A$1:$DZU$1000000,2744,FALSE)</f>
        <v>#N/A</v>
      </c>
      <c r="G162" s="33" t="e">
        <f>VLOOKUP(A1,DIV_06Data!$A$1:$DZU$1000000,2745,FALSE)</f>
        <v>#N/A</v>
      </c>
      <c r="H162" s="34" t="e">
        <f>VLOOKUP(A1,DIV_06Data!$A$1:$DZU$1000000,2746,FALSE)</f>
        <v>#N/A</v>
      </c>
      <c r="I162" s="33" t="e">
        <f>VLOOKUP(A1,DIV_06Data!$A$1:$DZU$1000000,2747,FALSE)</f>
        <v>#N/A</v>
      </c>
      <c r="J162" s="34" t="e">
        <f>VLOOKUP(A1,DIV_06Data!$A$1:$DZU$1000000,2748,FALSE)</f>
        <v>#N/A</v>
      </c>
      <c r="K162" s="34" t="e">
        <f>VLOOKUP(A1,DIV_06Data!$A$1:$DZU$1000000,2749,FALSE)</f>
        <v>#N/A</v>
      </c>
      <c r="L162" s="93" t="e">
        <f>VLOOKUP(A1,DIV_06Data!$A$1:$DZU$1000000,2750,FALSE)</f>
        <v>#N/A</v>
      </c>
      <c r="M162" s="33" t="e">
        <f>VLOOKUP(A1,DIV_06Data!$A$1:$DZU$1000000,2751,FALSE)</f>
        <v>#N/A</v>
      </c>
      <c r="N162" s="34" t="e">
        <f>VLOOKUP(A1,DIV_06Data!$A$1:$DZU$1000000,2752,FALSE)</f>
        <v>#N/A</v>
      </c>
      <c r="O162" s="33" t="e">
        <f>VLOOKUP(A1,DIV_06Data!$A$1:$DZU$1000000,2753,FALSE)</f>
        <v>#N/A</v>
      </c>
      <c r="P162" s="46" t="e">
        <f>VLOOKUP(A1,DIV_06Data!$A$1:$DZU$1000000,2754,FALSE)</f>
        <v>#N/A</v>
      </c>
      <c r="Q162" s="33" t="e">
        <f>VLOOKUP(A1,DIV_06Data!$A$1:$DZU$1000000,2755,FALSE)</f>
        <v>#N/A</v>
      </c>
    </row>
    <row r="163" spans="1:17" x14ac:dyDescent="0.35">
      <c r="A163" s="22" t="e">
        <f>VLOOKUP(A1,DIV_06Data!$A$1:$DZU$1000000,2756,FALSE)</f>
        <v>#N/A</v>
      </c>
      <c r="B163" s="37" t="e">
        <f>VLOOKUP(A1,DIV_06Data!$A$1:$DZU$1000000,2757,FALSE)</f>
        <v>#N/A</v>
      </c>
      <c r="C163" s="38" t="e">
        <f>VLOOKUP(A1,DIV_06Data!$A$1:$DZU$1000000,2758,FALSE)</f>
        <v>#N/A</v>
      </c>
      <c r="D163" s="31" t="e">
        <f>VLOOKUP(A1,DIV_06Data!$A$1:$DZU$1000000,2759,FALSE)</f>
        <v>#N/A</v>
      </c>
      <c r="E163" s="32" t="e">
        <f>VLOOKUP(A1,DIV_06Data!$A$1:$DZU$1000000,2760,FALSE)</f>
        <v>#N/A</v>
      </c>
      <c r="F163" s="34" t="e">
        <f>VLOOKUP(A1,DIV_06Data!$A$1:$DZU$1000000,2761,FALSE)</f>
        <v>#N/A</v>
      </c>
      <c r="G163" s="33" t="e">
        <f>VLOOKUP(A1,DIV_06Data!$A$1:$DZU$1000000,2762,FALSE)</f>
        <v>#N/A</v>
      </c>
      <c r="H163" s="34" t="e">
        <f>VLOOKUP(A1,DIV_06Data!$A$1:$DZU$1000000,2763,FALSE)</f>
        <v>#N/A</v>
      </c>
      <c r="I163" s="33" t="e">
        <f>VLOOKUP(A1,DIV_06Data!$A$1:$DZU$1000000,2764,FALSE)</f>
        <v>#N/A</v>
      </c>
      <c r="J163" s="34" t="e">
        <f>VLOOKUP(A1,DIV_06Data!$A$1:$DZU$1000000,2765,FALSE)</f>
        <v>#N/A</v>
      </c>
      <c r="K163" s="34" t="e">
        <f>VLOOKUP(A1,DIV_06Data!$A$1:$DZU$1000000,2766,FALSE)</f>
        <v>#N/A</v>
      </c>
      <c r="L163" s="93" t="e">
        <f>VLOOKUP(A1,DIV_06Data!$A$1:$DZU$1000000,2767,FALSE)</f>
        <v>#N/A</v>
      </c>
      <c r="M163" s="33" t="e">
        <f>VLOOKUP(A1,DIV_06Data!$A$1:$DZU$1000000,2768,FALSE)</f>
        <v>#N/A</v>
      </c>
      <c r="N163" s="34" t="e">
        <f>VLOOKUP(A1,DIV_06Data!$A$1:$DZU$1000000,2769,FALSE)</f>
        <v>#N/A</v>
      </c>
      <c r="O163" s="33" t="e">
        <f>VLOOKUP(A1,DIV_06Data!$A$1:$DZU$1000000,2770,FALSE)</f>
        <v>#N/A</v>
      </c>
      <c r="P163" s="46" t="e">
        <f>VLOOKUP(A1,DIV_06Data!$A$1:$DZU$1000000,2771,FALSE)</f>
        <v>#N/A</v>
      </c>
      <c r="Q163" s="33" t="e">
        <f>VLOOKUP(A1,DIV_06Data!$A$1:$DZU$1000000,2772,FALSE)</f>
        <v>#N/A</v>
      </c>
    </row>
    <row r="164" spans="1:17" x14ac:dyDescent="0.35">
      <c r="A164" s="22" t="e">
        <f>VLOOKUP(A1,DIV_06Data!$A$1:$DZU$1000000,2773,FALSE)</f>
        <v>#N/A</v>
      </c>
      <c r="B164" s="37" t="e">
        <f>VLOOKUP(A1,DIV_06Data!$A$1:$DZU$1000000,2774,FALSE)</f>
        <v>#N/A</v>
      </c>
      <c r="C164" s="38" t="e">
        <f>VLOOKUP(A1,DIV_06Data!$A$1:$DZU$1000000,2775,FALSE)</f>
        <v>#N/A</v>
      </c>
      <c r="D164" s="31" t="e">
        <f>VLOOKUP(A1,DIV_06Data!$A$1:$DZU$1000000,2776,FALSE)</f>
        <v>#N/A</v>
      </c>
      <c r="E164" s="32" t="e">
        <f>VLOOKUP(A1,DIV_06Data!$A$1:$DZU$1000000,2777,FALSE)</f>
        <v>#N/A</v>
      </c>
      <c r="F164" s="34" t="e">
        <f>VLOOKUP(A1,DIV_06Data!$A$1:$DZU$1000000,2778,FALSE)</f>
        <v>#N/A</v>
      </c>
      <c r="G164" s="33" t="e">
        <f>VLOOKUP(A1,DIV_06Data!$A$1:$DZU$1000000,2779,FALSE)</f>
        <v>#N/A</v>
      </c>
      <c r="H164" s="34" t="e">
        <f>VLOOKUP(A1,DIV_06Data!$A$1:$DZU$1000000,2780,FALSE)</f>
        <v>#N/A</v>
      </c>
      <c r="I164" s="33" t="e">
        <f>VLOOKUP(A1,DIV_06Data!$A$1:$DZU$1000000,2781,FALSE)</f>
        <v>#N/A</v>
      </c>
      <c r="J164" s="34" t="e">
        <f>VLOOKUP(A1,DIV_06Data!$A$1:$DZU$1000000,2782,FALSE)</f>
        <v>#N/A</v>
      </c>
      <c r="K164" s="34" t="e">
        <f>VLOOKUP(A1,DIV_06Data!$A$1:$DZU$1000000,2783,FALSE)</f>
        <v>#N/A</v>
      </c>
      <c r="L164" s="93" t="e">
        <f>VLOOKUP(A1,DIV_06Data!$A$1:$DZU$1000000,2784,FALSE)</f>
        <v>#N/A</v>
      </c>
      <c r="M164" s="33" t="e">
        <f>VLOOKUP(A1,DIV_06Data!$A$1:$DZU$1000000,2785,FALSE)</f>
        <v>#N/A</v>
      </c>
      <c r="N164" s="34" t="e">
        <f>VLOOKUP(A1,DIV_06Data!$A$1:$DZU$1000000,2786,FALSE)</f>
        <v>#N/A</v>
      </c>
      <c r="O164" s="33" t="e">
        <f>VLOOKUP(A1,DIV_06Data!$A$1:$DZU$1000000,2787,FALSE)</f>
        <v>#N/A</v>
      </c>
      <c r="P164" s="46" t="e">
        <f>VLOOKUP(A1,DIV_06Data!$A$1:$DZU$1000000,2788,FALSE)</f>
        <v>#N/A</v>
      </c>
      <c r="Q164" s="33" t="e">
        <f>VLOOKUP(A1,DIV_06Data!$A$1:$DZU$1000000,2789,FALSE)</f>
        <v>#N/A</v>
      </c>
    </row>
    <row r="165" spans="1:17" x14ac:dyDescent="0.35">
      <c r="A165" s="22" t="e">
        <f>VLOOKUP(A1,DIV_06Data!$A$1:$DZU$1000000,2790,FALSE)</f>
        <v>#N/A</v>
      </c>
      <c r="B165" s="37" t="e">
        <f>VLOOKUP(A1,DIV_06Data!$A$1:$DZU$1000000,2791,FALSE)</f>
        <v>#N/A</v>
      </c>
      <c r="C165" s="38" t="e">
        <f>VLOOKUP(A1,DIV_06Data!$A$1:$DZU$1000000,2792,FALSE)</f>
        <v>#N/A</v>
      </c>
      <c r="D165" s="31" t="e">
        <f>VLOOKUP(A1,DIV_06Data!$A$1:$DZU$1000000,2793,FALSE)</f>
        <v>#N/A</v>
      </c>
      <c r="E165" s="32" t="e">
        <f>VLOOKUP(A1,DIV_06Data!$A$1:$DZU$1000000,2794,FALSE)</f>
        <v>#N/A</v>
      </c>
      <c r="F165" s="34" t="e">
        <f>VLOOKUP(A1,DIV_06Data!$A$1:$DZU$1000000,2795,FALSE)</f>
        <v>#N/A</v>
      </c>
      <c r="G165" s="33" t="e">
        <f>VLOOKUP(A1,DIV_06Data!$A$1:$DZU$1000000,2796,FALSE)</f>
        <v>#N/A</v>
      </c>
      <c r="H165" s="34" t="e">
        <f>VLOOKUP(A1,DIV_06Data!$A$1:$DZU$1000000,2797,FALSE)</f>
        <v>#N/A</v>
      </c>
      <c r="I165" s="33" t="e">
        <f>VLOOKUP(A1,DIV_06Data!$A$1:$DZU$1000000,2798,FALSE)</f>
        <v>#N/A</v>
      </c>
      <c r="J165" s="34" t="e">
        <f>VLOOKUP(A1,DIV_06Data!$A$1:$DZU$1000000,2799,FALSE)</f>
        <v>#N/A</v>
      </c>
      <c r="K165" s="34" t="e">
        <f>VLOOKUP(A1,DIV_06Data!$A$1:$DZU$1000000,2800,FALSE)</f>
        <v>#N/A</v>
      </c>
      <c r="L165" s="93" t="e">
        <f>VLOOKUP(A1,DIV_06Data!$A$1:$DZU$1000000,2801,FALSE)</f>
        <v>#N/A</v>
      </c>
      <c r="M165" s="33" t="e">
        <f>VLOOKUP(A1,DIV_06Data!$A$1:$DZU$1000000,2802,FALSE)</f>
        <v>#N/A</v>
      </c>
      <c r="N165" s="34" t="e">
        <f>VLOOKUP(A1,DIV_06Data!$A$1:$DZU$1000000,2803,FALSE)</f>
        <v>#N/A</v>
      </c>
      <c r="O165" s="33" t="e">
        <f>VLOOKUP(A1,DIV_06Data!$A$1:$DZU$1000000,2804,FALSE)</f>
        <v>#N/A</v>
      </c>
      <c r="P165" s="46" t="e">
        <f>VLOOKUP(A1,DIV_06Data!$A$1:$DZU$1000000,2805,FALSE)</f>
        <v>#N/A</v>
      </c>
      <c r="Q165" s="33" t="e">
        <f>VLOOKUP(A1,DIV_06Data!$A$1:$DZU$1000000,2806,FALSE)</f>
        <v>#N/A</v>
      </c>
    </row>
    <row r="166" spans="1:17" x14ac:dyDescent="0.35">
      <c r="A166" s="22" t="e">
        <f>VLOOKUP(A1,DIV_06Data!$A$1:$DZU$1000000,2807,FALSE)</f>
        <v>#N/A</v>
      </c>
      <c r="B166" s="37" t="e">
        <f>VLOOKUP(A1,DIV_06Data!$A$1:$DZU$1000000,2808,FALSE)</f>
        <v>#N/A</v>
      </c>
      <c r="C166" s="38" t="e">
        <f>VLOOKUP(A1,DIV_06Data!$A$1:$DZU$1000000,2809,FALSE)</f>
        <v>#N/A</v>
      </c>
      <c r="D166" s="31" t="e">
        <f>VLOOKUP(A1,DIV_06Data!$A$1:$DZU$1000000,2810,FALSE)</f>
        <v>#N/A</v>
      </c>
      <c r="E166" s="32" t="e">
        <f>VLOOKUP(A1,DIV_06Data!$A$1:$DZU$1000000,2811,FALSE)</f>
        <v>#N/A</v>
      </c>
      <c r="F166" s="34" t="e">
        <f>VLOOKUP(A1,DIV_06Data!$A$1:$DZU$1000000,2812,FALSE)</f>
        <v>#N/A</v>
      </c>
      <c r="G166" s="33" t="e">
        <f>VLOOKUP(A1,DIV_06Data!$A$1:$DZU$1000000,2813,FALSE)</f>
        <v>#N/A</v>
      </c>
      <c r="H166" s="34" t="e">
        <f>VLOOKUP(A1,DIV_06Data!$A$1:$DZU$1000000,2814,FALSE)</f>
        <v>#N/A</v>
      </c>
      <c r="I166" s="33" t="e">
        <f>VLOOKUP(A1,DIV_06Data!$A$1:$DZU$1000000,2815,FALSE)</f>
        <v>#N/A</v>
      </c>
      <c r="J166" s="34" t="e">
        <f>VLOOKUP(A1,DIV_06Data!$A$1:$DZU$1000000,2816,FALSE)</f>
        <v>#N/A</v>
      </c>
      <c r="K166" s="34" t="e">
        <f>VLOOKUP(A1,DIV_06Data!$A$1:$DZU$1000000,2817,FALSE)</f>
        <v>#N/A</v>
      </c>
      <c r="L166" s="93" t="e">
        <f>VLOOKUP(A1,DIV_06Data!$A$1:$DZU$1000000,2818,FALSE)</f>
        <v>#N/A</v>
      </c>
      <c r="M166" s="33" t="e">
        <f>VLOOKUP(A1,DIV_06Data!$A$1:$DZU$1000000,2819,FALSE)</f>
        <v>#N/A</v>
      </c>
      <c r="N166" s="34" t="e">
        <f>VLOOKUP(A1,DIV_06Data!$A$1:$DZU$1000000,2820,FALSE)</f>
        <v>#N/A</v>
      </c>
      <c r="O166" s="33" t="e">
        <f>VLOOKUP(A1,DIV_06Data!$A$1:$DZU$1000000,2821,FALSE)</f>
        <v>#N/A</v>
      </c>
      <c r="P166" s="46" t="e">
        <f>VLOOKUP(A1,DIV_06Data!$A$1:$DZU$1000000,2822,FALSE)</f>
        <v>#N/A</v>
      </c>
      <c r="Q166" s="33" t="e">
        <f>VLOOKUP(A1,DIV_06Data!$A$1:$DZU$1000000,2823,FALSE)</f>
        <v>#N/A</v>
      </c>
    </row>
    <row r="167" spans="1:17" x14ac:dyDescent="0.35">
      <c r="A167" s="22" t="e">
        <f>VLOOKUP(A1,DIV_06Data!$A$1:$DZU$1000000,2824,FALSE)</f>
        <v>#N/A</v>
      </c>
      <c r="B167" s="37" t="e">
        <f>VLOOKUP(A1,DIV_06Data!$A$1:$DZU$1000000,2825,FALSE)</f>
        <v>#N/A</v>
      </c>
      <c r="C167" s="38" t="e">
        <f>VLOOKUP(A1,DIV_06Data!$A$1:$DZU$1000000,2826,FALSE)</f>
        <v>#N/A</v>
      </c>
      <c r="D167" s="31" t="e">
        <f>VLOOKUP(A1,DIV_06Data!$A$1:$DZU$1000000,2827,FALSE)</f>
        <v>#N/A</v>
      </c>
      <c r="E167" s="32" t="e">
        <f>VLOOKUP(A1,DIV_06Data!$A$1:$DZU$1000000,2828,FALSE)</f>
        <v>#N/A</v>
      </c>
      <c r="F167" s="34" t="e">
        <f>VLOOKUP(A1,DIV_06Data!$A$1:$DZU$1000000,2829,FALSE)</f>
        <v>#N/A</v>
      </c>
      <c r="G167" s="33" t="e">
        <f>VLOOKUP(A1,DIV_06Data!$A$1:$DZU$1000000,2830,FALSE)</f>
        <v>#N/A</v>
      </c>
      <c r="H167" s="34" t="e">
        <f>VLOOKUP(A1,DIV_06Data!$A$1:$DZU$1000000,2831,FALSE)</f>
        <v>#N/A</v>
      </c>
      <c r="I167" s="33" t="e">
        <f>VLOOKUP(A1,DIV_06Data!$A$1:$DZU$1000000,2832,FALSE)</f>
        <v>#N/A</v>
      </c>
      <c r="J167" s="34" t="e">
        <f>VLOOKUP(A1,DIV_06Data!$A$1:$DZU$1000000,2833,FALSE)</f>
        <v>#N/A</v>
      </c>
      <c r="K167" s="34" t="e">
        <f>VLOOKUP(A1,DIV_06Data!$A$1:$DZU$1000000,2834,FALSE)</f>
        <v>#N/A</v>
      </c>
      <c r="L167" s="93" t="e">
        <f>VLOOKUP(A1,DIV_06Data!$A$1:$DZU$1000000,2835,FALSE)</f>
        <v>#N/A</v>
      </c>
      <c r="M167" s="33" t="e">
        <f>VLOOKUP(A1,DIV_06Data!$A$1:$DZU$1000000,2836,FALSE)</f>
        <v>#N/A</v>
      </c>
      <c r="N167" s="34" t="e">
        <f>VLOOKUP(A1,DIV_06Data!$A$1:$DZU$1000000,2837,FALSE)</f>
        <v>#N/A</v>
      </c>
      <c r="O167" s="33" t="e">
        <f>VLOOKUP(A1,DIV_06Data!$A$1:$DZU$1000000,2838,FALSE)</f>
        <v>#N/A</v>
      </c>
      <c r="P167" s="46" t="e">
        <f>VLOOKUP(A1,DIV_06Data!$A$1:$DZU$1000000,2839,FALSE)</f>
        <v>#N/A</v>
      </c>
      <c r="Q167" s="33" t="e">
        <f>VLOOKUP(A1,DIV_06Data!$A$1:$DZU$1000000,2840,FALSE)</f>
        <v>#N/A</v>
      </c>
    </row>
    <row r="168" spans="1:17" x14ac:dyDescent="0.35">
      <c r="A168" s="22" t="e">
        <f>VLOOKUP(A1,DIV_06Data!$A$1:$DZU$1000000,2841,FALSE)</f>
        <v>#N/A</v>
      </c>
      <c r="B168" s="37" t="e">
        <f>VLOOKUP(A1,DIV_06Data!$A$1:$DZU$1000000,2842,FALSE)</f>
        <v>#N/A</v>
      </c>
      <c r="C168" s="38" t="e">
        <f>VLOOKUP(A1,DIV_06Data!$A$1:$DZU$1000000,2843,FALSE)</f>
        <v>#N/A</v>
      </c>
      <c r="D168" s="31" t="e">
        <f>VLOOKUP(A1,DIV_06Data!$A$1:$DZU$1000000,2844,FALSE)</f>
        <v>#N/A</v>
      </c>
      <c r="E168" s="32" t="e">
        <f>VLOOKUP(A1,DIV_06Data!$A$1:$DZU$1000000,2845,FALSE)</f>
        <v>#N/A</v>
      </c>
      <c r="F168" s="34" t="e">
        <f>VLOOKUP(A1,DIV_06Data!$A$1:$DZU$1000000,2846,FALSE)</f>
        <v>#N/A</v>
      </c>
      <c r="G168" s="33" t="e">
        <f>VLOOKUP(A1,DIV_06Data!$A$1:$DZU$1000000,2847,FALSE)</f>
        <v>#N/A</v>
      </c>
      <c r="H168" s="34" t="e">
        <f>VLOOKUP(A1,DIV_06Data!$A$1:$DZU$1000000,2848,FALSE)</f>
        <v>#N/A</v>
      </c>
      <c r="I168" s="33" t="e">
        <f>VLOOKUP(A1,DIV_06Data!$A$1:$DZU$1000000,2849,FALSE)</f>
        <v>#N/A</v>
      </c>
      <c r="J168" s="34" t="e">
        <f>VLOOKUP(A1,DIV_06Data!$A$1:$DZU$1000000,2850,FALSE)</f>
        <v>#N/A</v>
      </c>
      <c r="K168" s="34" t="e">
        <f>VLOOKUP(A1,DIV_06Data!$A$1:$DZU$1000000,2851,FALSE)</f>
        <v>#N/A</v>
      </c>
      <c r="L168" s="93" t="e">
        <f>VLOOKUP(A1,DIV_06Data!$A$1:$DZU$1000000,2852,FALSE)</f>
        <v>#N/A</v>
      </c>
      <c r="M168" s="33" t="e">
        <f>VLOOKUP(A1,DIV_06Data!$A$1:$DZU$1000000,2853,FALSE)</f>
        <v>#N/A</v>
      </c>
      <c r="N168" s="34" t="e">
        <f>VLOOKUP(A1,DIV_06Data!$A$1:$DZU$1000000,2854,FALSE)</f>
        <v>#N/A</v>
      </c>
      <c r="O168" s="33" t="e">
        <f>VLOOKUP(A1,DIV_06Data!$A$1:$DZU$1000000,2855,FALSE)</f>
        <v>#N/A</v>
      </c>
      <c r="P168" s="46" t="e">
        <f>VLOOKUP(A1,DIV_06Data!$A$1:$DZU$1000000,2856,FALSE)</f>
        <v>#N/A</v>
      </c>
      <c r="Q168" s="33" t="e">
        <f>VLOOKUP(A1,DIV_06Data!$A$1:$DZU$1000000,2857,FALSE)</f>
        <v>#N/A</v>
      </c>
    </row>
    <row r="169" spans="1:17" x14ac:dyDescent="0.35">
      <c r="A169" s="22" t="e">
        <f>VLOOKUP(A1,DIV_06Data!$A$1:$DZU$1000000,2858,FALSE)</f>
        <v>#N/A</v>
      </c>
      <c r="B169" s="37" t="e">
        <f>VLOOKUP(A1,DIV_06Data!$A$1:$DZU$1000000,2859,FALSE)</f>
        <v>#N/A</v>
      </c>
      <c r="C169" s="38" t="e">
        <f>VLOOKUP(A1,DIV_06Data!$A$1:$DZU$1000000,2860,FALSE)</f>
        <v>#N/A</v>
      </c>
      <c r="D169" s="31" t="e">
        <f>VLOOKUP(A1,DIV_06Data!$A$1:$DZU$1000000,2861,FALSE)</f>
        <v>#N/A</v>
      </c>
      <c r="E169" s="32" t="e">
        <f>VLOOKUP(A1,DIV_06Data!$A$1:$DZU$1000000,2862,FALSE)</f>
        <v>#N/A</v>
      </c>
      <c r="F169" s="34" t="e">
        <f>VLOOKUP(A1,DIV_06Data!$A$1:$DZU$1000000,2863,FALSE)</f>
        <v>#N/A</v>
      </c>
      <c r="G169" s="33" t="e">
        <f>VLOOKUP(A1,DIV_06Data!$A$1:$DZU$1000000,2864,FALSE)</f>
        <v>#N/A</v>
      </c>
      <c r="H169" s="34" t="e">
        <f>VLOOKUP(A1,DIV_06Data!$A$1:$DZU$1000000,2865,FALSE)</f>
        <v>#N/A</v>
      </c>
      <c r="I169" s="33" t="e">
        <f>VLOOKUP(A1,DIV_06Data!$A$1:$DZU$1000000,2866,FALSE)</f>
        <v>#N/A</v>
      </c>
      <c r="J169" s="34" t="e">
        <f>VLOOKUP(A1,DIV_06Data!$A$1:$DZU$1000000,2867,FALSE)</f>
        <v>#N/A</v>
      </c>
      <c r="K169" s="34" t="e">
        <f>VLOOKUP(A1,DIV_06Data!$A$1:$DZU$1000000,2868,FALSE)</f>
        <v>#N/A</v>
      </c>
      <c r="L169" s="93" t="e">
        <f>VLOOKUP(A1,DIV_06Data!$A$1:$DZU$1000000,2869,FALSE)</f>
        <v>#N/A</v>
      </c>
      <c r="M169" s="33" t="e">
        <f>VLOOKUP(A1,DIV_06Data!$A$1:$DZU$1000000,2870,FALSE)</f>
        <v>#N/A</v>
      </c>
      <c r="N169" s="34" t="e">
        <f>VLOOKUP(A1,DIV_06Data!$A$1:$DZU$1000000,2871,FALSE)</f>
        <v>#N/A</v>
      </c>
      <c r="O169" s="33" t="e">
        <f>VLOOKUP(A1,DIV_06Data!$A$1:$DZU$1000000,2872,FALSE)</f>
        <v>#N/A</v>
      </c>
      <c r="P169" s="46" t="e">
        <f>VLOOKUP(A1,DIV_06Data!$A$1:$DZU$1000000,2873,FALSE)</f>
        <v>#N/A</v>
      </c>
      <c r="Q169" s="33" t="e">
        <f>VLOOKUP(A1,DIV_06Data!$A$1:$DZU$1000000,2874,FALSE)</f>
        <v>#N/A</v>
      </c>
    </row>
    <row r="170" spans="1:17" x14ac:dyDescent="0.35">
      <c r="A170" s="22" t="e">
        <f>VLOOKUP(A1,DIV_06Data!$A$1:$DZU$1000000,2875,FALSE)</f>
        <v>#N/A</v>
      </c>
      <c r="B170" s="37" t="e">
        <f>VLOOKUP(A1,DIV_06Data!$A$1:$DZU$1000000,2876,FALSE)</f>
        <v>#N/A</v>
      </c>
      <c r="C170" s="38" t="e">
        <f>VLOOKUP(A1,DIV_06Data!$A$1:$DZU$1000000,2877,FALSE)</f>
        <v>#N/A</v>
      </c>
      <c r="D170" s="31" t="e">
        <f>VLOOKUP(A1,DIV_06Data!$A$1:$DZU$1000000,2878,FALSE)</f>
        <v>#N/A</v>
      </c>
      <c r="E170" s="32" t="e">
        <f>VLOOKUP(A1,DIV_06Data!$A$1:$DZU$1000000,2879,FALSE)</f>
        <v>#N/A</v>
      </c>
      <c r="F170" s="34" t="e">
        <f>VLOOKUP(A1,DIV_06Data!$A$1:$DZU$1000000,2880,FALSE)</f>
        <v>#N/A</v>
      </c>
      <c r="G170" s="33" t="e">
        <f>VLOOKUP(A1,DIV_06Data!$A$1:$DZU$1000000,2881,FALSE)</f>
        <v>#N/A</v>
      </c>
      <c r="H170" s="34" t="e">
        <f>VLOOKUP(A1,DIV_06Data!$A$1:$DZU$1000000,2882,FALSE)</f>
        <v>#N/A</v>
      </c>
      <c r="I170" s="33" t="e">
        <f>VLOOKUP(A1,DIV_06Data!$A$1:$DZU$1000000,2883,FALSE)</f>
        <v>#N/A</v>
      </c>
      <c r="J170" s="34" t="e">
        <f>VLOOKUP(A1,DIV_06Data!$A$1:$DZU$1000000,2884,FALSE)</f>
        <v>#N/A</v>
      </c>
      <c r="K170" s="34" t="e">
        <f>VLOOKUP(A1,DIV_06Data!$A$1:$DZU$1000000,2885,FALSE)</f>
        <v>#N/A</v>
      </c>
      <c r="L170" s="93" t="e">
        <f>VLOOKUP(A1,DIV_06Data!$A$1:$DZU$1000000,2886,FALSE)</f>
        <v>#N/A</v>
      </c>
      <c r="M170" s="33" t="e">
        <f>VLOOKUP(A1,DIV_06Data!$A$1:$DZU$1000000,2887,FALSE)</f>
        <v>#N/A</v>
      </c>
      <c r="N170" s="34" t="e">
        <f>VLOOKUP(A1,DIV_06Data!$A$1:$DZU$1000000,2888,FALSE)</f>
        <v>#N/A</v>
      </c>
      <c r="O170" s="33" t="e">
        <f>VLOOKUP(A1,DIV_06Data!$A$1:$DZU$1000000,2889,FALSE)</f>
        <v>#N/A</v>
      </c>
      <c r="P170" s="46" t="e">
        <f>VLOOKUP(A1,DIV_06Data!$A$1:$DZU$1000000,2890,FALSE)</f>
        <v>#N/A</v>
      </c>
      <c r="Q170" s="33" t="e">
        <f>VLOOKUP(A1,DIV_06Data!$A$1:$DZU$1000000,2891,FALSE)</f>
        <v>#N/A</v>
      </c>
    </row>
    <row r="171" spans="1:17" x14ac:dyDescent="0.35">
      <c r="A171" s="22" t="e">
        <f>VLOOKUP(A1,DIV_06Data!$A$1:$DZU$1000000,2892,FALSE)</f>
        <v>#N/A</v>
      </c>
      <c r="B171" s="37" t="e">
        <f>VLOOKUP(A1,DIV_06Data!$A$1:$DZU$1000000,2893,FALSE)</f>
        <v>#N/A</v>
      </c>
      <c r="C171" s="38" t="e">
        <f>VLOOKUP(A1,DIV_06Data!$A$1:$DZU$1000000,2894,FALSE)</f>
        <v>#N/A</v>
      </c>
      <c r="D171" s="31" t="e">
        <f>VLOOKUP(A1,DIV_06Data!$A$1:$DZU$1000000,2895,FALSE)</f>
        <v>#N/A</v>
      </c>
      <c r="E171" s="32" t="e">
        <f>VLOOKUP(A1,DIV_06Data!$A$1:$DZU$1000000,2896,FALSE)</f>
        <v>#N/A</v>
      </c>
      <c r="F171" s="34" t="e">
        <f>VLOOKUP(A1,DIV_06Data!$A$1:$DZU$1000000,2897,FALSE)</f>
        <v>#N/A</v>
      </c>
      <c r="G171" s="33" t="e">
        <f>VLOOKUP(A1,DIV_06Data!$A$1:$DZU$1000000,2898,FALSE)</f>
        <v>#N/A</v>
      </c>
      <c r="H171" s="34" t="e">
        <f>VLOOKUP(A1,DIV_06Data!$A$1:$DZU$1000000,2899,FALSE)</f>
        <v>#N/A</v>
      </c>
      <c r="I171" s="33" t="e">
        <f>VLOOKUP(A1,DIV_06Data!$A$1:$DZU$1000000,2900,FALSE)</f>
        <v>#N/A</v>
      </c>
      <c r="J171" s="34" t="e">
        <f>VLOOKUP(A1,DIV_06Data!$A$1:$DZU$1000000,2901,FALSE)</f>
        <v>#N/A</v>
      </c>
      <c r="K171" s="34" t="e">
        <f>VLOOKUP(A1,DIV_06Data!$A$1:$DZU$1000000,2902,FALSE)</f>
        <v>#N/A</v>
      </c>
      <c r="L171" s="93" t="e">
        <f>VLOOKUP(A1,DIV_06Data!$A$1:$DZU$1000000,2903,FALSE)</f>
        <v>#N/A</v>
      </c>
      <c r="M171" s="33" t="e">
        <f>VLOOKUP(A1,DIV_06Data!$A$1:$DZU$1000000,2904,FALSE)</f>
        <v>#N/A</v>
      </c>
      <c r="N171" s="34" t="e">
        <f>VLOOKUP(A1,DIV_06Data!$A$1:$DZU$1000000,2905,FALSE)</f>
        <v>#N/A</v>
      </c>
      <c r="O171" s="33" t="e">
        <f>VLOOKUP(A1,DIV_06Data!$A$1:$DZU$1000000,2906,FALSE)</f>
        <v>#N/A</v>
      </c>
      <c r="P171" s="46" t="e">
        <f>VLOOKUP(A1,DIV_06Data!$A$1:$DZU$1000000,2907,FALSE)</f>
        <v>#N/A</v>
      </c>
      <c r="Q171" s="33" t="e">
        <f>VLOOKUP(A1,DIV_06Data!$A$1:$DZU$1000000,2908,FALSE)</f>
        <v>#N/A</v>
      </c>
    </row>
    <row r="172" spans="1:17" x14ac:dyDescent="0.35">
      <c r="A172" s="22" t="e">
        <f>VLOOKUP(A1,DIV_06Data!$A$1:$DZU$1000000,2909,FALSE)</f>
        <v>#N/A</v>
      </c>
      <c r="B172" s="37" t="e">
        <f>VLOOKUP(A1,DIV_06Data!$A$1:$DZU$1000000,2910,FALSE)</f>
        <v>#N/A</v>
      </c>
      <c r="C172" s="38" t="e">
        <f>VLOOKUP(A1,DIV_06Data!$A$1:$DZU$1000000,2911,FALSE)</f>
        <v>#N/A</v>
      </c>
      <c r="D172" s="31" t="e">
        <f>VLOOKUP(A1,DIV_06Data!$A$1:$DZU$1000000,2912,FALSE)</f>
        <v>#N/A</v>
      </c>
      <c r="E172" s="32" t="e">
        <f>VLOOKUP(A1,DIV_06Data!$A$1:$DZU$1000000,2913,FALSE)</f>
        <v>#N/A</v>
      </c>
      <c r="F172" s="34" t="e">
        <f>VLOOKUP(A1,DIV_06Data!$A$1:$DZU$1000000,2914,FALSE)</f>
        <v>#N/A</v>
      </c>
      <c r="G172" s="33" t="e">
        <f>VLOOKUP(A1,DIV_06Data!$A$1:$DZU$1000000,2915,FALSE)</f>
        <v>#N/A</v>
      </c>
      <c r="H172" s="34" t="e">
        <f>VLOOKUP(A1,DIV_06Data!$A$1:$DZU$1000000,2916,FALSE)</f>
        <v>#N/A</v>
      </c>
      <c r="I172" s="33" t="e">
        <f>VLOOKUP(A1,DIV_06Data!$A$1:$DZU$1000000,2917,FALSE)</f>
        <v>#N/A</v>
      </c>
      <c r="J172" s="34" t="e">
        <f>VLOOKUP(A1,DIV_06Data!$A$1:$DZU$1000000,2918,FALSE)</f>
        <v>#N/A</v>
      </c>
      <c r="K172" s="34" t="e">
        <f>VLOOKUP(A1,DIV_06Data!$A$1:$DZU$1000000,2919,FALSE)</f>
        <v>#N/A</v>
      </c>
      <c r="L172" s="93" t="e">
        <f>VLOOKUP(A1,DIV_06Data!$A$1:$DZU$1000000,2920,FALSE)</f>
        <v>#N/A</v>
      </c>
      <c r="M172" s="33" t="e">
        <f>VLOOKUP(A1,DIV_06Data!$A$1:$DZU$1000000,2921,FALSE)</f>
        <v>#N/A</v>
      </c>
      <c r="N172" s="34" t="e">
        <f>VLOOKUP(A1,DIV_06Data!$A$1:$DZU$1000000,2922,FALSE)</f>
        <v>#N/A</v>
      </c>
      <c r="O172" s="33" t="e">
        <f>VLOOKUP(A1,DIV_06Data!$A$1:$DZU$1000000,2923,FALSE)</f>
        <v>#N/A</v>
      </c>
      <c r="P172" s="46" t="e">
        <f>VLOOKUP(A1,DIV_06Data!$A$1:$DZU$1000000,2924,FALSE)</f>
        <v>#N/A</v>
      </c>
      <c r="Q172" s="33" t="e">
        <f>VLOOKUP(A1,DIV_06Data!$A$1:$DZU$1000000,2925,FALSE)</f>
        <v>#N/A</v>
      </c>
    </row>
    <row r="173" spans="1:17" x14ac:dyDescent="0.35">
      <c r="A173" s="22" t="e">
        <f>VLOOKUP(A1,DIV_06Data!$A$1:$DZU$1000000,2926,FALSE)</f>
        <v>#N/A</v>
      </c>
      <c r="B173" s="37" t="e">
        <f>VLOOKUP(A1,DIV_06Data!$A$1:$DZU$1000000,2927,FALSE)</f>
        <v>#N/A</v>
      </c>
      <c r="C173" s="38" t="e">
        <f>VLOOKUP(A1,DIV_06Data!$A$1:$DZU$1000000,2928,FALSE)</f>
        <v>#N/A</v>
      </c>
      <c r="D173" s="31" t="e">
        <f>VLOOKUP(A1,DIV_06Data!$A$1:$DZU$1000000,2929,FALSE)</f>
        <v>#N/A</v>
      </c>
      <c r="E173" s="32" t="e">
        <f>VLOOKUP(A1,DIV_06Data!$A$1:$DZU$1000000,2930,FALSE)</f>
        <v>#N/A</v>
      </c>
      <c r="F173" s="34" t="e">
        <f>VLOOKUP(A1,DIV_06Data!$A$1:$DZU$1000000,2931,FALSE)</f>
        <v>#N/A</v>
      </c>
      <c r="G173" s="33" t="e">
        <f>VLOOKUP(A1,DIV_06Data!$A$1:$DZU$1000000,2932,FALSE)</f>
        <v>#N/A</v>
      </c>
      <c r="H173" s="34" t="e">
        <f>VLOOKUP(A1,DIV_06Data!$A$1:$DZU$1000000,2933,FALSE)</f>
        <v>#N/A</v>
      </c>
      <c r="I173" s="33" t="e">
        <f>VLOOKUP(A1,DIV_06Data!$A$1:$DZU$1000000,2934,FALSE)</f>
        <v>#N/A</v>
      </c>
      <c r="J173" s="34" t="e">
        <f>VLOOKUP(A1,DIV_06Data!$A$1:$DZU$1000000,2935,FALSE)</f>
        <v>#N/A</v>
      </c>
      <c r="K173" s="34" t="e">
        <f>VLOOKUP(A1,DIV_06Data!$A$1:$DZU$1000000,2936,FALSE)</f>
        <v>#N/A</v>
      </c>
      <c r="L173" s="93" t="e">
        <f>VLOOKUP(A1,DIV_06Data!$A$1:$DZU$1000000,2937,FALSE)</f>
        <v>#N/A</v>
      </c>
      <c r="M173" s="33" t="e">
        <f>VLOOKUP(A1,DIV_06Data!$A$1:$DZU$1000000,2938,FALSE)</f>
        <v>#N/A</v>
      </c>
      <c r="N173" s="34" t="e">
        <f>VLOOKUP(A1,DIV_06Data!$A$1:$DZU$1000000,2939,FALSE)</f>
        <v>#N/A</v>
      </c>
      <c r="O173" s="33" t="e">
        <f>VLOOKUP(A1,DIV_06Data!$A$1:$DZU$1000000,2940,FALSE)</f>
        <v>#N/A</v>
      </c>
      <c r="P173" s="46" t="e">
        <f>VLOOKUP(A1,DIV_06Data!$A$1:$DZU$1000000,2941,FALSE)</f>
        <v>#N/A</v>
      </c>
      <c r="Q173" s="33" t="e">
        <f>VLOOKUP(A1,DIV_06Data!$A$1:$DZU$1000000,2942,FALSE)</f>
        <v>#N/A</v>
      </c>
    </row>
    <row r="174" spans="1:17" x14ac:dyDescent="0.35">
      <c r="A174" s="22" t="e">
        <f>VLOOKUP(A1,DIV_06Data!$A$1:$DZU$1000000,2943,FALSE)</f>
        <v>#N/A</v>
      </c>
      <c r="B174" s="37" t="e">
        <f>VLOOKUP(A1,DIV_06Data!$A$1:$DZU$1000000,2944,FALSE)</f>
        <v>#N/A</v>
      </c>
      <c r="C174" s="38" t="e">
        <f>VLOOKUP(A1,DIV_06Data!$A$1:$DZU$1000000,2945,FALSE)</f>
        <v>#N/A</v>
      </c>
      <c r="D174" s="31" t="e">
        <f>VLOOKUP(A1,DIV_06Data!$A$1:$DZU$1000000,2946,FALSE)</f>
        <v>#N/A</v>
      </c>
      <c r="E174" s="32" t="e">
        <f>VLOOKUP(A1,DIV_06Data!$A$1:$DZU$1000000,2947,FALSE)</f>
        <v>#N/A</v>
      </c>
      <c r="F174" s="34" t="e">
        <f>VLOOKUP(A1,DIV_06Data!$A$1:$DZU$1000000,2948,FALSE)</f>
        <v>#N/A</v>
      </c>
      <c r="G174" s="33" t="e">
        <f>VLOOKUP(A1,DIV_06Data!$A$1:$DZU$1000000,2949,FALSE)</f>
        <v>#N/A</v>
      </c>
      <c r="H174" s="34" t="e">
        <f>VLOOKUP(A1,DIV_06Data!$A$1:$DZU$1000000,2950,FALSE)</f>
        <v>#N/A</v>
      </c>
      <c r="I174" s="33" t="e">
        <f>VLOOKUP(A1,DIV_06Data!$A$1:$DZU$1000000,2951,FALSE)</f>
        <v>#N/A</v>
      </c>
      <c r="J174" s="34" t="e">
        <f>VLOOKUP(A1,DIV_06Data!$A$1:$DZU$1000000,2952,FALSE)</f>
        <v>#N/A</v>
      </c>
      <c r="K174" s="34" t="e">
        <f>VLOOKUP(A1,DIV_06Data!$A$1:$DZU$1000000,2953,FALSE)</f>
        <v>#N/A</v>
      </c>
      <c r="L174" s="93" t="e">
        <f>VLOOKUP(A1,DIV_06Data!$A$1:$DZU$1000000,2954,FALSE)</f>
        <v>#N/A</v>
      </c>
      <c r="M174" s="33" t="e">
        <f>VLOOKUP(A1,DIV_06Data!$A$1:$DZU$1000000,2955,FALSE)</f>
        <v>#N/A</v>
      </c>
      <c r="N174" s="34" t="e">
        <f>VLOOKUP(A1,DIV_06Data!$A$1:$DZU$1000000,2956,FALSE)</f>
        <v>#N/A</v>
      </c>
      <c r="O174" s="33" t="e">
        <f>VLOOKUP(A1,DIV_06Data!$A$1:$DZU$1000000,2957,FALSE)</f>
        <v>#N/A</v>
      </c>
      <c r="P174" s="46" t="e">
        <f>VLOOKUP(A1,DIV_06Data!$A$1:$DZU$1000000,2958,FALSE)</f>
        <v>#N/A</v>
      </c>
      <c r="Q174" s="33" t="e">
        <f>VLOOKUP(A1,DIV_06Data!$A$1:$DZU$1000000,2959,FALSE)</f>
        <v>#N/A</v>
      </c>
    </row>
    <row r="175" spans="1:17" x14ac:dyDescent="0.35">
      <c r="A175" s="22" t="e">
        <f>VLOOKUP(A1,DIV_06Data!$A$1:$DZU$1000000,2960,FALSE)</f>
        <v>#N/A</v>
      </c>
      <c r="B175" s="37" t="e">
        <f>VLOOKUP(A1,DIV_06Data!$A$1:$DZU$1000000,2961,FALSE)</f>
        <v>#N/A</v>
      </c>
      <c r="C175" s="38" t="e">
        <f>VLOOKUP(A1,DIV_06Data!$A$1:$DZU$1000000,2962,FALSE)</f>
        <v>#N/A</v>
      </c>
      <c r="D175" s="31" t="e">
        <f>VLOOKUP(A1,DIV_06Data!$A$1:$DZU$1000000,2963,FALSE)</f>
        <v>#N/A</v>
      </c>
      <c r="E175" s="32" t="e">
        <f>VLOOKUP(A1,DIV_06Data!$A$1:$DZU$1000000,2964,FALSE)</f>
        <v>#N/A</v>
      </c>
      <c r="F175" s="34" t="e">
        <f>VLOOKUP(A1,DIV_06Data!$A$1:$DZU$1000000,2965,FALSE)</f>
        <v>#N/A</v>
      </c>
      <c r="G175" s="33" t="e">
        <f>VLOOKUP(A1,DIV_06Data!$A$1:$DZU$1000000,2966,FALSE)</f>
        <v>#N/A</v>
      </c>
      <c r="H175" s="34" t="e">
        <f>VLOOKUP(A1,DIV_06Data!$A$1:$DZU$1000000,2967,FALSE)</f>
        <v>#N/A</v>
      </c>
      <c r="I175" s="33" t="e">
        <f>VLOOKUP(A1,DIV_06Data!$A$1:$DZU$1000000,2968,FALSE)</f>
        <v>#N/A</v>
      </c>
      <c r="J175" s="34" t="e">
        <f>VLOOKUP(A1,DIV_06Data!$A$1:$DZU$1000000,2969,FALSE)</f>
        <v>#N/A</v>
      </c>
      <c r="K175" s="34" t="e">
        <f>VLOOKUP(A1,DIV_06Data!$A$1:$DZU$1000000,2970,FALSE)</f>
        <v>#N/A</v>
      </c>
      <c r="L175" s="93" t="e">
        <f>VLOOKUP(A1,DIV_06Data!$A$1:$DZU$1000000,2971,FALSE)</f>
        <v>#N/A</v>
      </c>
      <c r="M175" s="33" t="e">
        <f>VLOOKUP(A1,DIV_06Data!$A$1:$DZU$1000000,2972,FALSE)</f>
        <v>#N/A</v>
      </c>
      <c r="N175" s="34" t="e">
        <f>VLOOKUP(A1,DIV_06Data!$A$1:$DZU$1000000,2973,FALSE)</f>
        <v>#N/A</v>
      </c>
      <c r="O175" s="33" t="e">
        <f>VLOOKUP(A1,DIV_06Data!$A$1:$DZU$1000000,2974,FALSE)</f>
        <v>#N/A</v>
      </c>
      <c r="P175" s="46" t="e">
        <f>VLOOKUP(A1,DIV_06Data!$A$1:$DZU$1000000,2975,FALSE)</f>
        <v>#N/A</v>
      </c>
      <c r="Q175" s="33" t="e">
        <f>VLOOKUP(A1,DIV_06Data!$A$1:$DZU$1000000,2976,FALSE)</f>
        <v>#N/A</v>
      </c>
    </row>
    <row r="176" spans="1:17" x14ac:dyDescent="0.35">
      <c r="A176" s="22" t="e">
        <f>VLOOKUP(A1,DIV_06Data!$A$1:$DZU$1000000,2977,FALSE)</f>
        <v>#N/A</v>
      </c>
      <c r="B176" s="37" t="e">
        <f>VLOOKUP(A1,DIV_06Data!$A$1:$DZU$1000000,2978,FALSE)</f>
        <v>#N/A</v>
      </c>
      <c r="C176" s="38" t="e">
        <f>VLOOKUP(A1,DIV_06Data!$A$1:$DZU$1000000,2979,FALSE)</f>
        <v>#N/A</v>
      </c>
      <c r="D176" s="31" t="e">
        <f>VLOOKUP(A1,DIV_06Data!$A$1:$DZU$1000000,2980,FALSE)</f>
        <v>#N/A</v>
      </c>
      <c r="E176" s="32" t="e">
        <f>VLOOKUP(A1,DIV_06Data!$A$1:$DZU$1000000,2981,FALSE)</f>
        <v>#N/A</v>
      </c>
      <c r="F176" s="34" t="e">
        <f>VLOOKUP(A1,DIV_06Data!$A$1:$DZU$1000000,2982,FALSE)</f>
        <v>#N/A</v>
      </c>
      <c r="G176" s="33" t="e">
        <f>VLOOKUP(A1,DIV_06Data!$A$1:$DZU$1000000,2983,FALSE)</f>
        <v>#N/A</v>
      </c>
      <c r="H176" s="34" t="e">
        <f>VLOOKUP(A1,DIV_06Data!$A$1:$DZU$1000000,2984,FALSE)</f>
        <v>#N/A</v>
      </c>
      <c r="I176" s="33" t="e">
        <f>VLOOKUP(A1,DIV_06Data!$A$1:$DZU$1000000,2985,FALSE)</f>
        <v>#N/A</v>
      </c>
      <c r="J176" s="34" t="e">
        <f>VLOOKUP(A1,DIV_06Data!$A$1:$DZU$1000000,2986,FALSE)</f>
        <v>#N/A</v>
      </c>
      <c r="K176" s="34" t="e">
        <f>VLOOKUP(A1,DIV_06Data!$A$1:$DZU$1000000,2987,FALSE)</f>
        <v>#N/A</v>
      </c>
      <c r="L176" s="93" t="e">
        <f>VLOOKUP(A1,DIV_06Data!$A$1:$DZU$1000000,2988,FALSE)</f>
        <v>#N/A</v>
      </c>
      <c r="M176" s="33" t="e">
        <f>VLOOKUP(A1,DIV_06Data!$A$1:$DZU$1000000,2989,FALSE)</f>
        <v>#N/A</v>
      </c>
      <c r="N176" s="34" t="e">
        <f>VLOOKUP(A1,DIV_06Data!$A$1:$DZU$1000000,2990,FALSE)</f>
        <v>#N/A</v>
      </c>
      <c r="O176" s="33" t="e">
        <f>VLOOKUP(A1,DIV_06Data!$A$1:$DZU$1000000,2991,FALSE)</f>
        <v>#N/A</v>
      </c>
      <c r="P176" s="46" t="e">
        <f>VLOOKUP(A1,DIV_06Data!$A$1:$DZU$1000000,2992,FALSE)</f>
        <v>#N/A</v>
      </c>
      <c r="Q176" s="33" t="e">
        <f>VLOOKUP(A1,DIV_06Data!$A$1:$DZU$1000000,2993,FALSE)</f>
        <v>#N/A</v>
      </c>
    </row>
    <row r="177" spans="1:17" x14ac:dyDescent="0.35">
      <c r="A177" s="22" t="e">
        <f>VLOOKUP(A1,DIV_06Data!$A$1:$DZU$1000000,2994,FALSE)</f>
        <v>#N/A</v>
      </c>
      <c r="B177" s="37" t="e">
        <f>VLOOKUP(A1,DIV_06Data!$A$1:$DZU$1000000,2995,FALSE)</f>
        <v>#N/A</v>
      </c>
      <c r="C177" s="38" t="e">
        <f>VLOOKUP(A1,DIV_06Data!$A$1:$DZU$1000000,2996,FALSE)</f>
        <v>#N/A</v>
      </c>
      <c r="D177" s="31" t="e">
        <f>VLOOKUP(A1,DIV_06Data!$A$1:$DZU$1000000,2997,FALSE)</f>
        <v>#N/A</v>
      </c>
      <c r="E177" s="32" t="e">
        <f>VLOOKUP(A1,DIV_06Data!$A$1:$DZU$1000000,2998,FALSE)</f>
        <v>#N/A</v>
      </c>
      <c r="F177" s="34" t="e">
        <f>VLOOKUP(A1,DIV_06Data!$A$1:$DZU$1000000,2999,FALSE)</f>
        <v>#N/A</v>
      </c>
      <c r="G177" s="33" t="e">
        <f>VLOOKUP(A1,DIV_06Data!$A$1:$DZU$1000000,3000,FALSE)</f>
        <v>#N/A</v>
      </c>
      <c r="H177" s="34" t="e">
        <f>VLOOKUP(A1,DIV_06Data!$A$1:$DZU$1000000,3001,FALSE)</f>
        <v>#N/A</v>
      </c>
      <c r="I177" s="33" t="e">
        <f>VLOOKUP(A1,DIV_06Data!$A$1:$DZU$1000000,3002,FALSE)</f>
        <v>#N/A</v>
      </c>
      <c r="J177" s="34" t="e">
        <f>VLOOKUP(A1,DIV_06Data!$A$1:$DZU$1000000,3003,FALSE)</f>
        <v>#N/A</v>
      </c>
      <c r="K177" s="34" t="e">
        <f>VLOOKUP(A1,DIV_06Data!$A$1:$DZU$1000000,3004,FALSE)</f>
        <v>#N/A</v>
      </c>
      <c r="L177" s="93" t="e">
        <f>VLOOKUP(A1,DIV_06Data!$A$1:$DZU$1000000,3005,FALSE)</f>
        <v>#N/A</v>
      </c>
      <c r="M177" s="33" t="e">
        <f>VLOOKUP(A1,DIV_06Data!$A$1:$DZU$1000000,3006,FALSE)</f>
        <v>#N/A</v>
      </c>
      <c r="N177" s="34" t="e">
        <f>VLOOKUP(A1,DIV_06Data!$A$1:$DZU$1000000,3007,FALSE)</f>
        <v>#N/A</v>
      </c>
      <c r="O177" s="33" t="e">
        <f>VLOOKUP(A1,DIV_06Data!$A$1:$DZU$1000000,3008,FALSE)</f>
        <v>#N/A</v>
      </c>
      <c r="P177" s="46" t="e">
        <f>VLOOKUP(A1,DIV_06Data!$A$1:$DZU$1000000,3009,FALSE)</f>
        <v>#N/A</v>
      </c>
      <c r="Q177" s="33" t="e">
        <f>VLOOKUP(A1,DIV_06Data!$A$1:$DZU$1000000,3010,FALSE)</f>
        <v>#N/A</v>
      </c>
    </row>
    <row r="178" spans="1:17" x14ac:dyDescent="0.35">
      <c r="A178" s="22" t="e">
        <f>VLOOKUP(A1,DIV_06Data!$A$1:$DZU$1000000,3011,FALSE)</f>
        <v>#N/A</v>
      </c>
      <c r="B178" s="37" t="e">
        <f>VLOOKUP(A1,DIV_06Data!$A$1:$DZU$1000000,3012,FALSE)</f>
        <v>#N/A</v>
      </c>
      <c r="C178" s="38" t="e">
        <f>VLOOKUP(A1,DIV_06Data!$A$1:$DZU$1000000,3013,FALSE)</f>
        <v>#N/A</v>
      </c>
      <c r="D178" s="31" t="e">
        <f>VLOOKUP(A1,DIV_06Data!$A$1:$DZU$1000000,3014,FALSE)</f>
        <v>#N/A</v>
      </c>
      <c r="E178" s="32" t="e">
        <f>VLOOKUP(A1,DIV_06Data!$A$1:$DZU$1000000,3015,FALSE)</f>
        <v>#N/A</v>
      </c>
      <c r="F178" s="34" t="e">
        <f>VLOOKUP(A1,DIV_06Data!$A$1:$DZU$1000000,3016,FALSE)</f>
        <v>#N/A</v>
      </c>
      <c r="G178" s="33" t="e">
        <f>VLOOKUP(A1,DIV_06Data!$A$1:$DZU$1000000,3017,FALSE)</f>
        <v>#N/A</v>
      </c>
      <c r="H178" s="34" t="e">
        <f>VLOOKUP(A1,DIV_06Data!$A$1:$DZU$1000000,3018,FALSE)</f>
        <v>#N/A</v>
      </c>
      <c r="I178" s="33" t="e">
        <f>VLOOKUP(A1,DIV_06Data!$A$1:$DZU$1000000,3019,FALSE)</f>
        <v>#N/A</v>
      </c>
      <c r="J178" s="34" t="e">
        <f>VLOOKUP(A1,DIV_06Data!$A$1:$DZU$1000000,3020,FALSE)</f>
        <v>#N/A</v>
      </c>
      <c r="K178" s="34" t="e">
        <f>VLOOKUP(A1,DIV_06Data!$A$1:$DZU$1000000,3021,FALSE)</f>
        <v>#N/A</v>
      </c>
      <c r="L178" s="93" t="e">
        <f>VLOOKUP(A1,DIV_06Data!$A$1:$DZU$1000000,3022,FALSE)</f>
        <v>#N/A</v>
      </c>
      <c r="M178" s="33" t="e">
        <f>VLOOKUP(A1,DIV_06Data!$A$1:$DZU$1000000,3023,FALSE)</f>
        <v>#N/A</v>
      </c>
      <c r="N178" s="34" t="e">
        <f>VLOOKUP(A1,DIV_06Data!$A$1:$DZU$1000000,3024,FALSE)</f>
        <v>#N/A</v>
      </c>
      <c r="O178" s="33" t="e">
        <f>VLOOKUP(A1,DIV_06Data!$A$1:$DZU$1000000,3025,FALSE)</f>
        <v>#N/A</v>
      </c>
      <c r="P178" s="46" t="e">
        <f>VLOOKUP(A1,DIV_06Data!$A$1:$DZU$1000000,3026,FALSE)</f>
        <v>#N/A</v>
      </c>
      <c r="Q178" s="33" t="e">
        <f>VLOOKUP(A1,DIV_06Data!$A$1:$DZU$1000000,3027,FALSE)</f>
        <v>#N/A</v>
      </c>
    </row>
    <row r="179" spans="1:17" x14ac:dyDescent="0.35">
      <c r="A179" s="22" t="e">
        <f>VLOOKUP(A1,DIV_06Data!$A$1:$DZU$1000000,3028,FALSE)</f>
        <v>#N/A</v>
      </c>
      <c r="B179" s="37" t="e">
        <f>VLOOKUP(A1,DIV_06Data!$A$1:$DZU$1000000,3029,FALSE)</f>
        <v>#N/A</v>
      </c>
      <c r="C179" s="38" t="e">
        <f>VLOOKUP(A1,DIV_06Data!$A$1:$DZU$1000000,3030,FALSE)</f>
        <v>#N/A</v>
      </c>
      <c r="D179" s="31" t="e">
        <f>VLOOKUP(A1,DIV_06Data!$A$1:$DZU$1000000,3031,FALSE)</f>
        <v>#N/A</v>
      </c>
      <c r="E179" s="32" t="e">
        <f>VLOOKUP(A1,DIV_06Data!$A$1:$DZU$1000000,3032,FALSE)</f>
        <v>#N/A</v>
      </c>
      <c r="F179" s="34" t="e">
        <f>VLOOKUP(A1,DIV_06Data!$A$1:$DZU$1000000,3033,FALSE)</f>
        <v>#N/A</v>
      </c>
      <c r="G179" s="33" t="e">
        <f>VLOOKUP(A1,DIV_06Data!$A$1:$DZU$1000000,3034,FALSE)</f>
        <v>#N/A</v>
      </c>
      <c r="H179" s="34" t="e">
        <f>VLOOKUP(A1,DIV_06Data!$A$1:$DZU$1000000,3035,FALSE)</f>
        <v>#N/A</v>
      </c>
      <c r="I179" s="33" t="e">
        <f>VLOOKUP(A1,DIV_06Data!$A$1:$DZU$1000000,3036,FALSE)</f>
        <v>#N/A</v>
      </c>
      <c r="J179" s="34" t="e">
        <f>VLOOKUP(A1,DIV_06Data!$A$1:$DZU$1000000,3037,FALSE)</f>
        <v>#N/A</v>
      </c>
      <c r="K179" s="34" t="e">
        <f>VLOOKUP(A1,DIV_06Data!$A$1:$DZU$1000000,3038,FALSE)</f>
        <v>#N/A</v>
      </c>
      <c r="L179" s="93" t="e">
        <f>VLOOKUP(A1,DIV_06Data!$A$1:$DZU$1000000,3039,FALSE)</f>
        <v>#N/A</v>
      </c>
      <c r="M179" s="33" t="e">
        <f>VLOOKUP(A1,DIV_06Data!$A$1:$DZU$1000000,3040,FALSE)</f>
        <v>#N/A</v>
      </c>
      <c r="N179" s="34" t="e">
        <f>VLOOKUP(A1,DIV_06Data!$A$1:$DZU$1000000,3041,FALSE)</f>
        <v>#N/A</v>
      </c>
      <c r="O179" s="33" t="e">
        <f>VLOOKUP(A1,DIV_06Data!$A$1:$DZU$1000000,3042,FALSE)</f>
        <v>#N/A</v>
      </c>
      <c r="P179" s="46" t="e">
        <f>VLOOKUP(A1,DIV_06Data!$A$1:$DZU$1000000,3043,FALSE)</f>
        <v>#N/A</v>
      </c>
      <c r="Q179" s="33" t="e">
        <f>VLOOKUP(A1,DIV_06Data!$A$1:$DZU$1000000,3044,FALSE)</f>
        <v>#N/A</v>
      </c>
    </row>
    <row r="180" spans="1:17" x14ac:dyDescent="0.35">
      <c r="A180" s="22" t="e">
        <f>VLOOKUP(A1,DIV_06Data!$A$1:$DZU$1000000,3045,FALSE)</f>
        <v>#N/A</v>
      </c>
      <c r="B180" s="37" t="e">
        <f>VLOOKUP(A1,DIV_06Data!$A$1:$DZU$1000000,3046,FALSE)</f>
        <v>#N/A</v>
      </c>
      <c r="C180" s="38" t="e">
        <f>VLOOKUP(A1,DIV_06Data!$A$1:$DZU$1000000,3047,FALSE)</f>
        <v>#N/A</v>
      </c>
      <c r="D180" s="31" t="e">
        <f>VLOOKUP(A1,DIV_06Data!$A$1:$DZU$1000000,3048,FALSE)</f>
        <v>#N/A</v>
      </c>
      <c r="E180" s="32" t="e">
        <f>VLOOKUP(A1,DIV_06Data!$A$1:$DZU$1000000,3049,FALSE)</f>
        <v>#N/A</v>
      </c>
      <c r="F180" s="34" t="e">
        <f>VLOOKUP(A1,DIV_06Data!$A$1:$DZU$1000000,3050,FALSE)</f>
        <v>#N/A</v>
      </c>
      <c r="G180" s="33" t="e">
        <f>VLOOKUP(A1,DIV_06Data!$A$1:$DZU$1000000,3051,FALSE)</f>
        <v>#N/A</v>
      </c>
      <c r="H180" s="34" t="e">
        <f>VLOOKUP(A1,DIV_06Data!$A$1:$DZU$1000000,3052,FALSE)</f>
        <v>#N/A</v>
      </c>
      <c r="I180" s="33" t="e">
        <f>VLOOKUP(A1,DIV_06Data!$A$1:$DZU$1000000,3053,FALSE)</f>
        <v>#N/A</v>
      </c>
      <c r="J180" s="34" t="e">
        <f>VLOOKUP(A1,DIV_06Data!$A$1:$DZU$1000000,3054,FALSE)</f>
        <v>#N/A</v>
      </c>
      <c r="K180" s="34" t="e">
        <f>VLOOKUP(A1,DIV_06Data!$A$1:$DZU$1000000,3055,FALSE)</f>
        <v>#N/A</v>
      </c>
      <c r="L180" s="93" t="e">
        <f>VLOOKUP(A1,DIV_06Data!$A$1:$DZU$1000000,3056,FALSE)</f>
        <v>#N/A</v>
      </c>
      <c r="M180" s="33" t="e">
        <f>VLOOKUP(A1,DIV_06Data!$A$1:$DZU$1000000,3057,FALSE)</f>
        <v>#N/A</v>
      </c>
      <c r="N180" s="34" t="e">
        <f>VLOOKUP(A1,DIV_06Data!$A$1:$DZU$1000000,3058,FALSE)</f>
        <v>#N/A</v>
      </c>
      <c r="O180" s="33" t="e">
        <f>VLOOKUP(A1,DIV_06Data!$A$1:$DZU$1000000,3059,FALSE)</f>
        <v>#N/A</v>
      </c>
      <c r="P180" s="46" t="e">
        <f>VLOOKUP(A1,DIV_06Data!$A$1:$DZU$1000000,3060,FALSE)</f>
        <v>#N/A</v>
      </c>
      <c r="Q180" s="33" t="e">
        <f>VLOOKUP(A1,DIV_06Data!$A$1:$DZU$1000000,3061,FALSE)</f>
        <v>#N/A</v>
      </c>
    </row>
    <row r="181" spans="1:17" x14ac:dyDescent="0.35">
      <c r="A181" s="22" t="e">
        <f>VLOOKUP(A1,DIV_06Data!$A$1:$DZU$1000000,3062,FALSE)</f>
        <v>#N/A</v>
      </c>
      <c r="B181" s="37" t="e">
        <f>VLOOKUP(A1,DIV_06Data!$A$1:$DZU$1000000,3063,FALSE)</f>
        <v>#N/A</v>
      </c>
      <c r="C181" s="38" t="e">
        <f>VLOOKUP(A1,DIV_06Data!$A$1:$DZU$1000000,3064,FALSE)</f>
        <v>#N/A</v>
      </c>
      <c r="D181" s="31" t="e">
        <f>VLOOKUP(A1,DIV_06Data!$A$1:$DZU$1000000,3065,FALSE)</f>
        <v>#N/A</v>
      </c>
      <c r="E181" s="32" t="e">
        <f>VLOOKUP(A1,DIV_06Data!$A$1:$DZU$1000000,3066,FALSE)</f>
        <v>#N/A</v>
      </c>
      <c r="F181" s="34" t="e">
        <f>VLOOKUP(A1,DIV_06Data!$A$1:$DZU$1000000,3067,FALSE)</f>
        <v>#N/A</v>
      </c>
      <c r="G181" s="33" t="e">
        <f>VLOOKUP(A1,DIV_06Data!$A$1:$DZU$1000000,3068,FALSE)</f>
        <v>#N/A</v>
      </c>
      <c r="H181" s="34" t="e">
        <f>VLOOKUP(A1,DIV_06Data!$A$1:$DZU$1000000,3069,FALSE)</f>
        <v>#N/A</v>
      </c>
      <c r="I181" s="33" t="e">
        <f>VLOOKUP(A1,DIV_06Data!$A$1:$DZU$1000000,3070,FALSE)</f>
        <v>#N/A</v>
      </c>
      <c r="J181" s="34" t="e">
        <f>VLOOKUP(A1,DIV_06Data!$A$1:$DZU$1000000,3071,FALSE)</f>
        <v>#N/A</v>
      </c>
      <c r="K181" s="34" t="e">
        <f>VLOOKUP(A1,DIV_06Data!$A$1:$DZU$1000000,3072,FALSE)</f>
        <v>#N/A</v>
      </c>
      <c r="L181" s="93" t="e">
        <f>VLOOKUP(A1,DIV_06Data!$A$1:$DZU$1000000,3073,FALSE)</f>
        <v>#N/A</v>
      </c>
      <c r="M181" s="33" t="e">
        <f>VLOOKUP(A1,DIV_06Data!$A$1:$DZU$1000000,3074,FALSE)</f>
        <v>#N/A</v>
      </c>
      <c r="N181" s="34" t="e">
        <f>VLOOKUP(A1,DIV_06Data!$A$1:$DZU$1000000,3075,FALSE)</f>
        <v>#N/A</v>
      </c>
      <c r="O181" s="33" t="e">
        <f>VLOOKUP(A1,DIV_06Data!$A$1:$DZU$1000000,3076,FALSE)</f>
        <v>#N/A</v>
      </c>
      <c r="P181" s="46" t="e">
        <f>VLOOKUP(A1,DIV_06Data!$A$1:$DZU$1000000,3077,FALSE)</f>
        <v>#N/A</v>
      </c>
      <c r="Q181" s="33" t="e">
        <f>VLOOKUP(A1,DIV_06Data!$A$1:$DZU$1000000,3078,FALSE)</f>
        <v>#N/A</v>
      </c>
    </row>
    <row r="182" spans="1:17" x14ac:dyDescent="0.35">
      <c r="A182" s="22" t="e">
        <f>VLOOKUP(A1,DIV_06Data!$A$1:$DZU$1000000,3079,FALSE)</f>
        <v>#N/A</v>
      </c>
      <c r="B182" s="37" t="e">
        <f>VLOOKUP(A1,DIV_06Data!$A$1:$DZU$1000000,3080,FALSE)</f>
        <v>#N/A</v>
      </c>
      <c r="C182" s="38" t="e">
        <f>VLOOKUP(A1,DIV_06Data!$A$1:$DZU$1000000,3081,FALSE)</f>
        <v>#N/A</v>
      </c>
      <c r="D182" s="31" t="e">
        <f>VLOOKUP(A1,DIV_06Data!$A$1:$DZU$1000000,3082,FALSE)</f>
        <v>#N/A</v>
      </c>
      <c r="E182" s="32" t="e">
        <f>VLOOKUP(A1,DIV_06Data!$A$1:$DZU$1000000,3083,FALSE)</f>
        <v>#N/A</v>
      </c>
      <c r="F182" s="34" t="e">
        <f>VLOOKUP(A1,DIV_06Data!$A$1:$DZU$1000000,3084,FALSE)</f>
        <v>#N/A</v>
      </c>
      <c r="G182" s="33" t="e">
        <f>VLOOKUP(A1,DIV_06Data!$A$1:$DZU$1000000,3085,FALSE)</f>
        <v>#N/A</v>
      </c>
      <c r="H182" s="34" t="e">
        <f>VLOOKUP(A1,DIV_06Data!$A$1:$DZU$1000000,3086,FALSE)</f>
        <v>#N/A</v>
      </c>
      <c r="I182" s="33" t="e">
        <f>VLOOKUP(A1,DIV_06Data!$A$1:$DZU$1000000,3087,FALSE)</f>
        <v>#N/A</v>
      </c>
      <c r="J182" s="34" t="e">
        <f>VLOOKUP(A1,DIV_06Data!$A$1:$DZU$1000000,3088,FALSE)</f>
        <v>#N/A</v>
      </c>
      <c r="K182" s="34" t="e">
        <f>VLOOKUP(A1,DIV_06Data!$A$1:$DZU$1000000,3089,FALSE)</f>
        <v>#N/A</v>
      </c>
      <c r="L182" s="93" t="e">
        <f>VLOOKUP(A1,DIV_06Data!$A$1:$DZU$1000000,3090,FALSE)</f>
        <v>#N/A</v>
      </c>
      <c r="M182" s="33" t="e">
        <f>VLOOKUP(A1,DIV_06Data!$A$1:$DZU$1000000,3091,FALSE)</f>
        <v>#N/A</v>
      </c>
      <c r="N182" s="34" t="e">
        <f>VLOOKUP(A1,DIV_06Data!$A$1:$DZU$1000000,3092,FALSE)</f>
        <v>#N/A</v>
      </c>
      <c r="O182" s="33" t="e">
        <f>VLOOKUP(A1,DIV_06Data!$A$1:$DZU$1000000,3093,FALSE)</f>
        <v>#N/A</v>
      </c>
      <c r="P182" s="46" t="e">
        <f>VLOOKUP(A1,DIV_06Data!$A$1:$DZU$1000000,3094,FALSE)</f>
        <v>#N/A</v>
      </c>
      <c r="Q182" s="33" t="e">
        <f>VLOOKUP(A1,DIV_06Data!$A$1:$DZU$1000000,3095,FALSE)</f>
        <v>#N/A</v>
      </c>
    </row>
    <row r="183" spans="1:17" x14ac:dyDescent="0.35">
      <c r="A183" s="22" t="e">
        <f>VLOOKUP(A1,DIV_06Data!$A$1:$DZU$1000000,3096,FALSE)</f>
        <v>#N/A</v>
      </c>
      <c r="B183" s="37" t="e">
        <f>VLOOKUP(A1,DIV_06Data!$A$1:$DZU$1000000,3097,FALSE)</f>
        <v>#N/A</v>
      </c>
      <c r="C183" s="38" t="e">
        <f>VLOOKUP(A1,DIV_06Data!$A$1:$DZU$1000000,3098,FALSE)</f>
        <v>#N/A</v>
      </c>
      <c r="D183" s="31" t="e">
        <f>VLOOKUP(A1,DIV_06Data!$A$1:$DZU$1000000,3099,FALSE)</f>
        <v>#N/A</v>
      </c>
      <c r="E183" s="32" t="e">
        <f>VLOOKUP(A1,DIV_06Data!$A$1:$DZU$1000000,3100,FALSE)</f>
        <v>#N/A</v>
      </c>
      <c r="F183" s="34" t="e">
        <f>VLOOKUP(A1,DIV_06Data!$A$1:$DZU$1000000,3101,FALSE)</f>
        <v>#N/A</v>
      </c>
      <c r="G183" s="33" t="e">
        <f>VLOOKUP(A1,DIV_06Data!$A$1:$DZU$1000000,3102,FALSE)</f>
        <v>#N/A</v>
      </c>
      <c r="H183" s="34" t="e">
        <f>VLOOKUP(A1,DIV_06Data!$A$1:$DZU$1000000,3103,FALSE)</f>
        <v>#N/A</v>
      </c>
      <c r="I183" s="33" t="e">
        <f>VLOOKUP(A1,DIV_06Data!$A$1:$DZU$1000000,3104,FALSE)</f>
        <v>#N/A</v>
      </c>
      <c r="J183" s="34" t="e">
        <f>VLOOKUP(A1,DIV_06Data!$A$1:$DZU$1000000,3105,FALSE)</f>
        <v>#N/A</v>
      </c>
      <c r="K183" s="34" t="e">
        <f>VLOOKUP(A1,DIV_06Data!$A$1:$DZU$1000000,3106,FALSE)</f>
        <v>#N/A</v>
      </c>
      <c r="L183" s="93" t="e">
        <f>VLOOKUP(A1,DIV_06Data!$A$1:$DZU$1000000,3107,FALSE)</f>
        <v>#N/A</v>
      </c>
      <c r="M183" s="33" t="e">
        <f>VLOOKUP(A1,DIV_06Data!$A$1:$DZU$1000000,3108,FALSE)</f>
        <v>#N/A</v>
      </c>
      <c r="N183" s="34" t="e">
        <f>VLOOKUP(A1,DIV_06Data!$A$1:$DZU$1000000,3109,FALSE)</f>
        <v>#N/A</v>
      </c>
      <c r="O183" s="33" t="e">
        <f>VLOOKUP(A1,DIV_06Data!$A$1:$DZU$1000000,3110,FALSE)</f>
        <v>#N/A</v>
      </c>
      <c r="P183" s="46" t="e">
        <f>VLOOKUP(A1,DIV_06Data!$A$1:$DZU$1000000,3111,FALSE)</f>
        <v>#N/A</v>
      </c>
      <c r="Q183" s="33" t="e">
        <f>VLOOKUP(A1,DIV_06Data!$A$1:$DZU$1000000,3112,FALSE)</f>
        <v>#N/A</v>
      </c>
    </row>
    <row r="184" spans="1:17" x14ac:dyDescent="0.35">
      <c r="A184" s="22" t="e">
        <f>VLOOKUP(A1,DIV_06Data!$A$1:$DZU$1000000,3113,FALSE)</f>
        <v>#N/A</v>
      </c>
      <c r="B184" s="37" t="e">
        <f>VLOOKUP(A1,DIV_06Data!$A$1:$DZU$1000000,3114,FALSE)</f>
        <v>#N/A</v>
      </c>
      <c r="C184" s="38" t="e">
        <f>VLOOKUP(A1,DIV_06Data!$A$1:$DZU$1000000,3115,FALSE)</f>
        <v>#N/A</v>
      </c>
      <c r="D184" s="31" t="e">
        <f>VLOOKUP(A1,DIV_06Data!$A$1:$DZU$1000000,3116,FALSE)</f>
        <v>#N/A</v>
      </c>
      <c r="E184" s="32" t="e">
        <f>VLOOKUP(A1,DIV_06Data!$A$1:$DZU$1000000,3117,FALSE)</f>
        <v>#N/A</v>
      </c>
      <c r="F184" s="34" t="e">
        <f>VLOOKUP(A1,DIV_06Data!$A$1:$DZU$1000000,3118,FALSE)</f>
        <v>#N/A</v>
      </c>
      <c r="G184" s="33" t="e">
        <f>VLOOKUP(A1,DIV_06Data!$A$1:$DZU$1000000,3119,FALSE)</f>
        <v>#N/A</v>
      </c>
      <c r="H184" s="34" t="e">
        <f>VLOOKUP(A1,DIV_06Data!$A$1:$DZU$1000000,3120,FALSE)</f>
        <v>#N/A</v>
      </c>
      <c r="I184" s="33" t="e">
        <f>VLOOKUP(A1,DIV_06Data!$A$1:$DZU$1000000,3121,FALSE)</f>
        <v>#N/A</v>
      </c>
      <c r="J184" s="34" t="e">
        <f>VLOOKUP(A1,DIV_06Data!$A$1:$DZU$1000000,3122,FALSE)</f>
        <v>#N/A</v>
      </c>
      <c r="K184" s="34" t="e">
        <f>VLOOKUP(A1,DIV_06Data!$A$1:$DZU$1000000,3123,FALSE)</f>
        <v>#N/A</v>
      </c>
      <c r="L184" s="93" t="e">
        <f>VLOOKUP(A1,DIV_06Data!$A$1:$DZU$1000000,3124,FALSE)</f>
        <v>#N/A</v>
      </c>
      <c r="M184" s="33" t="e">
        <f>VLOOKUP(A1,DIV_06Data!$A$1:$DZU$1000000,3125,FALSE)</f>
        <v>#N/A</v>
      </c>
      <c r="N184" s="34" t="e">
        <f>VLOOKUP(A1,DIV_06Data!$A$1:$DZU$1000000,3126,FALSE)</f>
        <v>#N/A</v>
      </c>
      <c r="O184" s="33" t="e">
        <f>VLOOKUP(A1,DIV_06Data!$A$1:$DZU$1000000,3127,FALSE)</f>
        <v>#N/A</v>
      </c>
      <c r="P184" s="46" t="e">
        <f>VLOOKUP(A1,DIV_06Data!$A$1:$DZU$1000000,3128,FALSE)</f>
        <v>#N/A</v>
      </c>
      <c r="Q184" s="33" t="e">
        <f>VLOOKUP(A1,DIV_06Data!$A$1:$DZU$1000000,3129,FALSE)</f>
        <v>#N/A</v>
      </c>
    </row>
    <row r="185" spans="1:17" x14ac:dyDescent="0.35">
      <c r="A185" s="22" t="e">
        <f>VLOOKUP(A1,DIV_06Data!$A$1:$DZU$1000000,3130,FALSE)</f>
        <v>#N/A</v>
      </c>
      <c r="B185" s="37" t="e">
        <f>VLOOKUP(A1,DIV_06Data!$A$1:$DZU$1000000,3131,FALSE)</f>
        <v>#N/A</v>
      </c>
      <c r="C185" s="38" t="e">
        <f>VLOOKUP(A1,DIV_06Data!$A$1:$DZU$1000000,3132,FALSE)</f>
        <v>#N/A</v>
      </c>
      <c r="D185" s="31" t="e">
        <f>VLOOKUP(A1,DIV_06Data!$A$1:$DZU$1000000,3133,FALSE)</f>
        <v>#N/A</v>
      </c>
      <c r="E185" s="32" t="e">
        <f>VLOOKUP(A1,DIV_06Data!$A$1:$DZU$1000000,3134,FALSE)</f>
        <v>#N/A</v>
      </c>
      <c r="F185" s="34" t="e">
        <f>VLOOKUP(A1,DIV_06Data!$A$1:$DZU$1000000,3135,FALSE)</f>
        <v>#N/A</v>
      </c>
      <c r="G185" s="33" t="e">
        <f>VLOOKUP(A1,DIV_06Data!$A$1:$DZU$1000000,3136,FALSE)</f>
        <v>#N/A</v>
      </c>
      <c r="H185" s="34" t="e">
        <f>VLOOKUP(A1,DIV_06Data!$A$1:$DZU$1000000,3137,FALSE)</f>
        <v>#N/A</v>
      </c>
      <c r="I185" s="33" t="e">
        <f>VLOOKUP(A1,DIV_06Data!$A$1:$DZU$1000000,3138,FALSE)</f>
        <v>#N/A</v>
      </c>
      <c r="J185" s="34" t="e">
        <f>VLOOKUP(A1,DIV_06Data!$A$1:$DZU$1000000,3139,FALSE)</f>
        <v>#N/A</v>
      </c>
      <c r="K185" s="34" t="e">
        <f>VLOOKUP(A1,DIV_06Data!$A$1:$DZU$1000000,3140,FALSE)</f>
        <v>#N/A</v>
      </c>
      <c r="L185" s="93" t="e">
        <f>VLOOKUP(A1,DIV_06Data!$A$1:$DZU$1000000,3141,FALSE)</f>
        <v>#N/A</v>
      </c>
      <c r="M185" s="33" t="e">
        <f>VLOOKUP(A1,DIV_06Data!$A$1:$DZU$1000000,3142,FALSE)</f>
        <v>#N/A</v>
      </c>
      <c r="N185" s="34" t="e">
        <f>VLOOKUP(A1,DIV_06Data!$A$1:$DZU$1000000,3143,FALSE)</f>
        <v>#N/A</v>
      </c>
      <c r="O185" s="33" t="e">
        <f>VLOOKUP(A1,DIV_06Data!$A$1:$DZU$1000000,3144,FALSE)</f>
        <v>#N/A</v>
      </c>
      <c r="P185" s="46" t="e">
        <f>VLOOKUP(A1,DIV_06Data!$A$1:$DZU$1000000,3145,FALSE)</f>
        <v>#N/A</v>
      </c>
      <c r="Q185" s="33" t="e">
        <f>VLOOKUP(A1,DIV_06Data!$A$1:$DZU$1000000,3146,FALSE)</f>
        <v>#N/A</v>
      </c>
    </row>
    <row r="186" spans="1:17" x14ac:dyDescent="0.35">
      <c r="A186" s="22" t="e">
        <f>VLOOKUP(A1,DIV_06Data!$A$1:$DZU$1000000,3147,FALSE)</f>
        <v>#N/A</v>
      </c>
      <c r="B186" s="37" t="e">
        <f>VLOOKUP(A1,DIV_06Data!$A$1:$DZU$1000000,3148,FALSE)</f>
        <v>#N/A</v>
      </c>
      <c r="C186" s="38" t="e">
        <f>VLOOKUP(A1,DIV_06Data!$A$1:$DZU$1000000,3149,FALSE)</f>
        <v>#N/A</v>
      </c>
      <c r="D186" s="31" t="e">
        <f>VLOOKUP(A1,DIV_06Data!$A$1:$DZU$1000000,3150,FALSE)</f>
        <v>#N/A</v>
      </c>
      <c r="E186" s="32" t="e">
        <f>VLOOKUP(A1,DIV_06Data!$A$1:$DZU$1000000,3151,FALSE)</f>
        <v>#N/A</v>
      </c>
      <c r="F186" s="34" t="e">
        <f>VLOOKUP(A1,DIV_06Data!$A$1:$DZU$1000000,3152,FALSE)</f>
        <v>#N/A</v>
      </c>
      <c r="G186" s="33" t="e">
        <f>VLOOKUP(A1,DIV_06Data!$A$1:$DZU$1000000,3153,FALSE)</f>
        <v>#N/A</v>
      </c>
      <c r="H186" s="34" t="e">
        <f>VLOOKUP(A1,DIV_06Data!$A$1:$DZU$1000000,3154,FALSE)</f>
        <v>#N/A</v>
      </c>
      <c r="I186" s="33" t="e">
        <f>VLOOKUP(A1,DIV_06Data!$A$1:$DZU$1000000,3155,FALSE)</f>
        <v>#N/A</v>
      </c>
      <c r="J186" s="34" t="e">
        <f>VLOOKUP(A1,DIV_06Data!$A$1:$DZU$1000000,3156,FALSE)</f>
        <v>#N/A</v>
      </c>
      <c r="K186" s="34" t="e">
        <f>VLOOKUP(A1,DIV_06Data!$A$1:$DZU$1000000,3157,FALSE)</f>
        <v>#N/A</v>
      </c>
      <c r="L186" s="93" t="e">
        <f>VLOOKUP(A1,DIV_06Data!$A$1:$DZU$1000000,3158,FALSE)</f>
        <v>#N/A</v>
      </c>
      <c r="M186" s="33" t="e">
        <f>VLOOKUP(A1,DIV_06Data!$A$1:$DZU$1000000,3159,FALSE)</f>
        <v>#N/A</v>
      </c>
      <c r="N186" s="34" t="e">
        <f>VLOOKUP(A1,DIV_06Data!$A$1:$DZU$1000000,3160,FALSE)</f>
        <v>#N/A</v>
      </c>
      <c r="O186" s="33" t="e">
        <f>VLOOKUP(A1,DIV_06Data!$A$1:$DZU$1000000,3161,FALSE)</f>
        <v>#N/A</v>
      </c>
      <c r="P186" s="46" t="e">
        <f>VLOOKUP(A1,DIV_06Data!$A$1:$DZU$1000000,3162,FALSE)</f>
        <v>#N/A</v>
      </c>
      <c r="Q186" s="33" t="e">
        <f>VLOOKUP(A1,DIV_06Data!$A$1:$DZU$1000000,3163,FALSE)</f>
        <v>#N/A</v>
      </c>
    </row>
    <row r="187" spans="1:17" x14ac:dyDescent="0.35">
      <c r="A187" s="22" t="e">
        <f>VLOOKUP(A1,DIV_06Data!$A$1:$DZU$1000000,3164,FALSE)</f>
        <v>#N/A</v>
      </c>
      <c r="B187" s="37" t="e">
        <f>VLOOKUP(A1,DIV_06Data!$A$1:$DZU$1000000,3165,FALSE)</f>
        <v>#N/A</v>
      </c>
      <c r="C187" s="38" t="e">
        <f>VLOOKUP(A1,DIV_06Data!$A$1:$DZU$1000000,3166,FALSE)</f>
        <v>#N/A</v>
      </c>
      <c r="D187" s="31" t="e">
        <f>VLOOKUP(A1,DIV_06Data!$A$1:$DZU$1000000,3167,FALSE)</f>
        <v>#N/A</v>
      </c>
      <c r="E187" s="32" t="e">
        <f>VLOOKUP(A1,DIV_06Data!$A$1:$DZU$1000000,3168,FALSE)</f>
        <v>#N/A</v>
      </c>
      <c r="F187" s="34" t="e">
        <f>VLOOKUP(A1,DIV_06Data!$A$1:$DZU$1000000,3169,FALSE)</f>
        <v>#N/A</v>
      </c>
      <c r="G187" s="33" t="e">
        <f>VLOOKUP(A1,DIV_06Data!$A$1:$DZU$1000000,3170,FALSE)</f>
        <v>#N/A</v>
      </c>
      <c r="H187" s="34" t="e">
        <f>VLOOKUP(A1,DIV_06Data!$A$1:$DZU$1000000,3171,FALSE)</f>
        <v>#N/A</v>
      </c>
      <c r="I187" s="33" t="e">
        <f>VLOOKUP(A1,DIV_06Data!$A$1:$DZU$1000000,3172,FALSE)</f>
        <v>#N/A</v>
      </c>
      <c r="J187" s="34" t="e">
        <f>VLOOKUP(A1,DIV_06Data!$A$1:$DZU$1000000,3173,FALSE)</f>
        <v>#N/A</v>
      </c>
      <c r="K187" s="34" t="e">
        <f>VLOOKUP(A1,DIV_06Data!$A$1:$DZU$1000000,3174,FALSE)</f>
        <v>#N/A</v>
      </c>
      <c r="L187" s="93" t="e">
        <f>VLOOKUP(A1,DIV_06Data!$A$1:$DZU$1000000,3175,FALSE)</f>
        <v>#N/A</v>
      </c>
      <c r="M187" s="33" t="e">
        <f>VLOOKUP(A1,DIV_06Data!$A$1:$DZU$1000000,3176,FALSE)</f>
        <v>#N/A</v>
      </c>
      <c r="N187" s="34" t="e">
        <f>VLOOKUP(A1,DIV_06Data!$A$1:$DZU$1000000,3177,FALSE)</f>
        <v>#N/A</v>
      </c>
      <c r="O187" s="33" t="e">
        <f>VLOOKUP(A1,DIV_06Data!$A$1:$DZU$1000000,3178,FALSE)</f>
        <v>#N/A</v>
      </c>
      <c r="P187" s="46" t="e">
        <f>VLOOKUP(A1,DIV_06Data!$A$1:$DZU$1000000,3179,FALSE)</f>
        <v>#N/A</v>
      </c>
      <c r="Q187" s="33" t="e">
        <f>VLOOKUP(A1,DIV_06Data!$A$1:$DZU$1000000,3180,FALSE)</f>
        <v>#N/A</v>
      </c>
    </row>
    <row r="188" spans="1:17" x14ac:dyDescent="0.35">
      <c r="A188" s="22" t="e">
        <f>VLOOKUP(A1,DIV_06Data!$A$1:$DZU$1000000,3181,FALSE)</f>
        <v>#N/A</v>
      </c>
      <c r="B188" s="37" t="e">
        <f>VLOOKUP(A1,DIV_06Data!$A$1:$DZU$1000000,3182,FALSE)</f>
        <v>#N/A</v>
      </c>
      <c r="C188" s="38" t="e">
        <f>VLOOKUP(A1,DIV_06Data!$A$1:$DZU$1000000,3183,FALSE)</f>
        <v>#N/A</v>
      </c>
      <c r="D188" s="31" t="e">
        <f>VLOOKUP(A1,DIV_06Data!$A$1:$DZU$1000000,3184,FALSE)</f>
        <v>#N/A</v>
      </c>
      <c r="E188" s="32" t="e">
        <f>VLOOKUP(A1,DIV_06Data!$A$1:$DZU$1000000,3185,FALSE)</f>
        <v>#N/A</v>
      </c>
      <c r="F188" s="34" t="e">
        <f>VLOOKUP(A1,DIV_06Data!$A$1:$DZU$1000000,3186,FALSE)</f>
        <v>#N/A</v>
      </c>
      <c r="G188" s="33" t="e">
        <f>VLOOKUP(A1,DIV_06Data!$A$1:$DZU$1000000,3187,FALSE)</f>
        <v>#N/A</v>
      </c>
      <c r="H188" s="34" t="e">
        <f>VLOOKUP(A1,DIV_06Data!$A$1:$DZU$1000000,3188,FALSE)</f>
        <v>#N/A</v>
      </c>
      <c r="I188" s="33" t="e">
        <f>VLOOKUP(A1,DIV_06Data!$A$1:$DZU$1000000,3189,FALSE)</f>
        <v>#N/A</v>
      </c>
      <c r="J188" s="34" t="e">
        <f>VLOOKUP(A1,DIV_06Data!$A$1:$DZU$1000000,3190,FALSE)</f>
        <v>#N/A</v>
      </c>
      <c r="K188" s="34" t="e">
        <f>VLOOKUP(A1,DIV_06Data!$A$1:$DZU$1000000,3191,FALSE)</f>
        <v>#N/A</v>
      </c>
      <c r="L188" s="93" t="e">
        <f>VLOOKUP(A1,DIV_06Data!$A$1:$DZU$1000000,3192,FALSE)</f>
        <v>#N/A</v>
      </c>
      <c r="M188" s="33" t="e">
        <f>VLOOKUP(A1,DIV_06Data!$A$1:$DZU$1000000,3193,FALSE)</f>
        <v>#N/A</v>
      </c>
      <c r="N188" s="34" t="e">
        <f>VLOOKUP(A1,DIV_06Data!$A$1:$DZU$1000000,3194,FALSE)</f>
        <v>#N/A</v>
      </c>
      <c r="O188" s="33" t="e">
        <f>VLOOKUP(A1,DIV_06Data!$A$1:$DZU$1000000,3195,FALSE)</f>
        <v>#N/A</v>
      </c>
      <c r="P188" s="46" t="e">
        <f>VLOOKUP(A1,DIV_06Data!$A$1:$DZU$1000000,3196,FALSE)</f>
        <v>#N/A</v>
      </c>
      <c r="Q188" s="33" t="e">
        <f>VLOOKUP(A1,DIV_06Data!$A$1:$DZU$1000000,3197,FALSE)</f>
        <v>#N/A</v>
      </c>
    </row>
    <row r="189" spans="1:17" x14ac:dyDescent="0.35">
      <c r="A189" s="22" t="e">
        <f>VLOOKUP(A1,DIV_06Data!$A$1:$DZU$1000000,3198,FALSE)</f>
        <v>#N/A</v>
      </c>
      <c r="B189" s="37" t="e">
        <f>VLOOKUP(A1,DIV_06Data!$A$1:$DZU$1000000,3199,FALSE)</f>
        <v>#N/A</v>
      </c>
      <c r="C189" s="38" t="e">
        <f>VLOOKUP(A1,DIV_06Data!$A$1:$DZU$1000000,3200,FALSE)</f>
        <v>#N/A</v>
      </c>
      <c r="D189" s="31" t="e">
        <f>VLOOKUP(A1,DIV_06Data!$A$1:$DZU$1000000,3201,FALSE)</f>
        <v>#N/A</v>
      </c>
      <c r="E189" s="32" t="e">
        <f>VLOOKUP(A1,DIV_06Data!$A$1:$DZU$1000000,3202,FALSE)</f>
        <v>#N/A</v>
      </c>
      <c r="F189" s="34" t="e">
        <f>VLOOKUP(A1,DIV_06Data!$A$1:$DZU$1000000,3203,FALSE)</f>
        <v>#N/A</v>
      </c>
      <c r="G189" s="33" t="e">
        <f>VLOOKUP(A1,DIV_06Data!$A$1:$DZU$1000000,3204,FALSE)</f>
        <v>#N/A</v>
      </c>
      <c r="H189" s="34" t="e">
        <f>VLOOKUP(A1,DIV_06Data!$A$1:$DZU$1000000,3205,FALSE)</f>
        <v>#N/A</v>
      </c>
      <c r="I189" s="33" t="e">
        <f>VLOOKUP(A1,DIV_06Data!$A$1:$DZU$1000000,3206,FALSE)</f>
        <v>#N/A</v>
      </c>
      <c r="J189" s="34" t="e">
        <f>VLOOKUP(A1,DIV_06Data!$A$1:$DZU$1000000,3207,FALSE)</f>
        <v>#N/A</v>
      </c>
      <c r="K189" s="34" t="e">
        <f>VLOOKUP(A1,DIV_06Data!$A$1:$DZU$1000000,3208,FALSE)</f>
        <v>#N/A</v>
      </c>
      <c r="L189" s="93" t="e">
        <f>VLOOKUP(A1,DIV_06Data!$A$1:$DZU$1000000,3209,FALSE)</f>
        <v>#N/A</v>
      </c>
      <c r="M189" s="33" t="e">
        <f>VLOOKUP(A1,DIV_06Data!$A$1:$DZU$1000000,3210,FALSE)</f>
        <v>#N/A</v>
      </c>
      <c r="N189" s="34" t="e">
        <f>VLOOKUP(A1,DIV_06Data!$A$1:$DZU$1000000,3211,FALSE)</f>
        <v>#N/A</v>
      </c>
      <c r="O189" s="33" t="e">
        <f>VLOOKUP(A1,DIV_06Data!$A$1:$DZU$1000000,3212,FALSE)</f>
        <v>#N/A</v>
      </c>
      <c r="P189" s="46" t="e">
        <f>VLOOKUP(A1,DIV_06Data!$A$1:$DZU$1000000,3213,FALSE)</f>
        <v>#N/A</v>
      </c>
      <c r="Q189" s="33" t="e">
        <f>VLOOKUP(A1,DIV_06Data!$A$1:$DZU$1000000,3214,FALSE)</f>
        <v>#N/A</v>
      </c>
    </row>
    <row r="190" spans="1:17" x14ac:dyDescent="0.35">
      <c r="A190" s="22" t="e">
        <f>VLOOKUP(A1,DIV_06Data!$A$1:$DZU$1000000,3215,FALSE)</f>
        <v>#N/A</v>
      </c>
      <c r="B190" s="37" t="e">
        <f>VLOOKUP(A1,DIV_06Data!$A$1:$DZU$1000000,3216,FALSE)</f>
        <v>#N/A</v>
      </c>
      <c r="C190" s="38" t="e">
        <f>VLOOKUP(A1,DIV_06Data!$A$1:$DZU$1000000,3217,FALSE)</f>
        <v>#N/A</v>
      </c>
      <c r="D190" s="31" t="e">
        <f>VLOOKUP(A1,DIV_06Data!$A$1:$DZU$1000000,3218,FALSE)</f>
        <v>#N/A</v>
      </c>
      <c r="E190" s="32" t="e">
        <f>VLOOKUP(A1,DIV_06Data!$A$1:$DZU$1000000,3219,FALSE)</f>
        <v>#N/A</v>
      </c>
      <c r="F190" s="34" t="e">
        <f>VLOOKUP(A1,DIV_06Data!$A$1:$DZU$1000000,3220,FALSE)</f>
        <v>#N/A</v>
      </c>
      <c r="G190" s="33" t="e">
        <f>VLOOKUP(A1,DIV_06Data!$A$1:$DZU$1000000,3221,FALSE)</f>
        <v>#N/A</v>
      </c>
      <c r="H190" s="34" t="e">
        <f>VLOOKUP(A1,DIV_06Data!$A$1:$DZU$1000000,3222,FALSE)</f>
        <v>#N/A</v>
      </c>
      <c r="I190" s="33" t="e">
        <f>VLOOKUP(A1,DIV_06Data!$A$1:$DZU$1000000,3223,FALSE)</f>
        <v>#N/A</v>
      </c>
      <c r="J190" s="34" t="e">
        <f>VLOOKUP(A1,DIV_06Data!$A$1:$DZU$1000000,3224,FALSE)</f>
        <v>#N/A</v>
      </c>
      <c r="K190" s="34" t="e">
        <f>VLOOKUP(A1,DIV_06Data!$A$1:$DZU$1000000,3225,FALSE)</f>
        <v>#N/A</v>
      </c>
      <c r="L190" s="93" t="e">
        <f>VLOOKUP(A1,DIV_06Data!$A$1:$DZU$1000000,3226,FALSE)</f>
        <v>#N/A</v>
      </c>
      <c r="M190" s="33" t="e">
        <f>VLOOKUP(A1,DIV_06Data!$A$1:$DZU$1000000,3227,FALSE)</f>
        <v>#N/A</v>
      </c>
      <c r="N190" s="34" t="e">
        <f>VLOOKUP(A1,DIV_06Data!$A$1:$DZU$1000000,3228,FALSE)</f>
        <v>#N/A</v>
      </c>
      <c r="O190" s="33" t="e">
        <f>VLOOKUP(A1,DIV_06Data!$A$1:$DZU$1000000,3229,FALSE)</f>
        <v>#N/A</v>
      </c>
      <c r="P190" s="46" t="e">
        <f>VLOOKUP(A1,DIV_06Data!$A$1:$DZU$1000000,3230,FALSE)</f>
        <v>#N/A</v>
      </c>
      <c r="Q190" s="33" t="e">
        <f>VLOOKUP(A1,DIV_06Data!$A$1:$DZU$1000000,3231,FALSE)</f>
        <v>#N/A</v>
      </c>
    </row>
    <row r="191" spans="1:17" x14ac:dyDescent="0.35">
      <c r="A191" s="22" t="e">
        <f>VLOOKUP(A1,DIV_06Data!$A$1:$DZU$1000000,3232,FALSE)</f>
        <v>#N/A</v>
      </c>
      <c r="B191" s="37" t="e">
        <f>VLOOKUP(A1,DIV_06Data!$A$1:$DZU$1000000,3233,FALSE)</f>
        <v>#N/A</v>
      </c>
      <c r="C191" s="43" t="e">
        <f>VLOOKUP(A1,DIV_06Data!$A$1:$DZU$1000000,3234,FALSE)</f>
        <v>#N/A</v>
      </c>
      <c r="D191" s="31" t="e">
        <f>VLOOKUP(A1,DIV_06Data!$A$1:$DZU$1000000,3235,FALSE)</f>
        <v>#N/A</v>
      </c>
      <c r="E191" s="32" t="e">
        <f>VLOOKUP(A1,DIV_06Data!$A$1:$DZU$1000000,3236,FALSE)</f>
        <v>#N/A</v>
      </c>
      <c r="F191" s="44" t="e">
        <f>VLOOKUP(A1,DIV_06Data!$A$1:$DZU$1000000,3237,FALSE)</f>
        <v>#N/A</v>
      </c>
      <c r="G191" s="45" t="e">
        <f>VLOOKUP(A1,DIV_06Data!$A$1:$DZU$1000000,3238,FALSE)</f>
        <v>#N/A</v>
      </c>
      <c r="H191" s="44" t="e">
        <f>VLOOKUP(A1,DIV_06Data!$A$1:$DZU$1000000,3239,FALSE)</f>
        <v>#N/A</v>
      </c>
      <c r="I191" s="45" t="e">
        <f>VLOOKUP(A1,DIV_06Data!$A$1:$DZU$1000000,3240,FALSE)</f>
        <v>#N/A</v>
      </c>
      <c r="J191" s="34" t="e">
        <f>VLOOKUP(A1,DIV_06Data!$A$1:$DZU$1000000,3241,FALSE)</f>
        <v>#N/A</v>
      </c>
      <c r="K191" s="43" t="e">
        <f>VLOOKUP(A1,DIV_06Data!$A$1:$DZU$1000000,3242,FALSE)</f>
        <v>#N/A</v>
      </c>
      <c r="L191" s="44" t="e">
        <f>VLOOKUP(A1,DIV_06Data!$A$1:$DZU$1000000,3243,FALSE)</f>
        <v>#N/A</v>
      </c>
      <c r="M191" s="45" t="e">
        <f>VLOOKUP(A1,DIV_06Data!$A$1:$DZU$1000000,3244,FALSE)</f>
        <v>#N/A</v>
      </c>
      <c r="N191" s="44" t="e">
        <f>VLOOKUP(A1,DIV_06Data!$A$1:$DZU$1000000,3245,FALSE)</f>
        <v>#N/A</v>
      </c>
      <c r="O191" s="45" t="e">
        <f>VLOOKUP(A1,DIV_06Data!$A$1:$DZU$1000000,3246,FALSE)</f>
        <v>#N/A</v>
      </c>
      <c r="P191" s="46" t="e">
        <f>VLOOKUP(A1,DIV_06Data!$A$1:$DZU$1000000,3247,FALSE)</f>
        <v>#N/A</v>
      </c>
      <c r="Q191" s="45" t="e">
        <f>VLOOKUP(A1,DIV_06Data!$A$1:$DZU$1000000,3248,FALSE)</f>
        <v>#N/A</v>
      </c>
    </row>
    <row r="192" spans="1:17" x14ac:dyDescent="0.35">
      <c r="A192" s="22" t="e">
        <f>VLOOKUP(A1,DIV_06Data!$A$1:$DZU$1000000,3249,FALSE)</f>
        <v>#N/A</v>
      </c>
      <c r="B192" s="37" t="e">
        <f>VLOOKUP(A1,DIV_06Data!$A$1:$DZU$1000000,3250,FALSE)</f>
        <v>#N/A</v>
      </c>
      <c r="C192" s="38" t="e">
        <f>VLOOKUP(A1,DIV_06Data!$A$1:$DZU$1000000,3251,FALSE)</f>
        <v>#N/A</v>
      </c>
      <c r="D192" s="31" t="e">
        <f>VLOOKUP(A1,DIV_06Data!$A$1:$DZU$1000000,3252,FALSE)</f>
        <v>#N/A</v>
      </c>
      <c r="E192" s="32" t="e">
        <f>VLOOKUP(A1,DIV_06Data!$A$1:$DZU$1000000,3253,FALSE)</f>
        <v>#N/A</v>
      </c>
      <c r="F192" s="34" t="e">
        <f>VLOOKUP(A1,DIV_06Data!$A$1:$DZU$1000000,3254,FALSE)</f>
        <v>#N/A</v>
      </c>
      <c r="G192" s="33" t="e">
        <f>VLOOKUP(A1,DIV_06Data!$A$1:$DZU$1000000,3255,FALSE)</f>
        <v>#N/A</v>
      </c>
      <c r="H192" s="34" t="e">
        <f>VLOOKUP(A1,DIV_06Data!$A$1:$DZU$1000000,3256,FALSE)</f>
        <v>#N/A</v>
      </c>
      <c r="I192" s="33" t="e">
        <f>VLOOKUP(A1,DIV_06Data!$A$1:$DZU$1000000,3257,FALSE)</f>
        <v>#N/A</v>
      </c>
      <c r="J192" s="34" t="e">
        <f>VLOOKUP(A1,DIV_06Data!$A$1:$DZU$1000000,3258,FALSE)</f>
        <v>#N/A</v>
      </c>
      <c r="K192" s="34" t="e">
        <f>VLOOKUP(A1,DIV_06Data!$A$1:$DZU$1000000,3259,FALSE)</f>
        <v>#N/A</v>
      </c>
      <c r="L192" s="34" t="e">
        <f>VLOOKUP(A1,DIV_06Data!$A$1:$DZU$1000000,3260,FALSE)</f>
        <v>#N/A</v>
      </c>
      <c r="M192" s="33" t="e">
        <f>VLOOKUP(A1,DIV_06Data!$A$1:$DZU$1000000,3261,FALSE)</f>
        <v>#N/A</v>
      </c>
      <c r="N192" s="34" t="e">
        <f>VLOOKUP(A1,DIV_06Data!$A$1:$DZU$1000000,3262,FALSE)</f>
        <v>#N/A</v>
      </c>
      <c r="O192" s="33" t="e">
        <f>VLOOKUP(A1,DIV_06Data!$A$1:$DZU$1000000,3263,FALSE)</f>
        <v>#N/A</v>
      </c>
      <c r="P192" s="46" t="e">
        <f>VLOOKUP(A1,DIV_06Data!$A$1:$DZU$1000000,3264,FALSE)</f>
        <v>#N/A</v>
      </c>
      <c r="Q192" s="33" t="e">
        <f>VLOOKUP(A1,DIV_06Data!$A$1:$DZU$1000000,3265,FALSE)</f>
        <v>#N/A</v>
      </c>
    </row>
    <row r="193" spans="1:17" x14ac:dyDescent="0.35">
      <c r="A193" s="22" t="e">
        <f>VLOOKUP(A1,DIV_06Data!$A$1:$DZU$1000000,3266,FALSE)</f>
        <v>#N/A</v>
      </c>
      <c r="B193" s="37" t="e">
        <f>VLOOKUP(A1,DIV_06Data!$A$1:$DZU$1000000,3267,FALSE)</f>
        <v>#N/A</v>
      </c>
      <c r="C193" s="30" t="e">
        <f>VLOOKUP(A1,DIV_06Data!$A$1:$DZU$1000000,3268,FALSE)</f>
        <v>#N/A</v>
      </c>
      <c r="D193" s="31" t="e">
        <f>VLOOKUP(A1,DIV_06Data!$A$1:$DZU$1000000,3269,FALSE)</f>
        <v>#N/A</v>
      </c>
      <c r="E193" s="32" t="e">
        <f>VLOOKUP(A1,DIV_06Data!$A$1:$DZU$1000000,3270,FALSE)</f>
        <v>#N/A</v>
      </c>
      <c r="F193" s="34" t="e">
        <f>VLOOKUP(A1,DIV_06Data!$A$1:$DZU$1000000,3271,FALSE)</f>
        <v>#N/A</v>
      </c>
      <c r="G193" s="33" t="e">
        <f>VLOOKUP(A1,DIV_06Data!$A$1:$DZU$1000000,3272,FALSE)</f>
        <v>#N/A</v>
      </c>
      <c r="H193" s="34" t="e">
        <f>VLOOKUP(A1,DIV_06Data!$A$1:$DZU$1000000,3273,FALSE)</f>
        <v>#N/A</v>
      </c>
      <c r="I193" s="33" t="e">
        <f>VLOOKUP(A1,DIV_06Data!$A$1:$DZU$1000000,3274,FALSE)</f>
        <v>#N/A</v>
      </c>
      <c r="J193" s="34" t="e">
        <f>VLOOKUP(A1,DIV_06Data!$A$1:$DZU$1000000,3275,FALSE)</f>
        <v>#N/A</v>
      </c>
      <c r="K193" s="34" t="e">
        <f>VLOOKUP(A1,DIV_06Data!$A$1:$DZU$1000000,3276,FALSE)</f>
        <v>#N/A</v>
      </c>
      <c r="L193" s="34" t="e">
        <f>VLOOKUP(A1,DIV_06Data!$A$1:$DZU$1000000,3277,FALSE)</f>
        <v>#N/A</v>
      </c>
      <c r="M193" s="33" t="e">
        <f>VLOOKUP(A1,DIV_06Data!$A$1:$DZU$1000000,3278,FALSE)</f>
        <v>#N/A</v>
      </c>
      <c r="N193" s="34" t="e">
        <f>VLOOKUP(A1,DIV_06Data!$A$1:$DZU$1000000,3279,FALSE)</f>
        <v>#N/A</v>
      </c>
      <c r="O193" s="33" t="e">
        <f>VLOOKUP(A1,DIV_06Data!$A$1:$DZU$1000000,3280,FALSE)</f>
        <v>#N/A</v>
      </c>
      <c r="P193" s="46" t="e">
        <f>VLOOKUP(A1,DIV_06Data!$A$1:$DZU$1000000,3281,FALSE)</f>
        <v>#N/A</v>
      </c>
      <c r="Q193" s="33" t="e">
        <f>VLOOKUP(A1,DIV_06Data!$A$1:$DZU$1000000,3282,FALSE)</f>
        <v>#N/A</v>
      </c>
    </row>
    <row r="194" spans="1:17" x14ac:dyDescent="0.35">
      <c r="A194" s="22" t="e">
        <f>VLOOKUP(A1,DIV_06Data!$A$1:$DZU$1000000,3283,FALSE)</f>
        <v>#N/A</v>
      </c>
      <c r="B194" s="37" t="e">
        <f>VLOOKUP(A1,DIV_06Data!$A$1:$DZU$1000000,3284,FALSE)</f>
        <v>#N/A</v>
      </c>
      <c r="C194" s="38" t="e">
        <f>VLOOKUP(A1,DIV_06Data!$A$1:$DZU$1000000,3285,FALSE)</f>
        <v>#N/A</v>
      </c>
      <c r="D194" s="31" t="e">
        <f>VLOOKUP(A1,DIV_06Data!$A$1:$DZU$1000000,3286,FALSE)</f>
        <v>#N/A</v>
      </c>
      <c r="E194" s="32" t="e">
        <f>VLOOKUP(A1,DIV_06Data!$A$1:$DZU$1000000,3287,FALSE)</f>
        <v>#N/A</v>
      </c>
      <c r="F194" s="34" t="e">
        <f>VLOOKUP(A1,DIV_06Data!$A$1:$DZU$1000000,3288,FALSE)</f>
        <v>#N/A</v>
      </c>
      <c r="G194" s="33" t="e">
        <f>VLOOKUP(A1,DIV_06Data!$A$1:$DZU$1000000,3289,FALSE)</f>
        <v>#N/A</v>
      </c>
      <c r="H194" s="34" t="e">
        <f>VLOOKUP(A1,DIV_06Data!$A$1:$DZU$1000000,3290,FALSE)</f>
        <v>#N/A</v>
      </c>
      <c r="I194" s="33" t="e">
        <f>VLOOKUP(A1,DIV_06Data!$A$1:$DZU$1000000,3291,FALSE)</f>
        <v>#N/A</v>
      </c>
      <c r="J194" s="34" t="e">
        <f>VLOOKUP(A1,DIV_06Data!$A$1:$DZU$1000000,3292,FALSE)</f>
        <v>#N/A</v>
      </c>
      <c r="K194" s="34" t="e">
        <f>VLOOKUP(A1,DIV_06Data!$A$1:$DZU$1000000,3293,FALSE)</f>
        <v>#N/A</v>
      </c>
      <c r="L194" s="93" t="e">
        <f>VLOOKUP(A1,DIV_06Data!$A$1:$DZU$1000000,3294,FALSE)</f>
        <v>#N/A</v>
      </c>
      <c r="M194" s="33" t="e">
        <f>VLOOKUP(A1,DIV_06Data!$A$1:$DZU$1000000,3295,FALSE)</f>
        <v>#N/A</v>
      </c>
      <c r="N194" s="34" t="e">
        <f>VLOOKUP(A1,DIV_06Data!$A$1:$DZU$1000000,3296,FALSE)</f>
        <v>#N/A</v>
      </c>
      <c r="O194" s="33" t="e">
        <f>VLOOKUP(A1,DIV_06Data!$A$1:$DZU$1000000,3297,FALSE)</f>
        <v>#N/A</v>
      </c>
      <c r="P194" s="46" t="e">
        <f>VLOOKUP(A1,DIV_06Data!$A$1:$DZU$1000000,3298,FALSE)</f>
        <v>#N/A</v>
      </c>
      <c r="Q194" s="33" t="e">
        <f>VLOOKUP(A1,DIV_06Data!$A$1:$DZU$1000000,3299,FALSE)</f>
        <v>#N/A</v>
      </c>
    </row>
    <row r="195" spans="1:17" x14ac:dyDescent="0.35">
      <c r="A195" s="22" t="e">
        <f>VLOOKUP(A1,DIV_06Data!$A$1:$DZU$1000000,3300,FALSE)</f>
        <v>#N/A</v>
      </c>
      <c r="B195" s="37" t="e">
        <f>VLOOKUP(A1,DIV_06Data!$A$1:$DZU$1000000,3301,FALSE)</f>
        <v>#N/A</v>
      </c>
      <c r="C195" s="38" t="e">
        <f>VLOOKUP(A1,DIV_06Data!$A$1:$DZU$1000000,3302,FALSE)</f>
        <v>#N/A</v>
      </c>
      <c r="D195" s="31" t="e">
        <f>VLOOKUP(A1,DIV_06Data!$A$1:$DZU$1000000,3303,FALSE)</f>
        <v>#N/A</v>
      </c>
      <c r="E195" s="32" t="e">
        <f>VLOOKUP(A1,DIV_06Data!$A$1:$DZU$1000000,3304,FALSE)</f>
        <v>#N/A</v>
      </c>
      <c r="F195" s="34" t="e">
        <f>VLOOKUP(A1,DIV_06Data!$A$1:$DZU$1000000,3305,FALSE)</f>
        <v>#N/A</v>
      </c>
      <c r="G195" s="33" t="e">
        <f>VLOOKUP(A1,DIV_06Data!$A$1:$DZU$1000000,3306,FALSE)</f>
        <v>#N/A</v>
      </c>
      <c r="H195" s="34" t="e">
        <f>VLOOKUP(A1,DIV_06Data!$A$1:$DZU$1000000,3307,FALSE)</f>
        <v>#N/A</v>
      </c>
      <c r="I195" s="33" t="e">
        <f>VLOOKUP(A1,DIV_06Data!$A$1:$DZU$1000000,3308,FALSE)</f>
        <v>#N/A</v>
      </c>
      <c r="J195" s="34" t="e">
        <f>VLOOKUP(A1,DIV_06Data!$A$1:$DZU$1000000,3309,FALSE)</f>
        <v>#N/A</v>
      </c>
      <c r="K195" s="34" t="e">
        <f>VLOOKUP(A1,DIV_06Data!$A$1:$DZU$1000000,3310,FALSE)</f>
        <v>#N/A</v>
      </c>
      <c r="L195" s="93" t="e">
        <f>VLOOKUP(A1,DIV_06Data!$A$1:$DZU$1000000,3311,FALSE)</f>
        <v>#N/A</v>
      </c>
      <c r="M195" s="33" t="e">
        <f>VLOOKUP(A1,DIV_06Data!$A$1:$DZU$1000000,3312,FALSE)</f>
        <v>#N/A</v>
      </c>
      <c r="N195" s="34" t="e">
        <f>VLOOKUP(A1,DIV_06Data!$A$1:$DZU$1000000,3313,FALSE)</f>
        <v>#N/A</v>
      </c>
      <c r="O195" s="33" t="e">
        <f>VLOOKUP(A1,DIV_06Data!$A$1:$DZU$1000000,3314,FALSE)</f>
        <v>#N/A</v>
      </c>
      <c r="P195" s="46" t="e">
        <f>VLOOKUP(A1,DIV_06Data!$A$1:$DZU$1000000,3315,FALSE)</f>
        <v>#N/A</v>
      </c>
      <c r="Q195" s="33" t="e">
        <f>VLOOKUP(A1,DIV_06Data!$A$1:$DZU$1000000,3316,FALSE)</f>
        <v>#N/A</v>
      </c>
    </row>
    <row r="196" spans="1:17" x14ac:dyDescent="0.35">
      <c r="A196" s="22" t="e">
        <f>VLOOKUP(A1,DIV_06Data!$A$1:$DZU$1000000,3317,FALSE)</f>
        <v>#N/A</v>
      </c>
      <c r="B196" s="37" t="e">
        <f>VLOOKUP(A1,DIV_06Data!$A$1:$DZU$1000000,3318,FALSE)</f>
        <v>#N/A</v>
      </c>
      <c r="C196" s="38" t="e">
        <f>VLOOKUP(A1,DIV_06Data!$A$1:$DZU$1000000,3319,FALSE)</f>
        <v>#N/A</v>
      </c>
      <c r="D196" s="31" t="e">
        <f>VLOOKUP(A1,DIV_06Data!$A$1:$DZU$1000000,3320,FALSE)</f>
        <v>#N/A</v>
      </c>
      <c r="E196" s="32" t="e">
        <f>VLOOKUP(A1,DIV_06Data!$A$1:$DZU$1000000,3321,FALSE)</f>
        <v>#N/A</v>
      </c>
      <c r="F196" s="34" t="e">
        <f>VLOOKUP(A1,DIV_06Data!$A$1:$DZU$1000000,3322,FALSE)</f>
        <v>#N/A</v>
      </c>
      <c r="G196" s="33" t="e">
        <f>VLOOKUP(A1,DIV_06Data!$A$1:$DZU$1000000,3323,FALSE)</f>
        <v>#N/A</v>
      </c>
      <c r="H196" s="34" t="e">
        <f>VLOOKUP(A1,DIV_06Data!$A$1:$DZU$1000000,3324,FALSE)</f>
        <v>#N/A</v>
      </c>
      <c r="I196" s="33" t="e">
        <f>VLOOKUP(A1,DIV_06Data!$A$1:$DZU$1000000,3325,FALSE)</f>
        <v>#N/A</v>
      </c>
      <c r="J196" s="34" t="e">
        <f>VLOOKUP(A1,DIV_06Data!$A$1:$DZU$1000000,3326,FALSE)</f>
        <v>#N/A</v>
      </c>
      <c r="K196" s="34" t="e">
        <f>VLOOKUP(A1,DIV_06Data!$A$1:$DZU$1000000,3327,FALSE)</f>
        <v>#N/A</v>
      </c>
      <c r="L196" s="93" t="e">
        <f>VLOOKUP(A1,DIV_06Data!$A$1:$DZU$1000000,3328,FALSE)</f>
        <v>#N/A</v>
      </c>
      <c r="M196" s="33" t="e">
        <f>VLOOKUP(A1,DIV_06Data!$A$1:$DZU$1000000,3329,FALSE)</f>
        <v>#N/A</v>
      </c>
      <c r="N196" s="34" t="e">
        <f>VLOOKUP(A1,DIV_06Data!$A$1:$DZU$1000000,3330,FALSE)</f>
        <v>#N/A</v>
      </c>
      <c r="O196" s="33" t="e">
        <f>VLOOKUP(A1,DIV_06Data!$A$1:$DZU$1000000,3331,FALSE)</f>
        <v>#N/A</v>
      </c>
      <c r="P196" s="46" t="e">
        <f>VLOOKUP(A1,DIV_06Data!$A$1:$DZU$1000000,3332,FALSE)</f>
        <v>#N/A</v>
      </c>
      <c r="Q196" s="33" t="e">
        <f>VLOOKUP(A1,DIV_06Data!$A$1:$DZU$1000000,3333,FALSE)</f>
        <v>#N/A</v>
      </c>
    </row>
    <row r="197" spans="1:17" x14ac:dyDescent="0.35">
      <c r="A197" s="22" t="e">
        <f>VLOOKUP(A1,DIV_06Data!$A$1:$DZU$1000000,3334,FALSE)</f>
        <v>#N/A</v>
      </c>
      <c r="B197" s="37" t="e">
        <f>VLOOKUP(A1,DIV_06Data!$A$1:$DZU$1000000,3335,FALSE)</f>
        <v>#N/A</v>
      </c>
      <c r="C197" s="43" t="e">
        <f>VLOOKUP(A1,DIV_06Data!$A$1:$DZU$1000000,3336,FALSE)</f>
        <v>#N/A</v>
      </c>
      <c r="D197" s="31" t="e">
        <f>VLOOKUP(A1,DIV_06Data!$A$1:$DZU$1000000,3337,FALSE)</f>
        <v>#N/A</v>
      </c>
      <c r="E197" s="32" t="e">
        <f>VLOOKUP(A1,DIV_06Data!$A$1:$DZU$1000000,3338,FALSE)</f>
        <v>#N/A</v>
      </c>
      <c r="F197" s="44" t="e">
        <f>VLOOKUP(A1,DIV_06Data!$A$1:$DZU$1000000,3339,FALSE)</f>
        <v>#N/A</v>
      </c>
      <c r="G197" s="45" t="e">
        <f>VLOOKUP(A1,DIV_06Data!$A$1:$DZU$1000000,3340,FALSE)</f>
        <v>#N/A</v>
      </c>
      <c r="H197" s="44" t="e">
        <f>VLOOKUP(A1,DIV_06Data!$A$1:$DZU$1000000,3341,FALSE)</f>
        <v>#N/A</v>
      </c>
      <c r="I197" s="45" t="e">
        <f>VLOOKUP(A1,DIV_06Data!$A$1:$DZU$1000000,3342,FALSE)</f>
        <v>#N/A</v>
      </c>
      <c r="J197" s="34" t="e">
        <f>VLOOKUP(A1,DIV_06Data!$A$1:$DZU$1000000,3343,FALSE)</f>
        <v>#N/A</v>
      </c>
      <c r="K197" s="43" t="e">
        <f>VLOOKUP(A1,DIV_06Data!$A$1:$DZU$1000000,3344,FALSE)</f>
        <v>#N/A</v>
      </c>
      <c r="L197" s="44" t="e">
        <f>VLOOKUP(A1,DIV_06Data!$A$1:$DZU$1000000,3345,FALSE)</f>
        <v>#N/A</v>
      </c>
      <c r="M197" s="45" t="e">
        <f>VLOOKUP(A1,DIV_06Data!$A$1:$DZU$1000000,3346,FALSE)</f>
        <v>#N/A</v>
      </c>
      <c r="N197" s="44" t="e">
        <f>VLOOKUP(A1,DIV_06Data!$A$1:$DZU$1000000,3347,FALSE)</f>
        <v>#N/A</v>
      </c>
      <c r="O197" s="45" t="e">
        <f>VLOOKUP(A1,DIV_06Data!$A$1:$DZU$1000000,3348,FALSE)</f>
        <v>#N/A</v>
      </c>
      <c r="P197" s="36" t="e">
        <f>VLOOKUP(A1,DIV_06Data!$A$1:$DZU$1000000,3349,FALSE)</f>
        <v>#N/A</v>
      </c>
      <c r="Q197" s="45" t="e">
        <f>VLOOKUP(A1,DIV_06Data!$A$1:$DZU$1000000,3350,FALSE)</f>
        <v>#N/A</v>
      </c>
    </row>
    <row r="198" spans="1:17" x14ac:dyDescent="0.35">
      <c r="A198" s="22" t="e">
        <f>VLOOKUP(A1,DIV_06Data!$A$1:$DZU$1000000,3351,FALSE)</f>
        <v>#N/A</v>
      </c>
      <c r="B198" s="37" t="e">
        <f>VLOOKUP(A1,DIV_06Data!$A$1:$DZU$1000000,3352,FALSE)</f>
        <v>#N/A</v>
      </c>
      <c r="C198" s="38" t="e">
        <f>VLOOKUP(A1,DIV_06Data!$A$1:$DZU$1000000,3353,FALSE)</f>
        <v>#N/A</v>
      </c>
      <c r="D198" s="31" t="e">
        <f>VLOOKUP(A1,DIV_06Data!$A$1:$DZU$1000000,3354,FALSE)</f>
        <v>#N/A</v>
      </c>
      <c r="E198" s="32" t="e">
        <f>VLOOKUP(A1,DIV_06Data!$A$1:$DZU$1000000,3355,FALSE)</f>
        <v>#N/A</v>
      </c>
      <c r="F198" s="34" t="e">
        <f>VLOOKUP(A1,DIV_06Data!$A$1:$DZU$1000000,3356,FALSE)</f>
        <v>#N/A</v>
      </c>
      <c r="G198" s="33" t="e">
        <f>VLOOKUP(A1,DIV_06Data!$A$1:$DZU$1000000,3357,FALSE)</f>
        <v>#N/A</v>
      </c>
      <c r="H198" s="34" t="e">
        <f>VLOOKUP(A1,DIV_06Data!$A$1:$DZU$1000000,3358,FALSE)</f>
        <v>#N/A</v>
      </c>
      <c r="I198" s="33" t="e">
        <f>VLOOKUP(A1,DIV_06Data!$A$1:$DZU$1000000,3359,FALSE)</f>
        <v>#N/A</v>
      </c>
      <c r="J198" s="34" t="e">
        <f>VLOOKUP(A1,DIV_06Data!$A$1:$DZU$1000000,3360,FALSE)</f>
        <v>#N/A</v>
      </c>
      <c r="K198" s="34" t="e">
        <f>VLOOKUP(A1,DIV_06Data!$A$1:$DZU$1000000,3361,FALSE)</f>
        <v>#N/A</v>
      </c>
      <c r="L198" s="34" t="e">
        <f>VLOOKUP(A1,DIV_06Data!$A$1:$DZU$1000000,3362,FALSE)</f>
        <v>#N/A</v>
      </c>
      <c r="M198" s="33" t="e">
        <f>VLOOKUP(A1,DIV_06Data!$A$1:$DZU$1000000,3363,FALSE)</f>
        <v>#N/A</v>
      </c>
      <c r="N198" s="34" t="e">
        <f>VLOOKUP(A1,DIV_06Data!$A$1:$DZU$1000000,3364,FALSE)</f>
        <v>#N/A</v>
      </c>
      <c r="O198" s="35" t="e">
        <f>VLOOKUP(A1,DIV_06Data!$A$1:$DZU$1000000,3365,FALSE)</f>
        <v>#N/A</v>
      </c>
      <c r="P198" s="36" t="e">
        <f>VLOOKUP(A1,DIV_06Data!$A$1:$DZU$1000000,3366,FALSE)</f>
        <v>#N/A</v>
      </c>
      <c r="Q198" s="35" t="e">
        <f>VLOOKUP(A1,DIV_06Data!$A$1:$DZU$1000000,3367,FALSE)</f>
        <v>#N/A</v>
      </c>
    </row>
    <row r="199" spans="1:17" x14ac:dyDescent="0.35">
      <c r="A199" s="62" t="e">
        <f>VLOOKUP(A1,DIV_06Data!$A$1:$DZU$1000000,3368,FALSE)</f>
        <v>#N/A</v>
      </c>
      <c r="B199" s="63" t="e">
        <f>VLOOKUP(A1,DIV_06Data!$A$1:$DZU$1000000,3369,FALSE)</f>
        <v>#N/A</v>
      </c>
      <c r="C199" s="64" t="e">
        <f>VLOOKUP(A1,DIV_06Data!$A$1:$DZU$1000000,3370,FALSE)</f>
        <v>#N/A</v>
      </c>
      <c r="D199" s="65" t="e">
        <f>VLOOKUP(A1,DIV_06Data!$A$1:$DZU$1000000,3371,FALSE)</f>
        <v>#N/A</v>
      </c>
      <c r="E199" s="66" t="e">
        <f>VLOOKUP(A1,DIV_06Data!$A$1:$DZU$1000000,3372,FALSE)</f>
        <v>#N/A</v>
      </c>
      <c r="F199" s="67" t="e">
        <f>VLOOKUP(A1,DIV_06Data!$A$1:$DZU$1000000,3373,FALSE)</f>
        <v>#N/A</v>
      </c>
      <c r="G199" s="68" t="e">
        <f>VLOOKUP(A1,DIV_06Data!$A$1:$DZU$1000000,3374,FALSE)</f>
        <v>#N/A</v>
      </c>
      <c r="H199" s="67" t="e">
        <f>VLOOKUP(A1,DIV_06Data!$A$1:$DZU$1000000,3375,FALSE)</f>
        <v>#N/A</v>
      </c>
      <c r="I199" s="68" t="e">
        <f>VLOOKUP(A1,DIV_06Data!$A$1:$DZU$1000000,3376,FALSE)</f>
        <v>#N/A</v>
      </c>
      <c r="J199" s="67" t="e">
        <f>VLOOKUP(A1,DIV_06Data!$A$1:$DZU$1000000,3377,FALSE)</f>
        <v>#N/A</v>
      </c>
      <c r="K199" s="69" t="e">
        <f>VLOOKUP(A1,DIV_06Data!$A$1:$DZU$1000000,3378,FALSE)</f>
        <v>#N/A</v>
      </c>
      <c r="L199" s="67" t="e">
        <f>VLOOKUP(A1,DIV_06Data!$A$1:$DZU$1000000,3379,FALSE)</f>
        <v>#N/A</v>
      </c>
      <c r="M199" s="68" t="e">
        <f>VLOOKUP(A1,DIV_06Data!$A$1:$DZU$1000000,3380,FALSE)</f>
        <v>#N/A</v>
      </c>
      <c r="N199" s="67" t="e">
        <f>VLOOKUP(A1,DIV_06Data!$A$1:$DZU$1000000,3381,FALSE)</f>
        <v>#N/A</v>
      </c>
      <c r="O199" s="68" t="e">
        <f>VLOOKUP(A1,DIV_06Data!$A$1:$DZU$1000000,3382,FALSE)</f>
        <v>#N/A</v>
      </c>
      <c r="P199" s="70" t="e">
        <f>VLOOKUP(A1,DIV_06Data!$A$1:$DZU$1000000,3383,FALSE)</f>
        <v>#N/A</v>
      </c>
      <c r="Q199" s="68" t="e">
        <f>VLOOKUP(A1,DIV_06Data!$A$1:$DZU$1000000,3384,FALSE)</f>
        <v>#N/A</v>
      </c>
    </row>
    <row r="200" spans="1:17" x14ac:dyDescent="0.35">
      <c r="A200" s="1" t="e">
        <f>VLOOKUP(A1,DIV_06Data!$A$1:$DZU$1000000,3385,FALSE)</f>
        <v>#N/A</v>
      </c>
      <c r="B200" s="1" t="e">
        <f>VLOOKUP(A1,DIV_06Data!$A$1:$DZU$1000000,3386,FALSE)</f>
        <v>#N/A</v>
      </c>
      <c r="C200" s="1" t="e">
        <f>VLOOKUP(A1,DIV_06Data!$A$1:$DZU$1000000,3387,FALSE)</f>
        <v>#N/A</v>
      </c>
      <c r="D200" s="1" t="e">
        <f>VLOOKUP(A1,DIV_06Data!$A$1:$DZU$1000000,3388,FALSE)</f>
        <v>#N/A</v>
      </c>
      <c r="E200" s="1" t="e">
        <f>VLOOKUP(A1,DIV_06Data!$A$1:$DZU$1000000,3389,FALSE)</f>
        <v>#N/A</v>
      </c>
      <c r="F200" s="1" t="e">
        <f>VLOOKUP(A1,DIV_06Data!$A$1:$DZU$1000000,3390,FALSE)</f>
        <v>#N/A</v>
      </c>
      <c r="G200" s="1" t="e">
        <f>VLOOKUP(A1,DIV_06Data!$A$1:$DZU$1000000,3391,FALSE)</f>
        <v>#N/A</v>
      </c>
      <c r="H200" s="1" t="e">
        <f>VLOOKUP(A1,DIV_06Data!$A$1:$DZU$1000000,3392,FALSE)</f>
        <v>#N/A</v>
      </c>
      <c r="I200" s="1" t="e">
        <f>VLOOKUP(A1,DIV_06Data!$A$1:$DZU$1000000,3393,FALSE)</f>
        <v>#N/A</v>
      </c>
      <c r="J200" s="1" t="e">
        <f>VLOOKUP(A1,DIV_06Data!$A$1:$DZU$1000000,3394,FALSE)</f>
        <v>#N/A</v>
      </c>
      <c r="K200" s="1" t="e">
        <f>VLOOKUP(A1,DIV_06Data!$A$1:$DZU$1000000,3395,FALSE)</f>
        <v>#N/A</v>
      </c>
      <c r="L200" s="1" t="e">
        <f>VLOOKUP(A1,DIV_06Data!$A$1:$DZU$1000000,3396,FALSE)</f>
        <v>#N/A</v>
      </c>
      <c r="M200" s="1" t="e">
        <f>VLOOKUP(A1,DIV_06Data!$A$1:$DZU$1000000,3397,FALSE)</f>
        <v>#N/A</v>
      </c>
      <c r="N200" s="1" t="e">
        <f>VLOOKUP(A1,DIV_06Data!$A$1:$DZU$1000000,3398,FALSE)</f>
        <v>#N/A</v>
      </c>
      <c r="O200" s="1" t="e">
        <f>VLOOKUP(A1,DIV_06Data!$A$1:$DZU$1000000,3399,FALSE)</f>
        <v>#N/A</v>
      </c>
      <c r="P200" s="1" t="e">
        <f>VLOOKUP(A1,DIV_06Data!$A$1:$DZU$1000000,3400,FALSE)</f>
        <v>#N/A</v>
      </c>
      <c r="Q200" s="78" t="e">
        <f>VLOOKUP(A1,DIV_06Data!$A$1:$DZU$1000000,3401,FALSE)</f>
        <v>#N/A</v>
      </c>
    </row>
  </sheetData>
  <mergeCells count="9">
    <mergeCell ref="J5:K5"/>
    <mergeCell ref="J6:K6"/>
    <mergeCell ref="J7:K7"/>
    <mergeCell ref="B2:L2"/>
    <mergeCell ref="A3:B3"/>
    <mergeCell ref="D3:G3"/>
    <mergeCell ref="J3:K3"/>
    <mergeCell ref="A4:B4"/>
    <mergeCell ref="J4:K4"/>
  </mergeCells>
  <dataValidations count="1">
    <dataValidation type="list" allowBlank="1" showInputMessage="1" showErrorMessage="1" sqref="C16:C190" xr:uid="{75B958AA-5824-4C12-9E20-90D8468AA5FF}">
      <formula1>$C$205:$C207</formula1>
    </dataValidation>
  </dataValidations>
  <hyperlinks>
    <hyperlink ref="D3" r:id="rId1" display="datamateapp@gmail.com" xr:uid="{001124E2-E05A-4059-BBC0-C00CC377C365}"/>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38287" r:id="rId4" name="Button 15">
              <controlPr defaultSize="0" print="0" autoFill="0" autoPict="0" macro="[0]!ViewInput">
                <anchor moveWithCells="1" sizeWithCells="1">
                  <from>
                    <xdr:col>17</xdr:col>
                    <xdr:colOff>0</xdr:colOff>
                    <xdr:row>2</xdr:row>
                    <xdr:rowOff>50800</xdr:rowOff>
                  </from>
                  <to>
                    <xdr:col>19</xdr:col>
                    <xdr:colOff>44450</xdr:colOff>
                    <xdr:row>4</xdr:row>
                    <xdr:rowOff>88900</xdr:rowOff>
                  </to>
                </anchor>
              </controlPr>
            </control>
          </mc:Choice>
        </mc:AlternateContent>
        <mc:AlternateContent xmlns:mc="http://schemas.openxmlformats.org/markup-compatibility/2006">
          <mc:Choice Requires="x14">
            <control shapeId="438288" r:id="rId5" name="Button 16">
              <controlPr defaultSize="0" print="0" autoFill="0" autoPict="0" macro="[0]!ViewLog">
                <anchor moveWithCells="1" sizeWithCells="1">
                  <from>
                    <xdr:col>17</xdr:col>
                    <xdr:colOff>0</xdr:colOff>
                    <xdr:row>5</xdr:row>
                    <xdr:rowOff>50800</xdr:rowOff>
                  </from>
                  <to>
                    <xdr:col>19</xdr:col>
                    <xdr:colOff>44450</xdr:colOff>
                    <xdr:row>7</xdr:row>
                    <xdr:rowOff>44450</xdr:rowOff>
                  </to>
                </anchor>
              </controlPr>
            </control>
          </mc:Choice>
        </mc:AlternateContent>
        <mc:AlternateContent xmlns:mc="http://schemas.openxmlformats.org/markup-compatibility/2006">
          <mc:Choice Requires="x14">
            <control shapeId="438289" r:id="rId6" name="Button 17">
              <controlPr defaultSize="0" print="0" autoFill="0" autoPict="0" macro="[0]!OpenDataMateAppPage">
                <anchor moveWithCells="1" sizeWithCells="1">
                  <from>
                    <xdr:col>17</xdr:col>
                    <xdr:colOff>0</xdr:colOff>
                    <xdr:row>7</xdr:row>
                    <xdr:rowOff>177800</xdr:rowOff>
                  </from>
                  <to>
                    <xdr:col>19</xdr:col>
                    <xdr:colOff>44450</xdr:colOff>
                    <xdr:row>9</xdr:row>
                    <xdr:rowOff>171450</xdr:rowOff>
                  </to>
                </anchor>
              </controlPr>
            </control>
          </mc:Choice>
        </mc:AlternateContent>
        <mc:AlternateContent xmlns:mc="http://schemas.openxmlformats.org/markup-compatibility/2006">
          <mc:Choice Requires="x14">
            <control shapeId="438290" r:id="rId7" name="Button 18">
              <controlPr defaultSize="0" print="0" autoFill="0" autoPict="0" macro="RefreshView">
                <anchor moveWithCells="1" sizeWithCells="1">
                  <from>
                    <xdr:col>17</xdr:col>
                    <xdr:colOff>0</xdr:colOff>
                    <xdr:row>0</xdr:row>
                    <xdr:rowOff>0</xdr:rowOff>
                  </from>
                  <to>
                    <xdr:col>19</xdr:col>
                    <xdr:colOff>44450</xdr:colOff>
                    <xdr:row>1</xdr:row>
                    <xdr:rowOff>184150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23BF34F-F5E4-4641-8CA4-4AE75E84A6C4}">
          <x14:formula1>
            <xm:f>DIV_02Data!$A:$A</xm:f>
          </x14:formula1>
          <xm:sqref>B2:L2</xm:sqref>
        </x14:dataValidation>
      </x14:dataValidations>
    </ext>
  </extLs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75B2F9-A019-4FCE-8AE4-C9F3CE300457}">
  <sheetPr codeName="Sheet68"/>
  <dimension ref="A2:B3"/>
  <sheetViews>
    <sheetView zoomScale="75" zoomScaleNormal="75" workbookViewId="0">
      <selection activeCell="A3" sqref="A3"/>
    </sheetView>
  </sheetViews>
  <sheetFormatPr defaultRowHeight="14.5" x14ac:dyDescent="0.35"/>
  <cols>
    <col min="1" max="1" width="28.26953125" customWidth="1"/>
    <col min="2" max="8" width="13.36328125" customWidth="1"/>
    <col min="9" max="9" width="50.36328125" customWidth="1"/>
    <col min="13" max="15" width="10.26953125" customWidth="1"/>
  </cols>
  <sheetData>
    <row r="2" spans="1:2" ht="18.5" x14ac:dyDescent="0.45">
      <c r="A2" s="71" t="str">
        <f>DIV_06Input!A3</f>
        <v>DIV 06</v>
      </c>
      <c r="B2" s="1"/>
    </row>
    <row r="3" spans="1:2" x14ac:dyDescent="0.35">
      <c r="A3" s="1" t="s">
        <v>21395</v>
      </c>
      <c r="B3" s="246">
        <f ca="1">TODAY()</f>
        <v>45603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25665" r:id="rId3" name="Button 1">
              <controlPr defaultSize="0" print="0" autoFill="0" autoPict="0" macro="[0]!ViewInput">
                <anchor moveWithCells="1" sizeWithCells="1">
                  <from>
                    <xdr:col>16</xdr:col>
                    <xdr:colOff>603250</xdr:colOff>
                    <xdr:row>0</xdr:row>
                    <xdr:rowOff>0</xdr:rowOff>
                  </from>
                  <to>
                    <xdr:col>19</xdr:col>
                    <xdr:colOff>44450</xdr:colOff>
                    <xdr:row>2</xdr:row>
                    <xdr:rowOff>12700</xdr:rowOff>
                  </to>
                </anchor>
              </controlPr>
            </control>
          </mc:Choice>
        </mc:AlternateContent>
        <mc:AlternateContent xmlns:mc="http://schemas.openxmlformats.org/markup-compatibility/2006">
          <mc:Choice Requires="x14">
            <control shapeId="625666" r:id="rId4" name="Button 2">
              <controlPr defaultSize="0" print="0" autoFill="0" autoPict="0" macro="[0]!ViewView_Print">
                <anchor moveWithCells="1" sizeWithCells="1">
                  <from>
                    <xdr:col>16</xdr:col>
                    <xdr:colOff>603250</xdr:colOff>
                    <xdr:row>2</xdr:row>
                    <xdr:rowOff>38100</xdr:rowOff>
                  </from>
                  <to>
                    <xdr:col>19</xdr:col>
                    <xdr:colOff>44450</xdr:colOff>
                    <xdr:row>4</xdr:row>
                    <xdr:rowOff>50800</xdr:rowOff>
                  </to>
                </anchor>
              </controlPr>
            </control>
          </mc:Choice>
        </mc:AlternateContent>
        <mc:AlternateContent xmlns:mc="http://schemas.openxmlformats.org/markup-compatibility/2006">
          <mc:Choice Requires="x14">
            <control shapeId="625667" r:id="rId5" name="Button 3">
              <controlPr defaultSize="0" print="0" autoFill="0" autoPict="0" macro="[0]!ViewUpdate">
                <anchor moveWithCells="1" sizeWithCells="1">
                  <from>
                    <xdr:col>16</xdr:col>
                    <xdr:colOff>603250</xdr:colOff>
                    <xdr:row>4</xdr:row>
                    <xdr:rowOff>76200</xdr:rowOff>
                  </from>
                  <to>
                    <xdr:col>19</xdr:col>
                    <xdr:colOff>44450</xdr:colOff>
                    <xdr:row>6</xdr:row>
                    <xdr:rowOff>88900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3110B-80A6-4504-A75C-2EAFEE3C1057}">
  <sheetPr codeName="Sheet69"/>
  <dimension ref="A1:P1"/>
  <sheetViews>
    <sheetView workbookViewId="0">
      <selection activeCell="B2" sqref="B2"/>
    </sheetView>
  </sheetViews>
  <sheetFormatPr defaultRowHeight="14.5" x14ac:dyDescent="0.35"/>
  <cols>
    <col min="1" max="1" width="8.7265625" style="248"/>
    <col min="5" max="5" width="22.08984375" style="248" customWidth="1"/>
    <col min="6" max="6" width="8.7265625" style="248"/>
    <col min="7" max="11" width="11.6328125" style="248" customWidth="1"/>
    <col min="12" max="12" width="12.26953125" style="248" customWidth="1"/>
    <col min="13" max="13" width="34.54296875" style="248" customWidth="1"/>
    <col min="14" max="16" width="8.7265625" style="248"/>
  </cols>
  <sheetData>
    <row r="1" spans="2:16" x14ac:dyDescent="0.35">
      <c r="B1" s="73" t="str">
        <f>DIV_08View_Print!M1</f>
        <v>Update 1</v>
      </c>
      <c r="C1" s="73" t="str">
        <f>DIV_08View_Print!N1</f>
        <v>Update 2</v>
      </c>
      <c r="D1" s="73" t="str">
        <f>DIV_08View_Print!O1</f>
        <v>Update 3</v>
      </c>
      <c r="E1" s="74" t="str">
        <f>SEC_081000!A1</f>
        <v>AREA/FLOOR/ZONE</v>
      </c>
      <c r="F1" s="74" t="str">
        <f>SEC_081000!B1</f>
        <v>Page</v>
      </c>
      <c r="G1" s="74" t="str">
        <f>SEC_081000!C1</f>
        <v>SUB COST</v>
      </c>
      <c r="H1" s="74" t="str">
        <f>SEC_081000!D1</f>
        <v>MAT COST</v>
      </c>
      <c r="I1" s="74" t="str">
        <f>SEC_081000!E1</f>
        <v>LAB COST</v>
      </c>
      <c r="J1" s="74" t="str">
        <f>SEC_081000!F1</f>
        <v>EQUIP COST</v>
      </c>
      <c r="K1" s="74" t="str">
        <f>SEC_081000!G1</f>
        <v>Total Cost</v>
      </c>
      <c r="L1" s="74" t="str">
        <f>SEC_081000!H1</f>
        <v>Date</v>
      </c>
      <c r="M1" s="74" t="str">
        <f>SEC_081000!I1</f>
        <v>Description</v>
      </c>
      <c r="N1" s="74" t="str">
        <f>SEC_081000!J1</f>
        <v>Log 10</v>
      </c>
      <c r="O1" s="74" t="str">
        <f>SEC_081000!K1</f>
        <v>Log 11</v>
      </c>
      <c r="P1" s="75" t="str">
        <f>SEC_081000!L1</f>
        <v>Log 12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22" r:id="rId3" name="Button 2">
              <controlPr defaultSize="0" print="0" autoFill="0" autoPict="0" macro="[0]!ViewLog">
                <anchor moveWithCells="1" sizeWithCells="1">
                  <from>
                    <xdr:col>17</xdr:col>
                    <xdr:colOff>0</xdr:colOff>
                    <xdr:row>0</xdr:row>
                    <xdr:rowOff>44450</xdr:rowOff>
                  </from>
                  <to>
                    <xdr:col>19</xdr:col>
                    <xdr:colOff>50800</xdr:colOff>
                    <xdr:row>2</xdr:row>
                    <xdr:rowOff>57150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4D2C38-F907-4310-8732-6E5E47EF481E}">
  <sheetPr codeName="Sheet70"/>
  <dimension ref="S1:AG1"/>
  <sheetViews>
    <sheetView topLeftCell="A186" workbookViewId="0">
      <selection activeCell="C206" sqref="C206"/>
    </sheetView>
  </sheetViews>
  <sheetFormatPr defaultRowHeight="14.5" x14ac:dyDescent="0.35"/>
  <sheetData>
    <row r="1" spans="19:33" x14ac:dyDescent="0.35">
      <c r="S1" t="str">
        <f>DIV_06Input!A1</f>
        <v>AREA/FLOOR/ZONE</v>
      </c>
      <c r="T1" t="str">
        <f>DIV_06Input!B1</f>
        <v>Page</v>
      </c>
      <c r="U1" t="str">
        <f>DIV_06Input!C1</f>
        <v>SUB COST</v>
      </c>
      <c r="V1" t="str">
        <f>DIV_06Input!D1</f>
        <v>MAT COST</v>
      </c>
      <c r="W1" t="str">
        <f>DIV_06Input!E1</f>
        <v>LAB COST</v>
      </c>
      <c r="X1" t="str">
        <f>DIV_06Input!F1</f>
        <v>EQUIP COST</v>
      </c>
      <c r="Y1" t="str">
        <f>DIV_06Input!G1</f>
        <v>Total Cost</v>
      </c>
      <c r="Z1" t="str">
        <f>DIV_06Input!H1</f>
        <v>Date</v>
      </c>
      <c r="AA1" t="str">
        <f>DIV_06Input!I1</f>
        <v>Description</v>
      </c>
      <c r="AB1" t="str">
        <f>DIV_06Input!J1</f>
        <v>Log 10</v>
      </c>
      <c r="AC1" t="str">
        <f>DIV_06Input!K1</f>
        <v>Log 11</v>
      </c>
      <c r="AD1" t="str">
        <f>DIV_06Input!L1</f>
        <v>Log 12</v>
      </c>
      <c r="AE1" t="str">
        <f>DIV_06Input!M1</f>
        <v>Update 1</v>
      </c>
      <c r="AF1" t="str">
        <f>DIV_06Input!N1</f>
        <v>Update 2</v>
      </c>
      <c r="AG1" t="str">
        <f>DIV_06Input!O1</f>
        <v>Update 3</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70ABF-9FA9-4AB7-8D4A-7A61BF0B8940}">
  <sheetPr codeName="Sheet77"/>
  <dimension ref="A1:Q1806"/>
  <sheetViews>
    <sheetView zoomScale="75" zoomScaleNormal="75" workbookViewId="0"/>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ROUGH CARPENTRY</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06 10 00</v>
      </c>
      <c r="C10" s="24" t="str">
        <f>C206</f>
        <v>ROUGH CARPENTRY</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ROUGH CARPENTRY</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14267</v>
      </c>
      <c r="C206" s="82" t="s">
        <v>14268</v>
      </c>
      <c r="D206" s="1"/>
      <c r="E206" s="1"/>
      <c r="F206" s="1"/>
      <c r="G206" s="1"/>
      <c r="H206" s="1"/>
      <c r="I206" s="1"/>
      <c r="J206" s="1"/>
      <c r="K206" s="1"/>
      <c r="L206" s="1"/>
      <c r="M206" s="1"/>
      <c r="N206" s="1"/>
      <c r="O206" s="1"/>
      <c r="P206" s="1"/>
      <c r="Q206" s="1"/>
    </row>
    <row r="207" spans="2:17" x14ac:dyDescent="0.35">
      <c r="B207" s="49" t="s">
        <v>14269</v>
      </c>
      <c r="C207" s="53" t="s">
        <v>14270</v>
      </c>
      <c r="D207" s="1"/>
      <c r="E207" s="1"/>
      <c r="F207" s="1"/>
      <c r="G207" s="1"/>
      <c r="H207" s="1"/>
      <c r="I207" s="1"/>
      <c r="J207" s="1"/>
      <c r="K207" s="1"/>
      <c r="L207" s="1"/>
      <c r="M207" s="1"/>
      <c r="N207" s="1"/>
      <c r="O207" s="1"/>
      <c r="P207" s="1"/>
      <c r="Q207" s="1"/>
    </row>
    <row r="208" spans="2:17" x14ac:dyDescent="0.35">
      <c r="B208" s="49" t="s">
        <v>14271</v>
      </c>
      <c r="C208" s="53" t="s">
        <v>14272</v>
      </c>
    </row>
    <row r="209" spans="2:5" x14ac:dyDescent="0.35">
      <c r="B209" s="49" t="s">
        <v>14273</v>
      </c>
      <c r="C209" s="53" t="s">
        <v>14274</v>
      </c>
    </row>
    <row r="210" spans="2:5" x14ac:dyDescent="0.35">
      <c r="B210" s="49" t="s">
        <v>14275</v>
      </c>
      <c r="C210" s="53" t="s">
        <v>14276</v>
      </c>
    </row>
    <row r="211" spans="2:5" x14ac:dyDescent="0.35">
      <c r="B211" s="49" t="s">
        <v>14277</v>
      </c>
      <c r="C211" s="53" t="s">
        <v>14278</v>
      </c>
    </row>
    <row r="212" spans="2:5" x14ac:dyDescent="0.35">
      <c r="B212" s="49" t="s">
        <v>14279</v>
      </c>
      <c r="C212" s="53" t="s">
        <v>14280</v>
      </c>
    </row>
    <row r="213" spans="2:5" x14ac:dyDescent="0.35">
      <c r="B213" s="49" t="s">
        <v>14281</v>
      </c>
      <c r="C213" s="53" t="s">
        <v>14282</v>
      </c>
    </row>
    <row r="214" spans="2:5" x14ac:dyDescent="0.35">
      <c r="B214" s="49" t="s">
        <v>14283</v>
      </c>
      <c r="C214" s="53" t="s">
        <v>14284</v>
      </c>
    </row>
    <row r="215" spans="2:5" x14ac:dyDescent="0.35">
      <c r="C215" s="1" t="s">
        <v>5880</v>
      </c>
      <c r="D215" s="1" t="s">
        <v>57</v>
      </c>
      <c r="E215" s="250">
        <v>6100.1009999999997</v>
      </c>
    </row>
    <row r="216" spans="2:5" x14ac:dyDescent="0.35">
      <c r="C216" s="1" t="s">
        <v>5879</v>
      </c>
      <c r="D216" s="1" t="s">
        <v>20</v>
      </c>
      <c r="E216" s="250">
        <v>6100.1019999999999</v>
      </c>
    </row>
    <row r="217" spans="2:5" x14ac:dyDescent="0.35">
      <c r="C217" s="1" t="s">
        <v>5878</v>
      </c>
      <c r="D217" s="1" t="s">
        <v>20</v>
      </c>
      <c r="E217" s="250">
        <v>6100.1030000000001</v>
      </c>
    </row>
    <row r="218" spans="2:5" x14ac:dyDescent="0.35">
      <c r="C218" s="1" t="s">
        <v>5877</v>
      </c>
      <c r="D218" s="1" t="s">
        <v>20</v>
      </c>
      <c r="E218" s="250">
        <v>6100.1040000000003</v>
      </c>
    </row>
    <row r="219" spans="2:5" x14ac:dyDescent="0.35">
      <c r="C219" s="1" t="s">
        <v>5876</v>
      </c>
      <c r="D219" s="1" t="s">
        <v>20</v>
      </c>
      <c r="E219" s="250">
        <v>6100.1049999999996</v>
      </c>
    </row>
    <row r="220" spans="2:5" x14ac:dyDescent="0.35">
      <c r="C220" s="1" t="s">
        <v>5875</v>
      </c>
      <c r="D220" s="1" t="s">
        <v>20</v>
      </c>
      <c r="E220" s="250">
        <v>6100.11</v>
      </c>
    </row>
    <row r="221" spans="2:5" x14ac:dyDescent="0.35">
      <c r="C221" s="1" t="s">
        <v>5874</v>
      </c>
      <c r="D221" s="1" t="s">
        <v>20</v>
      </c>
      <c r="E221" s="250">
        <v>6100.1109999999999</v>
      </c>
    </row>
    <row r="222" spans="2:5" x14ac:dyDescent="0.35">
      <c r="C222" s="1" t="s">
        <v>5873</v>
      </c>
      <c r="D222" s="1" t="s">
        <v>20</v>
      </c>
      <c r="E222" s="250">
        <v>6100.1120000000001</v>
      </c>
    </row>
    <row r="223" spans="2:5" x14ac:dyDescent="0.35">
      <c r="C223" s="1" t="s">
        <v>5872</v>
      </c>
      <c r="D223" s="1" t="s">
        <v>20</v>
      </c>
      <c r="E223" s="250">
        <v>6100.1149999999998</v>
      </c>
    </row>
    <row r="224" spans="2:5" x14ac:dyDescent="0.35">
      <c r="C224" s="1" t="s">
        <v>5871</v>
      </c>
      <c r="D224" s="1" t="s">
        <v>20</v>
      </c>
      <c r="E224" s="250">
        <v>6100.116</v>
      </c>
    </row>
    <row r="225" spans="3:5" x14ac:dyDescent="0.35">
      <c r="C225" s="1" t="s">
        <v>5870</v>
      </c>
      <c r="D225" s="1" t="s">
        <v>20</v>
      </c>
      <c r="E225" s="250">
        <v>6100.1170000000002</v>
      </c>
    </row>
    <row r="226" spans="3:5" x14ac:dyDescent="0.35">
      <c r="C226" s="1" t="s">
        <v>5869</v>
      </c>
      <c r="D226" s="1" t="s">
        <v>20</v>
      </c>
      <c r="E226" s="250">
        <v>6100.12</v>
      </c>
    </row>
    <row r="227" spans="3:5" x14ac:dyDescent="0.35">
      <c r="C227" s="1" t="s">
        <v>5868</v>
      </c>
      <c r="D227" s="1" t="s">
        <v>20</v>
      </c>
      <c r="E227" s="250">
        <v>6100.125</v>
      </c>
    </row>
    <row r="228" spans="3:5" x14ac:dyDescent="0.35">
      <c r="C228" s="1" t="s">
        <v>5867</v>
      </c>
      <c r="D228" s="1" t="s">
        <v>20</v>
      </c>
      <c r="E228" s="250">
        <v>6100.1260000000002</v>
      </c>
    </row>
    <row r="229" spans="3:5" x14ac:dyDescent="0.35">
      <c r="C229" s="1" t="s">
        <v>5866</v>
      </c>
      <c r="D229" s="1" t="s">
        <v>20</v>
      </c>
      <c r="E229" s="250">
        <v>6100.1270000000004</v>
      </c>
    </row>
    <row r="230" spans="3:5" x14ac:dyDescent="0.35">
      <c r="C230" s="1" t="s">
        <v>5865</v>
      </c>
      <c r="D230" s="1" t="s">
        <v>20</v>
      </c>
      <c r="E230" s="250">
        <v>6100.1279999999997</v>
      </c>
    </row>
    <row r="231" spans="3:5" x14ac:dyDescent="0.35">
      <c r="C231" s="1" t="s">
        <v>5864</v>
      </c>
      <c r="D231" s="1" t="s">
        <v>18</v>
      </c>
      <c r="E231" s="250">
        <v>6100.13</v>
      </c>
    </row>
    <row r="232" spans="3:5" x14ac:dyDescent="0.35">
      <c r="C232" s="1" t="s">
        <v>5863</v>
      </c>
      <c r="D232" s="1" t="s">
        <v>18</v>
      </c>
      <c r="E232" s="250">
        <v>6100.1310000000003</v>
      </c>
    </row>
    <row r="233" spans="3:5" x14ac:dyDescent="0.35">
      <c r="C233" s="1" t="s">
        <v>5862</v>
      </c>
      <c r="D233" s="1" t="s">
        <v>18</v>
      </c>
      <c r="E233" s="250">
        <v>6100.1319999999996</v>
      </c>
    </row>
    <row r="234" spans="3:5" x14ac:dyDescent="0.35">
      <c r="C234" s="1" t="s">
        <v>5861</v>
      </c>
      <c r="D234" s="1" t="s">
        <v>3023</v>
      </c>
      <c r="E234" s="250">
        <v>6110.1009999999997</v>
      </c>
    </row>
    <row r="235" spans="3:5" x14ac:dyDescent="0.35">
      <c r="C235" s="1" t="s">
        <v>5860</v>
      </c>
      <c r="D235" s="1" t="s">
        <v>3023</v>
      </c>
      <c r="E235" s="250">
        <v>6110.1019999999999</v>
      </c>
    </row>
    <row r="236" spans="3:5" x14ac:dyDescent="0.35">
      <c r="C236" s="1" t="s">
        <v>5859</v>
      </c>
      <c r="D236" s="1" t="s">
        <v>3023</v>
      </c>
      <c r="E236" s="250">
        <v>6110.1030000000001</v>
      </c>
    </row>
    <row r="237" spans="3:5" x14ac:dyDescent="0.35">
      <c r="C237" s="1" t="s">
        <v>5858</v>
      </c>
      <c r="D237" s="1" t="s">
        <v>3023</v>
      </c>
      <c r="E237" s="250">
        <v>6110.1040000000003</v>
      </c>
    </row>
    <row r="238" spans="3:5" x14ac:dyDescent="0.35">
      <c r="C238" s="1" t="s">
        <v>5857</v>
      </c>
      <c r="D238" s="1" t="s">
        <v>3023</v>
      </c>
      <c r="E238" s="250">
        <v>6110.1049999999996</v>
      </c>
    </row>
    <row r="239" spans="3:5" x14ac:dyDescent="0.35">
      <c r="C239" s="1" t="s">
        <v>5856</v>
      </c>
      <c r="D239" s="1" t="s">
        <v>3023</v>
      </c>
      <c r="E239" s="250">
        <v>6110.1059999999998</v>
      </c>
    </row>
    <row r="240" spans="3:5" x14ac:dyDescent="0.35">
      <c r="C240" s="1" t="s">
        <v>5855</v>
      </c>
      <c r="D240" s="1" t="s">
        <v>3023</v>
      </c>
      <c r="E240" s="250">
        <v>6110.107</v>
      </c>
    </row>
    <row r="241" spans="3:5" x14ac:dyDescent="0.35">
      <c r="C241" s="1" t="s">
        <v>5854</v>
      </c>
      <c r="D241" s="1" t="s">
        <v>3023</v>
      </c>
      <c r="E241" s="250">
        <v>6110.1080000000002</v>
      </c>
    </row>
    <row r="242" spans="3:5" x14ac:dyDescent="0.35">
      <c r="C242" s="1" t="s">
        <v>5853</v>
      </c>
      <c r="D242" s="1" t="s">
        <v>3023</v>
      </c>
      <c r="E242" s="250">
        <v>6110.1090000000004</v>
      </c>
    </row>
    <row r="243" spans="3:5" x14ac:dyDescent="0.35">
      <c r="C243" s="1" t="s">
        <v>5852</v>
      </c>
      <c r="D243" s="1" t="s">
        <v>3023</v>
      </c>
      <c r="E243" s="250">
        <v>6110.11</v>
      </c>
    </row>
    <row r="244" spans="3:5" x14ac:dyDescent="0.35">
      <c r="C244" s="1" t="s">
        <v>5851</v>
      </c>
      <c r="D244" s="1" t="s">
        <v>3023</v>
      </c>
      <c r="E244" s="250">
        <v>6110.1109999999999</v>
      </c>
    </row>
    <row r="245" spans="3:5" x14ac:dyDescent="0.35">
      <c r="C245" s="1" t="s">
        <v>5850</v>
      </c>
      <c r="D245" s="1" t="s">
        <v>3023</v>
      </c>
      <c r="E245" s="250">
        <v>6110.1120000000001</v>
      </c>
    </row>
    <row r="246" spans="3:5" x14ac:dyDescent="0.35">
      <c r="C246" s="1" t="s">
        <v>5849</v>
      </c>
      <c r="D246" s="1" t="s">
        <v>3023</v>
      </c>
      <c r="E246" s="250">
        <v>6110.1130000000003</v>
      </c>
    </row>
    <row r="247" spans="3:5" x14ac:dyDescent="0.35">
      <c r="C247" s="1" t="s">
        <v>5848</v>
      </c>
      <c r="D247" s="1" t="s">
        <v>3023</v>
      </c>
      <c r="E247" s="250">
        <v>6110.1139999999996</v>
      </c>
    </row>
    <row r="248" spans="3:5" x14ac:dyDescent="0.35">
      <c r="C248" s="1" t="s">
        <v>5847</v>
      </c>
      <c r="D248" s="1" t="s">
        <v>3023</v>
      </c>
      <c r="E248" s="250">
        <v>6110.1149999999998</v>
      </c>
    </row>
    <row r="249" spans="3:5" x14ac:dyDescent="0.35">
      <c r="C249" s="1" t="s">
        <v>5070</v>
      </c>
      <c r="D249" s="1" t="s">
        <v>66</v>
      </c>
      <c r="E249" s="250">
        <v>6110.14</v>
      </c>
    </row>
    <row r="250" spans="3:5" x14ac:dyDescent="0.35">
      <c r="C250" s="1" t="s">
        <v>5846</v>
      </c>
      <c r="D250" s="1" t="s">
        <v>18</v>
      </c>
      <c r="E250" s="250">
        <v>6110.15</v>
      </c>
    </row>
    <row r="251" spans="3:5" x14ac:dyDescent="0.35">
      <c r="C251" s="1" t="s">
        <v>5845</v>
      </c>
      <c r="D251" s="1" t="s">
        <v>18</v>
      </c>
      <c r="E251" s="250">
        <v>6110.1509999999998</v>
      </c>
    </row>
    <row r="252" spans="3:5" x14ac:dyDescent="0.35">
      <c r="C252" s="1" t="s">
        <v>5844</v>
      </c>
      <c r="D252" s="1" t="s">
        <v>18</v>
      </c>
      <c r="E252" s="250">
        <v>6110.152</v>
      </c>
    </row>
    <row r="253" spans="3:5" x14ac:dyDescent="0.35">
      <c r="C253" s="1" t="s">
        <v>5843</v>
      </c>
      <c r="D253" s="1" t="s">
        <v>18</v>
      </c>
      <c r="E253" s="250">
        <v>6110.1530000000002</v>
      </c>
    </row>
    <row r="254" spans="3:5" x14ac:dyDescent="0.35">
      <c r="C254" s="1" t="s">
        <v>5842</v>
      </c>
      <c r="D254" s="1" t="s">
        <v>18</v>
      </c>
      <c r="E254" s="250">
        <v>6110.1540000000005</v>
      </c>
    </row>
    <row r="255" spans="3:5" x14ac:dyDescent="0.35">
      <c r="C255" s="1" t="s">
        <v>5841</v>
      </c>
      <c r="D255" s="1" t="s">
        <v>18</v>
      </c>
      <c r="E255" s="250">
        <v>6110.16</v>
      </c>
    </row>
    <row r="256" spans="3:5" x14ac:dyDescent="0.35">
      <c r="C256" s="1" t="s">
        <v>5840</v>
      </c>
      <c r="D256" s="1" t="s">
        <v>19</v>
      </c>
      <c r="E256" s="250">
        <v>6110.17</v>
      </c>
    </row>
    <row r="257" spans="3:5" x14ac:dyDescent="0.35">
      <c r="C257" s="1" t="s">
        <v>5839</v>
      </c>
      <c r="D257" s="1" t="s">
        <v>18</v>
      </c>
      <c r="E257" s="250">
        <v>6110.18</v>
      </c>
    </row>
    <row r="258" spans="3:5" x14ac:dyDescent="0.35">
      <c r="C258" s="1" t="s">
        <v>5838</v>
      </c>
      <c r="D258" s="1" t="s">
        <v>18</v>
      </c>
      <c r="E258" s="250">
        <v>6110.1850000000004</v>
      </c>
    </row>
    <row r="259" spans="3:5" x14ac:dyDescent="0.35">
      <c r="C259" s="1" t="s">
        <v>5837</v>
      </c>
      <c r="D259" s="1" t="s">
        <v>3023</v>
      </c>
      <c r="E259" s="250">
        <v>6110.2</v>
      </c>
    </row>
    <row r="260" spans="3:5" x14ac:dyDescent="0.35">
      <c r="C260" s="1" t="s">
        <v>5427</v>
      </c>
      <c r="D260" s="1" t="s">
        <v>3023</v>
      </c>
      <c r="E260" s="250">
        <v>6110.201</v>
      </c>
    </row>
    <row r="261" spans="3:5" x14ac:dyDescent="0.35">
      <c r="C261" s="1" t="s">
        <v>5426</v>
      </c>
      <c r="D261" s="1" t="s">
        <v>3023</v>
      </c>
      <c r="E261" s="250">
        <v>6110.2020000000002</v>
      </c>
    </row>
    <row r="262" spans="3:5" x14ac:dyDescent="0.35">
      <c r="C262" s="1" t="s">
        <v>5425</v>
      </c>
      <c r="D262" s="1" t="s">
        <v>3023</v>
      </c>
      <c r="E262" s="250">
        <v>6110.2030000000004</v>
      </c>
    </row>
    <row r="263" spans="3:5" x14ac:dyDescent="0.35">
      <c r="C263" s="1" t="s">
        <v>5424</v>
      </c>
      <c r="D263" s="1" t="s">
        <v>3023</v>
      </c>
      <c r="E263" s="250">
        <v>6110.2039999999997</v>
      </c>
    </row>
    <row r="264" spans="3:5" x14ac:dyDescent="0.35">
      <c r="C264" s="1" t="s">
        <v>5423</v>
      </c>
      <c r="D264" s="1" t="s">
        <v>3023</v>
      </c>
      <c r="E264" s="250">
        <v>6110.2049999999999</v>
      </c>
    </row>
    <row r="265" spans="3:5" x14ac:dyDescent="0.35">
      <c r="C265" s="1" t="s">
        <v>5422</v>
      </c>
      <c r="D265" s="1" t="s">
        <v>3023</v>
      </c>
      <c r="E265" s="250">
        <v>6110.2060000000001</v>
      </c>
    </row>
    <row r="266" spans="3:5" x14ac:dyDescent="0.35">
      <c r="C266" s="1" t="s">
        <v>5421</v>
      </c>
      <c r="D266" s="1" t="s">
        <v>3023</v>
      </c>
      <c r="E266" s="250">
        <v>6110.2070000000003</v>
      </c>
    </row>
    <row r="267" spans="3:5" x14ac:dyDescent="0.35">
      <c r="C267" s="1" t="s">
        <v>5836</v>
      </c>
      <c r="D267" s="1" t="s">
        <v>3023</v>
      </c>
      <c r="E267" s="250">
        <v>6110.21</v>
      </c>
    </row>
    <row r="268" spans="3:5" x14ac:dyDescent="0.35">
      <c r="C268" s="1" t="s">
        <v>5419</v>
      </c>
      <c r="D268" s="1" t="s">
        <v>3023</v>
      </c>
      <c r="E268" s="250">
        <v>6110.2110000000002</v>
      </c>
    </row>
    <row r="269" spans="3:5" x14ac:dyDescent="0.35">
      <c r="C269" s="1" t="s">
        <v>5418</v>
      </c>
      <c r="D269" s="1" t="s">
        <v>3023</v>
      </c>
      <c r="E269" s="250">
        <v>6110.2120000000004</v>
      </c>
    </row>
    <row r="270" spans="3:5" x14ac:dyDescent="0.35">
      <c r="C270" s="1" t="s">
        <v>5417</v>
      </c>
      <c r="D270" s="1" t="s">
        <v>3023</v>
      </c>
      <c r="E270" s="250">
        <v>6110.2129999999997</v>
      </c>
    </row>
    <row r="271" spans="3:5" x14ac:dyDescent="0.35">
      <c r="C271" s="1" t="s">
        <v>5416</v>
      </c>
      <c r="D271" s="1" t="s">
        <v>3023</v>
      </c>
      <c r="E271" s="250">
        <v>6110.2139999999999</v>
      </c>
    </row>
    <row r="272" spans="3:5" x14ac:dyDescent="0.35">
      <c r="C272" s="1" t="s">
        <v>5415</v>
      </c>
      <c r="D272" s="1" t="s">
        <v>3023</v>
      </c>
      <c r="E272" s="250">
        <v>6110.2150000000001</v>
      </c>
    </row>
    <row r="273" spans="3:5" x14ac:dyDescent="0.35">
      <c r="C273" s="1" t="s">
        <v>5414</v>
      </c>
      <c r="D273" s="1" t="s">
        <v>3023</v>
      </c>
      <c r="E273" s="250">
        <v>6110.2160000000003</v>
      </c>
    </row>
    <row r="274" spans="3:5" x14ac:dyDescent="0.35">
      <c r="C274" s="1" t="s">
        <v>5413</v>
      </c>
      <c r="D274" s="1" t="s">
        <v>3023</v>
      </c>
      <c r="E274" s="250">
        <v>6110.2169999999996</v>
      </c>
    </row>
    <row r="275" spans="3:5" x14ac:dyDescent="0.35">
      <c r="C275" s="1" t="s">
        <v>5412</v>
      </c>
      <c r="D275" s="1" t="s">
        <v>3023</v>
      </c>
      <c r="E275" s="250">
        <v>6110.22</v>
      </c>
    </row>
    <row r="276" spans="3:5" x14ac:dyDescent="0.35">
      <c r="C276" s="1" t="s">
        <v>5411</v>
      </c>
      <c r="D276" s="1" t="s">
        <v>3023</v>
      </c>
      <c r="E276" s="250">
        <v>6110.2209999999995</v>
      </c>
    </row>
    <row r="277" spans="3:5" x14ac:dyDescent="0.35">
      <c r="C277" s="1" t="s">
        <v>5410</v>
      </c>
      <c r="D277" s="1" t="s">
        <v>3023</v>
      </c>
      <c r="E277" s="250">
        <v>6110.2219999999998</v>
      </c>
    </row>
    <row r="278" spans="3:5" x14ac:dyDescent="0.35">
      <c r="C278" s="1" t="s">
        <v>5409</v>
      </c>
      <c r="D278" s="1" t="s">
        <v>3023</v>
      </c>
      <c r="E278" s="250">
        <v>6110.223</v>
      </c>
    </row>
    <row r="279" spans="3:5" x14ac:dyDescent="0.35">
      <c r="C279" s="1" t="s">
        <v>5408</v>
      </c>
      <c r="D279" s="1" t="s">
        <v>3023</v>
      </c>
      <c r="E279" s="250">
        <v>6110.2240000000002</v>
      </c>
    </row>
    <row r="280" spans="3:5" x14ac:dyDescent="0.35">
      <c r="C280" s="1" t="s">
        <v>5407</v>
      </c>
      <c r="D280" s="1" t="s">
        <v>3023</v>
      </c>
      <c r="E280" s="250">
        <v>6110.2250000000004</v>
      </c>
    </row>
    <row r="281" spans="3:5" x14ac:dyDescent="0.35">
      <c r="C281" s="1" t="s">
        <v>5406</v>
      </c>
      <c r="D281" s="1" t="s">
        <v>3023</v>
      </c>
      <c r="E281" s="250">
        <v>6110.2259999999997</v>
      </c>
    </row>
    <row r="282" spans="3:5" x14ac:dyDescent="0.35">
      <c r="C282" s="1" t="s">
        <v>5405</v>
      </c>
      <c r="D282" s="1" t="s">
        <v>3023</v>
      </c>
      <c r="E282" s="250">
        <v>6110.2269999999999</v>
      </c>
    </row>
    <row r="283" spans="3:5" x14ac:dyDescent="0.35">
      <c r="C283" s="1" t="s">
        <v>5835</v>
      </c>
      <c r="D283" s="1" t="s">
        <v>3023</v>
      </c>
      <c r="E283" s="250">
        <v>6110.23</v>
      </c>
    </row>
    <row r="284" spans="3:5" x14ac:dyDescent="0.35">
      <c r="C284" s="1" t="s">
        <v>5403</v>
      </c>
      <c r="D284" s="1" t="s">
        <v>3023</v>
      </c>
      <c r="E284" s="250">
        <v>6110.2309999999998</v>
      </c>
    </row>
    <row r="285" spans="3:5" x14ac:dyDescent="0.35">
      <c r="C285" s="1" t="s">
        <v>5402</v>
      </c>
      <c r="D285" s="1" t="s">
        <v>3023</v>
      </c>
      <c r="E285" s="250">
        <v>6110.232</v>
      </c>
    </row>
    <row r="286" spans="3:5" x14ac:dyDescent="0.35">
      <c r="C286" s="1" t="s">
        <v>5401</v>
      </c>
      <c r="D286" s="1" t="s">
        <v>3023</v>
      </c>
      <c r="E286" s="250">
        <v>6110.2330000000002</v>
      </c>
    </row>
    <row r="287" spans="3:5" x14ac:dyDescent="0.35">
      <c r="C287" s="1" t="s">
        <v>5400</v>
      </c>
      <c r="D287" s="1" t="s">
        <v>3023</v>
      </c>
      <c r="E287" s="250">
        <v>6110.2340000000004</v>
      </c>
    </row>
    <row r="288" spans="3:5" x14ac:dyDescent="0.35">
      <c r="C288" s="1" t="s">
        <v>5399</v>
      </c>
      <c r="D288" s="1" t="s">
        <v>3023</v>
      </c>
      <c r="E288" s="250">
        <v>6110.2349999999997</v>
      </c>
    </row>
    <row r="289" spans="3:5" x14ac:dyDescent="0.35">
      <c r="C289" s="1" t="s">
        <v>5398</v>
      </c>
      <c r="D289" s="1" t="s">
        <v>3023</v>
      </c>
      <c r="E289" s="250">
        <v>6110.2359999999999</v>
      </c>
    </row>
    <row r="290" spans="3:5" x14ac:dyDescent="0.35">
      <c r="C290" s="1" t="s">
        <v>5397</v>
      </c>
      <c r="D290" s="1" t="s">
        <v>3023</v>
      </c>
      <c r="E290" s="250">
        <v>6110.2370000000001</v>
      </c>
    </row>
    <row r="291" spans="3:5" x14ac:dyDescent="0.35">
      <c r="C291" s="1" t="s">
        <v>5834</v>
      </c>
      <c r="D291" s="1" t="s">
        <v>3023</v>
      </c>
      <c r="E291" s="250">
        <v>6110.24</v>
      </c>
    </row>
    <row r="292" spans="3:5" x14ac:dyDescent="0.35">
      <c r="C292" s="1" t="s">
        <v>5395</v>
      </c>
      <c r="D292" s="1" t="s">
        <v>3023</v>
      </c>
      <c r="E292" s="250">
        <v>6110.241</v>
      </c>
    </row>
    <row r="293" spans="3:5" x14ac:dyDescent="0.35">
      <c r="C293" s="1" t="s">
        <v>5394</v>
      </c>
      <c r="D293" s="1" t="s">
        <v>3023</v>
      </c>
      <c r="E293" s="250">
        <v>6110.2420000000002</v>
      </c>
    </row>
    <row r="294" spans="3:5" x14ac:dyDescent="0.35">
      <c r="C294" s="1" t="s">
        <v>5393</v>
      </c>
      <c r="D294" s="1" t="s">
        <v>3023</v>
      </c>
      <c r="E294" s="250">
        <v>6110.2430000000004</v>
      </c>
    </row>
    <row r="295" spans="3:5" x14ac:dyDescent="0.35">
      <c r="C295" s="1" t="s">
        <v>5392</v>
      </c>
      <c r="D295" s="1" t="s">
        <v>3023</v>
      </c>
      <c r="E295" s="250">
        <v>6110.2439999999997</v>
      </c>
    </row>
    <row r="296" spans="3:5" x14ac:dyDescent="0.35">
      <c r="C296" s="1" t="s">
        <v>5391</v>
      </c>
      <c r="D296" s="1" t="s">
        <v>3023</v>
      </c>
      <c r="E296" s="250">
        <v>6110.2449999999999</v>
      </c>
    </row>
    <row r="297" spans="3:5" x14ac:dyDescent="0.35">
      <c r="C297" s="1" t="s">
        <v>5390</v>
      </c>
      <c r="D297" s="1" t="s">
        <v>3023</v>
      </c>
      <c r="E297" s="250">
        <v>6110.2460000000001</v>
      </c>
    </row>
    <row r="298" spans="3:5" x14ac:dyDescent="0.35">
      <c r="C298" s="1" t="s">
        <v>5389</v>
      </c>
      <c r="D298" s="1" t="s">
        <v>3023</v>
      </c>
      <c r="E298" s="250">
        <v>6110.2470000000003</v>
      </c>
    </row>
    <row r="299" spans="3:5" x14ac:dyDescent="0.35">
      <c r="C299" s="1" t="s">
        <v>5833</v>
      </c>
      <c r="D299" s="1" t="s">
        <v>3023</v>
      </c>
      <c r="E299" s="250">
        <v>6110.25</v>
      </c>
    </row>
    <row r="300" spans="3:5" x14ac:dyDescent="0.35">
      <c r="C300" s="1" t="s">
        <v>5832</v>
      </c>
      <c r="D300" s="1" t="s">
        <v>19</v>
      </c>
      <c r="E300" s="250">
        <v>6110.2579999999998</v>
      </c>
    </row>
    <row r="301" spans="3:5" x14ac:dyDescent="0.35">
      <c r="C301" s="1" t="s">
        <v>5831</v>
      </c>
      <c r="D301" s="1" t="s">
        <v>19</v>
      </c>
      <c r="E301" s="250">
        <v>6110.259</v>
      </c>
    </row>
    <row r="302" spans="3:5" x14ac:dyDescent="0.35">
      <c r="C302" s="1" t="s">
        <v>5830</v>
      </c>
      <c r="D302" s="1" t="s">
        <v>19</v>
      </c>
      <c r="E302" s="250">
        <v>6110.26</v>
      </c>
    </row>
    <row r="303" spans="3:5" x14ac:dyDescent="0.35">
      <c r="C303" s="1" t="s">
        <v>5829</v>
      </c>
      <c r="D303" s="1" t="s">
        <v>19</v>
      </c>
      <c r="E303" s="250">
        <v>6110.2610000000004</v>
      </c>
    </row>
    <row r="304" spans="3:5" x14ac:dyDescent="0.35">
      <c r="C304" s="1" t="s">
        <v>5828</v>
      </c>
      <c r="D304" s="1" t="s">
        <v>19</v>
      </c>
      <c r="E304" s="250">
        <v>6110.2619999999997</v>
      </c>
    </row>
    <row r="305" spans="3:5" x14ac:dyDescent="0.35">
      <c r="C305" s="1" t="s">
        <v>5827</v>
      </c>
      <c r="D305" s="1" t="s">
        <v>19</v>
      </c>
      <c r="E305" s="250">
        <v>6110.2629999999999</v>
      </c>
    </row>
    <row r="306" spans="3:5" x14ac:dyDescent="0.35">
      <c r="C306" s="1" t="s">
        <v>5826</v>
      </c>
      <c r="D306" s="1" t="s">
        <v>19</v>
      </c>
      <c r="E306" s="250">
        <v>6110.2640000000001</v>
      </c>
    </row>
    <row r="307" spans="3:5" x14ac:dyDescent="0.35">
      <c r="C307" s="1" t="s">
        <v>5825</v>
      </c>
      <c r="D307" s="1" t="s">
        <v>19</v>
      </c>
      <c r="E307" s="250">
        <v>6110.2650000000003</v>
      </c>
    </row>
    <row r="308" spans="3:5" x14ac:dyDescent="0.35">
      <c r="C308" s="1" t="s">
        <v>5824</v>
      </c>
      <c r="D308" s="1" t="s">
        <v>19</v>
      </c>
      <c r="E308" s="250">
        <v>6110.2659999999996</v>
      </c>
    </row>
    <row r="309" spans="3:5" x14ac:dyDescent="0.35">
      <c r="C309" s="1" t="s">
        <v>5823</v>
      </c>
      <c r="D309" s="1" t="s">
        <v>19</v>
      </c>
      <c r="E309" s="250">
        <v>6110.2669999999998</v>
      </c>
    </row>
    <row r="310" spans="3:5" x14ac:dyDescent="0.35">
      <c r="C310" s="1" t="s">
        <v>5822</v>
      </c>
      <c r="D310" s="1" t="s">
        <v>19</v>
      </c>
      <c r="E310" s="250">
        <v>6110.268</v>
      </c>
    </row>
    <row r="311" spans="3:5" x14ac:dyDescent="0.35">
      <c r="C311" s="1" t="s">
        <v>5821</v>
      </c>
      <c r="D311" s="1" t="s">
        <v>19</v>
      </c>
      <c r="E311" s="250">
        <v>6110.2690000000002</v>
      </c>
    </row>
    <row r="312" spans="3:5" x14ac:dyDescent="0.35">
      <c r="C312" s="1" t="s">
        <v>5820</v>
      </c>
      <c r="D312" s="1" t="s">
        <v>19</v>
      </c>
      <c r="E312" s="250">
        <v>6110.27</v>
      </c>
    </row>
    <row r="313" spans="3:5" x14ac:dyDescent="0.35">
      <c r="C313" s="1" t="s">
        <v>5819</v>
      </c>
      <c r="D313" s="1" t="s">
        <v>19</v>
      </c>
      <c r="E313" s="250">
        <v>6110.2709999999997</v>
      </c>
    </row>
    <row r="314" spans="3:5" x14ac:dyDescent="0.35">
      <c r="C314" s="1" t="s">
        <v>5818</v>
      </c>
      <c r="D314" s="1" t="s">
        <v>19</v>
      </c>
      <c r="E314" s="250">
        <v>6110.2719999999999</v>
      </c>
    </row>
    <row r="315" spans="3:5" x14ac:dyDescent="0.35">
      <c r="C315" s="1" t="s">
        <v>5817</v>
      </c>
      <c r="D315" s="1" t="s">
        <v>19</v>
      </c>
      <c r="E315" s="250">
        <v>6110.2730000000001</v>
      </c>
    </row>
    <row r="316" spans="3:5" x14ac:dyDescent="0.35">
      <c r="C316" s="1" t="s">
        <v>5816</v>
      </c>
      <c r="D316" s="1" t="s">
        <v>19</v>
      </c>
      <c r="E316" s="250">
        <v>6110.2740000000003</v>
      </c>
    </row>
    <row r="317" spans="3:5" x14ac:dyDescent="0.35">
      <c r="C317" s="1" t="s">
        <v>5815</v>
      </c>
      <c r="D317" s="1" t="s">
        <v>3023</v>
      </c>
      <c r="E317" s="250">
        <v>6110.2749999999996</v>
      </c>
    </row>
    <row r="318" spans="3:5" x14ac:dyDescent="0.35">
      <c r="C318" s="1" t="s">
        <v>5814</v>
      </c>
      <c r="D318" s="1" t="s">
        <v>3023</v>
      </c>
      <c r="E318" s="250">
        <v>6110.2759999999998</v>
      </c>
    </row>
    <row r="319" spans="3:5" x14ac:dyDescent="0.35">
      <c r="C319" s="1" t="s">
        <v>5813</v>
      </c>
      <c r="D319" s="1" t="s">
        <v>3023</v>
      </c>
      <c r="E319" s="250">
        <v>6110.277</v>
      </c>
    </row>
    <row r="320" spans="3:5" x14ac:dyDescent="0.35">
      <c r="C320" s="1" t="s">
        <v>5812</v>
      </c>
      <c r="D320" s="1" t="s">
        <v>3023</v>
      </c>
      <c r="E320" s="250">
        <v>6110.2780000000002</v>
      </c>
    </row>
    <row r="321" spans="3:5" x14ac:dyDescent="0.35">
      <c r="C321" s="1" t="s">
        <v>5811</v>
      </c>
      <c r="D321" s="1" t="s">
        <v>3023</v>
      </c>
      <c r="E321" s="250">
        <v>6110.2790000000005</v>
      </c>
    </row>
    <row r="322" spans="3:5" x14ac:dyDescent="0.35">
      <c r="C322" s="1" t="s">
        <v>5810</v>
      </c>
      <c r="D322" s="1" t="s">
        <v>3023</v>
      </c>
      <c r="E322" s="250">
        <v>6110.28</v>
      </c>
    </row>
    <row r="323" spans="3:5" x14ac:dyDescent="0.35">
      <c r="C323" s="1" t="s">
        <v>5809</v>
      </c>
      <c r="D323" s="1" t="s">
        <v>3023</v>
      </c>
      <c r="E323" s="250">
        <v>6110.2809999999999</v>
      </c>
    </row>
    <row r="324" spans="3:5" x14ac:dyDescent="0.35">
      <c r="C324" s="1" t="s">
        <v>5808</v>
      </c>
      <c r="D324" s="1" t="s">
        <v>3023</v>
      </c>
      <c r="E324" s="250">
        <v>6110.2820000000002</v>
      </c>
    </row>
    <row r="325" spans="3:5" x14ac:dyDescent="0.35">
      <c r="C325" s="1" t="s">
        <v>5807</v>
      </c>
      <c r="D325" s="1" t="s">
        <v>3023</v>
      </c>
      <c r="E325" s="250">
        <v>6110.2830000000004</v>
      </c>
    </row>
    <row r="326" spans="3:5" x14ac:dyDescent="0.35">
      <c r="C326" s="1" t="s">
        <v>5806</v>
      </c>
      <c r="D326" s="1" t="s">
        <v>3023</v>
      </c>
      <c r="E326" s="250">
        <v>6110.2839999999997</v>
      </c>
    </row>
    <row r="327" spans="3:5" x14ac:dyDescent="0.35">
      <c r="C327" s="1" t="s">
        <v>5805</v>
      </c>
      <c r="D327" s="1" t="s">
        <v>3023</v>
      </c>
      <c r="E327" s="250">
        <v>6110.2849999999999</v>
      </c>
    </row>
    <row r="328" spans="3:5" x14ac:dyDescent="0.35">
      <c r="C328" s="1" t="s">
        <v>5804</v>
      </c>
      <c r="D328" s="1" t="s">
        <v>3023</v>
      </c>
      <c r="E328" s="250">
        <v>6110.2860000000001</v>
      </c>
    </row>
    <row r="329" spans="3:5" x14ac:dyDescent="0.35">
      <c r="C329" s="1" t="s">
        <v>5803</v>
      </c>
      <c r="D329" s="1" t="s">
        <v>3023</v>
      </c>
      <c r="E329" s="250">
        <v>6110.2870000000003</v>
      </c>
    </row>
    <row r="330" spans="3:5" x14ac:dyDescent="0.35">
      <c r="C330" s="1" t="s">
        <v>5802</v>
      </c>
      <c r="D330" s="1" t="s">
        <v>3023</v>
      </c>
      <c r="E330" s="250">
        <v>6110.2879999999996</v>
      </c>
    </row>
    <row r="331" spans="3:5" x14ac:dyDescent="0.35">
      <c r="C331" s="1" t="s">
        <v>5801</v>
      </c>
      <c r="D331" s="1" t="s">
        <v>3023</v>
      </c>
      <c r="E331" s="250">
        <v>6110.2889999999998</v>
      </c>
    </row>
    <row r="332" spans="3:5" x14ac:dyDescent="0.35">
      <c r="C332" s="1" t="s">
        <v>5667</v>
      </c>
      <c r="D332" s="1" t="s">
        <v>3023</v>
      </c>
      <c r="E332" s="250">
        <v>6110.29</v>
      </c>
    </row>
    <row r="333" spans="3:5" x14ac:dyDescent="0.35">
      <c r="C333" s="1" t="s">
        <v>5666</v>
      </c>
      <c r="D333" s="1" t="s">
        <v>3023</v>
      </c>
      <c r="E333" s="250">
        <v>6110.2910000000002</v>
      </c>
    </row>
    <row r="334" spans="3:5" x14ac:dyDescent="0.35">
      <c r="C334" s="1" t="s">
        <v>5665</v>
      </c>
      <c r="D334" s="1" t="s">
        <v>3023</v>
      </c>
      <c r="E334" s="250">
        <v>6110.2920000000004</v>
      </c>
    </row>
    <row r="335" spans="3:5" x14ac:dyDescent="0.35">
      <c r="C335" s="1" t="s">
        <v>5625</v>
      </c>
      <c r="D335" s="1" t="s">
        <v>3023</v>
      </c>
      <c r="E335" s="250">
        <v>6110.2929999999997</v>
      </c>
    </row>
    <row r="336" spans="3:5" x14ac:dyDescent="0.35">
      <c r="C336" s="1" t="s">
        <v>5615</v>
      </c>
      <c r="D336" s="1" t="s">
        <v>3023</v>
      </c>
      <c r="E336" s="250">
        <v>6110.2939999999999</v>
      </c>
    </row>
    <row r="337" spans="3:5" x14ac:dyDescent="0.35">
      <c r="C337" s="1" t="s">
        <v>5664</v>
      </c>
      <c r="D337" s="1" t="s">
        <v>3023</v>
      </c>
      <c r="E337" s="250">
        <v>6110.3</v>
      </c>
    </row>
    <row r="338" spans="3:5" x14ac:dyDescent="0.35">
      <c r="C338" s="1" t="s">
        <v>5663</v>
      </c>
      <c r="D338" s="1" t="s">
        <v>3023</v>
      </c>
      <c r="E338" s="250">
        <v>6110.3010000000004</v>
      </c>
    </row>
    <row r="339" spans="3:5" x14ac:dyDescent="0.35">
      <c r="C339" s="1" t="s">
        <v>5662</v>
      </c>
      <c r="D339" s="1" t="s">
        <v>3023</v>
      </c>
      <c r="E339" s="250">
        <v>6110.3019999999997</v>
      </c>
    </row>
    <row r="340" spans="3:5" x14ac:dyDescent="0.35">
      <c r="C340" s="1" t="s">
        <v>5661</v>
      </c>
      <c r="D340" s="1" t="s">
        <v>3023</v>
      </c>
      <c r="E340" s="250">
        <v>6110.3029999999999</v>
      </c>
    </row>
    <row r="341" spans="3:5" x14ac:dyDescent="0.35">
      <c r="C341" s="1" t="s">
        <v>5660</v>
      </c>
      <c r="D341" s="1" t="s">
        <v>3023</v>
      </c>
      <c r="E341" s="250">
        <v>6110.3040000000001</v>
      </c>
    </row>
    <row r="342" spans="3:5" x14ac:dyDescent="0.35">
      <c r="C342" s="1" t="s">
        <v>5659</v>
      </c>
      <c r="D342" s="1" t="s">
        <v>3023</v>
      </c>
      <c r="E342" s="250">
        <v>6110.3050000000003</v>
      </c>
    </row>
    <row r="343" spans="3:5" x14ac:dyDescent="0.35">
      <c r="C343" s="1" t="s">
        <v>5658</v>
      </c>
      <c r="D343" s="1" t="s">
        <v>3023</v>
      </c>
      <c r="E343" s="250">
        <v>6110.3059999999996</v>
      </c>
    </row>
    <row r="344" spans="3:5" x14ac:dyDescent="0.35">
      <c r="C344" s="1" t="s">
        <v>5657</v>
      </c>
      <c r="D344" s="1" t="s">
        <v>3023</v>
      </c>
      <c r="E344" s="250">
        <v>6110.3069999999998</v>
      </c>
    </row>
    <row r="345" spans="3:5" x14ac:dyDescent="0.35">
      <c r="C345" s="1" t="s">
        <v>5656</v>
      </c>
      <c r="D345" s="1" t="s">
        <v>3023</v>
      </c>
      <c r="E345" s="250">
        <v>6110.308</v>
      </c>
    </row>
    <row r="346" spans="3:5" x14ac:dyDescent="0.35">
      <c r="C346" s="1" t="s">
        <v>5655</v>
      </c>
      <c r="D346" s="1" t="s">
        <v>3023</v>
      </c>
      <c r="E346" s="250">
        <v>6110.3090000000002</v>
      </c>
    </row>
    <row r="347" spans="3:5" x14ac:dyDescent="0.35">
      <c r="C347" s="1" t="s">
        <v>5654</v>
      </c>
      <c r="D347" s="1" t="s">
        <v>3023</v>
      </c>
      <c r="E347" s="250">
        <v>6110.31</v>
      </c>
    </row>
    <row r="348" spans="3:5" x14ac:dyDescent="0.35">
      <c r="C348" s="1" t="s">
        <v>5653</v>
      </c>
      <c r="D348" s="1" t="s">
        <v>3023</v>
      </c>
      <c r="E348" s="250">
        <v>6110.3109999999997</v>
      </c>
    </row>
    <row r="349" spans="3:5" x14ac:dyDescent="0.35">
      <c r="C349" s="1" t="s">
        <v>5652</v>
      </c>
      <c r="D349" s="1" t="s">
        <v>3023</v>
      </c>
      <c r="E349" s="250">
        <v>6110.3119999999999</v>
      </c>
    </row>
    <row r="350" spans="3:5" x14ac:dyDescent="0.35">
      <c r="C350" s="1" t="s">
        <v>5651</v>
      </c>
      <c r="D350" s="1" t="s">
        <v>3023</v>
      </c>
      <c r="E350" s="250">
        <v>6110.3130000000001</v>
      </c>
    </row>
    <row r="351" spans="3:5" x14ac:dyDescent="0.35">
      <c r="C351" s="1" t="s">
        <v>5650</v>
      </c>
      <c r="D351" s="1" t="s">
        <v>3023</v>
      </c>
      <c r="E351" s="250">
        <v>6110.3140000000003</v>
      </c>
    </row>
    <row r="352" spans="3:5" x14ac:dyDescent="0.35">
      <c r="C352" s="1" t="s">
        <v>5649</v>
      </c>
      <c r="D352" s="1" t="s">
        <v>3023</v>
      </c>
      <c r="E352" s="250">
        <v>6110.3149999999996</v>
      </c>
    </row>
    <row r="353" spans="3:5" x14ac:dyDescent="0.35">
      <c r="C353" s="1" t="s">
        <v>5648</v>
      </c>
      <c r="D353" s="1" t="s">
        <v>3023</v>
      </c>
      <c r="E353" s="250">
        <v>6110.3159999999998</v>
      </c>
    </row>
    <row r="354" spans="3:5" x14ac:dyDescent="0.35">
      <c r="C354" s="1" t="s">
        <v>5647</v>
      </c>
      <c r="D354" s="1" t="s">
        <v>3023</v>
      </c>
      <c r="E354" s="250">
        <v>6110.317</v>
      </c>
    </row>
    <row r="355" spans="3:5" x14ac:dyDescent="0.35">
      <c r="C355" s="1" t="s">
        <v>5646</v>
      </c>
      <c r="D355" s="1" t="s">
        <v>3023</v>
      </c>
      <c r="E355" s="250">
        <v>6110.3180000000002</v>
      </c>
    </row>
    <row r="356" spans="3:5" x14ac:dyDescent="0.35">
      <c r="C356" s="1" t="s">
        <v>5645</v>
      </c>
      <c r="D356" s="1" t="s">
        <v>3023</v>
      </c>
      <c r="E356" s="250">
        <v>6110.3190000000004</v>
      </c>
    </row>
    <row r="357" spans="3:5" x14ac:dyDescent="0.35">
      <c r="C357" s="1" t="s">
        <v>5644</v>
      </c>
      <c r="D357" s="1" t="s">
        <v>3023</v>
      </c>
      <c r="E357" s="250">
        <v>6110.32</v>
      </c>
    </row>
    <row r="358" spans="3:5" x14ac:dyDescent="0.35">
      <c r="C358" s="1" t="s">
        <v>5643</v>
      </c>
      <c r="D358" s="1" t="s">
        <v>3023</v>
      </c>
      <c r="E358" s="250">
        <v>6110.3209999999999</v>
      </c>
    </row>
    <row r="359" spans="3:5" x14ac:dyDescent="0.35">
      <c r="C359" s="1" t="s">
        <v>5642</v>
      </c>
      <c r="D359" s="1" t="s">
        <v>3023</v>
      </c>
      <c r="E359" s="250">
        <v>6110.3220000000001</v>
      </c>
    </row>
    <row r="360" spans="3:5" x14ac:dyDescent="0.35">
      <c r="C360" s="1" t="s">
        <v>5641</v>
      </c>
      <c r="D360" s="1" t="s">
        <v>3023</v>
      </c>
      <c r="E360" s="250">
        <v>6110.3230000000003</v>
      </c>
    </row>
    <row r="361" spans="3:5" x14ac:dyDescent="0.35">
      <c r="C361" s="1" t="s">
        <v>5640</v>
      </c>
      <c r="D361" s="1" t="s">
        <v>3023</v>
      </c>
      <c r="E361" s="250">
        <v>6110.3239999999996</v>
      </c>
    </row>
    <row r="362" spans="3:5" x14ac:dyDescent="0.35">
      <c r="C362" s="1" t="s">
        <v>5639</v>
      </c>
      <c r="D362" s="1" t="s">
        <v>3023</v>
      </c>
      <c r="E362" s="250">
        <v>6110.3249999999998</v>
      </c>
    </row>
    <row r="363" spans="3:5" x14ac:dyDescent="0.35">
      <c r="C363" s="1" t="s">
        <v>5638</v>
      </c>
      <c r="D363" s="1" t="s">
        <v>3023</v>
      </c>
      <c r="E363" s="250">
        <v>6110.326</v>
      </c>
    </row>
    <row r="364" spans="3:5" x14ac:dyDescent="0.35">
      <c r="C364" s="1" t="s">
        <v>5637</v>
      </c>
      <c r="D364" s="1" t="s">
        <v>3023</v>
      </c>
      <c r="E364" s="250">
        <v>6110.3270000000002</v>
      </c>
    </row>
    <row r="365" spans="3:5" x14ac:dyDescent="0.35">
      <c r="C365" s="1" t="s">
        <v>5636</v>
      </c>
      <c r="D365" s="1" t="s">
        <v>3023</v>
      </c>
      <c r="E365" s="250">
        <v>6110.3280000000004</v>
      </c>
    </row>
    <row r="366" spans="3:5" x14ac:dyDescent="0.35">
      <c r="C366" s="1" t="s">
        <v>5635</v>
      </c>
      <c r="D366" s="1" t="s">
        <v>3023</v>
      </c>
      <c r="E366" s="250">
        <v>6110.3289999999997</v>
      </c>
    </row>
    <row r="367" spans="3:5" x14ac:dyDescent="0.35">
      <c r="C367" s="1" t="s">
        <v>5634</v>
      </c>
      <c r="D367" s="1" t="s">
        <v>3023</v>
      </c>
      <c r="E367" s="250">
        <v>6110.33</v>
      </c>
    </row>
    <row r="368" spans="3:5" x14ac:dyDescent="0.35">
      <c r="C368" s="1" t="s">
        <v>5633</v>
      </c>
      <c r="D368" s="1" t="s">
        <v>3023</v>
      </c>
      <c r="E368" s="250">
        <v>6110.3310000000001</v>
      </c>
    </row>
    <row r="369" spans="3:5" x14ac:dyDescent="0.35">
      <c r="C369" s="1" t="s">
        <v>5632</v>
      </c>
      <c r="D369" s="1" t="s">
        <v>3023</v>
      </c>
      <c r="E369" s="250">
        <v>6110.3320000000003</v>
      </c>
    </row>
    <row r="370" spans="3:5" x14ac:dyDescent="0.35">
      <c r="C370" s="1" t="s">
        <v>5631</v>
      </c>
      <c r="D370" s="1" t="s">
        <v>3023</v>
      </c>
      <c r="E370" s="250">
        <v>6110.3329999999996</v>
      </c>
    </row>
    <row r="371" spans="3:5" x14ac:dyDescent="0.35">
      <c r="C371" s="1" t="s">
        <v>5630</v>
      </c>
      <c r="D371" s="1" t="s">
        <v>3023</v>
      </c>
      <c r="E371" s="250">
        <v>6110.3339999999998</v>
      </c>
    </row>
    <row r="372" spans="3:5" x14ac:dyDescent="0.35">
      <c r="C372" s="1" t="s">
        <v>5629</v>
      </c>
      <c r="D372" s="1" t="s">
        <v>3023</v>
      </c>
      <c r="E372" s="250">
        <v>6110.335</v>
      </c>
    </row>
    <row r="373" spans="3:5" x14ac:dyDescent="0.35">
      <c r="C373" s="1" t="s">
        <v>5628</v>
      </c>
      <c r="D373" s="1" t="s">
        <v>3023</v>
      </c>
      <c r="E373" s="250">
        <v>6110.3360000000002</v>
      </c>
    </row>
    <row r="374" spans="3:5" x14ac:dyDescent="0.35">
      <c r="C374" s="1" t="s">
        <v>5627</v>
      </c>
      <c r="D374" s="1" t="s">
        <v>3023</v>
      </c>
      <c r="E374" s="250">
        <v>6110.3370000000004</v>
      </c>
    </row>
    <row r="375" spans="3:5" x14ac:dyDescent="0.35">
      <c r="C375" s="1" t="s">
        <v>5626</v>
      </c>
      <c r="D375" s="1" t="s">
        <v>3023</v>
      </c>
      <c r="E375" s="250">
        <v>6110.3379999999997</v>
      </c>
    </row>
    <row r="376" spans="3:5" x14ac:dyDescent="0.35">
      <c r="C376" s="1" t="s">
        <v>5625</v>
      </c>
      <c r="D376" s="1" t="s">
        <v>3023</v>
      </c>
      <c r="E376" s="250">
        <v>6110.3389999999999</v>
      </c>
    </row>
    <row r="377" spans="3:5" x14ac:dyDescent="0.35">
      <c r="C377" s="1" t="s">
        <v>5624</v>
      </c>
      <c r="D377" s="1" t="s">
        <v>3023</v>
      </c>
      <c r="E377" s="250">
        <v>6110.34</v>
      </c>
    </row>
    <row r="378" spans="3:5" x14ac:dyDescent="0.35">
      <c r="C378" s="1" t="s">
        <v>5623</v>
      </c>
      <c r="D378" s="1" t="s">
        <v>3023</v>
      </c>
      <c r="E378" s="250">
        <v>6110.3410000000003</v>
      </c>
    </row>
    <row r="379" spans="3:5" x14ac:dyDescent="0.35">
      <c r="C379" s="1" t="s">
        <v>5622</v>
      </c>
      <c r="D379" s="1" t="s">
        <v>3023</v>
      </c>
      <c r="E379" s="250">
        <v>6110.3419999999996</v>
      </c>
    </row>
    <row r="380" spans="3:5" x14ac:dyDescent="0.35">
      <c r="C380" s="1" t="s">
        <v>5621</v>
      </c>
      <c r="D380" s="1" t="s">
        <v>3023</v>
      </c>
      <c r="E380" s="250">
        <v>6110.3429999999998</v>
      </c>
    </row>
    <row r="381" spans="3:5" x14ac:dyDescent="0.35">
      <c r="C381" s="1" t="s">
        <v>5620</v>
      </c>
      <c r="D381" s="1" t="s">
        <v>3023</v>
      </c>
      <c r="E381" s="250">
        <v>6110.3440000000001</v>
      </c>
    </row>
    <row r="382" spans="3:5" x14ac:dyDescent="0.35">
      <c r="C382" s="1" t="s">
        <v>5619</v>
      </c>
      <c r="D382" s="1" t="s">
        <v>3023</v>
      </c>
      <c r="E382" s="250">
        <v>6110.3450000000003</v>
      </c>
    </row>
    <row r="383" spans="3:5" x14ac:dyDescent="0.35">
      <c r="C383" s="1" t="s">
        <v>5618</v>
      </c>
      <c r="D383" s="1" t="s">
        <v>3023</v>
      </c>
      <c r="E383" s="250">
        <v>6110.3459999999995</v>
      </c>
    </row>
    <row r="384" spans="3:5" x14ac:dyDescent="0.35">
      <c r="C384" s="1" t="s">
        <v>5617</v>
      </c>
      <c r="D384" s="1" t="s">
        <v>3023</v>
      </c>
      <c r="E384" s="250">
        <v>6110.3469999999998</v>
      </c>
    </row>
    <row r="385" spans="3:5" x14ac:dyDescent="0.35">
      <c r="C385" s="1" t="s">
        <v>5616</v>
      </c>
      <c r="D385" s="1" t="s">
        <v>3023</v>
      </c>
      <c r="E385" s="250">
        <v>6110.348</v>
      </c>
    </row>
    <row r="386" spans="3:5" x14ac:dyDescent="0.35">
      <c r="C386" s="1" t="s">
        <v>5615</v>
      </c>
      <c r="D386" s="1" t="s">
        <v>3023</v>
      </c>
      <c r="E386" s="250">
        <v>6110.3490000000002</v>
      </c>
    </row>
    <row r="387" spans="3:5" x14ac:dyDescent="0.35">
      <c r="C387" s="1" t="s">
        <v>5800</v>
      </c>
      <c r="D387" s="1" t="s">
        <v>3023</v>
      </c>
      <c r="E387" s="250">
        <v>6110.35</v>
      </c>
    </row>
    <row r="388" spans="3:5" x14ac:dyDescent="0.35">
      <c r="C388" s="1" t="s">
        <v>5799</v>
      </c>
      <c r="D388" s="1" t="s">
        <v>3023</v>
      </c>
      <c r="E388" s="250">
        <v>6110.3509999999997</v>
      </c>
    </row>
    <row r="389" spans="3:5" x14ac:dyDescent="0.35">
      <c r="C389" s="1" t="s">
        <v>5798</v>
      </c>
      <c r="D389" s="1" t="s">
        <v>3023</v>
      </c>
      <c r="E389" s="250">
        <v>6110.3519999999999</v>
      </c>
    </row>
    <row r="390" spans="3:5" x14ac:dyDescent="0.35">
      <c r="C390" s="1" t="s">
        <v>5797</v>
      </c>
      <c r="D390" s="1" t="s">
        <v>3023</v>
      </c>
      <c r="E390" s="250">
        <v>6110.3530000000001</v>
      </c>
    </row>
    <row r="391" spans="3:5" x14ac:dyDescent="0.35">
      <c r="C391" s="1" t="s">
        <v>5796</v>
      </c>
      <c r="D391" s="1" t="s">
        <v>3023</v>
      </c>
      <c r="E391" s="250">
        <v>6110.3540000000003</v>
      </c>
    </row>
    <row r="392" spans="3:5" x14ac:dyDescent="0.35">
      <c r="C392" s="1" t="s">
        <v>5795</v>
      </c>
      <c r="D392" s="1" t="s">
        <v>3023</v>
      </c>
      <c r="E392" s="250">
        <v>6110.3549999999996</v>
      </c>
    </row>
    <row r="393" spans="3:5" x14ac:dyDescent="0.35">
      <c r="C393" s="1" t="s">
        <v>5794</v>
      </c>
      <c r="D393" s="1" t="s">
        <v>3023</v>
      </c>
      <c r="E393" s="250">
        <v>6110.3559999999998</v>
      </c>
    </row>
    <row r="394" spans="3:5" x14ac:dyDescent="0.35">
      <c r="C394" s="1" t="s">
        <v>5793</v>
      </c>
      <c r="D394" s="1" t="s">
        <v>3023</v>
      </c>
      <c r="E394" s="250">
        <v>6110.357</v>
      </c>
    </row>
    <row r="395" spans="3:5" x14ac:dyDescent="0.35">
      <c r="C395" s="1" t="s">
        <v>5792</v>
      </c>
      <c r="D395" s="1" t="s">
        <v>3023</v>
      </c>
      <c r="E395" s="250">
        <v>6110.3580000000002</v>
      </c>
    </row>
    <row r="396" spans="3:5" x14ac:dyDescent="0.35">
      <c r="C396" s="1" t="s">
        <v>5791</v>
      </c>
      <c r="D396" s="1" t="s">
        <v>3023</v>
      </c>
      <c r="E396" s="250">
        <v>6110.3590000000004</v>
      </c>
    </row>
    <row r="397" spans="3:5" x14ac:dyDescent="0.35">
      <c r="C397" s="1" t="s">
        <v>5790</v>
      </c>
      <c r="D397" s="1" t="s">
        <v>3023</v>
      </c>
      <c r="E397" s="250">
        <v>6110.36</v>
      </c>
    </row>
    <row r="398" spans="3:5" x14ac:dyDescent="0.35">
      <c r="C398" s="1" t="s">
        <v>5789</v>
      </c>
      <c r="D398" s="1" t="s">
        <v>3023</v>
      </c>
      <c r="E398" s="250">
        <v>6110.3609999999999</v>
      </c>
    </row>
    <row r="399" spans="3:5" x14ac:dyDescent="0.35">
      <c r="C399" s="1" t="s">
        <v>5788</v>
      </c>
      <c r="D399" s="1" t="s">
        <v>3023</v>
      </c>
      <c r="E399" s="250">
        <v>6110.3620000000001</v>
      </c>
    </row>
    <row r="400" spans="3:5" x14ac:dyDescent="0.35">
      <c r="C400" s="1" t="s">
        <v>5787</v>
      </c>
      <c r="D400" s="1" t="s">
        <v>3023</v>
      </c>
      <c r="E400" s="250">
        <v>6110.3630000000003</v>
      </c>
    </row>
    <row r="401" spans="3:5" x14ac:dyDescent="0.35">
      <c r="C401" s="1" t="s">
        <v>5786</v>
      </c>
      <c r="D401" s="1" t="s">
        <v>3023</v>
      </c>
      <c r="E401" s="250">
        <v>6110.3639999999996</v>
      </c>
    </row>
    <row r="402" spans="3:5" x14ac:dyDescent="0.35">
      <c r="C402" s="1" t="s">
        <v>5785</v>
      </c>
      <c r="D402" s="1" t="s">
        <v>3023</v>
      </c>
      <c r="E402" s="250">
        <v>6110.3649999999998</v>
      </c>
    </row>
    <row r="403" spans="3:5" x14ac:dyDescent="0.35">
      <c r="C403" s="1" t="s">
        <v>5784</v>
      </c>
      <c r="D403" s="1" t="s">
        <v>3023</v>
      </c>
      <c r="E403" s="250">
        <v>6110.366</v>
      </c>
    </row>
    <row r="404" spans="3:5" x14ac:dyDescent="0.35">
      <c r="C404" s="1" t="s">
        <v>5783</v>
      </c>
      <c r="D404" s="1" t="s">
        <v>3023</v>
      </c>
      <c r="E404" s="250">
        <v>6110.3670000000002</v>
      </c>
    </row>
    <row r="405" spans="3:5" x14ac:dyDescent="0.35">
      <c r="C405" s="1" t="s">
        <v>5782</v>
      </c>
      <c r="D405" s="1" t="s">
        <v>3023</v>
      </c>
      <c r="E405" s="250">
        <v>6110.3680000000004</v>
      </c>
    </row>
    <row r="406" spans="3:5" x14ac:dyDescent="0.35">
      <c r="C406" s="1" t="s">
        <v>5781</v>
      </c>
      <c r="D406" s="1" t="s">
        <v>3023</v>
      </c>
      <c r="E406" s="250">
        <v>6110.3689999999997</v>
      </c>
    </row>
    <row r="407" spans="3:5" x14ac:dyDescent="0.35">
      <c r="C407" s="1" t="s">
        <v>5780</v>
      </c>
      <c r="D407" s="1" t="s">
        <v>3023</v>
      </c>
      <c r="E407" s="250">
        <v>6110.37</v>
      </c>
    </row>
    <row r="408" spans="3:5" x14ac:dyDescent="0.35">
      <c r="C408" s="1" t="s">
        <v>5779</v>
      </c>
      <c r="D408" s="1" t="s">
        <v>3023</v>
      </c>
      <c r="E408" s="250">
        <v>6110.3710000000001</v>
      </c>
    </row>
    <row r="409" spans="3:5" x14ac:dyDescent="0.35">
      <c r="C409" s="1" t="s">
        <v>5778</v>
      </c>
      <c r="D409" s="1" t="s">
        <v>3023</v>
      </c>
      <c r="E409" s="250">
        <v>6110.3720000000003</v>
      </c>
    </row>
    <row r="410" spans="3:5" x14ac:dyDescent="0.35">
      <c r="C410" s="1" t="s">
        <v>5777</v>
      </c>
      <c r="D410" s="1" t="s">
        <v>3023</v>
      </c>
      <c r="E410" s="250">
        <v>6110.3729999999996</v>
      </c>
    </row>
    <row r="411" spans="3:5" x14ac:dyDescent="0.35">
      <c r="C411" s="1" t="s">
        <v>5776</v>
      </c>
      <c r="D411" s="1" t="s">
        <v>3023</v>
      </c>
      <c r="E411" s="250">
        <v>6110.375</v>
      </c>
    </row>
    <row r="412" spans="3:5" x14ac:dyDescent="0.35">
      <c r="C412" s="1" t="s">
        <v>5775</v>
      </c>
      <c r="D412" s="1" t="s">
        <v>3023</v>
      </c>
      <c r="E412" s="250">
        <v>6110.38</v>
      </c>
    </row>
    <row r="413" spans="3:5" x14ac:dyDescent="0.35">
      <c r="C413" s="1" t="s">
        <v>5774</v>
      </c>
      <c r="D413" s="1" t="s">
        <v>3023</v>
      </c>
      <c r="E413" s="250">
        <v>6110.3850000000002</v>
      </c>
    </row>
    <row r="414" spans="3:5" x14ac:dyDescent="0.35">
      <c r="C414" s="1" t="s">
        <v>5773</v>
      </c>
      <c r="D414" s="1" t="s">
        <v>18</v>
      </c>
      <c r="E414" s="250">
        <v>6110.4</v>
      </c>
    </row>
    <row r="415" spans="3:5" x14ac:dyDescent="0.35">
      <c r="C415" s="1" t="s">
        <v>5772</v>
      </c>
      <c r="D415" s="1" t="s">
        <v>18</v>
      </c>
      <c r="E415" s="250">
        <v>6110.41</v>
      </c>
    </row>
    <row r="416" spans="3:5" x14ac:dyDescent="0.35">
      <c r="C416" s="1" t="s">
        <v>5771</v>
      </c>
      <c r="D416" s="1" t="s">
        <v>18</v>
      </c>
      <c r="E416" s="250">
        <v>6110.42</v>
      </c>
    </row>
    <row r="417" spans="3:5" x14ac:dyDescent="0.35">
      <c r="C417" s="1" t="s">
        <v>5768</v>
      </c>
      <c r="D417" s="1" t="s">
        <v>3023</v>
      </c>
      <c r="E417" s="250">
        <v>6110.45</v>
      </c>
    </row>
    <row r="418" spans="3:5" x14ac:dyDescent="0.35">
      <c r="C418" s="1" t="s">
        <v>5767</v>
      </c>
      <c r="D418" s="1" t="s">
        <v>3023</v>
      </c>
      <c r="E418" s="250">
        <v>6110.451</v>
      </c>
    </row>
    <row r="419" spans="3:5" x14ac:dyDescent="0.35">
      <c r="C419" s="1" t="s">
        <v>5770</v>
      </c>
      <c r="D419" s="1" t="s">
        <v>2329</v>
      </c>
      <c r="E419" s="250">
        <v>6110.4520000000002</v>
      </c>
    </row>
    <row r="420" spans="3:5" x14ac:dyDescent="0.35">
      <c r="C420" s="1" t="s">
        <v>5769</v>
      </c>
      <c r="D420" s="1" t="s">
        <v>2329</v>
      </c>
      <c r="E420" s="250">
        <v>6110.4530000000004</v>
      </c>
    </row>
    <row r="421" spans="3:5" x14ac:dyDescent="0.35">
      <c r="C421" s="1" t="s">
        <v>5768</v>
      </c>
      <c r="D421" s="1" t="s">
        <v>2329</v>
      </c>
      <c r="E421" s="250">
        <v>6110.4539999999997</v>
      </c>
    </row>
    <row r="422" spans="3:5" x14ac:dyDescent="0.35">
      <c r="C422" s="1" t="s">
        <v>5767</v>
      </c>
      <c r="D422" s="1" t="s">
        <v>2329</v>
      </c>
      <c r="E422" s="250">
        <v>6110.4549999999999</v>
      </c>
    </row>
    <row r="423" spans="3:5" x14ac:dyDescent="0.35">
      <c r="C423" s="1" t="s">
        <v>5766</v>
      </c>
      <c r="D423" s="1" t="s">
        <v>2329</v>
      </c>
      <c r="E423" s="250">
        <v>6110.4579999999996</v>
      </c>
    </row>
    <row r="424" spans="3:5" x14ac:dyDescent="0.35">
      <c r="C424" s="1" t="s">
        <v>5765</v>
      </c>
      <c r="D424" s="1" t="s">
        <v>2329</v>
      </c>
      <c r="E424" s="250">
        <v>6110.4589999999998</v>
      </c>
    </row>
    <row r="425" spans="3:5" x14ac:dyDescent="0.35">
      <c r="C425" s="1" t="s">
        <v>5766</v>
      </c>
      <c r="D425" s="1" t="s">
        <v>3023</v>
      </c>
      <c r="E425" s="250">
        <v>6110.46</v>
      </c>
    </row>
    <row r="426" spans="3:5" x14ac:dyDescent="0.35">
      <c r="C426" s="1" t="s">
        <v>5765</v>
      </c>
      <c r="D426" s="1" t="s">
        <v>3023</v>
      </c>
      <c r="E426" s="250">
        <v>6110.4610000000002</v>
      </c>
    </row>
    <row r="427" spans="3:5" x14ac:dyDescent="0.35">
      <c r="C427" s="1" t="s">
        <v>5764</v>
      </c>
      <c r="D427" s="1" t="s">
        <v>2329</v>
      </c>
      <c r="E427" s="250">
        <v>6110.4629999999997</v>
      </c>
    </row>
    <row r="428" spans="3:5" x14ac:dyDescent="0.35">
      <c r="C428" s="1" t="s">
        <v>5763</v>
      </c>
      <c r="D428" s="1" t="s">
        <v>2329</v>
      </c>
      <c r="E428" s="250">
        <v>6110.4639999999999</v>
      </c>
    </row>
    <row r="429" spans="3:5" x14ac:dyDescent="0.35">
      <c r="C429" s="1" t="s">
        <v>5762</v>
      </c>
      <c r="D429" s="1" t="s">
        <v>2329</v>
      </c>
      <c r="E429" s="250">
        <v>6110.4650000000001</v>
      </c>
    </row>
    <row r="430" spans="3:5" x14ac:dyDescent="0.35">
      <c r="C430" s="1" t="s">
        <v>5761</v>
      </c>
      <c r="D430" s="1" t="s">
        <v>2329</v>
      </c>
      <c r="E430" s="250">
        <v>6110.4660000000003</v>
      </c>
    </row>
    <row r="431" spans="3:5" x14ac:dyDescent="0.35">
      <c r="C431" s="1" t="s">
        <v>5760</v>
      </c>
      <c r="D431" s="1" t="s">
        <v>2329</v>
      </c>
      <c r="E431" s="250">
        <v>6110.4669999999996</v>
      </c>
    </row>
    <row r="432" spans="3:5" x14ac:dyDescent="0.35">
      <c r="C432" s="1" t="s">
        <v>5759</v>
      </c>
      <c r="D432" s="1" t="s">
        <v>2329</v>
      </c>
      <c r="E432" s="250">
        <v>6110.4679999999998</v>
      </c>
    </row>
    <row r="433" spans="3:5" x14ac:dyDescent="0.35">
      <c r="C433" s="1" t="s">
        <v>5758</v>
      </c>
      <c r="D433" s="1" t="s">
        <v>2329</v>
      </c>
      <c r="E433" s="250">
        <v>6110.4690000000001</v>
      </c>
    </row>
    <row r="434" spans="3:5" x14ac:dyDescent="0.35">
      <c r="C434" s="1" t="s">
        <v>5728</v>
      </c>
      <c r="D434" s="1" t="s">
        <v>3023</v>
      </c>
      <c r="E434" s="250">
        <v>6110.47</v>
      </c>
    </row>
    <row r="435" spans="3:5" x14ac:dyDescent="0.35">
      <c r="C435" s="1" t="s">
        <v>5727</v>
      </c>
      <c r="D435" s="1" t="s">
        <v>3023</v>
      </c>
      <c r="E435" s="250">
        <v>6110.4709999999995</v>
      </c>
    </row>
    <row r="436" spans="3:5" x14ac:dyDescent="0.35">
      <c r="C436" s="1" t="s">
        <v>5726</v>
      </c>
      <c r="D436" s="1" t="s">
        <v>3023</v>
      </c>
      <c r="E436" s="250">
        <v>6110.4719999999998</v>
      </c>
    </row>
    <row r="437" spans="3:5" x14ac:dyDescent="0.35">
      <c r="C437" s="1" t="s">
        <v>5725</v>
      </c>
      <c r="D437" s="1" t="s">
        <v>3023</v>
      </c>
      <c r="E437" s="250">
        <v>6110.473</v>
      </c>
    </row>
    <row r="438" spans="3:5" x14ac:dyDescent="0.35">
      <c r="C438" s="1" t="s">
        <v>5724</v>
      </c>
      <c r="D438" s="1" t="s">
        <v>3023</v>
      </c>
      <c r="E438" s="250">
        <v>6110.4740000000002</v>
      </c>
    </row>
    <row r="439" spans="3:5" x14ac:dyDescent="0.35">
      <c r="C439" s="1" t="s">
        <v>5723</v>
      </c>
      <c r="D439" s="1" t="s">
        <v>3023</v>
      </c>
      <c r="E439" s="250">
        <v>6110.4750000000004</v>
      </c>
    </row>
    <row r="440" spans="3:5" x14ac:dyDescent="0.35">
      <c r="C440" s="1" t="s">
        <v>5722</v>
      </c>
      <c r="D440" s="1" t="s">
        <v>3023</v>
      </c>
      <c r="E440" s="250">
        <v>6110.4759999999997</v>
      </c>
    </row>
    <row r="441" spans="3:5" x14ac:dyDescent="0.35">
      <c r="C441" s="1" t="s">
        <v>5721</v>
      </c>
      <c r="D441" s="1" t="s">
        <v>3023</v>
      </c>
      <c r="E441" s="250">
        <v>6110.48</v>
      </c>
    </row>
    <row r="442" spans="3:5" x14ac:dyDescent="0.35">
      <c r="C442" s="1" t="s">
        <v>5720</v>
      </c>
      <c r="D442" s="1" t="s">
        <v>3023</v>
      </c>
      <c r="E442" s="250">
        <v>6110.4809999999998</v>
      </c>
    </row>
    <row r="443" spans="3:5" x14ac:dyDescent="0.35">
      <c r="C443" s="1" t="s">
        <v>5719</v>
      </c>
      <c r="D443" s="1" t="s">
        <v>3023</v>
      </c>
      <c r="E443" s="250">
        <v>6110.482</v>
      </c>
    </row>
    <row r="444" spans="3:5" x14ac:dyDescent="0.35">
      <c r="C444" s="1" t="s">
        <v>5718</v>
      </c>
      <c r="D444" s="1" t="s">
        <v>3023</v>
      </c>
      <c r="E444" s="250">
        <v>6110.4830000000002</v>
      </c>
    </row>
    <row r="445" spans="3:5" x14ac:dyDescent="0.35">
      <c r="C445" s="1" t="s">
        <v>5717</v>
      </c>
      <c r="D445" s="1" t="s">
        <v>3023</v>
      </c>
      <c r="E445" s="250">
        <v>6110.4840000000004</v>
      </c>
    </row>
    <row r="446" spans="3:5" x14ac:dyDescent="0.35">
      <c r="C446" s="1" t="s">
        <v>5716</v>
      </c>
      <c r="D446" s="1" t="s">
        <v>3023</v>
      </c>
      <c r="E446" s="250">
        <v>6110.4849999999997</v>
      </c>
    </row>
    <row r="447" spans="3:5" x14ac:dyDescent="0.35">
      <c r="C447" s="1" t="s">
        <v>5715</v>
      </c>
      <c r="D447" s="1" t="s">
        <v>3023</v>
      </c>
      <c r="E447" s="250">
        <v>6110.4859999999999</v>
      </c>
    </row>
    <row r="448" spans="3:5" x14ac:dyDescent="0.35">
      <c r="C448" s="1" t="s">
        <v>5714</v>
      </c>
      <c r="D448" s="1" t="s">
        <v>3023</v>
      </c>
      <c r="E448" s="250">
        <v>6110.49</v>
      </c>
    </row>
    <row r="449" spans="3:5" x14ac:dyDescent="0.35">
      <c r="C449" s="1" t="s">
        <v>5713</v>
      </c>
      <c r="D449" s="1" t="s">
        <v>3023</v>
      </c>
      <c r="E449" s="250">
        <v>6110.491</v>
      </c>
    </row>
    <row r="450" spans="3:5" x14ac:dyDescent="0.35">
      <c r="C450" s="1" t="s">
        <v>5712</v>
      </c>
      <c r="D450" s="1" t="s">
        <v>3023</v>
      </c>
      <c r="E450" s="250">
        <v>6110.4920000000002</v>
      </c>
    </row>
    <row r="451" spans="3:5" x14ac:dyDescent="0.35">
      <c r="C451" s="1" t="s">
        <v>5711</v>
      </c>
      <c r="D451" s="1" t="s">
        <v>3023</v>
      </c>
      <c r="E451" s="250">
        <v>6110.4930000000004</v>
      </c>
    </row>
    <row r="452" spans="3:5" x14ac:dyDescent="0.35">
      <c r="C452" s="1" t="s">
        <v>5710</v>
      </c>
      <c r="D452" s="1" t="s">
        <v>3023</v>
      </c>
      <c r="E452" s="250">
        <v>6110.4939999999997</v>
      </c>
    </row>
    <row r="453" spans="3:5" x14ac:dyDescent="0.35">
      <c r="C453" s="1" t="s">
        <v>5709</v>
      </c>
      <c r="D453" s="1" t="s">
        <v>3023</v>
      </c>
      <c r="E453" s="250">
        <v>6110.4949999999999</v>
      </c>
    </row>
    <row r="454" spans="3:5" x14ac:dyDescent="0.35">
      <c r="C454" s="1" t="s">
        <v>5708</v>
      </c>
      <c r="D454" s="1" t="s">
        <v>3023</v>
      </c>
      <c r="E454" s="250">
        <v>6110.4960000000001</v>
      </c>
    </row>
    <row r="455" spans="3:5" x14ac:dyDescent="0.35">
      <c r="C455" s="1" t="s">
        <v>5707</v>
      </c>
      <c r="D455" s="1" t="s">
        <v>3023</v>
      </c>
      <c r="E455" s="250">
        <v>6110.4970000000003</v>
      </c>
    </row>
    <row r="456" spans="3:5" x14ac:dyDescent="0.35">
      <c r="C456" s="1" t="s">
        <v>5757</v>
      </c>
      <c r="D456" s="1" t="s">
        <v>3023</v>
      </c>
      <c r="E456" s="250">
        <v>6110.51</v>
      </c>
    </row>
    <row r="457" spans="3:5" x14ac:dyDescent="0.35">
      <c r="C457" s="1" t="s">
        <v>5756</v>
      </c>
      <c r="D457" s="1" t="s">
        <v>3023</v>
      </c>
      <c r="E457" s="250">
        <v>6110.5110000000004</v>
      </c>
    </row>
    <row r="458" spans="3:5" x14ac:dyDescent="0.35">
      <c r="C458" s="1" t="s">
        <v>5755</v>
      </c>
      <c r="D458" s="1" t="s">
        <v>3023</v>
      </c>
      <c r="E458" s="250">
        <v>6110.5119999999997</v>
      </c>
    </row>
    <row r="459" spans="3:5" x14ac:dyDescent="0.35">
      <c r="C459" s="1" t="s">
        <v>5754</v>
      </c>
      <c r="D459" s="1" t="s">
        <v>3023</v>
      </c>
      <c r="E459" s="250">
        <v>6110.52</v>
      </c>
    </row>
    <row r="460" spans="3:5" x14ac:dyDescent="0.35">
      <c r="C460" s="1" t="s">
        <v>5753</v>
      </c>
      <c r="D460" s="1" t="s">
        <v>3023</v>
      </c>
      <c r="E460" s="250">
        <v>6110.5209999999997</v>
      </c>
    </row>
    <row r="461" spans="3:5" x14ac:dyDescent="0.35">
      <c r="C461" s="1" t="s">
        <v>5752</v>
      </c>
      <c r="D461" s="1" t="s">
        <v>3023</v>
      </c>
      <c r="E461" s="250">
        <v>6110.5219999999999</v>
      </c>
    </row>
    <row r="462" spans="3:5" x14ac:dyDescent="0.35">
      <c r="C462" s="1" t="s">
        <v>5751</v>
      </c>
      <c r="D462" s="1" t="s">
        <v>3023</v>
      </c>
      <c r="E462" s="250">
        <v>6110.53</v>
      </c>
    </row>
    <row r="463" spans="3:5" x14ac:dyDescent="0.35">
      <c r="C463" s="1" t="s">
        <v>5750</v>
      </c>
      <c r="D463" s="1" t="s">
        <v>3023</v>
      </c>
      <c r="E463" s="250">
        <v>6110.5309999999999</v>
      </c>
    </row>
    <row r="464" spans="3:5" x14ac:dyDescent="0.35">
      <c r="C464" s="1" t="s">
        <v>5749</v>
      </c>
      <c r="D464" s="1" t="s">
        <v>3023</v>
      </c>
      <c r="E464" s="250">
        <v>6110.5320000000002</v>
      </c>
    </row>
    <row r="465" spans="3:5" x14ac:dyDescent="0.35">
      <c r="C465" s="1" t="s">
        <v>5748</v>
      </c>
      <c r="D465" s="1" t="s">
        <v>3023</v>
      </c>
      <c r="E465" s="250">
        <v>6110.5330000000004</v>
      </c>
    </row>
    <row r="466" spans="3:5" x14ac:dyDescent="0.35">
      <c r="C466" s="1" t="s">
        <v>5747</v>
      </c>
      <c r="D466" s="1" t="s">
        <v>2329</v>
      </c>
      <c r="E466" s="250">
        <v>6110.55</v>
      </c>
    </row>
    <row r="467" spans="3:5" x14ac:dyDescent="0.35">
      <c r="C467" s="1" t="s">
        <v>5746</v>
      </c>
      <c r="D467" s="1" t="s">
        <v>2329</v>
      </c>
      <c r="E467" s="250">
        <v>6110.5510000000004</v>
      </c>
    </row>
    <row r="468" spans="3:5" x14ac:dyDescent="0.35">
      <c r="C468" s="1" t="s">
        <v>5745</v>
      </c>
      <c r="D468" s="1" t="s">
        <v>2329</v>
      </c>
      <c r="E468" s="250">
        <v>6110.5519999999997</v>
      </c>
    </row>
    <row r="469" spans="3:5" x14ac:dyDescent="0.35">
      <c r="C469" s="1" t="s">
        <v>5744</v>
      </c>
      <c r="D469" s="1" t="s">
        <v>2329</v>
      </c>
      <c r="E469" s="250">
        <v>6110.5529999999999</v>
      </c>
    </row>
    <row r="470" spans="3:5" x14ac:dyDescent="0.35">
      <c r="C470" s="1" t="s">
        <v>5743</v>
      </c>
      <c r="D470" s="1" t="s">
        <v>2329</v>
      </c>
      <c r="E470" s="250">
        <v>6110.5540000000001</v>
      </c>
    </row>
    <row r="471" spans="3:5" x14ac:dyDescent="0.35">
      <c r="C471" s="1" t="s">
        <v>5742</v>
      </c>
      <c r="D471" s="1" t="s">
        <v>2329</v>
      </c>
      <c r="E471" s="250">
        <v>6110.5550000000003</v>
      </c>
    </row>
    <row r="472" spans="3:5" x14ac:dyDescent="0.35">
      <c r="C472" s="1" t="s">
        <v>5741</v>
      </c>
      <c r="D472" s="1" t="s">
        <v>2329</v>
      </c>
      <c r="E472" s="250">
        <v>6110.5559999999996</v>
      </c>
    </row>
    <row r="473" spans="3:5" x14ac:dyDescent="0.35">
      <c r="C473" s="1" t="s">
        <v>5740</v>
      </c>
      <c r="D473" s="1" t="s">
        <v>2329</v>
      </c>
      <c r="E473" s="250">
        <v>6110.5569999999998</v>
      </c>
    </row>
    <row r="474" spans="3:5" x14ac:dyDescent="0.35">
      <c r="C474" s="1" t="s">
        <v>5739</v>
      </c>
      <c r="D474" s="1" t="s">
        <v>2329</v>
      </c>
      <c r="E474" s="250">
        <v>6110.558</v>
      </c>
    </row>
    <row r="475" spans="3:5" x14ac:dyDescent="0.35">
      <c r="C475" s="1" t="s">
        <v>5738</v>
      </c>
      <c r="D475" s="1" t="s">
        <v>3023</v>
      </c>
      <c r="E475" s="250">
        <v>6110.56</v>
      </c>
    </row>
    <row r="476" spans="3:5" x14ac:dyDescent="0.35">
      <c r="C476" s="1" t="s">
        <v>5737</v>
      </c>
      <c r="D476" s="1" t="s">
        <v>3023</v>
      </c>
      <c r="E476" s="250">
        <v>6110.5609999999997</v>
      </c>
    </row>
    <row r="477" spans="3:5" x14ac:dyDescent="0.35">
      <c r="C477" s="1" t="s">
        <v>5736</v>
      </c>
      <c r="D477" s="1" t="s">
        <v>3023</v>
      </c>
      <c r="E477" s="250">
        <v>6110.5619999999999</v>
      </c>
    </row>
    <row r="478" spans="3:5" x14ac:dyDescent="0.35">
      <c r="C478" s="1" t="s">
        <v>5735</v>
      </c>
      <c r="D478" s="1" t="s">
        <v>3023</v>
      </c>
      <c r="E478" s="250">
        <v>6110.5630000000001</v>
      </c>
    </row>
    <row r="479" spans="3:5" x14ac:dyDescent="0.35">
      <c r="C479" s="1" t="s">
        <v>5734</v>
      </c>
      <c r="D479" s="1" t="s">
        <v>3023</v>
      </c>
      <c r="E479" s="250">
        <v>6110.5640000000003</v>
      </c>
    </row>
    <row r="480" spans="3:5" x14ac:dyDescent="0.35">
      <c r="C480" s="1" t="s">
        <v>5733</v>
      </c>
      <c r="D480" s="1" t="s">
        <v>2329</v>
      </c>
      <c r="E480" s="250">
        <v>6110.5649999999996</v>
      </c>
    </row>
    <row r="481" spans="3:5" x14ac:dyDescent="0.35">
      <c r="C481" s="1" t="s">
        <v>5732</v>
      </c>
      <c r="D481" s="1" t="s">
        <v>2329</v>
      </c>
      <c r="E481" s="250">
        <v>6110.5659999999998</v>
      </c>
    </row>
    <row r="482" spans="3:5" x14ac:dyDescent="0.35">
      <c r="C482" s="1" t="s">
        <v>5731</v>
      </c>
      <c r="D482" s="1" t="s">
        <v>2329</v>
      </c>
      <c r="E482" s="250">
        <v>6110.567</v>
      </c>
    </row>
    <row r="483" spans="3:5" x14ac:dyDescent="0.35">
      <c r="C483" s="1" t="s">
        <v>5730</v>
      </c>
      <c r="D483" s="1" t="s">
        <v>2329</v>
      </c>
      <c r="E483" s="250">
        <v>6110.5680000000002</v>
      </c>
    </row>
    <row r="484" spans="3:5" x14ac:dyDescent="0.35">
      <c r="C484" s="1" t="s">
        <v>5729</v>
      </c>
      <c r="D484" s="1" t="s">
        <v>19</v>
      </c>
      <c r="E484" s="250">
        <v>6110.57</v>
      </c>
    </row>
    <row r="485" spans="3:5" x14ac:dyDescent="0.35">
      <c r="C485" s="1" t="s">
        <v>5728</v>
      </c>
      <c r="D485" s="1" t="s">
        <v>2329</v>
      </c>
      <c r="E485" s="250">
        <v>6110.5709999999999</v>
      </c>
    </row>
    <row r="486" spans="3:5" x14ac:dyDescent="0.35">
      <c r="C486" s="1" t="s">
        <v>5727</v>
      </c>
      <c r="D486" s="1" t="s">
        <v>2329</v>
      </c>
      <c r="E486" s="250">
        <v>6110.5720000000001</v>
      </c>
    </row>
    <row r="487" spans="3:5" x14ac:dyDescent="0.35">
      <c r="C487" s="1" t="s">
        <v>5726</v>
      </c>
      <c r="D487" s="1" t="s">
        <v>2329</v>
      </c>
      <c r="E487" s="250">
        <v>6110.5730000000003</v>
      </c>
    </row>
    <row r="488" spans="3:5" x14ac:dyDescent="0.35">
      <c r="C488" s="1" t="s">
        <v>5725</v>
      </c>
      <c r="D488" s="1" t="s">
        <v>2329</v>
      </c>
      <c r="E488" s="250">
        <v>6110.5739999999996</v>
      </c>
    </row>
    <row r="489" spans="3:5" x14ac:dyDescent="0.35">
      <c r="C489" s="1" t="s">
        <v>5724</v>
      </c>
      <c r="D489" s="1" t="s">
        <v>2329</v>
      </c>
      <c r="E489" s="250">
        <v>6110.5749999999998</v>
      </c>
    </row>
    <row r="490" spans="3:5" x14ac:dyDescent="0.35">
      <c r="C490" s="1" t="s">
        <v>5723</v>
      </c>
      <c r="D490" s="1" t="s">
        <v>2329</v>
      </c>
      <c r="E490" s="250">
        <v>6110.576</v>
      </c>
    </row>
    <row r="491" spans="3:5" x14ac:dyDescent="0.35">
      <c r="C491" s="1" t="s">
        <v>5722</v>
      </c>
      <c r="D491" s="1" t="s">
        <v>2329</v>
      </c>
      <c r="E491" s="250">
        <v>6110.5770000000002</v>
      </c>
    </row>
    <row r="492" spans="3:5" x14ac:dyDescent="0.35">
      <c r="C492" s="1" t="s">
        <v>5721</v>
      </c>
      <c r="D492" s="1" t="s">
        <v>2329</v>
      </c>
      <c r="E492" s="250">
        <v>6110.5810000000001</v>
      </c>
    </row>
    <row r="493" spans="3:5" x14ac:dyDescent="0.35">
      <c r="C493" s="1" t="s">
        <v>5720</v>
      </c>
      <c r="D493" s="1" t="s">
        <v>2329</v>
      </c>
      <c r="E493" s="250">
        <v>6110.5820000000003</v>
      </c>
    </row>
    <row r="494" spans="3:5" x14ac:dyDescent="0.35">
      <c r="C494" s="1" t="s">
        <v>5719</v>
      </c>
      <c r="D494" s="1" t="s">
        <v>2329</v>
      </c>
      <c r="E494" s="250">
        <v>6110.5829999999996</v>
      </c>
    </row>
    <row r="495" spans="3:5" x14ac:dyDescent="0.35">
      <c r="C495" s="1" t="s">
        <v>5718</v>
      </c>
      <c r="D495" s="1" t="s">
        <v>2329</v>
      </c>
      <c r="E495" s="250">
        <v>6110.5839999999998</v>
      </c>
    </row>
    <row r="496" spans="3:5" x14ac:dyDescent="0.35">
      <c r="C496" s="1" t="s">
        <v>5717</v>
      </c>
      <c r="D496" s="1" t="s">
        <v>2329</v>
      </c>
      <c r="E496" s="250">
        <v>6110.585</v>
      </c>
    </row>
    <row r="497" spans="3:5" x14ac:dyDescent="0.35">
      <c r="C497" s="1" t="s">
        <v>5716</v>
      </c>
      <c r="D497" s="1" t="s">
        <v>2329</v>
      </c>
      <c r="E497" s="250">
        <v>6110.5860000000002</v>
      </c>
    </row>
    <row r="498" spans="3:5" x14ac:dyDescent="0.35">
      <c r="C498" s="1" t="s">
        <v>5715</v>
      </c>
      <c r="D498" s="1" t="s">
        <v>2329</v>
      </c>
      <c r="E498" s="250">
        <v>6110.5870000000004</v>
      </c>
    </row>
    <row r="499" spans="3:5" x14ac:dyDescent="0.35">
      <c r="C499" s="1" t="s">
        <v>5714</v>
      </c>
      <c r="D499" s="1" t="s">
        <v>2329</v>
      </c>
      <c r="E499" s="250">
        <v>6110.5910000000003</v>
      </c>
    </row>
    <row r="500" spans="3:5" x14ac:dyDescent="0.35">
      <c r="C500" s="1" t="s">
        <v>5713</v>
      </c>
      <c r="D500" s="1" t="s">
        <v>2329</v>
      </c>
      <c r="E500" s="250">
        <v>6110.5919999999996</v>
      </c>
    </row>
    <row r="501" spans="3:5" x14ac:dyDescent="0.35">
      <c r="C501" s="1" t="s">
        <v>5712</v>
      </c>
      <c r="D501" s="1" t="s">
        <v>2329</v>
      </c>
      <c r="E501" s="250">
        <v>6110.5929999999998</v>
      </c>
    </row>
    <row r="502" spans="3:5" x14ac:dyDescent="0.35">
      <c r="C502" s="1" t="s">
        <v>5711</v>
      </c>
      <c r="D502" s="1" t="s">
        <v>2329</v>
      </c>
      <c r="E502" s="250">
        <v>6110.5940000000001</v>
      </c>
    </row>
    <row r="503" spans="3:5" x14ac:dyDescent="0.35">
      <c r="C503" s="1" t="s">
        <v>5710</v>
      </c>
      <c r="D503" s="1" t="s">
        <v>2329</v>
      </c>
      <c r="E503" s="250">
        <v>6110.5950000000003</v>
      </c>
    </row>
    <row r="504" spans="3:5" x14ac:dyDescent="0.35">
      <c r="C504" s="1" t="s">
        <v>5709</v>
      </c>
      <c r="D504" s="1" t="s">
        <v>2329</v>
      </c>
      <c r="E504" s="250">
        <v>6110.5959999999995</v>
      </c>
    </row>
    <row r="505" spans="3:5" x14ac:dyDescent="0.35">
      <c r="C505" s="1" t="s">
        <v>5708</v>
      </c>
      <c r="D505" s="1" t="s">
        <v>2329</v>
      </c>
      <c r="E505" s="250">
        <v>6110.5969999999998</v>
      </c>
    </row>
    <row r="506" spans="3:5" x14ac:dyDescent="0.35">
      <c r="C506" s="1" t="s">
        <v>5707</v>
      </c>
      <c r="D506" s="1" t="s">
        <v>2329</v>
      </c>
      <c r="E506" s="250">
        <v>6110.598</v>
      </c>
    </row>
    <row r="507" spans="3:5" x14ac:dyDescent="0.35">
      <c r="C507" s="1" t="s">
        <v>5706</v>
      </c>
      <c r="D507" s="1" t="s">
        <v>2329</v>
      </c>
      <c r="E507" s="250">
        <v>6110.6</v>
      </c>
    </row>
    <row r="508" spans="3:5" x14ac:dyDescent="0.35">
      <c r="C508" s="1" t="s">
        <v>5705</v>
      </c>
      <c r="D508" s="1" t="s">
        <v>2329</v>
      </c>
      <c r="E508" s="250">
        <v>6110.6009999999997</v>
      </c>
    </row>
    <row r="509" spans="3:5" x14ac:dyDescent="0.35">
      <c r="C509" s="1" t="s">
        <v>5704</v>
      </c>
      <c r="D509" s="1" t="s">
        <v>2329</v>
      </c>
      <c r="E509" s="250">
        <v>6110.6019999999999</v>
      </c>
    </row>
    <row r="510" spans="3:5" x14ac:dyDescent="0.35">
      <c r="C510" s="1" t="s">
        <v>5703</v>
      </c>
      <c r="D510" s="1" t="s">
        <v>2329</v>
      </c>
      <c r="E510" s="250">
        <v>6110.6030000000001</v>
      </c>
    </row>
    <row r="511" spans="3:5" x14ac:dyDescent="0.35">
      <c r="C511" s="1" t="s">
        <v>5702</v>
      </c>
      <c r="D511" s="1" t="s">
        <v>2329</v>
      </c>
      <c r="E511" s="250">
        <v>6110.6040000000003</v>
      </c>
    </row>
    <row r="512" spans="3:5" x14ac:dyDescent="0.35">
      <c r="C512" s="1" t="s">
        <v>5701</v>
      </c>
      <c r="D512" s="1" t="s">
        <v>2329</v>
      </c>
      <c r="E512" s="250">
        <v>6110.6049999999996</v>
      </c>
    </row>
    <row r="513" spans="3:5" x14ac:dyDescent="0.35">
      <c r="C513" s="1" t="s">
        <v>5700</v>
      </c>
      <c r="D513" s="1" t="s">
        <v>2329</v>
      </c>
      <c r="E513" s="250">
        <v>6110.6059999999998</v>
      </c>
    </row>
    <row r="514" spans="3:5" x14ac:dyDescent="0.35">
      <c r="C514" s="1" t="s">
        <v>5699</v>
      </c>
      <c r="D514" s="1" t="s">
        <v>2329</v>
      </c>
      <c r="E514" s="250">
        <v>6110.607</v>
      </c>
    </row>
    <row r="515" spans="3:5" x14ac:dyDescent="0.35">
      <c r="C515" s="1" t="s">
        <v>5698</v>
      </c>
      <c r="D515" s="1" t="s">
        <v>2329</v>
      </c>
      <c r="E515" s="250">
        <v>6110.6080000000002</v>
      </c>
    </row>
    <row r="516" spans="3:5" x14ac:dyDescent="0.35">
      <c r="C516" s="1" t="s">
        <v>5697</v>
      </c>
      <c r="D516" s="1" t="s">
        <v>2329</v>
      </c>
      <c r="E516" s="250">
        <v>6110.61</v>
      </c>
    </row>
    <row r="517" spans="3:5" x14ac:dyDescent="0.35">
      <c r="C517" s="1" t="s">
        <v>5696</v>
      </c>
      <c r="D517" s="1" t="s">
        <v>2329</v>
      </c>
      <c r="E517" s="250">
        <v>6110.6109999999999</v>
      </c>
    </row>
    <row r="518" spans="3:5" x14ac:dyDescent="0.35">
      <c r="C518" s="1" t="s">
        <v>5695</v>
      </c>
      <c r="D518" s="1" t="s">
        <v>2329</v>
      </c>
      <c r="E518" s="250">
        <v>6110.6120000000001</v>
      </c>
    </row>
    <row r="519" spans="3:5" x14ac:dyDescent="0.35">
      <c r="C519" s="1" t="s">
        <v>5694</v>
      </c>
      <c r="D519" s="1" t="s">
        <v>2329</v>
      </c>
      <c r="E519" s="250">
        <v>6110.6130000000003</v>
      </c>
    </row>
    <row r="520" spans="3:5" x14ac:dyDescent="0.35">
      <c r="C520" s="1" t="s">
        <v>5693</v>
      </c>
      <c r="D520" s="1" t="s">
        <v>2329</v>
      </c>
      <c r="E520" s="250">
        <v>6110.6139999999996</v>
      </c>
    </row>
    <row r="521" spans="3:5" x14ac:dyDescent="0.35">
      <c r="C521" s="1" t="s">
        <v>5692</v>
      </c>
      <c r="D521" s="1" t="s">
        <v>2329</v>
      </c>
      <c r="E521" s="250">
        <v>6110.6149999999998</v>
      </c>
    </row>
    <row r="522" spans="3:5" x14ac:dyDescent="0.35">
      <c r="C522" s="1" t="s">
        <v>5691</v>
      </c>
      <c r="D522" s="1" t="s">
        <v>2329</v>
      </c>
      <c r="E522" s="250">
        <v>6110.616</v>
      </c>
    </row>
    <row r="523" spans="3:5" x14ac:dyDescent="0.35">
      <c r="C523" s="1" t="s">
        <v>5690</v>
      </c>
      <c r="D523" s="1" t="s">
        <v>2329</v>
      </c>
      <c r="E523" s="250">
        <v>6110.6170000000002</v>
      </c>
    </row>
    <row r="524" spans="3:5" x14ac:dyDescent="0.35">
      <c r="C524" s="1" t="s">
        <v>5689</v>
      </c>
      <c r="D524" s="1" t="s">
        <v>2329</v>
      </c>
      <c r="E524" s="250">
        <v>6110.6210000000001</v>
      </c>
    </row>
    <row r="525" spans="3:5" x14ac:dyDescent="0.35">
      <c r="C525" s="1" t="s">
        <v>5688</v>
      </c>
      <c r="D525" s="1" t="s">
        <v>2329</v>
      </c>
      <c r="E525" s="250">
        <v>6110.6220000000003</v>
      </c>
    </row>
    <row r="526" spans="3:5" x14ac:dyDescent="0.35">
      <c r="C526" s="1" t="s">
        <v>5687</v>
      </c>
      <c r="D526" s="1" t="s">
        <v>2329</v>
      </c>
      <c r="E526" s="250">
        <v>6110.6229999999996</v>
      </c>
    </row>
    <row r="527" spans="3:5" x14ac:dyDescent="0.35">
      <c r="C527" s="1" t="s">
        <v>5686</v>
      </c>
      <c r="D527" s="1" t="s">
        <v>2329</v>
      </c>
      <c r="E527" s="250">
        <v>6110.6239999999998</v>
      </c>
    </row>
    <row r="528" spans="3:5" x14ac:dyDescent="0.35">
      <c r="C528" s="1" t="s">
        <v>5685</v>
      </c>
      <c r="D528" s="1" t="s">
        <v>2329</v>
      </c>
      <c r="E528" s="250">
        <v>6110.6310000000003</v>
      </c>
    </row>
    <row r="529" spans="3:5" x14ac:dyDescent="0.35">
      <c r="C529" s="1" t="s">
        <v>5684</v>
      </c>
      <c r="D529" s="1" t="s">
        <v>2329</v>
      </c>
      <c r="E529" s="250">
        <v>6110.6319999999996</v>
      </c>
    </row>
    <row r="530" spans="3:5" x14ac:dyDescent="0.35">
      <c r="C530" s="1" t="s">
        <v>5683</v>
      </c>
      <c r="D530" s="1" t="s">
        <v>2329</v>
      </c>
      <c r="E530" s="250">
        <v>6110.6329999999998</v>
      </c>
    </row>
    <row r="531" spans="3:5" x14ac:dyDescent="0.35">
      <c r="C531" s="1" t="s">
        <v>5682</v>
      </c>
      <c r="D531" s="1" t="s">
        <v>2329</v>
      </c>
      <c r="E531" s="250">
        <v>6110.634</v>
      </c>
    </row>
    <row r="532" spans="3:5" x14ac:dyDescent="0.35">
      <c r="C532" s="1" t="s">
        <v>5681</v>
      </c>
      <c r="D532" s="1" t="s">
        <v>2329</v>
      </c>
      <c r="E532" s="250">
        <v>6110.6350000000002</v>
      </c>
    </row>
    <row r="533" spans="3:5" x14ac:dyDescent="0.35">
      <c r="C533" s="1" t="s">
        <v>5680</v>
      </c>
      <c r="D533" s="1" t="s">
        <v>2329</v>
      </c>
      <c r="E533" s="250">
        <v>6110.6360000000004</v>
      </c>
    </row>
    <row r="534" spans="3:5" x14ac:dyDescent="0.35">
      <c r="C534" s="1" t="s">
        <v>5679</v>
      </c>
      <c r="D534" s="1" t="s">
        <v>2329</v>
      </c>
      <c r="E534" s="250">
        <v>6110.6369999999997</v>
      </c>
    </row>
    <row r="535" spans="3:5" x14ac:dyDescent="0.35">
      <c r="C535" s="1" t="s">
        <v>5678</v>
      </c>
      <c r="D535" s="1" t="s">
        <v>2329</v>
      </c>
      <c r="E535" s="250">
        <v>6110.6379999999999</v>
      </c>
    </row>
    <row r="536" spans="3:5" x14ac:dyDescent="0.35">
      <c r="C536" s="1" t="s">
        <v>5677</v>
      </c>
      <c r="D536" s="1" t="s">
        <v>2329</v>
      </c>
      <c r="E536" s="250">
        <v>6110.6390000000001</v>
      </c>
    </row>
    <row r="537" spans="3:5" x14ac:dyDescent="0.35">
      <c r="C537" s="1" t="s">
        <v>5676</v>
      </c>
      <c r="D537" s="1" t="s">
        <v>2329</v>
      </c>
      <c r="E537" s="250">
        <v>6110.64</v>
      </c>
    </row>
    <row r="538" spans="3:5" x14ac:dyDescent="0.35">
      <c r="C538" s="1" t="s">
        <v>5675</v>
      </c>
      <c r="D538" s="1" t="s">
        <v>2329</v>
      </c>
      <c r="E538" s="250">
        <v>6110.6409999999996</v>
      </c>
    </row>
    <row r="539" spans="3:5" x14ac:dyDescent="0.35">
      <c r="C539" s="1" t="s">
        <v>5674</v>
      </c>
      <c r="D539" s="1" t="s">
        <v>2329</v>
      </c>
      <c r="E539" s="250">
        <v>6110.6419999999998</v>
      </c>
    </row>
    <row r="540" spans="3:5" x14ac:dyDescent="0.35">
      <c r="C540" s="1" t="s">
        <v>5673</v>
      </c>
      <c r="D540" s="1" t="s">
        <v>2329</v>
      </c>
      <c r="E540" s="250">
        <v>6110.643</v>
      </c>
    </row>
    <row r="541" spans="3:5" x14ac:dyDescent="0.35">
      <c r="C541" s="1" t="s">
        <v>5672</v>
      </c>
      <c r="D541" s="1" t="s">
        <v>2329</v>
      </c>
      <c r="E541" s="250">
        <v>6110.6440000000002</v>
      </c>
    </row>
    <row r="542" spans="3:5" x14ac:dyDescent="0.35">
      <c r="C542" s="1" t="s">
        <v>5671</v>
      </c>
      <c r="D542" s="1" t="s">
        <v>2329</v>
      </c>
      <c r="E542" s="250">
        <v>6110.6450000000004</v>
      </c>
    </row>
    <row r="543" spans="3:5" x14ac:dyDescent="0.35">
      <c r="C543" s="1" t="s">
        <v>5670</v>
      </c>
      <c r="D543" s="1" t="s">
        <v>2329</v>
      </c>
      <c r="E543" s="250">
        <v>6110.6459999999997</v>
      </c>
    </row>
    <row r="544" spans="3:5" x14ac:dyDescent="0.35">
      <c r="C544" s="1" t="s">
        <v>5669</v>
      </c>
      <c r="D544" s="1" t="s">
        <v>2329</v>
      </c>
      <c r="E544" s="250">
        <v>6110.6469999999999</v>
      </c>
    </row>
    <row r="545" spans="3:5" x14ac:dyDescent="0.35">
      <c r="C545" s="1" t="s">
        <v>5668</v>
      </c>
      <c r="D545" s="1" t="s">
        <v>2329</v>
      </c>
      <c r="E545" s="250">
        <v>6110.6480000000001</v>
      </c>
    </row>
    <row r="546" spans="3:5" x14ac:dyDescent="0.35">
      <c r="C546" s="1" t="s">
        <v>5667</v>
      </c>
      <c r="D546" s="1" t="s">
        <v>2329</v>
      </c>
      <c r="E546" s="250">
        <v>6110.7</v>
      </c>
    </row>
    <row r="547" spans="3:5" x14ac:dyDescent="0.35">
      <c r="C547" s="1" t="s">
        <v>5666</v>
      </c>
      <c r="D547" s="1" t="s">
        <v>2329</v>
      </c>
      <c r="E547" s="250">
        <v>6110.701</v>
      </c>
    </row>
    <row r="548" spans="3:5" x14ac:dyDescent="0.35">
      <c r="C548" s="1" t="s">
        <v>5665</v>
      </c>
      <c r="D548" s="1" t="s">
        <v>2329</v>
      </c>
      <c r="E548" s="250">
        <v>6110.7020000000002</v>
      </c>
    </row>
    <row r="549" spans="3:5" x14ac:dyDescent="0.35">
      <c r="C549" s="1" t="s">
        <v>5625</v>
      </c>
      <c r="D549" s="1" t="s">
        <v>2329</v>
      </c>
      <c r="E549" s="250">
        <v>6110.7030000000004</v>
      </c>
    </row>
    <row r="550" spans="3:5" x14ac:dyDescent="0.35">
      <c r="C550" s="1" t="s">
        <v>5615</v>
      </c>
      <c r="D550" s="1" t="s">
        <v>2329</v>
      </c>
      <c r="E550" s="250">
        <v>6110.7039999999997</v>
      </c>
    </row>
    <row r="551" spans="3:5" x14ac:dyDescent="0.35">
      <c r="C551" s="1" t="s">
        <v>5664</v>
      </c>
      <c r="D551" s="1" t="s">
        <v>2329</v>
      </c>
      <c r="E551" s="250">
        <v>6110.71</v>
      </c>
    </row>
    <row r="552" spans="3:5" x14ac:dyDescent="0.35">
      <c r="C552" s="1" t="s">
        <v>5663</v>
      </c>
      <c r="D552" s="1" t="s">
        <v>2329</v>
      </c>
      <c r="E552" s="250">
        <v>6110.7110000000002</v>
      </c>
    </row>
    <row r="553" spans="3:5" x14ac:dyDescent="0.35">
      <c r="C553" s="1" t="s">
        <v>5662</v>
      </c>
      <c r="D553" s="1" t="s">
        <v>2329</v>
      </c>
      <c r="E553" s="250">
        <v>6110.7120000000004</v>
      </c>
    </row>
    <row r="554" spans="3:5" x14ac:dyDescent="0.35">
      <c r="C554" s="1" t="s">
        <v>5661</v>
      </c>
      <c r="D554" s="1" t="s">
        <v>2329</v>
      </c>
      <c r="E554" s="250">
        <v>6110.7129999999997</v>
      </c>
    </row>
    <row r="555" spans="3:5" x14ac:dyDescent="0.35">
      <c r="C555" s="1" t="s">
        <v>5660</v>
      </c>
      <c r="D555" s="1" t="s">
        <v>2329</v>
      </c>
      <c r="E555" s="250">
        <v>6110.7139999999999</v>
      </c>
    </row>
    <row r="556" spans="3:5" x14ac:dyDescent="0.35">
      <c r="C556" s="1" t="s">
        <v>5659</v>
      </c>
      <c r="D556" s="1" t="s">
        <v>2329</v>
      </c>
      <c r="E556" s="250">
        <v>6110.7150000000001</v>
      </c>
    </row>
    <row r="557" spans="3:5" x14ac:dyDescent="0.35">
      <c r="C557" s="1" t="s">
        <v>5658</v>
      </c>
      <c r="D557" s="1" t="s">
        <v>2329</v>
      </c>
      <c r="E557" s="250">
        <v>6110.7160000000003</v>
      </c>
    </row>
    <row r="558" spans="3:5" x14ac:dyDescent="0.35">
      <c r="C558" s="1" t="s">
        <v>5657</v>
      </c>
      <c r="D558" s="1" t="s">
        <v>2329</v>
      </c>
      <c r="E558" s="250">
        <v>6110.7169999999996</v>
      </c>
    </row>
    <row r="559" spans="3:5" x14ac:dyDescent="0.35">
      <c r="C559" s="1" t="s">
        <v>5656</v>
      </c>
      <c r="D559" s="1" t="s">
        <v>2329</v>
      </c>
      <c r="E559" s="250">
        <v>6110.7179999999998</v>
      </c>
    </row>
    <row r="560" spans="3:5" x14ac:dyDescent="0.35">
      <c r="C560" s="1" t="s">
        <v>5655</v>
      </c>
      <c r="D560" s="1" t="s">
        <v>2329</v>
      </c>
      <c r="E560" s="250">
        <v>6110.7190000000001</v>
      </c>
    </row>
    <row r="561" spans="3:5" x14ac:dyDescent="0.35">
      <c r="C561" s="1" t="s">
        <v>5654</v>
      </c>
      <c r="D561" s="1" t="s">
        <v>2329</v>
      </c>
      <c r="E561" s="250">
        <v>6110.72</v>
      </c>
    </row>
    <row r="562" spans="3:5" x14ac:dyDescent="0.35">
      <c r="C562" s="1" t="s">
        <v>5653</v>
      </c>
      <c r="D562" s="1" t="s">
        <v>2329</v>
      </c>
      <c r="E562" s="250">
        <v>6110.7209999999995</v>
      </c>
    </row>
    <row r="563" spans="3:5" x14ac:dyDescent="0.35">
      <c r="C563" s="1" t="s">
        <v>5652</v>
      </c>
      <c r="D563" s="1" t="s">
        <v>2329</v>
      </c>
      <c r="E563" s="250">
        <v>6110.7219999999998</v>
      </c>
    </row>
    <row r="564" spans="3:5" x14ac:dyDescent="0.35">
      <c r="C564" s="1" t="s">
        <v>5651</v>
      </c>
      <c r="D564" s="1" t="s">
        <v>2329</v>
      </c>
      <c r="E564" s="250">
        <v>6110.723</v>
      </c>
    </row>
    <row r="565" spans="3:5" x14ac:dyDescent="0.35">
      <c r="C565" s="1" t="s">
        <v>5650</v>
      </c>
      <c r="D565" s="1" t="s">
        <v>2329</v>
      </c>
      <c r="E565" s="250">
        <v>6110.7240000000002</v>
      </c>
    </row>
    <row r="566" spans="3:5" x14ac:dyDescent="0.35">
      <c r="C566" s="1" t="s">
        <v>5649</v>
      </c>
      <c r="D566" s="1" t="s">
        <v>2329</v>
      </c>
      <c r="E566" s="250">
        <v>6110.7250000000004</v>
      </c>
    </row>
    <row r="567" spans="3:5" x14ac:dyDescent="0.35">
      <c r="C567" s="1" t="s">
        <v>5648</v>
      </c>
      <c r="D567" s="1" t="s">
        <v>2329</v>
      </c>
      <c r="E567" s="250">
        <v>6110.7259999999997</v>
      </c>
    </row>
    <row r="568" spans="3:5" x14ac:dyDescent="0.35">
      <c r="C568" s="1" t="s">
        <v>5647</v>
      </c>
      <c r="D568" s="1" t="s">
        <v>2329</v>
      </c>
      <c r="E568" s="250">
        <v>6110.7269999999999</v>
      </c>
    </row>
    <row r="569" spans="3:5" x14ac:dyDescent="0.35">
      <c r="C569" s="1" t="s">
        <v>5646</v>
      </c>
      <c r="D569" s="1" t="s">
        <v>2329</v>
      </c>
      <c r="E569" s="250">
        <v>6110.7280000000001</v>
      </c>
    </row>
    <row r="570" spans="3:5" x14ac:dyDescent="0.35">
      <c r="C570" s="1" t="s">
        <v>5645</v>
      </c>
      <c r="D570" s="1" t="s">
        <v>2329</v>
      </c>
      <c r="E570" s="250">
        <v>6110.7290000000003</v>
      </c>
    </row>
    <row r="571" spans="3:5" x14ac:dyDescent="0.35">
      <c r="C571" s="1" t="s">
        <v>5644</v>
      </c>
      <c r="D571" s="1" t="s">
        <v>2329</v>
      </c>
      <c r="E571" s="250">
        <v>6110.73</v>
      </c>
    </row>
    <row r="572" spans="3:5" x14ac:dyDescent="0.35">
      <c r="C572" s="1" t="s">
        <v>5643</v>
      </c>
      <c r="D572" s="1" t="s">
        <v>2329</v>
      </c>
      <c r="E572" s="250">
        <v>6110.7309999999998</v>
      </c>
    </row>
    <row r="573" spans="3:5" x14ac:dyDescent="0.35">
      <c r="C573" s="1" t="s">
        <v>5642</v>
      </c>
      <c r="D573" s="1" t="s">
        <v>2329</v>
      </c>
      <c r="E573" s="250">
        <v>6110.732</v>
      </c>
    </row>
    <row r="574" spans="3:5" x14ac:dyDescent="0.35">
      <c r="C574" s="1" t="s">
        <v>5641</v>
      </c>
      <c r="D574" s="1" t="s">
        <v>2329</v>
      </c>
      <c r="E574" s="250">
        <v>6110.7330000000002</v>
      </c>
    </row>
    <row r="575" spans="3:5" x14ac:dyDescent="0.35">
      <c r="C575" s="1" t="s">
        <v>5640</v>
      </c>
      <c r="D575" s="1" t="s">
        <v>2329</v>
      </c>
      <c r="E575" s="250">
        <v>6110.7340000000004</v>
      </c>
    </row>
    <row r="576" spans="3:5" x14ac:dyDescent="0.35">
      <c r="C576" s="1" t="s">
        <v>5639</v>
      </c>
      <c r="D576" s="1" t="s">
        <v>2329</v>
      </c>
      <c r="E576" s="250">
        <v>6110.7349999999997</v>
      </c>
    </row>
    <row r="577" spans="3:5" x14ac:dyDescent="0.35">
      <c r="C577" s="1" t="s">
        <v>5638</v>
      </c>
      <c r="D577" s="1" t="s">
        <v>2329</v>
      </c>
      <c r="E577" s="250">
        <v>6110.7359999999999</v>
      </c>
    </row>
    <row r="578" spans="3:5" x14ac:dyDescent="0.35">
      <c r="C578" s="1" t="s">
        <v>5637</v>
      </c>
      <c r="D578" s="1" t="s">
        <v>2329</v>
      </c>
      <c r="E578" s="250">
        <v>6110.7370000000001</v>
      </c>
    </row>
    <row r="579" spans="3:5" x14ac:dyDescent="0.35">
      <c r="C579" s="1" t="s">
        <v>5636</v>
      </c>
      <c r="D579" s="1" t="s">
        <v>2329</v>
      </c>
      <c r="E579" s="250">
        <v>6110.7380000000003</v>
      </c>
    </row>
    <row r="580" spans="3:5" x14ac:dyDescent="0.35">
      <c r="C580" s="1" t="s">
        <v>5635</v>
      </c>
      <c r="D580" s="1" t="s">
        <v>2329</v>
      </c>
      <c r="E580" s="250">
        <v>6110.7389999999996</v>
      </c>
    </row>
    <row r="581" spans="3:5" x14ac:dyDescent="0.35">
      <c r="C581" s="1" t="s">
        <v>5634</v>
      </c>
      <c r="D581" s="1" t="s">
        <v>2329</v>
      </c>
      <c r="E581" s="250">
        <v>6110.74</v>
      </c>
    </row>
    <row r="582" spans="3:5" x14ac:dyDescent="0.35">
      <c r="C582" s="1" t="s">
        <v>5633</v>
      </c>
      <c r="D582" s="1" t="s">
        <v>2329</v>
      </c>
      <c r="E582" s="250">
        <v>6110.741</v>
      </c>
    </row>
    <row r="583" spans="3:5" x14ac:dyDescent="0.35">
      <c r="C583" s="1" t="s">
        <v>5632</v>
      </c>
      <c r="D583" s="1" t="s">
        <v>2329</v>
      </c>
      <c r="E583" s="250">
        <v>6110.7420000000002</v>
      </c>
    </row>
    <row r="584" spans="3:5" x14ac:dyDescent="0.35">
      <c r="C584" s="1" t="s">
        <v>5631</v>
      </c>
      <c r="D584" s="1" t="s">
        <v>2329</v>
      </c>
      <c r="E584" s="250">
        <v>6110.7430000000004</v>
      </c>
    </row>
    <row r="585" spans="3:5" x14ac:dyDescent="0.35">
      <c r="C585" s="1" t="s">
        <v>5630</v>
      </c>
      <c r="D585" s="1" t="s">
        <v>2329</v>
      </c>
      <c r="E585" s="250">
        <v>6110.7439999999997</v>
      </c>
    </row>
    <row r="586" spans="3:5" x14ac:dyDescent="0.35">
      <c r="C586" s="1" t="s">
        <v>5629</v>
      </c>
      <c r="D586" s="1" t="s">
        <v>2329</v>
      </c>
      <c r="E586" s="250">
        <v>6110.7449999999999</v>
      </c>
    </row>
    <row r="587" spans="3:5" x14ac:dyDescent="0.35">
      <c r="C587" s="1" t="s">
        <v>5628</v>
      </c>
      <c r="D587" s="1" t="s">
        <v>2329</v>
      </c>
      <c r="E587" s="250">
        <v>6110.7460000000001</v>
      </c>
    </row>
    <row r="588" spans="3:5" x14ac:dyDescent="0.35">
      <c r="C588" s="1" t="s">
        <v>5627</v>
      </c>
      <c r="D588" s="1" t="s">
        <v>2329</v>
      </c>
      <c r="E588" s="250">
        <v>6110.7470000000003</v>
      </c>
    </row>
    <row r="589" spans="3:5" x14ac:dyDescent="0.35">
      <c r="C589" s="1" t="s">
        <v>5626</v>
      </c>
      <c r="D589" s="1" t="s">
        <v>2329</v>
      </c>
      <c r="E589" s="250">
        <v>6110.7479999999996</v>
      </c>
    </row>
    <row r="590" spans="3:5" x14ac:dyDescent="0.35">
      <c r="C590" s="1" t="s">
        <v>5625</v>
      </c>
      <c r="D590" s="1" t="s">
        <v>2329</v>
      </c>
      <c r="E590" s="250">
        <v>6110.7489999999998</v>
      </c>
    </row>
    <row r="591" spans="3:5" x14ac:dyDescent="0.35">
      <c r="C591" s="1" t="s">
        <v>5624</v>
      </c>
      <c r="D591" s="1" t="s">
        <v>2329</v>
      </c>
      <c r="E591" s="250">
        <v>6110.75</v>
      </c>
    </row>
    <row r="592" spans="3:5" x14ac:dyDescent="0.35">
      <c r="C592" s="1" t="s">
        <v>5623</v>
      </c>
      <c r="D592" s="1" t="s">
        <v>2329</v>
      </c>
      <c r="E592" s="250">
        <v>6110.7510000000002</v>
      </c>
    </row>
    <row r="593" spans="3:5" x14ac:dyDescent="0.35">
      <c r="C593" s="1" t="s">
        <v>5622</v>
      </c>
      <c r="D593" s="1" t="s">
        <v>2329</v>
      </c>
      <c r="E593" s="250">
        <v>6110.7520000000004</v>
      </c>
    </row>
    <row r="594" spans="3:5" x14ac:dyDescent="0.35">
      <c r="C594" s="1" t="s">
        <v>5621</v>
      </c>
      <c r="D594" s="1" t="s">
        <v>2329</v>
      </c>
      <c r="E594" s="250">
        <v>6110.7529999999997</v>
      </c>
    </row>
    <row r="595" spans="3:5" x14ac:dyDescent="0.35">
      <c r="C595" s="1" t="s">
        <v>5620</v>
      </c>
      <c r="D595" s="1" t="s">
        <v>2329</v>
      </c>
      <c r="E595" s="250">
        <v>6110.7539999999999</v>
      </c>
    </row>
    <row r="596" spans="3:5" x14ac:dyDescent="0.35">
      <c r="C596" s="1" t="s">
        <v>5619</v>
      </c>
      <c r="D596" s="1" t="s">
        <v>2329</v>
      </c>
      <c r="E596" s="250">
        <v>6110.7550000000001</v>
      </c>
    </row>
    <row r="597" spans="3:5" x14ac:dyDescent="0.35">
      <c r="C597" s="1" t="s">
        <v>5618</v>
      </c>
      <c r="D597" s="1" t="s">
        <v>2329</v>
      </c>
      <c r="E597" s="250">
        <v>6110.7560000000003</v>
      </c>
    </row>
    <row r="598" spans="3:5" x14ac:dyDescent="0.35">
      <c r="C598" s="1" t="s">
        <v>5617</v>
      </c>
      <c r="D598" s="1" t="s">
        <v>2329</v>
      </c>
      <c r="E598" s="250">
        <v>6110.7569999999996</v>
      </c>
    </row>
    <row r="599" spans="3:5" x14ac:dyDescent="0.35">
      <c r="C599" s="1" t="s">
        <v>5616</v>
      </c>
      <c r="D599" s="1" t="s">
        <v>2329</v>
      </c>
      <c r="E599" s="250">
        <v>6110.7579999999998</v>
      </c>
    </row>
    <row r="600" spans="3:5" x14ac:dyDescent="0.35">
      <c r="C600" s="1" t="s">
        <v>5615</v>
      </c>
      <c r="D600" s="1" t="s">
        <v>2329</v>
      </c>
      <c r="E600" s="250">
        <v>6110.759</v>
      </c>
    </row>
    <row r="601" spans="3:5" x14ac:dyDescent="0.35">
      <c r="C601" s="1" t="s">
        <v>5614</v>
      </c>
      <c r="D601" s="1" t="s">
        <v>2329</v>
      </c>
      <c r="E601" s="250">
        <v>6110.8</v>
      </c>
    </row>
    <row r="602" spans="3:5" x14ac:dyDescent="0.35">
      <c r="C602" s="1" t="s">
        <v>5613</v>
      </c>
      <c r="D602" s="1" t="s">
        <v>2329</v>
      </c>
      <c r="E602" s="250">
        <v>6110.8010000000004</v>
      </c>
    </row>
    <row r="603" spans="3:5" x14ac:dyDescent="0.35">
      <c r="C603" s="1" t="s">
        <v>5612</v>
      </c>
      <c r="D603" s="1" t="s">
        <v>2329</v>
      </c>
      <c r="E603" s="250">
        <v>6110.8019999999997</v>
      </c>
    </row>
    <row r="604" spans="3:5" x14ac:dyDescent="0.35">
      <c r="C604" s="1" t="s">
        <v>5611</v>
      </c>
      <c r="D604" s="1" t="s">
        <v>2329</v>
      </c>
      <c r="E604" s="250">
        <v>6110.8029999999999</v>
      </c>
    </row>
    <row r="605" spans="3:5" x14ac:dyDescent="0.35">
      <c r="C605" s="1" t="s">
        <v>5610</v>
      </c>
      <c r="D605" s="1" t="s">
        <v>2329</v>
      </c>
      <c r="E605" s="250">
        <v>6110.8040000000001</v>
      </c>
    </row>
    <row r="606" spans="3:5" x14ac:dyDescent="0.35">
      <c r="C606" s="1" t="s">
        <v>5609</v>
      </c>
      <c r="D606" s="1" t="s">
        <v>2329</v>
      </c>
      <c r="E606" s="250">
        <v>6110.8050000000003</v>
      </c>
    </row>
    <row r="607" spans="3:5" x14ac:dyDescent="0.35">
      <c r="C607" s="1" t="s">
        <v>5608</v>
      </c>
      <c r="D607" s="1" t="s">
        <v>2329</v>
      </c>
      <c r="E607" s="250">
        <v>6110.8059999999996</v>
      </c>
    </row>
    <row r="608" spans="3:5" x14ac:dyDescent="0.35">
      <c r="C608" s="1" t="s">
        <v>5607</v>
      </c>
      <c r="D608" s="1" t="s">
        <v>2329</v>
      </c>
      <c r="E608" s="250">
        <v>6110.8069999999998</v>
      </c>
    </row>
    <row r="609" spans="3:5" x14ac:dyDescent="0.35">
      <c r="C609" s="1" t="s">
        <v>5606</v>
      </c>
      <c r="D609" s="1" t="s">
        <v>2329</v>
      </c>
      <c r="E609" s="250">
        <v>6110.808</v>
      </c>
    </row>
    <row r="610" spans="3:5" x14ac:dyDescent="0.35">
      <c r="C610" s="1" t="s">
        <v>5605</v>
      </c>
      <c r="D610" s="1" t="s">
        <v>2329</v>
      </c>
      <c r="E610" s="250">
        <v>6110.81</v>
      </c>
    </row>
    <row r="611" spans="3:5" x14ac:dyDescent="0.35">
      <c r="C611" s="1" t="s">
        <v>5604</v>
      </c>
      <c r="D611" s="1" t="s">
        <v>2329</v>
      </c>
      <c r="E611" s="250">
        <v>6110.8109999999997</v>
      </c>
    </row>
    <row r="612" spans="3:5" x14ac:dyDescent="0.35">
      <c r="C612" s="1" t="s">
        <v>5603</v>
      </c>
      <c r="D612" s="1" t="s">
        <v>2329</v>
      </c>
      <c r="E612" s="250">
        <v>6110.8119999999999</v>
      </c>
    </row>
    <row r="613" spans="3:5" x14ac:dyDescent="0.35">
      <c r="C613" s="1" t="s">
        <v>5602</v>
      </c>
      <c r="D613" s="1" t="s">
        <v>2329</v>
      </c>
      <c r="E613" s="250">
        <v>6110.8130000000001</v>
      </c>
    </row>
    <row r="614" spans="3:5" x14ac:dyDescent="0.35">
      <c r="C614" s="1" t="s">
        <v>5601</v>
      </c>
      <c r="D614" s="1" t="s">
        <v>2329</v>
      </c>
      <c r="E614" s="250">
        <v>6110.8140000000003</v>
      </c>
    </row>
    <row r="615" spans="3:5" x14ac:dyDescent="0.35">
      <c r="C615" s="1" t="s">
        <v>5600</v>
      </c>
      <c r="D615" s="1" t="s">
        <v>2329</v>
      </c>
      <c r="E615" s="250">
        <v>6110.8149999999996</v>
      </c>
    </row>
    <row r="616" spans="3:5" x14ac:dyDescent="0.35">
      <c r="C616" s="1" t="s">
        <v>5599</v>
      </c>
      <c r="D616" s="1" t="s">
        <v>2329</v>
      </c>
      <c r="E616" s="250">
        <v>6110.8159999999998</v>
      </c>
    </row>
    <row r="617" spans="3:5" x14ac:dyDescent="0.35">
      <c r="C617" s="1" t="s">
        <v>5598</v>
      </c>
      <c r="D617" s="1" t="s">
        <v>2329</v>
      </c>
      <c r="E617" s="250">
        <v>6110.817</v>
      </c>
    </row>
    <row r="618" spans="3:5" x14ac:dyDescent="0.35">
      <c r="C618" s="1" t="s">
        <v>5597</v>
      </c>
      <c r="D618" s="1" t="s">
        <v>2329</v>
      </c>
      <c r="E618" s="250">
        <v>6110.8180000000002</v>
      </c>
    </row>
    <row r="619" spans="3:5" x14ac:dyDescent="0.35">
      <c r="C619" s="1" t="s">
        <v>5596</v>
      </c>
      <c r="D619" s="1" t="s">
        <v>2329</v>
      </c>
      <c r="E619" s="250">
        <v>6110.82</v>
      </c>
    </row>
    <row r="620" spans="3:5" x14ac:dyDescent="0.35">
      <c r="C620" s="1" t="s">
        <v>5595</v>
      </c>
      <c r="D620" s="1" t="s">
        <v>2329</v>
      </c>
      <c r="E620" s="250">
        <v>6110.8209999999999</v>
      </c>
    </row>
    <row r="621" spans="3:5" x14ac:dyDescent="0.35">
      <c r="C621" s="1" t="s">
        <v>5594</v>
      </c>
      <c r="D621" s="1" t="s">
        <v>2329</v>
      </c>
      <c r="E621" s="250">
        <v>6110.8220000000001</v>
      </c>
    </row>
    <row r="622" spans="3:5" x14ac:dyDescent="0.35">
      <c r="C622" s="1" t="s">
        <v>5593</v>
      </c>
      <c r="D622" s="1" t="s">
        <v>2329</v>
      </c>
      <c r="E622" s="250">
        <v>6110.8230000000003</v>
      </c>
    </row>
    <row r="623" spans="3:5" x14ac:dyDescent="0.35">
      <c r="C623" s="1" t="s">
        <v>5592</v>
      </c>
      <c r="D623" s="1" t="s">
        <v>2329</v>
      </c>
      <c r="E623" s="250">
        <v>6110.8239999999996</v>
      </c>
    </row>
    <row r="624" spans="3:5" x14ac:dyDescent="0.35">
      <c r="C624" s="1" t="s">
        <v>5591</v>
      </c>
      <c r="D624" s="1" t="s">
        <v>2329</v>
      </c>
      <c r="E624" s="250">
        <v>6110.8249999999998</v>
      </c>
    </row>
    <row r="625" spans="3:5" x14ac:dyDescent="0.35">
      <c r="C625" s="1" t="s">
        <v>5590</v>
      </c>
      <c r="D625" s="1" t="s">
        <v>2329</v>
      </c>
      <c r="E625" s="250">
        <v>6110.826</v>
      </c>
    </row>
    <row r="626" spans="3:5" x14ac:dyDescent="0.35">
      <c r="C626" s="1" t="s">
        <v>5589</v>
      </c>
      <c r="D626" s="1" t="s">
        <v>2329</v>
      </c>
      <c r="E626" s="250">
        <v>6110.8270000000002</v>
      </c>
    </row>
    <row r="627" spans="3:5" x14ac:dyDescent="0.35">
      <c r="C627" s="1" t="s">
        <v>5588</v>
      </c>
      <c r="D627" s="1" t="s">
        <v>2329</v>
      </c>
      <c r="E627" s="250">
        <v>6110.8280000000004</v>
      </c>
    </row>
    <row r="628" spans="3:5" x14ac:dyDescent="0.35">
      <c r="C628" s="1" t="s">
        <v>5587</v>
      </c>
      <c r="D628" s="1" t="s">
        <v>2329</v>
      </c>
      <c r="E628" s="250">
        <v>6110.83</v>
      </c>
    </row>
    <row r="629" spans="3:5" x14ac:dyDescent="0.35">
      <c r="C629" s="1" t="s">
        <v>5586</v>
      </c>
      <c r="D629" s="1" t="s">
        <v>2329</v>
      </c>
      <c r="E629" s="250">
        <v>6110.8310000000001</v>
      </c>
    </row>
    <row r="630" spans="3:5" x14ac:dyDescent="0.35">
      <c r="C630" s="1" t="s">
        <v>5585</v>
      </c>
      <c r="D630" s="1" t="s">
        <v>2329</v>
      </c>
      <c r="E630" s="250">
        <v>6110.8320000000003</v>
      </c>
    </row>
    <row r="631" spans="3:5" x14ac:dyDescent="0.35">
      <c r="C631" s="1" t="s">
        <v>5584</v>
      </c>
      <c r="D631" s="1" t="s">
        <v>2329</v>
      </c>
      <c r="E631" s="250">
        <v>6110.8329999999996</v>
      </c>
    </row>
    <row r="632" spans="3:5" x14ac:dyDescent="0.35">
      <c r="C632" s="1" t="s">
        <v>5583</v>
      </c>
      <c r="D632" s="1" t="s">
        <v>2329</v>
      </c>
      <c r="E632" s="250">
        <v>6110.8339999999998</v>
      </c>
    </row>
    <row r="633" spans="3:5" x14ac:dyDescent="0.35">
      <c r="C633" s="1" t="s">
        <v>5582</v>
      </c>
      <c r="D633" s="1" t="s">
        <v>2329</v>
      </c>
      <c r="E633" s="250">
        <v>6110.835</v>
      </c>
    </row>
    <row r="634" spans="3:5" x14ac:dyDescent="0.35">
      <c r="C634" s="1" t="s">
        <v>5581</v>
      </c>
      <c r="D634" s="1" t="s">
        <v>2329</v>
      </c>
      <c r="E634" s="250">
        <v>6110.8360000000002</v>
      </c>
    </row>
    <row r="635" spans="3:5" x14ac:dyDescent="0.35">
      <c r="C635" s="1" t="s">
        <v>5580</v>
      </c>
      <c r="D635" s="1" t="s">
        <v>2329</v>
      </c>
      <c r="E635" s="250">
        <v>6110.8370000000004</v>
      </c>
    </row>
    <row r="636" spans="3:5" x14ac:dyDescent="0.35">
      <c r="C636" s="1" t="s">
        <v>5579</v>
      </c>
      <c r="D636" s="1" t="s">
        <v>2329</v>
      </c>
      <c r="E636" s="250">
        <v>6110.8379999999997</v>
      </c>
    </row>
    <row r="637" spans="3:5" x14ac:dyDescent="0.35">
      <c r="C637" s="1" t="s">
        <v>5578</v>
      </c>
      <c r="D637" s="1" t="s">
        <v>2329</v>
      </c>
      <c r="E637" s="250">
        <v>6110.84</v>
      </c>
    </row>
    <row r="638" spans="3:5" x14ac:dyDescent="0.35">
      <c r="C638" s="1" t="s">
        <v>5577</v>
      </c>
      <c r="D638" s="1" t="s">
        <v>2329</v>
      </c>
      <c r="E638" s="250">
        <v>6110.8410000000003</v>
      </c>
    </row>
    <row r="639" spans="3:5" x14ac:dyDescent="0.35">
      <c r="C639" s="1" t="s">
        <v>5576</v>
      </c>
      <c r="D639" s="1" t="s">
        <v>2329</v>
      </c>
      <c r="E639" s="250">
        <v>6110.8419999999996</v>
      </c>
    </row>
    <row r="640" spans="3:5" x14ac:dyDescent="0.35">
      <c r="C640" s="1" t="s">
        <v>5575</v>
      </c>
      <c r="D640" s="1" t="s">
        <v>2329</v>
      </c>
      <c r="E640" s="250">
        <v>6110.8429999999998</v>
      </c>
    </row>
    <row r="641" spans="3:5" x14ac:dyDescent="0.35">
      <c r="C641" s="1" t="s">
        <v>5574</v>
      </c>
      <c r="D641" s="1" t="s">
        <v>2329</v>
      </c>
      <c r="E641" s="250">
        <v>6110.8440000000001</v>
      </c>
    </row>
    <row r="642" spans="3:5" x14ac:dyDescent="0.35">
      <c r="C642" s="1" t="s">
        <v>5573</v>
      </c>
      <c r="D642" s="1" t="s">
        <v>2329</v>
      </c>
      <c r="E642" s="250">
        <v>6110.8450000000003</v>
      </c>
    </row>
    <row r="643" spans="3:5" x14ac:dyDescent="0.35">
      <c r="C643" s="1" t="s">
        <v>5572</v>
      </c>
      <c r="D643" s="1" t="s">
        <v>2329</v>
      </c>
      <c r="E643" s="250">
        <v>6110.8459999999995</v>
      </c>
    </row>
    <row r="644" spans="3:5" x14ac:dyDescent="0.35">
      <c r="C644" s="1" t="s">
        <v>5571</v>
      </c>
      <c r="D644" s="1" t="s">
        <v>2329</v>
      </c>
      <c r="E644" s="250">
        <v>6110.8469999999998</v>
      </c>
    </row>
    <row r="645" spans="3:5" x14ac:dyDescent="0.35">
      <c r="C645" s="1" t="s">
        <v>5570</v>
      </c>
      <c r="D645" s="1" t="s">
        <v>2329</v>
      </c>
      <c r="E645" s="250">
        <v>6110.848</v>
      </c>
    </row>
    <row r="646" spans="3:5" x14ac:dyDescent="0.35">
      <c r="C646" s="1" t="s">
        <v>5569</v>
      </c>
      <c r="D646" s="1" t="s">
        <v>2329</v>
      </c>
      <c r="E646" s="250">
        <v>6110.85</v>
      </c>
    </row>
    <row r="647" spans="3:5" x14ac:dyDescent="0.35">
      <c r="C647" s="1" t="s">
        <v>5568</v>
      </c>
      <c r="D647" s="1" t="s">
        <v>2329</v>
      </c>
      <c r="E647" s="250">
        <v>6110.8509999999997</v>
      </c>
    </row>
    <row r="648" spans="3:5" x14ac:dyDescent="0.35">
      <c r="C648" s="1" t="s">
        <v>5567</v>
      </c>
      <c r="D648" s="1" t="s">
        <v>2329</v>
      </c>
      <c r="E648" s="250">
        <v>6110.8519999999999</v>
      </c>
    </row>
    <row r="649" spans="3:5" x14ac:dyDescent="0.35">
      <c r="C649" s="1" t="s">
        <v>5566</v>
      </c>
      <c r="D649" s="1" t="s">
        <v>2329</v>
      </c>
      <c r="E649" s="250">
        <v>6110.8530000000001</v>
      </c>
    </row>
    <row r="650" spans="3:5" x14ac:dyDescent="0.35">
      <c r="C650" s="1" t="s">
        <v>5565</v>
      </c>
      <c r="D650" s="1" t="s">
        <v>2329</v>
      </c>
      <c r="E650" s="250">
        <v>6110.8540000000003</v>
      </c>
    </row>
    <row r="651" spans="3:5" x14ac:dyDescent="0.35">
      <c r="C651" s="1" t="s">
        <v>5564</v>
      </c>
      <c r="D651" s="1" t="s">
        <v>2329</v>
      </c>
      <c r="E651" s="250">
        <v>6110.8549999999996</v>
      </c>
    </row>
    <row r="652" spans="3:5" x14ac:dyDescent="0.35">
      <c r="C652" s="1" t="s">
        <v>5563</v>
      </c>
      <c r="D652" s="1" t="s">
        <v>2329</v>
      </c>
      <c r="E652" s="250">
        <v>6110.8559999999998</v>
      </c>
    </row>
    <row r="653" spans="3:5" x14ac:dyDescent="0.35">
      <c r="C653" s="1" t="s">
        <v>5562</v>
      </c>
      <c r="D653" s="1" t="s">
        <v>2329</v>
      </c>
      <c r="E653" s="250">
        <v>6110.857</v>
      </c>
    </row>
    <row r="654" spans="3:5" x14ac:dyDescent="0.35">
      <c r="C654" s="1" t="s">
        <v>5561</v>
      </c>
      <c r="D654" s="1" t="s">
        <v>2329</v>
      </c>
      <c r="E654" s="250">
        <v>6110.8580000000002</v>
      </c>
    </row>
    <row r="655" spans="3:5" x14ac:dyDescent="0.35">
      <c r="C655" s="1" t="s">
        <v>5560</v>
      </c>
      <c r="D655" s="1" t="s">
        <v>2329</v>
      </c>
      <c r="E655" s="250">
        <v>6110.86</v>
      </c>
    </row>
    <row r="656" spans="3:5" x14ac:dyDescent="0.35">
      <c r="C656" s="1" t="s">
        <v>5559</v>
      </c>
      <c r="D656" s="1" t="s">
        <v>2329</v>
      </c>
      <c r="E656" s="250">
        <v>6110.8609999999999</v>
      </c>
    </row>
    <row r="657" spans="3:5" x14ac:dyDescent="0.35">
      <c r="C657" s="1" t="s">
        <v>5558</v>
      </c>
      <c r="D657" s="1" t="s">
        <v>2329</v>
      </c>
      <c r="E657" s="250">
        <v>6110.8620000000001</v>
      </c>
    </row>
    <row r="658" spans="3:5" x14ac:dyDescent="0.35">
      <c r="C658" s="1" t="s">
        <v>5557</v>
      </c>
      <c r="D658" s="1" t="s">
        <v>2329</v>
      </c>
      <c r="E658" s="250">
        <v>6110.8630000000003</v>
      </c>
    </row>
    <row r="659" spans="3:5" x14ac:dyDescent="0.35">
      <c r="C659" s="1" t="s">
        <v>5556</v>
      </c>
      <c r="D659" s="1" t="s">
        <v>2329</v>
      </c>
      <c r="E659" s="250">
        <v>6110.8639999999996</v>
      </c>
    </row>
    <row r="660" spans="3:5" x14ac:dyDescent="0.35">
      <c r="C660" s="1" t="s">
        <v>5555</v>
      </c>
      <c r="D660" s="1" t="s">
        <v>2329</v>
      </c>
      <c r="E660" s="250">
        <v>6110.8649999999998</v>
      </c>
    </row>
    <row r="661" spans="3:5" x14ac:dyDescent="0.35">
      <c r="C661" s="1" t="s">
        <v>5554</v>
      </c>
      <c r="D661" s="1" t="s">
        <v>2329</v>
      </c>
      <c r="E661" s="250">
        <v>6110.866</v>
      </c>
    </row>
    <row r="662" spans="3:5" x14ac:dyDescent="0.35">
      <c r="C662" s="1" t="s">
        <v>5553</v>
      </c>
      <c r="D662" s="1" t="s">
        <v>2329</v>
      </c>
      <c r="E662" s="250">
        <v>6110.8670000000002</v>
      </c>
    </row>
    <row r="663" spans="3:5" x14ac:dyDescent="0.35">
      <c r="C663" s="1" t="s">
        <v>5552</v>
      </c>
      <c r="D663" s="1" t="s">
        <v>2329</v>
      </c>
      <c r="E663" s="250">
        <v>6110.8680000000004</v>
      </c>
    </row>
    <row r="664" spans="3:5" x14ac:dyDescent="0.35">
      <c r="C664" s="1" t="s">
        <v>5551</v>
      </c>
      <c r="D664" s="1" t="s">
        <v>2329</v>
      </c>
      <c r="E664" s="250">
        <v>6110.87</v>
      </c>
    </row>
    <row r="665" spans="3:5" x14ac:dyDescent="0.35">
      <c r="C665" s="1" t="s">
        <v>5550</v>
      </c>
      <c r="D665" s="1" t="s">
        <v>2329</v>
      </c>
      <c r="E665" s="250">
        <v>6110.8710000000001</v>
      </c>
    </row>
    <row r="666" spans="3:5" x14ac:dyDescent="0.35">
      <c r="C666" s="1" t="s">
        <v>5549</v>
      </c>
      <c r="D666" s="1" t="s">
        <v>2329</v>
      </c>
      <c r="E666" s="250">
        <v>6110.8720000000003</v>
      </c>
    </row>
    <row r="667" spans="3:5" x14ac:dyDescent="0.35">
      <c r="C667" s="1" t="s">
        <v>5548</v>
      </c>
      <c r="D667" s="1" t="s">
        <v>2329</v>
      </c>
      <c r="E667" s="250">
        <v>6110.8729999999996</v>
      </c>
    </row>
    <row r="668" spans="3:5" x14ac:dyDescent="0.35">
      <c r="C668" s="1" t="s">
        <v>5547</v>
      </c>
      <c r="D668" s="1" t="s">
        <v>2329</v>
      </c>
      <c r="E668" s="250">
        <v>6110.8739999999998</v>
      </c>
    </row>
    <row r="669" spans="3:5" x14ac:dyDescent="0.35">
      <c r="C669" s="1" t="s">
        <v>5546</v>
      </c>
      <c r="D669" s="1" t="s">
        <v>2329</v>
      </c>
      <c r="E669" s="250">
        <v>6110.875</v>
      </c>
    </row>
    <row r="670" spans="3:5" x14ac:dyDescent="0.35">
      <c r="C670" s="1" t="s">
        <v>5545</v>
      </c>
      <c r="D670" s="1" t="s">
        <v>2329</v>
      </c>
      <c r="E670" s="250">
        <v>6110.8760000000002</v>
      </c>
    </row>
    <row r="671" spans="3:5" x14ac:dyDescent="0.35">
      <c r="C671" s="1" t="s">
        <v>5544</v>
      </c>
      <c r="D671" s="1" t="s">
        <v>2329</v>
      </c>
      <c r="E671" s="250">
        <v>6110.8770000000004</v>
      </c>
    </row>
    <row r="672" spans="3:5" x14ac:dyDescent="0.35">
      <c r="C672" s="1" t="s">
        <v>5543</v>
      </c>
      <c r="D672" s="1" t="s">
        <v>2329</v>
      </c>
      <c r="E672" s="250">
        <v>6110.8779999999997</v>
      </c>
    </row>
    <row r="673" spans="3:5" x14ac:dyDescent="0.35">
      <c r="C673" s="1" t="s">
        <v>5542</v>
      </c>
      <c r="D673" s="1" t="s">
        <v>2329</v>
      </c>
      <c r="E673" s="250">
        <v>6110.88</v>
      </c>
    </row>
    <row r="674" spans="3:5" x14ac:dyDescent="0.35">
      <c r="C674" s="1" t="s">
        <v>5541</v>
      </c>
      <c r="D674" s="1" t="s">
        <v>2329</v>
      </c>
      <c r="E674" s="250">
        <v>6110.8810000000003</v>
      </c>
    </row>
    <row r="675" spans="3:5" x14ac:dyDescent="0.35">
      <c r="C675" s="1" t="s">
        <v>5540</v>
      </c>
      <c r="D675" s="1" t="s">
        <v>2329</v>
      </c>
      <c r="E675" s="250">
        <v>6110.8819999999996</v>
      </c>
    </row>
    <row r="676" spans="3:5" x14ac:dyDescent="0.35">
      <c r="C676" s="1" t="s">
        <v>5539</v>
      </c>
      <c r="D676" s="1" t="s">
        <v>2329</v>
      </c>
      <c r="E676" s="250">
        <v>6110.8829999999998</v>
      </c>
    </row>
    <row r="677" spans="3:5" x14ac:dyDescent="0.35">
      <c r="C677" s="1" t="s">
        <v>5538</v>
      </c>
      <c r="D677" s="1" t="s">
        <v>2329</v>
      </c>
      <c r="E677" s="250">
        <v>6110.884</v>
      </c>
    </row>
    <row r="678" spans="3:5" x14ac:dyDescent="0.35">
      <c r="C678" s="1" t="s">
        <v>5537</v>
      </c>
      <c r="D678" s="1" t="s">
        <v>2329</v>
      </c>
      <c r="E678" s="250">
        <v>6110.8850000000002</v>
      </c>
    </row>
    <row r="679" spans="3:5" x14ac:dyDescent="0.35">
      <c r="C679" s="1" t="s">
        <v>5536</v>
      </c>
      <c r="D679" s="1" t="s">
        <v>2329</v>
      </c>
      <c r="E679" s="250">
        <v>6110.8860000000004</v>
      </c>
    </row>
    <row r="680" spans="3:5" x14ac:dyDescent="0.35">
      <c r="C680" s="1" t="s">
        <v>5535</v>
      </c>
      <c r="D680" s="1" t="s">
        <v>2329</v>
      </c>
      <c r="E680" s="250">
        <v>6110.8869999999997</v>
      </c>
    </row>
    <row r="681" spans="3:5" x14ac:dyDescent="0.35">
      <c r="C681" s="1" t="s">
        <v>5534</v>
      </c>
      <c r="D681" s="1" t="s">
        <v>2329</v>
      </c>
      <c r="E681" s="250">
        <v>6110.8879999999999</v>
      </c>
    </row>
    <row r="682" spans="3:5" x14ac:dyDescent="0.35">
      <c r="C682" s="1" t="s">
        <v>5533</v>
      </c>
      <c r="D682" s="1" t="s">
        <v>2329</v>
      </c>
      <c r="E682" s="250">
        <v>6110.89</v>
      </c>
    </row>
    <row r="683" spans="3:5" x14ac:dyDescent="0.35">
      <c r="C683" s="1" t="s">
        <v>5532</v>
      </c>
      <c r="D683" s="1" t="s">
        <v>2329</v>
      </c>
      <c r="E683" s="250">
        <v>6110.8909999999996</v>
      </c>
    </row>
    <row r="684" spans="3:5" x14ac:dyDescent="0.35">
      <c r="C684" s="1" t="s">
        <v>5531</v>
      </c>
      <c r="D684" s="1" t="s">
        <v>2329</v>
      </c>
      <c r="E684" s="250">
        <v>6110.8919999999998</v>
      </c>
    </row>
    <row r="685" spans="3:5" x14ac:dyDescent="0.35">
      <c r="C685" s="1" t="s">
        <v>5530</v>
      </c>
      <c r="D685" s="1" t="s">
        <v>2329</v>
      </c>
      <c r="E685" s="250">
        <v>6110.893</v>
      </c>
    </row>
    <row r="686" spans="3:5" x14ac:dyDescent="0.35">
      <c r="C686" s="1" t="s">
        <v>5529</v>
      </c>
      <c r="D686" s="1" t="s">
        <v>2329</v>
      </c>
      <c r="E686" s="250">
        <v>6110.8940000000002</v>
      </c>
    </row>
    <row r="687" spans="3:5" x14ac:dyDescent="0.35">
      <c r="C687" s="1" t="s">
        <v>5528</v>
      </c>
      <c r="D687" s="1" t="s">
        <v>2329</v>
      </c>
      <c r="E687" s="250">
        <v>6110.8950000000004</v>
      </c>
    </row>
    <row r="688" spans="3:5" x14ac:dyDescent="0.35">
      <c r="C688" s="1" t="s">
        <v>5527</v>
      </c>
      <c r="D688" s="1" t="s">
        <v>2329</v>
      </c>
      <c r="E688" s="250">
        <v>6110.8959999999997</v>
      </c>
    </row>
    <row r="689" spans="3:5" x14ac:dyDescent="0.35">
      <c r="C689" s="1" t="s">
        <v>5526</v>
      </c>
      <c r="D689" s="1" t="s">
        <v>2329</v>
      </c>
      <c r="E689" s="250">
        <v>6110.8969999999999</v>
      </c>
    </row>
    <row r="690" spans="3:5" x14ac:dyDescent="0.35">
      <c r="C690" s="1" t="s">
        <v>5525</v>
      </c>
      <c r="D690" s="1" t="s">
        <v>2329</v>
      </c>
      <c r="E690" s="250">
        <v>6110.8980000000001</v>
      </c>
    </row>
    <row r="691" spans="3:5" x14ac:dyDescent="0.35">
      <c r="C691" s="1" t="s">
        <v>5524</v>
      </c>
      <c r="D691" s="1" t="s">
        <v>2329</v>
      </c>
      <c r="E691" s="250">
        <v>6110.9</v>
      </c>
    </row>
    <row r="692" spans="3:5" x14ac:dyDescent="0.35">
      <c r="C692" s="1" t="s">
        <v>5523</v>
      </c>
      <c r="D692" s="1" t="s">
        <v>2329</v>
      </c>
      <c r="E692" s="250">
        <v>6110.9009999999998</v>
      </c>
    </row>
    <row r="693" spans="3:5" x14ac:dyDescent="0.35">
      <c r="C693" s="1" t="s">
        <v>5522</v>
      </c>
      <c r="D693" s="1" t="s">
        <v>2329</v>
      </c>
      <c r="E693" s="250">
        <v>6110.902</v>
      </c>
    </row>
    <row r="694" spans="3:5" x14ac:dyDescent="0.35">
      <c r="C694" s="1" t="s">
        <v>5521</v>
      </c>
      <c r="D694" s="1" t="s">
        <v>2329</v>
      </c>
      <c r="E694" s="250">
        <v>6110.9030000000002</v>
      </c>
    </row>
    <row r="695" spans="3:5" x14ac:dyDescent="0.35">
      <c r="C695" s="1" t="s">
        <v>5520</v>
      </c>
      <c r="D695" s="1" t="s">
        <v>2329</v>
      </c>
      <c r="E695" s="250">
        <v>6110.9040000000005</v>
      </c>
    </row>
    <row r="696" spans="3:5" x14ac:dyDescent="0.35">
      <c r="C696" s="1" t="s">
        <v>5519</v>
      </c>
      <c r="D696" s="1" t="s">
        <v>2329</v>
      </c>
      <c r="E696" s="250">
        <v>6110.9049999999997</v>
      </c>
    </row>
    <row r="697" spans="3:5" x14ac:dyDescent="0.35">
      <c r="C697" s="1" t="s">
        <v>5518</v>
      </c>
      <c r="D697" s="1" t="s">
        <v>2329</v>
      </c>
      <c r="E697" s="250">
        <v>6110.9059999999999</v>
      </c>
    </row>
    <row r="698" spans="3:5" x14ac:dyDescent="0.35">
      <c r="C698" s="1" t="s">
        <v>5517</v>
      </c>
      <c r="D698" s="1" t="s">
        <v>2329</v>
      </c>
      <c r="E698" s="250">
        <v>6110.9070000000002</v>
      </c>
    </row>
    <row r="699" spans="3:5" x14ac:dyDescent="0.35">
      <c r="C699" s="1" t="s">
        <v>5516</v>
      </c>
      <c r="D699" s="1" t="s">
        <v>2329</v>
      </c>
      <c r="E699" s="250">
        <v>6110.9080000000004</v>
      </c>
    </row>
    <row r="700" spans="3:5" x14ac:dyDescent="0.35">
      <c r="C700" s="1" t="s">
        <v>5515</v>
      </c>
      <c r="D700" s="1" t="s">
        <v>2329</v>
      </c>
      <c r="E700" s="250">
        <v>6110.91</v>
      </c>
    </row>
    <row r="701" spans="3:5" x14ac:dyDescent="0.35">
      <c r="C701" s="1" t="s">
        <v>5514</v>
      </c>
      <c r="D701" s="1" t="s">
        <v>2329</v>
      </c>
      <c r="E701" s="250">
        <v>6110.9110000000001</v>
      </c>
    </row>
    <row r="702" spans="3:5" x14ac:dyDescent="0.35">
      <c r="C702" s="1" t="s">
        <v>5513</v>
      </c>
      <c r="D702" s="1" t="s">
        <v>2329</v>
      </c>
      <c r="E702" s="250">
        <v>6110.9120000000003</v>
      </c>
    </row>
    <row r="703" spans="3:5" x14ac:dyDescent="0.35">
      <c r="C703" s="1" t="s">
        <v>5512</v>
      </c>
      <c r="D703" s="1" t="s">
        <v>2329</v>
      </c>
      <c r="E703" s="250">
        <v>6110.9129999999996</v>
      </c>
    </row>
    <row r="704" spans="3:5" x14ac:dyDescent="0.35">
      <c r="C704" s="1" t="s">
        <v>5511</v>
      </c>
      <c r="D704" s="1" t="s">
        <v>2329</v>
      </c>
      <c r="E704" s="250">
        <v>6110.9139999999998</v>
      </c>
    </row>
    <row r="705" spans="3:5" x14ac:dyDescent="0.35">
      <c r="C705" s="1" t="s">
        <v>5510</v>
      </c>
      <c r="D705" s="1" t="s">
        <v>2329</v>
      </c>
      <c r="E705" s="250">
        <v>6110.915</v>
      </c>
    </row>
    <row r="706" spans="3:5" x14ac:dyDescent="0.35">
      <c r="C706" s="1" t="s">
        <v>5509</v>
      </c>
      <c r="D706" s="1" t="s">
        <v>2329</v>
      </c>
      <c r="E706" s="250">
        <v>6110.9160000000002</v>
      </c>
    </row>
    <row r="707" spans="3:5" x14ac:dyDescent="0.35">
      <c r="C707" s="1" t="s">
        <v>5508</v>
      </c>
      <c r="D707" s="1" t="s">
        <v>2329</v>
      </c>
      <c r="E707" s="250">
        <v>6110.9170000000004</v>
      </c>
    </row>
    <row r="708" spans="3:5" x14ac:dyDescent="0.35">
      <c r="C708" s="1" t="s">
        <v>5507</v>
      </c>
      <c r="D708" s="1" t="s">
        <v>2329</v>
      </c>
      <c r="E708" s="250">
        <v>6110.9179999999997</v>
      </c>
    </row>
    <row r="709" spans="3:5" x14ac:dyDescent="0.35">
      <c r="C709" s="1" t="s">
        <v>5506</v>
      </c>
      <c r="D709" s="1" t="s">
        <v>2329</v>
      </c>
      <c r="E709" s="250">
        <v>6110.92</v>
      </c>
    </row>
    <row r="710" spans="3:5" x14ac:dyDescent="0.35">
      <c r="C710" s="1" t="s">
        <v>5505</v>
      </c>
      <c r="D710" s="1" t="s">
        <v>2329</v>
      </c>
      <c r="E710" s="250">
        <v>6110.9210000000003</v>
      </c>
    </row>
    <row r="711" spans="3:5" x14ac:dyDescent="0.35">
      <c r="C711" s="1" t="s">
        <v>5504</v>
      </c>
      <c r="D711" s="1" t="s">
        <v>2329</v>
      </c>
      <c r="E711" s="250">
        <v>6110.9219999999996</v>
      </c>
    </row>
    <row r="712" spans="3:5" x14ac:dyDescent="0.35">
      <c r="C712" s="1" t="s">
        <v>5503</v>
      </c>
      <c r="D712" s="1" t="s">
        <v>2329</v>
      </c>
      <c r="E712" s="250">
        <v>6110.9229999999998</v>
      </c>
    </row>
    <row r="713" spans="3:5" x14ac:dyDescent="0.35">
      <c r="C713" s="1" t="s">
        <v>5502</v>
      </c>
      <c r="D713" s="1" t="s">
        <v>2329</v>
      </c>
      <c r="E713" s="250">
        <v>6110.924</v>
      </c>
    </row>
    <row r="714" spans="3:5" x14ac:dyDescent="0.35">
      <c r="C714" s="1" t="s">
        <v>5501</v>
      </c>
      <c r="D714" s="1" t="s">
        <v>2329</v>
      </c>
      <c r="E714" s="250">
        <v>6110.9250000000002</v>
      </c>
    </row>
    <row r="715" spans="3:5" x14ac:dyDescent="0.35">
      <c r="C715" s="1" t="s">
        <v>5500</v>
      </c>
      <c r="D715" s="1" t="s">
        <v>2329</v>
      </c>
      <c r="E715" s="250">
        <v>6110.9260000000004</v>
      </c>
    </row>
    <row r="716" spans="3:5" x14ac:dyDescent="0.35">
      <c r="C716" s="1" t="s">
        <v>5499</v>
      </c>
      <c r="D716" s="1" t="s">
        <v>2329</v>
      </c>
      <c r="E716" s="250">
        <v>6110.9269999999997</v>
      </c>
    </row>
    <row r="717" spans="3:5" x14ac:dyDescent="0.35">
      <c r="C717" s="1" t="s">
        <v>5498</v>
      </c>
      <c r="D717" s="1" t="s">
        <v>2329</v>
      </c>
      <c r="E717" s="250">
        <v>6110.9279999999999</v>
      </c>
    </row>
    <row r="718" spans="3:5" x14ac:dyDescent="0.35">
      <c r="C718" s="1" t="s">
        <v>5497</v>
      </c>
      <c r="D718" s="1" t="s">
        <v>2329</v>
      </c>
      <c r="E718" s="250">
        <v>6110.93</v>
      </c>
    </row>
    <row r="719" spans="3:5" x14ac:dyDescent="0.35">
      <c r="C719" s="1" t="s">
        <v>5496</v>
      </c>
      <c r="D719" s="1" t="s">
        <v>2329</v>
      </c>
      <c r="E719" s="250">
        <v>6110.9309999999996</v>
      </c>
    </row>
    <row r="720" spans="3:5" x14ac:dyDescent="0.35">
      <c r="C720" s="1" t="s">
        <v>5495</v>
      </c>
      <c r="D720" s="1" t="s">
        <v>2329</v>
      </c>
      <c r="E720" s="250">
        <v>6110.9319999999998</v>
      </c>
    </row>
    <row r="721" spans="3:5" x14ac:dyDescent="0.35">
      <c r="C721" s="1" t="s">
        <v>5494</v>
      </c>
      <c r="D721" s="1" t="s">
        <v>2329</v>
      </c>
      <c r="E721" s="250">
        <v>6110.933</v>
      </c>
    </row>
    <row r="722" spans="3:5" x14ac:dyDescent="0.35">
      <c r="C722" s="1" t="s">
        <v>5493</v>
      </c>
      <c r="D722" s="1" t="s">
        <v>2329</v>
      </c>
      <c r="E722" s="250">
        <v>6110.9340000000002</v>
      </c>
    </row>
    <row r="723" spans="3:5" x14ac:dyDescent="0.35">
      <c r="C723" s="1" t="s">
        <v>5492</v>
      </c>
      <c r="D723" s="1" t="s">
        <v>2329</v>
      </c>
      <c r="E723" s="250">
        <v>6110.9350000000004</v>
      </c>
    </row>
    <row r="724" spans="3:5" x14ac:dyDescent="0.35">
      <c r="C724" s="1" t="s">
        <v>5491</v>
      </c>
      <c r="D724" s="1" t="s">
        <v>2329</v>
      </c>
      <c r="E724" s="250">
        <v>6110.9359999999997</v>
      </c>
    </row>
    <row r="725" spans="3:5" x14ac:dyDescent="0.35">
      <c r="C725" s="1" t="s">
        <v>5490</v>
      </c>
      <c r="D725" s="1" t="s">
        <v>2329</v>
      </c>
      <c r="E725" s="250">
        <v>6110.9369999999999</v>
      </c>
    </row>
    <row r="726" spans="3:5" x14ac:dyDescent="0.35">
      <c r="C726" s="1" t="s">
        <v>5489</v>
      </c>
      <c r="D726" s="1" t="s">
        <v>2329</v>
      </c>
      <c r="E726" s="250">
        <v>6110.9380000000001</v>
      </c>
    </row>
    <row r="727" spans="3:5" x14ac:dyDescent="0.35">
      <c r="C727" s="1" t="s">
        <v>5488</v>
      </c>
      <c r="D727" s="1" t="s">
        <v>2329</v>
      </c>
      <c r="E727" s="250">
        <v>6110.94</v>
      </c>
    </row>
    <row r="728" spans="3:5" x14ac:dyDescent="0.35">
      <c r="C728" s="1" t="s">
        <v>5487</v>
      </c>
      <c r="D728" s="1" t="s">
        <v>2329</v>
      </c>
      <c r="E728" s="250">
        <v>6110.9409999999998</v>
      </c>
    </row>
    <row r="729" spans="3:5" x14ac:dyDescent="0.35">
      <c r="C729" s="1" t="s">
        <v>5486</v>
      </c>
      <c r="D729" s="1" t="s">
        <v>2329</v>
      </c>
      <c r="E729" s="250">
        <v>6110.942</v>
      </c>
    </row>
    <row r="730" spans="3:5" x14ac:dyDescent="0.35">
      <c r="C730" s="1" t="s">
        <v>5485</v>
      </c>
      <c r="D730" s="1" t="s">
        <v>2329</v>
      </c>
      <c r="E730" s="250">
        <v>6110.9430000000002</v>
      </c>
    </row>
    <row r="731" spans="3:5" x14ac:dyDescent="0.35">
      <c r="C731" s="1" t="s">
        <v>5484</v>
      </c>
      <c r="D731" s="1" t="s">
        <v>2329</v>
      </c>
      <c r="E731" s="250">
        <v>6110.9440000000004</v>
      </c>
    </row>
    <row r="732" spans="3:5" x14ac:dyDescent="0.35">
      <c r="C732" s="1" t="s">
        <v>5483</v>
      </c>
      <c r="D732" s="1" t="s">
        <v>2329</v>
      </c>
      <c r="E732" s="250">
        <v>6110.9449999999997</v>
      </c>
    </row>
    <row r="733" spans="3:5" x14ac:dyDescent="0.35">
      <c r="C733" s="1" t="s">
        <v>5482</v>
      </c>
      <c r="D733" s="1" t="s">
        <v>2329</v>
      </c>
      <c r="E733" s="250">
        <v>6110.9459999999999</v>
      </c>
    </row>
    <row r="734" spans="3:5" x14ac:dyDescent="0.35">
      <c r="C734" s="1" t="s">
        <v>5481</v>
      </c>
      <c r="D734" s="1" t="s">
        <v>2329</v>
      </c>
      <c r="E734" s="250">
        <v>6110.9470000000001</v>
      </c>
    </row>
    <row r="735" spans="3:5" x14ac:dyDescent="0.35">
      <c r="C735" s="1" t="s">
        <v>5480</v>
      </c>
      <c r="D735" s="1" t="s">
        <v>2329</v>
      </c>
      <c r="E735" s="250">
        <v>6110.9480000000003</v>
      </c>
    </row>
    <row r="736" spans="3:5" x14ac:dyDescent="0.35">
      <c r="C736" s="1" t="s">
        <v>5479</v>
      </c>
      <c r="D736" s="1" t="s">
        <v>2329</v>
      </c>
      <c r="E736" s="250">
        <v>6110.95</v>
      </c>
    </row>
    <row r="737" spans="3:5" x14ac:dyDescent="0.35">
      <c r="C737" s="1" t="s">
        <v>5478</v>
      </c>
      <c r="D737" s="1" t="s">
        <v>2329</v>
      </c>
      <c r="E737" s="250">
        <v>6110.951</v>
      </c>
    </row>
    <row r="738" spans="3:5" x14ac:dyDescent="0.35">
      <c r="C738" s="1" t="s">
        <v>5477</v>
      </c>
      <c r="D738" s="1" t="s">
        <v>2329</v>
      </c>
      <c r="E738" s="250">
        <v>6110.9520000000002</v>
      </c>
    </row>
    <row r="739" spans="3:5" x14ac:dyDescent="0.35">
      <c r="C739" s="1" t="s">
        <v>5476</v>
      </c>
      <c r="D739" s="1" t="s">
        <v>2329</v>
      </c>
      <c r="E739" s="250">
        <v>6110.9530000000004</v>
      </c>
    </row>
    <row r="740" spans="3:5" x14ac:dyDescent="0.35">
      <c r="C740" s="1" t="s">
        <v>5475</v>
      </c>
      <c r="D740" s="1" t="s">
        <v>2329</v>
      </c>
      <c r="E740" s="250">
        <v>6110.9539999999997</v>
      </c>
    </row>
    <row r="741" spans="3:5" x14ac:dyDescent="0.35">
      <c r="C741" s="1" t="s">
        <v>5474</v>
      </c>
      <c r="D741" s="1" t="s">
        <v>2329</v>
      </c>
      <c r="E741" s="250">
        <v>6110.9549999999999</v>
      </c>
    </row>
    <row r="742" spans="3:5" x14ac:dyDescent="0.35">
      <c r="C742" s="1" t="s">
        <v>5473</v>
      </c>
      <c r="D742" s="1" t="s">
        <v>2329</v>
      </c>
      <c r="E742" s="250">
        <v>6110.9560000000001</v>
      </c>
    </row>
    <row r="743" spans="3:5" x14ac:dyDescent="0.35">
      <c r="C743" s="1" t="s">
        <v>5472</v>
      </c>
      <c r="D743" s="1" t="s">
        <v>2329</v>
      </c>
      <c r="E743" s="250">
        <v>6110.9570000000003</v>
      </c>
    </row>
    <row r="744" spans="3:5" x14ac:dyDescent="0.35">
      <c r="C744" s="1" t="s">
        <v>5471</v>
      </c>
      <c r="D744" s="1" t="s">
        <v>2329</v>
      </c>
      <c r="E744" s="250">
        <v>6110.9579999999996</v>
      </c>
    </row>
    <row r="745" spans="3:5" x14ac:dyDescent="0.35">
      <c r="C745" s="1" t="s">
        <v>5470</v>
      </c>
      <c r="D745" s="1" t="s">
        <v>2329</v>
      </c>
      <c r="E745" s="250">
        <v>6110.96</v>
      </c>
    </row>
    <row r="746" spans="3:5" x14ac:dyDescent="0.35">
      <c r="C746" s="1" t="s">
        <v>5469</v>
      </c>
      <c r="D746" s="1" t="s">
        <v>2329</v>
      </c>
      <c r="E746" s="250">
        <v>6110.9610000000002</v>
      </c>
    </row>
    <row r="747" spans="3:5" x14ac:dyDescent="0.35">
      <c r="C747" s="1" t="s">
        <v>5468</v>
      </c>
      <c r="D747" s="1" t="s">
        <v>2329</v>
      </c>
      <c r="E747" s="250">
        <v>6110.9620000000004</v>
      </c>
    </row>
    <row r="748" spans="3:5" x14ac:dyDescent="0.35">
      <c r="C748" s="1" t="s">
        <v>5467</v>
      </c>
      <c r="D748" s="1" t="s">
        <v>2329</v>
      </c>
      <c r="E748" s="250">
        <v>6110.9629999999997</v>
      </c>
    </row>
    <row r="749" spans="3:5" x14ac:dyDescent="0.35">
      <c r="C749" s="1" t="s">
        <v>5466</v>
      </c>
      <c r="D749" s="1" t="s">
        <v>2329</v>
      </c>
      <c r="E749" s="250">
        <v>6110.9639999999999</v>
      </c>
    </row>
    <row r="750" spans="3:5" x14ac:dyDescent="0.35">
      <c r="C750" s="1" t="s">
        <v>5465</v>
      </c>
      <c r="D750" s="1" t="s">
        <v>2329</v>
      </c>
      <c r="E750" s="250">
        <v>6110.9650000000001</v>
      </c>
    </row>
    <row r="751" spans="3:5" x14ac:dyDescent="0.35">
      <c r="C751" s="1" t="s">
        <v>5464</v>
      </c>
      <c r="D751" s="1" t="s">
        <v>2329</v>
      </c>
      <c r="E751" s="250">
        <v>6110.9660000000003</v>
      </c>
    </row>
    <row r="752" spans="3:5" x14ac:dyDescent="0.35">
      <c r="C752" s="1" t="s">
        <v>5463</v>
      </c>
      <c r="D752" s="1" t="s">
        <v>2329</v>
      </c>
      <c r="E752" s="250">
        <v>6110.9669999999996</v>
      </c>
    </row>
    <row r="753" spans="3:5" x14ac:dyDescent="0.35">
      <c r="C753" s="1" t="s">
        <v>5462</v>
      </c>
      <c r="D753" s="1" t="s">
        <v>2329</v>
      </c>
      <c r="E753" s="250">
        <v>6110.9679999999998</v>
      </c>
    </row>
    <row r="754" spans="3:5" x14ac:dyDescent="0.35">
      <c r="C754" s="1" t="s">
        <v>5461</v>
      </c>
      <c r="D754" s="1" t="s">
        <v>19</v>
      </c>
      <c r="E754" s="250">
        <v>6110.99</v>
      </c>
    </row>
    <row r="755" spans="3:5" x14ac:dyDescent="0.35">
      <c r="C755" s="1" t="s">
        <v>5460</v>
      </c>
      <c r="D755" s="1" t="s">
        <v>2329</v>
      </c>
      <c r="E755" s="250">
        <v>6111.01</v>
      </c>
    </row>
    <row r="756" spans="3:5" x14ac:dyDescent="0.35">
      <c r="C756" s="1" t="s">
        <v>5459</v>
      </c>
      <c r="D756" s="1" t="s">
        <v>2329</v>
      </c>
      <c r="E756" s="250">
        <v>6111.0110000000004</v>
      </c>
    </row>
    <row r="757" spans="3:5" x14ac:dyDescent="0.35">
      <c r="C757" s="1" t="s">
        <v>5458</v>
      </c>
      <c r="D757" s="1" t="s">
        <v>2329</v>
      </c>
      <c r="E757" s="250">
        <v>6111.0119999999997</v>
      </c>
    </row>
    <row r="758" spans="3:5" x14ac:dyDescent="0.35">
      <c r="C758" s="1" t="s">
        <v>5457</v>
      </c>
      <c r="D758" s="1" t="s">
        <v>2329</v>
      </c>
      <c r="E758" s="250">
        <v>6111.0129999999999</v>
      </c>
    </row>
    <row r="759" spans="3:5" x14ac:dyDescent="0.35">
      <c r="C759" s="1" t="s">
        <v>5456</v>
      </c>
      <c r="D759" s="1" t="s">
        <v>2329</v>
      </c>
      <c r="E759" s="250">
        <v>6111.0140000000001</v>
      </c>
    </row>
    <row r="760" spans="3:5" x14ac:dyDescent="0.35">
      <c r="C760" s="1" t="s">
        <v>5455</v>
      </c>
      <c r="D760" s="1" t="s">
        <v>2329</v>
      </c>
      <c r="E760" s="250">
        <v>6111.0150000000003</v>
      </c>
    </row>
    <row r="761" spans="3:5" x14ac:dyDescent="0.35">
      <c r="C761" s="1" t="s">
        <v>5454</v>
      </c>
      <c r="D761" s="1" t="s">
        <v>2329</v>
      </c>
      <c r="E761" s="250">
        <v>6111.0159999999996</v>
      </c>
    </row>
    <row r="762" spans="3:5" x14ac:dyDescent="0.35">
      <c r="C762" s="1" t="s">
        <v>5453</v>
      </c>
      <c r="D762" s="1" t="s">
        <v>2329</v>
      </c>
      <c r="E762" s="250">
        <v>6111.0169999999998</v>
      </c>
    </row>
    <row r="763" spans="3:5" x14ac:dyDescent="0.35">
      <c r="C763" s="1" t="s">
        <v>5452</v>
      </c>
      <c r="D763" s="1" t="s">
        <v>2329</v>
      </c>
      <c r="E763" s="250">
        <v>6111.02</v>
      </c>
    </row>
    <row r="764" spans="3:5" x14ac:dyDescent="0.35">
      <c r="C764" s="1" t="s">
        <v>5451</v>
      </c>
      <c r="D764" s="1" t="s">
        <v>2329</v>
      </c>
      <c r="E764" s="250">
        <v>6111.0209999999997</v>
      </c>
    </row>
    <row r="765" spans="3:5" x14ac:dyDescent="0.35">
      <c r="C765" s="1" t="s">
        <v>5450</v>
      </c>
      <c r="D765" s="1" t="s">
        <v>2329</v>
      </c>
      <c r="E765" s="250">
        <v>6111.0219999999999</v>
      </c>
    </row>
    <row r="766" spans="3:5" x14ac:dyDescent="0.35">
      <c r="C766" s="1" t="s">
        <v>5449</v>
      </c>
      <c r="D766" s="1" t="s">
        <v>2329</v>
      </c>
      <c r="E766" s="250">
        <v>6111.0230000000001</v>
      </c>
    </row>
    <row r="767" spans="3:5" x14ac:dyDescent="0.35">
      <c r="C767" s="1" t="s">
        <v>5448</v>
      </c>
      <c r="D767" s="1" t="s">
        <v>2329</v>
      </c>
      <c r="E767" s="250">
        <v>6111.0240000000003</v>
      </c>
    </row>
    <row r="768" spans="3:5" x14ac:dyDescent="0.35">
      <c r="C768" s="1" t="s">
        <v>5447</v>
      </c>
      <c r="D768" s="1" t="s">
        <v>2329</v>
      </c>
      <c r="E768" s="250">
        <v>6111.0249999999996</v>
      </c>
    </row>
    <row r="769" spans="3:5" x14ac:dyDescent="0.35">
      <c r="C769" s="1" t="s">
        <v>5446</v>
      </c>
      <c r="D769" s="1" t="s">
        <v>2329</v>
      </c>
      <c r="E769" s="250">
        <v>6111.0259999999998</v>
      </c>
    </row>
    <row r="770" spans="3:5" x14ac:dyDescent="0.35">
      <c r="C770" s="1" t="s">
        <v>5445</v>
      </c>
      <c r="D770" s="1" t="s">
        <v>2329</v>
      </c>
      <c r="E770" s="250">
        <v>6111.027</v>
      </c>
    </row>
    <row r="771" spans="3:5" x14ac:dyDescent="0.35">
      <c r="C771" s="1" t="s">
        <v>5444</v>
      </c>
      <c r="D771" s="1" t="s">
        <v>2329</v>
      </c>
      <c r="E771" s="250">
        <v>6111.03</v>
      </c>
    </row>
    <row r="772" spans="3:5" x14ac:dyDescent="0.35">
      <c r="C772" s="1" t="s">
        <v>5443</v>
      </c>
      <c r="D772" s="1" t="s">
        <v>2329</v>
      </c>
      <c r="E772" s="250">
        <v>6111.0309999999999</v>
      </c>
    </row>
    <row r="773" spans="3:5" x14ac:dyDescent="0.35">
      <c r="C773" s="1" t="s">
        <v>5442</v>
      </c>
      <c r="D773" s="1" t="s">
        <v>2329</v>
      </c>
      <c r="E773" s="250">
        <v>6111.0320000000002</v>
      </c>
    </row>
    <row r="774" spans="3:5" x14ac:dyDescent="0.35">
      <c r="C774" s="1" t="s">
        <v>5441</v>
      </c>
      <c r="D774" s="1" t="s">
        <v>2329</v>
      </c>
      <c r="E774" s="250">
        <v>6111.0330000000004</v>
      </c>
    </row>
    <row r="775" spans="3:5" x14ac:dyDescent="0.35">
      <c r="C775" s="1" t="s">
        <v>5440</v>
      </c>
      <c r="D775" s="1" t="s">
        <v>2329</v>
      </c>
      <c r="E775" s="250">
        <v>6111.0339999999997</v>
      </c>
    </row>
    <row r="776" spans="3:5" x14ac:dyDescent="0.35">
      <c r="C776" s="1" t="s">
        <v>5439</v>
      </c>
      <c r="D776" s="1" t="s">
        <v>2329</v>
      </c>
      <c r="E776" s="250">
        <v>6111.0349999999999</v>
      </c>
    </row>
    <row r="777" spans="3:5" x14ac:dyDescent="0.35">
      <c r="C777" s="1" t="s">
        <v>5438</v>
      </c>
      <c r="D777" s="1" t="s">
        <v>2329</v>
      </c>
      <c r="E777" s="250">
        <v>6111.0360000000001</v>
      </c>
    </row>
    <row r="778" spans="3:5" x14ac:dyDescent="0.35">
      <c r="C778" s="1" t="s">
        <v>5437</v>
      </c>
      <c r="D778" s="1" t="s">
        <v>2329</v>
      </c>
      <c r="E778" s="250">
        <v>6111.0370000000003</v>
      </c>
    </row>
    <row r="779" spans="3:5" x14ac:dyDescent="0.35">
      <c r="C779" s="1" t="s">
        <v>5436</v>
      </c>
      <c r="D779" s="1" t="s">
        <v>2329</v>
      </c>
      <c r="E779" s="250">
        <v>6111.04</v>
      </c>
    </row>
    <row r="780" spans="3:5" x14ac:dyDescent="0.35">
      <c r="C780" s="1" t="s">
        <v>5435</v>
      </c>
      <c r="D780" s="1" t="s">
        <v>2329</v>
      </c>
      <c r="E780" s="250">
        <v>6111.0410000000002</v>
      </c>
    </row>
    <row r="781" spans="3:5" x14ac:dyDescent="0.35">
      <c r="C781" s="1" t="s">
        <v>5434</v>
      </c>
      <c r="D781" s="1" t="s">
        <v>2329</v>
      </c>
      <c r="E781" s="250">
        <v>6111.0420000000004</v>
      </c>
    </row>
    <row r="782" spans="3:5" x14ac:dyDescent="0.35">
      <c r="C782" s="1" t="s">
        <v>5433</v>
      </c>
      <c r="D782" s="1" t="s">
        <v>2329</v>
      </c>
      <c r="E782" s="250">
        <v>6111.0429999999997</v>
      </c>
    </row>
    <row r="783" spans="3:5" x14ac:dyDescent="0.35">
      <c r="C783" s="1" t="s">
        <v>5432</v>
      </c>
      <c r="D783" s="1" t="s">
        <v>2329</v>
      </c>
      <c r="E783" s="250">
        <v>6111.0439999999999</v>
      </c>
    </row>
    <row r="784" spans="3:5" x14ac:dyDescent="0.35">
      <c r="C784" s="1" t="s">
        <v>5431</v>
      </c>
      <c r="D784" s="1" t="s">
        <v>2329</v>
      </c>
      <c r="E784" s="250">
        <v>6111.0450000000001</v>
      </c>
    </row>
    <row r="785" spans="3:5" x14ac:dyDescent="0.35">
      <c r="C785" s="1" t="s">
        <v>5430</v>
      </c>
      <c r="D785" s="1" t="s">
        <v>2329</v>
      </c>
      <c r="E785" s="250">
        <v>6111.0460000000003</v>
      </c>
    </row>
    <row r="786" spans="3:5" x14ac:dyDescent="0.35">
      <c r="C786" s="1" t="s">
        <v>5429</v>
      </c>
      <c r="D786" s="1" t="s">
        <v>2329</v>
      </c>
      <c r="E786" s="250">
        <v>6111.0469999999996</v>
      </c>
    </row>
    <row r="787" spans="3:5" x14ac:dyDescent="0.35">
      <c r="C787" s="1" t="s">
        <v>5428</v>
      </c>
      <c r="D787" s="1" t="s">
        <v>2329</v>
      </c>
      <c r="E787" s="250">
        <v>6111.1</v>
      </c>
    </row>
    <row r="788" spans="3:5" x14ac:dyDescent="0.35">
      <c r="C788" s="1" t="s">
        <v>5427</v>
      </c>
      <c r="D788" s="1" t="s">
        <v>2329</v>
      </c>
      <c r="E788" s="250">
        <v>6111.1009999999997</v>
      </c>
    </row>
    <row r="789" spans="3:5" x14ac:dyDescent="0.35">
      <c r="C789" s="1" t="s">
        <v>5426</v>
      </c>
      <c r="D789" s="1" t="s">
        <v>2329</v>
      </c>
      <c r="E789" s="250">
        <v>6111.1019999999999</v>
      </c>
    </row>
    <row r="790" spans="3:5" x14ac:dyDescent="0.35">
      <c r="C790" s="1" t="s">
        <v>5425</v>
      </c>
      <c r="D790" s="1" t="s">
        <v>2329</v>
      </c>
      <c r="E790" s="250">
        <v>6111.1030000000001</v>
      </c>
    </row>
    <row r="791" spans="3:5" x14ac:dyDescent="0.35">
      <c r="C791" s="1" t="s">
        <v>5424</v>
      </c>
      <c r="D791" s="1" t="s">
        <v>2329</v>
      </c>
      <c r="E791" s="250">
        <v>6111.1040000000003</v>
      </c>
    </row>
    <row r="792" spans="3:5" x14ac:dyDescent="0.35">
      <c r="C792" s="1" t="s">
        <v>5423</v>
      </c>
      <c r="D792" s="1" t="s">
        <v>2329</v>
      </c>
      <c r="E792" s="250">
        <v>6111.1049999999996</v>
      </c>
    </row>
    <row r="793" spans="3:5" x14ac:dyDescent="0.35">
      <c r="C793" s="1" t="s">
        <v>5422</v>
      </c>
      <c r="D793" s="1" t="s">
        <v>2329</v>
      </c>
      <c r="E793" s="250">
        <v>6111.1059999999998</v>
      </c>
    </row>
    <row r="794" spans="3:5" x14ac:dyDescent="0.35">
      <c r="C794" s="1" t="s">
        <v>5421</v>
      </c>
      <c r="D794" s="1" t="s">
        <v>2329</v>
      </c>
      <c r="E794" s="250">
        <v>6111.107</v>
      </c>
    </row>
    <row r="795" spans="3:5" x14ac:dyDescent="0.35">
      <c r="C795" s="1" t="s">
        <v>5420</v>
      </c>
      <c r="D795" s="1" t="s">
        <v>2329</v>
      </c>
      <c r="E795" s="250">
        <v>6111.11</v>
      </c>
    </row>
    <row r="796" spans="3:5" x14ac:dyDescent="0.35">
      <c r="C796" s="1" t="s">
        <v>5419</v>
      </c>
      <c r="D796" s="1" t="s">
        <v>2329</v>
      </c>
      <c r="E796" s="250">
        <v>6111.1109999999999</v>
      </c>
    </row>
    <row r="797" spans="3:5" x14ac:dyDescent="0.35">
      <c r="C797" s="1" t="s">
        <v>5418</v>
      </c>
      <c r="D797" s="1" t="s">
        <v>2329</v>
      </c>
      <c r="E797" s="250">
        <v>6111.1120000000001</v>
      </c>
    </row>
    <row r="798" spans="3:5" x14ac:dyDescent="0.35">
      <c r="C798" s="1" t="s">
        <v>5417</v>
      </c>
      <c r="D798" s="1" t="s">
        <v>2329</v>
      </c>
      <c r="E798" s="250">
        <v>6111.1130000000003</v>
      </c>
    </row>
    <row r="799" spans="3:5" x14ac:dyDescent="0.35">
      <c r="C799" s="1" t="s">
        <v>5416</v>
      </c>
      <c r="D799" s="1" t="s">
        <v>2329</v>
      </c>
      <c r="E799" s="250">
        <v>6111.1139999999996</v>
      </c>
    </row>
    <row r="800" spans="3:5" x14ac:dyDescent="0.35">
      <c r="C800" s="1" t="s">
        <v>5415</v>
      </c>
      <c r="D800" s="1" t="s">
        <v>2329</v>
      </c>
      <c r="E800" s="250">
        <v>6111.1149999999998</v>
      </c>
    </row>
    <row r="801" spans="3:5" x14ac:dyDescent="0.35">
      <c r="C801" s="1" t="s">
        <v>5414</v>
      </c>
      <c r="D801" s="1" t="s">
        <v>2329</v>
      </c>
      <c r="E801" s="250">
        <v>6111.116</v>
      </c>
    </row>
    <row r="802" spans="3:5" x14ac:dyDescent="0.35">
      <c r="C802" s="1" t="s">
        <v>5413</v>
      </c>
      <c r="D802" s="1" t="s">
        <v>2329</v>
      </c>
      <c r="E802" s="250">
        <v>6111.1170000000002</v>
      </c>
    </row>
    <row r="803" spans="3:5" x14ac:dyDescent="0.35">
      <c r="C803" s="1" t="s">
        <v>5412</v>
      </c>
      <c r="D803" s="1" t="s">
        <v>2329</v>
      </c>
      <c r="E803" s="250">
        <v>6111.12</v>
      </c>
    </row>
    <row r="804" spans="3:5" x14ac:dyDescent="0.35">
      <c r="C804" s="1" t="s">
        <v>5411</v>
      </c>
      <c r="D804" s="1" t="s">
        <v>2329</v>
      </c>
      <c r="E804" s="250">
        <v>6111.1210000000001</v>
      </c>
    </row>
    <row r="805" spans="3:5" x14ac:dyDescent="0.35">
      <c r="C805" s="1" t="s">
        <v>5410</v>
      </c>
      <c r="D805" s="1" t="s">
        <v>2329</v>
      </c>
      <c r="E805" s="250">
        <v>6111.1220000000003</v>
      </c>
    </row>
    <row r="806" spans="3:5" x14ac:dyDescent="0.35">
      <c r="C806" s="1" t="s">
        <v>5409</v>
      </c>
      <c r="D806" s="1" t="s">
        <v>2329</v>
      </c>
      <c r="E806" s="250">
        <v>6111.1229999999996</v>
      </c>
    </row>
    <row r="807" spans="3:5" x14ac:dyDescent="0.35">
      <c r="C807" s="1" t="s">
        <v>5408</v>
      </c>
      <c r="D807" s="1" t="s">
        <v>2329</v>
      </c>
      <c r="E807" s="250">
        <v>6111.1239999999998</v>
      </c>
    </row>
    <row r="808" spans="3:5" x14ac:dyDescent="0.35">
      <c r="C808" s="1" t="s">
        <v>5407</v>
      </c>
      <c r="D808" s="1" t="s">
        <v>2329</v>
      </c>
      <c r="E808" s="250">
        <v>6111.125</v>
      </c>
    </row>
    <row r="809" spans="3:5" x14ac:dyDescent="0.35">
      <c r="C809" s="1" t="s">
        <v>5406</v>
      </c>
      <c r="D809" s="1" t="s">
        <v>2329</v>
      </c>
      <c r="E809" s="250">
        <v>6111.1260000000002</v>
      </c>
    </row>
    <row r="810" spans="3:5" x14ac:dyDescent="0.35">
      <c r="C810" s="1" t="s">
        <v>5405</v>
      </c>
      <c r="D810" s="1" t="s">
        <v>2329</v>
      </c>
      <c r="E810" s="250">
        <v>6111.1270000000004</v>
      </c>
    </row>
    <row r="811" spans="3:5" x14ac:dyDescent="0.35">
      <c r="C811" s="1" t="s">
        <v>5404</v>
      </c>
      <c r="D811" s="1" t="s">
        <v>2329</v>
      </c>
      <c r="E811" s="250">
        <v>6111.13</v>
      </c>
    </row>
    <row r="812" spans="3:5" x14ac:dyDescent="0.35">
      <c r="C812" s="1" t="s">
        <v>5403</v>
      </c>
      <c r="D812" s="1" t="s">
        <v>2329</v>
      </c>
      <c r="E812" s="250">
        <v>6111.1310000000003</v>
      </c>
    </row>
    <row r="813" spans="3:5" x14ac:dyDescent="0.35">
      <c r="C813" s="1" t="s">
        <v>5402</v>
      </c>
      <c r="D813" s="1" t="s">
        <v>2329</v>
      </c>
      <c r="E813" s="250">
        <v>6111.1319999999996</v>
      </c>
    </row>
    <row r="814" spans="3:5" x14ac:dyDescent="0.35">
      <c r="C814" s="1" t="s">
        <v>5401</v>
      </c>
      <c r="D814" s="1" t="s">
        <v>2329</v>
      </c>
      <c r="E814" s="250">
        <v>6111.1329999999998</v>
      </c>
    </row>
    <row r="815" spans="3:5" x14ac:dyDescent="0.35">
      <c r="C815" s="1" t="s">
        <v>5400</v>
      </c>
      <c r="D815" s="1" t="s">
        <v>2329</v>
      </c>
      <c r="E815" s="250">
        <v>6111.134</v>
      </c>
    </row>
    <row r="816" spans="3:5" x14ac:dyDescent="0.35">
      <c r="C816" s="1" t="s">
        <v>5399</v>
      </c>
      <c r="D816" s="1" t="s">
        <v>2329</v>
      </c>
      <c r="E816" s="250">
        <v>6111.1350000000002</v>
      </c>
    </row>
    <row r="817" spans="3:5" x14ac:dyDescent="0.35">
      <c r="C817" s="1" t="s">
        <v>5398</v>
      </c>
      <c r="D817" s="1" t="s">
        <v>2329</v>
      </c>
      <c r="E817" s="250">
        <v>6111.1360000000004</v>
      </c>
    </row>
    <row r="818" spans="3:5" x14ac:dyDescent="0.35">
      <c r="C818" s="1" t="s">
        <v>5397</v>
      </c>
      <c r="D818" s="1" t="s">
        <v>2329</v>
      </c>
      <c r="E818" s="250">
        <v>6111.1369999999997</v>
      </c>
    </row>
    <row r="819" spans="3:5" x14ac:dyDescent="0.35">
      <c r="C819" s="1" t="s">
        <v>5396</v>
      </c>
      <c r="D819" s="1" t="s">
        <v>2329</v>
      </c>
      <c r="E819" s="250">
        <v>6111.14</v>
      </c>
    </row>
    <row r="820" spans="3:5" x14ac:dyDescent="0.35">
      <c r="C820" s="1" t="s">
        <v>5395</v>
      </c>
      <c r="D820" s="1" t="s">
        <v>2329</v>
      </c>
      <c r="E820" s="250">
        <v>6111.1409999999996</v>
      </c>
    </row>
    <row r="821" spans="3:5" x14ac:dyDescent="0.35">
      <c r="C821" s="1" t="s">
        <v>5394</v>
      </c>
      <c r="D821" s="1" t="s">
        <v>2329</v>
      </c>
      <c r="E821" s="250">
        <v>6111.1419999999998</v>
      </c>
    </row>
    <row r="822" spans="3:5" x14ac:dyDescent="0.35">
      <c r="C822" s="1" t="s">
        <v>5393</v>
      </c>
      <c r="D822" s="1" t="s">
        <v>2329</v>
      </c>
      <c r="E822" s="250">
        <v>6111.143</v>
      </c>
    </row>
    <row r="823" spans="3:5" x14ac:dyDescent="0.35">
      <c r="C823" s="1" t="s">
        <v>5392</v>
      </c>
      <c r="D823" s="1" t="s">
        <v>2329</v>
      </c>
      <c r="E823" s="250">
        <v>6111.1440000000002</v>
      </c>
    </row>
    <row r="824" spans="3:5" x14ac:dyDescent="0.35">
      <c r="C824" s="1" t="s">
        <v>5391</v>
      </c>
      <c r="D824" s="1" t="s">
        <v>2329</v>
      </c>
      <c r="E824" s="250">
        <v>6111.1450000000004</v>
      </c>
    </row>
    <row r="825" spans="3:5" x14ac:dyDescent="0.35">
      <c r="C825" s="1" t="s">
        <v>5390</v>
      </c>
      <c r="D825" s="1" t="s">
        <v>2329</v>
      </c>
      <c r="E825" s="250">
        <v>6111.1459999999997</v>
      </c>
    </row>
    <row r="826" spans="3:5" x14ac:dyDescent="0.35">
      <c r="C826" s="1" t="s">
        <v>5389</v>
      </c>
      <c r="D826" s="1" t="s">
        <v>2329</v>
      </c>
      <c r="E826" s="250">
        <v>6111.1469999999999</v>
      </c>
    </row>
    <row r="827" spans="3:5" x14ac:dyDescent="0.35">
      <c r="C827" s="1" t="s">
        <v>5388</v>
      </c>
      <c r="D827" s="1" t="s">
        <v>2329</v>
      </c>
      <c r="E827" s="250">
        <v>6111.2</v>
      </c>
    </row>
    <row r="828" spans="3:5" x14ac:dyDescent="0.35">
      <c r="C828" s="1" t="s">
        <v>5387</v>
      </c>
      <c r="D828" s="1" t="s">
        <v>2329</v>
      </c>
      <c r="E828" s="250">
        <v>6111.201</v>
      </c>
    </row>
    <row r="829" spans="3:5" x14ac:dyDescent="0.35">
      <c r="C829" s="1" t="s">
        <v>5386</v>
      </c>
      <c r="D829" s="1" t="s">
        <v>2329</v>
      </c>
      <c r="E829" s="250">
        <v>6111.2020000000002</v>
      </c>
    </row>
    <row r="830" spans="3:5" x14ac:dyDescent="0.35">
      <c r="C830" s="1" t="s">
        <v>5385</v>
      </c>
      <c r="D830" s="1" t="s">
        <v>2329</v>
      </c>
      <c r="E830" s="250">
        <v>6111.2030000000004</v>
      </c>
    </row>
    <row r="831" spans="3:5" x14ac:dyDescent="0.35">
      <c r="C831" s="1" t="s">
        <v>5384</v>
      </c>
      <c r="D831" s="1" t="s">
        <v>2329</v>
      </c>
      <c r="E831" s="250">
        <v>6111.2039999999997</v>
      </c>
    </row>
    <row r="832" spans="3:5" x14ac:dyDescent="0.35">
      <c r="C832" s="1" t="s">
        <v>5383</v>
      </c>
      <c r="D832" s="1" t="s">
        <v>2329</v>
      </c>
      <c r="E832" s="250">
        <v>6111.2049999999999</v>
      </c>
    </row>
    <row r="833" spans="3:5" x14ac:dyDescent="0.35">
      <c r="C833" s="1" t="s">
        <v>5382</v>
      </c>
      <c r="D833" s="1" t="s">
        <v>2329</v>
      </c>
      <c r="E833" s="250">
        <v>6111.2060000000001</v>
      </c>
    </row>
    <row r="834" spans="3:5" x14ac:dyDescent="0.35">
      <c r="C834" s="1" t="s">
        <v>5381</v>
      </c>
      <c r="D834" s="1" t="s">
        <v>2329</v>
      </c>
      <c r="E834" s="250">
        <v>6111.2070000000003</v>
      </c>
    </row>
    <row r="835" spans="3:5" x14ac:dyDescent="0.35">
      <c r="C835" s="1" t="s">
        <v>5380</v>
      </c>
      <c r="D835" s="1" t="s">
        <v>2329</v>
      </c>
      <c r="E835" s="250">
        <v>6111.21</v>
      </c>
    </row>
    <row r="836" spans="3:5" x14ac:dyDescent="0.35">
      <c r="C836" s="1" t="s">
        <v>5379</v>
      </c>
      <c r="D836" s="1" t="s">
        <v>2329</v>
      </c>
      <c r="E836" s="250">
        <v>6111.2110000000002</v>
      </c>
    </row>
    <row r="837" spans="3:5" x14ac:dyDescent="0.35">
      <c r="C837" s="1" t="s">
        <v>5378</v>
      </c>
      <c r="D837" s="1" t="s">
        <v>2329</v>
      </c>
      <c r="E837" s="250">
        <v>6111.2120000000004</v>
      </c>
    </row>
    <row r="838" spans="3:5" x14ac:dyDescent="0.35">
      <c r="C838" s="1" t="s">
        <v>5377</v>
      </c>
      <c r="D838" s="1" t="s">
        <v>2329</v>
      </c>
      <c r="E838" s="250">
        <v>6111.2129999999997</v>
      </c>
    </row>
    <row r="839" spans="3:5" x14ac:dyDescent="0.35">
      <c r="C839" s="1" t="s">
        <v>5376</v>
      </c>
      <c r="D839" s="1" t="s">
        <v>2329</v>
      </c>
      <c r="E839" s="250">
        <v>6111.2139999999999</v>
      </c>
    </row>
    <row r="840" spans="3:5" x14ac:dyDescent="0.35">
      <c r="C840" s="1" t="s">
        <v>5375</v>
      </c>
      <c r="D840" s="1" t="s">
        <v>2329</v>
      </c>
      <c r="E840" s="250">
        <v>6111.2150000000001</v>
      </c>
    </row>
    <row r="841" spans="3:5" x14ac:dyDescent="0.35">
      <c r="C841" s="1" t="s">
        <v>5374</v>
      </c>
      <c r="D841" s="1" t="s">
        <v>2329</v>
      </c>
      <c r="E841" s="250">
        <v>6111.2160000000003</v>
      </c>
    </row>
    <row r="842" spans="3:5" x14ac:dyDescent="0.35">
      <c r="C842" s="1" t="s">
        <v>5373</v>
      </c>
      <c r="D842" s="1" t="s">
        <v>2329</v>
      </c>
      <c r="E842" s="250">
        <v>6111.2169999999996</v>
      </c>
    </row>
    <row r="843" spans="3:5" x14ac:dyDescent="0.35">
      <c r="C843" s="1" t="s">
        <v>5372</v>
      </c>
      <c r="D843" s="1" t="s">
        <v>2329</v>
      </c>
      <c r="E843" s="250">
        <v>6111.22</v>
      </c>
    </row>
    <row r="844" spans="3:5" x14ac:dyDescent="0.35">
      <c r="C844" s="1" t="s">
        <v>5371</v>
      </c>
      <c r="D844" s="1" t="s">
        <v>2329</v>
      </c>
      <c r="E844" s="250">
        <v>6111.2209999999995</v>
      </c>
    </row>
    <row r="845" spans="3:5" x14ac:dyDescent="0.35">
      <c r="C845" s="1" t="s">
        <v>5370</v>
      </c>
      <c r="D845" s="1" t="s">
        <v>2329</v>
      </c>
      <c r="E845" s="250">
        <v>6111.2219999999998</v>
      </c>
    </row>
    <row r="846" spans="3:5" x14ac:dyDescent="0.35">
      <c r="C846" s="1" t="s">
        <v>5369</v>
      </c>
      <c r="D846" s="1" t="s">
        <v>2329</v>
      </c>
      <c r="E846" s="250">
        <v>6111.223</v>
      </c>
    </row>
    <row r="847" spans="3:5" x14ac:dyDescent="0.35">
      <c r="C847" s="1" t="s">
        <v>5368</v>
      </c>
      <c r="D847" s="1" t="s">
        <v>2329</v>
      </c>
      <c r="E847" s="250">
        <v>6111.2240000000002</v>
      </c>
    </row>
    <row r="848" spans="3:5" x14ac:dyDescent="0.35">
      <c r="C848" s="1" t="s">
        <v>5367</v>
      </c>
      <c r="D848" s="1" t="s">
        <v>2329</v>
      </c>
      <c r="E848" s="250">
        <v>6111.2250000000004</v>
      </c>
    </row>
    <row r="849" spans="3:5" x14ac:dyDescent="0.35">
      <c r="C849" s="1" t="s">
        <v>5366</v>
      </c>
      <c r="D849" s="1" t="s">
        <v>2329</v>
      </c>
      <c r="E849" s="250">
        <v>6111.2259999999997</v>
      </c>
    </row>
    <row r="850" spans="3:5" x14ac:dyDescent="0.35">
      <c r="C850" s="1" t="s">
        <v>5365</v>
      </c>
      <c r="D850" s="1" t="s">
        <v>2329</v>
      </c>
      <c r="E850" s="250">
        <v>6111.2269999999999</v>
      </c>
    </row>
    <row r="851" spans="3:5" x14ac:dyDescent="0.35">
      <c r="C851" s="1" t="s">
        <v>5364</v>
      </c>
      <c r="D851" s="1" t="s">
        <v>2329</v>
      </c>
      <c r="E851" s="250">
        <v>6111.23</v>
      </c>
    </row>
    <row r="852" spans="3:5" x14ac:dyDescent="0.35">
      <c r="C852" s="1" t="s">
        <v>5363</v>
      </c>
      <c r="D852" s="1" t="s">
        <v>2329</v>
      </c>
      <c r="E852" s="250">
        <v>6111.2309999999998</v>
      </c>
    </row>
    <row r="853" spans="3:5" x14ac:dyDescent="0.35">
      <c r="C853" s="1" t="s">
        <v>5362</v>
      </c>
      <c r="D853" s="1" t="s">
        <v>2329</v>
      </c>
      <c r="E853" s="250">
        <v>6111.232</v>
      </c>
    </row>
    <row r="854" spans="3:5" x14ac:dyDescent="0.35">
      <c r="C854" s="1" t="s">
        <v>5361</v>
      </c>
      <c r="D854" s="1" t="s">
        <v>2329</v>
      </c>
      <c r="E854" s="250">
        <v>6111.2330000000002</v>
      </c>
    </row>
    <row r="855" spans="3:5" x14ac:dyDescent="0.35">
      <c r="C855" s="1" t="s">
        <v>5360</v>
      </c>
      <c r="D855" s="1" t="s">
        <v>2329</v>
      </c>
      <c r="E855" s="250">
        <v>6111.2340000000004</v>
      </c>
    </row>
    <row r="856" spans="3:5" x14ac:dyDescent="0.35">
      <c r="C856" s="1" t="s">
        <v>5359</v>
      </c>
      <c r="D856" s="1" t="s">
        <v>2329</v>
      </c>
      <c r="E856" s="250">
        <v>6111.2349999999997</v>
      </c>
    </row>
    <row r="857" spans="3:5" x14ac:dyDescent="0.35">
      <c r="C857" s="1" t="s">
        <v>5358</v>
      </c>
      <c r="D857" s="1" t="s">
        <v>2329</v>
      </c>
      <c r="E857" s="250">
        <v>6111.2359999999999</v>
      </c>
    </row>
    <row r="858" spans="3:5" x14ac:dyDescent="0.35">
      <c r="C858" s="1" t="s">
        <v>5357</v>
      </c>
      <c r="D858" s="1" t="s">
        <v>2329</v>
      </c>
      <c r="E858" s="250">
        <v>6111.2370000000001</v>
      </c>
    </row>
    <row r="859" spans="3:5" x14ac:dyDescent="0.35">
      <c r="C859" s="1" t="s">
        <v>5356</v>
      </c>
      <c r="D859" s="1" t="s">
        <v>2329</v>
      </c>
      <c r="E859" s="250">
        <v>6111.25</v>
      </c>
    </row>
    <row r="860" spans="3:5" x14ac:dyDescent="0.35">
      <c r="C860" s="1" t="s">
        <v>5355</v>
      </c>
      <c r="D860" s="1" t="s">
        <v>2329</v>
      </c>
      <c r="E860" s="250">
        <v>6111.2510000000002</v>
      </c>
    </row>
    <row r="861" spans="3:5" x14ac:dyDescent="0.35">
      <c r="C861" s="1" t="s">
        <v>5354</v>
      </c>
      <c r="D861" s="1" t="s">
        <v>2329</v>
      </c>
      <c r="E861" s="250">
        <v>6111.2520000000004</v>
      </c>
    </row>
    <row r="862" spans="3:5" x14ac:dyDescent="0.35">
      <c r="C862" s="1" t="s">
        <v>5353</v>
      </c>
      <c r="D862" s="1" t="s">
        <v>2329</v>
      </c>
      <c r="E862" s="250">
        <v>6111.2529999999997</v>
      </c>
    </row>
    <row r="863" spans="3:5" x14ac:dyDescent="0.35">
      <c r="C863" s="1" t="s">
        <v>5352</v>
      </c>
      <c r="D863" s="1" t="s">
        <v>2329</v>
      </c>
      <c r="E863" s="250">
        <v>6111.2539999999999</v>
      </c>
    </row>
    <row r="864" spans="3:5" x14ac:dyDescent="0.35">
      <c r="C864" s="1" t="s">
        <v>5351</v>
      </c>
      <c r="D864" s="1" t="s">
        <v>2329</v>
      </c>
      <c r="E864" s="250">
        <v>6111.2550000000001</v>
      </c>
    </row>
    <row r="865" spans="3:5" x14ac:dyDescent="0.35">
      <c r="C865" s="1" t="s">
        <v>5350</v>
      </c>
      <c r="D865" s="1" t="s">
        <v>2329</v>
      </c>
      <c r="E865" s="250">
        <v>6111.2560000000003</v>
      </c>
    </row>
    <row r="866" spans="3:5" x14ac:dyDescent="0.35">
      <c r="C866" s="1" t="s">
        <v>5349</v>
      </c>
      <c r="D866" s="1" t="s">
        <v>2329</v>
      </c>
      <c r="E866" s="250">
        <v>6111.2569999999996</v>
      </c>
    </row>
    <row r="867" spans="3:5" x14ac:dyDescent="0.35">
      <c r="C867" s="1" t="s">
        <v>5348</v>
      </c>
      <c r="D867" s="1" t="s">
        <v>2329</v>
      </c>
      <c r="E867" s="250">
        <v>6111.26</v>
      </c>
    </row>
    <row r="868" spans="3:5" x14ac:dyDescent="0.35">
      <c r="C868" s="1" t="s">
        <v>5347</v>
      </c>
      <c r="D868" s="1" t="s">
        <v>2329</v>
      </c>
      <c r="E868" s="250">
        <v>6111.2610000000004</v>
      </c>
    </row>
    <row r="869" spans="3:5" x14ac:dyDescent="0.35">
      <c r="C869" s="1" t="s">
        <v>5346</v>
      </c>
      <c r="D869" s="1" t="s">
        <v>2329</v>
      </c>
      <c r="E869" s="250">
        <v>6111.2619999999997</v>
      </c>
    </row>
    <row r="870" spans="3:5" x14ac:dyDescent="0.35">
      <c r="C870" s="1" t="s">
        <v>5345</v>
      </c>
      <c r="D870" s="1" t="s">
        <v>2329</v>
      </c>
      <c r="E870" s="250">
        <v>6111.2629999999999</v>
      </c>
    </row>
    <row r="871" spans="3:5" x14ac:dyDescent="0.35">
      <c r="C871" s="1" t="s">
        <v>5344</v>
      </c>
      <c r="D871" s="1" t="s">
        <v>2329</v>
      </c>
      <c r="E871" s="250">
        <v>6111.2640000000001</v>
      </c>
    </row>
    <row r="872" spans="3:5" x14ac:dyDescent="0.35">
      <c r="C872" s="1" t="s">
        <v>5343</v>
      </c>
      <c r="D872" s="1" t="s">
        <v>2329</v>
      </c>
      <c r="E872" s="250">
        <v>6111.2650000000003</v>
      </c>
    </row>
    <row r="873" spans="3:5" x14ac:dyDescent="0.35">
      <c r="C873" s="1" t="s">
        <v>5342</v>
      </c>
      <c r="D873" s="1" t="s">
        <v>2329</v>
      </c>
      <c r="E873" s="250">
        <v>6111.2659999999996</v>
      </c>
    </row>
    <row r="874" spans="3:5" x14ac:dyDescent="0.35">
      <c r="C874" s="1" t="s">
        <v>5341</v>
      </c>
      <c r="D874" s="1" t="s">
        <v>2329</v>
      </c>
      <c r="E874" s="250">
        <v>6111.2669999999998</v>
      </c>
    </row>
    <row r="875" spans="3:5" x14ac:dyDescent="0.35">
      <c r="C875" s="1" t="s">
        <v>5340</v>
      </c>
      <c r="D875" s="1" t="s">
        <v>2329</v>
      </c>
      <c r="E875" s="250">
        <v>6111.27</v>
      </c>
    </row>
    <row r="876" spans="3:5" x14ac:dyDescent="0.35">
      <c r="C876" s="1" t="s">
        <v>5339</v>
      </c>
      <c r="D876" s="1" t="s">
        <v>2329</v>
      </c>
      <c r="E876" s="250">
        <v>6111.2709999999997</v>
      </c>
    </row>
    <row r="877" spans="3:5" x14ac:dyDescent="0.35">
      <c r="C877" s="1" t="s">
        <v>5338</v>
      </c>
      <c r="D877" s="1" t="s">
        <v>2329</v>
      </c>
      <c r="E877" s="250">
        <v>6111.2719999999999</v>
      </c>
    </row>
    <row r="878" spans="3:5" x14ac:dyDescent="0.35">
      <c r="C878" s="1" t="s">
        <v>5337</v>
      </c>
      <c r="D878" s="1" t="s">
        <v>2329</v>
      </c>
      <c r="E878" s="250">
        <v>6111.2730000000001</v>
      </c>
    </row>
    <row r="879" spans="3:5" x14ac:dyDescent="0.35">
      <c r="C879" s="1" t="s">
        <v>5336</v>
      </c>
      <c r="D879" s="1" t="s">
        <v>2329</v>
      </c>
      <c r="E879" s="250">
        <v>6111.2740000000003</v>
      </c>
    </row>
    <row r="880" spans="3:5" x14ac:dyDescent="0.35">
      <c r="C880" s="1" t="s">
        <v>5335</v>
      </c>
      <c r="D880" s="1" t="s">
        <v>2329</v>
      </c>
      <c r="E880" s="250">
        <v>6111.2749999999996</v>
      </c>
    </row>
    <row r="881" spans="3:5" x14ac:dyDescent="0.35">
      <c r="C881" s="1" t="s">
        <v>5334</v>
      </c>
      <c r="D881" s="1" t="s">
        <v>2329</v>
      </c>
      <c r="E881" s="250">
        <v>6111.2759999999998</v>
      </c>
    </row>
    <row r="882" spans="3:5" x14ac:dyDescent="0.35">
      <c r="C882" s="1" t="s">
        <v>5333</v>
      </c>
      <c r="D882" s="1" t="s">
        <v>2329</v>
      </c>
      <c r="E882" s="250">
        <v>6111.277</v>
      </c>
    </row>
    <row r="883" spans="3:5" x14ac:dyDescent="0.35">
      <c r="C883" s="1" t="s">
        <v>5332</v>
      </c>
      <c r="D883" s="1" t="s">
        <v>2329</v>
      </c>
      <c r="E883" s="250">
        <v>6111.28</v>
      </c>
    </row>
    <row r="884" spans="3:5" x14ac:dyDescent="0.35">
      <c r="C884" s="1" t="s">
        <v>5331</v>
      </c>
      <c r="D884" s="1" t="s">
        <v>2329</v>
      </c>
      <c r="E884" s="250">
        <v>6111.2809999999999</v>
      </c>
    </row>
    <row r="885" spans="3:5" x14ac:dyDescent="0.35">
      <c r="C885" s="1" t="s">
        <v>5330</v>
      </c>
      <c r="D885" s="1" t="s">
        <v>2329</v>
      </c>
      <c r="E885" s="250">
        <v>6111.2820000000002</v>
      </c>
    </row>
    <row r="886" spans="3:5" x14ac:dyDescent="0.35">
      <c r="C886" s="1" t="s">
        <v>5329</v>
      </c>
      <c r="D886" s="1" t="s">
        <v>2329</v>
      </c>
      <c r="E886" s="250">
        <v>6111.2830000000004</v>
      </c>
    </row>
    <row r="887" spans="3:5" x14ac:dyDescent="0.35">
      <c r="C887" s="1" t="s">
        <v>5328</v>
      </c>
      <c r="D887" s="1" t="s">
        <v>2329</v>
      </c>
      <c r="E887" s="250">
        <v>6111.2839999999997</v>
      </c>
    </row>
    <row r="888" spans="3:5" x14ac:dyDescent="0.35">
      <c r="C888" s="1" t="s">
        <v>5327</v>
      </c>
      <c r="D888" s="1" t="s">
        <v>2329</v>
      </c>
      <c r="E888" s="250">
        <v>6111.2849999999999</v>
      </c>
    </row>
    <row r="889" spans="3:5" x14ac:dyDescent="0.35">
      <c r="C889" s="1" t="s">
        <v>5326</v>
      </c>
      <c r="D889" s="1" t="s">
        <v>2329</v>
      </c>
      <c r="E889" s="250">
        <v>6111.2860000000001</v>
      </c>
    </row>
    <row r="890" spans="3:5" x14ac:dyDescent="0.35">
      <c r="C890" s="1" t="s">
        <v>5325</v>
      </c>
      <c r="D890" s="1" t="s">
        <v>2329</v>
      </c>
      <c r="E890" s="250">
        <v>6111.2870000000003</v>
      </c>
    </row>
    <row r="891" spans="3:5" x14ac:dyDescent="0.35">
      <c r="C891" s="1" t="s">
        <v>5324</v>
      </c>
      <c r="D891" s="1" t="s">
        <v>2329</v>
      </c>
      <c r="E891" s="250">
        <v>6111.29</v>
      </c>
    </row>
    <row r="892" spans="3:5" x14ac:dyDescent="0.35">
      <c r="C892" s="1" t="s">
        <v>5323</v>
      </c>
      <c r="D892" s="1" t="s">
        <v>2329</v>
      </c>
      <c r="E892" s="250">
        <v>6111.2910000000002</v>
      </c>
    </row>
    <row r="893" spans="3:5" x14ac:dyDescent="0.35">
      <c r="C893" s="1" t="s">
        <v>5322</v>
      </c>
      <c r="D893" s="1" t="s">
        <v>2329</v>
      </c>
      <c r="E893" s="250">
        <v>6111.2920000000004</v>
      </c>
    </row>
    <row r="894" spans="3:5" x14ac:dyDescent="0.35">
      <c r="C894" s="1" t="s">
        <v>5321</v>
      </c>
      <c r="D894" s="1" t="s">
        <v>2329</v>
      </c>
      <c r="E894" s="250">
        <v>6111.2929999999997</v>
      </c>
    </row>
    <row r="895" spans="3:5" x14ac:dyDescent="0.35">
      <c r="C895" s="1" t="s">
        <v>5320</v>
      </c>
      <c r="D895" s="1" t="s">
        <v>2329</v>
      </c>
      <c r="E895" s="250">
        <v>6111.2939999999999</v>
      </c>
    </row>
    <row r="896" spans="3:5" x14ac:dyDescent="0.35">
      <c r="C896" s="1" t="s">
        <v>5319</v>
      </c>
      <c r="D896" s="1" t="s">
        <v>2329</v>
      </c>
      <c r="E896" s="250">
        <v>6111.2950000000001</v>
      </c>
    </row>
    <row r="897" spans="3:5" x14ac:dyDescent="0.35">
      <c r="C897" s="1" t="s">
        <v>5318</v>
      </c>
      <c r="D897" s="1" t="s">
        <v>2329</v>
      </c>
      <c r="E897" s="250">
        <v>6111.2960000000003</v>
      </c>
    </row>
    <row r="898" spans="3:5" x14ac:dyDescent="0.35">
      <c r="C898" s="1" t="s">
        <v>5317</v>
      </c>
      <c r="D898" s="1" t="s">
        <v>2329</v>
      </c>
      <c r="E898" s="250">
        <v>6111.2969999999996</v>
      </c>
    </row>
    <row r="899" spans="3:5" x14ac:dyDescent="0.35">
      <c r="C899" s="1" t="s">
        <v>5316</v>
      </c>
      <c r="D899" s="1" t="s">
        <v>2329</v>
      </c>
      <c r="E899" s="250">
        <v>6111.35</v>
      </c>
    </row>
    <row r="900" spans="3:5" x14ac:dyDescent="0.35">
      <c r="C900" s="1" t="s">
        <v>5315</v>
      </c>
      <c r="D900" s="1" t="s">
        <v>2329</v>
      </c>
      <c r="E900" s="250">
        <v>6111.3509999999997</v>
      </c>
    </row>
    <row r="901" spans="3:5" x14ac:dyDescent="0.35">
      <c r="C901" s="1" t="s">
        <v>5314</v>
      </c>
      <c r="D901" s="1" t="s">
        <v>2329</v>
      </c>
      <c r="E901" s="250">
        <v>6111.3519999999999</v>
      </c>
    </row>
    <row r="902" spans="3:5" x14ac:dyDescent="0.35">
      <c r="C902" s="1" t="s">
        <v>5313</v>
      </c>
      <c r="D902" s="1" t="s">
        <v>2329</v>
      </c>
      <c r="E902" s="250">
        <v>6111.3530000000001</v>
      </c>
    </row>
    <row r="903" spans="3:5" x14ac:dyDescent="0.35">
      <c r="C903" s="1" t="s">
        <v>5312</v>
      </c>
      <c r="D903" s="1" t="s">
        <v>2329</v>
      </c>
      <c r="E903" s="250">
        <v>6111.3540000000003</v>
      </c>
    </row>
    <row r="904" spans="3:5" x14ac:dyDescent="0.35">
      <c r="C904" s="1" t="s">
        <v>5311</v>
      </c>
      <c r="D904" s="1" t="s">
        <v>2329</v>
      </c>
      <c r="E904" s="250">
        <v>6111.3549999999996</v>
      </c>
    </row>
    <row r="905" spans="3:5" x14ac:dyDescent="0.35">
      <c r="C905" s="1" t="s">
        <v>5310</v>
      </c>
      <c r="D905" s="1" t="s">
        <v>2329</v>
      </c>
      <c r="E905" s="250">
        <v>6111.3559999999998</v>
      </c>
    </row>
    <row r="906" spans="3:5" x14ac:dyDescent="0.35">
      <c r="C906" s="1" t="s">
        <v>5309</v>
      </c>
      <c r="D906" s="1" t="s">
        <v>2329</v>
      </c>
      <c r="E906" s="250">
        <v>6111.357</v>
      </c>
    </row>
    <row r="907" spans="3:5" x14ac:dyDescent="0.35">
      <c r="C907" s="1" t="s">
        <v>5308</v>
      </c>
      <c r="D907" s="1" t="s">
        <v>2329</v>
      </c>
      <c r="E907" s="250">
        <v>6111.36</v>
      </c>
    </row>
    <row r="908" spans="3:5" x14ac:dyDescent="0.35">
      <c r="C908" s="1" t="s">
        <v>5307</v>
      </c>
      <c r="D908" s="1" t="s">
        <v>2329</v>
      </c>
      <c r="E908" s="250">
        <v>6111.3609999999999</v>
      </c>
    </row>
    <row r="909" spans="3:5" x14ac:dyDescent="0.35">
      <c r="C909" s="1" t="s">
        <v>5306</v>
      </c>
      <c r="D909" s="1" t="s">
        <v>2329</v>
      </c>
      <c r="E909" s="250">
        <v>6111.3620000000001</v>
      </c>
    </row>
    <row r="910" spans="3:5" x14ac:dyDescent="0.35">
      <c r="C910" s="1" t="s">
        <v>5305</v>
      </c>
      <c r="D910" s="1" t="s">
        <v>2329</v>
      </c>
      <c r="E910" s="250">
        <v>6111.3630000000003</v>
      </c>
    </row>
    <row r="911" spans="3:5" x14ac:dyDescent="0.35">
      <c r="C911" s="1" t="s">
        <v>5304</v>
      </c>
      <c r="D911" s="1" t="s">
        <v>2329</v>
      </c>
      <c r="E911" s="250">
        <v>6111.3639999999996</v>
      </c>
    </row>
    <row r="912" spans="3:5" x14ac:dyDescent="0.35">
      <c r="C912" s="1" t="s">
        <v>5303</v>
      </c>
      <c r="D912" s="1" t="s">
        <v>2329</v>
      </c>
      <c r="E912" s="250">
        <v>6111.3649999999998</v>
      </c>
    </row>
    <row r="913" spans="3:5" x14ac:dyDescent="0.35">
      <c r="C913" s="1" t="s">
        <v>5302</v>
      </c>
      <c r="D913" s="1" t="s">
        <v>2329</v>
      </c>
      <c r="E913" s="250">
        <v>6111.366</v>
      </c>
    </row>
    <row r="914" spans="3:5" x14ac:dyDescent="0.35">
      <c r="C914" s="1" t="s">
        <v>5301</v>
      </c>
      <c r="D914" s="1" t="s">
        <v>2329</v>
      </c>
      <c r="E914" s="250">
        <v>6111.3670000000002</v>
      </c>
    </row>
    <row r="915" spans="3:5" x14ac:dyDescent="0.35">
      <c r="C915" s="1" t="s">
        <v>5300</v>
      </c>
      <c r="D915" s="1" t="s">
        <v>2329</v>
      </c>
      <c r="E915" s="250">
        <v>6111.37</v>
      </c>
    </row>
    <row r="916" spans="3:5" x14ac:dyDescent="0.35">
      <c r="C916" s="1" t="s">
        <v>5299</v>
      </c>
      <c r="D916" s="1" t="s">
        <v>2329</v>
      </c>
      <c r="E916" s="250">
        <v>6111.3710000000001</v>
      </c>
    </row>
    <row r="917" spans="3:5" x14ac:dyDescent="0.35">
      <c r="C917" s="1" t="s">
        <v>5298</v>
      </c>
      <c r="D917" s="1" t="s">
        <v>2329</v>
      </c>
      <c r="E917" s="250">
        <v>6111.3720000000003</v>
      </c>
    </row>
    <row r="918" spans="3:5" x14ac:dyDescent="0.35">
      <c r="C918" s="1" t="s">
        <v>5297</v>
      </c>
      <c r="D918" s="1" t="s">
        <v>2329</v>
      </c>
      <c r="E918" s="250">
        <v>6111.3729999999996</v>
      </c>
    </row>
    <row r="919" spans="3:5" x14ac:dyDescent="0.35">
      <c r="C919" s="1" t="s">
        <v>5296</v>
      </c>
      <c r="D919" s="1" t="s">
        <v>2329</v>
      </c>
      <c r="E919" s="250">
        <v>6111.3739999999998</v>
      </c>
    </row>
    <row r="920" spans="3:5" x14ac:dyDescent="0.35">
      <c r="C920" s="1" t="s">
        <v>5295</v>
      </c>
      <c r="D920" s="1" t="s">
        <v>2329</v>
      </c>
      <c r="E920" s="250">
        <v>6111.375</v>
      </c>
    </row>
    <row r="921" spans="3:5" x14ac:dyDescent="0.35">
      <c r="C921" s="1" t="s">
        <v>5294</v>
      </c>
      <c r="D921" s="1" t="s">
        <v>2329</v>
      </c>
      <c r="E921" s="250">
        <v>6111.3760000000002</v>
      </c>
    </row>
    <row r="922" spans="3:5" x14ac:dyDescent="0.35">
      <c r="C922" s="1" t="s">
        <v>5293</v>
      </c>
      <c r="D922" s="1" t="s">
        <v>2329</v>
      </c>
      <c r="E922" s="250">
        <v>6111.3770000000004</v>
      </c>
    </row>
    <row r="923" spans="3:5" x14ac:dyDescent="0.35">
      <c r="C923" s="1" t="s">
        <v>5292</v>
      </c>
      <c r="D923" s="1" t="s">
        <v>2329</v>
      </c>
      <c r="E923" s="250">
        <v>6111.38</v>
      </c>
    </row>
    <row r="924" spans="3:5" x14ac:dyDescent="0.35">
      <c r="C924" s="1" t="s">
        <v>5291</v>
      </c>
      <c r="D924" s="1" t="s">
        <v>2329</v>
      </c>
      <c r="E924" s="250">
        <v>6111.3810000000003</v>
      </c>
    </row>
    <row r="925" spans="3:5" x14ac:dyDescent="0.35">
      <c r="C925" s="1" t="s">
        <v>5290</v>
      </c>
      <c r="D925" s="1" t="s">
        <v>2329</v>
      </c>
      <c r="E925" s="250">
        <v>6111.3819999999996</v>
      </c>
    </row>
    <row r="926" spans="3:5" x14ac:dyDescent="0.35">
      <c r="C926" s="1" t="s">
        <v>5289</v>
      </c>
      <c r="D926" s="1" t="s">
        <v>2329</v>
      </c>
      <c r="E926" s="250">
        <v>6111.3829999999998</v>
      </c>
    </row>
    <row r="927" spans="3:5" x14ac:dyDescent="0.35">
      <c r="C927" s="1" t="s">
        <v>5288</v>
      </c>
      <c r="D927" s="1" t="s">
        <v>2329</v>
      </c>
      <c r="E927" s="250">
        <v>6111.384</v>
      </c>
    </row>
    <row r="928" spans="3:5" x14ac:dyDescent="0.35">
      <c r="C928" s="1" t="s">
        <v>5287</v>
      </c>
      <c r="D928" s="1" t="s">
        <v>2329</v>
      </c>
      <c r="E928" s="250">
        <v>6111.3850000000002</v>
      </c>
    </row>
    <row r="929" spans="3:5" x14ac:dyDescent="0.35">
      <c r="C929" s="1" t="s">
        <v>5286</v>
      </c>
      <c r="D929" s="1" t="s">
        <v>2329</v>
      </c>
      <c r="E929" s="250">
        <v>6111.3860000000004</v>
      </c>
    </row>
    <row r="930" spans="3:5" x14ac:dyDescent="0.35">
      <c r="C930" s="1" t="s">
        <v>5285</v>
      </c>
      <c r="D930" s="1" t="s">
        <v>2329</v>
      </c>
      <c r="E930" s="250">
        <v>6111.3869999999997</v>
      </c>
    </row>
    <row r="931" spans="3:5" x14ac:dyDescent="0.35">
      <c r="C931" s="1" t="s">
        <v>5284</v>
      </c>
      <c r="D931" s="1" t="s">
        <v>2329</v>
      </c>
      <c r="E931" s="250">
        <v>6111.5</v>
      </c>
    </row>
    <row r="932" spans="3:5" x14ac:dyDescent="0.35">
      <c r="C932" s="1" t="s">
        <v>5283</v>
      </c>
      <c r="D932" s="1" t="s">
        <v>2329</v>
      </c>
      <c r="E932" s="250">
        <v>6111.5010000000002</v>
      </c>
    </row>
    <row r="933" spans="3:5" x14ac:dyDescent="0.35">
      <c r="C933" s="1" t="s">
        <v>5282</v>
      </c>
      <c r="D933" s="1" t="s">
        <v>2329</v>
      </c>
      <c r="E933" s="250">
        <v>6111.5020000000004</v>
      </c>
    </row>
    <row r="934" spans="3:5" x14ac:dyDescent="0.35">
      <c r="C934" s="1" t="s">
        <v>5281</v>
      </c>
      <c r="D934" s="1" t="s">
        <v>2329</v>
      </c>
      <c r="E934" s="250">
        <v>6111.5029999999997</v>
      </c>
    </row>
    <row r="935" spans="3:5" x14ac:dyDescent="0.35">
      <c r="C935" s="1" t="s">
        <v>5280</v>
      </c>
      <c r="D935" s="1" t="s">
        <v>2329</v>
      </c>
      <c r="E935" s="250">
        <v>6111.5039999999999</v>
      </c>
    </row>
    <row r="936" spans="3:5" x14ac:dyDescent="0.35">
      <c r="C936" s="1" t="s">
        <v>5279</v>
      </c>
      <c r="D936" s="1" t="s">
        <v>2329</v>
      </c>
      <c r="E936" s="250">
        <v>6111.5050000000001</v>
      </c>
    </row>
    <row r="937" spans="3:5" x14ac:dyDescent="0.35">
      <c r="C937" s="1" t="s">
        <v>5278</v>
      </c>
      <c r="D937" s="1" t="s">
        <v>2329</v>
      </c>
      <c r="E937" s="250">
        <v>6111.5060000000003</v>
      </c>
    </row>
    <row r="938" spans="3:5" x14ac:dyDescent="0.35">
      <c r="C938" s="1" t="s">
        <v>5277</v>
      </c>
      <c r="D938" s="1" t="s">
        <v>2329</v>
      </c>
      <c r="E938" s="250">
        <v>6111.5069999999996</v>
      </c>
    </row>
    <row r="939" spans="3:5" x14ac:dyDescent="0.35">
      <c r="C939" s="1" t="s">
        <v>5276</v>
      </c>
      <c r="D939" s="1" t="s">
        <v>2329</v>
      </c>
      <c r="E939" s="250">
        <v>6111.51</v>
      </c>
    </row>
    <row r="940" spans="3:5" x14ac:dyDescent="0.35">
      <c r="C940" s="1" t="s">
        <v>5275</v>
      </c>
      <c r="D940" s="1" t="s">
        <v>2329</v>
      </c>
      <c r="E940" s="250">
        <v>6111.5110000000004</v>
      </c>
    </row>
    <row r="941" spans="3:5" x14ac:dyDescent="0.35">
      <c r="C941" s="1" t="s">
        <v>5274</v>
      </c>
      <c r="D941" s="1" t="s">
        <v>2329</v>
      </c>
      <c r="E941" s="250">
        <v>6111.5119999999997</v>
      </c>
    </row>
    <row r="942" spans="3:5" x14ac:dyDescent="0.35">
      <c r="C942" s="1" t="s">
        <v>5273</v>
      </c>
      <c r="D942" s="1" t="s">
        <v>2329</v>
      </c>
      <c r="E942" s="250">
        <v>6111.5129999999999</v>
      </c>
    </row>
    <row r="943" spans="3:5" x14ac:dyDescent="0.35">
      <c r="C943" s="1" t="s">
        <v>5272</v>
      </c>
      <c r="D943" s="1" t="s">
        <v>2329</v>
      </c>
      <c r="E943" s="250">
        <v>6111.5140000000001</v>
      </c>
    </row>
    <row r="944" spans="3:5" x14ac:dyDescent="0.35">
      <c r="C944" s="1" t="s">
        <v>5271</v>
      </c>
      <c r="D944" s="1" t="s">
        <v>2329</v>
      </c>
      <c r="E944" s="250">
        <v>6111.5150000000003</v>
      </c>
    </row>
    <row r="945" spans="3:5" x14ac:dyDescent="0.35">
      <c r="C945" s="1" t="s">
        <v>5270</v>
      </c>
      <c r="D945" s="1" t="s">
        <v>2329</v>
      </c>
      <c r="E945" s="250">
        <v>6111.5159999999996</v>
      </c>
    </row>
    <row r="946" spans="3:5" x14ac:dyDescent="0.35">
      <c r="C946" s="1" t="s">
        <v>5269</v>
      </c>
      <c r="D946" s="1" t="s">
        <v>2329</v>
      </c>
      <c r="E946" s="250">
        <v>6111.5169999999998</v>
      </c>
    </row>
    <row r="947" spans="3:5" x14ac:dyDescent="0.35">
      <c r="C947" s="1" t="s">
        <v>5268</v>
      </c>
      <c r="D947" s="1" t="s">
        <v>2329</v>
      </c>
      <c r="E947" s="250">
        <v>6111.52</v>
      </c>
    </row>
    <row r="948" spans="3:5" x14ac:dyDescent="0.35">
      <c r="C948" s="1" t="s">
        <v>5267</v>
      </c>
      <c r="D948" s="1" t="s">
        <v>2329</v>
      </c>
      <c r="E948" s="250">
        <v>6111.5209999999997</v>
      </c>
    </row>
    <row r="949" spans="3:5" x14ac:dyDescent="0.35">
      <c r="C949" s="1" t="s">
        <v>5266</v>
      </c>
      <c r="D949" s="1" t="s">
        <v>2329</v>
      </c>
      <c r="E949" s="250">
        <v>6111.5219999999999</v>
      </c>
    </row>
    <row r="950" spans="3:5" x14ac:dyDescent="0.35">
      <c r="C950" s="1" t="s">
        <v>5265</v>
      </c>
      <c r="D950" s="1" t="s">
        <v>2329</v>
      </c>
      <c r="E950" s="250">
        <v>6111.5230000000001</v>
      </c>
    </row>
    <row r="951" spans="3:5" x14ac:dyDescent="0.35">
      <c r="C951" s="1" t="s">
        <v>5264</v>
      </c>
      <c r="D951" s="1" t="s">
        <v>2329</v>
      </c>
      <c r="E951" s="250">
        <v>6111.5240000000003</v>
      </c>
    </row>
    <row r="952" spans="3:5" x14ac:dyDescent="0.35">
      <c r="C952" s="1" t="s">
        <v>5263</v>
      </c>
      <c r="D952" s="1" t="s">
        <v>2329</v>
      </c>
      <c r="E952" s="250">
        <v>6111.5249999999996</v>
      </c>
    </row>
    <row r="953" spans="3:5" x14ac:dyDescent="0.35">
      <c r="C953" s="1" t="s">
        <v>5262</v>
      </c>
      <c r="D953" s="1" t="s">
        <v>2329</v>
      </c>
      <c r="E953" s="250">
        <v>6111.5259999999998</v>
      </c>
    </row>
    <row r="954" spans="3:5" x14ac:dyDescent="0.35">
      <c r="C954" s="1" t="s">
        <v>5261</v>
      </c>
      <c r="D954" s="1" t="s">
        <v>2329</v>
      </c>
      <c r="E954" s="250">
        <v>6111.527</v>
      </c>
    </row>
    <row r="955" spans="3:5" x14ac:dyDescent="0.35">
      <c r="C955" s="1" t="s">
        <v>5260</v>
      </c>
      <c r="D955" s="1" t="s">
        <v>2329</v>
      </c>
      <c r="E955" s="250">
        <v>6111.53</v>
      </c>
    </row>
    <row r="956" spans="3:5" x14ac:dyDescent="0.35">
      <c r="C956" s="1" t="s">
        <v>5259</v>
      </c>
      <c r="D956" s="1" t="s">
        <v>2329</v>
      </c>
      <c r="E956" s="250">
        <v>6111.5309999999999</v>
      </c>
    </row>
    <row r="957" spans="3:5" x14ac:dyDescent="0.35">
      <c r="C957" s="1" t="s">
        <v>5258</v>
      </c>
      <c r="D957" s="1" t="s">
        <v>2329</v>
      </c>
      <c r="E957" s="250">
        <v>6111.5320000000002</v>
      </c>
    </row>
    <row r="958" spans="3:5" x14ac:dyDescent="0.35">
      <c r="C958" s="1" t="s">
        <v>5257</v>
      </c>
      <c r="D958" s="1" t="s">
        <v>2329</v>
      </c>
      <c r="E958" s="250">
        <v>6111.5330000000004</v>
      </c>
    </row>
    <row r="959" spans="3:5" x14ac:dyDescent="0.35">
      <c r="C959" s="1" t="s">
        <v>5256</v>
      </c>
      <c r="D959" s="1" t="s">
        <v>2329</v>
      </c>
      <c r="E959" s="250">
        <v>6111.5339999999997</v>
      </c>
    </row>
    <row r="960" spans="3:5" x14ac:dyDescent="0.35">
      <c r="C960" s="1" t="s">
        <v>5255</v>
      </c>
      <c r="D960" s="1" t="s">
        <v>2329</v>
      </c>
      <c r="E960" s="250">
        <v>6111.5349999999999</v>
      </c>
    </row>
    <row r="961" spans="3:5" x14ac:dyDescent="0.35">
      <c r="C961" s="1" t="s">
        <v>5254</v>
      </c>
      <c r="D961" s="1" t="s">
        <v>2329</v>
      </c>
      <c r="E961" s="250">
        <v>6111.5360000000001</v>
      </c>
    </row>
    <row r="962" spans="3:5" x14ac:dyDescent="0.35">
      <c r="C962" s="1" t="s">
        <v>5253</v>
      </c>
      <c r="D962" s="1" t="s">
        <v>2329</v>
      </c>
      <c r="E962" s="250">
        <v>6111.5370000000003</v>
      </c>
    </row>
    <row r="963" spans="3:5" x14ac:dyDescent="0.35">
      <c r="C963" s="1" t="s">
        <v>5252</v>
      </c>
      <c r="D963" s="1" t="s">
        <v>2329</v>
      </c>
      <c r="E963" s="250">
        <v>6111.54</v>
      </c>
    </row>
    <row r="964" spans="3:5" x14ac:dyDescent="0.35">
      <c r="C964" s="1" t="s">
        <v>5251</v>
      </c>
      <c r="D964" s="1" t="s">
        <v>2329</v>
      </c>
      <c r="E964" s="250">
        <v>6111.5410000000002</v>
      </c>
    </row>
    <row r="965" spans="3:5" x14ac:dyDescent="0.35">
      <c r="C965" s="1" t="s">
        <v>5250</v>
      </c>
      <c r="D965" s="1" t="s">
        <v>2329</v>
      </c>
      <c r="E965" s="250">
        <v>6111.5420000000004</v>
      </c>
    </row>
    <row r="966" spans="3:5" x14ac:dyDescent="0.35">
      <c r="C966" s="1" t="s">
        <v>5249</v>
      </c>
      <c r="D966" s="1" t="s">
        <v>2329</v>
      </c>
      <c r="E966" s="250">
        <v>6111.5429999999997</v>
      </c>
    </row>
    <row r="967" spans="3:5" x14ac:dyDescent="0.35">
      <c r="C967" s="1" t="s">
        <v>5248</v>
      </c>
      <c r="D967" s="1" t="s">
        <v>2329</v>
      </c>
      <c r="E967" s="250">
        <v>6111.5439999999999</v>
      </c>
    </row>
    <row r="968" spans="3:5" x14ac:dyDescent="0.35">
      <c r="C968" s="1" t="s">
        <v>5247</v>
      </c>
      <c r="D968" s="1" t="s">
        <v>2329</v>
      </c>
      <c r="E968" s="250">
        <v>6111.5450000000001</v>
      </c>
    </row>
    <row r="969" spans="3:5" x14ac:dyDescent="0.35">
      <c r="C969" s="1" t="s">
        <v>5246</v>
      </c>
      <c r="D969" s="1" t="s">
        <v>2329</v>
      </c>
      <c r="E969" s="250">
        <v>6111.5460000000003</v>
      </c>
    </row>
    <row r="970" spans="3:5" x14ac:dyDescent="0.35">
      <c r="C970" s="1" t="s">
        <v>5245</v>
      </c>
      <c r="D970" s="1" t="s">
        <v>2329</v>
      </c>
      <c r="E970" s="250">
        <v>6111.5469999999996</v>
      </c>
    </row>
    <row r="971" spans="3:5" x14ac:dyDescent="0.35">
      <c r="C971" s="1" t="s">
        <v>5244</v>
      </c>
      <c r="D971" s="1" t="s">
        <v>2329</v>
      </c>
      <c r="E971" s="250">
        <v>6111.6</v>
      </c>
    </row>
    <row r="972" spans="3:5" x14ac:dyDescent="0.35">
      <c r="C972" s="1" t="s">
        <v>5243</v>
      </c>
      <c r="D972" s="1" t="s">
        <v>2329</v>
      </c>
      <c r="E972" s="250">
        <v>6111.6009999999997</v>
      </c>
    </row>
    <row r="973" spans="3:5" x14ac:dyDescent="0.35">
      <c r="C973" s="1" t="s">
        <v>5242</v>
      </c>
      <c r="D973" s="1" t="s">
        <v>2329</v>
      </c>
      <c r="E973" s="250">
        <v>6111.6019999999999</v>
      </c>
    </row>
    <row r="974" spans="3:5" x14ac:dyDescent="0.35">
      <c r="C974" s="1" t="s">
        <v>5241</v>
      </c>
      <c r="D974" s="1" t="s">
        <v>2329</v>
      </c>
      <c r="E974" s="250">
        <v>6111.6030000000001</v>
      </c>
    </row>
    <row r="975" spans="3:5" x14ac:dyDescent="0.35">
      <c r="C975" s="1" t="s">
        <v>5240</v>
      </c>
      <c r="D975" s="1" t="s">
        <v>2329</v>
      </c>
      <c r="E975" s="250">
        <v>6111.6040000000003</v>
      </c>
    </row>
    <row r="976" spans="3:5" x14ac:dyDescent="0.35">
      <c r="C976" s="1" t="s">
        <v>5239</v>
      </c>
      <c r="D976" s="1" t="s">
        <v>2329</v>
      </c>
      <c r="E976" s="250">
        <v>6111.6049999999996</v>
      </c>
    </row>
    <row r="977" spans="3:5" x14ac:dyDescent="0.35">
      <c r="C977" s="1" t="s">
        <v>5238</v>
      </c>
      <c r="D977" s="1" t="s">
        <v>2329</v>
      </c>
      <c r="E977" s="250">
        <v>6111.6059999999998</v>
      </c>
    </row>
    <row r="978" spans="3:5" x14ac:dyDescent="0.35">
      <c r="C978" s="1" t="s">
        <v>5237</v>
      </c>
      <c r="D978" s="1" t="s">
        <v>2329</v>
      </c>
      <c r="E978" s="250">
        <v>6111.607</v>
      </c>
    </row>
    <row r="979" spans="3:5" x14ac:dyDescent="0.35">
      <c r="C979" s="1" t="s">
        <v>5236</v>
      </c>
      <c r="D979" s="1" t="s">
        <v>2329</v>
      </c>
      <c r="E979" s="250">
        <v>6111.61</v>
      </c>
    </row>
    <row r="980" spans="3:5" x14ac:dyDescent="0.35">
      <c r="C980" s="1" t="s">
        <v>5235</v>
      </c>
      <c r="D980" s="1" t="s">
        <v>2329</v>
      </c>
      <c r="E980" s="250">
        <v>6111.6109999999999</v>
      </c>
    </row>
    <row r="981" spans="3:5" x14ac:dyDescent="0.35">
      <c r="C981" s="1" t="s">
        <v>5234</v>
      </c>
      <c r="D981" s="1" t="s">
        <v>2329</v>
      </c>
      <c r="E981" s="250">
        <v>6111.6120000000001</v>
      </c>
    </row>
    <row r="982" spans="3:5" x14ac:dyDescent="0.35">
      <c r="C982" s="1" t="s">
        <v>5233</v>
      </c>
      <c r="D982" s="1" t="s">
        <v>2329</v>
      </c>
      <c r="E982" s="250">
        <v>6111.6130000000003</v>
      </c>
    </row>
    <row r="983" spans="3:5" x14ac:dyDescent="0.35">
      <c r="C983" s="1" t="s">
        <v>5232</v>
      </c>
      <c r="D983" s="1" t="s">
        <v>2329</v>
      </c>
      <c r="E983" s="250">
        <v>6111.6139999999996</v>
      </c>
    </row>
    <row r="984" spans="3:5" x14ac:dyDescent="0.35">
      <c r="C984" s="1" t="s">
        <v>5231</v>
      </c>
      <c r="D984" s="1" t="s">
        <v>2329</v>
      </c>
      <c r="E984" s="250">
        <v>6111.6149999999998</v>
      </c>
    </row>
    <row r="985" spans="3:5" x14ac:dyDescent="0.35">
      <c r="C985" s="1" t="s">
        <v>5230</v>
      </c>
      <c r="D985" s="1" t="s">
        <v>2329</v>
      </c>
      <c r="E985" s="250">
        <v>6111.616</v>
      </c>
    </row>
    <row r="986" spans="3:5" x14ac:dyDescent="0.35">
      <c r="C986" s="1" t="s">
        <v>5229</v>
      </c>
      <c r="D986" s="1" t="s">
        <v>2329</v>
      </c>
      <c r="E986" s="250">
        <v>6111.6170000000002</v>
      </c>
    </row>
    <row r="987" spans="3:5" x14ac:dyDescent="0.35">
      <c r="C987" s="1" t="s">
        <v>5228</v>
      </c>
      <c r="D987" s="1" t="s">
        <v>2329</v>
      </c>
      <c r="E987" s="250">
        <v>6111.62</v>
      </c>
    </row>
    <row r="988" spans="3:5" x14ac:dyDescent="0.35">
      <c r="C988" s="1" t="s">
        <v>5227</v>
      </c>
      <c r="D988" s="1" t="s">
        <v>2329</v>
      </c>
      <c r="E988" s="250">
        <v>6111.6210000000001</v>
      </c>
    </row>
    <row r="989" spans="3:5" x14ac:dyDescent="0.35">
      <c r="C989" s="1" t="s">
        <v>5226</v>
      </c>
      <c r="D989" s="1" t="s">
        <v>2329</v>
      </c>
      <c r="E989" s="250">
        <v>6111.6220000000003</v>
      </c>
    </row>
    <row r="990" spans="3:5" x14ac:dyDescent="0.35">
      <c r="C990" s="1" t="s">
        <v>5225</v>
      </c>
      <c r="D990" s="1" t="s">
        <v>2329</v>
      </c>
      <c r="E990" s="250">
        <v>6111.6229999999996</v>
      </c>
    </row>
    <row r="991" spans="3:5" x14ac:dyDescent="0.35">
      <c r="C991" s="1" t="s">
        <v>5224</v>
      </c>
      <c r="D991" s="1" t="s">
        <v>2329</v>
      </c>
      <c r="E991" s="250">
        <v>6111.6239999999998</v>
      </c>
    </row>
    <row r="992" spans="3:5" x14ac:dyDescent="0.35">
      <c r="C992" s="1" t="s">
        <v>5223</v>
      </c>
      <c r="D992" s="1" t="s">
        <v>2329</v>
      </c>
      <c r="E992" s="250">
        <v>6111.625</v>
      </c>
    </row>
    <row r="993" spans="3:5" x14ac:dyDescent="0.35">
      <c r="C993" s="1" t="s">
        <v>5222</v>
      </c>
      <c r="D993" s="1" t="s">
        <v>2329</v>
      </c>
      <c r="E993" s="250">
        <v>6111.6260000000002</v>
      </c>
    </row>
    <row r="994" spans="3:5" x14ac:dyDescent="0.35">
      <c r="C994" s="1" t="s">
        <v>5221</v>
      </c>
      <c r="D994" s="1" t="s">
        <v>2329</v>
      </c>
      <c r="E994" s="250">
        <v>6111.6270000000004</v>
      </c>
    </row>
    <row r="995" spans="3:5" x14ac:dyDescent="0.35">
      <c r="C995" s="1" t="s">
        <v>5220</v>
      </c>
      <c r="D995" s="1" t="s">
        <v>2329</v>
      </c>
      <c r="E995" s="250">
        <v>6111.63</v>
      </c>
    </row>
    <row r="996" spans="3:5" x14ac:dyDescent="0.35">
      <c r="C996" s="1" t="s">
        <v>5219</v>
      </c>
      <c r="D996" s="1" t="s">
        <v>2329</v>
      </c>
      <c r="E996" s="250">
        <v>6111.6310000000003</v>
      </c>
    </row>
    <row r="997" spans="3:5" x14ac:dyDescent="0.35">
      <c r="C997" s="1" t="s">
        <v>5218</v>
      </c>
      <c r="D997" s="1" t="s">
        <v>2329</v>
      </c>
      <c r="E997" s="250">
        <v>6111.6319999999996</v>
      </c>
    </row>
    <row r="998" spans="3:5" x14ac:dyDescent="0.35">
      <c r="C998" s="1" t="s">
        <v>5217</v>
      </c>
      <c r="D998" s="1" t="s">
        <v>2329</v>
      </c>
      <c r="E998" s="250">
        <v>6111.6329999999998</v>
      </c>
    </row>
    <row r="999" spans="3:5" x14ac:dyDescent="0.35">
      <c r="C999" s="1" t="s">
        <v>5216</v>
      </c>
      <c r="D999" s="1" t="s">
        <v>2329</v>
      </c>
      <c r="E999" s="250">
        <v>6111.634</v>
      </c>
    </row>
    <row r="1000" spans="3:5" x14ac:dyDescent="0.35">
      <c r="C1000" s="1" t="s">
        <v>5215</v>
      </c>
      <c r="D1000" s="1" t="s">
        <v>2329</v>
      </c>
      <c r="E1000" s="250">
        <v>6111.6350000000002</v>
      </c>
    </row>
    <row r="1001" spans="3:5" x14ac:dyDescent="0.35">
      <c r="C1001" s="1" t="s">
        <v>5214</v>
      </c>
      <c r="D1001" s="1" t="s">
        <v>2329</v>
      </c>
      <c r="E1001" s="250">
        <v>6111.6360000000004</v>
      </c>
    </row>
    <row r="1002" spans="3:5" x14ac:dyDescent="0.35">
      <c r="C1002" s="1" t="s">
        <v>5213</v>
      </c>
      <c r="D1002" s="1" t="s">
        <v>2329</v>
      </c>
      <c r="E1002" s="250">
        <v>6111.6369999999997</v>
      </c>
    </row>
    <row r="1003" spans="3:5" x14ac:dyDescent="0.35">
      <c r="C1003" s="1" t="s">
        <v>5212</v>
      </c>
      <c r="D1003" s="1" t="s">
        <v>2329</v>
      </c>
      <c r="E1003" s="250">
        <v>6111.7</v>
      </c>
    </row>
    <row r="1004" spans="3:5" x14ac:dyDescent="0.35">
      <c r="C1004" s="1" t="s">
        <v>5211</v>
      </c>
      <c r="D1004" s="1" t="s">
        <v>2329</v>
      </c>
      <c r="E1004" s="250">
        <v>6111.701</v>
      </c>
    </row>
    <row r="1005" spans="3:5" x14ac:dyDescent="0.35">
      <c r="C1005" s="1" t="s">
        <v>5210</v>
      </c>
      <c r="D1005" s="1" t="s">
        <v>2329</v>
      </c>
      <c r="E1005" s="250">
        <v>6111.7020000000002</v>
      </c>
    </row>
    <row r="1006" spans="3:5" x14ac:dyDescent="0.35">
      <c r="C1006" s="1" t="s">
        <v>5209</v>
      </c>
      <c r="D1006" s="1" t="s">
        <v>2329</v>
      </c>
      <c r="E1006" s="250">
        <v>6111.7030000000004</v>
      </c>
    </row>
    <row r="1007" spans="3:5" x14ac:dyDescent="0.35">
      <c r="C1007" s="1" t="s">
        <v>5208</v>
      </c>
      <c r="D1007" s="1" t="s">
        <v>2329</v>
      </c>
      <c r="E1007" s="250">
        <v>6111.7039999999997</v>
      </c>
    </row>
    <row r="1008" spans="3:5" x14ac:dyDescent="0.35">
      <c r="C1008" s="1" t="s">
        <v>5207</v>
      </c>
      <c r="D1008" s="1" t="s">
        <v>2329</v>
      </c>
      <c r="E1008" s="250">
        <v>6111.7049999999999</v>
      </c>
    </row>
    <row r="1009" spans="3:5" x14ac:dyDescent="0.35">
      <c r="C1009" s="1" t="s">
        <v>5206</v>
      </c>
      <c r="D1009" s="1" t="s">
        <v>2329</v>
      </c>
      <c r="E1009" s="250">
        <v>6111.7060000000001</v>
      </c>
    </row>
    <row r="1010" spans="3:5" x14ac:dyDescent="0.35">
      <c r="C1010" s="1" t="s">
        <v>5205</v>
      </c>
      <c r="D1010" s="1" t="s">
        <v>2329</v>
      </c>
      <c r="E1010" s="250">
        <v>6111.7070000000003</v>
      </c>
    </row>
    <row r="1011" spans="3:5" x14ac:dyDescent="0.35">
      <c r="C1011" s="1" t="s">
        <v>5204</v>
      </c>
      <c r="D1011" s="1" t="s">
        <v>2329</v>
      </c>
      <c r="E1011" s="250">
        <v>6111.71</v>
      </c>
    </row>
    <row r="1012" spans="3:5" x14ac:dyDescent="0.35">
      <c r="C1012" s="1" t="s">
        <v>5203</v>
      </c>
      <c r="D1012" s="1" t="s">
        <v>2329</v>
      </c>
      <c r="E1012" s="250">
        <v>6111.7110000000002</v>
      </c>
    </row>
    <row r="1013" spans="3:5" x14ac:dyDescent="0.35">
      <c r="C1013" s="1" t="s">
        <v>5202</v>
      </c>
      <c r="D1013" s="1" t="s">
        <v>2329</v>
      </c>
      <c r="E1013" s="250">
        <v>6111.7120000000004</v>
      </c>
    </row>
    <row r="1014" spans="3:5" x14ac:dyDescent="0.35">
      <c r="C1014" s="1" t="s">
        <v>5201</v>
      </c>
      <c r="D1014" s="1" t="s">
        <v>2329</v>
      </c>
      <c r="E1014" s="250">
        <v>6111.7129999999997</v>
      </c>
    </row>
    <row r="1015" spans="3:5" x14ac:dyDescent="0.35">
      <c r="C1015" s="1" t="s">
        <v>5200</v>
      </c>
      <c r="D1015" s="1" t="s">
        <v>2329</v>
      </c>
      <c r="E1015" s="250">
        <v>6111.7139999999999</v>
      </c>
    </row>
    <row r="1016" spans="3:5" x14ac:dyDescent="0.35">
      <c r="C1016" s="1" t="s">
        <v>5199</v>
      </c>
      <c r="D1016" s="1" t="s">
        <v>2329</v>
      </c>
      <c r="E1016" s="250">
        <v>6111.7150000000001</v>
      </c>
    </row>
    <row r="1017" spans="3:5" x14ac:dyDescent="0.35">
      <c r="C1017" s="1" t="s">
        <v>5198</v>
      </c>
      <c r="D1017" s="1" t="s">
        <v>2329</v>
      </c>
      <c r="E1017" s="250">
        <v>6111.7160000000003</v>
      </c>
    </row>
    <row r="1018" spans="3:5" x14ac:dyDescent="0.35">
      <c r="C1018" s="1" t="s">
        <v>5197</v>
      </c>
      <c r="D1018" s="1" t="s">
        <v>2329</v>
      </c>
      <c r="E1018" s="250">
        <v>6111.7169999999996</v>
      </c>
    </row>
    <row r="1019" spans="3:5" x14ac:dyDescent="0.35">
      <c r="C1019" s="1" t="s">
        <v>5196</v>
      </c>
      <c r="D1019" s="1" t="s">
        <v>2329</v>
      </c>
      <c r="E1019" s="250">
        <v>6111.72</v>
      </c>
    </row>
    <row r="1020" spans="3:5" x14ac:dyDescent="0.35">
      <c r="C1020" s="1" t="s">
        <v>5195</v>
      </c>
      <c r="D1020" s="1" t="s">
        <v>2329</v>
      </c>
      <c r="E1020" s="250">
        <v>6111.7209999999995</v>
      </c>
    </row>
    <row r="1021" spans="3:5" x14ac:dyDescent="0.35">
      <c r="C1021" s="1" t="s">
        <v>5194</v>
      </c>
      <c r="D1021" s="1" t="s">
        <v>2329</v>
      </c>
      <c r="E1021" s="250">
        <v>6111.7219999999998</v>
      </c>
    </row>
    <row r="1022" spans="3:5" x14ac:dyDescent="0.35">
      <c r="C1022" s="1" t="s">
        <v>5193</v>
      </c>
      <c r="D1022" s="1" t="s">
        <v>2329</v>
      </c>
      <c r="E1022" s="250">
        <v>6111.723</v>
      </c>
    </row>
    <row r="1023" spans="3:5" x14ac:dyDescent="0.35">
      <c r="C1023" s="1" t="s">
        <v>5192</v>
      </c>
      <c r="D1023" s="1" t="s">
        <v>2329</v>
      </c>
      <c r="E1023" s="250">
        <v>6111.7240000000002</v>
      </c>
    </row>
    <row r="1024" spans="3:5" x14ac:dyDescent="0.35">
      <c r="C1024" s="1" t="s">
        <v>5191</v>
      </c>
      <c r="D1024" s="1" t="s">
        <v>2329</v>
      </c>
      <c r="E1024" s="250">
        <v>6111.7250000000004</v>
      </c>
    </row>
    <row r="1025" spans="3:5" x14ac:dyDescent="0.35">
      <c r="C1025" s="1" t="s">
        <v>5190</v>
      </c>
      <c r="D1025" s="1" t="s">
        <v>2329</v>
      </c>
      <c r="E1025" s="250">
        <v>6111.7259999999997</v>
      </c>
    </row>
    <row r="1026" spans="3:5" x14ac:dyDescent="0.35">
      <c r="C1026" s="1" t="s">
        <v>5189</v>
      </c>
      <c r="D1026" s="1" t="s">
        <v>2329</v>
      </c>
      <c r="E1026" s="250">
        <v>6111.7269999999999</v>
      </c>
    </row>
    <row r="1027" spans="3:5" x14ac:dyDescent="0.35">
      <c r="C1027" s="1" t="s">
        <v>5188</v>
      </c>
      <c r="D1027" s="1" t="s">
        <v>2329</v>
      </c>
      <c r="E1027" s="250">
        <v>6111.73</v>
      </c>
    </row>
    <row r="1028" spans="3:5" x14ac:dyDescent="0.35">
      <c r="C1028" s="1" t="s">
        <v>5187</v>
      </c>
      <c r="D1028" s="1" t="s">
        <v>2329</v>
      </c>
      <c r="E1028" s="250">
        <v>6111.7309999999998</v>
      </c>
    </row>
    <row r="1029" spans="3:5" x14ac:dyDescent="0.35">
      <c r="C1029" s="1" t="s">
        <v>5186</v>
      </c>
      <c r="D1029" s="1" t="s">
        <v>2329</v>
      </c>
      <c r="E1029" s="250">
        <v>6111.732</v>
      </c>
    </row>
    <row r="1030" spans="3:5" x14ac:dyDescent="0.35">
      <c r="C1030" s="1" t="s">
        <v>5185</v>
      </c>
      <c r="D1030" s="1" t="s">
        <v>2329</v>
      </c>
      <c r="E1030" s="250">
        <v>6111.7330000000002</v>
      </c>
    </row>
    <row r="1031" spans="3:5" x14ac:dyDescent="0.35">
      <c r="C1031" s="1" t="s">
        <v>5184</v>
      </c>
      <c r="D1031" s="1" t="s">
        <v>2329</v>
      </c>
      <c r="E1031" s="250">
        <v>6111.7340000000004</v>
      </c>
    </row>
    <row r="1032" spans="3:5" x14ac:dyDescent="0.35">
      <c r="C1032" s="1" t="s">
        <v>5183</v>
      </c>
      <c r="D1032" s="1" t="s">
        <v>2329</v>
      </c>
      <c r="E1032" s="250">
        <v>6111.7349999999997</v>
      </c>
    </row>
    <row r="1033" spans="3:5" x14ac:dyDescent="0.35">
      <c r="C1033" s="1" t="s">
        <v>5182</v>
      </c>
      <c r="D1033" s="1" t="s">
        <v>2329</v>
      </c>
      <c r="E1033" s="250">
        <v>6111.7359999999999</v>
      </c>
    </row>
    <row r="1034" spans="3:5" x14ac:dyDescent="0.35">
      <c r="C1034" s="1" t="s">
        <v>5181</v>
      </c>
      <c r="D1034" s="1" t="s">
        <v>2329</v>
      </c>
      <c r="E1034" s="250">
        <v>6111.7370000000001</v>
      </c>
    </row>
    <row r="1035" spans="3:5" x14ac:dyDescent="0.35">
      <c r="C1035" s="1" t="s">
        <v>5180</v>
      </c>
      <c r="D1035" s="1" t="s">
        <v>2329</v>
      </c>
      <c r="E1035" s="250">
        <v>6111.74</v>
      </c>
    </row>
    <row r="1036" spans="3:5" x14ac:dyDescent="0.35">
      <c r="C1036" s="1" t="s">
        <v>5179</v>
      </c>
      <c r="D1036" s="1" t="s">
        <v>2329</v>
      </c>
      <c r="E1036" s="250">
        <v>6111.741</v>
      </c>
    </row>
    <row r="1037" spans="3:5" x14ac:dyDescent="0.35">
      <c r="C1037" s="1" t="s">
        <v>5178</v>
      </c>
      <c r="D1037" s="1" t="s">
        <v>2329</v>
      </c>
      <c r="E1037" s="250">
        <v>6111.7420000000002</v>
      </c>
    </row>
    <row r="1038" spans="3:5" x14ac:dyDescent="0.35">
      <c r="C1038" s="1" t="s">
        <v>5177</v>
      </c>
      <c r="D1038" s="1" t="s">
        <v>2329</v>
      </c>
      <c r="E1038" s="250">
        <v>6111.7430000000004</v>
      </c>
    </row>
    <row r="1039" spans="3:5" x14ac:dyDescent="0.35">
      <c r="C1039" s="1" t="s">
        <v>5176</v>
      </c>
      <c r="D1039" s="1" t="s">
        <v>2329</v>
      </c>
      <c r="E1039" s="250">
        <v>6111.7439999999997</v>
      </c>
    </row>
    <row r="1040" spans="3:5" x14ac:dyDescent="0.35">
      <c r="C1040" s="1" t="s">
        <v>5175</v>
      </c>
      <c r="D1040" s="1" t="s">
        <v>2329</v>
      </c>
      <c r="E1040" s="250">
        <v>6111.7449999999999</v>
      </c>
    </row>
    <row r="1041" spans="3:5" x14ac:dyDescent="0.35">
      <c r="C1041" s="1" t="s">
        <v>5174</v>
      </c>
      <c r="D1041" s="1" t="s">
        <v>2329</v>
      </c>
      <c r="E1041" s="250">
        <v>6111.7460000000001</v>
      </c>
    </row>
    <row r="1042" spans="3:5" x14ac:dyDescent="0.35">
      <c r="C1042" s="1" t="s">
        <v>5173</v>
      </c>
      <c r="D1042" s="1" t="s">
        <v>2329</v>
      </c>
      <c r="E1042" s="250">
        <v>6111.7470000000003</v>
      </c>
    </row>
    <row r="1043" spans="3:5" x14ac:dyDescent="0.35">
      <c r="C1043" s="1" t="s">
        <v>5172</v>
      </c>
      <c r="D1043" s="1" t="s">
        <v>2329</v>
      </c>
      <c r="E1043" s="250">
        <v>6111.8</v>
      </c>
    </row>
    <row r="1044" spans="3:5" x14ac:dyDescent="0.35">
      <c r="C1044" s="1" t="s">
        <v>5171</v>
      </c>
      <c r="D1044" s="1" t="s">
        <v>2329</v>
      </c>
      <c r="E1044" s="250">
        <v>6111.8010000000004</v>
      </c>
    </row>
    <row r="1045" spans="3:5" x14ac:dyDescent="0.35">
      <c r="C1045" s="1" t="s">
        <v>5170</v>
      </c>
      <c r="D1045" s="1" t="s">
        <v>2329</v>
      </c>
      <c r="E1045" s="250">
        <v>6111.8019999999997</v>
      </c>
    </row>
    <row r="1046" spans="3:5" x14ac:dyDescent="0.35">
      <c r="C1046" s="1" t="s">
        <v>5169</v>
      </c>
      <c r="D1046" s="1" t="s">
        <v>2329</v>
      </c>
      <c r="E1046" s="250">
        <v>6111.8029999999999</v>
      </c>
    </row>
    <row r="1047" spans="3:5" x14ac:dyDescent="0.35">
      <c r="C1047" s="1" t="s">
        <v>5168</v>
      </c>
      <c r="D1047" s="1" t="s">
        <v>2329</v>
      </c>
      <c r="E1047" s="250">
        <v>6111.8040000000001</v>
      </c>
    </row>
    <row r="1048" spans="3:5" x14ac:dyDescent="0.35">
      <c r="C1048" s="1" t="s">
        <v>5167</v>
      </c>
      <c r="D1048" s="1" t="s">
        <v>2329</v>
      </c>
      <c r="E1048" s="250">
        <v>6111.8050000000003</v>
      </c>
    </row>
    <row r="1049" spans="3:5" x14ac:dyDescent="0.35">
      <c r="C1049" s="1" t="s">
        <v>5166</v>
      </c>
      <c r="D1049" s="1" t="s">
        <v>2329</v>
      </c>
      <c r="E1049" s="250">
        <v>6111.8059999999996</v>
      </c>
    </row>
    <row r="1050" spans="3:5" x14ac:dyDescent="0.35">
      <c r="C1050" s="1" t="s">
        <v>5165</v>
      </c>
      <c r="D1050" s="1" t="s">
        <v>2329</v>
      </c>
      <c r="E1050" s="250">
        <v>6111.8069999999998</v>
      </c>
    </row>
    <row r="1051" spans="3:5" x14ac:dyDescent="0.35">
      <c r="C1051" s="1" t="s">
        <v>5164</v>
      </c>
      <c r="D1051" s="1" t="s">
        <v>2329</v>
      </c>
      <c r="E1051" s="250">
        <v>6111.81</v>
      </c>
    </row>
    <row r="1052" spans="3:5" x14ac:dyDescent="0.35">
      <c r="C1052" s="1" t="s">
        <v>5163</v>
      </c>
      <c r="D1052" s="1" t="s">
        <v>2329</v>
      </c>
      <c r="E1052" s="250">
        <v>6111.8109999999997</v>
      </c>
    </row>
    <row r="1053" spans="3:5" x14ac:dyDescent="0.35">
      <c r="C1053" s="1" t="s">
        <v>5162</v>
      </c>
      <c r="D1053" s="1" t="s">
        <v>2329</v>
      </c>
      <c r="E1053" s="250">
        <v>6111.8119999999999</v>
      </c>
    </row>
    <row r="1054" spans="3:5" x14ac:dyDescent="0.35">
      <c r="C1054" s="1" t="s">
        <v>5161</v>
      </c>
      <c r="D1054" s="1" t="s">
        <v>2329</v>
      </c>
      <c r="E1054" s="250">
        <v>6111.8130000000001</v>
      </c>
    </row>
    <row r="1055" spans="3:5" x14ac:dyDescent="0.35">
      <c r="C1055" s="1" t="s">
        <v>5160</v>
      </c>
      <c r="D1055" s="1" t="s">
        <v>2329</v>
      </c>
      <c r="E1055" s="250">
        <v>6111.8140000000003</v>
      </c>
    </row>
    <row r="1056" spans="3:5" x14ac:dyDescent="0.35">
      <c r="C1056" s="1" t="s">
        <v>5159</v>
      </c>
      <c r="D1056" s="1" t="s">
        <v>2329</v>
      </c>
      <c r="E1056" s="250">
        <v>6111.8149999999996</v>
      </c>
    </row>
    <row r="1057" spans="3:5" x14ac:dyDescent="0.35">
      <c r="C1057" s="1" t="s">
        <v>5158</v>
      </c>
      <c r="D1057" s="1" t="s">
        <v>2329</v>
      </c>
      <c r="E1057" s="250">
        <v>6111.8159999999998</v>
      </c>
    </row>
    <row r="1058" spans="3:5" x14ac:dyDescent="0.35">
      <c r="C1058" s="1" t="s">
        <v>5157</v>
      </c>
      <c r="D1058" s="1" t="s">
        <v>2329</v>
      </c>
      <c r="E1058" s="250">
        <v>6111.817</v>
      </c>
    </row>
    <row r="1059" spans="3:5" x14ac:dyDescent="0.35">
      <c r="C1059" s="1" t="s">
        <v>5156</v>
      </c>
      <c r="D1059" s="1" t="s">
        <v>2329</v>
      </c>
      <c r="E1059" s="250">
        <v>6111.82</v>
      </c>
    </row>
    <row r="1060" spans="3:5" x14ac:dyDescent="0.35">
      <c r="C1060" s="1" t="s">
        <v>5155</v>
      </c>
      <c r="D1060" s="1" t="s">
        <v>2329</v>
      </c>
      <c r="E1060" s="250">
        <v>6111.8209999999999</v>
      </c>
    </row>
    <row r="1061" spans="3:5" x14ac:dyDescent="0.35">
      <c r="C1061" s="1" t="s">
        <v>5154</v>
      </c>
      <c r="D1061" s="1" t="s">
        <v>2329</v>
      </c>
      <c r="E1061" s="250">
        <v>6111.8220000000001</v>
      </c>
    </row>
    <row r="1062" spans="3:5" x14ac:dyDescent="0.35">
      <c r="C1062" s="1" t="s">
        <v>5153</v>
      </c>
      <c r="D1062" s="1" t="s">
        <v>2329</v>
      </c>
      <c r="E1062" s="250">
        <v>6111.8230000000003</v>
      </c>
    </row>
    <row r="1063" spans="3:5" x14ac:dyDescent="0.35">
      <c r="C1063" s="1" t="s">
        <v>5152</v>
      </c>
      <c r="D1063" s="1" t="s">
        <v>2329</v>
      </c>
      <c r="E1063" s="250">
        <v>6111.8239999999996</v>
      </c>
    </row>
    <row r="1064" spans="3:5" x14ac:dyDescent="0.35">
      <c r="C1064" s="1" t="s">
        <v>5151</v>
      </c>
      <c r="D1064" s="1" t="s">
        <v>2329</v>
      </c>
      <c r="E1064" s="250">
        <v>6111.8249999999998</v>
      </c>
    </row>
    <row r="1065" spans="3:5" x14ac:dyDescent="0.35">
      <c r="C1065" s="1" t="s">
        <v>5150</v>
      </c>
      <c r="D1065" s="1" t="s">
        <v>2329</v>
      </c>
      <c r="E1065" s="250">
        <v>6111.826</v>
      </c>
    </row>
    <row r="1066" spans="3:5" x14ac:dyDescent="0.35">
      <c r="C1066" s="1" t="s">
        <v>5149</v>
      </c>
      <c r="D1066" s="1" t="s">
        <v>2329</v>
      </c>
      <c r="E1066" s="250">
        <v>6111.8270000000002</v>
      </c>
    </row>
    <row r="1067" spans="3:5" x14ac:dyDescent="0.35">
      <c r="C1067" s="1" t="s">
        <v>5148</v>
      </c>
      <c r="D1067" s="1" t="s">
        <v>2329</v>
      </c>
      <c r="E1067" s="250">
        <v>6111.83</v>
      </c>
    </row>
    <row r="1068" spans="3:5" x14ac:dyDescent="0.35">
      <c r="C1068" s="1" t="s">
        <v>5147</v>
      </c>
      <c r="D1068" s="1" t="s">
        <v>2329</v>
      </c>
      <c r="E1068" s="250">
        <v>6111.8310000000001</v>
      </c>
    </row>
    <row r="1069" spans="3:5" x14ac:dyDescent="0.35">
      <c r="C1069" s="1" t="s">
        <v>5146</v>
      </c>
      <c r="D1069" s="1" t="s">
        <v>2329</v>
      </c>
      <c r="E1069" s="250">
        <v>6111.8320000000003</v>
      </c>
    </row>
    <row r="1070" spans="3:5" x14ac:dyDescent="0.35">
      <c r="C1070" s="1" t="s">
        <v>5145</v>
      </c>
      <c r="D1070" s="1" t="s">
        <v>2329</v>
      </c>
      <c r="E1070" s="250">
        <v>6111.8329999999996</v>
      </c>
    </row>
    <row r="1071" spans="3:5" x14ac:dyDescent="0.35">
      <c r="C1071" s="1" t="s">
        <v>5144</v>
      </c>
      <c r="D1071" s="1" t="s">
        <v>2329</v>
      </c>
      <c r="E1071" s="250">
        <v>6111.8339999999998</v>
      </c>
    </row>
    <row r="1072" spans="3:5" x14ac:dyDescent="0.35">
      <c r="C1072" s="1" t="s">
        <v>5143</v>
      </c>
      <c r="D1072" s="1" t="s">
        <v>2329</v>
      </c>
      <c r="E1072" s="250">
        <v>6111.835</v>
      </c>
    </row>
    <row r="1073" spans="3:5" x14ac:dyDescent="0.35">
      <c r="C1073" s="1" t="s">
        <v>5142</v>
      </c>
      <c r="D1073" s="1" t="s">
        <v>2329</v>
      </c>
      <c r="E1073" s="250">
        <v>6111.8360000000002</v>
      </c>
    </row>
    <row r="1074" spans="3:5" x14ac:dyDescent="0.35">
      <c r="C1074" s="1" t="s">
        <v>5141</v>
      </c>
      <c r="D1074" s="1" t="s">
        <v>2329</v>
      </c>
      <c r="E1074" s="250">
        <v>6111.8370000000004</v>
      </c>
    </row>
    <row r="1075" spans="3:5" x14ac:dyDescent="0.35">
      <c r="C1075" s="1" t="s">
        <v>5140</v>
      </c>
      <c r="D1075" s="1" t="s">
        <v>2329</v>
      </c>
      <c r="E1075" s="250">
        <v>6111.9</v>
      </c>
    </row>
    <row r="1076" spans="3:5" x14ac:dyDescent="0.35">
      <c r="C1076" s="1" t="s">
        <v>5139</v>
      </c>
      <c r="D1076" s="1" t="s">
        <v>2329</v>
      </c>
      <c r="E1076" s="250">
        <v>6111.9009999999998</v>
      </c>
    </row>
    <row r="1077" spans="3:5" x14ac:dyDescent="0.35">
      <c r="C1077" s="1" t="s">
        <v>5138</v>
      </c>
      <c r="D1077" s="1" t="s">
        <v>2329</v>
      </c>
      <c r="E1077" s="250">
        <v>6111.902</v>
      </c>
    </row>
    <row r="1078" spans="3:5" x14ac:dyDescent="0.35">
      <c r="C1078" s="1" t="s">
        <v>5137</v>
      </c>
      <c r="D1078" s="1" t="s">
        <v>2329</v>
      </c>
      <c r="E1078" s="250">
        <v>6111.9030000000002</v>
      </c>
    </row>
    <row r="1079" spans="3:5" x14ac:dyDescent="0.35">
      <c r="C1079" s="1" t="s">
        <v>5136</v>
      </c>
      <c r="D1079" s="1" t="s">
        <v>2329</v>
      </c>
      <c r="E1079" s="250">
        <v>6111.9040000000005</v>
      </c>
    </row>
    <row r="1080" spans="3:5" x14ac:dyDescent="0.35">
      <c r="C1080" s="1" t="s">
        <v>5135</v>
      </c>
      <c r="D1080" s="1" t="s">
        <v>2329</v>
      </c>
      <c r="E1080" s="250">
        <v>6111.9049999999997</v>
      </c>
    </row>
    <row r="1081" spans="3:5" x14ac:dyDescent="0.35">
      <c r="C1081" s="1" t="s">
        <v>5134</v>
      </c>
      <c r="D1081" s="1" t="s">
        <v>2329</v>
      </c>
      <c r="E1081" s="250">
        <v>6111.9059999999999</v>
      </c>
    </row>
    <row r="1082" spans="3:5" x14ac:dyDescent="0.35">
      <c r="C1082" s="1" t="s">
        <v>5133</v>
      </c>
      <c r="D1082" s="1" t="s">
        <v>2329</v>
      </c>
      <c r="E1082" s="250">
        <v>6111.9070000000002</v>
      </c>
    </row>
    <row r="1083" spans="3:5" x14ac:dyDescent="0.35">
      <c r="C1083" s="1" t="s">
        <v>5132</v>
      </c>
      <c r="D1083" s="1" t="s">
        <v>2329</v>
      </c>
      <c r="E1083" s="250">
        <v>6111.91</v>
      </c>
    </row>
    <row r="1084" spans="3:5" x14ac:dyDescent="0.35">
      <c r="C1084" s="1" t="s">
        <v>5131</v>
      </c>
      <c r="D1084" s="1" t="s">
        <v>2329</v>
      </c>
      <c r="E1084" s="250">
        <v>6111.9110000000001</v>
      </c>
    </row>
    <row r="1085" spans="3:5" x14ac:dyDescent="0.35">
      <c r="C1085" s="1" t="s">
        <v>5130</v>
      </c>
      <c r="D1085" s="1" t="s">
        <v>2329</v>
      </c>
      <c r="E1085" s="250">
        <v>6111.9120000000003</v>
      </c>
    </row>
    <row r="1086" spans="3:5" x14ac:dyDescent="0.35">
      <c r="C1086" s="1" t="s">
        <v>5129</v>
      </c>
      <c r="D1086" s="1" t="s">
        <v>2329</v>
      </c>
      <c r="E1086" s="250">
        <v>6111.9129999999996</v>
      </c>
    </row>
    <row r="1087" spans="3:5" x14ac:dyDescent="0.35">
      <c r="C1087" s="1" t="s">
        <v>5128</v>
      </c>
      <c r="D1087" s="1" t="s">
        <v>2329</v>
      </c>
      <c r="E1087" s="250">
        <v>6111.9139999999998</v>
      </c>
    </row>
    <row r="1088" spans="3:5" x14ac:dyDescent="0.35">
      <c r="C1088" s="1" t="s">
        <v>5127</v>
      </c>
      <c r="D1088" s="1" t="s">
        <v>2329</v>
      </c>
      <c r="E1088" s="250">
        <v>6111.915</v>
      </c>
    </row>
    <row r="1089" spans="3:5" x14ac:dyDescent="0.35">
      <c r="C1089" s="1" t="s">
        <v>5126</v>
      </c>
      <c r="D1089" s="1" t="s">
        <v>2329</v>
      </c>
      <c r="E1089" s="250">
        <v>6111.9160000000002</v>
      </c>
    </row>
    <row r="1090" spans="3:5" x14ac:dyDescent="0.35">
      <c r="C1090" s="1" t="s">
        <v>5125</v>
      </c>
      <c r="D1090" s="1" t="s">
        <v>2329</v>
      </c>
      <c r="E1090" s="250">
        <v>6111.9170000000004</v>
      </c>
    </row>
    <row r="1091" spans="3:5" x14ac:dyDescent="0.35">
      <c r="C1091" s="1" t="s">
        <v>5124</v>
      </c>
      <c r="D1091" s="1" t="s">
        <v>2329</v>
      </c>
      <c r="E1091" s="250">
        <v>6111.92</v>
      </c>
    </row>
    <row r="1092" spans="3:5" x14ac:dyDescent="0.35">
      <c r="C1092" s="1" t="s">
        <v>5123</v>
      </c>
      <c r="D1092" s="1" t="s">
        <v>2329</v>
      </c>
      <c r="E1092" s="250">
        <v>6111.9210000000003</v>
      </c>
    </row>
    <row r="1093" spans="3:5" x14ac:dyDescent="0.35">
      <c r="C1093" s="1" t="s">
        <v>5122</v>
      </c>
      <c r="D1093" s="1" t="s">
        <v>2329</v>
      </c>
      <c r="E1093" s="250">
        <v>6111.9219999999996</v>
      </c>
    </row>
    <row r="1094" spans="3:5" x14ac:dyDescent="0.35">
      <c r="C1094" s="1" t="s">
        <v>5121</v>
      </c>
      <c r="D1094" s="1" t="s">
        <v>2329</v>
      </c>
      <c r="E1094" s="250">
        <v>6111.9229999999998</v>
      </c>
    </row>
    <row r="1095" spans="3:5" x14ac:dyDescent="0.35">
      <c r="C1095" s="1" t="s">
        <v>5120</v>
      </c>
      <c r="D1095" s="1" t="s">
        <v>2329</v>
      </c>
      <c r="E1095" s="250">
        <v>6111.924</v>
      </c>
    </row>
    <row r="1096" spans="3:5" x14ac:dyDescent="0.35">
      <c r="C1096" s="1" t="s">
        <v>5119</v>
      </c>
      <c r="D1096" s="1" t="s">
        <v>2329</v>
      </c>
      <c r="E1096" s="250">
        <v>6111.9250000000002</v>
      </c>
    </row>
    <row r="1097" spans="3:5" x14ac:dyDescent="0.35">
      <c r="C1097" s="1" t="s">
        <v>5118</v>
      </c>
      <c r="D1097" s="1" t="s">
        <v>2329</v>
      </c>
      <c r="E1097" s="250">
        <v>6111.9260000000004</v>
      </c>
    </row>
    <row r="1098" spans="3:5" x14ac:dyDescent="0.35">
      <c r="C1098" s="1" t="s">
        <v>5117</v>
      </c>
      <c r="D1098" s="1" t="s">
        <v>2329</v>
      </c>
      <c r="E1098" s="250">
        <v>6111.9269999999997</v>
      </c>
    </row>
    <row r="1099" spans="3:5" x14ac:dyDescent="0.35">
      <c r="C1099" s="1" t="s">
        <v>5116</v>
      </c>
      <c r="D1099" s="1" t="s">
        <v>2329</v>
      </c>
      <c r="E1099" s="250">
        <v>6111.93</v>
      </c>
    </row>
    <row r="1100" spans="3:5" x14ac:dyDescent="0.35">
      <c r="C1100" s="1" t="s">
        <v>5115</v>
      </c>
      <c r="D1100" s="1" t="s">
        <v>2329</v>
      </c>
      <c r="E1100" s="250">
        <v>6111.9309999999996</v>
      </c>
    </row>
    <row r="1101" spans="3:5" x14ac:dyDescent="0.35">
      <c r="C1101" s="1" t="s">
        <v>5114</v>
      </c>
      <c r="D1101" s="1" t="s">
        <v>2329</v>
      </c>
      <c r="E1101" s="250">
        <v>6111.9319999999998</v>
      </c>
    </row>
    <row r="1102" spans="3:5" x14ac:dyDescent="0.35">
      <c r="C1102" s="1" t="s">
        <v>5113</v>
      </c>
      <c r="D1102" s="1" t="s">
        <v>2329</v>
      </c>
      <c r="E1102" s="250">
        <v>6111.933</v>
      </c>
    </row>
    <row r="1103" spans="3:5" x14ac:dyDescent="0.35">
      <c r="C1103" s="1" t="s">
        <v>5112</v>
      </c>
      <c r="D1103" s="1" t="s">
        <v>2329</v>
      </c>
      <c r="E1103" s="250">
        <v>6111.9340000000002</v>
      </c>
    </row>
    <row r="1104" spans="3:5" x14ac:dyDescent="0.35">
      <c r="C1104" s="1" t="s">
        <v>5111</v>
      </c>
      <c r="D1104" s="1" t="s">
        <v>2329</v>
      </c>
      <c r="E1104" s="250">
        <v>6111.9350000000004</v>
      </c>
    </row>
    <row r="1105" spans="3:5" x14ac:dyDescent="0.35">
      <c r="C1105" s="1" t="s">
        <v>5110</v>
      </c>
      <c r="D1105" s="1" t="s">
        <v>2329</v>
      </c>
      <c r="E1105" s="250">
        <v>6111.9359999999997</v>
      </c>
    </row>
    <row r="1106" spans="3:5" x14ac:dyDescent="0.35">
      <c r="C1106" s="1" t="s">
        <v>5109</v>
      </c>
      <c r="D1106" s="1" t="s">
        <v>2329</v>
      </c>
      <c r="E1106" s="250">
        <v>6111.9369999999999</v>
      </c>
    </row>
    <row r="1107" spans="3:5" x14ac:dyDescent="0.35">
      <c r="C1107" s="1" t="s">
        <v>5108</v>
      </c>
      <c r="D1107" s="1" t="s">
        <v>2329</v>
      </c>
      <c r="E1107" s="250">
        <v>6111.94</v>
      </c>
    </row>
    <row r="1108" spans="3:5" x14ac:dyDescent="0.35">
      <c r="C1108" s="1" t="s">
        <v>5107</v>
      </c>
      <c r="D1108" s="1" t="s">
        <v>2329</v>
      </c>
      <c r="E1108" s="250">
        <v>6111.9409999999998</v>
      </c>
    </row>
    <row r="1109" spans="3:5" x14ac:dyDescent="0.35">
      <c r="C1109" s="1" t="s">
        <v>5106</v>
      </c>
      <c r="D1109" s="1" t="s">
        <v>2329</v>
      </c>
      <c r="E1109" s="250">
        <v>6111.942</v>
      </c>
    </row>
    <row r="1110" spans="3:5" x14ac:dyDescent="0.35">
      <c r="C1110" s="1" t="s">
        <v>5105</v>
      </c>
      <c r="D1110" s="1" t="s">
        <v>2329</v>
      </c>
      <c r="E1110" s="250">
        <v>6111.9430000000002</v>
      </c>
    </row>
    <row r="1111" spans="3:5" x14ac:dyDescent="0.35">
      <c r="C1111" s="1" t="s">
        <v>5104</v>
      </c>
      <c r="D1111" s="1" t="s">
        <v>2329</v>
      </c>
      <c r="E1111" s="250">
        <v>6111.9440000000004</v>
      </c>
    </row>
    <row r="1112" spans="3:5" x14ac:dyDescent="0.35">
      <c r="C1112" s="1" t="s">
        <v>5103</v>
      </c>
      <c r="D1112" s="1" t="s">
        <v>2329</v>
      </c>
      <c r="E1112" s="250">
        <v>6111.9449999999997</v>
      </c>
    </row>
    <row r="1113" spans="3:5" x14ac:dyDescent="0.35">
      <c r="C1113" s="1" t="s">
        <v>5102</v>
      </c>
      <c r="D1113" s="1" t="s">
        <v>2329</v>
      </c>
      <c r="E1113" s="250">
        <v>6111.9459999999999</v>
      </c>
    </row>
    <row r="1114" spans="3:5" x14ac:dyDescent="0.35">
      <c r="C1114" s="1" t="s">
        <v>5101</v>
      </c>
      <c r="D1114" s="1" t="s">
        <v>2329</v>
      </c>
      <c r="E1114" s="250">
        <v>6111.9470000000001</v>
      </c>
    </row>
    <row r="1115" spans="3:5" x14ac:dyDescent="0.35">
      <c r="C1115" s="1" t="s">
        <v>5100</v>
      </c>
      <c r="D1115" s="1" t="s">
        <v>19</v>
      </c>
      <c r="E1115" s="250">
        <v>6112.0110000000004</v>
      </c>
    </row>
    <row r="1116" spans="3:5" x14ac:dyDescent="0.35">
      <c r="C1116" s="1" t="s">
        <v>5099</v>
      </c>
      <c r="D1116" s="1" t="s">
        <v>19</v>
      </c>
      <c r="E1116" s="250">
        <v>6112.0119999999997</v>
      </c>
    </row>
    <row r="1117" spans="3:5" x14ac:dyDescent="0.35">
      <c r="C1117" s="1" t="s">
        <v>5098</v>
      </c>
      <c r="D1117" s="1" t="s">
        <v>19</v>
      </c>
      <c r="E1117" s="250">
        <v>6112.0129999999999</v>
      </c>
    </row>
    <row r="1118" spans="3:5" x14ac:dyDescent="0.35">
      <c r="C1118" s="1" t="s">
        <v>5097</v>
      </c>
      <c r="D1118" s="1" t="s">
        <v>19</v>
      </c>
      <c r="E1118" s="250">
        <v>6112.0140000000001</v>
      </c>
    </row>
    <row r="1119" spans="3:5" x14ac:dyDescent="0.35">
      <c r="C1119" s="1" t="s">
        <v>5096</v>
      </c>
      <c r="D1119" s="1" t="s">
        <v>19</v>
      </c>
      <c r="E1119" s="250">
        <v>6112.0150000000003</v>
      </c>
    </row>
    <row r="1120" spans="3:5" x14ac:dyDescent="0.35">
      <c r="C1120" s="1" t="s">
        <v>5095</v>
      </c>
      <c r="D1120" s="1" t="s">
        <v>19</v>
      </c>
      <c r="E1120" s="250">
        <v>6112.0159999999996</v>
      </c>
    </row>
    <row r="1121" spans="3:5" x14ac:dyDescent="0.35">
      <c r="C1121" s="1" t="s">
        <v>5094</v>
      </c>
      <c r="D1121" s="1" t="s">
        <v>19</v>
      </c>
      <c r="E1121" s="250">
        <v>6112.0169999999998</v>
      </c>
    </row>
    <row r="1122" spans="3:5" x14ac:dyDescent="0.35">
      <c r="C1122" s="1" t="s">
        <v>5093</v>
      </c>
      <c r="D1122" s="1" t="s">
        <v>19</v>
      </c>
      <c r="E1122" s="250">
        <v>6112.018</v>
      </c>
    </row>
    <row r="1123" spans="3:5" x14ac:dyDescent="0.35">
      <c r="C1123" s="1" t="s">
        <v>5092</v>
      </c>
      <c r="D1123" s="1" t="s">
        <v>19</v>
      </c>
      <c r="E1123" s="250">
        <v>6112.0190000000002</v>
      </c>
    </row>
    <row r="1124" spans="3:5" x14ac:dyDescent="0.35">
      <c r="C1124" s="1" t="s">
        <v>5091</v>
      </c>
      <c r="D1124" s="1" t="s">
        <v>19</v>
      </c>
      <c r="E1124" s="250">
        <v>6112.02</v>
      </c>
    </row>
    <row r="1125" spans="3:5" x14ac:dyDescent="0.35">
      <c r="C1125" s="1" t="s">
        <v>5090</v>
      </c>
      <c r="D1125" s="1" t="s">
        <v>19</v>
      </c>
      <c r="E1125" s="250">
        <v>6112.0209999999997</v>
      </c>
    </row>
    <row r="1126" spans="3:5" x14ac:dyDescent="0.35">
      <c r="C1126" s="1" t="s">
        <v>5089</v>
      </c>
      <c r="D1126" s="1" t="s">
        <v>19</v>
      </c>
      <c r="E1126" s="250">
        <v>6112.0219999999999</v>
      </c>
    </row>
    <row r="1127" spans="3:5" x14ac:dyDescent="0.35">
      <c r="C1127" s="1" t="s">
        <v>5088</v>
      </c>
      <c r="D1127" s="1" t="s">
        <v>19</v>
      </c>
      <c r="E1127" s="250">
        <v>6112.0230000000001</v>
      </c>
    </row>
    <row r="1128" spans="3:5" x14ac:dyDescent="0.35">
      <c r="C1128" s="1" t="s">
        <v>5087</v>
      </c>
      <c r="D1128" s="1" t="s">
        <v>19</v>
      </c>
      <c r="E1128" s="250">
        <v>6112.0240000000003</v>
      </c>
    </row>
    <row r="1129" spans="3:5" x14ac:dyDescent="0.35">
      <c r="C1129" s="1" t="s">
        <v>5086</v>
      </c>
      <c r="D1129" s="1" t="s">
        <v>19</v>
      </c>
      <c r="E1129" s="250">
        <v>6112.0249999999996</v>
      </c>
    </row>
    <row r="1130" spans="3:5" x14ac:dyDescent="0.35">
      <c r="C1130" s="1" t="s">
        <v>5085</v>
      </c>
      <c r="D1130" s="1" t="s">
        <v>19</v>
      </c>
      <c r="E1130" s="250">
        <v>6112.0259999999998</v>
      </c>
    </row>
    <row r="1131" spans="3:5" x14ac:dyDescent="0.35">
      <c r="C1131" s="1" t="s">
        <v>5084</v>
      </c>
      <c r="D1131" s="1" t="s">
        <v>19</v>
      </c>
      <c r="E1131" s="250">
        <v>6112.027</v>
      </c>
    </row>
    <row r="1132" spans="3:5" x14ac:dyDescent="0.35">
      <c r="C1132" s="1" t="s">
        <v>5083</v>
      </c>
      <c r="D1132" s="1" t="s">
        <v>19</v>
      </c>
      <c r="E1132" s="250">
        <v>6112.0280000000002</v>
      </c>
    </row>
    <row r="1133" spans="3:5" x14ac:dyDescent="0.35">
      <c r="C1133" s="1" t="s">
        <v>5082</v>
      </c>
      <c r="D1133" s="1" t="s">
        <v>19</v>
      </c>
      <c r="E1133" s="250">
        <v>6112.0290000000005</v>
      </c>
    </row>
    <row r="1134" spans="3:5" x14ac:dyDescent="0.35">
      <c r="C1134" s="1" t="s">
        <v>5081</v>
      </c>
      <c r="D1134" s="1" t="s">
        <v>19</v>
      </c>
      <c r="E1134" s="250">
        <v>6112.03</v>
      </c>
    </row>
    <row r="1135" spans="3:5" x14ac:dyDescent="0.35">
      <c r="C1135" s="1" t="s">
        <v>5080</v>
      </c>
      <c r="D1135" s="1" t="s">
        <v>19</v>
      </c>
      <c r="E1135" s="250">
        <v>6112.0309999999999</v>
      </c>
    </row>
    <row r="1136" spans="3:5" x14ac:dyDescent="0.35">
      <c r="C1136" s="1" t="s">
        <v>5079</v>
      </c>
      <c r="D1136" s="1" t="s">
        <v>19</v>
      </c>
      <c r="E1136" s="250">
        <v>6112.0320000000002</v>
      </c>
    </row>
    <row r="1137" spans="3:5" x14ac:dyDescent="0.35">
      <c r="C1137" s="1" t="s">
        <v>5078</v>
      </c>
      <c r="D1137" s="1" t="s">
        <v>19</v>
      </c>
      <c r="E1137" s="250">
        <v>6112.0330000000004</v>
      </c>
    </row>
    <row r="1138" spans="3:5" x14ac:dyDescent="0.35">
      <c r="C1138" s="1" t="s">
        <v>5077</v>
      </c>
      <c r="D1138" s="1" t="s">
        <v>19</v>
      </c>
      <c r="E1138" s="250">
        <v>6112.0339999999997</v>
      </c>
    </row>
    <row r="1139" spans="3:5" x14ac:dyDescent="0.35">
      <c r="C1139" s="1" t="s">
        <v>5076</v>
      </c>
      <c r="D1139" s="1" t="s">
        <v>19</v>
      </c>
      <c r="E1139" s="250">
        <v>6112.0349999999999</v>
      </c>
    </row>
    <row r="1140" spans="3:5" x14ac:dyDescent="0.35">
      <c r="C1140" s="1" t="s">
        <v>5075</v>
      </c>
      <c r="D1140" s="1" t="s">
        <v>19</v>
      </c>
      <c r="E1140" s="250">
        <v>6112.0360000000001</v>
      </c>
    </row>
    <row r="1141" spans="3:5" x14ac:dyDescent="0.35">
      <c r="C1141" s="1" t="s">
        <v>5074</v>
      </c>
      <c r="D1141" s="1" t="s">
        <v>19</v>
      </c>
      <c r="E1141" s="250">
        <v>6112.0370000000003</v>
      </c>
    </row>
    <row r="1142" spans="3:5" x14ac:dyDescent="0.35">
      <c r="C1142" s="1" t="s">
        <v>5073</v>
      </c>
      <c r="D1142" s="1" t="s">
        <v>19</v>
      </c>
      <c r="E1142" s="250">
        <v>6112.0379999999996</v>
      </c>
    </row>
    <row r="1143" spans="3:5" x14ac:dyDescent="0.35">
      <c r="C1143" s="1" t="s">
        <v>5072</v>
      </c>
      <c r="D1143" s="1" t="s">
        <v>19</v>
      </c>
      <c r="E1143" s="250">
        <v>6112.0389999999998</v>
      </c>
    </row>
    <row r="1144" spans="3:5" x14ac:dyDescent="0.35">
      <c r="C1144" s="1" t="s">
        <v>5071</v>
      </c>
      <c r="D1144" s="1" t="s">
        <v>19</v>
      </c>
      <c r="E1144" s="250">
        <v>6112.04</v>
      </c>
    </row>
    <row r="1145" spans="3:5" x14ac:dyDescent="0.35">
      <c r="C1145" s="1" t="s">
        <v>5070</v>
      </c>
      <c r="D1145" s="1" t="s">
        <v>66</v>
      </c>
      <c r="E1145" s="250">
        <v>6112.0450000000001</v>
      </c>
    </row>
    <row r="1146" spans="3:5" x14ac:dyDescent="0.35">
      <c r="C1146" s="1" t="s">
        <v>5069</v>
      </c>
      <c r="D1146" s="1" t="s">
        <v>2329</v>
      </c>
      <c r="E1146" s="250">
        <v>6112.05</v>
      </c>
    </row>
    <row r="1147" spans="3:5" x14ac:dyDescent="0.35">
      <c r="C1147" s="1" t="s">
        <v>5068</v>
      </c>
      <c r="D1147" s="1" t="s">
        <v>2329</v>
      </c>
      <c r="E1147" s="250">
        <v>6112.0510000000004</v>
      </c>
    </row>
    <row r="1148" spans="3:5" x14ac:dyDescent="0.35">
      <c r="C1148" s="1" t="s">
        <v>5067</v>
      </c>
      <c r="D1148" s="1" t="s">
        <v>2329</v>
      </c>
      <c r="E1148" s="250">
        <v>6112.0519999999997</v>
      </c>
    </row>
    <row r="1149" spans="3:5" x14ac:dyDescent="0.35">
      <c r="C1149" s="1" t="s">
        <v>5066</v>
      </c>
      <c r="D1149" s="1" t="s">
        <v>2329</v>
      </c>
      <c r="E1149" s="250">
        <v>6112.0529999999999</v>
      </c>
    </row>
    <row r="1150" spans="3:5" x14ac:dyDescent="0.35">
      <c r="C1150" s="1" t="s">
        <v>5065</v>
      </c>
      <c r="D1150" s="1" t="s">
        <v>2329</v>
      </c>
      <c r="E1150" s="250">
        <v>6112.0540000000001</v>
      </c>
    </row>
    <row r="1151" spans="3:5" x14ac:dyDescent="0.35">
      <c r="C1151" s="1" t="s">
        <v>5064</v>
      </c>
      <c r="D1151" s="1" t="s">
        <v>2329</v>
      </c>
      <c r="E1151" s="250">
        <v>6112.0550000000003</v>
      </c>
    </row>
    <row r="1152" spans="3:5" x14ac:dyDescent="0.35">
      <c r="C1152" s="1" t="s">
        <v>5063</v>
      </c>
      <c r="D1152" s="1" t="s">
        <v>2329</v>
      </c>
      <c r="E1152" s="250">
        <v>6112.0609999999997</v>
      </c>
    </row>
    <row r="1153" spans="3:5" x14ac:dyDescent="0.35">
      <c r="C1153" s="1" t="s">
        <v>5062</v>
      </c>
      <c r="D1153" s="1" t="s">
        <v>19</v>
      </c>
      <c r="E1153" s="250">
        <v>6112.0780000000004</v>
      </c>
    </row>
    <row r="1154" spans="3:5" x14ac:dyDescent="0.35">
      <c r="C1154" s="1" t="s">
        <v>5061</v>
      </c>
      <c r="D1154" s="1" t="s">
        <v>19</v>
      </c>
      <c r="E1154" s="250">
        <v>6112.0810000000001</v>
      </c>
    </row>
    <row r="1155" spans="3:5" x14ac:dyDescent="0.35">
      <c r="C1155" s="1" t="s">
        <v>5060</v>
      </c>
      <c r="D1155" s="1" t="s">
        <v>20</v>
      </c>
      <c r="E1155" s="250">
        <v>6112.2</v>
      </c>
    </row>
    <row r="1156" spans="3:5" x14ac:dyDescent="0.35">
      <c r="C1156" s="1" t="s">
        <v>5060</v>
      </c>
      <c r="D1156" s="1" t="s">
        <v>2329</v>
      </c>
      <c r="E1156" s="250">
        <v>6112.201</v>
      </c>
    </row>
    <row r="1157" spans="3:5" x14ac:dyDescent="0.35">
      <c r="C1157" s="1" t="s">
        <v>5059</v>
      </c>
      <c r="D1157" s="1" t="s">
        <v>20</v>
      </c>
      <c r="E1157" s="250">
        <v>6112.21</v>
      </c>
    </row>
    <row r="1158" spans="3:5" x14ac:dyDescent="0.35">
      <c r="C1158" s="1" t="s">
        <v>5059</v>
      </c>
      <c r="D1158" s="1" t="s">
        <v>2329</v>
      </c>
      <c r="E1158" s="250">
        <v>6112.2110000000002</v>
      </c>
    </row>
    <row r="1159" spans="3:5" x14ac:dyDescent="0.35">
      <c r="C1159" s="1" t="s">
        <v>5058</v>
      </c>
      <c r="D1159" s="1" t="s">
        <v>20</v>
      </c>
      <c r="E1159" s="250">
        <v>6112.22</v>
      </c>
    </row>
    <row r="1160" spans="3:5" x14ac:dyDescent="0.35">
      <c r="C1160" s="1" t="s">
        <v>5057</v>
      </c>
      <c r="D1160" s="1" t="s">
        <v>20</v>
      </c>
      <c r="E1160" s="250">
        <v>6112.23</v>
      </c>
    </row>
    <row r="1161" spans="3:5" x14ac:dyDescent="0.35">
      <c r="C1161" s="1" t="s">
        <v>5056</v>
      </c>
      <c r="D1161" s="1" t="s">
        <v>20</v>
      </c>
      <c r="E1161" s="250">
        <v>6112.24</v>
      </c>
    </row>
    <row r="1162" spans="3:5" x14ac:dyDescent="0.35">
      <c r="C1162" s="1" t="s">
        <v>5056</v>
      </c>
      <c r="D1162" s="1" t="s">
        <v>2329</v>
      </c>
      <c r="E1162" s="250">
        <v>6112.241</v>
      </c>
    </row>
    <row r="1163" spans="3:5" x14ac:dyDescent="0.35">
      <c r="C1163" s="1" t="s">
        <v>5055</v>
      </c>
      <c r="D1163" s="1" t="s">
        <v>20</v>
      </c>
      <c r="E1163" s="250">
        <v>6112.3</v>
      </c>
    </row>
    <row r="1164" spans="3:5" x14ac:dyDescent="0.35">
      <c r="C1164" s="1" t="s">
        <v>5055</v>
      </c>
      <c r="D1164" s="1" t="s">
        <v>2329</v>
      </c>
      <c r="E1164" s="250">
        <v>6112.3010000000004</v>
      </c>
    </row>
    <row r="1165" spans="3:5" x14ac:dyDescent="0.35">
      <c r="C1165" s="1" t="s">
        <v>5048</v>
      </c>
      <c r="D1165" s="1" t="s">
        <v>20</v>
      </c>
      <c r="E1165" s="250">
        <v>6112.31</v>
      </c>
    </row>
    <row r="1166" spans="3:5" x14ac:dyDescent="0.35">
      <c r="C1166" s="1" t="s">
        <v>5054</v>
      </c>
      <c r="D1166" s="1" t="s">
        <v>20</v>
      </c>
      <c r="E1166" s="250">
        <v>6112.3109999999997</v>
      </c>
    </row>
    <row r="1167" spans="3:5" x14ac:dyDescent="0.35">
      <c r="C1167" s="1" t="s">
        <v>5053</v>
      </c>
      <c r="D1167" s="1" t="s">
        <v>20</v>
      </c>
      <c r="E1167" s="250">
        <v>6112.3119999999999</v>
      </c>
    </row>
    <row r="1168" spans="3:5" x14ac:dyDescent="0.35">
      <c r="C1168" s="1" t="s">
        <v>5052</v>
      </c>
      <c r="D1168" s="1" t="s">
        <v>20</v>
      </c>
      <c r="E1168" s="250">
        <v>6112.32</v>
      </c>
    </row>
    <row r="1169" spans="3:5" x14ac:dyDescent="0.35">
      <c r="C1169" s="1" t="s">
        <v>5051</v>
      </c>
      <c r="D1169" s="1" t="s">
        <v>20</v>
      </c>
      <c r="E1169" s="250">
        <v>6112.3249999999998</v>
      </c>
    </row>
    <row r="1170" spans="3:5" x14ac:dyDescent="0.35">
      <c r="C1170" s="1" t="s">
        <v>5050</v>
      </c>
      <c r="D1170" s="1" t="s">
        <v>20</v>
      </c>
      <c r="E1170" s="250">
        <v>6112.33</v>
      </c>
    </row>
    <row r="1171" spans="3:5" x14ac:dyDescent="0.35">
      <c r="C1171" s="1" t="s">
        <v>5049</v>
      </c>
      <c r="D1171" s="1" t="s">
        <v>20</v>
      </c>
      <c r="E1171" s="250">
        <v>6112.3310000000001</v>
      </c>
    </row>
    <row r="1172" spans="3:5" x14ac:dyDescent="0.35">
      <c r="C1172" s="1" t="s">
        <v>5048</v>
      </c>
      <c r="D1172" s="1" t="s">
        <v>20</v>
      </c>
      <c r="E1172" s="250">
        <v>6112.3320000000003</v>
      </c>
    </row>
    <row r="1173" spans="3:5" x14ac:dyDescent="0.35">
      <c r="C1173" s="1" t="s">
        <v>5047</v>
      </c>
      <c r="D1173" s="1" t="s">
        <v>20</v>
      </c>
      <c r="E1173" s="250">
        <v>6112.34</v>
      </c>
    </row>
    <row r="1174" spans="3:5" x14ac:dyDescent="0.35">
      <c r="C1174" s="1" t="s">
        <v>5046</v>
      </c>
      <c r="D1174" s="1" t="s">
        <v>20</v>
      </c>
      <c r="E1174" s="250">
        <v>6112.3410000000003</v>
      </c>
    </row>
    <row r="1175" spans="3:5" x14ac:dyDescent="0.35">
      <c r="C1175" s="1" t="s">
        <v>5045</v>
      </c>
      <c r="D1175" s="1" t="s">
        <v>20</v>
      </c>
      <c r="E1175" s="250">
        <v>6112.5010000000002</v>
      </c>
    </row>
    <row r="1176" spans="3:5" x14ac:dyDescent="0.35">
      <c r="C1176" s="1" t="s">
        <v>5044</v>
      </c>
      <c r="D1176" s="1" t="s">
        <v>19</v>
      </c>
      <c r="E1176" s="250">
        <v>6112.5020000000004</v>
      </c>
    </row>
    <row r="1177" spans="3:5" x14ac:dyDescent="0.35">
      <c r="C1177" s="1" t="s">
        <v>5043</v>
      </c>
      <c r="D1177" s="1" t="s">
        <v>20</v>
      </c>
      <c r="E1177" s="250">
        <v>6112.5029999999997</v>
      </c>
    </row>
    <row r="1178" spans="3:5" x14ac:dyDescent="0.35">
      <c r="C1178" s="1" t="s">
        <v>5042</v>
      </c>
      <c r="D1178" s="1" t="s">
        <v>621</v>
      </c>
      <c r="E1178" s="250">
        <v>6112.5039999999999</v>
      </c>
    </row>
    <row r="1179" spans="3:5" x14ac:dyDescent="0.35">
      <c r="C1179" s="1" t="s">
        <v>5041</v>
      </c>
      <c r="D1179" s="1" t="s">
        <v>62</v>
      </c>
      <c r="E1179" s="250">
        <v>6112.5050000000001</v>
      </c>
    </row>
    <row r="1180" spans="3:5" x14ac:dyDescent="0.35">
      <c r="C1180" s="1" t="s">
        <v>5040</v>
      </c>
      <c r="D1180" s="1" t="s">
        <v>20</v>
      </c>
      <c r="E1180" s="250">
        <v>6112.52</v>
      </c>
    </row>
    <row r="1181" spans="3:5" x14ac:dyDescent="0.35">
      <c r="C1181" s="1" t="s">
        <v>5039</v>
      </c>
      <c r="D1181" s="1" t="s">
        <v>3023</v>
      </c>
      <c r="E1181" s="250">
        <v>6119.0110000000004</v>
      </c>
    </row>
    <row r="1182" spans="3:5" x14ac:dyDescent="0.35">
      <c r="C1182" s="1" t="s">
        <v>5038</v>
      </c>
      <c r="D1182" s="1" t="s">
        <v>3023</v>
      </c>
      <c r="E1182" s="250">
        <v>6119.0119999999997</v>
      </c>
    </row>
    <row r="1183" spans="3:5" x14ac:dyDescent="0.35">
      <c r="C1183" s="1" t="s">
        <v>5037</v>
      </c>
      <c r="D1183" s="1" t="s">
        <v>3023</v>
      </c>
      <c r="E1183" s="250">
        <v>6119.0129999999999</v>
      </c>
    </row>
    <row r="1184" spans="3:5" x14ac:dyDescent="0.35">
      <c r="C1184" s="1" t="s">
        <v>5036</v>
      </c>
      <c r="D1184" s="1" t="s">
        <v>3023</v>
      </c>
      <c r="E1184" s="250">
        <v>6119.0140000000001</v>
      </c>
    </row>
    <row r="1185" spans="3:5" x14ac:dyDescent="0.35">
      <c r="C1185" s="1" t="s">
        <v>5035</v>
      </c>
      <c r="D1185" s="1" t="s">
        <v>3023</v>
      </c>
      <c r="E1185" s="250">
        <v>6119.0150000000003</v>
      </c>
    </row>
    <row r="1186" spans="3:5" x14ac:dyDescent="0.35">
      <c r="C1186" s="1" t="s">
        <v>5034</v>
      </c>
      <c r="D1186" s="1" t="s">
        <v>3023</v>
      </c>
      <c r="E1186" s="250">
        <v>6119.0159999999996</v>
      </c>
    </row>
    <row r="1187" spans="3:5" x14ac:dyDescent="0.35">
      <c r="C1187" s="1" t="s">
        <v>5033</v>
      </c>
      <c r="D1187" s="1" t="s">
        <v>3023</v>
      </c>
      <c r="E1187" s="250">
        <v>6119.0169999999998</v>
      </c>
    </row>
    <row r="1188" spans="3:5" x14ac:dyDescent="0.35">
      <c r="C1188" s="1" t="s">
        <v>5032</v>
      </c>
      <c r="D1188" s="1" t="s">
        <v>3023</v>
      </c>
      <c r="E1188" s="250">
        <v>6119.018</v>
      </c>
    </row>
    <row r="1189" spans="3:5" x14ac:dyDescent="0.35">
      <c r="C1189" s="1" t="s">
        <v>5031</v>
      </c>
      <c r="D1189" s="1" t="s">
        <v>3023</v>
      </c>
      <c r="E1189" s="250">
        <v>6119.0190000000002</v>
      </c>
    </row>
    <row r="1190" spans="3:5" x14ac:dyDescent="0.35">
      <c r="C1190" s="1" t="s">
        <v>5030</v>
      </c>
      <c r="D1190" s="1" t="s">
        <v>3023</v>
      </c>
      <c r="E1190" s="250">
        <v>6119.02</v>
      </c>
    </row>
    <row r="1191" spans="3:5" x14ac:dyDescent="0.35">
      <c r="C1191" s="1" t="s">
        <v>5029</v>
      </c>
      <c r="D1191" s="1" t="s">
        <v>3023</v>
      </c>
      <c r="E1191" s="250">
        <v>6119.0209999999997</v>
      </c>
    </row>
    <row r="1192" spans="3:5" x14ac:dyDescent="0.35">
      <c r="C1192" s="1" t="s">
        <v>5028</v>
      </c>
      <c r="D1192" s="1" t="s">
        <v>3023</v>
      </c>
      <c r="E1192" s="250">
        <v>6119.0219999999999</v>
      </c>
    </row>
    <row r="1193" spans="3:5" x14ac:dyDescent="0.35">
      <c r="C1193" s="1" t="s">
        <v>5027</v>
      </c>
      <c r="D1193" s="1" t="s">
        <v>3023</v>
      </c>
      <c r="E1193" s="250">
        <v>6119.0230000000001</v>
      </c>
    </row>
    <row r="1194" spans="3:5" x14ac:dyDescent="0.35">
      <c r="C1194" s="1" t="s">
        <v>5026</v>
      </c>
      <c r="D1194" s="1" t="s">
        <v>3023</v>
      </c>
      <c r="E1194" s="250">
        <v>6119.0240000000003</v>
      </c>
    </row>
    <row r="1195" spans="3:5" x14ac:dyDescent="0.35">
      <c r="C1195" s="1" t="s">
        <v>5025</v>
      </c>
      <c r="D1195" s="1" t="s">
        <v>3023</v>
      </c>
      <c r="E1195" s="250">
        <v>6119.0249999999996</v>
      </c>
    </row>
    <row r="1196" spans="3:5" x14ac:dyDescent="0.35">
      <c r="C1196" s="1" t="s">
        <v>5024</v>
      </c>
      <c r="D1196" s="1" t="s">
        <v>3023</v>
      </c>
      <c r="E1196" s="250">
        <v>6119.0259999999998</v>
      </c>
    </row>
    <row r="1197" spans="3:5" x14ac:dyDescent="0.35">
      <c r="C1197" s="1" t="s">
        <v>5023</v>
      </c>
      <c r="D1197" s="1" t="s">
        <v>3023</v>
      </c>
      <c r="E1197" s="250">
        <v>6119.027</v>
      </c>
    </row>
    <row r="1198" spans="3:5" x14ac:dyDescent="0.35">
      <c r="C1198" s="1" t="s">
        <v>5022</v>
      </c>
      <c r="D1198" s="1" t="s">
        <v>3023</v>
      </c>
      <c r="E1198" s="250">
        <v>6119.0280000000002</v>
      </c>
    </row>
    <row r="1199" spans="3:5" x14ac:dyDescent="0.35">
      <c r="C1199" s="1" t="s">
        <v>5021</v>
      </c>
      <c r="D1199" s="1" t="s">
        <v>3023</v>
      </c>
      <c r="E1199" s="250">
        <v>6119.0290000000005</v>
      </c>
    </row>
    <row r="1200" spans="3:5" x14ac:dyDescent="0.35">
      <c r="C1200" s="1" t="s">
        <v>5020</v>
      </c>
      <c r="D1200" s="1" t="s">
        <v>3023</v>
      </c>
      <c r="E1200" s="250">
        <v>6119.03</v>
      </c>
    </row>
    <row r="1201" spans="3:5" x14ac:dyDescent="0.35">
      <c r="C1201" s="1" t="s">
        <v>5019</v>
      </c>
      <c r="D1201" s="1" t="s">
        <v>3023</v>
      </c>
      <c r="E1201" s="250">
        <v>6119.0309999999999</v>
      </c>
    </row>
    <row r="1202" spans="3:5" x14ac:dyDescent="0.35">
      <c r="C1202" s="1" t="s">
        <v>5018</v>
      </c>
      <c r="D1202" s="1" t="s">
        <v>3023</v>
      </c>
      <c r="E1202" s="250">
        <v>6119.0320000000002</v>
      </c>
    </row>
    <row r="1203" spans="3:5" x14ac:dyDescent="0.35">
      <c r="C1203" s="1" t="s">
        <v>5017</v>
      </c>
      <c r="D1203" s="1" t="s">
        <v>3023</v>
      </c>
      <c r="E1203" s="250">
        <v>6119.0330000000004</v>
      </c>
    </row>
    <row r="1204" spans="3:5" x14ac:dyDescent="0.35">
      <c r="C1204" s="1" t="s">
        <v>5016</v>
      </c>
      <c r="D1204" s="1" t="s">
        <v>3023</v>
      </c>
      <c r="E1204" s="250">
        <v>6119.0339999999997</v>
      </c>
    </row>
    <row r="1205" spans="3:5" x14ac:dyDescent="0.35">
      <c r="C1205" s="1" t="s">
        <v>5015</v>
      </c>
      <c r="D1205" s="1" t="s">
        <v>3023</v>
      </c>
      <c r="E1205" s="250">
        <v>6119.0349999999999</v>
      </c>
    </row>
    <row r="1206" spans="3:5" x14ac:dyDescent="0.35">
      <c r="C1206" s="1" t="s">
        <v>5014</v>
      </c>
      <c r="D1206" s="1" t="s">
        <v>3023</v>
      </c>
      <c r="E1206" s="250">
        <v>6119.0360000000001</v>
      </c>
    </row>
    <row r="1207" spans="3:5" x14ac:dyDescent="0.35">
      <c r="C1207" s="1" t="s">
        <v>5013</v>
      </c>
      <c r="D1207" s="1" t="s">
        <v>3023</v>
      </c>
      <c r="E1207" s="250">
        <v>6119.0370000000003</v>
      </c>
    </row>
    <row r="1208" spans="3:5" x14ac:dyDescent="0.35">
      <c r="C1208" s="1" t="s">
        <v>5012</v>
      </c>
      <c r="D1208" s="1" t="s">
        <v>3023</v>
      </c>
      <c r="E1208" s="250">
        <v>6119.0379999999996</v>
      </c>
    </row>
    <row r="1209" spans="3:5" x14ac:dyDescent="0.35">
      <c r="C1209" s="1" t="s">
        <v>5011</v>
      </c>
      <c r="D1209" s="1" t="s">
        <v>3023</v>
      </c>
      <c r="E1209" s="250">
        <v>6119.0389999999998</v>
      </c>
    </row>
    <row r="1210" spans="3:5" x14ac:dyDescent="0.35">
      <c r="C1210" s="1" t="s">
        <v>5010</v>
      </c>
      <c r="D1210" s="1" t="s">
        <v>3023</v>
      </c>
      <c r="E1210" s="250">
        <v>6119.04</v>
      </c>
    </row>
    <row r="1211" spans="3:5" x14ac:dyDescent="0.35">
      <c r="C1211" s="1" t="s">
        <v>5009</v>
      </c>
      <c r="D1211" s="1" t="s">
        <v>3023</v>
      </c>
      <c r="E1211" s="250">
        <v>6119.0410000000002</v>
      </c>
    </row>
    <row r="1212" spans="3:5" x14ac:dyDescent="0.35">
      <c r="C1212" s="1" t="s">
        <v>5008</v>
      </c>
      <c r="D1212" s="1" t="s">
        <v>3023</v>
      </c>
      <c r="E1212" s="250">
        <v>6119.0420000000004</v>
      </c>
    </row>
    <row r="1213" spans="3:5" x14ac:dyDescent="0.35">
      <c r="C1213" s="1" t="s">
        <v>5007</v>
      </c>
      <c r="D1213" s="1" t="s">
        <v>3023</v>
      </c>
      <c r="E1213" s="250">
        <v>6119.0429999999997</v>
      </c>
    </row>
    <row r="1214" spans="3:5" x14ac:dyDescent="0.35">
      <c r="C1214" s="1" t="s">
        <v>5006</v>
      </c>
      <c r="D1214" s="1" t="s">
        <v>3023</v>
      </c>
      <c r="E1214" s="250">
        <v>6119.0439999999999</v>
      </c>
    </row>
    <row r="1215" spans="3:5" x14ac:dyDescent="0.35">
      <c r="C1215" s="1" t="s">
        <v>5005</v>
      </c>
      <c r="D1215" s="1" t="s">
        <v>3023</v>
      </c>
      <c r="E1215" s="250">
        <v>6119.0450000000001</v>
      </c>
    </row>
    <row r="1216" spans="3:5" x14ac:dyDescent="0.35">
      <c r="C1216" s="1" t="s">
        <v>5004</v>
      </c>
      <c r="D1216" s="1" t="s">
        <v>3023</v>
      </c>
      <c r="E1216" s="250">
        <v>6119.0460000000003</v>
      </c>
    </row>
    <row r="1217" spans="3:5" x14ac:dyDescent="0.35">
      <c r="C1217" s="1" t="s">
        <v>5003</v>
      </c>
      <c r="D1217" s="1" t="s">
        <v>3023</v>
      </c>
      <c r="E1217" s="250">
        <v>6119.0469999999996</v>
      </c>
    </row>
    <row r="1218" spans="3:5" x14ac:dyDescent="0.35">
      <c r="C1218" s="1" t="s">
        <v>5002</v>
      </c>
      <c r="D1218" s="1" t="s">
        <v>3023</v>
      </c>
      <c r="E1218" s="250">
        <v>6119.0479999999998</v>
      </c>
    </row>
    <row r="1219" spans="3:5" x14ac:dyDescent="0.35">
      <c r="C1219" s="1" t="s">
        <v>5001</v>
      </c>
      <c r="D1219" s="1" t="s">
        <v>3023</v>
      </c>
      <c r="E1219" s="250">
        <v>6119.049</v>
      </c>
    </row>
    <row r="1220" spans="3:5" x14ac:dyDescent="0.35">
      <c r="C1220" s="1" t="s">
        <v>5000</v>
      </c>
      <c r="D1220" s="1" t="s">
        <v>3023</v>
      </c>
      <c r="E1220" s="250">
        <v>6119.05</v>
      </c>
    </row>
    <row r="1221" spans="3:5" x14ac:dyDescent="0.35">
      <c r="C1221" s="1" t="s">
        <v>4999</v>
      </c>
      <c r="D1221" s="1" t="s">
        <v>20</v>
      </c>
      <c r="E1221" s="250">
        <v>6130.01</v>
      </c>
    </row>
    <row r="1222" spans="3:5" x14ac:dyDescent="0.35">
      <c r="C1222" s="1" t="s">
        <v>4999</v>
      </c>
      <c r="D1222" s="1" t="s">
        <v>2329</v>
      </c>
      <c r="E1222" s="250">
        <v>6130.0110000000004</v>
      </c>
    </row>
    <row r="1223" spans="3:5" x14ac:dyDescent="0.35">
      <c r="C1223" s="1" t="s">
        <v>4998</v>
      </c>
      <c r="D1223" s="1" t="s">
        <v>2329</v>
      </c>
      <c r="E1223" s="250">
        <v>6150.1009999999997</v>
      </c>
    </row>
    <row r="1224" spans="3:5" x14ac:dyDescent="0.35">
      <c r="C1224" s="1" t="s">
        <v>4997</v>
      </c>
      <c r="D1224" s="1" t="s">
        <v>2329</v>
      </c>
      <c r="E1224" s="250">
        <v>6150.1019999999999</v>
      </c>
    </row>
    <row r="1225" spans="3:5" x14ac:dyDescent="0.35">
      <c r="C1225" s="1" t="s">
        <v>4996</v>
      </c>
      <c r="D1225" s="1" t="s">
        <v>2329</v>
      </c>
      <c r="E1225" s="250">
        <v>6150.1030000000001</v>
      </c>
    </row>
    <row r="1226" spans="3:5" x14ac:dyDescent="0.35">
      <c r="C1226" s="1" t="s">
        <v>4995</v>
      </c>
      <c r="D1226" s="1" t="s">
        <v>2329</v>
      </c>
      <c r="E1226" s="250">
        <v>6150.1040000000003</v>
      </c>
    </row>
    <row r="1227" spans="3:5" x14ac:dyDescent="0.35">
      <c r="C1227" s="1" t="s">
        <v>4994</v>
      </c>
      <c r="D1227" s="1" t="s">
        <v>2329</v>
      </c>
      <c r="E1227" s="250">
        <v>6150.1049999999996</v>
      </c>
    </row>
    <row r="1228" spans="3:5" x14ac:dyDescent="0.35">
      <c r="C1228" s="1" t="s">
        <v>4993</v>
      </c>
      <c r="D1228" s="1" t="s">
        <v>2329</v>
      </c>
      <c r="E1228" s="250">
        <v>6150.1059999999998</v>
      </c>
    </row>
    <row r="1229" spans="3:5" x14ac:dyDescent="0.35">
      <c r="C1229" s="1" t="s">
        <v>4992</v>
      </c>
      <c r="D1229" s="1" t="s">
        <v>2329</v>
      </c>
      <c r="E1229" s="250">
        <v>6150.107</v>
      </c>
    </row>
    <row r="1230" spans="3:5" x14ac:dyDescent="0.35">
      <c r="C1230" s="1" t="s">
        <v>4991</v>
      </c>
      <c r="D1230" s="1" t="s">
        <v>2329</v>
      </c>
      <c r="E1230" s="250">
        <v>6150.1109999999999</v>
      </c>
    </row>
    <row r="1231" spans="3:5" x14ac:dyDescent="0.35">
      <c r="C1231" s="1" t="s">
        <v>4990</v>
      </c>
      <c r="D1231" s="1" t="s">
        <v>2329</v>
      </c>
      <c r="E1231" s="250">
        <v>6150.1120000000001</v>
      </c>
    </row>
    <row r="1232" spans="3:5" x14ac:dyDescent="0.35">
      <c r="C1232" s="1" t="s">
        <v>4989</v>
      </c>
      <c r="D1232" s="1" t="s">
        <v>2329</v>
      </c>
      <c r="E1232" s="250">
        <v>6150.1130000000003</v>
      </c>
    </row>
    <row r="1233" spans="3:5" x14ac:dyDescent="0.35">
      <c r="C1233" s="1" t="s">
        <v>4988</v>
      </c>
      <c r="D1233" s="1" t="s">
        <v>2329</v>
      </c>
      <c r="E1233" s="250">
        <v>6150.1139999999996</v>
      </c>
    </row>
    <row r="1234" spans="3:5" x14ac:dyDescent="0.35">
      <c r="C1234" s="1" t="s">
        <v>4987</v>
      </c>
      <c r="D1234" s="1" t="s">
        <v>2329</v>
      </c>
      <c r="E1234" s="250">
        <v>6150.1149999999998</v>
      </c>
    </row>
    <row r="1235" spans="3:5" x14ac:dyDescent="0.35">
      <c r="C1235" s="1" t="s">
        <v>4986</v>
      </c>
      <c r="D1235" s="1" t="s">
        <v>2329</v>
      </c>
      <c r="E1235" s="250">
        <v>6150.116</v>
      </c>
    </row>
    <row r="1236" spans="3:5" x14ac:dyDescent="0.35">
      <c r="C1236" s="1" t="s">
        <v>4985</v>
      </c>
      <c r="D1236" s="1" t="s">
        <v>2329</v>
      </c>
      <c r="E1236" s="250">
        <v>6150.1170000000002</v>
      </c>
    </row>
    <row r="1237" spans="3:5" x14ac:dyDescent="0.35">
      <c r="C1237" s="1" t="s">
        <v>4984</v>
      </c>
      <c r="D1237" s="1" t="s">
        <v>2329</v>
      </c>
      <c r="E1237" s="250">
        <v>6150.1210000000001</v>
      </c>
    </row>
    <row r="1238" spans="3:5" x14ac:dyDescent="0.35">
      <c r="C1238" s="1" t="s">
        <v>4983</v>
      </c>
      <c r="D1238" s="1" t="s">
        <v>2329</v>
      </c>
      <c r="E1238" s="250">
        <v>6150.1220000000003</v>
      </c>
    </row>
    <row r="1239" spans="3:5" x14ac:dyDescent="0.35">
      <c r="C1239" s="1" t="s">
        <v>4982</v>
      </c>
      <c r="D1239" s="1" t="s">
        <v>2329</v>
      </c>
      <c r="E1239" s="250">
        <v>6150.1229999999996</v>
      </c>
    </row>
    <row r="1240" spans="3:5" x14ac:dyDescent="0.35">
      <c r="C1240" s="1" t="s">
        <v>4981</v>
      </c>
      <c r="D1240" s="1" t="s">
        <v>2329</v>
      </c>
      <c r="E1240" s="250">
        <v>6150.1239999999998</v>
      </c>
    </row>
    <row r="1241" spans="3:5" x14ac:dyDescent="0.35">
      <c r="C1241" s="1" t="s">
        <v>4980</v>
      </c>
      <c r="D1241" s="1" t="s">
        <v>2329</v>
      </c>
      <c r="E1241" s="250">
        <v>6150.125</v>
      </c>
    </row>
    <row r="1242" spans="3:5" x14ac:dyDescent="0.35">
      <c r="C1242" s="1" t="s">
        <v>4979</v>
      </c>
      <c r="D1242" s="1" t="s">
        <v>2329</v>
      </c>
      <c r="E1242" s="250">
        <v>6150.1260000000002</v>
      </c>
    </row>
    <row r="1243" spans="3:5" x14ac:dyDescent="0.35">
      <c r="C1243" s="1" t="s">
        <v>4978</v>
      </c>
      <c r="D1243" s="1" t="s">
        <v>2329</v>
      </c>
      <c r="E1243" s="250">
        <v>6150.1270000000004</v>
      </c>
    </row>
    <row r="1244" spans="3:5" x14ac:dyDescent="0.35">
      <c r="C1244" s="1" t="s">
        <v>4977</v>
      </c>
      <c r="D1244" s="1" t="s">
        <v>2329</v>
      </c>
      <c r="E1244" s="250">
        <v>6150.1310000000003</v>
      </c>
    </row>
    <row r="1245" spans="3:5" x14ac:dyDescent="0.35">
      <c r="C1245" s="1" t="s">
        <v>4976</v>
      </c>
      <c r="D1245" s="1" t="s">
        <v>2329</v>
      </c>
      <c r="E1245" s="250">
        <v>6150.1319999999996</v>
      </c>
    </row>
    <row r="1246" spans="3:5" x14ac:dyDescent="0.35">
      <c r="C1246" s="1" t="s">
        <v>4975</v>
      </c>
      <c r="D1246" s="1" t="s">
        <v>2329</v>
      </c>
      <c r="E1246" s="250">
        <v>6150.1329999999998</v>
      </c>
    </row>
    <row r="1247" spans="3:5" x14ac:dyDescent="0.35">
      <c r="C1247" s="1" t="s">
        <v>4974</v>
      </c>
      <c r="D1247" s="1" t="s">
        <v>2329</v>
      </c>
      <c r="E1247" s="250">
        <v>6150.134</v>
      </c>
    </row>
    <row r="1248" spans="3:5" x14ac:dyDescent="0.35">
      <c r="C1248" s="1" t="s">
        <v>4973</v>
      </c>
      <c r="D1248" s="1" t="s">
        <v>2329</v>
      </c>
      <c r="E1248" s="250">
        <v>6150.1350000000002</v>
      </c>
    </row>
    <row r="1249" spans="3:5" x14ac:dyDescent="0.35">
      <c r="C1249" s="1" t="s">
        <v>4972</v>
      </c>
      <c r="D1249" s="1" t="s">
        <v>2329</v>
      </c>
      <c r="E1249" s="250">
        <v>6150.1360000000004</v>
      </c>
    </row>
    <row r="1250" spans="3:5" x14ac:dyDescent="0.35">
      <c r="C1250" s="1" t="s">
        <v>4971</v>
      </c>
      <c r="D1250" s="1" t="s">
        <v>2329</v>
      </c>
      <c r="E1250" s="250">
        <v>6150.1369999999997</v>
      </c>
    </row>
    <row r="1251" spans="3:5" x14ac:dyDescent="0.35">
      <c r="C1251" s="1" t="s">
        <v>4970</v>
      </c>
      <c r="D1251" s="1" t="s">
        <v>2329</v>
      </c>
      <c r="E1251" s="250">
        <v>6150.1409999999996</v>
      </c>
    </row>
    <row r="1252" spans="3:5" x14ac:dyDescent="0.35">
      <c r="C1252" s="1" t="s">
        <v>4969</v>
      </c>
      <c r="D1252" s="1" t="s">
        <v>2329</v>
      </c>
      <c r="E1252" s="250">
        <v>6150.1419999999998</v>
      </c>
    </row>
    <row r="1253" spans="3:5" x14ac:dyDescent="0.35">
      <c r="C1253" s="1" t="s">
        <v>4968</v>
      </c>
      <c r="D1253" s="1" t="s">
        <v>2329</v>
      </c>
      <c r="E1253" s="250">
        <v>6150.143</v>
      </c>
    </row>
    <row r="1254" spans="3:5" x14ac:dyDescent="0.35">
      <c r="C1254" s="1" t="s">
        <v>4967</v>
      </c>
      <c r="D1254" s="1" t="s">
        <v>2329</v>
      </c>
      <c r="E1254" s="250">
        <v>6150.1440000000002</v>
      </c>
    </row>
    <row r="1255" spans="3:5" x14ac:dyDescent="0.35">
      <c r="C1255" s="1" t="s">
        <v>4966</v>
      </c>
      <c r="D1255" s="1" t="s">
        <v>2329</v>
      </c>
      <c r="E1255" s="250">
        <v>6150.1450000000004</v>
      </c>
    </row>
    <row r="1256" spans="3:5" x14ac:dyDescent="0.35">
      <c r="C1256" s="1" t="s">
        <v>4965</v>
      </c>
      <c r="D1256" s="1" t="s">
        <v>2329</v>
      </c>
      <c r="E1256" s="250">
        <v>6150.1459999999997</v>
      </c>
    </row>
    <row r="1257" spans="3:5" x14ac:dyDescent="0.35">
      <c r="C1257" s="1" t="s">
        <v>4964</v>
      </c>
      <c r="D1257" s="1" t="s">
        <v>2329</v>
      </c>
      <c r="E1257" s="250">
        <v>6150.1469999999999</v>
      </c>
    </row>
    <row r="1258" spans="3:5" x14ac:dyDescent="0.35">
      <c r="C1258" s="1" t="s">
        <v>4963</v>
      </c>
      <c r="D1258" s="1" t="s">
        <v>2329</v>
      </c>
      <c r="E1258" s="250">
        <v>6150.1509999999998</v>
      </c>
    </row>
    <row r="1259" spans="3:5" x14ac:dyDescent="0.35">
      <c r="C1259" s="1" t="s">
        <v>4962</v>
      </c>
      <c r="D1259" s="1" t="s">
        <v>2329</v>
      </c>
      <c r="E1259" s="250">
        <v>6150.152</v>
      </c>
    </row>
    <row r="1260" spans="3:5" x14ac:dyDescent="0.35">
      <c r="C1260" s="1" t="s">
        <v>4961</v>
      </c>
      <c r="D1260" s="1" t="s">
        <v>2329</v>
      </c>
      <c r="E1260" s="250">
        <v>6150.1530000000002</v>
      </c>
    </row>
    <row r="1261" spans="3:5" x14ac:dyDescent="0.35">
      <c r="C1261" s="1" t="s">
        <v>4960</v>
      </c>
      <c r="D1261" s="1" t="s">
        <v>2329</v>
      </c>
      <c r="E1261" s="250">
        <v>6150.1540000000005</v>
      </c>
    </row>
    <row r="1262" spans="3:5" x14ac:dyDescent="0.35">
      <c r="C1262" s="1" t="s">
        <v>4959</v>
      </c>
      <c r="D1262" s="1" t="s">
        <v>2329</v>
      </c>
      <c r="E1262" s="250">
        <v>6150.1549999999997</v>
      </c>
    </row>
    <row r="1263" spans="3:5" x14ac:dyDescent="0.35">
      <c r="C1263" s="1" t="s">
        <v>4958</v>
      </c>
      <c r="D1263" s="1" t="s">
        <v>2329</v>
      </c>
      <c r="E1263" s="250">
        <v>6150.1559999999999</v>
      </c>
    </row>
    <row r="1264" spans="3:5" x14ac:dyDescent="0.35">
      <c r="C1264" s="1" t="s">
        <v>4957</v>
      </c>
      <c r="D1264" s="1" t="s">
        <v>2329</v>
      </c>
      <c r="E1264" s="250">
        <v>6150.1570000000002</v>
      </c>
    </row>
    <row r="1265" spans="3:5" x14ac:dyDescent="0.35">
      <c r="C1265" s="1" t="s">
        <v>4956</v>
      </c>
      <c r="D1265" s="1" t="s">
        <v>20</v>
      </c>
      <c r="E1265" s="250">
        <v>6150.17</v>
      </c>
    </row>
    <row r="1266" spans="3:5" x14ac:dyDescent="0.35">
      <c r="C1266" s="1" t="s">
        <v>4955</v>
      </c>
      <c r="D1266" s="1" t="s">
        <v>20</v>
      </c>
      <c r="E1266" s="250">
        <v>6150.18</v>
      </c>
    </row>
    <row r="1267" spans="3:5" x14ac:dyDescent="0.35">
      <c r="C1267" s="1" t="s">
        <v>4954</v>
      </c>
      <c r="D1267" s="1" t="s">
        <v>20</v>
      </c>
      <c r="E1267" s="250">
        <v>6150.2</v>
      </c>
    </row>
    <row r="1268" spans="3:5" x14ac:dyDescent="0.35">
      <c r="C1268" s="1" t="s">
        <v>4953</v>
      </c>
      <c r="D1268" s="1" t="s">
        <v>621</v>
      </c>
      <c r="E1268" s="250">
        <v>6159.9</v>
      </c>
    </row>
    <row r="1269" spans="3:5" x14ac:dyDescent="0.35">
      <c r="C1269" s="1" t="s">
        <v>4952</v>
      </c>
      <c r="D1269" s="1" t="s">
        <v>67</v>
      </c>
      <c r="E1269" s="250">
        <v>6160.1</v>
      </c>
    </row>
    <row r="1270" spans="3:5" x14ac:dyDescent="0.35">
      <c r="C1270" s="1" t="s">
        <v>4951</v>
      </c>
      <c r="D1270" s="1" t="s">
        <v>67</v>
      </c>
      <c r="E1270" s="250">
        <v>6160.1009999999997</v>
      </c>
    </row>
    <row r="1271" spans="3:5" x14ac:dyDescent="0.35">
      <c r="C1271" s="1" t="s">
        <v>4950</v>
      </c>
      <c r="D1271" s="1" t="s">
        <v>67</v>
      </c>
      <c r="E1271" s="250">
        <v>6160.1019999999999</v>
      </c>
    </row>
    <row r="1272" spans="3:5" x14ac:dyDescent="0.35">
      <c r="C1272" s="1" t="s">
        <v>4949</v>
      </c>
      <c r="D1272" s="1" t="s">
        <v>67</v>
      </c>
      <c r="E1272" s="250">
        <v>6160.11</v>
      </c>
    </row>
    <row r="1273" spans="3:5" x14ac:dyDescent="0.35">
      <c r="C1273" s="1" t="s">
        <v>4948</v>
      </c>
      <c r="D1273" s="1" t="s">
        <v>20</v>
      </c>
      <c r="E1273" s="250">
        <v>6160.12</v>
      </c>
    </row>
    <row r="1274" spans="3:5" x14ac:dyDescent="0.35">
      <c r="C1274" s="1" t="s">
        <v>4947</v>
      </c>
      <c r="D1274" s="1" t="s">
        <v>20</v>
      </c>
      <c r="E1274" s="250">
        <v>6160.1210000000001</v>
      </c>
    </row>
    <row r="1275" spans="3:5" x14ac:dyDescent="0.35">
      <c r="C1275" s="1" t="s">
        <v>4946</v>
      </c>
      <c r="D1275" s="1" t="s">
        <v>20</v>
      </c>
      <c r="E1275" s="250">
        <v>6160.1229999999996</v>
      </c>
    </row>
    <row r="1276" spans="3:5" x14ac:dyDescent="0.35">
      <c r="C1276" s="1" t="s">
        <v>4945</v>
      </c>
      <c r="D1276" s="1" t="s">
        <v>20</v>
      </c>
      <c r="E1276" s="250">
        <v>6160.125</v>
      </c>
    </row>
    <row r="1277" spans="3:5" x14ac:dyDescent="0.35">
      <c r="C1277" s="1" t="s">
        <v>4944</v>
      </c>
      <c r="D1277" s="1" t="s">
        <v>20</v>
      </c>
      <c r="E1277" s="250">
        <v>6160.1270000000004</v>
      </c>
    </row>
    <row r="1278" spans="3:5" x14ac:dyDescent="0.35">
      <c r="C1278" s="1" t="s">
        <v>4943</v>
      </c>
      <c r="D1278" s="1" t="s">
        <v>2329</v>
      </c>
      <c r="E1278" s="250">
        <v>6160.13</v>
      </c>
    </row>
    <row r="1279" spans="3:5" x14ac:dyDescent="0.35">
      <c r="C1279" s="1" t="s">
        <v>4942</v>
      </c>
      <c r="D1279" s="1" t="s">
        <v>20</v>
      </c>
      <c r="E1279" s="250">
        <v>6160.1310000000003</v>
      </c>
    </row>
    <row r="1280" spans="3:5" x14ac:dyDescent="0.35">
      <c r="C1280" s="1" t="s">
        <v>4941</v>
      </c>
      <c r="D1280" s="1" t="s">
        <v>20</v>
      </c>
      <c r="E1280" s="250">
        <v>6160.1329999999998</v>
      </c>
    </row>
    <row r="1281" spans="3:5" x14ac:dyDescent="0.35">
      <c r="C1281" s="1" t="s">
        <v>4940</v>
      </c>
      <c r="D1281" s="1" t="s">
        <v>20</v>
      </c>
      <c r="E1281" s="250">
        <v>6160.1350000000002</v>
      </c>
    </row>
    <row r="1282" spans="3:5" x14ac:dyDescent="0.35">
      <c r="C1282" s="1" t="s">
        <v>4939</v>
      </c>
      <c r="D1282" s="1" t="s">
        <v>20</v>
      </c>
      <c r="E1282" s="250">
        <v>6160.1369999999997</v>
      </c>
    </row>
    <row r="1283" spans="3:5" x14ac:dyDescent="0.35">
      <c r="C1283" s="1" t="s">
        <v>4938</v>
      </c>
      <c r="D1283" s="1" t="s">
        <v>67</v>
      </c>
      <c r="E1283" s="250">
        <v>6160.14</v>
      </c>
    </row>
    <row r="1284" spans="3:5" x14ac:dyDescent="0.35">
      <c r="C1284" s="1" t="s">
        <v>4937</v>
      </c>
      <c r="D1284" s="1" t="s">
        <v>67</v>
      </c>
      <c r="E1284" s="250">
        <v>6160.1409999999996</v>
      </c>
    </row>
    <row r="1285" spans="3:5" x14ac:dyDescent="0.35">
      <c r="C1285" s="1" t="s">
        <v>4936</v>
      </c>
      <c r="D1285" s="1" t="s">
        <v>67</v>
      </c>
      <c r="E1285" s="250">
        <v>6160.1419999999998</v>
      </c>
    </row>
    <row r="1286" spans="3:5" x14ac:dyDescent="0.35">
      <c r="C1286" s="1" t="s">
        <v>4935</v>
      </c>
      <c r="D1286" s="1" t="s">
        <v>20</v>
      </c>
      <c r="E1286" s="250">
        <v>6160.143</v>
      </c>
    </row>
    <row r="1287" spans="3:5" x14ac:dyDescent="0.35">
      <c r="C1287" s="1" t="s">
        <v>4934</v>
      </c>
      <c r="D1287" s="1" t="s">
        <v>67</v>
      </c>
      <c r="E1287" s="250">
        <v>6160.15</v>
      </c>
    </row>
    <row r="1288" spans="3:5" x14ac:dyDescent="0.35">
      <c r="C1288" s="1" t="s">
        <v>4933</v>
      </c>
      <c r="D1288" s="1" t="s">
        <v>67</v>
      </c>
      <c r="E1288" s="250">
        <v>6160.1549999999997</v>
      </c>
    </row>
    <row r="1289" spans="3:5" x14ac:dyDescent="0.35">
      <c r="C1289" s="1" t="s">
        <v>4932</v>
      </c>
      <c r="D1289" s="1" t="s">
        <v>67</v>
      </c>
      <c r="E1289" s="250">
        <v>6160.16</v>
      </c>
    </row>
    <row r="1290" spans="3:5" x14ac:dyDescent="0.35">
      <c r="C1290" s="1" t="s">
        <v>4931</v>
      </c>
      <c r="D1290" s="1" t="s">
        <v>67</v>
      </c>
      <c r="E1290" s="250">
        <v>6160.1610000000001</v>
      </c>
    </row>
    <row r="1291" spans="3:5" x14ac:dyDescent="0.35">
      <c r="C1291" s="1" t="s">
        <v>4930</v>
      </c>
      <c r="D1291" s="1" t="s">
        <v>19</v>
      </c>
      <c r="E1291" s="250">
        <v>6160.17</v>
      </c>
    </row>
    <row r="1292" spans="3:5" x14ac:dyDescent="0.35">
      <c r="C1292" s="1" t="s">
        <v>4929</v>
      </c>
      <c r="D1292" s="1" t="s">
        <v>20</v>
      </c>
      <c r="E1292" s="250">
        <v>6160.1710000000003</v>
      </c>
    </row>
    <row r="1293" spans="3:5" x14ac:dyDescent="0.35">
      <c r="C1293" s="1" t="s">
        <v>4928</v>
      </c>
      <c r="D1293" s="1" t="s">
        <v>20</v>
      </c>
      <c r="E1293" s="250">
        <v>6160.1729999999998</v>
      </c>
    </row>
    <row r="1294" spans="3:5" x14ac:dyDescent="0.35">
      <c r="C1294" s="1" t="s">
        <v>4927</v>
      </c>
      <c r="D1294" s="1" t="s">
        <v>20</v>
      </c>
      <c r="E1294" s="250">
        <v>6160.1750000000002</v>
      </c>
    </row>
    <row r="1295" spans="3:5" x14ac:dyDescent="0.35">
      <c r="C1295" s="1" t="s">
        <v>4926</v>
      </c>
      <c r="D1295" s="1" t="s">
        <v>20</v>
      </c>
      <c r="E1295" s="250">
        <v>6160.1769999999997</v>
      </c>
    </row>
    <row r="1296" spans="3:5" x14ac:dyDescent="0.35">
      <c r="C1296" s="1" t="s">
        <v>4925</v>
      </c>
      <c r="D1296" s="1" t="s">
        <v>20</v>
      </c>
      <c r="E1296" s="250">
        <v>6160.1790000000001</v>
      </c>
    </row>
    <row r="1297" spans="3:5" x14ac:dyDescent="0.35">
      <c r="C1297" s="1" t="s">
        <v>4924</v>
      </c>
      <c r="D1297" s="1" t="s">
        <v>20</v>
      </c>
      <c r="E1297" s="250">
        <v>6160.1809999999996</v>
      </c>
    </row>
    <row r="1298" spans="3:5" x14ac:dyDescent="0.35">
      <c r="C1298" s="1" t="s">
        <v>4923</v>
      </c>
      <c r="D1298" s="1" t="s">
        <v>20</v>
      </c>
      <c r="E1298" s="250">
        <v>6160.183</v>
      </c>
    </row>
    <row r="1299" spans="3:5" x14ac:dyDescent="0.35">
      <c r="C1299" s="1" t="s">
        <v>4922</v>
      </c>
      <c r="D1299" s="1" t="s">
        <v>20</v>
      </c>
      <c r="E1299" s="250">
        <v>6160.1850000000004</v>
      </c>
    </row>
    <row r="1300" spans="3:5" x14ac:dyDescent="0.35">
      <c r="C1300" s="1" t="s">
        <v>4921</v>
      </c>
      <c r="D1300" s="1" t="s">
        <v>20</v>
      </c>
      <c r="E1300" s="250">
        <v>6160.201</v>
      </c>
    </row>
    <row r="1301" spans="3:5" x14ac:dyDescent="0.35">
      <c r="C1301" s="1" t="s">
        <v>4920</v>
      </c>
      <c r="D1301" s="1" t="s">
        <v>20</v>
      </c>
      <c r="E1301" s="250">
        <v>6160.2060000000001</v>
      </c>
    </row>
    <row r="1302" spans="3:5" x14ac:dyDescent="0.35">
      <c r="C1302" s="1" t="s">
        <v>4919</v>
      </c>
      <c r="D1302" s="1" t="s">
        <v>20</v>
      </c>
      <c r="E1302" s="250">
        <v>6160.2110000000002</v>
      </c>
    </row>
    <row r="1303" spans="3:5" x14ac:dyDescent="0.35">
      <c r="C1303" s="1" t="s">
        <v>4918</v>
      </c>
      <c r="D1303" s="1" t="s">
        <v>20</v>
      </c>
      <c r="E1303" s="250">
        <v>6160.2160000000003</v>
      </c>
    </row>
    <row r="1304" spans="3:5" x14ac:dyDescent="0.35">
      <c r="C1304" s="1" t="s">
        <v>4917</v>
      </c>
      <c r="D1304" s="1" t="s">
        <v>20</v>
      </c>
      <c r="E1304" s="250">
        <v>6160.2209999999995</v>
      </c>
    </row>
    <row r="1305" spans="3:5" x14ac:dyDescent="0.35">
      <c r="C1305" s="1" t="s">
        <v>4916</v>
      </c>
      <c r="D1305" s="1" t="s">
        <v>20</v>
      </c>
      <c r="E1305" s="250">
        <v>6160.2259999999997</v>
      </c>
    </row>
    <row r="1306" spans="3:5" x14ac:dyDescent="0.35">
      <c r="C1306" s="1" t="s">
        <v>4915</v>
      </c>
      <c r="D1306" s="1" t="s">
        <v>20</v>
      </c>
      <c r="E1306" s="250">
        <v>6160.2309999999998</v>
      </c>
    </row>
    <row r="1307" spans="3:5" x14ac:dyDescent="0.35">
      <c r="C1307" s="1" t="s">
        <v>4914</v>
      </c>
      <c r="D1307" s="1" t="s">
        <v>20</v>
      </c>
      <c r="E1307" s="250">
        <v>6160.2359999999999</v>
      </c>
    </row>
    <row r="1308" spans="3:5" x14ac:dyDescent="0.35">
      <c r="C1308" s="1" t="s">
        <v>4913</v>
      </c>
      <c r="D1308" s="1" t="s">
        <v>2329</v>
      </c>
      <c r="E1308" s="250">
        <v>6160.31</v>
      </c>
    </row>
    <row r="1309" spans="3:5" x14ac:dyDescent="0.35">
      <c r="C1309" s="1" t="s">
        <v>4912</v>
      </c>
      <c r="D1309" s="1" t="s">
        <v>2329</v>
      </c>
      <c r="E1309" s="250">
        <v>6160.3109999999997</v>
      </c>
    </row>
    <row r="1310" spans="3:5" x14ac:dyDescent="0.35">
      <c r="C1310" s="1" t="s">
        <v>4911</v>
      </c>
      <c r="D1310" s="1" t="s">
        <v>19</v>
      </c>
      <c r="E1310" s="250">
        <v>6160.3119999999999</v>
      </c>
    </row>
    <row r="1311" spans="3:5" x14ac:dyDescent="0.35">
      <c r="C1311" s="1" t="s">
        <v>4910</v>
      </c>
      <c r="D1311" s="1" t="s">
        <v>2329</v>
      </c>
      <c r="E1311" s="250">
        <v>6160.3130000000001</v>
      </c>
    </row>
    <row r="1312" spans="3:5" x14ac:dyDescent="0.35">
      <c r="C1312" s="1" t="s">
        <v>4909</v>
      </c>
      <c r="D1312" s="1" t="s">
        <v>20</v>
      </c>
      <c r="E1312" s="250">
        <v>6160.32</v>
      </c>
    </row>
    <row r="1313" spans="3:5" x14ac:dyDescent="0.35">
      <c r="C1313" s="1" t="s">
        <v>4908</v>
      </c>
      <c r="D1313" s="1" t="s">
        <v>20</v>
      </c>
      <c r="E1313" s="250">
        <v>6160.3209999999999</v>
      </c>
    </row>
    <row r="1314" spans="3:5" x14ac:dyDescent="0.35">
      <c r="C1314" s="1" t="s">
        <v>4907</v>
      </c>
      <c r="D1314" s="1" t="s">
        <v>20</v>
      </c>
      <c r="E1314" s="250">
        <v>6160.3220000000001</v>
      </c>
    </row>
    <row r="1315" spans="3:5" x14ac:dyDescent="0.35">
      <c r="C1315" s="1" t="s">
        <v>4906</v>
      </c>
      <c r="D1315" s="1" t="s">
        <v>20</v>
      </c>
      <c r="E1315" s="250">
        <v>6160.33</v>
      </c>
    </row>
    <row r="1316" spans="3:5" x14ac:dyDescent="0.35">
      <c r="C1316" s="1" t="s">
        <v>4905</v>
      </c>
      <c r="D1316" s="1" t="s">
        <v>1692</v>
      </c>
      <c r="E1316" s="250">
        <v>6160.34</v>
      </c>
    </row>
    <row r="1317" spans="3:5" x14ac:dyDescent="0.35">
      <c r="C1317" s="1" t="s">
        <v>4904</v>
      </c>
      <c r="D1317" s="1" t="s">
        <v>1692</v>
      </c>
      <c r="E1317" s="250">
        <v>6160.3410000000003</v>
      </c>
    </row>
    <row r="1318" spans="3:5" x14ac:dyDescent="0.35">
      <c r="C1318" s="1" t="s">
        <v>4903</v>
      </c>
      <c r="D1318" s="1" t="s">
        <v>20</v>
      </c>
      <c r="E1318" s="250">
        <v>6160.35</v>
      </c>
    </row>
    <row r="1319" spans="3:5" x14ac:dyDescent="0.35">
      <c r="C1319" s="1" t="s">
        <v>4902</v>
      </c>
      <c r="D1319" s="1" t="s">
        <v>20</v>
      </c>
      <c r="E1319" s="250">
        <v>6160.3509999999997</v>
      </c>
    </row>
    <row r="1320" spans="3:5" x14ac:dyDescent="0.35">
      <c r="C1320" s="1" t="s">
        <v>4901</v>
      </c>
      <c r="D1320" s="1" t="s">
        <v>20</v>
      </c>
      <c r="E1320" s="250">
        <v>6160.3649999999998</v>
      </c>
    </row>
    <row r="1321" spans="3:5" x14ac:dyDescent="0.35">
      <c r="C1321" s="1" t="s">
        <v>4900</v>
      </c>
      <c r="D1321" s="1" t="s">
        <v>20</v>
      </c>
      <c r="E1321" s="250">
        <v>6160.4009999999998</v>
      </c>
    </row>
    <row r="1322" spans="3:5" x14ac:dyDescent="0.35">
      <c r="C1322" s="1" t="s">
        <v>4899</v>
      </c>
      <c r="D1322" s="1" t="s">
        <v>20</v>
      </c>
      <c r="E1322" s="250">
        <v>6160.402</v>
      </c>
    </row>
    <row r="1323" spans="3:5" x14ac:dyDescent="0.35">
      <c r="C1323" s="1" t="s">
        <v>4898</v>
      </c>
      <c r="D1323" s="1" t="s">
        <v>20</v>
      </c>
      <c r="E1323" s="250">
        <v>6160.4030000000002</v>
      </c>
    </row>
    <row r="1324" spans="3:5" x14ac:dyDescent="0.35">
      <c r="C1324" s="1" t="s">
        <v>4897</v>
      </c>
      <c r="D1324" s="1" t="s">
        <v>20</v>
      </c>
      <c r="E1324" s="250">
        <v>6160.4040000000005</v>
      </c>
    </row>
    <row r="1325" spans="3:5" x14ac:dyDescent="0.35">
      <c r="C1325" s="1" t="s">
        <v>4896</v>
      </c>
      <c r="D1325" s="1" t="s">
        <v>20</v>
      </c>
      <c r="E1325" s="250">
        <v>6160.4049999999997</v>
      </c>
    </row>
    <row r="1326" spans="3:5" x14ac:dyDescent="0.35">
      <c r="C1326" s="1" t="s">
        <v>4895</v>
      </c>
      <c r="D1326" s="1" t="s">
        <v>20</v>
      </c>
      <c r="E1326" s="250">
        <v>6160.4059999999999</v>
      </c>
    </row>
    <row r="1327" spans="3:5" x14ac:dyDescent="0.35">
      <c r="C1327" s="1" t="s">
        <v>4894</v>
      </c>
      <c r="D1327" s="1" t="s">
        <v>20</v>
      </c>
      <c r="E1327" s="250">
        <v>6160.41</v>
      </c>
    </row>
    <row r="1328" spans="3:5" x14ac:dyDescent="0.35">
      <c r="C1328" s="1" t="s">
        <v>4893</v>
      </c>
      <c r="D1328" s="1" t="s">
        <v>3023</v>
      </c>
      <c r="E1328" s="250">
        <v>6170.1009999999997</v>
      </c>
    </row>
    <row r="1329" spans="3:5" x14ac:dyDescent="0.35">
      <c r="C1329" s="1" t="s">
        <v>4892</v>
      </c>
      <c r="D1329" s="1" t="s">
        <v>3023</v>
      </c>
      <c r="E1329" s="250">
        <v>6170.1019999999999</v>
      </c>
    </row>
    <row r="1330" spans="3:5" x14ac:dyDescent="0.35">
      <c r="C1330" s="1" t="s">
        <v>4891</v>
      </c>
      <c r="D1330" s="1" t="s">
        <v>3023</v>
      </c>
      <c r="E1330" s="250">
        <v>6170.1030000000001</v>
      </c>
    </row>
    <row r="1331" spans="3:5" x14ac:dyDescent="0.35">
      <c r="C1331" s="1" t="s">
        <v>4890</v>
      </c>
      <c r="D1331" s="1" t="s">
        <v>3023</v>
      </c>
      <c r="E1331" s="250">
        <v>6170.1040000000003</v>
      </c>
    </row>
    <row r="1332" spans="3:5" x14ac:dyDescent="0.35">
      <c r="C1332" s="1" t="s">
        <v>4889</v>
      </c>
      <c r="D1332" s="1" t="s">
        <v>3023</v>
      </c>
      <c r="E1332" s="250">
        <v>6170.1049999999996</v>
      </c>
    </row>
    <row r="1333" spans="3:5" x14ac:dyDescent="0.35">
      <c r="C1333" s="1" t="s">
        <v>4888</v>
      </c>
      <c r="D1333" s="1" t="s">
        <v>3023</v>
      </c>
      <c r="E1333" s="250">
        <v>6170.1059999999998</v>
      </c>
    </row>
    <row r="1334" spans="3:5" x14ac:dyDescent="0.35">
      <c r="C1334" s="1" t="s">
        <v>4887</v>
      </c>
      <c r="D1334" s="1" t="s">
        <v>3023</v>
      </c>
      <c r="E1334" s="250">
        <v>6170.1109999999999</v>
      </c>
    </row>
    <row r="1335" spans="3:5" x14ac:dyDescent="0.35">
      <c r="C1335" s="1" t="s">
        <v>4886</v>
      </c>
      <c r="D1335" s="1" t="s">
        <v>3023</v>
      </c>
      <c r="E1335" s="250">
        <v>6170.1120000000001</v>
      </c>
    </row>
    <row r="1336" spans="3:5" x14ac:dyDescent="0.35">
      <c r="C1336" s="1" t="s">
        <v>4885</v>
      </c>
      <c r="D1336" s="1" t="s">
        <v>3023</v>
      </c>
      <c r="E1336" s="250">
        <v>6170.1130000000003</v>
      </c>
    </row>
    <row r="1337" spans="3:5" x14ac:dyDescent="0.35">
      <c r="C1337" s="1" t="s">
        <v>4884</v>
      </c>
      <c r="D1337" s="1" t="s">
        <v>3023</v>
      </c>
      <c r="E1337" s="250">
        <v>6170.1139999999996</v>
      </c>
    </row>
    <row r="1338" spans="3:5" x14ac:dyDescent="0.35">
      <c r="C1338" s="1" t="s">
        <v>4883</v>
      </c>
      <c r="D1338" s="1" t="s">
        <v>3023</v>
      </c>
      <c r="E1338" s="250">
        <v>6170.1149999999998</v>
      </c>
    </row>
    <row r="1339" spans="3:5" x14ac:dyDescent="0.35">
      <c r="C1339" s="1" t="s">
        <v>4882</v>
      </c>
      <c r="D1339" s="1" t="s">
        <v>3023</v>
      </c>
      <c r="E1339" s="250">
        <v>6170.116</v>
      </c>
    </row>
    <row r="1340" spans="3:5" x14ac:dyDescent="0.35">
      <c r="C1340" s="1" t="s">
        <v>4881</v>
      </c>
      <c r="D1340" s="1" t="s">
        <v>3023</v>
      </c>
      <c r="E1340" s="250">
        <v>6170.1210000000001</v>
      </c>
    </row>
    <row r="1341" spans="3:5" x14ac:dyDescent="0.35">
      <c r="C1341" s="1" t="s">
        <v>4880</v>
      </c>
      <c r="D1341" s="1" t="s">
        <v>3023</v>
      </c>
      <c r="E1341" s="250">
        <v>6170.1220000000003</v>
      </c>
    </row>
    <row r="1342" spans="3:5" x14ac:dyDescent="0.35">
      <c r="C1342" s="1" t="s">
        <v>4879</v>
      </c>
      <c r="D1342" s="1" t="s">
        <v>3023</v>
      </c>
      <c r="E1342" s="250">
        <v>6170.1229999999996</v>
      </c>
    </row>
    <row r="1343" spans="3:5" x14ac:dyDescent="0.35">
      <c r="C1343" s="1" t="s">
        <v>4878</v>
      </c>
      <c r="D1343" s="1" t="s">
        <v>3023</v>
      </c>
      <c r="E1343" s="250">
        <v>6170.1239999999998</v>
      </c>
    </row>
    <row r="1344" spans="3:5" x14ac:dyDescent="0.35">
      <c r="C1344" s="1" t="s">
        <v>4877</v>
      </c>
      <c r="D1344" s="1" t="s">
        <v>3023</v>
      </c>
      <c r="E1344" s="250">
        <v>6170.125</v>
      </c>
    </row>
    <row r="1345" spans="3:5" x14ac:dyDescent="0.35">
      <c r="C1345" s="1" t="s">
        <v>4876</v>
      </c>
      <c r="D1345" s="1" t="s">
        <v>3023</v>
      </c>
      <c r="E1345" s="250">
        <v>6170.1260000000002</v>
      </c>
    </row>
    <row r="1346" spans="3:5" x14ac:dyDescent="0.35">
      <c r="C1346" s="1" t="s">
        <v>4875</v>
      </c>
      <c r="D1346" s="1" t="s">
        <v>3023</v>
      </c>
      <c r="E1346" s="250">
        <v>6170.1310000000003</v>
      </c>
    </row>
    <row r="1347" spans="3:5" x14ac:dyDescent="0.35">
      <c r="C1347" s="1" t="s">
        <v>4874</v>
      </c>
      <c r="D1347" s="1" t="s">
        <v>3023</v>
      </c>
      <c r="E1347" s="250">
        <v>6170.1319999999996</v>
      </c>
    </row>
    <row r="1348" spans="3:5" x14ac:dyDescent="0.35">
      <c r="C1348" s="1" t="s">
        <v>4873</v>
      </c>
      <c r="D1348" s="1" t="s">
        <v>3023</v>
      </c>
      <c r="E1348" s="250">
        <v>6170.1329999999998</v>
      </c>
    </row>
    <row r="1349" spans="3:5" x14ac:dyDescent="0.35">
      <c r="C1349" s="1" t="s">
        <v>4872</v>
      </c>
      <c r="D1349" s="1" t="s">
        <v>3023</v>
      </c>
      <c r="E1349" s="250">
        <v>6170.134</v>
      </c>
    </row>
    <row r="1350" spans="3:5" x14ac:dyDescent="0.35">
      <c r="C1350" s="1" t="s">
        <v>4871</v>
      </c>
      <c r="D1350" s="1" t="s">
        <v>3023</v>
      </c>
      <c r="E1350" s="250">
        <v>6170.1350000000002</v>
      </c>
    </row>
    <row r="1351" spans="3:5" x14ac:dyDescent="0.35">
      <c r="C1351" s="1" t="s">
        <v>4870</v>
      </c>
      <c r="D1351" s="1" t="s">
        <v>3023</v>
      </c>
      <c r="E1351" s="250">
        <v>6170.1360000000004</v>
      </c>
    </row>
    <row r="1352" spans="3:5" x14ac:dyDescent="0.35">
      <c r="C1352" s="1" t="s">
        <v>4869</v>
      </c>
      <c r="D1352" s="1" t="s">
        <v>19</v>
      </c>
      <c r="E1352" s="250">
        <v>6170.1409999999996</v>
      </c>
    </row>
    <row r="1353" spans="3:5" x14ac:dyDescent="0.35">
      <c r="C1353" s="1" t="s">
        <v>4868</v>
      </c>
      <c r="D1353" s="1" t="s">
        <v>19</v>
      </c>
      <c r="E1353" s="250">
        <v>6170.1419999999998</v>
      </c>
    </row>
    <row r="1354" spans="3:5" x14ac:dyDescent="0.35">
      <c r="C1354" s="1" t="s">
        <v>4867</v>
      </c>
      <c r="D1354" s="1" t="s">
        <v>19</v>
      </c>
      <c r="E1354" s="250">
        <v>6170.143</v>
      </c>
    </row>
    <row r="1355" spans="3:5" x14ac:dyDescent="0.35">
      <c r="C1355" s="1" t="s">
        <v>4866</v>
      </c>
      <c r="D1355" s="1" t="s">
        <v>19</v>
      </c>
      <c r="E1355" s="250">
        <v>6170.1440000000002</v>
      </c>
    </row>
    <row r="1356" spans="3:5" x14ac:dyDescent="0.35">
      <c r="C1356" s="1" t="s">
        <v>4865</v>
      </c>
      <c r="D1356" s="1" t="s">
        <v>19</v>
      </c>
      <c r="E1356" s="250">
        <v>6170.1450000000004</v>
      </c>
    </row>
    <row r="1357" spans="3:5" x14ac:dyDescent="0.35">
      <c r="C1357" s="1" t="s">
        <v>4864</v>
      </c>
      <c r="D1357" s="1" t="s">
        <v>19</v>
      </c>
      <c r="E1357" s="250">
        <v>6170.16</v>
      </c>
    </row>
    <row r="1358" spans="3:5" x14ac:dyDescent="0.35">
      <c r="C1358" s="1" t="s">
        <v>4863</v>
      </c>
      <c r="D1358" s="1" t="s">
        <v>19</v>
      </c>
      <c r="E1358" s="250">
        <v>6170.1610000000001</v>
      </c>
    </row>
    <row r="1359" spans="3:5" x14ac:dyDescent="0.35">
      <c r="C1359" s="1" t="s">
        <v>4862</v>
      </c>
      <c r="D1359" s="1" t="s">
        <v>19</v>
      </c>
      <c r="E1359" s="250">
        <v>6170.1620000000003</v>
      </c>
    </row>
    <row r="1360" spans="3:5" x14ac:dyDescent="0.35">
      <c r="C1360" s="1" t="s">
        <v>4861</v>
      </c>
      <c r="D1360" s="1" t="s">
        <v>19</v>
      </c>
      <c r="E1360" s="250">
        <v>6170.1629999999996</v>
      </c>
    </row>
    <row r="1361" spans="3:5" x14ac:dyDescent="0.35">
      <c r="C1361" s="1" t="s">
        <v>4860</v>
      </c>
      <c r="D1361" s="1" t="s">
        <v>19</v>
      </c>
      <c r="E1361" s="250">
        <v>6170.1639999999998</v>
      </c>
    </row>
    <row r="1362" spans="3:5" x14ac:dyDescent="0.35">
      <c r="C1362" s="1" t="s">
        <v>4859</v>
      </c>
      <c r="D1362" s="1" t="s">
        <v>19</v>
      </c>
      <c r="E1362" s="250">
        <v>6170.165</v>
      </c>
    </row>
    <row r="1363" spans="3:5" x14ac:dyDescent="0.35">
      <c r="C1363" s="1" t="s">
        <v>4858</v>
      </c>
      <c r="D1363" s="1" t="s">
        <v>19</v>
      </c>
      <c r="E1363" s="250">
        <v>6170.1660000000002</v>
      </c>
    </row>
    <row r="1364" spans="3:5" x14ac:dyDescent="0.35">
      <c r="C1364" s="1" t="s">
        <v>4857</v>
      </c>
      <c r="D1364" s="1" t="s">
        <v>19</v>
      </c>
      <c r="E1364" s="250">
        <v>6170.1670000000004</v>
      </c>
    </row>
    <row r="1365" spans="3:5" x14ac:dyDescent="0.35">
      <c r="C1365" s="1" t="s">
        <v>4856</v>
      </c>
      <c r="D1365" s="1" t="s">
        <v>19</v>
      </c>
      <c r="E1365" s="250">
        <v>6170.17</v>
      </c>
    </row>
    <row r="1366" spans="3:5" x14ac:dyDescent="0.35">
      <c r="C1366" s="1" t="s">
        <v>4855</v>
      </c>
      <c r="D1366" s="1" t="s">
        <v>19</v>
      </c>
      <c r="E1366" s="250">
        <v>6170.1710000000003</v>
      </c>
    </row>
    <row r="1367" spans="3:5" x14ac:dyDescent="0.35">
      <c r="C1367" s="1" t="s">
        <v>4854</v>
      </c>
      <c r="D1367" s="1" t="s">
        <v>19</v>
      </c>
      <c r="E1367" s="250">
        <v>6170.1719999999996</v>
      </c>
    </row>
    <row r="1368" spans="3:5" x14ac:dyDescent="0.35">
      <c r="C1368" s="1" t="s">
        <v>4853</v>
      </c>
      <c r="D1368" s="1" t="s">
        <v>19</v>
      </c>
      <c r="E1368" s="250">
        <v>6170.1729999999998</v>
      </c>
    </row>
    <row r="1369" spans="3:5" x14ac:dyDescent="0.35">
      <c r="C1369" s="1" t="s">
        <v>4852</v>
      </c>
      <c r="D1369" s="1" t="s">
        <v>19</v>
      </c>
      <c r="E1369" s="250">
        <v>6170.174</v>
      </c>
    </row>
    <row r="1370" spans="3:5" x14ac:dyDescent="0.35">
      <c r="C1370" s="1" t="s">
        <v>4851</v>
      </c>
      <c r="D1370" s="1" t="s">
        <v>19</v>
      </c>
      <c r="E1370" s="250">
        <v>6170.1750000000002</v>
      </c>
    </row>
    <row r="1371" spans="3:5" x14ac:dyDescent="0.35">
      <c r="C1371" s="1" t="s">
        <v>4850</v>
      </c>
      <c r="D1371" s="1" t="s">
        <v>19</v>
      </c>
      <c r="E1371" s="250">
        <v>6170.1760000000004</v>
      </c>
    </row>
    <row r="1372" spans="3:5" x14ac:dyDescent="0.35">
      <c r="C1372" s="1" t="s">
        <v>4849</v>
      </c>
      <c r="D1372" s="1" t="s">
        <v>19</v>
      </c>
      <c r="E1372" s="250">
        <v>6170.1769999999997</v>
      </c>
    </row>
    <row r="1373" spans="3:5" x14ac:dyDescent="0.35">
      <c r="C1373" s="1" t="s">
        <v>4848</v>
      </c>
      <c r="D1373" s="1" t="s">
        <v>19</v>
      </c>
      <c r="E1373" s="250">
        <v>6170.18</v>
      </c>
    </row>
    <row r="1374" spans="3:5" x14ac:dyDescent="0.35">
      <c r="C1374" s="1" t="s">
        <v>4847</v>
      </c>
      <c r="D1374" s="1" t="s">
        <v>19</v>
      </c>
      <c r="E1374" s="250">
        <v>6170.1809999999996</v>
      </c>
    </row>
    <row r="1375" spans="3:5" x14ac:dyDescent="0.35">
      <c r="C1375" s="1" t="s">
        <v>4846</v>
      </c>
      <c r="D1375" s="1" t="s">
        <v>19</v>
      </c>
      <c r="E1375" s="250">
        <v>6170.1819999999998</v>
      </c>
    </row>
    <row r="1376" spans="3:5" x14ac:dyDescent="0.35">
      <c r="C1376" s="1" t="s">
        <v>4845</v>
      </c>
      <c r="D1376" s="1" t="s">
        <v>19</v>
      </c>
      <c r="E1376" s="250">
        <v>6170.183</v>
      </c>
    </row>
    <row r="1377" spans="3:5" x14ac:dyDescent="0.35">
      <c r="C1377" s="1" t="s">
        <v>4844</v>
      </c>
      <c r="D1377" s="1" t="s">
        <v>19</v>
      </c>
      <c r="E1377" s="250">
        <v>6170.1840000000002</v>
      </c>
    </row>
    <row r="1378" spans="3:5" x14ac:dyDescent="0.35">
      <c r="C1378" s="1" t="s">
        <v>4843</v>
      </c>
      <c r="D1378" s="1" t="s">
        <v>19</v>
      </c>
      <c r="E1378" s="250">
        <v>6170.1850000000004</v>
      </c>
    </row>
    <row r="1379" spans="3:5" x14ac:dyDescent="0.35">
      <c r="C1379" s="1" t="s">
        <v>4842</v>
      </c>
      <c r="D1379" s="1" t="s">
        <v>19</v>
      </c>
      <c r="E1379" s="250">
        <v>6170.1859999999997</v>
      </c>
    </row>
    <row r="1380" spans="3:5" x14ac:dyDescent="0.35">
      <c r="C1380" s="1" t="s">
        <v>4841</v>
      </c>
      <c r="D1380" s="1" t="s">
        <v>19</v>
      </c>
      <c r="E1380" s="250">
        <v>6170.1869999999999</v>
      </c>
    </row>
    <row r="1381" spans="3:5" x14ac:dyDescent="0.35">
      <c r="C1381" s="1" t="s">
        <v>4840</v>
      </c>
      <c r="D1381" s="1" t="s">
        <v>19</v>
      </c>
      <c r="E1381" s="250">
        <v>6170.19</v>
      </c>
    </row>
    <row r="1382" spans="3:5" x14ac:dyDescent="0.35">
      <c r="C1382" s="1" t="s">
        <v>4839</v>
      </c>
      <c r="D1382" s="1" t="s">
        <v>19</v>
      </c>
      <c r="E1382" s="250">
        <v>6170.1909999999998</v>
      </c>
    </row>
    <row r="1383" spans="3:5" x14ac:dyDescent="0.35">
      <c r="C1383" s="1" t="s">
        <v>4838</v>
      </c>
      <c r="D1383" s="1" t="s">
        <v>19</v>
      </c>
      <c r="E1383" s="250">
        <v>6170.192</v>
      </c>
    </row>
    <row r="1384" spans="3:5" x14ac:dyDescent="0.35">
      <c r="C1384" s="1" t="s">
        <v>4837</v>
      </c>
      <c r="D1384" s="1" t="s">
        <v>19</v>
      </c>
      <c r="E1384" s="250">
        <v>6170.1930000000002</v>
      </c>
    </row>
    <row r="1385" spans="3:5" x14ac:dyDescent="0.35">
      <c r="C1385" s="1" t="s">
        <v>4836</v>
      </c>
      <c r="D1385" s="1" t="s">
        <v>19</v>
      </c>
      <c r="E1385" s="250">
        <v>6170.1940000000004</v>
      </c>
    </row>
    <row r="1386" spans="3:5" x14ac:dyDescent="0.35">
      <c r="C1386" s="1" t="s">
        <v>4835</v>
      </c>
      <c r="D1386" s="1" t="s">
        <v>19</v>
      </c>
      <c r="E1386" s="250">
        <v>6170.1949999999997</v>
      </c>
    </row>
    <row r="1387" spans="3:5" x14ac:dyDescent="0.35">
      <c r="C1387" s="1" t="s">
        <v>4834</v>
      </c>
      <c r="D1387" s="1" t="s">
        <v>19</v>
      </c>
      <c r="E1387" s="250">
        <v>6170.1959999999999</v>
      </c>
    </row>
    <row r="1388" spans="3:5" x14ac:dyDescent="0.35">
      <c r="C1388" s="1" t="s">
        <v>4833</v>
      </c>
      <c r="D1388" s="1" t="s">
        <v>19</v>
      </c>
      <c r="E1388" s="250">
        <v>6170.1970000000001</v>
      </c>
    </row>
    <row r="1389" spans="3:5" x14ac:dyDescent="0.35">
      <c r="C1389" s="1" t="s">
        <v>4832</v>
      </c>
      <c r="D1389" s="1" t="s">
        <v>19</v>
      </c>
      <c r="E1389" s="250">
        <v>6170.2</v>
      </c>
    </row>
    <row r="1390" spans="3:5" x14ac:dyDescent="0.35">
      <c r="C1390" s="1" t="s">
        <v>4831</v>
      </c>
      <c r="D1390" s="1" t="s">
        <v>19</v>
      </c>
      <c r="E1390" s="250">
        <v>6170.201</v>
      </c>
    </row>
    <row r="1391" spans="3:5" x14ac:dyDescent="0.35">
      <c r="C1391" s="1" t="s">
        <v>4830</v>
      </c>
      <c r="D1391" s="1" t="s">
        <v>19</v>
      </c>
      <c r="E1391" s="250">
        <v>6170.2020000000002</v>
      </c>
    </row>
    <row r="1392" spans="3:5" x14ac:dyDescent="0.35">
      <c r="C1392" s="1" t="s">
        <v>4829</v>
      </c>
      <c r="D1392" s="1" t="s">
        <v>19</v>
      </c>
      <c r="E1392" s="250">
        <v>6170.2030000000004</v>
      </c>
    </row>
    <row r="1393" spans="3:5" x14ac:dyDescent="0.35">
      <c r="C1393" s="1" t="s">
        <v>4828</v>
      </c>
      <c r="D1393" s="1" t="s">
        <v>19</v>
      </c>
      <c r="E1393" s="250">
        <v>6170.2039999999997</v>
      </c>
    </row>
    <row r="1394" spans="3:5" x14ac:dyDescent="0.35">
      <c r="C1394" s="1" t="s">
        <v>4827</v>
      </c>
      <c r="D1394" s="1" t="s">
        <v>19</v>
      </c>
      <c r="E1394" s="250">
        <v>6170.2049999999999</v>
      </c>
    </row>
    <row r="1395" spans="3:5" x14ac:dyDescent="0.35">
      <c r="C1395" s="1" t="s">
        <v>4826</v>
      </c>
      <c r="D1395" s="1" t="s">
        <v>19</v>
      </c>
      <c r="E1395" s="250">
        <v>6170.2060000000001</v>
      </c>
    </row>
    <row r="1396" spans="3:5" x14ac:dyDescent="0.35">
      <c r="C1396" s="1" t="s">
        <v>4825</v>
      </c>
      <c r="D1396" s="1" t="s">
        <v>19</v>
      </c>
      <c r="E1396" s="250">
        <v>6170.2070000000003</v>
      </c>
    </row>
    <row r="1397" spans="3:5" x14ac:dyDescent="0.35">
      <c r="C1397" s="1" t="s">
        <v>4824</v>
      </c>
      <c r="D1397" s="1" t="s">
        <v>19</v>
      </c>
      <c r="E1397" s="250">
        <v>6170.25</v>
      </c>
    </row>
    <row r="1398" spans="3:5" x14ac:dyDescent="0.35">
      <c r="C1398" s="1" t="s">
        <v>4823</v>
      </c>
      <c r="D1398" s="1" t="s">
        <v>19</v>
      </c>
      <c r="E1398" s="250">
        <v>6170.2510000000002</v>
      </c>
    </row>
    <row r="1399" spans="3:5" x14ac:dyDescent="0.35">
      <c r="C1399" s="1" t="s">
        <v>4822</v>
      </c>
      <c r="D1399" s="1" t="s">
        <v>19</v>
      </c>
      <c r="E1399" s="250">
        <v>6170.2520000000004</v>
      </c>
    </row>
    <row r="1400" spans="3:5" x14ac:dyDescent="0.35">
      <c r="C1400" s="1" t="s">
        <v>4821</v>
      </c>
      <c r="D1400" s="1" t="s">
        <v>19</v>
      </c>
      <c r="E1400" s="250">
        <v>6170.2529999999997</v>
      </c>
    </row>
    <row r="1401" spans="3:5" x14ac:dyDescent="0.35">
      <c r="C1401" s="1" t="s">
        <v>4820</v>
      </c>
      <c r="D1401" s="1" t="s">
        <v>19</v>
      </c>
      <c r="E1401" s="250">
        <v>6170.2539999999999</v>
      </c>
    </row>
    <row r="1402" spans="3:5" x14ac:dyDescent="0.35">
      <c r="C1402" s="1" t="s">
        <v>4819</v>
      </c>
      <c r="D1402" s="1" t="s">
        <v>19</v>
      </c>
      <c r="E1402" s="250">
        <v>6170.2550000000001</v>
      </c>
    </row>
    <row r="1403" spans="3:5" x14ac:dyDescent="0.35">
      <c r="C1403" s="1" t="s">
        <v>4818</v>
      </c>
      <c r="D1403" s="1" t="s">
        <v>19</v>
      </c>
      <c r="E1403" s="250">
        <v>6170.2560000000003</v>
      </c>
    </row>
    <row r="1404" spans="3:5" x14ac:dyDescent="0.35">
      <c r="C1404" s="1" t="s">
        <v>4817</v>
      </c>
      <c r="D1404" s="1" t="s">
        <v>19</v>
      </c>
      <c r="E1404" s="250">
        <v>6170.2569999999996</v>
      </c>
    </row>
    <row r="1405" spans="3:5" x14ac:dyDescent="0.35">
      <c r="C1405" s="1" t="s">
        <v>4816</v>
      </c>
      <c r="D1405" s="1" t="s">
        <v>19</v>
      </c>
      <c r="E1405" s="250">
        <v>6170.26</v>
      </c>
    </row>
    <row r="1406" spans="3:5" x14ac:dyDescent="0.35">
      <c r="C1406" s="1" t="s">
        <v>4815</v>
      </c>
      <c r="D1406" s="1" t="s">
        <v>19</v>
      </c>
      <c r="E1406" s="250">
        <v>6170.2610000000004</v>
      </c>
    </row>
    <row r="1407" spans="3:5" x14ac:dyDescent="0.35">
      <c r="C1407" s="1" t="s">
        <v>4814</v>
      </c>
      <c r="D1407" s="1" t="s">
        <v>19</v>
      </c>
      <c r="E1407" s="250">
        <v>6170.2619999999997</v>
      </c>
    </row>
    <row r="1408" spans="3:5" x14ac:dyDescent="0.35">
      <c r="C1408" s="1" t="s">
        <v>4813</v>
      </c>
      <c r="D1408" s="1" t="s">
        <v>19</v>
      </c>
      <c r="E1408" s="250">
        <v>6170.2629999999999</v>
      </c>
    </row>
    <row r="1409" spans="3:5" x14ac:dyDescent="0.35">
      <c r="C1409" s="1" t="s">
        <v>4812</v>
      </c>
      <c r="D1409" s="1" t="s">
        <v>19</v>
      </c>
      <c r="E1409" s="250">
        <v>6170.2640000000001</v>
      </c>
    </row>
    <row r="1410" spans="3:5" x14ac:dyDescent="0.35">
      <c r="C1410" s="1" t="s">
        <v>4811</v>
      </c>
      <c r="D1410" s="1" t="s">
        <v>19</v>
      </c>
      <c r="E1410" s="250">
        <v>6170.2650000000003</v>
      </c>
    </row>
    <row r="1411" spans="3:5" x14ac:dyDescent="0.35">
      <c r="C1411" s="1" t="s">
        <v>4810</v>
      </c>
      <c r="D1411" s="1" t="s">
        <v>19</v>
      </c>
      <c r="E1411" s="250">
        <v>6170.2659999999996</v>
      </c>
    </row>
    <row r="1412" spans="3:5" x14ac:dyDescent="0.35">
      <c r="C1412" s="1" t="s">
        <v>4809</v>
      </c>
      <c r="D1412" s="1" t="s">
        <v>19</v>
      </c>
      <c r="E1412" s="250">
        <v>6170.2669999999998</v>
      </c>
    </row>
    <row r="1413" spans="3:5" x14ac:dyDescent="0.35">
      <c r="C1413" s="1" t="s">
        <v>4808</v>
      </c>
      <c r="D1413" s="1" t="s">
        <v>19</v>
      </c>
      <c r="E1413" s="250">
        <v>6170.27</v>
      </c>
    </row>
    <row r="1414" spans="3:5" x14ac:dyDescent="0.35">
      <c r="C1414" s="1" t="s">
        <v>4807</v>
      </c>
      <c r="D1414" s="1" t="s">
        <v>19</v>
      </c>
      <c r="E1414" s="250">
        <v>6170.2709999999997</v>
      </c>
    </row>
    <row r="1415" spans="3:5" x14ac:dyDescent="0.35">
      <c r="C1415" s="1" t="s">
        <v>4806</v>
      </c>
      <c r="D1415" s="1" t="s">
        <v>19</v>
      </c>
      <c r="E1415" s="250">
        <v>6170.2719999999999</v>
      </c>
    </row>
    <row r="1416" spans="3:5" x14ac:dyDescent="0.35">
      <c r="C1416" s="1" t="s">
        <v>4805</v>
      </c>
      <c r="D1416" s="1" t="s">
        <v>19</v>
      </c>
      <c r="E1416" s="250">
        <v>6170.2730000000001</v>
      </c>
    </row>
    <row r="1417" spans="3:5" x14ac:dyDescent="0.35">
      <c r="C1417" s="1" t="s">
        <v>4804</v>
      </c>
      <c r="D1417" s="1" t="s">
        <v>19</v>
      </c>
      <c r="E1417" s="250">
        <v>6170.2740000000003</v>
      </c>
    </row>
    <row r="1418" spans="3:5" x14ac:dyDescent="0.35">
      <c r="C1418" s="1" t="s">
        <v>4803</v>
      </c>
      <c r="D1418" s="1" t="s">
        <v>19</v>
      </c>
      <c r="E1418" s="250">
        <v>6170.2749999999996</v>
      </c>
    </row>
    <row r="1419" spans="3:5" x14ac:dyDescent="0.35">
      <c r="C1419" s="1" t="s">
        <v>4802</v>
      </c>
      <c r="D1419" s="1" t="s">
        <v>19</v>
      </c>
      <c r="E1419" s="250">
        <v>6170.2759999999998</v>
      </c>
    </row>
    <row r="1420" spans="3:5" x14ac:dyDescent="0.35">
      <c r="C1420" s="1" t="s">
        <v>4801</v>
      </c>
      <c r="D1420" s="1" t="s">
        <v>19</v>
      </c>
      <c r="E1420" s="250">
        <v>6170.277</v>
      </c>
    </row>
    <row r="1421" spans="3:5" x14ac:dyDescent="0.35">
      <c r="C1421" s="1" t="s">
        <v>4800</v>
      </c>
      <c r="D1421" s="1" t="s">
        <v>19</v>
      </c>
      <c r="E1421" s="250">
        <v>6170.28</v>
      </c>
    </row>
    <row r="1422" spans="3:5" x14ac:dyDescent="0.35">
      <c r="C1422" s="1" t="s">
        <v>4799</v>
      </c>
      <c r="D1422" s="1" t="s">
        <v>19</v>
      </c>
      <c r="E1422" s="250">
        <v>6170.2809999999999</v>
      </c>
    </row>
    <row r="1423" spans="3:5" x14ac:dyDescent="0.35">
      <c r="C1423" s="1" t="s">
        <v>4798</v>
      </c>
      <c r="D1423" s="1" t="s">
        <v>19</v>
      </c>
      <c r="E1423" s="250">
        <v>6170.2820000000002</v>
      </c>
    </row>
    <row r="1424" spans="3:5" x14ac:dyDescent="0.35">
      <c r="C1424" s="1" t="s">
        <v>4797</v>
      </c>
      <c r="D1424" s="1" t="s">
        <v>19</v>
      </c>
      <c r="E1424" s="250">
        <v>6170.2830000000004</v>
      </c>
    </row>
    <row r="1425" spans="3:5" x14ac:dyDescent="0.35">
      <c r="C1425" s="1" t="s">
        <v>4796</v>
      </c>
      <c r="D1425" s="1" t="s">
        <v>19</v>
      </c>
      <c r="E1425" s="250">
        <v>6170.2839999999997</v>
      </c>
    </row>
    <row r="1426" spans="3:5" x14ac:dyDescent="0.35">
      <c r="C1426" s="1" t="s">
        <v>4795</v>
      </c>
      <c r="D1426" s="1" t="s">
        <v>19</v>
      </c>
      <c r="E1426" s="250">
        <v>6170.2849999999999</v>
      </c>
    </row>
    <row r="1427" spans="3:5" x14ac:dyDescent="0.35">
      <c r="C1427" s="1" t="s">
        <v>4794</v>
      </c>
      <c r="D1427" s="1" t="s">
        <v>19</v>
      </c>
      <c r="E1427" s="250">
        <v>6170.2860000000001</v>
      </c>
    </row>
    <row r="1428" spans="3:5" x14ac:dyDescent="0.35">
      <c r="C1428" s="1" t="s">
        <v>4793</v>
      </c>
      <c r="D1428" s="1" t="s">
        <v>19</v>
      </c>
      <c r="E1428" s="250">
        <v>6170.2870000000003</v>
      </c>
    </row>
    <row r="1429" spans="3:5" x14ac:dyDescent="0.35">
      <c r="C1429" s="1" t="s">
        <v>4792</v>
      </c>
      <c r="D1429" s="1" t="s">
        <v>19</v>
      </c>
      <c r="E1429" s="250">
        <v>6170.29</v>
      </c>
    </row>
    <row r="1430" spans="3:5" x14ac:dyDescent="0.35">
      <c r="C1430" s="1" t="s">
        <v>4791</v>
      </c>
      <c r="D1430" s="1" t="s">
        <v>19</v>
      </c>
      <c r="E1430" s="250">
        <v>6170.2910000000002</v>
      </c>
    </row>
    <row r="1431" spans="3:5" x14ac:dyDescent="0.35">
      <c r="C1431" s="1" t="s">
        <v>4790</v>
      </c>
      <c r="D1431" s="1" t="s">
        <v>19</v>
      </c>
      <c r="E1431" s="250">
        <v>6170.2920000000004</v>
      </c>
    </row>
    <row r="1432" spans="3:5" x14ac:dyDescent="0.35">
      <c r="C1432" s="1" t="s">
        <v>4789</v>
      </c>
      <c r="D1432" s="1" t="s">
        <v>19</v>
      </c>
      <c r="E1432" s="250">
        <v>6170.2929999999997</v>
      </c>
    </row>
    <row r="1433" spans="3:5" x14ac:dyDescent="0.35">
      <c r="C1433" s="1" t="s">
        <v>4788</v>
      </c>
      <c r="D1433" s="1" t="s">
        <v>19</v>
      </c>
      <c r="E1433" s="250">
        <v>6170.2939999999999</v>
      </c>
    </row>
    <row r="1434" spans="3:5" x14ac:dyDescent="0.35">
      <c r="C1434" s="1" t="s">
        <v>4787</v>
      </c>
      <c r="D1434" s="1" t="s">
        <v>19</v>
      </c>
      <c r="E1434" s="250">
        <v>6170.2950000000001</v>
      </c>
    </row>
    <row r="1435" spans="3:5" x14ac:dyDescent="0.35">
      <c r="C1435" s="1" t="s">
        <v>4786</v>
      </c>
      <c r="D1435" s="1" t="s">
        <v>19</v>
      </c>
      <c r="E1435" s="250">
        <v>6170.2960000000003</v>
      </c>
    </row>
    <row r="1436" spans="3:5" x14ac:dyDescent="0.35">
      <c r="C1436" s="1" t="s">
        <v>4785</v>
      </c>
      <c r="D1436" s="1" t="s">
        <v>19</v>
      </c>
      <c r="E1436" s="250">
        <v>6170.2969999999996</v>
      </c>
    </row>
    <row r="1437" spans="3:5" x14ac:dyDescent="0.35">
      <c r="C1437" s="1" t="s">
        <v>4784</v>
      </c>
      <c r="D1437" s="1" t="s">
        <v>19</v>
      </c>
      <c r="E1437" s="250">
        <v>6170.5</v>
      </c>
    </row>
    <row r="1438" spans="3:5" x14ac:dyDescent="0.35">
      <c r="C1438" s="1" t="s">
        <v>4783</v>
      </c>
      <c r="D1438" s="1" t="s">
        <v>19</v>
      </c>
      <c r="E1438" s="250">
        <v>6170.5010000000002</v>
      </c>
    </row>
    <row r="1439" spans="3:5" x14ac:dyDescent="0.35">
      <c r="C1439" s="1" t="s">
        <v>4782</v>
      </c>
      <c r="D1439" s="1" t="s">
        <v>19</v>
      </c>
      <c r="E1439" s="250">
        <v>6170.5020000000004</v>
      </c>
    </row>
    <row r="1440" spans="3:5" x14ac:dyDescent="0.35">
      <c r="C1440" s="1" t="s">
        <v>4781</v>
      </c>
      <c r="D1440" s="1" t="s">
        <v>19</v>
      </c>
      <c r="E1440" s="250">
        <v>6170.5029999999997</v>
      </c>
    </row>
    <row r="1441" spans="3:5" x14ac:dyDescent="0.35">
      <c r="C1441" s="1" t="s">
        <v>4780</v>
      </c>
      <c r="D1441" s="1" t="s">
        <v>19</v>
      </c>
      <c r="E1441" s="250">
        <v>6170.5039999999999</v>
      </c>
    </row>
    <row r="1442" spans="3:5" x14ac:dyDescent="0.35">
      <c r="C1442" s="1" t="s">
        <v>4779</v>
      </c>
      <c r="D1442" s="1" t="s">
        <v>19</v>
      </c>
      <c r="E1442" s="250">
        <v>6170.5050000000001</v>
      </c>
    </row>
    <row r="1443" spans="3:5" x14ac:dyDescent="0.35">
      <c r="C1443" s="1" t="s">
        <v>4778</v>
      </c>
      <c r="D1443" s="1" t="s">
        <v>19</v>
      </c>
      <c r="E1443" s="250">
        <v>6170.5060000000003</v>
      </c>
    </row>
    <row r="1444" spans="3:5" x14ac:dyDescent="0.35">
      <c r="C1444" s="1" t="s">
        <v>4777</v>
      </c>
      <c r="D1444" s="1" t="s">
        <v>19</v>
      </c>
      <c r="E1444" s="250">
        <v>6170.5069999999996</v>
      </c>
    </row>
    <row r="1445" spans="3:5" x14ac:dyDescent="0.35">
      <c r="C1445" s="1" t="s">
        <v>4776</v>
      </c>
      <c r="D1445" s="1" t="s">
        <v>19</v>
      </c>
      <c r="E1445" s="250">
        <v>6170.51</v>
      </c>
    </row>
    <row r="1446" spans="3:5" x14ac:dyDescent="0.35">
      <c r="C1446" s="1" t="s">
        <v>4775</v>
      </c>
      <c r="D1446" s="1" t="s">
        <v>19</v>
      </c>
      <c r="E1446" s="250">
        <v>6170.5110000000004</v>
      </c>
    </row>
    <row r="1447" spans="3:5" x14ac:dyDescent="0.35">
      <c r="C1447" s="1" t="s">
        <v>4774</v>
      </c>
      <c r="D1447" s="1" t="s">
        <v>19</v>
      </c>
      <c r="E1447" s="250">
        <v>6170.5119999999997</v>
      </c>
    </row>
    <row r="1448" spans="3:5" x14ac:dyDescent="0.35">
      <c r="C1448" s="1" t="s">
        <v>4773</v>
      </c>
      <c r="D1448" s="1" t="s">
        <v>19</v>
      </c>
      <c r="E1448" s="250">
        <v>6170.5129999999999</v>
      </c>
    </row>
    <row r="1449" spans="3:5" x14ac:dyDescent="0.35">
      <c r="C1449" s="1" t="s">
        <v>4772</v>
      </c>
      <c r="D1449" s="1" t="s">
        <v>19</v>
      </c>
      <c r="E1449" s="250">
        <v>6170.5140000000001</v>
      </c>
    </row>
    <row r="1450" spans="3:5" x14ac:dyDescent="0.35">
      <c r="C1450" s="1" t="s">
        <v>4771</v>
      </c>
      <c r="D1450" s="1" t="s">
        <v>19</v>
      </c>
      <c r="E1450" s="250">
        <v>6170.5150000000003</v>
      </c>
    </row>
    <row r="1451" spans="3:5" x14ac:dyDescent="0.35">
      <c r="C1451" s="1" t="s">
        <v>4770</v>
      </c>
      <c r="D1451" s="1" t="s">
        <v>19</v>
      </c>
      <c r="E1451" s="250">
        <v>6170.5159999999996</v>
      </c>
    </row>
    <row r="1452" spans="3:5" x14ac:dyDescent="0.35">
      <c r="C1452" s="1" t="s">
        <v>4769</v>
      </c>
      <c r="D1452" s="1" t="s">
        <v>19</v>
      </c>
      <c r="E1452" s="250">
        <v>6170.5169999999998</v>
      </c>
    </row>
    <row r="1453" spans="3:5" x14ac:dyDescent="0.35">
      <c r="C1453" s="1" t="s">
        <v>4768</v>
      </c>
      <c r="D1453" s="1" t="s">
        <v>19</v>
      </c>
      <c r="E1453" s="250">
        <v>6170.52</v>
      </c>
    </row>
    <row r="1454" spans="3:5" x14ac:dyDescent="0.35">
      <c r="C1454" s="1" t="s">
        <v>4767</v>
      </c>
      <c r="D1454" s="1" t="s">
        <v>19</v>
      </c>
      <c r="E1454" s="250">
        <v>6170.5209999999997</v>
      </c>
    </row>
    <row r="1455" spans="3:5" x14ac:dyDescent="0.35">
      <c r="C1455" s="1" t="s">
        <v>4766</v>
      </c>
      <c r="D1455" s="1" t="s">
        <v>19</v>
      </c>
      <c r="E1455" s="250">
        <v>6170.5219999999999</v>
      </c>
    </row>
    <row r="1456" spans="3:5" x14ac:dyDescent="0.35">
      <c r="C1456" s="1" t="s">
        <v>4765</v>
      </c>
      <c r="D1456" s="1" t="s">
        <v>19</v>
      </c>
      <c r="E1456" s="250">
        <v>6170.5230000000001</v>
      </c>
    </row>
    <row r="1457" spans="3:5" x14ac:dyDescent="0.35">
      <c r="C1457" s="1" t="s">
        <v>4764</v>
      </c>
      <c r="D1457" s="1" t="s">
        <v>19</v>
      </c>
      <c r="E1457" s="250">
        <v>6170.5240000000003</v>
      </c>
    </row>
    <row r="1458" spans="3:5" x14ac:dyDescent="0.35">
      <c r="C1458" s="1" t="s">
        <v>4763</v>
      </c>
      <c r="D1458" s="1" t="s">
        <v>19</v>
      </c>
      <c r="E1458" s="250">
        <v>6170.5249999999996</v>
      </c>
    </row>
    <row r="1459" spans="3:5" x14ac:dyDescent="0.35">
      <c r="C1459" s="1" t="s">
        <v>4762</v>
      </c>
      <c r="D1459" s="1" t="s">
        <v>19</v>
      </c>
      <c r="E1459" s="250">
        <v>6170.5259999999998</v>
      </c>
    </row>
    <row r="1460" spans="3:5" x14ac:dyDescent="0.35">
      <c r="C1460" s="1" t="s">
        <v>4761</v>
      </c>
      <c r="D1460" s="1" t="s">
        <v>19</v>
      </c>
      <c r="E1460" s="250">
        <v>6170.527</v>
      </c>
    </row>
    <row r="1461" spans="3:5" x14ac:dyDescent="0.35">
      <c r="C1461" s="1" t="s">
        <v>4760</v>
      </c>
      <c r="D1461" s="1" t="s">
        <v>19</v>
      </c>
      <c r="E1461" s="250">
        <v>6170.53</v>
      </c>
    </row>
    <row r="1462" spans="3:5" x14ac:dyDescent="0.35">
      <c r="C1462" s="1" t="s">
        <v>4759</v>
      </c>
      <c r="D1462" s="1" t="s">
        <v>19</v>
      </c>
      <c r="E1462" s="250">
        <v>6170.5309999999999</v>
      </c>
    </row>
    <row r="1463" spans="3:5" x14ac:dyDescent="0.35">
      <c r="C1463" s="1" t="s">
        <v>4758</v>
      </c>
      <c r="D1463" s="1" t="s">
        <v>19</v>
      </c>
      <c r="E1463" s="250">
        <v>6170.5320000000002</v>
      </c>
    </row>
    <row r="1464" spans="3:5" x14ac:dyDescent="0.35">
      <c r="C1464" s="1" t="s">
        <v>4757</v>
      </c>
      <c r="D1464" s="1" t="s">
        <v>19</v>
      </c>
      <c r="E1464" s="250">
        <v>6170.5330000000004</v>
      </c>
    </row>
    <row r="1465" spans="3:5" x14ac:dyDescent="0.35">
      <c r="C1465" s="1" t="s">
        <v>4756</v>
      </c>
      <c r="D1465" s="1" t="s">
        <v>19</v>
      </c>
      <c r="E1465" s="250">
        <v>6170.5339999999997</v>
      </c>
    </row>
    <row r="1466" spans="3:5" x14ac:dyDescent="0.35">
      <c r="C1466" s="1" t="s">
        <v>4755</v>
      </c>
      <c r="D1466" s="1" t="s">
        <v>19</v>
      </c>
      <c r="E1466" s="250">
        <v>6170.5349999999999</v>
      </c>
    </row>
    <row r="1467" spans="3:5" x14ac:dyDescent="0.35">
      <c r="C1467" s="1" t="s">
        <v>4754</v>
      </c>
      <c r="D1467" s="1" t="s">
        <v>19</v>
      </c>
      <c r="E1467" s="250">
        <v>6170.5360000000001</v>
      </c>
    </row>
    <row r="1468" spans="3:5" x14ac:dyDescent="0.35">
      <c r="C1468" s="1" t="s">
        <v>4753</v>
      </c>
      <c r="D1468" s="1" t="s">
        <v>19</v>
      </c>
      <c r="E1468" s="250">
        <v>6170.5370000000003</v>
      </c>
    </row>
    <row r="1469" spans="3:5" x14ac:dyDescent="0.35">
      <c r="C1469" s="1" t="s">
        <v>4752</v>
      </c>
      <c r="D1469" s="1" t="s">
        <v>19</v>
      </c>
      <c r="E1469" s="250">
        <v>6170.54</v>
      </c>
    </row>
    <row r="1470" spans="3:5" x14ac:dyDescent="0.35">
      <c r="C1470" s="1" t="s">
        <v>4751</v>
      </c>
      <c r="D1470" s="1" t="s">
        <v>19</v>
      </c>
      <c r="E1470" s="250">
        <v>6170.5410000000002</v>
      </c>
    </row>
    <row r="1471" spans="3:5" x14ac:dyDescent="0.35">
      <c r="C1471" s="1" t="s">
        <v>4750</v>
      </c>
      <c r="D1471" s="1" t="s">
        <v>19</v>
      </c>
      <c r="E1471" s="250">
        <v>6170.5420000000004</v>
      </c>
    </row>
    <row r="1472" spans="3:5" x14ac:dyDescent="0.35">
      <c r="C1472" s="1" t="s">
        <v>4749</v>
      </c>
      <c r="D1472" s="1" t="s">
        <v>19</v>
      </c>
      <c r="E1472" s="250">
        <v>6170.5429999999997</v>
      </c>
    </row>
    <row r="1473" spans="3:5" x14ac:dyDescent="0.35">
      <c r="C1473" s="1" t="s">
        <v>4748</v>
      </c>
      <c r="D1473" s="1" t="s">
        <v>19</v>
      </c>
      <c r="E1473" s="250">
        <v>6170.5439999999999</v>
      </c>
    </row>
    <row r="1474" spans="3:5" x14ac:dyDescent="0.35">
      <c r="C1474" s="1" t="s">
        <v>4747</v>
      </c>
      <c r="D1474" s="1" t="s">
        <v>19</v>
      </c>
      <c r="E1474" s="250">
        <v>6170.5450000000001</v>
      </c>
    </row>
    <row r="1475" spans="3:5" x14ac:dyDescent="0.35">
      <c r="C1475" s="1" t="s">
        <v>4746</v>
      </c>
      <c r="D1475" s="1" t="s">
        <v>19</v>
      </c>
      <c r="E1475" s="250">
        <v>6170.5460000000003</v>
      </c>
    </row>
    <row r="1476" spans="3:5" x14ac:dyDescent="0.35">
      <c r="C1476" s="1" t="s">
        <v>4745</v>
      </c>
      <c r="D1476" s="1" t="s">
        <v>19</v>
      </c>
      <c r="E1476" s="250">
        <v>6170.5469999999996</v>
      </c>
    </row>
    <row r="1477" spans="3:5" x14ac:dyDescent="0.35">
      <c r="C1477" s="1" t="s">
        <v>4744</v>
      </c>
      <c r="D1477" s="1" t="s">
        <v>19</v>
      </c>
      <c r="E1477" s="250">
        <v>6170.7</v>
      </c>
    </row>
    <row r="1478" spans="3:5" x14ac:dyDescent="0.35">
      <c r="C1478" s="1" t="s">
        <v>4743</v>
      </c>
      <c r="D1478" s="1" t="s">
        <v>19</v>
      </c>
      <c r="E1478" s="250">
        <v>6170.701</v>
      </c>
    </row>
    <row r="1479" spans="3:5" x14ac:dyDescent="0.35">
      <c r="C1479" s="1" t="s">
        <v>4742</v>
      </c>
      <c r="D1479" s="1" t="s">
        <v>19</v>
      </c>
      <c r="E1479" s="250">
        <v>6170.7020000000002</v>
      </c>
    </row>
    <row r="1480" spans="3:5" x14ac:dyDescent="0.35">
      <c r="C1480" s="1" t="s">
        <v>4741</v>
      </c>
      <c r="D1480" s="1" t="s">
        <v>19</v>
      </c>
      <c r="E1480" s="250">
        <v>6170.7030000000004</v>
      </c>
    </row>
    <row r="1481" spans="3:5" x14ac:dyDescent="0.35">
      <c r="C1481" s="1" t="s">
        <v>4740</v>
      </c>
      <c r="D1481" s="1" t="s">
        <v>19</v>
      </c>
      <c r="E1481" s="250">
        <v>6170.7039999999997</v>
      </c>
    </row>
    <row r="1482" spans="3:5" x14ac:dyDescent="0.35">
      <c r="C1482" s="1" t="s">
        <v>4739</v>
      </c>
      <c r="D1482" s="1" t="s">
        <v>19</v>
      </c>
      <c r="E1482" s="250">
        <v>6170.7049999999999</v>
      </c>
    </row>
    <row r="1483" spans="3:5" x14ac:dyDescent="0.35">
      <c r="C1483" s="1" t="s">
        <v>4738</v>
      </c>
      <c r="D1483" s="1" t="s">
        <v>19</v>
      </c>
      <c r="E1483" s="250">
        <v>6170.7060000000001</v>
      </c>
    </row>
    <row r="1484" spans="3:5" x14ac:dyDescent="0.35">
      <c r="C1484" s="1" t="s">
        <v>4737</v>
      </c>
      <c r="D1484" s="1" t="s">
        <v>19</v>
      </c>
      <c r="E1484" s="250">
        <v>6170.7070000000003</v>
      </c>
    </row>
    <row r="1485" spans="3:5" x14ac:dyDescent="0.35">
      <c r="C1485" s="1" t="s">
        <v>4736</v>
      </c>
      <c r="D1485" s="1" t="s">
        <v>19</v>
      </c>
      <c r="E1485" s="250">
        <v>6170.71</v>
      </c>
    </row>
    <row r="1486" spans="3:5" x14ac:dyDescent="0.35">
      <c r="C1486" s="1" t="s">
        <v>4735</v>
      </c>
      <c r="D1486" s="1" t="s">
        <v>19</v>
      </c>
      <c r="E1486" s="250">
        <v>6170.7110000000002</v>
      </c>
    </row>
    <row r="1487" spans="3:5" x14ac:dyDescent="0.35">
      <c r="C1487" s="1" t="s">
        <v>4734</v>
      </c>
      <c r="D1487" s="1" t="s">
        <v>19</v>
      </c>
      <c r="E1487" s="250">
        <v>6170.7120000000004</v>
      </c>
    </row>
    <row r="1488" spans="3:5" x14ac:dyDescent="0.35">
      <c r="C1488" s="1" t="s">
        <v>4733</v>
      </c>
      <c r="D1488" s="1" t="s">
        <v>19</v>
      </c>
      <c r="E1488" s="250">
        <v>6170.7129999999997</v>
      </c>
    </row>
    <row r="1489" spans="3:5" x14ac:dyDescent="0.35">
      <c r="C1489" s="1" t="s">
        <v>4732</v>
      </c>
      <c r="D1489" s="1" t="s">
        <v>19</v>
      </c>
      <c r="E1489" s="250">
        <v>6170.7139999999999</v>
      </c>
    </row>
    <row r="1490" spans="3:5" x14ac:dyDescent="0.35">
      <c r="C1490" s="1" t="s">
        <v>4731</v>
      </c>
      <c r="D1490" s="1" t="s">
        <v>19</v>
      </c>
      <c r="E1490" s="250">
        <v>6170.7150000000001</v>
      </c>
    </row>
    <row r="1491" spans="3:5" x14ac:dyDescent="0.35">
      <c r="C1491" s="1" t="s">
        <v>4730</v>
      </c>
      <c r="D1491" s="1" t="s">
        <v>19</v>
      </c>
      <c r="E1491" s="250">
        <v>6170.7160000000003</v>
      </c>
    </row>
    <row r="1492" spans="3:5" x14ac:dyDescent="0.35">
      <c r="C1492" s="1" t="s">
        <v>4729</v>
      </c>
      <c r="D1492" s="1" t="s">
        <v>19</v>
      </c>
      <c r="E1492" s="250">
        <v>6170.7169999999996</v>
      </c>
    </row>
    <row r="1493" spans="3:5" x14ac:dyDescent="0.35">
      <c r="C1493" s="1" t="s">
        <v>4728</v>
      </c>
      <c r="D1493" s="1" t="s">
        <v>19</v>
      </c>
      <c r="E1493" s="250">
        <v>6170.72</v>
      </c>
    </row>
    <row r="1494" spans="3:5" x14ac:dyDescent="0.35">
      <c r="C1494" s="1" t="s">
        <v>4727</v>
      </c>
      <c r="D1494" s="1" t="s">
        <v>19</v>
      </c>
      <c r="E1494" s="250">
        <v>6170.7209999999995</v>
      </c>
    </row>
    <row r="1495" spans="3:5" x14ac:dyDescent="0.35">
      <c r="C1495" s="1" t="s">
        <v>4726</v>
      </c>
      <c r="D1495" s="1" t="s">
        <v>19</v>
      </c>
      <c r="E1495" s="250">
        <v>6170.7219999999998</v>
      </c>
    </row>
    <row r="1496" spans="3:5" x14ac:dyDescent="0.35">
      <c r="C1496" s="1" t="s">
        <v>4725</v>
      </c>
      <c r="D1496" s="1" t="s">
        <v>19</v>
      </c>
      <c r="E1496" s="250">
        <v>6170.723</v>
      </c>
    </row>
    <row r="1497" spans="3:5" x14ac:dyDescent="0.35">
      <c r="C1497" s="1" t="s">
        <v>4724</v>
      </c>
      <c r="D1497" s="1" t="s">
        <v>19</v>
      </c>
      <c r="E1497" s="250">
        <v>6170.7240000000002</v>
      </c>
    </row>
    <row r="1498" spans="3:5" x14ac:dyDescent="0.35">
      <c r="C1498" s="1" t="s">
        <v>4723</v>
      </c>
      <c r="D1498" s="1" t="s">
        <v>19</v>
      </c>
      <c r="E1498" s="250">
        <v>6170.7250000000004</v>
      </c>
    </row>
    <row r="1499" spans="3:5" x14ac:dyDescent="0.35">
      <c r="C1499" s="1" t="s">
        <v>4722</v>
      </c>
      <c r="D1499" s="1" t="s">
        <v>19</v>
      </c>
      <c r="E1499" s="250">
        <v>6170.7259999999997</v>
      </c>
    </row>
    <row r="1500" spans="3:5" x14ac:dyDescent="0.35">
      <c r="C1500" s="1" t="s">
        <v>4721</v>
      </c>
      <c r="D1500" s="1" t="s">
        <v>19</v>
      </c>
      <c r="E1500" s="250">
        <v>6170.7269999999999</v>
      </c>
    </row>
    <row r="1501" spans="3:5" x14ac:dyDescent="0.35">
      <c r="C1501" s="1" t="s">
        <v>4720</v>
      </c>
      <c r="D1501" s="1" t="s">
        <v>19</v>
      </c>
      <c r="E1501" s="250">
        <v>6170.73</v>
      </c>
    </row>
    <row r="1502" spans="3:5" x14ac:dyDescent="0.35">
      <c r="C1502" s="1" t="s">
        <v>4719</v>
      </c>
      <c r="D1502" s="1" t="s">
        <v>19</v>
      </c>
      <c r="E1502" s="250">
        <v>6170.7309999999998</v>
      </c>
    </row>
    <row r="1503" spans="3:5" x14ac:dyDescent="0.35">
      <c r="C1503" s="1" t="s">
        <v>4718</v>
      </c>
      <c r="D1503" s="1" t="s">
        <v>19</v>
      </c>
      <c r="E1503" s="250">
        <v>6170.732</v>
      </c>
    </row>
    <row r="1504" spans="3:5" x14ac:dyDescent="0.35">
      <c r="C1504" s="1" t="s">
        <v>4717</v>
      </c>
      <c r="D1504" s="1" t="s">
        <v>19</v>
      </c>
      <c r="E1504" s="250">
        <v>6170.7330000000002</v>
      </c>
    </row>
    <row r="1505" spans="3:5" x14ac:dyDescent="0.35">
      <c r="C1505" s="1" t="s">
        <v>4716</v>
      </c>
      <c r="D1505" s="1" t="s">
        <v>19</v>
      </c>
      <c r="E1505" s="250">
        <v>6170.7340000000004</v>
      </c>
    </row>
    <row r="1506" spans="3:5" x14ac:dyDescent="0.35">
      <c r="C1506" s="1" t="s">
        <v>4715</v>
      </c>
      <c r="D1506" s="1" t="s">
        <v>19</v>
      </c>
      <c r="E1506" s="250">
        <v>6170.7349999999997</v>
      </c>
    </row>
    <row r="1507" spans="3:5" x14ac:dyDescent="0.35">
      <c r="C1507" s="1" t="s">
        <v>4714</v>
      </c>
      <c r="D1507" s="1" t="s">
        <v>19</v>
      </c>
      <c r="E1507" s="250">
        <v>6170.7359999999999</v>
      </c>
    </row>
    <row r="1508" spans="3:5" x14ac:dyDescent="0.35">
      <c r="C1508" s="1" t="s">
        <v>4713</v>
      </c>
      <c r="D1508" s="1" t="s">
        <v>19</v>
      </c>
      <c r="E1508" s="250">
        <v>6170.7370000000001</v>
      </c>
    </row>
    <row r="1509" spans="3:5" x14ac:dyDescent="0.35">
      <c r="C1509" s="1" t="s">
        <v>4712</v>
      </c>
      <c r="D1509" s="1" t="s">
        <v>19</v>
      </c>
      <c r="E1509" s="250">
        <v>6170.74</v>
      </c>
    </row>
    <row r="1510" spans="3:5" x14ac:dyDescent="0.35">
      <c r="C1510" s="1" t="s">
        <v>4711</v>
      </c>
      <c r="D1510" s="1" t="s">
        <v>19</v>
      </c>
      <c r="E1510" s="250">
        <v>6170.741</v>
      </c>
    </row>
    <row r="1511" spans="3:5" x14ac:dyDescent="0.35">
      <c r="C1511" s="1" t="s">
        <v>4710</v>
      </c>
      <c r="D1511" s="1" t="s">
        <v>19</v>
      </c>
      <c r="E1511" s="250">
        <v>6170.7420000000002</v>
      </c>
    </row>
    <row r="1512" spans="3:5" x14ac:dyDescent="0.35">
      <c r="C1512" s="1" t="s">
        <v>4709</v>
      </c>
      <c r="D1512" s="1" t="s">
        <v>19</v>
      </c>
      <c r="E1512" s="250">
        <v>6170.7430000000004</v>
      </c>
    </row>
    <row r="1513" spans="3:5" x14ac:dyDescent="0.35">
      <c r="C1513" s="1" t="s">
        <v>4708</v>
      </c>
      <c r="D1513" s="1" t="s">
        <v>19</v>
      </c>
      <c r="E1513" s="250">
        <v>6170.7439999999997</v>
      </c>
    </row>
    <row r="1514" spans="3:5" x14ac:dyDescent="0.35">
      <c r="C1514" s="1" t="s">
        <v>4707</v>
      </c>
      <c r="D1514" s="1" t="s">
        <v>19</v>
      </c>
      <c r="E1514" s="250">
        <v>6170.7449999999999</v>
      </c>
    </row>
    <row r="1515" spans="3:5" x14ac:dyDescent="0.35">
      <c r="C1515" s="1" t="s">
        <v>4706</v>
      </c>
      <c r="D1515" s="1" t="s">
        <v>19</v>
      </c>
      <c r="E1515" s="250">
        <v>6170.7460000000001</v>
      </c>
    </row>
    <row r="1516" spans="3:5" x14ac:dyDescent="0.35">
      <c r="C1516" s="1" t="s">
        <v>4705</v>
      </c>
      <c r="D1516" s="1" t="s">
        <v>19</v>
      </c>
      <c r="E1516" s="250">
        <v>6170.7470000000003</v>
      </c>
    </row>
    <row r="1517" spans="3:5" x14ac:dyDescent="0.35">
      <c r="C1517" s="1" t="s">
        <v>4704</v>
      </c>
      <c r="D1517" s="1" t="s">
        <v>19</v>
      </c>
      <c r="E1517" s="250">
        <v>6170.8</v>
      </c>
    </row>
    <row r="1518" spans="3:5" x14ac:dyDescent="0.35">
      <c r="C1518" s="1" t="s">
        <v>4703</v>
      </c>
      <c r="D1518" s="1" t="s">
        <v>19</v>
      </c>
      <c r="E1518" s="250">
        <v>6170.8010000000004</v>
      </c>
    </row>
    <row r="1519" spans="3:5" x14ac:dyDescent="0.35">
      <c r="C1519" s="1" t="s">
        <v>4702</v>
      </c>
      <c r="D1519" s="1" t="s">
        <v>19</v>
      </c>
      <c r="E1519" s="250">
        <v>6170.8019999999997</v>
      </c>
    </row>
    <row r="1520" spans="3:5" x14ac:dyDescent="0.35">
      <c r="C1520" s="1" t="s">
        <v>4701</v>
      </c>
      <c r="D1520" s="1" t="s">
        <v>19</v>
      </c>
      <c r="E1520" s="250">
        <v>6170.8029999999999</v>
      </c>
    </row>
    <row r="1521" spans="3:5" x14ac:dyDescent="0.35">
      <c r="C1521" s="1" t="s">
        <v>4700</v>
      </c>
      <c r="D1521" s="1" t="s">
        <v>19</v>
      </c>
      <c r="E1521" s="250">
        <v>6170.8040000000001</v>
      </c>
    </row>
    <row r="1522" spans="3:5" x14ac:dyDescent="0.35">
      <c r="C1522" s="1" t="s">
        <v>4699</v>
      </c>
      <c r="D1522" s="1" t="s">
        <v>19</v>
      </c>
      <c r="E1522" s="250">
        <v>6170.8050000000003</v>
      </c>
    </row>
    <row r="1523" spans="3:5" x14ac:dyDescent="0.35">
      <c r="C1523" s="1" t="s">
        <v>4698</v>
      </c>
      <c r="D1523" s="1" t="s">
        <v>19</v>
      </c>
      <c r="E1523" s="250">
        <v>6170.8059999999996</v>
      </c>
    </row>
    <row r="1524" spans="3:5" x14ac:dyDescent="0.35">
      <c r="C1524" s="1" t="s">
        <v>4697</v>
      </c>
      <c r="D1524" s="1" t="s">
        <v>19</v>
      </c>
      <c r="E1524" s="250">
        <v>6170.8069999999998</v>
      </c>
    </row>
    <row r="1525" spans="3:5" x14ac:dyDescent="0.35">
      <c r="C1525" s="1" t="s">
        <v>4696</v>
      </c>
      <c r="D1525" s="1" t="s">
        <v>19</v>
      </c>
      <c r="E1525" s="250">
        <v>6170.81</v>
      </c>
    </row>
    <row r="1526" spans="3:5" x14ac:dyDescent="0.35">
      <c r="C1526" s="1" t="s">
        <v>4695</v>
      </c>
      <c r="D1526" s="1" t="s">
        <v>19</v>
      </c>
      <c r="E1526" s="250">
        <v>6170.8109999999997</v>
      </c>
    </row>
    <row r="1527" spans="3:5" x14ac:dyDescent="0.35">
      <c r="C1527" s="1" t="s">
        <v>4694</v>
      </c>
      <c r="D1527" s="1" t="s">
        <v>19</v>
      </c>
      <c r="E1527" s="250">
        <v>6170.8119999999999</v>
      </c>
    </row>
    <row r="1528" spans="3:5" x14ac:dyDescent="0.35">
      <c r="C1528" s="1" t="s">
        <v>4693</v>
      </c>
      <c r="D1528" s="1" t="s">
        <v>19</v>
      </c>
      <c r="E1528" s="250">
        <v>6170.8130000000001</v>
      </c>
    </row>
    <row r="1529" spans="3:5" x14ac:dyDescent="0.35">
      <c r="C1529" s="1" t="s">
        <v>4692</v>
      </c>
      <c r="D1529" s="1" t="s">
        <v>19</v>
      </c>
      <c r="E1529" s="250">
        <v>6170.8140000000003</v>
      </c>
    </row>
    <row r="1530" spans="3:5" x14ac:dyDescent="0.35">
      <c r="C1530" s="1" t="s">
        <v>4691</v>
      </c>
      <c r="D1530" s="1" t="s">
        <v>19</v>
      </c>
      <c r="E1530" s="250">
        <v>6170.8149999999996</v>
      </c>
    </row>
    <row r="1531" spans="3:5" x14ac:dyDescent="0.35">
      <c r="C1531" s="1" t="s">
        <v>4690</v>
      </c>
      <c r="D1531" s="1" t="s">
        <v>19</v>
      </c>
      <c r="E1531" s="250">
        <v>6170.8159999999998</v>
      </c>
    </row>
    <row r="1532" spans="3:5" x14ac:dyDescent="0.35">
      <c r="C1532" s="1" t="s">
        <v>4689</v>
      </c>
      <c r="D1532" s="1" t="s">
        <v>19</v>
      </c>
      <c r="E1532" s="250">
        <v>6170.817</v>
      </c>
    </row>
    <row r="1533" spans="3:5" x14ac:dyDescent="0.35">
      <c r="C1533" s="1" t="s">
        <v>4688</v>
      </c>
      <c r="D1533" s="1" t="s">
        <v>19</v>
      </c>
      <c r="E1533" s="250">
        <v>6170.82</v>
      </c>
    </row>
    <row r="1534" spans="3:5" x14ac:dyDescent="0.35">
      <c r="C1534" s="1" t="s">
        <v>4687</v>
      </c>
      <c r="D1534" s="1" t="s">
        <v>19</v>
      </c>
      <c r="E1534" s="250">
        <v>6170.8209999999999</v>
      </c>
    </row>
    <row r="1535" spans="3:5" x14ac:dyDescent="0.35">
      <c r="C1535" s="1" t="s">
        <v>4686</v>
      </c>
      <c r="D1535" s="1" t="s">
        <v>19</v>
      </c>
      <c r="E1535" s="250">
        <v>6170.8220000000001</v>
      </c>
    </row>
    <row r="1536" spans="3:5" x14ac:dyDescent="0.35">
      <c r="C1536" s="1" t="s">
        <v>4685</v>
      </c>
      <c r="D1536" s="1" t="s">
        <v>19</v>
      </c>
      <c r="E1536" s="250">
        <v>6170.8230000000003</v>
      </c>
    </row>
    <row r="1537" spans="3:5" x14ac:dyDescent="0.35">
      <c r="C1537" s="1" t="s">
        <v>4684</v>
      </c>
      <c r="D1537" s="1" t="s">
        <v>19</v>
      </c>
      <c r="E1537" s="250">
        <v>6170.8239999999996</v>
      </c>
    </row>
    <row r="1538" spans="3:5" x14ac:dyDescent="0.35">
      <c r="C1538" s="1" t="s">
        <v>4683</v>
      </c>
      <c r="D1538" s="1" t="s">
        <v>19</v>
      </c>
      <c r="E1538" s="250">
        <v>6170.8249999999998</v>
      </c>
    </row>
    <row r="1539" spans="3:5" x14ac:dyDescent="0.35">
      <c r="C1539" s="1" t="s">
        <v>4682</v>
      </c>
      <c r="D1539" s="1" t="s">
        <v>19</v>
      </c>
      <c r="E1539" s="250">
        <v>6170.826</v>
      </c>
    </row>
    <row r="1540" spans="3:5" x14ac:dyDescent="0.35">
      <c r="C1540" s="1" t="s">
        <v>4681</v>
      </c>
      <c r="D1540" s="1" t="s">
        <v>19</v>
      </c>
      <c r="E1540" s="250">
        <v>6170.8270000000002</v>
      </c>
    </row>
    <row r="1541" spans="3:5" x14ac:dyDescent="0.35">
      <c r="C1541" s="1" t="s">
        <v>4680</v>
      </c>
      <c r="D1541" s="1" t="s">
        <v>19</v>
      </c>
      <c r="E1541" s="250">
        <v>6170.83</v>
      </c>
    </row>
    <row r="1542" spans="3:5" x14ac:dyDescent="0.35">
      <c r="C1542" s="1" t="s">
        <v>4679</v>
      </c>
      <c r="D1542" s="1" t="s">
        <v>19</v>
      </c>
      <c r="E1542" s="250">
        <v>6170.8310000000001</v>
      </c>
    </row>
    <row r="1543" spans="3:5" x14ac:dyDescent="0.35">
      <c r="C1543" s="1" t="s">
        <v>4678</v>
      </c>
      <c r="D1543" s="1" t="s">
        <v>19</v>
      </c>
      <c r="E1543" s="250">
        <v>6170.8320000000003</v>
      </c>
    </row>
    <row r="1544" spans="3:5" x14ac:dyDescent="0.35">
      <c r="C1544" s="1" t="s">
        <v>4677</v>
      </c>
      <c r="D1544" s="1" t="s">
        <v>19</v>
      </c>
      <c r="E1544" s="250">
        <v>6170.8329999999996</v>
      </c>
    </row>
    <row r="1545" spans="3:5" x14ac:dyDescent="0.35">
      <c r="C1545" s="1" t="s">
        <v>4676</v>
      </c>
      <c r="D1545" s="1" t="s">
        <v>19</v>
      </c>
      <c r="E1545" s="250">
        <v>6170.8339999999998</v>
      </c>
    </row>
    <row r="1546" spans="3:5" x14ac:dyDescent="0.35">
      <c r="C1546" s="1" t="s">
        <v>4675</v>
      </c>
      <c r="D1546" s="1" t="s">
        <v>19</v>
      </c>
      <c r="E1546" s="250">
        <v>6170.835</v>
      </c>
    </row>
    <row r="1547" spans="3:5" x14ac:dyDescent="0.35">
      <c r="C1547" s="1" t="s">
        <v>4674</v>
      </c>
      <c r="D1547" s="1" t="s">
        <v>19</v>
      </c>
      <c r="E1547" s="250">
        <v>6170.8360000000002</v>
      </c>
    </row>
    <row r="1548" spans="3:5" x14ac:dyDescent="0.35">
      <c r="C1548" s="1" t="s">
        <v>4673</v>
      </c>
      <c r="D1548" s="1" t="s">
        <v>19</v>
      </c>
      <c r="E1548" s="250">
        <v>6170.8370000000004</v>
      </c>
    </row>
    <row r="1549" spans="3:5" x14ac:dyDescent="0.35">
      <c r="C1549" s="1" t="s">
        <v>4672</v>
      </c>
      <c r="D1549" s="1" t="s">
        <v>19</v>
      </c>
      <c r="E1549" s="250">
        <v>6170.84</v>
      </c>
    </row>
    <row r="1550" spans="3:5" x14ac:dyDescent="0.35">
      <c r="C1550" s="1" t="s">
        <v>4671</v>
      </c>
      <c r="D1550" s="1" t="s">
        <v>19</v>
      </c>
      <c r="E1550" s="250">
        <v>6170.8410000000003</v>
      </c>
    </row>
    <row r="1551" spans="3:5" x14ac:dyDescent="0.35">
      <c r="C1551" s="1" t="s">
        <v>4670</v>
      </c>
      <c r="D1551" s="1" t="s">
        <v>19</v>
      </c>
      <c r="E1551" s="250">
        <v>6170.8419999999996</v>
      </c>
    </row>
    <row r="1552" spans="3:5" x14ac:dyDescent="0.35">
      <c r="C1552" s="1" t="s">
        <v>4669</v>
      </c>
      <c r="D1552" s="1" t="s">
        <v>19</v>
      </c>
      <c r="E1552" s="250">
        <v>6170.8429999999998</v>
      </c>
    </row>
    <row r="1553" spans="3:5" x14ac:dyDescent="0.35">
      <c r="C1553" s="1" t="s">
        <v>4668</v>
      </c>
      <c r="D1553" s="1" t="s">
        <v>19</v>
      </c>
      <c r="E1553" s="250">
        <v>6170.8440000000001</v>
      </c>
    </row>
    <row r="1554" spans="3:5" x14ac:dyDescent="0.35">
      <c r="C1554" s="1" t="s">
        <v>4667</v>
      </c>
      <c r="D1554" s="1" t="s">
        <v>19</v>
      </c>
      <c r="E1554" s="250">
        <v>6170.8450000000003</v>
      </c>
    </row>
    <row r="1555" spans="3:5" x14ac:dyDescent="0.35">
      <c r="C1555" s="1" t="s">
        <v>4666</v>
      </c>
      <c r="D1555" s="1" t="s">
        <v>19</v>
      </c>
      <c r="E1555" s="250">
        <v>6170.8459999999995</v>
      </c>
    </row>
    <row r="1556" spans="3:5" x14ac:dyDescent="0.35">
      <c r="C1556" s="1" t="s">
        <v>4665</v>
      </c>
      <c r="D1556" s="1" t="s">
        <v>19</v>
      </c>
      <c r="E1556" s="250">
        <v>6170.8469999999998</v>
      </c>
    </row>
    <row r="1557" spans="3:5" x14ac:dyDescent="0.35">
      <c r="C1557" s="1" t="s">
        <v>4664</v>
      </c>
      <c r="D1557" s="1" t="s">
        <v>19</v>
      </c>
      <c r="E1557" s="250">
        <v>6171.01</v>
      </c>
    </row>
    <row r="1558" spans="3:5" x14ac:dyDescent="0.35">
      <c r="C1558" s="1" t="s">
        <v>4663</v>
      </c>
      <c r="D1558" s="1" t="s">
        <v>19</v>
      </c>
      <c r="E1558" s="250">
        <v>6171.0110000000004</v>
      </c>
    </row>
    <row r="1559" spans="3:5" x14ac:dyDescent="0.35">
      <c r="C1559" s="1" t="s">
        <v>4662</v>
      </c>
      <c r="D1559" s="1" t="s">
        <v>19</v>
      </c>
      <c r="E1559" s="250">
        <v>6171.0119999999997</v>
      </c>
    </row>
    <row r="1560" spans="3:5" x14ac:dyDescent="0.35">
      <c r="C1560" s="1" t="s">
        <v>4661</v>
      </c>
      <c r="D1560" s="1" t="s">
        <v>19</v>
      </c>
      <c r="E1560" s="250">
        <v>6171.0129999999999</v>
      </c>
    </row>
    <row r="1561" spans="3:5" x14ac:dyDescent="0.35">
      <c r="C1561" s="1" t="s">
        <v>4660</v>
      </c>
      <c r="D1561" s="1" t="s">
        <v>19</v>
      </c>
      <c r="E1561" s="250">
        <v>6171.0140000000001</v>
      </c>
    </row>
    <row r="1562" spans="3:5" x14ac:dyDescent="0.35">
      <c r="C1562" s="1" t="s">
        <v>4659</v>
      </c>
      <c r="D1562" s="1" t="s">
        <v>19</v>
      </c>
      <c r="E1562" s="250">
        <v>6171.0150000000003</v>
      </c>
    </row>
    <row r="1563" spans="3:5" x14ac:dyDescent="0.35">
      <c r="C1563" s="1" t="s">
        <v>4658</v>
      </c>
      <c r="D1563" s="1" t="s">
        <v>19</v>
      </c>
      <c r="E1563" s="250">
        <v>6171.0159999999996</v>
      </c>
    </row>
    <row r="1564" spans="3:5" x14ac:dyDescent="0.35">
      <c r="C1564" s="1" t="s">
        <v>4657</v>
      </c>
      <c r="D1564" s="1" t="s">
        <v>19</v>
      </c>
      <c r="E1564" s="250">
        <v>6171.0169999999998</v>
      </c>
    </row>
    <row r="1565" spans="3:5" x14ac:dyDescent="0.35">
      <c r="C1565" s="1" t="s">
        <v>4656</v>
      </c>
      <c r="D1565" s="1" t="s">
        <v>19</v>
      </c>
      <c r="E1565" s="250">
        <v>6171.02</v>
      </c>
    </row>
    <row r="1566" spans="3:5" x14ac:dyDescent="0.35">
      <c r="C1566" s="1" t="s">
        <v>4655</v>
      </c>
      <c r="D1566" s="1" t="s">
        <v>19</v>
      </c>
      <c r="E1566" s="250">
        <v>6171.0209999999997</v>
      </c>
    </row>
    <row r="1567" spans="3:5" x14ac:dyDescent="0.35">
      <c r="C1567" s="1" t="s">
        <v>4654</v>
      </c>
      <c r="D1567" s="1" t="s">
        <v>19</v>
      </c>
      <c r="E1567" s="250">
        <v>6171.0219999999999</v>
      </c>
    </row>
    <row r="1568" spans="3:5" x14ac:dyDescent="0.35">
      <c r="C1568" s="1" t="s">
        <v>4653</v>
      </c>
      <c r="D1568" s="1" t="s">
        <v>19</v>
      </c>
      <c r="E1568" s="250">
        <v>6171.0230000000001</v>
      </c>
    </row>
    <row r="1569" spans="3:5" x14ac:dyDescent="0.35">
      <c r="C1569" s="1" t="s">
        <v>4652</v>
      </c>
      <c r="D1569" s="1" t="s">
        <v>19</v>
      </c>
      <c r="E1569" s="250">
        <v>6171.0240000000003</v>
      </c>
    </row>
    <row r="1570" spans="3:5" x14ac:dyDescent="0.35">
      <c r="C1570" s="1" t="s">
        <v>4651</v>
      </c>
      <c r="D1570" s="1" t="s">
        <v>19</v>
      </c>
      <c r="E1570" s="250">
        <v>6171.0249999999996</v>
      </c>
    </row>
    <row r="1571" spans="3:5" x14ac:dyDescent="0.35">
      <c r="C1571" s="1" t="s">
        <v>4650</v>
      </c>
      <c r="D1571" s="1" t="s">
        <v>19</v>
      </c>
      <c r="E1571" s="250">
        <v>6171.0259999999998</v>
      </c>
    </row>
    <row r="1572" spans="3:5" x14ac:dyDescent="0.35">
      <c r="C1572" s="1" t="s">
        <v>4649</v>
      </c>
      <c r="D1572" s="1" t="s">
        <v>19</v>
      </c>
      <c r="E1572" s="250">
        <v>6171.027</v>
      </c>
    </row>
    <row r="1573" spans="3:5" x14ac:dyDescent="0.35">
      <c r="C1573" s="1" t="s">
        <v>4648</v>
      </c>
      <c r="D1573" s="1" t="s">
        <v>19</v>
      </c>
      <c r="E1573" s="250">
        <v>6171.03</v>
      </c>
    </row>
    <row r="1574" spans="3:5" x14ac:dyDescent="0.35">
      <c r="C1574" s="1" t="s">
        <v>4647</v>
      </c>
      <c r="D1574" s="1" t="s">
        <v>19</v>
      </c>
      <c r="E1574" s="250">
        <v>6171.0309999999999</v>
      </c>
    </row>
    <row r="1575" spans="3:5" x14ac:dyDescent="0.35">
      <c r="C1575" s="1" t="s">
        <v>4646</v>
      </c>
      <c r="D1575" s="1" t="s">
        <v>19</v>
      </c>
      <c r="E1575" s="250">
        <v>6171.0320000000002</v>
      </c>
    </row>
    <row r="1576" spans="3:5" x14ac:dyDescent="0.35">
      <c r="C1576" s="1" t="s">
        <v>4645</v>
      </c>
      <c r="D1576" s="1" t="s">
        <v>19</v>
      </c>
      <c r="E1576" s="250">
        <v>6171.0330000000004</v>
      </c>
    </row>
    <row r="1577" spans="3:5" x14ac:dyDescent="0.35">
      <c r="C1577" s="1" t="s">
        <v>4644</v>
      </c>
      <c r="D1577" s="1" t="s">
        <v>19</v>
      </c>
      <c r="E1577" s="250">
        <v>6171.0339999999997</v>
      </c>
    </row>
    <row r="1578" spans="3:5" x14ac:dyDescent="0.35">
      <c r="C1578" s="1" t="s">
        <v>4643</v>
      </c>
      <c r="D1578" s="1" t="s">
        <v>19</v>
      </c>
      <c r="E1578" s="250">
        <v>6171.0349999999999</v>
      </c>
    </row>
    <row r="1579" spans="3:5" x14ac:dyDescent="0.35">
      <c r="C1579" s="1" t="s">
        <v>4642</v>
      </c>
      <c r="D1579" s="1" t="s">
        <v>19</v>
      </c>
      <c r="E1579" s="250">
        <v>6171.0360000000001</v>
      </c>
    </row>
    <row r="1580" spans="3:5" x14ac:dyDescent="0.35">
      <c r="C1580" s="1" t="s">
        <v>4641</v>
      </c>
      <c r="D1580" s="1" t="s">
        <v>19</v>
      </c>
      <c r="E1580" s="250">
        <v>6171.0370000000003</v>
      </c>
    </row>
    <row r="1581" spans="3:5" x14ac:dyDescent="0.35">
      <c r="C1581" s="1" t="s">
        <v>4640</v>
      </c>
      <c r="D1581" s="1" t="s">
        <v>19</v>
      </c>
      <c r="E1581" s="250">
        <v>6171.04</v>
      </c>
    </row>
    <row r="1582" spans="3:5" x14ac:dyDescent="0.35">
      <c r="C1582" s="1" t="s">
        <v>4639</v>
      </c>
      <c r="D1582" s="1" t="s">
        <v>19</v>
      </c>
      <c r="E1582" s="250">
        <v>6171.0410000000002</v>
      </c>
    </row>
    <row r="1583" spans="3:5" x14ac:dyDescent="0.35">
      <c r="C1583" s="1" t="s">
        <v>4638</v>
      </c>
      <c r="D1583" s="1" t="s">
        <v>19</v>
      </c>
      <c r="E1583" s="250">
        <v>6171.0420000000004</v>
      </c>
    </row>
    <row r="1584" spans="3:5" x14ac:dyDescent="0.35">
      <c r="C1584" s="1" t="s">
        <v>4637</v>
      </c>
      <c r="D1584" s="1" t="s">
        <v>19</v>
      </c>
      <c r="E1584" s="250">
        <v>6171.0429999999997</v>
      </c>
    </row>
    <row r="1585" spans="3:5" x14ac:dyDescent="0.35">
      <c r="C1585" s="1" t="s">
        <v>4636</v>
      </c>
      <c r="D1585" s="1" t="s">
        <v>19</v>
      </c>
      <c r="E1585" s="250">
        <v>6171.0439999999999</v>
      </c>
    </row>
    <row r="1586" spans="3:5" x14ac:dyDescent="0.35">
      <c r="C1586" s="1" t="s">
        <v>4635</v>
      </c>
      <c r="D1586" s="1" t="s">
        <v>19</v>
      </c>
      <c r="E1586" s="250">
        <v>6171.0450000000001</v>
      </c>
    </row>
    <row r="1587" spans="3:5" x14ac:dyDescent="0.35">
      <c r="C1587" s="1" t="s">
        <v>4634</v>
      </c>
      <c r="D1587" s="1" t="s">
        <v>19</v>
      </c>
      <c r="E1587" s="250">
        <v>6171.0460000000003</v>
      </c>
    </row>
    <row r="1588" spans="3:5" x14ac:dyDescent="0.35">
      <c r="C1588" s="1" t="s">
        <v>4633</v>
      </c>
      <c r="D1588" s="1" t="s">
        <v>19</v>
      </c>
      <c r="E1588" s="250">
        <v>6171.0469999999996</v>
      </c>
    </row>
    <row r="1589" spans="3:5" x14ac:dyDescent="0.35">
      <c r="C1589" s="1" t="s">
        <v>4632</v>
      </c>
      <c r="D1589" s="1" t="s">
        <v>19</v>
      </c>
      <c r="E1589" s="250">
        <v>6171.05</v>
      </c>
    </row>
    <row r="1590" spans="3:5" x14ac:dyDescent="0.35">
      <c r="C1590" s="1" t="s">
        <v>4631</v>
      </c>
      <c r="D1590" s="1" t="s">
        <v>19</v>
      </c>
      <c r="E1590" s="250">
        <v>6171.0510000000004</v>
      </c>
    </row>
    <row r="1591" spans="3:5" x14ac:dyDescent="0.35">
      <c r="C1591" s="1" t="s">
        <v>4630</v>
      </c>
      <c r="D1591" s="1" t="s">
        <v>19</v>
      </c>
      <c r="E1591" s="250">
        <v>6171.0519999999997</v>
      </c>
    </row>
    <row r="1592" spans="3:5" x14ac:dyDescent="0.35">
      <c r="C1592" s="1" t="s">
        <v>4629</v>
      </c>
      <c r="D1592" s="1" t="s">
        <v>19</v>
      </c>
      <c r="E1592" s="250">
        <v>6171.0529999999999</v>
      </c>
    </row>
    <row r="1593" spans="3:5" x14ac:dyDescent="0.35">
      <c r="C1593" s="1" t="s">
        <v>4628</v>
      </c>
      <c r="D1593" s="1" t="s">
        <v>19</v>
      </c>
      <c r="E1593" s="250">
        <v>6171.0540000000001</v>
      </c>
    </row>
    <row r="1594" spans="3:5" x14ac:dyDescent="0.35">
      <c r="C1594" s="1" t="s">
        <v>4627</v>
      </c>
      <c r="D1594" s="1" t="s">
        <v>19</v>
      </c>
      <c r="E1594" s="250">
        <v>6171.0550000000003</v>
      </c>
    </row>
    <row r="1595" spans="3:5" x14ac:dyDescent="0.35">
      <c r="C1595" s="1" t="s">
        <v>4626</v>
      </c>
      <c r="D1595" s="1" t="s">
        <v>19</v>
      </c>
      <c r="E1595" s="250">
        <v>6171.0559999999996</v>
      </c>
    </row>
    <row r="1596" spans="3:5" x14ac:dyDescent="0.35">
      <c r="C1596" s="1" t="s">
        <v>4625</v>
      </c>
      <c r="D1596" s="1" t="s">
        <v>19</v>
      </c>
      <c r="E1596" s="250">
        <v>6171.0569999999998</v>
      </c>
    </row>
    <row r="1597" spans="3:5" x14ac:dyDescent="0.35">
      <c r="C1597" s="1" t="s">
        <v>4624</v>
      </c>
      <c r="D1597" s="1" t="s">
        <v>19</v>
      </c>
      <c r="E1597" s="250">
        <v>6171.06</v>
      </c>
    </row>
    <row r="1598" spans="3:5" x14ac:dyDescent="0.35">
      <c r="C1598" s="1" t="s">
        <v>4623</v>
      </c>
      <c r="D1598" s="1" t="s">
        <v>19</v>
      </c>
      <c r="E1598" s="250">
        <v>6171.0609999999997</v>
      </c>
    </row>
    <row r="1599" spans="3:5" x14ac:dyDescent="0.35">
      <c r="C1599" s="1" t="s">
        <v>4622</v>
      </c>
      <c r="D1599" s="1" t="s">
        <v>19</v>
      </c>
      <c r="E1599" s="250">
        <v>6171.0619999999999</v>
      </c>
    </row>
    <row r="1600" spans="3:5" x14ac:dyDescent="0.35">
      <c r="C1600" s="1" t="s">
        <v>4621</v>
      </c>
      <c r="D1600" s="1" t="s">
        <v>19</v>
      </c>
      <c r="E1600" s="250">
        <v>6171.0630000000001</v>
      </c>
    </row>
    <row r="1601" spans="3:5" x14ac:dyDescent="0.35">
      <c r="C1601" s="1" t="s">
        <v>4620</v>
      </c>
      <c r="D1601" s="1" t="s">
        <v>19</v>
      </c>
      <c r="E1601" s="250">
        <v>6171.0640000000003</v>
      </c>
    </row>
    <row r="1602" spans="3:5" x14ac:dyDescent="0.35">
      <c r="C1602" s="1" t="s">
        <v>4619</v>
      </c>
      <c r="D1602" s="1" t="s">
        <v>19</v>
      </c>
      <c r="E1602" s="250">
        <v>6171.0649999999996</v>
      </c>
    </row>
    <row r="1603" spans="3:5" x14ac:dyDescent="0.35">
      <c r="C1603" s="1" t="s">
        <v>4618</v>
      </c>
      <c r="D1603" s="1" t="s">
        <v>19</v>
      </c>
      <c r="E1603" s="250">
        <v>6171.0659999999998</v>
      </c>
    </row>
    <row r="1604" spans="3:5" x14ac:dyDescent="0.35">
      <c r="C1604" s="1" t="s">
        <v>4617</v>
      </c>
      <c r="D1604" s="1" t="s">
        <v>19</v>
      </c>
      <c r="E1604" s="250">
        <v>6171.067</v>
      </c>
    </row>
    <row r="1605" spans="3:5" x14ac:dyDescent="0.35">
      <c r="C1605" s="1" t="s">
        <v>4616</v>
      </c>
      <c r="D1605" s="1" t="s">
        <v>19</v>
      </c>
      <c r="E1605" s="250">
        <v>6171.07</v>
      </c>
    </row>
    <row r="1606" spans="3:5" x14ac:dyDescent="0.35">
      <c r="C1606" s="1" t="s">
        <v>4615</v>
      </c>
      <c r="D1606" s="1" t="s">
        <v>19</v>
      </c>
      <c r="E1606" s="250">
        <v>6171.0709999999999</v>
      </c>
    </row>
    <row r="1607" spans="3:5" x14ac:dyDescent="0.35">
      <c r="C1607" s="1" t="s">
        <v>4614</v>
      </c>
      <c r="D1607" s="1" t="s">
        <v>19</v>
      </c>
      <c r="E1607" s="250">
        <v>6171.0720000000001</v>
      </c>
    </row>
    <row r="1608" spans="3:5" x14ac:dyDescent="0.35">
      <c r="C1608" s="1" t="s">
        <v>4613</v>
      </c>
      <c r="D1608" s="1" t="s">
        <v>19</v>
      </c>
      <c r="E1608" s="250">
        <v>6171.0730000000003</v>
      </c>
    </row>
    <row r="1609" spans="3:5" x14ac:dyDescent="0.35">
      <c r="C1609" s="1" t="s">
        <v>4612</v>
      </c>
      <c r="D1609" s="1" t="s">
        <v>19</v>
      </c>
      <c r="E1609" s="250">
        <v>6171.0739999999996</v>
      </c>
    </row>
    <row r="1610" spans="3:5" x14ac:dyDescent="0.35">
      <c r="C1610" s="1" t="s">
        <v>4611</v>
      </c>
      <c r="D1610" s="1" t="s">
        <v>19</v>
      </c>
      <c r="E1610" s="250">
        <v>6171.0749999999998</v>
      </c>
    </row>
    <row r="1611" spans="3:5" x14ac:dyDescent="0.35">
      <c r="C1611" s="1" t="s">
        <v>4610</v>
      </c>
      <c r="D1611" s="1" t="s">
        <v>19</v>
      </c>
      <c r="E1611" s="250">
        <v>6171.076</v>
      </c>
    </row>
    <row r="1612" spans="3:5" x14ac:dyDescent="0.35">
      <c r="C1612" s="1" t="s">
        <v>4609</v>
      </c>
      <c r="D1612" s="1" t="s">
        <v>19</v>
      </c>
      <c r="E1612" s="250">
        <v>6171.0770000000002</v>
      </c>
    </row>
    <row r="1613" spans="3:5" x14ac:dyDescent="0.35">
      <c r="C1613" s="1" t="s">
        <v>4608</v>
      </c>
      <c r="D1613" s="1" t="s">
        <v>19</v>
      </c>
      <c r="E1613" s="250">
        <v>6171.08</v>
      </c>
    </row>
    <row r="1614" spans="3:5" x14ac:dyDescent="0.35">
      <c r="C1614" s="1" t="s">
        <v>4607</v>
      </c>
      <c r="D1614" s="1" t="s">
        <v>19</v>
      </c>
      <c r="E1614" s="250">
        <v>6171.0810000000001</v>
      </c>
    </row>
    <row r="1615" spans="3:5" x14ac:dyDescent="0.35">
      <c r="C1615" s="1" t="s">
        <v>4606</v>
      </c>
      <c r="D1615" s="1" t="s">
        <v>19</v>
      </c>
      <c r="E1615" s="250">
        <v>6171.0820000000003</v>
      </c>
    </row>
    <row r="1616" spans="3:5" x14ac:dyDescent="0.35">
      <c r="C1616" s="1" t="s">
        <v>4605</v>
      </c>
      <c r="D1616" s="1" t="s">
        <v>19</v>
      </c>
      <c r="E1616" s="250">
        <v>6171.0829999999996</v>
      </c>
    </row>
    <row r="1617" spans="3:5" x14ac:dyDescent="0.35">
      <c r="C1617" s="1" t="s">
        <v>4604</v>
      </c>
      <c r="D1617" s="1" t="s">
        <v>19</v>
      </c>
      <c r="E1617" s="250">
        <v>6171.0839999999998</v>
      </c>
    </row>
    <row r="1618" spans="3:5" x14ac:dyDescent="0.35">
      <c r="C1618" s="1" t="s">
        <v>4603</v>
      </c>
      <c r="D1618" s="1" t="s">
        <v>19</v>
      </c>
      <c r="E1618" s="250">
        <v>6171.085</v>
      </c>
    </row>
    <row r="1619" spans="3:5" x14ac:dyDescent="0.35">
      <c r="C1619" s="1" t="s">
        <v>4602</v>
      </c>
      <c r="D1619" s="1" t="s">
        <v>19</v>
      </c>
      <c r="E1619" s="250">
        <v>6171.0860000000002</v>
      </c>
    </row>
    <row r="1620" spans="3:5" x14ac:dyDescent="0.35">
      <c r="C1620" s="1" t="s">
        <v>4601</v>
      </c>
      <c r="D1620" s="1" t="s">
        <v>19</v>
      </c>
      <c r="E1620" s="250">
        <v>6171.0870000000004</v>
      </c>
    </row>
    <row r="1621" spans="3:5" x14ac:dyDescent="0.35">
      <c r="C1621" s="1" t="s">
        <v>4600</v>
      </c>
      <c r="D1621" s="1" t="s">
        <v>19</v>
      </c>
      <c r="E1621" s="250">
        <v>6171.09</v>
      </c>
    </row>
    <row r="1622" spans="3:5" x14ac:dyDescent="0.35">
      <c r="C1622" s="1" t="s">
        <v>4599</v>
      </c>
      <c r="D1622" s="1" t="s">
        <v>19</v>
      </c>
      <c r="E1622" s="250">
        <v>6171.0910000000003</v>
      </c>
    </row>
    <row r="1623" spans="3:5" x14ac:dyDescent="0.35">
      <c r="C1623" s="1" t="s">
        <v>4598</v>
      </c>
      <c r="D1623" s="1" t="s">
        <v>19</v>
      </c>
      <c r="E1623" s="250">
        <v>6171.0919999999996</v>
      </c>
    </row>
    <row r="1624" spans="3:5" x14ac:dyDescent="0.35">
      <c r="C1624" s="1" t="s">
        <v>4597</v>
      </c>
      <c r="D1624" s="1" t="s">
        <v>19</v>
      </c>
      <c r="E1624" s="250">
        <v>6171.0929999999998</v>
      </c>
    </row>
    <row r="1625" spans="3:5" x14ac:dyDescent="0.35">
      <c r="C1625" s="1" t="s">
        <v>4596</v>
      </c>
      <c r="D1625" s="1" t="s">
        <v>19</v>
      </c>
      <c r="E1625" s="250">
        <v>6171.0940000000001</v>
      </c>
    </row>
    <row r="1626" spans="3:5" x14ac:dyDescent="0.35">
      <c r="C1626" s="1" t="s">
        <v>4595</v>
      </c>
      <c r="D1626" s="1" t="s">
        <v>19</v>
      </c>
      <c r="E1626" s="250">
        <v>6171.0950000000003</v>
      </c>
    </row>
    <row r="1627" spans="3:5" x14ac:dyDescent="0.35">
      <c r="C1627" s="1" t="s">
        <v>4594</v>
      </c>
      <c r="D1627" s="1" t="s">
        <v>19</v>
      </c>
      <c r="E1627" s="250">
        <v>6171.0959999999995</v>
      </c>
    </row>
    <row r="1628" spans="3:5" x14ac:dyDescent="0.35">
      <c r="C1628" s="1" t="s">
        <v>4593</v>
      </c>
      <c r="D1628" s="1" t="s">
        <v>19</v>
      </c>
      <c r="E1628" s="250">
        <v>6171.0969999999998</v>
      </c>
    </row>
    <row r="1629" spans="3:5" x14ac:dyDescent="0.35">
      <c r="C1629" s="1" t="s">
        <v>4592</v>
      </c>
      <c r="D1629" s="1" t="s">
        <v>19</v>
      </c>
      <c r="E1629" s="250">
        <v>6171.1</v>
      </c>
    </row>
    <row r="1630" spans="3:5" x14ac:dyDescent="0.35">
      <c r="C1630" s="1" t="s">
        <v>4591</v>
      </c>
      <c r="D1630" s="1" t="s">
        <v>19</v>
      </c>
      <c r="E1630" s="250">
        <v>6171.1009999999997</v>
      </c>
    </row>
    <row r="1631" spans="3:5" x14ac:dyDescent="0.35">
      <c r="C1631" s="1" t="s">
        <v>4590</v>
      </c>
      <c r="D1631" s="1" t="s">
        <v>19</v>
      </c>
      <c r="E1631" s="250">
        <v>6171.1019999999999</v>
      </c>
    </row>
    <row r="1632" spans="3:5" x14ac:dyDescent="0.35">
      <c r="C1632" s="1" t="s">
        <v>4589</v>
      </c>
      <c r="D1632" s="1" t="s">
        <v>19</v>
      </c>
      <c r="E1632" s="250">
        <v>6171.1030000000001</v>
      </c>
    </row>
    <row r="1633" spans="3:5" x14ac:dyDescent="0.35">
      <c r="C1633" s="1" t="s">
        <v>4588</v>
      </c>
      <c r="D1633" s="1" t="s">
        <v>19</v>
      </c>
      <c r="E1633" s="250">
        <v>6171.1040000000003</v>
      </c>
    </row>
    <row r="1634" spans="3:5" x14ac:dyDescent="0.35">
      <c r="C1634" s="1" t="s">
        <v>4587</v>
      </c>
      <c r="D1634" s="1" t="s">
        <v>19</v>
      </c>
      <c r="E1634" s="250">
        <v>6171.1049999999996</v>
      </c>
    </row>
    <row r="1635" spans="3:5" x14ac:dyDescent="0.35">
      <c r="C1635" s="1" t="s">
        <v>4586</v>
      </c>
      <c r="D1635" s="1" t="s">
        <v>19</v>
      </c>
      <c r="E1635" s="250">
        <v>6171.1059999999998</v>
      </c>
    </row>
    <row r="1636" spans="3:5" x14ac:dyDescent="0.35">
      <c r="C1636" s="1" t="s">
        <v>4585</v>
      </c>
      <c r="D1636" s="1" t="s">
        <v>19</v>
      </c>
      <c r="E1636" s="250">
        <v>6171.107</v>
      </c>
    </row>
    <row r="1637" spans="3:5" x14ac:dyDescent="0.35">
      <c r="C1637" s="1" t="s">
        <v>4584</v>
      </c>
      <c r="D1637" s="1" t="s">
        <v>19</v>
      </c>
      <c r="E1637" s="250">
        <v>6171.11</v>
      </c>
    </row>
    <row r="1638" spans="3:5" x14ac:dyDescent="0.35">
      <c r="C1638" s="1" t="s">
        <v>4583</v>
      </c>
      <c r="D1638" s="1" t="s">
        <v>19</v>
      </c>
      <c r="E1638" s="250">
        <v>6171.1109999999999</v>
      </c>
    </row>
    <row r="1639" spans="3:5" x14ac:dyDescent="0.35">
      <c r="C1639" s="1" t="s">
        <v>4582</v>
      </c>
      <c r="D1639" s="1" t="s">
        <v>19</v>
      </c>
      <c r="E1639" s="250">
        <v>6171.1120000000001</v>
      </c>
    </row>
    <row r="1640" spans="3:5" x14ac:dyDescent="0.35">
      <c r="C1640" s="1" t="s">
        <v>4581</v>
      </c>
      <c r="D1640" s="1" t="s">
        <v>19</v>
      </c>
      <c r="E1640" s="250">
        <v>6171.1130000000003</v>
      </c>
    </row>
    <row r="1641" spans="3:5" x14ac:dyDescent="0.35">
      <c r="C1641" s="1" t="s">
        <v>4580</v>
      </c>
      <c r="D1641" s="1" t="s">
        <v>19</v>
      </c>
      <c r="E1641" s="250">
        <v>6171.1139999999996</v>
      </c>
    </row>
    <row r="1642" spans="3:5" x14ac:dyDescent="0.35">
      <c r="C1642" s="1" t="s">
        <v>4579</v>
      </c>
      <c r="D1642" s="1" t="s">
        <v>19</v>
      </c>
      <c r="E1642" s="250">
        <v>6171.1149999999998</v>
      </c>
    </row>
    <row r="1643" spans="3:5" x14ac:dyDescent="0.35">
      <c r="C1643" s="1" t="s">
        <v>4578</v>
      </c>
      <c r="D1643" s="1" t="s">
        <v>19</v>
      </c>
      <c r="E1643" s="250">
        <v>6171.116</v>
      </c>
    </row>
    <row r="1644" spans="3:5" x14ac:dyDescent="0.35">
      <c r="C1644" s="1" t="s">
        <v>4577</v>
      </c>
      <c r="D1644" s="1" t="s">
        <v>19</v>
      </c>
      <c r="E1644" s="250">
        <v>6171.1170000000002</v>
      </c>
    </row>
    <row r="1645" spans="3:5" x14ac:dyDescent="0.35">
      <c r="C1645" s="1" t="s">
        <v>4576</v>
      </c>
      <c r="D1645" s="1" t="s">
        <v>19</v>
      </c>
      <c r="E1645" s="250">
        <v>6171.12</v>
      </c>
    </row>
    <row r="1646" spans="3:5" x14ac:dyDescent="0.35">
      <c r="C1646" s="1" t="s">
        <v>4575</v>
      </c>
      <c r="D1646" s="1" t="s">
        <v>19</v>
      </c>
      <c r="E1646" s="250">
        <v>6171.1210000000001</v>
      </c>
    </row>
    <row r="1647" spans="3:5" x14ac:dyDescent="0.35">
      <c r="C1647" s="1" t="s">
        <v>4574</v>
      </c>
      <c r="D1647" s="1" t="s">
        <v>19</v>
      </c>
      <c r="E1647" s="250">
        <v>6171.1220000000003</v>
      </c>
    </row>
    <row r="1648" spans="3:5" x14ac:dyDescent="0.35">
      <c r="C1648" s="1" t="s">
        <v>4573</v>
      </c>
      <c r="D1648" s="1" t="s">
        <v>19</v>
      </c>
      <c r="E1648" s="250">
        <v>6171.1229999999996</v>
      </c>
    </row>
    <row r="1649" spans="3:5" x14ac:dyDescent="0.35">
      <c r="C1649" s="1" t="s">
        <v>4572</v>
      </c>
      <c r="D1649" s="1" t="s">
        <v>19</v>
      </c>
      <c r="E1649" s="250">
        <v>6171.1239999999998</v>
      </c>
    </row>
    <row r="1650" spans="3:5" x14ac:dyDescent="0.35">
      <c r="C1650" s="1" t="s">
        <v>4571</v>
      </c>
      <c r="D1650" s="1" t="s">
        <v>19</v>
      </c>
      <c r="E1650" s="250">
        <v>6171.125</v>
      </c>
    </row>
    <row r="1651" spans="3:5" x14ac:dyDescent="0.35">
      <c r="C1651" s="1" t="s">
        <v>4570</v>
      </c>
      <c r="D1651" s="1" t="s">
        <v>19</v>
      </c>
      <c r="E1651" s="250">
        <v>6171.1260000000002</v>
      </c>
    </row>
    <row r="1652" spans="3:5" x14ac:dyDescent="0.35">
      <c r="C1652" s="1" t="s">
        <v>4569</v>
      </c>
      <c r="D1652" s="1" t="s">
        <v>19</v>
      </c>
      <c r="E1652" s="250">
        <v>6171.1270000000004</v>
      </c>
    </row>
    <row r="1653" spans="3:5" x14ac:dyDescent="0.35">
      <c r="C1653" s="1" t="s">
        <v>4568</v>
      </c>
      <c r="D1653" s="1" t="s">
        <v>19</v>
      </c>
      <c r="E1653" s="250">
        <v>6171.13</v>
      </c>
    </row>
    <row r="1654" spans="3:5" x14ac:dyDescent="0.35">
      <c r="C1654" s="1" t="s">
        <v>4567</v>
      </c>
      <c r="D1654" s="1" t="s">
        <v>19</v>
      </c>
      <c r="E1654" s="250">
        <v>6171.1310000000003</v>
      </c>
    </row>
    <row r="1655" spans="3:5" x14ac:dyDescent="0.35">
      <c r="C1655" s="1" t="s">
        <v>4566</v>
      </c>
      <c r="D1655" s="1" t="s">
        <v>19</v>
      </c>
      <c r="E1655" s="250">
        <v>6171.1319999999996</v>
      </c>
    </row>
    <row r="1656" spans="3:5" x14ac:dyDescent="0.35">
      <c r="C1656" s="1" t="s">
        <v>4565</v>
      </c>
      <c r="D1656" s="1" t="s">
        <v>19</v>
      </c>
      <c r="E1656" s="250">
        <v>6171.1329999999998</v>
      </c>
    </row>
    <row r="1657" spans="3:5" x14ac:dyDescent="0.35">
      <c r="C1657" s="1" t="s">
        <v>4564</v>
      </c>
      <c r="D1657" s="1" t="s">
        <v>19</v>
      </c>
      <c r="E1657" s="250">
        <v>6171.134</v>
      </c>
    </row>
    <row r="1658" spans="3:5" x14ac:dyDescent="0.35">
      <c r="C1658" s="1" t="s">
        <v>4563</v>
      </c>
      <c r="D1658" s="1" t="s">
        <v>19</v>
      </c>
      <c r="E1658" s="250">
        <v>6171.1350000000002</v>
      </c>
    </row>
    <row r="1659" spans="3:5" x14ac:dyDescent="0.35">
      <c r="C1659" s="1" t="s">
        <v>4562</v>
      </c>
      <c r="D1659" s="1" t="s">
        <v>19</v>
      </c>
      <c r="E1659" s="250">
        <v>6171.1360000000004</v>
      </c>
    </row>
    <row r="1660" spans="3:5" x14ac:dyDescent="0.35">
      <c r="C1660" s="1" t="s">
        <v>4561</v>
      </c>
      <c r="D1660" s="1" t="s">
        <v>19</v>
      </c>
      <c r="E1660" s="250">
        <v>6171.1369999999997</v>
      </c>
    </row>
    <row r="1661" spans="3:5" x14ac:dyDescent="0.35">
      <c r="C1661" s="1" t="s">
        <v>4560</v>
      </c>
      <c r="D1661" s="1" t="s">
        <v>19</v>
      </c>
      <c r="E1661" s="250">
        <v>6171.14</v>
      </c>
    </row>
    <row r="1662" spans="3:5" x14ac:dyDescent="0.35">
      <c r="C1662" s="1" t="s">
        <v>4559</v>
      </c>
      <c r="D1662" s="1" t="s">
        <v>19</v>
      </c>
      <c r="E1662" s="250">
        <v>6171.1409999999996</v>
      </c>
    </row>
    <row r="1663" spans="3:5" x14ac:dyDescent="0.35">
      <c r="C1663" s="1" t="s">
        <v>4558</v>
      </c>
      <c r="D1663" s="1" t="s">
        <v>19</v>
      </c>
      <c r="E1663" s="250">
        <v>6171.1419999999998</v>
      </c>
    </row>
    <row r="1664" spans="3:5" x14ac:dyDescent="0.35">
      <c r="C1664" s="1" t="s">
        <v>4557</v>
      </c>
      <c r="D1664" s="1" t="s">
        <v>19</v>
      </c>
      <c r="E1664" s="250">
        <v>6171.143</v>
      </c>
    </row>
    <row r="1665" spans="3:5" x14ac:dyDescent="0.35">
      <c r="C1665" s="1" t="s">
        <v>4556</v>
      </c>
      <c r="D1665" s="1" t="s">
        <v>19</v>
      </c>
      <c r="E1665" s="250">
        <v>6171.1440000000002</v>
      </c>
    </row>
    <row r="1666" spans="3:5" x14ac:dyDescent="0.35">
      <c r="C1666" s="1" t="s">
        <v>4555</v>
      </c>
      <c r="D1666" s="1" t="s">
        <v>19</v>
      </c>
      <c r="E1666" s="250">
        <v>6171.1450000000004</v>
      </c>
    </row>
    <row r="1667" spans="3:5" x14ac:dyDescent="0.35">
      <c r="C1667" s="1" t="s">
        <v>4554</v>
      </c>
      <c r="D1667" s="1" t="s">
        <v>19</v>
      </c>
      <c r="E1667" s="250">
        <v>6171.1459999999997</v>
      </c>
    </row>
    <row r="1668" spans="3:5" x14ac:dyDescent="0.35">
      <c r="C1668" s="1" t="s">
        <v>4553</v>
      </c>
      <c r="D1668" s="1" t="s">
        <v>19</v>
      </c>
      <c r="E1668" s="250">
        <v>6171.1469999999999</v>
      </c>
    </row>
    <row r="1669" spans="3:5" x14ac:dyDescent="0.35">
      <c r="C1669" s="1" t="s">
        <v>4552</v>
      </c>
      <c r="D1669" s="1" t="s">
        <v>19</v>
      </c>
      <c r="E1669" s="250">
        <v>6171.15</v>
      </c>
    </row>
    <row r="1670" spans="3:5" x14ac:dyDescent="0.35">
      <c r="C1670" s="1" t="s">
        <v>4551</v>
      </c>
      <c r="D1670" s="1" t="s">
        <v>19</v>
      </c>
      <c r="E1670" s="250">
        <v>6171.1509999999998</v>
      </c>
    </row>
    <row r="1671" spans="3:5" x14ac:dyDescent="0.35">
      <c r="C1671" s="1" t="s">
        <v>4550</v>
      </c>
      <c r="D1671" s="1" t="s">
        <v>19</v>
      </c>
      <c r="E1671" s="250">
        <v>6171.152</v>
      </c>
    </row>
    <row r="1672" spans="3:5" x14ac:dyDescent="0.35">
      <c r="C1672" s="1" t="s">
        <v>4549</v>
      </c>
      <c r="D1672" s="1" t="s">
        <v>19</v>
      </c>
      <c r="E1672" s="250">
        <v>6171.1530000000002</v>
      </c>
    </row>
    <row r="1673" spans="3:5" x14ac:dyDescent="0.35">
      <c r="C1673" s="1" t="s">
        <v>4548</v>
      </c>
      <c r="D1673" s="1" t="s">
        <v>19</v>
      </c>
      <c r="E1673" s="250">
        <v>6171.1540000000005</v>
      </c>
    </row>
    <row r="1674" spans="3:5" x14ac:dyDescent="0.35">
      <c r="C1674" s="1" t="s">
        <v>4547</v>
      </c>
      <c r="D1674" s="1" t="s">
        <v>19</v>
      </c>
      <c r="E1674" s="250">
        <v>6171.1549999999997</v>
      </c>
    </row>
    <row r="1675" spans="3:5" x14ac:dyDescent="0.35">
      <c r="C1675" s="1" t="s">
        <v>4546</v>
      </c>
      <c r="D1675" s="1" t="s">
        <v>19</v>
      </c>
      <c r="E1675" s="250">
        <v>6171.1559999999999</v>
      </c>
    </row>
    <row r="1676" spans="3:5" x14ac:dyDescent="0.35">
      <c r="C1676" s="1" t="s">
        <v>4545</v>
      </c>
      <c r="D1676" s="1" t="s">
        <v>19</v>
      </c>
      <c r="E1676" s="250">
        <v>6171.1570000000002</v>
      </c>
    </row>
    <row r="1677" spans="3:5" x14ac:dyDescent="0.35">
      <c r="C1677" s="1" t="s">
        <v>4544</v>
      </c>
      <c r="D1677" s="1" t="s">
        <v>19</v>
      </c>
      <c r="E1677" s="250">
        <v>6171.16</v>
      </c>
    </row>
    <row r="1678" spans="3:5" x14ac:dyDescent="0.35">
      <c r="C1678" s="1" t="s">
        <v>4543</v>
      </c>
      <c r="D1678" s="1" t="s">
        <v>19</v>
      </c>
      <c r="E1678" s="250">
        <v>6171.1610000000001</v>
      </c>
    </row>
    <row r="1679" spans="3:5" x14ac:dyDescent="0.35">
      <c r="C1679" s="1" t="s">
        <v>4542</v>
      </c>
      <c r="D1679" s="1" t="s">
        <v>19</v>
      </c>
      <c r="E1679" s="250">
        <v>6171.1620000000003</v>
      </c>
    </row>
    <row r="1680" spans="3:5" x14ac:dyDescent="0.35">
      <c r="C1680" s="1" t="s">
        <v>4541</v>
      </c>
      <c r="D1680" s="1" t="s">
        <v>19</v>
      </c>
      <c r="E1680" s="250">
        <v>6171.1629999999996</v>
      </c>
    </row>
    <row r="1681" spans="3:5" x14ac:dyDescent="0.35">
      <c r="C1681" s="1" t="s">
        <v>4540</v>
      </c>
      <c r="D1681" s="1" t="s">
        <v>19</v>
      </c>
      <c r="E1681" s="250">
        <v>6171.1639999999998</v>
      </c>
    </row>
    <row r="1682" spans="3:5" x14ac:dyDescent="0.35">
      <c r="C1682" s="1" t="s">
        <v>4539</v>
      </c>
      <c r="D1682" s="1" t="s">
        <v>19</v>
      </c>
      <c r="E1682" s="250">
        <v>6171.165</v>
      </c>
    </row>
    <row r="1683" spans="3:5" x14ac:dyDescent="0.35">
      <c r="C1683" s="1" t="s">
        <v>4538</v>
      </c>
      <c r="D1683" s="1" t="s">
        <v>19</v>
      </c>
      <c r="E1683" s="250">
        <v>6171.1660000000002</v>
      </c>
    </row>
    <row r="1684" spans="3:5" x14ac:dyDescent="0.35">
      <c r="C1684" s="1" t="s">
        <v>4537</v>
      </c>
      <c r="D1684" s="1" t="s">
        <v>19</v>
      </c>
      <c r="E1684" s="250">
        <v>6171.1670000000004</v>
      </c>
    </row>
    <row r="1685" spans="3:5" x14ac:dyDescent="0.35">
      <c r="C1685" s="1" t="s">
        <v>4536</v>
      </c>
      <c r="D1685" s="1" t="s">
        <v>19</v>
      </c>
      <c r="E1685" s="250">
        <v>6171.17</v>
      </c>
    </row>
    <row r="1686" spans="3:5" x14ac:dyDescent="0.35">
      <c r="C1686" s="1" t="s">
        <v>4535</v>
      </c>
      <c r="D1686" s="1" t="s">
        <v>19</v>
      </c>
      <c r="E1686" s="250">
        <v>6171.1710000000003</v>
      </c>
    </row>
    <row r="1687" spans="3:5" x14ac:dyDescent="0.35">
      <c r="C1687" s="1" t="s">
        <v>4534</v>
      </c>
      <c r="D1687" s="1" t="s">
        <v>19</v>
      </c>
      <c r="E1687" s="250">
        <v>6171.1719999999996</v>
      </c>
    </row>
    <row r="1688" spans="3:5" x14ac:dyDescent="0.35">
      <c r="C1688" s="1" t="s">
        <v>4533</v>
      </c>
      <c r="D1688" s="1" t="s">
        <v>19</v>
      </c>
      <c r="E1688" s="250">
        <v>6171.1729999999998</v>
      </c>
    </row>
    <row r="1689" spans="3:5" x14ac:dyDescent="0.35">
      <c r="C1689" s="1" t="s">
        <v>4532</v>
      </c>
      <c r="D1689" s="1" t="s">
        <v>19</v>
      </c>
      <c r="E1689" s="250">
        <v>6171.174</v>
      </c>
    </row>
    <row r="1690" spans="3:5" x14ac:dyDescent="0.35">
      <c r="C1690" s="1" t="s">
        <v>4531</v>
      </c>
      <c r="D1690" s="1" t="s">
        <v>19</v>
      </c>
      <c r="E1690" s="250">
        <v>6171.1750000000002</v>
      </c>
    </row>
    <row r="1691" spans="3:5" x14ac:dyDescent="0.35">
      <c r="C1691" s="1" t="s">
        <v>4530</v>
      </c>
      <c r="D1691" s="1" t="s">
        <v>19</v>
      </c>
      <c r="E1691" s="250">
        <v>6171.1760000000004</v>
      </c>
    </row>
    <row r="1692" spans="3:5" x14ac:dyDescent="0.35">
      <c r="C1692" s="1" t="s">
        <v>4529</v>
      </c>
      <c r="D1692" s="1" t="s">
        <v>19</v>
      </c>
      <c r="E1692" s="250">
        <v>6171.1769999999997</v>
      </c>
    </row>
    <row r="1693" spans="3:5" x14ac:dyDescent="0.35">
      <c r="C1693" s="1" t="s">
        <v>4528</v>
      </c>
      <c r="D1693" s="1" t="s">
        <v>19</v>
      </c>
      <c r="E1693" s="250">
        <v>6171.18</v>
      </c>
    </row>
    <row r="1694" spans="3:5" x14ac:dyDescent="0.35">
      <c r="C1694" s="1" t="s">
        <v>4527</v>
      </c>
      <c r="D1694" s="1" t="s">
        <v>19</v>
      </c>
      <c r="E1694" s="250">
        <v>6171.1809999999996</v>
      </c>
    </row>
    <row r="1695" spans="3:5" x14ac:dyDescent="0.35">
      <c r="C1695" s="1" t="s">
        <v>4526</v>
      </c>
      <c r="D1695" s="1" t="s">
        <v>19</v>
      </c>
      <c r="E1695" s="250">
        <v>6171.1819999999998</v>
      </c>
    </row>
    <row r="1696" spans="3:5" x14ac:dyDescent="0.35">
      <c r="C1696" s="1" t="s">
        <v>4525</v>
      </c>
      <c r="D1696" s="1" t="s">
        <v>19</v>
      </c>
      <c r="E1696" s="250">
        <v>6171.183</v>
      </c>
    </row>
    <row r="1697" spans="3:5" x14ac:dyDescent="0.35">
      <c r="C1697" s="1" t="s">
        <v>4524</v>
      </c>
      <c r="D1697" s="1" t="s">
        <v>19</v>
      </c>
      <c r="E1697" s="250">
        <v>6171.1840000000002</v>
      </c>
    </row>
    <row r="1698" spans="3:5" x14ac:dyDescent="0.35">
      <c r="C1698" s="1" t="s">
        <v>4523</v>
      </c>
      <c r="D1698" s="1" t="s">
        <v>19</v>
      </c>
      <c r="E1698" s="250">
        <v>6171.1850000000004</v>
      </c>
    </row>
    <row r="1699" spans="3:5" x14ac:dyDescent="0.35">
      <c r="C1699" s="1" t="s">
        <v>4522</v>
      </c>
      <c r="D1699" s="1" t="s">
        <v>19</v>
      </c>
      <c r="E1699" s="250">
        <v>6171.1859999999997</v>
      </c>
    </row>
    <row r="1700" spans="3:5" x14ac:dyDescent="0.35">
      <c r="C1700" s="1" t="s">
        <v>4521</v>
      </c>
      <c r="D1700" s="1" t="s">
        <v>19</v>
      </c>
      <c r="E1700" s="250">
        <v>6171.1869999999999</v>
      </c>
    </row>
    <row r="1701" spans="3:5" x14ac:dyDescent="0.35">
      <c r="C1701" s="1" t="s">
        <v>4520</v>
      </c>
      <c r="D1701" s="1" t="s">
        <v>19</v>
      </c>
      <c r="E1701" s="250">
        <v>6171.19</v>
      </c>
    </row>
    <row r="1702" spans="3:5" x14ac:dyDescent="0.35">
      <c r="C1702" s="1" t="s">
        <v>4519</v>
      </c>
      <c r="D1702" s="1" t="s">
        <v>19</v>
      </c>
      <c r="E1702" s="250">
        <v>6171.1909999999998</v>
      </c>
    </row>
    <row r="1703" spans="3:5" x14ac:dyDescent="0.35">
      <c r="C1703" s="1" t="s">
        <v>4518</v>
      </c>
      <c r="D1703" s="1" t="s">
        <v>19</v>
      </c>
      <c r="E1703" s="250">
        <v>6171.192</v>
      </c>
    </row>
    <row r="1704" spans="3:5" x14ac:dyDescent="0.35">
      <c r="C1704" s="1" t="s">
        <v>4517</v>
      </c>
      <c r="D1704" s="1" t="s">
        <v>19</v>
      </c>
      <c r="E1704" s="250">
        <v>6171.1930000000002</v>
      </c>
    </row>
    <row r="1705" spans="3:5" x14ac:dyDescent="0.35">
      <c r="C1705" s="1" t="s">
        <v>4516</v>
      </c>
      <c r="D1705" s="1" t="s">
        <v>19</v>
      </c>
      <c r="E1705" s="250">
        <v>6171.1940000000004</v>
      </c>
    </row>
    <row r="1706" spans="3:5" x14ac:dyDescent="0.35">
      <c r="C1706" s="1" t="s">
        <v>4515</v>
      </c>
      <c r="D1706" s="1" t="s">
        <v>19</v>
      </c>
      <c r="E1706" s="250">
        <v>6171.1949999999997</v>
      </c>
    </row>
    <row r="1707" spans="3:5" x14ac:dyDescent="0.35">
      <c r="C1707" s="1" t="s">
        <v>4514</v>
      </c>
      <c r="D1707" s="1" t="s">
        <v>19</v>
      </c>
      <c r="E1707" s="250">
        <v>6171.1959999999999</v>
      </c>
    </row>
    <row r="1708" spans="3:5" x14ac:dyDescent="0.35">
      <c r="C1708" s="1" t="s">
        <v>4513</v>
      </c>
      <c r="D1708" s="1" t="s">
        <v>19</v>
      </c>
      <c r="E1708" s="250">
        <v>6171.1970000000001</v>
      </c>
    </row>
    <row r="1709" spans="3:5" x14ac:dyDescent="0.35">
      <c r="C1709" s="1" t="s">
        <v>4512</v>
      </c>
      <c r="D1709" s="1" t="s">
        <v>19</v>
      </c>
      <c r="E1709" s="250">
        <v>6171.3010000000004</v>
      </c>
    </row>
    <row r="1710" spans="3:5" x14ac:dyDescent="0.35">
      <c r="C1710" s="1" t="s">
        <v>4511</v>
      </c>
      <c r="D1710" s="1" t="s">
        <v>19</v>
      </c>
      <c r="E1710" s="250">
        <v>6171.3019999999997</v>
      </c>
    </row>
    <row r="1711" spans="3:5" x14ac:dyDescent="0.35">
      <c r="C1711" s="1" t="s">
        <v>4510</v>
      </c>
      <c r="D1711" s="1" t="s">
        <v>19</v>
      </c>
      <c r="E1711" s="250">
        <v>6171.3029999999999</v>
      </c>
    </row>
    <row r="1712" spans="3:5" x14ac:dyDescent="0.35">
      <c r="C1712" s="1" t="s">
        <v>4509</v>
      </c>
      <c r="D1712" s="1" t="s">
        <v>19</v>
      </c>
      <c r="E1712" s="250">
        <v>6171.3040000000001</v>
      </c>
    </row>
    <row r="1713" spans="3:5" x14ac:dyDescent="0.35">
      <c r="C1713" s="1" t="s">
        <v>4508</v>
      </c>
      <c r="D1713" s="1" t="s">
        <v>19</v>
      </c>
      <c r="E1713" s="250">
        <v>6171.3050000000003</v>
      </c>
    </row>
    <row r="1714" spans="3:5" x14ac:dyDescent="0.35">
      <c r="C1714" s="1" t="s">
        <v>4507</v>
      </c>
      <c r="D1714" s="1" t="s">
        <v>19</v>
      </c>
      <c r="E1714" s="250">
        <v>6171.3059999999996</v>
      </c>
    </row>
    <row r="1715" spans="3:5" x14ac:dyDescent="0.35">
      <c r="C1715" s="1" t="s">
        <v>4506</v>
      </c>
      <c r="D1715" s="1" t="s">
        <v>19</v>
      </c>
      <c r="E1715" s="250">
        <v>6171.3069999999998</v>
      </c>
    </row>
    <row r="1716" spans="3:5" x14ac:dyDescent="0.35">
      <c r="C1716" s="1" t="s">
        <v>4505</v>
      </c>
      <c r="D1716" s="1" t="s">
        <v>19</v>
      </c>
      <c r="E1716" s="250">
        <v>6171.308</v>
      </c>
    </row>
    <row r="1717" spans="3:5" x14ac:dyDescent="0.35">
      <c r="C1717" s="1" t="s">
        <v>4504</v>
      </c>
      <c r="D1717" s="1" t="s">
        <v>19</v>
      </c>
      <c r="E1717" s="250">
        <v>6171.3109999999997</v>
      </c>
    </row>
    <row r="1718" spans="3:5" x14ac:dyDescent="0.35">
      <c r="C1718" s="1" t="s">
        <v>4503</v>
      </c>
      <c r="D1718" s="1" t="s">
        <v>19</v>
      </c>
      <c r="E1718" s="250">
        <v>6171.3119999999999</v>
      </c>
    </row>
    <row r="1719" spans="3:5" x14ac:dyDescent="0.35">
      <c r="C1719" s="1" t="s">
        <v>4502</v>
      </c>
      <c r="D1719" s="1" t="s">
        <v>19</v>
      </c>
      <c r="E1719" s="250">
        <v>6171.3130000000001</v>
      </c>
    </row>
    <row r="1720" spans="3:5" x14ac:dyDescent="0.35">
      <c r="C1720" s="1" t="s">
        <v>4501</v>
      </c>
      <c r="D1720" s="1" t="s">
        <v>19</v>
      </c>
      <c r="E1720" s="250">
        <v>6171.3140000000003</v>
      </c>
    </row>
    <row r="1721" spans="3:5" x14ac:dyDescent="0.35">
      <c r="C1721" s="1" t="s">
        <v>4500</v>
      </c>
      <c r="D1721" s="1" t="s">
        <v>19</v>
      </c>
      <c r="E1721" s="250">
        <v>6171.3149999999996</v>
      </c>
    </row>
    <row r="1722" spans="3:5" x14ac:dyDescent="0.35">
      <c r="C1722" s="1" t="s">
        <v>4499</v>
      </c>
      <c r="D1722" s="1" t="s">
        <v>19</v>
      </c>
      <c r="E1722" s="250">
        <v>6171.3159999999998</v>
      </c>
    </row>
    <row r="1723" spans="3:5" x14ac:dyDescent="0.35">
      <c r="C1723" s="1" t="s">
        <v>4498</v>
      </c>
      <c r="D1723" s="1" t="s">
        <v>19</v>
      </c>
      <c r="E1723" s="250">
        <v>6171.317</v>
      </c>
    </row>
    <row r="1724" spans="3:5" x14ac:dyDescent="0.35">
      <c r="C1724" s="1" t="s">
        <v>4497</v>
      </c>
      <c r="D1724" s="1" t="s">
        <v>19</v>
      </c>
      <c r="E1724" s="250">
        <v>6171.3180000000002</v>
      </c>
    </row>
    <row r="1725" spans="3:5" x14ac:dyDescent="0.35">
      <c r="C1725" s="1" t="s">
        <v>4496</v>
      </c>
      <c r="D1725" s="1" t="s">
        <v>19</v>
      </c>
      <c r="E1725" s="250">
        <v>6171.3209999999999</v>
      </c>
    </row>
    <row r="1726" spans="3:5" x14ac:dyDescent="0.35">
      <c r="C1726" s="1" t="s">
        <v>4495</v>
      </c>
      <c r="D1726" s="1" t="s">
        <v>19</v>
      </c>
      <c r="E1726" s="250">
        <v>6171.3220000000001</v>
      </c>
    </row>
    <row r="1727" spans="3:5" x14ac:dyDescent="0.35">
      <c r="C1727" s="1" t="s">
        <v>4494</v>
      </c>
      <c r="D1727" s="1" t="s">
        <v>19</v>
      </c>
      <c r="E1727" s="250">
        <v>6171.3230000000003</v>
      </c>
    </row>
    <row r="1728" spans="3:5" x14ac:dyDescent="0.35">
      <c r="C1728" s="1" t="s">
        <v>4493</v>
      </c>
      <c r="D1728" s="1" t="s">
        <v>19</v>
      </c>
      <c r="E1728" s="250">
        <v>6171.3239999999996</v>
      </c>
    </row>
    <row r="1729" spans="3:5" x14ac:dyDescent="0.35">
      <c r="C1729" s="1" t="s">
        <v>4492</v>
      </c>
      <c r="D1729" s="1" t="s">
        <v>19</v>
      </c>
      <c r="E1729" s="250">
        <v>6171.3249999999998</v>
      </c>
    </row>
    <row r="1730" spans="3:5" x14ac:dyDescent="0.35">
      <c r="C1730" s="1" t="s">
        <v>4491</v>
      </c>
      <c r="D1730" s="1" t="s">
        <v>19</v>
      </c>
      <c r="E1730" s="250">
        <v>6171.326</v>
      </c>
    </row>
    <row r="1731" spans="3:5" x14ac:dyDescent="0.35">
      <c r="C1731" s="1" t="s">
        <v>4490</v>
      </c>
      <c r="D1731" s="1" t="s">
        <v>19</v>
      </c>
      <c r="E1731" s="250">
        <v>6171.3270000000002</v>
      </c>
    </row>
    <row r="1732" spans="3:5" x14ac:dyDescent="0.35">
      <c r="C1732" s="1" t="s">
        <v>4489</v>
      </c>
      <c r="D1732" s="1" t="s">
        <v>19</v>
      </c>
      <c r="E1732" s="250">
        <v>6171.3280000000004</v>
      </c>
    </row>
    <row r="1733" spans="3:5" x14ac:dyDescent="0.35">
      <c r="C1733" s="1" t="s">
        <v>4488</v>
      </c>
      <c r="D1733" s="1" t="s">
        <v>19</v>
      </c>
      <c r="E1733" s="250">
        <v>6171.3310000000001</v>
      </c>
    </row>
    <row r="1734" spans="3:5" x14ac:dyDescent="0.35">
      <c r="C1734" s="1" t="s">
        <v>4487</v>
      </c>
      <c r="D1734" s="1" t="s">
        <v>19</v>
      </c>
      <c r="E1734" s="250">
        <v>6171.3320000000003</v>
      </c>
    </row>
    <row r="1735" spans="3:5" x14ac:dyDescent="0.35">
      <c r="C1735" s="1" t="s">
        <v>4486</v>
      </c>
      <c r="D1735" s="1" t="s">
        <v>19</v>
      </c>
      <c r="E1735" s="250">
        <v>6171.3329999999996</v>
      </c>
    </row>
    <row r="1736" spans="3:5" x14ac:dyDescent="0.35">
      <c r="C1736" s="1" t="s">
        <v>4485</v>
      </c>
      <c r="D1736" s="1" t="s">
        <v>19</v>
      </c>
      <c r="E1736" s="250">
        <v>6171.3339999999998</v>
      </c>
    </row>
    <row r="1737" spans="3:5" x14ac:dyDescent="0.35">
      <c r="C1737" s="1" t="s">
        <v>4484</v>
      </c>
      <c r="D1737" s="1" t="s">
        <v>19</v>
      </c>
      <c r="E1737" s="250">
        <v>6171.335</v>
      </c>
    </row>
    <row r="1738" spans="3:5" x14ac:dyDescent="0.35">
      <c r="C1738" s="1" t="s">
        <v>4483</v>
      </c>
      <c r="D1738" s="1" t="s">
        <v>19</v>
      </c>
      <c r="E1738" s="250">
        <v>6171.3360000000002</v>
      </c>
    </row>
    <row r="1739" spans="3:5" x14ac:dyDescent="0.35">
      <c r="C1739" s="1" t="s">
        <v>4482</v>
      </c>
      <c r="D1739" s="1" t="s">
        <v>19</v>
      </c>
      <c r="E1739" s="250">
        <v>6171.3370000000004</v>
      </c>
    </row>
    <row r="1740" spans="3:5" x14ac:dyDescent="0.35">
      <c r="C1740" s="1" t="s">
        <v>4481</v>
      </c>
      <c r="D1740" s="1" t="s">
        <v>19</v>
      </c>
      <c r="E1740" s="250">
        <v>6171.3379999999997</v>
      </c>
    </row>
    <row r="1741" spans="3:5" x14ac:dyDescent="0.35">
      <c r="C1741" s="1" t="s">
        <v>4480</v>
      </c>
      <c r="D1741" s="1" t="s">
        <v>19</v>
      </c>
      <c r="E1741" s="250">
        <v>6171.3410000000003</v>
      </c>
    </row>
    <row r="1742" spans="3:5" x14ac:dyDescent="0.35">
      <c r="C1742" s="1" t="s">
        <v>4479</v>
      </c>
      <c r="D1742" s="1" t="s">
        <v>19</v>
      </c>
      <c r="E1742" s="250">
        <v>6171.3419999999996</v>
      </c>
    </row>
    <row r="1743" spans="3:5" x14ac:dyDescent="0.35">
      <c r="C1743" s="1" t="s">
        <v>4478</v>
      </c>
      <c r="D1743" s="1" t="s">
        <v>19</v>
      </c>
      <c r="E1743" s="250">
        <v>6171.3429999999998</v>
      </c>
    </row>
    <row r="1744" spans="3:5" x14ac:dyDescent="0.35">
      <c r="C1744" s="1" t="s">
        <v>4477</v>
      </c>
      <c r="D1744" s="1" t="s">
        <v>19</v>
      </c>
      <c r="E1744" s="250">
        <v>6171.3440000000001</v>
      </c>
    </row>
    <row r="1745" spans="3:5" x14ac:dyDescent="0.35">
      <c r="C1745" s="1" t="s">
        <v>4476</v>
      </c>
      <c r="D1745" s="1" t="s">
        <v>19</v>
      </c>
      <c r="E1745" s="250">
        <v>6171.3450000000003</v>
      </c>
    </row>
    <row r="1746" spans="3:5" x14ac:dyDescent="0.35">
      <c r="C1746" s="1" t="s">
        <v>4475</v>
      </c>
      <c r="D1746" s="1" t="s">
        <v>19</v>
      </c>
      <c r="E1746" s="250">
        <v>6171.3459999999995</v>
      </c>
    </row>
    <row r="1747" spans="3:5" x14ac:dyDescent="0.35">
      <c r="C1747" s="1" t="s">
        <v>4474</v>
      </c>
      <c r="D1747" s="1" t="s">
        <v>19</v>
      </c>
      <c r="E1747" s="250">
        <v>6171.3469999999998</v>
      </c>
    </row>
    <row r="1748" spans="3:5" x14ac:dyDescent="0.35">
      <c r="C1748" s="1" t="s">
        <v>4473</v>
      </c>
      <c r="D1748" s="1" t="s">
        <v>19</v>
      </c>
      <c r="E1748" s="250">
        <v>6171.348</v>
      </c>
    </row>
    <row r="1749" spans="3:5" x14ac:dyDescent="0.35">
      <c r="C1749" s="1" t="s">
        <v>4472</v>
      </c>
      <c r="D1749" s="1" t="s">
        <v>19</v>
      </c>
      <c r="E1749" s="250">
        <v>6171.3509999999997</v>
      </c>
    </row>
    <row r="1750" spans="3:5" x14ac:dyDescent="0.35">
      <c r="C1750" s="1" t="s">
        <v>4471</v>
      </c>
      <c r="D1750" s="1" t="s">
        <v>19</v>
      </c>
      <c r="E1750" s="250">
        <v>6171.3519999999999</v>
      </c>
    </row>
    <row r="1751" spans="3:5" x14ac:dyDescent="0.35">
      <c r="C1751" s="1" t="s">
        <v>4470</v>
      </c>
      <c r="D1751" s="1" t="s">
        <v>19</v>
      </c>
      <c r="E1751" s="250">
        <v>6171.3530000000001</v>
      </c>
    </row>
    <row r="1752" spans="3:5" x14ac:dyDescent="0.35">
      <c r="C1752" s="1" t="s">
        <v>4469</v>
      </c>
      <c r="D1752" s="1" t="s">
        <v>19</v>
      </c>
      <c r="E1752" s="250">
        <v>6171.3540000000003</v>
      </c>
    </row>
    <row r="1753" spans="3:5" x14ac:dyDescent="0.35">
      <c r="C1753" s="1" t="s">
        <v>4468</v>
      </c>
      <c r="D1753" s="1" t="s">
        <v>19</v>
      </c>
      <c r="E1753" s="250">
        <v>6171.3549999999996</v>
      </c>
    </row>
    <row r="1754" spans="3:5" x14ac:dyDescent="0.35">
      <c r="C1754" s="1" t="s">
        <v>4467</v>
      </c>
      <c r="D1754" s="1" t="s">
        <v>19</v>
      </c>
      <c r="E1754" s="250">
        <v>6171.3559999999998</v>
      </c>
    </row>
    <row r="1755" spans="3:5" x14ac:dyDescent="0.35">
      <c r="C1755" s="1" t="s">
        <v>4466</v>
      </c>
      <c r="D1755" s="1" t="s">
        <v>19</v>
      </c>
      <c r="E1755" s="250">
        <v>6171.357</v>
      </c>
    </row>
    <row r="1756" spans="3:5" x14ac:dyDescent="0.35">
      <c r="C1756" s="1" t="s">
        <v>4465</v>
      </c>
      <c r="D1756" s="1" t="s">
        <v>19</v>
      </c>
      <c r="E1756" s="250">
        <v>6171.3580000000002</v>
      </c>
    </row>
    <row r="1757" spans="3:5" x14ac:dyDescent="0.35">
      <c r="C1757" s="1" t="s">
        <v>4464</v>
      </c>
      <c r="D1757" s="1" t="s">
        <v>19</v>
      </c>
      <c r="E1757" s="250">
        <v>6171.4009999999998</v>
      </c>
    </row>
    <row r="1758" spans="3:5" x14ac:dyDescent="0.35">
      <c r="C1758" s="1" t="s">
        <v>4463</v>
      </c>
      <c r="D1758" s="1" t="s">
        <v>19</v>
      </c>
      <c r="E1758" s="250">
        <v>6171.402</v>
      </c>
    </row>
    <row r="1759" spans="3:5" x14ac:dyDescent="0.35">
      <c r="C1759" s="1" t="s">
        <v>4462</v>
      </c>
      <c r="D1759" s="1" t="s">
        <v>19</v>
      </c>
      <c r="E1759" s="250">
        <v>6171.4030000000002</v>
      </c>
    </row>
    <row r="1760" spans="3:5" x14ac:dyDescent="0.35">
      <c r="C1760" s="1" t="s">
        <v>4461</v>
      </c>
      <c r="D1760" s="1" t="s">
        <v>19</v>
      </c>
      <c r="E1760" s="250">
        <v>6171.4040000000005</v>
      </c>
    </row>
    <row r="1761" spans="3:5" x14ac:dyDescent="0.35">
      <c r="C1761" s="1" t="s">
        <v>4460</v>
      </c>
      <c r="D1761" s="1" t="s">
        <v>19</v>
      </c>
      <c r="E1761" s="250">
        <v>6171.4049999999997</v>
      </c>
    </row>
    <row r="1762" spans="3:5" x14ac:dyDescent="0.35">
      <c r="C1762" s="1" t="s">
        <v>4459</v>
      </c>
      <c r="D1762" s="1" t="s">
        <v>19</v>
      </c>
      <c r="E1762" s="250">
        <v>6171.4059999999999</v>
      </c>
    </row>
    <row r="1763" spans="3:5" x14ac:dyDescent="0.35">
      <c r="C1763" s="1" t="s">
        <v>4458</v>
      </c>
      <c r="D1763" s="1" t="s">
        <v>19</v>
      </c>
      <c r="E1763" s="250">
        <v>6171.4070000000002</v>
      </c>
    </row>
    <row r="1764" spans="3:5" x14ac:dyDescent="0.35">
      <c r="C1764" s="1" t="s">
        <v>4457</v>
      </c>
      <c r="D1764" s="1" t="s">
        <v>19</v>
      </c>
      <c r="E1764" s="250">
        <v>6171.4080000000004</v>
      </c>
    </row>
    <row r="1765" spans="3:5" x14ac:dyDescent="0.35">
      <c r="C1765" s="1" t="s">
        <v>4456</v>
      </c>
      <c r="D1765" s="1" t="s">
        <v>19</v>
      </c>
      <c r="E1765" s="250">
        <v>6171.4110000000001</v>
      </c>
    </row>
    <row r="1766" spans="3:5" x14ac:dyDescent="0.35">
      <c r="C1766" s="1" t="s">
        <v>4455</v>
      </c>
      <c r="D1766" s="1" t="s">
        <v>19</v>
      </c>
      <c r="E1766" s="250">
        <v>6171.4120000000003</v>
      </c>
    </row>
    <row r="1767" spans="3:5" x14ac:dyDescent="0.35">
      <c r="C1767" s="1" t="s">
        <v>4454</v>
      </c>
      <c r="D1767" s="1" t="s">
        <v>19</v>
      </c>
      <c r="E1767" s="250">
        <v>6171.4129999999996</v>
      </c>
    </row>
    <row r="1768" spans="3:5" x14ac:dyDescent="0.35">
      <c r="C1768" s="1" t="s">
        <v>4453</v>
      </c>
      <c r="D1768" s="1" t="s">
        <v>19</v>
      </c>
      <c r="E1768" s="250">
        <v>6171.4139999999998</v>
      </c>
    </row>
    <row r="1769" spans="3:5" x14ac:dyDescent="0.35">
      <c r="C1769" s="1" t="s">
        <v>4452</v>
      </c>
      <c r="D1769" s="1" t="s">
        <v>19</v>
      </c>
      <c r="E1769" s="250">
        <v>6171.415</v>
      </c>
    </row>
    <row r="1770" spans="3:5" x14ac:dyDescent="0.35">
      <c r="C1770" s="1" t="s">
        <v>4451</v>
      </c>
      <c r="D1770" s="1" t="s">
        <v>19</v>
      </c>
      <c r="E1770" s="250">
        <v>6171.4160000000002</v>
      </c>
    </row>
    <row r="1771" spans="3:5" x14ac:dyDescent="0.35">
      <c r="C1771" s="1" t="s">
        <v>4450</v>
      </c>
      <c r="D1771" s="1" t="s">
        <v>19</v>
      </c>
      <c r="E1771" s="250">
        <v>6171.4170000000004</v>
      </c>
    </row>
    <row r="1772" spans="3:5" x14ac:dyDescent="0.35">
      <c r="C1772" s="1" t="s">
        <v>4449</v>
      </c>
      <c r="D1772" s="1" t="s">
        <v>19</v>
      </c>
      <c r="E1772" s="250">
        <v>6171.4179999999997</v>
      </c>
    </row>
    <row r="1773" spans="3:5" x14ac:dyDescent="0.35">
      <c r="C1773" s="1" t="s">
        <v>4448</v>
      </c>
      <c r="D1773" s="1" t="s">
        <v>19</v>
      </c>
      <c r="E1773" s="250">
        <v>6171.4210000000003</v>
      </c>
    </row>
    <row r="1774" spans="3:5" x14ac:dyDescent="0.35">
      <c r="C1774" s="1" t="s">
        <v>4447</v>
      </c>
      <c r="D1774" s="1" t="s">
        <v>19</v>
      </c>
      <c r="E1774" s="250">
        <v>6171.4219999999996</v>
      </c>
    </row>
    <row r="1775" spans="3:5" x14ac:dyDescent="0.35">
      <c r="C1775" s="1" t="s">
        <v>4446</v>
      </c>
      <c r="D1775" s="1" t="s">
        <v>19</v>
      </c>
      <c r="E1775" s="250">
        <v>6171.4229999999998</v>
      </c>
    </row>
    <row r="1776" spans="3:5" x14ac:dyDescent="0.35">
      <c r="C1776" s="1" t="s">
        <v>4445</v>
      </c>
      <c r="D1776" s="1" t="s">
        <v>19</v>
      </c>
      <c r="E1776" s="250">
        <v>6171.424</v>
      </c>
    </row>
    <row r="1777" spans="3:5" x14ac:dyDescent="0.35">
      <c r="C1777" s="1" t="s">
        <v>4444</v>
      </c>
      <c r="D1777" s="1" t="s">
        <v>19</v>
      </c>
      <c r="E1777" s="250">
        <v>6171.4250000000002</v>
      </c>
    </row>
    <row r="1778" spans="3:5" x14ac:dyDescent="0.35">
      <c r="C1778" s="1" t="s">
        <v>4443</v>
      </c>
      <c r="D1778" s="1" t="s">
        <v>19</v>
      </c>
      <c r="E1778" s="250">
        <v>6171.4260000000004</v>
      </c>
    </row>
    <row r="1779" spans="3:5" x14ac:dyDescent="0.35">
      <c r="C1779" s="1" t="s">
        <v>4442</v>
      </c>
      <c r="D1779" s="1" t="s">
        <v>19</v>
      </c>
      <c r="E1779" s="250">
        <v>6171.4269999999997</v>
      </c>
    </row>
    <row r="1780" spans="3:5" x14ac:dyDescent="0.35">
      <c r="C1780" s="1" t="s">
        <v>4441</v>
      </c>
      <c r="D1780" s="1" t="s">
        <v>19</v>
      </c>
      <c r="E1780" s="250">
        <v>6171.4279999999999</v>
      </c>
    </row>
    <row r="1781" spans="3:5" x14ac:dyDescent="0.35">
      <c r="C1781" s="1" t="s">
        <v>4440</v>
      </c>
      <c r="D1781" s="1" t="s">
        <v>19</v>
      </c>
      <c r="E1781" s="250">
        <v>6171.4309999999996</v>
      </c>
    </row>
    <row r="1782" spans="3:5" x14ac:dyDescent="0.35">
      <c r="C1782" s="1" t="s">
        <v>4439</v>
      </c>
      <c r="D1782" s="1" t="s">
        <v>19</v>
      </c>
      <c r="E1782" s="250">
        <v>6171.4319999999998</v>
      </c>
    </row>
    <row r="1783" spans="3:5" x14ac:dyDescent="0.35">
      <c r="C1783" s="1" t="s">
        <v>4438</v>
      </c>
      <c r="D1783" s="1" t="s">
        <v>19</v>
      </c>
      <c r="E1783" s="250">
        <v>6171.433</v>
      </c>
    </row>
    <row r="1784" spans="3:5" x14ac:dyDescent="0.35">
      <c r="C1784" s="1" t="s">
        <v>4437</v>
      </c>
      <c r="D1784" s="1" t="s">
        <v>19</v>
      </c>
      <c r="E1784" s="250">
        <v>6171.4340000000002</v>
      </c>
    </row>
    <row r="1785" spans="3:5" x14ac:dyDescent="0.35">
      <c r="C1785" s="1" t="s">
        <v>4436</v>
      </c>
      <c r="D1785" s="1" t="s">
        <v>19</v>
      </c>
      <c r="E1785" s="250">
        <v>6171.4350000000004</v>
      </c>
    </row>
    <row r="1786" spans="3:5" x14ac:dyDescent="0.35">
      <c r="C1786" s="1" t="s">
        <v>4435</v>
      </c>
      <c r="D1786" s="1" t="s">
        <v>19</v>
      </c>
      <c r="E1786" s="250">
        <v>6171.4359999999997</v>
      </c>
    </row>
    <row r="1787" spans="3:5" x14ac:dyDescent="0.35">
      <c r="C1787" s="1" t="s">
        <v>4434</v>
      </c>
      <c r="D1787" s="1" t="s">
        <v>19</v>
      </c>
      <c r="E1787" s="250">
        <v>6171.4369999999999</v>
      </c>
    </row>
    <row r="1788" spans="3:5" x14ac:dyDescent="0.35">
      <c r="C1788" s="1" t="s">
        <v>4433</v>
      </c>
      <c r="D1788" s="1" t="s">
        <v>19</v>
      </c>
      <c r="E1788" s="250">
        <v>6171.4380000000001</v>
      </c>
    </row>
    <row r="1789" spans="3:5" x14ac:dyDescent="0.35">
      <c r="C1789" s="1" t="s">
        <v>4432</v>
      </c>
      <c r="D1789" s="1" t="s">
        <v>19</v>
      </c>
      <c r="E1789" s="250">
        <v>6171.4409999999998</v>
      </c>
    </row>
    <row r="1790" spans="3:5" x14ac:dyDescent="0.35">
      <c r="C1790" s="1" t="s">
        <v>4431</v>
      </c>
      <c r="D1790" s="1" t="s">
        <v>19</v>
      </c>
      <c r="E1790" s="250">
        <v>6171.442</v>
      </c>
    </row>
    <row r="1791" spans="3:5" x14ac:dyDescent="0.35">
      <c r="C1791" s="1" t="s">
        <v>4430</v>
      </c>
      <c r="D1791" s="1" t="s">
        <v>19</v>
      </c>
      <c r="E1791" s="250">
        <v>6171.4430000000002</v>
      </c>
    </row>
    <row r="1792" spans="3:5" x14ac:dyDescent="0.35">
      <c r="C1792" s="1" t="s">
        <v>4429</v>
      </c>
      <c r="D1792" s="1" t="s">
        <v>19</v>
      </c>
      <c r="E1792" s="250">
        <v>6171.4440000000004</v>
      </c>
    </row>
    <row r="1793" spans="3:5" x14ac:dyDescent="0.35">
      <c r="C1793" s="1" t="s">
        <v>4428</v>
      </c>
      <c r="D1793" s="1" t="s">
        <v>19</v>
      </c>
      <c r="E1793" s="250">
        <v>6171.4449999999997</v>
      </c>
    </row>
    <row r="1794" spans="3:5" x14ac:dyDescent="0.35">
      <c r="C1794" s="1" t="s">
        <v>4427</v>
      </c>
      <c r="D1794" s="1" t="s">
        <v>19</v>
      </c>
      <c r="E1794" s="250">
        <v>6171.4459999999999</v>
      </c>
    </row>
    <row r="1795" spans="3:5" x14ac:dyDescent="0.35">
      <c r="C1795" s="1" t="s">
        <v>4426</v>
      </c>
      <c r="D1795" s="1" t="s">
        <v>19</v>
      </c>
      <c r="E1795" s="250">
        <v>6171.4470000000001</v>
      </c>
    </row>
    <row r="1796" spans="3:5" x14ac:dyDescent="0.35">
      <c r="C1796" s="1" t="s">
        <v>4425</v>
      </c>
      <c r="D1796" s="1" t="s">
        <v>19</v>
      </c>
      <c r="E1796" s="250">
        <v>6171.4480000000003</v>
      </c>
    </row>
    <row r="1797" spans="3:5" x14ac:dyDescent="0.35">
      <c r="C1797" s="1" t="s">
        <v>4424</v>
      </c>
      <c r="D1797" s="1" t="s">
        <v>19</v>
      </c>
      <c r="E1797" s="250">
        <v>6171.451</v>
      </c>
    </row>
    <row r="1798" spans="3:5" x14ac:dyDescent="0.35">
      <c r="C1798" s="1" t="s">
        <v>4423</v>
      </c>
      <c r="D1798" s="1" t="s">
        <v>19</v>
      </c>
      <c r="E1798" s="250">
        <v>6171.4520000000002</v>
      </c>
    </row>
    <row r="1799" spans="3:5" x14ac:dyDescent="0.35">
      <c r="C1799" s="1" t="s">
        <v>4422</v>
      </c>
      <c r="D1799" s="1" t="s">
        <v>19</v>
      </c>
      <c r="E1799" s="250">
        <v>6171.4530000000004</v>
      </c>
    </row>
    <row r="1800" spans="3:5" x14ac:dyDescent="0.35">
      <c r="C1800" s="1" t="s">
        <v>4421</v>
      </c>
      <c r="D1800" s="1" t="s">
        <v>19</v>
      </c>
      <c r="E1800" s="250">
        <v>6171.4539999999997</v>
      </c>
    </row>
    <row r="1801" spans="3:5" x14ac:dyDescent="0.35">
      <c r="C1801" s="1" t="s">
        <v>4420</v>
      </c>
      <c r="D1801" s="1" t="s">
        <v>19</v>
      </c>
      <c r="E1801" s="250">
        <v>6171.4549999999999</v>
      </c>
    </row>
    <row r="1802" spans="3:5" x14ac:dyDescent="0.35">
      <c r="C1802" s="1" t="s">
        <v>4419</v>
      </c>
      <c r="D1802" s="1" t="s">
        <v>19</v>
      </c>
      <c r="E1802" s="250">
        <v>6171.4560000000001</v>
      </c>
    </row>
    <row r="1803" spans="3:5" x14ac:dyDescent="0.35">
      <c r="C1803" s="1" t="s">
        <v>4418</v>
      </c>
      <c r="D1803" s="1" t="s">
        <v>19</v>
      </c>
      <c r="E1803" s="250">
        <v>6171.4570000000003</v>
      </c>
    </row>
    <row r="1804" spans="3:5" x14ac:dyDescent="0.35">
      <c r="C1804" s="1" t="s">
        <v>4417</v>
      </c>
      <c r="D1804" s="1" t="s">
        <v>19</v>
      </c>
      <c r="E1804" s="250">
        <v>6171.4579999999996</v>
      </c>
    </row>
    <row r="1805" spans="3:5" x14ac:dyDescent="0.35">
      <c r="C1805" s="1" t="s">
        <v>4416</v>
      </c>
      <c r="D1805" s="1" t="s">
        <v>20</v>
      </c>
      <c r="E1805" s="250">
        <v>6180.1</v>
      </c>
    </row>
    <row r="1806" spans="3:5" x14ac:dyDescent="0.35">
      <c r="C1806" s="1" t="s">
        <v>4415</v>
      </c>
      <c r="D1806" s="1" t="s">
        <v>20</v>
      </c>
      <c r="E1806" s="250">
        <v>6180.2</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897397C4-2ABB-4210-BDA5-195570302CF6}">
      <formula1>$C$205:$C207</formula1>
    </dataValidation>
  </dataValidations>
  <hyperlinks>
    <hyperlink ref="D3" r:id="rId1" display="datamateapp@gmail.com" xr:uid="{A5725029-F19E-4F45-B624-FF4EB8DFE23D}"/>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48169" r:id="rId4" name="Button 9">
              <controlPr defaultSize="0" print="0" autoFill="0" autoPict="0" macro="[0]!ExitSEC_061000">
                <anchor moveWithCells="1" sizeWithCells="1">
                  <from>
                    <xdr:col>16</xdr:col>
                    <xdr:colOff>184150</xdr:colOff>
                    <xdr:row>0</xdr:row>
                    <xdr:rowOff>6350</xdr:rowOff>
                  </from>
                  <to>
                    <xdr:col>16</xdr:col>
                    <xdr:colOff>1454150</xdr:colOff>
                    <xdr:row>2</xdr:row>
                    <xdr:rowOff>19050</xdr:rowOff>
                  </to>
                </anchor>
              </controlPr>
            </control>
          </mc:Choice>
        </mc:AlternateContent>
        <mc:AlternateContent xmlns:mc="http://schemas.openxmlformats.org/markup-compatibility/2006">
          <mc:Choice Requires="x14">
            <control shapeId="348213" r:id="rId5" name="Button 53">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348214" r:id="rId6" name="Button 54">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348215" r:id="rId7" name="Button 55">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348216" r:id="rId8" name="Button 56">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348217" r:id="rId9" name="Button 57">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348218" r:id="rId10" name="Button 58">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348219" r:id="rId11" name="Button 59">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348220" r:id="rId12" name="Button 60">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206A1-31E3-4AAF-8E78-75BBF8CDA857}">
  <sheetPr codeName="Sheet78"/>
  <dimension ref="A1:Q351"/>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FINISH CARPENTRY</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06 20 00</v>
      </c>
      <c r="C10" s="24" t="str">
        <f>C206</f>
        <v>FINISH CARPENTRY</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FINISH CARPENTRY</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14285</v>
      </c>
      <c r="C206" s="251" t="s">
        <v>14286</v>
      </c>
      <c r="D206" s="1"/>
      <c r="E206" s="1"/>
      <c r="F206" s="1"/>
      <c r="G206" s="1"/>
      <c r="H206" s="1"/>
      <c r="I206" s="1"/>
      <c r="J206" s="1"/>
      <c r="K206" s="1"/>
      <c r="L206" s="1"/>
      <c r="M206" s="1"/>
      <c r="N206" s="1"/>
      <c r="O206" s="1"/>
      <c r="P206" s="1"/>
      <c r="Q206" s="1"/>
    </row>
    <row r="207" spans="2:17" x14ac:dyDescent="0.35">
      <c r="B207" s="49" t="s">
        <v>14287</v>
      </c>
      <c r="C207" s="53" t="s">
        <v>4367</v>
      </c>
      <c r="D207" s="1"/>
      <c r="E207" s="1"/>
      <c r="F207" s="1"/>
      <c r="G207" s="1"/>
      <c r="H207" s="1"/>
      <c r="I207" s="1"/>
      <c r="J207" s="1"/>
      <c r="K207" s="1"/>
      <c r="L207" s="1"/>
      <c r="M207" s="1"/>
      <c r="N207" s="1"/>
      <c r="O207" s="1"/>
      <c r="P207" s="1"/>
      <c r="Q207" s="1"/>
    </row>
    <row r="208" spans="2:17" x14ac:dyDescent="0.35">
      <c r="B208" s="49" t="s">
        <v>14288</v>
      </c>
      <c r="C208" s="53" t="s">
        <v>14289</v>
      </c>
    </row>
    <row r="209" spans="2:5" x14ac:dyDescent="0.35">
      <c r="B209" s="49" t="s">
        <v>14290</v>
      </c>
      <c r="C209" s="53" t="s">
        <v>14291</v>
      </c>
    </row>
    <row r="210" spans="2:5" x14ac:dyDescent="0.35">
      <c r="C210" s="1" t="s">
        <v>4414</v>
      </c>
      <c r="D210" s="1" t="s">
        <v>19</v>
      </c>
      <c r="E210" s="250">
        <v>6200.03</v>
      </c>
    </row>
    <row r="211" spans="2:5" x14ac:dyDescent="0.35">
      <c r="C211" s="1" t="s">
        <v>1612</v>
      </c>
      <c r="D211" s="1" t="s">
        <v>18</v>
      </c>
      <c r="E211" s="250">
        <v>6200.04</v>
      </c>
    </row>
    <row r="212" spans="2:5" x14ac:dyDescent="0.35">
      <c r="C212" s="1" t="s">
        <v>4413</v>
      </c>
      <c r="D212" s="1" t="s">
        <v>18</v>
      </c>
      <c r="E212" s="250">
        <v>6200.05</v>
      </c>
    </row>
    <row r="213" spans="2:5" x14ac:dyDescent="0.35">
      <c r="C213" s="1" t="s">
        <v>4412</v>
      </c>
      <c r="D213" s="1" t="s">
        <v>20</v>
      </c>
      <c r="E213" s="250">
        <v>6219.89</v>
      </c>
    </row>
    <row r="214" spans="2:5" x14ac:dyDescent="0.35">
      <c r="C214" s="1" t="s">
        <v>4399</v>
      </c>
      <c r="D214" s="1" t="s">
        <v>19</v>
      </c>
      <c r="E214" s="250">
        <v>6220.1</v>
      </c>
    </row>
    <row r="215" spans="2:5" x14ac:dyDescent="0.35">
      <c r="C215" s="1" t="s">
        <v>4398</v>
      </c>
      <c r="D215" s="1" t="s">
        <v>19</v>
      </c>
      <c r="E215" s="250">
        <v>6220.1009999999997</v>
      </c>
    </row>
    <row r="216" spans="2:5" x14ac:dyDescent="0.35">
      <c r="C216" s="1" t="s">
        <v>4397</v>
      </c>
      <c r="D216" s="1" t="s">
        <v>19</v>
      </c>
      <c r="E216" s="250">
        <v>6220.1019999999999</v>
      </c>
    </row>
    <row r="217" spans="2:5" x14ac:dyDescent="0.35">
      <c r="C217" s="1" t="s">
        <v>4396</v>
      </c>
      <c r="D217" s="1" t="s">
        <v>19</v>
      </c>
      <c r="E217" s="250">
        <v>6220.1030000000001</v>
      </c>
    </row>
    <row r="218" spans="2:5" x14ac:dyDescent="0.35">
      <c r="C218" s="1" t="s">
        <v>4395</v>
      </c>
      <c r="D218" s="1" t="s">
        <v>19</v>
      </c>
      <c r="E218" s="250">
        <v>6220.1040000000003</v>
      </c>
    </row>
    <row r="219" spans="2:5" x14ac:dyDescent="0.35">
      <c r="C219" s="1" t="s">
        <v>4394</v>
      </c>
      <c r="D219" s="1" t="s">
        <v>19</v>
      </c>
      <c r="E219" s="250">
        <v>6220.1049999999996</v>
      </c>
    </row>
    <row r="220" spans="2:5" x14ac:dyDescent="0.35">
      <c r="C220" s="1" t="s">
        <v>4393</v>
      </c>
      <c r="D220" s="1" t="s">
        <v>19</v>
      </c>
      <c r="E220" s="250">
        <v>6220.11</v>
      </c>
    </row>
    <row r="221" spans="2:5" x14ac:dyDescent="0.35">
      <c r="C221" s="1" t="s">
        <v>4392</v>
      </c>
      <c r="D221" s="1" t="s">
        <v>19</v>
      </c>
      <c r="E221" s="250">
        <v>6220.1109999999999</v>
      </c>
    </row>
    <row r="222" spans="2:5" x14ac:dyDescent="0.35">
      <c r="C222" s="1" t="s">
        <v>4391</v>
      </c>
      <c r="D222" s="1" t="s">
        <v>19</v>
      </c>
      <c r="E222" s="250">
        <v>6220.1120000000001</v>
      </c>
    </row>
    <row r="223" spans="2:5" x14ac:dyDescent="0.35">
      <c r="C223" s="1" t="s">
        <v>4390</v>
      </c>
      <c r="D223" s="1" t="s">
        <v>19</v>
      </c>
      <c r="E223" s="250">
        <v>6220.1130000000003</v>
      </c>
    </row>
    <row r="224" spans="2:5" x14ac:dyDescent="0.35">
      <c r="C224" s="1" t="s">
        <v>4389</v>
      </c>
      <c r="D224" s="1" t="s">
        <v>19</v>
      </c>
      <c r="E224" s="250">
        <v>6220.1139999999996</v>
      </c>
    </row>
    <row r="225" spans="3:5" x14ac:dyDescent="0.35">
      <c r="C225" s="1" t="s">
        <v>4388</v>
      </c>
      <c r="D225" s="1" t="s">
        <v>19</v>
      </c>
      <c r="E225" s="250">
        <v>6220.1149999999998</v>
      </c>
    </row>
    <row r="226" spans="3:5" x14ac:dyDescent="0.35">
      <c r="C226" s="1" t="s">
        <v>4387</v>
      </c>
      <c r="D226" s="1" t="s">
        <v>19</v>
      </c>
      <c r="E226" s="250">
        <v>6220.12</v>
      </c>
    </row>
    <row r="227" spans="3:5" x14ac:dyDescent="0.35">
      <c r="C227" s="1" t="s">
        <v>4386</v>
      </c>
      <c r="D227" s="1" t="s">
        <v>19</v>
      </c>
      <c r="E227" s="250">
        <v>6220.1210000000001</v>
      </c>
    </row>
    <row r="228" spans="3:5" x14ac:dyDescent="0.35">
      <c r="C228" s="1" t="s">
        <v>4385</v>
      </c>
      <c r="D228" s="1" t="s">
        <v>19</v>
      </c>
      <c r="E228" s="250">
        <v>6220.1220000000003</v>
      </c>
    </row>
    <row r="229" spans="3:5" x14ac:dyDescent="0.35">
      <c r="C229" s="1" t="s">
        <v>4384</v>
      </c>
      <c r="D229" s="1" t="s">
        <v>19</v>
      </c>
      <c r="E229" s="250">
        <v>6220.1229999999996</v>
      </c>
    </row>
    <row r="230" spans="3:5" x14ac:dyDescent="0.35">
      <c r="C230" s="1" t="s">
        <v>4383</v>
      </c>
      <c r="D230" s="1" t="s">
        <v>19</v>
      </c>
      <c r="E230" s="250">
        <v>6220.1239999999998</v>
      </c>
    </row>
    <row r="231" spans="3:5" x14ac:dyDescent="0.35">
      <c r="C231" s="1" t="s">
        <v>4382</v>
      </c>
      <c r="D231" s="1" t="s">
        <v>19</v>
      </c>
      <c r="E231" s="250">
        <v>6220.125</v>
      </c>
    </row>
    <row r="232" spans="3:5" x14ac:dyDescent="0.35">
      <c r="C232" s="1" t="s">
        <v>4381</v>
      </c>
      <c r="D232" s="1" t="s">
        <v>19</v>
      </c>
      <c r="E232" s="250">
        <v>6220.13</v>
      </c>
    </row>
    <row r="233" spans="3:5" x14ac:dyDescent="0.35">
      <c r="C233" s="1" t="s">
        <v>4380</v>
      </c>
      <c r="D233" s="1" t="s">
        <v>19</v>
      </c>
      <c r="E233" s="250">
        <v>6220.1310000000003</v>
      </c>
    </row>
    <row r="234" spans="3:5" x14ac:dyDescent="0.35">
      <c r="C234" s="1" t="s">
        <v>4379</v>
      </c>
      <c r="D234" s="1" t="s">
        <v>19</v>
      </c>
      <c r="E234" s="250">
        <v>6220.1319999999996</v>
      </c>
    </row>
    <row r="235" spans="3:5" x14ac:dyDescent="0.35">
      <c r="C235" s="1" t="s">
        <v>4378</v>
      </c>
      <c r="D235" s="1" t="s">
        <v>19</v>
      </c>
      <c r="E235" s="250">
        <v>6220.1329999999998</v>
      </c>
    </row>
    <row r="236" spans="3:5" x14ac:dyDescent="0.35">
      <c r="C236" s="1" t="s">
        <v>4377</v>
      </c>
      <c r="D236" s="1" t="s">
        <v>19</v>
      </c>
      <c r="E236" s="250">
        <v>6220.134</v>
      </c>
    </row>
    <row r="237" spans="3:5" x14ac:dyDescent="0.35">
      <c r="C237" s="1" t="s">
        <v>4376</v>
      </c>
      <c r="D237" s="1" t="s">
        <v>19</v>
      </c>
      <c r="E237" s="250">
        <v>6220.1350000000002</v>
      </c>
    </row>
    <row r="238" spans="3:5" x14ac:dyDescent="0.35">
      <c r="C238" s="1" t="s">
        <v>4375</v>
      </c>
      <c r="D238" s="1" t="s">
        <v>19</v>
      </c>
      <c r="E238" s="250">
        <v>6220.14</v>
      </c>
    </row>
    <row r="239" spans="3:5" x14ac:dyDescent="0.35">
      <c r="C239" s="1" t="s">
        <v>4374</v>
      </c>
      <c r="D239" s="1" t="s">
        <v>19</v>
      </c>
      <c r="E239" s="250">
        <v>6220.1409999999996</v>
      </c>
    </row>
    <row r="240" spans="3:5" x14ac:dyDescent="0.35">
      <c r="C240" s="1" t="s">
        <v>4373</v>
      </c>
      <c r="D240" s="1" t="s">
        <v>19</v>
      </c>
      <c r="E240" s="250">
        <v>6220.1419999999998</v>
      </c>
    </row>
    <row r="241" spans="3:5" x14ac:dyDescent="0.35">
      <c r="C241" s="1" t="s">
        <v>4372</v>
      </c>
      <c r="D241" s="1" t="s">
        <v>19</v>
      </c>
      <c r="E241" s="250">
        <v>6220.143</v>
      </c>
    </row>
    <row r="242" spans="3:5" x14ac:dyDescent="0.35">
      <c r="C242" s="1" t="s">
        <v>4371</v>
      </c>
      <c r="D242" s="1" t="s">
        <v>19</v>
      </c>
      <c r="E242" s="250">
        <v>6220.1440000000002</v>
      </c>
    </row>
    <row r="243" spans="3:5" x14ac:dyDescent="0.35">
      <c r="C243" s="1" t="s">
        <v>4370</v>
      </c>
      <c r="D243" s="1" t="s">
        <v>19</v>
      </c>
      <c r="E243" s="250">
        <v>6220.1450000000004</v>
      </c>
    </row>
    <row r="244" spans="3:5" x14ac:dyDescent="0.35">
      <c r="C244" s="1" t="s">
        <v>4411</v>
      </c>
      <c r="D244" s="1" t="s">
        <v>19</v>
      </c>
      <c r="E244" s="250">
        <v>6220.15</v>
      </c>
    </row>
    <row r="245" spans="3:5" x14ac:dyDescent="0.35">
      <c r="C245" s="1" t="s">
        <v>4410</v>
      </c>
      <c r="D245" s="1" t="s">
        <v>19</v>
      </c>
      <c r="E245" s="250">
        <v>6220.1509999999998</v>
      </c>
    </row>
    <row r="246" spans="3:5" x14ac:dyDescent="0.35">
      <c r="C246" s="1" t="s">
        <v>4409</v>
      </c>
      <c r="D246" s="1" t="s">
        <v>19</v>
      </c>
      <c r="E246" s="250">
        <v>6220.152</v>
      </c>
    </row>
    <row r="247" spans="3:5" x14ac:dyDescent="0.35">
      <c r="C247" s="1" t="s">
        <v>4408</v>
      </c>
      <c r="D247" s="1" t="s">
        <v>19</v>
      </c>
      <c r="E247" s="250">
        <v>6220.1530000000002</v>
      </c>
    </row>
    <row r="248" spans="3:5" x14ac:dyDescent="0.35">
      <c r="C248" s="1" t="s">
        <v>4407</v>
      </c>
      <c r="D248" s="1" t="s">
        <v>19</v>
      </c>
      <c r="E248" s="250">
        <v>6220.1540000000005</v>
      </c>
    </row>
    <row r="249" spans="3:5" x14ac:dyDescent="0.35">
      <c r="C249" s="1" t="s">
        <v>4406</v>
      </c>
      <c r="D249" s="1" t="s">
        <v>19</v>
      </c>
      <c r="E249" s="250">
        <v>6220.1549999999997</v>
      </c>
    </row>
    <row r="250" spans="3:5" x14ac:dyDescent="0.35">
      <c r="C250" s="1" t="s">
        <v>4405</v>
      </c>
      <c r="D250" s="1" t="s">
        <v>19</v>
      </c>
      <c r="E250" s="250">
        <v>6220.16</v>
      </c>
    </row>
    <row r="251" spans="3:5" x14ac:dyDescent="0.35">
      <c r="C251" s="1" t="s">
        <v>4404</v>
      </c>
      <c r="D251" s="1" t="s">
        <v>19</v>
      </c>
      <c r="E251" s="250">
        <v>6220.1610000000001</v>
      </c>
    </row>
    <row r="252" spans="3:5" x14ac:dyDescent="0.35">
      <c r="C252" s="1" t="s">
        <v>4403</v>
      </c>
      <c r="D252" s="1" t="s">
        <v>19</v>
      </c>
      <c r="E252" s="250">
        <v>6220.1620000000003</v>
      </c>
    </row>
    <row r="253" spans="3:5" x14ac:dyDescent="0.35">
      <c r="C253" s="1" t="s">
        <v>4402</v>
      </c>
      <c r="D253" s="1" t="s">
        <v>19</v>
      </c>
      <c r="E253" s="250">
        <v>6220.1629999999996</v>
      </c>
    </row>
    <row r="254" spans="3:5" x14ac:dyDescent="0.35">
      <c r="C254" s="1" t="s">
        <v>4401</v>
      </c>
      <c r="D254" s="1" t="s">
        <v>19</v>
      </c>
      <c r="E254" s="250">
        <v>6220.1639999999998</v>
      </c>
    </row>
    <row r="255" spans="3:5" x14ac:dyDescent="0.35">
      <c r="C255" s="1" t="s">
        <v>4400</v>
      </c>
      <c r="D255" s="1" t="s">
        <v>19</v>
      </c>
      <c r="E255" s="250">
        <v>6220.165</v>
      </c>
    </row>
    <row r="256" spans="3:5" x14ac:dyDescent="0.35">
      <c r="C256" s="1" t="s">
        <v>4399</v>
      </c>
      <c r="D256" s="1" t="s">
        <v>19</v>
      </c>
      <c r="E256" s="250">
        <v>6220.201</v>
      </c>
    </row>
    <row r="257" spans="3:5" x14ac:dyDescent="0.35">
      <c r="C257" s="1" t="s">
        <v>4398</v>
      </c>
      <c r="D257" s="1" t="s">
        <v>19</v>
      </c>
      <c r="E257" s="250">
        <v>6220.2020000000002</v>
      </c>
    </row>
    <row r="258" spans="3:5" x14ac:dyDescent="0.35">
      <c r="C258" s="1" t="s">
        <v>4397</v>
      </c>
      <c r="D258" s="1" t="s">
        <v>19</v>
      </c>
      <c r="E258" s="250">
        <v>6220.2030000000004</v>
      </c>
    </row>
    <row r="259" spans="3:5" x14ac:dyDescent="0.35">
      <c r="C259" s="1" t="s">
        <v>4396</v>
      </c>
      <c r="D259" s="1" t="s">
        <v>19</v>
      </c>
      <c r="E259" s="250">
        <v>6220.2039999999997</v>
      </c>
    </row>
    <row r="260" spans="3:5" x14ac:dyDescent="0.35">
      <c r="C260" s="1" t="s">
        <v>4395</v>
      </c>
      <c r="D260" s="1" t="s">
        <v>19</v>
      </c>
      <c r="E260" s="250">
        <v>6220.2049999999999</v>
      </c>
    </row>
    <row r="261" spans="3:5" x14ac:dyDescent="0.35">
      <c r="C261" s="1" t="s">
        <v>4394</v>
      </c>
      <c r="D261" s="1" t="s">
        <v>19</v>
      </c>
      <c r="E261" s="250">
        <v>6220.2060000000001</v>
      </c>
    </row>
    <row r="262" spans="3:5" x14ac:dyDescent="0.35">
      <c r="C262" s="1" t="s">
        <v>4393</v>
      </c>
      <c r="D262" s="1" t="s">
        <v>19</v>
      </c>
      <c r="E262" s="250">
        <v>6220.2110000000002</v>
      </c>
    </row>
    <row r="263" spans="3:5" x14ac:dyDescent="0.35">
      <c r="C263" s="1" t="s">
        <v>4392</v>
      </c>
      <c r="D263" s="1" t="s">
        <v>19</v>
      </c>
      <c r="E263" s="250">
        <v>6220.2120000000004</v>
      </c>
    </row>
    <row r="264" spans="3:5" x14ac:dyDescent="0.35">
      <c r="C264" s="1" t="s">
        <v>4391</v>
      </c>
      <c r="D264" s="1" t="s">
        <v>19</v>
      </c>
      <c r="E264" s="250">
        <v>6220.2129999999997</v>
      </c>
    </row>
    <row r="265" spans="3:5" x14ac:dyDescent="0.35">
      <c r="C265" s="1" t="s">
        <v>4390</v>
      </c>
      <c r="D265" s="1" t="s">
        <v>19</v>
      </c>
      <c r="E265" s="250">
        <v>6220.2139999999999</v>
      </c>
    </row>
    <row r="266" spans="3:5" x14ac:dyDescent="0.35">
      <c r="C266" s="1" t="s">
        <v>4389</v>
      </c>
      <c r="D266" s="1" t="s">
        <v>19</v>
      </c>
      <c r="E266" s="250">
        <v>6220.2150000000001</v>
      </c>
    </row>
    <row r="267" spans="3:5" x14ac:dyDescent="0.35">
      <c r="C267" s="1" t="s">
        <v>4388</v>
      </c>
      <c r="D267" s="1" t="s">
        <v>19</v>
      </c>
      <c r="E267" s="250">
        <v>6220.2160000000003</v>
      </c>
    </row>
    <row r="268" spans="3:5" x14ac:dyDescent="0.35">
      <c r="C268" s="1" t="s">
        <v>4387</v>
      </c>
      <c r="D268" s="1" t="s">
        <v>19</v>
      </c>
      <c r="E268" s="250">
        <v>6220.2209999999995</v>
      </c>
    </row>
    <row r="269" spans="3:5" x14ac:dyDescent="0.35">
      <c r="C269" s="1" t="s">
        <v>4386</v>
      </c>
      <c r="D269" s="1" t="s">
        <v>19</v>
      </c>
      <c r="E269" s="250">
        <v>6220.2219999999998</v>
      </c>
    </row>
    <row r="270" spans="3:5" x14ac:dyDescent="0.35">
      <c r="C270" s="1" t="s">
        <v>4385</v>
      </c>
      <c r="D270" s="1" t="s">
        <v>19</v>
      </c>
      <c r="E270" s="250">
        <v>6220.223</v>
      </c>
    </row>
    <row r="271" spans="3:5" x14ac:dyDescent="0.35">
      <c r="C271" s="1" t="s">
        <v>4384</v>
      </c>
      <c r="D271" s="1" t="s">
        <v>19</v>
      </c>
      <c r="E271" s="250">
        <v>6220.2240000000002</v>
      </c>
    </row>
    <row r="272" spans="3:5" x14ac:dyDescent="0.35">
      <c r="C272" s="1" t="s">
        <v>4383</v>
      </c>
      <c r="D272" s="1" t="s">
        <v>19</v>
      </c>
      <c r="E272" s="250">
        <v>6220.2250000000004</v>
      </c>
    </row>
    <row r="273" spans="3:5" x14ac:dyDescent="0.35">
      <c r="C273" s="1" t="s">
        <v>4382</v>
      </c>
      <c r="D273" s="1" t="s">
        <v>19</v>
      </c>
      <c r="E273" s="250">
        <v>6220.2259999999997</v>
      </c>
    </row>
    <row r="274" spans="3:5" x14ac:dyDescent="0.35">
      <c r="C274" s="1" t="s">
        <v>4381</v>
      </c>
      <c r="D274" s="1" t="s">
        <v>19</v>
      </c>
      <c r="E274" s="250">
        <v>6220.2309999999998</v>
      </c>
    </row>
    <row r="275" spans="3:5" x14ac:dyDescent="0.35">
      <c r="C275" s="1" t="s">
        <v>4380</v>
      </c>
      <c r="D275" s="1" t="s">
        <v>19</v>
      </c>
      <c r="E275" s="250">
        <v>6220.232</v>
      </c>
    </row>
    <row r="276" spans="3:5" x14ac:dyDescent="0.35">
      <c r="C276" s="1" t="s">
        <v>4379</v>
      </c>
      <c r="D276" s="1" t="s">
        <v>19</v>
      </c>
      <c r="E276" s="250">
        <v>6220.2330000000002</v>
      </c>
    </row>
    <row r="277" spans="3:5" x14ac:dyDescent="0.35">
      <c r="C277" s="1" t="s">
        <v>4378</v>
      </c>
      <c r="D277" s="1" t="s">
        <v>19</v>
      </c>
      <c r="E277" s="250">
        <v>6220.2340000000004</v>
      </c>
    </row>
    <row r="278" spans="3:5" x14ac:dyDescent="0.35">
      <c r="C278" s="1" t="s">
        <v>4377</v>
      </c>
      <c r="D278" s="1" t="s">
        <v>19</v>
      </c>
      <c r="E278" s="250">
        <v>6220.2349999999997</v>
      </c>
    </row>
    <row r="279" spans="3:5" x14ac:dyDescent="0.35">
      <c r="C279" s="1" t="s">
        <v>4376</v>
      </c>
      <c r="D279" s="1" t="s">
        <v>19</v>
      </c>
      <c r="E279" s="250">
        <v>6220.2359999999999</v>
      </c>
    </row>
    <row r="280" spans="3:5" x14ac:dyDescent="0.35">
      <c r="C280" s="1" t="s">
        <v>4375</v>
      </c>
      <c r="D280" s="1" t="s">
        <v>19</v>
      </c>
      <c r="E280" s="250">
        <v>6220.241</v>
      </c>
    </row>
    <row r="281" spans="3:5" x14ac:dyDescent="0.35">
      <c r="C281" s="1" t="s">
        <v>4374</v>
      </c>
      <c r="D281" s="1" t="s">
        <v>19</v>
      </c>
      <c r="E281" s="250">
        <v>6220.2420000000002</v>
      </c>
    </row>
    <row r="282" spans="3:5" x14ac:dyDescent="0.35">
      <c r="C282" s="1" t="s">
        <v>4373</v>
      </c>
      <c r="D282" s="1" t="s">
        <v>19</v>
      </c>
      <c r="E282" s="250">
        <v>6220.2430000000004</v>
      </c>
    </row>
    <row r="283" spans="3:5" x14ac:dyDescent="0.35">
      <c r="C283" s="1" t="s">
        <v>4372</v>
      </c>
      <c r="D283" s="1" t="s">
        <v>19</v>
      </c>
      <c r="E283" s="250">
        <v>6220.2439999999997</v>
      </c>
    </row>
    <row r="284" spans="3:5" x14ac:dyDescent="0.35">
      <c r="C284" s="1" t="s">
        <v>4371</v>
      </c>
      <c r="D284" s="1" t="s">
        <v>19</v>
      </c>
      <c r="E284" s="250">
        <v>6220.2449999999999</v>
      </c>
    </row>
    <row r="285" spans="3:5" x14ac:dyDescent="0.35">
      <c r="C285" s="1" t="s">
        <v>4370</v>
      </c>
      <c r="D285" s="1" t="s">
        <v>19</v>
      </c>
      <c r="E285" s="250">
        <v>6220.2460000000001</v>
      </c>
    </row>
    <row r="286" spans="3:5" x14ac:dyDescent="0.35">
      <c r="C286" s="1" t="s">
        <v>4369</v>
      </c>
      <c r="D286" s="1" t="s">
        <v>19</v>
      </c>
      <c r="E286" s="250">
        <v>6221.3119999999999</v>
      </c>
    </row>
    <row r="287" spans="3:5" x14ac:dyDescent="0.35">
      <c r="C287" s="1" t="s">
        <v>4368</v>
      </c>
      <c r="D287" s="1" t="s">
        <v>19</v>
      </c>
      <c r="E287" s="250">
        <v>6221.5</v>
      </c>
    </row>
    <row r="288" spans="3:5" x14ac:dyDescent="0.35">
      <c r="C288" s="1" t="s">
        <v>4367</v>
      </c>
      <c r="D288" s="1" t="s">
        <v>19</v>
      </c>
      <c r="E288" s="250">
        <v>6221.51</v>
      </c>
    </row>
    <row r="289" spans="3:5" x14ac:dyDescent="0.35">
      <c r="C289" s="1" t="s">
        <v>4366</v>
      </c>
      <c r="D289" s="1" t="s">
        <v>18</v>
      </c>
      <c r="E289" s="250">
        <v>6221.5150000000003</v>
      </c>
    </row>
    <row r="290" spans="3:5" x14ac:dyDescent="0.35">
      <c r="C290" s="1" t="s">
        <v>4365</v>
      </c>
      <c r="D290" s="1" t="s">
        <v>19</v>
      </c>
      <c r="E290" s="250">
        <v>6222.0110000000004</v>
      </c>
    </row>
    <row r="291" spans="3:5" x14ac:dyDescent="0.35">
      <c r="C291" s="1" t="s">
        <v>4364</v>
      </c>
      <c r="D291" s="1" t="s">
        <v>19</v>
      </c>
      <c r="E291" s="250">
        <v>6222.0119999999997</v>
      </c>
    </row>
    <row r="292" spans="3:5" x14ac:dyDescent="0.35">
      <c r="C292" s="1" t="s">
        <v>4363</v>
      </c>
      <c r="D292" s="1" t="s">
        <v>19</v>
      </c>
      <c r="E292" s="250">
        <v>6222.0129999999999</v>
      </c>
    </row>
    <row r="293" spans="3:5" x14ac:dyDescent="0.35">
      <c r="C293" s="1" t="s">
        <v>4362</v>
      </c>
      <c r="D293" s="1" t="s">
        <v>19</v>
      </c>
      <c r="E293" s="250">
        <v>6222.0140000000001</v>
      </c>
    </row>
    <row r="294" spans="3:5" x14ac:dyDescent="0.35">
      <c r="C294" s="1" t="s">
        <v>4361</v>
      </c>
      <c r="D294" s="1" t="s">
        <v>19</v>
      </c>
      <c r="E294" s="250">
        <v>6222.0150000000003</v>
      </c>
    </row>
    <row r="295" spans="3:5" x14ac:dyDescent="0.35">
      <c r="C295" s="1" t="s">
        <v>4360</v>
      </c>
      <c r="D295" s="1" t="s">
        <v>19</v>
      </c>
      <c r="E295" s="250">
        <v>6222.0159999999996</v>
      </c>
    </row>
    <row r="296" spans="3:5" x14ac:dyDescent="0.35">
      <c r="C296" s="1" t="s">
        <v>4359</v>
      </c>
      <c r="D296" s="1" t="s">
        <v>19</v>
      </c>
      <c r="E296" s="250">
        <v>6222.0169999999998</v>
      </c>
    </row>
    <row r="297" spans="3:5" x14ac:dyDescent="0.35">
      <c r="C297" s="1" t="s">
        <v>4358</v>
      </c>
      <c r="D297" s="1" t="s">
        <v>19</v>
      </c>
      <c r="E297" s="250">
        <v>6222.018</v>
      </c>
    </row>
    <row r="298" spans="3:5" x14ac:dyDescent="0.35">
      <c r="C298" s="1" t="s">
        <v>4357</v>
      </c>
      <c r="D298" s="1" t="s">
        <v>19</v>
      </c>
      <c r="E298" s="250">
        <v>6222.0190000000002</v>
      </c>
    </row>
    <row r="299" spans="3:5" x14ac:dyDescent="0.35">
      <c r="C299" s="1" t="s">
        <v>4356</v>
      </c>
      <c r="D299" s="1" t="s">
        <v>67</v>
      </c>
      <c r="E299" s="250">
        <v>6250.01</v>
      </c>
    </row>
    <row r="300" spans="3:5" x14ac:dyDescent="0.35">
      <c r="C300" s="1" t="s">
        <v>4355</v>
      </c>
      <c r="D300" s="1" t="s">
        <v>67</v>
      </c>
      <c r="E300" s="250">
        <v>6250.0110000000004</v>
      </c>
    </row>
    <row r="301" spans="3:5" x14ac:dyDescent="0.35">
      <c r="C301" s="1" t="s">
        <v>4354</v>
      </c>
      <c r="D301" s="1" t="s">
        <v>20</v>
      </c>
      <c r="E301" s="250">
        <v>6250.02</v>
      </c>
    </row>
    <row r="302" spans="3:5" x14ac:dyDescent="0.35">
      <c r="C302" s="1" t="s">
        <v>4350</v>
      </c>
      <c r="D302" s="1" t="s">
        <v>20</v>
      </c>
      <c r="E302" s="250">
        <v>6250.0209999999997</v>
      </c>
    </row>
    <row r="303" spans="3:5" x14ac:dyDescent="0.35">
      <c r="C303" s="1" t="s">
        <v>4353</v>
      </c>
      <c r="D303" s="1" t="s">
        <v>20</v>
      </c>
      <c r="E303" s="250">
        <v>6250.03</v>
      </c>
    </row>
    <row r="304" spans="3:5" x14ac:dyDescent="0.35">
      <c r="C304" s="1" t="s">
        <v>4352</v>
      </c>
      <c r="D304" s="1" t="s">
        <v>20</v>
      </c>
      <c r="E304" s="250">
        <v>6250.04</v>
      </c>
    </row>
    <row r="305" spans="3:5" x14ac:dyDescent="0.35">
      <c r="C305" s="1" t="s">
        <v>4351</v>
      </c>
      <c r="D305" s="1" t="s">
        <v>20</v>
      </c>
      <c r="E305" s="250">
        <v>6250.05</v>
      </c>
    </row>
    <row r="306" spans="3:5" x14ac:dyDescent="0.35">
      <c r="C306" s="1" t="s">
        <v>4350</v>
      </c>
      <c r="D306" s="1" t="s">
        <v>20</v>
      </c>
      <c r="E306" s="250">
        <v>6250.0510000000004</v>
      </c>
    </row>
    <row r="307" spans="3:5" x14ac:dyDescent="0.35">
      <c r="C307" s="1" t="s">
        <v>4349</v>
      </c>
      <c r="D307" s="1" t="s">
        <v>20</v>
      </c>
      <c r="E307" s="250">
        <v>6250.0680000000002</v>
      </c>
    </row>
    <row r="308" spans="3:5" x14ac:dyDescent="0.35">
      <c r="C308" s="1" t="s">
        <v>4348</v>
      </c>
      <c r="D308" s="1" t="s">
        <v>20</v>
      </c>
      <c r="E308" s="250">
        <v>6250.0690000000004</v>
      </c>
    </row>
    <row r="309" spans="3:5" x14ac:dyDescent="0.35">
      <c r="C309" s="1" t="s">
        <v>4347</v>
      </c>
      <c r="D309" s="1" t="s">
        <v>20</v>
      </c>
      <c r="E309" s="250">
        <v>6250.07</v>
      </c>
    </row>
    <row r="310" spans="3:5" x14ac:dyDescent="0.35">
      <c r="C310" s="1" t="s">
        <v>4345</v>
      </c>
      <c r="D310" s="1" t="s">
        <v>20</v>
      </c>
      <c r="E310" s="250">
        <v>6250.0749999999998</v>
      </c>
    </row>
    <row r="311" spans="3:5" x14ac:dyDescent="0.35">
      <c r="C311" s="1" t="s">
        <v>4346</v>
      </c>
      <c r="D311" s="1" t="s">
        <v>20</v>
      </c>
      <c r="E311" s="250">
        <v>6250.08</v>
      </c>
    </row>
    <row r="312" spans="3:5" x14ac:dyDescent="0.35">
      <c r="C312" s="1" t="s">
        <v>4344</v>
      </c>
      <c r="D312" s="1" t="s">
        <v>20</v>
      </c>
      <c r="E312" s="250">
        <v>6260.01</v>
      </c>
    </row>
    <row r="313" spans="3:5" x14ac:dyDescent="0.35">
      <c r="C313" s="1" t="s">
        <v>4343</v>
      </c>
      <c r="D313" s="1" t="s">
        <v>20</v>
      </c>
      <c r="E313" s="250">
        <v>6260.0110000000004</v>
      </c>
    </row>
    <row r="314" spans="3:5" x14ac:dyDescent="0.35">
      <c r="C314" s="1" t="s">
        <v>4344</v>
      </c>
      <c r="D314" s="1" t="s">
        <v>20</v>
      </c>
      <c r="E314" s="250">
        <v>6260.02</v>
      </c>
    </row>
    <row r="315" spans="3:5" x14ac:dyDescent="0.35">
      <c r="C315" s="1" t="s">
        <v>4345</v>
      </c>
      <c r="D315" s="1" t="s">
        <v>20</v>
      </c>
      <c r="E315" s="250">
        <v>6260.0209999999997</v>
      </c>
    </row>
    <row r="316" spans="3:5" x14ac:dyDescent="0.35">
      <c r="C316" s="1" t="s">
        <v>4344</v>
      </c>
      <c r="D316" s="1" t="s">
        <v>20</v>
      </c>
      <c r="E316" s="250">
        <v>6260.03</v>
      </c>
    </row>
    <row r="317" spans="3:5" x14ac:dyDescent="0.35">
      <c r="C317" s="1" t="s">
        <v>4343</v>
      </c>
      <c r="D317" s="1" t="s">
        <v>20</v>
      </c>
      <c r="E317" s="250">
        <v>6260.0309999999999</v>
      </c>
    </row>
    <row r="318" spans="3:5" x14ac:dyDescent="0.35">
      <c r="C318" s="1" t="s">
        <v>4334</v>
      </c>
      <c r="D318" s="1" t="s">
        <v>20</v>
      </c>
      <c r="E318" s="250">
        <v>6270.01</v>
      </c>
    </row>
    <row r="319" spans="3:5" x14ac:dyDescent="0.35">
      <c r="C319" s="1" t="s">
        <v>4342</v>
      </c>
      <c r="D319" s="1" t="s">
        <v>20</v>
      </c>
      <c r="E319" s="250">
        <v>6270.0110000000004</v>
      </c>
    </row>
    <row r="320" spans="3:5" x14ac:dyDescent="0.35">
      <c r="C320" s="1" t="s">
        <v>4324</v>
      </c>
      <c r="D320" s="1" t="s">
        <v>20</v>
      </c>
      <c r="E320" s="250">
        <v>6270.0119999999997</v>
      </c>
    </row>
    <row r="321" spans="3:5" x14ac:dyDescent="0.35">
      <c r="C321" s="1" t="s">
        <v>4323</v>
      </c>
      <c r="D321" s="1" t="s">
        <v>19</v>
      </c>
      <c r="E321" s="250">
        <v>6270.0129999999999</v>
      </c>
    </row>
    <row r="322" spans="3:5" x14ac:dyDescent="0.35">
      <c r="C322" s="1" t="s">
        <v>4341</v>
      </c>
      <c r="D322" s="1" t="s">
        <v>19</v>
      </c>
      <c r="E322" s="250">
        <v>6270.02</v>
      </c>
    </row>
    <row r="323" spans="3:5" x14ac:dyDescent="0.35">
      <c r="C323" s="1" t="s">
        <v>4340</v>
      </c>
      <c r="D323" s="1" t="s">
        <v>19</v>
      </c>
      <c r="E323" s="250">
        <v>6270.03</v>
      </c>
    </row>
    <row r="324" spans="3:5" x14ac:dyDescent="0.35">
      <c r="C324" s="1" t="s">
        <v>4339</v>
      </c>
      <c r="D324" s="1" t="s">
        <v>18</v>
      </c>
      <c r="E324" s="250">
        <v>6270.04</v>
      </c>
    </row>
    <row r="325" spans="3:5" x14ac:dyDescent="0.35">
      <c r="C325" s="1" t="s">
        <v>4322</v>
      </c>
      <c r="D325" s="1" t="s">
        <v>19</v>
      </c>
      <c r="E325" s="250">
        <v>6270.05</v>
      </c>
    </row>
    <row r="326" spans="3:5" x14ac:dyDescent="0.35">
      <c r="C326" s="1" t="s">
        <v>4338</v>
      </c>
      <c r="D326" s="1" t="s">
        <v>18</v>
      </c>
      <c r="E326" s="250">
        <v>6270.0550000000003</v>
      </c>
    </row>
    <row r="327" spans="3:5" x14ac:dyDescent="0.35">
      <c r="C327" s="1" t="s">
        <v>4337</v>
      </c>
      <c r="D327" s="1" t="s">
        <v>18</v>
      </c>
      <c r="E327" s="250">
        <v>6270.0559999999996</v>
      </c>
    </row>
    <row r="328" spans="3:5" x14ac:dyDescent="0.35">
      <c r="C328" s="1" t="s">
        <v>4336</v>
      </c>
      <c r="D328" s="1" t="s">
        <v>18</v>
      </c>
      <c r="E328" s="250">
        <v>6270.0569999999998</v>
      </c>
    </row>
    <row r="329" spans="3:5" x14ac:dyDescent="0.35">
      <c r="C329" s="1" t="s">
        <v>4335</v>
      </c>
      <c r="D329" s="1" t="s">
        <v>18</v>
      </c>
      <c r="E329" s="250">
        <v>6270.058</v>
      </c>
    </row>
    <row r="330" spans="3:5" x14ac:dyDescent="0.35">
      <c r="C330" s="1" t="s">
        <v>4334</v>
      </c>
      <c r="D330" s="1" t="s">
        <v>20</v>
      </c>
      <c r="E330" s="250">
        <v>6270.06</v>
      </c>
    </row>
    <row r="331" spans="3:5" x14ac:dyDescent="0.35">
      <c r="C331" s="1" t="s">
        <v>4333</v>
      </c>
      <c r="D331" s="1" t="s">
        <v>20</v>
      </c>
      <c r="E331" s="250">
        <v>6270.0609999999997</v>
      </c>
    </row>
    <row r="332" spans="3:5" x14ac:dyDescent="0.35">
      <c r="C332" s="1" t="s">
        <v>4332</v>
      </c>
      <c r="D332" s="1" t="s">
        <v>19</v>
      </c>
      <c r="E332" s="250">
        <v>6270.0619999999999</v>
      </c>
    </row>
    <row r="333" spans="3:5" x14ac:dyDescent="0.35">
      <c r="C333" s="1" t="s">
        <v>4331</v>
      </c>
      <c r="D333" s="1" t="s">
        <v>19</v>
      </c>
      <c r="E333" s="250">
        <v>6270.0630000000001</v>
      </c>
    </row>
    <row r="334" spans="3:5" x14ac:dyDescent="0.35">
      <c r="C334" s="1" t="s">
        <v>4330</v>
      </c>
      <c r="D334" s="1" t="s">
        <v>18</v>
      </c>
      <c r="E334" s="250">
        <v>6270.0640000000003</v>
      </c>
    </row>
    <row r="335" spans="3:5" x14ac:dyDescent="0.35">
      <c r="C335" s="1" t="s">
        <v>4329</v>
      </c>
      <c r="D335" s="1" t="s">
        <v>19</v>
      </c>
      <c r="E335" s="250">
        <v>6270.0649999999996</v>
      </c>
    </row>
    <row r="336" spans="3:5" x14ac:dyDescent="0.35">
      <c r="C336" s="1" t="s">
        <v>4328</v>
      </c>
      <c r="D336" s="1" t="s">
        <v>19</v>
      </c>
      <c r="E336" s="250">
        <v>6270.0659999999998</v>
      </c>
    </row>
    <row r="337" spans="3:5" x14ac:dyDescent="0.35">
      <c r="C337" s="1" t="s">
        <v>4327</v>
      </c>
      <c r="D337" s="1" t="s">
        <v>19</v>
      </c>
      <c r="E337" s="250">
        <v>6270.11</v>
      </c>
    </row>
    <row r="338" spans="3:5" x14ac:dyDescent="0.35">
      <c r="C338" s="1" t="s">
        <v>4326</v>
      </c>
      <c r="D338" s="1" t="s">
        <v>19</v>
      </c>
      <c r="E338" s="250">
        <v>6270.1109999999999</v>
      </c>
    </row>
    <row r="339" spans="3:5" x14ac:dyDescent="0.35">
      <c r="C339" s="1" t="s">
        <v>4325</v>
      </c>
      <c r="D339" s="1" t="s">
        <v>20</v>
      </c>
      <c r="E339" s="250">
        <v>6270.1120000000001</v>
      </c>
    </row>
    <row r="340" spans="3:5" x14ac:dyDescent="0.35">
      <c r="C340" s="1" t="s">
        <v>4324</v>
      </c>
      <c r="D340" s="1" t="s">
        <v>20</v>
      </c>
      <c r="E340" s="250">
        <v>6270.1130000000003</v>
      </c>
    </row>
    <row r="341" spans="3:5" x14ac:dyDescent="0.35">
      <c r="C341" s="1" t="s">
        <v>4323</v>
      </c>
      <c r="D341" s="1" t="s">
        <v>19</v>
      </c>
      <c r="E341" s="250">
        <v>6270.1139999999996</v>
      </c>
    </row>
    <row r="342" spans="3:5" x14ac:dyDescent="0.35">
      <c r="C342" s="1" t="s">
        <v>4322</v>
      </c>
      <c r="D342" s="1" t="s">
        <v>19</v>
      </c>
      <c r="E342" s="250">
        <v>6270.1149999999998</v>
      </c>
    </row>
    <row r="343" spans="3:5" x14ac:dyDescent="0.35">
      <c r="C343" s="1" t="s">
        <v>4321</v>
      </c>
      <c r="D343" s="1" t="s">
        <v>19</v>
      </c>
      <c r="E343" s="250">
        <v>6270.1180000000004</v>
      </c>
    </row>
    <row r="344" spans="3:5" x14ac:dyDescent="0.35">
      <c r="C344" s="1" t="s">
        <v>4320</v>
      </c>
      <c r="D344" s="1" t="s">
        <v>19</v>
      </c>
      <c r="E344" s="250">
        <v>6270.13</v>
      </c>
    </row>
    <row r="345" spans="3:5" x14ac:dyDescent="0.35">
      <c r="C345" s="1" t="s">
        <v>4319</v>
      </c>
      <c r="D345" s="1" t="s">
        <v>19</v>
      </c>
      <c r="E345" s="250">
        <v>6270.1310000000003</v>
      </c>
    </row>
    <row r="346" spans="3:5" x14ac:dyDescent="0.35">
      <c r="C346" s="1" t="s">
        <v>4318</v>
      </c>
      <c r="D346" s="1" t="s">
        <v>19</v>
      </c>
      <c r="E346" s="250">
        <v>6270.1319999999996</v>
      </c>
    </row>
    <row r="347" spans="3:5" x14ac:dyDescent="0.35">
      <c r="C347" s="1" t="s">
        <v>45</v>
      </c>
      <c r="D347" s="1" t="s">
        <v>19</v>
      </c>
      <c r="E347" s="250">
        <v>6270.1329999999998</v>
      </c>
    </row>
    <row r="348" spans="3:5" x14ac:dyDescent="0.35">
      <c r="C348" s="1" t="s">
        <v>4317</v>
      </c>
      <c r="D348" s="1" t="s">
        <v>19</v>
      </c>
      <c r="E348" s="250">
        <v>6270.134</v>
      </c>
    </row>
    <row r="349" spans="3:5" x14ac:dyDescent="0.35">
      <c r="C349" s="1" t="s">
        <v>4316</v>
      </c>
      <c r="D349" s="1" t="s">
        <v>19</v>
      </c>
      <c r="E349" s="250">
        <v>6270.1350000000002</v>
      </c>
    </row>
    <row r="350" spans="3:5" x14ac:dyDescent="0.35">
      <c r="C350" s="1" t="s">
        <v>4315</v>
      </c>
      <c r="D350" s="1" t="s">
        <v>19</v>
      </c>
      <c r="E350" s="250">
        <v>6270.1360000000004</v>
      </c>
    </row>
    <row r="351" spans="3:5" x14ac:dyDescent="0.35">
      <c r="C351" s="1" t="s">
        <v>45</v>
      </c>
      <c r="D351" s="1" t="s">
        <v>19</v>
      </c>
      <c r="E351" s="250">
        <v>6270.1390000000001</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3BE4F888-435E-4D47-8D6D-5AD19ADC0CA4}">
      <formula1>$C$205:$C207</formula1>
    </dataValidation>
  </dataValidations>
  <hyperlinks>
    <hyperlink ref="D3" r:id="rId1" display="datamateapp@gmail.com" xr:uid="{7A653B2C-14A1-4D74-9590-1755F5C71426}"/>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49193" r:id="rId4" name="Button 9">
              <controlPr defaultSize="0" print="0" autoFill="0" autoPict="0" macro="[0]!ExitSEC_062000">
                <anchor moveWithCells="1" sizeWithCells="1">
                  <from>
                    <xdr:col>16</xdr:col>
                    <xdr:colOff>203200</xdr:colOff>
                    <xdr:row>0</xdr:row>
                    <xdr:rowOff>0</xdr:rowOff>
                  </from>
                  <to>
                    <xdr:col>16</xdr:col>
                    <xdr:colOff>1473200</xdr:colOff>
                    <xdr:row>2</xdr:row>
                    <xdr:rowOff>12700</xdr:rowOff>
                  </to>
                </anchor>
              </controlPr>
            </control>
          </mc:Choice>
        </mc:AlternateContent>
        <mc:AlternateContent xmlns:mc="http://schemas.openxmlformats.org/markup-compatibility/2006">
          <mc:Choice Requires="x14">
            <control shapeId="349203" r:id="rId5" name="Button 19">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349204" r:id="rId6" name="Button 20">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349205" r:id="rId7" name="Button 21">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349206" r:id="rId8" name="Button 22">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349207" r:id="rId9" name="Button 23">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349208" r:id="rId10" name="Button 24">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349209" r:id="rId11" name="Button 25">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349210" r:id="rId12" name="Button 26">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794CE-59FE-4BB2-BD40-F0FDB9756286}">
  <sheetPr codeName="Sheet79"/>
  <dimension ref="A1:Q1808"/>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ARCHITECTURAL WOODWORK</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06 40 00</v>
      </c>
      <c r="C10" s="24" t="str">
        <f>C206</f>
        <v>ARCHITECTURAL WOODWORK</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ARCHITECTURAL WOODWORK</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14292</v>
      </c>
      <c r="C206" s="82" t="s">
        <v>14293</v>
      </c>
      <c r="D206" s="1"/>
      <c r="E206" s="1"/>
      <c r="F206" s="1"/>
      <c r="G206" s="1"/>
      <c r="H206" s="1"/>
      <c r="I206" s="1"/>
      <c r="J206" s="1"/>
      <c r="K206" s="1"/>
      <c r="L206" s="1"/>
      <c r="M206" s="1"/>
      <c r="N206" s="1"/>
      <c r="O206" s="1"/>
      <c r="P206" s="1"/>
      <c r="Q206" s="1"/>
    </row>
    <row r="207" spans="2:17" x14ac:dyDescent="0.35">
      <c r="B207" s="49" t="s">
        <v>14294</v>
      </c>
      <c r="C207" s="53" t="s">
        <v>14295</v>
      </c>
      <c r="D207" s="1"/>
      <c r="E207" s="1"/>
      <c r="F207" s="1"/>
      <c r="G207" s="1"/>
      <c r="H207" s="1"/>
      <c r="I207" s="1"/>
      <c r="J207" s="1"/>
      <c r="K207" s="1"/>
      <c r="L207" s="1"/>
      <c r="M207" s="1"/>
      <c r="N207" s="1"/>
      <c r="O207" s="1"/>
      <c r="P207" s="1"/>
      <c r="Q207" s="1"/>
    </row>
    <row r="208" spans="2:17" x14ac:dyDescent="0.35">
      <c r="B208" s="49" t="s">
        <v>14296</v>
      </c>
      <c r="C208" s="53" t="s">
        <v>14297</v>
      </c>
    </row>
    <row r="209" spans="2:5" x14ac:dyDescent="0.35">
      <c r="B209" s="49" t="s">
        <v>14298</v>
      </c>
      <c r="C209" s="53" t="s">
        <v>14299</v>
      </c>
    </row>
    <row r="210" spans="2:5" x14ac:dyDescent="0.35">
      <c r="B210" s="49" t="s">
        <v>14300</v>
      </c>
      <c r="C210" s="53" t="s">
        <v>14301</v>
      </c>
    </row>
    <row r="211" spans="2:5" x14ac:dyDescent="0.35">
      <c r="B211" s="49" t="s">
        <v>14302</v>
      </c>
      <c r="C211" s="53" t="s">
        <v>14303</v>
      </c>
    </row>
    <row r="212" spans="2:5" x14ac:dyDescent="0.35">
      <c r="B212" s="49" t="s">
        <v>14304</v>
      </c>
      <c r="C212" s="53" t="s">
        <v>14305</v>
      </c>
    </row>
    <row r="213" spans="2:5" x14ac:dyDescent="0.35">
      <c r="B213" s="49" t="s">
        <v>14306</v>
      </c>
      <c r="C213" s="53" t="s">
        <v>14307</v>
      </c>
    </row>
    <row r="214" spans="2:5" x14ac:dyDescent="0.35">
      <c r="C214" s="1" t="s">
        <v>4314</v>
      </c>
      <c r="D214" s="1" t="s">
        <v>19</v>
      </c>
      <c r="E214" s="250">
        <v>6410.01</v>
      </c>
    </row>
    <row r="215" spans="2:5" x14ac:dyDescent="0.35">
      <c r="C215" s="1" t="s">
        <v>4313</v>
      </c>
      <c r="D215" s="1" t="s">
        <v>19</v>
      </c>
      <c r="E215" s="250">
        <v>6410.0110000000004</v>
      </c>
    </row>
    <row r="216" spans="2:5" x14ac:dyDescent="0.35">
      <c r="C216" s="1" t="s">
        <v>4312</v>
      </c>
      <c r="D216" s="1" t="s">
        <v>19</v>
      </c>
      <c r="E216" s="250">
        <v>6410.0119999999997</v>
      </c>
    </row>
    <row r="217" spans="2:5" x14ac:dyDescent="0.35">
      <c r="C217" s="1" t="s">
        <v>4311</v>
      </c>
      <c r="D217" s="1" t="s">
        <v>19</v>
      </c>
      <c r="E217" s="250">
        <v>6410.0129999999999</v>
      </c>
    </row>
    <row r="218" spans="2:5" x14ac:dyDescent="0.35">
      <c r="C218" s="1" t="s">
        <v>4310</v>
      </c>
      <c r="D218" s="1" t="s">
        <v>19</v>
      </c>
      <c r="E218" s="250">
        <v>6410.0140000000001</v>
      </c>
    </row>
    <row r="219" spans="2:5" x14ac:dyDescent="0.35">
      <c r="C219" s="1" t="s">
        <v>4309</v>
      </c>
      <c r="D219" s="1" t="s">
        <v>19</v>
      </c>
      <c r="E219" s="250">
        <v>6410.0150000000003</v>
      </c>
    </row>
    <row r="220" spans="2:5" x14ac:dyDescent="0.35">
      <c r="C220" s="1" t="s">
        <v>4308</v>
      </c>
      <c r="D220" s="1" t="s">
        <v>19</v>
      </c>
      <c r="E220" s="250">
        <v>6410.0159999999996</v>
      </c>
    </row>
    <row r="221" spans="2:5" x14ac:dyDescent="0.35">
      <c r="C221" s="1" t="s">
        <v>4307</v>
      </c>
      <c r="D221" s="1" t="s">
        <v>18</v>
      </c>
      <c r="E221" s="250">
        <v>6410.0169999999998</v>
      </c>
    </row>
    <row r="222" spans="2:5" x14ac:dyDescent="0.35">
      <c r="C222" s="1" t="s">
        <v>4306</v>
      </c>
      <c r="D222" s="1" t="s">
        <v>19</v>
      </c>
      <c r="E222" s="250">
        <v>6410.018</v>
      </c>
    </row>
    <row r="223" spans="2:5" x14ac:dyDescent="0.35">
      <c r="C223" s="1" t="s">
        <v>48</v>
      </c>
      <c r="D223" s="1" t="s">
        <v>19</v>
      </c>
      <c r="E223" s="250">
        <v>6410.02</v>
      </c>
    </row>
    <row r="224" spans="2:5" x14ac:dyDescent="0.35">
      <c r="C224" s="1" t="s">
        <v>4305</v>
      </c>
      <c r="D224" s="1" t="s">
        <v>19</v>
      </c>
      <c r="E224" s="250">
        <v>6410.03</v>
      </c>
    </row>
    <row r="225" spans="3:5" x14ac:dyDescent="0.35">
      <c r="C225" s="1" t="s">
        <v>4304</v>
      </c>
      <c r="D225" s="1" t="s">
        <v>19</v>
      </c>
      <c r="E225" s="250">
        <v>6410.04</v>
      </c>
    </row>
    <row r="226" spans="3:5" x14ac:dyDescent="0.35">
      <c r="C226" s="1" t="s">
        <v>4303</v>
      </c>
      <c r="D226" s="1" t="s">
        <v>19</v>
      </c>
      <c r="E226" s="250">
        <v>6410.05</v>
      </c>
    </row>
    <row r="227" spans="3:5" x14ac:dyDescent="0.35">
      <c r="C227" s="1" t="s">
        <v>4302</v>
      </c>
      <c r="D227" s="1" t="s">
        <v>19</v>
      </c>
      <c r="E227" s="250">
        <v>6410.06</v>
      </c>
    </row>
    <row r="228" spans="3:5" x14ac:dyDescent="0.35">
      <c r="C228" s="1" t="s">
        <v>4301</v>
      </c>
      <c r="D228" s="1" t="s">
        <v>19</v>
      </c>
      <c r="E228" s="250">
        <v>6410.07</v>
      </c>
    </row>
    <row r="229" spans="3:5" x14ac:dyDescent="0.35">
      <c r="C229" s="1" t="s">
        <v>4300</v>
      </c>
      <c r="D229" s="1" t="s">
        <v>19</v>
      </c>
      <c r="E229" s="250">
        <v>6410.13</v>
      </c>
    </row>
    <row r="230" spans="3:5" x14ac:dyDescent="0.35">
      <c r="C230" s="1" t="s">
        <v>4299</v>
      </c>
      <c r="D230" s="1" t="s">
        <v>19</v>
      </c>
      <c r="E230" s="250">
        <v>6410.14</v>
      </c>
    </row>
    <row r="231" spans="3:5" x14ac:dyDescent="0.35">
      <c r="C231" s="1" t="s">
        <v>4298</v>
      </c>
      <c r="D231" s="1" t="s">
        <v>19</v>
      </c>
      <c r="E231" s="250">
        <v>6410.15</v>
      </c>
    </row>
    <row r="232" spans="3:5" x14ac:dyDescent="0.35">
      <c r="C232" s="1" t="s">
        <v>4297</v>
      </c>
      <c r="D232" s="1" t="s">
        <v>19</v>
      </c>
      <c r="E232" s="250">
        <v>6410.16</v>
      </c>
    </row>
    <row r="233" spans="3:5" x14ac:dyDescent="0.35">
      <c r="C233" s="1" t="s">
        <v>4296</v>
      </c>
      <c r="D233" s="1" t="s">
        <v>19</v>
      </c>
      <c r="E233" s="250">
        <v>6410.23</v>
      </c>
    </row>
    <row r="234" spans="3:5" x14ac:dyDescent="0.35">
      <c r="C234" s="1" t="s">
        <v>4295</v>
      </c>
      <c r="D234" s="1" t="s">
        <v>19</v>
      </c>
      <c r="E234" s="250">
        <v>6410.24</v>
      </c>
    </row>
    <row r="235" spans="3:5" x14ac:dyDescent="0.35">
      <c r="C235" s="1" t="s">
        <v>4294</v>
      </c>
      <c r="D235" s="1" t="s">
        <v>19</v>
      </c>
      <c r="E235" s="250">
        <v>6410.25</v>
      </c>
    </row>
    <row r="236" spans="3:5" x14ac:dyDescent="0.35">
      <c r="C236" s="1" t="s">
        <v>4293</v>
      </c>
      <c r="D236" s="1" t="s">
        <v>19</v>
      </c>
      <c r="E236" s="250">
        <v>6410.26</v>
      </c>
    </row>
    <row r="237" spans="3:5" x14ac:dyDescent="0.35">
      <c r="C237" s="1" t="s">
        <v>4292</v>
      </c>
      <c r="D237" s="1" t="s">
        <v>19</v>
      </c>
      <c r="E237" s="250">
        <v>6410.27</v>
      </c>
    </row>
    <row r="238" spans="3:5" x14ac:dyDescent="0.35">
      <c r="C238" s="1" t="s">
        <v>4291</v>
      </c>
      <c r="D238" s="1" t="s">
        <v>19</v>
      </c>
      <c r="E238" s="250">
        <v>6410.28</v>
      </c>
    </row>
    <row r="239" spans="3:5" x14ac:dyDescent="0.35">
      <c r="C239" s="1" t="s">
        <v>4290</v>
      </c>
      <c r="D239" s="1" t="s">
        <v>19</v>
      </c>
      <c r="E239" s="250">
        <v>6410.29</v>
      </c>
    </row>
    <row r="240" spans="3:5" x14ac:dyDescent="0.35">
      <c r="C240" s="1" t="s">
        <v>4289</v>
      </c>
      <c r="D240" s="1" t="s">
        <v>19</v>
      </c>
      <c r="E240" s="250">
        <v>6410.3</v>
      </c>
    </row>
    <row r="241" spans="3:5" x14ac:dyDescent="0.35">
      <c r="C241" s="1" t="s">
        <v>4288</v>
      </c>
      <c r="D241" s="1" t="s">
        <v>19</v>
      </c>
      <c r="E241" s="250">
        <v>6410.31</v>
      </c>
    </row>
    <row r="242" spans="3:5" x14ac:dyDescent="0.35">
      <c r="C242" s="1" t="s">
        <v>4287</v>
      </c>
      <c r="D242" s="1" t="s">
        <v>18</v>
      </c>
      <c r="E242" s="250">
        <v>6410.4</v>
      </c>
    </row>
    <row r="243" spans="3:5" x14ac:dyDescent="0.35">
      <c r="C243" s="1" t="s">
        <v>4286</v>
      </c>
      <c r="D243" s="1" t="s">
        <v>18</v>
      </c>
      <c r="E243" s="250">
        <v>6410.41</v>
      </c>
    </row>
    <row r="244" spans="3:5" x14ac:dyDescent="0.35">
      <c r="C244" s="1" t="s">
        <v>4285</v>
      </c>
      <c r="D244" s="1" t="s">
        <v>18</v>
      </c>
      <c r="E244" s="250">
        <v>6410.42</v>
      </c>
    </row>
    <row r="245" spans="3:5" x14ac:dyDescent="0.35">
      <c r="C245" s="1" t="s">
        <v>4284</v>
      </c>
      <c r="D245" s="1" t="s">
        <v>18</v>
      </c>
      <c r="E245" s="250">
        <v>6410.43</v>
      </c>
    </row>
    <row r="246" spans="3:5" x14ac:dyDescent="0.35">
      <c r="C246" s="1" t="s">
        <v>4283</v>
      </c>
      <c r="D246" s="1" t="s">
        <v>19</v>
      </c>
      <c r="E246" s="250">
        <v>6410.44</v>
      </c>
    </row>
    <row r="247" spans="3:5" x14ac:dyDescent="0.35">
      <c r="C247" s="1" t="s">
        <v>4282</v>
      </c>
      <c r="D247" s="1" t="s">
        <v>19</v>
      </c>
      <c r="E247" s="250">
        <v>6410.45</v>
      </c>
    </row>
    <row r="248" spans="3:5" x14ac:dyDescent="0.35">
      <c r="C248" s="1" t="s">
        <v>4281</v>
      </c>
      <c r="D248" s="1" t="s">
        <v>19</v>
      </c>
      <c r="E248" s="250">
        <v>6410.46</v>
      </c>
    </row>
    <row r="249" spans="3:5" x14ac:dyDescent="0.35">
      <c r="C249" s="1" t="s">
        <v>4280</v>
      </c>
      <c r="D249" s="1" t="s">
        <v>19</v>
      </c>
      <c r="E249" s="250">
        <v>6410.47</v>
      </c>
    </row>
    <row r="250" spans="3:5" x14ac:dyDescent="0.35">
      <c r="C250" s="1" t="s">
        <v>4279</v>
      </c>
      <c r="D250" s="1" t="s">
        <v>19</v>
      </c>
      <c r="E250" s="250">
        <v>6410.48</v>
      </c>
    </row>
    <row r="251" spans="3:5" x14ac:dyDescent="0.35">
      <c r="C251" s="1" t="s">
        <v>4278</v>
      </c>
      <c r="D251" s="1" t="s">
        <v>19</v>
      </c>
      <c r="E251" s="250">
        <v>6410.49</v>
      </c>
    </row>
    <row r="252" spans="3:5" x14ac:dyDescent="0.35">
      <c r="C252" s="1" t="s">
        <v>4277</v>
      </c>
      <c r="D252" s="1" t="s">
        <v>19</v>
      </c>
      <c r="E252" s="250">
        <v>6410.4949999999999</v>
      </c>
    </row>
    <row r="253" spans="3:5" x14ac:dyDescent="0.35">
      <c r="C253" s="1" t="s">
        <v>4276</v>
      </c>
      <c r="D253" s="1" t="s">
        <v>62</v>
      </c>
      <c r="E253" s="250">
        <v>6414.99</v>
      </c>
    </row>
    <row r="254" spans="3:5" x14ac:dyDescent="0.35">
      <c r="C254" s="1" t="s">
        <v>4275</v>
      </c>
      <c r="D254" s="1" t="s">
        <v>62</v>
      </c>
      <c r="E254" s="250">
        <v>6414.991</v>
      </c>
    </row>
    <row r="255" spans="3:5" x14ac:dyDescent="0.35">
      <c r="C255" s="1" t="s">
        <v>4274</v>
      </c>
      <c r="D255" s="1" t="s">
        <v>19</v>
      </c>
      <c r="E255" s="250">
        <v>6415.01</v>
      </c>
    </row>
    <row r="256" spans="3:5" x14ac:dyDescent="0.35">
      <c r="C256" s="1" t="s">
        <v>4273</v>
      </c>
      <c r="D256" s="1" t="s">
        <v>19</v>
      </c>
      <c r="E256" s="250">
        <v>6415.1</v>
      </c>
    </row>
    <row r="257" spans="3:5" x14ac:dyDescent="0.35">
      <c r="C257" s="1" t="s">
        <v>4272</v>
      </c>
      <c r="D257" s="1" t="s">
        <v>19</v>
      </c>
      <c r="E257" s="250">
        <v>6415.11</v>
      </c>
    </row>
    <row r="258" spans="3:5" x14ac:dyDescent="0.35">
      <c r="C258" s="1" t="s">
        <v>4271</v>
      </c>
      <c r="D258" s="1" t="s">
        <v>19</v>
      </c>
      <c r="E258" s="250">
        <v>6415.1120000000001</v>
      </c>
    </row>
    <row r="259" spans="3:5" x14ac:dyDescent="0.35">
      <c r="C259" s="1" t="s">
        <v>4270</v>
      </c>
      <c r="D259" s="1" t="s">
        <v>19</v>
      </c>
      <c r="E259" s="250">
        <v>6415.1149999999998</v>
      </c>
    </row>
    <row r="260" spans="3:5" x14ac:dyDescent="0.35">
      <c r="C260" s="1" t="s">
        <v>4269</v>
      </c>
      <c r="D260" s="1" t="s">
        <v>19</v>
      </c>
      <c r="E260" s="250">
        <v>6415.1189999999997</v>
      </c>
    </row>
    <row r="261" spans="3:5" x14ac:dyDescent="0.35">
      <c r="C261" s="1" t="s">
        <v>4268</v>
      </c>
      <c r="D261" s="1" t="s">
        <v>19</v>
      </c>
      <c r="E261" s="250">
        <v>6415.12</v>
      </c>
    </row>
    <row r="262" spans="3:5" x14ac:dyDescent="0.35">
      <c r="C262" s="1" t="s">
        <v>4265</v>
      </c>
      <c r="D262" s="1" t="s">
        <v>19</v>
      </c>
      <c r="E262" s="250">
        <v>6415.1220000000003</v>
      </c>
    </row>
    <row r="263" spans="3:5" x14ac:dyDescent="0.35">
      <c r="C263" s="1" t="s">
        <v>4267</v>
      </c>
      <c r="D263" s="1" t="s">
        <v>19</v>
      </c>
      <c r="E263" s="250">
        <v>6415.1229999999996</v>
      </c>
    </row>
    <row r="264" spans="3:5" x14ac:dyDescent="0.35">
      <c r="C264" s="1" t="s">
        <v>4266</v>
      </c>
      <c r="D264" s="1" t="s">
        <v>19</v>
      </c>
      <c r="E264" s="250">
        <v>6415.125</v>
      </c>
    </row>
    <row r="265" spans="3:5" x14ac:dyDescent="0.35">
      <c r="C265" s="1" t="s">
        <v>4265</v>
      </c>
      <c r="D265" s="1" t="s">
        <v>19</v>
      </c>
      <c r="E265" s="250">
        <v>6415.1289999999999</v>
      </c>
    </row>
    <row r="266" spans="3:5" x14ac:dyDescent="0.35">
      <c r="C266" s="1" t="s">
        <v>4264</v>
      </c>
      <c r="D266" s="1" t="s">
        <v>19</v>
      </c>
      <c r="E266" s="250">
        <v>6415.13</v>
      </c>
    </row>
    <row r="267" spans="3:5" x14ac:dyDescent="0.35">
      <c r="C267" s="1" t="s">
        <v>4263</v>
      </c>
      <c r="D267" s="1" t="s">
        <v>19</v>
      </c>
      <c r="E267" s="250">
        <v>6415.14</v>
      </c>
    </row>
    <row r="268" spans="3:5" x14ac:dyDescent="0.35">
      <c r="C268" s="1" t="s">
        <v>4262</v>
      </c>
      <c r="D268" s="1" t="s">
        <v>19</v>
      </c>
      <c r="E268" s="250">
        <v>6415.15</v>
      </c>
    </row>
    <row r="269" spans="3:5" x14ac:dyDescent="0.35">
      <c r="C269" s="1" t="s">
        <v>4261</v>
      </c>
      <c r="D269" s="1" t="s">
        <v>19</v>
      </c>
      <c r="E269" s="250">
        <v>6415.16</v>
      </c>
    </row>
    <row r="270" spans="3:5" x14ac:dyDescent="0.35">
      <c r="C270" s="1" t="s">
        <v>4260</v>
      </c>
      <c r="D270" s="1" t="s">
        <v>19</v>
      </c>
      <c r="E270" s="250">
        <v>6415.18</v>
      </c>
    </row>
    <row r="271" spans="3:5" x14ac:dyDescent="0.35">
      <c r="C271" s="1" t="s">
        <v>4259</v>
      </c>
      <c r="D271" s="1" t="s">
        <v>19</v>
      </c>
      <c r="E271" s="250">
        <v>6415.19</v>
      </c>
    </row>
    <row r="272" spans="3:5" x14ac:dyDescent="0.35">
      <c r="C272" s="1" t="s">
        <v>4258</v>
      </c>
      <c r="D272" s="1" t="s">
        <v>19</v>
      </c>
      <c r="E272" s="250">
        <v>6415.2</v>
      </c>
    </row>
    <row r="273" spans="3:5" x14ac:dyDescent="0.35">
      <c r="C273" s="1" t="s">
        <v>4257</v>
      </c>
      <c r="D273" s="1" t="s">
        <v>19</v>
      </c>
      <c r="E273" s="250">
        <v>6415.21</v>
      </c>
    </row>
    <row r="274" spans="3:5" x14ac:dyDescent="0.35">
      <c r="C274" s="1" t="s">
        <v>4256</v>
      </c>
      <c r="D274" s="1" t="s">
        <v>19</v>
      </c>
      <c r="E274" s="250">
        <v>6415.22</v>
      </c>
    </row>
    <row r="275" spans="3:5" x14ac:dyDescent="0.35">
      <c r="C275" s="1" t="s">
        <v>4255</v>
      </c>
      <c r="D275" s="1" t="s">
        <v>19</v>
      </c>
      <c r="E275" s="250">
        <v>6415.2250000000004</v>
      </c>
    </row>
    <row r="276" spans="3:5" x14ac:dyDescent="0.35">
      <c r="C276" s="1" t="s">
        <v>4254</v>
      </c>
      <c r="D276" s="1" t="s">
        <v>19</v>
      </c>
      <c r="E276" s="250">
        <v>6415.2349999999997</v>
      </c>
    </row>
    <row r="277" spans="3:5" x14ac:dyDescent="0.35">
      <c r="C277" s="1" t="s">
        <v>4252</v>
      </c>
      <c r="D277" s="1" t="s">
        <v>3023</v>
      </c>
      <c r="E277" s="250">
        <v>6430.1</v>
      </c>
    </row>
    <row r="278" spans="3:5" x14ac:dyDescent="0.35">
      <c r="C278" s="1" t="s">
        <v>4251</v>
      </c>
      <c r="D278" s="1" t="s">
        <v>3023</v>
      </c>
      <c r="E278" s="250">
        <v>6430.1009999999997</v>
      </c>
    </row>
    <row r="279" spans="3:5" x14ac:dyDescent="0.35">
      <c r="C279" s="1" t="s">
        <v>4250</v>
      </c>
      <c r="D279" s="1" t="s">
        <v>3023</v>
      </c>
      <c r="E279" s="250">
        <v>6430.1019999999999</v>
      </c>
    </row>
    <row r="280" spans="3:5" x14ac:dyDescent="0.35">
      <c r="C280" s="1" t="s">
        <v>4249</v>
      </c>
      <c r="D280" s="1" t="s">
        <v>3023</v>
      </c>
      <c r="E280" s="250">
        <v>6430.1030000000001</v>
      </c>
    </row>
    <row r="281" spans="3:5" x14ac:dyDescent="0.35">
      <c r="C281" s="1" t="s">
        <v>4248</v>
      </c>
      <c r="D281" s="1" t="s">
        <v>3023</v>
      </c>
      <c r="E281" s="250">
        <v>6430.1040000000003</v>
      </c>
    </row>
    <row r="282" spans="3:5" x14ac:dyDescent="0.35">
      <c r="C282" s="1" t="s">
        <v>4247</v>
      </c>
      <c r="D282" s="1" t="s">
        <v>3023</v>
      </c>
      <c r="E282" s="250">
        <v>6430.1049999999996</v>
      </c>
    </row>
    <row r="283" spans="3:5" x14ac:dyDescent="0.35">
      <c r="C283" s="1" t="s">
        <v>4246</v>
      </c>
      <c r="D283" s="1" t="s">
        <v>3023</v>
      </c>
      <c r="E283" s="250">
        <v>6430.1059999999998</v>
      </c>
    </row>
    <row r="284" spans="3:5" x14ac:dyDescent="0.35">
      <c r="C284" s="1" t="s">
        <v>4245</v>
      </c>
      <c r="D284" s="1" t="s">
        <v>3023</v>
      </c>
      <c r="E284" s="250">
        <v>6430.11</v>
      </c>
    </row>
    <row r="285" spans="3:5" x14ac:dyDescent="0.35">
      <c r="C285" s="1" t="s">
        <v>4244</v>
      </c>
      <c r="D285" s="1" t="s">
        <v>3023</v>
      </c>
      <c r="E285" s="250">
        <v>6430.1109999999999</v>
      </c>
    </row>
    <row r="286" spans="3:5" x14ac:dyDescent="0.35">
      <c r="C286" s="1" t="s">
        <v>4243</v>
      </c>
      <c r="D286" s="1" t="s">
        <v>3023</v>
      </c>
      <c r="E286" s="250">
        <v>6430.1120000000001</v>
      </c>
    </row>
    <row r="287" spans="3:5" x14ac:dyDescent="0.35">
      <c r="C287" s="1" t="s">
        <v>4242</v>
      </c>
      <c r="D287" s="1" t="s">
        <v>3023</v>
      </c>
      <c r="E287" s="250">
        <v>6430.1130000000003</v>
      </c>
    </row>
    <row r="288" spans="3:5" x14ac:dyDescent="0.35">
      <c r="C288" s="1" t="s">
        <v>4241</v>
      </c>
      <c r="D288" s="1" t="s">
        <v>3023</v>
      </c>
      <c r="E288" s="250">
        <v>6430.1139999999996</v>
      </c>
    </row>
    <row r="289" spans="3:5" x14ac:dyDescent="0.35">
      <c r="C289" s="1" t="s">
        <v>4240</v>
      </c>
      <c r="D289" s="1" t="s">
        <v>3023</v>
      </c>
      <c r="E289" s="250">
        <v>6430.1149999999998</v>
      </c>
    </row>
    <row r="290" spans="3:5" x14ac:dyDescent="0.35">
      <c r="C290" s="1" t="s">
        <v>4239</v>
      </c>
      <c r="D290" s="1" t="s">
        <v>3023</v>
      </c>
      <c r="E290" s="250">
        <v>6430.116</v>
      </c>
    </row>
    <row r="291" spans="3:5" x14ac:dyDescent="0.35">
      <c r="C291" s="1" t="s">
        <v>4238</v>
      </c>
      <c r="D291" s="1" t="s">
        <v>3023</v>
      </c>
      <c r="E291" s="250">
        <v>6430.12</v>
      </c>
    </row>
    <row r="292" spans="3:5" x14ac:dyDescent="0.35">
      <c r="C292" s="1" t="s">
        <v>4237</v>
      </c>
      <c r="D292" s="1" t="s">
        <v>3023</v>
      </c>
      <c r="E292" s="250">
        <v>6430.1210000000001</v>
      </c>
    </row>
    <row r="293" spans="3:5" x14ac:dyDescent="0.35">
      <c r="C293" s="1" t="s">
        <v>4236</v>
      </c>
      <c r="D293" s="1" t="s">
        <v>3023</v>
      </c>
      <c r="E293" s="250">
        <v>6430.1220000000003</v>
      </c>
    </row>
    <row r="294" spans="3:5" x14ac:dyDescent="0.35">
      <c r="C294" s="1" t="s">
        <v>4235</v>
      </c>
      <c r="D294" s="1" t="s">
        <v>3023</v>
      </c>
      <c r="E294" s="250">
        <v>6430.1229999999996</v>
      </c>
    </row>
    <row r="295" spans="3:5" x14ac:dyDescent="0.35">
      <c r="C295" s="1" t="s">
        <v>4234</v>
      </c>
      <c r="D295" s="1" t="s">
        <v>3023</v>
      </c>
      <c r="E295" s="250">
        <v>6430.1239999999998</v>
      </c>
    </row>
    <row r="296" spans="3:5" x14ac:dyDescent="0.35">
      <c r="C296" s="1" t="s">
        <v>4233</v>
      </c>
      <c r="D296" s="1" t="s">
        <v>3023</v>
      </c>
      <c r="E296" s="250">
        <v>6430.125</v>
      </c>
    </row>
    <row r="297" spans="3:5" x14ac:dyDescent="0.35">
      <c r="C297" s="1" t="s">
        <v>4232</v>
      </c>
      <c r="D297" s="1" t="s">
        <v>3023</v>
      </c>
      <c r="E297" s="250">
        <v>6430.1260000000002</v>
      </c>
    </row>
    <row r="298" spans="3:5" x14ac:dyDescent="0.35">
      <c r="C298" s="1" t="s">
        <v>4231</v>
      </c>
      <c r="D298" s="1" t="s">
        <v>3023</v>
      </c>
      <c r="E298" s="250">
        <v>6430.13</v>
      </c>
    </row>
    <row r="299" spans="3:5" x14ac:dyDescent="0.35">
      <c r="C299" s="1" t="s">
        <v>4230</v>
      </c>
      <c r="D299" s="1" t="s">
        <v>3023</v>
      </c>
      <c r="E299" s="250">
        <v>6430.1310000000003</v>
      </c>
    </row>
    <row r="300" spans="3:5" x14ac:dyDescent="0.35">
      <c r="C300" s="1" t="s">
        <v>4229</v>
      </c>
      <c r="D300" s="1" t="s">
        <v>3023</v>
      </c>
      <c r="E300" s="250">
        <v>6430.1319999999996</v>
      </c>
    </row>
    <row r="301" spans="3:5" x14ac:dyDescent="0.35">
      <c r="C301" s="1" t="s">
        <v>4228</v>
      </c>
      <c r="D301" s="1" t="s">
        <v>3023</v>
      </c>
      <c r="E301" s="250">
        <v>6430.1329999999998</v>
      </c>
    </row>
    <row r="302" spans="3:5" x14ac:dyDescent="0.35">
      <c r="C302" s="1" t="s">
        <v>4227</v>
      </c>
      <c r="D302" s="1" t="s">
        <v>3023</v>
      </c>
      <c r="E302" s="250">
        <v>6430.134</v>
      </c>
    </row>
    <row r="303" spans="3:5" x14ac:dyDescent="0.35">
      <c r="C303" s="1" t="s">
        <v>4226</v>
      </c>
      <c r="D303" s="1" t="s">
        <v>3023</v>
      </c>
      <c r="E303" s="250">
        <v>6430.1350000000002</v>
      </c>
    </row>
    <row r="304" spans="3:5" x14ac:dyDescent="0.35">
      <c r="C304" s="1" t="s">
        <v>4225</v>
      </c>
      <c r="D304" s="1" t="s">
        <v>3023</v>
      </c>
      <c r="E304" s="250">
        <v>6430.1360000000004</v>
      </c>
    </row>
    <row r="305" spans="3:5" x14ac:dyDescent="0.35">
      <c r="C305" s="1" t="s">
        <v>4253</v>
      </c>
      <c r="D305" s="1" t="s">
        <v>3023</v>
      </c>
      <c r="E305" s="250">
        <v>6430.14</v>
      </c>
    </row>
    <row r="306" spans="3:5" x14ac:dyDescent="0.35">
      <c r="C306" s="1" t="s">
        <v>4252</v>
      </c>
      <c r="D306" s="1" t="s">
        <v>2329</v>
      </c>
      <c r="E306" s="250">
        <v>6430.15</v>
      </c>
    </row>
    <row r="307" spans="3:5" x14ac:dyDescent="0.35">
      <c r="C307" s="1" t="s">
        <v>4251</v>
      </c>
      <c r="D307" s="1" t="s">
        <v>2329</v>
      </c>
      <c r="E307" s="250">
        <v>6430.1509999999998</v>
      </c>
    </row>
    <row r="308" spans="3:5" x14ac:dyDescent="0.35">
      <c r="C308" s="1" t="s">
        <v>4250</v>
      </c>
      <c r="D308" s="1" t="s">
        <v>2329</v>
      </c>
      <c r="E308" s="250">
        <v>6430.152</v>
      </c>
    </row>
    <row r="309" spans="3:5" x14ac:dyDescent="0.35">
      <c r="C309" s="1" t="s">
        <v>4249</v>
      </c>
      <c r="D309" s="1" t="s">
        <v>2329</v>
      </c>
      <c r="E309" s="250">
        <v>6430.1530000000002</v>
      </c>
    </row>
    <row r="310" spans="3:5" x14ac:dyDescent="0.35">
      <c r="C310" s="1" t="s">
        <v>4248</v>
      </c>
      <c r="D310" s="1" t="s">
        <v>2329</v>
      </c>
      <c r="E310" s="250">
        <v>6430.1540000000005</v>
      </c>
    </row>
    <row r="311" spans="3:5" x14ac:dyDescent="0.35">
      <c r="C311" s="1" t="s">
        <v>4247</v>
      </c>
      <c r="D311" s="1" t="s">
        <v>2329</v>
      </c>
      <c r="E311" s="250">
        <v>6430.1549999999997</v>
      </c>
    </row>
    <row r="312" spans="3:5" x14ac:dyDescent="0.35">
      <c r="C312" s="1" t="s">
        <v>4246</v>
      </c>
      <c r="D312" s="1" t="s">
        <v>2329</v>
      </c>
      <c r="E312" s="250">
        <v>6430.1559999999999</v>
      </c>
    </row>
    <row r="313" spans="3:5" x14ac:dyDescent="0.35">
      <c r="C313" s="1" t="s">
        <v>4245</v>
      </c>
      <c r="D313" s="1" t="s">
        <v>2329</v>
      </c>
      <c r="E313" s="250">
        <v>6430.16</v>
      </c>
    </row>
    <row r="314" spans="3:5" x14ac:dyDescent="0.35">
      <c r="C314" s="1" t="s">
        <v>4244</v>
      </c>
      <c r="D314" s="1" t="s">
        <v>2329</v>
      </c>
      <c r="E314" s="250">
        <v>6430.1610000000001</v>
      </c>
    </row>
    <row r="315" spans="3:5" x14ac:dyDescent="0.35">
      <c r="C315" s="1" t="s">
        <v>4243</v>
      </c>
      <c r="D315" s="1" t="s">
        <v>2329</v>
      </c>
      <c r="E315" s="250">
        <v>6430.1620000000003</v>
      </c>
    </row>
    <row r="316" spans="3:5" x14ac:dyDescent="0.35">
      <c r="C316" s="1" t="s">
        <v>4242</v>
      </c>
      <c r="D316" s="1" t="s">
        <v>2329</v>
      </c>
      <c r="E316" s="250">
        <v>6430.1629999999996</v>
      </c>
    </row>
    <row r="317" spans="3:5" x14ac:dyDescent="0.35">
      <c r="C317" s="1" t="s">
        <v>4241</v>
      </c>
      <c r="D317" s="1" t="s">
        <v>2329</v>
      </c>
      <c r="E317" s="250">
        <v>6430.1639999999998</v>
      </c>
    </row>
    <row r="318" spans="3:5" x14ac:dyDescent="0.35">
      <c r="C318" s="1" t="s">
        <v>4240</v>
      </c>
      <c r="D318" s="1" t="s">
        <v>2329</v>
      </c>
      <c r="E318" s="250">
        <v>6430.165</v>
      </c>
    </row>
    <row r="319" spans="3:5" x14ac:dyDescent="0.35">
      <c r="C319" s="1" t="s">
        <v>4239</v>
      </c>
      <c r="D319" s="1" t="s">
        <v>2329</v>
      </c>
      <c r="E319" s="250">
        <v>6430.1660000000002</v>
      </c>
    </row>
    <row r="320" spans="3:5" x14ac:dyDescent="0.35">
      <c r="C320" s="1" t="s">
        <v>4238</v>
      </c>
      <c r="D320" s="1" t="s">
        <v>2329</v>
      </c>
      <c r="E320" s="250">
        <v>6430.17</v>
      </c>
    </row>
    <row r="321" spans="3:5" x14ac:dyDescent="0.35">
      <c r="C321" s="1" t="s">
        <v>4237</v>
      </c>
      <c r="D321" s="1" t="s">
        <v>2329</v>
      </c>
      <c r="E321" s="250">
        <v>6430.1710000000003</v>
      </c>
    </row>
    <row r="322" spans="3:5" x14ac:dyDescent="0.35">
      <c r="C322" s="1" t="s">
        <v>4236</v>
      </c>
      <c r="D322" s="1" t="s">
        <v>2329</v>
      </c>
      <c r="E322" s="250">
        <v>6430.1719999999996</v>
      </c>
    </row>
    <row r="323" spans="3:5" x14ac:dyDescent="0.35">
      <c r="C323" s="1" t="s">
        <v>4235</v>
      </c>
      <c r="D323" s="1" t="s">
        <v>2329</v>
      </c>
      <c r="E323" s="250">
        <v>6430.1729999999998</v>
      </c>
    </row>
    <row r="324" spans="3:5" x14ac:dyDescent="0.35">
      <c r="C324" s="1" t="s">
        <v>4234</v>
      </c>
      <c r="D324" s="1" t="s">
        <v>2329</v>
      </c>
      <c r="E324" s="250">
        <v>6430.174</v>
      </c>
    </row>
    <row r="325" spans="3:5" x14ac:dyDescent="0.35">
      <c r="C325" s="1" t="s">
        <v>4233</v>
      </c>
      <c r="D325" s="1" t="s">
        <v>2329</v>
      </c>
      <c r="E325" s="250">
        <v>6430.1750000000002</v>
      </c>
    </row>
    <row r="326" spans="3:5" x14ac:dyDescent="0.35">
      <c r="C326" s="1" t="s">
        <v>4232</v>
      </c>
      <c r="D326" s="1" t="s">
        <v>2329</v>
      </c>
      <c r="E326" s="250">
        <v>6430.1760000000004</v>
      </c>
    </row>
    <row r="327" spans="3:5" x14ac:dyDescent="0.35">
      <c r="C327" s="1" t="s">
        <v>4231</v>
      </c>
      <c r="D327" s="1" t="s">
        <v>2329</v>
      </c>
      <c r="E327" s="250">
        <v>6430.18</v>
      </c>
    </row>
    <row r="328" spans="3:5" x14ac:dyDescent="0.35">
      <c r="C328" s="1" t="s">
        <v>4230</v>
      </c>
      <c r="D328" s="1" t="s">
        <v>2329</v>
      </c>
      <c r="E328" s="250">
        <v>6430.1809999999996</v>
      </c>
    </row>
    <row r="329" spans="3:5" x14ac:dyDescent="0.35">
      <c r="C329" s="1" t="s">
        <v>4229</v>
      </c>
      <c r="D329" s="1" t="s">
        <v>2329</v>
      </c>
      <c r="E329" s="250">
        <v>6430.1819999999998</v>
      </c>
    </row>
    <row r="330" spans="3:5" x14ac:dyDescent="0.35">
      <c r="C330" s="1" t="s">
        <v>4228</v>
      </c>
      <c r="D330" s="1" t="s">
        <v>2329</v>
      </c>
      <c r="E330" s="250">
        <v>6430.183</v>
      </c>
    </row>
    <row r="331" spans="3:5" x14ac:dyDescent="0.35">
      <c r="C331" s="1" t="s">
        <v>4227</v>
      </c>
      <c r="D331" s="1" t="s">
        <v>2329</v>
      </c>
      <c r="E331" s="250">
        <v>6430.1840000000002</v>
      </c>
    </row>
    <row r="332" spans="3:5" x14ac:dyDescent="0.35">
      <c r="C332" s="1" t="s">
        <v>4226</v>
      </c>
      <c r="D332" s="1" t="s">
        <v>2329</v>
      </c>
      <c r="E332" s="250">
        <v>6430.1850000000004</v>
      </c>
    </row>
    <row r="333" spans="3:5" x14ac:dyDescent="0.35">
      <c r="C333" s="1" t="s">
        <v>4225</v>
      </c>
      <c r="D333" s="1" t="s">
        <v>2329</v>
      </c>
      <c r="E333" s="250">
        <v>6430.1859999999997</v>
      </c>
    </row>
    <row r="334" spans="3:5" x14ac:dyDescent="0.35">
      <c r="C334" s="1" t="s">
        <v>4224</v>
      </c>
      <c r="D334" s="1" t="s">
        <v>19</v>
      </c>
      <c r="E334" s="250">
        <v>6430.201</v>
      </c>
    </row>
    <row r="335" spans="3:5" x14ac:dyDescent="0.35">
      <c r="C335" s="1" t="s">
        <v>4223</v>
      </c>
      <c r="D335" s="1" t="s">
        <v>19</v>
      </c>
      <c r="E335" s="250">
        <v>6430.2020000000002</v>
      </c>
    </row>
    <row r="336" spans="3:5" x14ac:dyDescent="0.35">
      <c r="C336" s="1" t="s">
        <v>4222</v>
      </c>
      <c r="D336" s="1" t="s">
        <v>19</v>
      </c>
      <c r="E336" s="250">
        <v>6430.2030000000004</v>
      </c>
    </row>
    <row r="337" spans="3:5" x14ac:dyDescent="0.35">
      <c r="C337" s="1" t="s">
        <v>4221</v>
      </c>
      <c r="D337" s="1" t="s">
        <v>19</v>
      </c>
      <c r="E337" s="250">
        <v>6430.2039999999997</v>
      </c>
    </row>
    <row r="338" spans="3:5" x14ac:dyDescent="0.35">
      <c r="C338" s="1" t="s">
        <v>4220</v>
      </c>
      <c r="D338" s="1" t="s">
        <v>19</v>
      </c>
      <c r="E338" s="250">
        <v>6430.2049999999999</v>
      </c>
    </row>
    <row r="339" spans="3:5" x14ac:dyDescent="0.35">
      <c r="C339" s="1" t="s">
        <v>4219</v>
      </c>
      <c r="D339" s="1" t="s">
        <v>19</v>
      </c>
      <c r="E339" s="250">
        <v>6430.2060000000001</v>
      </c>
    </row>
    <row r="340" spans="3:5" x14ac:dyDescent="0.35">
      <c r="C340" s="1" t="s">
        <v>4218</v>
      </c>
      <c r="D340" s="1" t="s">
        <v>19</v>
      </c>
      <c r="E340" s="250">
        <v>6430.2070000000003</v>
      </c>
    </row>
    <row r="341" spans="3:5" x14ac:dyDescent="0.35">
      <c r="C341" s="1" t="s">
        <v>4217</v>
      </c>
      <c r="D341" s="1" t="s">
        <v>19</v>
      </c>
      <c r="E341" s="250">
        <v>6430.2110000000002</v>
      </c>
    </row>
    <row r="342" spans="3:5" x14ac:dyDescent="0.35">
      <c r="C342" s="1" t="s">
        <v>4216</v>
      </c>
      <c r="D342" s="1" t="s">
        <v>19</v>
      </c>
      <c r="E342" s="250">
        <v>6430.2120000000004</v>
      </c>
    </row>
    <row r="343" spans="3:5" x14ac:dyDescent="0.35">
      <c r="C343" s="1" t="s">
        <v>4215</v>
      </c>
      <c r="D343" s="1" t="s">
        <v>19</v>
      </c>
      <c r="E343" s="250">
        <v>6430.2129999999997</v>
      </c>
    </row>
    <row r="344" spans="3:5" x14ac:dyDescent="0.35">
      <c r="C344" s="1" t="s">
        <v>4214</v>
      </c>
      <c r="D344" s="1" t="s">
        <v>19</v>
      </c>
      <c r="E344" s="250">
        <v>6430.2139999999999</v>
      </c>
    </row>
    <row r="345" spans="3:5" x14ac:dyDescent="0.35">
      <c r="C345" s="1" t="s">
        <v>4213</v>
      </c>
      <c r="D345" s="1" t="s">
        <v>19</v>
      </c>
      <c r="E345" s="250">
        <v>6430.2150000000001</v>
      </c>
    </row>
    <row r="346" spans="3:5" x14ac:dyDescent="0.35">
      <c r="C346" s="1" t="s">
        <v>4212</v>
      </c>
      <c r="D346" s="1" t="s">
        <v>19</v>
      </c>
      <c r="E346" s="250">
        <v>6430.2160000000003</v>
      </c>
    </row>
    <row r="347" spans="3:5" x14ac:dyDescent="0.35">
      <c r="C347" s="1" t="s">
        <v>4211</v>
      </c>
      <c r="D347" s="1" t="s">
        <v>19</v>
      </c>
      <c r="E347" s="250">
        <v>6430.2169999999996</v>
      </c>
    </row>
    <row r="348" spans="3:5" x14ac:dyDescent="0.35">
      <c r="C348" s="1" t="s">
        <v>4210</v>
      </c>
      <c r="D348" s="1" t="s">
        <v>19</v>
      </c>
      <c r="E348" s="250">
        <v>6430.2209999999995</v>
      </c>
    </row>
    <row r="349" spans="3:5" x14ac:dyDescent="0.35">
      <c r="C349" s="1" t="s">
        <v>4209</v>
      </c>
      <c r="D349" s="1" t="s">
        <v>19</v>
      </c>
      <c r="E349" s="250">
        <v>6430.2219999999998</v>
      </c>
    </row>
    <row r="350" spans="3:5" x14ac:dyDescent="0.35">
      <c r="C350" s="1" t="s">
        <v>4208</v>
      </c>
      <c r="D350" s="1" t="s">
        <v>19</v>
      </c>
      <c r="E350" s="250">
        <v>6430.223</v>
      </c>
    </row>
    <row r="351" spans="3:5" x14ac:dyDescent="0.35">
      <c r="C351" s="1" t="s">
        <v>4207</v>
      </c>
      <c r="D351" s="1" t="s">
        <v>19</v>
      </c>
      <c r="E351" s="250">
        <v>6430.2240000000002</v>
      </c>
    </row>
    <row r="352" spans="3:5" x14ac:dyDescent="0.35">
      <c r="C352" s="1" t="s">
        <v>4206</v>
      </c>
      <c r="D352" s="1" t="s">
        <v>19</v>
      </c>
      <c r="E352" s="250">
        <v>6430.2250000000004</v>
      </c>
    </row>
    <row r="353" spans="3:5" x14ac:dyDescent="0.35">
      <c r="C353" s="1" t="s">
        <v>4205</v>
      </c>
      <c r="D353" s="1" t="s">
        <v>19</v>
      </c>
      <c r="E353" s="250">
        <v>6430.2259999999997</v>
      </c>
    </row>
    <row r="354" spans="3:5" x14ac:dyDescent="0.35">
      <c r="C354" s="1" t="s">
        <v>4204</v>
      </c>
      <c r="D354" s="1" t="s">
        <v>19</v>
      </c>
      <c r="E354" s="250">
        <v>6430.2269999999999</v>
      </c>
    </row>
    <row r="355" spans="3:5" x14ac:dyDescent="0.35">
      <c r="C355" s="1" t="s">
        <v>4203</v>
      </c>
      <c r="D355" s="1" t="s">
        <v>19</v>
      </c>
      <c r="E355" s="250">
        <v>6430.2309999999998</v>
      </c>
    </row>
    <row r="356" spans="3:5" x14ac:dyDescent="0.35">
      <c r="C356" s="1" t="s">
        <v>4202</v>
      </c>
      <c r="D356" s="1" t="s">
        <v>19</v>
      </c>
      <c r="E356" s="250">
        <v>6430.232</v>
      </c>
    </row>
    <row r="357" spans="3:5" x14ac:dyDescent="0.35">
      <c r="C357" s="1" t="s">
        <v>4201</v>
      </c>
      <c r="D357" s="1" t="s">
        <v>19</v>
      </c>
      <c r="E357" s="250">
        <v>6430.2330000000002</v>
      </c>
    </row>
    <row r="358" spans="3:5" x14ac:dyDescent="0.35">
      <c r="C358" s="1" t="s">
        <v>4200</v>
      </c>
      <c r="D358" s="1" t="s">
        <v>19</v>
      </c>
      <c r="E358" s="250">
        <v>6430.2340000000004</v>
      </c>
    </row>
    <row r="359" spans="3:5" x14ac:dyDescent="0.35">
      <c r="C359" s="1" t="s">
        <v>4199</v>
      </c>
      <c r="D359" s="1" t="s">
        <v>19</v>
      </c>
      <c r="E359" s="250">
        <v>6430.2349999999997</v>
      </c>
    </row>
    <row r="360" spans="3:5" x14ac:dyDescent="0.35">
      <c r="C360" s="1" t="s">
        <v>4198</v>
      </c>
      <c r="D360" s="1" t="s">
        <v>19</v>
      </c>
      <c r="E360" s="250">
        <v>6430.2359999999999</v>
      </c>
    </row>
    <row r="361" spans="3:5" x14ac:dyDescent="0.35">
      <c r="C361" s="1" t="s">
        <v>4197</v>
      </c>
      <c r="D361" s="1" t="s">
        <v>19</v>
      </c>
      <c r="E361" s="250">
        <v>6430.2370000000001</v>
      </c>
    </row>
    <row r="362" spans="3:5" x14ac:dyDescent="0.35">
      <c r="C362" s="1" t="s">
        <v>4196</v>
      </c>
      <c r="D362" s="1" t="s">
        <v>2329</v>
      </c>
      <c r="E362" s="250">
        <v>6430.3010000000004</v>
      </c>
    </row>
    <row r="363" spans="3:5" x14ac:dyDescent="0.35">
      <c r="C363" s="1" t="s">
        <v>4195</v>
      </c>
      <c r="D363" s="1" t="s">
        <v>2329</v>
      </c>
      <c r="E363" s="250">
        <v>6430.3019999999997</v>
      </c>
    </row>
    <row r="364" spans="3:5" x14ac:dyDescent="0.35">
      <c r="C364" s="1" t="s">
        <v>4194</v>
      </c>
      <c r="D364" s="1" t="s">
        <v>2329</v>
      </c>
      <c r="E364" s="250">
        <v>6430.3029999999999</v>
      </c>
    </row>
    <row r="365" spans="3:5" x14ac:dyDescent="0.35">
      <c r="C365" s="1" t="s">
        <v>4193</v>
      </c>
      <c r="D365" s="1" t="s">
        <v>2329</v>
      </c>
      <c r="E365" s="250">
        <v>6430.3040000000001</v>
      </c>
    </row>
    <row r="366" spans="3:5" x14ac:dyDescent="0.35">
      <c r="C366" s="1" t="s">
        <v>4192</v>
      </c>
      <c r="D366" s="1" t="s">
        <v>2329</v>
      </c>
      <c r="E366" s="250">
        <v>6430.3050000000003</v>
      </c>
    </row>
    <row r="367" spans="3:5" x14ac:dyDescent="0.35">
      <c r="C367" s="1" t="s">
        <v>4191</v>
      </c>
      <c r="D367" s="1" t="s">
        <v>2329</v>
      </c>
      <c r="E367" s="250">
        <v>6430.3059999999996</v>
      </c>
    </row>
    <row r="368" spans="3:5" x14ac:dyDescent="0.35">
      <c r="C368" s="1" t="s">
        <v>4190</v>
      </c>
      <c r="D368" s="1" t="s">
        <v>2329</v>
      </c>
      <c r="E368" s="250">
        <v>6430.3069999999998</v>
      </c>
    </row>
    <row r="369" spans="3:5" x14ac:dyDescent="0.35">
      <c r="C369" s="1" t="s">
        <v>4189</v>
      </c>
      <c r="D369" s="1" t="s">
        <v>2329</v>
      </c>
      <c r="E369" s="250">
        <v>6430.308</v>
      </c>
    </row>
    <row r="370" spans="3:5" x14ac:dyDescent="0.35">
      <c r="C370" s="1" t="s">
        <v>4188</v>
      </c>
      <c r="D370" s="1" t="s">
        <v>2329</v>
      </c>
      <c r="E370" s="250">
        <v>6430.3090000000002</v>
      </c>
    </row>
    <row r="371" spans="3:5" x14ac:dyDescent="0.35">
      <c r="C371" s="1" t="s">
        <v>4187</v>
      </c>
      <c r="D371" s="1" t="s">
        <v>2329</v>
      </c>
      <c r="E371" s="250">
        <v>6430.3109999999997</v>
      </c>
    </row>
    <row r="372" spans="3:5" x14ac:dyDescent="0.35">
      <c r="C372" s="1" t="s">
        <v>4186</v>
      </c>
      <c r="D372" s="1" t="s">
        <v>2329</v>
      </c>
      <c r="E372" s="250">
        <v>6430.3119999999999</v>
      </c>
    </row>
    <row r="373" spans="3:5" x14ac:dyDescent="0.35">
      <c r="C373" s="1" t="s">
        <v>4185</v>
      </c>
      <c r="D373" s="1" t="s">
        <v>2329</v>
      </c>
      <c r="E373" s="250">
        <v>6430.3130000000001</v>
      </c>
    </row>
    <row r="374" spans="3:5" x14ac:dyDescent="0.35">
      <c r="C374" s="1" t="s">
        <v>4184</v>
      </c>
      <c r="D374" s="1" t="s">
        <v>2329</v>
      </c>
      <c r="E374" s="250">
        <v>6430.3140000000003</v>
      </c>
    </row>
    <row r="375" spans="3:5" x14ac:dyDescent="0.35">
      <c r="C375" s="1" t="s">
        <v>4183</v>
      </c>
      <c r="D375" s="1" t="s">
        <v>2329</v>
      </c>
      <c r="E375" s="250">
        <v>6430.3149999999996</v>
      </c>
    </row>
    <row r="376" spans="3:5" x14ac:dyDescent="0.35">
      <c r="C376" s="1" t="s">
        <v>4182</v>
      </c>
      <c r="D376" s="1" t="s">
        <v>2329</v>
      </c>
      <c r="E376" s="250">
        <v>6430.3159999999998</v>
      </c>
    </row>
    <row r="377" spans="3:5" x14ac:dyDescent="0.35">
      <c r="C377" s="1" t="s">
        <v>4181</v>
      </c>
      <c r="D377" s="1" t="s">
        <v>2329</v>
      </c>
      <c r="E377" s="250">
        <v>6430.317</v>
      </c>
    </row>
    <row r="378" spans="3:5" x14ac:dyDescent="0.35">
      <c r="C378" s="1" t="s">
        <v>4180</v>
      </c>
      <c r="D378" s="1" t="s">
        <v>2329</v>
      </c>
      <c r="E378" s="250">
        <v>6430.3180000000002</v>
      </c>
    </row>
    <row r="379" spans="3:5" x14ac:dyDescent="0.35">
      <c r="C379" s="1" t="s">
        <v>4179</v>
      </c>
      <c r="D379" s="1" t="s">
        <v>2329</v>
      </c>
      <c r="E379" s="250">
        <v>6430.3190000000004</v>
      </c>
    </row>
    <row r="380" spans="3:5" x14ac:dyDescent="0.35">
      <c r="C380" s="1" t="s">
        <v>4178</v>
      </c>
      <c r="D380" s="1" t="s">
        <v>2329</v>
      </c>
      <c r="E380" s="250">
        <v>6430.3209999999999</v>
      </c>
    </row>
    <row r="381" spans="3:5" x14ac:dyDescent="0.35">
      <c r="C381" s="1" t="s">
        <v>4177</v>
      </c>
      <c r="D381" s="1" t="s">
        <v>2329</v>
      </c>
      <c r="E381" s="250">
        <v>6430.3220000000001</v>
      </c>
    </row>
    <row r="382" spans="3:5" x14ac:dyDescent="0.35">
      <c r="C382" s="1" t="s">
        <v>4176</v>
      </c>
      <c r="D382" s="1" t="s">
        <v>2329</v>
      </c>
      <c r="E382" s="250">
        <v>6430.3230000000003</v>
      </c>
    </row>
    <row r="383" spans="3:5" x14ac:dyDescent="0.35">
      <c r="C383" s="1" t="s">
        <v>4175</v>
      </c>
      <c r="D383" s="1" t="s">
        <v>2329</v>
      </c>
      <c r="E383" s="250">
        <v>6430.3239999999996</v>
      </c>
    </row>
    <row r="384" spans="3:5" x14ac:dyDescent="0.35">
      <c r="C384" s="1" t="s">
        <v>4174</v>
      </c>
      <c r="D384" s="1" t="s">
        <v>2329</v>
      </c>
      <c r="E384" s="250">
        <v>6430.3249999999998</v>
      </c>
    </row>
    <row r="385" spans="3:5" x14ac:dyDescent="0.35">
      <c r="C385" s="1" t="s">
        <v>4173</v>
      </c>
      <c r="D385" s="1" t="s">
        <v>2329</v>
      </c>
      <c r="E385" s="250">
        <v>6430.326</v>
      </c>
    </row>
    <row r="386" spans="3:5" x14ac:dyDescent="0.35">
      <c r="C386" s="1" t="s">
        <v>4172</v>
      </c>
      <c r="D386" s="1" t="s">
        <v>2329</v>
      </c>
      <c r="E386" s="250">
        <v>6430.3270000000002</v>
      </c>
    </row>
    <row r="387" spans="3:5" x14ac:dyDescent="0.35">
      <c r="C387" s="1" t="s">
        <v>4171</v>
      </c>
      <c r="D387" s="1" t="s">
        <v>2329</v>
      </c>
      <c r="E387" s="250">
        <v>6430.3280000000004</v>
      </c>
    </row>
    <row r="388" spans="3:5" x14ac:dyDescent="0.35">
      <c r="C388" s="1" t="s">
        <v>4170</v>
      </c>
      <c r="D388" s="1" t="s">
        <v>2329</v>
      </c>
      <c r="E388" s="250">
        <v>6430.3289999999997</v>
      </c>
    </row>
    <row r="389" spans="3:5" x14ac:dyDescent="0.35">
      <c r="C389" s="1" t="s">
        <v>4169</v>
      </c>
      <c r="D389" s="1" t="s">
        <v>2329</v>
      </c>
      <c r="E389" s="250">
        <v>6430.3310000000001</v>
      </c>
    </row>
    <row r="390" spans="3:5" x14ac:dyDescent="0.35">
      <c r="C390" s="1" t="s">
        <v>4168</v>
      </c>
      <c r="D390" s="1" t="s">
        <v>2329</v>
      </c>
      <c r="E390" s="250">
        <v>6430.3320000000003</v>
      </c>
    </row>
    <row r="391" spans="3:5" x14ac:dyDescent="0.35">
      <c r="C391" s="1" t="s">
        <v>4167</v>
      </c>
      <c r="D391" s="1" t="s">
        <v>2329</v>
      </c>
      <c r="E391" s="250">
        <v>6430.3329999999996</v>
      </c>
    </row>
    <row r="392" spans="3:5" x14ac:dyDescent="0.35">
      <c r="C392" s="1" t="s">
        <v>4166</v>
      </c>
      <c r="D392" s="1" t="s">
        <v>2329</v>
      </c>
      <c r="E392" s="250">
        <v>6430.3339999999998</v>
      </c>
    </row>
    <row r="393" spans="3:5" x14ac:dyDescent="0.35">
      <c r="C393" s="1" t="s">
        <v>4165</v>
      </c>
      <c r="D393" s="1" t="s">
        <v>2329</v>
      </c>
      <c r="E393" s="250">
        <v>6430.335</v>
      </c>
    </row>
    <row r="394" spans="3:5" x14ac:dyDescent="0.35">
      <c r="C394" s="1" t="s">
        <v>4164</v>
      </c>
      <c r="D394" s="1" t="s">
        <v>2329</v>
      </c>
      <c r="E394" s="250">
        <v>6430.3360000000002</v>
      </c>
    </row>
    <row r="395" spans="3:5" x14ac:dyDescent="0.35">
      <c r="C395" s="1" t="s">
        <v>4163</v>
      </c>
      <c r="D395" s="1" t="s">
        <v>2329</v>
      </c>
      <c r="E395" s="250">
        <v>6430.3370000000004</v>
      </c>
    </row>
    <row r="396" spans="3:5" x14ac:dyDescent="0.35">
      <c r="C396" s="1" t="s">
        <v>4162</v>
      </c>
      <c r="D396" s="1" t="s">
        <v>2329</v>
      </c>
      <c r="E396" s="250">
        <v>6430.3379999999997</v>
      </c>
    </row>
    <row r="397" spans="3:5" x14ac:dyDescent="0.35">
      <c r="C397" s="1" t="s">
        <v>4161</v>
      </c>
      <c r="D397" s="1" t="s">
        <v>2329</v>
      </c>
      <c r="E397" s="250">
        <v>6430.3389999999999</v>
      </c>
    </row>
    <row r="398" spans="3:5" x14ac:dyDescent="0.35">
      <c r="C398" s="1" t="s">
        <v>4160</v>
      </c>
      <c r="D398" s="1" t="s">
        <v>2329</v>
      </c>
      <c r="E398" s="250">
        <v>6430.3410000000003</v>
      </c>
    </row>
    <row r="399" spans="3:5" x14ac:dyDescent="0.35">
      <c r="C399" s="1" t="s">
        <v>4159</v>
      </c>
      <c r="D399" s="1" t="s">
        <v>2329</v>
      </c>
      <c r="E399" s="250">
        <v>6430.3419999999996</v>
      </c>
    </row>
    <row r="400" spans="3:5" x14ac:dyDescent="0.35">
      <c r="C400" s="1" t="s">
        <v>4158</v>
      </c>
      <c r="D400" s="1" t="s">
        <v>2329</v>
      </c>
      <c r="E400" s="250">
        <v>6430.3429999999998</v>
      </c>
    </row>
    <row r="401" spans="3:5" x14ac:dyDescent="0.35">
      <c r="C401" s="1" t="s">
        <v>4157</v>
      </c>
      <c r="D401" s="1" t="s">
        <v>2329</v>
      </c>
      <c r="E401" s="250">
        <v>6430.3440000000001</v>
      </c>
    </row>
    <row r="402" spans="3:5" x14ac:dyDescent="0.35">
      <c r="C402" s="1" t="s">
        <v>4156</v>
      </c>
      <c r="D402" s="1" t="s">
        <v>2329</v>
      </c>
      <c r="E402" s="250">
        <v>6430.3450000000003</v>
      </c>
    </row>
    <row r="403" spans="3:5" x14ac:dyDescent="0.35">
      <c r="C403" s="1" t="s">
        <v>4155</v>
      </c>
      <c r="D403" s="1" t="s">
        <v>2329</v>
      </c>
      <c r="E403" s="250">
        <v>6430.3459999999995</v>
      </c>
    </row>
    <row r="404" spans="3:5" x14ac:dyDescent="0.35">
      <c r="C404" s="1" t="s">
        <v>4154</v>
      </c>
      <c r="D404" s="1" t="s">
        <v>2329</v>
      </c>
      <c r="E404" s="250">
        <v>6430.3469999999998</v>
      </c>
    </row>
    <row r="405" spans="3:5" x14ac:dyDescent="0.35">
      <c r="C405" s="1" t="s">
        <v>4153</v>
      </c>
      <c r="D405" s="1" t="s">
        <v>2329</v>
      </c>
      <c r="E405" s="250">
        <v>6430.348</v>
      </c>
    </row>
    <row r="406" spans="3:5" x14ac:dyDescent="0.35">
      <c r="C406" s="1" t="s">
        <v>4152</v>
      </c>
      <c r="D406" s="1" t="s">
        <v>2329</v>
      </c>
      <c r="E406" s="250">
        <v>6430.3490000000002</v>
      </c>
    </row>
    <row r="407" spans="3:5" x14ac:dyDescent="0.35">
      <c r="C407" s="1" t="s">
        <v>4151</v>
      </c>
      <c r="D407" s="1" t="s">
        <v>2329</v>
      </c>
      <c r="E407" s="250">
        <v>6430.3509999999997</v>
      </c>
    </row>
    <row r="408" spans="3:5" x14ac:dyDescent="0.35">
      <c r="C408" s="1" t="s">
        <v>4150</v>
      </c>
      <c r="D408" s="1" t="s">
        <v>2329</v>
      </c>
      <c r="E408" s="250">
        <v>6430.3519999999999</v>
      </c>
    </row>
    <row r="409" spans="3:5" x14ac:dyDescent="0.35">
      <c r="C409" s="1" t="s">
        <v>4149</v>
      </c>
      <c r="D409" s="1" t="s">
        <v>2329</v>
      </c>
      <c r="E409" s="250">
        <v>6430.3530000000001</v>
      </c>
    </row>
    <row r="410" spans="3:5" x14ac:dyDescent="0.35">
      <c r="C410" s="1" t="s">
        <v>4148</v>
      </c>
      <c r="D410" s="1" t="s">
        <v>2329</v>
      </c>
      <c r="E410" s="250">
        <v>6430.3540000000003</v>
      </c>
    </row>
    <row r="411" spans="3:5" x14ac:dyDescent="0.35">
      <c r="C411" s="1" t="s">
        <v>4147</v>
      </c>
      <c r="D411" s="1" t="s">
        <v>2329</v>
      </c>
      <c r="E411" s="250">
        <v>6430.3549999999996</v>
      </c>
    </row>
    <row r="412" spans="3:5" x14ac:dyDescent="0.35">
      <c r="C412" s="1" t="s">
        <v>4146</v>
      </c>
      <c r="D412" s="1" t="s">
        <v>2329</v>
      </c>
      <c r="E412" s="250">
        <v>6430.3559999999998</v>
      </c>
    </row>
    <row r="413" spans="3:5" x14ac:dyDescent="0.35">
      <c r="C413" s="1" t="s">
        <v>4145</v>
      </c>
      <c r="D413" s="1" t="s">
        <v>2329</v>
      </c>
      <c r="E413" s="250">
        <v>6430.357</v>
      </c>
    </row>
    <row r="414" spans="3:5" x14ac:dyDescent="0.35">
      <c r="C414" s="1" t="s">
        <v>4144</v>
      </c>
      <c r="D414" s="1" t="s">
        <v>2329</v>
      </c>
      <c r="E414" s="250">
        <v>6430.3580000000002</v>
      </c>
    </row>
    <row r="415" spans="3:5" x14ac:dyDescent="0.35">
      <c r="C415" s="1" t="s">
        <v>4143</v>
      </c>
      <c r="D415" s="1" t="s">
        <v>2329</v>
      </c>
      <c r="E415" s="250">
        <v>6430.3590000000004</v>
      </c>
    </row>
    <row r="416" spans="3:5" x14ac:dyDescent="0.35">
      <c r="C416" s="1" t="s">
        <v>4142</v>
      </c>
      <c r="D416" s="1" t="s">
        <v>2329</v>
      </c>
      <c r="E416" s="250">
        <v>6430.3609999999999</v>
      </c>
    </row>
    <row r="417" spans="3:5" x14ac:dyDescent="0.35">
      <c r="C417" s="1" t="s">
        <v>4141</v>
      </c>
      <c r="D417" s="1" t="s">
        <v>2329</v>
      </c>
      <c r="E417" s="250">
        <v>6430.3620000000001</v>
      </c>
    </row>
    <row r="418" spans="3:5" x14ac:dyDescent="0.35">
      <c r="C418" s="1" t="s">
        <v>4140</v>
      </c>
      <c r="D418" s="1" t="s">
        <v>2329</v>
      </c>
      <c r="E418" s="250">
        <v>6430.3630000000003</v>
      </c>
    </row>
    <row r="419" spans="3:5" x14ac:dyDescent="0.35">
      <c r="C419" s="1" t="s">
        <v>4139</v>
      </c>
      <c r="D419" s="1" t="s">
        <v>2329</v>
      </c>
      <c r="E419" s="250">
        <v>6430.3639999999996</v>
      </c>
    </row>
    <row r="420" spans="3:5" x14ac:dyDescent="0.35">
      <c r="C420" s="1" t="s">
        <v>4138</v>
      </c>
      <c r="D420" s="1" t="s">
        <v>2329</v>
      </c>
      <c r="E420" s="250">
        <v>6430.3649999999998</v>
      </c>
    </row>
    <row r="421" spans="3:5" x14ac:dyDescent="0.35">
      <c r="C421" s="1" t="s">
        <v>4137</v>
      </c>
      <c r="D421" s="1" t="s">
        <v>2329</v>
      </c>
      <c r="E421" s="250">
        <v>6430.366</v>
      </c>
    </row>
    <row r="422" spans="3:5" x14ac:dyDescent="0.35">
      <c r="C422" s="1" t="s">
        <v>4136</v>
      </c>
      <c r="D422" s="1" t="s">
        <v>2329</v>
      </c>
      <c r="E422" s="250">
        <v>6430.3670000000002</v>
      </c>
    </row>
    <row r="423" spans="3:5" x14ac:dyDescent="0.35">
      <c r="C423" s="1" t="s">
        <v>4135</v>
      </c>
      <c r="D423" s="1" t="s">
        <v>2329</v>
      </c>
      <c r="E423" s="250">
        <v>6430.3680000000004</v>
      </c>
    </row>
    <row r="424" spans="3:5" x14ac:dyDescent="0.35">
      <c r="C424" s="1" t="s">
        <v>4134</v>
      </c>
      <c r="D424" s="1" t="s">
        <v>2329</v>
      </c>
      <c r="E424" s="250">
        <v>6430.3689999999997</v>
      </c>
    </row>
    <row r="425" spans="3:5" x14ac:dyDescent="0.35">
      <c r="C425" s="1" t="s">
        <v>4133</v>
      </c>
      <c r="D425" s="1" t="s">
        <v>2329</v>
      </c>
      <c r="E425" s="250">
        <v>6430.4009999999998</v>
      </c>
    </row>
    <row r="426" spans="3:5" x14ac:dyDescent="0.35">
      <c r="C426" s="1" t="s">
        <v>4132</v>
      </c>
      <c r="D426" s="1" t="s">
        <v>2329</v>
      </c>
      <c r="E426" s="250">
        <v>6430.402</v>
      </c>
    </row>
    <row r="427" spans="3:5" x14ac:dyDescent="0.35">
      <c r="C427" s="1" t="s">
        <v>4131</v>
      </c>
      <c r="D427" s="1" t="s">
        <v>2329</v>
      </c>
      <c r="E427" s="250">
        <v>6430.4030000000002</v>
      </c>
    </row>
    <row r="428" spans="3:5" x14ac:dyDescent="0.35">
      <c r="C428" s="1" t="s">
        <v>4130</v>
      </c>
      <c r="D428" s="1" t="s">
        <v>2329</v>
      </c>
      <c r="E428" s="250">
        <v>6430.4040000000005</v>
      </c>
    </row>
    <row r="429" spans="3:5" x14ac:dyDescent="0.35">
      <c r="C429" s="1" t="s">
        <v>4129</v>
      </c>
      <c r="D429" s="1" t="s">
        <v>2329</v>
      </c>
      <c r="E429" s="250">
        <v>6430.4049999999997</v>
      </c>
    </row>
    <row r="430" spans="3:5" x14ac:dyDescent="0.35">
      <c r="C430" s="1" t="s">
        <v>4128</v>
      </c>
      <c r="D430" s="1" t="s">
        <v>2329</v>
      </c>
      <c r="E430" s="250">
        <v>6430.4059999999999</v>
      </c>
    </row>
    <row r="431" spans="3:5" x14ac:dyDescent="0.35">
      <c r="C431" s="1" t="s">
        <v>4127</v>
      </c>
      <c r="D431" s="1" t="s">
        <v>2329</v>
      </c>
      <c r="E431" s="250">
        <v>6430.4070000000002</v>
      </c>
    </row>
    <row r="432" spans="3:5" x14ac:dyDescent="0.35">
      <c r="C432" s="1" t="s">
        <v>4126</v>
      </c>
      <c r="D432" s="1" t="s">
        <v>2329</v>
      </c>
      <c r="E432" s="250">
        <v>6430.4080000000004</v>
      </c>
    </row>
    <row r="433" spans="3:5" x14ac:dyDescent="0.35">
      <c r="C433" s="1" t="s">
        <v>4125</v>
      </c>
      <c r="D433" s="1" t="s">
        <v>2329</v>
      </c>
      <c r="E433" s="250">
        <v>6430.4089999999997</v>
      </c>
    </row>
    <row r="434" spans="3:5" x14ac:dyDescent="0.35">
      <c r="C434" s="1" t="s">
        <v>4124</v>
      </c>
      <c r="D434" s="1" t="s">
        <v>2329</v>
      </c>
      <c r="E434" s="250">
        <v>6430.4110000000001</v>
      </c>
    </row>
    <row r="435" spans="3:5" x14ac:dyDescent="0.35">
      <c r="C435" s="1" t="s">
        <v>4123</v>
      </c>
      <c r="D435" s="1" t="s">
        <v>2329</v>
      </c>
      <c r="E435" s="250">
        <v>6430.4120000000003</v>
      </c>
    </row>
    <row r="436" spans="3:5" x14ac:dyDescent="0.35">
      <c r="C436" s="1" t="s">
        <v>4122</v>
      </c>
      <c r="D436" s="1" t="s">
        <v>2329</v>
      </c>
      <c r="E436" s="250">
        <v>6430.4129999999996</v>
      </c>
    </row>
    <row r="437" spans="3:5" x14ac:dyDescent="0.35">
      <c r="C437" s="1" t="s">
        <v>4121</v>
      </c>
      <c r="D437" s="1" t="s">
        <v>2329</v>
      </c>
      <c r="E437" s="250">
        <v>6430.4139999999998</v>
      </c>
    </row>
    <row r="438" spans="3:5" x14ac:dyDescent="0.35">
      <c r="C438" s="1" t="s">
        <v>4120</v>
      </c>
      <c r="D438" s="1" t="s">
        <v>2329</v>
      </c>
      <c r="E438" s="250">
        <v>6430.415</v>
      </c>
    </row>
    <row r="439" spans="3:5" x14ac:dyDescent="0.35">
      <c r="C439" s="1" t="s">
        <v>4119</v>
      </c>
      <c r="D439" s="1" t="s">
        <v>2329</v>
      </c>
      <c r="E439" s="250">
        <v>6430.4160000000002</v>
      </c>
    </row>
    <row r="440" spans="3:5" x14ac:dyDescent="0.35">
      <c r="C440" s="1" t="s">
        <v>4118</v>
      </c>
      <c r="D440" s="1" t="s">
        <v>2329</v>
      </c>
      <c r="E440" s="250">
        <v>6430.4170000000004</v>
      </c>
    </row>
    <row r="441" spans="3:5" x14ac:dyDescent="0.35">
      <c r="C441" s="1" t="s">
        <v>4117</v>
      </c>
      <c r="D441" s="1" t="s">
        <v>2329</v>
      </c>
      <c r="E441" s="250">
        <v>6430.4179999999997</v>
      </c>
    </row>
    <row r="442" spans="3:5" x14ac:dyDescent="0.35">
      <c r="C442" s="1" t="s">
        <v>4116</v>
      </c>
      <c r="D442" s="1" t="s">
        <v>2329</v>
      </c>
      <c r="E442" s="250">
        <v>6430.4189999999999</v>
      </c>
    </row>
    <row r="443" spans="3:5" x14ac:dyDescent="0.35">
      <c r="C443" s="1" t="s">
        <v>4115</v>
      </c>
      <c r="D443" s="1" t="s">
        <v>2329</v>
      </c>
      <c r="E443" s="250">
        <v>6430.4210000000003</v>
      </c>
    </row>
    <row r="444" spans="3:5" x14ac:dyDescent="0.35">
      <c r="C444" s="1" t="s">
        <v>4114</v>
      </c>
      <c r="D444" s="1" t="s">
        <v>2329</v>
      </c>
      <c r="E444" s="250">
        <v>6430.4219999999996</v>
      </c>
    </row>
    <row r="445" spans="3:5" x14ac:dyDescent="0.35">
      <c r="C445" s="1" t="s">
        <v>4113</v>
      </c>
      <c r="D445" s="1" t="s">
        <v>2329</v>
      </c>
      <c r="E445" s="250">
        <v>6430.4229999999998</v>
      </c>
    </row>
    <row r="446" spans="3:5" x14ac:dyDescent="0.35">
      <c r="C446" s="1" t="s">
        <v>4112</v>
      </c>
      <c r="D446" s="1" t="s">
        <v>2329</v>
      </c>
      <c r="E446" s="250">
        <v>6430.424</v>
      </c>
    </row>
    <row r="447" spans="3:5" x14ac:dyDescent="0.35">
      <c r="C447" s="1" t="s">
        <v>4111</v>
      </c>
      <c r="D447" s="1" t="s">
        <v>2329</v>
      </c>
      <c r="E447" s="250">
        <v>6430.4250000000002</v>
      </c>
    </row>
    <row r="448" spans="3:5" x14ac:dyDescent="0.35">
      <c r="C448" s="1" t="s">
        <v>4110</v>
      </c>
      <c r="D448" s="1" t="s">
        <v>2329</v>
      </c>
      <c r="E448" s="250">
        <v>6430.4260000000004</v>
      </c>
    </row>
    <row r="449" spans="3:5" x14ac:dyDescent="0.35">
      <c r="C449" s="1" t="s">
        <v>4109</v>
      </c>
      <c r="D449" s="1" t="s">
        <v>2329</v>
      </c>
      <c r="E449" s="250">
        <v>6430.4269999999997</v>
      </c>
    </row>
    <row r="450" spans="3:5" x14ac:dyDescent="0.35">
      <c r="C450" s="1" t="s">
        <v>4108</v>
      </c>
      <c r="D450" s="1" t="s">
        <v>2329</v>
      </c>
      <c r="E450" s="250">
        <v>6430.4279999999999</v>
      </c>
    </row>
    <row r="451" spans="3:5" x14ac:dyDescent="0.35">
      <c r="C451" s="1" t="s">
        <v>4107</v>
      </c>
      <c r="D451" s="1" t="s">
        <v>2329</v>
      </c>
      <c r="E451" s="250">
        <v>6430.4290000000001</v>
      </c>
    </row>
    <row r="452" spans="3:5" x14ac:dyDescent="0.35">
      <c r="C452" s="1" t="s">
        <v>4106</v>
      </c>
      <c r="D452" s="1" t="s">
        <v>2329</v>
      </c>
      <c r="E452" s="250">
        <v>6430.4309999999996</v>
      </c>
    </row>
    <row r="453" spans="3:5" x14ac:dyDescent="0.35">
      <c r="C453" s="1" t="s">
        <v>4105</v>
      </c>
      <c r="D453" s="1" t="s">
        <v>2329</v>
      </c>
      <c r="E453" s="250">
        <v>6430.4319999999998</v>
      </c>
    </row>
    <row r="454" spans="3:5" x14ac:dyDescent="0.35">
      <c r="C454" s="1" t="s">
        <v>4104</v>
      </c>
      <c r="D454" s="1" t="s">
        <v>2329</v>
      </c>
      <c r="E454" s="250">
        <v>6430.433</v>
      </c>
    </row>
    <row r="455" spans="3:5" x14ac:dyDescent="0.35">
      <c r="C455" s="1" t="s">
        <v>4103</v>
      </c>
      <c r="D455" s="1" t="s">
        <v>2329</v>
      </c>
      <c r="E455" s="250">
        <v>6430.4340000000002</v>
      </c>
    </row>
    <row r="456" spans="3:5" x14ac:dyDescent="0.35">
      <c r="C456" s="1" t="s">
        <v>4102</v>
      </c>
      <c r="D456" s="1" t="s">
        <v>2329</v>
      </c>
      <c r="E456" s="250">
        <v>6430.4350000000004</v>
      </c>
    </row>
    <row r="457" spans="3:5" x14ac:dyDescent="0.35">
      <c r="C457" s="1" t="s">
        <v>4101</v>
      </c>
      <c r="D457" s="1" t="s">
        <v>2329</v>
      </c>
      <c r="E457" s="250">
        <v>6430.4359999999997</v>
      </c>
    </row>
    <row r="458" spans="3:5" x14ac:dyDescent="0.35">
      <c r="C458" s="1" t="s">
        <v>4100</v>
      </c>
      <c r="D458" s="1" t="s">
        <v>2329</v>
      </c>
      <c r="E458" s="250">
        <v>6430.4369999999999</v>
      </c>
    </row>
    <row r="459" spans="3:5" x14ac:dyDescent="0.35">
      <c r="C459" s="1" t="s">
        <v>4099</v>
      </c>
      <c r="D459" s="1" t="s">
        <v>2329</v>
      </c>
      <c r="E459" s="250">
        <v>6430.4380000000001</v>
      </c>
    </row>
    <row r="460" spans="3:5" x14ac:dyDescent="0.35">
      <c r="C460" s="1" t="s">
        <v>4098</v>
      </c>
      <c r="D460" s="1" t="s">
        <v>2329</v>
      </c>
      <c r="E460" s="250">
        <v>6430.4390000000003</v>
      </c>
    </row>
    <row r="461" spans="3:5" x14ac:dyDescent="0.35">
      <c r="C461" s="1" t="s">
        <v>4097</v>
      </c>
      <c r="D461" s="1" t="s">
        <v>2329</v>
      </c>
      <c r="E461" s="250">
        <v>6430.4409999999998</v>
      </c>
    </row>
    <row r="462" spans="3:5" x14ac:dyDescent="0.35">
      <c r="C462" s="1" t="s">
        <v>4096</v>
      </c>
      <c r="D462" s="1" t="s">
        <v>2329</v>
      </c>
      <c r="E462" s="250">
        <v>6430.442</v>
      </c>
    </row>
    <row r="463" spans="3:5" x14ac:dyDescent="0.35">
      <c r="C463" s="1" t="s">
        <v>4095</v>
      </c>
      <c r="D463" s="1" t="s">
        <v>2329</v>
      </c>
      <c r="E463" s="250">
        <v>6430.4430000000002</v>
      </c>
    </row>
    <row r="464" spans="3:5" x14ac:dyDescent="0.35">
      <c r="C464" s="1" t="s">
        <v>4094</v>
      </c>
      <c r="D464" s="1" t="s">
        <v>2329</v>
      </c>
      <c r="E464" s="250">
        <v>6430.4440000000004</v>
      </c>
    </row>
    <row r="465" spans="3:5" x14ac:dyDescent="0.35">
      <c r="C465" s="1" t="s">
        <v>4093</v>
      </c>
      <c r="D465" s="1" t="s">
        <v>2329</v>
      </c>
      <c r="E465" s="250">
        <v>6430.4449999999997</v>
      </c>
    </row>
    <row r="466" spans="3:5" x14ac:dyDescent="0.35">
      <c r="C466" s="1" t="s">
        <v>4092</v>
      </c>
      <c r="D466" s="1" t="s">
        <v>2329</v>
      </c>
      <c r="E466" s="250">
        <v>6430.4459999999999</v>
      </c>
    </row>
    <row r="467" spans="3:5" x14ac:dyDescent="0.35">
      <c r="C467" s="1" t="s">
        <v>4091</v>
      </c>
      <c r="D467" s="1" t="s">
        <v>2329</v>
      </c>
      <c r="E467" s="250">
        <v>6430.4470000000001</v>
      </c>
    </row>
    <row r="468" spans="3:5" x14ac:dyDescent="0.35">
      <c r="C468" s="1" t="s">
        <v>4090</v>
      </c>
      <c r="D468" s="1" t="s">
        <v>2329</v>
      </c>
      <c r="E468" s="250">
        <v>6430.4480000000003</v>
      </c>
    </row>
    <row r="469" spans="3:5" x14ac:dyDescent="0.35">
      <c r="C469" s="1" t="s">
        <v>4089</v>
      </c>
      <c r="D469" s="1" t="s">
        <v>2329</v>
      </c>
      <c r="E469" s="250">
        <v>6430.4489999999996</v>
      </c>
    </row>
    <row r="470" spans="3:5" x14ac:dyDescent="0.35">
      <c r="C470" s="1" t="s">
        <v>4088</v>
      </c>
      <c r="D470" s="1" t="s">
        <v>2329</v>
      </c>
      <c r="E470" s="250">
        <v>6430.451</v>
      </c>
    </row>
    <row r="471" spans="3:5" x14ac:dyDescent="0.35">
      <c r="C471" s="1" t="s">
        <v>4087</v>
      </c>
      <c r="D471" s="1" t="s">
        <v>2329</v>
      </c>
      <c r="E471" s="250">
        <v>6430.4520000000002</v>
      </c>
    </row>
    <row r="472" spans="3:5" x14ac:dyDescent="0.35">
      <c r="C472" s="1" t="s">
        <v>4086</v>
      </c>
      <c r="D472" s="1" t="s">
        <v>2329</v>
      </c>
      <c r="E472" s="250">
        <v>6430.4530000000004</v>
      </c>
    </row>
    <row r="473" spans="3:5" x14ac:dyDescent="0.35">
      <c r="C473" s="1" t="s">
        <v>4085</v>
      </c>
      <c r="D473" s="1" t="s">
        <v>2329</v>
      </c>
      <c r="E473" s="250">
        <v>6430.4539999999997</v>
      </c>
    </row>
    <row r="474" spans="3:5" x14ac:dyDescent="0.35">
      <c r="C474" s="1" t="s">
        <v>4084</v>
      </c>
      <c r="D474" s="1" t="s">
        <v>2329</v>
      </c>
      <c r="E474" s="250">
        <v>6430.4549999999999</v>
      </c>
    </row>
    <row r="475" spans="3:5" x14ac:dyDescent="0.35">
      <c r="C475" s="1" t="s">
        <v>4083</v>
      </c>
      <c r="D475" s="1" t="s">
        <v>2329</v>
      </c>
      <c r="E475" s="250">
        <v>6430.4560000000001</v>
      </c>
    </row>
    <row r="476" spans="3:5" x14ac:dyDescent="0.35">
      <c r="C476" s="1" t="s">
        <v>4082</v>
      </c>
      <c r="D476" s="1" t="s">
        <v>2329</v>
      </c>
      <c r="E476" s="250">
        <v>6430.4570000000003</v>
      </c>
    </row>
    <row r="477" spans="3:5" x14ac:dyDescent="0.35">
      <c r="C477" s="1" t="s">
        <v>4081</v>
      </c>
      <c r="D477" s="1" t="s">
        <v>2329</v>
      </c>
      <c r="E477" s="250">
        <v>6430.4579999999996</v>
      </c>
    </row>
    <row r="478" spans="3:5" x14ac:dyDescent="0.35">
      <c r="C478" s="1" t="s">
        <v>4080</v>
      </c>
      <c r="D478" s="1" t="s">
        <v>2329</v>
      </c>
      <c r="E478" s="250">
        <v>6430.4589999999998</v>
      </c>
    </row>
    <row r="479" spans="3:5" x14ac:dyDescent="0.35">
      <c r="C479" s="1" t="s">
        <v>4079</v>
      </c>
      <c r="D479" s="1" t="s">
        <v>2329</v>
      </c>
      <c r="E479" s="250">
        <v>6430.4610000000002</v>
      </c>
    </row>
    <row r="480" spans="3:5" x14ac:dyDescent="0.35">
      <c r="C480" s="1" t="s">
        <v>4078</v>
      </c>
      <c r="D480" s="1" t="s">
        <v>2329</v>
      </c>
      <c r="E480" s="250">
        <v>6430.4620000000004</v>
      </c>
    </row>
    <row r="481" spans="3:5" x14ac:dyDescent="0.35">
      <c r="C481" s="1" t="s">
        <v>4077</v>
      </c>
      <c r="D481" s="1" t="s">
        <v>2329</v>
      </c>
      <c r="E481" s="250">
        <v>6430.4629999999997</v>
      </c>
    </row>
    <row r="482" spans="3:5" x14ac:dyDescent="0.35">
      <c r="C482" s="1" t="s">
        <v>4076</v>
      </c>
      <c r="D482" s="1" t="s">
        <v>2329</v>
      </c>
      <c r="E482" s="250">
        <v>6430.4639999999999</v>
      </c>
    </row>
    <row r="483" spans="3:5" x14ac:dyDescent="0.35">
      <c r="C483" s="1" t="s">
        <v>4075</v>
      </c>
      <c r="D483" s="1" t="s">
        <v>2329</v>
      </c>
      <c r="E483" s="250">
        <v>6430.4650000000001</v>
      </c>
    </row>
    <row r="484" spans="3:5" x14ac:dyDescent="0.35">
      <c r="C484" s="1" t="s">
        <v>4074</v>
      </c>
      <c r="D484" s="1" t="s">
        <v>2329</v>
      </c>
      <c r="E484" s="250">
        <v>6430.4660000000003</v>
      </c>
    </row>
    <row r="485" spans="3:5" x14ac:dyDescent="0.35">
      <c r="C485" s="1" t="s">
        <v>4073</v>
      </c>
      <c r="D485" s="1" t="s">
        <v>2329</v>
      </c>
      <c r="E485" s="250">
        <v>6430.4669999999996</v>
      </c>
    </row>
    <row r="486" spans="3:5" x14ac:dyDescent="0.35">
      <c r="C486" s="1" t="s">
        <v>4072</v>
      </c>
      <c r="D486" s="1" t="s">
        <v>2329</v>
      </c>
      <c r="E486" s="250">
        <v>6430.4679999999998</v>
      </c>
    </row>
    <row r="487" spans="3:5" x14ac:dyDescent="0.35">
      <c r="C487" s="1" t="s">
        <v>4071</v>
      </c>
      <c r="D487" s="1" t="s">
        <v>2329</v>
      </c>
      <c r="E487" s="250">
        <v>6430.4690000000001</v>
      </c>
    </row>
    <row r="488" spans="3:5" x14ac:dyDescent="0.35">
      <c r="C488" s="1" t="s">
        <v>4070</v>
      </c>
      <c r="D488" s="1" t="s">
        <v>2329</v>
      </c>
      <c r="E488" s="250">
        <v>6430.5010000000002</v>
      </c>
    </row>
    <row r="489" spans="3:5" x14ac:dyDescent="0.35">
      <c r="C489" s="1" t="s">
        <v>4069</v>
      </c>
      <c r="D489" s="1" t="s">
        <v>2329</v>
      </c>
      <c r="E489" s="250">
        <v>6430.5020000000004</v>
      </c>
    </row>
    <row r="490" spans="3:5" x14ac:dyDescent="0.35">
      <c r="C490" s="1" t="s">
        <v>4068</v>
      </c>
      <c r="D490" s="1" t="s">
        <v>2329</v>
      </c>
      <c r="E490" s="250">
        <v>6430.5029999999997</v>
      </c>
    </row>
    <row r="491" spans="3:5" x14ac:dyDescent="0.35">
      <c r="C491" s="1" t="s">
        <v>4067</v>
      </c>
      <c r="D491" s="1" t="s">
        <v>2329</v>
      </c>
      <c r="E491" s="250">
        <v>6430.5039999999999</v>
      </c>
    </row>
    <row r="492" spans="3:5" x14ac:dyDescent="0.35">
      <c r="C492" s="1" t="s">
        <v>4066</v>
      </c>
      <c r="D492" s="1" t="s">
        <v>2329</v>
      </c>
      <c r="E492" s="250">
        <v>6430.5050000000001</v>
      </c>
    </row>
    <row r="493" spans="3:5" x14ac:dyDescent="0.35">
      <c r="C493" s="1" t="s">
        <v>4065</v>
      </c>
      <c r="D493" s="1" t="s">
        <v>2329</v>
      </c>
      <c r="E493" s="250">
        <v>6430.5060000000003</v>
      </c>
    </row>
    <row r="494" spans="3:5" x14ac:dyDescent="0.35">
      <c r="C494" s="1" t="s">
        <v>4064</v>
      </c>
      <c r="D494" s="1" t="s">
        <v>2329</v>
      </c>
      <c r="E494" s="250">
        <v>6430.5069999999996</v>
      </c>
    </row>
    <row r="495" spans="3:5" x14ac:dyDescent="0.35">
      <c r="C495" s="1" t="s">
        <v>4063</v>
      </c>
      <c r="D495" s="1" t="s">
        <v>2329</v>
      </c>
      <c r="E495" s="250">
        <v>6430.5079999999998</v>
      </c>
    </row>
    <row r="496" spans="3:5" x14ac:dyDescent="0.35">
      <c r="C496" s="1" t="s">
        <v>4062</v>
      </c>
      <c r="D496" s="1" t="s">
        <v>2329</v>
      </c>
      <c r="E496" s="250">
        <v>6430.509</v>
      </c>
    </row>
    <row r="497" spans="3:5" x14ac:dyDescent="0.35">
      <c r="C497" s="1" t="s">
        <v>4061</v>
      </c>
      <c r="D497" s="1" t="s">
        <v>2329</v>
      </c>
      <c r="E497" s="250">
        <v>6430.5110000000004</v>
      </c>
    </row>
    <row r="498" spans="3:5" x14ac:dyDescent="0.35">
      <c r="C498" s="1" t="s">
        <v>4060</v>
      </c>
      <c r="D498" s="1" t="s">
        <v>2329</v>
      </c>
      <c r="E498" s="250">
        <v>6430.5119999999997</v>
      </c>
    </row>
    <row r="499" spans="3:5" x14ac:dyDescent="0.35">
      <c r="C499" s="1" t="s">
        <v>4059</v>
      </c>
      <c r="D499" s="1" t="s">
        <v>2329</v>
      </c>
      <c r="E499" s="250">
        <v>6430.5129999999999</v>
      </c>
    </row>
    <row r="500" spans="3:5" x14ac:dyDescent="0.35">
      <c r="C500" s="1" t="s">
        <v>4058</v>
      </c>
      <c r="D500" s="1" t="s">
        <v>2329</v>
      </c>
      <c r="E500" s="250">
        <v>6430.5140000000001</v>
      </c>
    </row>
    <row r="501" spans="3:5" x14ac:dyDescent="0.35">
      <c r="C501" s="1" t="s">
        <v>4057</v>
      </c>
      <c r="D501" s="1" t="s">
        <v>2329</v>
      </c>
      <c r="E501" s="250">
        <v>6430.5150000000003</v>
      </c>
    </row>
    <row r="502" spans="3:5" x14ac:dyDescent="0.35">
      <c r="C502" s="1" t="s">
        <v>4056</v>
      </c>
      <c r="D502" s="1" t="s">
        <v>2329</v>
      </c>
      <c r="E502" s="250">
        <v>6430.5159999999996</v>
      </c>
    </row>
    <row r="503" spans="3:5" x14ac:dyDescent="0.35">
      <c r="C503" s="1" t="s">
        <v>4055</v>
      </c>
      <c r="D503" s="1" t="s">
        <v>2329</v>
      </c>
      <c r="E503" s="250">
        <v>6430.5169999999998</v>
      </c>
    </row>
    <row r="504" spans="3:5" x14ac:dyDescent="0.35">
      <c r="C504" s="1" t="s">
        <v>4054</v>
      </c>
      <c r="D504" s="1" t="s">
        <v>2329</v>
      </c>
      <c r="E504" s="250">
        <v>6430.518</v>
      </c>
    </row>
    <row r="505" spans="3:5" x14ac:dyDescent="0.35">
      <c r="C505" s="1" t="s">
        <v>4053</v>
      </c>
      <c r="D505" s="1" t="s">
        <v>2329</v>
      </c>
      <c r="E505" s="250">
        <v>6430.5190000000002</v>
      </c>
    </row>
    <row r="506" spans="3:5" x14ac:dyDescent="0.35">
      <c r="C506" s="1" t="s">
        <v>4052</v>
      </c>
      <c r="D506" s="1" t="s">
        <v>2329</v>
      </c>
      <c r="E506" s="250">
        <v>6430.5209999999997</v>
      </c>
    </row>
    <row r="507" spans="3:5" x14ac:dyDescent="0.35">
      <c r="C507" s="1" t="s">
        <v>4051</v>
      </c>
      <c r="D507" s="1" t="s">
        <v>2329</v>
      </c>
      <c r="E507" s="250">
        <v>6430.5219999999999</v>
      </c>
    </row>
    <row r="508" spans="3:5" x14ac:dyDescent="0.35">
      <c r="C508" s="1" t="s">
        <v>4050</v>
      </c>
      <c r="D508" s="1" t="s">
        <v>2329</v>
      </c>
      <c r="E508" s="250">
        <v>6430.5230000000001</v>
      </c>
    </row>
    <row r="509" spans="3:5" x14ac:dyDescent="0.35">
      <c r="C509" s="1" t="s">
        <v>4049</v>
      </c>
      <c r="D509" s="1" t="s">
        <v>2329</v>
      </c>
      <c r="E509" s="250">
        <v>6430.5240000000003</v>
      </c>
    </row>
    <row r="510" spans="3:5" x14ac:dyDescent="0.35">
      <c r="C510" s="1" t="s">
        <v>4048</v>
      </c>
      <c r="D510" s="1" t="s">
        <v>2329</v>
      </c>
      <c r="E510" s="250">
        <v>6430.5249999999996</v>
      </c>
    </row>
    <row r="511" spans="3:5" x14ac:dyDescent="0.35">
      <c r="C511" s="1" t="s">
        <v>4047</v>
      </c>
      <c r="D511" s="1" t="s">
        <v>2329</v>
      </c>
      <c r="E511" s="250">
        <v>6430.5259999999998</v>
      </c>
    </row>
    <row r="512" spans="3:5" x14ac:dyDescent="0.35">
      <c r="C512" s="1" t="s">
        <v>4046</v>
      </c>
      <c r="D512" s="1" t="s">
        <v>2329</v>
      </c>
      <c r="E512" s="250">
        <v>6430.527</v>
      </c>
    </row>
    <row r="513" spans="3:5" x14ac:dyDescent="0.35">
      <c r="C513" s="1" t="s">
        <v>4045</v>
      </c>
      <c r="D513" s="1" t="s">
        <v>2329</v>
      </c>
      <c r="E513" s="250">
        <v>6430.5280000000002</v>
      </c>
    </row>
    <row r="514" spans="3:5" x14ac:dyDescent="0.35">
      <c r="C514" s="1" t="s">
        <v>4044</v>
      </c>
      <c r="D514" s="1" t="s">
        <v>2329</v>
      </c>
      <c r="E514" s="250">
        <v>6430.5290000000005</v>
      </c>
    </row>
    <row r="515" spans="3:5" x14ac:dyDescent="0.35">
      <c r="C515" s="1" t="s">
        <v>4043</v>
      </c>
      <c r="D515" s="1" t="s">
        <v>2329</v>
      </c>
      <c r="E515" s="250">
        <v>6430.5309999999999</v>
      </c>
    </row>
    <row r="516" spans="3:5" x14ac:dyDescent="0.35">
      <c r="C516" s="1" t="s">
        <v>4042</v>
      </c>
      <c r="D516" s="1" t="s">
        <v>2329</v>
      </c>
      <c r="E516" s="250">
        <v>6430.5320000000002</v>
      </c>
    </row>
    <row r="517" spans="3:5" x14ac:dyDescent="0.35">
      <c r="C517" s="1" t="s">
        <v>4041</v>
      </c>
      <c r="D517" s="1" t="s">
        <v>2329</v>
      </c>
      <c r="E517" s="250">
        <v>6430.5330000000004</v>
      </c>
    </row>
    <row r="518" spans="3:5" x14ac:dyDescent="0.35">
      <c r="C518" s="1" t="s">
        <v>4040</v>
      </c>
      <c r="D518" s="1" t="s">
        <v>2329</v>
      </c>
      <c r="E518" s="250">
        <v>6430.5339999999997</v>
      </c>
    </row>
    <row r="519" spans="3:5" x14ac:dyDescent="0.35">
      <c r="C519" s="1" t="s">
        <v>4039</v>
      </c>
      <c r="D519" s="1" t="s">
        <v>2329</v>
      </c>
      <c r="E519" s="250">
        <v>6430.5349999999999</v>
      </c>
    </row>
    <row r="520" spans="3:5" x14ac:dyDescent="0.35">
      <c r="C520" s="1" t="s">
        <v>4038</v>
      </c>
      <c r="D520" s="1" t="s">
        <v>2329</v>
      </c>
      <c r="E520" s="250">
        <v>6430.5360000000001</v>
      </c>
    </row>
    <row r="521" spans="3:5" x14ac:dyDescent="0.35">
      <c r="C521" s="1" t="s">
        <v>4037</v>
      </c>
      <c r="D521" s="1" t="s">
        <v>2329</v>
      </c>
      <c r="E521" s="250">
        <v>6430.5370000000003</v>
      </c>
    </row>
    <row r="522" spans="3:5" x14ac:dyDescent="0.35">
      <c r="C522" s="1" t="s">
        <v>4036</v>
      </c>
      <c r="D522" s="1" t="s">
        <v>2329</v>
      </c>
      <c r="E522" s="250">
        <v>6430.5379999999996</v>
      </c>
    </row>
    <row r="523" spans="3:5" x14ac:dyDescent="0.35">
      <c r="C523" s="1" t="s">
        <v>4035</v>
      </c>
      <c r="D523" s="1" t="s">
        <v>2329</v>
      </c>
      <c r="E523" s="250">
        <v>6430.5389999999998</v>
      </c>
    </row>
    <row r="524" spans="3:5" x14ac:dyDescent="0.35">
      <c r="C524" s="1" t="s">
        <v>4034</v>
      </c>
      <c r="D524" s="1" t="s">
        <v>2329</v>
      </c>
      <c r="E524" s="250">
        <v>6430.5410000000002</v>
      </c>
    </row>
    <row r="525" spans="3:5" x14ac:dyDescent="0.35">
      <c r="C525" s="1" t="s">
        <v>4033</v>
      </c>
      <c r="D525" s="1" t="s">
        <v>2329</v>
      </c>
      <c r="E525" s="250">
        <v>6430.5420000000004</v>
      </c>
    </row>
    <row r="526" spans="3:5" x14ac:dyDescent="0.35">
      <c r="C526" s="1" t="s">
        <v>4032</v>
      </c>
      <c r="D526" s="1" t="s">
        <v>2329</v>
      </c>
      <c r="E526" s="250">
        <v>6430.5429999999997</v>
      </c>
    </row>
    <row r="527" spans="3:5" x14ac:dyDescent="0.35">
      <c r="C527" s="1" t="s">
        <v>4031</v>
      </c>
      <c r="D527" s="1" t="s">
        <v>2329</v>
      </c>
      <c r="E527" s="250">
        <v>6430.5439999999999</v>
      </c>
    </row>
    <row r="528" spans="3:5" x14ac:dyDescent="0.35">
      <c r="C528" s="1" t="s">
        <v>4030</v>
      </c>
      <c r="D528" s="1" t="s">
        <v>2329</v>
      </c>
      <c r="E528" s="250">
        <v>6430.5450000000001</v>
      </c>
    </row>
    <row r="529" spans="3:5" x14ac:dyDescent="0.35">
      <c r="C529" s="1" t="s">
        <v>4029</v>
      </c>
      <c r="D529" s="1" t="s">
        <v>2329</v>
      </c>
      <c r="E529" s="250">
        <v>6430.5460000000003</v>
      </c>
    </row>
    <row r="530" spans="3:5" x14ac:dyDescent="0.35">
      <c r="C530" s="1" t="s">
        <v>4028</v>
      </c>
      <c r="D530" s="1" t="s">
        <v>2329</v>
      </c>
      <c r="E530" s="250">
        <v>6430.5469999999996</v>
      </c>
    </row>
    <row r="531" spans="3:5" x14ac:dyDescent="0.35">
      <c r="C531" s="1" t="s">
        <v>4027</v>
      </c>
      <c r="D531" s="1" t="s">
        <v>2329</v>
      </c>
      <c r="E531" s="250">
        <v>6430.5479999999998</v>
      </c>
    </row>
    <row r="532" spans="3:5" x14ac:dyDescent="0.35">
      <c r="C532" s="1" t="s">
        <v>4026</v>
      </c>
      <c r="D532" s="1" t="s">
        <v>2329</v>
      </c>
      <c r="E532" s="250">
        <v>6430.549</v>
      </c>
    </row>
    <row r="533" spans="3:5" x14ac:dyDescent="0.35">
      <c r="C533" s="1" t="s">
        <v>4025</v>
      </c>
      <c r="D533" s="1" t="s">
        <v>2329</v>
      </c>
      <c r="E533" s="250">
        <v>6430.5510000000004</v>
      </c>
    </row>
    <row r="534" spans="3:5" x14ac:dyDescent="0.35">
      <c r="C534" s="1" t="s">
        <v>4024</v>
      </c>
      <c r="D534" s="1" t="s">
        <v>2329</v>
      </c>
      <c r="E534" s="250">
        <v>6430.5519999999997</v>
      </c>
    </row>
    <row r="535" spans="3:5" x14ac:dyDescent="0.35">
      <c r="C535" s="1" t="s">
        <v>4023</v>
      </c>
      <c r="D535" s="1" t="s">
        <v>2329</v>
      </c>
      <c r="E535" s="250">
        <v>6430.5529999999999</v>
      </c>
    </row>
    <row r="536" spans="3:5" x14ac:dyDescent="0.35">
      <c r="C536" s="1" t="s">
        <v>4022</v>
      </c>
      <c r="D536" s="1" t="s">
        <v>2329</v>
      </c>
      <c r="E536" s="250">
        <v>6430.5540000000001</v>
      </c>
    </row>
    <row r="537" spans="3:5" x14ac:dyDescent="0.35">
      <c r="C537" s="1" t="s">
        <v>4021</v>
      </c>
      <c r="D537" s="1" t="s">
        <v>2329</v>
      </c>
      <c r="E537" s="250">
        <v>6430.5550000000003</v>
      </c>
    </row>
    <row r="538" spans="3:5" x14ac:dyDescent="0.35">
      <c r="C538" s="1" t="s">
        <v>4020</v>
      </c>
      <c r="D538" s="1" t="s">
        <v>2329</v>
      </c>
      <c r="E538" s="250">
        <v>6430.5559999999996</v>
      </c>
    </row>
    <row r="539" spans="3:5" x14ac:dyDescent="0.35">
      <c r="C539" s="1" t="s">
        <v>4019</v>
      </c>
      <c r="D539" s="1" t="s">
        <v>2329</v>
      </c>
      <c r="E539" s="250">
        <v>6430.5569999999998</v>
      </c>
    </row>
    <row r="540" spans="3:5" x14ac:dyDescent="0.35">
      <c r="C540" s="1" t="s">
        <v>4018</v>
      </c>
      <c r="D540" s="1" t="s">
        <v>2329</v>
      </c>
      <c r="E540" s="250">
        <v>6430.558</v>
      </c>
    </row>
    <row r="541" spans="3:5" x14ac:dyDescent="0.35">
      <c r="C541" s="1" t="s">
        <v>4017</v>
      </c>
      <c r="D541" s="1" t="s">
        <v>2329</v>
      </c>
      <c r="E541" s="250">
        <v>6430.5590000000002</v>
      </c>
    </row>
    <row r="542" spans="3:5" x14ac:dyDescent="0.35">
      <c r="C542" s="1" t="s">
        <v>4016</v>
      </c>
      <c r="D542" s="1" t="s">
        <v>2329</v>
      </c>
      <c r="E542" s="250">
        <v>6430.5609999999997</v>
      </c>
    </row>
    <row r="543" spans="3:5" x14ac:dyDescent="0.35">
      <c r="C543" s="1" t="s">
        <v>4015</v>
      </c>
      <c r="D543" s="1" t="s">
        <v>2329</v>
      </c>
      <c r="E543" s="250">
        <v>6430.5619999999999</v>
      </c>
    </row>
    <row r="544" spans="3:5" x14ac:dyDescent="0.35">
      <c r="C544" s="1" t="s">
        <v>4014</v>
      </c>
      <c r="D544" s="1" t="s">
        <v>2329</v>
      </c>
      <c r="E544" s="250">
        <v>6430.5630000000001</v>
      </c>
    </row>
    <row r="545" spans="3:5" x14ac:dyDescent="0.35">
      <c r="C545" s="1" t="s">
        <v>4013</v>
      </c>
      <c r="D545" s="1" t="s">
        <v>2329</v>
      </c>
      <c r="E545" s="250">
        <v>6430.5640000000003</v>
      </c>
    </row>
    <row r="546" spans="3:5" x14ac:dyDescent="0.35">
      <c r="C546" s="1" t="s">
        <v>4012</v>
      </c>
      <c r="D546" s="1" t="s">
        <v>2329</v>
      </c>
      <c r="E546" s="250">
        <v>6430.5649999999996</v>
      </c>
    </row>
    <row r="547" spans="3:5" x14ac:dyDescent="0.35">
      <c r="C547" s="1" t="s">
        <v>4011</v>
      </c>
      <c r="D547" s="1" t="s">
        <v>2329</v>
      </c>
      <c r="E547" s="250">
        <v>6430.5659999999998</v>
      </c>
    </row>
    <row r="548" spans="3:5" x14ac:dyDescent="0.35">
      <c r="C548" s="1" t="s">
        <v>4010</v>
      </c>
      <c r="D548" s="1" t="s">
        <v>2329</v>
      </c>
      <c r="E548" s="250">
        <v>6430.567</v>
      </c>
    </row>
    <row r="549" spans="3:5" x14ac:dyDescent="0.35">
      <c r="C549" s="1" t="s">
        <v>4009</v>
      </c>
      <c r="D549" s="1" t="s">
        <v>2329</v>
      </c>
      <c r="E549" s="250">
        <v>6430.5680000000002</v>
      </c>
    </row>
    <row r="550" spans="3:5" x14ac:dyDescent="0.35">
      <c r="C550" s="1" t="s">
        <v>4008</v>
      </c>
      <c r="D550" s="1" t="s">
        <v>2329</v>
      </c>
      <c r="E550" s="250">
        <v>6430.5690000000004</v>
      </c>
    </row>
    <row r="551" spans="3:5" x14ac:dyDescent="0.35">
      <c r="C551" s="1" t="s">
        <v>4007</v>
      </c>
      <c r="D551" s="1" t="s">
        <v>2329</v>
      </c>
      <c r="E551" s="250">
        <v>6430.6009999999997</v>
      </c>
    </row>
    <row r="552" spans="3:5" x14ac:dyDescent="0.35">
      <c r="C552" s="1" t="s">
        <v>4006</v>
      </c>
      <c r="D552" s="1" t="s">
        <v>2329</v>
      </c>
      <c r="E552" s="250">
        <v>6430.6019999999999</v>
      </c>
    </row>
    <row r="553" spans="3:5" x14ac:dyDescent="0.35">
      <c r="C553" s="1" t="s">
        <v>4005</v>
      </c>
      <c r="D553" s="1" t="s">
        <v>2329</v>
      </c>
      <c r="E553" s="250">
        <v>6430.6030000000001</v>
      </c>
    </row>
    <row r="554" spans="3:5" x14ac:dyDescent="0.35">
      <c r="C554" s="1" t="s">
        <v>4004</v>
      </c>
      <c r="D554" s="1" t="s">
        <v>2329</v>
      </c>
      <c r="E554" s="250">
        <v>6430.6040000000003</v>
      </c>
    </row>
    <row r="555" spans="3:5" x14ac:dyDescent="0.35">
      <c r="C555" s="1" t="s">
        <v>4003</v>
      </c>
      <c r="D555" s="1" t="s">
        <v>2329</v>
      </c>
      <c r="E555" s="250">
        <v>6430.6049999999996</v>
      </c>
    </row>
    <row r="556" spans="3:5" x14ac:dyDescent="0.35">
      <c r="C556" s="1" t="s">
        <v>4002</v>
      </c>
      <c r="D556" s="1" t="s">
        <v>2329</v>
      </c>
      <c r="E556" s="250">
        <v>6430.6059999999998</v>
      </c>
    </row>
    <row r="557" spans="3:5" x14ac:dyDescent="0.35">
      <c r="C557" s="1" t="s">
        <v>4001</v>
      </c>
      <c r="D557" s="1" t="s">
        <v>2329</v>
      </c>
      <c r="E557" s="250">
        <v>6430.607</v>
      </c>
    </row>
    <row r="558" spans="3:5" x14ac:dyDescent="0.35">
      <c r="C558" s="1" t="s">
        <v>4000</v>
      </c>
      <c r="D558" s="1" t="s">
        <v>2329</v>
      </c>
      <c r="E558" s="250">
        <v>6430.6080000000002</v>
      </c>
    </row>
    <row r="559" spans="3:5" x14ac:dyDescent="0.35">
      <c r="C559" s="1" t="s">
        <v>3999</v>
      </c>
      <c r="D559" s="1" t="s">
        <v>2329</v>
      </c>
      <c r="E559" s="250">
        <v>6430.6090000000004</v>
      </c>
    </row>
    <row r="560" spans="3:5" x14ac:dyDescent="0.35">
      <c r="C560" s="1" t="s">
        <v>3998</v>
      </c>
      <c r="D560" s="1" t="s">
        <v>2329</v>
      </c>
      <c r="E560" s="250">
        <v>6430.6109999999999</v>
      </c>
    </row>
    <row r="561" spans="3:5" x14ac:dyDescent="0.35">
      <c r="C561" s="1" t="s">
        <v>3997</v>
      </c>
      <c r="D561" s="1" t="s">
        <v>2329</v>
      </c>
      <c r="E561" s="250">
        <v>6430.6120000000001</v>
      </c>
    </row>
    <row r="562" spans="3:5" x14ac:dyDescent="0.35">
      <c r="C562" s="1" t="s">
        <v>3996</v>
      </c>
      <c r="D562" s="1" t="s">
        <v>2329</v>
      </c>
      <c r="E562" s="250">
        <v>6430.6130000000003</v>
      </c>
    </row>
    <row r="563" spans="3:5" x14ac:dyDescent="0.35">
      <c r="C563" s="1" t="s">
        <v>3995</v>
      </c>
      <c r="D563" s="1" t="s">
        <v>2329</v>
      </c>
      <c r="E563" s="250">
        <v>6430.6139999999996</v>
      </c>
    </row>
    <row r="564" spans="3:5" x14ac:dyDescent="0.35">
      <c r="C564" s="1" t="s">
        <v>3994</v>
      </c>
      <c r="D564" s="1" t="s">
        <v>2329</v>
      </c>
      <c r="E564" s="250">
        <v>6430.6149999999998</v>
      </c>
    </row>
    <row r="565" spans="3:5" x14ac:dyDescent="0.35">
      <c r="C565" s="1" t="s">
        <v>3993</v>
      </c>
      <c r="D565" s="1" t="s">
        <v>2329</v>
      </c>
      <c r="E565" s="250">
        <v>6430.616</v>
      </c>
    </row>
    <row r="566" spans="3:5" x14ac:dyDescent="0.35">
      <c r="C566" s="1" t="s">
        <v>3992</v>
      </c>
      <c r="D566" s="1" t="s">
        <v>2329</v>
      </c>
      <c r="E566" s="250">
        <v>6430.6170000000002</v>
      </c>
    </row>
    <row r="567" spans="3:5" x14ac:dyDescent="0.35">
      <c r="C567" s="1" t="s">
        <v>3991</v>
      </c>
      <c r="D567" s="1" t="s">
        <v>2329</v>
      </c>
      <c r="E567" s="250">
        <v>6430.6180000000004</v>
      </c>
    </row>
    <row r="568" spans="3:5" x14ac:dyDescent="0.35">
      <c r="C568" s="1" t="s">
        <v>3990</v>
      </c>
      <c r="D568" s="1" t="s">
        <v>2329</v>
      </c>
      <c r="E568" s="250">
        <v>6430.6189999999997</v>
      </c>
    </row>
    <row r="569" spans="3:5" x14ac:dyDescent="0.35">
      <c r="C569" s="1" t="s">
        <v>3989</v>
      </c>
      <c r="D569" s="1" t="s">
        <v>2329</v>
      </c>
      <c r="E569" s="250">
        <v>6430.6210000000001</v>
      </c>
    </row>
    <row r="570" spans="3:5" x14ac:dyDescent="0.35">
      <c r="C570" s="1" t="s">
        <v>3988</v>
      </c>
      <c r="D570" s="1" t="s">
        <v>2329</v>
      </c>
      <c r="E570" s="250">
        <v>6430.6220000000003</v>
      </c>
    </row>
    <row r="571" spans="3:5" x14ac:dyDescent="0.35">
      <c r="C571" s="1" t="s">
        <v>3987</v>
      </c>
      <c r="D571" s="1" t="s">
        <v>2329</v>
      </c>
      <c r="E571" s="250">
        <v>6430.6229999999996</v>
      </c>
    </row>
    <row r="572" spans="3:5" x14ac:dyDescent="0.35">
      <c r="C572" s="1" t="s">
        <v>3986</v>
      </c>
      <c r="D572" s="1" t="s">
        <v>2329</v>
      </c>
      <c r="E572" s="250">
        <v>6430.6239999999998</v>
      </c>
    </row>
    <row r="573" spans="3:5" x14ac:dyDescent="0.35">
      <c r="C573" s="1" t="s">
        <v>3985</v>
      </c>
      <c r="D573" s="1" t="s">
        <v>2329</v>
      </c>
      <c r="E573" s="250">
        <v>6430.625</v>
      </c>
    </row>
    <row r="574" spans="3:5" x14ac:dyDescent="0.35">
      <c r="C574" s="1" t="s">
        <v>3984</v>
      </c>
      <c r="D574" s="1" t="s">
        <v>2329</v>
      </c>
      <c r="E574" s="250">
        <v>6430.6260000000002</v>
      </c>
    </row>
    <row r="575" spans="3:5" x14ac:dyDescent="0.35">
      <c r="C575" s="1" t="s">
        <v>3983</v>
      </c>
      <c r="D575" s="1" t="s">
        <v>2329</v>
      </c>
      <c r="E575" s="250">
        <v>6430.6270000000004</v>
      </c>
    </row>
    <row r="576" spans="3:5" x14ac:dyDescent="0.35">
      <c r="C576" s="1" t="s">
        <v>3982</v>
      </c>
      <c r="D576" s="1" t="s">
        <v>2329</v>
      </c>
      <c r="E576" s="250">
        <v>6430.6279999999997</v>
      </c>
    </row>
    <row r="577" spans="3:5" x14ac:dyDescent="0.35">
      <c r="C577" s="1" t="s">
        <v>3981</v>
      </c>
      <c r="D577" s="1" t="s">
        <v>2329</v>
      </c>
      <c r="E577" s="250">
        <v>6430.6289999999999</v>
      </c>
    </row>
    <row r="578" spans="3:5" x14ac:dyDescent="0.35">
      <c r="C578" s="1" t="s">
        <v>3980</v>
      </c>
      <c r="D578" s="1" t="s">
        <v>2329</v>
      </c>
      <c r="E578" s="250">
        <v>6430.6310000000003</v>
      </c>
    </row>
    <row r="579" spans="3:5" x14ac:dyDescent="0.35">
      <c r="C579" s="1" t="s">
        <v>3979</v>
      </c>
      <c r="D579" s="1" t="s">
        <v>2329</v>
      </c>
      <c r="E579" s="250">
        <v>6430.6319999999996</v>
      </c>
    </row>
    <row r="580" spans="3:5" x14ac:dyDescent="0.35">
      <c r="C580" s="1" t="s">
        <v>3978</v>
      </c>
      <c r="D580" s="1" t="s">
        <v>2329</v>
      </c>
      <c r="E580" s="250">
        <v>6430.6329999999998</v>
      </c>
    </row>
    <row r="581" spans="3:5" x14ac:dyDescent="0.35">
      <c r="C581" s="1" t="s">
        <v>3977</v>
      </c>
      <c r="D581" s="1" t="s">
        <v>2329</v>
      </c>
      <c r="E581" s="250">
        <v>6430.634</v>
      </c>
    </row>
    <row r="582" spans="3:5" x14ac:dyDescent="0.35">
      <c r="C582" s="1" t="s">
        <v>3976</v>
      </c>
      <c r="D582" s="1" t="s">
        <v>2329</v>
      </c>
      <c r="E582" s="250">
        <v>6430.6350000000002</v>
      </c>
    </row>
    <row r="583" spans="3:5" x14ac:dyDescent="0.35">
      <c r="C583" s="1" t="s">
        <v>3975</v>
      </c>
      <c r="D583" s="1" t="s">
        <v>2329</v>
      </c>
      <c r="E583" s="250">
        <v>6430.6360000000004</v>
      </c>
    </row>
    <row r="584" spans="3:5" x14ac:dyDescent="0.35">
      <c r="C584" s="1" t="s">
        <v>3974</v>
      </c>
      <c r="D584" s="1" t="s">
        <v>2329</v>
      </c>
      <c r="E584" s="250">
        <v>6430.6369999999997</v>
      </c>
    </row>
    <row r="585" spans="3:5" x14ac:dyDescent="0.35">
      <c r="C585" s="1" t="s">
        <v>3973</v>
      </c>
      <c r="D585" s="1" t="s">
        <v>2329</v>
      </c>
      <c r="E585" s="250">
        <v>6430.6379999999999</v>
      </c>
    </row>
    <row r="586" spans="3:5" x14ac:dyDescent="0.35">
      <c r="C586" s="1" t="s">
        <v>3972</v>
      </c>
      <c r="D586" s="1" t="s">
        <v>2329</v>
      </c>
      <c r="E586" s="250">
        <v>6430.6390000000001</v>
      </c>
    </row>
    <row r="587" spans="3:5" x14ac:dyDescent="0.35">
      <c r="C587" s="1" t="s">
        <v>3971</v>
      </c>
      <c r="D587" s="1" t="s">
        <v>2329</v>
      </c>
      <c r="E587" s="250">
        <v>6430.6409999999996</v>
      </c>
    </row>
    <row r="588" spans="3:5" x14ac:dyDescent="0.35">
      <c r="C588" s="1" t="s">
        <v>3970</v>
      </c>
      <c r="D588" s="1" t="s">
        <v>2329</v>
      </c>
      <c r="E588" s="250">
        <v>6430.6419999999998</v>
      </c>
    </row>
    <row r="589" spans="3:5" x14ac:dyDescent="0.35">
      <c r="C589" s="1" t="s">
        <v>3969</v>
      </c>
      <c r="D589" s="1" t="s">
        <v>2329</v>
      </c>
      <c r="E589" s="250">
        <v>6430.643</v>
      </c>
    </row>
    <row r="590" spans="3:5" x14ac:dyDescent="0.35">
      <c r="C590" s="1" t="s">
        <v>3968</v>
      </c>
      <c r="D590" s="1" t="s">
        <v>2329</v>
      </c>
      <c r="E590" s="250">
        <v>6430.6440000000002</v>
      </c>
    </row>
    <row r="591" spans="3:5" x14ac:dyDescent="0.35">
      <c r="C591" s="1" t="s">
        <v>3967</v>
      </c>
      <c r="D591" s="1" t="s">
        <v>2329</v>
      </c>
      <c r="E591" s="250">
        <v>6430.6450000000004</v>
      </c>
    </row>
    <row r="592" spans="3:5" x14ac:dyDescent="0.35">
      <c r="C592" s="1" t="s">
        <v>3966</v>
      </c>
      <c r="D592" s="1" t="s">
        <v>2329</v>
      </c>
      <c r="E592" s="250">
        <v>6430.6459999999997</v>
      </c>
    </row>
    <row r="593" spans="3:5" x14ac:dyDescent="0.35">
      <c r="C593" s="1" t="s">
        <v>3965</v>
      </c>
      <c r="D593" s="1" t="s">
        <v>2329</v>
      </c>
      <c r="E593" s="250">
        <v>6430.6469999999999</v>
      </c>
    </row>
    <row r="594" spans="3:5" x14ac:dyDescent="0.35">
      <c r="C594" s="1" t="s">
        <v>3964</v>
      </c>
      <c r="D594" s="1" t="s">
        <v>2329</v>
      </c>
      <c r="E594" s="250">
        <v>6430.6480000000001</v>
      </c>
    </row>
    <row r="595" spans="3:5" x14ac:dyDescent="0.35">
      <c r="C595" s="1" t="s">
        <v>3963</v>
      </c>
      <c r="D595" s="1" t="s">
        <v>2329</v>
      </c>
      <c r="E595" s="250">
        <v>6430.6490000000003</v>
      </c>
    </row>
    <row r="596" spans="3:5" x14ac:dyDescent="0.35">
      <c r="C596" s="1" t="s">
        <v>3962</v>
      </c>
      <c r="D596" s="1" t="s">
        <v>2329</v>
      </c>
      <c r="E596" s="250">
        <v>6430.6509999999998</v>
      </c>
    </row>
    <row r="597" spans="3:5" x14ac:dyDescent="0.35">
      <c r="C597" s="1" t="s">
        <v>3961</v>
      </c>
      <c r="D597" s="1" t="s">
        <v>2329</v>
      </c>
      <c r="E597" s="250">
        <v>6430.652</v>
      </c>
    </row>
    <row r="598" spans="3:5" x14ac:dyDescent="0.35">
      <c r="C598" s="1" t="s">
        <v>3960</v>
      </c>
      <c r="D598" s="1" t="s">
        <v>2329</v>
      </c>
      <c r="E598" s="250">
        <v>6430.6530000000002</v>
      </c>
    </row>
    <row r="599" spans="3:5" x14ac:dyDescent="0.35">
      <c r="C599" s="1" t="s">
        <v>3959</v>
      </c>
      <c r="D599" s="1" t="s">
        <v>2329</v>
      </c>
      <c r="E599" s="250">
        <v>6430.6540000000005</v>
      </c>
    </row>
    <row r="600" spans="3:5" x14ac:dyDescent="0.35">
      <c r="C600" s="1" t="s">
        <v>3958</v>
      </c>
      <c r="D600" s="1" t="s">
        <v>2329</v>
      </c>
      <c r="E600" s="250">
        <v>6430.6549999999997</v>
      </c>
    </row>
    <row r="601" spans="3:5" x14ac:dyDescent="0.35">
      <c r="C601" s="1" t="s">
        <v>3957</v>
      </c>
      <c r="D601" s="1" t="s">
        <v>2329</v>
      </c>
      <c r="E601" s="250">
        <v>6430.6559999999999</v>
      </c>
    </row>
    <row r="602" spans="3:5" x14ac:dyDescent="0.35">
      <c r="C602" s="1" t="s">
        <v>3956</v>
      </c>
      <c r="D602" s="1" t="s">
        <v>2329</v>
      </c>
      <c r="E602" s="250">
        <v>6430.6570000000002</v>
      </c>
    </row>
    <row r="603" spans="3:5" x14ac:dyDescent="0.35">
      <c r="C603" s="1" t="s">
        <v>3955</v>
      </c>
      <c r="D603" s="1" t="s">
        <v>2329</v>
      </c>
      <c r="E603" s="250">
        <v>6430.6580000000004</v>
      </c>
    </row>
    <row r="604" spans="3:5" x14ac:dyDescent="0.35">
      <c r="C604" s="1" t="s">
        <v>3954</v>
      </c>
      <c r="D604" s="1" t="s">
        <v>2329</v>
      </c>
      <c r="E604" s="250">
        <v>6430.6589999999997</v>
      </c>
    </row>
    <row r="605" spans="3:5" x14ac:dyDescent="0.35">
      <c r="C605" s="1" t="s">
        <v>3953</v>
      </c>
      <c r="D605" s="1" t="s">
        <v>2329</v>
      </c>
      <c r="E605" s="250">
        <v>6430.6610000000001</v>
      </c>
    </row>
    <row r="606" spans="3:5" x14ac:dyDescent="0.35">
      <c r="C606" s="1" t="s">
        <v>3952</v>
      </c>
      <c r="D606" s="1" t="s">
        <v>2329</v>
      </c>
      <c r="E606" s="250">
        <v>6430.6620000000003</v>
      </c>
    </row>
    <row r="607" spans="3:5" x14ac:dyDescent="0.35">
      <c r="C607" s="1" t="s">
        <v>3951</v>
      </c>
      <c r="D607" s="1" t="s">
        <v>2329</v>
      </c>
      <c r="E607" s="250">
        <v>6430.6629999999996</v>
      </c>
    </row>
    <row r="608" spans="3:5" x14ac:dyDescent="0.35">
      <c r="C608" s="1" t="s">
        <v>3950</v>
      </c>
      <c r="D608" s="1" t="s">
        <v>2329</v>
      </c>
      <c r="E608" s="250">
        <v>6430.6639999999998</v>
      </c>
    </row>
    <row r="609" spans="3:5" x14ac:dyDescent="0.35">
      <c r="C609" s="1" t="s">
        <v>3949</v>
      </c>
      <c r="D609" s="1" t="s">
        <v>2329</v>
      </c>
      <c r="E609" s="250">
        <v>6430.665</v>
      </c>
    </row>
    <row r="610" spans="3:5" x14ac:dyDescent="0.35">
      <c r="C610" s="1" t="s">
        <v>3948</v>
      </c>
      <c r="D610" s="1" t="s">
        <v>2329</v>
      </c>
      <c r="E610" s="250">
        <v>6430.6660000000002</v>
      </c>
    </row>
    <row r="611" spans="3:5" x14ac:dyDescent="0.35">
      <c r="C611" s="1" t="s">
        <v>3947</v>
      </c>
      <c r="D611" s="1" t="s">
        <v>2329</v>
      </c>
      <c r="E611" s="250">
        <v>6430.6670000000004</v>
      </c>
    </row>
    <row r="612" spans="3:5" x14ac:dyDescent="0.35">
      <c r="C612" s="1" t="s">
        <v>3946</v>
      </c>
      <c r="D612" s="1" t="s">
        <v>2329</v>
      </c>
      <c r="E612" s="250">
        <v>6430.6679999999997</v>
      </c>
    </row>
    <row r="613" spans="3:5" x14ac:dyDescent="0.35">
      <c r="C613" s="1" t="s">
        <v>3945</v>
      </c>
      <c r="D613" s="1" t="s">
        <v>2329</v>
      </c>
      <c r="E613" s="250">
        <v>6430.6689999999999</v>
      </c>
    </row>
    <row r="614" spans="3:5" x14ac:dyDescent="0.35">
      <c r="C614" s="1" t="s">
        <v>3944</v>
      </c>
      <c r="D614" s="1" t="s">
        <v>19</v>
      </c>
      <c r="E614" s="250">
        <v>6430.701</v>
      </c>
    </row>
    <row r="615" spans="3:5" x14ac:dyDescent="0.35">
      <c r="C615" s="1" t="s">
        <v>3943</v>
      </c>
      <c r="D615" s="1" t="s">
        <v>19</v>
      </c>
      <c r="E615" s="250">
        <v>6430.7020000000002</v>
      </c>
    </row>
    <row r="616" spans="3:5" x14ac:dyDescent="0.35">
      <c r="C616" s="1" t="s">
        <v>3942</v>
      </c>
      <c r="D616" s="1" t="s">
        <v>19</v>
      </c>
      <c r="E616" s="250">
        <v>6430.7030000000004</v>
      </c>
    </row>
    <row r="617" spans="3:5" x14ac:dyDescent="0.35">
      <c r="C617" s="1" t="s">
        <v>3941</v>
      </c>
      <c r="D617" s="1" t="s">
        <v>19</v>
      </c>
      <c r="E617" s="250">
        <v>6430.7039999999997</v>
      </c>
    </row>
    <row r="618" spans="3:5" x14ac:dyDescent="0.35">
      <c r="C618" s="1" t="s">
        <v>3940</v>
      </c>
      <c r="D618" s="1" t="s">
        <v>19</v>
      </c>
      <c r="E618" s="250">
        <v>6430.7049999999999</v>
      </c>
    </row>
    <row r="619" spans="3:5" x14ac:dyDescent="0.35">
      <c r="C619" s="1" t="s">
        <v>3939</v>
      </c>
      <c r="D619" s="1" t="s">
        <v>19</v>
      </c>
      <c r="E619" s="250">
        <v>6430.7060000000001</v>
      </c>
    </row>
    <row r="620" spans="3:5" x14ac:dyDescent="0.35">
      <c r="C620" s="1" t="s">
        <v>3938</v>
      </c>
      <c r="D620" s="1" t="s">
        <v>19</v>
      </c>
      <c r="E620" s="250">
        <v>6430.7070000000003</v>
      </c>
    </row>
    <row r="621" spans="3:5" x14ac:dyDescent="0.35">
      <c r="C621" s="1" t="s">
        <v>3937</v>
      </c>
      <c r="D621" s="1" t="s">
        <v>19</v>
      </c>
      <c r="E621" s="250">
        <v>6430.7079999999996</v>
      </c>
    </row>
    <row r="622" spans="3:5" x14ac:dyDescent="0.35">
      <c r="C622" s="1" t="s">
        <v>3936</v>
      </c>
      <c r="D622" s="1" t="s">
        <v>19</v>
      </c>
      <c r="E622" s="250">
        <v>6430.7089999999998</v>
      </c>
    </row>
    <row r="623" spans="3:5" x14ac:dyDescent="0.35">
      <c r="C623" s="1" t="s">
        <v>3935</v>
      </c>
      <c r="D623" s="1" t="s">
        <v>19</v>
      </c>
      <c r="E623" s="250">
        <v>6430.7110000000002</v>
      </c>
    </row>
    <row r="624" spans="3:5" x14ac:dyDescent="0.35">
      <c r="C624" s="1" t="s">
        <v>3934</v>
      </c>
      <c r="D624" s="1" t="s">
        <v>19</v>
      </c>
      <c r="E624" s="250">
        <v>6430.7120000000004</v>
      </c>
    </row>
    <row r="625" spans="3:5" x14ac:dyDescent="0.35">
      <c r="C625" s="1" t="s">
        <v>3933</v>
      </c>
      <c r="D625" s="1" t="s">
        <v>19</v>
      </c>
      <c r="E625" s="250">
        <v>6430.7129999999997</v>
      </c>
    </row>
    <row r="626" spans="3:5" x14ac:dyDescent="0.35">
      <c r="C626" s="1" t="s">
        <v>3932</v>
      </c>
      <c r="D626" s="1" t="s">
        <v>19</v>
      </c>
      <c r="E626" s="250">
        <v>6430.7139999999999</v>
      </c>
    </row>
    <row r="627" spans="3:5" x14ac:dyDescent="0.35">
      <c r="C627" s="1" t="s">
        <v>3931</v>
      </c>
      <c r="D627" s="1" t="s">
        <v>19</v>
      </c>
      <c r="E627" s="250">
        <v>6430.7150000000001</v>
      </c>
    </row>
    <row r="628" spans="3:5" x14ac:dyDescent="0.35">
      <c r="C628" s="1" t="s">
        <v>3930</v>
      </c>
      <c r="D628" s="1" t="s">
        <v>19</v>
      </c>
      <c r="E628" s="250">
        <v>6430.7160000000003</v>
      </c>
    </row>
    <row r="629" spans="3:5" x14ac:dyDescent="0.35">
      <c r="C629" s="1" t="s">
        <v>3929</v>
      </c>
      <c r="D629" s="1" t="s">
        <v>19</v>
      </c>
      <c r="E629" s="250">
        <v>6430.7169999999996</v>
      </c>
    </row>
    <row r="630" spans="3:5" x14ac:dyDescent="0.35">
      <c r="C630" s="1" t="s">
        <v>3928</v>
      </c>
      <c r="D630" s="1" t="s">
        <v>19</v>
      </c>
      <c r="E630" s="250">
        <v>6430.7179999999998</v>
      </c>
    </row>
    <row r="631" spans="3:5" x14ac:dyDescent="0.35">
      <c r="C631" s="1" t="s">
        <v>3927</v>
      </c>
      <c r="D631" s="1" t="s">
        <v>19</v>
      </c>
      <c r="E631" s="250">
        <v>6430.7190000000001</v>
      </c>
    </row>
    <row r="632" spans="3:5" x14ac:dyDescent="0.35">
      <c r="C632" s="1" t="s">
        <v>3926</v>
      </c>
      <c r="D632" s="1" t="s">
        <v>19</v>
      </c>
      <c r="E632" s="250">
        <v>6430.7209999999995</v>
      </c>
    </row>
    <row r="633" spans="3:5" x14ac:dyDescent="0.35">
      <c r="C633" s="1" t="s">
        <v>3925</v>
      </c>
      <c r="D633" s="1" t="s">
        <v>19</v>
      </c>
      <c r="E633" s="250">
        <v>6430.7219999999998</v>
      </c>
    </row>
    <row r="634" spans="3:5" x14ac:dyDescent="0.35">
      <c r="C634" s="1" t="s">
        <v>3924</v>
      </c>
      <c r="D634" s="1" t="s">
        <v>19</v>
      </c>
      <c r="E634" s="250">
        <v>6430.723</v>
      </c>
    </row>
    <row r="635" spans="3:5" x14ac:dyDescent="0.35">
      <c r="C635" s="1" t="s">
        <v>3923</v>
      </c>
      <c r="D635" s="1" t="s">
        <v>19</v>
      </c>
      <c r="E635" s="250">
        <v>6430.7240000000002</v>
      </c>
    </row>
    <row r="636" spans="3:5" x14ac:dyDescent="0.35">
      <c r="C636" s="1" t="s">
        <v>3922</v>
      </c>
      <c r="D636" s="1" t="s">
        <v>19</v>
      </c>
      <c r="E636" s="250">
        <v>6430.7250000000004</v>
      </c>
    </row>
    <row r="637" spans="3:5" x14ac:dyDescent="0.35">
      <c r="C637" s="1" t="s">
        <v>3921</v>
      </c>
      <c r="D637" s="1" t="s">
        <v>19</v>
      </c>
      <c r="E637" s="250">
        <v>6430.7259999999997</v>
      </c>
    </row>
    <row r="638" spans="3:5" x14ac:dyDescent="0.35">
      <c r="C638" s="1" t="s">
        <v>3920</v>
      </c>
      <c r="D638" s="1" t="s">
        <v>19</v>
      </c>
      <c r="E638" s="250">
        <v>6430.7269999999999</v>
      </c>
    </row>
    <row r="639" spans="3:5" x14ac:dyDescent="0.35">
      <c r="C639" s="1" t="s">
        <v>3919</v>
      </c>
      <c r="D639" s="1" t="s">
        <v>19</v>
      </c>
      <c r="E639" s="250">
        <v>6430.7280000000001</v>
      </c>
    </row>
    <row r="640" spans="3:5" x14ac:dyDescent="0.35">
      <c r="C640" s="1" t="s">
        <v>3918</v>
      </c>
      <c r="D640" s="1" t="s">
        <v>19</v>
      </c>
      <c r="E640" s="250">
        <v>6430.7290000000003</v>
      </c>
    </row>
    <row r="641" spans="3:5" x14ac:dyDescent="0.35">
      <c r="C641" s="1" t="s">
        <v>3917</v>
      </c>
      <c r="D641" s="1" t="s">
        <v>19</v>
      </c>
      <c r="E641" s="250">
        <v>6430.7309999999998</v>
      </c>
    </row>
    <row r="642" spans="3:5" x14ac:dyDescent="0.35">
      <c r="C642" s="1" t="s">
        <v>3916</v>
      </c>
      <c r="D642" s="1" t="s">
        <v>19</v>
      </c>
      <c r="E642" s="250">
        <v>6430.732</v>
      </c>
    </row>
    <row r="643" spans="3:5" x14ac:dyDescent="0.35">
      <c r="C643" s="1" t="s">
        <v>3915</v>
      </c>
      <c r="D643" s="1" t="s">
        <v>19</v>
      </c>
      <c r="E643" s="250">
        <v>6430.7330000000002</v>
      </c>
    </row>
    <row r="644" spans="3:5" x14ac:dyDescent="0.35">
      <c r="C644" s="1" t="s">
        <v>3914</v>
      </c>
      <c r="D644" s="1" t="s">
        <v>19</v>
      </c>
      <c r="E644" s="250">
        <v>6430.7340000000004</v>
      </c>
    </row>
    <row r="645" spans="3:5" x14ac:dyDescent="0.35">
      <c r="C645" s="1" t="s">
        <v>3913</v>
      </c>
      <c r="D645" s="1" t="s">
        <v>19</v>
      </c>
      <c r="E645" s="250">
        <v>6430.7349999999997</v>
      </c>
    </row>
    <row r="646" spans="3:5" x14ac:dyDescent="0.35">
      <c r="C646" s="1" t="s">
        <v>3912</v>
      </c>
      <c r="D646" s="1" t="s">
        <v>19</v>
      </c>
      <c r="E646" s="250">
        <v>6430.7359999999999</v>
      </c>
    </row>
    <row r="647" spans="3:5" x14ac:dyDescent="0.35">
      <c r="C647" s="1" t="s">
        <v>3911</v>
      </c>
      <c r="D647" s="1" t="s">
        <v>19</v>
      </c>
      <c r="E647" s="250">
        <v>6430.7370000000001</v>
      </c>
    </row>
    <row r="648" spans="3:5" x14ac:dyDescent="0.35">
      <c r="C648" s="1" t="s">
        <v>3910</v>
      </c>
      <c r="D648" s="1" t="s">
        <v>19</v>
      </c>
      <c r="E648" s="250">
        <v>6430.7380000000003</v>
      </c>
    </row>
    <row r="649" spans="3:5" x14ac:dyDescent="0.35">
      <c r="C649" s="1" t="s">
        <v>3909</v>
      </c>
      <c r="D649" s="1" t="s">
        <v>19</v>
      </c>
      <c r="E649" s="250">
        <v>6430.7389999999996</v>
      </c>
    </row>
    <row r="650" spans="3:5" x14ac:dyDescent="0.35">
      <c r="C650" s="1" t="s">
        <v>3908</v>
      </c>
      <c r="D650" s="1" t="s">
        <v>19</v>
      </c>
      <c r="E650" s="250">
        <v>6430.741</v>
      </c>
    </row>
    <row r="651" spans="3:5" x14ac:dyDescent="0.35">
      <c r="C651" s="1" t="s">
        <v>3907</v>
      </c>
      <c r="D651" s="1" t="s">
        <v>19</v>
      </c>
      <c r="E651" s="250">
        <v>6430.7420000000002</v>
      </c>
    </row>
    <row r="652" spans="3:5" x14ac:dyDescent="0.35">
      <c r="C652" s="1" t="s">
        <v>3906</v>
      </c>
      <c r="D652" s="1" t="s">
        <v>19</v>
      </c>
      <c r="E652" s="250">
        <v>6430.7430000000004</v>
      </c>
    </row>
    <row r="653" spans="3:5" x14ac:dyDescent="0.35">
      <c r="C653" s="1" t="s">
        <v>3905</v>
      </c>
      <c r="D653" s="1" t="s">
        <v>19</v>
      </c>
      <c r="E653" s="250">
        <v>6430.7439999999997</v>
      </c>
    </row>
    <row r="654" spans="3:5" x14ac:dyDescent="0.35">
      <c r="C654" s="1" t="s">
        <v>3904</v>
      </c>
      <c r="D654" s="1" t="s">
        <v>19</v>
      </c>
      <c r="E654" s="250">
        <v>6430.7449999999999</v>
      </c>
    </row>
    <row r="655" spans="3:5" x14ac:dyDescent="0.35">
      <c r="C655" s="1" t="s">
        <v>3903</v>
      </c>
      <c r="D655" s="1" t="s">
        <v>19</v>
      </c>
      <c r="E655" s="250">
        <v>6430.7460000000001</v>
      </c>
    </row>
    <row r="656" spans="3:5" x14ac:dyDescent="0.35">
      <c r="C656" s="1" t="s">
        <v>3902</v>
      </c>
      <c r="D656" s="1" t="s">
        <v>19</v>
      </c>
      <c r="E656" s="250">
        <v>6430.7470000000003</v>
      </c>
    </row>
    <row r="657" spans="3:5" x14ac:dyDescent="0.35">
      <c r="C657" s="1" t="s">
        <v>3901</v>
      </c>
      <c r="D657" s="1" t="s">
        <v>19</v>
      </c>
      <c r="E657" s="250">
        <v>6430.7479999999996</v>
      </c>
    </row>
    <row r="658" spans="3:5" x14ac:dyDescent="0.35">
      <c r="C658" s="1" t="s">
        <v>3900</v>
      </c>
      <c r="D658" s="1" t="s">
        <v>19</v>
      </c>
      <c r="E658" s="250">
        <v>6430.7489999999998</v>
      </c>
    </row>
    <row r="659" spans="3:5" x14ac:dyDescent="0.35">
      <c r="C659" s="1" t="s">
        <v>3899</v>
      </c>
      <c r="D659" s="1" t="s">
        <v>19</v>
      </c>
      <c r="E659" s="250">
        <v>6430.7510000000002</v>
      </c>
    </row>
    <row r="660" spans="3:5" x14ac:dyDescent="0.35">
      <c r="C660" s="1" t="s">
        <v>3898</v>
      </c>
      <c r="D660" s="1" t="s">
        <v>19</v>
      </c>
      <c r="E660" s="250">
        <v>6430.7520000000004</v>
      </c>
    </row>
    <row r="661" spans="3:5" x14ac:dyDescent="0.35">
      <c r="C661" s="1" t="s">
        <v>3897</v>
      </c>
      <c r="D661" s="1" t="s">
        <v>19</v>
      </c>
      <c r="E661" s="250">
        <v>6430.7529999999997</v>
      </c>
    </row>
    <row r="662" spans="3:5" x14ac:dyDescent="0.35">
      <c r="C662" s="1" t="s">
        <v>3896</v>
      </c>
      <c r="D662" s="1" t="s">
        <v>19</v>
      </c>
      <c r="E662" s="250">
        <v>6430.7539999999999</v>
      </c>
    </row>
    <row r="663" spans="3:5" x14ac:dyDescent="0.35">
      <c r="C663" s="1" t="s">
        <v>3895</v>
      </c>
      <c r="D663" s="1" t="s">
        <v>19</v>
      </c>
      <c r="E663" s="250">
        <v>6430.7550000000001</v>
      </c>
    </row>
    <row r="664" spans="3:5" x14ac:dyDescent="0.35">
      <c r="C664" s="1" t="s">
        <v>3894</v>
      </c>
      <c r="D664" s="1" t="s">
        <v>19</v>
      </c>
      <c r="E664" s="250">
        <v>6430.7560000000003</v>
      </c>
    </row>
    <row r="665" spans="3:5" x14ac:dyDescent="0.35">
      <c r="C665" s="1" t="s">
        <v>3893</v>
      </c>
      <c r="D665" s="1" t="s">
        <v>19</v>
      </c>
      <c r="E665" s="250">
        <v>6430.7569999999996</v>
      </c>
    </row>
    <row r="666" spans="3:5" x14ac:dyDescent="0.35">
      <c r="C666" s="1" t="s">
        <v>3892</v>
      </c>
      <c r="D666" s="1" t="s">
        <v>19</v>
      </c>
      <c r="E666" s="250">
        <v>6430.7579999999998</v>
      </c>
    </row>
    <row r="667" spans="3:5" x14ac:dyDescent="0.35">
      <c r="C667" s="1" t="s">
        <v>3891</v>
      </c>
      <c r="D667" s="1" t="s">
        <v>19</v>
      </c>
      <c r="E667" s="250">
        <v>6430.759</v>
      </c>
    </row>
    <row r="668" spans="3:5" x14ac:dyDescent="0.35">
      <c r="C668" s="1" t="s">
        <v>3890</v>
      </c>
      <c r="D668" s="1" t="s">
        <v>19</v>
      </c>
      <c r="E668" s="250">
        <v>6430.7610000000004</v>
      </c>
    </row>
    <row r="669" spans="3:5" x14ac:dyDescent="0.35">
      <c r="C669" s="1" t="s">
        <v>3889</v>
      </c>
      <c r="D669" s="1" t="s">
        <v>19</v>
      </c>
      <c r="E669" s="250">
        <v>6430.7619999999997</v>
      </c>
    </row>
    <row r="670" spans="3:5" x14ac:dyDescent="0.35">
      <c r="C670" s="1" t="s">
        <v>3888</v>
      </c>
      <c r="D670" s="1" t="s">
        <v>19</v>
      </c>
      <c r="E670" s="250">
        <v>6430.7629999999999</v>
      </c>
    </row>
    <row r="671" spans="3:5" x14ac:dyDescent="0.35">
      <c r="C671" s="1" t="s">
        <v>3887</v>
      </c>
      <c r="D671" s="1" t="s">
        <v>19</v>
      </c>
      <c r="E671" s="250">
        <v>6430.7640000000001</v>
      </c>
    </row>
    <row r="672" spans="3:5" x14ac:dyDescent="0.35">
      <c r="C672" s="1" t="s">
        <v>3886</v>
      </c>
      <c r="D672" s="1" t="s">
        <v>19</v>
      </c>
      <c r="E672" s="250">
        <v>6430.7650000000003</v>
      </c>
    </row>
    <row r="673" spans="3:5" x14ac:dyDescent="0.35">
      <c r="C673" s="1" t="s">
        <v>3885</v>
      </c>
      <c r="D673" s="1" t="s">
        <v>19</v>
      </c>
      <c r="E673" s="250">
        <v>6430.7659999999996</v>
      </c>
    </row>
    <row r="674" spans="3:5" x14ac:dyDescent="0.35">
      <c r="C674" s="1" t="s">
        <v>3884</v>
      </c>
      <c r="D674" s="1" t="s">
        <v>19</v>
      </c>
      <c r="E674" s="250">
        <v>6430.7669999999998</v>
      </c>
    </row>
    <row r="675" spans="3:5" x14ac:dyDescent="0.35">
      <c r="C675" s="1" t="s">
        <v>3883</v>
      </c>
      <c r="D675" s="1" t="s">
        <v>19</v>
      </c>
      <c r="E675" s="250">
        <v>6430.768</v>
      </c>
    </row>
    <row r="676" spans="3:5" x14ac:dyDescent="0.35">
      <c r="C676" s="1" t="s">
        <v>3882</v>
      </c>
      <c r="D676" s="1" t="s">
        <v>19</v>
      </c>
      <c r="E676" s="250">
        <v>6430.7690000000002</v>
      </c>
    </row>
    <row r="677" spans="3:5" x14ac:dyDescent="0.35">
      <c r="C677" s="1" t="s">
        <v>3881</v>
      </c>
      <c r="D677" s="1" t="s">
        <v>19</v>
      </c>
      <c r="E677" s="250">
        <v>6430.8010000000004</v>
      </c>
    </row>
    <row r="678" spans="3:5" x14ac:dyDescent="0.35">
      <c r="C678" s="1" t="s">
        <v>3880</v>
      </c>
      <c r="D678" s="1" t="s">
        <v>19</v>
      </c>
      <c r="E678" s="250">
        <v>6430.8019999999997</v>
      </c>
    </row>
    <row r="679" spans="3:5" x14ac:dyDescent="0.35">
      <c r="C679" s="1" t="s">
        <v>3879</v>
      </c>
      <c r="D679" s="1" t="s">
        <v>19</v>
      </c>
      <c r="E679" s="250">
        <v>6430.8029999999999</v>
      </c>
    </row>
    <row r="680" spans="3:5" x14ac:dyDescent="0.35">
      <c r="C680" s="1" t="s">
        <v>3878</v>
      </c>
      <c r="D680" s="1" t="s">
        <v>19</v>
      </c>
      <c r="E680" s="250">
        <v>6430.8040000000001</v>
      </c>
    </row>
    <row r="681" spans="3:5" x14ac:dyDescent="0.35">
      <c r="C681" s="1" t="s">
        <v>3877</v>
      </c>
      <c r="D681" s="1" t="s">
        <v>19</v>
      </c>
      <c r="E681" s="250">
        <v>6430.8050000000003</v>
      </c>
    </row>
    <row r="682" spans="3:5" x14ac:dyDescent="0.35">
      <c r="C682" s="1" t="s">
        <v>3876</v>
      </c>
      <c r="D682" s="1" t="s">
        <v>19</v>
      </c>
      <c r="E682" s="250">
        <v>6430.8059999999996</v>
      </c>
    </row>
    <row r="683" spans="3:5" x14ac:dyDescent="0.35">
      <c r="C683" s="1" t="s">
        <v>3875</v>
      </c>
      <c r="D683" s="1" t="s">
        <v>19</v>
      </c>
      <c r="E683" s="250">
        <v>6430.8069999999998</v>
      </c>
    </row>
    <row r="684" spans="3:5" x14ac:dyDescent="0.35">
      <c r="C684" s="1" t="s">
        <v>3874</v>
      </c>
      <c r="D684" s="1" t="s">
        <v>19</v>
      </c>
      <c r="E684" s="250">
        <v>6430.808</v>
      </c>
    </row>
    <row r="685" spans="3:5" x14ac:dyDescent="0.35">
      <c r="C685" s="1" t="s">
        <v>3873</v>
      </c>
      <c r="D685" s="1" t="s">
        <v>19</v>
      </c>
      <c r="E685" s="250">
        <v>6430.8090000000002</v>
      </c>
    </row>
    <row r="686" spans="3:5" x14ac:dyDescent="0.35">
      <c r="C686" s="1" t="s">
        <v>3872</v>
      </c>
      <c r="D686" s="1" t="s">
        <v>19</v>
      </c>
      <c r="E686" s="250">
        <v>6430.8109999999997</v>
      </c>
    </row>
    <row r="687" spans="3:5" x14ac:dyDescent="0.35">
      <c r="C687" s="1" t="s">
        <v>3871</v>
      </c>
      <c r="D687" s="1" t="s">
        <v>19</v>
      </c>
      <c r="E687" s="250">
        <v>6430.8119999999999</v>
      </c>
    </row>
    <row r="688" spans="3:5" x14ac:dyDescent="0.35">
      <c r="C688" s="1" t="s">
        <v>3870</v>
      </c>
      <c r="D688" s="1" t="s">
        <v>19</v>
      </c>
      <c r="E688" s="250">
        <v>6430.8130000000001</v>
      </c>
    </row>
    <row r="689" spans="3:5" x14ac:dyDescent="0.35">
      <c r="C689" s="1" t="s">
        <v>3869</v>
      </c>
      <c r="D689" s="1" t="s">
        <v>19</v>
      </c>
      <c r="E689" s="250">
        <v>6430.8140000000003</v>
      </c>
    </row>
    <row r="690" spans="3:5" x14ac:dyDescent="0.35">
      <c r="C690" s="1" t="s">
        <v>3868</v>
      </c>
      <c r="D690" s="1" t="s">
        <v>19</v>
      </c>
      <c r="E690" s="250">
        <v>6430.8149999999996</v>
      </c>
    </row>
    <row r="691" spans="3:5" x14ac:dyDescent="0.35">
      <c r="C691" s="1" t="s">
        <v>3867</v>
      </c>
      <c r="D691" s="1" t="s">
        <v>19</v>
      </c>
      <c r="E691" s="250">
        <v>6430.8159999999998</v>
      </c>
    </row>
    <row r="692" spans="3:5" x14ac:dyDescent="0.35">
      <c r="C692" s="1" t="s">
        <v>3866</v>
      </c>
      <c r="D692" s="1" t="s">
        <v>19</v>
      </c>
      <c r="E692" s="250">
        <v>6430.817</v>
      </c>
    </row>
    <row r="693" spans="3:5" x14ac:dyDescent="0.35">
      <c r="C693" s="1" t="s">
        <v>3865</v>
      </c>
      <c r="D693" s="1" t="s">
        <v>19</v>
      </c>
      <c r="E693" s="250">
        <v>6430.8180000000002</v>
      </c>
    </row>
    <row r="694" spans="3:5" x14ac:dyDescent="0.35">
      <c r="C694" s="1" t="s">
        <v>3864</v>
      </c>
      <c r="D694" s="1" t="s">
        <v>19</v>
      </c>
      <c r="E694" s="250">
        <v>6430.8190000000004</v>
      </c>
    </row>
    <row r="695" spans="3:5" x14ac:dyDescent="0.35">
      <c r="C695" s="1" t="s">
        <v>3863</v>
      </c>
      <c r="D695" s="1" t="s">
        <v>19</v>
      </c>
      <c r="E695" s="250">
        <v>6430.8209999999999</v>
      </c>
    </row>
    <row r="696" spans="3:5" x14ac:dyDescent="0.35">
      <c r="C696" s="1" t="s">
        <v>3862</v>
      </c>
      <c r="D696" s="1" t="s">
        <v>19</v>
      </c>
      <c r="E696" s="250">
        <v>6430.8220000000001</v>
      </c>
    </row>
    <row r="697" spans="3:5" x14ac:dyDescent="0.35">
      <c r="C697" s="1" t="s">
        <v>3861</v>
      </c>
      <c r="D697" s="1" t="s">
        <v>19</v>
      </c>
      <c r="E697" s="250">
        <v>6430.8230000000003</v>
      </c>
    </row>
    <row r="698" spans="3:5" x14ac:dyDescent="0.35">
      <c r="C698" s="1" t="s">
        <v>3860</v>
      </c>
      <c r="D698" s="1" t="s">
        <v>19</v>
      </c>
      <c r="E698" s="250">
        <v>6430.8239999999996</v>
      </c>
    </row>
    <row r="699" spans="3:5" x14ac:dyDescent="0.35">
      <c r="C699" s="1" t="s">
        <v>3859</v>
      </c>
      <c r="D699" s="1" t="s">
        <v>19</v>
      </c>
      <c r="E699" s="250">
        <v>6430.8249999999998</v>
      </c>
    </row>
    <row r="700" spans="3:5" x14ac:dyDescent="0.35">
      <c r="C700" s="1" t="s">
        <v>3858</v>
      </c>
      <c r="D700" s="1" t="s">
        <v>19</v>
      </c>
      <c r="E700" s="250">
        <v>6430.826</v>
      </c>
    </row>
    <row r="701" spans="3:5" x14ac:dyDescent="0.35">
      <c r="C701" s="1" t="s">
        <v>3857</v>
      </c>
      <c r="D701" s="1" t="s">
        <v>19</v>
      </c>
      <c r="E701" s="250">
        <v>6430.8270000000002</v>
      </c>
    </row>
    <row r="702" spans="3:5" x14ac:dyDescent="0.35">
      <c r="C702" s="1" t="s">
        <v>3856</v>
      </c>
      <c r="D702" s="1" t="s">
        <v>19</v>
      </c>
      <c r="E702" s="250">
        <v>6430.8280000000004</v>
      </c>
    </row>
    <row r="703" spans="3:5" x14ac:dyDescent="0.35">
      <c r="C703" s="1" t="s">
        <v>3855</v>
      </c>
      <c r="D703" s="1" t="s">
        <v>19</v>
      </c>
      <c r="E703" s="250">
        <v>6430.8289999999997</v>
      </c>
    </row>
    <row r="704" spans="3:5" x14ac:dyDescent="0.35">
      <c r="C704" s="1" t="s">
        <v>3854</v>
      </c>
      <c r="D704" s="1" t="s">
        <v>19</v>
      </c>
      <c r="E704" s="250">
        <v>6430.8310000000001</v>
      </c>
    </row>
    <row r="705" spans="3:5" x14ac:dyDescent="0.35">
      <c r="C705" s="1" t="s">
        <v>3853</v>
      </c>
      <c r="D705" s="1" t="s">
        <v>19</v>
      </c>
      <c r="E705" s="250">
        <v>6430.8320000000003</v>
      </c>
    </row>
    <row r="706" spans="3:5" x14ac:dyDescent="0.35">
      <c r="C706" s="1" t="s">
        <v>3852</v>
      </c>
      <c r="D706" s="1" t="s">
        <v>19</v>
      </c>
      <c r="E706" s="250">
        <v>6430.8329999999996</v>
      </c>
    </row>
    <row r="707" spans="3:5" x14ac:dyDescent="0.35">
      <c r="C707" s="1" t="s">
        <v>3851</v>
      </c>
      <c r="D707" s="1" t="s">
        <v>19</v>
      </c>
      <c r="E707" s="250">
        <v>6430.8339999999998</v>
      </c>
    </row>
    <row r="708" spans="3:5" x14ac:dyDescent="0.35">
      <c r="C708" s="1" t="s">
        <v>3850</v>
      </c>
      <c r="D708" s="1" t="s">
        <v>19</v>
      </c>
      <c r="E708" s="250">
        <v>6430.835</v>
      </c>
    </row>
    <row r="709" spans="3:5" x14ac:dyDescent="0.35">
      <c r="C709" s="1" t="s">
        <v>3849</v>
      </c>
      <c r="D709" s="1" t="s">
        <v>19</v>
      </c>
      <c r="E709" s="250">
        <v>6430.8360000000002</v>
      </c>
    </row>
    <row r="710" spans="3:5" x14ac:dyDescent="0.35">
      <c r="C710" s="1" t="s">
        <v>3848</v>
      </c>
      <c r="D710" s="1" t="s">
        <v>19</v>
      </c>
      <c r="E710" s="250">
        <v>6430.8370000000004</v>
      </c>
    </row>
    <row r="711" spans="3:5" x14ac:dyDescent="0.35">
      <c r="C711" s="1" t="s">
        <v>3847</v>
      </c>
      <c r="D711" s="1" t="s">
        <v>19</v>
      </c>
      <c r="E711" s="250">
        <v>6430.8379999999997</v>
      </c>
    </row>
    <row r="712" spans="3:5" x14ac:dyDescent="0.35">
      <c r="C712" s="1" t="s">
        <v>3846</v>
      </c>
      <c r="D712" s="1" t="s">
        <v>19</v>
      </c>
      <c r="E712" s="250">
        <v>6430.8389999999999</v>
      </c>
    </row>
    <row r="713" spans="3:5" x14ac:dyDescent="0.35">
      <c r="C713" s="1" t="s">
        <v>3845</v>
      </c>
      <c r="D713" s="1" t="s">
        <v>19</v>
      </c>
      <c r="E713" s="250">
        <v>6430.8410000000003</v>
      </c>
    </row>
    <row r="714" spans="3:5" x14ac:dyDescent="0.35">
      <c r="C714" s="1" t="s">
        <v>3844</v>
      </c>
      <c r="D714" s="1" t="s">
        <v>19</v>
      </c>
      <c r="E714" s="250">
        <v>6430.8419999999996</v>
      </c>
    </row>
    <row r="715" spans="3:5" x14ac:dyDescent="0.35">
      <c r="C715" s="1" t="s">
        <v>3843</v>
      </c>
      <c r="D715" s="1" t="s">
        <v>19</v>
      </c>
      <c r="E715" s="250">
        <v>6430.8429999999998</v>
      </c>
    </row>
    <row r="716" spans="3:5" x14ac:dyDescent="0.35">
      <c r="C716" s="1" t="s">
        <v>3842</v>
      </c>
      <c r="D716" s="1" t="s">
        <v>19</v>
      </c>
      <c r="E716" s="250">
        <v>6430.8440000000001</v>
      </c>
    </row>
    <row r="717" spans="3:5" x14ac:dyDescent="0.35">
      <c r="C717" s="1" t="s">
        <v>3841</v>
      </c>
      <c r="D717" s="1" t="s">
        <v>19</v>
      </c>
      <c r="E717" s="250">
        <v>6430.8450000000003</v>
      </c>
    </row>
    <row r="718" spans="3:5" x14ac:dyDescent="0.35">
      <c r="C718" s="1" t="s">
        <v>3840</v>
      </c>
      <c r="D718" s="1" t="s">
        <v>19</v>
      </c>
      <c r="E718" s="250">
        <v>6430.8459999999995</v>
      </c>
    </row>
    <row r="719" spans="3:5" x14ac:dyDescent="0.35">
      <c r="C719" s="1" t="s">
        <v>3839</v>
      </c>
      <c r="D719" s="1" t="s">
        <v>19</v>
      </c>
      <c r="E719" s="250">
        <v>6430.8469999999998</v>
      </c>
    </row>
    <row r="720" spans="3:5" x14ac:dyDescent="0.35">
      <c r="C720" s="1" t="s">
        <v>3838</v>
      </c>
      <c r="D720" s="1" t="s">
        <v>19</v>
      </c>
      <c r="E720" s="250">
        <v>6430.848</v>
      </c>
    </row>
    <row r="721" spans="3:5" x14ac:dyDescent="0.35">
      <c r="C721" s="1" t="s">
        <v>3837</v>
      </c>
      <c r="D721" s="1" t="s">
        <v>19</v>
      </c>
      <c r="E721" s="250">
        <v>6430.8490000000002</v>
      </c>
    </row>
    <row r="722" spans="3:5" x14ac:dyDescent="0.35">
      <c r="C722" s="1" t="s">
        <v>3836</v>
      </c>
      <c r="D722" s="1" t="s">
        <v>19</v>
      </c>
      <c r="E722" s="250">
        <v>6430.8509999999997</v>
      </c>
    </row>
    <row r="723" spans="3:5" x14ac:dyDescent="0.35">
      <c r="C723" s="1" t="s">
        <v>3835</v>
      </c>
      <c r="D723" s="1" t="s">
        <v>19</v>
      </c>
      <c r="E723" s="250">
        <v>6430.8519999999999</v>
      </c>
    </row>
    <row r="724" spans="3:5" x14ac:dyDescent="0.35">
      <c r="C724" s="1" t="s">
        <v>3834</v>
      </c>
      <c r="D724" s="1" t="s">
        <v>19</v>
      </c>
      <c r="E724" s="250">
        <v>6430.8530000000001</v>
      </c>
    </row>
    <row r="725" spans="3:5" x14ac:dyDescent="0.35">
      <c r="C725" s="1" t="s">
        <v>3833</v>
      </c>
      <c r="D725" s="1" t="s">
        <v>19</v>
      </c>
      <c r="E725" s="250">
        <v>6430.8540000000003</v>
      </c>
    </row>
    <row r="726" spans="3:5" x14ac:dyDescent="0.35">
      <c r="C726" s="1" t="s">
        <v>3832</v>
      </c>
      <c r="D726" s="1" t="s">
        <v>19</v>
      </c>
      <c r="E726" s="250">
        <v>6430.8549999999996</v>
      </c>
    </row>
    <row r="727" spans="3:5" x14ac:dyDescent="0.35">
      <c r="C727" s="1" t="s">
        <v>3831</v>
      </c>
      <c r="D727" s="1" t="s">
        <v>19</v>
      </c>
      <c r="E727" s="250">
        <v>6430.8559999999998</v>
      </c>
    </row>
    <row r="728" spans="3:5" x14ac:dyDescent="0.35">
      <c r="C728" s="1" t="s">
        <v>3830</v>
      </c>
      <c r="D728" s="1" t="s">
        <v>19</v>
      </c>
      <c r="E728" s="250">
        <v>6430.857</v>
      </c>
    </row>
    <row r="729" spans="3:5" x14ac:dyDescent="0.35">
      <c r="C729" s="1" t="s">
        <v>3829</v>
      </c>
      <c r="D729" s="1" t="s">
        <v>19</v>
      </c>
      <c r="E729" s="250">
        <v>6430.8580000000002</v>
      </c>
    </row>
    <row r="730" spans="3:5" x14ac:dyDescent="0.35">
      <c r="C730" s="1" t="s">
        <v>3828</v>
      </c>
      <c r="D730" s="1" t="s">
        <v>19</v>
      </c>
      <c r="E730" s="250">
        <v>6430.8590000000004</v>
      </c>
    </row>
    <row r="731" spans="3:5" x14ac:dyDescent="0.35">
      <c r="C731" s="1" t="s">
        <v>3827</v>
      </c>
      <c r="D731" s="1" t="s">
        <v>19</v>
      </c>
      <c r="E731" s="250">
        <v>6430.8609999999999</v>
      </c>
    </row>
    <row r="732" spans="3:5" x14ac:dyDescent="0.35">
      <c r="C732" s="1" t="s">
        <v>3826</v>
      </c>
      <c r="D732" s="1" t="s">
        <v>19</v>
      </c>
      <c r="E732" s="250">
        <v>6430.8620000000001</v>
      </c>
    </row>
    <row r="733" spans="3:5" x14ac:dyDescent="0.35">
      <c r="C733" s="1" t="s">
        <v>3825</v>
      </c>
      <c r="D733" s="1" t="s">
        <v>19</v>
      </c>
      <c r="E733" s="250">
        <v>6430.8630000000003</v>
      </c>
    </row>
    <row r="734" spans="3:5" x14ac:dyDescent="0.35">
      <c r="C734" s="1" t="s">
        <v>3824</v>
      </c>
      <c r="D734" s="1" t="s">
        <v>19</v>
      </c>
      <c r="E734" s="250">
        <v>6430.8639999999996</v>
      </c>
    </row>
    <row r="735" spans="3:5" x14ac:dyDescent="0.35">
      <c r="C735" s="1" t="s">
        <v>3823</v>
      </c>
      <c r="D735" s="1" t="s">
        <v>19</v>
      </c>
      <c r="E735" s="250">
        <v>6430.8649999999998</v>
      </c>
    </row>
    <row r="736" spans="3:5" x14ac:dyDescent="0.35">
      <c r="C736" s="1" t="s">
        <v>3822</v>
      </c>
      <c r="D736" s="1" t="s">
        <v>19</v>
      </c>
      <c r="E736" s="250">
        <v>6430.866</v>
      </c>
    </row>
    <row r="737" spans="3:5" x14ac:dyDescent="0.35">
      <c r="C737" s="1" t="s">
        <v>3821</v>
      </c>
      <c r="D737" s="1" t="s">
        <v>19</v>
      </c>
      <c r="E737" s="250">
        <v>6430.8670000000002</v>
      </c>
    </row>
    <row r="738" spans="3:5" x14ac:dyDescent="0.35">
      <c r="C738" s="1" t="s">
        <v>3820</v>
      </c>
      <c r="D738" s="1" t="s">
        <v>19</v>
      </c>
      <c r="E738" s="250">
        <v>6430.8680000000004</v>
      </c>
    </row>
    <row r="739" spans="3:5" x14ac:dyDescent="0.35">
      <c r="C739" s="1" t="s">
        <v>3819</v>
      </c>
      <c r="D739" s="1" t="s">
        <v>19</v>
      </c>
      <c r="E739" s="250">
        <v>6430.8689999999997</v>
      </c>
    </row>
    <row r="740" spans="3:5" x14ac:dyDescent="0.35">
      <c r="C740" s="1" t="s">
        <v>3818</v>
      </c>
      <c r="D740" s="1" t="s">
        <v>19</v>
      </c>
      <c r="E740" s="250">
        <v>6430.9009999999998</v>
      </c>
    </row>
    <row r="741" spans="3:5" x14ac:dyDescent="0.35">
      <c r="C741" s="1" t="s">
        <v>3817</v>
      </c>
      <c r="D741" s="1" t="s">
        <v>19</v>
      </c>
      <c r="E741" s="250">
        <v>6430.902</v>
      </c>
    </row>
    <row r="742" spans="3:5" x14ac:dyDescent="0.35">
      <c r="C742" s="1" t="s">
        <v>3816</v>
      </c>
      <c r="D742" s="1" t="s">
        <v>19</v>
      </c>
      <c r="E742" s="250">
        <v>6430.9030000000002</v>
      </c>
    </row>
    <row r="743" spans="3:5" x14ac:dyDescent="0.35">
      <c r="C743" s="1" t="s">
        <v>3815</v>
      </c>
      <c r="D743" s="1" t="s">
        <v>19</v>
      </c>
      <c r="E743" s="250">
        <v>6430.9040000000005</v>
      </c>
    </row>
    <row r="744" spans="3:5" x14ac:dyDescent="0.35">
      <c r="C744" s="1" t="s">
        <v>3814</v>
      </c>
      <c r="D744" s="1" t="s">
        <v>19</v>
      </c>
      <c r="E744" s="250">
        <v>6430.9049999999997</v>
      </c>
    </row>
    <row r="745" spans="3:5" x14ac:dyDescent="0.35">
      <c r="C745" s="1" t="s">
        <v>3813</v>
      </c>
      <c r="D745" s="1" t="s">
        <v>19</v>
      </c>
      <c r="E745" s="250">
        <v>6430.9059999999999</v>
      </c>
    </row>
    <row r="746" spans="3:5" x14ac:dyDescent="0.35">
      <c r="C746" s="1" t="s">
        <v>3812</v>
      </c>
      <c r="D746" s="1" t="s">
        <v>19</v>
      </c>
      <c r="E746" s="250">
        <v>6430.9070000000002</v>
      </c>
    </row>
    <row r="747" spans="3:5" x14ac:dyDescent="0.35">
      <c r="C747" s="1" t="s">
        <v>3811</v>
      </c>
      <c r="D747" s="1" t="s">
        <v>19</v>
      </c>
      <c r="E747" s="250">
        <v>6430.9080000000004</v>
      </c>
    </row>
    <row r="748" spans="3:5" x14ac:dyDescent="0.35">
      <c r="C748" s="1" t="s">
        <v>3810</v>
      </c>
      <c r="D748" s="1" t="s">
        <v>19</v>
      </c>
      <c r="E748" s="250">
        <v>6430.9089999999997</v>
      </c>
    </row>
    <row r="749" spans="3:5" x14ac:dyDescent="0.35">
      <c r="C749" s="1" t="s">
        <v>3809</v>
      </c>
      <c r="D749" s="1" t="s">
        <v>19</v>
      </c>
      <c r="E749" s="250">
        <v>6430.9110000000001</v>
      </c>
    </row>
    <row r="750" spans="3:5" x14ac:dyDescent="0.35">
      <c r="C750" s="1" t="s">
        <v>3808</v>
      </c>
      <c r="D750" s="1" t="s">
        <v>19</v>
      </c>
      <c r="E750" s="250">
        <v>6430.9120000000003</v>
      </c>
    </row>
    <row r="751" spans="3:5" x14ac:dyDescent="0.35">
      <c r="C751" s="1" t="s">
        <v>3807</v>
      </c>
      <c r="D751" s="1" t="s">
        <v>19</v>
      </c>
      <c r="E751" s="250">
        <v>6430.9129999999996</v>
      </c>
    </row>
    <row r="752" spans="3:5" x14ac:dyDescent="0.35">
      <c r="C752" s="1" t="s">
        <v>3806</v>
      </c>
      <c r="D752" s="1" t="s">
        <v>19</v>
      </c>
      <c r="E752" s="250">
        <v>6430.9139999999998</v>
      </c>
    </row>
    <row r="753" spans="3:5" x14ac:dyDescent="0.35">
      <c r="C753" s="1" t="s">
        <v>3805</v>
      </c>
      <c r="D753" s="1" t="s">
        <v>19</v>
      </c>
      <c r="E753" s="250">
        <v>6430.915</v>
      </c>
    </row>
    <row r="754" spans="3:5" x14ac:dyDescent="0.35">
      <c r="C754" s="1" t="s">
        <v>3804</v>
      </c>
      <c r="D754" s="1" t="s">
        <v>19</v>
      </c>
      <c r="E754" s="250">
        <v>6430.9160000000002</v>
      </c>
    </row>
    <row r="755" spans="3:5" x14ac:dyDescent="0.35">
      <c r="C755" s="1" t="s">
        <v>3803</v>
      </c>
      <c r="D755" s="1" t="s">
        <v>19</v>
      </c>
      <c r="E755" s="250">
        <v>6430.9170000000004</v>
      </c>
    </row>
    <row r="756" spans="3:5" x14ac:dyDescent="0.35">
      <c r="C756" s="1" t="s">
        <v>3802</v>
      </c>
      <c r="D756" s="1" t="s">
        <v>19</v>
      </c>
      <c r="E756" s="250">
        <v>6430.9179999999997</v>
      </c>
    </row>
    <row r="757" spans="3:5" x14ac:dyDescent="0.35">
      <c r="C757" s="1" t="s">
        <v>3801</v>
      </c>
      <c r="D757" s="1" t="s">
        <v>19</v>
      </c>
      <c r="E757" s="250">
        <v>6430.9189999999999</v>
      </c>
    </row>
    <row r="758" spans="3:5" x14ac:dyDescent="0.35">
      <c r="C758" s="1" t="s">
        <v>3800</v>
      </c>
      <c r="D758" s="1" t="s">
        <v>19</v>
      </c>
      <c r="E758" s="250">
        <v>6430.9210000000003</v>
      </c>
    </row>
    <row r="759" spans="3:5" x14ac:dyDescent="0.35">
      <c r="C759" s="1" t="s">
        <v>3799</v>
      </c>
      <c r="D759" s="1" t="s">
        <v>19</v>
      </c>
      <c r="E759" s="250">
        <v>6430.9219999999996</v>
      </c>
    </row>
    <row r="760" spans="3:5" x14ac:dyDescent="0.35">
      <c r="C760" s="1" t="s">
        <v>3798</v>
      </c>
      <c r="D760" s="1" t="s">
        <v>19</v>
      </c>
      <c r="E760" s="250">
        <v>6430.9229999999998</v>
      </c>
    </row>
    <row r="761" spans="3:5" x14ac:dyDescent="0.35">
      <c r="C761" s="1" t="s">
        <v>3797</v>
      </c>
      <c r="D761" s="1" t="s">
        <v>19</v>
      </c>
      <c r="E761" s="250">
        <v>6430.924</v>
      </c>
    </row>
    <row r="762" spans="3:5" x14ac:dyDescent="0.35">
      <c r="C762" s="1" t="s">
        <v>3796</v>
      </c>
      <c r="D762" s="1" t="s">
        <v>19</v>
      </c>
      <c r="E762" s="250">
        <v>6430.9250000000002</v>
      </c>
    </row>
    <row r="763" spans="3:5" x14ac:dyDescent="0.35">
      <c r="C763" s="1" t="s">
        <v>3795</v>
      </c>
      <c r="D763" s="1" t="s">
        <v>19</v>
      </c>
      <c r="E763" s="250">
        <v>6430.9260000000004</v>
      </c>
    </row>
    <row r="764" spans="3:5" x14ac:dyDescent="0.35">
      <c r="C764" s="1" t="s">
        <v>3794</v>
      </c>
      <c r="D764" s="1" t="s">
        <v>19</v>
      </c>
      <c r="E764" s="250">
        <v>6430.9269999999997</v>
      </c>
    </row>
    <row r="765" spans="3:5" x14ac:dyDescent="0.35">
      <c r="C765" s="1" t="s">
        <v>3793</v>
      </c>
      <c r="D765" s="1" t="s">
        <v>19</v>
      </c>
      <c r="E765" s="250">
        <v>6430.9279999999999</v>
      </c>
    </row>
    <row r="766" spans="3:5" x14ac:dyDescent="0.35">
      <c r="C766" s="1" t="s">
        <v>3792</v>
      </c>
      <c r="D766" s="1" t="s">
        <v>19</v>
      </c>
      <c r="E766" s="250">
        <v>6430.9290000000001</v>
      </c>
    </row>
    <row r="767" spans="3:5" x14ac:dyDescent="0.35">
      <c r="C767" s="1" t="s">
        <v>3791</v>
      </c>
      <c r="D767" s="1" t="s">
        <v>19</v>
      </c>
      <c r="E767" s="250">
        <v>6430.9309999999996</v>
      </c>
    </row>
    <row r="768" spans="3:5" x14ac:dyDescent="0.35">
      <c r="C768" s="1" t="s">
        <v>3790</v>
      </c>
      <c r="D768" s="1" t="s">
        <v>19</v>
      </c>
      <c r="E768" s="250">
        <v>6430.9319999999998</v>
      </c>
    </row>
    <row r="769" spans="3:5" x14ac:dyDescent="0.35">
      <c r="C769" s="1" t="s">
        <v>3789</v>
      </c>
      <c r="D769" s="1" t="s">
        <v>19</v>
      </c>
      <c r="E769" s="250">
        <v>6430.933</v>
      </c>
    </row>
    <row r="770" spans="3:5" x14ac:dyDescent="0.35">
      <c r="C770" s="1" t="s">
        <v>3788</v>
      </c>
      <c r="D770" s="1" t="s">
        <v>19</v>
      </c>
      <c r="E770" s="250">
        <v>6430.9340000000002</v>
      </c>
    </row>
    <row r="771" spans="3:5" x14ac:dyDescent="0.35">
      <c r="C771" s="1" t="s">
        <v>3787</v>
      </c>
      <c r="D771" s="1" t="s">
        <v>19</v>
      </c>
      <c r="E771" s="250">
        <v>6430.9350000000004</v>
      </c>
    </row>
    <row r="772" spans="3:5" x14ac:dyDescent="0.35">
      <c r="C772" s="1" t="s">
        <v>3786</v>
      </c>
      <c r="D772" s="1" t="s">
        <v>19</v>
      </c>
      <c r="E772" s="250">
        <v>6430.9359999999997</v>
      </c>
    </row>
    <row r="773" spans="3:5" x14ac:dyDescent="0.35">
      <c r="C773" s="1" t="s">
        <v>3785</v>
      </c>
      <c r="D773" s="1" t="s">
        <v>19</v>
      </c>
      <c r="E773" s="250">
        <v>6430.9369999999999</v>
      </c>
    </row>
    <row r="774" spans="3:5" x14ac:dyDescent="0.35">
      <c r="C774" s="1" t="s">
        <v>3784</v>
      </c>
      <c r="D774" s="1" t="s">
        <v>19</v>
      </c>
      <c r="E774" s="250">
        <v>6430.9380000000001</v>
      </c>
    </row>
    <row r="775" spans="3:5" x14ac:dyDescent="0.35">
      <c r="C775" s="1" t="s">
        <v>3783</v>
      </c>
      <c r="D775" s="1" t="s">
        <v>19</v>
      </c>
      <c r="E775" s="250">
        <v>6430.9390000000003</v>
      </c>
    </row>
    <row r="776" spans="3:5" x14ac:dyDescent="0.35">
      <c r="C776" s="1" t="s">
        <v>3782</v>
      </c>
      <c r="D776" s="1" t="s">
        <v>19</v>
      </c>
      <c r="E776" s="250">
        <v>6430.9409999999998</v>
      </c>
    </row>
    <row r="777" spans="3:5" x14ac:dyDescent="0.35">
      <c r="C777" s="1" t="s">
        <v>3781</v>
      </c>
      <c r="D777" s="1" t="s">
        <v>19</v>
      </c>
      <c r="E777" s="250">
        <v>6430.942</v>
      </c>
    </row>
    <row r="778" spans="3:5" x14ac:dyDescent="0.35">
      <c r="C778" s="1" t="s">
        <v>3780</v>
      </c>
      <c r="D778" s="1" t="s">
        <v>19</v>
      </c>
      <c r="E778" s="250">
        <v>6430.9430000000002</v>
      </c>
    </row>
    <row r="779" spans="3:5" x14ac:dyDescent="0.35">
      <c r="C779" s="1" t="s">
        <v>3779</v>
      </c>
      <c r="D779" s="1" t="s">
        <v>19</v>
      </c>
      <c r="E779" s="250">
        <v>6430.9440000000004</v>
      </c>
    </row>
    <row r="780" spans="3:5" x14ac:dyDescent="0.35">
      <c r="C780" s="1" t="s">
        <v>3778</v>
      </c>
      <c r="D780" s="1" t="s">
        <v>19</v>
      </c>
      <c r="E780" s="250">
        <v>6430.9449999999997</v>
      </c>
    </row>
    <row r="781" spans="3:5" x14ac:dyDescent="0.35">
      <c r="C781" s="1" t="s">
        <v>3777</v>
      </c>
      <c r="D781" s="1" t="s">
        <v>19</v>
      </c>
      <c r="E781" s="250">
        <v>6430.9459999999999</v>
      </c>
    </row>
    <row r="782" spans="3:5" x14ac:dyDescent="0.35">
      <c r="C782" s="1" t="s">
        <v>3776</v>
      </c>
      <c r="D782" s="1" t="s">
        <v>19</v>
      </c>
      <c r="E782" s="250">
        <v>6430.9470000000001</v>
      </c>
    </row>
    <row r="783" spans="3:5" x14ac:dyDescent="0.35">
      <c r="C783" s="1" t="s">
        <v>3775</v>
      </c>
      <c r="D783" s="1" t="s">
        <v>19</v>
      </c>
      <c r="E783" s="250">
        <v>6430.9480000000003</v>
      </c>
    </row>
    <row r="784" spans="3:5" x14ac:dyDescent="0.35">
      <c r="C784" s="1" t="s">
        <v>3774</v>
      </c>
      <c r="D784" s="1" t="s">
        <v>19</v>
      </c>
      <c r="E784" s="250">
        <v>6430.9489999999996</v>
      </c>
    </row>
    <row r="785" spans="3:5" x14ac:dyDescent="0.35">
      <c r="C785" s="1" t="s">
        <v>3773</v>
      </c>
      <c r="D785" s="1" t="s">
        <v>19</v>
      </c>
      <c r="E785" s="250">
        <v>6430.951</v>
      </c>
    </row>
    <row r="786" spans="3:5" x14ac:dyDescent="0.35">
      <c r="C786" s="1" t="s">
        <v>3772</v>
      </c>
      <c r="D786" s="1" t="s">
        <v>19</v>
      </c>
      <c r="E786" s="250">
        <v>6430.9520000000002</v>
      </c>
    </row>
    <row r="787" spans="3:5" x14ac:dyDescent="0.35">
      <c r="C787" s="1" t="s">
        <v>3771</v>
      </c>
      <c r="D787" s="1" t="s">
        <v>19</v>
      </c>
      <c r="E787" s="250">
        <v>6430.9530000000004</v>
      </c>
    </row>
    <row r="788" spans="3:5" x14ac:dyDescent="0.35">
      <c r="C788" s="1" t="s">
        <v>3770</v>
      </c>
      <c r="D788" s="1" t="s">
        <v>19</v>
      </c>
      <c r="E788" s="250">
        <v>6430.9539999999997</v>
      </c>
    </row>
    <row r="789" spans="3:5" x14ac:dyDescent="0.35">
      <c r="C789" s="1" t="s">
        <v>3769</v>
      </c>
      <c r="D789" s="1" t="s">
        <v>19</v>
      </c>
      <c r="E789" s="250">
        <v>6430.9549999999999</v>
      </c>
    </row>
    <row r="790" spans="3:5" x14ac:dyDescent="0.35">
      <c r="C790" s="1" t="s">
        <v>3768</v>
      </c>
      <c r="D790" s="1" t="s">
        <v>19</v>
      </c>
      <c r="E790" s="250">
        <v>6430.9560000000001</v>
      </c>
    </row>
    <row r="791" spans="3:5" x14ac:dyDescent="0.35">
      <c r="C791" s="1" t="s">
        <v>3767</v>
      </c>
      <c r="D791" s="1" t="s">
        <v>19</v>
      </c>
      <c r="E791" s="250">
        <v>6430.9570000000003</v>
      </c>
    </row>
    <row r="792" spans="3:5" x14ac:dyDescent="0.35">
      <c r="C792" s="1" t="s">
        <v>3766</v>
      </c>
      <c r="D792" s="1" t="s">
        <v>19</v>
      </c>
      <c r="E792" s="250">
        <v>6430.9579999999996</v>
      </c>
    </row>
    <row r="793" spans="3:5" x14ac:dyDescent="0.35">
      <c r="C793" s="1" t="s">
        <v>3765</v>
      </c>
      <c r="D793" s="1" t="s">
        <v>19</v>
      </c>
      <c r="E793" s="250">
        <v>6430.9589999999998</v>
      </c>
    </row>
    <row r="794" spans="3:5" x14ac:dyDescent="0.35">
      <c r="C794" s="1" t="s">
        <v>3764</v>
      </c>
      <c r="D794" s="1" t="s">
        <v>19</v>
      </c>
      <c r="E794" s="250">
        <v>6430.9610000000002</v>
      </c>
    </row>
    <row r="795" spans="3:5" x14ac:dyDescent="0.35">
      <c r="C795" s="1" t="s">
        <v>3763</v>
      </c>
      <c r="D795" s="1" t="s">
        <v>19</v>
      </c>
      <c r="E795" s="250">
        <v>6430.9620000000004</v>
      </c>
    </row>
    <row r="796" spans="3:5" x14ac:dyDescent="0.35">
      <c r="C796" s="1" t="s">
        <v>3762</v>
      </c>
      <c r="D796" s="1" t="s">
        <v>19</v>
      </c>
      <c r="E796" s="250">
        <v>6430.9629999999997</v>
      </c>
    </row>
    <row r="797" spans="3:5" x14ac:dyDescent="0.35">
      <c r="C797" s="1" t="s">
        <v>3761</v>
      </c>
      <c r="D797" s="1" t="s">
        <v>19</v>
      </c>
      <c r="E797" s="250">
        <v>6430.9639999999999</v>
      </c>
    </row>
    <row r="798" spans="3:5" x14ac:dyDescent="0.35">
      <c r="C798" s="1" t="s">
        <v>3760</v>
      </c>
      <c r="D798" s="1" t="s">
        <v>19</v>
      </c>
      <c r="E798" s="250">
        <v>6430.9650000000001</v>
      </c>
    </row>
    <row r="799" spans="3:5" x14ac:dyDescent="0.35">
      <c r="C799" s="1" t="s">
        <v>3759</v>
      </c>
      <c r="D799" s="1" t="s">
        <v>19</v>
      </c>
      <c r="E799" s="250">
        <v>6430.9660000000003</v>
      </c>
    </row>
    <row r="800" spans="3:5" x14ac:dyDescent="0.35">
      <c r="C800" s="1" t="s">
        <v>3758</v>
      </c>
      <c r="D800" s="1" t="s">
        <v>19</v>
      </c>
      <c r="E800" s="250">
        <v>6430.9669999999996</v>
      </c>
    </row>
    <row r="801" spans="3:5" x14ac:dyDescent="0.35">
      <c r="C801" s="1" t="s">
        <v>3757</v>
      </c>
      <c r="D801" s="1" t="s">
        <v>19</v>
      </c>
      <c r="E801" s="250">
        <v>6430.9679999999998</v>
      </c>
    </row>
    <row r="802" spans="3:5" x14ac:dyDescent="0.35">
      <c r="C802" s="1" t="s">
        <v>3756</v>
      </c>
      <c r="D802" s="1" t="s">
        <v>19</v>
      </c>
      <c r="E802" s="250">
        <v>6430.9690000000001</v>
      </c>
    </row>
    <row r="803" spans="3:5" x14ac:dyDescent="0.35">
      <c r="C803" s="1" t="s">
        <v>3755</v>
      </c>
      <c r="D803" s="1" t="s">
        <v>19</v>
      </c>
      <c r="E803" s="250">
        <v>6431.0010000000002</v>
      </c>
    </row>
    <row r="804" spans="3:5" x14ac:dyDescent="0.35">
      <c r="C804" s="1" t="s">
        <v>3754</v>
      </c>
      <c r="D804" s="1" t="s">
        <v>19</v>
      </c>
      <c r="E804" s="250">
        <v>6431.0020000000004</v>
      </c>
    </row>
    <row r="805" spans="3:5" x14ac:dyDescent="0.35">
      <c r="C805" s="1" t="s">
        <v>3753</v>
      </c>
      <c r="D805" s="1" t="s">
        <v>19</v>
      </c>
      <c r="E805" s="250">
        <v>6431.0029999999997</v>
      </c>
    </row>
    <row r="806" spans="3:5" x14ac:dyDescent="0.35">
      <c r="C806" s="1" t="s">
        <v>3752</v>
      </c>
      <c r="D806" s="1" t="s">
        <v>19</v>
      </c>
      <c r="E806" s="250">
        <v>6431.0039999999999</v>
      </c>
    </row>
    <row r="807" spans="3:5" x14ac:dyDescent="0.35">
      <c r="C807" s="1" t="s">
        <v>3751</v>
      </c>
      <c r="D807" s="1" t="s">
        <v>19</v>
      </c>
      <c r="E807" s="250">
        <v>6431.0050000000001</v>
      </c>
    </row>
    <row r="808" spans="3:5" x14ac:dyDescent="0.35">
      <c r="C808" s="1" t="s">
        <v>3750</v>
      </c>
      <c r="D808" s="1" t="s">
        <v>19</v>
      </c>
      <c r="E808" s="250">
        <v>6431.0060000000003</v>
      </c>
    </row>
    <row r="809" spans="3:5" x14ac:dyDescent="0.35">
      <c r="C809" s="1" t="s">
        <v>3749</v>
      </c>
      <c r="D809" s="1" t="s">
        <v>19</v>
      </c>
      <c r="E809" s="250">
        <v>6431.0069999999996</v>
      </c>
    </row>
    <row r="810" spans="3:5" x14ac:dyDescent="0.35">
      <c r="C810" s="1" t="s">
        <v>3748</v>
      </c>
      <c r="D810" s="1" t="s">
        <v>19</v>
      </c>
      <c r="E810" s="250">
        <v>6431.0079999999998</v>
      </c>
    </row>
    <row r="811" spans="3:5" x14ac:dyDescent="0.35">
      <c r="C811" s="1" t="s">
        <v>3747</v>
      </c>
      <c r="D811" s="1" t="s">
        <v>19</v>
      </c>
      <c r="E811" s="250">
        <v>6431.009</v>
      </c>
    </row>
    <row r="812" spans="3:5" x14ac:dyDescent="0.35">
      <c r="C812" s="1" t="s">
        <v>3746</v>
      </c>
      <c r="D812" s="1" t="s">
        <v>19</v>
      </c>
      <c r="E812" s="250">
        <v>6431.0110000000004</v>
      </c>
    </row>
    <row r="813" spans="3:5" x14ac:dyDescent="0.35">
      <c r="C813" s="1" t="s">
        <v>3745</v>
      </c>
      <c r="D813" s="1" t="s">
        <v>19</v>
      </c>
      <c r="E813" s="250">
        <v>6431.0119999999997</v>
      </c>
    </row>
    <row r="814" spans="3:5" x14ac:dyDescent="0.35">
      <c r="C814" s="1" t="s">
        <v>3744</v>
      </c>
      <c r="D814" s="1" t="s">
        <v>19</v>
      </c>
      <c r="E814" s="250">
        <v>6431.0129999999999</v>
      </c>
    </row>
    <row r="815" spans="3:5" x14ac:dyDescent="0.35">
      <c r="C815" s="1" t="s">
        <v>3743</v>
      </c>
      <c r="D815" s="1" t="s">
        <v>19</v>
      </c>
      <c r="E815" s="250">
        <v>6431.0140000000001</v>
      </c>
    </row>
    <row r="816" spans="3:5" x14ac:dyDescent="0.35">
      <c r="C816" s="1" t="s">
        <v>3742</v>
      </c>
      <c r="D816" s="1" t="s">
        <v>19</v>
      </c>
      <c r="E816" s="250">
        <v>6431.0150000000003</v>
      </c>
    </row>
    <row r="817" spans="3:5" x14ac:dyDescent="0.35">
      <c r="C817" s="1" t="s">
        <v>3741</v>
      </c>
      <c r="D817" s="1" t="s">
        <v>19</v>
      </c>
      <c r="E817" s="250">
        <v>6431.0159999999996</v>
      </c>
    </row>
    <row r="818" spans="3:5" x14ac:dyDescent="0.35">
      <c r="C818" s="1" t="s">
        <v>3740</v>
      </c>
      <c r="D818" s="1" t="s">
        <v>19</v>
      </c>
      <c r="E818" s="250">
        <v>6431.0169999999998</v>
      </c>
    </row>
    <row r="819" spans="3:5" x14ac:dyDescent="0.35">
      <c r="C819" s="1" t="s">
        <v>3739</v>
      </c>
      <c r="D819" s="1" t="s">
        <v>19</v>
      </c>
      <c r="E819" s="250">
        <v>6431.018</v>
      </c>
    </row>
    <row r="820" spans="3:5" x14ac:dyDescent="0.35">
      <c r="C820" s="1" t="s">
        <v>3738</v>
      </c>
      <c r="D820" s="1" t="s">
        <v>19</v>
      </c>
      <c r="E820" s="250">
        <v>6431.0190000000002</v>
      </c>
    </row>
    <row r="821" spans="3:5" x14ac:dyDescent="0.35">
      <c r="C821" s="1" t="s">
        <v>3737</v>
      </c>
      <c r="D821" s="1" t="s">
        <v>19</v>
      </c>
      <c r="E821" s="250">
        <v>6431.0209999999997</v>
      </c>
    </row>
    <row r="822" spans="3:5" x14ac:dyDescent="0.35">
      <c r="C822" s="1" t="s">
        <v>3736</v>
      </c>
      <c r="D822" s="1" t="s">
        <v>19</v>
      </c>
      <c r="E822" s="250">
        <v>6431.0219999999999</v>
      </c>
    </row>
    <row r="823" spans="3:5" x14ac:dyDescent="0.35">
      <c r="C823" s="1" t="s">
        <v>3735</v>
      </c>
      <c r="D823" s="1" t="s">
        <v>19</v>
      </c>
      <c r="E823" s="250">
        <v>6431.0230000000001</v>
      </c>
    </row>
    <row r="824" spans="3:5" x14ac:dyDescent="0.35">
      <c r="C824" s="1" t="s">
        <v>3734</v>
      </c>
      <c r="D824" s="1" t="s">
        <v>19</v>
      </c>
      <c r="E824" s="250">
        <v>6431.0240000000003</v>
      </c>
    </row>
    <row r="825" spans="3:5" x14ac:dyDescent="0.35">
      <c r="C825" s="1" t="s">
        <v>3733</v>
      </c>
      <c r="D825" s="1" t="s">
        <v>19</v>
      </c>
      <c r="E825" s="250">
        <v>6431.0249999999996</v>
      </c>
    </row>
    <row r="826" spans="3:5" x14ac:dyDescent="0.35">
      <c r="C826" s="1" t="s">
        <v>3732</v>
      </c>
      <c r="D826" s="1" t="s">
        <v>19</v>
      </c>
      <c r="E826" s="250">
        <v>6431.0259999999998</v>
      </c>
    </row>
    <row r="827" spans="3:5" x14ac:dyDescent="0.35">
      <c r="C827" s="1" t="s">
        <v>3731</v>
      </c>
      <c r="D827" s="1" t="s">
        <v>19</v>
      </c>
      <c r="E827" s="250">
        <v>6431.027</v>
      </c>
    </row>
    <row r="828" spans="3:5" x14ac:dyDescent="0.35">
      <c r="C828" s="1" t="s">
        <v>3730</v>
      </c>
      <c r="D828" s="1" t="s">
        <v>19</v>
      </c>
      <c r="E828" s="250">
        <v>6431.0280000000002</v>
      </c>
    </row>
    <row r="829" spans="3:5" x14ac:dyDescent="0.35">
      <c r="C829" s="1" t="s">
        <v>3729</v>
      </c>
      <c r="D829" s="1" t="s">
        <v>19</v>
      </c>
      <c r="E829" s="250">
        <v>6431.0290000000005</v>
      </c>
    </row>
    <row r="830" spans="3:5" x14ac:dyDescent="0.35">
      <c r="C830" s="1" t="s">
        <v>3728</v>
      </c>
      <c r="D830" s="1" t="s">
        <v>19</v>
      </c>
      <c r="E830" s="250">
        <v>6431.0309999999999</v>
      </c>
    </row>
    <row r="831" spans="3:5" x14ac:dyDescent="0.35">
      <c r="C831" s="1" t="s">
        <v>3727</v>
      </c>
      <c r="D831" s="1" t="s">
        <v>19</v>
      </c>
      <c r="E831" s="250">
        <v>6431.0320000000002</v>
      </c>
    </row>
    <row r="832" spans="3:5" x14ac:dyDescent="0.35">
      <c r="C832" s="1" t="s">
        <v>3726</v>
      </c>
      <c r="D832" s="1" t="s">
        <v>19</v>
      </c>
      <c r="E832" s="250">
        <v>6431.0330000000004</v>
      </c>
    </row>
    <row r="833" spans="3:5" x14ac:dyDescent="0.35">
      <c r="C833" s="1" t="s">
        <v>3725</v>
      </c>
      <c r="D833" s="1" t="s">
        <v>19</v>
      </c>
      <c r="E833" s="250">
        <v>6431.0339999999997</v>
      </c>
    </row>
    <row r="834" spans="3:5" x14ac:dyDescent="0.35">
      <c r="C834" s="1" t="s">
        <v>3724</v>
      </c>
      <c r="D834" s="1" t="s">
        <v>19</v>
      </c>
      <c r="E834" s="250">
        <v>6431.0349999999999</v>
      </c>
    </row>
    <row r="835" spans="3:5" x14ac:dyDescent="0.35">
      <c r="C835" s="1" t="s">
        <v>3723</v>
      </c>
      <c r="D835" s="1" t="s">
        <v>19</v>
      </c>
      <c r="E835" s="250">
        <v>6431.0360000000001</v>
      </c>
    </row>
    <row r="836" spans="3:5" x14ac:dyDescent="0.35">
      <c r="C836" s="1" t="s">
        <v>3722</v>
      </c>
      <c r="D836" s="1" t="s">
        <v>19</v>
      </c>
      <c r="E836" s="250">
        <v>6431.0370000000003</v>
      </c>
    </row>
    <row r="837" spans="3:5" x14ac:dyDescent="0.35">
      <c r="C837" s="1" t="s">
        <v>3721</v>
      </c>
      <c r="D837" s="1" t="s">
        <v>19</v>
      </c>
      <c r="E837" s="250">
        <v>6431.0379999999996</v>
      </c>
    </row>
    <row r="838" spans="3:5" x14ac:dyDescent="0.35">
      <c r="C838" s="1" t="s">
        <v>3720</v>
      </c>
      <c r="D838" s="1" t="s">
        <v>19</v>
      </c>
      <c r="E838" s="250">
        <v>6431.0389999999998</v>
      </c>
    </row>
    <row r="839" spans="3:5" x14ac:dyDescent="0.35">
      <c r="C839" s="1" t="s">
        <v>3719</v>
      </c>
      <c r="D839" s="1" t="s">
        <v>19</v>
      </c>
      <c r="E839" s="250">
        <v>6431.0410000000002</v>
      </c>
    </row>
    <row r="840" spans="3:5" x14ac:dyDescent="0.35">
      <c r="C840" s="1" t="s">
        <v>3718</v>
      </c>
      <c r="D840" s="1" t="s">
        <v>19</v>
      </c>
      <c r="E840" s="250">
        <v>6431.0420000000004</v>
      </c>
    </row>
    <row r="841" spans="3:5" x14ac:dyDescent="0.35">
      <c r="C841" s="1" t="s">
        <v>3717</v>
      </c>
      <c r="D841" s="1" t="s">
        <v>19</v>
      </c>
      <c r="E841" s="250">
        <v>6431.0429999999997</v>
      </c>
    </row>
    <row r="842" spans="3:5" x14ac:dyDescent="0.35">
      <c r="C842" s="1" t="s">
        <v>3716</v>
      </c>
      <c r="D842" s="1" t="s">
        <v>19</v>
      </c>
      <c r="E842" s="250">
        <v>6431.0439999999999</v>
      </c>
    </row>
    <row r="843" spans="3:5" x14ac:dyDescent="0.35">
      <c r="C843" s="1" t="s">
        <v>3715</v>
      </c>
      <c r="D843" s="1" t="s">
        <v>19</v>
      </c>
      <c r="E843" s="250">
        <v>6431.0450000000001</v>
      </c>
    </row>
    <row r="844" spans="3:5" x14ac:dyDescent="0.35">
      <c r="C844" s="1" t="s">
        <v>3714</v>
      </c>
      <c r="D844" s="1" t="s">
        <v>19</v>
      </c>
      <c r="E844" s="250">
        <v>6431.0460000000003</v>
      </c>
    </row>
    <row r="845" spans="3:5" x14ac:dyDescent="0.35">
      <c r="C845" s="1" t="s">
        <v>3713</v>
      </c>
      <c r="D845" s="1" t="s">
        <v>19</v>
      </c>
      <c r="E845" s="250">
        <v>6431.0469999999996</v>
      </c>
    </row>
    <row r="846" spans="3:5" x14ac:dyDescent="0.35">
      <c r="C846" s="1" t="s">
        <v>3712</v>
      </c>
      <c r="D846" s="1" t="s">
        <v>19</v>
      </c>
      <c r="E846" s="250">
        <v>6431.0479999999998</v>
      </c>
    </row>
    <row r="847" spans="3:5" x14ac:dyDescent="0.35">
      <c r="C847" s="1" t="s">
        <v>3711</v>
      </c>
      <c r="D847" s="1" t="s">
        <v>19</v>
      </c>
      <c r="E847" s="250">
        <v>6431.049</v>
      </c>
    </row>
    <row r="848" spans="3:5" x14ac:dyDescent="0.35">
      <c r="C848" s="1" t="s">
        <v>3710</v>
      </c>
      <c r="D848" s="1" t="s">
        <v>19</v>
      </c>
      <c r="E848" s="250">
        <v>6431.0510000000004</v>
      </c>
    </row>
    <row r="849" spans="3:5" x14ac:dyDescent="0.35">
      <c r="C849" s="1" t="s">
        <v>3709</v>
      </c>
      <c r="D849" s="1" t="s">
        <v>19</v>
      </c>
      <c r="E849" s="250">
        <v>6431.0519999999997</v>
      </c>
    </row>
    <row r="850" spans="3:5" x14ac:dyDescent="0.35">
      <c r="C850" s="1" t="s">
        <v>3708</v>
      </c>
      <c r="D850" s="1" t="s">
        <v>19</v>
      </c>
      <c r="E850" s="250">
        <v>6431.0529999999999</v>
      </c>
    </row>
    <row r="851" spans="3:5" x14ac:dyDescent="0.35">
      <c r="C851" s="1" t="s">
        <v>3707</v>
      </c>
      <c r="D851" s="1" t="s">
        <v>19</v>
      </c>
      <c r="E851" s="250">
        <v>6431.0540000000001</v>
      </c>
    </row>
    <row r="852" spans="3:5" x14ac:dyDescent="0.35">
      <c r="C852" s="1" t="s">
        <v>3706</v>
      </c>
      <c r="D852" s="1" t="s">
        <v>19</v>
      </c>
      <c r="E852" s="250">
        <v>6431.0550000000003</v>
      </c>
    </row>
    <row r="853" spans="3:5" x14ac:dyDescent="0.35">
      <c r="C853" s="1" t="s">
        <v>3705</v>
      </c>
      <c r="D853" s="1" t="s">
        <v>19</v>
      </c>
      <c r="E853" s="250">
        <v>6431.0559999999996</v>
      </c>
    </row>
    <row r="854" spans="3:5" x14ac:dyDescent="0.35">
      <c r="C854" s="1" t="s">
        <v>3704</v>
      </c>
      <c r="D854" s="1" t="s">
        <v>19</v>
      </c>
      <c r="E854" s="250">
        <v>6431.0569999999998</v>
      </c>
    </row>
    <row r="855" spans="3:5" x14ac:dyDescent="0.35">
      <c r="C855" s="1" t="s">
        <v>3703</v>
      </c>
      <c r="D855" s="1" t="s">
        <v>19</v>
      </c>
      <c r="E855" s="250">
        <v>6431.058</v>
      </c>
    </row>
    <row r="856" spans="3:5" x14ac:dyDescent="0.35">
      <c r="C856" s="1" t="s">
        <v>3702</v>
      </c>
      <c r="D856" s="1" t="s">
        <v>19</v>
      </c>
      <c r="E856" s="250">
        <v>6431.0590000000002</v>
      </c>
    </row>
    <row r="857" spans="3:5" x14ac:dyDescent="0.35">
      <c r="C857" s="1" t="s">
        <v>3701</v>
      </c>
      <c r="D857" s="1" t="s">
        <v>19</v>
      </c>
      <c r="E857" s="250">
        <v>6431.0609999999997</v>
      </c>
    </row>
    <row r="858" spans="3:5" x14ac:dyDescent="0.35">
      <c r="C858" s="1" t="s">
        <v>3700</v>
      </c>
      <c r="D858" s="1" t="s">
        <v>19</v>
      </c>
      <c r="E858" s="250">
        <v>6431.0619999999999</v>
      </c>
    </row>
    <row r="859" spans="3:5" x14ac:dyDescent="0.35">
      <c r="C859" s="1" t="s">
        <v>3699</v>
      </c>
      <c r="D859" s="1" t="s">
        <v>19</v>
      </c>
      <c r="E859" s="250">
        <v>6431.0630000000001</v>
      </c>
    </row>
    <row r="860" spans="3:5" x14ac:dyDescent="0.35">
      <c r="C860" s="1" t="s">
        <v>3698</v>
      </c>
      <c r="D860" s="1" t="s">
        <v>19</v>
      </c>
      <c r="E860" s="250">
        <v>6431.0640000000003</v>
      </c>
    </row>
    <row r="861" spans="3:5" x14ac:dyDescent="0.35">
      <c r="C861" s="1" t="s">
        <v>3697</v>
      </c>
      <c r="D861" s="1" t="s">
        <v>19</v>
      </c>
      <c r="E861" s="250">
        <v>6431.0649999999996</v>
      </c>
    </row>
    <row r="862" spans="3:5" x14ac:dyDescent="0.35">
      <c r="C862" s="1" t="s">
        <v>3696</v>
      </c>
      <c r="D862" s="1" t="s">
        <v>19</v>
      </c>
      <c r="E862" s="250">
        <v>6431.0659999999998</v>
      </c>
    </row>
    <row r="863" spans="3:5" x14ac:dyDescent="0.35">
      <c r="C863" s="1" t="s">
        <v>3695</v>
      </c>
      <c r="D863" s="1" t="s">
        <v>19</v>
      </c>
      <c r="E863" s="250">
        <v>6431.067</v>
      </c>
    </row>
    <row r="864" spans="3:5" x14ac:dyDescent="0.35">
      <c r="C864" s="1" t="s">
        <v>3694</v>
      </c>
      <c r="D864" s="1" t="s">
        <v>19</v>
      </c>
      <c r="E864" s="250">
        <v>6431.0680000000002</v>
      </c>
    </row>
    <row r="865" spans="3:5" x14ac:dyDescent="0.35">
      <c r="C865" s="1" t="s">
        <v>3693</v>
      </c>
      <c r="D865" s="1" t="s">
        <v>19</v>
      </c>
      <c r="E865" s="250">
        <v>6431.0690000000004</v>
      </c>
    </row>
    <row r="866" spans="3:5" x14ac:dyDescent="0.35">
      <c r="C866" s="1" t="s">
        <v>3692</v>
      </c>
      <c r="D866" s="1" t="s">
        <v>18</v>
      </c>
      <c r="E866" s="250">
        <v>6431.07</v>
      </c>
    </row>
    <row r="867" spans="3:5" x14ac:dyDescent="0.35">
      <c r="C867" s="1" t="s">
        <v>3691</v>
      </c>
      <c r="D867" s="1" t="s">
        <v>18</v>
      </c>
      <c r="E867" s="250">
        <v>6431.0709999999999</v>
      </c>
    </row>
    <row r="868" spans="3:5" x14ac:dyDescent="0.35">
      <c r="C868" s="1" t="s">
        <v>3690</v>
      </c>
      <c r="D868" s="1" t="s">
        <v>18</v>
      </c>
      <c r="E868" s="250">
        <v>6431.0720000000001</v>
      </c>
    </row>
    <row r="869" spans="3:5" x14ac:dyDescent="0.35">
      <c r="C869" s="1" t="s">
        <v>3689</v>
      </c>
      <c r="D869" s="1" t="s">
        <v>18</v>
      </c>
      <c r="E869" s="250">
        <v>6431.0730000000003</v>
      </c>
    </row>
    <row r="870" spans="3:5" x14ac:dyDescent="0.35">
      <c r="C870" s="1" t="s">
        <v>3688</v>
      </c>
      <c r="D870" s="1" t="s">
        <v>18</v>
      </c>
      <c r="E870" s="250">
        <v>6431.0739999999996</v>
      </c>
    </row>
    <row r="871" spans="3:5" x14ac:dyDescent="0.35">
      <c r="C871" s="1" t="s">
        <v>3687</v>
      </c>
      <c r="D871" s="1" t="s">
        <v>18</v>
      </c>
      <c r="E871" s="250">
        <v>6431.11</v>
      </c>
    </row>
    <row r="872" spans="3:5" x14ac:dyDescent="0.35">
      <c r="C872" s="1" t="s">
        <v>3686</v>
      </c>
      <c r="D872" s="1" t="s">
        <v>1698</v>
      </c>
      <c r="E872" s="250">
        <v>6431.1120000000001</v>
      </c>
    </row>
    <row r="873" spans="3:5" x14ac:dyDescent="0.35">
      <c r="C873" s="1" t="s">
        <v>3685</v>
      </c>
      <c r="D873" s="1" t="s">
        <v>18</v>
      </c>
      <c r="E873" s="250">
        <v>6431.1130000000003</v>
      </c>
    </row>
    <row r="874" spans="3:5" x14ac:dyDescent="0.35">
      <c r="C874" s="1" t="s">
        <v>3684</v>
      </c>
      <c r="D874" s="1" t="s">
        <v>20</v>
      </c>
      <c r="E874" s="250">
        <v>6431.1149999999998</v>
      </c>
    </row>
    <row r="875" spans="3:5" x14ac:dyDescent="0.35">
      <c r="C875" s="1" t="s">
        <v>3683</v>
      </c>
      <c r="D875" s="1" t="s">
        <v>19</v>
      </c>
      <c r="E875" s="250">
        <v>6431.12</v>
      </c>
    </row>
    <row r="876" spans="3:5" x14ac:dyDescent="0.35">
      <c r="C876" s="1" t="s">
        <v>3682</v>
      </c>
      <c r="D876" s="1" t="s">
        <v>19</v>
      </c>
      <c r="E876" s="250">
        <v>6431.125</v>
      </c>
    </row>
    <row r="877" spans="3:5" x14ac:dyDescent="0.35">
      <c r="C877" s="1" t="s">
        <v>3681</v>
      </c>
      <c r="D877" s="1" t="s">
        <v>19</v>
      </c>
      <c r="E877" s="250">
        <v>6431.13</v>
      </c>
    </row>
    <row r="878" spans="3:5" x14ac:dyDescent="0.35">
      <c r="C878" s="1" t="s">
        <v>3680</v>
      </c>
      <c r="D878" s="1" t="s">
        <v>1698</v>
      </c>
      <c r="E878" s="250">
        <v>6431.1350000000002</v>
      </c>
    </row>
    <row r="879" spans="3:5" x14ac:dyDescent="0.35">
      <c r="C879" s="1" t="s">
        <v>3679</v>
      </c>
      <c r="D879" s="1" t="s">
        <v>1698</v>
      </c>
      <c r="E879" s="250">
        <v>6431.1360000000004</v>
      </c>
    </row>
    <row r="880" spans="3:5" x14ac:dyDescent="0.35">
      <c r="C880" s="1" t="s">
        <v>3678</v>
      </c>
      <c r="D880" s="1" t="s">
        <v>19</v>
      </c>
      <c r="E880" s="250">
        <v>6431.14</v>
      </c>
    </row>
    <row r="881" spans="3:5" x14ac:dyDescent="0.35">
      <c r="C881" s="1" t="s">
        <v>3063</v>
      </c>
      <c r="D881" s="1" t="s">
        <v>19</v>
      </c>
      <c r="E881" s="250">
        <v>6431.1409999999996</v>
      </c>
    </row>
    <row r="882" spans="3:5" x14ac:dyDescent="0.35">
      <c r="C882" s="1" t="s">
        <v>3677</v>
      </c>
      <c r="D882" s="1" t="s">
        <v>19</v>
      </c>
      <c r="E882" s="250">
        <v>6431.1419999999998</v>
      </c>
    </row>
    <row r="883" spans="3:5" x14ac:dyDescent="0.35">
      <c r="C883" s="1" t="s">
        <v>3676</v>
      </c>
      <c r="D883" s="1" t="s">
        <v>19</v>
      </c>
      <c r="E883" s="250">
        <v>6431.143</v>
      </c>
    </row>
    <row r="884" spans="3:5" x14ac:dyDescent="0.35">
      <c r="C884" s="1" t="s">
        <v>3675</v>
      </c>
      <c r="D884" s="1" t="s">
        <v>19</v>
      </c>
      <c r="E884" s="250">
        <v>6431.1440000000002</v>
      </c>
    </row>
    <row r="885" spans="3:5" x14ac:dyDescent="0.35">
      <c r="C885" s="1" t="s">
        <v>3674</v>
      </c>
      <c r="D885" s="1" t="s">
        <v>19</v>
      </c>
      <c r="E885" s="250">
        <v>6431.1450000000004</v>
      </c>
    </row>
    <row r="886" spans="3:5" x14ac:dyDescent="0.35">
      <c r="C886" s="1" t="s">
        <v>3673</v>
      </c>
      <c r="D886" s="1" t="s">
        <v>19</v>
      </c>
      <c r="E886" s="250">
        <v>6431.1459999999997</v>
      </c>
    </row>
    <row r="887" spans="3:5" x14ac:dyDescent="0.35">
      <c r="C887" s="1" t="s">
        <v>3672</v>
      </c>
      <c r="D887" s="1" t="s">
        <v>19</v>
      </c>
      <c r="E887" s="250">
        <v>6431.1469999999999</v>
      </c>
    </row>
    <row r="888" spans="3:5" x14ac:dyDescent="0.35">
      <c r="C888" s="1" t="s">
        <v>3671</v>
      </c>
      <c r="D888" s="1" t="s">
        <v>19</v>
      </c>
      <c r="E888" s="250">
        <v>6431.1480000000001</v>
      </c>
    </row>
    <row r="889" spans="3:5" x14ac:dyDescent="0.35">
      <c r="C889" s="1" t="s">
        <v>3670</v>
      </c>
      <c r="D889" s="1" t="s">
        <v>18</v>
      </c>
      <c r="E889" s="250">
        <v>6431.15</v>
      </c>
    </row>
    <row r="890" spans="3:5" x14ac:dyDescent="0.35">
      <c r="C890" s="1" t="s">
        <v>3669</v>
      </c>
      <c r="D890" s="1" t="s">
        <v>19</v>
      </c>
      <c r="E890" s="250">
        <v>6431.1509999999998</v>
      </c>
    </row>
    <row r="891" spans="3:5" x14ac:dyDescent="0.35">
      <c r="C891" s="1" t="s">
        <v>3668</v>
      </c>
      <c r="D891" s="1" t="s">
        <v>20</v>
      </c>
      <c r="E891" s="250">
        <v>6431.152</v>
      </c>
    </row>
    <row r="892" spans="3:5" x14ac:dyDescent="0.35">
      <c r="C892" s="1" t="s">
        <v>3667</v>
      </c>
      <c r="D892" s="1" t="s">
        <v>2329</v>
      </c>
      <c r="E892" s="250">
        <v>6431.1580000000004</v>
      </c>
    </row>
    <row r="893" spans="3:5" x14ac:dyDescent="0.35">
      <c r="C893" s="1" t="s">
        <v>3666</v>
      </c>
      <c r="D893" s="1" t="s">
        <v>2329</v>
      </c>
      <c r="E893" s="250">
        <v>6431.1589999999997</v>
      </c>
    </row>
    <row r="894" spans="3:5" x14ac:dyDescent="0.35">
      <c r="C894" s="1" t="s">
        <v>3665</v>
      </c>
      <c r="D894" s="1" t="s">
        <v>2329</v>
      </c>
      <c r="E894" s="250">
        <v>6431.16</v>
      </c>
    </row>
    <row r="895" spans="3:5" x14ac:dyDescent="0.35">
      <c r="C895" s="1" t="s">
        <v>3664</v>
      </c>
      <c r="D895" s="1" t="s">
        <v>2329</v>
      </c>
      <c r="E895" s="250">
        <v>6431.1610000000001</v>
      </c>
    </row>
    <row r="896" spans="3:5" x14ac:dyDescent="0.35">
      <c r="C896" s="1" t="s">
        <v>3663</v>
      </c>
      <c r="D896" s="1" t="s">
        <v>2329</v>
      </c>
      <c r="E896" s="250">
        <v>6431.1620000000003</v>
      </c>
    </row>
    <row r="897" spans="3:5" x14ac:dyDescent="0.35">
      <c r="C897" s="1" t="s">
        <v>3662</v>
      </c>
      <c r="D897" s="1" t="s">
        <v>2329</v>
      </c>
      <c r="E897" s="250">
        <v>6431.1629999999996</v>
      </c>
    </row>
    <row r="898" spans="3:5" x14ac:dyDescent="0.35">
      <c r="C898" s="1" t="s">
        <v>3661</v>
      </c>
      <c r="D898" s="1" t="s">
        <v>2329</v>
      </c>
      <c r="E898" s="250">
        <v>6431.1639999999998</v>
      </c>
    </row>
    <row r="899" spans="3:5" x14ac:dyDescent="0.35">
      <c r="C899" s="1" t="s">
        <v>3660</v>
      </c>
      <c r="D899" s="1" t="s">
        <v>2329</v>
      </c>
      <c r="E899" s="250">
        <v>6431.165</v>
      </c>
    </row>
    <row r="900" spans="3:5" x14ac:dyDescent="0.35">
      <c r="C900" s="1" t="s">
        <v>3659</v>
      </c>
      <c r="D900" s="1" t="s">
        <v>2329</v>
      </c>
      <c r="E900" s="250">
        <v>6431.1660000000002</v>
      </c>
    </row>
    <row r="901" spans="3:5" x14ac:dyDescent="0.35">
      <c r="C901" s="1" t="s">
        <v>3658</v>
      </c>
      <c r="D901" s="1" t="s">
        <v>2329</v>
      </c>
      <c r="E901" s="250">
        <v>6431.1670000000004</v>
      </c>
    </row>
    <row r="902" spans="3:5" x14ac:dyDescent="0.35">
      <c r="C902" s="1" t="s">
        <v>3657</v>
      </c>
      <c r="D902" s="1" t="s">
        <v>2329</v>
      </c>
      <c r="E902" s="250">
        <v>6431.1679999999997</v>
      </c>
    </row>
    <row r="903" spans="3:5" x14ac:dyDescent="0.35">
      <c r="C903" s="1" t="s">
        <v>3656</v>
      </c>
      <c r="D903" s="1" t="s">
        <v>2329</v>
      </c>
      <c r="E903" s="250">
        <v>6431.1689999999999</v>
      </c>
    </row>
    <row r="904" spans="3:5" x14ac:dyDescent="0.35">
      <c r="C904" s="1" t="s">
        <v>3655</v>
      </c>
      <c r="D904" s="1" t="s">
        <v>2329</v>
      </c>
      <c r="E904" s="250">
        <v>6431.17</v>
      </c>
    </row>
    <row r="905" spans="3:5" x14ac:dyDescent="0.35">
      <c r="C905" s="1" t="s">
        <v>3654</v>
      </c>
      <c r="D905" s="1" t="s">
        <v>2329</v>
      </c>
      <c r="E905" s="250">
        <v>6431.1710000000003</v>
      </c>
    </row>
    <row r="906" spans="3:5" x14ac:dyDescent="0.35">
      <c r="C906" s="1" t="s">
        <v>3653</v>
      </c>
      <c r="D906" s="1" t="s">
        <v>2329</v>
      </c>
      <c r="E906" s="250">
        <v>6431.1719999999996</v>
      </c>
    </row>
    <row r="907" spans="3:5" x14ac:dyDescent="0.35">
      <c r="C907" s="1" t="s">
        <v>3652</v>
      </c>
      <c r="D907" s="1" t="s">
        <v>2329</v>
      </c>
      <c r="E907" s="250">
        <v>6431.1729999999998</v>
      </c>
    </row>
    <row r="908" spans="3:5" x14ac:dyDescent="0.35">
      <c r="C908" s="1" t="s">
        <v>3651</v>
      </c>
      <c r="D908" s="1" t="s">
        <v>2329</v>
      </c>
      <c r="E908" s="250">
        <v>6431.174</v>
      </c>
    </row>
    <row r="909" spans="3:5" x14ac:dyDescent="0.35">
      <c r="C909" s="1" t="s">
        <v>3650</v>
      </c>
      <c r="D909" s="1" t="s">
        <v>2329</v>
      </c>
      <c r="E909" s="250">
        <v>6431.1750000000002</v>
      </c>
    </row>
    <row r="910" spans="3:5" x14ac:dyDescent="0.35">
      <c r="C910" s="1" t="s">
        <v>3649</v>
      </c>
      <c r="D910" s="1" t="s">
        <v>2329</v>
      </c>
      <c r="E910" s="250">
        <v>6431.1760000000004</v>
      </c>
    </row>
    <row r="911" spans="3:5" x14ac:dyDescent="0.35">
      <c r="C911" s="1" t="s">
        <v>3648</v>
      </c>
      <c r="D911" s="1" t="s">
        <v>2329</v>
      </c>
      <c r="E911" s="250">
        <v>6431.1769999999997</v>
      </c>
    </row>
    <row r="912" spans="3:5" x14ac:dyDescent="0.35">
      <c r="C912" s="1" t="s">
        <v>3647</v>
      </c>
      <c r="D912" s="1" t="s">
        <v>2329</v>
      </c>
      <c r="E912" s="250">
        <v>6431.1779999999999</v>
      </c>
    </row>
    <row r="913" spans="3:5" x14ac:dyDescent="0.35">
      <c r="C913" s="1" t="s">
        <v>3646</v>
      </c>
      <c r="D913" s="1" t="s">
        <v>2329</v>
      </c>
      <c r="E913" s="250">
        <v>6431.1790000000001</v>
      </c>
    </row>
    <row r="914" spans="3:5" x14ac:dyDescent="0.35">
      <c r="C914" s="1" t="s">
        <v>3645</v>
      </c>
      <c r="D914" s="1" t="s">
        <v>2329</v>
      </c>
      <c r="E914" s="250">
        <v>6431.18</v>
      </c>
    </row>
    <row r="915" spans="3:5" x14ac:dyDescent="0.35">
      <c r="C915" s="1" t="s">
        <v>3644</v>
      </c>
      <c r="D915" s="1" t="s">
        <v>2329</v>
      </c>
      <c r="E915" s="250">
        <v>6431.1809999999996</v>
      </c>
    </row>
    <row r="916" spans="3:5" x14ac:dyDescent="0.35">
      <c r="C916" s="1" t="s">
        <v>3643</v>
      </c>
      <c r="D916" s="1" t="s">
        <v>2329</v>
      </c>
      <c r="E916" s="250">
        <v>6431.1819999999998</v>
      </c>
    </row>
    <row r="917" spans="3:5" x14ac:dyDescent="0.35">
      <c r="C917" s="1" t="s">
        <v>3642</v>
      </c>
      <c r="D917" s="1" t="s">
        <v>2329</v>
      </c>
      <c r="E917" s="250">
        <v>6431.183</v>
      </c>
    </row>
    <row r="918" spans="3:5" x14ac:dyDescent="0.35">
      <c r="C918" s="1" t="s">
        <v>3641</v>
      </c>
      <c r="D918" s="1" t="s">
        <v>2329</v>
      </c>
      <c r="E918" s="250">
        <v>6431.1840000000002</v>
      </c>
    </row>
    <row r="919" spans="3:5" x14ac:dyDescent="0.35">
      <c r="C919" s="1" t="s">
        <v>3640</v>
      </c>
      <c r="D919" s="1" t="s">
        <v>2329</v>
      </c>
      <c r="E919" s="250">
        <v>6431.1850000000004</v>
      </c>
    </row>
    <row r="920" spans="3:5" x14ac:dyDescent="0.35">
      <c r="C920" s="1" t="s">
        <v>3639</v>
      </c>
      <c r="D920" s="1" t="s">
        <v>2329</v>
      </c>
      <c r="E920" s="250">
        <v>6431.1859999999997</v>
      </c>
    </row>
    <row r="921" spans="3:5" x14ac:dyDescent="0.35">
      <c r="C921" s="1" t="s">
        <v>3638</v>
      </c>
      <c r="D921" s="1" t="s">
        <v>2329</v>
      </c>
      <c r="E921" s="250">
        <v>6431.1869999999999</v>
      </c>
    </row>
    <row r="922" spans="3:5" x14ac:dyDescent="0.35">
      <c r="C922" s="1" t="s">
        <v>3637</v>
      </c>
      <c r="D922" s="1" t="s">
        <v>2329</v>
      </c>
      <c r="E922" s="250">
        <v>6431.1880000000001</v>
      </c>
    </row>
    <row r="923" spans="3:5" x14ac:dyDescent="0.35">
      <c r="C923" s="1" t="s">
        <v>3636</v>
      </c>
      <c r="D923" s="1" t="s">
        <v>2329</v>
      </c>
      <c r="E923" s="250">
        <v>6431.1890000000003</v>
      </c>
    </row>
    <row r="924" spans="3:5" x14ac:dyDescent="0.35">
      <c r="C924" s="1" t="s">
        <v>3635</v>
      </c>
      <c r="D924" s="1" t="s">
        <v>2329</v>
      </c>
      <c r="E924" s="250">
        <v>6431.19</v>
      </c>
    </row>
    <row r="925" spans="3:5" x14ac:dyDescent="0.35">
      <c r="C925" s="1" t="s">
        <v>3634</v>
      </c>
      <c r="D925" s="1" t="s">
        <v>2329</v>
      </c>
      <c r="E925" s="250">
        <v>6431.1909999999998</v>
      </c>
    </row>
    <row r="926" spans="3:5" x14ac:dyDescent="0.35">
      <c r="C926" s="1" t="s">
        <v>3633</v>
      </c>
      <c r="D926" s="1" t="s">
        <v>2329</v>
      </c>
      <c r="E926" s="250">
        <v>6431.192</v>
      </c>
    </row>
    <row r="927" spans="3:5" x14ac:dyDescent="0.35">
      <c r="C927" s="1" t="s">
        <v>3632</v>
      </c>
      <c r="D927" s="1" t="s">
        <v>2329</v>
      </c>
      <c r="E927" s="250">
        <v>6431.1930000000002</v>
      </c>
    </row>
    <row r="928" spans="3:5" x14ac:dyDescent="0.35">
      <c r="C928" s="1" t="s">
        <v>3631</v>
      </c>
      <c r="D928" s="1" t="s">
        <v>2329</v>
      </c>
      <c r="E928" s="250">
        <v>6431.1940000000004</v>
      </c>
    </row>
    <row r="929" spans="3:5" x14ac:dyDescent="0.35">
      <c r="C929" s="1" t="s">
        <v>3630</v>
      </c>
      <c r="D929" s="1" t="s">
        <v>2329</v>
      </c>
      <c r="E929" s="250">
        <v>6431.1949999999997</v>
      </c>
    </row>
    <row r="930" spans="3:5" x14ac:dyDescent="0.35">
      <c r="C930" s="1" t="s">
        <v>3629</v>
      </c>
      <c r="D930" s="1" t="s">
        <v>2329</v>
      </c>
      <c r="E930" s="250">
        <v>6431.1959999999999</v>
      </c>
    </row>
    <row r="931" spans="3:5" x14ac:dyDescent="0.35">
      <c r="C931" s="1" t="s">
        <v>3628</v>
      </c>
      <c r="D931" s="1" t="s">
        <v>2329</v>
      </c>
      <c r="E931" s="250">
        <v>6431.1970000000001</v>
      </c>
    </row>
    <row r="932" spans="3:5" x14ac:dyDescent="0.35">
      <c r="C932" s="1" t="s">
        <v>3627</v>
      </c>
      <c r="D932" s="1" t="s">
        <v>2329</v>
      </c>
      <c r="E932" s="250">
        <v>6431.1980000000003</v>
      </c>
    </row>
    <row r="933" spans="3:5" x14ac:dyDescent="0.35">
      <c r="C933" s="1" t="s">
        <v>3626</v>
      </c>
      <c r="D933" s="1" t="s">
        <v>2329</v>
      </c>
      <c r="E933" s="250">
        <v>6431.1989999999996</v>
      </c>
    </row>
    <row r="934" spans="3:5" x14ac:dyDescent="0.35">
      <c r="C934" s="1" t="s">
        <v>3625</v>
      </c>
      <c r="D934" s="1" t="s">
        <v>2329</v>
      </c>
      <c r="E934" s="250">
        <v>6431.2</v>
      </c>
    </row>
    <row r="935" spans="3:5" x14ac:dyDescent="0.35">
      <c r="C935" s="1" t="s">
        <v>3624</v>
      </c>
      <c r="D935" s="1" t="s">
        <v>2329</v>
      </c>
      <c r="E935" s="250">
        <v>6431.201</v>
      </c>
    </row>
    <row r="936" spans="3:5" x14ac:dyDescent="0.35">
      <c r="C936" s="1" t="s">
        <v>3623</v>
      </c>
      <c r="D936" s="1" t="s">
        <v>2329</v>
      </c>
      <c r="E936" s="250">
        <v>6431.2020000000002</v>
      </c>
    </row>
    <row r="937" spans="3:5" x14ac:dyDescent="0.35">
      <c r="C937" s="1" t="s">
        <v>3622</v>
      </c>
      <c r="D937" s="1" t="s">
        <v>19</v>
      </c>
      <c r="E937" s="250">
        <v>6431.2030000000004</v>
      </c>
    </row>
    <row r="938" spans="3:5" x14ac:dyDescent="0.35">
      <c r="C938" s="1" t="s">
        <v>3621</v>
      </c>
      <c r="D938" s="1" t="s">
        <v>19</v>
      </c>
      <c r="E938" s="250">
        <v>6431.2039999999997</v>
      </c>
    </row>
    <row r="939" spans="3:5" x14ac:dyDescent="0.35">
      <c r="C939" s="1" t="s">
        <v>3620</v>
      </c>
      <c r="D939" s="1" t="s">
        <v>19</v>
      </c>
      <c r="E939" s="250">
        <v>6431.2049999999999</v>
      </c>
    </row>
    <row r="940" spans="3:5" x14ac:dyDescent="0.35">
      <c r="C940" s="1" t="s">
        <v>3619</v>
      </c>
      <c r="D940" s="1" t="s">
        <v>19</v>
      </c>
      <c r="E940" s="250">
        <v>6431.2060000000001</v>
      </c>
    </row>
    <row r="941" spans="3:5" x14ac:dyDescent="0.35">
      <c r="C941" s="1" t="s">
        <v>3618</v>
      </c>
      <c r="D941" s="1" t="s">
        <v>19</v>
      </c>
      <c r="E941" s="250">
        <v>6431.2070000000003</v>
      </c>
    </row>
    <row r="942" spans="3:5" x14ac:dyDescent="0.35">
      <c r="C942" s="1" t="s">
        <v>3617</v>
      </c>
      <c r="D942" s="1" t="s">
        <v>19</v>
      </c>
      <c r="E942" s="250">
        <v>6431.2079999999996</v>
      </c>
    </row>
    <row r="943" spans="3:5" x14ac:dyDescent="0.35">
      <c r="C943" s="1" t="s">
        <v>3616</v>
      </c>
      <c r="D943" s="1" t="s">
        <v>19</v>
      </c>
      <c r="E943" s="250">
        <v>6431.2089999999998</v>
      </c>
    </row>
    <row r="944" spans="3:5" x14ac:dyDescent="0.35">
      <c r="C944" s="1" t="s">
        <v>3615</v>
      </c>
      <c r="D944" s="1" t="s">
        <v>19</v>
      </c>
      <c r="E944" s="250">
        <v>6431.21</v>
      </c>
    </row>
    <row r="945" spans="3:5" x14ac:dyDescent="0.35">
      <c r="C945" s="1" t="s">
        <v>3614</v>
      </c>
      <c r="D945" s="1" t="s">
        <v>19</v>
      </c>
      <c r="E945" s="250">
        <v>6431.2110000000002</v>
      </c>
    </row>
    <row r="946" spans="3:5" x14ac:dyDescent="0.35">
      <c r="C946" s="1" t="s">
        <v>3613</v>
      </c>
      <c r="D946" s="1" t="s">
        <v>18</v>
      </c>
      <c r="E946" s="250">
        <v>6431.2120000000004</v>
      </c>
    </row>
    <row r="947" spans="3:5" x14ac:dyDescent="0.35">
      <c r="C947" s="1" t="s">
        <v>3612</v>
      </c>
      <c r="D947" s="1" t="s">
        <v>18</v>
      </c>
      <c r="E947" s="250">
        <v>6431.2129999999997</v>
      </c>
    </row>
    <row r="948" spans="3:5" x14ac:dyDescent="0.35">
      <c r="C948" s="1" t="s">
        <v>3611</v>
      </c>
      <c r="D948" s="1" t="s">
        <v>18</v>
      </c>
      <c r="E948" s="250">
        <v>6431.2139999999999</v>
      </c>
    </row>
    <row r="949" spans="3:5" x14ac:dyDescent="0.35">
      <c r="C949" s="1" t="s">
        <v>3610</v>
      </c>
      <c r="D949" s="1" t="s">
        <v>2329</v>
      </c>
      <c r="E949" s="250">
        <v>6431.2150000000001</v>
      </c>
    </row>
    <row r="950" spans="3:5" x14ac:dyDescent="0.35">
      <c r="C950" s="1" t="s">
        <v>3609</v>
      </c>
      <c r="D950" s="1" t="s">
        <v>2329</v>
      </c>
      <c r="E950" s="250">
        <v>6431.2160000000003</v>
      </c>
    </row>
    <row r="951" spans="3:5" x14ac:dyDescent="0.35">
      <c r="C951" s="1" t="s">
        <v>3608</v>
      </c>
      <c r="D951" s="1" t="s">
        <v>2329</v>
      </c>
      <c r="E951" s="250">
        <v>6431.2169999999996</v>
      </c>
    </row>
    <row r="952" spans="3:5" x14ac:dyDescent="0.35">
      <c r="C952" s="1" t="s">
        <v>3607</v>
      </c>
      <c r="D952" s="1" t="s">
        <v>2329</v>
      </c>
      <c r="E952" s="250">
        <v>6431.2179999999998</v>
      </c>
    </row>
    <row r="953" spans="3:5" x14ac:dyDescent="0.35">
      <c r="C953" s="1" t="s">
        <v>3606</v>
      </c>
      <c r="D953" s="1" t="s">
        <v>2329</v>
      </c>
      <c r="E953" s="250">
        <v>6431.2190000000001</v>
      </c>
    </row>
    <row r="954" spans="3:5" x14ac:dyDescent="0.35">
      <c r="C954" s="1" t="s">
        <v>3605</v>
      </c>
      <c r="D954" s="1" t="s">
        <v>2329</v>
      </c>
      <c r="E954" s="250">
        <v>6431.22</v>
      </c>
    </row>
    <row r="955" spans="3:5" x14ac:dyDescent="0.35">
      <c r="C955" s="1" t="s">
        <v>3604</v>
      </c>
      <c r="D955" s="1" t="s">
        <v>2329</v>
      </c>
      <c r="E955" s="250">
        <v>6431.2209999999995</v>
      </c>
    </row>
    <row r="956" spans="3:5" x14ac:dyDescent="0.35">
      <c r="C956" s="1" t="s">
        <v>3603</v>
      </c>
      <c r="D956" s="1" t="s">
        <v>2329</v>
      </c>
      <c r="E956" s="250">
        <v>6431.2219999999998</v>
      </c>
    </row>
    <row r="957" spans="3:5" x14ac:dyDescent="0.35">
      <c r="C957" s="1" t="s">
        <v>3602</v>
      </c>
      <c r="D957" s="1" t="s">
        <v>2329</v>
      </c>
      <c r="E957" s="250">
        <v>6431.223</v>
      </c>
    </row>
    <row r="958" spans="3:5" x14ac:dyDescent="0.35">
      <c r="C958" s="1" t="s">
        <v>3601</v>
      </c>
      <c r="D958" s="1" t="s">
        <v>2329</v>
      </c>
      <c r="E958" s="250">
        <v>6431.2240000000002</v>
      </c>
    </row>
    <row r="959" spans="3:5" x14ac:dyDescent="0.35">
      <c r="C959" s="1" t="s">
        <v>3600</v>
      </c>
      <c r="D959" s="1" t="s">
        <v>2329</v>
      </c>
      <c r="E959" s="250">
        <v>6431.2250000000004</v>
      </c>
    </row>
    <row r="960" spans="3:5" x14ac:dyDescent="0.35">
      <c r="C960" s="1" t="s">
        <v>3599</v>
      </c>
      <c r="D960" s="1" t="s">
        <v>2329</v>
      </c>
      <c r="E960" s="250">
        <v>6431.2259999999997</v>
      </c>
    </row>
    <row r="961" spans="3:5" x14ac:dyDescent="0.35">
      <c r="C961" s="1" t="s">
        <v>3598</v>
      </c>
      <c r="D961" s="1" t="s">
        <v>2329</v>
      </c>
      <c r="E961" s="250">
        <v>6431.2269999999999</v>
      </c>
    </row>
    <row r="962" spans="3:5" x14ac:dyDescent="0.35">
      <c r="C962" s="1" t="s">
        <v>3597</v>
      </c>
      <c r="D962" s="1" t="s">
        <v>2329</v>
      </c>
      <c r="E962" s="250">
        <v>6431.2280000000001</v>
      </c>
    </row>
    <row r="963" spans="3:5" x14ac:dyDescent="0.35">
      <c r="C963" s="1" t="s">
        <v>3596</v>
      </c>
      <c r="D963" s="1" t="s">
        <v>2329</v>
      </c>
      <c r="E963" s="250">
        <v>6431.2290000000003</v>
      </c>
    </row>
    <row r="964" spans="3:5" x14ac:dyDescent="0.35">
      <c r="C964" s="1" t="s">
        <v>3595</v>
      </c>
      <c r="D964" s="1" t="s">
        <v>2329</v>
      </c>
      <c r="E964" s="250">
        <v>6431.23</v>
      </c>
    </row>
    <row r="965" spans="3:5" x14ac:dyDescent="0.35">
      <c r="C965" s="1" t="s">
        <v>3594</v>
      </c>
      <c r="D965" s="1" t="s">
        <v>2329</v>
      </c>
      <c r="E965" s="250">
        <v>6431.2309999999998</v>
      </c>
    </row>
    <row r="966" spans="3:5" x14ac:dyDescent="0.35">
      <c r="C966" s="1" t="s">
        <v>3593</v>
      </c>
      <c r="D966" s="1" t="s">
        <v>2329</v>
      </c>
      <c r="E966" s="250">
        <v>6431.232</v>
      </c>
    </row>
    <row r="967" spans="3:5" x14ac:dyDescent="0.35">
      <c r="C967" s="1" t="s">
        <v>3592</v>
      </c>
      <c r="D967" s="1" t="s">
        <v>2329</v>
      </c>
      <c r="E967" s="250">
        <v>6431.2330000000002</v>
      </c>
    </row>
    <row r="968" spans="3:5" x14ac:dyDescent="0.35">
      <c r="C968" s="1" t="s">
        <v>3591</v>
      </c>
      <c r="D968" s="1" t="s">
        <v>2329</v>
      </c>
      <c r="E968" s="250">
        <v>6431.2340000000004</v>
      </c>
    </row>
    <row r="969" spans="3:5" x14ac:dyDescent="0.35">
      <c r="C969" s="1" t="s">
        <v>3590</v>
      </c>
      <c r="D969" s="1" t="s">
        <v>2329</v>
      </c>
      <c r="E969" s="250">
        <v>6431.2349999999997</v>
      </c>
    </row>
    <row r="970" spans="3:5" x14ac:dyDescent="0.35">
      <c r="C970" s="1" t="s">
        <v>3589</v>
      </c>
      <c r="D970" s="1" t="s">
        <v>2329</v>
      </c>
      <c r="E970" s="250">
        <v>6431.2359999999999</v>
      </c>
    </row>
    <row r="971" spans="3:5" x14ac:dyDescent="0.35">
      <c r="C971" s="1" t="s">
        <v>3588</v>
      </c>
      <c r="D971" s="1" t="s">
        <v>2329</v>
      </c>
      <c r="E971" s="250">
        <v>6431.2370000000001</v>
      </c>
    </row>
    <row r="972" spans="3:5" x14ac:dyDescent="0.35">
      <c r="C972" s="1" t="s">
        <v>3587</v>
      </c>
      <c r="D972" s="1" t="s">
        <v>2329</v>
      </c>
      <c r="E972" s="250">
        <v>6431.2380000000003</v>
      </c>
    </row>
    <row r="973" spans="3:5" x14ac:dyDescent="0.35">
      <c r="C973" s="1" t="s">
        <v>3586</v>
      </c>
      <c r="D973" s="1" t="s">
        <v>2329</v>
      </c>
      <c r="E973" s="250">
        <v>6431.2389999999996</v>
      </c>
    </row>
    <row r="974" spans="3:5" x14ac:dyDescent="0.35">
      <c r="C974" s="1" t="s">
        <v>3585</v>
      </c>
      <c r="D974" s="1" t="s">
        <v>2329</v>
      </c>
      <c r="E974" s="250">
        <v>6431.24</v>
      </c>
    </row>
    <row r="975" spans="3:5" x14ac:dyDescent="0.35">
      <c r="C975" s="1" t="s">
        <v>3584</v>
      </c>
      <c r="D975" s="1" t="s">
        <v>2329</v>
      </c>
      <c r="E975" s="250">
        <v>6431.241</v>
      </c>
    </row>
    <row r="976" spans="3:5" x14ac:dyDescent="0.35">
      <c r="C976" s="1" t="s">
        <v>3583</v>
      </c>
      <c r="D976" s="1" t="s">
        <v>18</v>
      </c>
      <c r="E976" s="250">
        <v>6431.2420000000002</v>
      </c>
    </row>
    <row r="977" spans="3:5" x14ac:dyDescent="0.35">
      <c r="C977" s="1" t="s">
        <v>3582</v>
      </c>
      <c r="D977" s="1" t="s">
        <v>19</v>
      </c>
      <c r="E977" s="250">
        <v>6431.2430000000004</v>
      </c>
    </row>
    <row r="978" spans="3:5" x14ac:dyDescent="0.35">
      <c r="C978" s="1" t="s">
        <v>3581</v>
      </c>
      <c r="D978" s="1" t="s">
        <v>19</v>
      </c>
      <c r="E978" s="250">
        <v>6431.2439999999997</v>
      </c>
    </row>
    <row r="979" spans="3:5" x14ac:dyDescent="0.35">
      <c r="C979" s="1" t="s">
        <v>3580</v>
      </c>
      <c r="D979" s="1" t="s">
        <v>19</v>
      </c>
      <c r="E979" s="250">
        <v>6431.2449999999999</v>
      </c>
    </row>
    <row r="980" spans="3:5" x14ac:dyDescent="0.35">
      <c r="C980" s="1" t="s">
        <v>3579</v>
      </c>
      <c r="D980" s="1" t="s">
        <v>19</v>
      </c>
      <c r="E980" s="250">
        <v>6431.2460000000001</v>
      </c>
    </row>
    <row r="981" spans="3:5" x14ac:dyDescent="0.35">
      <c r="C981" s="1" t="s">
        <v>3578</v>
      </c>
      <c r="D981" s="1" t="s">
        <v>19</v>
      </c>
      <c r="E981" s="250">
        <v>6431.2470000000003</v>
      </c>
    </row>
    <row r="982" spans="3:5" x14ac:dyDescent="0.35">
      <c r="C982" s="1" t="s">
        <v>3577</v>
      </c>
      <c r="D982" s="1" t="s">
        <v>19</v>
      </c>
      <c r="E982" s="250">
        <v>6431.2479999999996</v>
      </c>
    </row>
    <row r="983" spans="3:5" x14ac:dyDescent="0.35">
      <c r="C983" s="1" t="s">
        <v>3576</v>
      </c>
      <c r="D983" s="1" t="s">
        <v>19</v>
      </c>
      <c r="E983" s="250">
        <v>6431.2489999999998</v>
      </c>
    </row>
    <row r="984" spans="3:5" x14ac:dyDescent="0.35">
      <c r="C984" s="1" t="s">
        <v>3575</v>
      </c>
      <c r="D984" s="1" t="s">
        <v>19</v>
      </c>
      <c r="E984" s="250">
        <v>6431.25</v>
      </c>
    </row>
    <row r="985" spans="3:5" x14ac:dyDescent="0.35">
      <c r="C985" s="1" t="s">
        <v>3574</v>
      </c>
      <c r="D985" s="1" t="s">
        <v>18</v>
      </c>
      <c r="E985" s="250">
        <v>6431.2510000000002</v>
      </c>
    </row>
    <row r="986" spans="3:5" x14ac:dyDescent="0.35">
      <c r="C986" s="1" t="s">
        <v>3573</v>
      </c>
      <c r="D986" s="1" t="s">
        <v>18</v>
      </c>
      <c r="E986" s="250">
        <v>6431.2520000000004</v>
      </c>
    </row>
    <row r="987" spans="3:5" x14ac:dyDescent="0.35">
      <c r="C987" s="1" t="s">
        <v>3572</v>
      </c>
      <c r="D987" s="1" t="s">
        <v>18</v>
      </c>
      <c r="E987" s="250">
        <v>6431.2529999999997</v>
      </c>
    </row>
    <row r="988" spans="3:5" x14ac:dyDescent="0.35">
      <c r="C988" s="1" t="s">
        <v>3571</v>
      </c>
      <c r="D988" s="1" t="s">
        <v>2329</v>
      </c>
      <c r="E988" s="250">
        <v>6431.3010000000004</v>
      </c>
    </row>
    <row r="989" spans="3:5" x14ac:dyDescent="0.35">
      <c r="C989" s="1" t="s">
        <v>3570</v>
      </c>
      <c r="D989" s="1" t="s">
        <v>2329</v>
      </c>
      <c r="E989" s="250">
        <v>6431.3019999999997</v>
      </c>
    </row>
    <row r="990" spans="3:5" x14ac:dyDescent="0.35">
      <c r="C990" s="1" t="s">
        <v>3569</v>
      </c>
      <c r="D990" s="1" t="s">
        <v>2329</v>
      </c>
      <c r="E990" s="250">
        <v>6431.3029999999999</v>
      </c>
    </row>
    <row r="991" spans="3:5" x14ac:dyDescent="0.35">
      <c r="C991" s="1" t="s">
        <v>3568</v>
      </c>
      <c r="D991" s="1" t="s">
        <v>2329</v>
      </c>
      <c r="E991" s="250">
        <v>6431.3040000000001</v>
      </c>
    </row>
    <row r="992" spans="3:5" x14ac:dyDescent="0.35">
      <c r="C992" s="1" t="s">
        <v>3567</v>
      </c>
      <c r="D992" s="1" t="s">
        <v>2329</v>
      </c>
      <c r="E992" s="250">
        <v>6431.3050000000003</v>
      </c>
    </row>
    <row r="993" spans="3:5" x14ac:dyDescent="0.35">
      <c r="C993" s="1" t="s">
        <v>3566</v>
      </c>
      <c r="D993" s="1" t="s">
        <v>2329</v>
      </c>
      <c r="E993" s="250">
        <v>6431.3059999999996</v>
      </c>
    </row>
    <row r="994" spans="3:5" x14ac:dyDescent="0.35">
      <c r="C994" s="1" t="s">
        <v>3565</v>
      </c>
      <c r="D994" s="1" t="s">
        <v>2329</v>
      </c>
      <c r="E994" s="250">
        <v>6431.3069999999998</v>
      </c>
    </row>
    <row r="995" spans="3:5" x14ac:dyDescent="0.35">
      <c r="C995" s="1" t="s">
        <v>3564</v>
      </c>
      <c r="D995" s="1" t="s">
        <v>2329</v>
      </c>
      <c r="E995" s="250">
        <v>6431.308</v>
      </c>
    </row>
    <row r="996" spans="3:5" x14ac:dyDescent="0.35">
      <c r="C996" s="1" t="s">
        <v>3563</v>
      </c>
      <c r="D996" s="1" t="s">
        <v>2329</v>
      </c>
      <c r="E996" s="250">
        <v>6431.3090000000002</v>
      </c>
    </row>
    <row r="997" spans="3:5" x14ac:dyDescent="0.35">
      <c r="C997" s="1" t="s">
        <v>3562</v>
      </c>
      <c r="D997" s="1" t="s">
        <v>66</v>
      </c>
      <c r="E997" s="250">
        <v>6431.31</v>
      </c>
    </row>
    <row r="998" spans="3:5" x14ac:dyDescent="0.35">
      <c r="C998" s="1" t="s">
        <v>3561</v>
      </c>
      <c r="D998" s="1" t="s">
        <v>2329</v>
      </c>
      <c r="E998" s="250">
        <v>6431.3109999999997</v>
      </c>
    </row>
    <row r="999" spans="3:5" x14ac:dyDescent="0.35">
      <c r="C999" s="1" t="s">
        <v>3560</v>
      </c>
      <c r="D999" s="1" t="s">
        <v>2329</v>
      </c>
      <c r="E999" s="250">
        <v>6431.3119999999999</v>
      </c>
    </row>
    <row r="1000" spans="3:5" x14ac:dyDescent="0.35">
      <c r="C1000" s="1" t="s">
        <v>3559</v>
      </c>
      <c r="D1000" s="1" t="s">
        <v>2329</v>
      </c>
      <c r="E1000" s="250">
        <v>6431.3130000000001</v>
      </c>
    </row>
    <row r="1001" spans="3:5" x14ac:dyDescent="0.35">
      <c r="C1001" s="1" t="s">
        <v>3558</v>
      </c>
      <c r="D1001" s="1" t="s">
        <v>2329</v>
      </c>
      <c r="E1001" s="250">
        <v>6431.3140000000003</v>
      </c>
    </row>
    <row r="1002" spans="3:5" x14ac:dyDescent="0.35">
      <c r="C1002" s="1" t="s">
        <v>3557</v>
      </c>
      <c r="D1002" s="1" t="s">
        <v>2329</v>
      </c>
      <c r="E1002" s="250">
        <v>6431.3149999999996</v>
      </c>
    </row>
    <row r="1003" spans="3:5" x14ac:dyDescent="0.35">
      <c r="C1003" s="1" t="s">
        <v>3556</v>
      </c>
      <c r="D1003" s="1" t="s">
        <v>2329</v>
      </c>
      <c r="E1003" s="250">
        <v>6431.3159999999998</v>
      </c>
    </row>
    <row r="1004" spans="3:5" x14ac:dyDescent="0.35">
      <c r="C1004" s="1" t="s">
        <v>3555</v>
      </c>
      <c r="D1004" s="1" t="s">
        <v>2329</v>
      </c>
      <c r="E1004" s="250">
        <v>6431.317</v>
      </c>
    </row>
    <row r="1005" spans="3:5" x14ac:dyDescent="0.35">
      <c r="C1005" s="1" t="s">
        <v>3554</v>
      </c>
      <c r="D1005" s="1" t="s">
        <v>2329</v>
      </c>
      <c r="E1005" s="250">
        <v>6431.3180000000002</v>
      </c>
    </row>
    <row r="1006" spans="3:5" x14ac:dyDescent="0.35">
      <c r="C1006" s="1" t="s">
        <v>3553</v>
      </c>
      <c r="D1006" s="1" t="s">
        <v>2329</v>
      </c>
      <c r="E1006" s="250">
        <v>6431.3190000000004</v>
      </c>
    </row>
    <row r="1007" spans="3:5" x14ac:dyDescent="0.35">
      <c r="C1007" s="1" t="s">
        <v>3552</v>
      </c>
      <c r="D1007" s="1" t="s">
        <v>2329</v>
      </c>
      <c r="E1007" s="250">
        <v>6431.3209999999999</v>
      </c>
    </row>
    <row r="1008" spans="3:5" x14ac:dyDescent="0.35">
      <c r="C1008" s="1" t="s">
        <v>3551</v>
      </c>
      <c r="D1008" s="1" t="s">
        <v>2329</v>
      </c>
      <c r="E1008" s="250">
        <v>6431.3220000000001</v>
      </c>
    </row>
    <row r="1009" spans="3:5" x14ac:dyDescent="0.35">
      <c r="C1009" s="1" t="s">
        <v>3550</v>
      </c>
      <c r="D1009" s="1" t="s">
        <v>2329</v>
      </c>
      <c r="E1009" s="250">
        <v>6431.3230000000003</v>
      </c>
    </row>
    <row r="1010" spans="3:5" x14ac:dyDescent="0.35">
      <c r="C1010" s="1" t="s">
        <v>3549</v>
      </c>
      <c r="D1010" s="1" t="s">
        <v>2329</v>
      </c>
      <c r="E1010" s="250">
        <v>6431.3239999999996</v>
      </c>
    </row>
    <row r="1011" spans="3:5" x14ac:dyDescent="0.35">
      <c r="C1011" s="1" t="s">
        <v>3548</v>
      </c>
      <c r="D1011" s="1" t="s">
        <v>2329</v>
      </c>
      <c r="E1011" s="250">
        <v>6431.3249999999998</v>
      </c>
    </row>
    <row r="1012" spans="3:5" x14ac:dyDescent="0.35">
      <c r="C1012" s="1" t="s">
        <v>3547</v>
      </c>
      <c r="D1012" s="1" t="s">
        <v>2329</v>
      </c>
      <c r="E1012" s="250">
        <v>6431.326</v>
      </c>
    </row>
    <row r="1013" spans="3:5" x14ac:dyDescent="0.35">
      <c r="C1013" s="1" t="s">
        <v>3546</v>
      </c>
      <c r="D1013" s="1" t="s">
        <v>2329</v>
      </c>
      <c r="E1013" s="250">
        <v>6431.3270000000002</v>
      </c>
    </row>
    <row r="1014" spans="3:5" x14ac:dyDescent="0.35">
      <c r="C1014" s="1" t="s">
        <v>3545</v>
      </c>
      <c r="D1014" s="1" t="s">
        <v>2329</v>
      </c>
      <c r="E1014" s="250">
        <v>6431.3280000000004</v>
      </c>
    </row>
    <row r="1015" spans="3:5" x14ac:dyDescent="0.35">
      <c r="C1015" s="1" t="s">
        <v>3544</v>
      </c>
      <c r="D1015" s="1" t="s">
        <v>2329</v>
      </c>
      <c r="E1015" s="250">
        <v>6431.3289999999997</v>
      </c>
    </row>
    <row r="1016" spans="3:5" x14ac:dyDescent="0.35">
      <c r="C1016" s="1" t="s">
        <v>3543</v>
      </c>
      <c r="D1016" s="1" t="s">
        <v>2329</v>
      </c>
      <c r="E1016" s="250">
        <v>6431.3310000000001</v>
      </c>
    </row>
    <row r="1017" spans="3:5" x14ac:dyDescent="0.35">
      <c r="C1017" s="1" t="s">
        <v>3542</v>
      </c>
      <c r="D1017" s="1" t="s">
        <v>2329</v>
      </c>
      <c r="E1017" s="250">
        <v>6431.3320000000003</v>
      </c>
    </row>
    <row r="1018" spans="3:5" x14ac:dyDescent="0.35">
      <c r="C1018" s="1" t="s">
        <v>3541</v>
      </c>
      <c r="D1018" s="1" t="s">
        <v>2329</v>
      </c>
      <c r="E1018" s="250">
        <v>6431.3329999999996</v>
      </c>
    </row>
    <row r="1019" spans="3:5" x14ac:dyDescent="0.35">
      <c r="C1019" s="1" t="s">
        <v>3540</v>
      </c>
      <c r="D1019" s="1" t="s">
        <v>2329</v>
      </c>
      <c r="E1019" s="250">
        <v>6431.3339999999998</v>
      </c>
    </row>
    <row r="1020" spans="3:5" x14ac:dyDescent="0.35">
      <c r="C1020" s="1" t="s">
        <v>3539</v>
      </c>
      <c r="D1020" s="1" t="s">
        <v>2329</v>
      </c>
      <c r="E1020" s="250">
        <v>6431.335</v>
      </c>
    </row>
    <row r="1021" spans="3:5" x14ac:dyDescent="0.35">
      <c r="C1021" s="1" t="s">
        <v>3538</v>
      </c>
      <c r="D1021" s="1" t="s">
        <v>2329</v>
      </c>
      <c r="E1021" s="250">
        <v>6431.3360000000002</v>
      </c>
    </row>
    <row r="1022" spans="3:5" x14ac:dyDescent="0.35">
      <c r="C1022" s="1" t="s">
        <v>3537</v>
      </c>
      <c r="D1022" s="1" t="s">
        <v>2329</v>
      </c>
      <c r="E1022" s="250">
        <v>6431.3370000000004</v>
      </c>
    </row>
    <row r="1023" spans="3:5" x14ac:dyDescent="0.35">
      <c r="C1023" s="1" t="s">
        <v>3536</v>
      </c>
      <c r="D1023" s="1" t="s">
        <v>2329</v>
      </c>
      <c r="E1023" s="250">
        <v>6431.3379999999997</v>
      </c>
    </row>
    <row r="1024" spans="3:5" x14ac:dyDescent="0.35">
      <c r="C1024" s="1" t="s">
        <v>3535</v>
      </c>
      <c r="D1024" s="1" t="s">
        <v>2329</v>
      </c>
      <c r="E1024" s="250">
        <v>6431.3389999999999</v>
      </c>
    </row>
    <row r="1025" spans="3:5" x14ac:dyDescent="0.35">
      <c r="C1025" s="1" t="s">
        <v>3534</v>
      </c>
      <c r="D1025" s="1" t="s">
        <v>2329</v>
      </c>
      <c r="E1025" s="250">
        <v>6431.3410000000003</v>
      </c>
    </row>
    <row r="1026" spans="3:5" x14ac:dyDescent="0.35">
      <c r="C1026" s="1" t="s">
        <v>3533</v>
      </c>
      <c r="D1026" s="1" t="s">
        <v>2329</v>
      </c>
      <c r="E1026" s="250">
        <v>6431.3419999999996</v>
      </c>
    </row>
    <row r="1027" spans="3:5" x14ac:dyDescent="0.35">
      <c r="C1027" s="1" t="s">
        <v>3532</v>
      </c>
      <c r="D1027" s="1" t="s">
        <v>2329</v>
      </c>
      <c r="E1027" s="250">
        <v>6431.3429999999998</v>
      </c>
    </row>
    <row r="1028" spans="3:5" x14ac:dyDescent="0.35">
      <c r="C1028" s="1" t="s">
        <v>3531</v>
      </c>
      <c r="D1028" s="1" t="s">
        <v>2329</v>
      </c>
      <c r="E1028" s="250">
        <v>6431.3440000000001</v>
      </c>
    </row>
    <row r="1029" spans="3:5" x14ac:dyDescent="0.35">
      <c r="C1029" s="1" t="s">
        <v>3530</v>
      </c>
      <c r="D1029" s="1" t="s">
        <v>2329</v>
      </c>
      <c r="E1029" s="250">
        <v>6431.3450000000003</v>
      </c>
    </row>
    <row r="1030" spans="3:5" x14ac:dyDescent="0.35">
      <c r="C1030" s="1" t="s">
        <v>3529</v>
      </c>
      <c r="D1030" s="1" t="s">
        <v>2329</v>
      </c>
      <c r="E1030" s="250">
        <v>6431.3459999999995</v>
      </c>
    </row>
    <row r="1031" spans="3:5" x14ac:dyDescent="0.35">
      <c r="C1031" s="1" t="s">
        <v>3528</v>
      </c>
      <c r="D1031" s="1" t="s">
        <v>2329</v>
      </c>
      <c r="E1031" s="250">
        <v>6431.3469999999998</v>
      </c>
    </row>
    <row r="1032" spans="3:5" x14ac:dyDescent="0.35">
      <c r="C1032" s="1" t="s">
        <v>3527</v>
      </c>
      <c r="D1032" s="1" t="s">
        <v>2329</v>
      </c>
      <c r="E1032" s="250">
        <v>6431.348</v>
      </c>
    </row>
    <row r="1033" spans="3:5" x14ac:dyDescent="0.35">
      <c r="C1033" s="1" t="s">
        <v>3526</v>
      </c>
      <c r="D1033" s="1" t="s">
        <v>2329</v>
      </c>
      <c r="E1033" s="250">
        <v>6431.3490000000002</v>
      </c>
    </row>
    <row r="1034" spans="3:5" x14ac:dyDescent="0.35">
      <c r="C1034" s="1" t="s">
        <v>3525</v>
      </c>
      <c r="D1034" s="1" t="s">
        <v>2329</v>
      </c>
      <c r="E1034" s="250">
        <v>6431.3509999999997</v>
      </c>
    </row>
    <row r="1035" spans="3:5" x14ac:dyDescent="0.35">
      <c r="C1035" s="1" t="s">
        <v>3524</v>
      </c>
      <c r="D1035" s="1" t="s">
        <v>2329</v>
      </c>
      <c r="E1035" s="250">
        <v>6431.3519999999999</v>
      </c>
    </row>
    <row r="1036" spans="3:5" x14ac:dyDescent="0.35">
      <c r="C1036" s="1" t="s">
        <v>3523</v>
      </c>
      <c r="D1036" s="1" t="s">
        <v>2329</v>
      </c>
      <c r="E1036" s="250">
        <v>6431.3530000000001</v>
      </c>
    </row>
    <row r="1037" spans="3:5" x14ac:dyDescent="0.35">
      <c r="C1037" s="1" t="s">
        <v>3522</v>
      </c>
      <c r="D1037" s="1" t="s">
        <v>2329</v>
      </c>
      <c r="E1037" s="250">
        <v>6431.3540000000003</v>
      </c>
    </row>
    <row r="1038" spans="3:5" x14ac:dyDescent="0.35">
      <c r="C1038" s="1" t="s">
        <v>3521</v>
      </c>
      <c r="D1038" s="1" t="s">
        <v>2329</v>
      </c>
      <c r="E1038" s="250">
        <v>6431.3549999999996</v>
      </c>
    </row>
    <row r="1039" spans="3:5" x14ac:dyDescent="0.35">
      <c r="C1039" s="1" t="s">
        <v>3520</v>
      </c>
      <c r="D1039" s="1" t="s">
        <v>2329</v>
      </c>
      <c r="E1039" s="250">
        <v>6431.3559999999998</v>
      </c>
    </row>
    <row r="1040" spans="3:5" x14ac:dyDescent="0.35">
      <c r="C1040" s="1" t="s">
        <v>3519</v>
      </c>
      <c r="D1040" s="1" t="s">
        <v>2329</v>
      </c>
      <c r="E1040" s="250">
        <v>6431.357</v>
      </c>
    </row>
    <row r="1041" spans="3:5" x14ac:dyDescent="0.35">
      <c r="C1041" s="1" t="s">
        <v>3518</v>
      </c>
      <c r="D1041" s="1" t="s">
        <v>2329</v>
      </c>
      <c r="E1041" s="250">
        <v>6431.3580000000002</v>
      </c>
    </row>
    <row r="1042" spans="3:5" x14ac:dyDescent="0.35">
      <c r="C1042" s="1" t="s">
        <v>3517</v>
      </c>
      <c r="D1042" s="1" t="s">
        <v>2329</v>
      </c>
      <c r="E1042" s="250">
        <v>6431.3590000000004</v>
      </c>
    </row>
    <row r="1043" spans="3:5" x14ac:dyDescent="0.35">
      <c r="C1043" s="1" t="s">
        <v>3516</v>
      </c>
      <c r="D1043" s="1" t="s">
        <v>2329</v>
      </c>
      <c r="E1043" s="250">
        <v>6431.3609999999999</v>
      </c>
    </row>
    <row r="1044" spans="3:5" x14ac:dyDescent="0.35">
      <c r="C1044" s="1" t="s">
        <v>3515</v>
      </c>
      <c r="D1044" s="1" t="s">
        <v>2329</v>
      </c>
      <c r="E1044" s="250">
        <v>6431.3620000000001</v>
      </c>
    </row>
    <row r="1045" spans="3:5" x14ac:dyDescent="0.35">
      <c r="C1045" s="1" t="s">
        <v>3514</v>
      </c>
      <c r="D1045" s="1" t="s">
        <v>2329</v>
      </c>
      <c r="E1045" s="250">
        <v>6431.3630000000003</v>
      </c>
    </row>
    <row r="1046" spans="3:5" x14ac:dyDescent="0.35">
      <c r="C1046" s="1" t="s">
        <v>3513</v>
      </c>
      <c r="D1046" s="1" t="s">
        <v>2329</v>
      </c>
      <c r="E1046" s="250">
        <v>6431.3639999999996</v>
      </c>
    </row>
    <row r="1047" spans="3:5" x14ac:dyDescent="0.35">
      <c r="C1047" s="1" t="s">
        <v>3512</v>
      </c>
      <c r="D1047" s="1" t="s">
        <v>2329</v>
      </c>
      <c r="E1047" s="250">
        <v>6431.3649999999998</v>
      </c>
    </row>
    <row r="1048" spans="3:5" x14ac:dyDescent="0.35">
      <c r="C1048" s="1" t="s">
        <v>3511</v>
      </c>
      <c r="D1048" s="1" t="s">
        <v>2329</v>
      </c>
      <c r="E1048" s="250">
        <v>6431.366</v>
      </c>
    </row>
    <row r="1049" spans="3:5" x14ac:dyDescent="0.35">
      <c r="C1049" s="1" t="s">
        <v>3510</v>
      </c>
      <c r="D1049" s="1" t="s">
        <v>2329</v>
      </c>
      <c r="E1049" s="250">
        <v>6431.3670000000002</v>
      </c>
    </row>
    <row r="1050" spans="3:5" x14ac:dyDescent="0.35">
      <c r="C1050" s="1" t="s">
        <v>3509</v>
      </c>
      <c r="D1050" s="1" t="s">
        <v>2329</v>
      </c>
      <c r="E1050" s="250">
        <v>6431.3680000000004</v>
      </c>
    </row>
    <row r="1051" spans="3:5" x14ac:dyDescent="0.35">
      <c r="C1051" s="1" t="s">
        <v>3508</v>
      </c>
      <c r="D1051" s="1" t="s">
        <v>2329</v>
      </c>
      <c r="E1051" s="250">
        <v>6431.3689999999997</v>
      </c>
    </row>
    <row r="1052" spans="3:5" x14ac:dyDescent="0.35">
      <c r="C1052" s="1" t="s">
        <v>3507</v>
      </c>
      <c r="D1052" s="1" t="s">
        <v>2329</v>
      </c>
      <c r="E1052" s="250">
        <v>6431.4009999999998</v>
      </c>
    </row>
    <row r="1053" spans="3:5" x14ac:dyDescent="0.35">
      <c r="C1053" s="1" t="s">
        <v>3506</v>
      </c>
      <c r="D1053" s="1" t="s">
        <v>2329</v>
      </c>
      <c r="E1053" s="250">
        <v>6431.402</v>
      </c>
    </row>
    <row r="1054" spans="3:5" x14ac:dyDescent="0.35">
      <c r="C1054" s="1" t="s">
        <v>3505</v>
      </c>
      <c r="D1054" s="1" t="s">
        <v>2329</v>
      </c>
      <c r="E1054" s="250">
        <v>6431.4030000000002</v>
      </c>
    </row>
    <row r="1055" spans="3:5" x14ac:dyDescent="0.35">
      <c r="C1055" s="1" t="s">
        <v>3504</v>
      </c>
      <c r="D1055" s="1" t="s">
        <v>2329</v>
      </c>
      <c r="E1055" s="250">
        <v>6431.4040000000005</v>
      </c>
    </row>
    <row r="1056" spans="3:5" x14ac:dyDescent="0.35">
      <c r="C1056" s="1" t="s">
        <v>3503</v>
      </c>
      <c r="D1056" s="1" t="s">
        <v>2329</v>
      </c>
      <c r="E1056" s="250">
        <v>6431.4049999999997</v>
      </c>
    </row>
    <row r="1057" spans="3:5" x14ac:dyDescent="0.35">
      <c r="C1057" s="1" t="s">
        <v>3502</v>
      </c>
      <c r="D1057" s="1" t="s">
        <v>2329</v>
      </c>
      <c r="E1057" s="250">
        <v>6431.4059999999999</v>
      </c>
    </row>
    <row r="1058" spans="3:5" x14ac:dyDescent="0.35">
      <c r="C1058" s="1" t="s">
        <v>3501</v>
      </c>
      <c r="D1058" s="1" t="s">
        <v>2329</v>
      </c>
      <c r="E1058" s="250">
        <v>6431.4070000000002</v>
      </c>
    </row>
    <row r="1059" spans="3:5" x14ac:dyDescent="0.35">
      <c r="C1059" s="1" t="s">
        <v>3500</v>
      </c>
      <c r="D1059" s="1" t="s">
        <v>2329</v>
      </c>
      <c r="E1059" s="250">
        <v>6431.4080000000004</v>
      </c>
    </row>
    <row r="1060" spans="3:5" x14ac:dyDescent="0.35">
      <c r="C1060" s="1" t="s">
        <v>3499</v>
      </c>
      <c r="D1060" s="1" t="s">
        <v>2329</v>
      </c>
      <c r="E1060" s="250">
        <v>6431.4089999999997</v>
      </c>
    </row>
    <row r="1061" spans="3:5" x14ac:dyDescent="0.35">
      <c r="C1061" s="1" t="s">
        <v>3498</v>
      </c>
      <c r="D1061" s="1" t="s">
        <v>2329</v>
      </c>
      <c r="E1061" s="250">
        <v>6431.4110000000001</v>
      </c>
    </row>
    <row r="1062" spans="3:5" x14ac:dyDescent="0.35">
      <c r="C1062" s="1" t="s">
        <v>3497</v>
      </c>
      <c r="D1062" s="1" t="s">
        <v>2329</v>
      </c>
      <c r="E1062" s="250">
        <v>6431.4120000000003</v>
      </c>
    </row>
    <row r="1063" spans="3:5" x14ac:dyDescent="0.35">
      <c r="C1063" s="1" t="s">
        <v>3496</v>
      </c>
      <c r="D1063" s="1" t="s">
        <v>2329</v>
      </c>
      <c r="E1063" s="250">
        <v>6431.4129999999996</v>
      </c>
    </row>
    <row r="1064" spans="3:5" x14ac:dyDescent="0.35">
      <c r="C1064" s="1" t="s">
        <v>3495</v>
      </c>
      <c r="D1064" s="1" t="s">
        <v>2329</v>
      </c>
      <c r="E1064" s="250">
        <v>6431.4139999999998</v>
      </c>
    </row>
    <row r="1065" spans="3:5" x14ac:dyDescent="0.35">
      <c r="C1065" s="1" t="s">
        <v>3494</v>
      </c>
      <c r="D1065" s="1" t="s">
        <v>2329</v>
      </c>
      <c r="E1065" s="250">
        <v>6431.415</v>
      </c>
    </row>
    <row r="1066" spans="3:5" x14ac:dyDescent="0.35">
      <c r="C1066" s="1" t="s">
        <v>3493</v>
      </c>
      <c r="D1066" s="1" t="s">
        <v>2329</v>
      </c>
      <c r="E1066" s="250">
        <v>6431.4160000000002</v>
      </c>
    </row>
    <row r="1067" spans="3:5" x14ac:dyDescent="0.35">
      <c r="C1067" s="1" t="s">
        <v>3492</v>
      </c>
      <c r="D1067" s="1" t="s">
        <v>2329</v>
      </c>
      <c r="E1067" s="250">
        <v>6431.4170000000004</v>
      </c>
    </row>
    <row r="1068" spans="3:5" x14ac:dyDescent="0.35">
      <c r="C1068" s="1" t="s">
        <v>3491</v>
      </c>
      <c r="D1068" s="1" t="s">
        <v>2329</v>
      </c>
      <c r="E1068" s="250">
        <v>6431.4179999999997</v>
      </c>
    </row>
    <row r="1069" spans="3:5" x14ac:dyDescent="0.35">
      <c r="C1069" s="1" t="s">
        <v>3490</v>
      </c>
      <c r="D1069" s="1" t="s">
        <v>2329</v>
      </c>
      <c r="E1069" s="250">
        <v>6431.4189999999999</v>
      </c>
    </row>
    <row r="1070" spans="3:5" x14ac:dyDescent="0.35">
      <c r="C1070" s="1" t="s">
        <v>3489</v>
      </c>
      <c r="D1070" s="1" t="s">
        <v>2329</v>
      </c>
      <c r="E1070" s="250">
        <v>6431.4210000000003</v>
      </c>
    </row>
    <row r="1071" spans="3:5" x14ac:dyDescent="0.35">
      <c r="C1071" s="1" t="s">
        <v>3488</v>
      </c>
      <c r="D1071" s="1" t="s">
        <v>2329</v>
      </c>
      <c r="E1071" s="250">
        <v>6431.4219999999996</v>
      </c>
    </row>
    <row r="1072" spans="3:5" x14ac:dyDescent="0.35">
      <c r="C1072" s="1" t="s">
        <v>3487</v>
      </c>
      <c r="D1072" s="1" t="s">
        <v>2329</v>
      </c>
      <c r="E1072" s="250">
        <v>6431.4229999999998</v>
      </c>
    </row>
    <row r="1073" spans="3:5" x14ac:dyDescent="0.35">
      <c r="C1073" s="1" t="s">
        <v>3486</v>
      </c>
      <c r="D1073" s="1" t="s">
        <v>2329</v>
      </c>
      <c r="E1073" s="250">
        <v>6431.424</v>
      </c>
    </row>
    <row r="1074" spans="3:5" x14ac:dyDescent="0.35">
      <c r="C1074" s="1" t="s">
        <v>3485</v>
      </c>
      <c r="D1074" s="1" t="s">
        <v>2329</v>
      </c>
      <c r="E1074" s="250">
        <v>6431.4250000000002</v>
      </c>
    </row>
    <row r="1075" spans="3:5" x14ac:dyDescent="0.35">
      <c r="C1075" s="1" t="s">
        <v>3484</v>
      </c>
      <c r="D1075" s="1" t="s">
        <v>2329</v>
      </c>
      <c r="E1075" s="250">
        <v>6431.4260000000004</v>
      </c>
    </row>
    <row r="1076" spans="3:5" x14ac:dyDescent="0.35">
      <c r="C1076" s="1" t="s">
        <v>3483</v>
      </c>
      <c r="D1076" s="1" t="s">
        <v>2329</v>
      </c>
      <c r="E1076" s="250">
        <v>6431.4269999999997</v>
      </c>
    </row>
    <row r="1077" spans="3:5" x14ac:dyDescent="0.35">
      <c r="C1077" s="1" t="s">
        <v>3482</v>
      </c>
      <c r="D1077" s="1" t="s">
        <v>2329</v>
      </c>
      <c r="E1077" s="250">
        <v>6431.4279999999999</v>
      </c>
    </row>
    <row r="1078" spans="3:5" x14ac:dyDescent="0.35">
      <c r="C1078" s="1" t="s">
        <v>3481</v>
      </c>
      <c r="D1078" s="1" t="s">
        <v>2329</v>
      </c>
      <c r="E1078" s="250">
        <v>6431.4290000000001</v>
      </c>
    </row>
    <row r="1079" spans="3:5" x14ac:dyDescent="0.35">
      <c r="C1079" s="1" t="s">
        <v>3480</v>
      </c>
      <c r="D1079" s="1" t="s">
        <v>2329</v>
      </c>
      <c r="E1079" s="250">
        <v>6431.4309999999996</v>
      </c>
    </row>
    <row r="1080" spans="3:5" x14ac:dyDescent="0.35">
      <c r="C1080" s="1" t="s">
        <v>3479</v>
      </c>
      <c r="D1080" s="1" t="s">
        <v>2329</v>
      </c>
      <c r="E1080" s="250">
        <v>6431.4319999999998</v>
      </c>
    </row>
    <row r="1081" spans="3:5" x14ac:dyDescent="0.35">
      <c r="C1081" s="1" t="s">
        <v>3478</v>
      </c>
      <c r="D1081" s="1" t="s">
        <v>2329</v>
      </c>
      <c r="E1081" s="250">
        <v>6431.433</v>
      </c>
    </row>
    <row r="1082" spans="3:5" x14ac:dyDescent="0.35">
      <c r="C1082" s="1" t="s">
        <v>3477</v>
      </c>
      <c r="D1082" s="1" t="s">
        <v>2329</v>
      </c>
      <c r="E1082" s="250">
        <v>6431.4340000000002</v>
      </c>
    </row>
    <row r="1083" spans="3:5" x14ac:dyDescent="0.35">
      <c r="C1083" s="1" t="s">
        <v>3476</v>
      </c>
      <c r="D1083" s="1" t="s">
        <v>2329</v>
      </c>
      <c r="E1083" s="250">
        <v>6431.4350000000004</v>
      </c>
    </row>
    <row r="1084" spans="3:5" x14ac:dyDescent="0.35">
      <c r="C1084" s="1" t="s">
        <v>3475</v>
      </c>
      <c r="D1084" s="1" t="s">
        <v>2329</v>
      </c>
      <c r="E1084" s="250">
        <v>6431.4359999999997</v>
      </c>
    </row>
    <row r="1085" spans="3:5" x14ac:dyDescent="0.35">
      <c r="C1085" s="1" t="s">
        <v>3474</v>
      </c>
      <c r="D1085" s="1" t="s">
        <v>2329</v>
      </c>
      <c r="E1085" s="250">
        <v>6431.4369999999999</v>
      </c>
    </row>
    <row r="1086" spans="3:5" x14ac:dyDescent="0.35">
      <c r="C1086" s="1" t="s">
        <v>3473</v>
      </c>
      <c r="D1086" s="1" t="s">
        <v>2329</v>
      </c>
      <c r="E1086" s="250">
        <v>6431.4380000000001</v>
      </c>
    </row>
    <row r="1087" spans="3:5" x14ac:dyDescent="0.35">
      <c r="C1087" s="1" t="s">
        <v>3472</v>
      </c>
      <c r="D1087" s="1" t="s">
        <v>2329</v>
      </c>
      <c r="E1087" s="250">
        <v>6431.4390000000003</v>
      </c>
    </row>
    <row r="1088" spans="3:5" x14ac:dyDescent="0.35">
      <c r="C1088" s="1" t="s">
        <v>3471</v>
      </c>
      <c r="D1088" s="1" t="s">
        <v>2329</v>
      </c>
      <c r="E1088" s="250">
        <v>6431.4409999999998</v>
      </c>
    </row>
    <row r="1089" spans="3:5" x14ac:dyDescent="0.35">
      <c r="C1089" s="1" t="s">
        <v>3470</v>
      </c>
      <c r="D1089" s="1" t="s">
        <v>2329</v>
      </c>
      <c r="E1089" s="250">
        <v>6431.442</v>
      </c>
    </row>
    <row r="1090" spans="3:5" x14ac:dyDescent="0.35">
      <c r="C1090" s="1" t="s">
        <v>3469</v>
      </c>
      <c r="D1090" s="1" t="s">
        <v>2329</v>
      </c>
      <c r="E1090" s="250">
        <v>6431.4430000000002</v>
      </c>
    </row>
    <row r="1091" spans="3:5" x14ac:dyDescent="0.35">
      <c r="C1091" s="1" t="s">
        <v>3468</v>
      </c>
      <c r="D1091" s="1" t="s">
        <v>2329</v>
      </c>
      <c r="E1091" s="250">
        <v>6431.4440000000004</v>
      </c>
    </row>
    <row r="1092" spans="3:5" x14ac:dyDescent="0.35">
      <c r="C1092" s="1" t="s">
        <v>3467</v>
      </c>
      <c r="D1092" s="1" t="s">
        <v>2329</v>
      </c>
      <c r="E1092" s="250">
        <v>6431.4449999999997</v>
      </c>
    </row>
    <row r="1093" spans="3:5" x14ac:dyDescent="0.35">
      <c r="C1093" s="1" t="s">
        <v>3466</v>
      </c>
      <c r="D1093" s="1" t="s">
        <v>2329</v>
      </c>
      <c r="E1093" s="250">
        <v>6431.4459999999999</v>
      </c>
    </row>
    <row r="1094" spans="3:5" x14ac:dyDescent="0.35">
      <c r="C1094" s="1" t="s">
        <v>3465</v>
      </c>
      <c r="D1094" s="1" t="s">
        <v>2329</v>
      </c>
      <c r="E1094" s="250">
        <v>6431.4470000000001</v>
      </c>
    </row>
    <row r="1095" spans="3:5" x14ac:dyDescent="0.35">
      <c r="C1095" s="1" t="s">
        <v>3464</v>
      </c>
      <c r="D1095" s="1" t="s">
        <v>2329</v>
      </c>
      <c r="E1095" s="250">
        <v>6431.4480000000003</v>
      </c>
    </row>
    <row r="1096" spans="3:5" x14ac:dyDescent="0.35">
      <c r="C1096" s="1" t="s">
        <v>3463</v>
      </c>
      <c r="D1096" s="1" t="s">
        <v>2329</v>
      </c>
      <c r="E1096" s="250">
        <v>6431.4489999999996</v>
      </c>
    </row>
    <row r="1097" spans="3:5" x14ac:dyDescent="0.35">
      <c r="C1097" s="1" t="s">
        <v>3462</v>
      </c>
      <c r="D1097" s="1" t="s">
        <v>2329</v>
      </c>
      <c r="E1097" s="250">
        <v>6431.451</v>
      </c>
    </row>
    <row r="1098" spans="3:5" x14ac:dyDescent="0.35">
      <c r="C1098" s="1" t="s">
        <v>3461</v>
      </c>
      <c r="D1098" s="1" t="s">
        <v>2329</v>
      </c>
      <c r="E1098" s="250">
        <v>6431.4520000000002</v>
      </c>
    </row>
    <row r="1099" spans="3:5" x14ac:dyDescent="0.35">
      <c r="C1099" s="1" t="s">
        <v>3460</v>
      </c>
      <c r="D1099" s="1" t="s">
        <v>2329</v>
      </c>
      <c r="E1099" s="250">
        <v>6431.4530000000004</v>
      </c>
    </row>
    <row r="1100" spans="3:5" x14ac:dyDescent="0.35">
      <c r="C1100" s="1" t="s">
        <v>3459</v>
      </c>
      <c r="D1100" s="1" t="s">
        <v>2329</v>
      </c>
      <c r="E1100" s="250">
        <v>6431.4539999999997</v>
      </c>
    </row>
    <row r="1101" spans="3:5" x14ac:dyDescent="0.35">
      <c r="C1101" s="1" t="s">
        <v>3458</v>
      </c>
      <c r="D1101" s="1" t="s">
        <v>2329</v>
      </c>
      <c r="E1101" s="250">
        <v>6431.4549999999999</v>
      </c>
    </row>
    <row r="1102" spans="3:5" x14ac:dyDescent="0.35">
      <c r="C1102" s="1" t="s">
        <v>3457</v>
      </c>
      <c r="D1102" s="1" t="s">
        <v>2329</v>
      </c>
      <c r="E1102" s="250">
        <v>6431.4560000000001</v>
      </c>
    </row>
    <row r="1103" spans="3:5" x14ac:dyDescent="0.35">
      <c r="C1103" s="1" t="s">
        <v>3456</v>
      </c>
      <c r="D1103" s="1" t="s">
        <v>2329</v>
      </c>
      <c r="E1103" s="250">
        <v>6431.4570000000003</v>
      </c>
    </row>
    <row r="1104" spans="3:5" x14ac:dyDescent="0.35">
      <c r="C1104" s="1" t="s">
        <v>3455</v>
      </c>
      <c r="D1104" s="1" t="s">
        <v>2329</v>
      </c>
      <c r="E1104" s="250">
        <v>6431.4579999999996</v>
      </c>
    </row>
    <row r="1105" spans="3:5" x14ac:dyDescent="0.35">
      <c r="C1105" s="1" t="s">
        <v>3454</v>
      </c>
      <c r="D1105" s="1" t="s">
        <v>2329</v>
      </c>
      <c r="E1105" s="250">
        <v>6431.4589999999998</v>
      </c>
    </row>
    <row r="1106" spans="3:5" x14ac:dyDescent="0.35">
      <c r="C1106" s="1" t="s">
        <v>3453</v>
      </c>
      <c r="D1106" s="1" t="s">
        <v>2329</v>
      </c>
      <c r="E1106" s="250">
        <v>6431.4610000000002</v>
      </c>
    </row>
    <row r="1107" spans="3:5" x14ac:dyDescent="0.35">
      <c r="C1107" s="1" t="s">
        <v>3452</v>
      </c>
      <c r="D1107" s="1" t="s">
        <v>2329</v>
      </c>
      <c r="E1107" s="250">
        <v>6431.4620000000004</v>
      </c>
    </row>
    <row r="1108" spans="3:5" x14ac:dyDescent="0.35">
      <c r="C1108" s="1" t="s">
        <v>3451</v>
      </c>
      <c r="D1108" s="1" t="s">
        <v>2329</v>
      </c>
      <c r="E1108" s="250">
        <v>6431.4629999999997</v>
      </c>
    </row>
    <row r="1109" spans="3:5" x14ac:dyDescent="0.35">
      <c r="C1109" s="1" t="s">
        <v>3450</v>
      </c>
      <c r="D1109" s="1" t="s">
        <v>2329</v>
      </c>
      <c r="E1109" s="250">
        <v>6431.4639999999999</v>
      </c>
    </row>
    <row r="1110" spans="3:5" x14ac:dyDescent="0.35">
      <c r="C1110" s="1" t="s">
        <v>3449</v>
      </c>
      <c r="D1110" s="1" t="s">
        <v>2329</v>
      </c>
      <c r="E1110" s="250">
        <v>6431.4650000000001</v>
      </c>
    </row>
    <row r="1111" spans="3:5" x14ac:dyDescent="0.35">
      <c r="C1111" s="1" t="s">
        <v>3448</v>
      </c>
      <c r="D1111" s="1" t="s">
        <v>2329</v>
      </c>
      <c r="E1111" s="250">
        <v>6431.4660000000003</v>
      </c>
    </row>
    <row r="1112" spans="3:5" x14ac:dyDescent="0.35">
      <c r="C1112" s="1" t="s">
        <v>3447</v>
      </c>
      <c r="D1112" s="1" t="s">
        <v>2329</v>
      </c>
      <c r="E1112" s="250">
        <v>6431.4669999999996</v>
      </c>
    </row>
    <row r="1113" spans="3:5" x14ac:dyDescent="0.35">
      <c r="C1113" s="1" t="s">
        <v>3446</v>
      </c>
      <c r="D1113" s="1" t="s">
        <v>2329</v>
      </c>
      <c r="E1113" s="250">
        <v>6431.4679999999998</v>
      </c>
    </row>
    <row r="1114" spans="3:5" x14ac:dyDescent="0.35">
      <c r="C1114" s="1" t="s">
        <v>3445</v>
      </c>
      <c r="D1114" s="1" t="s">
        <v>2329</v>
      </c>
      <c r="E1114" s="250">
        <v>6431.4690000000001</v>
      </c>
    </row>
    <row r="1115" spans="3:5" x14ac:dyDescent="0.35">
      <c r="C1115" s="1" t="s">
        <v>3444</v>
      </c>
      <c r="D1115" s="1" t="s">
        <v>2329</v>
      </c>
      <c r="E1115" s="250">
        <v>6431.5010000000002</v>
      </c>
    </row>
    <row r="1116" spans="3:5" x14ac:dyDescent="0.35">
      <c r="C1116" s="1" t="s">
        <v>3443</v>
      </c>
      <c r="D1116" s="1" t="s">
        <v>2329</v>
      </c>
      <c r="E1116" s="250">
        <v>6431.5020000000004</v>
      </c>
    </row>
    <row r="1117" spans="3:5" x14ac:dyDescent="0.35">
      <c r="C1117" s="1" t="s">
        <v>3442</v>
      </c>
      <c r="D1117" s="1" t="s">
        <v>2329</v>
      </c>
      <c r="E1117" s="250">
        <v>6431.5029999999997</v>
      </c>
    </row>
    <row r="1118" spans="3:5" x14ac:dyDescent="0.35">
      <c r="C1118" s="1" t="s">
        <v>3441</v>
      </c>
      <c r="D1118" s="1" t="s">
        <v>2329</v>
      </c>
      <c r="E1118" s="250">
        <v>6431.5039999999999</v>
      </c>
    </row>
    <row r="1119" spans="3:5" x14ac:dyDescent="0.35">
      <c r="C1119" s="1" t="s">
        <v>3440</v>
      </c>
      <c r="D1119" s="1" t="s">
        <v>2329</v>
      </c>
      <c r="E1119" s="250">
        <v>6431.5050000000001</v>
      </c>
    </row>
    <row r="1120" spans="3:5" x14ac:dyDescent="0.35">
      <c r="C1120" s="1" t="s">
        <v>3439</v>
      </c>
      <c r="D1120" s="1" t="s">
        <v>2329</v>
      </c>
      <c r="E1120" s="250">
        <v>6431.5060000000003</v>
      </c>
    </row>
    <row r="1121" spans="3:5" x14ac:dyDescent="0.35">
      <c r="C1121" s="1" t="s">
        <v>3438</v>
      </c>
      <c r="D1121" s="1" t="s">
        <v>2329</v>
      </c>
      <c r="E1121" s="250">
        <v>6431.5069999999996</v>
      </c>
    </row>
    <row r="1122" spans="3:5" x14ac:dyDescent="0.35">
      <c r="C1122" s="1" t="s">
        <v>3437</v>
      </c>
      <c r="D1122" s="1" t="s">
        <v>2329</v>
      </c>
      <c r="E1122" s="250">
        <v>6431.5079999999998</v>
      </c>
    </row>
    <row r="1123" spans="3:5" x14ac:dyDescent="0.35">
      <c r="C1123" s="1" t="s">
        <v>3436</v>
      </c>
      <c r="D1123" s="1" t="s">
        <v>2329</v>
      </c>
      <c r="E1123" s="250">
        <v>6431.509</v>
      </c>
    </row>
    <row r="1124" spans="3:5" x14ac:dyDescent="0.35">
      <c r="C1124" s="1" t="s">
        <v>3435</v>
      </c>
      <c r="D1124" s="1" t="s">
        <v>2329</v>
      </c>
      <c r="E1124" s="250">
        <v>6431.5110000000004</v>
      </c>
    </row>
    <row r="1125" spans="3:5" x14ac:dyDescent="0.35">
      <c r="C1125" s="1" t="s">
        <v>3434</v>
      </c>
      <c r="D1125" s="1" t="s">
        <v>2329</v>
      </c>
      <c r="E1125" s="250">
        <v>6431.5119999999997</v>
      </c>
    </row>
    <row r="1126" spans="3:5" x14ac:dyDescent="0.35">
      <c r="C1126" s="1" t="s">
        <v>3433</v>
      </c>
      <c r="D1126" s="1" t="s">
        <v>2329</v>
      </c>
      <c r="E1126" s="250">
        <v>6431.5129999999999</v>
      </c>
    </row>
    <row r="1127" spans="3:5" x14ac:dyDescent="0.35">
      <c r="C1127" s="1" t="s">
        <v>3432</v>
      </c>
      <c r="D1127" s="1" t="s">
        <v>2329</v>
      </c>
      <c r="E1127" s="250">
        <v>6431.5140000000001</v>
      </c>
    </row>
    <row r="1128" spans="3:5" x14ac:dyDescent="0.35">
      <c r="C1128" s="1" t="s">
        <v>3431</v>
      </c>
      <c r="D1128" s="1" t="s">
        <v>2329</v>
      </c>
      <c r="E1128" s="250">
        <v>6431.5150000000003</v>
      </c>
    </row>
    <row r="1129" spans="3:5" x14ac:dyDescent="0.35">
      <c r="C1129" s="1" t="s">
        <v>3430</v>
      </c>
      <c r="D1129" s="1" t="s">
        <v>2329</v>
      </c>
      <c r="E1129" s="250">
        <v>6431.5159999999996</v>
      </c>
    </row>
    <row r="1130" spans="3:5" x14ac:dyDescent="0.35">
      <c r="C1130" s="1" t="s">
        <v>3429</v>
      </c>
      <c r="D1130" s="1" t="s">
        <v>2329</v>
      </c>
      <c r="E1130" s="250">
        <v>6431.5169999999998</v>
      </c>
    </row>
    <row r="1131" spans="3:5" x14ac:dyDescent="0.35">
      <c r="C1131" s="1" t="s">
        <v>3428</v>
      </c>
      <c r="D1131" s="1" t="s">
        <v>2329</v>
      </c>
      <c r="E1131" s="250">
        <v>6431.518</v>
      </c>
    </row>
    <row r="1132" spans="3:5" x14ac:dyDescent="0.35">
      <c r="C1132" s="1" t="s">
        <v>3427</v>
      </c>
      <c r="D1132" s="1" t="s">
        <v>2329</v>
      </c>
      <c r="E1132" s="250">
        <v>6431.5190000000002</v>
      </c>
    </row>
    <row r="1133" spans="3:5" x14ac:dyDescent="0.35">
      <c r="C1133" s="1" t="s">
        <v>3426</v>
      </c>
      <c r="D1133" s="1" t="s">
        <v>2329</v>
      </c>
      <c r="E1133" s="250">
        <v>6431.5209999999997</v>
      </c>
    </row>
    <row r="1134" spans="3:5" x14ac:dyDescent="0.35">
      <c r="C1134" s="1" t="s">
        <v>3425</v>
      </c>
      <c r="D1134" s="1" t="s">
        <v>2329</v>
      </c>
      <c r="E1134" s="250">
        <v>6431.5219999999999</v>
      </c>
    </row>
    <row r="1135" spans="3:5" x14ac:dyDescent="0.35">
      <c r="C1135" s="1" t="s">
        <v>3424</v>
      </c>
      <c r="D1135" s="1" t="s">
        <v>2329</v>
      </c>
      <c r="E1135" s="250">
        <v>6431.5230000000001</v>
      </c>
    </row>
    <row r="1136" spans="3:5" x14ac:dyDescent="0.35">
      <c r="C1136" s="1" t="s">
        <v>3423</v>
      </c>
      <c r="D1136" s="1" t="s">
        <v>2329</v>
      </c>
      <c r="E1136" s="250">
        <v>6431.5240000000003</v>
      </c>
    </row>
    <row r="1137" spans="3:5" x14ac:dyDescent="0.35">
      <c r="C1137" s="1" t="s">
        <v>3422</v>
      </c>
      <c r="D1137" s="1" t="s">
        <v>2329</v>
      </c>
      <c r="E1137" s="250">
        <v>6431.5249999999996</v>
      </c>
    </row>
    <row r="1138" spans="3:5" x14ac:dyDescent="0.35">
      <c r="C1138" s="1" t="s">
        <v>3421</v>
      </c>
      <c r="D1138" s="1" t="s">
        <v>2329</v>
      </c>
      <c r="E1138" s="250">
        <v>6431.5259999999998</v>
      </c>
    </row>
    <row r="1139" spans="3:5" x14ac:dyDescent="0.35">
      <c r="C1139" s="1" t="s">
        <v>3420</v>
      </c>
      <c r="D1139" s="1" t="s">
        <v>2329</v>
      </c>
      <c r="E1139" s="250">
        <v>6431.527</v>
      </c>
    </row>
    <row r="1140" spans="3:5" x14ac:dyDescent="0.35">
      <c r="C1140" s="1" t="s">
        <v>3419</v>
      </c>
      <c r="D1140" s="1" t="s">
        <v>2329</v>
      </c>
      <c r="E1140" s="250">
        <v>6431.5280000000002</v>
      </c>
    </row>
    <row r="1141" spans="3:5" x14ac:dyDescent="0.35">
      <c r="C1141" s="1" t="s">
        <v>3418</v>
      </c>
      <c r="D1141" s="1" t="s">
        <v>2329</v>
      </c>
      <c r="E1141" s="250">
        <v>6431.5290000000005</v>
      </c>
    </row>
    <row r="1142" spans="3:5" x14ac:dyDescent="0.35">
      <c r="C1142" s="1" t="s">
        <v>3417</v>
      </c>
      <c r="D1142" s="1" t="s">
        <v>2329</v>
      </c>
      <c r="E1142" s="250">
        <v>6431.5309999999999</v>
      </c>
    </row>
    <row r="1143" spans="3:5" x14ac:dyDescent="0.35">
      <c r="C1143" s="1" t="s">
        <v>3416</v>
      </c>
      <c r="D1143" s="1" t="s">
        <v>2329</v>
      </c>
      <c r="E1143" s="250">
        <v>6431.5320000000002</v>
      </c>
    </row>
    <row r="1144" spans="3:5" x14ac:dyDescent="0.35">
      <c r="C1144" s="1" t="s">
        <v>3415</v>
      </c>
      <c r="D1144" s="1" t="s">
        <v>2329</v>
      </c>
      <c r="E1144" s="250">
        <v>6431.5330000000004</v>
      </c>
    </row>
    <row r="1145" spans="3:5" x14ac:dyDescent="0.35">
      <c r="C1145" s="1" t="s">
        <v>3414</v>
      </c>
      <c r="D1145" s="1" t="s">
        <v>2329</v>
      </c>
      <c r="E1145" s="250">
        <v>6431.5339999999997</v>
      </c>
    </row>
    <row r="1146" spans="3:5" x14ac:dyDescent="0.35">
      <c r="C1146" s="1" t="s">
        <v>3413</v>
      </c>
      <c r="D1146" s="1" t="s">
        <v>2329</v>
      </c>
      <c r="E1146" s="250">
        <v>6431.5349999999999</v>
      </c>
    </row>
    <row r="1147" spans="3:5" x14ac:dyDescent="0.35">
      <c r="C1147" s="1" t="s">
        <v>3412</v>
      </c>
      <c r="D1147" s="1" t="s">
        <v>2329</v>
      </c>
      <c r="E1147" s="250">
        <v>6431.5360000000001</v>
      </c>
    </row>
    <row r="1148" spans="3:5" x14ac:dyDescent="0.35">
      <c r="C1148" s="1" t="s">
        <v>3411</v>
      </c>
      <c r="D1148" s="1" t="s">
        <v>2329</v>
      </c>
      <c r="E1148" s="250">
        <v>6431.5370000000003</v>
      </c>
    </row>
    <row r="1149" spans="3:5" x14ac:dyDescent="0.35">
      <c r="C1149" s="1" t="s">
        <v>3410</v>
      </c>
      <c r="D1149" s="1" t="s">
        <v>2329</v>
      </c>
      <c r="E1149" s="250">
        <v>6431.5379999999996</v>
      </c>
    </row>
    <row r="1150" spans="3:5" x14ac:dyDescent="0.35">
      <c r="C1150" s="1" t="s">
        <v>3409</v>
      </c>
      <c r="D1150" s="1" t="s">
        <v>2329</v>
      </c>
      <c r="E1150" s="250">
        <v>6431.5389999999998</v>
      </c>
    </row>
    <row r="1151" spans="3:5" x14ac:dyDescent="0.35">
      <c r="C1151" s="1" t="s">
        <v>3408</v>
      </c>
      <c r="D1151" s="1" t="s">
        <v>2329</v>
      </c>
      <c r="E1151" s="250">
        <v>6431.5410000000002</v>
      </c>
    </row>
    <row r="1152" spans="3:5" x14ac:dyDescent="0.35">
      <c r="C1152" s="1" t="s">
        <v>3407</v>
      </c>
      <c r="D1152" s="1" t="s">
        <v>2329</v>
      </c>
      <c r="E1152" s="250">
        <v>6431.5420000000004</v>
      </c>
    </row>
    <row r="1153" spans="3:5" x14ac:dyDescent="0.35">
      <c r="C1153" s="1" t="s">
        <v>3406</v>
      </c>
      <c r="D1153" s="1" t="s">
        <v>2329</v>
      </c>
      <c r="E1153" s="250">
        <v>6431.5429999999997</v>
      </c>
    </row>
    <row r="1154" spans="3:5" x14ac:dyDescent="0.35">
      <c r="C1154" s="1" t="s">
        <v>3405</v>
      </c>
      <c r="D1154" s="1" t="s">
        <v>2329</v>
      </c>
      <c r="E1154" s="250">
        <v>6431.5439999999999</v>
      </c>
    </row>
    <row r="1155" spans="3:5" x14ac:dyDescent="0.35">
      <c r="C1155" s="1" t="s">
        <v>3404</v>
      </c>
      <c r="D1155" s="1" t="s">
        <v>2329</v>
      </c>
      <c r="E1155" s="250">
        <v>6431.5450000000001</v>
      </c>
    </row>
    <row r="1156" spans="3:5" x14ac:dyDescent="0.35">
      <c r="C1156" s="1" t="s">
        <v>3403</v>
      </c>
      <c r="D1156" s="1" t="s">
        <v>2329</v>
      </c>
      <c r="E1156" s="250">
        <v>6431.5460000000003</v>
      </c>
    </row>
    <row r="1157" spans="3:5" x14ac:dyDescent="0.35">
      <c r="C1157" s="1" t="s">
        <v>3402</v>
      </c>
      <c r="D1157" s="1" t="s">
        <v>2329</v>
      </c>
      <c r="E1157" s="250">
        <v>6431.5469999999996</v>
      </c>
    </row>
    <row r="1158" spans="3:5" x14ac:dyDescent="0.35">
      <c r="C1158" s="1" t="s">
        <v>3401</v>
      </c>
      <c r="D1158" s="1" t="s">
        <v>2329</v>
      </c>
      <c r="E1158" s="250">
        <v>6431.5479999999998</v>
      </c>
    </row>
    <row r="1159" spans="3:5" x14ac:dyDescent="0.35">
      <c r="C1159" s="1" t="s">
        <v>3400</v>
      </c>
      <c r="D1159" s="1" t="s">
        <v>2329</v>
      </c>
      <c r="E1159" s="250">
        <v>6431.549</v>
      </c>
    </row>
    <row r="1160" spans="3:5" x14ac:dyDescent="0.35">
      <c r="C1160" s="1" t="s">
        <v>3399</v>
      </c>
      <c r="D1160" s="1" t="s">
        <v>2329</v>
      </c>
      <c r="E1160" s="250">
        <v>6431.5510000000004</v>
      </c>
    </row>
    <row r="1161" spans="3:5" x14ac:dyDescent="0.35">
      <c r="C1161" s="1" t="s">
        <v>3398</v>
      </c>
      <c r="D1161" s="1" t="s">
        <v>2329</v>
      </c>
      <c r="E1161" s="250">
        <v>6431.5519999999997</v>
      </c>
    </row>
    <row r="1162" spans="3:5" x14ac:dyDescent="0.35">
      <c r="C1162" s="1" t="s">
        <v>3397</v>
      </c>
      <c r="D1162" s="1" t="s">
        <v>2329</v>
      </c>
      <c r="E1162" s="250">
        <v>6431.5529999999999</v>
      </c>
    </row>
    <row r="1163" spans="3:5" x14ac:dyDescent="0.35">
      <c r="C1163" s="1" t="s">
        <v>3396</v>
      </c>
      <c r="D1163" s="1" t="s">
        <v>2329</v>
      </c>
      <c r="E1163" s="250">
        <v>6431.5540000000001</v>
      </c>
    </row>
    <row r="1164" spans="3:5" x14ac:dyDescent="0.35">
      <c r="C1164" s="1" t="s">
        <v>3395</v>
      </c>
      <c r="D1164" s="1" t="s">
        <v>2329</v>
      </c>
      <c r="E1164" s="250">
        <v>6431.5550000000003</v>
      </c>
    </row>
    <row r="1165" spans="3:5" x14ac:dyDescent="0.35">
      <c r="C1165" s="1" t="s">
        <v>3394</v>
      </c>
      <c r="D1165" s="1" t="s">
        <v>2329</v>
      </c>
      <c r="E1165" s="250">
        <v>6431.5559999999996</v>
      </c>
    </row>
    <row r="1166" spans="3:5" x14ac:dyDescent="0.35">
      <c r="C1166" s="1" t="s">
        <v>3393</v>
      </c>
      <c r="D1166" s="1" t="s">
        <v>2329</v>
      </c>
      <c r="E1166" s="250">
        <v>6431.5569999999998</v>
      </c>
    </row>
    <row r="1167" spans="3:5" x14ac:dyDescent="0.35">
      <c r="C1167" s="1" t="s">
        <v>3392</v>
      </c>
      <c r="D1167" s="1" t="s">
        <v>2329</v>
      </c>
      <c r="E1167" s="250">
        <v>6431.558</v>
      </c>
    </row>
    <row r="1168" spans="3:5" x14ac:dyDescent="0.35">
      <c r="C1168" s="1" t="s">
        <v>3391</v>
      </c>
      <c r="D1168" s="1" t="s">
        <v>2329</v>
      </c>
      <c r="E1168" s="250">
        <v>6431.5590000000002</v>
      </c>
    </row>
    <row r="1169" spans="3:5" x14ac:dyDescent="0.35">
      <c r="C1169" s="1" t="s">
        <v>3390</v>
      </c>
      <c r="D1169" s="1" t="s">
        <v>2329</v>
      </c>
      <c r="E1169" s="250">
        <v>6431.5609999999997</v>
      </c>
    </row>
    <row r="1170" spans="3:5" x14ac:dyDescent="0.35">
      <c r="C1170" s="1" t="s">
        <v>3389</v>
      </c>
      <c r="D1170" s="1" t="s">
        <v>2329</v>
      </c>
      <c r="E1170" s="250">
        <v>6431.5619999999999</v>
      </c>
    </row>
    <row r="1171" spans="3:5" x14ac:dyDescent="0.35">
      <c r="C1171" s="1" t="s">
        <v>3388</v>
      </c>
      <c r="D1171" s="1" t="s">
        <v>2329</v>
      </c>
      <c r="E1171" s="250">
        <v>6431.5630000000001</v>
      </c>
    </row>
    <row r="1172" spans="3:5" x14ac:dyDescent="0.35">
      <c r="C1172" s="1" t="s">
        <v>3387</v>
      </c>
      <c r="D1172" s="1" t="s">
        <v>2329</v>
      </c>
      <c r="E1172" s="250">
        <v>6431.5640000000003</v>
      </c>
    </row>
    <row r="1173" spans="3:5" x14ac:dyDescent="0.35">
      <c r="C1173" s="1" t="s">
        <v>3386</v>
      </c>
      <c r="D1173" s="1" t="s">
        <v>2329</v>
      </c>
      <c r="E1173" s="250">
        <v>6431.5649999999996</v>
      </c>
    </row>
    <row r="1174" spans="3:5" x14ac:dyDescent="0.35">
      <c r="C1174" s="1" t="s">
        <v>3385</v>
      </c>
      <c r="D1174" s="1" t="s">
        <v>2329</v>
      </c>
      <c r="E1174" s="250">
        <v>6431.5659999999998</v>
      </c>
    </row>
    <row r="1175" spans="3:5" x14ac:dyDescent="0.35">
      <c r="C1175" s="1" t="s">
        <v>3384</v>
      </c>
      <c r="D1175" s="1" t="s">
        <v>2329</v>
      </c>
      <c r="E1175" s="250">
        <v>6431.567</v>
      </c>
    </row>
    <row r="1176" spans="3:5" x14ac:dyDescent="0.35">
      <c r="C1176" s="1" t="s">
        <v>3383</v>
      </c>
      <c r="D1176" s="1" t="s">
        <v>2329</v>
      </c>
      <c r="E1176" s="250">
        <v>6431.5680000000002</v>
      </c>
    </row>
    <row r="1177" spans="3:5" x14ac:dyDescent="0.35">
      <c r="C1177" s="1" t="s">
        <v>3382</v>
      </c>
      <c r="D1177" s="1" t="s">
        <v>2329</v>
      </c>
      <c r="E1177" s="250">
        <v>6431.5690000000004</v>
      </c>
    </row>
    <row r="1178" spans="3:5" x14ac:dyDescent="0.35">
      <c r="C1178" s="1" t="s">
        <v>3381</v>
      </c>
      <c r="D1178" s="1" t="s">
        <v>2329</v>
      </c>
      <c r="E1178" s="250">
        <v>6431.6009999999997</v>
      </c>
    </row>
    <row r="1179" spans="3:5" x14ac:dyDescent="0.35">
      <c r="C1179" s="1" t="s">
        <v>3380</v>
      </c>
      <c r="D1179" s="1" t="s">
        <v>2329</v>
      </c>
      <c r="E1179" s="250">
        <v>6431.6019999999999</v>
      </c>
    </row>
    <row r="1180" spans="3:5" x14ac:dyDescent="0.35">
      <c r="C1180" s="1" t="s">
        <v>3379</v>
      </c>
      <c r="D1180" s="1" t="s">
        <v>2329</v>
      </c>
      <c r="E1180" s="250">
        <v>6431.6030000000001</v>
      </c>
    </row>
    <row r="1181" spans="3:5" x14ac:dyDescent="0.35">
      <c r="C1181" s="1" t="s">
        <v>3378</v>
      </c>
      <c r="D1181" s="1" t="s">
        <v>2329</v>
      </c>
      <c r="E1181" s="250">
        <v>6431.6040000000003</v>
      </c>
    </row>
    <row r="1182" spans="3:5" x14ac:dyDescent="0.35">
      <c r="C1182" s="1" t="s">
        <v>3377</v>
      </c>
      <c r="D1182" s="1" t="s">
        <v>2329</v>
      </c>
      <c r="E1182" s="250">
        <v>6431.6049999999996</v>
      </c>
    </row>
    <row r="1183" spans="3:5" x14ac:dyDescent="0.35">
      <c r="C1183" s="1" t="s">
        <v>3376</v>
      </c>
      <c r="D1183" s="1" t="s">
        <v>2329</v>
      </c>
      <c r="E1183" s="250">
        <v>6431.6059999999998</v>
      </c>
    </row>
    <row r="1184" spans="3:5" x14ac:dyDescent="0.35">
      <c r="C1184" s="1" t="s">
        <v>3375</v>
      </c>
      <c r="D1184" s="1" t="s">
        <v>2329</v>
      </c>
      <c r="E1184" s="250">
        <v>6431.607</v>
      </c>
    </row>
    <row r="1185" spans="3:5" x14ac:dyDescent="0.35">
      <c r="C1185" s="1" t="s">
        <v>3374</v>
      </c>
      <c r="D1185" s="1" t="s">
        <v>2329</v>
      </c>
      <c r="E1185" s="250">
        <v>6431.6080000000002</v>
      </c>
    </row>
    <row r="1186" spans="3:5" x14ac:dyDescent="0.35">
      <c r="C1186" s="1" t="s">
        <v>3373</v>
      </c>
      <c r="D1186" s="1" t="s">
        <v>2329</v>
      </c>
      <c r="E1186" s="250">
        <v>6431.6090000000004</v>
      </c>
    </row>
    <row r="1187" spans="3:5" x14ac:dyDescent="0.35">
      <c r="C1187" s="1" t="s">
        <v>3372</v>
      </c>
      <c r="D1187" s="1" t="s">
        <v>2329</v>
      </c>
      <c r="E1187" s="250">
        <v>6431.6109999999999</v>
      </c>
    </row>
    <row r="1188" spans="3:5" x14ac:dyDescent="0.35">
      <c r="C1188" s="1" t="s">
        <v>3371</v>
      </c>
      <c r="D1188" s="1" t="s">
        <v>2329</v>
      </c>
      <c r="E1188" s="250">
        <v>6431.6120000000001</v>
      </c>
    </row>
    <row r="1189" spans="3:5" x14ac:dyDescent="0.35">
      <c r="C1189" s="1" t="s">
        <v>3370</v>
      </c>
      <c r="D1189" s="1" t="s">
        <v>2329</v>
      </c>
      <c r="E1189" s="250">
        <v>6431.6130000000003</v>
      </c>
    </row>
    <row r="1190" spans="3:5" x14ac:dyDescent="0.35">
      <c r="C1190" s="1" t="s">
        <v>3369</v>
      </c>
      <c r="D1190" s="1" t="s">
        <v>2329</v>
      </c>
      <c r="E1190" s="250">
        <v>6431.6139999999996</v>
      </c>
    </row>
    <row r="1191" spans="3:5" x14ac:dyDescent="0.35">
      <c r="C1191" s="1" t="s">
        <v>3368</v>
      </c>
      <c r="D1191" s="1" t="s">
        <v>2329</v>
      </c>
      <c r="E1191" s="250">
        <v>6431.6149999999998</v>
      </c>
    </row>
    <row r="1192" spans="3:5" x14ac:dyDescent="0.35">
      <c r="C1192" s="1" t="s">
        <v>3367</v>
      </c>
      <c r="D1192" s="1" t="s">
        <v>2329</v>
      </c>
      <c r="E1192" s="250">
        <v>6431.616</v>
      </c>
    </row>
    <row r="1193" spans="3:5" x14ac:dyDescent="0.35">
      <c r="C1193" s="1" t="s">
        <v>3366</v>
      </c>
      <c r="D1193" s="1" t="s">
        <v>2329</v>
      </c>
      <c r="E1193" s="250">
        <v>6431.6170000000002</v>
      </c>
    </row>
    <row r="1194" spans="3:5" x14ac:dyDescent="0.35">
      <c r="C1194" s="1" t="s">
        <v>3365</v>
      </c>
      <c r="D1194" s="1" t="s">
        <v>2329</v>
      </c>
      <c r="E1194" s="250">
        <v>6431.6180000000004</v>
      </c>
    </row>
    <row r="1195" spans="3:5" x14ac:dyDescent="0.35">
      <c r="C1195" s="1" t="s">
        <v>3364</v>
      </c>
      <c r="D1195" s="1" t="s">
        <v>2329</v>
      </c>
      <c r="E1195" s="250">
        <v>6431.6189999999997</v>
      </c>
    </row>
    <row r="1196" spans="3:5" x14ac:dyDescent="0.35">
      <c r="C1196" s="1" t="s">
        <v>3363</v>
      </c>
      <c r="D1196" s="1" t="s">
        <v>2329</v>
      </c>
      <c r="E1196" s="250">
        <v>6431.6210000000001</v>
      </c>
    </row>
    <row r="1197" spans="3:5" x14ac:dyDescent="0.35">
      <c r="C1197" s="1" t="s">
        <v>3362</v>
      </c>
      <c r="D1197" s="1" t="s">
        <v>2329</v>
      </c>
      <c r="E1197" s="250">
        <v>6431.6220000000003</v>
      </c>
    </row>
    <row r="1198" spans="3:5" x14ac:dyDescent="0.35">
      <c r="C1198" s="1" t="s">
        <v>3361</v>
      </c>
      <c r="D1198" s="1" t="s">
        <v>2329</v>
      </c>
      <c r="E1198" s="250">
        <v>6431.6229999999996</v>
      </c>
    </row>
    <row r="1199" spans="3:5" x14ac:dyDescent="0.35">
      <c r="C1199" s="1" t="s">
        <v>3360</v>
      </c>
      <c r="D1199" s="1" t="s">
        <v>2329</v>
      </c>
      <c r="E1199" s="250">
        <v>6431.6239999999998</v>
      </c>
    </row>
    <row r="1200" spans="3:5" x14ac:dyDescent="0.35">
      <c r="C1200" s="1" t="s">
        <v>3359</v>
      </c>
      <c r="D1200" s="1" t="s">
        <v>2329</v>
      </c>
      <c r="E1200" s="250">
        <v>6431.625</v>
      </c>
    </row>
    <row r="1201" spans="3:5" x14ac:dyDescent="0.35">
      <c r="C1201" s="1" t="s">
        <v>3358</v>
      </c>
      <c r="D1201" s="1" t="s">
        <v>2329</v>
      </c>
      <c r="E1201" s="250">
        <v>6431.6260000000002</v>
      </c>
    </row>
    <row r="1202" spans="3:5" x14ac:dyDescent="0.35">
      <c r="C1202" s="1" t="s">
        <v>3357</v>
      </c>
      <c r="D1202" s="1" t="s">
        <v>2329</v>
      </c>
      <c r="E1202" s="250">
        <v>6431.6270000000004</v>
      </c>
    </row>
    <row r="1203" spans="3:5" x14ac:dyDescent="0.35">
      <c r="C1203" s="1" t="s">
        <v>3356</v>
      </c>
      <c r="D1203" s="1" t="s">
        <v>2329</v>
      </c>
      <c r="E1203" s="250">
        <v>6431.6279999999997</v>
      </c>
    </row>
    <row r="1204" spans="3:5" x14ac:dyDescent="0.35">
      <c r="C1204" s="1" t="s">
        <v>3355</v>
      </c>
      <c r="D1204" s="1" t="s">
        <v>2329</v>
      </c>
      <c r="E1204" s="250">
        <v>6431.6289999999999</v>
      </c>
    </row>
    <row r="1205" spans="3:5" x14ac:dyDescent="0.35">
      <c r="C1205" s="1" t="s">
        <v>3354</v>
      </c>
      <c r="D1205" s="1" t="s">
        <v>2329</v>
      </c>
      <c r="E1205" s="250">
        <v>6431.6310000000003</v>
      </c>
    </row>
    <row r="1206" spans="3:5" x14ac:dyDescent="0.35">
      <c r="C1206" s="1" t="s">
        <v>3353</v>
      </c>
      <c r="D1206" s="1" t="s">
        <v>2329</v>
      </c>
      <c r="E1206" s="250">
        <v>6431.6319999999996</v>
      </c>
    </row>
    <row r="1207" spans="3:5" x14ac:dyDescent="0.35">
      <c r="C1207" s="1" t="s">
        <v>3352</v>
      </c>
      <c r="D1207" s="1" t="s">
        <v>2329</v>
      </c>
      <c r="E1207" s="250">
        <v>6431.6329999999998</v>
      </c>
    </row>
    <row r="1208" spans="3:5" x14ac:dyDescent="0.35">
      <c r="C1208" s="1" t="s">
        <v>3351</v>
      </c>
      <c r="D1208" s="1" t="s">
        <v>2329</v>
      </c>
      <c r="E1208" s="250">
        <v>6431.634</v>
      </c>
    </row>
    <row r="1209" spans="3:5" x14ac:dyDescent="0.35">
      <c r="C1209" s="1" t="s">
        <v>3350</v>
      </c>
      <c r="D1209" s="1" t="s">
        <v>2329</v>
      </c>
      <c r="E1209" s="250">
        <v>6431.6350000000002</v>
      </c>
    </row>
    <row r="1210" spans="3:5" x14ac:dyDescent="0.35">
      <c r="C1210" s="1" t="s">
        <v>3349</v>
      </c>
      <c r="D1210" s="1" t="s">
        <v>2329</v>
      </c>
      <c r="E1210" s="250">
        <v>6431.6360000000004</v>
      </c>
    </row>
    <row r="1211" spans="3:5" x14ac:dyDescent="0.35">
      <c r="C1211" s="1" t="s">
        <v>3348</v>
      </c>
      <c r="D1211" s="1" t="s">
        <v>2329</v>
      </c>
      <c r="E1211" s="250">
        <v>6431.6369999999997</v>
      </c>
    </row>
    <row r="1212" spans="3:5" x14ac:dyDescent="0.35">
      <c r="C1212" s="1" t="s">
        <v>3347</v>
      </c>
      <c r="D1212" s="1" t="s">
        <v>2329</v>
      </c>
      <c r="E1212" s="250">
        <v>6431.6379999999999</v>
      </c>
    </row>
    <row r="1213" spans="3:5" x14ac:dyDescent="0.35">
      <c r="C1213" s="1" t="s">
        <v>3346</v>
      </c>
      <c r="D1213" s="1" t="s">
        <v>2329</v>
      </c>
      <c r="E1213" s="250">
        <v>6431.6390000000001</v>
      </c>
    </row>
    <row r="1214" spans="3:5" x14ac:dyDescent="0.35">
      <c r="C1214" s="1" t="s">
        <v>3345</v>
      </c>
      <c r="D1214" s="1" t="s">
        <v>2329</v>
      </c>
      <c r="E1214" s="250">
        <v>6431.6409999999996</v>
      </c>
    </row>
    <row r="1215" spans="3:5" x14ac:dyDescent="0.35">
      <c r="C1215" s="1" t="s">
        <v>3344</v>
      </c>
      <c r="D1215" s="1" t="s">
        <v>2329</v>
      </c>
      <c r="E1215" s="250">
        <v>6431.6419999999998</v>
      </c>
    </row>
    <row r="1216" spans="3:5" x14ac:dyDescent="0.35">
      <c r="C1216" s="1" t="s">
        <v>3343</v>
      </c>
      <c r="D1216" s="1" t="s">
        <v>2329</v>
      </c>
      <c r="E1216" s="250">
        <v>6431.643</v>
      </c>
    </row>
    <row r="1217" spans="3:5" x14ac:dyDescent="0.35">
      <c r="C1217" s="1" t="s">
        <v>3342</v>
      </c>
      <c r="D1217" s="1" t="s">
        <v>2329</v>
      </c>
      <c r="E1217" s="250">
        <v>6431.6440000000002</v>
      </c>
    </row>
    <row r="1218" spans="3:5" x14ac:dyDescent="0.35">
      <c r="C1218" s="1" t="s">
        <v>3341</v>
      </c>
      <c r="D1218" s="1" t="s">
        <v>2329</v>
      </c>
      <c r="E1218" s="250">
        <v>6431.6450000000004</v>
      </c>
    </row>
    <row r="1219" spans="3:5" x14ac:dyDescent="0.35">
      <c r="C1219" s="1" t="s">
        <v>3340</v>
      </c>
      <c r="D1219" s="1" t="s">
        <v>2329</v>
      </c>
      <c r="E1219" s="250">
        <v>6431.6459999999997</v>
      </c>
    </row>
    <row r="1220" spans="3:5" x14ac:dyDescent="0.35">
      <c r="C1220" s="1" t="s">
        <v>3339</v>
      </c>
      <c r="D1220" s="1" t="s">
        <v>2329</v>
      </c>
      <c r="E1220" s="250">
        <v>6431.6469999999999</v>
      </c>
    </row>
    <row r="1221" spans="3:5" x14ac:dyDescent="0.35">
      <c r="C1221" s="1" t="s">
        <v>3338</v>
      </c>
      <c r="D1221" s="1" t="s">
        <v>2329</v>
      </c>
      <c r="E1221" s="250">
        <v>6431.6480000000001</v>
      </c>
    </row>
    <row r="1222" spans="3:5" x14ac:dyDescent="0.35">
      <c r="C1222" s="1" t="s">
        <v>3337</v>
      </c>
      <c r="D1222" s="1" t="s">
        <v>2329</v>
      </c>
      <c r="E1222" s="250">
        <v>6431.6490000000003</v>
      </c>
    </row>
    <row r="1223" spans="3:5" x14ac:dyDescent="0.35">
      <c r="C1223" s="1" t="s">
        <v>3336</v>
      </c>
      <c r="D1223" s="1" t="s">
        <v>2329</v>
      </c>
      <c r="E1223" s="250">
        <v>6431.6509999999998</v>
      </c>
    </row>
    <row r="1224" spans="3:5" x14ac:dyDescent="0.35">
      <c r="C1224" s="1" t="s">
        <v>3335</v>
      </c>
      <c r="D1224" s="1" t="s">
        <v>2329</v>
      </c>
      <c r="E1224" s="250">
        <v>6431.652</v>
      </c>
    </row>
    <row r="1225" spans="3:5" x14ac:dyDescent="0.35">
      <c r="C1225" s="1" t="s">
        <v>3334</v>
      </c>
      <c r="D1225" s="1" t="s">
        <v>2329</v>
      </c>
      <c r="E1225" s="250">
        <v>6431.6530000000002</v>
      </c>
    </row>
    <row r="1226" spans="3:5" x14ac:dyDescent="0.35">
      <c r="C1226" s="1" t="s">
        <v>3333</v>
      </c>
      <c r="D1226" s="1" t="s">
        <v>2329</v>
      </c>
      <c r="E1226" s="250">
        <v>6431.6540000000005</v>
      </c>
    </row>
    <row r="1227" spans="3:5" x14ac:dyDescent="0.35">
      <c r="C1227" s="1" t="s">
        <v>3332</v>
      </c>
      <c r="D1227" s="1" t="s">
        <v>2329</v>
      </c>
      <c r="E1227" s="250">
        <v>6431.6549999999997</v>
      </c>
    </row>
    <row r="1228" spans="3:5" x14ac:dyDescent="0.35">
      <c r="C1228" s="1" t="s">
        <v>3331</v>
      </c>
      <c r="D1228" s="1" t="s">
        <v>2329</v>
      </c>
      <c r="E1228" s="250">
        <v>6431.6559999999999</v>
      </c>
    </row>
    <row r="1229" spans="3:5" x14ac:dyDescent="0.35">
      <c r="C1229" s="1" t="s">
        <v>3330</v>
      </c>
      <c r="D1229" s="1" t="s">
        <v>2329</v>
      </c>
      <c r="E1229" s="250">
        <v>6431.6570000000002</v>
      </c>
    </row>
    <row r="1230" spans="3:5" x14ac:dyDescent="0.35">
      <c r="C1230" s="1" t="s">
        <v>3329</v>
      </c>
      <c r="D1230" s="1" t="s">
        <v>2329</v>
      </c>
      <c r="E1230" s="250">
        <v>6431.6580000000004</v>
      </c>
    </row>
    <row r="1231" spans="3:5" x14ac:dyDescent="0.35">
      <c r="C1231" s="1" t="s">
        <v>3328</v>
      </c>
      <c r="D1231" s="1" t="s">
        <v>2329</v>
      </c>
      <c r="E1231" s="250">
        <v>6431.6589999999997</v>
      </c>
    </row>
    <row r="1232" spans="3:5" x14ac:dyDescent="0.35">
      <c r="C1232" s="1" t="s">
        <v>3327</v>
      </c>
      <c r="D1232" s="1" t="s">
        <v>2329</v>
      </c>
      <c r="E1232" s="250">
        <v>6431.6610000000001</v>
      </c>
    </row>
    <row r="1233" spans="3:5" x14ac:dyDescent="0.35">
      <c r="C1233" s="1" t="s">
        <v>3326</v>
      </c>
      <c r="D1233" s="1" t="s">
        <v>2329</v>
      </c>
      <c r="E1233" s="250">
        <v>6431.6620000000003</v>
      </c>
    </row>
    <row r="1234" spans="3:5" x14ac:dyDescent="0.35">
      <c r="C1234" s="1" t="s">
        <v>3325</v>
      </c>
      <c r="D1234" s="1" t="s">
        <v>2329</v>
      </c>
      <c r="E1234" s="250">
        <v>6431.6629999999996</v>
      </c>
    </row>
    <row r="1235" spans="3:5" x14ac:dyDescent="0.35">
      <c r="C1235" s="1" t="s">
        <v>3324</v>
      </c>
      <c r="D1235" s="1" t="s">
        <v>2329</v>
      </c>
      <c r="E1235" s="250">
        <v>6431.6639999999998</v>
      </c>
    </row>
    <row r="1236" spans="3:5" x14ac:dyDescent="0.35">
      <c r="C1236" s="1" t="s">
        <v>3323</v>
      </c>
      <c r="D1236" s="1" t="s">
        <v>2329</v>
      </c>
      <c r="E1236" s="250">
        <v>6431.665</v>
      </c>
    </row>
    <row r="1237" spans="3:5" x14ac:dyDescent="0.35">
      <c r="C1237" s="1" t="s">
        <v>3322</v>
      </c>
      <c r="D1237" s="1" t="s">
        <v>2329</v>
      </c>
      <c r="E1237" s="250">
        <v>6431.6660000000002</v>
      </c>
    </row>
    <row r="1238" spans="3:5" x14ac:dyDescent="0.35">
      <c r="C1238" s="1" t="s">
        <v>3321</v>
      </c>
      <c r="D1238" s="1" t="s">
        <v>2329</v>
      </c>
      <c r="E1238" s="250">
        <v>6431.6670000000004</v>
      </c>
    </row>
    <row r="1239" spans="3:5" x14ac:dyDescent="0.35">
      <c r="C1239" s="1" t="s">
        <v>3320</v>
      </c>
      <c r="D1239" s="1" t="s">
        <v>2329</v>
      </c>
      <c r="E1239" s="250">
        <v>6431.6679999999997</v>
      </c>
    </row>
    <row r="1240" spans="3:5" x14ac:dyDescent="0.35">
      <c r="C1240" s="1" t="s">
        <v>3319</v>
      </c>
      <c r="D1240" s="1" t="s">
        <v>2329</v>
      </c>
      <c r="E1240" s="250">
        <v>6431.6689999999999</v>
      </c>
    </row>
    <row r="1241" spans="3:5" x14ac:dyDescent="0.35">
      <c r="C1241" s="1" t="s">
        <v>3318</v>
      </c>
      <c r="D1241" s="1" t="s">
        <v>20</v>
      </c>
      <c r="E1241" s="250">
        <v>6432.3010000000004</v>
      </c>
    </row>
    <row r="1242" spans="3:5" x14ac:dyDescent="0.35">
      <c r="C1242" s="1" t="s">
        <v>3317</v>
      </c>
      <c r="D1242" s="1" t="s">
        <v>20</v>
      </c>
      <c r="E1242" s="250">
        <v>6432.3019999999997</v>
      </c>
    </row>
    <row r="1243" spans="3:5" x14ac:dyDescent="0.35">
      <c r="C1243" s="1" t="s">
        <v>3316</v>
      </c>
      <c r="D1243" s="1" t="s">
        <v>20</v>
      </c>
      <c r="E1243" s="250">
        <v>6432.3029999999999</v>
      </c>
    </row>
    <row r="1244" spans="3:5" x14ac:dyDescent="0.35">
      <c r="C1244" s="1" t="s">
        <v>3315</v>
      </c>
      <c r="D1244" s="1" t="s">
        <v>20</v>
      </c>
      <c r="E1244" s="250">
        <v>6432.3040000000001</v>
      </c>
    </row>
    <row r="1245" spans="3:5" x14ac:dyDescent="0.35">
      <c r="C1245" s="1" t="s">
        <v>3314</v>
      </c>
      <c r="D1245" s="1" t="s">
        <v>20</v>
      </c>
      <c r="E1245" s="250">
        <v>6432.3050000000003</v>
      </c>
    </row>
    <row r="1246" spans="3:5" x14ac:dyDescent="0.35">
      <c r="C1246" s="1" t="s">
        <v>3313</v>
      </c>
      <c r="D1246" s="1" t="s">
        <v>20</v>
      </c>
      <c r="E1246" s="250">
        <v>6432.3059999999996</v>
      </c>
    </row>
    <row r="1247" spans="3:5" x14ac:dyDescent="0.35">
      <c r="C1247" s="1" t="s">
        <v>3312</v>
      </c>
      <c r="D1247" s="1" t="s">
        <v>20</v>
      </c>
      <c r="E1247" s="250">
        <v>6432.3069999999998</v>
      </c>
    </row>
    <row r="1248" spans="3:5" x14ac:dyDescent="0.35">
      <c r="C1248" s="1" t="s">
        <v>3311</v>
      </c>
      <c r="D1248" s="1" t="s">
        <v>20</v>
      </c>
      <c r="E1248" s="250">
        <v>6432.308</v>
      </c>
    </row>
    <row r="1249" spans="3:5" x14ac:dyDescent="0.35">
      <c r="C1249" s="1" t="s">
        <v>3310</v>
      </c>
      <c r="D1249" s="1" t="s">
        <v>20</v>
      </c>
      <c r="E1249" s="250">
        <v>6432.3090000000002</v>
      </c>
    </row>
    <row r="1250" spans="3:5" x14ac:dyDescent="0.35">
      <c r="C1250" s="1" t="s">
        <v>3309</v>
      </c>
      <c r="D1250" s="1" t="s">
        <v>20</v>
      </c>
      <c r="E1250" s="250">
        <v>6432.3109999999997</v>
      </c>
    </row>
    <row r="1251" spans="3:5" x14ac:dyDescent="0.35">
      <c r="C1251" s="1" t="s">
        <v>3308</v>
      </c>
      <c r="D1251" s="1" t="s">
        <v>20</v>
      </c>
      <c r="E1251" s="250">
        <v>6432.3119999999999</v>
      </c>
    </row>
    <row r="1252" spans="3:5" x14ac:dyDescent="0.35">
      <c r="C1252" s="1" t="s">
        <v>3307</v>
      </c>
      <c r="D1252" s="1" t="s">
        <v>20</v>
      </c>
      <c r="E1252" s="250">
        <v>6432.3130000000001</v>
      </c>
    </row>
    <row r="1253" spans="3:5" x14ac:dyDescent="0.35">
      <c r="C1253" s="1" t="s">
        <v>3306</v>
      </c>
      <c r="D1253" s="1" t="s">
        <v>20</v>
      </c>
      <c r="E1253" s="250">
        <v>6432.3140000000003</v>
      </c>
    </row>
    <row r="1254" spans="3:5" x14ac:dyDescent="0.35">
      <c r="C1254" s="1" t="s">
        <v>3305</v>
      </c>
      <c r="D1254" s="1" t="s">
        <v>20</v>
      </c>
      <c r="E1254" s="250">
        <v>6432.3149999999996</v>
      </c>
    </row>
    <row r="1255" spans="3:5" x14ac:dyDescent="0.35">
      <c r="C1255" s="1" t="s">
        <v>3304</v>
      </c>
      <c r="D1255" s="1" t="s">
        <v>20</v>
      </c>
      <c r="E1255" s="250">
        <v>6432.3159999999998</v>
      </c>
    </row>
    <row r="1256" spans="3:5" x14ac:dyDescent="0.35">
      <c r="C1256" s="1" t="s">
        <v>3303</v>
      </c>
      <c r="D1256" s="1" t="s">
        <v>20</v>
      </c>
      <c r="E1256" s="250">
        <v>6432.317</v>
      </c>
    </row>
    <row r="1257" spans="3:5" x14ac:dyDescent="0.35">
      <c r="C1257" s="1" t="s">
        <v>3302</v>
      </c>
      <c r="D1257" s="1" t="s">
        <v>20</v>
      </c>
      <c r="E1257" s="250">
        <v>6432.3180000000002</v>
      </c>
    </row>
    <row r="1258" spans="3:5" x14ac:dyDescent="0.35">
      <c r="C1258" s="1" t="s">
        <v>3301</v>
      </c>
      <c r="D1258" s="1" t="s">
        <v>20</v>
      </c>
      <c r="E1258" s="250">
        <v>6432.3190000000004</v>
      </c>
    </row>
    <row r="1259" spans="3:5" x14ac:dyDescent="0.35">
      <c r="C1259" s="1" t="s">
        <v>3300</v>
      </c>
      <c r="D1259" s="1" t="s">
        <v>20</v>
      </c>
      <c r="E1259" s="250">
        <v>6432.3209999999999</v>
      </c>
    </row>
    <row r="1260" spans="3:5" x14ac:dyDescent="0.35">
      <c r="C1260" s="1" t="s">
        <v>3299</v>
      </c>
      <c r="D1260" s="1" t="s">
        <v>20</v>
      </c>
      <c r="E1260" s="250">
        <v>6432.3220000000001</v>
      </c>
    </row>
    <row r="1261" spans="3:5" x14ac:dyDescent="0.35">
      <c r="C1261" s="1" t="s">
        <v>3298</v>
      </c>
      <c r="D1261" s="1" t="s">
        <v>20</v>
      </c>
      <c r="E1261" s="250">
        <v>6432.3230000000003</v>
      </c>
    </row>
    <row r="1262" spans="3:5" x14ac:dyDescent="0.35">
      <c r="C1262" s="1" t="s">
        <v>3297</v>
      </c>
      <c r="D1262" s="1" t="s">
        <v>20</v>
      </c>
      <c r="E1262" s="250">
        <v>6432.3239999999996</v>
      </c>
    </row>
    <row r="1263" spans="3:5" x14ac:dyDescent="0.35">
      <c r="C1263" s="1" t="s">
        <v>3296</v>
      </c>
      <c r="D1263" s="1" t="s">
        <v>20</v>
      </c>
      <c r="E1263" s="250">
        <v>6432.3249999999998</v>
      </c>
    </row>
    <row r="1264" spans="3:5" x14ac:dyDescent="0.35">
      <c r="C1264" s="1" t="s">
        <v>3295</v>
      </c>
      <c r="D1264" s="1" t="s">
        <v>20</v>
      </c>
      <c r="E1264" s="250">
        <v>6432.326</v>
      </c>
    </row>
    <row r="1265" spans="3:5" x14ac:dyDescent="0.35">
      <c r="C1265" s="1" t="s">
        <v>3294</v>
      </c>
      <c r="D1265" s="1" t="s">
        <v>20</v>
      </c>
      <c r="E1265" s="250">
        <v>6432.3270000000002</v>
      </c>
    </row>
    <row r="1266" spans="3:5" x14ac:dyDescent="0.35">
      <c r="C1266" s="1" t="s">
        <v>3293</v>
      </c>
      <c r="D1266" s="1" t="s">
        <v>20</v>
      </c>
      <c r="E1266" s="250">
        <v>6432.3280000000004</v>
      </c>
    </row>
    <row r="1267" spans="3:5" x14ac:dyDescent="0.35">
      <c r="C1267" s="1" t="s">
        <v>3292</v>
      </c>
      <c r="D1267" s="1" t="s">
        <v>20</v>
      </c>
      <c r="E1267" s="250">
        <v>6432.3289999999997</v>
      </c>
    </row>
    <row r="1268" spans="3:5" x14ac:dyDescent="0.35">
      <c r="C1268" s="1" t="s">
        <v>3291</v>
      </c>
      <c r="D1268" s="1" t="s">
        <v>2329</v>
      </c>
      <c r="E1268" s="250">
        <v>6432.3310000000001</v>
      </c>
    </row>
    <row r="1269" spans="3:5" x14ac:dyDescent="0.35">
      <c r="C1269" s="1" t="s">
        <v>3290</v>
      </c>
      <c r="D1269" s="1" t="s">
        <v>2329</v>
      </c>
      <c r="E1269" s="250">
        <v>6432.3320000000003</v>
      </c>
    </row>
    <row r="1270" spans="3:5" x14ac:dyDescent="0.35">
      <c r="C1270" s="1" t="s">
        <v>3289</v>
      </c>
      <c r="D1270" s="1" t="s">
        <v>2329</v>
      </c>
      <c r="E1270" s="250">
        <v>6432.3329999999996</v>
      </c>
    </row>
    <row r="1271" spans="3:5" x14ac:dyDescent="0.35">
      <c r="C1271" s="1" t="s">
        <v>3288</v>
      </c>
      <c r="D1271" s="1" t="s">
        <v>2329</v>
      </c>
      <c r="E1271" s="250">
        <v>6432.3339999999998</v>
      </c>
    </row>
    <row r="1272" spans="3:5" x14ac:dyDescent="0.35">
      <c r="C1272" s="1" t="s">
        <v>3287</v>
      </c>
      <c r="D1272" s="1" t="s">
        <v>2329</v>
      </c>
      <c r="E1272" s="250">
        <v>6432.335</v>
      </c>
    </row>
    <row r="1273" spans="3:5" x14ac:dyDescent="0.35">
      <c r="C1273" s="1" t="s">
        <v>3286</v>
      </c>
      <c r="D1273" s="1" t="s">
        <v>2329</v>
      </c>
      <c r="E1273" s="250">
        <v>6432.3360000000002</v>
      </c>
    </row>
    <row r="1274" spans="3:5" x14ac:dyDescent="0.35">
      <c r="C1274" s="1" t="s">
        <v>3285</v>
      </c>
      <c r="D1274" s="1" t="s">
        <v>2329</v>
      </c>
      <c r="E1274" s="250">
        <v>6432.3370000000004</v>
      </c>
    </row>
    <row r="1275" spans="3:5" x14ac:dyDescent="0.35">
      <c r="C1275" s="1" t="s">
        <v>3284</v>
      </c>
      <c r="D1275" s="1" t="s">
        <v>2329</v>
      </c>
      <c r="E1275" s="250">
        <v>6432.3379999999997</v>
      </c>
    </row>
    <row r="1276" spans="3:5" x14ac:dyDescent="0.35">
      <c r="C1276" s="1" t="s">
        <v>3283</v>
      </c>
      <c r="D1276" s="1" t="s">
        <v>2329</v>
      </c>
      <c r="E1276" s="250">
        <v>6432.3389999999999</v>
      </c>
    </row>
    <row r="1277" spans="3:5" x14ac:dyDescent="0.35">
      <c r="C1277" s="1" t="s">
        <v>3282</v>
      </c>
      <c r="D1277" s="1" t="s">
        <v>2329</v>
      </c>
      <c r="E1277" s="250">
        <v>6432.3410000000003</v>
      </c>
    </row>
    <row r="1278" spans="3:5" x14ac:dyDescent="0.35">
      <c r="C1278" s="1" t="s">
        <v>3281</v>
      </c>
      <c r="D1278" s="1" t="s">
        <v>2329</v>
      </c>
      <c r="E1278" s="250">
        <v>6432.3419999999996</v>
      </c>
    </row>
    <row r="1279" spans="3:5" x14ac:dyDescent="0.35">
      <c r="C1279" s="1" t="s">
        <v>3280</v>
      </c>
      <c r="D1279" s="1" t="s">
        <v>2329</v>
      </c>
      <c r="E1279" s="250">
        <v>6432.3429999999998</v>
      </c>
    </row>
    <row r="1280" spans="3:5" x14ac:dyDescent="0.35">
      <c r="C1280" s="1" t="s">
        <v>3279</v>
      </c>
      <c r="D1280" s="1" t="s">
        <v>2329</v>
      </c>
      <c r="E1280" s="250">
        <v>6432.3440000000001</v>
      </c>
    </row>
    <row r="1281" spans="3:5" x14ac:dyDescent="0.35">
      <c r="C1281" s="1" t="s">
        <v>3278</v>
      </c>
      <c r="D1281" s="1" t="s">
        <v>2329</v>
      </c>
      <c r="E1281" s="250">
        <v>6432.3450000000003</v>
      </c>
    </row>
    <row r="1282" spans="3:5" x14ac:dyDescent="0.35">
      <c r="C1282" s="1" t="s">
        <v>3277</v>
      </c>
      <c r="D1282" s="1" t="s">
        <v>2329</v>
      </c>
      <c r="E1282" s="250">
        <v>6432.3459999999995</v>
      </c>
    </row>
    <row r="1283" spans="3:5" x14ac:dyDescent="0.35">
      <c r="C1283" s="1" t="s">
        <v>3276</v>
      </c>
      <c r="D1283" s="1" t="s">
        <v>2329</v>
      </c>
      <c r="E1283" s="250">
        <v>6432.3469999999998</v>
      </c>
    </row>
    <row r="1284" spans="3:5" x14ac:dyDescent="0.35">
      <c r="C1284" s="1" t="s">
        <v>3275</v>
      </c>
      <c r="D1284" s="1" t="s">
        <v>2329</v>
      </c>
      <c r="E1284" s="250">
        <v>6432.348</v>
      </c>
    </row>
    <row r="1285" spans="3:5" x14ac:dyDescent="0.35">
      <c r="C1285" s="1" t="s">
        <v>3274</v>
      </c>
      <c r="D1285" s="1" t="s">
        <v>2329</v>
      </c>
      <c r="E1285" s="250">
        <v>6432.3490000000002</v>
      </c>
    </row>
    <row r="1286" spans="3:5" x14ac:dyDescent="0.35">
      <c r="C1286" s="1" t="s">
        <v>3273</v>
      </c>
      <c r="D1286" s="1" t="s">
        <v>2329</v>
      </c>
      <c r="E1286" s="250">
        <v>6432.3509999999997</v>
      </c>
    </row>
    <row r="1287" spans="3:5" x14ac:dyDescent="0.35">
      <c r="C1287" s="1" t="s">
        <v>3272</v>
      </c>
      <c r="D1287" s="1" t="s">
        <v>2329</v>
      </c>
      <c r="E1287" s="250">
        <v>6432.3519999999999</v>
      </c>
    </row>
    <row r="1288" spans="3:5" x14ac:dyDescent="0.35">
      <c r="C1288" s="1" t="s">
        <v>3271</v>
      </c>
      <c r="D1288" s="1" t="s">
        <v>2329</v>
      </c>
      <c r="E1288" s="250">
        <v>6432.3530000000001</v>
      </c>
    </row>
    <row r="1289" spans="3:5" x14ac:dyDescent="0.35">
      <c r="C1289" s="1" t="s">
        <v>3270</v>
      </c>
      <c r="D1289" s="1" t="s">
        <v>2329</v>
      </c>
      <c r="E1289" s="250">
        <v>6432.3540000000003</v>
      </c>
    </row>
    <row r="1290" spans="3:5" x14ac:dyDescent="0.35">
      <c r="C1290" s="1" t="s">
        <v>3269</v>
      </c>
      <c r="D1290" s="1" t="s">
        <v>2329</v>
      </c>
      <c r="E1290" s="250">
        <v>6432.3549999999996</v>
      </c>
    </row>
    <row r="1291" spans="3:5" x14ac:dyDescent="0.35">
      <c r="C1291" s="1" t="s">
        <v>3268</v>
      </c>
      <c r="D1291" s="1" t="s">
        <v>2329</v>
      </c>
      <c r="E1291" s="250">
        <v>6432.3559999999998</v>
      </c>
    </row>
    <row r="1292" spans="3:5" x14ac:dyDescent="0.35">
      <c r="C1292" s="1" t="s">
        <v>3267</v>
      </c>
      <c r="D1292" s="1" t="s">
        <v>2329</v>
      </c>
      <c r="E1292" s="250">
        <v>6432.357</v>
      </c>
    </row>
    <row r="1293" spans="3:5" x14ac:dyDescent="0.35">
      <c r="C1293" s="1" t="s">
        <v>3266</v>
      </c>
      <c r="D1293" s="1" t="s">
        <v>2329</v>
      </c>
      <c r="E1293" s="250">
        <v>6432.3580000000002</v>
      </c>
    </row>
    <row r="1294" spans="3:5" x14ac:dyDescent="0.35">
      <c r="C1294" s="1" t="s">
        <v>3265</v>
      </c>
      <c r="D1294" s="1" t="s">
        <v>2329</v>
      </c>
      <c r="E1294" s="250">
        <v>6432.3590000000004</v>
      </c>
    </row>
    <row r="1295" spans="3:5" x14ac:dyDescent="0.35">
      <c r="C1295" s="1" t="s">
        <v>3264</v>
      </c>
      <c r="D1295" s="1" t="s">
        <v>2329</v>
      </c>
      <c r="E1295" s="250">
        <v>6432.3609999999999</v>
      </c>
    </row>
    <row r="1296" spans="3:5" x14ac:dyDescent="0.35">
      <c r="C1296" s="1" t="s">
        <v>3263</v>
      </c>
      <c r="D1296" s="1" t="s">
        <v>2329</v>
      </c>
      <c r="E1296" s="250">
        <v>6432.3620000000001</v>
      </c>
    </row>
    <row r="1297" spans="3:5" x14ac:dyDescent="0.35">
      <c r="C1297" s="1" t="s">
        <v>3262</v>
      </c>
      <c r="D1297" s="1" t="s">
        <v>2329</v>
      </c>
      <c r="E1297" s="250">
        <v>6432.3630000000003</v>
      </c>
    </row>
    <row r="1298" spans="3:5" x14ac:dyDescent="0.35">
      <c r="C1298" s="1" t="s">
        <v>3261</v>
      </c>
      <c r="D1298" s="1" t="s">
        <v>2329</v>
      </c>
      <c r="E1298" s="250">
        <v>6432.3639999999996</v>
      </c>
    </row>
    <row r="1299" spans="3:5" x14ac:dyDescent="0.35">
      <c r="C1299" s="1" t="s">
        <v>3260</v>
      </c>
      <c r="D1299" s="1" t="s">
        <v>2329</v>
      </c>
      <c r="E1299" s="250">
        <v>6432.3649999999998</v>
      </c>
    </row>
    <row r="1300" spans="3:5" x14ac:dyDescent="0.35">
      <c r="C1300" s="1" t="s">
        <v>3259</v>
      </c>
      <c r="D1300" s="1" t="s">
        <v>2329</v>
      </c>
      <c r="E1300" s="250">
        <v>6432.366</v>
      </c>
    </row>
    <row r="1301" spans="3:5" x14ac:dyDescent="0.35">
      <c r="C1301" s="1" t="s">
        <v>3258</v>
      </c>
      <c r="D1301" s="1" t="s">
        <v>2329</v>
      </c>
      <c r="E1301" s="250">
        <v>6432.3670000000002</v>
      </c>
    </row>
    <row r="1302" spans="3:5" x14ac:dyDescent="0.35">
      <c r="C1302" s="1" t="s">
        <v>3257</v>
      </c>
      <c r="D1302" s="1" t="s">
        <v>2329</v>
      </c>
      <c r="E1302" s="250">
        <v>6432.3680000000004</v>
      </c>
    </row>
    <row r="1303" spans="3:5" x14ac:dyDescent="0.35">
      <c r="C1303" s="1" t="s">
        <v>3256</v>
      </c>
      <c r="D1303" s="1" t="s">
        <v>2329</v>
      </c>
      <c r="E1303" s="250">
        <v>6432.3689999999997</v>
      </c>
    </row>
    <row r="1304" spans="3:5" x14ac:dyDescent="0.35">
      <c r="C1304" s="1" t="s">
        <v>3255</v>
      </c>
      <c r="D1304" s="1" t="s">
        <v>2329</v>
      </c>
      <c r="E1304" s="250">
        <v>6432.3710000000001</v>
      </c>
    </row>
    <row r="1305" spans="3:5" x14ac:dyDescent="0.35">
      <c r="C1305" s="1" t="s">
        <v>3254</v>
      </c>
      <c r="D1305" s="1" t="s">
        <v>2329</v>
      </c>
      <c r="E1305" s="250">
        <v>6432.3720000000003</v>
      </c>
    </row>
    <row r="1306" spans="3:5" x14ac:dyDescent="0.35">
      <c r="C1306" s="1" t="s">
        <v>3253</v>
      </c>
      <c r="D1306" s="1" t="s">
        <v>2329</v>
      </c>
      <c r="E1306" s="250">
        <v>6432.3729999999996</v>
      </c>
    </row>
    <row r="1307" spans="3:5" x14ac:dyDescent="0.35">
      <c r="C1307" s="1" t="s">
        <v>3252</v>
      </c>
      <c r="D1307" s="1" t="s">
        <v>2329</v>
      </c>
      <c r="E1307" s="250">
        <v>6432.3739999999998</v>
      </c>
    </row>
    <row r="1308" spans="3:5" x14ac:dyDescent="0.35">
      <c r="C1308" s="1" t="s">
        <v>3251</v>
      </c>
      <c r="D1308" s="1" t="s">
        <v>2329</v>
      </c>
      <c r="E1308" s="250">
        <v>6432.375</v>
      </c>
    </row>
    <row r="1309" spans="3:5" x14ac:dyDescent="0.35">
      <c r="C1309" s="1" t="s">
        <v>3250</v>
      </c>
      <c r="D1309" s="1" t="s">
        <v>2329</v>
      </c>
      <c r="E1309" s="250">
        <v>6432.3760000000002</v>
      </c>
    </row>
    <row r="1310" spans="3:5" x14ac:dyDescent="0.35">
      <c r="C1310" s="1" t="s">
        <v>3249</v>
      </c>
      <c r="D1310" s="1" t="s">
        <v>2329</v>
      </c>
      <c r="E1310" s="250">
        <v>6432.3770000000004</v>
      </c>
    </row>
    <row r="1311" spans="3:5" x14ac:dyDescent="0.35">
      <c r="C1311" s="1" t="s">
        <v>3248</v>
      </c>
      <c r="D1311" s="1" t="s">
        <v>2329</v>
      </c>
      <c r="E1311" s="250">
        <v>6432.3779999999997</v>
      </c>
    </row>
    <row r="1312" spans="3:5" x14ac:dyDescent="0.35">
      <c r="C1312" s="1" t="s">
        <v>3247</v>
      </c>
      <c r="D1312" s="1" t="s">
        <v>2329</v>
      </c>
      <c r="E1312" s="250">
        <v>6432.3789999999999</v>
      </c>
    </row>
    <row r="1313" spans="3:5" x14ac:dyDescent="0.35">
      <c r="C1313" s="1" t="s">
        <v>3246</v>
      </c>
      <c r="D1313" s="1" t="s">
        <v>20</v>
      </c>
      <c r="E1313" s="250">
        <v>6432.3810000000003</v>
      </c>
    </row>
    <row r="1314" spans="3:5" x14ac:dyDescent="0.35">
      <c r="C1314" s="1" t="s">
        <v>3245</v>
      </c>
      <c r="D1314" s="1" t="s">
        <v>20</v>
      </c>
      <c r="E1314" s="250">
        <v>6432.4009999999998</v>
      </c>
    </row>
    <row r="1315" spans="3:5" x14ac:dyDescent="0.35">
      <c r="C1315" s="1" t="s">
        <v>3244</v>
      </c>
      <c r="D1315" s="1" t="s">
        <v>20</v>
      </c>
      <c r="E1315" s="250">
        <v>6432.402</v>
      </c>
    </row>
    <row r="1316" spans="3:5" x14ac:dyDescent="0.35">
      <c r="C1316" s="1" t="s">
        <v>3243</v>
      </c>
      <c r="D1316" s="1" t="s">
        <v>20</v>
      </c>
      <c r="E1316" s="250">
        <v>6432.4030000000002</v>
      </c>
    </row>
    <row r="1317" spans="3:5" x14ac:dyDescent="0.35">
      <c r="C1317" s="1" t="s">
        <v>3242</v>
      </c>
      <c r="D1317" s="1" t="s">
        <v>20</v>
      </c>
      <c r="E1317" s="250">
        <v>6432.4040000000005</v>
      </c>
    </row>
    <row r="1318" spans="3:5" x14ac:dyDescent="0.35">
      <c r="C1318" s="1" t="s">
        <v>3241</v>
      </c>
      <c r="D1318" s="1" t="s">
        <v>20</v>
      </c>
      <c r="E1318" s="250">
        <v>6432.4049999999997</v>
      </c>
    </row>
    <row r="1319" spans="3:5" x14ac:dyDescent="0.35">
      <c r="C1319" s="1" t="s">
        <v>3240</v>
      </c>
      <c r="D1319" s="1" t="s">
        <v>20</v>
      </c>
      <c r="E1319" s="250">
        <v>6432.4059999999999</v>
      </c>
    </row>
    <row r="1320" spans="3:5" x14ac:dyDescent="0.35">
      <c r="C1320" s="1" t="s">
        <v>3239</v>
      </c>
      <c r="D1320" s="1" t="s">
        <v>20</v>
      </c>
      <c r="E1320" s="250">
        <v>6432.4070000000002</v>
      </c>
    </row>
    <row r="1321" spans="3:5" x14ac:dyDescent="0.35">
      <c r="C1321" s="1" t="s">
        <v>3238</v>
      </c>
      <c r="D1321" s="1" t="s">
        <v>20</v>
      </c>
      <c r="E1321" s="250">
        <v>6432.4080000000004</v>
      </c>
    </row>
    <row r="1322" spans="3:5" x14ac:dyDescent="0.35">
      <c r="C1322" s="1" t="s">
        <v>3237</v>
      </c>
      <c r="D1322" s="1" t="s">
        <v>20</v>
      </c>
      <c r="E1322" s="250">
        <v>6432.4089999999997</v>
      </c>
    </row>
    <row r="1323" spans="3:5" x14ac:dyDescent="0.35">
      <c r="C1323" s="1" t="s">
        <v>3236</v>
      </c>
      <c r="D1323" s="1" t="s">
        <v>20</v>
      </c>
      <c r="E1323" s="250">
        <v>6432.4110000000001</v>
      </c>
    </row>
    <row r="1324" spans="3:5" x14ac:dyDescent="0.35">
      <c r="C1324" s="1" t="s">
        <v>3235</v>
      </c>
      <c r="D1324" s="1" t="s">
        <v>20</v>
      </c>
      <c r="E1324" s="250">
        <v>6432.4120000000003</v>
      </c>
    </row>
    <row r="1325" spans="3:5" x14ac:dyDescent="0.35">
      <c r="C1325" s="1" t="s">
        <v>3234</v>
      </c>
      <c r="D1325" s="1" t="s">
        <v>20</v>
      </c>
      <c r="E1325" s="250">
        <v>6432.4129999999996</v>
      </c>
    </row>
    <row r="1326" spans="3:5" x14ac:dyDescent="0.35">
      <c r="C1326" s="1" t="s">
        <v>3233</v>
      </c>
      <c r="D1326" s="1" t="s">
        <v>20</v>
      </c>
      <c r="E1326" s="250">
        <v>6432.4139999999998</v>
      </c>
    </row>
    <row r="1327" spans="3:5" x14ac:dyDescent="0.35">
      <c r="C1327" s="1" t="s">
        <v>3232</v>
      </c>
      <c r="D1327" s="1" t="s">
        <v>20</v>
      </c>
      <c r="E1327" s="250">
        <v>6432.415</v>
      </c>
    </row>
    <row r="1328" spans="3:5" x14ac:dyDescent="0.35">
      <c r="C1328" s="1" t="s">
        <v>3231</v>
      </c>
      <c r="D1328" s="1" t="s">
        <v>20</v>
      </c>
      <c r="E1328" s="250">
        <v>6432.4160000000002</v>
      </c>
    </row>
    <row r="1329" spans="3:5" x14ac:dyDescent="0.35">
      <c r="C1329" s="1" t="s">
        <v>3230</v>
      </c>
      <c r="D1329" s="1" t="s">
        <v>20</v>
      </c>
      <c r="E1329" s="250">
        <v>6432.4170000000004</v>
      </c>
    </row>
    <row r="1330" spans="3:5" x14ac:dyDescent="0.35">
      <c r="C1330" s="1" t="s">
        <v>3229</v>
      </c>
      <c r="D1330" s="1" t="s">
        <v>20</v>
      </c>
      <c r="E1330" s="250">
        <v>6432.4179999999997</v>
      </c>
    </row>
    <row r="1331" spans="3:5" x14ac:dyDescent="0.35">
      <c r="C1331" s="1" t="s">
        <v>3228</v>
      </c>
      <c r="D1331" s="1" t="s">
        <v>20</v>
      </c>
      <c r="E1331" s="250">
        <v>6432.4189999999999</v>
      </c>
    </row>
    <row r="1332" spans="3:5" x14ac:dyDescent="0.35">
      <c r="C1332" s="1" t="s">
        <v>3227</v>
      </c>
      <c r="D1332" s="1" t="s">
        <v>20</v>
      </c>
      <c r="E1332" s="250">
        <v>6432.4210000000003</v>
      </c>
    </row>
    <row r="1333" spans="3:5" x14ac:dyDescent="0.35">
      <c r="C1333" s="1" t="s">
        <v>3226</v>
      </c>
      <c r="D1333" s="1" t="s">
        <v>20</v>
      </c>
      <c r="E1333" s="250">
        <v>6432.4219999999996</v>
      </c>
    </row>
    <row r="1334" spans="3:5" x14ac:dyDescent="0.35">
      <c r="C1334" s="1" t="s">
        <v>3225</v>
      </c>
      <c r="D1334" s="1" t="s">
        <v>20</v>
      </c>
      <c r="E1334" s="250">
        <v>6432.4229999999998</v>
      </c>
    </row>
    <row r="1335" spans="3:5" x14ac:dyDescent="0.35">
      <c r="C1335" s="1" t="s">
        <v>3224</v>
      </c>
      <c r="D1335" s="1" t="s">
        <v>20</v>
      </c>
      <c r="E1335" s="250">
        <v>6432.424</v>
      </c>
    </row>
    <row r="1336" spans="3:5" x14ac:dyDescent="0.35">
      <c r="C1336" s="1" t="s">
        <v>3223</v>
      </c>
      <c r="D1336" s="1" t="s">
        <v>20</v>
      </c>
      <c r="E1336" s="250">
        <v>6432.4250000000002</v>
      </c>
    </row>
    <row r="1337" spans="3:5" x14ac:dyDescent="0.35">
      <c r="C1337" s="1" t="s">
        <v>3222</v>
      </c>
      <c r="D1337" s="1" t="s">
        <v>20</v>
      </c>
      <c r="E1337" s="250">
        <v>6432.4260000000004</v>
      </c>
    </row>
    <row r="1338" spans="3:5" x14ac:dyDescent="0.35">
      <c r="C1338" s="1" t="s">
        <v>3221</v>
      </c>
      <c r="D1338" s="1" t="s">
        <v>20</v>
      </c>
      <c r="E1338" s="250">
        <v>6432.4269999999997</v>
      </c>
    </row>
    <row r="1339" spans="3:5" x14ac:dyDescent="0.35">
      <c r="C1339" s="1" t="s">
        <v>3220</v>
      </c>
      <c r="D1339" s="1" t="s">
        <v>20</v>
      </c>
      <c r="E1339" s="250">
        <v>6432.4279999999999</v>
      </c>
    </row>
    <row r="1340" spans="3:5" x14ac:dyDescent="0.35">
      <c r="C1340" s="1" t="s">
        <v>3219</v>
      </c>
      <c r="D1340" s="1" t="s">
        <v>20</v>
      </c>
      <c r="E1340" s="250">
        <v>6432.4290000000001</v>
      </c>
    </row>
    <row r="1341" spans="3:5" x14ac:dyDescent="0.35">
      <c r="C1341" s="1" t="s">
        <v>3218</v>
      </c>
      <c r="D1341" s="1" t="s">
        <v>2329</v>
      </c>
      <c r="E1341" s="250">
        <v>6432.4309999999996</v>
      </c>
    </row>
    <row r="1342" spans="3:5" x14ac:dyDescent="0.35">
      <c r="C1342" s="1" t="s">
        <v>3217</v>
      </c>
      <c r="D1342" s="1" t="s">
        <v>2329</v>
      </c>
      <c r="E1342" s="250">
        <v>6432.4319999999998</v>
      </c>
    </row>
    <row r="1343" spans="3:5" x14ac:dyDescent="0.35">
      <c r="C1343" s="1" t="s">
        <v>3216</v>
      </c>
      <c r="D1343" s="1" t="s">
        <v>2329</v>
      </c>
      <c r="E1343" s="250">
        <v>6432.433</v>
      </c>
    </row>
    <row r="1344" spans="3:5" x14ac:dyDescent="0.35">
      <c r="C1344" s="1" t="s">
        <v>3215</v>
      </c>
      <c r="D1344" s="1" t="s">
        <v>2329</v>
      </c>
      <c r="E1344" s="250">
        <v>6432.4340000000002</v>
      </c>
    </row>
    <row r="1345" spans="3:5" x14ac:dyDescent="0.35">
      <c r="C1345" s="1" t="s">
        <v>3214</v>
      </c>
      <c r="D1345" s="1" t="s">
        <v>2329</v>
      </c>
      <c r="E1345" s="250">
        <v>6432.4350000000004</v>
      </c>
    </row>
    <row r="1346" spans="3:5" x14ac:dyDescent="0.35">
      <c r="C1346" s="1" t="s">
        <v>3213</v>
      </c>
      <c r="D1346" s="1" t="s">
        <v>2329</v>
      </c>
      <c r="E1346" s="250">
        <v>6432.4359999999997</v>
      </c>
    </row>
    <row r="1347" spans="3:5" x14ac:dyDescent="0.35">
      <c r="C1347" s="1" t="s">
        <v>3212</v>
      </c>
      <c r="D1347" s="1" t="s">
        <v>2329</v>
      </c>
      <c r="E1347" s="250">
        <v>6432.4369999999999</v>
      </c>
    </row>
    <row r="1348" spans="3:5" x14ac:dyDescent="0.35">
      <c r="C1348" s="1" t="s">
        <v>3211</v>
      </c>
      <c r="D1348" s="1" t="s">
        <v>2329</v>
      </c>
      <c r="E1348" s="250">
        <v>6432.4380000000001</v>
      </c>
    </row>
    <row r="1349" spans="3:5" x14ac:dyDescent="0.35">
      <c r="C1349" s="1" t="s">
        <v>3210</v>
      </c>
      <c r="D1349" s="1" t="s">
        <v>2329</v>
      </c>
      <c r="E1349" s="250">
        <v>6432.4390000000003</v>
      </c>
    </row>
    <row r="1350" spans="3:5" x14ac:dyDescent="0.35">
      <c r="C1350" s="1" t="s">
        <v>3209</v>
      </c>
      <c r="D1350" s="1" t="s">
        <v>2329</v>
      </c>
      <c r="E1350" s="250">
        <v>6432.4409999999998</v>
      </c>
    </row>
    <row r="1351" spans="3:5" x14ac:dyDescent="0.35">
      <c r="C1351" s="1" t="s">
        <v>3208</v>
      </c>
      <c r="D1351" s="1" t="s">
        <v>2329</v>
      </c>
      <c r="E1351" s="250">
        <v>6432.442</v>
      </c>
    </row>
    <row r="1352" spans="3:5" x14ac:dyDescent="0.35">
      <c r="C1352" s="1" t="s">
        <v>3207</v>
      </c>
      <c r="D1352" s="1" t="s">
        <v>2329</v>
      </c>
      <c r="E1352" s="250">
        <v>6432.4430000000002</v>
      </c>
    </row>
    <row r="1353" spans="3:5" x14ac:dyDescent="0.35">
      <c r="C1353" s="1" t="s">
        <v>3206</v>
      </c>
      <c r="D1353" s="1" t="s">
        <v>2329</v>
      </c>
      <c r="E1353" s="250">
        <v>6432.4440000000004</v>
      </c>
    </row>
    <row r="1354" spans="3:5" x14ac:dyDescent="0.35">
      <c r="C1354" s="1" t="s">
        <v>3205</v>
      </c>
      <c r="D1354" s="1" t="s">
        <v>2329</v>
      </c>
      <c r="E1354" s="250">
        <v>6432.4449999999997</v>
      </c>
    </row>
    <row r="1355" spans="3:5" x14ac:dyDescent="0.35">
      <c r="C1355" s="1" t="s">
        <v>3204</v>
      </c>
      <c r="D1355" s="1" t="s">
        <v>2329</v>
      </c>
      <c r="E1355" s="250">
        <v>6432.4459999999999</v>
      </c>
    </row>
    <row r="1356" spans="3:5" x14ac:dyDescent="0.35">
      <c r="C1356" s="1" t="s">
        <v>3203</v>
      </c>
      <c r="D1356" s="1" t="s">
        <v>2329</v>
      </c>
      <c r="E1356" s="250">
        <v>6432.4470000000001</v>
      </c>
    </row>
    <row r="1357" spans="3:5" x14ac:dyDescent="0.35">
      <c r="C1357" s="1" t="s">
        <v>3202</v>
      </c>
      <c r="D1357" s="1" t="s">
        <v>2329</v>
      </c>
      <c r="E1357" s="250">
        <v>6432.4480000000003</v>
      </c>
    </row>
    <row r="1358" spans="3:5" x14ac:dyDescent="0.35">
      <c r="C1358" s="1" t="s">
        <v>3201</v>
      </c>
      <c r="D1358" s="1" t="s">
        <v>2329</v>
      </c>
      <c r="E1358" s="250">
        <v>6432.4489999999996</v>
      </c>
    </row>
    <row r="1359" spans="3:5" x14ac:dyDescent="0.35">
      <c r="C1359" s="1" t="s">
        <v>3200</v>
      </c>
      <c r="D1359" s="1" t="s">
        <v>2329</v>
      </c>
      <c r="E1359" s="250">
        <v>6432.451</v>
      </c>
    </row>
    <row r="1360" spans="3:5" x14ac:dyDescent="0.35">
      <c r="C1360" s="1" t="s">
        <v>3199</v>
      </c>
      <c r="D1360" s="1" t="s">
        <v>2329</v>
      </c>
      <c r="E1360" s="250">
        <v>6432.4520000000002</v>
      </c>
    </row>
    <row r="1361" spans="3:5" x14ac:dyDescent="0.35">
      <c r="C1361" s="1" t="s">
        <v>3198</v>
      </c>
      <c r="D1361" s="1" t="s">
        <v>2329</v>
      </c>
      <c r="E1361" s="250">
        <v>6432.4530000000004</v>
      </c>
    </row>
    <row r="1362" spans="3:5" x14ac:dyDescent="0.35">
      <c r="C1362" s="1" t="s">
        <v>3197</v>
      </c>
      <c r="D1362" s="1" t="s">
        <v>2329</v>
      </c>
      <c r="E1362" s="250">
        <v>6432.4539999999997</v>
      </c>
    </row>
    <row r="1363" spans="3:5" x14ac:dyDescent="0.35">
      <c r="C1363" s="1" t="s">
        <v>3196</v>
      </c>
      <c r="D1363" s="1" t="s">
        <v>2329</v>
      </c>
      <c r="E1363" s="250">
        <v>6432.4549999999999</v>
      </c>
    </row>
    <row r="1364" spans="3:5" x14ac:dyDescent="0.35">
      <c r="C1364" s="1" t="s">
        <v>3195</v>
      </c>
      <c r="D1364" s="1" t="s">
        <v>2329</v>
      </c>
      <c r="E1364" s="250">
        <v>6432.4560000000001</v>
      </c>
    </row>
    <row r="1365" spans="3:5" x14ac:dyDescent="0.35">
      <c r="C1365" s="1" t="s">
        <v>3194</v>
      </c>
      <c r="D1365" s="1" t="s">
        <v>2329</v>
      </c>
      <c r="E1365" s="250">
        <v>6432.4570000000003</v>
      </c>
    </row>
    <row r="1366" spans="3:5" x14ac:dyDescent="0.35">
      <c r="C1366" s="1" t="s">
        <v>3193</v>
      </c>
      <c r="D1366" s="1" t="s">
        <v>2329</v>
      </c>
      <c r="E1366" s="250">
        <v>6432.4579999999996</v>
      </c>
    </row>
    <row r="1367" spans="3:5" x14ac:dyDescent="0.35">
      <c r="C1367" s="1" t="s">
        <v>3192</v>
      </c>
      <c r="D1367" s="1" t="s">
        <v>2329</v>
      </c>
      <c r="E1367" s="250">
        <v>6432.4589999999998</v>
      </c>
    </row>
    <row r="1368" spans="3:5" x14ac:dyDescent="0.35">
      <c r="C1368" s="1" t="s">
        <v>3191</v>
      </c>
      <c r="D1368" s="1" t="s">
        <v>2329</v>
      </c>
      <c r="E1368" s="250">
        <v>6432.4610000000002</v>
      </c>
    </row>
    <row r="1369" spans="3:5" x14ac:dyDescent="0.35">
      <c r="C1369" s="1" t="s">
        <v>3190</v>
      </c>
      <c r="D1369" s="1" t="s">
        <v>2329</v>
      </c>
      <c r="E1369" s="250">
        <v>6432.4620000000004</v>
      </c>
    </row>
    <row r="1370" spans="3:5" x14ac:dyDescent="0.35">
      <c r="C1370" s="1" t="s">
        <v>3189</v>
      </c>
      <c r="D1370" s="1" t="s">
        <v>2329</v>
      </c>
      <c r="E1370" s="250">
        <v>6432.4629999999997</v>
      </c>
    </row>
    <row r="1371" spans="3:5" x14ac:dyDescent="0.35">
      <c r="C1371" s="1" t="s">
        <v>3188</v>
      </c>
      <c r="D1371" s="1" t="s">
        <v>2329</v>
      </c>
      <c r="E1371" s="250">
        <v>6432.4639999999999</v>
      </c>
    </row>
    <row r="1372" spans="3:5" x14ac:dyDescent="0.35">
      <c r="C1372" s="1" t="s">
        <v>3187</v>
      </c>
      <c r="D1372" s="1" t="s">
        <v>2329</v>
      </c>
      <c r="E1372" s="250">
        <v>6432.4650000000001</v>
      </c>
    </row>
    <row r="1373" spans="3:5" x14ac:dyDescent="0.35">
      <c r="C1373" s="1" t="s">
        <v>3186</v>
      </c>
      <c r="D1373" s="1" t="s">
        <v>2329</v>
      </c>
      <c r="E1373" s="250">
        <v>6432.4660000000003</v>
      </c>
    </row>
    <row r="1374" spans="3:5" x14ac:dyDescent="0.35">
      <c r="C1374" s="1" t="s">
        <v>3185</v>
      </c>
      <c r="D1374" s="1" t="s">
        <v>2329</v>
      </c>
      <c r="E1374" s="250">
        <v>6432.4669999999996</v>
      </c>
    </row>
    <row r="1375" spans="3:5" x14ac:dyDescent="0.35">
      <c r="C1375" s="1" t="s">
        <v>3184</v>
      </c>
      <c r="D1375" s="1" t="s">
        <v>2329</v>
      </c>
      <c r="E1375" s="250">
        <v>6432.4679999999998</v>
      </c>
    </row>
    <row r="1376" spans="3:5" x14ac:dyDescent="0.35">
      <c r="C1376" s="1" t="s">
        <v>3183</v>
      </c>
      <c r="D1376" s="1" t="s">
        <v>2329</v>
      </c>
      <c r="E1376" s="250">
        <v>6432.4690000000001</v>
      </c>
    </row>
    <row r="1377" spans="3:5" x14ac:dyDescent="0.35">
      <c r="C1377" s="1" t="s">
        <v>3182</v>
      </c>
      <c r="D1377" s="1" t="s">
        <v>2329</v>
      </c>
      <c r="E1377" s="250">
        <v>6432.4709999999995</v>
      </c>
    </row>
    <row r="1378" spans="3:5" x14ac:dyDescent="0.35">
      <c r="C1378" s="1" t="s">
        <v>3181</v>
      </c>
      <c r="D1378" s="1" t="s">
        <v>2329</v>
      </c>
      <c r="E1378" s="250">
        <v>6432.4719999999998</v>
      </c>
    </row>
    <row r="1379" spans="3:5" x14ac:dyDescent="0.35">
      <c r="C1379" s="1" t="s">
        <v>3180</v>
      </c>
      <c r="D1379" s="1" t="s">
        <v>2329</v>
      </c>
      <c r="E1379" s="250">
        <v>6432.473</v>
      </c>
    </row>
    <row r="1380" spans="3:5" x14ac:dyDescent="0.35">
      <c r="C1380" s="1" t="s">
        <v>3179</v>
      </c>
      <c r="D1380" s="1" t="s">
        <v>2329</v>
      </c>
      <c r="E1380" s="250">
        <v>6432.4740000000002</v>
      </c>
    </row>
    <row r="1381" spans="3:5" x14ac:dyDescent="0.35">
      <c r="C1381" s="1" t="s">
        <v>3178</v>
      </c>
      <c r="D1381" s="1" t="s">
        <v>2329</v>
      </c>
      <c r="E1381" s="250">
        <v>6432.4750000000004</v>
      </c>
    </row>
    <row r="1382" spans="3:5" x14ac:dyDescent="0.35">
      <c r="C1382" s="1" t="s">
        <v>3177</v>
      </c>
      <c r="D1382" s="1" t="s">
        <v>2329</v>
      </c>
      <c r="E1382" s="250">
        <v>6432.4759999999997</v>
      </c>
    </row>
    <row r="1383" spans="3:5" x14ac:dyDescent="0.35">
      <c r="C1383" s="1" t="s">
        <v>3176</v>
      </c>
      <c r="D1383" s="1" t="s">
        <v>2329</v>
      </c>
      <c r="E1383" s="250">
        <v>6432.4769999999999</v>
      </c>
    </row>
    <row r="1384" spans="3:5" x14ac:dyDescent="0.35">
      <c r="C1384" s="1" t="s">
        <v>3175</v>
      </c>
      <c r="D1384" s="1" t="s">
        <v>2329</v>
      </c>
      <c r="E1384" s="250">
        <v>6432.4780000000001</v>
      </c>
    </row>
    <row r="1385" spans="3:5" x14ac:dyDescent="0.35">
      <c r="C1385" s="1" t="s">
        <v>3174</v>
      </c>
      <c r="D1385" s="1" t="s">
        <v>2329</v>
      </c>
      <c r="E1385" s="250">
        <v>6432.4790000000003</v>
      </c>
    </row>
    <row r="1386" spans="3:5" x14ac:dyDescent="0.35">
      <c r="C1386" s="1" t="s">
        <v>3173</v>
      </c>
      <c r="D1386" s="1" t="s">
        <v>20</v>
      </c>
      <c r="E1386" s="250">
        <v>6432.4809999999998</v>
      </c>
    </row>
    <row r="1387" spans="3:5" x14ac:dyDescent="0.35">
      <c r="C1387" s="1" t="s">
        <v>3172</v>
      </c>
      <c r="D1387" s="1" t="s">
        <v>20</v>
      </c>
      <c r="E1387" s="250">
        <v>6432.4889999999996</v>
      </c>
    </row>
    <row r="1388" spans="3:5" x14ac:dyDescent="0.35">
      <c r="C1388" s="1" t="s">
        <v>3171</v>
      </c>
      <c r="D1388" s="1" t="s">
        <v>20</v>
      </c>
      <c r="E1388" s="250">
        <v>6432.5010000000002</v>
      </c>
    </row>
    <row r="1389" spans="3:5" x14ac:dyDescent="0.35">
      <c r="C1389" s="1" t="s">
        <v>3170</v>
      </c>
      <c r="D1389" s="1" t="s">
        <v>20</v>
      </c>
      <c r="E1389" s="250">
        <v>6432.5020000000004</v>
      </c>
    </row>
    <row r="1390" spans="3:5" x14ac:dyDescent="0.35">
      <c r="C1390" s="1" t="s">
        <v>3169</v>
      </c>
      <c r="D1390" s="1" t="s">
        <v>20</v>
      </c>
      <c r="E1390" s="250">
        <v>6432.5029999999997</v>
      </c>
    </row>
    <row r="1391" spans="3:5" x14ac:dyDescent="0.35">
      <c r="C1391" s="1" t="s">
        <v>3168</v>
      </c>
      <c r="D1391" s="1" t="s">
        <v>20</v>
      </c>
      <c r="E1391" s="250">
        <v>6432.5039999999999</v>
      </c>
    </row>
    <row r="1392" spans="3:5" x14ac:dyDescent="0.35">
      <c r="C1392" s="1" t="s">
        <v>3167</v>
      </c>
      <c r="D1392" s="1" t="s">
        <v>20</v>
      </c>
      <c r="E1392" s="250">
        <v>6432.5050000000001</v>
      </c>
    </row>
    <row r="1393" spans="3:5" x14ac:dyDescent="0.35">
      <c r="C1393" s="1" t="s">
        <v>3166</v>
      </c>
      <c r="D1393" s="1" t="s">
        <v>20</v>
      </c>
      <c r="E1393" s="250">
        <v>6432.5060000000003</v>
      </c>
    </row>
    <row r="1394" spans="3:5" x14ac:dyDescent="0.35">
      <c r="C1394" s="1" t="s">
        <v>3165</v>
      </c>
      <c r="D1394" s="1" t="s">
        <v>20</v>
      </c>
      <c r="E1394" s="250">
        <v>6432.5069999999996</v>
      </c>
    </row>
    <row r="1395" spans="3:5" x14ac:dyDescent="0.35">
      <c r="C1395" s="1" t="s">
        <v>3164</v>
      </c>
      <c r="D1395" s="1" t="s">
        <v>20</v>
      </c>
      <c r="E1395" s="250">
        <v>6432.5079999999998</v>
      </c>
    </row>
    <row r="1396" spans="3:5" x14ac:dyDescent="0.35">
      <c r="C1396" s="1" t="s">
        <v>3163</v>
      </c>
      <c r="D1396" s="1" t="s">
        <v>20</v>
      </c>
      <c r="E1396" s="250">
        <v>6432.509</v>
      </c>
    </row>
    <row r="1397" spans="3:5" x14ac:dyDescent="0.35">
      <c r="C1397" s="1" t="s">
        <v>3162</v>
      </c>
      <c r="D1397" s="1" t="s">
        <v>20</v>
      </c>
      <c r="E1397" s="250">
        <v>6432.5110000000004</v>
      </c>
    </row>
    <row r="1398" spans="3:5" x14ac:dyDescent="0.35">
      <c r="C1398" s="1" t="s">
        <v>3161</v>
      </c>
      <c r="D1398" s="1" t="s">
        <v>20</v>
      </c>
      <c r="E1398" s="250">
        <v>6432.5119999999997</v>
      </c>
    </row>
    <row r="1399" spans="3:5" x14ac:dyDescent="0.35">
      <c r="C1399" s="1" t="s">
        <v>3160</v>
      </c>
      <c r="D1399" s="1" t="s">
        <v>20</v>
      </c>
      <c r="E1399" s="250">
        <v>6432.5129999999999</v>
      </c>
    </row>
    <row r="1400" spans="3:5" x14ac:dyDescent="0.35">
      <c r="C1400" s="1" t="s">
        <v>3159</v>
      </c>
      <c r="D1400" s="1" t="s">
        <v>20</v>
      </c>
      <c r="E1400" s="250">
        <v>6432.5140000000001</v>
      </c>
    </row>
    <row r="1401" spans="3:5" x14ac:dyDescent="0.35">
      <c r="C1401" s="1" t="s">
        <v>3158</v>
      </c>
      <c r="D1401" s="1" t="s">
        <v>20</v>
      </c>
      <c r="E1401" s="250">
        <v>6432.5150000000003</v>
      </c>
    </row>
    <row r="1402" spans="3:5" x14ac:dyDescent="0.35">
      <c r="C1402" s="1" t="s">
        <v>3157</v>
      </c>
      <c r="D1402" s="1" t="s">
        <v>20</v>
      </c>
      <c r="E1402" s="250">
        <v>6432.5159999999996</v>
      </c>
    </row>
    <row r="1403" spans="3:5" x14ac:dyDescent="0.35">
      <c r="C1403" s="1" t="s">
        <v>3156</v>
      </c>
      <c r="D1403" s="1" t="s">
        <v>20</v>
      </c>
      <c r="E1403" s="250">
        <v>6432.5169999999998</v>
      </c>
    </row>
    <row r="1404" spans="3:5" x14ac:dyDescent="0.35">
      <c r="C1404" s="1" t="s">
        <v>3155</v>
      </c>
      <c r="D1404" s="1" t="s">
        <v>20</v>
      </c>
      <c r="E1404" s="250">
        <v>6432.518</v>
      </c>
    </row>
    <row r="1405" spans="3:5" x14ac:dyDescent="0.35">
      <c r="C1405" s="1" t="s">
        <v>3154</v>
      </c>
      <c r="D1405" s="1" t="s">
        <v>20</v>
      </c>
      <c r="E1405" s="250">
        <v>6432.5190000000002</v>
      </c>
    </row>
    <row r="1406" spans="3:5" x14ac:dyDescent="0.35">
      <c r="C1406" s="1" t="s">
        <v>3153</v>
      </c>
      <c r="D1406" s="1" t="s">
        <v>20</v>
      </c>
      <c r="E1406" s="250">
        <v>6432.5209999999997</v>
      </c>
    </row>
    <row r="1407" spans="3:5" x14ac:dyDescent="0.35">
      <c r="C1407" s="1" t="s">
        <v>3152</v>
      </c>
      <c r="D1407" s="1" t="s">
        <v>20</v>
      </c>
      <c r="E1407" s="250">
        <v>6432.5219999999999</v>
      </c>
    </row>
    <row r="1408" spans="3:5" x14ac:dyDescent="0.35">
      <c r="C1408" s="1" t="s">
        <v>3151</v>
      </c>
      <c r="D1408" s="1" t="s">
        <v>20</v>
      </c>
      <c r="E1408" s="250">
        <v>6432.5230000000001</v>
      </c>
    </row>
    <row r="1409" spans="3:5" x14ac:dyDescent="0.35">
      <c r="C1409" s="1" t="s">
        <v>3150</v>
      </c>
      <c r="D1409" s="1" t="s">
        <v>20</v>
      </c>
      <c r="E1409" s="250">
        <v>6432.5240000000003</v>
      </c>
    </row>
    <row r="1410" spans="3:5" x14ac:dyDescent="0.35">
      <c r="C1410" s="1" t="s">
        <v>3149</v>
      </c>
      <c r="D1410" s="1" t="s">
        <v>20</v>
      </c>
      <c r="E1410" s="250">
        <v>6432.5249999999996</v>
      </c>
    </row>
    <row r="1411" spans="3:5" x14ac:dyDescent="0.35">
      <c r="C1411" s="1" t="s">
        <v>3148</v>
      </c>
      <c r="D1411" s="1" t="s">
        <v>20</v>
      </c>
      <c r="E1411" s="250">
        <v>6432.5259999999998</v>
      </c>
    </row>
    <row r="1412" spans="3:5" x14ac:dyDescent="0.35">
      <c r="C1412" s="1" t="s">
        <v>3147</v>
      </c>
      <c r="D1412" s="1" t="s">
        <v>20</v>
      </c>
      <c r="E1412" s="250">
        <v>6432.527</v>
      </c>
    </row>
    <row r="1413" spans="3:5" x14ac:dyDescent="0.35">
      <c r="C1413" s="1" t="s">
        <v>3146</v>
      </c>
      <c r="D1413" s="1" t="s">
        <v>20</v>
      </c>
      <c r="E1413" s="250">
        <v>6432.5280000000002</v>
      </c>
    </row>
    <row r="1414" spans="3:5" x14ac:dyDescent="0.35">
      <c r="C1414" s="1" t="s">
        <v>3145</v>
      </c>
      <c r="D1414" s="1" t="s">
        <v>20</v>
      </c>
      <c r="E1414" s="250">
        <v>6432.5290000000005</v>
      </c>
    </row>
    <row r="1415" spans="3:5" x14ac:dyDescent="0.35">
      <c r="C1415" s="1" t="s">
        <v>3144</v>
      </c>
      <c r="D1415" s="1" t="s">
        <v>2329</v>
      </c>
      <c r="E1415" s="250">
        <v>6432.5309999999999</v>
      </c>
    </row>
    <row r="1416" spans="3:5" x14ac:dyDescent="0.35">
      <c r="C1416" s="1" t="s">
        <v>3143</v>
      </c>
      <c r="D1416" s="1" t="s">
        <v>2329</v>
      </c>
      <c r="E1416" s="250">
        <v>6432.5320000000002</v>
      </c>
    </row>
    <row r="1417" spans="3:5" x14ac:dyDescent="0.35">
      <c r="C1417" s="1" t="s">
        <v>3142</v>
      </c>
      <c r="D1417" s="1" t="s">
        <v>2329</v>
      </c>
      <c r="E1417" s="250">
        <v>6432.5330000000004</v>
      </c>
    </row>
    <row r="1418" spans="3:5" x14ac:dyDescent="0.35">
      <c r="C1418" s="1" t="s">
        <v>3141</v>
      </c>
      <c r="D1418" s="1" t="s">
        <v>2329</v>
      </c>
      <c r="E1418" s="250">
        <v>6432.5339999999997</v>
      </c>
    </row>
    <row r="1419" spans="3:5" x14ac:dyDescent="0.35">
      <c r="C1419" s="1" t="s">
        <v>3140</v>
      </c>
      <c r="D1419" s="1" t="s">
        <v>2329</v>
      </c>
      <c r="E1419" s="250">
        <v>6432.5349999999999</v>
      </c>
    </row>
    <row r="1420" spans="3:5" x14ac:dyDescent="0.35">
      <c r="C1420" s="1" t="s">
        <v>3139</v>
      </c>
      <c r="D1420" s="1" t="s">
        <v>2329</v>
      </c>
      <c r="E1420" s="250">
        <v>6432.5360000000001</v>
      </c>
    </row>
    <row r="1421" spans="3:5" x14ac:dyDescent="0.35">
      <c r="C1421" s="1" t="s">
        <v>3138</v>
      </c>
      <c r="D1421" s="1" t="s">
        <v>2329</v>
      </c>
      <c r="E1421" s="250">
        <v>6432.5370000000003</v>
      </c>
    </row>
    <row r="1422" spans="3:5" x14ac:dyDescent="0.35">
      <c r="C1422" s="1" t="s">
        <v>3137</v>
      </c>
      <c r="D1422" s="1" t="s">
        <v>2329</v>
      </c>
      <c r="E1422" s="250">
        <v>6432.5379999999996</v>
      </c>
    </row>
    <row r="1423" spans="3:5" x14ac:dyDescent="0.35">
      <c r="C1423" s="1" t="s">
        <v>3136</v>
      </c>
      <c r="D1423" s="1" t="s">
        <v>2329</v>
      </c>
      <c r="E1423" s="250">
        <v>6432.5389999999998</v>
      </c>
    </row>
    <row r="1424" spans="3:5" x14ac:dyDescent="0.35">
      <c r="C1424" s="1" t="s">
        <v>3135</v>
      </c>
      <c r="D1424" s="1" t="s">
        <v>2329</v>
      </c>
      <c r="E1424" s="250">
        <v>6432.5410000000002</v>
      </c>
    </row>
    <row r="1425" spans="3:5" x14ac:dyDescent="0.35">
      <c r="C1425" s="1" t="s">
        <v>3134</v>
      </c>
      <c r="D1425" s="1" t="s">
        <v>2329</v>
      </c>
      <c r="E1425" s="250">
        <v>6432.5420000000004</v>
      </c>
    </row>
    <row r="1426" spans="3:5" x14ac:dyDescent="0.35">
      <c r="C1426" s="1" t="s">
        <v>3133</v>
      </c>
      <c r="D1426" s="1" t="s">
        <v>2329</v>
      </c>
      <c r="E1426" s="250">
        <v>6432.5429999999997</v>
      </c>
    </row>
    <row r="1427" spans="3:5" x14ac:dyDescent="0.35">
      <c r="C1427" s="1" t="s">
        <v>3132</v>
      </c>
      <c r="D1427" s="1" t="s">
        <v>2329</v>
      </c>
      <c r="E1427" s="250">
        <v>6432.5439999999999</v>
      </c>
    </row>
    <row r="1428" spans="3:5" x14ac:dyDescent="0.35">
      <c r="C1428" s="1" t="s">
        <v>3131</v>
      </c>
      <c r="D1428" s="1" t="s">
        <v>2329</v>
      </c>
      <c r="E1428" s="250">
        <v>6432.5450000000001</v>
      </c>
    </row>
    <row r="1429" spans="3:5" x14ac:dyDescent="0.35">
      <c r="C1429" s="1" t="s">
        <v>3130</v>
      </c>
      <c r="D1429" s="1" t="s">
        <v>2329</v>
      </c>
      <c r="E1429" s="250">
        <v>6432.5460000000003</v>
      </c>
    </row>
    <row r="1430" spans="3:5" x14ac:dyDescent="0.35">
      <c r="C1430" s="1" t="s">
        <v>3129</v>
      </c>
      <c r="D1430" s="1" t="s">
        <v>2329</v>
      </c>
      <c r="E1430" s="250">
        <v>6432.5469999999996</v>
      </c>
    </row>
    <row r="1431" spans="3:5" x14ac:dyDescent="0.35">
      <c r="C1431" s="1" t="s">
        <v>3128</v>
      </c>
      <c r="D1431" s="1" t="s">
        <v>2329</v>
      </c>
      <c r="E1431" s="250">
        <v>6432.5479999999998</v>
      </c>
    </row>
    <row r="1432" spans="3:5" x14ac:dyDescent="0.35">
      <c r="C1432" s="1" t="s">
        <v>3127</v>
      </c>
      <c r="D1432" s="1" t="s">
        <v>2329</v>
      </c>
      <c r="E1432" s="250">
        <v>6432.549</v>
      </c>
    </row>
    <row r="1433" spans="3:5" x14ac:dyDescent="0.35">
      <c r="C1433" s="1" t="s">
        <v>3126</v>
      </c>
      <c r="D1433" s="1" t="s">
        <v>2329</v>
      </c>
      <c r="E1433" s="250">
        <v>6432.5510000000004</v>
      </c>
    </row>
    <row r="1434" spans="3:5" x14ac:dyDescent="0.35">
      <c r="C1434" s="1" t="s">
        <v>3125</v>
      </c>
      <c r="D1434" s="1" t="s">
        <v>2329</v>
      </c>
      <c r="E1434" s="250">
        <v>6432.5519999999997</v>
      </c>
    </row>
    <row r="1435" spans="3:5" x14ac:dyDescent="0.35">
      <c r="C1435" s="1" t="s">
        <v>3124</v>
      </c>
      <c r="D1435" s="1" t="s">
        <v>2329</v>
      </c>
      <c r="E1435" s="250">
        <v>6432.5529999999999</v>
      </c>
    </row>
    <row r="1436" spans="3:5" x14ac:dyDescent="0.35">
      <c r="C1436" s="1" t="s">
        <v>3123</v>
      </c>
      <c r="D1436" s="1" t="s">
        <v>2329</v>
      </c>
      <c r="E1436" s="250">
        <v>6432.5540000000001</v>
      </c>
    </row>
    <row r="1437" spans="3:5" x14ac:dyDescent="0.35">
      <c r="C1437" s="1" t="s">
        <v>3122</v>
      </c>
      <c r="D1437" s="1" t="s">
        <v>2329</v>
      </c>
      <c r="E1437" s="250">
        <v>6432.5550000000003</v>
      </c>
    </row>
    <row r="1438" spans="3:5" x14ac:dyDescent="0.35">
      <c r="C1438" s="1" t="s">
        <v>3121</v>
      </c>
      <c r="D1438" s="1" t="s">
        <v>2329</v>
      </c>
      <c r="E1438" s="250">
        <v>6432.5559999999996</v>
      </c>
    </row>
    <row r="1439" spans="3:5" x14ac:dyDescent="0.35">
      <c r="C1439" s="1" t="s">
        <v>3120</v>
      </c>
      <c r="D1439" s="1" t="s">
        <v>2329</v>
      </c>
      <c r="E1439" s="250">
        <v>6432.5569999999998</v>
      </c>
    </row>
    <row r="1440" spans="3:5" x14ac:dyDescent="0.35">
      <c r="C1440" s="1" t="s">
        <v>3119</v>
      </c>
      <c r="D1440" s="1" t="s">
        <v>2329</v>
      </c>
      <c r="E1440" s="250">
        <v>6432.558</v>
      </c>
    </row>
    <row r="1441" spans="3:5" x14ac:dyDescent="0.35">
      <c r="C1441" s="1" t="s">
        <v>3118</v>
      </c>
      <c r="D1441" s="1" t="s">
        <v>2329</v>
      </c>
      <c r="E1441" s="250">
        <v>6432.5590000000002</v>
      </c>
    </row>
    <row r="1442" spans="3:5" x14ac:dyDescent="0.35">
      <c r="C1442" s="1" t="s">
        <v>3117</v>
      </c>
      <c r="D1442" s="1" t="s">
        <v>2329</v>
      </c>
      <c r="E1442" s="250">
        <v>6432.5609999999997</v>
      </c>
    </row>
    <row r="1443" spans="3:5" x14ac:dyDescent="0.35">
      <c r="C1443" s="1" t="s">
        <v>3116</v>
      </c>
      <c r="D1443" s="1" t="s">
        <v>2329</v>
      </c>
      <c r="E1443" s="250">
        <v>6432.5619999999999</v>
      </c>
    </row>
    <row r="1444" spans="3:5" x14ac:dyDescent="0.35">
      <c r="C1444" s="1" t="s">
        <v>3115</v>
      </c>
      <c r="D1444" s="1" t="s">
        <v>2329</v>
      </c>
      <c r="E1444" s="250">
        <v>6432.5630000000001</v>
      </c>
    </row>
    <row r="1445" spans="3:5" x14ac:dyDescent="0.35">
      <c r="C1445" s="1" t="s">
        <v>3114</v>
      </c>
      <c r="D1445" s="1" t="s">
        <v>2329</v>
      </c>
      <c r="E1445" s="250">
        <v>6432.5640000000003</v>
      </c>
    </row>
    <row r="1446" spans="3:5" x14ac:dyDescent="0.35">
      <c r="C1446" s="1" t="s">
        <v>3113</v>
      </c>
      <c r="D1446" s="1" t="s">
        <v>2329</v>
      </c>
      <c r="E1446" s="250">
        <v>6432.5649999999996</v>
      </c>
    </row>
    <row r="1447" spans="3:5" x14ac:dyDescent="0.35">
      <c r="C1447" s="1" t="s">
        <v>3112</v>
      </c>
      <c r="D1447" s="1" t="s">
        <v>2329</v>
      </c>
      <c r="E1447" s="250">
        <v>6432.5659999999998</v>
      </c>
    </row>
    <row r="1448" spans="3:5" x14ac:dyDescent="0.35">
      <c r="C1448" s="1" t="s">
        <v>3111</v>
      </c>
      <c r="D1448" s="1" t="s">
        <v>2329</v>
      </c>
      <c r="E1448" s="250">
        <v>6432.567</v>
      </c>
    </row>
    <row r="1449" spans="3:5" x14ac:dyDescent="0.35">
      <c r="C1449" s="1" t="s">
        <v>3110</v>
      </c>
      <c r="D1449" s="1" t="s">
        <v>2329</v>
      </c>
      <c r="E1449" s="250">
        <v>6432.5680000000002</v>
      </c>
    </row>
    <row r="1450" spans="3:5" x14ac:dyDescent="0.35">
      <c r="C1450" s="1" t="s">
        <v>3109</v>
      </c>
      <c r="D1450" s="1" t="s">
        <v>2329</v>
      </c>
      <c r="E1450" s="250">
        <v>6432.5690000000004</v>
      </c>
    </row>
    <row r="1451" spans="3:5" x14ac:dyDescent="0.35">
      <c r="C1451" s="1" t="s">
        <v>3108</v>
      </c>
      <c r="D1451" s="1" t="s">
        <v>2329</v>
      </c>
      <c r="E1451" s="250">
        <v>6432.6009999999997</v>
      </c>
    </row>
    <row r="1452" spans="3:5" x14ac:dyDescent="0.35">
      <c r="C1452" s="1" t="s">
        <v>3107</v>
      </c>
      <c r="D1452" s="1" t="s">
        <v>2329</v>
      </c>
      <c r="E1452" s="250">
        <v>6432.6019999999999</v>
      </c>
    </row>
    <row r="1453" spans="3:5" x14ac:dyDescent="0.35">
      <c r="C1453" s="1" t="s">
        <v>3106</v>
      </c>
      <c r="D1453" s="1" t="s">
        <v>2329</v>
      </c>
      <c r="E1453" s="250">
        <v>6432.6030000000001</v>
      </c>
    </row>
    <row r="1454" spans="3:5" x14ac:dyDescent="0.35">
      <c r="C1454" s="1" t="s">
        <v>3105</v>
      </c>
      <c r="D1454" s="1" t="s">
        <v>2329</v>
      </c>
      <c r="E1454" s="250">
        <v>6432.6040000000003</v>
      </c>
    </row>
    <row r="1455" spans="3:5" x14ac:dyDescent="0.35">
      <c r="C1455" s="1" t="s">
        <v>3104</v>
      </c>
      <c r="D1455" s="1" t="s">
        <v>2329</v>
      </c>
      <c r="E1455" s="250">
        <v>6432.6049999999996</v>
      </c>
    </row>
    <row r="1456" spans="3:5" x14ac:dyDescent="0.35">
      <c r="C1456" s="1" t="s">
        <v>3103</v>
      </c>
      <c r="D1456" s="1" t="s">
        <v>2329</v>
      </c>
      <c r="E1456" s="250">
        <v>6432.6059999999998</v>
      </c>
    </row>
    <row r="1457" spans="3:5" x14ac:dyDescent="0.35">
      <c r="C1457" s="1" t="s">
        <v>3102</v>
      </c>
      <c r="D1457" s="1" t="s">
        <v>2329</v>
      </c>
      <c r="E1457" s="250">
        <v>6432.607</v>
      </c>
    </row>
    <row r="1458" spans="3:5" x14ac:dyDescent="0.35">
      <c r="C1458" s="1" t="s">
        <v>3101</v>
      </c>
      <c r="D1458" s="1" t="s">
        <v>2329</v>
      </c>
      <c r="E1458" s="250">
        <v>6432.6080000000002</v>
      </c>
    </row>
    <row r="1459" spans="3:5" x14ac:dyDescent="0.35">
      <c r="C1459" s="1" t="s">
        <v>3100</v>
      </c>
      <c r="D1459" s="1" t="s">
        <v>2329</v>
      </c>
      <c r="E1459" s="250">
        <v>6432.6090000000004</v>
      </c>
    </row>
    <row r="1460" spans="3:5" x14ac:dyDescent="0.35">
      <c r="C1460" s="1" t="s">
        <v>3099</v>
      </c>
      <c r="D1460" s="1" t="s">
        <v>2329</v>
      </c>
      <c r="E1460" s="250">
        <v>6432.6109999999999</v>
      </c>
    </row>
    <row r="1461" spans="3:5" x14ac:dyDescent="0.35">
      <c r="C1461" s="1" t="s">
        <v>3098</v>
      </c>
      <c r="D1461" s="1" t="s">
        <v>2329</v>
      </c>
      <c r="E1461" s="250">
        <v>6432.6120000000001</v>
      </c>
    </row>
    <row r="1462" spans="3:5" x14ac:dyDescent="0.35">
      <c r="C1462" s="1" t="s">
        <v>3097</v>
      </c>
      <c r="D1462" s="1" t="s">
        <v>2329</v>
      </c>
      <c r="E1462" s="250">
        <v>6432.6130000000003</v>
      </c>
    </row>
    <row r="1463" spans="3:5" x14ac:dyDescent="0.35">
      <c r="C1463" s="1" t="s">
        <v>3096</v>
      </c>
      <c r="D1463" s="1" t="s">
        <v>2329</v>
      </c>
      <c r="E1463" s="250">
        <v>6432.6139999999996</v>
      </c>
    </row>
    <row r="1464" spans="3:5" x14ac:dyDescent="0.35">
      <c r="C1464" s="1" t="s">
        <v>3095</v>
      </c>
      <c r="D1464" s="1" t="s">
        <v>2329</v>
      </c>
      <c r="E1464" s="250">
        <v>6432.6149999999998</v>
      </c>
    </row>
    <row r="1465" spans="3:5" x14ac:dyDescent="0.35">
      <c r="C1465" s="1" t="s">
        <v>3094</v>
      </c>
      <c r="D1465" s="1" t="s">
        <v>2329</v>
      </c>
      <c r="E1465" s="250">
        <v>6432.616</v>
      </c>
    </row>
    <row r="1466" spans="3:5" x14ac:dyDescent="0.35">
      <c r="C1466" s="1" t="s">
        <v>3093</v>
      </c>
      <c r="D1466" s="1" t="s">
        <v>2329</v>
      </c>
      <c r="E1466" s="250">
        <v>6432.6170000000002</v>
      </c>
    </row>
    <row r="1467" spans="3:5" x14ac:dyDescent="0.35">
      <c r="C1467" s="1" t="s">
        <v>3092</v>
      </c>
      <c r="D1467" s="1" t="s">
        <v>2329</v>
      </c>
      <c r="E1467" s="250">
        <v>6432.6180000000004</v>
      </c>
    </row>
    <row r="1468" spans="3:5" x14ac:dyDescent="0.35">
      <c r="C1468" s="1" t="s">
        <v>3091</v>
      </c>
      <c r="D1468" s="1" t="s">
        <v>2329</v>
      </c>
      <c r="E1468" s="250">
        <v>6432.6189999999997</v>
      </c>
    </row>
    <row r="1469" spans="3:5" x14ac:dyDescent="0.35">
      <c r="C1469" s="1" t="s">
        <v>3090</v>
      </c>
      <c r="D1469" s="1" t="s">
        <v>2329</v>
      </c>
      <c r="E1469" s="250">
        <v>6432.6210000000001</v>
      </c>
    </row>
    <row r="1470" spans="3:5" x14ac:dyDescent="0.35">
      <c r="C1470" s="1" t="s">
        <v>3089</v>
      </c>
      <c r="D1470" s="1" t="s">
        <v>2329</v>
      </c>
      <c r="E1470" s="250">
        <v>6432.6220000000003</v>
      </c>
    </row>
    <row r="1471" spans="3:5" x14ac:dyDescent="0.35">
      <c r="C1471" s="1" t="s">
        <v>3088</v>
      </c>
      <c r="D1471" s="1" t="s">
        <v>2329</v>
      </c>
      <c r="E1471" s="250">
        <v>6432.6229999999996</v>
      </c>
    </row>
    <row r="1472" spans="3:5" x14ac:dyDescent="0.35">
      <c r="C1472" s="1" t="s">
        <v>3087</v>
      </c>
      <c r="D1472" s="1" t="s">
        <v>2329</v>
      </c>
      <c r="E1472" s="250">
        <v>6432.6239999999998</v>
      </c>
    </row>
    <row r="1473" spans="3:5" x14ac:dyDescent="0.35">
      <c r="C1473" s="1" t="s">
        <v>3086</v>
      </c>
      <c r="D1473" s="1" t="s">
        <v>2329</v>
      </c>
      <c r="E1473" s="250">
        <v>6432.625</v>
      </c>
    </row>
    <row r="1474" spans="3:5" x14ac:dyDescent="0.35">
      <c r="C1474" s="1" t="s">
        <v>3085</v>
      </c>
      <c r="D1474" s="1" t="s">
        <v>2329</v>
      </c>
      <c r="E1474" s="250">
        <v>6432.6260000000002</v>
      </c>
    </row>
    <row r="1475" spans="3:5" x14ac:dyDescent="0.35">
      <c r="C1475" s="1" t="s">
        <v>3084</v>
      </c>
      <c r="D1475" s="1" t="s">
        <v>2329</v>
      </c>
      <c r="E1475" s="250">
        <v>6432.6270000000004</v>
      </c>
    </row>
    <row r="1476" spans="3:5" x14ac:dyDescent="0.35">
      <c r="C1476" s="1" t="s">
        <v>3083</v>
      </c>
      <c r="D1476" s="1" t="s">
        <v>2329</v>
      </c>
      <c r="E1476" s="250">
        <v>6432.6279999999997</v>
      </c>
    </row>
    <row r="1477" spans="3:5" x14ac:dyDescent="0.35">
      <c r="C1477" s="1" t="s">
        <v>3082</v>
      </c>
      <c r="D1477" s="1" t="s">
        <v>2329</v>
      </c>
      <c r="E1477" s="250">
        <v>6432.6289999999999</v>
      </c>
    </row>
    <row r="1478" spans="3:5" x14ac:dyDescent="0.35">
      <c r="C1478" s="1" t="s">
        <v>3081</v>
      </c>
      <c r="D1478" s="1" t="s">
        <v>2329</v>
      </c>
      <c r="E1478" s="250">
        <v>6432.6310000000003</v>
      </c>
    </row>
    <row r="1479" spans="3:5" x14ac:dyDescent="0.35">
      <c r="C1479" s="1" t="s">
        <v>3080</v>
      </c>
      <c r="D1479" s="1" t="s">
        <v>2329</v>
      </c>
      <c r="E1479" s="250">
        <v>6432.6319999999996</v>
      </c>
    </row>
    <row r="1480" spans="3:5" x14ac:dyDescent="0.35">
      <c r="C1480" s="1" t="s">
        <v>3079</v>
      </c>
      <c r="D1480" s="1" t="s">
        <v>2329</v>
      </c>
      <c r="E1480" s="250">
        <v>6432.6329999999998</v>
      </c>
    </row>
    <row r="1481" spans="3:5" x14ac:dyDescent="0.35">
      <c r="C1481" s="1" t="s">
        <v>3078</v>
      </c>
      <c r="D1481" s="1" t="s">
        <v>2329</v>
      </c>
      <c r="E1481" s="250">
        <v>6432.634</v>
      </c>
    </row>
    <row r="1482" spans="3:5" x14ac:dyDescent="0.35">
      <c r="C1482" s="1" t="s">
        <v>3077</v>
      </c>
      <c r="D1482" s="1" t="s">
        <v>2329</v>
      </c>
      <c r="E1482" s="250">
        <v>6432.6350000000002</v>
      </c>
    </row>
    <row r="1483" spans="3:5" x14ac:dyDescent="0.35">
      <c r="C1483" s="1" t="s">
        <v>3076</v>
      </c>
      <c r="D1483" s="1" t="s">
        <v>2329</v>
      </c>
      <c r="E1483" s="250">
        <v>6432.6360000000004</v>
      </c>
    </row>
    <row r="1484" spans="3:5" x14ac:dyDescent="0.35">
      <c r="C1484" s="1" t="s">
        <v>3075</v>
      </c>
      <c r="D1484" s="1" t="s">
        <v>2329</v>
      </c>
      <c r="E1484" s="250">
        <v>6432.6369999999997</v>
      </c>
    </row>
    <row r="1485" spans="3:5" x14ac:dyDescent="0.35">
      <c r="C1485" s="1" t="s">
        <v>3074</v>
      </c>
      <c r="D1485" s="1" t="s">
        <v>2329</v>
      </c>
      <c r="E1485" s="250">
        <v>6432.6379999999999</v>
      </c>
    </row>
    <row r="1486" spans="3:5" x14ac:dyDescent="0.35">
      <c r="C1486" s="1" t="s">
        <v>3073</v>
      </c>
      <c r="D1486" s="1" t="s">
        <v>2329</v>
      </c>
      <c r="E1486" s="250">
        <v>6432.6390000000001</v>
      </c>
    </row>
    <row r="1487" spans="3:5" x14ac:dyDescent="0.35">
      <c r="C1487" s="1" t="s">
        <v>3072</v>
      </c>
      <c r="D1487" s="1" t="s">
        <v>19</v>
      </c>
      <c r="E1487" s="250">
        <v>6432.6409999999996</v>
      </c>
    </row>
    <row r="1488" spans="3:5" x14ac:dyDescent="0.35">
      <c r="C1488" s="1" t="s">
        <v>3071</v>
      </c>
      <c r="D1488" s="1" t="s">
        <v>19</v>
      </c>
      <c r="E1488" s="250">
        <v>6432.6419999999998</v>
      </c>
    </row>
    <row r="1489" spans="3:5" x14ac:dyDescent="0.35">
      <c r="C1489" s="1" t="s">
        <v>3070</v>
      </c>
      <c r="D1489" s="1" t="s">
        <v>19</v>
      </c>
      <c r="E1489" s="250">
        <v>6432.643</v>
      </c>
    </row>
    <row r="1490" spans="3:5" x14ac:dyDescent="0.35">
      <c r="C1490" s="1" t="s">
        <v>3069</v>
      </c>
      <c r="D1490" s="1" t="s">
        <v>19</v>
      </c>
      <c r="E1490" s="250">
        <v>6432.6440000000002</v>
      </c>
    </row>
    <row r="1491" spans="3:5" x14ac:dyDescent="0.35">
      <c r="C1491" s="1" t="s">
        <v>3068</v>
      </c>
      <c r="D1491" s="1" t="s">
        <v>19</v>
      </c>
      <c r="E1491" s="250">
        <v>6432.6450000000004</v>
      </c>
    </row>
    <row r="1492" spans="3:5" x14ac:dyDescent="0.35">
      <c r="C1492" s="1" t="s">
        <v>3067</v>
      </c>
      <c r="D1492" s="1" t="s">
        <v>19</v>
      </c>
      <c r="E1492" s="250">
        <v>6432.6459999999997</v>
      </c>
    </row>
    <row r="1493" spans="3:5" x14ac:dyDescent="0.35">
      <c r="C1493" s="1" t="s">
        <v>3066</v>
      </c>
      <c r="D1493" s="1" t="s">
        <v>19</v>
      </c>
      <c r="E1493" s="250">
        <v>6432.6469999999999</v>
      </c>
    </row>
    <row r="1494" spans="3:5" x14ac:dyDescent="0.35">
      <c r="C1494" s="1" t="s">
        <v>3065</v>
      </c>
      <c r="D1494" s="1" t="s">
        <v>19</v>
      </c>
      <c r="E1494" s="250">
        <v>6432.6480000000001</v>
      </c>
    </row>
    <row r="1495" spans="3:5" x14ac:dyDescent="0.35">
      <c r="C1495" s="1" t="s">
        <v>3064</v>
      </c>
      <c r="D1495" s="1" t="s">
        <v>19</v>
      </c>
      <c r="E1495" s="250">
        <v>6432.6490000000003</v>
      </c>
    </row>
    <row r="1496" spans="3:5" x14ac:dyDescent="0.35">
      <c r="C1496" s="1" t="s">
        <v>3063</v>
      </c>
      <c r="D1496" s="1" t="s">
        <v>19</v>
      </c>
      <c r="E1496" s="250">
        <v>6432.6509999999998</v>
      </c>
    </row>
    <row r="1497" spans="3:5" x14ac:dyDescent="0.35">
      <c r="C1497" s="1" t="s">
        <v>3062</v>
      </c>
      <c r="D1497" s="1" t="s">
        <v>19</v>
      </c>
      <c r="E1497" s="250">
        <v>6432.652</v>
      </c>
    </row>
    <row r="1498" spans="3:5" x14ac:dyDescent="0.35">
      <c r="C1498" s="1" t="s">
        <v>3061</v>
      </c>
      <c r="D1498" s="1" t="s">
        <v>19</v>
      </c>
      <c r="E1498" s="250">
        <v>6432.6530000000002</v>
      </c>
    </row>
    <row r="1499" spans="3:5" x14ac:dyDescent="0.35">
      <c r="C1499" s="1" t="s">
        <v>3060</v>
      </c>
      <c r="D1499" s="1" t="s">
        <v>19</v>
      </c>
      <c r="E1499" s="250">
        <v>6432.6540000000005</v>
      </c>
    </row>
    <row r="1500" spans="3:5" x14ac:dyDescent="0.35">
      <c r="C1500" s="1" t="s">
        <v>3059</v>
      </c>
      <c r="D1500" s="1" t="s">
        <v>19</v>
      </c>
      <c r="E1500" s="250">
        <v>6432.6549999999997</v>
      </c>
    </row>
    <row r="1501" spans="3:5" x14ac:dyDescent="0.35">
      <c r="C1501" s="1" t="s">
        <v>3058</v>
      </c>
      <c r="D1501" s="1" t="s">
        <v>19</v>
      </c>
      <c r="E1501" s="250">
        <v>6432.6559999999999</v>
      </c>
    </row>
    <row r="1502" spans="3:5" x14ac:dyDescent="0.35">
      <c r="C1502" s="1" t="s">
        <v>3057</v>
      </c>
      <c r="D1502" s="1" t="s">
        <v>19</v>
      </c>
      <c r="E1502" s="250">
        <v>6432.6570000000002</v>
      </c>
    </row>
    <row r="1503" spans="3:5" x14ac:dyDescent="0.35">
      <c r="C1503" s="1" t="s">
        <v>3056</v>
      </c>
      <c r="D1503" s="1" t="s">
        <v>19</v>
      </c>
      <c r="E1503" s="250">
        <v>6432.6580000000004</v>
      </c>
    </row>
    <row r="1504" spans="3:5" x14ac:dyDescent="0.35">
      <c r="C1504" s="1" t="s">
        <v>3055</v>
      </c>
      <c r="D1504" s="1" t="s">
        <v>19</v>
      </c>
      <c r="E1504" s="250">
        <v>6432.6589999999997</v>
      </c>
    </row>
    <row r="1505" spans="3:5" x14ac:dyDescent="0.35">
      <c r="C1505" s="1" t="s">
        <v>3054</v>
      </c>
      <c r="D1505" s="1" t="s">
        <v>3053</v>
      </c>
      <c r="E1505" s="250">
        <v>6439.9080000000004</v>
      </c>
    </row>
    <row r="1506" spans="3:5" x14ac:dyDescent="0.35">
      <c r="C1506" s="1" t="s">
        <v>3052</v>
      </c>
      <c r="D1506" s="1" t="s">
        <v>58</v>
      </c>
      <c r="E1506" s="250">
        <v>6439.9089999999997</v>
      </c>
    </row>
    <row r="1507" spans="3:5" x14ac:dyDescent="0.35">
      <c r="C1507" s="1" t="s">
        <v>3051</v>
      </c>
      <c r="D1507" s="1" t="s">
        <v>18</v>
      </c>
      <c r="E1507" s="250">
        <v>6440.0129999999999</v>
      </c>
    </row>
    <row r="1508" spans="3:5" x14ac:dyDescent="0.35">
      <c r="C1508" s="1" t="s">
        <v>3050</v>
      </c>
      <c r="D1508" s="1" t="s">
        <v>19</v>
      </c>
      <c r="E1508" s="250">
        <v>6440.0140000000001</v>
      </c>
    </row>
    <row r="1509" spans="3:5" x14ac:dyDescent="0.35">
      <c r="C1509" s="1" t="s">
        <v>3049</v>
      </c>
      <c r="D1509" s="1" t="s">
        <v>19</v>
      </c>
      <c r="E1509" s="250">
        <v>6440.0150000000003</v>
      </c>
    </row>
    <row r="1510" spans="3:5" x14ac:dyDescent="0.35">
      <c r="C1510" s="1" t="s">
        <v>3048</v>
      </c>
      <c r="D1510" s="1" t="s">
        <v>19</v>
      </c>
      <c r="E1510" s="250">
        <v>6440.0159999999996</v>
      </c>
    </row>
    <row r="1511" spans="3:5" x14ac:dyDescent="0.35">
      <c r="C1511" s="1" t="s">
        <v>3047</v>
      </c>
      <c r="D1511" s="1" t="s">
        <v>19</v>
      </c>
      <c r="E1511" s="250">
        <v>6440.0309999999999</v>
      </c>
    </row>
    <row r="1512" spans="3:5" x14ac:dyDescent="0.35">
      <c r="C1512" s="1" t="s">
        <v>3046</v>
      </c>
      <c r="D1512" s="1" t="s">
        <v>19</v>
      </c>
      <c r="E1512" s="250">
        <v>6440.0320000000002</v>
      </c>
    </row>
    <row r="1513" spans="3:5" x14ac:dyDescent="0.35">
      <c r="C1513" s="1" t="s">
        <v>3045</v>
      </c>
      <c r="D1513" s="1" t="s">
        <v>19</v>
      </c>
      <c r="E1513" s="250">
        <v>6440.0330000000004</v>
      </c>
    </row>
    <row r="1514" spans="3:5" x14ac:dyDescent="0.35">
      <c r="C1514" s="1" t="s">
        <v>3044</v>
      </c>
      <c r="D1514" s="1" t="s">
        <v>19</v>
      </c>
      <c r="E1514" s="250">
        <v>6440.04</v>
      </c>
    </row>
    <row r="1515" spans="3:5" x14ac:dyDescent="0.35">
      <c r="C1515" s="1" t="s">
        <v>3043</v>
      </c>
      <c r="D1515" s="1" t="s">
        <v>19</v>
      </c>
      <c r="E1515" s="250">
        <v>6440.0410000000002</v>
      </c>
    </row>
    <row r="1516" spans="3:5" x14ac:dyDescent="0.35">
      <c r="C1516" s="1" t="s">
        <v>3042</v>
      </c>
      <c r="D1516" s="1" t="s">
        <v>19</v>
      </c>
      <c r="E1516" s="250">
        <v>6440.0420000000004</v>
      </c>
    </row>
    <row r="1517" spans="3:5" x14ac:dyDescent="0.35">
      <c r="C1517" s="1" t="s">
        <v>3041</v>
      </c>
      <c r="D1517" s="1" t="s">
        <v>19</v>
      </c>
      <c r="E1517" s="250">
        <v>6440.0439999999999</v>
      </c>
    </row>
    <row r="1518" spans="3:5" x14ac:dyDescent="0.35">
      <c r="C1518" s="1" t="s">
        <v>3040</v>
      </c>
      <c r="D1518" s="1" t="s">
        <v>19</v>
      </c>
      <c r="E1518" s="250">
        <v>6440.0450000000001</v>
      </c>
    </row>
    <row r="1519" spans="3:5" x14ac:dyDescent="0.35">
      <c r="C1519" s="1" t="s">
        <v>3039</v>
      </c>
      <c r="D1519" s="1" t="s">
        <v>19</v>
      </c>
      <c r="E1519" s="250">
        <v>6440.05</v>
      </c>
    </row>
    <row r="1520" spans="3:5" x14ac:dyDescent="0.35">
      <c r="C1520" s="1" t="s">
        <v>3038</v>
      </c>
      <c r="D1520" s="1" t="s">
        <v>19</v>
      </c>
      <c r="E1520" s="250">
        <v>6440.0510000000004</v>
      </c>
    </row>
    <row r="1521" spans="3:5" x14ac:dyDescent="0.35">
      <c r="C1521" s="1" t="s">
        <v>3037</v>
      </c>
      <c r="D1521" s="1" t="s">
        <v>19</v>
      </c>
      <c r="E1521" s="250">
        <v>6440.0519999999997</v>
      </c>
    </row>
    <row r="1522" spans="3:5" x14ac:dyDescent="0.35">
      <c r="C1522" s="1" t="s">
        <v>3036</v>
      </c>
      <c r="D1522" s="1" t="s">
        <v>19</v>
      </c>
      <c r="E1522" s="250">
        <v>6440.0529999999999</v>
      </c>
    </row>
    <row r="1523" spans="3:5" x14ac:dyDescent="0.35">
      <c r="C1523" s="1" t="s">
        <v>3035</v>
      </c>
      <c r="D1523" s="1" t="s">
        <v>19</v>
      </c>
      <c r="E1523" s="250">
        <v>6440.0540000000001</v>
      </c>
    </row>
    <row r="1524" spans="3:5" x14ac:dyDescent="0.35">
      <c r="C1524" s="1" t="s">
        <v>3034</v>
      </c>
      <c r="D1524" s="1" t="s">
        <v>19</v>
      </c>
      <c r="E1524" s="250">
        <v>6440.0550000000003</v>
      </c>
    </row>
    <row r="1525" spans="3:5" x14ac:dyDescent="0.35">
      <c r="C1525" s="1" t="s">
        <v>3033</v>
      </c>
      <c r="D1525" s="1" t="s">
        <v>19</v>
      </c>
      <c r="E1525" s="250">
        <v>6440.0559999999996</v>
      </c>
    </row>
    <row r="1526" spans="3:5" x14ac:dyDescent="0.35">
      <c r="C1526" s="1" t="s">
        <v>3032</v>
      </c>
      <c r="D1526" s="1" t="s">
        <v>19</v>
      </c>
      <c r="E1526" s="250">
        <v>6440.0569999999998</v>
      </c>
    </row>
    <row r="1527" spans="3:5" x14ac:dyDescent="0.35">
      <c r="C1527" s="1" t="s">
        <v>3031</v>
      </c>
      <c r="D1527" s="1" t="s">
        <v>19</v>
      </c>
      <c r="E1527" s="250">
        <v>6440.058</v>
      </c>
    </row>
    <row r="1528" spans="3:5" x14ac:dyDescent="0.35">
      <c r="C1528" s="1" t="s">
        <v>3030</v>
      </c>
      <c r="D1528" s="1" t="s">
        <v>19</v>
      </c>
      <c r="E1528" s="250">
        <v>6440.0590000000002</v>
      </c>
    </row>
    <row r="1529" spans="3:5" x14ac:dyDescent="0.35">
      <c r="C1529" s="1" t="s">
        <v>3029</v>
      </c>
      <c r="D1529" s="1" t="s">
        <v>19</v>
      </c>
      <c r="E1529" s="250">
        <v>6440.0720000000001</v>
      </c>
    </row>
    <row r="1530" spans="3:5" x14ac:dyDescent="0.35">
      <c r="C1530" s="1" t="s">
        <v>3028</v>
      </c>
      <c r="D1530" s="1" t="s">
        <v>19</v>
      </c>
      <c r="E1530" s="250">
        <v>6450.0249999999996</v>
      </c>
    </row>
    <row r="1531" spans="3:5" x14ac:dyDescent="0.35">
      <c r="C1531" s="1" t="s">
        <v>2909</v>
      </c>
      <c r="D1531" s="1" t="s">
        <v>19</v>
      </c>
      <c r="E1531" s="250">
        <v>6450.03</v>
      </c>
    </row>
    <row r="1532" spans="3:5" x14ac:dyDescent="0.35">
      <c r="C1532" s="1" t="s">
        <v>3000</v>
      </c>
      <c r="D1532" s="1" t="s">
        <v>19</v>
      </c>
      <c r="E1532" s="250">
        <v>6450.0309999999999</v>
      </c>
    </row>
    <row r="1533" spans="3:5" x14ac:dyDescent="0.35">
      <c r="C1533" s="1" t="s">
        <v>2919</v>
      </c>
      <c r="D1533" s="1" t="s">
        <v>19</v>
      </c>
      <c r="E1533" s="250">
        <v>6450.0320000000002</v>
      </c>
    </row>
    <row r="1534" spans="3:5" x14ac:dyDescent="0.35">
      <c r="C1534" s="1" t="s">
        <v>3027</v>
      </c>
      <c r="D1534" s="1" t="s">
        <v>19</v>
      </c>
      <c r="E1534" s="250">
        <v>6450.0330000000004</v>
      </c>
    </row>
    <row r="1535" spans="3:5" x14ac:dyDescent="0.35">
      <c r="C1535" s="1" t="s">
        <v>3026</v>
      </c>
      <c r="D1535" s="1" t="s">
        <v>19</v>
      </c>
      <c r="E1535" s="250">
        <v>6450.0339999999997</v>
      </c>
    </row>
    <row r="1536" spans="3:5" x14ac:dyDescent="0.35">
      <c r="C1536" s="1" t="s">
        <v>3025</v>
      </c>
      <c r="D1536" s="1" t="s">
        <v>3023</v>
      </c>
      <c r="E1536" s="250">
        <v>6450.0349999999999</v>
      </c>
    </row>
    <row r="1537" spans="3:5" x14ac:dyDescent="0.35">
      <c r="C1537" s="1" t="s">
        <v>3024</v>
      </c>
      <c r="D1537" s="1" t="s">
        <v>3023</v>
      </c>
      <c r="E1537" s="250">
        <v>6450.0360000000001</v>
      </c>
    </row>
    <row r="1538" spans="3:5" x14ac:dyDescent="0.35">
      <c r="C1538" s="1" t="s">
        <v>3022</v>
      </c>
      <c r="D1538" s="1" t="s">
        <v>19</v>
      </c>
      <c r="E1538" s="250">
        <v>6450.0370000000003</v>
      </c>
    </row>
    <row r="1539" spans="3:5" x14ac:dyDescent="0.35">
      <c r="C1539" s="1" t="s">
        <v>2967</v>
      </c>
      <c r="D1539" s="1" t="s">
        <v>19</v>
      </c>
      <c r="E1539" s="250">
        <v>6450.0379999999996</v>
      </c>
    </row>
    <row r="1540" spans="3:5" x14ac:dyDescent="0.35">
      <c r="C1540" s="1" t="s">
        <v>2923</v>
      </c>
      <c r="D1540" s="1" t="s">
        <v>19</v>
      </c>
      <c r="E1540" s="250">
        <v>6450.0389999999998</v>
      </c>
    </row>
    <row r="1541" spans="3:5" x14ac:dyDescent="0.35">
      <c r="C1541" s="1" t="s">
        <v>2922</v>
      </c>
      <c r="D1541" s="1" t="s">
        <v>19</v>
      </c>
      <c r="E1541" s="250">
        <v>6450.04</v>
      </c>
    </row>
    <row r="1542" spans="3:5" x14ac:dyDescent="0.35">
      <c r="C1542" s="1" t="s">
        <v>3021</v>
      </c>
      <c r="D1542" s="1" t="s">
        <v>19</v>
      </c>
      <c r="E1542" s="250">
        <v>6450.05</v>
      </c>
    </row>
    <row r="1543" spans="3:5" x14ac:dyDescent="0.35">
      <c r="C1543" s="1" t="s">
        <v>3020</v>
      </c>
      <c r="D1543" s="1" t="s">
        <v>19</v>
      </c>
      <c r="E1543" s="250">
        <v>6450.0510000000004</v>
      </c>
    </row>
    <row r="1544" spans="3:5" x14ac:dyDescent="0.35">
      <c r="C1544" s="1" t="s">
        <v>3019</v>
      </c>
      <c r="D1544" s="1" t="s">
        <v>19</v>
      </c>
      <c r="E1544" s="250">
        <v>6450.0519999999997</v>
      </c>
    </row>
    <row r="1545" spans="3:5" x14ac:dyDescent="0.35">
      <c r="C1545" s="1" t="s">
        <v>3018</v>
      </c>
      <c r="D1545" s="1" t="s">
        <v>19</v>
      </c>
      <c r="E1545" s="250">
        <v>6450.0529999999999</v>
      </c>
    </row>
    <row r="1546" spans="3:5" x14ac:dyDescent="0.35">
      <c r="C1546" s="1" t="s">
        <v>3017</v>
      </c>
      <c r="D1546" s="1" t="s">
        <v>19</v>
      </c>
      <c r="E1546" s="250">
        <v>6450.0540000000001</v>
      </c>
    </row>
    <row r="1547" spans="3:5" x14ac:dyDescent="0.35">
      <c r="C1547" s="1" t="s">
        <v>3016</v>
      </c>
      <c r="D1547" s="1" t="s">
        <v>19</v>
      </c>
      <c r="E1547" s="250">
        <v>6450.0550000000003</v>
      </c>
    </row>
    <row r="1548" spans="3:5" x14ac:dyDescent="0.35">
      <c r="C1548" s="1" t="s">
        <v>3015</v>
      </c>
      <c r="D1548" s="1" t="s">
        <v>19</v>
      </c>
      <c r="E1548" s="250">
        <v>6450.0559999999996</v>
      </c>
    </row>
    <row r="1549" spans="3:5" x14ac:dyDescent="0.35">
      <c r="C1549" s="1" t="s">
        <v>3014</v>
      </c>
      <c r="D1549" s="1" t="s">
        <v>19</v>
      </c>
      <c r="E1549" s="250">
        <v>6450.1</v>
      </c>
    </row>
    <row r="1550" spans="3:5" x14ac:dyDescent="0.35">
      <c r="C1550" s="1" t="s">
        <v>3013</v>
      </c>
      <c r="D1550" s="1" t="s">
        <v>19</v>
      </c>
      <c r="E1550" s="250">
        <v>6450.1009999999997</v>
      </c>
    </row>
    <row r="1551" spans="3:5" x14ac:dyDescent="0.35">
      <c r="C1551" s="1" t="s">
        <v>3012</v>
      </c>
      <c r="D1551" s="1" t="s">
        <v>19</v>
      </c>
      <c r="E1551" s="250">
        <v>6450.1019999999999</v>
      </c>
    </row>
    <row r="1552" spans="3:5" x14ac:dyDescent="0.35">
      <c r="C1552" s="1" t="s">
        <v>3011</v>
      </c>
      <c r="D1552" s="1" t="s">
        <v>19</v>
      </c>
      <c r="E1552" s="250">
        <v>6450.1030000000001</v>
      </c>
    </row>
    <row r="1553" spans="3:5" x14ac:dyDescent="0.35">
      <c r="C1553" s="1" t="s">
        <v>3010</v>
      </c>
      <c r="D1553" s="1" t="s">
        <v>19</v>
      </c>
      <c r="E1553" s="250">
        <v>6450.1040000000003</v>
      </c>
    </row>
    <row r="1554" spans="3:5" x14ac:dyDescent="0.35">
      <c r="C1554" s="1" t="s">
        <v>3009</v>
      </c>
      <c r="D1554" s="1" t="s">
        <v>19</v>
      </c>
      <c r="E1554" s="250">
        <v>6450.1049999999996</v>
      </c>
    </row>
    <row r="1555" spans="3:5" x14ac:dyDescent="0.35">
      <c r="C1555" s="1" t="s">
        <v>3008</v>
      </c>
      <c r="D1555" s="1" t="s">
        <v>19</v>
      </c>
      <c r="E1555" s="250">
        <v>6450.1059999999998</v>
      </c>
    </row>
    <row r="1556" spans="3:5" x14ac:dyDescent="0.35">
      <c r="C1556" s="1" t="s">
        <v>3007</v>
      </c>
      <c r="D1556" s="1" t="s">
        <v>19</v>
      </c>
      <c r="E1556" s="250">
        <v>6450.107</v>
      </c>
    </row>
    <row r="1557" spans="3:5" x14ac:dyDescent="0.35">
      <c r="C1557" s="1" t="s">
        <v>3006</v>
      </c>
      <c r="D1557" s="1" t="s">
        <v>19</v>
      </c>
      <c r="E1557" s="250">
        <v>6450.1080000000002</v>
      </c>
    </row>
    <row r="1558" spans="3:5" x14ac:dyDescent="0.35">
      <c r="C1558" s="1" t="s">
        <v>3005</v>
      </c>
      <c r="D1558" s="1" t="s">
        <v>19</v>
      </c>
      <c r="E1558" s="250">
        <v>6450.1090000000004</v>
      </c>
    </row>
    <row r="1559" spans="3:5" x14ac:dyDescent="0.35">
      <c r="C1559" s="1" t="s">
        <v>3004</v>
      </c>
      <c r="D1559" s="1" t="s">
        <v>19</v>
      </c>
      <c r="E1559" s="250">
        <v>6450.15</v>
      </c>
    </row>
    <row r="1560" spans="3:5" x14ac:dyDescent="0.35">
      <c r="C1560" s="1" t="s">
        <v>3003</v>
      </c>
      <c r="D1560" s="1" t="s">
        <v>19</v>
      </c>
      <c r="E1560" s="250">
        <v>6450.1509999999998</v>
      </c>
    </row>
    <row r="1561" spans="3:5" x14ac:dyDescent="0.35">
      <c r="C1561" s="1" t="s">
        <v>3002</v>
      </c>
      <c r="D1561" s="1" t="s">
        <v>19</v>
      </c>
      <c r="E1561" s="250">
        <v>6450.152</v>
      </c>
    </row>
    <row r="1562" spans="3:5" x14ac:dyDescent="0.35">
      <c r="C1562" s="1" t="s">
        <v>3001</v>
      </c>
      <c r="D1562" s="1" t="s">
        <v>19</v>
      </c>
      <c r="E1562" s="250">
        <v>6450.1530000000002</v>
      </c>
    </row>
    <row r="1563" spans="3:5" x14ac:dyDescent="0.35">
      <c r="C1563" s="1" t="s">
        <v>3000</v>
      </c>
      <c r="D1563" s="1" t="s">
        <v>19</v>
      </c>
      <c r="E1563" s="250">
        <v>6450.1540000000005</v>
      </c>
    </row>
    <row r="1564" spans="3:5" x14ac:dyDescent="0.35">
      <c r="C1564" s="1" t="s">
        <v>2999</v>
      </c>
      <c r="D1564" s="1" t="s">
        <v>19</v>
      </c>
      <c r="E1564" s="250">
        <v>6450.1549999999997</v>
      </c>
    </row>
    <row r="1565" spans="3:5" x14ac:dyDescent="0.35">
      <c r="C1565" s="1" t="s">
        <v>2998</v>
      </c>
      <c r="D1565" s="1" t="s">
        <v>19</v>
      </c>
      <c r="E1565" s="250">
        <v>6450.1559999999999</v>
      </c>
    </row>
    <row r="1566" spans="3:5" x14ac:dyDescent="0.35">
      <c r="C1566" s="1" t="s">
        <v>2997</v>
      </c>
      <c r="D1566" s="1" t="s">
        <v>19</v>
      </c>
      <c r="E1566" s="250">
        <v>6450.1570000000002</v>
      </c>
    </row>
    <row r="1567" spans="3:5" x14ac:dyDescent="0.35">
      <c r="C1567" s="1" t="s">
        <v>2925</v>
      </c>
      <c r="D1567" s="1" t="s">
        <v>19</v>
      </c>
      <c r="E1567" s="250">
        <v>6450.1580000000004</v>
      </c>
    </row>
    <row r="1568" spans="3:5" x14ac:dyDescent="0.35">
      <c r="C1568" s="1" t="s">
        <v>2996</v>
      </c>
      <c r="D1568" s="1" t="s">
        <v>19</v>
      </c>
      <c r="E1568" s="250">
        <v>6450.1589999999997</v>
      </c>
    </row>
    <row r="1569" spans="3:5" x14ac:dyDescent="0.35">
      <c r="C1569" s="1" t="s">
        <v>2995</v>
      </c>
      <c r="D1569" s="1" t="s">
        <v>19</v>
      </c>
      <c r="E1569" s="250">
        <v>6450.16</v>
      </c>
    </row>
    <row r="1570" spans="3:5" x14ac:dyDescent="0.35">
      <c r="C1570" s="1" t="s">
        <v>2994</v>
      </c>
      <c r="D1570" s="1" t="s">
        <v>19</v>
      </c>
      <c r="E1570" s="250">
        <v>6450.1610000000001</v>
      </c>
    </row>
    <row r="1571" spans="3:5" x14ac:dyDescent="0.35">
      <c r="C1571" s="1" t="s">
        <v>2924</v>
      </c>
      <c r="D1571" s="1" t="s">
        <v>19</v>
      </c>
      <c r="E1571" s="250">
        <v>6450.1620000000003</v>
      </c>
    </row>
    <row r="1572" spans="3:5" x14ac:dyDescent="0.35">
      <c r="C1572" s="1" t="s">
        <v>2993</v>
      </c>
      <c r="D1572" s="1" t="s">
        <v>19</v>
      </c>
      <c r="E1572" s="250">
        <v>6450.1629999999996</v>
      </c>
    </row>
    <row r="1573" spans="3:5" x14ac:dyDescent="0.35">
      <c r="C1573" s="1" t="s">
        <v>2992</v>
      </c>
      <c r="D1573" s="1" t="s">
        <v>19</v>
      </c>
      <c r="E1573" s="250">
        <v>6450.1639999999998</v>
      </c>
    </row>
    <row r="1574" spans="3:5" x14ac:dyDescent="0.35">
      <c r="C1574" s="1" t="s">
        <v>2991</v>
      </c>
      <c r="D1574" s="1" t="s">
        <v>19</v>
      </c>
      <c r="E1574" s="250">
        <v>6450.165</v>
      </c>
    </row>
    <row r="1575" spans="3:5" x14ac:dyDescent="0.35">
      <c r="C1575" s="1" t="s">
        <v>2990</v>
      </c>
      <c r="D1575" s="1" t="s">
        <v>19</v>
      </c>
      <c r="E1575" s="250">
        <v>6450.1660000000002</v>
      </c>
    </row>
    <row r="1576" spans="3:5" x14ac:dyDescent="0.35">
      <c r="C1576" s="1" t="s">
        <v>2989</v>
      </c>
      <c r="D1576" s="1" t="s">
        <v>19</v>
      </c>
      <c r="E1576" s="250">
        <v>6450.1670000000004</v>
      </c>
    </row>
    <row r="1577" spans="3:5" x14ac:dyDescent="0.35">
      <c r="C1577" s="1" t="s">
        <v>2988</v>
      </c>
      <c r="D1577" s="1" t="s">
        <v>19</v>
      </c>
      <c r="E1577" s="250">
        <v>6450.1679999999997</v>
      </c>
    </row>
    <row r="1578" spans="3:5" x14ac:dyDescent="0.35">
      <c r="C1578" s="1" t="s">
        <v>2987</v>
      </c>
      <c r="D1578" s="1" t="s">
        <v>19</v>
      </c>
      <c r="E1578" s="250">
        <v>6450.1689999999999</v>
      </c>
    </row>
    <row r="1579" spans="3:5" x14ac:dyDescent="0.35">
      <c r="C1579" s="1" t="s">
        <v>2986</v>
      </c>
      <c r="D1579" s="1" t="s">
        <v>19</v>
      </c>
      <c r="E1579" s="250">
        <v>6450.17</v>
      </c>
    </row>
    <row r="1580" spans="3:5" x14ac:dyDescent="0.35">
      <c r="C1580" s="1" t="s">
        <v>2985</v>
      </c>
      <c r="D1580" s="1" t="s">
        <v>19</v>
      </c>
      <c r="E1580" s="250">
        <v>6450.1710000000003</v>
      </c>
    </row>
    <row r="1581" spans="3:5" x14ac:dyDescent="0.35">
      <c r="C1581" s="1" t="s">
        <v>2984</v>
      </c>
      <c r="D1581" s="1" t="s">
        <v>19</v>
      </c>
      <c r="E1581" s="250">
        <v>6450.1719999999996</v>
      </c>
    </row>
    <row r="1582" spans="3:5" x14ac:dyDescent="0.35">
      <c r="C1582" s="1" t="s">
        <v>2983</v>
      </c>
      <c r="D1582" s="1" t="s">
        <v>19</v>
      </c>
      <c r="E1582" s="250">
        <v>6450.1729999999998</v>
      </c>
    </row>
    <row r="1583" spans="3:5" x14ac:dyDescent="0.35">
      <c r="C1583" s="1" t="s">
        <v>2982</v>
      </c>
      <c r="D1583" s="1" t="s">
        <v>19</v>
      </c>
      <c r="E1583" s="250">
        <v>6450.174</v>
      </c>
    </row>
    <row r="1584" spans="3:5" x14ac:dyDescent="0.35">
      <c r="C1584" s="1" t="s">
        <v>2981</v>
      </c>
      <c r="D1584" s="1" t="s">
        <v>19</v>
      </c>
      <c r="E1584" s="250">
        <v>6450.1750000000002</v>
      </c>
    </row>
    <row r="1585" spans="3:5" x14ac:dyDescent="0.35">
      <c r="C1585" s="1" t="s">
        <v>2980</v>
      </c>
      <c r="D1585" s="1" t="s">
        <v>19</v>
      </c>
      <c r="E1585" s="250">
        <v>6450.1760000000004</v>
      </c>
    </row>
    <row r="1586" spans="3:5" x14ac:dyDescent="0.35">
      <c r="C1586" s="1" t="s">
        <v>2979</v>
      </c>
      <c r="D1586" s="1" t="s">
        <v>19</v>
      </c>
      <c r="E1586" s="250">
        <v>6450.1769999999997</v>
      </c>
    </row>
    <row r="1587" spans="3:5" x14ac:dyDescent="0.35">
      <c r="C1587" s="1" t="s">
        <v>2978</v>
      </c>
      <c r="D1587" s="1" t="s">
        <v>19</v>
      </c>
      <c r="E1587" s="250">
        <v>6450.1779999999999</v>
      </c>
    </row>
    <row r="1588" spans="3:5" x14ac:dyDescent="0.35">
      <c r="C1588" s="1" t="s">
        <v>2977</v>
      </c>
      <c r="D1588" s="1" t="s">
        <v>19</v>
      </c>
      <c r="E1588" s="250">
        <v>6450.1790000000001</v>
      </c>
    </row>
    <row r="1589" spans="3:5" x14ac:dyDescent="0.35">
      <c r="C1589" s="1" t="s">
        <v>2976</v>
      </c>
      <c r="D1589" s="1" t="s">
        <v>19</v>
      </c>
      <c r="E1589" s="250">
        <v>6450.18</v>
      </c>
    </row>
    <row r="1590" spans="3:5" x14ac:dyDescent="0.35">
      <c r="C1590" s="1" t="s">
        <v>2975</v>
      </c>
      <c r="D1590" s="1" t="s">
        <v>19</v>
      </c>
      <c r="E1590" s="250">
        <v>6450.1809999999996</v>
      </c>
    </row>
    <row r="1591" spans="3:5" x14ac:dyDescent="0.35">
      <c r="C1591" s="1" t="s">
        <v>2974</v>
      </c>
      <c r="D1591" s="1" t="s">
        <v>19</v>
      </c>
      <c r="E1591" s="250">
        <v>6450.1819999999998</v>
      </c>
    </row>
    <row r="1592" spans="3:5" x14ac:dyDescent="0.35">
      <c r="C1592" s="1" t="s">
        <v>2973</v>
      </c>
      <c r="D1592" s="1" t="s">
        <v>19</v>
      </c>
      <c r="E1592" s="250">
        <v>6450.183</v>
      </c>
    </row>
    <row r="1593" spans="3:5" x14ac:dyDescent="0.35">
      <c r="C1593" s="1" t="s">
        <v>2972</v>
      </c>
      <c r="D1593" s="1" t="s">
        <v>19</v>
      </c>
      <c r="E1593" s="250">
        <v>6450.1840000000002</v>
      </c>
    </row>
    <row r="1594" spans="3:5" x14ac:dyDescent="0.35">
      <c r="C1594" s="1" t="s">
        <v>2971</v>
      </c>
      <c r="D1594" s="1" t="s">
        <v>19</v>
      </c>
      <c r="E1594" s="250">
        <v>6450.1850000000004</v>
      </c>
    </row>
    <row r="1595" spans="3:5" x14ac:dyDescent="0.35">
      <c r="C1595" s="1" t="s">
        <v>2919</v>
      </c>
      <c r="D1595" s="1" t="s">
        <v>19</v>
      </c>
      <c r="E1595" s="250">
        <v>6450.1859999999997</v>
      </c>
    </row>
    <row r="1596" spans="3:5" x14ac:dyDescent="0.35">
      <c r="C1596" s="1" t="s">
        <v>2970</v>
      </c>
      <c r="D1596" s="1" t="s">
        <v>19</v>
      </c>
      <c r="E1596" s="250">
        <v>6450.1869999999999</v>
      </c>
    </row>
    <row r="1597" spans="3:5" x14ac:dyDescent="0.35">
      <c r="C1597" s="1" t="s">
        <v>2969</v>
      </c>
      <c r="D1597" s="1" t="s">
        <v>19</v>
      </c>
      <c r="E1597" s="250">
        <v>6450.1880000000001</v>
      </c>
    </row>
    <row r="1598" spans="3:5" x14ac:dyDescent="0.35">
      <c r="C1598" s="1" t="s">
        <v>2968</v>
      </c>
      <c r="D1598" s="1" t="s">
        <v>19</v>
      </c>
      <c r="E1598" s="250">
        <v>6450.1890000000003</v>
      </c>
    </row>
    <row r="1599" spans="3:5" x14ac:dyDescent="0.35">
      <c r="C1599" s="1" t="s">
        <v>2967</v>
      </c>
      <c r="D1599" s="1" t="s">
        <v>19</v>
      </c>
      <c r="E1599" s="250">
        <v>6450.19</v>
      </c>
    </row>
    <row r="1600" spans="3:5" x14ac:dyDescent="0.35">
      <c r="C1600" s="1" t="s">
        <v>2966</v>
      </c>
      <c r="D1600" s="1" t="s">
        <v>19</v>
      </c>
      <c r="E1600" s="250">
        <v>6450.1909999999998</v>
      </c>
    </row>
    <row r="1601" spans="3:5" x14ac:dyDescent="0.35">
      <c r="C1601" s="1" t="s">
        <v>2965</v>
      </c>
      <c r="D1601" s="1" t="s">
        <v>19</v>
      </c>
      <c r="E1601" s="250">
        <v>6450.192</v>
      </c>
    </row>
    <row r="1602" spans="3:5" x14ac:dyDescent="0.35">
      <c r="C1602" s="1" t="s">
        <v>2964</v>
      </c>
      <c r="D1602" s="1" t="s">
        <v>19</v>
      </c>
      <c r="E1602" s="250">
        <v>6450.1930000000002</v>
      </c>
    </row>
    <row r="1603" spans="3:5" x14ac:dyDescent="0.35">
      <c r="C1603" s="1" t="s">
        <v>2963</v>
      </c>
      <c r="D1603" s="1" t="s">
        <v>19</v>
      </c>
      <c r="E1603" s="250">
        <v>6450.1940000000004</v>
      </c>
    </row>
    <row r="1604" spans="3:5" x14ac:dyDescent="0.35">
      <c r="C1604" s="1" t="s">
        <v>2962</v>
      </c>
      <c r="D1604" s="1" t="s">
        <v>19</v>
      </c>
      <c r="E1604" s="250">
        <v>6450.1949999999997</v>
      </c>
    </row>
    <row r="1605" spans="3:5" x14ac:dyDescent="0.35">
      <c r="C1605" s="1" t="s">
        <v>2961</v>
      </c>
      <c r="D1605" s="1" t="s">
        <v>19</v>
      </c>
      <c r="E1605" s="250">
        <v>6450.1959999999999</v>
      </c>
    </row>
    <row r="1606" spans="3:5" x14ac:dyDescent="0.35">
      <c r="C1606" s="1" t="s">
        <v>2960</v>
      </c>
      <c r="D1606" s="1" t="s">
        <v>19</v>
      </c>
      <c r="E1606" s="250">
        <v>6450.1970000000001</v>
      </c>
    </row>
    <row r="1607" spans="3:5" x14ac:dyDescent="0.35">
      <c r="C1607" s="1" t="s">
        <v>2959</v>
      </c>
      <c r="D1607" s="1" t="s">
        <v>19</v>
      </c>
      <c r="E1607" s="250">
        <v>6450.1980000000003</v>
      </c>
    </row>
    <row r="1608" spans="3:5" x14ac:dyDescent="0.35">
      <c r="C1608" s="1" t="s">
        <v>2958</v>
      </c>
      <c r="D1608" s="1" t="s">
        <v>19</v>
      </c>
      <c r="E1608" s="250">
        <v>6450.1989999999996</v>
      </c>
    </row>
    <row r="1609" spans="3:5" x14ac:dyDescent="0.35">
      <c r="C1609" s="1" t="s">
        <v>2957</v>
      </c>
      <c r="D1609" s="1" t="s">
        <v>19</v>
      </c>
      <c r="E1609" s="250">
        <v>6450.2</v>
      </c>
    </row>
    <row r="1610" spans="3:5" x14ac:dyDescent="0.35">
      <c r="C1610" s="1" t="s">
        <v>2956</v>
      </c>
      <c r="D1610" s="1" t="s">
        <v>19</v>
      </c>
      <c r="E1610" s="250">
        <v>6450.201</v>
      </c>
    </row>
    <row r="1611" spans="3:5" x14ac:dyDescent="0.35">
      <c r="C1611" s="1" t="s">
        <v>2955</v>
      </c>
      <c r="D1611" s="1" t="s">
        <v>19</v>
      </c>
      <c r="E1611" s="250">
        <v>6450.2020000000002</v>
      </c>
    </row>
    <row r="1612" spans="3:5" x14ac:dyDescent="0.35">
      <c r="C1612" s="1" t="s">
        <v>2954</v>
      </c>
      <c r="D1612" s="1" t="s">
        <v>19</v>
      </c>
      <c r="E1612" s="250">
        <v>6450.2030000000004</v>
      </c>
    </row>
    <row r="1613" spans="3:5" x14ac:dyDescent="0.35">
      <c r="C1613" s="1" t="s">
        <v>2953</v>
      </c>
      <c r="D1613" s="1" t="s">
        <v>19</v>
      </c>
      <c r="E1613" s="250">
        <v>6450.2039999999997</v>
      </c>
    </row>
    <row r="1614" spans="3:5" x14ac:dyDescent="0.35">
      <c r="C1614" s="1" t="s">
        <v>2952</v>
      </c>
      <c r="D1614" s="1" t="s">
        <v>19</v>
      </c>
      <c r="E1614" s="250">
        <v>6450.2049999999999</v>
      </c>
    </row>
    <row r="1615" spans="3:5" x14ac:dyDescent="0.35">
      <c r="C1615" s="1" t="s">
        <v>2951</v>
      </c>
      <c r="D1615" s="1" t="s">
        <v>19</v>
      </c>
      <c r="E1615" s="250">
        <v>6450.2060000000001</v>
      </c>
    </row>
    <row r="1616" spans="3:5" x14ac:dyDescent="0.35">
      <c r="C1616" s="1" t="s">
        <v>2950</v>
      </c>
      <c r="D1616" s="1" t="s">
        <v>19</v>
      </c>
      <c r="E1616" s="250">
        <v>6450.2070000000003</v>
      </c>
    </row>
    <row r="1617" spans="3:5" x14ac:dyDescent="0.35">
      <c r="C1617" s="1" t="s">
        <v>2949</v>
      </c>
      <c r="D1617" s="1" t="s">
        <v>19</v>
      </c>
      <c r="E1617" s="250">
        <v>6450.2079999999996</v>
      </c>
    </row>
    <row r="1618" spans="3:5" x14ac:dyDescent="0.35">
      <c r="C1618" s="1" t="s">
        <v>2948</v>
      </c>
      <c r="D1618" s="1" t="s">
        <v>19</v>
      </c>
      <c r="E1618" s="250">
        <v>6450.2089999999998</v>
      </c>
    </row>
    <row r="1619" spans="3:5" x14ac:dyDescent="0.35">
      <c r="C1619" s="1" t="s">
        <v>2947</v>
      </c>
      <c r="D1619" s="1" t="s">
        <v>19</v>
      </c>
      <c r="E1619" s="250">
        <v>6450.21</v>
      </c>
    </row>
    <row r="1620" spans="3:5" x14ac:dyDescent="0.35">
      <c r="C1620" s="1" t="s">
        <v>2946</v>
      </c>
      <c r="D1620" s="1" t="s">
        <v>19</v>
      </c>
      <c r="E1620" s="250">
        <v>6450.2110000000002</v>
      </c>
    </row>
    <row r="1621" spans="3:5" x14ac:dyDescent="0.35">
      <c r="C1621" s="1" t="s">
        <v>2945</v>
      </c>
      <c r="D1621" s="1" t="s">
        <v>19</v>
      </c>
      <c r="E1621" s="250">
        <v>6450.2749999999996</v>
      </c>
    </row>
    <row r="1622" spans="3:5" x14ac:dyDescent="0.35">
      <c r="C1622" s="1" t="s">
        <v>2944</v>
      </c>
      <c r="D1622" s="1" t="s">
        <v>19</v>
      </c>
      <c r="E1622" s="250">
        <v>6450.2759999999998</v>
      </c>
    </row>
    <row r="1623" spans="3:5" x14ac:dyDescent="0.35">
      <c r="C1623" s="1" t="s">
        <v>2943</v>
      </c>
      <c r="D1623" s="1" t="s">
        <v>19</v>
      </c>
      <c r="E1623" s="250">
        <v>6450.277</v>
      </c>
    </row>
    <row r="1624" spans="3:5" x14ac:dyDescent="0.35">
      <c r="C1624" s="1" t="s">
        <v>2942</v>
      </c>
      <c r="D1624" s="1" t="s">
        <v>19</v>
      </c>
      <c r="E1624" s="250">
        <v>6450.2780000000002</v>
      </c>
    </row>
    <row r="1625" spans="3:5" x14ac:dyDescent="0.35">
      <c r="C1625" s="1" t="s">
        <v>2941</v>
      </c>
      <c r="D1625" s="1" t="s">
        <v>19</v>
      </c>
      <c r="E1625" s="250">
        <v>6450.2790000000005</v>
      </c>
    </row>
    <row r="1626" spans="3:5" x14ac:dyDescent="0.35">
      <c r="C1626" s="1" t="s">
        <v>2940</v>
      </c>
      <c r="D1626" s="1" t="s">
        <v>19</v>
      </c>
      <c r="E1626" s="250">
        <v>6450.28</v>
      </c>
    </row>
    <row r="1627" spans="3:5" x14ac:dyDescent="0.35">
      <c r="C1627" s="1" t="s">
        <v>2939</v>
      </c>
      <c r="D1627" s="1" t="s">
        <v>19</v>
      </c>
      <c r="E1627" s="250">
        <v>6450.2809999999999</v>
      </c>
    </row>
    <row r="1628" spans="3:5" x14ac:dyDescent="0.35">
      <c r="C1628" s="1" t="s">
        <v>2938</v>
      </c>
      <c r="D1628" s="1" t="s">
        <v>19</v>
      </c>
      <c r="E1628" s="250">
        <v>6450.2820000000002</v>
      </c>
    </row>
    <row r="1629" spans="3:5" x14ac:dyDescent="0.35">
      <c r="C1629" s="1" t="s">
        <v>2937</v>
      </c>
      <c r="D1629" s="1" t="s">
        <v>19</v>
      </c>
      <c r="E1629" s="250">
        <v>6450.2830000000004</v>
      </c>
    </row>
    <row r="1630" spans="3:5" x14ac:dyDescent="0.35">
      <c r="C1630" s="1" t="s">
        <v>2936</v>
      </c>
      <c r="D1630" s="1" t="s">
        <v>19</v>
      </c>
      <c r="E1630" s="250">
        <v>6450.2839999999997</v>
      </c>
    </row>
    <row r="1631" spans="3:5" x14ac:dyDescent="0.35">
      <c r="C1631" s="1" t="s">
        <v>2935</v>
      </c>
      <c r="D1631" s="1" t="s">
        <v>19</v>
      </c>
      <c r="E1631" s="250">
        <v>6450.2849999999999</v>
      </c>
    </row>
    <row r="1632" spans="3:5" x14ac:dyDescent="0.35">
      <c r="C1632" s="1" t="s">
        <v>2934</v>
      </c>
      <c r="D1632" s="1" t="s">
        <v>19</v>
      </c>
      <c r="E1632" s="250">
        <v>6450.2860000000001</v>
      </c>
    </row>
    <row r="1633" spans="3:5" x14ac:dyDescent="0.35">
      <c r="C1633" s="1" t="s">
        <v>2933</v>
      </c>
      <c r="D1633" s="1" t="s">
        <v>19</v>
      </c>
      <c r="E1633" s="250">
        <v>6450.2870000000003</v>
      </c>
    </row>
    <row r="1634" spans="3:5" x14ac:dyDescent="0.35">
      <c r="C1634" s="1" t="s">
        <v>2932</v>
      </c>
      <c r="D1634" s="1" t="s">
        <v>19</v>
      </c>
      <c r="E1634" s="250">
        <v>6450.2879999999996</v>
      </c>
    </row>
    <row r="1635" spans="3:5" x14ac:dyDescent="0.35">
      <c r="C1635" s="1" t="s">
        <v>2931</v>
      </c>
      <c r="D1635" s="1" t="s">
        <v>19</v>
      </c>
      <c r="E1635" s="250">
        <v>6450.2889999999998</v>
      </c>
    </row>
    <row r="1636" spans="3:5" x14ac:dyDescent="0.35">
      <c r="C1636" s="1" t="s">
        <v>2930</v>
      </c>
      <c r="D1636" s="1" t="s">
        <v>19</v>
      </c>
      <c r="E1636" s="250">
        <v>6450.29</v>
      </c>
    </row>
    <row r="1637" spans="3:5" x14ac:dyDescent="0.35">
      <c r="C1637" s="1" t="s">
        <v>2929</v>
      </c>
      <c r="D1637" s="1" t="s">
        <v>18</v>
      </c>
      <c r="E1637" s="250">
        <v>6450.2910000000002</v>
      </c>
    </row>
    <row r="1638" spans="3:5" x14ac:dyDescent="0.35">
      <c r="C1638" s="1" t="s">
        <v>2928</v>
      </c>
      <c r="D1638" s="1" t="s">
        <v>18</v>
      </c>
      <c r="E1638" s="250">
        <v>6450.2920000000004</v>
      </c>
    </row>
    <row r="1639" spans="3:5" x14ac:dyDescent="0.35">
      <c r="C1639" s="1" t="s">
        <v>2927</v>
      </c>
      <c r="D1639" s="1" t="s">
        <v>19</v>
      </c>
      <c r="E1639" s="250">
        <v>6450.2929999999997</v>
      </c>
    </row>
    <row r="1640" spans="3:5" x14ac:dyDescent="0.35">
      <c r="C1640" s="1" t="s">
        <v>2926</v>
      </c>
      <c r="D1640" s="1" t="s">
        <v>18</v>
      </c>
      <c r="E1640" s="250">
        <v>6450.2939999999999</v>
      </c>
    </row>
    <row r="1641" spans="3:5" x14ac:dyDescent="0.35">
      <c r="C1641" s="1" t="s">
        <v>2925</v>
      </c>
      <c r="D1641" s="1" t="s">
        <v>19</v>
      </c>
      <c r="E1641" s="250">
        <v>6450.4</v>
      </c>
    </row>
    <row r="1642" spans="3:5" x14ac:dyDescent="0.35">
      <c r="C1642" s="1" t="s">
        <v>2924</v>
      </c>
      <c r="D1642" s="1" t="s">
        <v>19</v>
      </c>
      <c r="E1642" s="250">
        <v>6450.4009999999998</v>
      </c>
    </row>
    <row r="1643" spans="3:5" x14ac:dyDescent="0.35">
      <c r="C1643" s="1" t="s">
        <v>2923</v>
      </c>
      <c r="D1643" s="1" t="s">
        <v>19</v>
      </c>
      <c r="E1643" s="250">
        <v>6450.402</v>
      </c>
    </row>
    <row r="1644" spans="3:5" x14ac:dyDescent="0.35">
      <c r="C1644" s="1" t="s">
        <v>2922</v>
      </c>
      <c r="D1644" s="1" t="s">
        <v>19</v>
      </c>
      <c r="E1644" s="250">
        <v>6450.4030000000002</v>
      </c>
    </row>
    <row r="1645" spans="3:5" x14ac:dyDescent="0.35">
      <c r="C1645" s="1" t="s">
        <v>2921</v>
      </c>
      <c r="D1645" s="1" t="s">
        <v>19</v>
      </c>
      <c r="E1645" s="250">
        <v>6450.4040000000005</v>
      </c>
    </row>
    <row r="1646" spans="3:5" x14ac:dyDescent="0.35">
      <c r="C1646" s="1" t="s">
        <v>2920</v>
      </c>
      <c r="D1646" s="1" t="s">
        <v>19</v>
      </c>
      <c r="E1646" s="250">
        <v>6450.4049999999997</v>
      </c>
    </row>
    <row r="1647" spans="3:5" x14ac:dyDescent="0.35">
      <c r="C1647" s="1" t="s">
        <v>2919</v>
      </c>
      <c r="D1647" s="1" t="s">
        <v>19</v>
      </c>
      <c r="E1647" s="250">
        <v>6450.4080000000004</v>
      </c>
    </row>
    <row r="1648" spans="3:5" x14ac:dyDescent="0.35">
      <c r="C1648" s="1" t="s">
        <v>2918</v>
      </c>
      <c r="D1648" s="1" t="s">
        <v>19</v>
      </c>
      <c r="E1648" s="250">
        <v>6450.4110000000001</v>
      </c>
    </row>
    <row r="1649" spans="3:5" x14ac:dyDescent="0.35">
      <c r="C1649" s="1" t="s">
        <v>2917</v>
      </c>
      <c r="D1649" s="1" t="s">
        <v>19</v>
      </c>
      <c r="E1649" s="250">
        <v>6450.4120000000003</v>
      </c>
    </row>
    <row r="1650" spans="3:5" x14ac:dyDescent="0.35">
      <c r="C1650" s="1" t="s">
        <v>2916</v>
      </c>
      <c r="D1650" s="1" t="s">
        <v>19</v>
      </c>
      <c r="E1650" s="250">
        <v>6450.4129999999996</v>
      </c>
    </row>
    <row r="1651" spans="3:5" x14ac:dyDescent="0.35">
      <c r="C1651" s="1" t="s">
        <v>2915</v>
      </c>
      <c r="D1651" s="1" t="s">
        <v>19</v>
      </c>
      <c r="E1651" s="250">
        <v>6450.4139999999998</v>
      </c>
    </row>
    <row r="1652" spans="3:5" x14ac:dyDescent="0.35">
      <c r="C1652" s="1" t="s">
        <v>2914</v>
      </c>
      <c r="D1652" s="1" t="s">
        <v>19</v>
      </c>
      <c r="E1652" s="250">
        <v>6450.415</v>
      </c>
    </row>
    <row r="1653" spans="3:5" x14ac:dyDescent="0.35">
      <c r="C1653" s="1" t="s">
        <v>2913</v>
      </c>
      <c r="D1653" s="1" t="s">
        <v>19</v>
      </c>
      <c r="E1653" s="250">
        <v>6450.4160000000002</v>
      </c>
    </row>
    <row r="1654" spans="3:5" x14ac:dyDescent="0.35">
      <c r="C1654" s="1" t="s">
        <v>2912</v>
      </c>
      <c r="D1654" s="1" t="s">
        <v>19</v>
      </c>
      <c r="E1654" s="250">
        <v>6450.4170000000004</v>
      </c>
    </row>
    <row r="1655" spans="3:5" x14ac:dyDescent="0.35">
      <c r="C1655" s="1" t="s">
        <v>2911</v>
      </c>
      <c r="D1655" s="1" t="s">
        <v>19</v>
      </c>
      <c r="E1655" s="250">
        <v>6450.4179999999997</v>
      </c>
    </row>
    <row r="1656" spans="3:5" x14ac:dyDescent="0.35">
      <c r="C1656" s="1" t="s">
        <v>2910</v>
      </c>
      <c r="D1656" s="1" t="s">
        <v>19</v>
      </c>
      <c r="E1656" s="250">
        <v>6450.4409999999998</v>
      </c>
    </row>
    <row r="1657" spans="3:5" x14ac:dyDescent="0.35">
      <c r="C1657" s="1" t="s">
        <v>2909</v>
      </c>
      <c r="D1657" s="1" t="s">
        <v>19</v>
      </c>
      <c r="E1657" s="250">
        <v>6450.4440000000004</v>
      </c>
    </row>
    <row r="1658" spans="3:5" x14ac:dyDescent="0.35">
      <c r="C1658" s="1" t="s">
        <v>2908</v>
      </c>
      <c r="D1658" s="1" t="s">
        <v>2329</v>
      </c>
      <c r="E1658" s="250">
        <v>6450.57</v>
      </c>
    </row>
    <row r="1659" spans="3:5" x14ac:dyDescent="0.35">
      <c r="C1659" s="1" t="s">
        <v>2907</v>
      </c>
      <c r="D1659" s="1" t="s">
        <v>19</v>
      </c>
      <c r="E1659" s="250">
        <v>6450.5709999999999</v>
      </c>
    </row>
    <row r="1660" spans="3:5" x14ac:dyDescent="0.35">
      <c r="C1660" s="1" t="s">
        <v>2906</v>
      </c>
      <c r="D1660" s="1" t="s">
        <v>19</v>
      </c>
      <c r="E1660" s="250">
        <v>6450.5720000000001</v>
      </c>
    </row>
    <row r="1661" spans="3:5" x14ac:dyDescent="0.35">
      <c r="C1661" s="1" t="s">
        <v>2905</v>
      </c>
      <c r="D1661" s="1" t="s">
        <v>19</v>
      </c>
      <c r="E1661" s="250">
        <v>6450.5730000000003</v>
      </c>
    </row>
    <row r="1662" spans="3:5" x14ac:dyDescent="0.35">
      <c r="C1662" s="1" t="s">
        <v>2904</v>
      </c>
      <c r="D1662" s="1" t="s">
        <v>19</v>
      </c>
      <c r="E1662" s="250">
        <v>6450.5739999999996</v>
      </c>
    </row>
    <row r="1663" spans="3:5" x14ac:dyDescent="0.35">
      <c r="C1663" s="1" t="s">
        <v>2903</v>
      </c>
      <c r="D1663" s="1" t="s">
        <v>2329</v>
      </c>
      <c r="E1663" s="250">
        <v>6450.6049999999996</v>
      </c>
    </row>
    <row r="1664" spans="3:5" x14ac:dyDescent="0.35">
      <c r="C1664" s="1" t="s">
        <v>2902</v>
      </c>
      <c r="D1664" s="1" t="s">
        <v>2329</v>
      </c>
      <c r="E1664" s="250">
        <v>6450.6059999999998</v>
      </c>
    </row>
    <row r="1665" spans="3:5" x14ac:dyDescent="0.35">
      <c r="C1665" s="1" t="s">
        <v>2901</v>
      </c>
      <c r="D1665" s="1" t="s">
        <v>2329</v>
      </c>
      <c r="E1665" s="250">
        <v>6450.607</v>
      </c>
    </row>
    <row r="1666" spans="3:5" x14ac:dyDescent="0.35">
      <c r="C1666" s="1" t="s">
        <v>2900</v>
      </c>
      <c r="D1666" s="1" t="s">
        <v>2329</v>
      </c>
      <c r="E1666" s="250">
        <v>6450.6080000000002</v>
      </c>
    </row>
    <row r="1667" spans="3:5" x14ac:dyDescent="0.35">
      <c r="C1667" s="1" t="s">
        <v>2899</v>
      </c>
      <c r="D1667" s="1" t="s">
        <v>2329</v>
      </c>
      <c r="E1667" s="250">
        <v>6450.6090000000004</v>
      </c>
    </row>
    <row r="1668" spans="3:5" x14ac:dyDescent="0.35">
      <c r="C1668" s="1" t="s">
        <v>2898</v>
      </c>
      <c r="D1668" s="1" t="s">
        <v>2329</v>
      </c>
      <c r="E1668" s="250">
        <v>6450.61</v>
      </c>
    </row>
    <row r="1669" spans="3:5" x14ac:dyDescent="0.35">
      <c r="C1669" s="1" t="s">
        <v>2897</v>
      </c>
      <c r="D1669" s="1" t="s">
        <v>2329</v>
      </c>
      <c r="E1669" s="250">
        <v>6450.6109999999999</v>
      </c>
    </row>
    <row r="1670" spans="3:5" x14ac:dyDescent="0.35">
      <c r="C1670" s="1" t="s">
        <v>2896</v>
      </c>
      <c r="D1670" s="1" t="s">
        <v>2329</v>
      </c>
      <c r="E1670" s="250">
        <v>6450.6120000000001</v>
      </c>
    </row>
    <row r="1671" spans="3:5" x14ac:dyDescent="0.35">
      <c r="C1671" s="1" t="s">
        <v>2895</v>
      </c>
      <c r="D1671" s="1" t="s">
        <v>2329</v>
      </c>
      <c r="E1671" s="250">
        <v>6450.6130000000003</v>
      </c>
    </row>
    <row r="1672" spans="3:5" x14ac:dyDescent="0.35">
      <c r="C1672" s="1" t="s">
        <v>2894</v>
      </c>
      <c r="D1672" s="1" t="s">
        <v>2329</v>
      </c>
      <c r="E1672" s="250">
        <v>6450.6139999999996</v>
      </c>
    </row>
    <row r="1673" spans="3:5" x14ac:dyDescent="0.35">
      <c r="C1673" s="1" t="s">
        <v>2893</v>
      </c>
      <c r="D1673" s="1" t="s">
        <v>2329</v>
      </c>
      <c r="E1673" s="250">
        <v>6450.6149999999998</v>
      </c>
    </row>
    <row r="1674" spans="3:5" x14ac:dyDescent="0.35">
      <c r="C1674" s="1" t="s">
        <v>2892</v>
      </c>
      <c r="D1674" s="1" t="s">
        <v>2329</v>
      </c>
      <c r="E1674" s="250">
        <v>6450.616</v>
      </c>
    </row>
    <row r="1675" spans="3:5" x14ac:dyDescent="0.35">
      <c r="C1675" s="1" t="s">
        <v>2891</v>
      </c>
      <c r="D1675" s="1" t="s">
        <v>2329</v>
      </c>
      <c r="E1675" s="250">
        <v>6450.6170000000002</v>
      </c>
    </row>
    <row r="1676" spans="3:5" x14ac:dyDescent="0.35">
      <c r="C1676" s="1" t="s">
        <v>2890</v>
      </c>
      <c r="D1676" s="1" t="s">
        <v>2329</v>
      </c>
      <c r="E1676" s="250">
        <v>6450.6180000000004</v>
      </c>
    </row>
    <row r="1677" spans="3:5" x14ac:dyDescent="0.35">
      <c r="C1677" s="1" t="s">
        <v>2889</v>
      </c>
      <c r="D1677" s="1" t="s">
        <v>2329</v>
      </c>
      <c r="E1677" s="250">
        <v>6450.6189999999997</v>
      </c>
    </row>
    <row r="1678" spans="3:5" x14ac:dyDescent="0.35">
      <c r="C1678" s="1" t="s">
        <v>2888</v>
      </c>
      <c r="D1678" s="1" t="s">
        <v>2329</v>
      </c>
      <c r="E1678" s="250">
        <v>6450.62</v>
      </c>
    </row>
    <row r="1679" spans="3:5" x14ac:dyDescent="0.35">
      <c r="C1679" s="1" t="s">
        <v>2887</v>
      </c>
      <c r="D1679" s="1" t="s">
        <v>2329</v>
      </c>
      <c r="E1679" s="250">
        <v>6450.6210000000001</v>
      </c>
    </row>
    <row r="1680" spans="3:5" x14ac:dyDescent="0.35">
      <c r="C1680" s="1" t="s">
        <v>2886</v>
      </c>
      <c r="D1680" s="1" t="s">
        <v>19</v>
      </c>
      <c r="E1680" s="250">
        <v>6450.63</v>
      </c>
    </row>
    <row r="1681" spans="3:5" x14ac:dyDescent="0.35">
      <c r="C1681" s="1" t="s">
        <v>2885</v>
      </c>
      <c r="D1681" s="1" t="s">
        <v>19</v>
      </c>
      <c r="E1681" s="250">
        <v>6450.6310000000003</v>
      </c>
    </row>
    <row r="1682" spans="3:5" x14ac:dyDescent="0.35">
      <c r="C1682" s="1" t="s">
        <v>2884</v>
      </c>
      <c r="D1682" s="1" t="s">
        <v>19</v>
      </c>
      <c r="E1682" s="250">
        <v>6450.6319999999996</v>
      </c>
    </row>
    <row r="1683" spans="3:5" x14ac:dyDescent="0.35">
      <c r="C1683" s="1" t="s">
        <v>2883</v>
      </c>
      <c r="D1683" s="1" t="s">
        <v>19</v>
      </c>
      <c r="E1683" s="250">
        <v>6450.6329999999998</v>
      </c>
    </row>
    <row r="1684" spans="3:5" x14ac:dyDescent="0.35">
      <c r="C1684" s="1" t="s">
        <v>2882</v>
      </c>
      <c r="D1684" s="1" t="s">
        <v>19</v>
      </c>
      <c r="E1684" s="250">
        <v>6450.634</v>
      </c>
    </row>
    <row r="1685" spans="3:5" x14ac:dyDescent="0.35">
      <c r="C1685" s="1" t="s">
        <v>2881</v>
      </c>
      <c r="D1685" s="1" t="s">
        <v>18</v>
      </c>
      <c r="E1685" s="250">
        <v>6450.6350000000002</v>
      </c>
    </row>
    <row r="1686" spans="3:5" x14ac:dyDescent="0.35">
      <c r="C1686" s="1" t="s">
        <v>2880</v>
      </c>
      <c r="D1686" s="1" t="s">
        <v>2329</v>
      </c>
      <c r="E1686" s="250">
        <v>6450.6409999999996</v>
      </c>
    </row>
    <row r="1687" spans="3:5" x14ac:dyDescent="0.35">
      <c r="C1687" s="1" t="s">
        <v>2879</v>
      </c>
      <c r="D1687" s="1" t="s">
        <v>2329</v>
      </c>
      <c r="E1687" s="250">
        <v>6450.6419999999998</v>
      </c>
    </row>
    <row r="1688" spans="3:5" x14ac:dyDescent="0.35">
      <c r="C1688" s="1" t="s">
        <v>2878</v>
      </c>
      <c r="D1688" s="1" t="s">
        <v>2329</v>
      </c>
      <c r="E1688" s="250">
        <v>6450.643</v>
      </c>
    </row>
    <row r="1689" spans="3:5" x14ac:dyDescent="0.35">
      <c r="C1689" s="1" t="s">
        <v>2877</v>
      </c>
      <c r="D1689" s="1" t="s">
        <v>2329</v>
      </c>
      <c r="E1689" s="250">
        <v>6450.6440000000002</v>
      </c>
    </row>
    <row r="1690" spans="3:5" x14ac:dyDescent="0.35">
      <c r="C1690" s="1" t="s">
        <v>2876</v>
      </c>
      <c r="D1690" s="1" t="s">
        <v>2329</v>
      </c>
      <c r="E1690" s="250">
        <v>6450.6450000000004</v>
      </c>
    </row>
    <row r="1691" spans="3:5" x14ac:dyDescent="0.35">
      <c r="C1691" s="1" t="s">
        <v>2875</v>
      </c>
      <c r="D1691" s="1" t="s">
        <v>2329</v>
      </c>
      <c r="E1691" s="250">
        <v>6450.6459999999997</v>
      </c>
    </row>
    <row r="1692" spans="3:5" x14ac:dyDescent="0.35">
      <c r="C1692" s="1" t="s">
        <v>2874</v>
      </c>
      <c r="D1692" s="1" t="s">
        <v>2329</v>
      </c>
      <c r="E1692" s="250">
        <v>6450.6469999999999</v>
      </c>
    </row>
    <row r="1693" spans="3:5" x14ac:dyDescent="0.35">
      <c r="C1693" s="1" t="s">
        <v>2873</v>
      </c>
      <c r="D1693" s="1" t="s">
        <v>2329</v>
      </c>
      <c r="E1693" s="250">
        <v>6450.6480000000001</v>
      </c>
    </row>
    <row r="1694" spans="3:5" x14ac:dyDescent="0.35">
      <c r="C1694" s="1" t="s">
        <v>2872</v>
      </c>
      <c r="D1694" s="1" t="s">
        <v>2329</v>
      </c>
      <c r="E1694" s="250">
        <v>6450.6490000000003</v>
      </c>
    </row>
    <row r="1695" spans="3:5" x14ac:dyDescent="0.35">
      <c r="C1695" s="1" t="s">
        <v>2871</v>
      </c>
      <c r="D1695" s="1" t="s">
        <v>2329</v>
      </c>
      <c r="E1695" s="250">
        <v>6450.65</v>
      </c>
    </row>
    <row r="1696" spans="3:5" x14ac:dyDescent="0.35">
      <c r="C1696" s="1" t="s">
        <v>2870</v>
      </c>
      <c r="D1696" s="1" t="s">
        <v>2329</v>
      </c>
      <c r="E1696" s="250">
        <v>6450.6509999999998</v>
      </c>
    </row>
    <row r="1697" spans="3:5" x14ac:dyDescent="0.35">
      <c r="C1697" s="1" t="s">
        <v>2869</v>
      </c>
      <c r="D1697" s="1" t="s">
        <v>2329</v>
      </c>
      <c r="E1697" s="250">
        <v>6450.652</v>
      </c>
    </row>
    <row r="1698" spans="3:5" x14ac:dyDescent="0.35">
      <c r="C1698" s="1" t="s">
        <v>2868</v>
      </c>
      <c r="D1698" s="1" t="s">
        <v>2329</v>
      </c>
      <c r="E1698" s="250">
        <v>6450.6530000000002</v>
      </c>
    </row>
    <row r="1699" spans="3:5" x14ac:dyDescent="0.35">
      <c r="C1699" s="1" t="s">
        <v>2867</v>
      </c>
      <c r="D1699" s="1" t="s">
        <v>2329</v>
      </c>
      <c r="E1699" s="250">
        <v>6450.6540000000005</v>
      </c>
    </row>
    <row r="1700" spans="3:5" x14ac:dyDescent="0.35">
      <c r="C1700" s="1" t="s">
        <v>2866</v>
      </c>
      <c r="D1700" s="1" t="s">
        <v>2329</v>
      </c>
      <c r="E1700" s="250">
        <v>6450.6549999999997</v>
      </c>
    </row>
    <row r="1701" spans="3:5" x14ac:dyDescent="0.35">
      <c r="C1701" s="1" t="s">
        <v>2865</v>
      </c>
      <c r="D1701" s="1" t="s">
        <v>2329</v>
      </c>
      <c r="E1701" s="250">
        <v>6450.6559999999999</v>
      </c>
    </row>
    <row r="1702" spans="3:5" x14ac:dyDescent="0.35">
      <c r="C1702" s="1" t="s">
        <v>2864</v>
      </c>
      <c r="D1702" s="1" t="s">
        <v>2329</v>
      </c>
      <c r="E1702" s="250">
        <v>6450.6570000000002</v>
      </c>
    </row>
    <row r="1703" spans="3:5" x14ac:dyDescent="0.35">
      <c r="C1703" s="1" t="s">
        <v>2863</v>
      </c>
      <c r="D1703" s="1" t="s">
        <v>2329</v>
      </c>
      <c r="E1703" s="250">
        <v>6450.6610000000001</v>
      </c>
    </row>
    <row r="1704" spans="3:5" x14ac:dyDescent="0.35">
      <c r="C1704" s="1" t="s">
        <v>2862</v>
      </c>
      <c r="D1704" s="1" t="s">
        <v>2329</v>
      </c>
      <c r="E1704" s="250">
        <v>6450.6620000000003</v>
      </c>
    </row>
    <row r="1705" spans="3:5" x14ac:dyDescent="0.35">
      <c r="C1705" s="1" t="s">
        <v>2861</v>
      </c>
      <c r="D1705" s="1" t="s">
        <v>2329</v>
      </c>
      <c r="E1705" s="250">
        <v>6450.6629999999996</v>
      </c>
    </row>
    <row r="1706" spans="3:5" x14ac:dyDescent="0.35">
      <c r="C1706" s="1" t="s">
        <v>2860</v>
      </c>
      <c r="D1706" s="1" t="s">
        <v>2329</v>
      </c>
      <c r="E1706" s="250">
        <v>6450.6639999999998</v>
      </c>
    </row>
    <row r="1707" spans="3:5" x14ac:dyDescent="0.35">
      <c r="C1707" s="1" t="s">
        <v>2859</v>
      </c>
      <c r="D1707" s="1" t="s">
        <v>2329</v>
      </c>
      <c r="E1707" s="250">
        <v>6450.665</v>
      </c>
    </row>
    <row r="1708" spans="3:5" x14ac:dyDescent="0.35">
      <c r="C1708" s="1" t="s">
        <v>2858</v>
      </c>
      <c r="D1708" s="1" t="s">
        <v>2329</v>
      </c>
      <c r="E1708" s="250">
        <v>6450.6660000000002</v>
      </c>
    </row>
    <row r="1709" spans="3:5" x14ac:dyDescent="0.35">
      <c r="C1709" s="1" t="s">
        <v>2857</v>
      </c>
      <c r="D1709" s="1" t="s">
        <v>2329</v>
      </c>
      <c r="E1709" s="250">
        <v>6450.6670000000004</v>
      </c>
    </row>
    <row r="1710" spans="3:5" x14ac:dyDescent="0.35">
      <c r="C1710" s="1" t="s">
        <v>2856</v>
      </c>
      <c r="D1710" s="1" t="s">
        <v>2329</v>
      </c>
      <c r="E1710" s="250">
        <v>6450.6679999999997</v>
      </c>
    </row>
    <row r="1711" spans="3:5" x14ac:dyDescent="0.35">
      <c r="C1711" s="1" t="s">
        <v>2855</v>
      </c>
      <c r="D1711" s="1" t="s">
        <v>2329</v>
      </c>
      <c r="E1711" s="250">
        <v>6450.6689999999999</v>
      </c>
    </row>
    <row r="1712" spans="3:5" x14ac:dyDescent="0.35">
      <c r="C1712" s="1" t="s">
        <v>2854</v>
      </c>
      <c r="D1712" s="1" t="s">
        <v>2329</v>
      </c>
      <c r="E1712" s="250">
        <v>6450.67</v>
      </c>
    </row>
    <row r="1713" spans="3:5" x14ac:dyDescent="0.35">
      <c r="C1713" s="1" t="s">
        <v>2853</v>
      </c>
      <c r="D1713" s="1" t="s">
        <v>2329</v>
      </c>
      <c r="E1713" s="250">
        <v>6450.6710000000003</v>
      </c>
    </row>
    <row r="1714" spans="3:5" x14ac:dyDescent="0.35">
      <c r="C1714" s="1" t="s">
        <v>2852</v>
      </c>
      <c r="D1714" s="1" t="s">
        <v>2329</v>
      </c>
      <c r="E1714" s="250">
        <v>6450.6719999999996</v>
      </c>
    </row>
    <row r="1715" spans="3:5" x14ac:dyDescent="0.35">
      <c r="C1715" s="1" t="s">
        <v>2851</v>
      </c>
      <c r="D1715" s="1" t="s">
        <v>2329</v>
      </c>
      <c r="E1715" s="250">
        <v>6450.6729999999998</v>
      </c>
    </row>
    <row r="1716" spans="3:5" x14ac:dyDescent="0.35">
      <c r="C1716" s="1" t="s">
        <v>2850</v>
      </c>
      <c r="D1716" s="1" t="s">
        <v>2329</v>
      </c>
      <c r="E1716" s="250">
        <v>6450.674</v>
      </c>
    </row>
    <row r="1717" spans="3:5" x14ac:dyDescent="0.35">
      <c r="C1717" s="1" t="s">
        <v>2849</v>
      </c>
      <c r="D1717" s="1" t="s">
        <v>2329</v>
      </c>
      <c r="E1717" s="250">
        <v>6450.6750000000002</v>
      </c>
    </row>
    <row r="1718" spans="3:5" x14ac:dyDescent="0.35">
      <c r="C1718" s="1" t="s">
        <v>2848</v>
      </c>
      <c r="D1718" s="1" t="s">
        <v>2329</v>
      </c>
      <c r="E1718" s="250">
        <v>6450.6760000000004</v>
      </c>
    </row>
    <row r="1719" spans="3:5" x14ac:dyDescent="0.35">
      <c r="C1719" s="1" t="s">
        <v>2847</v>
      </c>
      <c r="D1719" s="1" t="s">
        <v>2329</v>
      </c>
      <c r="E1719" s="250">
        <v>6450.6769999999997</v>
      </c>
    </row>
    <row r="1720" spans="3:5" x14ac:dyDescent="0.35">
      <c r="C1720" s="1" t="s">
        <v>2846</v>
      </c>
      <c r="D1720" s="1" t="s">
        <v>2329</v>
      </c>
      <c r="E1720" s="250">
        <v>6450.6809999999996</v>
      </c>
    </row>
    <row r="1721" spans="3:5" x14ac:dyDescent="0.35">
      <c r="C1721" s="1" t="s">
        <v>2845</v>
      </c>
      <c r="D1721" s="1" t="s">
        <v>2329</v>
      </c>
      <c r="E1721" s="250">
        <v>6450.6819999999998</v>
      </c>
    </row>
    <row r="1722" spans="3:5" x14ac:dyDescent="0.35">
      <c r="C1722" s="1" t="s">
        <v>2844</v>
      </c>
      <c r="D1722" s="1" t="s">
        <v>2329</v>
      </c>
      <c r="E1722" s="250">
        <v>6450.683</v>
      </c>
    </row>
    <row r="1723" spans="3:5" x14ac:dyDescent="0.35">
      <c r="C1723" s="1" t="s">
        <v>2843</v>
      </c>
      <c r="D1723" s="1" t="s">
        <v>2329</v>
      </c>
      <c r="E1723" s="250">
        <v>6450.6840000000002</v>
      </c>
    </row>
    <row r="1724" spans="3:5" x14ac:dyDescent="0.35">
      <c r="C1724" s="1" t="s">
        <v>2842</v>
      </c>
      <c r="D1724" s="1" t="s">
        <v>2329</v>
      </c>
      <c r="E1724" s="250">
        <v>6450.6850000000004</v>
      </c>
    </row>
    <row r="1725" spans="3:5" x14ac:dyDescent="0.35">
      <c r="C1725" s="1" t="s">
        <v>2841</v>
      </c>
      <c r="D1725" s="1" t="s">
        <v>2329</v>
      </c>
      <c r="E1725" s="250">
        <v>6450.6859999999997</v>
      </c>
    </row>
    <row r="1726" spans="3:5" x14ac:dyDescent="0.35">
      <c r="C1726" s="1" t="s">
        <v>2840</v>
      </c>
      <c r="D1726" s="1" t="s">
        <v>2329</v>
      </c>
      <c r="E1726" s="250">
        <v>6450.6869999999999</v>
      </c>
    </row>
    <row r="1727" spans="3:5" x14ac:dyDescent="0.35">
      <c r="C1727" s="1" t="s">
        <v>2839</v>
      </c>
      <c r="D1727" s="1" t="s">
        <v>2329</v>
      </c>
      <c r="E1727" s="250">
        <v>6450.6880000000001</v>
      </c>
    </row>
    <row r="1728" spans="3:5" x14ac:dyDescent="0.35">
      <c r="C1728" s="1" t="s">
        <v>2838</v>
      </c>
      <c r="D1728" s="1" t="s">
        <v>2329</v>
      </c>
      <c r="E1728" s="250">
        <v>6450.6890000000003</v>
      </c>
    </row>
    <row r="1729" spans="3:5" x14ac:dyDescent="0.35">
      <c r="C1729" s="1" t="s">
        <v>2837</v>
      </c>
      <c r="D1729" s="1" t="s">
        <v>2329</v>
      </c>
      <c r="E1729" s="250">
        <v>6450.69</v>
      </c>
    </row>
    <row r="1730" spans="3:5" x14ac:dyDescent="0.35">
      <c r="C1730" s="1" t="s">
        <v>2836</v>
      </c>
      <c r="D1730" s="1" t="s">
        <v>2329</v>
      </c>
      <c r="E1730" s="250">
        <v>6450.6909999999998</v>
      </c>
    </row>
    <row r="1731" spans="3:5" x14ac:dyDescent="0.35">
      <c r="C1731" s="1" t="s">
        <v>2835</v>
      </c>
      <c r="D1731" s="1" t="s">
        <v>2329</v>
      </c>
      <c r="E1731" s="250">
        <v>6450.692</v>
      </c>
    </row>
    <row r="1732" spans="3:5" x14ac:dyDescent="0.35">
      <c r="C1732" s="1" t="s">
        <v>2834</v>
      </c>
      <c r="D1732" s="1" t="s">
        <v>2329</v>
      </c>
      <c r="E1732" s="250">
        <v>6450.6930000000002</v>
      </c>
    </row>
    <row r="1733" spans="3:5" x14ac:dyDescent="0.35">
      <c r="C1733" s="1" t="s">
        <v>2820</v>
      </c>
      <c r="D1733" s="1" t="s">
        <v>2329</v>
      </c>
      <c r="E1733" s="250">
        <v>6450.6940000000004</v>
      </c>
    </row>
    <row r="1734" spans="3:5" x14ac:dyDescent="0.35">
      <c r="C1734" s="1" t="s">
        <v>2819</v>
      </c>
      <c r="D1734" s="1" t="s">
        <v>2329</v>
      </c>
      <c r="E1734" s="250">
        <v>6450.6949999999997</v>
      </c>
    </row>
    <row r="1735" spans="3:5" x14ac:dyDescent="0.35">
      <c r="C1735" s="1" t="s">
        <v>2818</v>
      </c>
      <c r="D1735" s="1" t="s">
        <v>2329</v>
      </c>
      <c r="E1735" s="250">
        <v>6450.6959999999999</v>
      </c>
    </row>
    <row r="1736" spans="3:5" x14ac:dyDescent="0.35">
      <c r="C1736" s="1" t="s">
        <v>2817</v>
      </c>
      <c r="D1736" s="1" t="s">
        <v>2329</v>
      </c>
      <c r="E1736" s="250">
        <v>6450.6970000000001</v>
      </c>
    </row>
    <row r="1737" spans="3:5" x14ac:dyDescent="0.35">
      <c r="C1737" s="1" t="s">
        <v>2833</v>
      </c>
      <c r="D1737" s="1" t="s">
        <v>2329</v>
      </c>
      <c r="E1737" s="250">
        <v>6450.701</v>
      </c>
    </row>
    <row r="1738" spans="3:5" x14ac:dyDescent="0.35">
      <c r="C1738" s="1" t="s">
        <v>2832</v>
      </c>
      <c r="D1738" s="1" t="s">
        <v>2329</v>
      </c>
      <c r="E1738" s="250">
        <v>6450.7020000000002</v>
      </c>
    </row>
    <row r="1739" spans="3:5" x14ac:dyDescent="0.35">
      <c r="C1739" s="1" t="s">
        <v>2831</v>
      </c>
      <c r="D1739" s="1" t="s">
        <v>2329</v>
      </c>
      <c r="E1739" s="250">
        <v>6450.7030000000004</v>
      </c>
    </row>
    <row r="1740" spans="3:5" x14ac:dyDescent="0.35">
      <c r="C1740" s="1" t="s">
        <v>2830</v>
      </c>
      <c r="D1740" s="1" t="s">
        <v>2329</v>
      </c>
      <c r="E1740" s="250">
        <v>6450.7039999999997</v>
      </c>
    </row>
    <row r="1741" spans="3:5" x14ac:dyDescent="0.35">
      <c r="C1741" s="1" t="s">
        <v>2829</v>
      </c>
      <c r="D1741" s="1" t="s">
        <v>2329</v>
      </c>
      <c r="E1741" s="250">
        <v>6450.7049999999999</v>
      </c>
    </row>
    <row r="1742" spans="3:5" x14ac:dyDescent="0.35">
      <c r="C1742" s="1" t="s">
        <v>2828</v>
      </c>
      <c r="D1742" s="1" t="s">
        <v>2329</v>
      </c>
      <c r="E1742" s="250">
        <v>6450.7060000000001</v>
      </c>
    </row>
    <row r="1743" spans="3:5" x14ac:dyDescent="0.35">
      <c r="C1743" s="1" t="s">
        <v>2827</v>
      </c>
      <c r="D1743" s="1" t="s">
        <v>2329</v>
      </c>
      <c r="E1743" s="250">
        <v>6450.7070000000003</v>
      </c>
    </row>
    <row r="1744" spans="3:5" x14ac:dyDescent="0.35">
      <c r="C1744" s="1" t="s">
        <v>2826</v>
      </c>
      <c r="D1744" s="1" t="s">
        <v>2329</v>
      </c>
      <c r="E1744" s="250">
        <v>6450.7079999999996</v>
      </c>
    </row>
    <row r="1745" spans="3:5" x14ac:dyDescent="0.35">
      <c r="C1745" s="1" t="s">
        <v>2825</v>
      </c>
      <c r="D1745" s="1" t="s">
        <v>2329</v>
      </c>
      <c r="E1745" s="250">
        <v>6450.7089999999998</v>
      </c>
    </row>
    <row r="1746" spans="3:5" x14ac:dyDescent="0.35">
      <c r="C1746" s="1" t="s">
        <v>2824</v>
      </c>
      <c r="D1746" s="1" t="s">
        <v>2329</v>
      </c>
      <c r="E1746" s="250">
        <v>6450.71</v>
      </c>
    </row>
    <row r="1747" spans="3:5" x14ac:dyDescent="0.35">
      <c r="C1747" s="1" t="s">
        <v>2823</v>
      </c>
      <c r="D1747" s="1" t="s">
        <v>2329</v>
      </c>
      <c r="E1747" s="250">
        <v>6450.7110000000002</v>
      </c>
    </row>
    <row r="1748" spans="3:5" x14ac:dyDescent="0.35">
      <c r="C1748" s="1" t="s">
        <v>2822</v>
      </c>
      <c r="D1748" s="1" t="s">
        <v>2329</v>
      </c>
      <c r="E1748" s="250">
        <v>6450.7120000000004</v>
      </c>
    </row>
    <row r="1749" spans="3:5" x14ac:dyDescent="0.35">
      <c r="C1749" s="1" t="s">
        <v>2821</v>
      </c>
      <c r="D1749" s="1" t="s">
        <v>2329</v>
      </c>
      <c r="E1749" s="250">
        <v>6450.7129999999997</v>
      </c>
    </row>
    <row r="1750" spans="3:5" x14ac:dyDescent="0.35">
      <c r="C1750" s="1" t="s">
        <v>2820</v>
      </c>
      <c r="D1750" s="1" t="s">
        <v>2329</v>
      </c>
      <c r="E1750" s="250">
        <v>6450.7139999999999</v>
      </c>
    </row>
    <row r="1751" spans="3:5" x14ac:dyDescent="0.35">
      <c r="C1751" s="1" t="s">
        <v>2819</v>
      </c>
      <c r="D1751" s="1" t="s">
        <v>2329</v>
      </c>
      <c r="E1751" s="250">
        <v>6450.7150000000001</v>
      </c>
    </row>
    <row r="1752" spans="3:5" x14ac:dyDescent="0.35">
      <c r="C1752" s="1" t="s">
        <v>2818</v>
      </c>
      <c r="D1752" s="1" t="s">
        <v>2329</v>
      </c>
      <c r="E1752" s="250">
        <v>6450.7160000000003</v>
      </c>
    </row>
    <row r="1753" spans="3:5" x14ac:dyDescent="0.35">
      <c r="C1753" s="1" t="s">
        <v>2817</v>
      </c>
      <c r="D1753" s="1" t="s">
        <v>2329</v>
      </c>
      <c r="E1753" s="250">
        <v>6450.7169999999996</v>
      </c>
    </row>
    <row r="1754" spans="3:5" x14ac:dyDescent="0.35">
      <c r="C1754" s="1" t="s">
        <v>2816</v>
      </c>
      <c r="D1754" s="1" t="s">
        <v>19</v>
      </c>
      <c r="E1754" s="250">
        <v>6450.8</v>
      </c>
    </row>
    <row r="1755" spans="3:5" x14ac:dyDescent="0.35">
      <c r="C1755" s="1" t="s">
        <v>2815</v>
      </c>
      <c r="D1755" s="1" t="s">
        <v>19</v>
      </c>
      <c r="E1755" s="250">
        <v>6450.8010000000004</v>
      </c>
    </row>
    <row r="1756" spans="3:5" x14ac:dyDescent="0.35">
      <c r="C1756" s="1" t="s">
        <v>2814</v>
      </c>
      <c r="D1756" s="1" t="s">
        <v>19</v>
      </c>
      <c r="E1756" s="250">
        <v>6450.8019999999997</v>
      </c>
    </row>
    <row r="1757" spans="3:5" x14ac:dyDescent="0.35">
      <c r="C1757" s="1" t="s">
        <v>2813</v>
      </c>
      <c r="D1757" s="1" t="s">
        <v>19</v>
      </c>
      <c r="E1757" s="250">
        <v>6450.8029999999999</v>
      </c>
    </row>
    <row r="1758" spans="3:5" x14ac:dyDescent="0.35">
      <c r="C1758" s="1" t="s">
        <v>2812</v>
      </c>
      <c r="D1758" s="1" t="s">
        <v>19</v>
      </c>
      <c r="E1758" s="250">
        <v>6450.8040000000001</v>
      </c>
    </row>
    <row r="1759" spans="3:5" x14ac:dyDescent="0.35">
      <c r="C1759" s="1" t="s">
        <v>2811</v>
      </c>
      <c r="D1759" s="1" t="s">
        <v>19</v>
      </c>
      <c r="E1759" s="250">
        <v>6450.8050000000003</v>
      </c>
    </row>
    <row r="1760" spans="3:5" x14ac:dyDescent="0.35">
      <c r="C1760" s="1" t="s">
        <v>2810</v>
      </c>
      <c r="D1760" s="1" t="s">
        <v>19</v>
      </c>
      <c r="E1760" s="250">
        <v>6450.81</v>
      </c>
    </row>
    <row r="1761" spans="3:5" x14ac:dyDescent="0.35">
      <c r="C1761" s="1" t="s">
        <v>2809</v>
      </c>
      <c r="D1761" s="1" t="s">
        <v>19</v>
      </c>
      <c r="E1761" s="250">
        <v>6450.8109999999997</v>
      </c>
    </row>
    <row r="1762" spans="3:5" x14ac:dyDescent="0.35">
      <c r="C1762" s="1" t="s">
        <v>2808</v>
      </c>
      <c r="D1762" s="1" t="s">
        <v>19</v>
      </c>
      <c r="E1762" s="250">
        <v>6450.8119999999999</v>
      </c>
    </row>
    <row r="1763" spans="3:5" x14ac:dyDescent="0.35">
      <c r="C1763" s="1" t="s">
        <v>2807</v>
      </c>
      <c r="D1763" s="1" t="s">
        <v>19</v>
      </c>
      <c r="E1763" s="250">
        <v>6450.8130000000001</v>
      </c>
    </row>
    <row r="1764" spans="3:5" x14ac:dyDescent="0.35">
      <c r="C1764" s="1" t="s">
        <v>2806</v>
      </c>
      <c r="D1764" s="1" t="s">
        <v>19</v>
      </c>
      <c r="E1764" s="250">
        <v>6450.8140000000003</v>
      </c>
    </row>
    <row r="1765" spans="3:5" x14ac:dyDescent="0.35">
      <c r="C1765" s="1" t="s">
        <v>2805</v>
      </c>
      <c r="D1765" s="1" t="s">
        <v>19</v>
      </c>
      <c r="E1765" s="250">
        <v>6450.8149999999996</v>
      </c>
    </row>
    <row r="1766" spans="3:5" x14ac:dyDescent="0.35">
      <c r="C1766" s="1" t="s">
        <v>2804</v>
      </c>
      <c r="D1766" s="1" t="s">
        <v>19</v>
      </c>
      <c r="E1766" s="250">
        <v>6450.82</v>
      </c>
    </row>
    <row r="1767" spans="3:5" x14ac:dyDescent="0.35">
      <c r="C1767" s="1" t="s">
        <v>2803</v>
      </c>
      <c r="D1767" s="1" t="s">
        <v>19</v>
      </c>
      <c r="E1767" s="250">
        <v>6450.8209999999999</v>
      </c>
    </row>
    <row r="1768" spans="3:5" x14ac:dyDescent="0.35">
      <c r="C1768" s="1" t="s">
        <v>2802</v>
      </c>
      <c r="D1768" s="1" t="s">
        <v>62</v>
      </c>
      <c r="E1768" s="250">
        <v>6454.9009999999998</v>
      </c>
    </row>
    <row r="1769" spans="3:5" x14ac:dyDescent="0.35">
      <c r="C1769" s="1" t="s">
        <v>2801</v>
      </c>
      <c r="D1769" s="1" t="s">
        <v>19</v>
      </c>
      <c r="E1769" s="250">
        <v>6460.01</v>
      </c>
    </row>
    <row r="1770" spans="3:5" x14ac:dyDescent="0.35">
      <c r="C1770" s="1" t="s">
        <v>2800</v>
      </c>
      <c r="D1770" s="1" t="s">
        <v>19</v>
      </c>
      <c r="E1770" s="250">
        <v>6460.0110000000004</v>
      </c>
    </row>
    <row r="1771" spans="3:5" x14ac:dyDescent="0.35">
      <c r="C1771" s="1" t="s">
        <v>2799</v>
      </c>
      <c r="D1771" s="1" t="s">
        <v>19</v>
      </c>
      <c r="E1771" s="250">
        <v>6460.0119999999997</v>
      </c>
    </row>
    <row r="1772" spans="3:5" x14ac:dyDescent="0.35">
      <c r="C1772" s="1" t="s">
        <v>2798</v>
      </c>
      <c r="D1772" s="1" t="s">
        <v>19</v>
      </c>
      <c r="E1772" s="250">
        <v>6460.0129999999999</v>
      </c>
    </row>
    <row r="1773" spans="3:5" x14ac:dyDescent="0.35">
      <c r="C1773" s="1" t="s">
        <v>2797</v>
      </c>
      <c r="D1773" s="1" t="s">
        <v>19</v>
      </c>
      <c r="E1773" s="250">
        <v>6460.0140000000001</v>
      </c>
    </row>
    <row r="1774" spans="3:5" x14ac:dyDescent="0.35">
      <c r="C1774" s="1" t="s">
        <v>2796</v>
      </c>
      <c r="D1774" s="1" t="s">
        <v>19</v>
      </c>
      <c r="E1774" s="250">
        <v>6460.0150000000003</v>
      </c>
    </row>
    <row r="1775" spans="3:5" x14ac:dyDescent="0.35">
      <c r="C1775" s="1" t="s">
        <v>2795</v>
      </c>
      <c r="D1775" s="1" t="s">
        <v>19</v>
      </c>
      <c r="E1775" s="250">
        <v>6460.0159999999996</v>
      </c>
    </row>
    <row r="1776" spans="3:5" x14ac:dyDescent="0.35">
      <c r="C1776" s="1" t="s">
        <v>2794</v>
      </c>
      <c r="D1776" s="1" t="s">
        <v>19</v>
      </c>
      <c r="E1776" s="250">
        <v>6460.0169999999998</v>
      </c>
    </row>
    <row r="1777" spans="3:5" x14ac:dyDescent="0.35">
      <c r="C1777" s="1" t="s">
        <v>2793</v>
      </c>
      <c r="D1777" s="1" t="s">
        <v>19</v>
      </c>
      <c r="E1777" s="250">
        <v>6460.018</v>
      </c>
    </row>
    <row r="1778" spans="3:5" x14ac:dyDescent="0.35">
      <c r="C1778" s="1" t="s">
        <v>2792</v>
      </c>
      <c r="D1778" s="1" t="s">
        <v>19</v>
      </c>
      <c r="E1778" s="250">
        <v>6460.0190000000002</v>
      </c>
    </row>
    <row r="1779" spans="3:5" x14ac:dyDescent="0.35">
      <c r="C1779" s="1" t="s">
        <v>2791</v>
      </c>
      <c r="D1779" s="1" t="s">
        <v>19</v>
      </c>
      <c r="E1779" s="250">
        <v>6460.02</v>
      </c>
    </row>
    <row r="1780" spans="3:5" x14ac:dyDescent="0.35">
      <c r="C1780" s="1" t="s">
        <v>2790</v>
      </c>
      <c r="D1780" s="1" t="s">
        <v>19</v>
      </c>
      <c r="E1780" s="250">
        <v>6460.0209999999997</v>
      </c>
    </row>
    <row r="1781" spans="3:5" x14ac:dyDescent="0.35">
      <c r="C1781" s="1" t="s">
        <v>2789</v>
      </c>
      <c r="D1781" s="1" t="s">
        <v>19</v>
      </c>
      <c r="E1781" s="250">
        <v>6460.0219999999999</v>
      </c>
    </row>
    <row r="1782" spans="3:5" x14ac:dyDescent="0.35">
      <c r="C1782" s="1" t="s">
        <v>2788</v>
      </c>
      <c r="D1782" s="1" t="s">
        <v>19</v>
      </c>
      <c r="E1782" s="250">
        <v>6460.0230000000001</v>
      </c>
    </row>
    <row r="1783" spans="3:5" x14ac:dyDescent="0.35">
      <c r="C1783" s="1" t="s">
        <v>2787</v>
      </c>
      <c r="D1783" s="1" t="s">
        <v>19</v>
      </c>
      <c r="E1783" s="250">
        <v>6460.0240000000003</v>
      </c>
    </row>
    <row r="1784" spans="3:5" x14ac:dyDescent="0.35">
      <c r="C1784" s="1" t="s">
        <v>2786</v>
      </c>
      <c r="D1784" s="1" t="s">
        <v>19</v>
      </c>
      <c r="E1784" s="250">
        <v>6460.0249999999996</v>
      </c>
    </row>
    <row r="1785" spans="3:5" x14ac:dyDescent="0.35">
      <c r="C1785" s="1" t="s">
        <v>2785</v>
      </c>
      <c r="D1785" s="1" t="s">
        <v>19</v>
      </c>
      <c r="E1785" s="250">
        <v>6460.0259999999998</v>
      </c>
    </row>
    <row r="1786" spans="3:5" x14ac:dyDescent="0.35">
      <c r="C1786" s="1" t="s">
        <v>2784</v>
      </c>
      <c r="D1786" s="1" t="s">
        <v>19</v>
      </c>
      <c r="E1786" s="250">
        <v>6460.027</v>
      </c>
    </row>
    <row r="1787" spans="3:5" x14ac:dyDescent="0.35">
      <c r="C1787" s="1" t="s">
        <v>2783</v>
      </c>
      <c r="D1787" s="1" t="s">
        <v>19</v>
      </c>
      <c r="E1787" s="250">
        <v>6460.0280000000002</v>
      </c>
    </row>
    <row r="1788" spans="3:5" x14ac:dyDescent="0.35">
      <c r="C1788" s="1" t="s">
        <v>2782</v>
      </c>
      <c r="D1788" s="1" t="s">
        <v>19</v>
      </c>
      <c r="E1788" s="250">
        <v>6460.0290000000005</v>
      </c>
    </row>
    <row r="1789" spans="3:5" x14ac:dyDescent="0.35">
      <c r="C1789" s="1" t="s">
        <v>2781</v>
      </c>
      <c r="D1789" s="1" t="s">
        <v>19</v>
      </c>
      <c r="E1789" s="250">
        <v>6460.03</v>
      </c>
    </row>
    <row r="1790" spans="3:5" x14ac:dyDescent="0.35">
      <c r="C1790" s="1" t="s">
        <v>2780</v>
      </c>
      <c r="D1790" s="1" t="s">
        <v>19</v>
      </c>
      <c r="E1790" s="250">
        <v>6460.0309999999999</v>
      </c>
    </row>
    <row r="1791" spans="3:5" x14ac:dyDescent="0.35">
      <c r="C1791" s="1" t="s">
        <v>2779</v>
      </c>
      <c r="D1791" s="1" t="s">
        <v>19</v>
      </c>
      <c r="E1791" s="250">
        <v>6460.0320000000002</v>
      </c>
    </row>
    <row r="1792" spans="3:5" x14ac:dyDescent="0.35">
      <c r="C1792" s="1" t="s">
        <v>2778</v>
      </c>
      <c r="D1792" s="1" t="s">
        <v>19</v>
      </c>
      <c r="E1792" s="250">
        <v>6460.0330000000004</v>
      </c>
    </row>
    <row r="1793" spans="3:5" x14ac:dyDescent="0.35">
      <c r="C1793" s="1" t="s">
        <v>2777</v>
      </c>
      <c r="D1793" s="1" t="s">
        <v>19</v>
      </c>
      <c r="E1793" s="250">
        <v>6460.0339999999997</v>
      </c>
    </row>
    <row r="1794" spans="3:5" x14ac:dyDescent="0.35">
      <c r="C1794" s="1" t="s">
        <v>2776</v>
      </c>
      <c r="D1794" s="1" t="s">
        <v>19</v>
      </c>
      <c r="E1794" s="250">
        <v>6460.0349999999999</v>
      </c>
    </row>
    <row r="1795" spans="3:5" x14ac:dyDescent="0.35">
      <c r="C1795" s="1" t="s">
        <v>2775</v>
      </c>
      <c r="D1795" s="1" t="s">
        <v>19</v>
      </c>
      <c r="E1795" s="250">
        <v>6460.0360000000001</v>
      </c>
    </row>
    <row r="1796" spans="3:5" x14ac:dyDescent="0.35">
      <c r="C1796" s="1" t="s">
        <v>2774</v>
      </c>
      <c r="D1796" s="1" t="s">
        <v>19</v>
      </c>
      <c r="E1796" s="250">
        <v>6460.0370000000003</v>
      </c>
    </row>
    <row r="1797" spans="3:5" x14ac:dyDescent="0.35">
      <c r="C1797" s="1" t="s">
        <v>2773</v>
      </c>
      <c r="D1797" s="1" t="s">
        <v>57</v>
      </c>
      <c r="E1797" s="250">
        <v>6460.04</v>
      </c>
    </row>
    <row r="1798" spans="3:5" x14ac:dyDescent="0.35">
      <c r="C1798" s="1" t="s">
        <v>2232</v>
      </c>
      <c r="D1798" s="1" t="s">
        <v>18</v>
      </c>
      <c r="E1798" s="250">
        <v>6460.0410000000002</v>
      </c>
    </row>
    <row r="1799" spans="3:5" x14ac:dyDescent="0.35">
      <c r="C1799" s="1" t="s">
        <v>2772</v>
      </c>
      <c r="D1799" s="1" t="s">
        <v>18</v>
      </c>
      <c r="E1799" s="250">
        <v>6460.09</v>
      </c>
    </row>
    <row r="1800" spans="3:5" x14ac:dyDescent="0.35">
      <c r="C1800" s="1" t="s">
        <v>2771</v>
      </c>
      <c r="D1800" s="1" t="s">
        <v>19</v>
      </c>
      <c r="E1800" s="250">
        <v>6460.1</v>
      </c>
    </row>
    <row r="1801" spans="3:5" x14ac:dyDescent="0.35">
      <c r="C1801" s="1" t="s">
        <v>2770</v>
      </c>
      <c r="D1801" s="1" t="s">
        <v>18</v>
      </c>
      <c r="E1801" s="250">
        <v>6460.12</v>
      </c>
    </row>
    <row r="1802" spans="3:5" x14ac:dyDescent="0.35">
      <c r="C1802" s="1" t="s">
        <v>2769</v>
      </c>
      <c r="D1802" s="1" t="s">
        <v>20</v>
      </c>
      <c r="E1802" s="250">
        <v>6460.201</v>
      </c>
    </row>
    <row r="1803" spans="3:5" x14ac:dyDescent="0.35">
      <c r="C1803" s="1" t="s">
        <v>2768</v>
      </c>
      <c r="D1803" s="1" t="s">
        <v>18</v>
      </c>
      <c r="E1803" s="250">
        <v>6460.2049999999999</v>
      </c>
    </row>
    <row r="1804" spans="3:5" x14ac:dyDescent="0.35">
      <c r="C1804" s="1" t="s">
        <v>2767</v>
      </c>
      <c r="D1804" s="1" t="s">
        <v>20</v>
      </c>
      <c r="E1804" s="250">
        <v>6460.2110000000002</v>
      </c>
    </row>
    <row r="1805" spans="3:5" x14ac:dyDescent="0.35">
      <c r="C1805" s="1" t="s">
        <v>2766</v>
      </c>
      <c r="D1805" s="1" t="s">
        <v>60</v>
      </c>
      <c r="E1805" s="250">
        <v>6470.1</v>
      </c>
    </row>
    <row r="1806" spans="3:5" x14ac:dyDescent="0.35">
      <c r="C1806" s="1" t="s">
        <v>2765</v>
      </c>
      <c r="D1806" s="1" t="s">
        <v>60</v>
      </c>
      <c r="E1806" s="250">
        <v>6470.1009999999997</v>
      </c>
    </row>
    <row r="1807" spans="3:5" x14ac:dyDescent="0.35">
      <c r="C1807" s="1" t="s">
        <v>2764</v>
      </c>
      <c r="D1807" s="1" t="s">
        <v>60</v>
      </c>
      <c r="E1807" s="250">
        <v>6470.1019999999999</v>
      </c>
    </row>
    <row r="1808" spans="3:5" x14ac:dyDescent="0.35">
      <c r="C1808" s="2" t="s">
        <v>2763</v>
      </c>
      <c r="D1808" s="2" t="s">
        <v>60</v>
      </c>
      <c r="E1808" s="253">
        <v>6470.1030000000001</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38B6F409-BDEA-428A-A4A1-BA784ECE0432}">
      <formula1>$C$205:$C207</formula1>
    </dataValidation>
  </dataValidations>
  <hyperlinks>
    <hyperlink ref="D3" r:id="rId1" display="datamateapp@gmail.com" xr:uid="{28F680C6-746D-4AC7-AC59-F8C01A8DD68F}"/>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50217" r:id="rId4" name="Button 9">
              <controlPr defaultSize="0" print="0" autoFill="0" autoPict="0" macro="[0]!ExitSEC_064000">
                <anchor moveWithCells="1" sizeWithCells="1">
                  <from>
                    <xdr:col>16</xdr:col>
                    <xdr:colOff>203200</xdr:colOff>
                    <xdr:row>0</xdr:row>
                    <xdr:rowOff>0</xdr:rowOff>
                  </from>
                  <to>
                    <xdr:col>16</xdr:col>
                    <xdr:colOff>1473200</xdr:colOff>
                    <xdr:row>2</xdr:row>
                    <xdr:rowOff>12700</xdr:rowOff>
                  </to>
                </anchor>
              </controlPr>
            </control>
          </mc:Choice>
        </mc:AlternateContent>
        <mc:AlternateContent xmlns:mc="http://schemas.openxmlformats.org/markup-compatibility/2006">
          <mc:Choice Requires="x14">
            <control shapeId="350270" r:id="rId5" name="Button 62">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350271" r:id="rId6" name="Button 63">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350272" r:id="rId7" name="Button 64">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350273" r:id="rId8" name="Button 65">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350274" r:id="rId9" name="Button 66">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350275" r:id="rId10" name="Button 67">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350276" r:id="rId11" name="Button 68">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350277" r:id="rId12" name="Button 69">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857711-77D9-4CCF-8A49-237510ADAB86}">
  <sheetPr codeName="Sheet80"/>
  <dimension ref="A1:Q209"/>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STRUCTURAL PLASTICS</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06 50 00</v>
      </c>
      <c r="C10" s="24" t="str">
        <f>C206</f>
        <v>STRUCTURAL PLASTICS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STRUCTURAL PLASTICS</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14308</v>
      </c>
      <c r="C206" s="82" t="s">
        <v>14309</v>
      </c>
      <c r="D206" s="1"/>
      <c r="E206" s="1"/>
      <c r="F206" s="1"/>
      <c r="G206" s="1"/>
      <c r="H206" s="1"/>
      <c r="I206" s="1"/>
      <c r="J206" s="1"/>
      <c r="K206" s="1"/>
      <c r="L206" s="1"/>
      <c r="M206" s="1"/>
      <c r="N206" s="1"/>
      <c r="O206" s="1"/>
      <c r="P206" s="1"/>
      <c r="Q206" s="1"/>
    </row>
    <row r="207" spans="2:17" x14ac:dyDescent="0.35">
      <c r="B207" s="49" t="s">
        <v>14310</v>
      </c>
      <c r="C207" s="53" t="s">
        <v>14311</v>
      </c>
      <c r="D207" s="1"/>
      <c r="E207" s="1"/>
      <c r="F207" s="1"/>
      <c r="G207" s="1"/>
      <c r="H207" s="1"/>
      <c r="I207" s="1"/>
      <c r="J207" s="1"/>
      <c r="K207" s="1"/>
      <c r="L207" s="1"/>
      <c r="M207" s="1"/>
      <c r="N207" s="1"/>
      <c r="O207" s="1"/>
      <c r="P207" s="1"/>
      <c r="Q207" s="1"/>
    </row>
    <row r="208" spans="2:17" x14ac:dyDescent="0.35">
      <c r="B208" s="49" t="s">
        <v>14312</v>
      </c>
      <c r="C208" s="53" t="s">
        <v>14313</v>
      </c>
    </row>
    <row r="209" spans="2:3" x14ac:dyDescent="0.35">
      <c r="B209" s="49" t="s">
        <v>14314</v>
      </c>
      <c r="C209" s="53" t="s">
        <v>14315</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486DDB99-DBEC-4861-BF5B-8965DD32F530}">
      <formula1>$C$205:$C207</formula1>
    </dataValidation>
  </dataValidations>
  <hyperlinks>
    <hyperlink ref="D3" r:id="rId1" display="datamateapp@gmail.com" xr:uid="{FE5777FC-AEC5-4C94-B2E3-43D7D3FF305D}"/>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51242" r:id="rId4" name="Button 10">
              <controlPr defaultSize="0" print="0" autoFill="0" autoPict="0" macro="[0]!ExitSEC_065000">
                <anchor moveWithCells="1" sizeWithCells="1">
                  <from>
                    <xdr:col>16</xdr:col>
                    <xdr:colOff>203200</xdr:colOff>
                    <xdr:row>0</xdr:row>
                    <xdr:rowOff>0</xdr:rowOff>
                  </from>
                  <to>
                    <xdr:col>16</xdr:col>
                    <xdr:colOff>1473200</xdr:colOff>
                    <xdr:row>2</xdr:row>
                    <xdr:rowOff>12700</xdr:rowOff>
                  </to>
                </anchor>
              </controlPr>
            </control>
          </mc:Choice>
        </mc:AlternateContent>
        <mc:AlternateContent xmlns:mc="http://schemas.openxmlformats.org/markup-compatibility/2006">
          <mc:Choice Requires="x14">
            <control shapeId="351269" r:id="rId5" name="Button 37">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351270" r:id="rId6" name="Button 38">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351271" r:id="rId7" name="Button 39">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351272" r:id="rId8" name="Button 40">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351273" r:id="rId9" name="Button 41">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351274" r:id="rId10" name="Button 42">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351275" r:id="rId11" name="Button 43">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351276" r:id="rId12" name="Button 44">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6916B-D12A-46E5-839C-9AD02963FA14}">
  <sheetPr codeName="Sheet81"/>
  <dimension ref="A1:Q219"/>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PLASTIC FABRICATIONS</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06 60 00</v>
      </c>
      <c r="C10" s="24" t="str">
        <f>C206</f>
        <v>PLASTIC FABRICATIONS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PLASTIC FABRICATIONS</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14316</v>
      </c>
      <c r="C206" s="82" t="s">
        <v>14317</v>
      </c>
      <c r="D206" s="1"/>
      <c r="E206" s="1"/>
      <c r="F206" s="1"/>
      <c r="G206" s="1"/>
      <c r="H206" s="1"/>
      <c r="I206" s="1"/>
      <c r="J206" s="1"/>
      <c r="K206" s="1"/>
      <c r="L206" s="1"/>
      <c r="M206" s="1"/>
      <c r="N206" s="1"/>
      <c r="O206" s="1"/>
      <c r="P206" s="1"/>
      <c r="Q206" s="1"/>
    </row>
    <row r="207" spans="2:17" x14ac:dyDescent="0.35">
      <c r="B207" s="49" t="s">
        <v>14318</v>
      </c>
      <c r="C207" s="53" t="s">
        <v>14319</v>
      </c>
      <c r="D207" s="1"/>
      <c r="E207" s="1"/>
      <c r="F207" s="1"/>
      <c r="G207" s="1"/>
      <c r="H207" s="1"/>
      <c r="I207" s="1"/>
      <c r="J207" s="1"/>
      <c r="K207" s="1"/>
      <c r="L207" s="1"/>
      <c r="M207" s="1"/>
      <c r="N207" s="1"/>
      <c r="O207" s="1"/>
      <c r="P207" s="1"/>
      <c r="Q207" s="1"/>
    </row>
    <row r="208" spans="2:17" x14ac:dyDescent="0.35">
      <c r="B208" s="49" t="s">
        <v>14320</v>
      </c>
      <c r="C208" s="53" t="s">
        <v>14321</v>
      </c>
    </row>
    <row r="209" spans="2:5" x14ac:dyDescent="0.35">
      <c r="B209" s="49" t="s">
        <v>14322</v>
      </c>
      <c r="C209" s="53" t="s">
        <v>14323</v>
      </c>
    </row>
    <row r="210" spans="2:5" x14ac:dyDescent="0.35">
      <c r="B210" s="49" t="s">
        <v>14324</v>
      </c>
      <c r="C210" s="53" t="s">
        <v>14325</v>
      </c>
    </row>
    <row r="211" spans="2:5" x14ac:dyDescent="0.35">
      <c r="B211" s="49" t="s">
        <v>14326</v>
      </c>
      <c r="C211" s="53" t="s">
        <v>14327</v>
      </c>
    </row>
    <row r="212" spans="2:5" x14ac:dyDescent="0.35">
      <c r="B212" s="49" t="s">
        <v>14328</v>
      </c>
      <c r="C212" s="53" t="s">
        <v>14329</v>
      </c>
    </row>
    <row r="213" spans="2:5" x14ac:dyDescent="0.35">
      <c r="C213" s="1" t="s">
        <v>2762</v>
      </c>
      <c r="D213" s="1" t="s">
        <v>19</v>
      </c>
      <c r="E213" s="250">
        <v>6600.1009999999997</v>
      </c>
    </row>
    <row r="214" spans="2:5" x14ac:dyDescent="0.35">
      <c r="C214" s="1" t="s">
        <v>2761</v>
      </c>
      <c r="D214" s="1" t="s">
        <v>18</v>
      </c>
      <c r="E214" s="250">
        <v>6600.1109999999999</v>
      </c>
    </row>
    <row r="215" spans="2:5" x14ac:dyDescent="0.35">
      <c r="C215" s="1" t="s">
        <v>2760</v>
      </c>
      <c r="D215" s="1" t="s">
        <v>18</v>
      </c>
      <c r="E215" s="250">
        <v>6600.125</v>
      </c>
    </row>
    <row r="216" spans="2:5" x14ac:dyDescent="0.35">
      <c r="C216" s="1" t="s">
        <v>2759</v>
      </c>
      <c r="D216" s="1" t="s">
        <v>19</v>
      </c>
      <c r="E216" s="250">
        <v>6600.1350000000002</v>
      </c>
    </row>
    <row r="217" spans="2:5" x14ac:dyDescent="0.35">
      <c r="C217" s="1" t="s">
        <v>2758</v>
      </c>
      <c r="D217" s="1" t="s">
        <v>19</v>
      </c>
      <c r="E217" s="250">
        <v>6600.1360000000004</v>
      </c>
    </row>
    <row r="218" spans="2:5" x14ac:dyDescent="0.35">
      <c r="C218" s="1" t="s">
        <v>2757</v>
      </c>
      <c r="D218" s="1" t="s">
        <v>19</v>
      </c>
      <c r="E218" s="250">
        <v>6600.1369999999997</v>
      </c>
    </row>
    <row r="219" spans="2:5" x14ac:dyDescent="0.35">
      <c r="C219" s="1" t="s">
        <v>2756</v>
      </c>
      <c r="D219" s="1" t="s">
        <v>19</v>
      </c>
      <c r="E219" s="250">
        <v>6600.1379999999999</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D33D7482-F00A-4715-8C5A-82F84342F1AB}">
      <formula1>$C$205:$C207</formula1>
    </dataValidation>
  </dataValidations>
  <hyperlinks>
    <hyperlink ref="D3" r:id="rId1" display="datamateapp@gmail.com" xr:uid="{59F48AC9-2ABC-4007-902E-53F14F9331A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52266" r:id="rId4" name="Button 10">
              <controlPr defaultSize="0" print="0" autoFill="0" autoPict="0" macro="[0]!ExitSEC_066000">
                <anchor moveWithCells="1" sizeWithCells="1">
                  <from>
                    <xdr:col>16</xdr:col>
                    <xdr:colOff>203200</xdr:colOff>
                    <xdr:row>0</xdr:row>
                    <xdr:rowOff>0</xdr:rowOff>
                  </from>
                  <to>
                    <xdr:col>16</xdr:col>
                    <xdr:colOff>1473200</xdr:colOff>
                    <xdr:row>2</xdr:row>
                    <xdr:rowOff>12700</xdr:rowOff>
                  </to>
                </anchor>
              </controlPr>
            </control>
          </mc:Choice>
        </mc:AlternateContent>
        <mc:AlternateContent xmlns:mc="http://schemas.openxmlformats.org/markup-compatibility/2006">
          <mc:Choice Requires="x14">
            <control shapeId="352301" r:id="rId5" name="Button 45">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352302" r:id="rId6" name="Button 46">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352303" r:id="rId7" name="Button 47">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352304" r:id="rId8" name="Button 48">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352305" r:id="rId9" name="Button 49">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352306" r:id="rId10" name="Button 50">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352307" r:id="rId11" name="Button 51">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352308" r:id="rId12" name="Button 52">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DC976-BD6A-487D-8F11-B7DD73C1B8FF}">
  <sheetPr codeName="Sheet95"/>
  <dimension ref="A1:Q210"/>
  <sheetViews>
    <sheetView zoomScale="75" zoomScaleNormal="75" workbookViewId="0">
      <selection activeCell="C48" sqref="C48"/>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STRUCTURAL COMPOSITES</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06 70 00</v>
      </c>
      <c r="C10" s="24" t="str">
        <f>C206</f>
        <v>STRUCTURAL COMPOSITES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STRUCTURAL COMPOSITES</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14330</v>
      </c>
      <c r="C206" s="82" t="s">
        <v>14331</v>
      </c>
      <c r="D206" s="1"/>
      <c r="E206" s="1"/>
      <c r="F206" s="1"/>
      <c r="G206" s="1"/>
      <c r="H206" s="1"/>
      <c r="I206" s="1"/>
      <c r="J206" s="1"/>
      <c r="K206" s="1"/>
      <c r="L206" s="1"/>
      <c r="M206" s="1"/>
      <c r="N206" s="1"/>
      <c r="O206" s="1"/>
      <c r="P206" s="1"/>
      <c r="Q206" s="1"/>
    </row>
    <row r="207" spans="2:17" x14ac:dyDescent="0.35">
      <c r="B207" s="49" t="s">
        <v>14332</v>
      </c>
      <c r="C207" s="53" t="s">
        <v>14333</v>
      </c>
      <c r="D207" s="1"/>
      <c r="E207" s="1"/>
      <c r="F207" s="1"/>
      <c r="G207" s="1"/>
      <c r="H207" s="1"/>
      <c r="I207" s="1"/>
      <c r="J207" s="1"/>
      <c r="K207" s="1"/>
      <c r="L207" s="1"/>
      <c r="M207" s="1"/>
      <c r="N207" s="1"/>
      <c r="O207" s="1"/>
      <c r="P207" s="1"/>
      <c r="Q207" s="1"/>
    </row>
    <row r="208" spans="2:17" x14ac:dyDescent="0.35">
      <c r="B208" s="49" t="s">
        <v>14334</v>
      </c>
      <c r="C208" s="53" t="s">
        <v>14335</v>
      </c>
    </row>
    <row r="209" spans="2:3" x14ac:dyDescent="0.35">
      <c r="B209" s="49" t="s">
        <v>14336</v>
      </c>
      <c r="C209" s="53" t="s">
        <v>14337</v>
      </c>
    </row>
    <row r="210" spans="2:3" x14ac:dyDescent="0.35">
      <c r="B210" s="49" t="s">
        <v>14338</v>
      </c>
      <c r="C210" s="53" t="s">
        <v>14339</v>
      </c>
    </row>
  </sheetData>
  <mergeCells count="9">
    <mergeCell ref="J6:K6"/>
    <mergeCell ref="J7:K7"/>
    <mergeCell ref="P3:Q3"/>
    <mergeCell ref="A3:B3"/>
    <mergeCell ref="D3:G3"/>
    <mergeCell ref="J3:K3"/>
    <mergeCell ref="A4:B4"/>
    <mergeCell ref="J4:K4"/>
    <mergeCell ref="J5:K5"/>
  </mergeCells>
  <dataValidations count="1">
    <dataValidation type="list" allowBlank="1" showInputMessage="1" showErrorMessage="1" sqref="C16:C190" xr:uid="{D31C5E4B-63F9-459B-A17F-5D96D723725B}">
      <formula1>$C$205:$C207</formula1>
    </dataValidation>
  </dataValidations>
  <hyperlinks>
    <hyperlink ref="D3" r:id="rId1" display="datamateapp@gmail.com" xr:uid="{D7DCFC78-D13B-43B5-BDC4-3771FC651099}"/>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35914" r:id="rId4" name="Button 10">
              <controlPr defaultSize="0" print="0" autoFill="0" autoPict="0" macro="[0]!ExitSEC_067000">
                <anchor moveWithCells="1" sizeWithCells="1">
                  <from>
                    <xdr:col>16</xdr:col>
                    <xdr:colOff>203200</xdr:colOff>
                    <xdr:row>0</xdr:row>
                    <xdr:rowOff>0</xdr:rowOff>
                  </from>
                  <to>
                    <xdr:col>16</xdr:col>
                    <xdr:colOff>1473200</xdr:colOff>
                    <xdr:row>2</xdr:row>
                    <xdr:rowOff>12700</xdr:rowOff>
                  </to>
                </anchor>
              </controlPr>
            </control>
          </mc:Choice>
        </mc:AlternateContent>
        <mc:AlternateContent xmlns:mc="http://schemas.openxmlformats.org/markup-compatibility/2006">
          <mc:Choice Requires="x14">
            <control shapeId="635924" r:id="rId5" name="Button 20">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635925" r:id="rId6" name="Button 21">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635926" r:id="rId7" name="Button 22">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635927" r:id="rId8" name="Button 23">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635928" r:id="rId9" name="Button 24">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635929" r:id="rId10" name="Button 25">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635930" r:id="rId11" name="Button 26">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635931" r:id="rId12" name="Button 27">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8ECDE3-F0A1-45B8-956E-9EED7EC156D8}">
  <sheetPr codeName="Sheet96"/>
  <dimension ref="A1:Q209"/>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COMPOSITE FABRICATIONS</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06 80 00</v>
      </c>
      <c r="C10" s="24" t="str">
        <f>C206</f>
        <v>COMPOSITE FABRICATIONS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COMPOSITE FABRICATIONS</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14340</v>
      </c>
      <c r="C206" s="82" t="s">
        <v>14341</v>
      </c>
      <c r="D206" s="1"/>
      <c r="E206" s="1"/>
      <c r="F206" s="1"/>
      <c r="G206" s="1"/>
      <c r="H206" s="1"/>
      <c r="I206" s="1"/>
      <c r="J206" s="1"/>
      <c r="K206" s="1"/>
      <c r="L206" s="1"/>
      <c r="M206" s="1"/>
      <c r="N206" s="1"/>
      <c r="O206" s="1"/>
      <c r="P206" s="1"/>
      <c r="Q206" s="1"/>
    </row>
    <row r="207" spans="2:17" x14ac:dyDescent="0.35">
      <c r="B207" s="49" t="s">
        <v>14342</v>
      </c>
      <c r="C207" s="53" t="s">
        <v>14343</v>
      </c>
      <c r="D207" s="1"/>
      <c r="E207" s="1"/>
      <c r="F207" s="1"/>
      <c r="G207" s="1"/>
      <c r="H207" s="1"/>
      <c r="I207" s="1"/>
      <c r="J207" s="1"/>
      <c r="K207" s="1"/>
      <c r="L207" s="1"/>
      <c r="M207" s="1"/>
      <c r="N207" s="1"/>
      <c r="O207" s="1"/>
      <c r="P207" s="1"/>
      <c r="Q207" s="1"/>
    </row>
    <row r="208" spans="2:17" x14ac:dyDescent="0.35">
      <c r="B208" s="49" t="s">
        <v>14344</v>
      </c>
      <c r="C208" s="53" t="s">
        <v>14345</v>
      </c>
    </row>
    <row r="209" spans="2:3" x14ac:dyDescent="0.35">
      <c r="B209" s="49" t="s">
        <v>14346</v>
      </c>
      <c r="C209" s="53" t="s">
        <v>14347</v>
      </c>
    </row>
  </sheetData>
  <mergeCells count="9">
    <mergeCell ref="J6:K6"/>
    <mergeCell ref="J7:K7"/>
    <mergeCell ref="P3:Q3"/>
    <mergeCell ref="A3:B3"/>
    <mergeCell ref="D3:G3"/>
    <mergeCell ref="J3:K3"/>
    <mergeCell ref="A4:B4"/>
    <mergeCell ref="J4:K4"/>
    <mergeCell ref="J5:K5"/>
  </mergeCells>
  <dataValidations count="1">
    <dataValidation type="list" allowBlank="1" showInputMessage="1" showErrorMessage="1" sqref="C16:C190" xr:uid="{AD958D7F-02C5-4ED7-8B84-D1FE955A31BD}">
      <formula1>$C$205:$C207</formula1>
    </dataValidation>
  </dataValidations>
  <hyperlinks>
    <hyperlink ref="D3" r:id="rId1" display="datamateapp@gmail.com" xr:uid="{925E614E-A278-466E-ACEC-61ED985818DE}"/>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36938" r:id="rId4" name="Button 10">
              <controlPr defaultSize="0" print="0" autoFill="0" autoPict="0" macro="[0]!ExitSEC_068000">
                <anchor moveWithCells="1" sizeWithCells="1">
                  <from>
                    <xdr:col>16</xdr:col>
                    <xdr:colOff>203200</xdr:colOff>
                    <xdr:row>0</xdr:row>
                    <xdr:rowOff>0</xdr:rowOff>
                  </from>
                  <to>
                    <xdr:col>16</xdr:col>
                    <xdr:colOff>1473200</xdr:colOff>
                    <xdr:row>2</xdr:row>
                    <xdr:rowOff>12700</xdr:rowOff>
                  </to>
                </anchor>
              </controlPr>
            </control>
          </mc:Choice>
        </mc:AlternateContent>
        <mc:AlternateContent xmlns:mc="http://schemas.openxmlformats.org/markup-compatibility/2006">
          <mc:Choice Requires="x14">
            <control shapeId="636948" r:id="rId5" name="Button 20">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636949" r:id="rId6" name="Button 21">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636950" r:id="rId7" name="Button 22">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636951" r:id="rId8" name="Button 23">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636952" r:id="rId9" name="Button 24">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636953" r:id="rId10" name="Button 25">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636954" r:id="rId11" name="Button 26">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636955" r:id="rId12" name="Button 27">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99EB7-C0F3-4BAE-A862-B3B6EB2FDB20}">
  <sheetPr codeName="Sheet18"/>
  <dimension ref="A1:Q206"/>
  <sheetViews>
    <sheetView zoomScale="75" zoomScaleNormal="75" workbookViewId="0">
      <selection activeCell="C48" sqref="C48"/>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CSI Description</v>
      </c>
      <c r="J2" s="59"/>
      <c r="K2" s="59"/>
      <c r="L2" s="1"/>
      <c r="M2" s="59"/>
      <c r="N2" s="59"/>
      <c r="O2" s="60"/>
      <c r="P2" s="57"/>
      <c r="Q2" s="57"/>
    </row>
    <row r="3" spans="1:17" ht="15" thickBot="1" x14ac:dyDescent="0.4">
      <c r="A3" s="446" t="s">
        <v>21542</v>
      </c>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7"/>
      <c r="Q3" s="8"/>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40"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CSI Section</v>
      </c>
      <c r="C10" s="24" t="str">
        <f>C206</f>
        <v>CSI Description</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CSI Description</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21402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21432</v>
      </c>
      <c r="C206" s="106" t="s">
        <v>21400</v>
      </c>
      <c r="D206" s="1"/>
      <c r="E206" s="1"/>
      <c r="F206" s="1"/>
      <c r="G206" s="1"/>
      <c r="H206" s="1"/>
      <c r="I206" s="1"/>
      <c r="J206" s="1"/>
      <c r="K206" s="1"/>
      <c r="L206" s="1"/>
      <c r="M206" s="1"/>
      <c r="N206" s="1"/>
      <c r="O206" s="1"/>
      <c r="P206" s="1"/>
      <c r="Q206" s="1"/>
    </row>
  </sheetData>
  <mergeCells count="8">
    <mergeCell ref="J6:K6"/>
    <mergeCell ref="J7:K7"/>
    <mergeCell ref="A3:B3"/>
    <mergeCell ref="D3:G3"/>
    <mergeCell ref="J3:K3"/>
    <mergeCell ref="A4:B4"/>
    <mergeCell ref="J4:K4"/>
    <mergeCell ref="J5:K5"/>
  </mergeCells>
  <dataValidations count="1">
    <dataValidation type="list" allowBlank="1" showInputMessage="1" showErrorMessage="1" sqref="C16:C190" xr:uid="{31BB1585-F06F-467C-BCF7-4D39A3CF03F4}">
      <formula1>$C$205:$C207</formula1>
    </dataValidation>
  </dataValidations>
  <hyperlinks>
    <hyperlink ref="D3" r:id="rId1" display="datamateapp@gmail.com" xr:uid="{F72D1FBA-BC0A-41D0-90A3-CA3DBF9FEB6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53281" r:id="rId4" name="Button 1">
              <controlPr defaultSize="0" print="0" autoFill="0" autoPict="0">
                <anchor moveWithCells="1" sizeWithCells="1">
                  <from>
                    <xdr:col>17</xdr:col>
                    <xdr:colOff>0</xdr:colOff>
                    <xdr:row>0</xdr:row>
                    <xdr:rowOff>0</xdr:rowOff>
                  </from>
                  <to>
                    <xdr:col>19</xdr:col>
                    <xdr:colOff>50800</xdr:colOff>
                    <xdr:row>2</xdr:row>
                    <xdr:rowOff>19050</xdr:rowOff>
                  </to>
                </anchor>
              </controlPr>
            </control>
          </mc:Choice>
        </mc:AlternateContent>
        <mc:AlternateContent xmlns:mc="http://schemas.openxmlformats.org/markup-compatibility/2006">
          <mc:Choice Requires="x14">
            <control shapeId="353282" r:id="rId5" name="Button 2">
              <controlPr defaultSize="0" print="0" autoFill="0" autoPict="0" macro="[0]!ClearContentsAndDropdowns">
                <anchor moveWithCells="1" sizeWithCells="1">
                  <from>
                    <xdr:col>17</xdr:col>
                    <xdr:colOff>0</xdr:colOff>
                    <xdr:row>2</xdr:row>
                    <xdr:rowOff>184150</xdr:rowOff>
                  </from>
                  <to>
                    <xdr:col>19</xdr:col>
                    <xdr:colOff>50800</xdr:colOff>
                    <xdr:row>5</xdr:row>
                    <xdr:rowOff>25400</xdr:rowOff>
                  </to>
                </anchor>
              </controlPr>
            </control>
          </mc:Choice>
        </mc:AlternateContent>
        <mc:AlternateContent xmlns:mc="http://schemas.openxmlformats.org/markup-compatibility/2006">
          <mc:Choice Requires="x14">
            <control shapeId="353283"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63500</xdr:rowOff>
                  </to>
                </anchor>
              </controlPr>
            </control>
          </mc:Choice>
        </mc:AlternateContent>
        <mc:AlternateContent xmlns:mc="http://schemas.openxmlformats.org/markup-compatibility/2006">
          <mc:Choice Requires="x14">
            <control shapeId="353284"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76200</xdr:rowOff>
                  </to>
                </anchor>
              </controlPr>
            </control>
          </mc:Choice>
        </mc:AlternateContent>
        <mc:AlternateContent xmlns:mc="http://schemas.openxmlformats.org/markup-compatibility/2006">
          <mc:Choice Requires="x14">
            <control shapeId="353285" r:id="rId8" name="Button 5">
              <controlPr defaultSize="0" print="0" autoFill="0" autoPict="0" macro="[0]!Dashboard">
                <anchor moveWithCells="1" sizeWithCells="1">
                  <from>
                    <xdr:col>17</xdr:col>
                    <xdr:colOff>0</xdr:colOff>
                    <xdr:row>11</xdr:row>
                    <xdr:rowOff>12700</xdr:rowOff>
                  </from>
                  <to>
                    <xdr:col>19</xdr:col>
                    <xdr:colOff>50800</xdr:colOff>
                    <xdr:row>13</xdr:row>
                    <xdr:rowOff>31750</xdr:rowOff>
                  </to>
                </anchor>
              </controlPr>
            </control>
          </mc:Choice>
        </mc:AlternateContent>
        <mc:AlternateContent xmlns:mc="http://schemas.openxmlformats.org/markup-compatibility/2006">
          <mc:Choice Requires="x14">
            <control shapeId="353286" r:id="rId9" name="Button 6">
              <controlPr defaultSize="0" print="0" autoFill="0" autoPict="0" macro="[0]!ViewLog">
                <anchor moveWithCells="1" sizeWithCells="1">
                  <from>
                    <xdr:col>17</xdr:col>
                    <xdr:colOff>0</xdr:colOff>
                    <xdr:row>14</xdr:row>
                    <xdr:rowOff>12700</xdr:rowOff>
                  </from>
                  <to>
                    <xdr:col>19</xdr:col>
                    <xdr:colOff>50800</xdr:colOff>
                    <xdr:row>16</xdr:row>
                    <xdr:rowOff>31750</xdr:rowOff>
                  </to>
                </anchor>
              </controlPr>
            </control>
          </mc:Choice>
        </mc:AlternateContent>
        <mc:AlternateContent xmlns:mc="http://schemas.openxmlformats.org/markup-compatibility/2006">
          <mc:Choice Requires="x14">
            <control shapeId="353287" r:id="rId10" name="Button 7">
              <controlPr defaultSize="0" print="0" autoFill="0" autoPict="0" macro="[0]!ViewView_Print">
                <anchor moveWithCells="1" sizeWithCells="1">
                  <from>
                    <xdr:col>17</xdr:col>
                    <xdr:colOff>0</xdr:colOff>
                    <xdr:row>17</xdr:row>
                    <xdr:rowOff>19050</xdr:rowOff>
                  </from>
                  <to>
                    <xdr:col>19</xdr:col>
                    <xdr:colOff>50800</xdr:colOff>
                    <xdr:row>19</xdr:row>
                    <xdr:rowOff>38100</xdr:rowOff>
                  </to>
                </anchor>
              </controlPr>
            </control>
          </mc:Choice>
        </mc:AlternateContent>
        <mc:AlternateContent xmlns:mc="http://schemas.openxmlformats.org/markup-compatibility/2006">
          <mc:Choice Requires="x14">
            <control shapeId="353288" r:id="rId11" name="Button 8">
              <controlPr defaultSize="0" print="0" autoFill="0" autoPict="0" macro="[0]!OpenDataMateAppPage">
                <anchor moveWithCells="1" sizeWithCells="1">
                  <from>
                    <xdr:col>17</xdr:col>
                    <xdr:colOff>0</xdr:colOff>
                    <xdr:row>20</xdr:row>
                    <xdr:rowOff>25400</xdr:rowOff>
                  </from>
                  <to>
                    <xdr:col>19</xdr:col>
                    <xdr:colOff>50800</xdr:colOff>
                    <xdr:row>22</xdr:row>
                    <xdr:rowOff>44450</xdr:rowOff>
                  </to>
                </anchor>
              </controlPr>
            </control>
          </mc:Choice>
        </mc:AlternateContent>
      </controls>
    </mc:Choice>
  </mc:AlternateConten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04DB7-6F27-4827-86F1-06EE75A0E110}">
  <sheetPr codeName="Sheet19"/>
  <dimension ref="B1:O2"/>
  <sheetViews>
    <sheetView workbookViewId="0"/>
  </sheetViews>
  <sheetFormatPr defaultRowHeight="14.5" x14ac:dyDescent="0.35"/>
  <sheetData>
    <row r="1" spans="2:15" x14ac:dyDescent="0.35">
      <c r="B1" s="237"/>
      <c r="C1" s="237"/>
      <c r="D1" s="237"/>
      <c r="E1" s="237"/>
      <c r="F1" s="237"/>
      <c r="G1" s="237"/>
      <c r="H1" s="237"/>
      <c r="I1" s="237"/>
      <c r="J1" s="237"/>
      <c r="K1" s="237"/>
      <c r="L1" s="237"/>
      <c r="M1" s="237" t="str">
        <f>DIV_07Input!M1</f>
        <v>Update 1</v>
      </c>
      <c r="N1" s="237" t="str">
        <f>DIV_07Input!N1</f>
        <v>Update 2</v>
      </c>
      <c r="O1" s="237" t="str">
        <f>DIV_07Input!O1</f>
        <v>Update 3</v>
      </c>
    </row>
    <row r="2" spans="2:15" x14ac:dyDescent="0.35">
      <c r="B2" s="466"/>
      <c r="C2" s="466"/>
      <c r="D2" s="466"/>
      <c r="E2" s="466"/>
      <c r="F2" s="466"/>
      <c r="G2" s="466"/>
      <c r="H2" s="466"/>
      <c r="I2" s="466"/>
      <c r="J2" s="466"/>
      <c r="K2" s="466"/>
      <c r="L2" s="466"/>
    </row>
  </sheetData>
  <mergeCells count="1">
    <mergeCell ref="B2:L2"/>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FA9F7F9-C19D-476E-8111-1731C894FD5F}">
          <x14:formula1>
            <xm:f>DIV_07Data!$A:$A</xm:f>
          </x14:formula1>
          <xm:sqref>B2:L2</xm:sqref>
        </x14:dataValidation>
      </x14:dataValidations>
    </ext>
  </extLs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C3178-1E3D-4505-AE40-0F54D4940A38}">
  <sheetPr codeName="Sheet82"/>
  <dimension ref="A2:B3"/>
  <sheetViews>
    <sheetView zoomScale="75" zoomScaleNormal="75" workbookViewId="0">
      <selection activeCell="A3" sqref="A3"/>
    </sheetView>
  </sheetViews>
  <sheetFormatPr defaultRowHeight="14.5" x14ac:dyDescent="0.35"/>
  <cols>
    <col min="1" max="1" width="28.26953125" customWidth="1"/>
    <col min="2" max="8" width="13.36328125" customWidth="1"/>
    <col min="9" max="9" width="50.36328125" customWidth="1"/>
    <col min="13" max="15" width="10.26953125" customWidth="1"/>
  </cols>
  <sheetData>
    <row r="2" spans="1:2" ht="18.5" x14ac:dyDescent="0.45">
      <c r="A2" s="71" t="str">
        <f>DIV_07Input!A3</f>
        <v>DIV 07</v>
      </c>
      <c r="B2" s="1"/>
    </row>
    <row r="3" spans="1:2" x14ac:dyDescent="0.35">
      <c r="A3" s="1" t="s">
        <v>21395</v>
      </c>
      <c r="B3" s="246">
        <f ca="1">TODAY()</f>
        <v>45603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28737" r:id="rId3" name="Button 1">
              <controlPr defaultSize="0" print="0" autoFill="0" autoPict="0" macro="[0]!ViewInput">
                <anchor moveWithCells="1" sizeWithCells="1">
                  <from>
                    <xdr:col>16</xdr:col>
                    <xdr:colOff>603250</xdr:colOff>
                    <xdr:row>0</xdr:row>
                    <xdr:rowOff>0</xdr:rowOff>
                  </from>
                  <to>
                    <xdr:col>19</xdr:col>
                    <xdr:colOff>44450</xdr:colOff>
                    <xdr:row>2</xdr:row>
                    <xdr:rowOff>12700</xdr:rowOff>
                  </to>
                </anchor>
              </controlPr>
            </control>
          </mc:Choice>
        </mc:AlternateContent>
        <mc:AlternateContent xmlns:mc="http://schemas.openxmlformats.org/markup-compatibility/2006">
          <mc:Choice Requires="x14">
            <control shapeId="628738" r:id="rId4" name="Button 2">
              <controlPr defaultSize="0" print="0" autoFill="0" autoPict="0" macro="[0]!ViewView_Print">
                <anchor moveWithCells="1" sizeWithCells="1">
                  <from>
                    <xdr:col>16</xdr:col>
                    <xdr:colOff>603250</xdr:colOff>
                    <xdr:row>2</xdr:row>
                    <xdr:rowOff>38100</xdr:rowOff>
                  </from>
                  <to>
                    <xdr:col>19</xdr:col>
                    <xdr:colOff>44450</xdr:colOff>
                    <xdr:row>4</xdr:row>
                    <xdr:rowOff>50800</xdr:rowOff>
                  </to>
                </anchor>
              </controlPr>
            </control>
          </mc:Choice>
        </mc:AlternateContent>
        <mc:AlternateContent xmlns:mc="http://schemas.openxmlformats.org/markup-compatibility/2006">
          <mc:Choice Requires="x14">
            <control shapeId="628739" r:id="rId5" name="Button 3">
              <controlPr defaultSize="0" print="0" autoFill="0" autoPict="0" macro="[0]!ViewUpdate">
                <anchor moveWithCells="1" sizeWithCells="1">
                  <from>
                    <xdr:col>16</xdr:col>
                    <xdr:colOff>603250</xdr:colOff>
                    <xdr:row>4</xdr:row>
                    <xdr:rowOff>76200</xdr:rowOff>
                  </from>
                  <to>
                    <xdr:col>19</xdr:col>
                    <xdr:colOff>44450</xdr:colOff>
                    <xdr:row>6</xdr:row>
                    <xdr:rowOff>88900</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E3CB0-9D41-48C3-A914-CB27AD71D7F9}">
  <sheetPr codeName="Sheet83"/>
  <dimension ref="A1:P1"/>
  <sheetViews>
    <sheetView workbookViewId="0">
      <selection sqref="A1:Q207"/>
    </sheetView>
  </sheetViews>
  <sheetFormatPr defaultRowHeight="14.5" x14ac:dyDescent="0.35"/>
  <cols>
    <col min="1" max="1" width="8.7265625" style="248"/>
    <col min="5" max="5" width="22.08984375" style="248" customWidth="1"/>
    <col min="6" max="6" width="8.7265625" style="248"/>
    <col min="7" max="11" width="11.6328125" style="248" customWidth="1"/>
    <col min="12" max="12" width="12.26953125" style="248" customWidth="1"/>
    <col min="13" max="13" width="34.54296875" style="248" customWidth="1"/>
    <col min="14" max="16" width="8.7265625" style="248"/>
  </cols>
  <sheetData>
    <row r="1" spans="2:16" x14ac:dyDescent="0.35">
      <c r="B1" s="73" t="str">
        <f>DIV_08View_Print!M1</f>
        <v>Update 1</v>
      </c>
      <c r="C1" s="73" t="str">
        <f>DIV_08View_Print!N1</f>
        <v>Update 2</v>
      </c>
      <c r="D1" s="73" t="str">
        <f>DIV_08View_Print!O1</f>
        <v>Update 3</v>
      </c>
      <c r="E1" s="74" t="str">
        <f>SEC_081000!A1</f>
        <v>AREA/FLOOR/ZONE</v>
      </c>
      <c r="F1" s="74" t="str">
        <f>SEC_081000!B1</f>
        <v>Page</v>
      </c>
      <c r="G1" s="74" t="str">
        <f>SEC_081000!C1</f>
        <v>SUB COST</v>
      </c>
      <c r="H1" s="74" t="str">
        <f>SEC_081000!D1</f>
        <v>MAT COST</v>
      </c>
      <c r="I1" s="74" t="str">
        <f>SEC_081000!E1</f>
        <v>LAB COST</v>
      </c>
      <c r="J1" s="74" t="str">
        <f>SEC_081000!F1</f>
        <v>EQUIP COST</v>
      </c>
      <c r="K1" s="74" t="str">
        <f>SEC_081000!G1</f>
        <v>Total Cost</v>
      </c>
      <c r="L1" s="74" t="str">
        <f>SEC_081000!H1</f>
        <v>Date</v>
      </c>
      <c r="M1" s="74" t="str">
        <f>SEC_081000!I1</f>
        <v>Description</v>
      </c>
      <c r="N1" s="74" t="str">
        <f>SEC_081000!J1</f>
        <v>Log 10</v>
      </c>
      <c r="O1" s="74" t="str">
        <f>SEC_081000!K1</f>
        <v>Log 11</v>
      </c>
      <c r="P1" s="75" t="str">
        <f>SEC_081000!L1</f>
        <v>Log 12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4417" r:id="rId3" name="Button 1">
              <controlPr defaultSize="0" print="0" autoFill="0" autoPict="0" macro="[0]!ViewLog">
                <anchor moveWithCells="1" sizeWithCells="1">
                  <from>
                    <xdr:col>17</xdr:col>
                    <xdr:colOff>0</xdr:colOff>
                    <xdr:row>0</xdr:row>
                    <xdr:rowOff>44450</xdr:rowOff>
                  </from>
                  <to>
                    <xdr:col>19</xdr:col>
                    <xdr:colOff>50800</xdr:colOff>
                    <xdr:row>2</xdr:row>
                    <xdr:rowOff>57150</xdr:rowOff>
                  </to>
                </anchor>
              </controlPr>
            </control>
          </mc:Choice>
        </mc:AlternateContent>
      </controls>
    </mc:Choice>
  </mc:AlternateConten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04AF48-4438-4D2B-80F3-72CB90519436}">
  <sheetPr codeName="Sheet84"/>
  <dimension ref="S1:AG1"/>
  <sheetViews>
    <sheetView workbookViewId="0"/>
  </sheetViews>
  <sheetFormatPr defaultRowHeight="14.5" x14ac:dyDescent="0.35"/>
  <sheetData>
    <row r="1" spans="19:33" x14ac:dyDescent="0.35">
      <c r="S1" t="str">
        <f>DIV_07Input!A1</f>
        <v>AREA/FLOOR/ZONE</v>
      </c>
      <c r="T1" t="str">
        <f>DIV_07Input!B1</f>
        <v>Page</v>
      </c>
      <c r="U1" t="str">
        <f>DIV_07Input!C1</f>
        <v>SUB COST</v>
      </c>
      <c r="V1" t="str">
        <f>DIV_07Input!D1</f>
        <v>MAT COST</v>
      </c>
      <c r="W1" t="str">
        <f>DIV_07Input!E1</f>
        <v>LAB COST</v>
      </c>
      <c r="X1" t="str">
        <f>DIV_07Input!F1</f>
        <v>EQUIP COST</v>
      </c>
      <c r="Y1" t="str">
        <f>DIV_07Input!G1</f>
        <v>Total Cost</v>
      </c>
      <c r="Z1" t="str">
        <f>DIV_07Input!H1</f>
        <v>Date</v>
      </c>
      <c r="AA1" t="str">
        <f>DIV_07Input!I1</f>
        <v>Description</v>
      </c>
      <c r="AB1" t="str">
        <f>DIV_07Input!J1</f>
        <v>Log 10</v>
      </c>
      <c r="AC1" t="str">
        <f>DIV_07Input!K1</f>
        <v>Log 11</v>
      </c>
      <c r="AD1" t="str">
        <f>DIV_07Input!L1</f>
        <v>Log 12</v>
      </c>
      <c r="AE1" t="str">
        <f>DIV_07Input!M1</f>
        <v>Update 1</v>
      </c>
      <c r="AF1" t="str">
        <f>DIV_07Input!N1</f>
        <v>Update 2</v>
      </c>
      <c r="AG1" t="str">
        <f>DIV_07Input!O1</f>
        <v>Update 3</v>
      </c>
    </row>
  </sheetData>
  <pageMargins left="0.7" right="0.7" top="0.75" bottom="0.75" header="0.3" footer="0.3"/>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BCBDF-E3E9-4243-BEF1-40F9F856EABB}">
  <sheetPr codeName="Sheet85"/>
  <dimension ref="A1:Q244"/>
  <sheetViews>
    <sheetView zoomScale="75" zoomScaleNormal="75" workbookViewId="0"/>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DAMPPROOFING AND WATERPROOFING</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07 10 00</v>
      </c>
      <c r="C10" s="24" t="str">
        <f>C206</f>
        <v>DAMPPROOFING AND WATERPROOFING</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DAMPPROOFING AND WATERPROOFING</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14351</v>
      </c>
      <c r="C206" s="82" t="s">
        <v>14352</v>
      </c>
      <c r="D206" s="1"/>
      <c r="E206" s="1"/>
      <c r="F206" s="1"/>
      <c r="G206" s="1"/>
      <c r="H206" s="1"/>
      <c r="I206" s="1"/>
      <c r="J206" s="1"/>
      <c r="K206" s="1"/>
      <c r="L206" s="1"/>
      <c r="M206" s="1"/>
      <c r="N206" s="1"/>
      <c r="O206" s="1"/>
      <c r="P206" s="1"/>
      <c r="Q206" s="1"/>
    </row>
    <row r="207" spans="2:17" x14ac:dyDescent="0.35">
      <c r="B207" s="49" t="s">
        <v>14353</v>
      </c>
      <c r="C207" s="53" t="s">
        <v>2752</v>
      </c>
      <c r="D207" s="1"/>
      <c r="E207" s="1"/>
      <c r="F207" s="1"/>
      <c r="G207" s="1"/>
      <c r="H207" s="1"/>
      <c r="I207" s="1"/>
      <c r="J207" s="1"/>
      <c r="K207" s="1"/>
      <c r="L207" s="1"/>
      <c r="M207" s="1"/>
      <c r="N207" s="1"/>
      <c r="O207" s="1"/>
      <c r="P207" s="1"/>
      <c r="Q207" s="1"/>
    </row>
    <row r="208" spans="2:17" x14ac:dyDescent="0.35">
      <c r="B208" s="49" t="s">
        <v>14354</v>
      </c>
      <c r="C208" s="53" t="s">
        <v>14355</v>
      </c>
    </row>
    <row r="209" spans="2:5" x14ac:dyDescent="0.35">
      <c r="B209" s="49" t="s">
        <v>14356</v>
      </c>
      <c r="C209" s="53" t="s">
        <v>14357</v>
      </c>
    </row>
    <row r="210" spans="2:5" x14ac:dyDescent="0.35">
      <c r="B210" s="49" t="s">
        <v>14358</v>
      </c>
      <c r="C210" s="53" t="s">
        <v>14359</v>
      </c>
    </row>
    <row r="211" spans="2:5" x14ac:dyDescent="0.35">
      <c r="B211" s="49" t="s">
        <v>14360</v>
      </c>
      <c r="C211" s="53" t="s">
        <v>14361</v>
      </c>
    </row>
    <row r="212" spans="2:5" x14ac:dyDescent="0.35">
      <c r="B212" s="49" t="s">
        <v>14362</v>
      </c>
      <c r="C212" s="53" t="s">
        <v>14363</v>
      </c>
    </row>
    <row r="213" spans="2:5" x14ac:dyDescent="0.35">
      <c r="B213" s="49" t="s">
        <v>14364</v>
      </c>
      <c r="C213" s="53" t="s">
        <v>14365</v>
      </c>
    </row>
    <row r="214" spans="2:5" x14ac:dyDescent="0.35">
      <c r="B214" s="49" t="s">
        <v>14366</v>
      </c>
      <c r="C214" s="53" t="s">
        <v>14367</v>
      </c>
    </row>
    <row r="215" spans="2:5" x14ac:dyDescent="0.35">
      <c r="B215" s="49" t="s">
        <v>14368</v>
      </c>
      <c r="C215" s="53" t="s">
        <v>14369</v>
      </c>
    </row>
    <row r="216" spans="2:5" x14ac:dyDescent="0.35">
      <c r="C216" s="1" t="s">
        <v>2755</v>
      </c>
      <c r="D216" s="1" t="s">
        <v>621</v>
      </c>
      <c r="E216" s="250">
        <v>7099.89</v>
      </c>
    </row>
    <row r="217" spans="2:5" x14ac:dyDescent="0.35">
      <c r="C217" s="1" t="s">
        <v>2754</v>
      </c>
      <c r="D217" s="1" t="s">
        <v>621</v>
      </c>
      <c r="E217" s="250">
        <v>7109.9110000000001</v>
      </c>
    </row>
    <row r="218" spans="2:5" x14ac:dyDescent="0.35">
      <c r="C218" s="1" t="s">
        <v>2753</v>
      </c>
      <c r="D218" s="1" t="s">
        <v>20</v>
      </c>
      <c r="E218" s="250">
        <v>7110.0110000000004</v>
      </c>
    </row>
    <row r="219" spans="2:5" x14ac:dyDescent="0.35">
      <c r="C219" s="1" t="s">
        <v>2752</v>
      </c>
      <c r="D219" s="1" t="s">
        <v>20</v>
      </c>
      <c r="E219" s="250">
        <v>7110.0119999999997</v>
      </c>
    </row>
    <row r="220" spans="2:5" x14ac:dyDescent="0.35">
      <c r="C220" s="1" t="s">
        <v>2751</v>
      </c>
      <c r="D220" s="1" t="s">
        <v>20</v>
      </c>
      <c r="E220" s="250">
        <v>7110.0150000000003</v>
      </c>
    </row>
    <row r="221" spans="2:5" x14ac:dyDescent="0.35">
      <c r="C221" s="1" t="s">
        <v>2750</v>
      </c>
      <c r="D221" s="1" t="s">
        <v>20</v>
      </c>
      <c r="E221" s="250">
        <v>7110.0159999999996</v>
      </c>
    </row>
    <row r="222" spans="2:5" x14ac:dyDescent="0.35">
      <c r="C222" s="1" t="s">
        <v>2749</v>
      </c>
      <c r="D222" s="1" t="s">
        <v>20</v>
      </c>
      <c r="E222" s="250">
        <v>7110.0209999999997</v>
      </c>
    </row>
    <row r="223" spans="2:5" x14ac:dyDescent="0.35">
      <c r="C223" s="1" t="s">
        <v>2748</v>
      </c>
      <c r="D223" s="1" t="s">
        <v>621</v>
      </c>
      <c r="E223" s="250">
        <v>7119.9</v>
      </c>
    </row>
    <row r="224" spans="2:5" x14ac:dyDescent="0.35">
      <c r="C224" s="1" t="s">
        <v>2745</v>
      </c>
      <c r="D224" s="1" t="s">
        <v>20</v>
      </c>
      <c r="E224" s="250">
        <v>7120.01</v>
      </c>
    </row>
    <row r="225" spans="3:5" x14ac:dyDescent="0.35">
      <c r="C225" s="1" t="s">
        <v>2744</v>
      </c>
      <c r="D225" s="1" t="s">
        <v>20</v>
      </c>
      <c r="E225" s="250">
        <v>7120.0110000000004</v>
      </c>
    </row>
    <row r="226" spans="3:5" x14ac:dyDescent="0.35">
      <c r="C226" s="1" t="s">
        <v>2747</v>
      </c>
      <c r="D226" s="1" t="s">
        <v>20</v>
      </c>
      <c r="E226" s="250">
        <v>7120.0119999999997</v>
      </c>
    </row>
    <row r="227" spans="3:5" x14ac:dyDescent="0.35">
      <c r="C227" s="1" t="s">
        <v>2740</v>
      </c>
      <c r="D227" s="1" t="s">
        <v>20</v>
      </c>
      <c r="E227" s="250">
        <v>7120.02</v>
      </c>
    </row>
    <row r="228" spans="3:5" x14ac:dyDescent="0.35">
      <c r="C228" s="1" t="s">
        <v>2746</v>
      </c>
      <c r="D228" s="1" t="s">
        <v>20</v>
      </c>
      <c r="E228" s="250">
        <v>7130.01</v>
      </c>
    </row>
    <row r="229" spans="3:5" x14ac:dyDescent="0.35">
      <c r="C229" s="1" t="s">
        <v>2745</v>
      </c>
      <c r="D229" s="1" t="s">
        <v>20</v>
      </c>
      <c r="E229" s="250">
        <v>7130.02</v>
      </c>
    </row>
    <row r="230" spans="3:5" x14ac:dyDescent="0.35">
      <c r="C230" s="1" t="s">
        <v>2744</v>
      </c>
      <c r="D230" s="1" t="s">
        <v>20</v>
      </c>
      <c r="E230" s="250">
        <v>7130.03</v>
      </c>
    </row>
    <row r="231" spans="3:5" x14ac:dyDescent="0.35">
      <c r="C231" s="1" t="s">
        <v>2743</v>
      </c>
      <c r="D231" s="1" t="s">
        <v>20</v>
      </c>
      <c r="E231" s="250">
        <v>7130.04</v>
      </c>
    </row>
    <row r="232" spans="3:5" x14ac:dyDescent="0.35">
      <c r="C232" s="1" t="s">
        <v>2742</v>
      </c>
      <c r="D232" s="1" t="s">
        <v>20</v>
      </c>
      <c r="E232" s="250">
        <v>7130.0450000000001</v>
      </c>
    </row>
    <row r="233" spans="3:5" x14ac:dyDescent="0.35">
      <c r="C233" s="1" t="s">
        <v>2741</v>
      </c>
      <c r="D233" s="1" t="s">
        <v>20</v>
      </c>
      <c r="E233" s="250">
        <v>7140.0110000000004</v>
      </c>
    </row>
    <row r="234" spans="3:5" x14ac:dyDescent="0.35">
      <c r="C234" s="1" t="s">
        <v>2739</v>
      </c>
      <c r="D234" s="1" t="s">
        <v>20</v>
      </c>
      <c r="E234" s="250">
        <v>7140.0119999999997</v>
      </c>
    </row>
    <row r="235" spans="3:5" x14ac:dyDescent="0.35">
      <c r="C235" s="1" t="s">
        <v>2740</v>
      </c>
      <c r="D235" s="1" t="s">
        <v>20</v>
      </c>
      <c r="E235" s="250">
        <v>7140.0150000000003</v>
      </c>
    </row>
    <row r="236" spans="3:5" x14ac:dyDescent="0.35">
      <c r="C236" s="1" t="s">
        <v>2739</v>
      </c>
      <c r="D236" s="1" t="s">
        <v>20</v>
      </c>
      <c r="E236" s="250">
        <v>7140.02</v>
      </c>
    </row>
    <row r="237" spans="3:5" x14ac:dyDescent="0.35">
      <c r="C237" s="1" t="s">
        <v>2738</v>
      </c>
      <c r="D237" s="1" t="s">
        <v>20</v>
      </c>
      <c r="E237" s="250">
        <v>7140.03</v>
      </c>
    </row>
    <row r="238" spans="3:5" x14ac:dyDescent="0.35">
      <c r="C238" s="1" t="s">
        <v>2737</v>
      </c>
      <c r="D238" s="1" t="s">
        <v>20</v>
      </c>
      <c r="E238" s="250">
        <v>7160.0110000000004</v>
      </c>
    </row>
    <row r="239" spans="3:5" x14ac:dyDescent="0.35">
      <c r="C239" s="1" t="s">
        <v>2736</v>
      </c>
      <c r="D239" s="1" t="s">
        <v>20</v>
      </c>
      <c r="E239" s="250">
        <v>7160.0119999999997</v>
      </c>
    </row>
    <row r="240" spans="3:5" x14ac:dyDescent="0.35">
      <c r="C240" s="1" t="s">
        <v>2735</v>
      </c>
      <c r="D240" s="1" t="s">
        <v>20</v>
      </c>
      <c r="E240" s="250">
        <v>7160.0150000000003</v>
      </c>
    </row>
    <row r="241" spans="3:5" x14ac:dyDescent="0.35">
      <c r="C241" s="1" t="s">
        <v>2734</v>
      </c>
      <c r="D241" s="1" t="s">
        <v>20</v>
      </c>
      <c r="E241" s="250">
        <v>7160.02</v>
      </c>
    </row>
    <row r="242" spans="3:5" x14ac:dyDescent="0.35">
      <c r="C242" s="1" t="s">
        <v>2733</v>
      </c>
      <c r="D242" s="1" t="s">
        <v>20</v>
      </c>
      <c r="E242" s="250">
        <v>7170.01</v>
      </c>
    </row>
    <row r="243" spans="3:5" x14ac:dyDescent="0.35">
      <c r="C243" s="1" t="s">
        <v>2732</v>
      </c>
      <c r="D243" s="1" t="s">
        <v>20</v>
      </c>
      <c r="E243" s="250">
        <v>7170.02</v>
      </c>
    </row>
    <row r="244" spans="3:5" x14ac:dyDescent="0.35">
      <c r="C244" s="1" t="s">
        <v>2731</v>
      </c>
      <c r="D244" s="1" t="s">
        <v>20</v>
      </c>
      <c r="E244" s="250">
        <v>7170.0219999999999</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E333723C-DD96-4A77-ABDA-0C9A321A8E80}">
      <formula1>$C$205:$C207</formula1>
    </dataValidation>
  </dataValidations>
  <hyperlinks>
    <hyperlink ref="D3" r:id="rId1" display="datamateapp@gmail.com" xr:uid="{A6935448-8A12-4DA6-9BEF-9A637800C2FE}"/>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54314" r:id="rId4" name="Button 10">
              <controlPr defaultSize="0" print="0" autoFill="0" autoPict="0" macro="[0]!ExitSEC_071000">
                <anchor moveWithCells="1" sizeWithCells="1">
                  <from>
                    <xdr:col>16</xdr:col>
                    <xdr:colOff>247650</xdr:colOff>
                    <xdr:row>0</xdr:row>
                    <xdr:rowOff>0</xdr:rowOff>
                  </from>
                  <to>
                    <xdr:col>17</xdr:col>
                    <xdr:colOff>25400</xdr:colOff>
                    <xdr:row>2</xdr:row>
                    <xdr:rowOff>12700</xdr:rowOff>
                  </to>
                </anchor>
              </controlPr>
            </control>
          </mc:Choice>
        </mc:AlternateContent>
        <mc:AlternateContent xmlns:mc="http://schemas.openxmlformats.org/markup-compatibility/2006">
          <mc:Choice Requires="x14">
            <control shapeId="354341" r:id="rId5" name="Button 37">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354342" r:id="rId6" name="Button 38">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354343" r:id="rId7" name="Button 39">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354344" r:id="rId8" name="Button 40">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354345" r:id="rId9" name="Button 41">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354346" r:id="rId10" name="Button 42">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354347" r:id="rId11" name="Button 43">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354348" r:id="rId12" name="Button 44">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38CE2-0C77-4E6B-BF2A-2A7950F17D7F}">
  <sheetPr codeName="Sheet86"/>
  <dimension ref="A1:Q426"/>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THERMAL PROTECTION</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07 20 00</v>
      </c>
      <c r="C10" s="24" t="str">
        <f>C206</f>
        <v>THERMAL PROTECTION</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THERMAL PROTECTION</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14370</v>
      </c>
      <c r="C206" s="82" t="s">
        <v>14371</v>
      </c>
      <c r="D206" s="1"/>
      <c r="E206" s="1"/>
      <c r="F206" s="1"/>
      <c r="G206" s="1"/>
      <c r="H206" s="1"/>
      <c r="I206" s="1"/>
      <c r="J206" s="1"/>
      <c r="K206" s="1"/>
      <c r="L206" s="1"/>
      <c r="M206" s="1"/>
      <c r="N206" s="1"/>
      <c r="O206" s="1"/>
      <c r="P206" s="1"/>
      <c r="Q206" s="1"/>
    </row>
    <row r="207" spans="2:17" x14ac:dyDescent="0.35">
      <c r="B207" s="49" t="s">
        <v>14372</v>
      </c>
      <c r="C207" s="53" t="s">
        <v>14373</v>
      </c>
      <c r="D207" s="1"/>
      <c r="E207" s="1"/>
      <c r="F207" s="1"/>
      <c r="G207" s="1"/>
      <c r="H207" s="1"/>
      <c r="I207" s="1"/>
      <c r="J207" s="1"/>
      <c r="K207" s="1"/>
      <c r="L207" s="1"/>
      <c r="M207" s="1"/>
      <c r="N207" s="1"/>
      <c r="O207" s="1"/>
      <c r="P207" s="1"/>
      <c r="Q207" s="1"/>
    </row>
    <row r="208" spans="2:17" x14ac:dyDescent="0.35">
      <c r="B208" s="49" t="s">
        <v>14374</v>
      </c>
      <c r="C208" s="53" t="s">
        <v>14375</v>
      </c>
    </row>
    <row r="209" spans="2:5" x14ac:dyDescent="0.35">
      <c r="B209" s="49" t="s">
        <v>14376</v>
      </c>
      <c r="C209" s="53" t="s">
        <v>14377</v>
      </c>
    </row>
    <row r="210" spans="2:5" x14ac:dyDescent="0.35">
      <c r="B210" s="49" t="s">
        <v>14378</v>
      </c>
      <c r="C210" s="53" t="s">
        <v>14379</v>
      </c>
    </row>
    <row r="211" spans="2:5" x14ac:dyDescent="0.35">
      <c r="B211" s="49" t="s">
        <v>14380</v>
      </c>
      <c r="C211" s="53" t="s">
        <v>14381</v>
      </c>
    </row>
    <row r="212" spans="2:5" x14ac:dyDescent="0.35">
      <c r="B212" s="49" t="s">
        <v>14382</v>
      </c>
      <c r="C212" s="53" t="s">
        <v>14383</v>
      </c>
    </row>
    <row r="213" spans="2:5" x14ac:dyDescent="0.35">
      <c r="C213" s="1" t="s">
        <v>2705</v>
      </c>
      <c r="D213" s="1" t="s">
        <v>20</v>
      </c>
      <c r="E213" s="250">
        <v>7210.01</v>
      </c>
    </row>
    <row r="214" spans="2:5" x14ac:dyDescent="0.35">
      <c r="C214" s="1" t="s">
        <v>2704</v>
      </c>
      <c r="D214" s="1" t="s">
        <v>20</v>
      </c>
      <c r="E214" s="250">
        <v>7210.0110000000004</v>
      </c>
    </row>
    <row r="215" spans="2:5" x14ac:dyDescent="0.35">
      <c r="C215" s="1" t="s">
        <v>2703</v>
      </c>
      <c r="D215" s="1" t="s">
        <v>20</v>
      </c>
      <c r="E215" s="250">
        <v>7210.0119999999997</v>
      </c>
    </row>
    <row r="216" spans="2:5" x14ac:dyDescent="0.35">
      <c r="C216" s="1" t="s">
        <v>2727</v>
      </c>
      <c r="D216" s="1" t="s">
        <v>20</v>
      </c>
      <c r="E216" s="250">
        <v>7210.02</v>
      </c>
    </row>
    <row r="217" spans="2:5" x14ac:dyDescent="0.35">
      <c r="C217" s="1" t="s">
        <v>2726</v>
      </c>
      <c r="D217" s="1" t="s">
        <v>20</v>
      </c>
      <c r="E217" s="250">
        <v>7210.03</v>
      </c>
    </row>
    <row r="218" spans="2:5" x14ac:dyDescent="0.35">
      <c r="C218" s="1" t="s">
        <v>2725</v>
      </c>
      <c r="D218" s="1" t="s">
        <v>20</v>
      </c>
      <c r="E218" s="250">
        <v>7210.04</v>
      </c>
    </row>
    <row r="219" spans="2:5" x14ac:dyDescent="0.35">
      <c r="C219" s="1" t="s">
        <v>2730</v>
      </c>
      <c r="D219" s="1" t="s">
        <v>20</v>
      </c>
      <c r="E219" s="250">
        <v>7210.0410000000002</v>
      </c>
    </row>
    <row r="220" spans="2:5" x14ac:dyDescent="0.35">
      <c r="C220" s="1" t="s">
        <v>2729</v>
      </c>
      <c r="D220" s="1" t="s">
        <v>20</v>
      </c>
      <c r="E220" s="250">
        <v>7210.0420000000004</v>
      </c>
    </row>
    <row r="221" spans="2:5" x14ac:dyDescent="0.35">
      <c r="C221" s="1" t="s">
        <v>2728</v>
      </c>
      <c r="D221" s="1" t="s">
        <v>20</v>
      </c>
      <c r="E221" s="250">
        <v>7210.0429999999997</v>
      </c>
    </row>
    <row r="222" spans="2:5" x14ac:dyDescent="0.35">
      <c r="C222" s="1" t="s">
        <v>51</v>
      </c>
      <c r="D222" s="1" t="s">
        <v>39</v>
      </c>
      <c r="E222" s="250">
        <v>7210.05</v>
      </c>
    </row>
    <row r="223" spans="2:5" x14ac:dyDescent="0.35">
      <c r="C223" s="1" t="s">
        <v>51</v>
      </c>
      <c r="D223" s="1" t="s">
        <v>20</v>
      </c>
      <c r="E223" s="250">
        <v>7210.06</v>
      </c>
    </row>
    <row r="224" spans="2:5" x14ac:dyDescent="0.35">
      <c r="C224" s="1" t="s">
        <v>2727</v>
      </c>
      <c r="D224" s="1" t="s">
        <v>20</v>
      </c>
      <c r="E224" s="250">
        <v>7210.07</v>
      </c>
    </row>
    <row r="225" spans="3:5" x14ac:dyDescent="0.35">
      <c r="C225" s="1" t="s">
        <v>2726</v>
      </c>
      <c r="D225" s="1" t="s">
        <v>20</v>
      </c>
      <c r="E225" s="250">
        <v>7210.0709999999999</v>
      </c>
    </row>
    <row r="226" spans="3:5" x14ac:dyDescent="0.35">
      <c r="C226" s="1" t="s">
        <v>2725</v>
      </c>
      <c r="D226" s="1" t="s">
        <v>20</v>
      </c>
      <c r="E226" s="250">
        <v>7210.0720000000001</v>
      </c>
    </row>
    <row r="227" spans="3:5" x14ac:dyDescent="0.35">
      <c r="C227" s="1" t="s">
        <v>2724</v>
      </c>
      <c r="D227" s="1" t="s">
        <v>20</v>
      </c>
      <c r="E227" s="250">
        <v>7210.08</v>
      </c>
    </row>
    <row r="228" spans="3:5" x14ac:dyDescent="0.35">
      <c r="C228" s="1" t="s">
        <v>2723</v>
      </c>
      <c r="D228" s="1" t="s">
        <v>20</v>
      </c>
      <c r="E228" s="250">
        <v>7210.0810000000001</v>
      </c>
    </row>
    <row r="229" spans="3:5" x14ac:dyDescent="0.35">
      <c r="C229" s="1" t="s">
        <v>2722</v>
      </c>
      <c r="D229" s="1" t="s">
        <v>20</v>
      </c>
      <c r="E229" s="250">
        <v>7210.0820000000003</v>
      </c>
    </row>
    <row r="230" spans="3:5" x14ac:dyDescent="0.35">
      <c r="C230" s="1" t="s">
        <v>2697</v>
      </c>
      <c r="D230" s="1" t="s">
        <v>20</v>
      </c>
      <c r="E230" s="250">
        <v>7210.09</v>
      </c>
    </row>
    <row r="231" spans="3:5" x14ac:dyDescent="0.35">
      <c r="C231" s="1" t="s">
        <v>2721</v>
      </c>
      <c r="D231" s="1" t="s">
        <v>20</v>
      </c>
      <c r="E231" s="250">
        <v>7210.0910000000003</v>
      </c>
    </row>
    <row r="232" spans="3:5" x14ac:dyDescent="0.35">
      <c r="C232" s="1" t="s">
        <v>2694</v>
      </c>
      <c r="D232" s="1" t="s">
        <v>20</v>
      </c>
      <c r="E232" s="250">
        <v>7210.0919999999996</v>
      </c>
    </row>
    <row r="233" spans="3:5" x14ac:dyDescent="0.35">
      <c r="C233" s="1" t="s">
        <v>2693</v>
      </c>
      <c r="D233" s="1" t="s">
        <v>20</v>
      </c>
      <c r="E233" s="250">
        <v>7210.0929999999998</v>
      </c>
    </row>
    <row r="234" spans="3:5" x14ac:dyDescent="0.35">
      <c r="C234" s="1" t="s">
        <v>2720</v>
      </c>
      <c r="D234" s="1" t="s">
        <v>20</v>
      </c>
      <c r="E234" s="250">
        <v>7210.0940000000001</v>
      </c>
    </row>
    <row r="235" spans="3:5" x14ac:dyDescent="0.35">
      <c r="C235" s="1" t="s">
        <v>2719</v>
      </c>
      <c r="D235" s="1" t="s">
        <v>20</v>
      </c>
      <c r="E235" s="250">
        <v>7210.0950000000003</v>
      </c>
    </row>
    <row r="236" spans="3:5" x14ac:dyDescent="0.35">
      <c r="C236" s="1" t="s">
        <v>2718</v>
      </c>
      <c r="D236" s="1" t="s">
        <v>20</v>
      </c>
      <c r="E236" s="250">
        <v>7210.0959999999995</v>
      </c>
    </row>
    <row r="237" spans="3:5" x14ac:dyDescent="0.35">
      <c r="C237" s="1" t="s">
        <v>1710</v>
      </c>
      <c r="D237" s="1" t="s">
        <v>20</v>
      </c>
      <c r="E237" s="250">
        <v>7210.1109999999999</v>
      </c>
    </row>
    <row r="238" spans="3:5" x14ac:dyDescent="0.35">
      <c r="C238" s="1" t="s">
        <v>1709</v>
      </c>
      <c r="D238" s="1" t="s">
        <v>20</v>
      </c>
      <c r="E238" s="250">
        <v>7210.1120000000001</v>
      </c>
    </row>
    <row r="239" spans="3:5" x14ac:dyDescent="0.35">
      <c r="C239" s="1" t="s">
        <v>1708</v>
      </c>
      <c r="D239" s="1" t="s">
        <v>20</v>
      </c>
      <c r="E239" s="250">
        <v>7210.1130000000003</v>
      </c>
    </row>
    <row r="240" spans="3:5" x14ac:dyDescent="0.35">
      <c r="C240" s="1" t="s">
        <v>1707</v>
      </c>
      <c r="D240" s="1" t="s">
        <v>20</v>
      </c>
      <c r="E240" s="250">
        <v>7210.1210000000001</v>
      </c>
    </row>
    <row r="241" spans="3:5" x14ac:dyDescent="0.35">
      <c r="C241" s="1" t="s">
        <v>1706</v>
      </c>
      <c r="D241" s="1" t="s">
        <v>20</v>
      </c>
      <c r="E241" s="250">
        <v>7210.1220000000003</v>
      </c>
    </row>
    <row r="242" spans="3:5" x14ac:dyDescent="0.35">
      <c r="C242" s="1" t="s">
        <v>1705</v>
      </c>
      <c r="D242" s="1" t="s">
        <v>20</v>
      </c>
      <c r="E242" s="250">
        <v>7210.1229999999996</v>
      </c>
    </row>
    <row r="243" spans="3:5" x14ac:dyDescent="0.35">
      <c r="C243" s="1" t="s">
        <v>2717</v>
      </c>
      <c r="D243" s="1" t="s">
        <v>20</v>
      </c>
      <c r="E243" s="250">
        <v>7210.1239999999998</v>
      </c>
    </row>
    <row r="244" spans="3:5" x14ac:dyDescent="0.35">
      <c r="C244" s="1" t="s">
        <v>1704</v>
      </c>
      <c r="D244" s="1" t="s">
        <v>20</v>
      </c>
      <c r="E244" s="250">
        <v>7210.125</v>
      </c>
    </row>
    <row r="245" spans="3:5" x14ac:dyDescent="0.35">
      <c r="C245" s="1" t="s">
        <v>1703</v>
      </c>
      <c r="D245" s="1" t="s">
        <v>20</v>
      </c>
      <c r="E245" s="250">
        <v>7210.1260000000002</v>
      </c>
    </row>
    <row r="246" spans="3:5" x14ac:dyDescent="0.35">
      <c r="C246" s="1" t="s">
        <v>1702</v>
      </c>
      <c r="D246" s="1" t="s">
        <v>20</v>
      </c>
      <c r="E246" s="250">
        <v>7210.1270000000004</v>
      </c>
    </row>
    <row r="247" spans="3:5" x14ac:dyDescent="0.35">
      <c r="C247" s="1" t="s">
        <v>2716</v>
      </c>
      <c r="D247" s="1" t="s">
        <v>20</v>
      </c>
      <c r="E247" s="250">
        <v>7210.1279999999997</v>
      </c>
    </row>
    <row r="248" spans="3:5" x14ac:dyDescent="0.35">
      <c r="C248" s="1" t="s">
        <v>2715</v>
      </c>
      <c r="D248" s="1" t="s">
        <v>20</v>
      </c>
      <c r="E248" s="250">
        <v>7210.1289999999999</v>
      </c>
    </row>
    <row r="249" spans="3:5" x14ac:dyDescent="0.35">
      <c r="C249" s="1" t="s">
        <v>2714</v>
      </c>
      <c r="D249" s="1" t="s">
        <v>20</v>
      </c>
      <c r="E249" s="250">
        <v>7210.1409999999996</v>
      </c>
    </row>
    <row r="250" spans="3:5" x14ac:dyDescent="0.35">
      <c r="C250" s="1" t="s">
        <v>2713</v>
      </c>
      <c r="D250" s="1" t="s">
        <v>20</v>
      </c>
      <c r="E250" s="250">
        <v>7210.1419999999998</v>
      </c>
    </row>
    <row r="251" spans="3:5" x14ac:dyDescent="0.35">
      <c r="C251" s="1" t="s">
        <v>2712</v>
      </c>
      <c r="D251" s="1" t="s">
        <v>20</v>
      </c>
      <c r="E251" s="250">
        <v>7210.143</v>
      </c>
    </row>
    <row r="252" spans="3:5" x14ac:dyDescent="0.35">
      <c r="C252" s="1" t="s">
        <v>2711</v>
      </c>
      <c r="D252" s="1" t="s">
        <v>20</v>
      </c>
      <c r="E252" s="250">
        <v>7210.1440000000002</v>
      </c>
    </row>
    <row r="253" spans="3:5" x14ac:dyDescent="0.35">
      <c r="C253" s="1" t="s">
        <v>2710</v>
      </c>
      <c r="D253" s="1" t="s">
        <v>20</v>
      </c>
      <c r="E253" s="250">
        <v>7210.1450000000004</v>
      </c>
    </row>
    <row r="254" spans="3:5" x14ac:dyDescent="0.35">
      <c r="C254" s="1" t="s">
        <v>2709</v>
      </c>
      <c r="D254" s="1" t="s">
        <v>20</v>
      </c>
      <c r="E254" s="250">
        <v>7210.1459999999997</v>
      </c>
    </row>
    <row r="255" spans="3:5" x14ac:dyDescent="0.35">
      <c r="C255" s="1" t="s">
        <v>2708</v>
      </c>
      <c r="D255" s="1" t="s">
        <v>20</v>
      </c>
      <c r="E255" s="250">
        <v>7210.1509999999998</v>
      </c>
    </row>
    <row r="256" spans="3:5" x14ac:dyDescent="0.35">
      <c r="C256" s="1" t="s">
        <v>2705</v>
      </c>
      <c r="D256" s="1" t="s">
        <v>20</v>
      </c>
      <c r="E256" s="250">
        <v>7210.152</v>
      </c>
    </row>
    <row r="257" spans="3:5" x14ac:dyDescent="0.35">
      <c r="C257" s="1" t="s">
        <v>2704</v>
      </c>
      <c r="D257" s="1" t="s">
        <v>20</v>
      </c>
      <c r="E257" s="250">
        <v>7210.1530000000002</v>
      </c>
    </row>
    <row r="258" spans="3:5" x14ac:dyDescent="0.35">
      <c r="C258" s="1" t="s">
        <v>2703</v>
      </c>
      <c r="D258" s="1" t="s">
        <v>20</v>
      </c>
      <c r="E258" s="250">
        <v>7210.1540000000005</v>
      </c>
    </row>
    <row r="259" spans="3:5" x14ac:dyDescent="0.35">
      <c r="C259" s="1" t="s">
        <v>2707</v>
      </c>
      <c r="D259" s="1" t="s">
        <v>20</v>
      </c>
      <c r="E259" s="250">
        <v>7210.1549999999997</v>
      </c>
    </row>
    <row r="260" spans="3:5" x14ac:dyDescent="0.35">
      <c r="C260" s="1" t="s">
        <v>2706</v>
      </c>
      <c r="D260" s="1" t="s">
        <v>20</v>
      </c>
      <c r="E260" s="250">
        <v>7210.1559999999999</v>
      </c>
    </row>
    <row r="261" spans="3:5" x14ac:dyDescent="0.35">
      <c r="C261" s="1" t="s">
        <v>2705</v>
      </c>
      <c r="D261" s="1" t="s">
        <v>20</v>
      </c>
      <c r="E261" s="250">
        <v>7210.16</v>
      </c>
    </row>
    <row r="262" spans="3:5" x14ac:dyDescent="0.35">
      <c r="C262" s="1" t="s">
        <v>2704</v>
      </c>
      <c r="D262" s="1" t="s">
        <v>20</v>
      </c>
      <c r="E262" s="250">
        <v>7210.1610000000001</v>
      </c>
    </row>
    <row r="263" spans="3:5" x14ac:dyDescent="0.35">
      <c r="C263" s="1" t="s">
        <v>2703</v>
      </c>
      <c r="D263" s="1" t="s">
        <v>20</v>
      </c>
      <c r="E263" s="250">
        <v>7210.1620000000003</v>
      </c>
    </row>
    <row r="264" spans="3:5" x14ac:dyDescent="0.35">
      <c r="C264" s="1" t="s">
        <v>2697</v>
      </c>
      <c r="D264" s="1" t="s">
        <v>20</v>
      </c>
      <c r="E264" s="250">
        <v>7210.18</v>
      </c>
    </row>
    <row r="265" spans="3:5" x14ac:dyDescent="0.35">
      <c r="C265" s="1" t="s">
        <v>2695</v>
      </c>
      <c r="D265" s="1" t="s">
        <v>20</v>
      </c>
      <c r="E265" s="250">
        <v>7210.1809999999996</v>
      </c>
    </row>
    <row r="266" spans="3:5" x14ac:dyDescent="0.35">
      <c r="C266" s="1" t="s">
        <v>2694</v>
      </c>
      <c r="D266" s="1" t="s">
        <v>20</v>
      </c>
      <c r="E266" s="250">
        <v>7210.1819999999998</v>
      </c>
    </row>
    <row r="267" spans="3:5" x14ac:dyDescent="0.35">
      <c r="C267" s="1" t="s">
        <v>2693</v>
      </c>
      <c r="D267" s="1" t="s">
        <v>20</v>
      </c>
      <c r="E267" s="250">
        <v>7210.183</v>
      </c>
    </row>
    <row r="268" spans="3:5" x14ac:dyDescent="0.35">
      <c r="C268" s="1" t="s">
        <v>2702</v>
      </c>
      <c r="D268" s="1" t="s">
        <v>20</v>
      </c>
      <c r="E268" s="250">
        <v>7210.1840000000002</v>
      </c>
    </row>
    <row r="269" spans="3:5" x14ac:dyDescent="0.35">
      <c r="C269" s="1" t="s">
        <v>2696</v>
      </c>
      <c r="D269" s="1" t="s">
        <v>20</v>
      </c>
      <c r="E269" s="250">
        <v>7210.1850000000004</v>
      </c>
    </row>
    <row r="270" spans="3:5" x14ac:dyDescent="0.35">
      <c r="C270" s="1" t="s">
        <v>2701</v>
      </c>
      <c r="D270" s="1" t="s">
        <v>20</v>
      </c>
      <c r="E270" s="250">
        <v>7210.1949999999997</v>
      </c>
    </row>
    <row r="271" spans="3:5" x14ac:dyDescent="0.35">
      <c r="C271" s="1" t="s">
        <v>2700</v>
      </c>
      <c r="D271" s="1" t="s">
        <v>20</v>
      </c>
      <c r="E271" s="250">
        <v>7210.1959999999999</v>
      </c>
    </row>
    <row r="272" spans="3:5" x14ac:dyDescent="0.35">
      <c r="C272" s="1" t="s">
        <v>2699</v>
      </c>
      <c r="D272" s="1" t="s">
        <v>20</v>
      </c>
      <c r="E272" s="250">
        <v>7210.1970000000001</v>
      </c>
    </row>
    <row r="273" spans="3:5" x14ac:dyDescent="0.35">
      <c r="C273" s="1" t="s">
        <v>2698</v>
      </c>
      <c r="D273" s="1" t="s">
        <v>20</v>
      </c>
      <c r="E273" s="250">
        <v>7210.1980000000003</v>
      </c>
    </row>
    <row r="274" spans="3:5" x14ac:dyDescent="0.35">
      <c r="C274" s="1" t="s">
        <v>2697</v>
      </c>
      <c r="D274" s="1" t="s">
        <v>20</v>
      </c>
      <c r="E274" s="250">
        <v>7210.2</v>
      </c>
    </row>
    <row r="275" spans="3:5" x14ac:dyDescent="0.35">
      <c r="C275" s="1" t="s">
        <v>2696</v>
      </c>
      <c r="D275" s="1" t="s">
        <v>20</v>
      </c>
      <c r="E275" s="250">
        <v>7210.201</v>
      </c>
    </row>
    <row r="276" spans="3:5" x14ac:dyDescent="0.35">
      <c r="C276" s="1" t="s">
        <v>2695</v>
      </c>
      <c r="D276" s="1" t="s">
        <v>20</v>
      </c>
      <c r="E276" s="250">
        <v>7210.2020000000002</v>
      </c>
    </row>
    <row r="277" spans="3:5" x14ac:dyDescent="0.35">
      <c r="C277" s="1" t="s">
        <v>2694</v>
      </c>
      <c r="D277" s="1" t="s">
        <v>20</v>
      </c>
      <c r="E277" s="250">
        <v>7210.2030000000004</v>
      </c>
    </row>
    <row r="278" spans="3:5" x14ac:dyDescent="0.35">
      <c r="C278" s="1" t="s">
        <v>2693</v>
      </c>
      <c r="D278" s="1" t="s">
        <v>20</v>
      </c>
      <c r="E278" s="250">
        <v>7210.2039999999997</v>
      </c>
    </row>
    <row r="279" spans="3:5" x14ac:dyDescent="0.35">
      <c r="C279" s="1" t="s">
        <v>2692</v>
      </c>
      <c r="D279" s="1" t="s">
        <v>20</v>
      </c>
      <c r="E279" s="250">
        <v>7210.2049999999999</v>
      </c>
    </row>
    <row r="280" spans="3:5" x14ac:dyDescent="0.35">
      <c r="C280" s="1" t="s">
        <v>2691</v>
      </c>
      <c r="D280" s="1" t="s">
        <v>20</v>
      </c>
      <c r="E280" s="250">
        <v>7210.2060000000001</v>
      </c>
    </row>
    <row r="281" spans="3:5" x14ac:dyDescent="0.35">
      <c r="C281" s="1" t="s">
        <v>2690</v>
      </c>
      <c r="D281" s="1" t="s">
        <v>20</v>
      </c>
      <c r="E281" s="250">
        <v>7210.2070000000003</v>
      </c>
    </row>
    <row r="282" spans="3:5" x14ac:dyDescent="0.35">
      <c r="C282" s="1" t="s">
        <v>2689</v>
      </c>
      <c r="D282" s="1" t="s">
        <v>20</v>
      </c>
      <c r="E282" s="250">
        <v>7210.2079999999996</v>
      </c>
    </row>
    <row r="283" spans="3:5" x14ac:dyDescent="0.35">
      <c r="C283" s="1" t="s">
        <v>2688</v>
      </c>
      <c r="D283" s="1" t="s">
        <v>20</v>
      </c>
      <c r="E283" s="250">
        <v>7210.2089999999998</v>
      </c>
    </row>
    <row r="284" spans="3:5" x14ac:dyDescent="0.35">
      <c r="C284" s="1" t="s">
        <v>2687</v>
      </c>
      <c r="D284" s="1" t="s">
        <v>20</v>
      </c>
      <c r="E284" s="250">
        <v>7210.21</v>
      </c>
    </row>
    <row r="285" spans="3:5" x14ac:dyDescent="0.35">
      <c r="C285" s="1" t="s">
        <v>2686</v>
      </c>
      <c r="D285" s="1" t="s">
        <v>20</v>
      </c>
      <c r="E285" s="250">
        <v>7210.2110000000002</v>
      </c>
    </row>
    <row r="286" spans="3:5" x14ac:dyDescent="0.35">
      <c r="C286" s="1" t="s">
        <v>2685</v>
      </c>
      <c r="D286" s="1" t="s">
        <v>20</v>
      </c>
      <c r="E286" s="250">
        <v>7210.2120000000004</v>
      </c>
    </row>
    <row r="287" spans="3:5" x14ac:dyDescent="0.35">
      <c r="C287" s="1" t="s">
        <v>2684</v>
      </c>
      <c r="D287" s="1" t="s">
        <v>20</v>
      </c>
      <c r="E287" s="250">
        <v>7210.2129999999997</v>
      </c>
    </row>
    <row r="288" spans="3:5" x14ac:dyDescent="0.35">
      <c r="C288" s="1" t="s">
        <v>2683</v>
      </c>
      <c r="D288" s="1" t="s">
        <v>20</v>
      </c>
      <c r="E288" s="250">
        <v>7210.2139999999999</v>
      </c>
    </row>
    <row r="289" spans="3:5" x14ac:dyDescent="0.35">
      <c r="C289" s="1" t="s">
        <v>2682</v>
      </c>
      <c r="D289" s="1" t="s">
        <v>22</v>
      </c>
      <c r="E289" s="250">
        <v>7210.2150000000001</v>
      </c>
    </row>
    <row r="290" spans="3:5" x14ac:dyDescent="0.35">
      <c r="C290" s="1" t="s">
        <v>2681</v>
      </c>
      <c r="D290" s="1" t="s">
        <v>20</v>
      </c>
      <c r="E290" s="250">
        <v>7210.22</v>
      </c>
    </row>
    <row r="291" spans="3:5" x14ac:dyDescent="0.35">
      <c r="C291" s="1" t="s">
        <v>2680</v>
      </c>
      <c r="D291" s="1" t="s">
        <v>20</v>
      </c>
      <c r="E291" s="250">
        <v>7210.23</v>
      </c>
    </row>
    <row r="292" spans="3:5" x14ac:dyDescent="0.35">
      <c r="C292" s="1" t="s">
        <v>1713</v>
      </c>
      <c r="D292" s="1" t="s">
        <v>20</v>
      </c>
      <c r="E292" s="250">
        <v>7210.25</v>
      </c>
    </row>
    <row r="293" spans="3:5" x14ac:dyDescent="0.35">
      <c r="C293" s="1" t="s">
        <v>2679</v>
      </c>
      <c r="D293" s="1" t="s">
        <v>20</v>
      </c>
      <c r="E293" s="250">
        <v>7210.3</v>
      </c>
    </row>
    <row r="294" spans="3:5" x14ac:dyDescent="0.35">
      <c r="C294" s="1" t="s">
        <v>2678</v>
      </c>
      <c r="D294" s="1" t="s">
        <v>20</v>
      </c>
      <c r="E294" s="250">
        <v>7212.0110000000004</v>
      </c>
    </row>
    <row r="295" spans="3:5" x14ac:dyDescent="0.35">
      <c r="C295" s="1" t="s">
        <v>2677</v>
      </c>
      <c r="D295" s="1" t="s">
        <v>20</v>
      </c>
      <c r="E295" s="250">
        <v>7212.0119999999997</v>
      </c>
    </row>
    <row r="296" spans="3:5" x14ac:dyDescent="0.35">
      <c r="C296" s="1" t="s">
        <v>2676</v>
      </c>
      <c r="D296" s="1" t="s">
        <v>20</v>
      </c>
      <c r="E296" s="250">
        <v>7212.0129999999999</v>
      </c>
    </row>
    <row r="297" spans="3:5" x14ac:dyDescent="0.35">
      <c r="C297" s="1" t="s">
        <v>2675</v>
      </c>
      <c r="D297" s="1" t="s">
        <v>20</v>
      </c>
      <c r="E297" s="250">
        <v>7212.0140000000001</v>
      </c>
    </row>
    <row r="298" spans="3:5" x14ac:dyDescent="0.35">
      <c r="C298" s="1" t="s">
        <v>2674</v>
      </c>
      <c r="D298" s="1" t="s">
        <v>20</v>
      </c>
      <c r="E298" s="250">
        <v>7219.8</v>
      </c>
    </row>
    <row r="299" spans="3:5" x14ac:dyDescent="0.35">
      <c r="C299" s="1" t="s">
        <v>2673</v>
      </c>
      <c r="D299" s="1" t="s">
        <v>20</v>
      </c>
      <c r="E299" s="250">
        <v>7220.01</v>
      </c>
    </row>
    <row r="300" spans="3:5" x14ac:dyDescent="0.35">
      <c r="C300" s="1" t="s">
        <v>2672</v>
      </c>
      <c r="D300" s="1" t="s">
        <v>20</v>
      </c>
      <c r="E300" s="250">
        <v>7220.0110000000004</v>
      </c>
    </row>
    <row r="301" spans="3:5" x14ac:dyDescent="0.35">
      <c r="C301" s="1" t="s">
        <v>2671</v>
      </c>
      <c r="D301" s="1" t="s">
        <v>20</v>
      </c>
      <c r="E301" s="250">
        <v>7220.0119999999997</v>
      </c>
    </row>
    <row r="302" spans="3:5" x14ac:dyDescent="0.35">
      <c r="C302" s="1" t="s">
        <v>2670</v>
      </c>
      <c r="D302" s="1" t="s">
        <v>20</v>
      </c>
      <c r="E302" s="250">
        <v>7220.0129999999999</v>
      </c>
    </row>
    <row r="303" spans="3:5" x14ac:dyDescent="0.35">
      <c r="C303" s="1" t="s">
        <v>2669</v>
      </c>
      <c r="D303" s="1" t="s">
        <v>20</v>
      </c>
      <c r="E303" s="250">
        <v>7220.0140000000001</v>
      </c>
    </row>
    <row r="304" spans="3:5" x14ac:dyDescent="0.35">
      <c r="C304" s="1" t="s">
        <v>2668</v>
      </c>
      <c r="D304" s="1" t="s">
        <v>20</v>
      </c>
      <c r="E304" s="250">
        <v>7220.0150000000003</v>
      </c>
    </row>
    <row r="305" spans="3:5" x14ac:dyDescent="0.35">
      <c r="C305" s="1" t="s">
        <v>2667</v>
      </c>
      <c r="D305" s="1" t="s">
        <v>20</v>
      </c>
      <c r="E305" s="250">
        <v>7220.02</v>
      </c>
    </row>
    <row r="306" spans="3:5" x14ac:dyDescent="0.35">
      <c r="C306" s="1" t="s">
        <v>2666</v>
      </c>
      <c r="D306" s="1" t="s">
        <v>20</v>
      </c>
      <c r="E306" s="250">
        <v>7220.0209999999997</v>
      </c>
    </row>
    <row r="307" spans="3:5" x14ac:dyDescent="0.35">
      <c r="C307" s="1" t="s">
        <v>2665</v>
      </c>
      <c r="D307" s="1" t="s">
        <v>20</v>
      </c>
      <c r="E307" s="250">
        <v>7220.0219999999999</v>
      </c>
    </row>
    <row r="308" spans="3:5" x14ac:dyDescent="0.35">
      <c r="C308" s="1" t="s">
        <v>2664</v>
      </c>
      <c r="D308" s="1" t="s">
        <v>20</v>
      </c>
      <c r="E308" s="250">
        <v>7220.0230000000001</v>
      </c>
    </row>
    <row r="309" spans="3:5" x14ac:dyDescent="0.35">
      <c r="C309" s="1" t="s">
        <v>2663</v>
      </c>
      <c r="D309" s="1" t="s">
        <v>20</v>
      </c>
      <c r="E309" s="250">
        <v>7220.0240000000003</v>
      </c>
    </row>
    <row r="310" spans="3:5" x14ac:dyDescent="0.35">
      <c r="C310" s="1" t="s">
        <v>2662</v>
      </c>
      <c r="D310" s="1" t="s">
        <v>20</v>
      </c>
      <c r="E310" s="250">
        <v>7220.0249999999996</v>
      </c>
    </row>
    <row r="311" spans="3:5" x14ac:dyDescent="0.35">
      <c r="C311" s="1" t="s">
        <v>2661</v>
      </c>
      <c r="D311" s="1" t="s">
        <v>20</v>
      </c>
      <c r="E311" s="250">
        <v>7220.03</v>
      </c>
    </row>
    <row r="312" spans="3:5" x14ac:dyDescent="0.35">
      <c r="C312" s="1" t="s">
        <v>2660</v>
      </c>
      <c r="D312" s="1" t="s">
        <v>20</v>
      </c>
      <c r="E312" s="250">
        <v>7220.0309999999999</v>
      </c>
    </row>
    <row r="313" spans="3:5" x14ac:dyDescent="0.35">
      <c r="C313" s="1" t="s">
        <v>2659</v>
      </c>
      <c r="D313" s="1" t="s">
        <v>20</v>
      </c>
      <c r="E313" s="250">
        <v>7220.0320000000002</v>
      </c>
    </row>
    <row r="314" spans="3:5" x14ac:dyDescent="0.35">
      <c r="C314" s="1" t="s">
        <v>2658</v>
      </c>
      <c r="D314" s="1" t="s">
        <v>20</v>
      </c>
      <c r="E314" s="250">
        <v>7220.0330000000004</v>
      </c>
    </row>
    <row r="315" spans="3:5" x14ac:dyDescent="0.35">
      <c r="C315" s="1" t="s">
        <v>2657</v>
      </c>
      <c r="D315" s="1" t="s">
        <v>20</v>
      </c>
      <c r="E315" s="250">
        <v>7220.0339999999997</v>
      </c>
    </row>
    <row r="316" spans="3:5" x14ac:dyDescent="0.35">
      <c r="C316" s="1" t="s">
        <v>2656</v>
      </c>
      <c r="D316" s="1" t="s">
        <v>20</v>
      </c>
      <c r="E316" s="250">
        <v>7220.0349999999999</v>
      </c>
    </row>
    <row r="317" spans="3:5" x14ac:dyDescent="0.35">
      <c r="C317" s="1" t="s">
        <v>2655</v>
      </c>
      <c r="D317" s="1" t="s">
        <v>1692</v>
      </c>
      <c r="E317" s="250">
        <v>7220.04</v>
      </c>
    </row>
    <row r="318" spans="3:5" x14ac:dyDescent="0.35">
      <c r="C318" s="1" t="s">
        <v>2654</v>
      </c>
      <c r="D318" s="1" t="s">
        <v>1692</v>
      </c>
      <c r="E318" s="250">
        <v>7220.0410000000002</v>
      </c>
    </row>
    <row r="319" spans="3:5" x14ac:dyDescent="0.35">
      <c r="C319" s="1" t="s">
        <v>2653</v>
      </c>
      <c r="D319" s="1" t="s">
        <v>1692</v>
      </c>
      <c r="E319" s="250">
        <v>7220.0420000000004</v>
      </c>
    </row>
    <row r="320" spans="3:5" x14ac:dyDescent="0.35">
      <c r="C320" s="1" t="s">
        <v>2652</v>
      </c>
      <c r="D320" s="1" t="s">
        <v>1692</v>
      </c>
      <c r="E320" s="250">
        <v>7220.0450000000001</v>
      </c>
    </row>
    <row r="321" spans="3:5" x14ac:dyDescent="0.35">
      <c r="C321" s="1" t="s">
        <v>2651</v>
      </c>
      <c r="D321" s="1" t="s">
        <v>621</v>
      </c>
      <c r="E321" s="250">
        <v>7220.1009999999997</v>
      </c>
    </row>
    <row r="322" spans="3:5" x14ac:dyDescent="0.35">
      <c r="C322" s="1" t="s">
        <v>2650</v>
      </c>
      <c r="D322" s="1" t="s">
        <v>621</v>
      </c>
      <c r="E322" s="250">
        <v>7220.1019999999999</v>
      </c>
    </row>
    <row r="323" spans="3:5" x14ac:dyDescent="0.35">
      <c r="C323" s="1" t="s">
        <v>2649</v>
      </c>
      <c r="D323" s="1" t="s">
        <v>621</v>
      </c>
      <c r="E323" s="250">
        <v>7220.1030000000001</v>
      </c>
    </row>
    <row r="324" spans="3:5" x14ac:dyDescent="0.35">
      <c r="C324" s="1" t="s">
        <v>2648</v>
      </c>
      <c r="D324" s="1" t="s">
        <v>621</v>
      </c>
      <c r="E324" s="250">
        <v>7220.1040000000003</v>
      </c>
    </row>
    <row r="325" spans="3:5" x14ac:dyDescent="0.35">
      <c r="C325" s="1" t="s">
        <v>2647</v>
      </c>
      <c r="D325" s="1" t="s">
        <v>621</v>
      </c>
      <c r="E325" s="250">
        <v>7220.1049999999996</v>
      </c>
    </row>
    <row r="326" spans="3:5" x14ac:dyDescent="0.35">
      <c r="C326" s="1" t="s">
        <v>2646</v>
      </c>
      <c r="D326" s="1" t="s">
        <v>621</v>
      </c>
      <c r="E326" s="250">
        <v>7220.1059999999998</v>
      </c>
    </row>
    <row r="327" spans="3:5" x14ac:dyDescent="0.35">
      <c r="C327" s="1" t="s">
        <v>2645</v>
      </c>
      <c r="D327" s="1" t="s">
        <v>621</v>
      </c>
      <c r="E327" s="250">
        <v>7220.107</v>
      </c>
    </row>
    <row r="328" spans="3:5" x14ac:dyDescent="0.35">
      <c r="C328" s="1" t="s">
        <v>2644</v>
      </c>
      <c r="D328" s="1" t="s">
        <v>621</v>
      </c>
      <c r="E328" s="250">
        <v>7220.1080000000002</v>
      </c>
    </row>
    <row r="329" spans="3:5" x14ac:dyDescent="0.35">
      <c r="C329" s="1" t="s">
        <v>2623</v>
      </c>
      <c r="D329" s="1" t="s">
        <v>20</v>
      </c>
      <c r="E329" s="250">
        <v>7220.1210000000001</v>
      </c>
    </row>
    <row r="330" spans="3:5" x14ac:dyDescent="0.35">
      <c r="C330" s="1" t="s">
        <v>2622</v>
      </c>
      <c r="D330" s="1" t="s">
        <v>20</v>
      </c>
      <c r="E330" s="250">
        <v>7220.1220000000003</v>
      </c>
    </row>
    <row r="331" spans="3:5" x14ac:dyDescent="0.35">
      <c r="C331" s="1" t="s">
        <v>2621</v>
      </c>
      <c r="D331" s="1" t="s">
        <v>20</v>
      </c>
      <c r="E331" s="250">
        <v>7220.1229999999996</v>
      </c>
    </row>
    <row r="332" spans="3:5" x14ac:dyDescent="0.35">
      <c r="C332" s="1" t="s">
        <v>2620</v>
      </c>
      <c r="D332" s="1" t="s">
        <v>20</v>
      </c>
      <c r="E332" s="250">
        <v>7220.1239999999998</v>
      </c>
    </row>
    <row r="333" spans="3:5" x14ac:dyDescent="0.35">
      <c r="C333" s="1" t="s">
        <v>2619</v>
      </c>
      <c r="D333" s="1" t="s">
        <v>20</v>
      </c>
      <c r="E333" s="250">
        <v>7220.125</v>
      </c>
    </row>
    <row r="334" spans="3:5" x14ac:dyDescent="0.35">
      <c r="C334" s="1" t="s">
        <v>2618</v>
      </c>
      <c r="D334" s="1" t="s">
        <v>20</v>
      </c>
      <c r="E334" s="250">
        <v>7220.1260000000002</v>
      </c>
    </row>
    <row r="335" spans="3:5" x14ac:dyDescent="0.35">
      <c r="C335" s="1" t="s">
        <v>2617</v>
      </c>
      <c r="D335" s="1" t="s">
        <v>20</v>
      </c>
      <c r="E335" s="250">
        <v>7220.1270000000004</v>
      </c>
    </row>
    <row r="336" spans="3:5" x14ac:dyDescent="0.35">
      <c r="C336" s="1" t="s">
        <v>2616</v>
      </c>
      <c r="D336" s="1" t="s">
        <v>20</v>
      </c>
      <c r="E336" s="250">
        <v>7220.1310000000003</v>
      </c>
    </row>
    <row r="337" spans="3:5" x14ac:dyDescent="0.35">
      <c r="C337" s="1" t="s">
        <v>2615</v>
      </c>
      <c r="D337" s="1" t="s">
        <v>20</v>
      </c>
      <c r="E337" s="250">
        <v>7220.1319999999996</v>
      </c>
    </row>
    <row r="338" spans="3:5" x14ac:dyDescent="0.35">
      <c r="C338" s="1" t="s">
        <v>2614</v>
      </c>
      <c r="D338" s="1" t="s">
        <v>20</v>
      </c>
      <c r="E338" s="250">
        <v>7220.1329999999998</v>
      </c>
    </row>
    <row r="339" spans="3:5" x14ac:dyDescent="0.35">
      <c r="C339" s="1" t="s">
        <v>2613</v>
      </c>
      <c r="D339" s="1" t="s">
        <v>20</v>
      </c>
      <c r="E339" s="250">
        <v>7220.134</v>
      </c>
    </row>
    <row r="340" spans="3:5" x14ac:dyDescent="0.35">
      <c r="C340" s="1" t="s">
        <v>2612</v>
      </c>
      <c r="D340" s="1" t="s">
        <v>20</v>
      </c>
      <c r="E340" s="250">
        <v>7220.1350000000002</v>
      </c>
    </row>
    <row r="341" spans="3:5" x14ac:dyDescent="0.35">
      <c r="C341" s="1" t="s">
        <v>2611</v>
      </c>
      <c r="D341" s="1" t="s">
        <v>20</v>
      </c>
      <c r="E341" s="250">
        <v>7220.1360000000004</v>
      </c>
    </row>
    <row r="342" spans="3:5" x14ac:dyDescent="0.35">
      <c r="C342" s="1" t="s">
        <v>2610</v>
      </c>
      <c r="D342" s="1" t="s">
        <v>20</v>
      </c>
      <c r="E342" s="250">
        <v>7220.1369999999997</v>
      </c>
    </row>
    <row r="343" spans="3:5" x14ac:dyDescent="0.35">
      <c r="C343" s="1" t="s">
        <v>2643</v>
      </c>
      <c r="D343" s="1" t="s">
        <v>20</v>
      </c>
      <c r="E343" s="250">
        <v>7240.01</v>
      </c>
    </row>
    <row r="344" spans="3:5" x14ac:dyDescent="0.35">
      <c r="C344" s="1" t="s">
        <v>2642</v>
      </c>
      <c r="D344" s="1" t="s">
        <v>20</v>
      </c>
      <c r="E344" s="250">
        <v>7240.02</v>
      </c>
    </row>
    <row r="345" spans="3:5" x14ac:dyDescent="0.35">
      <c r="C345" s="1" t="s">
        <v>2641</v>
      </c>
      <c r="D345" s="1" t="s">
        <v>57</v>
      </c>
      <c r="E345" s="250">
        <v>7240.1</v>
      </c>
    </row>
    <row r="346" spans="3:5" x14ac:dyDescent="0.35">
      <c r="C346" s="1" t="s">
        <v>2640</v>
      </c>
      <c r="D346" s="1" t="s">
        <v>20</v>
      </c>
      <c r="E346" s="250">
        <v>7240.1009999999997</v>
      </c>
    </row>
    <row r="347" spans="3:5" x14ac:dyDescent="0.35">
      <c r="C347" s="1" t="s">
        <v>2639</v>
      </c>
      <c r="D347" s="1" t="s">
        <v>20</v>
      </c>
      <c r="E347" s="250">
        <v>7240.1019999999999</v>
      </c>
    </row>
    <row r="348" spans="3:5" x14ac:dyDescent="0.35">
      <c r="C348" s="1" t="s">
        <v>2638</v>
      </c>
      <c r="D348" s="1" t="s">
        <v>20</v>
      </c>
      <c r="E348" s="250">
        <v>7240.1030000000001</v>
      </c>
    </row>
    <row r="349" spans="3:5" x14ac:dyDescent="0.35">
      <c r="C349" s="1" t="s">
        <v>2637</v>
      </c>
      <c r="D349" s="1" t="s">
        <v>20</v>
      </c>
      <c r="E349" s="250">
        <v>7240.1040000000003</v>
      </c>
    </row>
    <row r="350" spans="3:5" x14ac:dyDescent="0.35">
      <c r="C350" s="1" t="s">
        <v>2636</v>
      </c>
      <c r="D350" s="1" t="s">
        <v>20</v>
      </c>
      <c r="E350" s="250">
        <v>7240.1049999999996</v>
      </c>
    </row>
    <row r="351" spans="3:5" x14ac:dyDescent="0.35">
      <c r="C351" s="1" t="s">
        <v>2635</v>
      </c>
      <c r="D351" s="1" t="s">
        <v>20</v>
      </c>
      <c r="E351" s="250">
        <v>7240.1059999999998</v>
      </c>
    </row>
    <row r="352" spans="3:5" x14ac:dyDescent="0.35">
      <c r="C352" s="1" t="s">
        <v>2634</v>
      </c>
      <c r="D352" s="1" t="s">
        <v>20</v>
      </c>
      <c r="E352" s="250">
        <v>7240.107</v>
      </c>
    </row>
    <row r="353" spans="3:5" x14ac:dyDescent="0.35">
      <c r="C353" s="1" t="s">
        <v>2633</v>
      </c>
      <c r="D353" s="1" t="s">
        <v>20</v>
      </c>
      <c r="E353" s="250">
        <v>7240.1080000000002</v>
      </c>
    </row>
    <row r="354" spans="3:5" x14ac:dyDescent="0.35">
      <c r="C354" s="1" t="s">
        <v>2632</v>
      </c>
      <c r="D354" s="1" t="s">
        <v>20</v>
      </c>
      <c r="E354" s="250">
        <v>7240.1090000000004</v>
      </c>
    </row>
    <row r="355" spans="3:5" x14ac:dyDescent="0.35">
      <c r="C355" s="1" t="s">
        <v>2631</v>
      </c>
      <c r="D355" s="1" t="s">
        <v>20</v>
      </c>
      <c r="E355" s="250">
        <v>7240.1180000000004</v>
      </c>
    </row>
    <row r="356" spans="3:5" x14ac:dyDescent="0.35">
      <c r="C356" s="1" t="s">
        <v>2630</v>
      </c>
      <c r="D356" s="1" t="s">
        <v>57</v>
      </c>
      <c r="E356" s="250">
        <v>7240.12</v>
      </c>
    </row>
    <row r="357" spans="3:5" x14ac:dyDescent="0.35">
      <c r="C357" s="1" t="s">
        <v>2629</v>
      </c>
      <c r="D357" s="1" t="s">
        <v>1692</v>
      </c>
      <c r="E357" s="250">
        <v>7240.1210000000001</v>
      </c>
    </row>
    <row r="358" spans="3:5" x14ac:dyDescent="0.35">
      <c r="C358" s="1" t="s">
        <v>2628</v>
      </c>
      <c r="D358" s="1" t="s">
        <v>1692</v>
      </c>
      <c r="E358" s="250">
        <v>7240.1220000000003</v>
      </c>
    </row>
    <row r="359" spans="3:5" x14ac:dyDescent="0.35">
      <c r="C359" s="1" t="s">
        <v>2627</v>
      </c>
      <c r="D359" s="1" t="s">
        <v>20</v>
      </c>
      <c r="E359" s="250">
        <v>7240.1229999999996</v>
      </c>
    </row>
    <row r="360" spans="3:5" x14ac:dyDescent="0.35">
      <c r="C360" s="1" t="s">
        <v>2626</v>
      </c>
      <c r="D360" s="1" t="s">
        <v>1692</v>
      </c>
      <c r="E360" s="250">
        <v>7240.1239999999998</v>
      </c>
    </row>
    <row r="361" spans="3:5" x14ac:dyDescent="0.35">
      <c r="C361" s="1" t="s">
        <v>2625</v>
      </c>
      <c r="D361" s="1" t="s">
        <v>1692</v>
      </c>
      <c r="E361" s="250">
        <v>7240.125</v>
      </c>
    </row>
    <row r="362" spans="3:5" x14ac:dyDescent="0.35">
      <c r="C362" s="1" t="s">
        <v>2624</v>
      </c>
      <c r="D362" s="1" t="s">
        <v>57</v>
      </c>
      <c r="E362" s="250">
        <v>7240.13</v>
      </c>
    </row>
    <row r="363" spans="3:5" x14ac:dyDescent="0.35">
      <c r="C363" s="1" t="s">
        <v>2623</v>
      </c>
      <c r="D363" s="1" t="s">
        <v>20</v>
      </c>
      <c r="E363" s="250">
        <v>7240.1310000000003</v>
      </c>
    </row>
    <row r="364" spans="3:5" x14ac:dyDescent="0.35">
      <c r="C364" s="1" t="s">
        <v>2622</v>
      </c>
      <c r="D364" s="1" t="s">
        <v>20</v>
      </c>
      <c r="E364" s="250">
        <v>7240.1319999999996</v>
      </c>
    </row>
    <row r="365" spans="3:5" x14ac:dyDescent="0.35">
      <c r="C365" s="1" t="s">
        <v>2621</v>
      </c>
      <c r="D365" s="1" t="s">
        <v>20</v>
      </c>
      <c r="E365" s="250">
        <v>7240.1329999999998</v>
      </c>
    </row>
    <row r="366" spans="3:5" x14ac:dyDescent="0.35">
      <c r="C366" s="1" t="s">
        <v>2620</v>
      </c>
      <c r="D366" s="1" t="s">
        <v>20</v>
      </c>
      <c r="E366" s="250">
        <v>7240.134</v>
      </c>
    </row>
    <row r="367" spans="3:5" x14ac:dyDescent="0.35">
      <c r="C367" s="1" t="s">
        <v>2619</v>
      </c>
      <c r="D367" s="1" t="s">
        <v>20</v>
      </c>
      <c r="E367" s="250">
        <v>7240.1350000000002</v>
      </c>
    </row>
    <row r="368" spans="3:5" x14ac:dyDescent="0.35">
      <c r="C368" s="1" t="s">
        <v>2618</v>
      </c>
      <c r="D368" s="1" t="s">
        <v>20</v>
      </c>
      <c r="E368" s="250">
        <v>7240.1360000000004</v>
      </c>
    </row>
    <row r="369" spans="3:5" x14ac:dyDescent="0.35">
      <c r="C369" s="1" t="s">
        <v>2617</v>
      </c>
      <c r="D369" s="1" t="s">
        <v>20</v>
      </c>
      <c r="E369" s="250">
        <v>7240.1369999999997</v>
      </c>
    </row>
    <row r="370" spans="3:5" x14ac:dyDescent="0.35">
      <c r="C370" s="1" t="s">
        <v>2616</v>
      </c>
      <c r="D370" s="1" t="s">
        <v>20</v>
      </c>
      <c r="E370" s="250">
        <v>7240.1409999999996</v>
      </c>
    </row>
    <row r="371" spans="3:5" x14ac:dyDescent="0.35">
      <c r="C371" s="1" t="s">
        <v>2615</v>
      </c>
      <c r="D371" s="1" t="s">
        <v>20</v>
      </c>
      <c r="E371" s="250">
        <v>7240.1419999999998</v>
      </c>
    </row>
    <row r="372" spans="3:5" x14ac:dyDescent="0.35">
      <c r="C372" s="1" t="s">
        <v>2614</v>
      </c>
      <c r="D372" s="1" t="s">
        <v>20</v>
      </c>
      <c r="E372" s="250">
        <v>7240.143</v>
      </c>
    </row>
    <row r="373" spans="3:5" x14ac:dyDescent="0.35">
      <c r="C373" s="1" t="s">
        <v>2613</v>
      </c>
      <c r="D373" s="1" t="s">
        <v>20</v>
      </c>
      <c r="E373" s="250">
        <v>7240.1440000000002</v>
      </c>
    </row>
    <row r="374" spans="3:5" x14ac:dyDescent="0.35">
      <c r="C374" s="1" t="s">
        <v>2612</v>
      </c>
      <c r="D374" s="1" t="s">
        <v>20</v>
      </c>
      <c r="E374" s="250">
        <v>7240.1450000000004</v>
      </c>
    </row>
    <row r="375" spans="3:5" x14ac:dyDescent="0.35">
      <c r="C375" s="1" t="s">
        <v>2611</v>
      </c>
      <c r="D375" s="1" t="s">
        <v>20</v>
      </c>
      <c r="E375" s="250">
        <v>7240.1459999999997</v>
      </c>
    </row>
    <row r="376" spans="3:5" x14ac:dyDescent="0.35">
      <c r="C376" s="1" t="s">
        <v>2610</v>
      </c>
      <c r="D376" s="1" t="s">
        <v>20</v>
      </c>
      <c r="E376" s="250">
        <v>7240.1469999999999</v>
      </c>
    </row>
    <row r="377" spans="3:5" x14ac:dyDescent="0.35">
      <c r="C377" s="1" t="s">
        <v>2609</v>
      </c>
      <c r="D377" s="1" t="s">
        <v>20</v>
      </c>
      <c r="E377" s="250">
        <v>7240.1509999999998</v>
      </c>
    </row>
    <row r="378" spans="3:5" x14ac:dyDescent="0.35">
      <c r="C378" s="1" t="s">
        <v>2608</v>
      </c>
      <c r="D378" s="1" t="s">
        <v>20</v>
      </c>
      <c r="E378" s="250">
        <v>7240.152</v>
      </c>
    </row>
    <row r="379" spans="3:5" x14ac:dyDescent="0.35">
      <c r="C379" s="1" t="s">
        <v>2607</v>
      </c>
      <c r="D379" s="1" t="s">
        <v>20</v>
      </c>
      <c r="E379" s="250">
        <v>7240.1530000000002</v>
      </c>
    </row>
    <row r="380" spans="3:5" x14ac:dyDescent="0.35">
      <c r="C380" s="1" t="s">
        <v>2606</v>
      </c>
      <c r="D380" s="1" t="s">
        <v>20</v>
      </c>
      <c r="E380" s="250">
        <v>7240.1540000000005</v>
      </c>
    </row>
    <row r="381" spans="3:5" x14ac:dyDescent="0.35">
      <c r="C381" s="1" t="s">
        <v>2605</v>
      </c>
      <c r="D381" s="1" t="s">
        <v>20</v>
      </c>
      <c r="E381" s="250">
        <v>7240.1549999999997</v>
      </c>
    </row>
    <row r="382" spans="3:5" x14ac:dyDescent="0.35">
      <c r="C382" s="1" t="s">
        <v>2604</v>
      </c>
      <c r="D382" s="1" t="s">
        <v>20</v>
      </c>
      <c r="E382" s="250">
        <v>7240.1559999999999</v>
      </c>
    </row>
    <row r="383" spans="3:5" x14ac:dyDescent="0.35">
      <c r="C383" s="1" t="s">
        <v>2603</v>
      </c>
      <c r="D383" s="1" t="s">
        <v>20</v>
      </c>
      <c r="E383" s="250">
        <v>7240.1570000000002</v>
      </c>
    </row>
    <row r="384" spans="3:5" x14ac:dyDescent="0.35">
      <c r="C384" s="1" t="s">
        <v>2602</v>
      </c>
      <c r="D384" s="1" t="s">
        <v>20</v>
      </c>
      <c r="E384" s="250">
        <v>7240.1580000000004</v>
      </c>
    </row>
    <row r="385" spans="3:5" x14ac:dyDescent="0.35">
      <c r="C385" s="1" t="s">
        <v>2601</v>
      </c>
      <c r="D385" s="1" t="s">
        <v>20</v>
      </c>
      <c r="E385" s="250">
        <v>7240.1589999999997</v>
      </c>
    </row>
    <row r="386" spans="3:5" x14ac:dyDescent="0.35">
      <c r="C386" s="1" t="s">
        <v>2600</v>
      </c>
      <c r="D386" s="1" t="s">
        <v>20</v>
      </c>
      <c r="E386" s="250">
        <v>7240.16</v>
      </c>
    </row>
    <row r="387" spans="3:5" x14ac:dyDescent="0.35">
      <c r="C387" s="1" t="s">
        <v>2599</v>
      </c>
      <c r="D387" s="1" t="s">
        <v>20</v>
      </c>
      <c r="E387" s="250">
        <v>7240.1710000000003</v>
      </c>
    </row>
    <row r="388" spans="3:5" x14ac:dyDescent="0.35">
      <c r="C388" s="1" t="s">
        <v>2598</v>
      </c>
      <c r="D388" s="1" t="s">
        <v>18</v>
      </c>
      <c r="E388" s="250">
        <v>7240.1719999999996</v>
      </c>
    </row>
    <row r="389" spans="3:5" x14ac:dyDescent="0.35">
      <c r="C389" s="1" t="s">
        <v>2597</v>
      </c>
      <c r="D389" s="1" t="s">
        <v>20</v>
      </c>
      <c r="E389" s="250">
        <v>7240.1809999999996</v>
      </c>
    </row>
    <row r="390" spans="3:5" x14ac:dyDescent="0.35">
      <c r="C390" s="1" t="s">
        <v>2596</v>
      </c>
      <c r="D390" s="1" t="s">
        <v>20</v>
      </c>
      <c r="E390" s="250">
        <v>7240.1819999999998</v>
      </c>
    </row>
    <row r="391" spans="3:5" x14ac:dyDescent="0.35">
      <c r="C391" s="1" t="s">
        <v>2595</v>
      </c>
      <c r="D391" s="1" t="s">
        <v>20</v>
      </c>
      <c r="E391" s="250">
        <v>7240.183</v>
      </c>
    </row>
    <row r="392" spans="3:5" x14ac:dyDescent="0.35">
      <c r="C392" s="1" t="s">
        <v>2594</v>
      </c>
      <c r="D392" s="1" t="s">
        <v>20</v>
      </c>
      <c r="E392" s="250">
        <v>7240.1840000000002</v>
      </c>
    </row>
    <row r="393" spans="3:5" x14ac:dyDescent="0.35">
      <c r="C393" s="1" t="s">
        <v>2593</v>
      </c>
      <c r="D393" s="1" t="s">
        <v>20</v>
      </c>
      <c r="E393" s="250">
        <v>7240.1909999999998</v>
      </c>
    </row>
    <row r="394" spans="3:5" x14ac:dyDescent="0.35">
      <c r="C394" s="1" t="s">
        <v>2592</v>
      </c>
      <c r="D394" s="1" t="s">
        <v>20</v>
      </c>
      <c r="E394" s="250">
        <v>7240.192</v>
      </c>
    </row>
    <row r="395" spans="3:5" x14ac:dyDescent="0.35">
      <c r="C395" s="1" t="s">
        <v>2591</v>
      </c>
      <c r="D395" s="1" t="s">
        <v>20</v>
      </c>
      <c r="E395" s="250">
        <v>7240.1930000000002</v>
      </c>
    </row>
    <row r="396" spans="3:5" x14ac:dyDescent="0.35">
      <c r="C396" s="1" t="s">
        <v>2590</v>
      </c>
      <c r="D396" s="1" t="s">
        <v>20</v>
      </c>
      <c r="E396" s="250">
        <v>7240.1940000000004</v>
      </c>
    </row>
    <row r="397" spans="3:5" x14ac:dyDescent="0.35">
      <c r="C397" s="1" t="s">
        <v>2589</v>
      </c>
      <c r="D397" s="1" t="s">
        <v>20</v>
      </c>
      <c r="E397" s="250">
        <v>7240.201</v>
      </c>
    </row>
    <row r="398" spans="3:5" x14ac:dyDescent="0.35">
      <c r="C398" s="1" t="s">
        <v>2588</v>
      </c>
      <c r="D398" s="1" t="s">
        <v>20</v>
      </c>
      <c r="E398" s="250">
        <v>7240.2020000000002</v>
      </c>
    </row>
    <row r="399" spans="3:5" x14ac:dyDescent="0.35">
      <c r="C399" s="1" t="s">
        <v>2587</v>
      </c>
      <c r="D399" s="1" t="s">
        <v>20</v>
      </c>
      <c r="E399" s="250">
        <v>7240.2030000000004</v>
      </c>
    </row>
    <row r="400" spans="3:5" x14ac:dyDescent="0.35">
      <c r="C400" s="1" t="s">
        <v>2586</v>
      </c>
      <c r="D400" s="1" t="s">
        <v>20</v>
      </c>
      <c r="E400" s="250">
        <v>7240.2039999999997</v>
      </c>
    </row>
    <row r="401" spans="3:5" x14ac:dyDescent="0.35">
      <c r="C401" s="1" t="s">
        <v>2585</v>
      </c>
      <c r="D401" s="1" t="s">
        <v>20</v>
      </c>
      <c r="E401" s="250">
        <v>7240.21</v>
      </c>
    </row>
    <row r="402" spans="3:5" x14ac:dyDescent="0.35">
      <c r="C402" s="1" t="s">
        <v>2584</v>
      </c>
      <c r="D402" s="1" t="s">
        <v>20</v>
      </c>
      <c r="E402" s="250">
        <v>7240.2110000000002</v>
      </c>
    </row>
    <row r="403" spans="3:5" x14ac:dyDescent="0.35">
      <c r="C403" s="1" t="s">
        <v>2583</v>
      </c>
      <c r="D403" s="1" t="s">
        <v>20</v>
      </c>
      <c r="E403" s="250">
        <v>7240.2120000000004</v>
      </c>
    </row>
    <row r="404" spans="3:5" x14ac:dyDescent="0.35">
      <c r="C404" s="1" t="s">
        <v>2582</v>
      </c>
      <c r="D404" s="1" t="s">
        <v>20</v>
      </c>
      <c r="E404" s="250">
        <v>7240.2129999999997</v>
      </c>
    </row>
    <row r="405" spans="3:5" x14ac:dyDescent="0.35">
      <c r="C405" s="1" t="s">
        <v>2581</v>
      </c>
      <c r="D405" s="1" t="s">
        <v>20</v>
      </c>
      <c r="E405" s="250">
        <v>7240.2139999999999</v>
      </c>
    </row>
    <row r="406" spans="3:5" x14ac:dyDescent="0.35">
      <c r="C406" s="1" t="s">
        <v>2580</v>
      </c>
      <c r="D406" s="1" t="s">
        <v>20</v>
      </c>
      <c r="E406" s="250">
        <v>7240.2510000000002</v>
      </c>
    </row>
    <row r="407" spans="3:5" x14ac:dyDescent="0.35">
      <c r="C407" s="1" t="s">
        <v>2579</v>
      </c>
      <c r="D407" s="1" t="s">
        <v>20</v>
      </c>
      <c r="E407" s="250">
        <v>7240.2520000000004</v>
      </c>
    </row>
    <row r="408" spans="3:5" x14ac:dyDescent="0.35">
      <c r="C408" s="1" t="s">
        <v>2578</v>
      </c>
      <c r="D408" s="1" t="s">
        <v>20</v>
      </c>
      <c r="E408" s="250">
        <v>7240.2529999999997</v>
      </c>
    </row>
    <row r="409" spans="3:5" x14ac:dyDescent="0.35">
      <c r="C409" s="1" t="s">
        <v>2577</v>
      </c>
      <c r="D409" s="1" t="s">
        <v>20</v>
      </c>
      <c r="E409" s="250">
        <v>7240.2539999999999</v>
      </c>
    </row>
    <row r="410" spans="3:5" x14ac:dyDescent="0.35">
      <c r="C410" s="1" t="s">
        <v>2576</v>
      </c>
      <c r="D410" s="1" t="s">
        <v>20</v>
      </c>
      <c r="E410" s="250">
        <v>7240.2550000000001</v>
      </c>
    </row>
    <row r="411" spans="3:5" x14ac:dyDescent="0.35">
      <c r="C411" s="1" t="s">
        <v>2575</v>
      </c>
      <c r="D411" s="1" t="s">
        <v>20</v>
      </c>
      <c r="E411" s="250">
        <v>7240.2560000000003</v>
      </c>
    </row>
    <row r="412" spans="3:5" x14ac:dyDescent="0.35">
      <c r="C412" s="1" t="s">
        <v>2574</v>
      </c>
      <c r="D412" s="1" t="s">
        <v>20</v>
      </c>
      <c r="E412" s="250">
        <v>7240.2569999999996</v>
      </c>
    </row>
    <row r="413" spans="3:5" x14ac:dyDescent="0.35">
      <c r="C413" s="1" t="s">
        <v>2573</v>
      </c>
      <c r="D413" s="1" t="s">
        <v>20</v>
      </c>
      <c r="E413" s="250">
        <v>7240.2579999999998</v>
      </c>
    </row>
    <row r="414" spans="3:5" x14ac:dyDescent="0.35">
      <c r="C414" s="1" t="s">
        <v>2572</v>
      </c>
      <c r="D414" s="1" t="s">
        <v>20</v>
      </c>
      <c r="E414" s="250">
        <v>7240.259</v>
      </c>
    </row>
    <row r="415" spans="3:5" x14ac:dyDescent="0.35">
      <c r="C415" s="1" t="s">
        <v>2571</v>
      </c>
      <c r="D415" s="1" t="s">
        <v>20</v>
      </c>
      <c r="E415" s="250">
        <v>7240.26</v>
      </c>
    </row>
    <row r="416" spans="3:5" x14ac:dyDescent="0.35">
      <c r="C416" s="1" t="s">
        <v>2570</v>
      </c>
      <c r="D416" s="1" t="s">
        <v>20</v>
      </c>
      <c r="E416" s="250">
        <v>7240.2610000000004</v>
      </c>
    </row>
    <row r="417" spans="3:5" x14ac:dyDescent="0.35">
      <c r="C417" s="1" t="s">
        <v>2569</v>
      </c>
      <c r="D417" s="1" t="s">
        <v>20</v>
      </c>
      <c r="E417" s="250">
        <v>7240.27</v>
      </c>
    </row>
    <row r="418" spans="3:5" x14ac:dyDescent="0.35">
      <c r="C418" s="1" t="s">
        <v>2568</v>
      </c>
      <c r="D418" s="1" t="s">
        <v>621</v>
      </c>
      <c r="E418" s="250">
        <v>7259.89</v>
      </c>
    </row>
    <row r="419" spans="3:5" x14ac:dyDescent="0.35">
      <c r="C419" s="1" t="s">
        <v>2567</v>
      </c>
      <c r="D419" s="1" t="s">
        <v>20</v>
      </c>
      <c r="E419" s="250">
        <v>7260.0110000000004</v>
      </c>
    </row>
    <row r="420" spans="3:5" x14ac:dyDescent="0.35">
      <c r="C420" s="1" t="s">
        <v>2566</v>
      </c>
      <c r="D420" s="1" t="s">
        <v>1692</v>
      </c>
      <c r="E420" s="250">
        <v>7260.0119999999997</v>
      </c>
    </row>
    <row r="421" spans="3:5" x14ac:dyDescent="0.35">
      <c r="C421" s="1" t="s">
        <v>2565</v>
      </c>
      <c r="D421" s="1" t="s">
        <v>20</v>
      </c>
      <c r="E421" s="250">
        <v>7260.0150000000003</v>
      </c>
    </row>
    <row r="422" spans="3:5" x14ac:dyDescent="0.35">
      <c r="C422" s="1" t="s">
        <v>2564</v>
      </c>
      <c r="D422" s="1" t="s">
        <v>19</v>
      </c>
      <c r="E422" s="250">
        <v>7270.0110000000004</v>
      </c>
    </row>
    <row r="423" spans="3:5" x14ac:dyDescent="0.35">
      <c r="C423" s="1" t="s">
        <v>2563</v>
      </c>
      <c r="D423" s="1" t="s">
        <v>20</v>
      </c>
      <c r="E423" s="250">
        <v>7270.0119999999997</v>
      </c>
    </row>
    <row r="424" spans="3:5" x14ac:dyDescent="0.35">
      <c r="C424" s="1" t="s">
        <v>2562</v>
      </c>
      <c r="D424" s="1" t="s">
        <v>19</v>
      </c>
      <c r="E424" s="250">
        <v>7270.02</v>
      </c>
    </row>
    <row r="425" spans="3:5" x14ac:dyDescent="0.35">
      <c r="C425" s="1" t="s">
        <v>2561</v>
      </c>
      <c r="D425" s="1" t="s">
        <v>19</v>
      </c>
      <c r="E425" s="250">
        <v>7270.0219999999999</v>
      </c>
    </row>
    <row r="426" spans="3:5" x14ac:dyDescent="0.35">
      <c r="C426" s="1" t="s">
        <v>2560</v>
      </c>
      <c r="D426" s="1" t="s">
        <v>19</v>
      </c>
      <c r="E426" s="250">
        <v>7270.0240000000003</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FA3B5B1A-1C01-494E-B30E-EC7FEB7E5B23}">
      <formula1>$C$205:$C207</formula1>
    </dataValidation>
  </dataValidations>
  <hyperlinks>
    <hyperlink ref="D3" r:id="rId1" display="datamateapp@gmail.com" xr:uid="{E686F79B-3631-4D92-AA08-40D7D25DA206}"/>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55337" r:id="rId4" name="Button 9">
              <controlPr defaultSize="0" print="0" autoFill="0" autoPict="0" macro="[0]!ExitSEC_072000">
                <anchor moveWithCells="1" sizeWithCells="1">
                  <from>
                    <xdr:col>16</xdr:col>
                    <xdr:colOff>203200</xdr:colOff>
                    <xdr:row>0</xdr:row>
                    <xdr:rowOff>0</xdr:rowOff>
                  </from>
                  <to>
                    <xdr:col>16</xdr:col>
                    <xdr:colOff>1473200</xdr:colOff>
                    <xdr:row>2</xdr:row>
                    <xdr:rowOff>12700</xdr:rowOff>
                  </to>
                </anchor>
              </controlPr>
            </control>
          </mc:Choice>
        </mc:AlternateContent>
        <mc:AlternateContent xmlns:mc="http://schemas.openxmlformats.org/markup-compatibility/2006">
          <mc:Choice Requires="x14">
            <control shapeId="355364" r:id="rId5" name="Button 36">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355365" r:id="rId6" name="Button 37">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355366" r:id="rId7" name="Button 38">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355367" r:id="rId8" name="Button 39">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355368" r:id="rId9" name="Button 40">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355369" r:id="rId10" name="Button 41">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355370" r:id="rId11" name="Button 42">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355371" r:id="rId12" name="Button 43">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63E204-A6AE-44A9-851A-70370EBE813C}">
  <sheetPr codeName="Sheet87"/>
  <dimension ref="A1:Q250"/>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STEEP SLOPE ROOFING</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07 30 00</v>
      </c>
      <c r="C10" s="24" t="str">
        <f>C206</f>
        <v>STEEP SLOPE ROOFING</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STEEP SLOPE ROOFING</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14384</v>
      </c>
      <c r="C206" s="82" t="s">
        <v>14385</v>
      </c>
      <c r="D206" s="1"/>
      <c r="E206" s="1"/>
      <c r="F206" s="1"/>
      <c r="G206" s="1"/>
      <c r="H206" s="1"/>
      <c r="I206" s="1"/>
      <c r="J206" s="1"/>
      <c r="K206" s="1"/>
      <c r="L206" s="1"/>
      <c r="M206" s="1"/>
      <c r="N206" s="1"/>
      <c r="O206" s="1"/>
      <c r="P206" s="1"/>
      <c r="Q206" s="1"/>
    </row>
    <row r="207" spans="2:17" x14ac:dyDescent="0.35">
      <c r="B207" s="49" t="s">
        <v>14386</v>
      </c>
      <c r="C207" s="53" t="s">
        <v>14387</v>
      </c>
      <c r="D207" s="1"/>
      <c r="E207" s="1"/>
      <c r="F207" s="1"/>
      <c r="G207" s="1"/>
      <c r="H207" s="1"/>
      <c r="I207" s="1"/>
      <c r="J207" s="1"/>
      <c r="K207" s="1"/>
      <c r="L207" s="1"/>
      <c r="M207" s="1"/>
      <c r="N207" s="1"/>
      <c r="O207" s="1"/>
      <c r="P207" s="1"/>
      <c r="Q207" s="1"/>
    </row>
    <row r="208" spans="2:17" x14ac:dyDescent="0.35">
      <c r="B208" s="49" t="s">
        <v>14388</v>
      </c>
      <c r="C208" s="53" t="s">
        <v>14389</v>
      </c>
    </row>
    <row r="209" spans="2:5" x14ac:dyDescent="0.35">
      <c r="B209" s="49" t="s">
        <v>14390</v>
      </c>
      <c r="C209" s="53" t="s">
        <v>14391</v>
      </c>
    </row>
    <row r="210" spans="2:5" x14ac:dyDescent="0.35">
      <c r="C210" s="1" t="s">
        <v>2559</v>
      </c>
      <c r="D210" s="1" t="s">
        <v>621</v>
      </c>
      <c r="E210" s="250">
        <v>7309.9</v>
      </c>
    </row>
    <row r="211" spans="2:5" x14ac:dyDescent="0.35">
      <c r="C211" s="1" t="s">
        <v>2558</v>
      </c>
      <c r="D211" s="1" t="s">
        <v>1692</v>
      </c>
      <c r="E211" s="250">
        <v>7309.9009999999998</v>
      </c>
    </row>
    <row r="212" spans="2:5" x14ac:dyDescent="0.35">
      <c r="C212" s="1" t="s">
        <v>2557</v>
      </c>
      <c r="D212" s="1" t="s">
        <v>1692</v>
      </c>
      <c r="E212" s="250">
        <v>7310.0110000000004</v>
      </c>
    </row>
    <row r="213" spans="2:5" x14ac:dyDescent="0.35">
      <c r="C213" s="1" t="s">
        <v>2556</v>
      </c>
      <c r="D213" s="1" t="s">
        <v>1692</v>
      </c>
      <c r="E213" s="250">
        <v>7310.0119999999997</v>
      </c>
    </row>
    <row r="214" spans="2:5" x14ac:dyDescent="0.35">
      <c r="C214" s="1" t="s">
        <v>2555</v>
      </c>
      <c r="D214" s="1" t="s">
        <v>1692</v>
      </c>
      <c r="E214" s="250">
        <v>7310.0150000000003</v>
      </c>
    </row>
    <row r="215" spans="2:5" x14ac:dyDescent="0.35">
      <c r="C215" s="1" t="s">
        <v>2554</v>
      </c>
      <c r="D215" s="1" t="s">
        <v>1692</v>
      </c>
      <c r="E215" s="250">
        <v>7310.0209999999997</v>
      </c>
    </row>
    <row r="216" spans="2:5" x14ac:dyDescent="0.35">
      <c r="C216" s="1" t="s">
        <v>2553</v>
      </c>
      <c r="D216" s="1" t="s">
        <v>1692</v>
      </c>
      <c r="E216" s="250">
        <v>7310.0249999999996</v>
      </c>
    </row>
    <row r="217" spans="2:5" x14ac:dyDescent="0.35">
      <c r="C217" s="1" t="s">
        <v>2552</v>
      </c>
      <c r="D217" s="1" t="s">
        <v>1692</v>
      </c>
      <c r="E217" s="250">
        <v>7310.03</v>
      </c>
    </row>
    <row r="218" spans="2:5" x14ac:dyDescent="0.35">
      <c r="C218" s="1" t="s">
        <v>2546</v>
      </c>
      <c r="D218" s="1" t="s">
        <v>1692</v>
      </c>
      <c r="E218" s="250">
        <v>7310.1</v>
      </c>
    </row>
    <row r="219" spans="2:5" x14ac:dyDescent="0.35">
      <c r="C219" s="1" t="s">
        <v>2545</v>
      </c>
      <c r="D219" s="1" t="s">
        <v>1692</v>
      </c>
      <c r="E219" s="250">
        <v>7310.11</v>
      </c>
    </row>
    <row r="220" spans="2:5" x14ac:dyDescent="0.35">
      <c r="C220" s="1" t="s">
        <v>2534</v>
      </c>
      <c r="D220" s="1" t="s">
        <v>1692</v>
      </c>
      <c r="E220" s="250">
        <v>7310.12</v>
      </c>
    </row>
    <row r="221" spans="2:5" x14ac:dyDescent="0.35">
      <c r="C221" s="1" t="s">
        <v>2551</v>
      </c>
      <c r="D221" s="1" t="s">
        <v>1692</v>
      </c>
      <c r="E221" s="250">
        <v>7310.13</v>
      </c>
    </row>
    <row r="222" spans="2:5" x14ac:dyDescent="0.35">
      <c r="C222" s="1" t="s">
        <v>2550</v>
      </c>
      <c r="D222" s="1" t="s">
        <v>64</v>
      </c>
      <c r="E222" s="250">
        <v>7310.14</v>
      </c>
    </row>
    <row r="223" spans="2:5" x14ac:dyDescent="0.35">
      <c r="C223" s="1" t="s">
        <v>2549</v>
      </c>
      <c r="D223" s="1" t="s">
        <v>64</v>
      </c>
      <c r="E223" s="250">
        <v>7310.1409999999996</v>
      </c>
    </row>
    <row r="224" spans="2:5" x14ac:dyDescent="0.35">
      <c r="C224" s="1" t="s">
        <v>2548</v>
      </c>
      <c r="D224" s="1" t="s">
        <v>64</v>
      </c>
      <c r="E224" s="250">
        <v>7310.1440000000002</v>
      </c>
    </row>
    <row r="225" spans="3:5" x14ac:dyDescent="0.35">
      <c r="C225" s="1" t="s">
        <v>2547</v>
      </c>
      <c r="D225" s="1" t="s">
        <v>64</v>
      </c>
      <c r="E225" s="250">
        <v>7310.1450000000004</v>
      </c>
    </row>
    <row r="226" spans="3:5" x14ac:dyDescent="0.35">
      <c r="C226" s="1" t="s">
        <v>2546</v>
      </c>
      <c r="D226" s="1" t="s">
        <v>1692</v>
      </c>
      <c r="E226" s="250">
        <v>7310.2</v>
      </c>
    </row>
    <row r="227" spans="3:5" x14ac:dyDescent="0.35">
      <c r="C227" s="1" t="s">
        <v>2545</v>
      </c>
      <c r="D227" s="1" t="s">
        <v>1692</v>
      </c>
      <c r="E227" s="250">
        <v>7310.21</v>
      </c>
    </row>
    <row r="228" spans="3:5" x14ac:dyDescent="0.35">
      <c r="C228" s="1" t="s">
        <v>2544</v>
      </c>
      <c r="D228" s="1" t="s">
        <v>1692</v>
      </c>
      <c r="E228" s="250">
        <v>7310.3</v>
      </c>
    </row>
    <row r="229" spans="3:5" x14ac:dyDescent="0.35">
      <c r="C229" s="1" t="s">
        <v>2543</v>
      </c>
      <c r="D229" s="1" t="s">
        <v>1692</v>
      </c>
      <c r="E229" s="250">
        <v>7310.31</v>
      </c>
    </row>
    <row r="230" spans="3:5" x14ac:dyDescent="0.35">
      <c r="C230" s="1" t="s">
        <v>2542</v>
      </c>
      <c r="D230" s="1" t="s">
        <v>1692</v>
      </c>
      <c r="E230" s="250">
        <v>7310.32</v>
      </c>
    </row>
    <row r="231" spans="3:5" x14ac:dyDescent="0.35">
      <c r="C231" s="1" t="s">
        <v>2541</v>
      </c>
      <c r="D231" s="1" t="s">
        <v>66</v>
      </c>
      <c r="E231" s="250">
        <v>7310.8</v>
      </c>
    </row>
    <row r="232" spans="3:5" x14ac:dyDescent="0.35">
      <c r="C232" s="1" t="s">
        <v>2540</v>
      </c>
      <c r="D232" s="1" t="s">
        <v>1692</v>
      </c>
      <c r="E232" s="250">
        <v>7311.0110000000004</v>
      </c>
    </row>
    <row r="233" spans="3:5" x14ac:dyDescent="0.35">
      <c r="C233" s="1" t="s">
        <v>2539</v>
      </c>
      <c r="D233" s="1" t="s">
        <v>1692</v>
      </c>
      <c r="E233" s="250">
        <v>7311.0119999999997</v>
      </c>
    </row>
    <row r="234" spans="3:5" x14ac:dyDescent="0.35">
      <c r="C234" s="1" t="s">
        <v>2538</v>
      </c>
      <c r="D234" s="1" t="s">
        <v>1692</v>
      </c>
      <c r="E234" s="250">
        <v>7311.0129999999999</v>
      </c>
    </row>
    <row r="235" spans="3:5" x14ac:dyDescent="0.35">
      <c r="C235" s="1" t="s">
        <v>2537</v>
      </c>
      <c r="D235" s="1" t="s">
        <v>1692</v>
      </c>
      <c r="E235" s="250">
        <v>7311.0150000000003</v>
      </c>
    </row>
    <row r="236" spans="3:5" x14ac:dyDescent="0.35">
      <c r="C236" s="1" t="s">
        <v>2536</v>
      </c>
      <c r="D236" s="1" t="s">
        <v>1692</v>
      </c>
      <c r="E236" s="250">
        <v>7311.0159999999996</v>
      </c>
    </row>
    <row r="237" spans="3:5" x14ac:dyDescent="0.35">
      <c r="C237" s="1" t="s">
        <v>2535</v>
      </c>
      <c r="D237" s="1" t="s">
        <v>1692</v>
      </c>
      <c r="E237" s="250">
        <v>7311.02</v>
      </c>
    </row>
    <row r="238" spans="3:5" x14ac:dyDescent="0.35">
      <c r="C238" s="1" t="s">
        <v>2534</v>
      </c>
      <c r="D238" s="1" t="s">
        <v>1692</v>
      </c>
      <c r="E238" s="250">
        <v>7311.03</v>
      </c>
    </row>
    <row r="239" spans="3:5" x14ac:dyDescent="0.35">
      <c r="C239" s="1" t="s">
        <v>2533</v>
      </c>
      <c r="D239" s="1" t="s">
        <v>1692</v>
      </c>
      <c r="E239" s="250">
        <v>7311.5</v>
      </c>
    </row>
    <row r="240" spans="3:5" x14ac:dyDescent="0.35">
      <c r="C240" s="1" t="s">
        <v>2532</v>
      </c>
      <c r="D240" s="1" t="s">
        <v>1692</v>
      </c>
      <c r="E240" s="250">
        <v>7311.5010000000002</v>
      </c>
    </row>
    <row r="241" spans="3:5" x14ac:dyDescent="0.35">
      <c r="C241" s="1" t="s">
        <v>2531</v>
      </c>
      <c r="D241" s="1" t="s">
        <v>1692</v>
      </c>
      <c r="E241" s="250">
        <v>7311.5020000000004</v>
      </c>
    </row>
    <row r="242" spans="3:5" x14ac:dyDescent="0.35">
      <c r="C242" s="1" t="s">
        <v>2530</v>
      </c>
      <c r="D242" s="1" t="s">
        <v>1692</v>
      </c>
      <c r="E242" s="250">
        <v>7311.509</v>
      </c>
    </row>
    <row r="243" spans="3:5" x14ac:dyDescent="0.35">
      <c r="C243" s="1" t="s">
        <v>2529</v>
      </c>
      <c r="D243" s="1" t="s">
        <v>1692</v>
      </c>
      <c r="E243" s="250">
        <v>7311.51</v>
      </c>
    </row>
    <row r="244" spans="3:5" x14ac:dyDescent="0.35">
      <c r="C244" s="1" t="s">
        <v>2528</v>
      </c>
      <c r="D244" s="1" t="s">
        <v>1692</v>
      </c>
      <c r="E244" s="250">
        <v>7311.5110000000004</v>
      </c>
    </row>
    <row r="245" spans="3:5" x14ac:dyDescent="0.35">
      <c r="C245" s="1" t="s">
        <v>2527</v>
      </c>
      <c r="D245" s="1" t="s">
        <v>1692</v>
      </c>
      <c r="E245" s="250">
        <v>7311.5119999999997</v>
      </c>
    </row>
    <row r="246" spans="3:5" x14ac:dyDescent="0.35">
      <c r="C246" s="1" t="s">
        <v>2526</v>
      </c>
      <c r="D246" s="1" t="s">
        <v>1692</v>
      </c>
      <c r="E246" s="250">
        <v>7320.01</v>
      </c>
    </row>
    <row r="247" spans="3:5" x14ac:dyDescent="0.35">
      <c r="C247" s="1" t="s">
        <v>2525</v>
      </c>
      <c r="D247" s="1" t="s">
        <v>1692</v>
      </c>
      <c r="E247" s="250">
        <v>7320.02</v>
      </c>
    </row>
    <row r="248" spans="3:5" x14ac:dyDescent="0.35">
      <c r="C248" s="1" t="s">
        <v>2524</v>
      </c>
      <c r="D248" s="1" t="s">
        <v>1692</v>
      </c>
      <c r="E248" s="250">
        <v>7320.0249999999996</v>
      </c>
    </row>
    <row r="249" spans="3:5" x14ac:dyDescent="0.35">
      <c r="C249" s="1" t="s">
        <v>2523</v>
      </c>
      <c r="D249" s="1" t="s">
        <v>1692</v>
      </c>
      <c r="E249" s="250">
        <v>7320.0259999999998</v>
      </c>
    </row>
    <row r="250" spans="3:5" x14ac:dyDescent="0.35">
      <c r="C250" s="1" t="s">
        <v>2522</v>
      </c>
      <c r="D250" s="1" t="s">
        <v>621</v>
      </c>
      <c r="E250" s="250">
        <v>7330.0119999999997</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CFF3EDCB-F859-42FC-B13F-43659AEE598A}">
      <formula1>$C$205:$C207</formula1>
    </dataValidation>
  </dataValidations>
  <hyperlinks>
    <hyperlink ref="D3" r:id="rId1" display="datamateapp@gmail.com" xr:uid="{C7497E16-2CC3-44A6-967B-FFCBF277F1E3}"/>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56361" r:id="rId4" name="Button 9">
              <controlPr defaultSize="0" print="0" autoFill="0" autoPict="0" macro="[0]!ExitSEC_073000">
                <anchor moveWithCells="1" sizeWithCells="1">
                  <from>
                    <xdr:col>16</xdr:col>
                    <xdr:colOff>203200</xdr:colOff>
                    <xdr:row>0</xdr:row>
                    <xdr:rowOff>0</xdr:rowOff>
                  </from>
                  <to>
                    <xdr:col>16</xdr:col>
                    <xdr:colOff>1473200</xdr:colOff>
                    <xdr:row>2</xdr:row>
                    <xdr:rowOff>12700</xdr:rowOff>
                  </to>
                </anchor>
              </controlPr>
            </control>
          </mc:Choice>
        </mc:AlternateContent>
        <mc:AlternateContent xmlns:mc="http://schemas.openxmlformats.org/markup-compatibility/2006">
          <mc:Choice Requires="x14">
            <control shapeId="356388" r:id="rId5" name="Button 36">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356389" r:id="rId6" name="Button 37">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356390" r:id="rId7" name="Button 38">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356391" r:id="rId8" name="Button 39">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356392" r:id="rId9" name="Button 40">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356393" r:id="rId10" name="Button 41">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356394" r:id="rId11" name="Button 42">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356395" r:id="rId12" name="Button 43">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D4D38-6824-4B5F-BC6B-013F09F17469}">
  <sheetPr codeName="Sheet88"/>
  <dimension ref="A1:Q301"/>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ROOFING AND SIDING PANELS</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07 40 00</v>
      </c>
      <c r="C10" s="24" t="str">
        <f>C206</f>
        <v>ROOFING AND SIDING PANELS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ROOFING AND SIDING PANELS</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14392</v>
      </c>
      <c r="C206" s="82" t="s">
        <v>14393</v>
      </c>
      <c r="D206" s="1"/>
      <c r="E206" s="1"/>
      <c r="F206" s="1"/>
      <c r="G206" s="1"/>
      <c r="H206" s="1"/>
      <c r="I206" s="1"/>
      <c r="J206" s="1"/>
      <c r="K206" s="1"/>
      <c r="L206" s="1"/>
      <c r="M206" s="1"/>
      <c r="N206" s="1"/>
      <c r="O206" s="1"/>
      <c r="P206" s="1"/>
      <c r="Q206" s="1"/>
    </row>
    <row r="207" spans="2:17" x14ac:dyDescent="0.35">
      <c r="B207" s="49" t="s">
        <v>14394</v>
      </c>
      <c r="C207" s="53" t="s">
        <v>14395</v>
      </c>
      <c r="D207" s="1"/>
      <c r="E207" s="1"/>
      <c r="F207" s="1"/>
      <c r="G207" s="1"/>
      <c r="H207" s="1"/>
      <c r="I207" s="1"/>
      <c r="J207" s="1"/>
      <c r="K207" s="1"/>
      <c r="L207" s="1"/>
      <c r="M207" s="1"/>
      <c r="N207" s="1"/>
      <c r="O207" s="1"/>
      <c r="P207" s="1"/>
      <c r="Q207" s="1"/>
    </row>
    <row r="208" spans="2:17" x14ac:dyDescent="0.35">
      <c r="B208" s="49" t="s">
        <v>14396</v>
      </c>
      <c r="C208" s="53" t="s">
        <v>14397</v>
      </c>
    </row>
    <row r="209" spans="2:5" x14ac:dyDescent="0.35">
      <c r="B209" s="49" t="s">
        <v>14398</v>
      </c>
      <c r="C209" s="53" t="s">
        <v>14399</v>
      </c>
    </row>
    <row r="210" spans="2:5" x14ac:dyDescent="0.35">
      <c r="B210" s="49" t="s">
        <v>14400</v>
      </c>
      <c r="C210" s="53" t="s">
        <v>14401</v>
      </c>
    </row>
    <row r="211" spans="2:5" x14ac:dyDescent="0.35">
      <c r="C211" s="1" t="s">
        <v>2521</v>
      </c>
      <c r="D211" s="1" t="s">
        <v>621</v>
      </c>
      <c r="E211" s="250">
        <v>7410.0110000000004</v>
      </c>
    </row>
    <row r="212" spans="2:5" x14ac:dyDescent="0.35">
      <c r="C212" s="1" t="s">
        <v>2520</v>
      </c>
      <c r="D212" s="1" t="s">
        <v>621</v>
      </c>
      <c r="E212" s="250">
        <v>7410.0119999999997</v>
      </c>
    </row>
    <row r="213" spans="2:5" x14ac:dyDescent="0.35">
      <c r="C213" s="1" t="s">
        <v>2519</v>
      </c>
      <c r="D213" s="1" t="s">
        <v>621</v>
      </c>
      <c r="E213" s="250">
        <v>7410.0129999999999</v>
      </c>
    </row>
    <row r="214" spans="2:5" x14ac:dyDescent="0.35">
      <c r="C214" s="1" t="s">
        <v>2518</v>
      </c>
      <c r="D214" s="1" t="s">
        <v>621</v>
      </c>
      <c r="E214" s="250">
        <v>7410.0140000000001</v>
      </c>
    </row>
    <row r="215" spans="2:5" x14ac:dyDescent="0.35">
      <c r="C215" s="1" t="s">
        <v>2517</v>
      </c>
      <c r="D215" s="1" t="s">
        <v>621</v>
      </c>
      <c r="E215" s="250">
        <v>7410.06</v>
      </c>
    </row>
    <row r="216" spans="2:5" x14ac:dyDescent="0.35">
      <c r="C216" s="1" t="s">
        <v>2516</v>
      </c>
      <c r="D216" s="1" t="s">
        <v>621</v>
      </c>
      <c r="E216" s="250">
        <v>7410.0609999999997</v>
      </c>
    </row>
    <row r="217" spans="2:5" x14ac:dyDescent="0.35">
      <c r="C217" s="1" t="s">
        <v>2515</v>
      </c>
      <c r="D217" s="1" t="s">
        <v>20</v>
      </c>
      <c r="E217" s="250">
        <v>7460.0110000000004</v>
      </c>
    </row>
    <row r="218" spans="2:5" x14ac:dyDescent="0.35">
      <c r="C218" s="1" t="s">
        <v>2514</v>
      </c>
      <c r="D218" s="1" t="s">
        <v>2329</v>
      </c>
      <c r="E218" s="250">
        <v>7460.0209999999997</v>
      </c>
    </row>
    <row r="219" spans="2:5" x14ac:dyDescent="0.35">
      <c r="C219" s="1" t="s">
        <v>2513</v>
      </c>
      <c r="D219" s="1" t="s">
        <v>2329</v>
      </c>
      <c r="E219" s="250">
        <v>7460.0219999999999</v>
      </c>
    </row>
    <row r="220" spans="2:5" x14ac:dyDescent="0.35">
      <c r="C220" s="1" t="s">
        <v>2512</v>
      </c>
      <c r="D220" s="1" t="s">
        <v>2329</v>
      </c>
      <c r="E220" s="250">
        <v>7460.0230000000001</v>
      </c>
    </row>
    <row r="221" spans="2:5" x14ac:dyDescent="0.35">
      <c r="C221" s="1" t="s">
        <v>2511</v>
      </c>
      <c r="D221" s="1" t="s">
        <v>20</v>
      </c>
      <c r="E221" s="250">
        <v>7460.0240000000003</v>
      </c>
    </row>
    <row r="222" spans="2:5" x14ac:dyDescent="0.35">
      <c r="C222" s="1" t="s">
        <v>2470</v>
      </c>
      <c r="D222" s="1" t="s">
        <v>20</v>
      </c>
      <c r="E222" s="250">
        <v>7460.0249999999996</v>
      </c>
    </row>
    <row r="223" spans="2:5" x14ac:dyDescent="0.35">
      <c r="C223" s="1" t="s">
        <v>2471</v>
      </c>
      <c r="D223" s="1" t="s">
        <v>20</v>
      </c>
      <c r="E223" s="250">
        <v>7460.0259999999998</v>
      </c>
    </row>
    <row r="224" spans="2:5" x14ac:dyDescent="0.35">
      <c r="C224" s="1" t="s">
        <v>2510</v>
      </c>
      <c r="D224" s="1" t="s">
        <v>20</v>
      </c>
      <c r="E224" s="250">
        <v>7460.027</v>
      </c>
    </row>
    <row r="225" spans="3:5" x14ac:dyDescent="0.35">
      <c r="C225" s="1" t="s">
        <v>2472</v>
      </c>
      <c r="D225" s="1" t="s">
        <v>20</v>
      </c>
      <c r="E225" s="250">
        <v>7460.0280000000002</v>
      </c>
    </row>
    <row r="226" spans="3:5" x14ac:dyDescent="0.35">
      <c r="C226" s="1" t="s">
        <v>2509</v>
      </c>
      <c r="D226" s="1" t="s">
        <v>19</v>
      </c>
      <c r="E226" s="250">
        <v>7460.04</v>
      </c>
    </row>
    <row r="227" spans="3:5" x14ac:dyDescent="0.35">
      <c r="C227" s="1" t="s">
        <v>2508</v>
      </c>
      <c r="D227" s="1" t="s">
        <v>19</v>
      </c>
      <c r="E227" s="250">
        <v>7460.0410000000002</v>
      </c>
    </row>
    <row r="228" spans="3:5" x14ac:dyDescent="0.35">
      <c r="C228" s="1" t="s">
        <v>2507</v>
      </c>
      <c r="D228" s="1" t="s">
        <v>19</v>
      </c>
      <c r="E228" s="250">
        <v>7460.0420000000004</v>
      </c>
    </row>
    <row r="229" spans="3:5" x14ac:dyDescent="0.35">
      <c r="C229" s="1" t="s">
        <v>2506</v>
      </c>
      <c r="D229" s="1" t="s">
        <v>19</v>
      </c>
      <c r="E229" s="250">
        <v>7460.0429999999997</v>
      </c>
    </row>
    <row r="230" spans="3:5" x14ac:dyDescent="0.35">
      <c r="C230" s="1" t="s">
        <v>2505</v>
      </c>
      <c r="D230" s="1" t="s">
        <v>19</v>
      </c>
      <c r="E230" s="250">
        <v>7460.0439999999999</v>
      </c>
    </row>
    <row r="231" spans="3:5" x14ac:dyDescent="0.35">
      <c r="C231" s="1" t="s">
        <v>2504</v>
      </c>
      <c r="D231" s="1" t="s">
        <v>19</v>
      </c>
      <c r="E231" s="250">
        <v>7460.0450000000001</v>
      </c>
    </row>
    <row r="232" spans="3:5" x14ac:dyDescent="0.35">
      <c r="C232" s="1" t="s">
        <v>2503</v>
      </c>
      <c r="D232" s="1" t="s">
        <v>19</v>
      </c>
      <c r="E232" s="250">
        <v>7460.0460000000003</v>
      </c>
    </row>
    <row r="233" spans="3:5" x14ac:dyDescent="0.35">
      <c r="C233" s="1" t="s">
        <v>2502</v>
      </c>
      <c r="D233" s="1" t="s">
        <v>19</v>
      </c>
      <c r="E233" s="250">
        <v>7460.0469999999996</v>
      </c>
    </row>
    <row r="234" spans="3:5" x14ac:dyDescent="0.35">
      <c r="C234" s="1" t="s">
        <v>2501</v>
      </c>
      <c r="D234" s="1" t="s">
        <v>20</v>
      </c>
      <c r="E234" s="250">
        <v>7460.05</v>
      </c>
    </row>
    <row r="235" spans="3:5" x14ac:dyDescent="0.35">
      <c r="C235" s="1" t="s">
        <v>2500</v>
      </c>
      <c r="D235" s="1" t="s">
        <v>20</v>
      </c>
      <c r="E235" s="250">
        <v>7460.0510000000004</v>
      </c>
    </row>
    <row r="236" spans="3:5" x14ac:dyDescent="0.35">
      <c r="C236" s="1" t="s">
        <v>2499</v>
      </c>
      <c r="D236" s="1" t="s">
        <v>20</v>
      </c>
      <c r="E236" s="250">
        <v>7460.0519999999997</v>
      </c>
    </row>
    <row r="237" spans="3:5" x14ac:dyDescent="0.35">
      <c r="C237" s="1" t="s">
        <v>2498</v>
      </c>
      <c r="D237" s="1" t="s">
        <v>20</v>
      </c>
      <c r="E237" s="250">
        <v>7460.0529999999999</v>
      </c>
    </row>
    <row r="238" spans="3:5" x14ac:dyDescent="0.35">
      <c r="C238" s="1" t="s">
        <v>1869</v>
      </c>
      <c r="D238" s="1" t="s">
        <v>20</v>
      </c>
      <c r="E238" s="250">
        <v>7460.0540000000001</v>
      </c>
    </row>
    <row r="239" spans="3:5" x14ac:dyDescent="0.35">
      <c r="C239" s="1" t="s">
        <v>2497</v>
      </c>
      <c r="D239" s="1" t="s">
        <v>20</v>
      </c>
      <c r="E239" s="250">
        <v>7460.0550000000003</v>
      </c>
    </row>
    <row r="240" spans="3:5" x14ac:dyDescent="0.35">
      <c r="C240" s="1" t="s">
        <v>2496</v>
      </c>
      <c r="D240" s="1" t="s">
        <v>20</v>
      </c>
      <c r="E240" s="250">
        <v>7460.0559999999996</v>
      </c>
    </row>
    <row r="241" spans="3:5" x14ac:dyDescent="0.35">
      <c r="C241" s="1" t="s">
        <v>2495</v>
      </c>
      <c r="D241" s="1" t="s">
        <v>20</v>
      </c>
      <c r="E241" s="250">
        <v>7460.0569999999998</v>
      </c>
    </row>
    <row r="242" spans="3:5" x14ac:dyDescent="0.35">
      <c r="C242" s="1" t="s">
        <v>2465</v>
      </c>
      <c r="D242" s="1" t="s">
        <v>20</v>
      </c>
      <c r="E242" s="250">
        <v>7460.058</v>
      </c>
    </row>
    <row r="243" spans="3:5" x14ac:dyDescent="0.35">
      <c r="C243" s="1" t="s">
        <v>2494</v>
      </c>
      <c r="D243" s="1" t="s">
        <v>2329</v>
      </c>
      <c r="E243" s="250">
        <v>7460.06</v>
      </c>
    </row>
    <row r="244" spans="3:5" x14ac:dyDescent="0.35">
      <c r="C244" s="1" t="s">
        <v>2493</v>
      </c>
      <c r="D244" s="1" t="s">
        <v>19</v>
      </c>
      <c r="E244" s="250">
        <v>7460.0609999999997</v>
      </c>
    </row>
    <row r="245" spans="3:5" x14ac:dyDescent="0.35">
      <c r="C245" s="1" t="s">
        <v>2492</v>
      </c>
      <c r="D245" s="1" t="s">
        <v>19</v>
      </c>
      <c r="E245" s="250">
        <v>7460.0619999999999</v>
      </c>
    </row>
    <row r="246" spans="3:5" x14ac:dyDescent="0.35">
      <c r="C246" s="1" t="s">
        <v>2491</v>
      </c>
      <c r="D246" s="1" t="s">
        <v>19</v>
      </c>
      <c r="E246" s="250">
        <v>7460.0630000000001</v>
      </c>
    </row>
    <row r="247" spans="3:5" x14ac:dyDescent="0.35">
      <c r="C247" s="1" t="s">
        <v>2490</v>
      </c>
      <c r="D247" s="1" t="s">
        <v>19</v>
      </c>
      <c r="E247" s="250">
        <v>7460.0640000000003</v>
      </c>
    </row>
    <row r="248" spans="3:5" x14ac:dyDescent="0.35">
      <c r="C248" s="1" t="s">
        <v>2489</v>
      </c>
      <c r="D248" s="1" t="s">
        <v>19</v>
      </c>
      <c r="E248" s="250">
        <v>7460.0649999999996</v>
      </c>
    </row>
    <row r="249" spans="3:5" x14ac:dyDescent="0.35">
      <c r="C249" s="1" t="s">
        <v>2488</v>
      </c>
      <c r="D249" s="1" t="s">
        <v>19</v>
      </c>
      <c r="E249" s="250">
        <v>7460.0659999999998</v>
      </c>
    </row>
    <row r="250" spans="3:5" x14ac:dyDescent="0.35">
      <c r="C250" s="1" t="s">
        <v>2487</v>
      </c>
      <c r="D250" s="1" t="s">
        <v>19</v>
      </c>
      <c r="E250" s="250">
        <v>7460.067</v>
      </c>
    </row>
    <row r="251" spans="3:5" x14ac:dyDescent="0.35">
      <c r="C251" s="1" t="s">
        <v>2486</v>
      </c>
      <c r="D251" s="1" t="s">
        <v>19</v>
      </c>
      <c r="E251" s="250">
        <v>7460.0680000000002</v>
      </c>
    </row>
    <row r="252" spans="3:5" x14ac:dyDescent="0.35">
      <c r="C252" s="1" t="s">
        <v>2485</v>
      </c>
      <c r="D252" s="1" t="s">
        <v>2329</v>
      </c>
      <c r="E252" s="250">
        <v>7460.07</v>
      </c>
    </row>
    <row r="253" spans="3:5" x14ac:dyDescent="0.35">
      <c r="C253" s="1" t="s">
        <v>2484</v>
      </c>
      <c r="D253" s="1" t="s">
        <v>2329</v>
      </c>
      <c r="E253" s="250">
        <v>7460.0709999999999</v>
      </c>
    </row>
    <row r="254" spans="3:5" x14ac:dyDescent="0.35">
      <c r="C254" s="1" t="s">
        <v>2483</v>
      </c>
      <c r="D254" s="1" t="s">
        <v>2329</v>
      </c>
      <c r="E254" s="250">
        <v>7460.0720000000001</v>
      </c>
    </row>
    <row r="255" spans="3:5" x14ac:dyDescent="0.35">
      <c r="C255" s="1" t="s">
        <v>2482</v>
      </c>
      <c r="D255" s="1" t="s">
        <v>2329</v>
      </c>
      <c r="E255" s="250">
        <v>7460.0730000000003</v>
      </c>
    </row>
    <row r="256" spans="3:5" x14ac:dyDescent="0.35">
      <c r="C256" s="1" t="s">
        <v>2481</v>
      </c>
      <c r="D256" s="1" t="s">
        <v>2329</v>
      </c>
      <c r="E256" s="250">
        <v>7460.0739999999996</v>
      </c>
    </row>
    <row r="257" spans="3:5" x14ac:dyDescent="0.35">
      <c r="C257" s="1" t="s">
        <v>2480</v>
      </c>
      <c r="D257" s="1" t="s">
        <v>19</v>
      </c>
      <c r="E257" s="250">
        <v>7460.0749999999998</v>
      </c>
    </row>
    <row r="258" spans="3:5" x14ac:dyDescent="0.35">
      <c r="C258" s="1" t="s">
        <v>2479</v>
      </c>
      <c r="D258" s="1" t="s">
        <v>19</v>
      </c>
      <c r="E258" s="250">
        <v>7460.076</v>
      </c>
    </row>
    <row r="259" spans="3:5" x14ac:dyDescent="0.35">
      <c r="C259" s="1" t="s">
        <v>2478</v>
      </c>
      <c r="D259" s="1" t="s">
        <v>19</v>
      </c>
      <c r="E259" s="250">
        <v>7460.0770000000002</v>
      </c>
    </row>
    <row r="260" spans="3:5" x14ac:dyDescent="0.35">
      <c r="C260" s="1" t="s">
        <v>2477</v>
      </c>
      <c r="D260" s="1" t="s">
        <v>19</v>
      </c>
      <c r="E260" s="250">
        <v>7460.0780000000004</v>
      </c>
    </row>
    <row r="261" spans="3:5" x14ac:dyDescent="0.35">
      <c r="C261" s="1" t="s">
        <v>2476</v>
      </c>
      <c r="D261" s="1" t="s">
        <v>19</v>
      </c>
      <c r="E261" s="250">
        <v>7460.0829999999996</v>
      </c>
    </row>
    <row r="262" spans="3:5" x14ac:dyDescent="0.35">
      <c r="C262" s="1" t="s">
        <v>2475</v>
      </c>
      <c r="D262" s="1" t="s">
        <v>19</v>
      </c>
      <c r="E262" s="250">
        <v>7460.0839999999998</v>
      </c>
    </row>
    <row r="263" spans="3:5" x14ac:dyDescent="0.35">
      <c r="C263" s="1" t="s">
        <v>2474</v>
      </c>
      <c r="D263" s="1" t="s">
        <v>19</v>
      </c>
      <c r="E263" s="250">
        <v>7460.085</v>
      </c>
    </row>
    <row r="264" spans="3:5" x14ac:dyDescent="0.35">
      <c r="C264" s="1" t="s">
        <v>2473</v>
      </c>
      <c r="D264" s="1" t="s">
        <v>19</v>
      </c>
      <c r="E264" s="250">
        <v>7460.0860000000002</v>
      </c>
    </row>
    <row r="265" spans="3:5" x14ac:dyDescent="0.35">
      <c r="C265" s="1" t="s">
        <v>2464</v>
      </c>
      <c r="D265" s="1" t="s">
        <v>20</v>
      </c>
      <c r="E265" s="250">
        <v>7460.2</v>
      </c>
    </row>
    <row r="266" spans="3:5" x14ac:dyDescent="0.35">
      <c r="C266" s="1" t="s">
        <v>2472</v>
      </c>
      <c r="D266" s="1" t="s">
        <v>20</v>
      </c>
      <c r="E266" s="250">
        <v>7460.201</v>
      </c>
    </row>
    <row r="267" spans="3:5" x14ac:dyDescent="0.35">
      <c r="C267" s="1" t="s">
        <v>2462</v>
      </c>
      <c r="D267" s="1" t="s">
        <v>20</v>
      </c>
      <c r="E267" s="250">
        <v>7460.2020000000002</v>
      </c>
    </row>
    <row r="268" spans="3:5" x14ac:dyDescent="0.35">
      <c r="C268" s="1" t="s">
        <v>2461</v>
      </c>
      <c r="D268" s="1" t="s">
        <v>20</v>
      </c>
      <c r="E268" s="250">
        <v>7460.2030000000004</v>
      </c>
    </row>
    <row r="269" spans="3:5" x14ac:dyDescent="0.35">
      <c r="C269" s="1" t="s">
        <v>2460</v>
      </c>
      <c r="D269" s="1" t="s">
        <v>20</v>
      </c>
      <c r="E269" s="250">
        <v>7460.2039999999997</v>
      </c>
    </row>
    <row r="270" spans="3:5" x14ac:dyDescent="0.35">
      <c r="C270" s="1" t="s">
        <v>2459</v>
      </c>
      <c r="D270" s="1" t="s">
        <v>20</v>
      </c>
      <c r="E270" s="250">
        <v>7460.2049999999999</v>
      </c>
    </row>
    <row r="271" spans="3:5" x14ac:dyDescent="0.35">
      <c r="C271" s="1" t="s">
        <v>2458</v>
      </c>
      <c r="D271" s="1" t="s">
        <v>20</v>
      </c>
      <c r="E271" s="250">
        <v>7460.2060000000001</v>
      </c>
    </row>
    <row r="272" spans="3:5" x14ac:dyDescent="0.35">
      <c r="C272" s="1" t="s">
        <v>2471</v>
      </c>
      <c r="D272" s="1" t="s">
        <v>20</v>
      </c>
      <c r="E272" s="250">
        <v>7460.21</v>
      </c>
    </row>
    <row r="273" spans="3:5" x14ac:dyDescent="0.35">
      <c r="C273" s="1" t="s">
        <v>2470</v>
      </c>
      <c r="D273" s="1" t="s">
        <v>20</v>
      </c>
      <c r="E273" s="250">
        <v>7460.2110000000002</v>
      </c>
    </row>
    <row r="274" spans="3:5" x14ac:dyDescent="0.35">
      <c r="C274" s="1" t="s">
        <v>2469</v>
      </c>
      <c r="D274" s="1" t="s">
        <v>67</v>
      </c>
      <c r="E274" s="250">
        <v>7460.22</v>
      </c>
    </row>
    <row r="275" spans="3:5" x14ac:dyDescent="0.35">
      <c r="C275" s="1" t="s">
        <v>2468</v>
      </c>
      <c r="D275" s="1" t="s">
        <v>67</v>
      </c>
      <c r="E275" s="250">
        <v>7460.2209999999995</v>
      </c>
    </row>
    <row r="276" spans="3:5" x14ac:dyDescent="0.35">
      <c r="C276" s="1" t="s">
        <v>2467</v>
      </c>
      <c r="D276" s="1" t="s">
        <v>67</v>
      </c>
      <c r="E276" s="250">
        <v>7460.2219999999998</v>
      </c>
    </row>
    <row r="277" spans="3:5" x14ac:dyDescent="0.35">
      <c r="C277" s="1" t="s">
        <v>2466</v>
      </c>
      <c r="D277" s="1" t="s">
        <v>20</v>
      </c>
      <c r="E277" s="250">
        <v>7460.2250000000004</v>
      </c>
    </row>
    <row r="278" spans="3:5" x14ac:dyDescent="0.35">
      <c r="C278" s="1" t="s">
        <v>2465</v>
      </c>
      <c r="D278" s="1" t="s">
        <v>20</v>
      </c>
      <c r="E278" s="250">
        <v>7460.2259999999997</v>
      </c>
    </row>
    <row r="279" spans="3:5" x14ac:dyDescent="0.35">
      <c r="C279" s="1" t="s">
        <v>2444</v>
      </c>
      <c r="D279" s="1" t="s">
        <v>66</v>
      </c>
      <c r="E279" s="250">
        <v>7460.3</v>
      </c>
    </row>
    <row r="280" spans="3:5" x14ac:dyDescent="0.35">
      <c r="C280" s="1" t="s">
        <v>2464</v>
      </c>
      <c r="D280" s="1" t="s">
        <v>20</v>
      </c>
      <c r="E280" s="250">
        <v>7460.3010000000004</v>
      </c>
    </row>
    <row r="281" spans="3:5" x14ac:dyDescent="0.35">
      <c r="C281" s="1" t="s">
        <v>2463</v>
      </c>
      <c r="D281" s="1" t="s">
        <v>20</v>
      </c>
      <c r="E281" s="250">
        <v>7460.3019999999997</v>
      </c>
    </row>
    <row r="282" spans="3:5" x14ac:dyDescent="0.35">
      <c r="C282" s="1" t="s">
        <v>2462</v>
      </c>
      <c r="D282" s="1" t="s">
        <v>20</v>
      </c>
      <c r="E282" s="250">
        <v>7460.3029999999999</v>
      </c>
    </row>
    <row r="283" spans="3:5" x14ac:dyDescent="0.35">
      <c r="C283" s="1" t="s">
        <v>2461</v>
      </c>
      <c r="D283" s="1" t="s">
        <v>20</v>
      </c>
      <c r="E283" s="250">
        <v>7460.3040000000001</v>
      </c>
    </row>
    <row r="284" spans="3:5" x14ac:dyDescent="0.35">
      <c r="C284" s="1" t="s">
        <v>2460</v>
      </c>
      <c r="D284" s="1" t="s">
        <v>20</v>
      </c>
      <c r="E284" s="250">
        <v>7460.3050000000003</v>
      </c>
    </row>
    <row r="285" spans="3:5" x14ac:dyDescent="0.35">
      <c r="C285" s="1" t="s">
        <v>2459</v>
      </c>
      <c r="D285" s="1" t="s">
        <v>20</v>
      </c>
      <c r="E285" s="250">
        <v>7460.3059999999996</v>
      </c>
    </row>
    <row r="286" spans="3:5" x14ac:dyDescent="0.35">
      <c r="C286" s="1" t="s">
        <v>2458</v>
      </c>
      <c r="D286" s="1" t="s">
        <v>20</v>
      </c>
      <c r="E286" s="250">
        <v>7460.3069999999998</v>
      </c>
    </row>
    <row r="287" spans="3:5" x14ac:dyDescent="0.35">
      <c r="C287" s="1" t="s">
        <v>2457</v>
      </c>
      <c r="D287" s="1" t="s">
        <v>20</v>
      </c>
      <c r="E287" s="250">
        <v>7460.308</v>
      </c>
    </row>
    <row r="288" spans="3:5" x14ac:dyDescent="0.35">
      <c r="C288" s="1" t="s">
        <v>2456</v>
      </c>
      <c r="D288" s="1" t="s">
        <v>20</v>
      </c>
      <c r="E288" s="250">
        <v>7460.3090000000002</v>
      </c>
    </row>
    <row r="289" spans="3:5" x14ac:dyDescent="0.35">
      <c r="C289" s="1" t="s">
        <v>2455</v>
      </c>
      <c r="D289" s="1" t="s">
        <v>20</v>
      </c>
      <c r="E289" s="250">
        <v>7460.31</v>
      </c>
    </row>
    <row r="290" spans="3:5" x14ac:dyDescent="0.35">
      <c r="C290" s="1" t="s">
        <v>2454</v>
      </c>
      <c r="D290" s="1" t="s">
        <v>20</v>
      </c>
      <c r="E290" s="250">
        <v>7460.3109999999997</v>
      </c>
    </row>
    <row r="291" spans="3:5" x14ac:dyDescent="0.35">
      <c r="C291" s="1" t="s">
        <v>2453</v>
      </c>
      <c r="D291" s="1" t="s">
        <v>20</v>
      </c>
      <c r="E291" s="250">
        <v>7460.3119999999999</v>
      </c>
    </row>
    <row r="292" spans="3:5" x14ac:dyDescent="0.35">
      <c r="C292" s="1" t="s">
        <v>2452</v>
      </c>
      <c r="D292" s="1" t="s">
        <v>20</v>
      </c>
      <c r="E292" s="250">
        <v>7460.3130000000001</v>
      </c>
    </row>
    <row r="293" spans="3:5" x14ac:dyDescent="0.35">
      <c r="C293" s="1" t="s">
        <v>2451</v>
      </c>
      <c r="D293" s="1" t="s">
        <v>20</v>
      </c>
      <c r="E293" s="250">
        <v>7460.3140000000003</v>
      </c>
    </row>
    <row r="294" spans="3:5" x14ac:dyDescent="0.35">
      <c r="C294" s="1" t="s">
        <v>2450</v>
      </c>
      <c r="D294" s="1" t="s">
        <v>20</v>
      </c>
      <c r="E294" s="250">
        <v>7460.3149999999996</v>
      </c>
    </row>
    <row r="295" spans="3:5" x14ac:dyDescent="0.35">
      <c r="C295" s="1" t="s">
        <v>2449</v>
      </c>
      <c r="D295" s="1" t="s">
        <v>20</v>
      </c>
      <c r="E295" s="250">
        <v>7460.3159999999998</v>
      </c>
    </row>
    <row r="296" spans="3:5" x14ac:dyDescent="0.35">
      <c r="C296" s="1" t="s">
        <v>2448</v>
      </c>
      <c r="D296" s="1" t="s">
        <v>20</v>
      </c>
      <c r="E296" s="250">
        <v>7460.317</v>
      </c>
    </row>
    <row r="297" spans="3:5" x14ac:dyDescent="0.35">
      <c r="C297" s="1" t="s">
        <v>2447</v>
      </c>
      <c r="D297" s="1" t="s">
        <v>20</v>
      </c>
      <c r="E297" s="250">
        <v>7460.5</v>
      </c>
    </row>
    <row r="298" spans="3:5" x14ac:dyDescent="0.35">
      <c r="C298" s="1" t="s">
        <v>2446</v>
      </c>
      <c r="D298" s="1" t="s">
        <v>20</v>
      </c>
      <c r="E298" s="250">
        <v>7460.51</v>
      </c>
    </row>
    <row r="299" spans="3:5" x14ac:dyDescent="0.35">
      <c r="C299" s="1" t="s">
        <v>2445</v>
      </c>
      <c r="D299" s="1" t="s">
        <v>20</v>
      </c>
      <c r="E299" s="250">
        <v>7460.6</v>
      </c>
    </row>
    <row r="300" spans="3:5" x14ac:dyDescent="0.35">
      <c r="C300" s="1" t="s">
        <v>2444</v>
      </c>
      <c r="D300" s="1" t="s">
        <v>66</v>
      </c>
      <c r="E300" s="250">
        <v>7460.9</v>
      </c>
    </row>
    <row r="301" spans="3:5" x14ac:dyDescent="0.35">
      <c r="C301" s="1" t="s">
        <v>2443</v>
      </c>
      <c r="D301" s="1" t="s">
        <v>20</v>
      </c>
      <c r="E301" s="250">
        <v>7469.9</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5E6B613A-7BDC-44B7-83DB-2AF172B495CF}">
      <formula1>$C$205:$C207</formula1>
    </dataValidation>
  </dataValidations>
  <hyperlinks>
    <hyperlink ref="D3" r:id="rId1" display="datamateapp@gmail.com" xr:uid="{474183EB-92B1-448A-9570-9B9338E56A5B}"/>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61482" r:id="rId4" name="Button 10">
              <controlPr defaultSize="0" print="0" autoFill="0" autoPict="0" macro="[0]!ExitSEC_074000">
                <anchor moveWithCells="1" sizeWithCells="1">
                  <from>
                    <xdr:col>16</xdr:col>
                    <xdr:colOff>196850</xdr:colOff>
                    <xdr:row>0</xdr:row>
                    <xdr:rowOff>0</xdr:rowOff>
                  </from>
                  <to>
                    <xdr:col>16</xdr:col>
                    <xdr:colOff>1466850</xdr:colOff>
                    <xdr:row>2</xdr:row>
                    <xdr:rowOff>12700</xdr:rowOff>
                  </to>
                </anchor>
              </controlPr>
            </control>
          </mc:Choice>
        </mc:AlternateContent>
        <mc:AlternateContent xmlns:mc="http://schemas.openxmlformats.org/markup-compatibility/2006">
          <mc:Choice Requires="x14">
            <control shapeId="361509" r:id="rId5" name="Button 37">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361510" r:id="rId6" name="Button 38">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361511" r:id="rId7" name="Button 39">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361512" r:id="rId8" name="Button 40">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361513" r:id="rId9" name="Button 41">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361514" r:id="rId10" name="Button 42">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361515" r:id="rId11" name="Button 43">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361516" r:id="rId12" name="Button 44">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635AC4-2069-4551-B0E4-EC614FD05650}">
  <sheetPr codeName="Sheet89"/>
  <dimension ref="A1:Q214"/>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MEMBRANE ROOFING</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07 50 00</v>
      </c>
      <c r="C10" s="24" t="str">
        <f>C206</f>
        <v>MEMBRANE ROOFING</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MEMBRANE ROOFING</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14402</v>
      </c>
      <c r="C206" s="82" t="s">
        <v>14403</v>
      </c>
      <c r="D206" s="1"/>
      <c r="E206" s="1"/>
      <c r="F206" s="1"/>
      <c r="G206" s="1"/>
      <c r="H206" s="1"/>
      <c r="I206" s="1"/>
      <c r="J206" s="1"/>
      <c r="K206" s="1"/>
      <c r="L206" s="1"/>
      <c r="M206" s="1"/>
      <c r="N206" s="1"/>
      <c r="O206" s="1"/>
      <c r="P206" s="1"/>
      <c r="Q206" s="1"/>
    </row>
    <row r="207" spans="2:17" x14ac:dyDescent="0.35">
      <c r="B207" s="49" t="s">
        <v>14404</v>
      </c>
      <c r="C207" s="53" t="s">
        <v>14405</v>
      </c>
      <c r="D207" s="1"/>
      <c r="E207" s="1"/>
      <c r="F207" s="1"/>
      <c r="G207" s="1"/>
      <c r="H207" s="1"/>
      <c r="I207" s="1"/>
      <c r="J207" s="1"/>
      <c r="K207" s="1"/>
      <c r="L207" s="1"/>
      <c r="M207" s="1"/>
      <c r="N207" s="1"/>
      <c r="O207" s="1"/>
      <c r="P207" s="1"/>
      <c r="Q207" s="1"/>
    </row>
    <row r="208" spans="2:17" x14ac:dyDescent="0.35">
      <c r="B208" s="49" t="s">
        <v>14406</v>
      </c>
      <c r="C208" s="53" t="s">
        <v>14407</v>
      </c>
    </row>
    <row r="209" spans="2:3" x14ac:dyDescent="0.35">
      <c r="B209" s="49" t="s">
        <v>14408</v>
      </c>
      <c r="C209" s="53" t="s">
        <v>14409</v>
      </c>
    </row>
    <row r="210" spans="2:3" x14ac:dyDescent="0.35">
      <c r="B210" s="49" t="s">
        <v>14410</v>
      </c>
      <c r="C210" s="53" t="s">
        <v>14411</v>
      </c>
    </row>
    <row r="211" spans="2:3" x14ac:dyDescent="0.35">
      <c r="B211" s="49" t="s">
        <v>14412</v>
      </c>
      <c r="C211" s="53" t="s">
        <v>14413</v>
      </c>
    </row>
    <row r="212" spans="2:3" x14ac:dyDescent="0.35">
      <c r="B212" s="49" t="s">
        <v>14414</v>
      </c>
      <c r="C212" s="53" t="s">
        <v>14415</v>
      </c>
    </row>
    <row r="213" spans="2:3" x14ac:dyDescent="0.35">
      <c r="B213" s="49" t="s">
        <v>14416</v>
      </c>
      <c r="C213" s="53" t="s">
        <v>14417</v>
      </c>
    </row>
    <row r="214" spans="2:3" x14ac:dyDescent="0.35">
      <c r="B214" s="49" t="s">
        <v>14418</v>
      </c>
      <c r="C214" s="53" t="s">
        <v>14419</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7CB9B540-CDA6-485B-814E-9E59F777A16D}">
      <formula1>$C$205:$C207</formula1>
    </dataValidation>
  </dataValidations>
  <hyperlinks>
    <hyperlink ref="D3" r:id="rId1" display="datamateapp@gmail.com" xr:uid="{06B6A5CD-0A53-4A66-9915-D6BC944FF246}"/>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62505" r:id="rId4" name="Button 9">
              <controlPr defaultSize="0" print="0" autoFill="0" autoPict="0" macro="[0]!ExitSEC_075000">
                <anchor moveWithCells="1" sizeWithCells="1">
                  <from>
                    <xdr:col>16</xdr:col>
                    <xdr:colOff>196850</xdr:colOff>
                    <xdr:row>0</xdr:row>
                    <xdr:rowOff>6350</xdr:rowOff>
                  </from>
                  <to>
                    <xdr:col>16</xdr:col>
                    <xdr:colOff>1466850</xdr:colOff>
                    <xdr:row>2</xdr:row>
                    <xdr:rowOff>19050</xdr:rowOff>
                  </to>
                </anchor>
              </controlPr>
            </control>
          </mc:Choice>
        </mc:AlternateContent>
        <mc:AlternateContent xmlns:mc="http://schemas.openxmlformats.org/markup-compatibility/2006">
          <mc:Choice Requires="x14">
            <control shapeId="362532" r:id="rId5" name="Button 36">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362533" r:id="rId6" name="Button 37">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362534" r:id="rId7" name="Button 38">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362535" r:id="rId8" name="Button 39">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362536" r:id="rId9" name="Button 40">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362537" r:id="rId10" name="Button 41">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362538" r:id="rId11" name="Button 42">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362539" r:id="rId12" name="Button 43">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84558-0873-4DCF-8273-76A28D998159}">
  <sheetPr codeName="Sheet90"/>
  <dimension ref="A1:Q254"/>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FLASHING AND SHEET METAL</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07 60 00</v>
      </c>
      <c r="C10" s="24" t="str">
        <f>C206</f>
        <v>FLASHING AND SHEET METAL</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FLASHING AND SHEET METAL</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14420</v>
      </c>
      <c r="C206" s="82" t="s">
        <v>14421</v>
      </c>
      <c r="D206" s="1"/>
      <c r="E206" s="1"/>
      <c r="F206" s="1"/>
      <c r="G206" s="1"/>
      <c r="H206" s="1"/>
      <c r="I206" s="1"/>
      <c r="J206" s="1"/>
      <c r="K206" s="1"/>
      <c r="L206" s="1"/>
      <c r="M206" s="1"/>
      <c r="N206" s="1"/>
      <c r="O206" s="1"/>
      <c r="P206" s="1"/>
      <c r="Q206" s="1"/>
    </row>
    <row r="207" spans="2:17" x14ac:dyDescent="0.35">
      <c r="B207" s="49" t="s">
        <v>14422</v>
      </c>
      <c r="C207" s="53" t="s">
        <v>14423</v>
      </c>
      <c r="D207" s="1"/>
      <c r="E207" s="1"/>
      <c r="F207" s="1"/>
      <c r="G207" s="1"/>
      <c r="H207" s="1"/>
      <c r="I207" s="1"/>
      <c r="J207" s="1"/>
      <c r="K207" s="1"/>
      <c r="L207" s="1"/>
      <c r="M207" s="1"/>
      <c r="N207" s="1"/>
      <c r="O207" s="1"/>
      <c r="P207" s="1"/>
      <c r="Q207" s="1"/>
    </row>
    <row r="208" spans="2:17" x14ac:dyDescent="0.35">
      <c r="B208" s="49" t="s">
        <v>14424</v>
      </c>
      <c r="C208" s="53" t="s">
        <v>14425</v>
      </c>
    </row>
    <row r="209" spans="2:5" x14ac:dyDescent="0.35">
      <c r="B209" s="49" t="s">
        <v>14426</v>
      </c>
      <c r="C209" s="53" t="s">
        <v>14427</v>
      </c>
    </row>
    <row r="210" spans="2:5" x14ac:dyDescent="0.35">
      <c r="B210" s="49" t="s">
        <v>14428</v>
      </c>
      <c r="C210" s="53" t="s">
        <v>14429</v>
      </c>
    </row>
    <row r="211" spans="2:5" x14ac:dyDescent="0.35">
      <c r="B211" s="49" t="s">
        <v>14430</v>
      </c>
      <c r="C211" s="53" t="s">
        <v>14431</v>
      </c>
    </row>
    <row r="212" spans="2:5" x14ac:dyDescent="0.35">
      <c r="C212" s="1" t="s">
        <v>2442</v>
      </c>
      <c r="D212" s="1" t="s">
        <v>1692</v>
      </c>
      <c r="E212" s="250">
        <v>7610.01</v>
      </c>
    </row>
    <row r="213" spans="2:5" x14ac:dyDescent="0.35">
      <c r="C213" s="1" t="s">
        <v>2441</v>
      </c>
      <c r="D213" s="1" t="s">
        <v>20</v>
      </c>
      <c r="E213" s="250">
        <v>7610.0150000000003</v>
      </c>
    </row>
    <row r="214" spans="2:5" x14ac:dyDescent="0.35">
      <c r="C214" s="1" t="s">
        <v>2440</v>
      </c>
      <c r="D214" s="1" t="s">
        <v>20</v>
      </c>
      <c r="E214" s="250">
        <v>7610.02</v>
      </c>
    </row>
    <row r="215" spans="2:5" x14ac:dyDescent="0.35">
      <c r="C215" s="1" t="s">
        <v>2439</v>
      </c>
      <c r="D215" s="1" t="s">
        <v>20</v>
      </c>
      <c r="E215" s="250">
        <v>7610.03</v>
      </c>
    </row>
    <row r="216" spans="2:5" x14ac:dyDescent="0.35">
      <c r="C216" s="1" t="s">
        <v>2438</v>
      </c>
      <c r="D216" s="1" t="s">
        <v>1692</v>
      </c>
      <c r="E216" s="250">
        <v>7610.0410000000002</v>
      </c>
    </row>
    <row r="217" spans="2:5" x14ac:dyDescent="0.35">
      <c r="C217" s="1" t="s">
        <v>2437</v>
      </c>
      <c r="D217" s="1" t="s">
        <v>1692</v>
      </c>
      <c r="E217" s="250">
        <v>7610.0420000000004</v>
      </c>
    </row>
    <row r="218" spans="2:5" x14ac:dyDescent="0.35">
      <c r="C218" s="1" t="s">
        <v>2436</v>
      </c>
      <c r="D218" s="1" t="s">
        <v>1692</v>
      </c>
      <c r="E218" s="250">
        <v>7610.0429999999997</v>
      </c>
    </row>
    <row r="219" spans="2:5" x14ac:dyDescent="0.35">
      <c r="C219" s="1" t="s">
        <v>2435</v>
      </c>
      <c r="D219" s="1" t="s">
        <v>1692</v>
      </c>
      <c r="E219" s="250">
        <v>7610.05</v>
      </c>
    </row>
    <row r="220" spans="2:5" x14ac:dyDescent="0.35">
      <c r="C220" s="1" t="s">
        <v>2434</v>
      </c>
      <c r="D220" s="1" t="s">
        <v>1692</v>
      </c>
      <c r="E220" s="250">
        <v>7610.0510000000004</v>
      </c>
    </row>
    <row r="221" spans="2:5" x14ac:dyDescent="0.35">
      <c r="C221" s="1" t="s">
        <v>2433</v>
      </c>
      <c r="D221" s="1" t="s">
        <v>1692</v>
      </c>
      <c r="E221" s="250">
        <v>7610.0609999999997</v>
      </c>
    </row>
    <row r="222" spans="2:5" x14ac:dyDescent="0.35">
      <c r="C222" s="1" t="s">
        <v>2432</v>
      </c>
      <c r="D222" s="1" t="s">
        <v>1692</v>
      </c>
      <c r="E222" s="250">
        <v>7610.0619999999999</v>
      </c>
    </row>
    <row r="223" spans="2:5" x14ac:dyDescent="0.35">
      <c r="C223" s="1" t="s">
        <v>2431</v>
      </c>
      <c r="D223" s="1" t="s">
        <v>1692</v>
      </c>
      <c r="E223" s="250">
        <v>7610.0630000000001</v>
      </c>
    </row>
    <row r="224" spans="2:5" x14ac:dyDescent="0.35">
      <c r="C224" s="1" t="s">
        <v>2430</v>
      </c>
      <c r="D224" s="1" t="s">
        <v>19</v>
      </c>
      <c r="E224" s="250">
        <v>7620.01</v>
      </c>
    </row>
    <row r="225" spans="3:5" x14ac:dyDescent="0.35">
      <c r="C225" s="1" t="s">
        <v>2429</v>
      </c>
      <c r="D225" s="1" t="s">
        <v>19</v>
      </c>
      <c r="E225" s="250">
        <v>7620.0110000000004</v>
      </c>
    </row>
    <row r="226" spans="3:5" x14ac:dyDescent="0.35">
      <c r="C226" s="1" t="s">
        <v>2428</v>
      </c>
      <c r="D226" s="1" t="s">
        <v>19</v>
      </c>
      <c r="E226" s="250">
        <v>7620.0119999999997</v>
      </c>
    </row>
    <row r="227" spans="3:5" x14ac:dyDescent="0.35">
      <c r="C227" s="1" t="s">
        <v>2418</v>
      </c>
      <c r="D227" s="1" t="s">
        <v>19</v>
      </c>
      <c r="E227" s="250">
        <v>7620.02</v>
      </c>
    </row>
    <row r="228" spans="3:5" x14ac:dyDescent="0.35">
      <c r="C228" s="1" t="s">
        <v>2417</v>
      </c>
      <c r="D228" s="1" t="s">
        <v>19</v>
      </c>
      <c r="E228" s="250">
        <v>7620.0209999999997</v>
      </c>
    </row>
    <row r="229" spans="3:5" x14ac:dyDescent="0.35">
      <c r="C229" s="1" t="s">
        <v>2421</v>
      </c>
      <c r="D229" s="1" t="s">
        <v>19</v>
      </c>
      <c r="E229" s="250">
        <v>7620.03</v>
      </c>
    </row>
    <row r="230" spans="3:5" x14ac:dyDescent="0.35">
      <c r="C230" s="1" t="s">
        <v>2427</v>
      </c>
      <c r="D230" s="1" t="s">
        <v>19</v>
      </c>
      <c r="E230" s="250">
        <v>7620.0309999999999</v>
      </c>
    </row>
    <row r="231" spans="3:5" x14ac:dyDescent="0.35">
      <c r="C231" s="1" t="s">
        <v>2426</v>
      </c>
      <c r="D231" s="1" t="s">
        <v>19</v>
      </c>
      <c r="E231" s="250">
        <v>7620.0320000000002</v>
      </c>
    </row>
    <row r="232" spans="3:5" x14ac:dyDescent="0.35">
      <c r="C232" s="1" t="s">
        <v>2425</v>
      </c>
      <c r="D232" s="1" t="s">
        <v>19</v>
      </c>
      <c r="E232" s="250">
        <v>7620.0330000000004</v>
      </c>
    </row>
    <row r="233" spans="3:5" x14ac:dyDescent="0.35">
      <c r="C233" s="1" t="s">
        <v>2424</v>
      </c>
      <c r="D233" s="1" t="s">
        <v>20</v>
      </c>
      <c r="E233" s="250">
        <v>7620.04</v>
      </c>
    </row>
    <row r="234" spans="3:5" x14ac:dyDescent="0.35">
      <c r="C234" s="1" t="s">
        <v>2424</v>
      </c>
      <c r="D234" s="1" t="s">
        <v>19</v>
      </c>
      <c r="E234" s="250">
        <v>7620.0410000000002</v>
      </c>
    </row>
    <row r="235" spans="3:5" x14ac:dyDescent="0.35">
      <c r="C235" s="1" t="s">
        <v>2423</v>
      </c>
      <c r="D235" s="1" t="s">
        <v>19</v>
      </c>
      <c r="E235" s="250">
        <v>7620.0450000000001</v>
      </c>
    </row>
    <row r="236" spans="3:5" x14ac:dyDescent="0.35">
      <c r="C236" s="1" t="s">
        <v>2423</v>
      </c>
      <c r="D236" s="1" t="s">
        <v>20</v>
      </c>
      <c r="E236" s="250">
        <v>7620.049</v>
      </c>
    </row>
    <row r="237" spans="3:5" x14ac:dyDescent="0.35">
      <c r="C237" s="1" t="s">
        <v>2422</v>
      </c>
      <c r="D237" s="1" t="s">
        <v>20</v>
      </c>
      <c r="E237" s="250">
        <v>7620.05</v>
      </c>
    </row>
    <row r="238" spans="3:5" x14ac:dyDescent="0.35">
      <c r="C238" s="1" t="s">
        <v>2422</v>
      </c>
      <c r="D238" s="1" t="s">
        <v>19</v>
      </c>
      <c r="E238" s="250">
        <v>7620.0510000000004</v>
      </c>
    </row>
    <row r="239" spans="3:5" x14ac:dyDescent="0.35">
      <c r="C239" s="1" t="s">
        <v>2421</v>
      </c>
      <c r="D239" s="1" t="s">
        <v>19</v>
      </c>
      <c r="E239" s="250">
        <v>7620.058</v>
      </c>
    </row>
    <row r="240" spans="3:5" x14ac:dyDescent="0.35">
      <c r="C240" s="1" t="s">
        <v>2420</v>
      </c>
      <c r="D240" s="1" t="s">
        <v>19</v>
      </c>
      <c r="E240" s="250">
        <v>7620.0590000000002</v>
      </c>
    </row>
    <row r="241" spans="3:5" x14ac:dyDescent="0.35">
      <c r="C241" s="1" t="s">
        <v>2420</v>
      </c>
      <c r="D241" s="1" t="s">
        <v>20</v>
      </c>
      <c r="E241" s="250">
        <v>7620.06</v>
      </c>
    </row>
    <row r="242" spans="3:5" x14ac:dyDescent="0.35">
      <c r="C242" s="1" t="s">
        <v>2419</v>
      </c>
      <c r="D242" s="1" t="s">
        <v>19</v>
      </c>
      <c r="E242" s="250">
        <v>7620.0789999999997</v>
      </c>
    </row>
    <row r="243" spans="3:5" x14ac:dyDescent="0.35">
      <c r="C243" s="1" t="s">
        <v>2419</v>
      </c>
      <c r="D243" s="1" t="s">
        <v>20</v>
      </c>
      <c r="E243" s="250">
        <v>7620.08</v>
      </c>
    </row>
    <row r="244" spans="3:5" x14ac:dyDescent="0.35">
      <c r="C244" s="1" t="s">
        <v>2418</v>
      </c>
      <c r="D244" s="1" t="s">
        <v>19</v>
      </c>
      <c r="E244" s="250">
        <v>7620.0810000000001</v>
      </c>
    </row>
    <row r="245" spans="3:5" x14ac:dyDescent="0.35">
      <c r="C245" s="1" t="s">
        <v>2418</v>
      </c>
      <c r="D245" s="1" t="s">
        <v>20</v>
      </c>
      <c r="E245" s="250">
        <v>7620.0820000000003</v>
      </c>
    </row>
    <row r="246" spans="3:5" x14ac:dyDescent="0.35">
      <c r="C246" s="1" t="s">
        <v>2417</v>
      </c>
      <c r="D246" s="1" t="s">
        <v>19</v>
      </c>
      <c r="E246" s="250">
        <v>7620.085</v>
      </c>
    </row>
    <row r="247" spans="3:5" x14ac:dyDescent="0.35">
      <c r="C247" s="1" t="s">
        <v>2417</v>
      </c>
      <c r="D247" s="1" t="s">
        <v>20</v>
      </c>
      <c r="E247" s="250">
        <v>7620.0860000000002</v>
      </c>
    </row>
    <row r="248" spans="3:5" x14ac:dyDescent="0.35">
      <c r="C248" s="1" t="s">
        <v>2416</v>
      </c>
      <c r="D248" s="1" t="s">
        <v>20</v>
      </c>
      <c r="E248" s="250">
        <v>7620.09</v>
      </c>
    </row>
    <row r="249" spans="3:5" x14ac:dyDescent="0.35">
      <c r="C249" s="1" t="s">
        <v>2415</v>
      </c>
      <c r="D249" s="1" t="s">
        <v>20</v>
      </c>
      <c r="E249" s="250">
        <v>7620.0910000000003</v>
      </c>
    </row>
    <row r="250" spans="3:5" x14ac:dyDescent="0.35">
      <c r="C250" s="1" t="s">
        <v>2414</v>
      </c>
      <c r="D250" s="1" t="s">
        <v>20</v>
      </c>
      <c r="E250" s="250">
        <v>7620.0919999999996</v>
      </c>
    </row>
    <row r="251" spans="3:5" x14ac:dyDescent="0.35">
      <c r="C251" s="1" t="s">
        <v>2413</v>
      </c>
      <c r="D251" s="1" t="s">
        <v>20</v>
      </c>
      <c r="E251" s="250">
        <v>7620.0929999999998</v>
      </c>
    </row>
    <row r="252" spans="3:5" x14ac:dyDescent="0.35">
      <c r="C252" s="1" t="s">
        <v>2412</v>
      </c>
      <c r="D252" s="1" t="s">
        <v>20</v>
      </c>
      <c r="E252" s="250">
        <v>7620.0940000000001</v>
      </c>
    </row>
    <row r="253" spans="3:5" x14ac:dyDescent="0.35">
      <c r="C253" s="1" t="s">
        <v>2411</v>
      </c>
      <c r="D253" s="1" t="s">
        <v>20</v>
      </c>
      <c r="E253" s="250">
        <v>7650.0110000000004</v>
      </c>
    </row>
    <row r="254" spans="3:5" x14ac:dyDescent="0.35">
      <c r="C254" s="1" t="s">
        <v>2411</v>
      </c>
      <c r="D254" s="1" t="s">
        <v>20</v>
      </c>
      <c r="E254" s="250">
        <v>7650.0119999999997</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CBE436D2-CFCA-417A-AFE2-BAC22DAF4CED}">
      <formula1>$C$205:$C207</formula1>
    </dataValidation>
  </dataValidations>
  <hyperlinks>
    <hyperlink ref="D3" r:id="rId1" display="datamateapp@gmail.com" xr:uid="{D7235048-8676-4B88-83F6-4A6F826F46B4}"/>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63529" r:id="rId4" name="Button 9">
              <controlPr defaultSize="0" print="0" autoFill="0" autoPict="0" macro="[0]!ExitSEC_076000">
                <anchor moveWithCells="1" sizeWithCells="1">
                  <from>
                    <xdr:col>16</xdr:col>
                    <xdr:colOff>196850</xdr:colOff>
                    <xdr:row>0</xdr:row>
                    <xdr:rowOff>19050</xdr:rowOff>
                  </from>
                  <to>
                    <xdr:col>16</xdr:col>
                    <xdr:colOff>1466850</xdr:colOff>
                    <xdr:row>2</xdr:row>
                    <xdr:rowOff>31750</xdr:rowOff>
                  </to>
                </anchor>
              </controlPr>
            </control>
          </mc:Choice>
        </mc:AlternateContent>
        <mc:AlternateContent xmlns:mc="http://schemas.openxmlformats.org/markup-compatibility/2006">
          <mc:Choice Requires="x14">
            <control shapeId="363556" r:id="rId5" name="Button 36">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363557" r:id="rId6" name="Button 37">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363558" r:id="rId7" name="Button 38">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363559" r:id="rId8" name="Button 39">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363560" r:id="rId9" name="Button 40">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363561" r:id="rId10" name="Button 41">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363562" r:id="rId11" name="Button 42">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363563" r:id="rId12" name="Button 43">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33F53-F763-4F4F-ADCD-B84AA95C9B87}">
  <sheetPr codeName="Sheet91"/>
  <dimension ref="A1:Q280"/>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ROOF AND WALL SPECIALTIES AND ACCESSORIES</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07 70 00</v>
      </c>
      <c r="C10" s="24" t="str">
        <f>C206</f>
        <v>ROOF AND WALL SPECIALTIES AND ACCESSORIES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ROOF AND WALL SPECIALTIES AND ACCESSORIES</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14432</v>
      </c>
      <c r="C206" s="82" t="s">
        <v>14433</v>
      </c>
      <c r="D206" s="1"/>
      <c r="E206" s="1"/>
      <c r="F206" s="1"/>
      <c r="G206" s="1"/>
      <c r="H206" s="1"/>
      <c r="I206" s="1"/>
      <c r="J206" s="1"/>
      <c r="K206" s="1"/>
      <c r="L206" s="1"/>
      <c r="M206" s="1"/>
      <c r="N206" s="1"/>
      <c r="O206" s="1"/>
      <c r="P206" s="1"/>
      <c r="Q206" s="1"/>
    </row>
    <row r="207" spans="2:17" x14ac:dyDescent="0.35">
      <c r="B207" s="49" t="s">
        <v>14434</v>
      </c>
      <c r="C207" s="53" t="s">
        <v>14435</v>
      </c>
      <c r="D207" s="1"/>
      <c r="E207" s="1"/>
      <c r="F207" s="1"/>
      <c r="G207" s="1"/>
      <c r="H207" s="1"/>
      <c r="I207" s="1"/>
      <c r="J207" s="1"/>
      <c r="K207" s="1"/>
      <c r="L207" s="1"/>
      <c r="M207" s="1"/>
      <c r="N207" s="1"/>
      <c r="O207" s="1"/>
      <c r="P207" s="1"/>
      <c r="Q207" s="1"/>
    </row>
    <row r="208" spans="2:17" x14ac:dyDescent="0.35">
      <c r="B208" s="49" t="s">
        <v>14436</v>
      </c>
      <c r="C208" s="53" t="s">
        <v>14437</v>
      </c>
    </row>
    <row r="209" spans="2:5" x14ac:dyDescent="0.35">
      <c r="B209" s="49" t="s">
        <v>14438</v>
      </c>
      <c r="C209" s="53" t="s">
        <v>14439</v>
      </c>
    </row>
    <row r="210" spans="2:5" x14ac:dyDescent="0.35">
      <c r="B210" s="49" t="s">
        <v>14440</v>
      </c>
      <c r="C210" s="53" t="s">
        <v>14441</v>
      </c>
    </row>
    <row r="211" spans="2:5" x14ac:dyDescent="0.35">
      <c r="C211" s="1" t="s">
        <v>2410</v>
      </c>
      <c r="D211" s="1" t="s">
        <v>18</v>
      </c>
      <c r="E211" s="250">
        <v>7710.0110000000004</v>
      </c>
    </row>
    <row r="212" spans="2:5" x14ac:dyDescent="0.35">
      <c r="C212" s="1" t="s">
        <v>2409</v>
      </c>
      <c r="D212" s="1" t="s">
        <v>19</v>
      </c>
      <c r="E212" s="250">
        <v>7710.0150000000003</v>
      </c>
    </row>
    <row r="213" spans="2:5" x14ac:dyDescent="0.35">
      <c r="C213" s="1" t="s">
        <v>2391</v>
      </c>
      <c r="D213" s="1" t="s">
        <v>19</v>
      </c>
      <c r="E213" s="250">
        <v>7710.02</v>
      </c>
    </row>
    <row r="214" spans="2:5" x14ac:dyDescent="0.35">
      <c r="C214" s="1" t="s">
        <v>2390</v>
      </c>
      <c r="D214" s="1" t="s">
        <v>19</v>
      </c>
      <c r="E214" s="250">
        <v>7710.0209999999997</v>
      </c>
    </row>
    <row r="215" spans="2:5" x14ac:dyDescent="0.35">
      <c r="C215" s="1" t="s">
        <v>2389</v>
      </c>
      <c r="D215" s="1" t="s">
        <v>19</v>
      </c>
      <c r="E215" s="250">
        <v>7710.0219999999999</v>
      </c>
    </row>
    <row r="216" spans="2:5" x14ac:dyDescent="0.35">
      <c r="C216" s="1" t="s">
        <v>2387</v>
      </c>
      <c r="D216" s="1" t="s">
        <v>19</v>
      </c>
      <c r="E216" s="250">
        <v>7710.03</v>
      </c>
    </row>
    <row r="217" spans="2:5" x14ac:dyDescent="0.35">
      <c r="C217" s="1" t="s">
        <v>2386</v>
      </c>
      <c r="D217" s="1" t="s">
        <v>19</v>
      </c>
      <c r="E217" s="250">
        <v>7710.0309999999999</v>
      </c>
    </row>
    <row r="218" spans="2:5" x14ac:dyDescent="0.35">
      <c r="C218" s="1" t="s">
        <v>2385</v>
      </c>
      <c r="D218" s="1" t="s">
        <v>19</v>
      </c>
      <c r="E218" s="250">
        <v>7710.0320000000002</v>
      </c>
    </row>
    <row r="219" spans="2:5" x14ac:dyDescent="0.35">
      <c r="C219" s="1" t="s">
        <v>2408</v>
      </c>
      <c r="D219" s="1" t="s">
        <v>19</v>
      </c>
      <c r="E219" s="250">
        <v>7710.12</v>
      </c>
    </row>
    <row r="220" spans="2:5" x14ac:dyDescent="0.35">
      <c r="C220" s="1" t="s">
        <v>2407</v>
      </c>
      <c r="D220" s="1" t="s">
        <v>19</v>
      </c>
      <c r="E220" s="250">
        <v>7710.1210000000001</v>
      </c>
    </row>
    <row r="221" spans="2:5" x14ac:dyDescent="0.35">
      <c r="C221" s="1" t="s">
        <v>2406</v>
      </c>
      <c r="D221" s="1" t="s">
        <v>19</v>
      </c>
      <c r="E221" s="250">
        <v>7710.1220000000003</v>
      </c>
    </row>
    <row r="222" spans="2:5" x14ac:dyDescent="0.35">
      <c r="C222" s="1" t="s">
        <v>2405</v>
      </c>
      <c r="D222" s="1" t="s">
        <v>19</v>
      </c>
      <c r="E222" s="250">
        <v>7710.13</v>
      </c>
    </row>
    <row r="223" spans="2:5" x14ac:dyDescent="0.35">
      <c r="C223" s="1" t="s">
        <v>2404</v>
      </c>
      <c r="D223" s="1" t="s">
        <v>19</v>
      </c>
      <c r="E223" s="250">
        <v>7710.1310000000003</v>
      </c>
    </row>
    <row r="224" spans="2:5" x14ac:dyDescent="0.35">
      <c r="C224" s="1" t="s">
        <v>2403</v>
      </c>
      <c r="D224" s="1" t="s">
        <v>19</v>
      </c>
      <c r="E224" s="250">
        <v>7710.14</v>
      </c>
    </row>
    <row r="225" spans="3:5" x14ac:dyDescent="0.35">
      <c r="C225" s="1" t="s">
        <v>2402</v>
      </c>
      <c r="D225" s="1" t="s">
        <v>19</v>
      </c>
      <c r="E225" s="250">
        <v>7710.1409999999996</v>
      </c>
    </row>
    <row r="226" spans="3:5" x14ac:dyDescent="0.35">
      <c r="C226" s="1" t="s">
        <v>2401</v>
      </c>
      <c r="D226" s="1" t="s">
        <v>19</v>
      </c>
      <c r="E226" s="250">
        <v>7710.1419999999998</v>
      </c>
    </row>
    <row r="227" spans="3:5" x14ac:dyDescent="0.35">
      <c r="C227" s="1" t="s">
        <v>2400</v>
      </c>
      <c r="D227" s="1" t="s">
        <v>19</v>
      </c>
      <c r="E227" s="250">
        <v>7710.143</v>
      </c>
    </row>
    <row r="228" spans="3:5" x14ac:dyDescent="0.35">
      <c r="C228" s="1" t="s">
        <v>2399</v>
      </c>
      <c r="D228" s="1" t="s">
        <v>19</v>
      </c>
      <c r="E228" s="250">
        <v>7710.1450000000004</v>
      </c>
    </row>
    <row r="229" spans="3:5" x14ac:dyDescent="0.35">
      <c r="C229" s="1" t="s">
        <v>2398</v>
      </c>
      <c r="D229" s="1" t="s">
        <v>19</v>
      </c>
      <c r="E229" s="250">
        <v>7710.1459999999997</v>
      </c>
    </row>
    <row r="230" spans="3:5" x14ac:dyDescent="0.35">
      <c r="C230" s="1" t="s">
        <v>2397</v>
      </c>
      <c r="D230" s="1" t="s">
        <v>19</v>
      </c>
      <c r="E230" s="250">
        <v>7710.1469999999999</v>
      </c>
    </row>
    <row r="231" spans="3:5" x14ac:dyDescent="0.35">
      <c r="C231" s="1" t="s">
        <v>2396</v>
      </c>
      <c r="D231" s="1" t="s">
        <v>19</v>
      </c>
      <c r="E231" s="250">
        <v>7710.15</v>
      </c>
    </row>
    <row r="232" spans="3:5" x14ac:dyDescent="0.35">
      <c r="C232" s="1" t="s">
        <v>2395</v>
      </c>
      <c r="D232" s="1" t="s">
        <v>19</v>
      </c>
      <c r="E232" s="250">
        <v>7710.1509999999998</v>
      </c>
    </row>
    <row r="233" spans="3:5" x14ac:dyDescent="0.35">
      <c r="C233" s="1" t="s">
        <v>2394</v>
      </c>
      <c r="D233" s="1" t="s">
        <v>19</v>
      </c>
      <c r="E233" s="250">
        <v>7710.152</v>
      </c>
    </row>
    <row r="234" spans="3:5" x14ac:dyDescent="0.35">
      <c r="C234" s="1" t="s">
        <v>2393</v>
      </c>
      <c r="D234" s="1" t="s">
        <v>19</v>
      </c>
      <c r="E234" s="250">
        <v>7710.1530000000002</v>
      </c>
    </row>
    <row r="235" spans="3:5" x14ac:dyDescent="0.35">
      <c r="C235" s="1" t="s">
        <v>2392</v>
      </c>
      <c r="D235" s="1" t="s">
        <v>19</v>
      </c>
      <c r="E235" s="250">
        <v>7710.1540000000005</v>
      </c>
    </row>
    <row r="236" spans="3:5" x14ac:dyDescent="0.35">
      <c r="C236" s="1" t="s">
        <v>2391</v>
      </c>
      <c r="D236" s="1" t="s">
        <v>19</v>
      </c>
      <c r="E236" s="250">
        <v>7710.1559999999999</v>
      </c>
    </row>
    <row r="237" spans="3:5" x14ac:dyDescent="0.35">
      <c r="C237" s="1" t="s">
        <v>2390</v>
      </c>
      <c r="D237" s="1" t="s">
        <v>19</v>
      </c>
      <c r="E237" s="250">
        <v>7710.1570000000002</v>
      </c>
    </row>
    <row r="238" spans="3:5" x14ac:dyDescent="0.35">
      <c r="C238" s="1" t="s">
        <v>2389</v>
      </c>
      <c r="D238" s="1" t="s">
        <v>19</v>
      </c>
      <c r="E238" s="250">
        <v>7710.1580000000004</v>
      </c>
    </row>
    <row r="239" spans="3:5" x14ac:dyDescent="0.35">
      <c r="C239" s="1" t="s">
        <v>2388</v>
      </c>
      <c r="D239" s="1" t="s">
        <v>19</v>
      </c>
      <c r="E239" s="250">
        <v>7710.1610000000001</v>
      </c>
    </row>
    <row r="240" spans="3:5" x14ac:dyDescent="0.35">
      <c r="C240" s="1" t="s">
        <v>2387</v>
      </c>
      <c r="D240" s="1" t="s">
        <v>19</v>
      </c>
      <c r="E240" s="250">
        <v>7710.1629999999996</v>
      </c>
    </row>
    <row r="241" spans="3:5" x14ac:dyDescent="0.35">
      <c r="C241" s="1" t="s">
        <v>2386</v>
      </c>
      <c r="D241" s="1" t="s">
        <v>19</v>
      </c>
      <c r="E241" s="250">
        <v>7710.1639999999998</v>
      </c>
    </row>
    <row r="242" spans="3:5" x14ac:dyDescent="0.35">
      <c r="C242" s="1" t="s">
        <v>2385</v>
      </c>
      <c r="D242" s="1" t="s">
        <v>19</v>
      </c>
      <c r="E242" s="250">
        <v>7710.165</v>
      </c>
    </row>
    <row r="243" spans="3:5" x14ac:dyDescent="0.35">
      <c r="C243" s="1" t="s">
        <v>2384</v>
      </c>
      <c r="D243" s="1" t="s">
        <v>19</v>
      </c>
      <c r="E243" s="250">
        <v>7710.1660000000002</v>
      </c>
    </row>
    <row r="244" spans="3:5" x14ac:dyDescent="0.35">
      <c r="C244" s="1" t="s">
        <v>2383</v>
      </c>
      <c r="D244" s="1" t="s">
        <v>19</v>
      </c>
      <c r="E244" s="250">
        <v>7710.1670000000004</v>
      </c>
    </row>
    <row r="245" spans="3:5" x14ac:dyDescent="0.35">
      <c r="C245" s="1" t="s">
        <v>2382</v>
      </c>
      <c r="D245" s="1" t="s">
        <v>19</v>
      </c>
      <c r="E245" s="250">
        <v>7710.1679999999997</v>
      </c>
    </row>
    <row r="246" spans="3:5" x14ac:dyDescent="0.35">
      <c r="C246" s="1" t="s">
        <v>2381</v>
      </c>
      <c r="D246" s="1" t="s">
        <v>19</v>
      </c>
      <c r="E246" s="250">
        <v>7710.17</v>
      </c>
    </row>
    <row r="247" spans="3:5" x14ac:dyDescent="0.35">
      <c r="C247" s="1" t="s">
        <v>2380</v>
      </c>
      <c r="D247" s="1" t="s">
        <v>19</v>
      </c>
      <c r="E247" s="250">
        <v>7710.1710000000003</v>
      </c>
    </row>
    <row r="248" spans="3:5" x14ac:dyDescent="0.35">
      <c r="C248" s="1" t="s">
        <v>2379</v>
      </c>
      <c r="D248" s="1" t="s">
        <v>19</v>
      </c>
      <c r="E248" s="250">
        <v>7710.1719999999996</v>
      </c>
    </row>
    <row r="249" spans="3:5" x14ac:dyDescent="0.35">
      <c r="C249" s="1" t="s">
        <v>2378</v>
      </c>
      <c r="D249" s="1" t="s">
        <v>19</v>
      </c>
      <c r="E249" s="250">
        <v>7710.1729999999998</v>
      </c>
    </row>
    <row r="250" spans="3:5" x14ac:dyDescent="0.35">
      <c r="C250" s="1" t="s">
        <v>2377</v>
      </c>
      <c r="D250" s="1" t="s">
        <v>19</v>
      </c>
      <c r="E250" s="250">
        <v>7710.174</v>
      </c>
    </row>
    <row r="251" spans="3:5" x14ac:dyDescent="0.35">
      <c r="C251" s="1" t="s">
        <v>2376</v>
      </c>
      <c r="D251" s="1" t="s">
        <v>19</v>
      </c>
      <c r="E251" s="250">
        <v>7710.1750000000002</v>
      </c>
    </row>
    <row r="252" spans="3:5" x14ac:dyDescent="0.35">
      <c r="C252" s="1" t="s">
        <v>2375</v>
      </c>
      <c r="D252" s="1" t="s">
        <v>19</v>
      </c>
      <c r="E252" s="250">
        <v>7710.1760000000004</v>
      </c>
    </row>
    <row r="253" spans="3:5" x14ac:dyDescent="0.35">
      <c r="C253" s="1" t="s">
        <v>2374</v>
      </c>
      <c r="D253" s="1" t="s">
        <v>18</v>
      </c>
      <c r="E253" s="250">
        <v>7710.1769999999997</v>
      </c>
    </row>
    <row r="254" spans="3:5" x14ac:dyDescent="0.35">
      <c r="C254" s="1" t="s">
        <v>2373</v>
      </c>
      <c r="D254" s="1" t="s">
        <v>18</v>
      </c>
      <c r="E254" s="250">
        <v>7720.01</v>
      </c>
    </row>
    <row r="255" spans="3:5" x14ac:dyDescent="0.35">
      <c r="C255" s="1" t="s">
        <v>2372</v>
      </c>
      <c r="D255" s="1" t="s">
        <v>19</v>
      </c>
      <c r="E255" s="250">
        <v>7720.0110000000004</v>
      </c>
    </row>
    <row r="256" spans="3:5" x14ac:dyDescent="0.35">
      <c r="C256" s="1" t="s">
        <v>2371</v>
      </c>
      <c r="D256" s="1" t="s">
        <v>18</v>
      </c>
      <c r="E256" s="250">
        <v>7720.0119999999997</v>
      </c>
    </row>
    <row r="257" spans="3:5" x14ac:dyDescent="0.35">
      <c r="C257" s="1" t="s">
        <v>2370</v>
      </c>
      <c r="D257" s="1" t="s">
        <v>18</v>
      </c>
      <c r="E257" s="250">
        <v>7720.0129999999999</v>
      </c>
    </row>
    <row r="258" spans="3:5" x14ac:dyDescent="0.35">
      <c r="C258" s="1" t="s">
        <v>2369</v>
      </c>
      <c r="D258" s="1" t="s">
        <v>18</v>
      </c>
      <c r="E258" s="250">
        <v>7720.0140000000001</v>
      </c>
    </row>
    <row r="259" spans="3:5" x14ac:dyDescent="0.35">
      <c r="C259" s="1" t="s">
        <v>2368</v>
      </c>
      <c r="D259" s="1" t="s">
        <v>18</v>
      </c>
      <c r="E259" s="250">
        <v>7720.0150000000003</v>
      </c>
    </row>
    <row r="260" spans="3:5" x14ac:dyDescent="0.35">
      <c r="C260" s="1" t="s">
        <v>2367</v>
      </c>
      <c r="D260" s="1" t="s">
        <v>18</v>
      </c>
      <c r="E260" s="250">
        <v>7720.0159999999996</v>
      </c>
    </row>
    <row r="261" spans="3:5" x14ac:dyDescent="0.35">
      <c r="C261" s="1" t="s">
        <v>2366</v>
      </c>
      <c r="D261" s="1" t="s">
        <v>18</v>
      </c>
      <c r="E261" s="250">
        <v>7720.0169999999998</v>
      </c>
    </row>
    <row r="262" spans="3:5" x14ac:dyDescent="0.35">
      <c r="C262" s="1" t="s">
        <v>2365</v>
      </c>
      <c r="D262" s="1" t="s">
        <v>18</v>
      </c>
      <c r="E262" s="250">
        <v>7720.02</v>
      </c>
    </row>
    <row r="263" spans="3:5" x14ac:dyDescent="0.35">
      <c r="C263" s="1" t="s">
        <v>2364</v>
      </c>
      <c r="D263" s="1" t="s">
        <v>18</v>
      </c>
      <c r="E263" s="250">
        <v>7720.0209999999997</v>
      </c>
    </row>
    <row r="264" spans="3:5" x14ac:dyDescent="0.35">
      <c r="C264" s="1" t="s">
        <v>2363</v>
      </c>
      <c r="D264" s="1" t="s">
        <v>18</v>
      </c>
      <c r="E264" s="250">
        <v>7720.0219999999999</v>
      </c>
    </row>
    <row r="265" spans="3:5" x14ac:dyDescent="0.35">
      <c r="C265" s="1" t="s">
        <v>2362</v>
      </c>
      <c r="D265" s="1" t="s">
        <v>18</v>
      </c>
      <c r="E265" s="250">
        <v>7720.0230000000001</v>
      </c>
    </row>
    <row r="266" spans="3:5" x14ac:dyDescent="0.35">
      <c r="C266" s="1" t="s">
        <v>2361</v>
      </c>
      <c r="D266" s="1" t="s">
        <v>18</v>
      </c>
      <c r="E266" s="250">
        <v>7720.0240000000003</v>
      </c>
    </row>
    <row r="267" spans="3:5" x14ac:dyDescent="0.35">
      <c r="C267" s="1" t="s">
        <v>2360</v>
      </c>
      <c r="D267" s="1" t="s">
        <v>18</v>
      </c>
      <c r="E267" s="250">
        <v>7720.0249999999996</v>
      </c>
    </row>
    <row r="268" spans="3:5" x14ac:dyDescent="0.35">
      <c r="C268" s="1" t="s">
        <v>2359</v>
      </c>
      <c r="D268" s="1" t="s">
        <v>18</v>
      </c>
      <c r="E268" s="250">
        <v>7720.0259999999998</v>
      </c>
    </row>
    <row r="269" spans="3:5" x14ac:dyDescent="0.35">
      <c r="C269" s="1" t="s">
        <v>2358</v>
      </c>
      <c r="D269" s="1" t="s">
        <v>18</v>
      </c>
      <c r="E269" s="250">
        <v>7720.027</v>
      </c>
    </row>
    <row r="270" spans="3:5" x14ac:dyDescent="0.35">
      <c r="C270" s="1" t="s">
        <v>2357</v>
      </c>
      <c r="D270" s="1" t="s">
        <v>19</v>
      </c>
      <c r="E270" s="250">
        <v>7720.04</v>
      </c>
    </row>
    <row r="271" spans="3:5" x14ac:dyDescent="0.35">
      <c r="C271" s="1" t="s">
        <v>2354</v>
      </c>
      <c r="D271" s="1" t="s">
        <v>18</v>
      </c>
      <c r="E271" s="250">
        <v>7720.0410000000002</v>
      </c>
    </row>
    <row r="272" spans="3:5" x14ac:dyDescent="0.35">
      <c r="C272" s="1" t="s">
        <v>2356</v>
      </c>
      <c r="D272" s="1" t="s">
        <v>20</v>
      </c>
      <c r="E272" s="250">
        <v>7720.05</v>
      </c>
    </row>
    <row r="273" spans="3:5" x14ac:dyDescent="0.35">
      <c r="C273" s="1" t="s">
        <v>2352</v>
      </c>
      <c r="D273" s="1" t="s">
        <v>18</v>
      </c>
      <c r="E273" s="250">
        <v>7720.06</v>
      </c>
    </row>
    <row r="274" spans="3:5" x14ac:dyDescent="0.35">
      <c r="C274" s="1" t="s">
        <v>2355</v>
      </c>
      <c r="D274" s="1" t="s">
        <v>18</v>
      </c>
      <c r="E274" s="250">
        <v>7720.07</v>
      </c>
    </row>
    <row r="275" spans="3:5" x14ac:dyDescent="0.35">
      <c r="C275" s="1" t="s">
        <v>2354</v>
      </c>
      <c r="D275" s="1" t="s">
        <v>18</v>
      </c>
      <c r="E275" s="250">
        <v>7720.0749999999998</v>
      </c>
    </row>
    <row r="276" spans="3:5" x14ac:dyDescent="0.35">
      <c r="C276" s="1" t="s">
        <v>2353</v>
      </c>
      <c r="D276" s="1" t="s">
        <v>18</v>
      </c>
      <c r="E276" s="250">
        <v>7720.076</v>
      </c>
    </row>
    <row r="277" spans="3:5" x14ac:dyDescent="0.35">
      <c r="C277" s="1" t="s">
        <v>2352</v>
      </c>
      <c r="D277" s="1" t="s">
        <v>20</v>
      </c>
      <c r="E277" s="250">
        <v>7720.0770000000002</v>
      </c>
    </row>
    <row r="278" spans="3:5" x14ac:dyDescent="0.35">
      <c r="C278" s="1" t="s">
        <v>2351</v>
      </c>
      <c r="D278" s="1" t="s">
        <v>20</v>
      </c>
      <c r="E278" s="250">
        <v>7720.1049999999996</v>
      </c>
    </row>
    <row r="279" spans="3:5" x14ac:dyDescent="0.35">
      <c r="C279" s="1" t="s">
        <v>2350</v>
      </c>
      <c r="D279" s="1" t="s">
        <v>20</v>
      </c>
      <c r="E279" s="250">
        <v>7720.1080000000002</v>
      </c>
    </row>
    <row r="280" spans="3:5" x14ac:dyDescent="0.35">
      <c r="C280" s="1" t="s">
        <v>2349</v>
      </c>
      <c r="D280" s="1" t="s">
        <v>20</v>
      </c>
      <c r="E280" s="250">
        <v>7720.1090000000004</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1AF59016-78DF-4DE4-A484-8A356DAC8033}">
      <formula1>$C$205:$C207</formula1>
    </dataValidation>
  </dataValidations>
  <hyperlinks>
    <hyperlink ref="D3" r:id="rId1" display="datamateapp@gmail.com" xr:uid="{411DA0E5-12DC-43D3-90B1-FD1AF3F136FD}"/>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64554" r:id="rId4" name="Button 10">
              <controlPr defaultSize="0" print="0" autoFill="0" autoPict="0" macro="[0]!ExitSEC_077000">
                <anchor moveWithCells="1" sizeWithCells="1">
                  <from>
                    <xdr:col>16</xdr:col>
                    <xdr:colOff>209550</xdr:colOff>
                    <xdr:row>0</xdr:row>
                    <xdr:rowOff>6350</xdr:rowOff>
                  </from>
                  <to>
                    <xdr:col>16</xdr:col>
                    <xdr:colOff>1479550</xdr:colOff>
                    <xdr:row>2</xdr:row>
                    <xdr:rowOff>19050</xdr:rowOff>
                  </to>
                </anchor>
              </controlPr>
            </control>
          </mc:Choice>
        </mc:AlternateContent>
        <mc:AlternateContent xmlns:mc="http://schemas.openxmlformats.org/markup-compatibility/2006">
          <mc:Choice Requires="x14">
            <control shapeId="364581" r:id="rId5" name="Button 37">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364582" r:id="rId6" name="Button 38">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364583" r:id="rId7" name="Button 39">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364584" r:id="rId8" name="Button 40">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364585" r:id="rId9" name="Button 41">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364586" r:id="rId10" name="Button 42">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364587" r:id="rId11" name="Button 43">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364588" r:id="rId12" name="Button 44">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F9EFD-1810-400C-8610-04ADBD06A75F}">
  <sheetPr codeName="Sheet92"/>
  <dimension ref="A1:Q253"/>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FIRE AND SMOKE PROTECTION</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07 80 00</v>
      </c>
      <c r="C10" s="24" t="str">
        <f>C206</f>
        <v>FIRE AND SMOKE PROTECTION</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FIRE AND SMOKE PROTECTION</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14442</v>
      </c>
      <c r="C206" s="82" t="s">
        <v>14443</v>
      </c>
      <c r="D206" s="1"/>
      <c r="E206" s="1"/>
      <c r="F206" s="1"/>
      <c r="G206" s="1"/>
      <c r="H206" s="1"/>
      <c r="I206" s="1"/>
      <c r="J206" s="1"/>
      <c r="K206" s="1"/>
      <c r="L206" s="1"/>
      <c r="M206" s="1"/>
      <c r="N206" s="1"/>
      <c r="O206" s="1"/>
      <c r="P206" s="1"/>
      <c r="Q206" s="1"/>
    </row>
    <row r="207" spans="2:17" x14ac:dyDescent="0.35">
      <c r="B207" s="49" t="s">
        <v>14444</v>
      </c>
      <c r="C207" s="53" t="s">
        <v>14445</v>
      </c>
      <c r="D207" s="1"/>
      <c r="E207" s="1"/>
      <c r="F207" s="1"/>
      <c r="G207" s="1"/>
      <c r="H207" s="1"/>
      <c r="I207" s="1"/>
      <c r="J207" s="1"/>
      <c r="K207" s="1"/>
      <c r="L207" s="1"/>
      <c r="M207" s="1"/>
      <c r="N207" s="1"/>
      <c r="O207" s="1"/>
      <c r="P207" s="1"/>
      <c r="Q207" s="1"/>
    </row>
    <row r="208" spans="2:17" x14ac:dyDescent="0.35">
      <c r="B208" s="49" t="s">
        <v>14446</v>
      </c>
      <c r="C208" s="53" t="s">
        <v>14447</v>
      </c>
    </row>
    <row r="209" spans="2:5" x14ac:dyDescent="0.35">
      <c r="B209" s="49" t="s">
        <v>14448</v>
      </c>
      <c r="C209" s="53" t="s">
        <v>14449</v>
      </c>
    </row>
    <row r="210" spans="2:5" x14ac:dyDescent="0.35">
      <c r="B210" s="49" t="s">
        <v>14450</v>
      </c>
      <c r="C210" s="53" t="s">
        <v>14451</v>
      </c>
    </row>
    <row r="211" spans="2:5" x14ac:dyDescent="0.35">
      <c r="B211" s="49" t="s">
        <v>14452</v>
      </c>
      <c r="C211" s="53" t="s">
        <v>14453</v>
      </c>
    </row>
    <row r="212" spans="2:5" x14ac:dyDescent="0.35">
      <c r="C212" s="1" t="s">
        <v>2346</v>
      </c>
      <c r="D212" s="1" t="s">
        <v>2329</v>
      </c>
      <c r="E212" s="250">
        <v>7810.0110000000004</v>
      </c>
    </row>
    <row r="213" spans="2:5" x14ac:dyDescent="0.35">
      <c r="C213" s="1" t="s">
        <v>2348</v>
      </c>
      <c r="D213" s="1" t="s">
        <v>2329</v>
      </c>
      <c r="E213" s="250">
        <v>7810.0119999999997</v>
      </c>
    </row>
    <row r="214" spans="2:5" x14ac:dyDescent="0.35">
      <c r="C214" s="1" t="s">
        <v>2344</v>
      </c>
      <c r="D214" s="1" t="s">
        <v>2329</v>
      </c>
      <c r="E214" s="250">
        <v>7810.0129999999999</v>
      </c>
    </row>
    <row r="215" spans="2:5" x14ac:dyDescent="0.35">
      <c r="C215" s="1" t="s">
        <v>2343</v>
      </c>
      <c r="D215" s="1" t="s">
        <v>2329</v>
      </c>
      <c r="E215" s="250">
        <v>7810.0140000000001</v>
      </c>
    </row>
    <row r="216" spans="2:5" x14ac:dyDescent="0.35">
      <c r="C216" s="1" t="s">
        <v>2347</v>
      </c>
      <c r="D216" s="1" t="s">
        <v>2329</v>
      </c>
      <c r="E216" s="250">
        <v>7810.0150000000003</v>
      </c>
    </row>
    <row r="217" spans="2:5" x14ac:dyDescent="0.35">
      <c r="C217" s="1" t="s">
        <v>2346</v>
      </c>
      <c r="D217" s="1" t="s">
        <v>2329</v>
      </c>
      <c r="E217" s="250">
        <v>7810.0309999999999</v>
      </c>
    </row>
    <row r="218" spans="2:5" x14ac:dyDescent="0.35">
      <c r="C218" s="1" t="s">
        <v>2345</v>
      </c>
      <c r="D218" s="1" t="s">
        <v>2329</v>
      </c>
      <c r="E218" s="250">
        <v>7810.0320000000002</v>
      </c>
    </row>
    <row r="219" spans="2:5" x14ac:dyDescent="0.35">
      <c r="C219" s="1" t="s">
        <v>2344</v>
      </c>
      <c r="D219" s="1" t="s">
        <v>2329</v>
      </c>
      <c r="E219" s="250">
        <v>7810.0330000000004</v>
      </c>
    </row>
    <row r="220" spans="2:5" x14ac:dyDescent="0.35">
      <c r="C220" s="1" t="s">
        <v>2343</v>
      </c>
      <c r="D220" s="1" t="s">
        <v>2329</v>
      </c>
      <c r="E220" s="250">
        <v>7810.0339999999997</v>
      </c>
    </row>
    <row r="221" spans="2:5" x14ac:dyDescent="0.35">
      <c r="C221" s="1" t="s">
        <v>2342</v>
      </c>
      <c r="D221" s="1" t="s">
        <v>2329</v>
      </c>
      <c r="E221" s="250">
        <v>7810.0349999999999</v>
      </c>
    </row>
    <row r="222" spans="2:5" x14ac:dyDescent="0.35">
      <c r="C222" s="1" t="s">
        <v>2341</v>
      </c>
      <c r="D222" s="1" t="s">
        <v>2329</v>
      </c>
      <c r="E222" s="250">
        <v>7810.0360000000001</v>
      </c>
    </row>
    <row r="223" spans="2:5" x14ac:dyDescent="0.35">
      <c r="C223" s="1" t="s">
        <v>2340</v>
      </c>
      <c r="D223" s="1" t="s">
        <v>2329</v>
      </c>
      <c r="E223" s="250">
        <v>7810.0370000000003</v>
      </c>
    </row>
    <row r="224" spans="2:5" x14ac:dyDescent="0.35">
      <c r="C224" s="1" t="s">
        <v>2339</v>
      </c>
      <c r="D224" s="1" t="s">
        <v>2329</v>
      </c>
      <c r="E224" s="250">
        <v>7810.0379999999996</v>
      </c>
    </row>
    <row r="225" spans="3:5" x14ac:dyDescent="0.35">
      <c r="C225" s="1" t="s">
        <v>2338</v>
      </c>
      <c r="D225" s="1" t="s">
        <v>2329</v>
      </c>
      <c r="E225" s="250">
        <v>7810.0389999999998</v>
      </c>
    </row>
    <row r="226" spans="3:5" x14ac:dyDescent="0.35">
      <c r="C226" s="1" t="s">
        <v>2337</v>
      </c>
      <c r="D226" s="1" t="s">
        <v>20</v>
      </c>
      <c r="E226" s="250">
        <v>7810.1109999999999</v>
      </c>
    </row>
    <row r="227" spans="3:5" x14ac:dyDescent="0.35">
      <c r="C227" s="1" t="s">
        <v>2336</v>
      </c>
      <c r="D227" s="1" t="s">
        <v>20</v>
      </c>
      <c r="E227" s="250">
        <v>7810.1210000000001</v>
      </c>
    </row>
    <row r="228" spans="3:5" x14ac:dyDescent="0.35">
      <c r="C228" s="1" t="s">
        <v>2335</v>
      </c>
      <c r="D228" s="1" t="s">
        <v>20</v>
      </c>
      <c r="E228" s="250">
        <v>7810.1310000000003</v>
      </c>
    </row>
    <row r="229" spans="3:5" x14ac:dyDescent="0.35">
      <c r="C229" s="1" t="s">
        <v>2334</v>
      </c>
      <c r="D229" s="1" t="s">
        <v>2329</v>
      </c>
      <c r="E229" s="250">
        <v>7810.9</v>
      </c>
    </row>
    <row r="230" spans="3:5" x14ac:dyDescent="0.35">
      <c r="C230" s="1" t="s">
        <v>1935</v>
      </c>
      <c r="D230" s="1" t="s">
        <v>21</v>
      </c>
      <c r="E230" s="250">
        <v>7811.0110000000004</v>
      </c>
    </row>
    <row r="231" spans="3:5" x14ac:dyDescent="0.35">
      <c r="C231" s="1" t="s">
        <v>2333</v>
      </c>
      <c r="D231" s="1" t="s">
        <v>20</v>
      </c>
      <c r="E231" s="250">
        <v>7811.0119999999997</v>
      </c>
    </row>
    <row r="232" spans="3:5" x14ac:dyDescent="0.35">
      <c r="C232" s="1" t="s">
        <v>2332</v>
      </c>
      <c r="D232" s="1" t="s">
        <v>21</v>
      </c>
      <c r="E232" s="250">
        <v>7811.0129999999999</v>
      </c>
    </row>
    <row r="233" spans="3:5" x14ac:dyDescent="0.35">
      <c r="C233" s="1" t="s">
        <v>2331</v>
      </c>
      <c r="D233" s="1" t="s">
        <v>19</v>
      </c>
      <c r="E233" s="250">
        <v>7811.1109999999999</v>
      </c>
    </row>
    <row r="234" spans="3:5" x14ac:dyDescent="0.35">
      <c r="C234" s="1" t="s">
        <v>1940</v>
      </c>
      <c r="D234" s="1" t="s">
        <v>20</v>
      </c>
      <c r="E234" s="250">
        <v>7812.01</v>
      </c>
    </row>
    <row r="235" spans="3:5" x14ac:dyDescent="0.35">
      <c r="C235" s="1" t="s">
        <v>1940</v>
      </c>
      <c r="D235" s="1" t="s">
        <v>20</v>
      </c>
      <c r="E235" s="250">
        <v>7812.0110000000004</v>
      </c>
    </row>
    <row r="236" spans="3:5" x14ac:dyDescent="0.35">
      <c r="C236" s="1" t="s">
        <v>1790</v>
      </c>
      <c r="D236" s="1" t="s">
        <v>20</v>
      </c>
      <c r="E236" s="250">
        <v>7812.02</v>
      </c>
    </row>
    <row r="237" spans="3:5" x14ac:dyDescent="0.35">
      <c r="C237" s="1" t="s">
        <v>1790</v>
      </c>
      <c r="D237" s="1" t="s">
        <v>20</v>
      </c>
      <c r="E237" s="250">
        <v>7812.0209999999997</v>
      </c>
    </row>
    <row r="238" spans="3:5" x14ac:dyDescent="0.35">
      <c r="C238" s="1" t="s">
        <v>2330</v>
      </c>
      <c r="D238" s="1" t="s">
        <v>2329</v>
      </c>
      <c r="E238" s="250">
        <v>7812.03</v>
      </c>
    </row>
    <row r="239" spans="3:5" x14ac:dyDescent="0.35">
      <c r="C239" s="1" t="s">
        <v>2328</v>
      </c>
      <c r="D239" s="1" t="s">
        <v>20</v>
      </c>
      <c r="E239" s="250">
        <v>7812.0309999999999</v>
      </c>
    </row>
    <row r="240" spans="3:5" x14ac:dyDescent="0.35">
      <c r="C240" s="1" t="s">
        <v>2327</v>
      </c>
      <c r="D240" s="1" t="s">
        <v>20</v>
      </c>
      <c r="E240" s="250">
        <v>7812.0320000000002</v>
      </c>
    </row>
    <row r="241" spans="3:5" x14ac:dyDescent="0.35">
      <c r="C241" s="1" t="s">
        <v>2326</v>
      </c>
      <c r="D241" s="1" t="s">
        <v>1711</v>
      </c>
      <c r="E241" s="250">
        <v>7813.01</v>
      </c>
    </row>
    <row r="242" spans="3:5" x14ac:dyDescent="0.35">
      <c r="C242" s="1" t="s">
        <v>2325</v>
      </c>
      <c r="D242" s="1" t="s">
        <v>1711</v>
      </c>
      <c r="E242" s="250">
        <v>7814.0110000000004</v>
      </c>
    </row>
    <row r="243" spans="3:5" x14ac:dyDescent="0.35">
      <c r="C243" s="1" t="s">
        <v>2324</v>
      </c>
      <c r="D243" s="1" t="s">
        <v>1711</v>
      </c>
      <c r="E243" s="250">
        <v>7814.0119999999997</v>
      </c>
    </row>
    <row r="244" spans="3:5" x14ac:dyDescent="0.35">
      <c r="C244" s="1" t="s">
        <v>2323</v>
      </c>
      <c r="D244" s="1" t="s">
        <v>1712</v>
      </c>
      <c r="E244" s="250">
        <v>7814.0129999999999</v>
      </c>
    </row>
    <row r="245" spans="3:5" x14ac:dyDescent="0.35">
      <c r="C245" s="1" t="s">
        <v>2322</v>
      </c>
      <c r="D245" s="1" t="s">
        <v>1712</v>
      </c>
      <c r="E245" s="250">
        <v>7814.0140000000001</v>
      </c>
    </row>
    <row r="246" spans="3:5" x14ac:dyDescent="0.35">
      <c r="C246" s="1" t="s">
        <v>2321</v>
      </c>
      <c r="D246" s="1" t="s">
        <v>1712</v>
      </c>
      <c r="E246" s="250">
        <v>7814.0150000000003</v>
      </c>
    </row>
    <row r="247" spans="3:5" x14ac:dyDescent="0.35">
      <c r="C247" s="1" t="s">
        <v>2320</v>
      </c>
      <c r="D247" s="1" t="s">
        <v>1712</v>
      </c>
      <c r="E247" s="250">
        <v>7814.0159999999996</v>
      </c>
    </row>
    <row r="248" spans="3:5" x14ac:dyDescent="0.35">
      <c r="C248" s="1" t="s">
        <v>2319</v>
      </c>
      <c r="D248" s="1" t="s">
        <v>1711</v>
      </c>
      <c r="E248" s="250">
        <v>7814.0169999999998</v>
      </c>
    </row>
    <row r="249" spans="3:5" x14ac:dyDescent="0.35">
      <c r="C249" s="1" t="s">
        <v>2318</v>
      </c>
      <c r="D249" s="1" t="s">
        <v>1711</v>
      </c>
      <c r="E249" s="250">
        <v>7814.018</v>
      </c>
    </row>
    <row r="250" spans="3:5" x14ac:dyDescent="0.35">
      <c r="C250" s="1" t="s">
        <v>2317</v>
      </c>
      <c r="D250" s="1" t="s">
        <v>1711</v>
      </c>
      <c r="E250" s="250">
        <v>7814.0190000000002</v>
      </c>
    </row>
    <row r="251" spans="3:5" x14ac:dyDescent="0.35">
      <c r="C251" s="1" t="s">
        <v>2316</v>
      </c>
      <c r="D251" s="1" t="s">
        <v>1711</v>
      </c>
      <c r="E251" s="250">
        <v>7815.9</v>
      </c>
    </row>
    <row r="252" spans="3:5" x14ac:dyDescent="0.35">
      <c r="C252" s="1" t="s">
        <v>2315</v>
      </c>
      <c r="D252" s="1" t="s">
        <v>19</v>
      </c>
      <c r="E252" s="250">
        <v>7840.0110000000004</v>
      </c>
    </row>
    <row r="253" spans="3:5" x14ac:dyDescent="0.35">
      <c r="C253" s="1" t="s">
        <v>2314</v>
      </c>
      <c r="D253" s="1" t="s">
        <v>19</v>
      </c>
      <c r="E253" s="250">
        <v>7840.0119999999997</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58049117-ACE5-4170-A9DB-FD3BA36E37C9}">
      <formula1>$C$205:$C207</formula1>
    </dataValidation>
  </dataValidations>
  <hyperlinks>
    <hyperlink ref="D3" r:id="rId1" display="datamateapp@gmail.com" xr:uid="{143B1940-7BA4-4A99-A540-DD28DBA731C3}"/>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65578" r:id="rId4" name="Button 10">
              <controlPr defaultSize="0" print="0" autoFill="0" autoPict="0" macro="[0]!ExitSEC_078000">
                <anchor moveWithCells="1" sizeWithCells="1">
                  <from>
                    <xdr:col>16</xdr:col>
                    <xdr:colOff>203200</xdr:colOff>
                    <xdr:row>0</xdr:row>
                    <xdr:rowOff>6350</xdr:rowOff>
                  </from>
                  <to>
                    <xdr:col>16</xdr:col>
                    <xdr:colOff>1473200</xdr:colOff>
                    <xdr:row>2</xdr:row>
                    <xdr:rowOff>19050</xdr:rowOff>
                  </to>
                </anchor>
              </controlPr>
            </control>
          </mc:Choice>
        </mc:AlternateContent>
        <mc:AlternateContent xmlns:mc="http://schemas.openxmlformats.org/markup-compatibility/2006">
          <mc:Choice Requires="x14">
            <control shapeId="365605" r:id="rId5" name="Button 37">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365606" r:id="rId6" name="Button 38">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365607" r:id="rId7" name="Button 39">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365608" r:id="rId8" name="Button 40">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365609" r:id="rId9" name="Button 41">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365610" r:id="rId10" name="Button 42">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365611" r:id="rId11" name="Button 43">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365612" r:id="rId12" name="Button 44">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79E72-2F04-43D7-BCAB-0C373C59432C}">
  <sheetPr codeName="Sheet93"/>
  <dimension ref="A1:Q209"/>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JOINT PROTECTION</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07 90 00</v>
      </c>
      <c r="C10" s="24" t="str">
        <f>C206</f>
        <v>JOINT PROTECTION</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JOINT PROTECTION</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14454</v>
      </c>
      <c r="C206" s="82" t="s">
        <v>14455</v>
      </c>
      <c r="D206" s="1"/>
      <c r="E206" s="1"/>
      <c r="F206" s="1"/>
      <c r="G206" s="1"/>
      <c r="H206" s="1"/>
      <c r="I206" s="1"/>
      <c r="J206" s="1"/>
      <c r="K206" s="1"/>
      <c r="L206" s="1"/>
      <c r="M206" s="1"/>
      <c r="N206" s="1"/>
      <c r="O206" s="1"/>
      <c r="P206" s="1"/>
      <c r="Q206" s="1"/>
    </row>
    <row r="207" spans="2:17" x14ac:dyDescent="0.35">
      <c r="B207" s="49" t="s">
        <v>14456</v>
      </c>
      <c r="C207" s="53" t="s">
        <v>14457</v>
      </c>
      <c r="D207" s="1"/>
      <c r="E207" s="1"/>
      <c r="F207" s="1"/>
      <c r="G207" s="1"/>
      <c r="H207" s="1"/>
      <c r="I207" s="1"/>
      <c r="J207" s="1"/>
      <c r="K207" s="1"/>
      <c r="L207" s="1"/>
      <c r="M207" s="1"/>
      <c r="N207" s="1"/>
      <c r="O207" s="1"/>
      <c r="P207" s="1"/>
      <c r="Q207" s="1"/>
    </row>
    <row r="208" spans="2:17" x14ac:dyDescent="0.35">
      <c r="B208" s="49" t="s">
        <v>14458</v>
      </c>
      <c r="C208" s="53" t="s">
        <v>14459</v>
      </c>
    </row>
    <row r="209" spans="2:3" x14ac:dyDescent="0.35">
      <c r="B209" s="49" t="s">
        <v>14460</v>
      </c>
      <c r="C209" s="53" t="s">
        <v>14461</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259E009F-C126-4191-B763-A56E45C67230}">
      <formula1>$C$205:$C207</formula1>
    </dataValidation>
  </dataValidations>
  <hyperlinks>
    <hyperlink ref="D3" r:id="rId1" display="datamateapp@gmail.com" xr:uid="{4225C33F-4C6C-4905-B399-B222B2E8882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66602" r:id="rId4" name="Button 10">
              <controlPr defaultSize="0" print="0" autoFill="0" autoPict="0" macro="[0]!ExitSEC_079000">
                <anchor moveWithCells="1" sizeWithCells="1">
                  <from>
                    <xdr:col>16</xdr:col>
                    <xdr:colOff>196850</xdr:colOff>
                    <xdr:row>0</xdr:row>
                    <xdr:rowOff>19050</xdr:rowOff>
                  </from>
                  <to>
                    <xdr:col>16</xdr:col>
                    <xdr:colOff>1466850</xdr:colOff>
                    <xdr:row>2</xdr:row>
                    <xdr:rowOff>31750</xdr:rowOff>
                  </to>
                </anchor>
              </controlPr>
            </control>
          </mc:Choice>
        </mc:AlternateContent>
        <mc:AlternateContent xmlns:mc="http://schemas.openxmlformats.org/markup-compatibility/2006">
          <mc:Choice Requires="x14">
            <control shapeId="366630" r:id="rId5" name="Button 38">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366631" r:id="rId6" name="Button 39">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366632" r:id="rId7" name="Button 40">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366633" r:id="rId8" name="Button 41">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366634" r:id="rId9" name="Button 42">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366635" r:id="rId10" name="Button 43">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366636" r:id="rId11" name="Button 44">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366637" r:id="rId12" name="Button 45">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19645-C8C6-46E2-AC9E-FF3E6308C1BB}">
  <sheetPr codeName="Sheet99"/>
  <dimension ref="A1:Q206"/>
  <sheetViews>
    <sheetView zoomScale="75" zoomScaleNormal="75" workbookViewId="0">
      <selection activeCell="C52" sqref="C52"/>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f>C10</f>
        <v>0</v>
      </c>
      <c r="J2" s="59"/>
      <c r="K2" s="59"/>
      <c r="L2" s="1"/>
      <c r="M2" s="59"/>
      <c r="N2" s="59"/>
      <c r="O2" s="60"/>
      <c r="P2" s="57"/>
      <c r="Q2" s="57"/>
    </row>
    <row r="3" spans="1:17" ht="15" thickBot="1" x14ac:dyDescent="0.4">
      <c r="A3" s="446" t="s">
        <v>21545</v>
      </c>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7"/>
      <c r="Q3" s="8"/>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40"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f>B208</f>
        <v>0</v>
      </c>
      <c r="C10" s="24">
        <f>C208</f>
        <v>0</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f>C10</f>
        <v>0</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21402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21432</v>
      </c>
      <c r="C206" s="106" t="s">
        <v>21400</v>
      </c>
      <c r="D206" s="1"/>
      <c r="E206" s="1"/>
      <c r="F206" s="1"/>
      <c r="G206" s="1"/>
      <c r="H206" s="1"/>
      <c r="I206" s="1"/>
      <c r="J206" s="1"/>
      <c r="K206" s="1"/>
      <c r="L206" s="1"/>
      <c r="M206" s="1"/>
      <c r="N206" s="1"/>
      <c r="O206" s="1"/>
      <c r="P206" s="1"/>
      <c r="Q206" s="1"/>
    </row>
  </sheetData>
  <mergeCells count="8">
    <mergeCell ref="J6:K6"/>
    <mergeCell ref="J7:K7"/>
    <mergeCell ref="A3:B3"/>
    <mergeCell ref="D3:G3"/>
    <mergeCell ref="J3:K3"/>
    <mergeCell ref="A4:B4"/>
    <mergeCell ref="J4:K4"/>
    <mergeCell ref="J5:K5"/>
  </mergeCells>
  <dataValidations count="1">
    <dataValidation type="list" allowBlank="1" showInputMessage="1" showErrorMessage="1" sqref="C16:C190" xr:uid="{0797EE82-4ED4-47C4-84A4-D1A355AB5E67}">
      <formula1>$C$205:$C207</formula1>
    </dataValidation>
  </dataValidations>
  <hyperlinks>
    <hyperlink ref="D3" r:id="rId1" display="datamateapp@gmail.com" xr:uid="{47068EAE-E166-4447-92EF-D99C4729055D}"/>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48513" r:id="rId4" name="Button 1">
              <controlPr defaultSize="0" print="0" autoFill="0" autoPict="0">
                <anchor moveWithCells="1" sizeWithCells="1">
                  <from>
                    <xdr:col>17</xdr:col>
                    <xdr:colOff>0</xdr:colOff>
                    <xdr:row>0</xdr:row>
                    <xdr:rowOff>0</xdr:rowOff>
                  </from>
                  <to>
                    <xdr:col>19</xdr:col>
                    <xdr:colOff>50800</xdr:colOff>
                    <xdr:row>2</xdr:row>
                    <xdr:rowOff>19050</xdr:rowOff>
                  </to>
                </anchor>
              </controlPr>
            </control>
          </mc:Choice>
        </mc:AlternateContent>
        <mc:AlternateContent xmlns:mc="http://schemas.openxmlformats.org/markup-compatibility/2006">
          <mc:Choice Requires="x14">
            <control shapeId="448514" r:id="rId5" name="Button 2">
              <controlPr defaultSize="0" print="0" autoFill="0" autoPict="0" macro="[0]!ClearContentsAndDropdowns">
                <anchor moveWithCells="1" sizeWithCells="1">
                  <from>
                    <xdr:col>17</xdr:col>
                    <xdr:colOff>0</xdr:colOff>
                    <xdr:row>2</xdr:row>
                    <xdr:rowOff>184150</xdr:rowOff>
                  </from>
                  <to>
                    <xdr:col>19</xdr:col>
                    <xdr:colOff>50800</xdr:colOff>
                    <xdr:row>5</xdr:row>
                    <xdr:rowOff>25400</xdr:rowOff>
                  </to>
                </anchor>
              </controlPr>
            </control>
          </mc:Choice>
        </mc:AlternateContent>
        <mc:AlternateContent xmlns:mc="http://schemas.openxmlformats.org/markup-compatibility/2006">
          <mc:Choice Requires="x14">
            <control shapeId="448515"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63500</xdr:rowOff>
                  </to>
                </anchor>
              </controlPr>
            </control>
          </mc:Choice>
        </mc:AlternateContent>
        <mc:AlternateContent xmlns:mc="http://schemas.openxmlformats.org/markup-compatibility/2006">
          <mc:Choice Requires="x14">
            <control shapeId="448516"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76200</xdr:rowOff>
                  </to>
                </anchor>
              </controlPr>
            </control>
          </mc:Choice>
        </mc:AlternateContent>
        <mc:AlternateContent xmlns:mc="http://schemas.openxmlformats.org/markup-compatibility/2006">
          <mc:Choice Requires="x14">
            <control shapeId="448517" r:id="rId8" name="Button 5">
              <controlPr defaultSize="0" print="0" autoFill="0" autoPict="0" macro="[0]!Dashboard">
                <anchor moveWithCells="1" sizeWithCells="1">
                  <from>
                    <xdr:col>17</xdr:col>
                    <xdr:colOff>0</xdr:colOff>
                    <xdr:row>11</xdr:row>
                    <xdr:rowOff>12700</xdr:rowOff>
                  </from>
                  <to>
                    <xdr:col>19</xdr:col>
                    <xdr:colOff>50800</xdr:colOff>
                    <xdr:row>13</xdr:row>
                    <xdr:rowOff>31750</xdr:rowOff>
                  </to>
                </anchor>
              </controlPr>
            </control>
          </mc:Choice>
        </mc:AlternateContent>
        <mc:AlternateContent xmlns:mc="http://schemas.openxmlformats.org/markup-compatibility/2006">
          <mc:Choice Requires="x14">
            <control shapeId="448518" r:id="rId9" name="Button 6">
              <controlPr defaultSize="0" print="0" autoFill="0" autoPict="0" macro="[0]!ViewLog">
                <anchor moveWithCells="1" sizeWithCells="1">
                  <from>
                    <xdr:col>17</xdr:col>
                    <xdr:colOff>0</xdr:colOff>
                    <xdr:row>14</xdr:row>
                    <xdr:rowOff>12700</xdr:rowOff>
                  </from>
                  <to>
                    <xdr:col>19</xdr:col>
                    <xdr:colOff>50800</xdr:colOff>
                    <xdr:row>16</xdr:row>
                    <xdr:rowOff>31750</xdr:rowOff>
                  </to>
                </anchor>
              </controlPr>
            </control>
          </mc:Choice>
        </mc:AlternateContent>
        <mc:AlternateContent xmlns:mc="http://schemas.openxmlformats.org/markup-compatibility/2006">
          <mc:Choice Requires="x14">
            <control shapeId="448519" r:id="rId10" name="Button 7">
              <controlPr defaultSize="0" print="0" autoFill="0" autoPict="0" macro="[0]!ViewView_Print">
                <anchor moveWithCells="1" sizeWithCells="1">
                  <from>
                    <xdr:col>17</xdr:col>
                    <xdr:colOff>0</xdr:colOff>
                    <xdr:row>17</xdr:row>
                    <xdr:rowOff>19050</xdr:rowOff>
                  </from>
                  <to>
                    <xdr:col>19</xdr:col>
                    <xdr:colOff>50800</xdr:colOff>
                    <xdr:row>19</xdr:row>
                    <xdr:rowOff>38100</xdr:rowOff>
                  </to>
                </anchor>
              </controlPr>
            </control>
          </mc:Choice>
        </mc:AlternateContent>
        <mc:AlternateContent xmlns:mc="http://schemas.openxmlformats.org/markup-compatibility/2006">
          <mc:Choice Requires="x14">
            <control shapeId="448520" r:id="rId11" name="Button 8">
              <controlPr defaultSize="0" print="0" autoFill="0" autoPict="0" macro="[0]!OpenDataMateAppPage">
                <anchor moveWithCells="1" sizeWithCells="1">
                  <from>
                    <xdr:col>17</xdr:col>
                    <xdr:colOff>0</xdr:colOff>
                    <xdr:row>20</xdr:row>
                    <xdr:rowOff>25400</xdr:rowOff>
                  </from>
                  <to>
                    <xdr:col>19</xdr:col>
                    <xdr:colOff>50800</xdr:colOff>
                    <xdr:row>22</xdr:row>
                    <xdr:rowOff>44450</xdr:rowOff>
                  </to>
                </anchor>
              </controlPr>
            </control>
          </mc:Choice>
        </mc:AlternateContent>
      </controls>
    </mc:Choice>
  </mc:AlternateContent>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A4620-1AF6-44C1-B82F-A3FD2D6161ED}">
  <sheetPr codeName="Sheet100"/>
  <dimension ref="A1:Q200"/>
  <sheetViews>
    <sheetView zoomScale="75" zoomScaleNormal="75" workbookViewId="0">
      <selection activeCell="C16" sqref="C16"/>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7">
        <f>DIV_08View_Print!B2</f>
        <v>0</v>
      </c>
      <c r="B1" s="57"/>
      <c r="C1" s="57"/>
      <c r="D1" s="57"/>
      <c r="E1" s="57"/>
      <c r="F1" s="57"/>
      <c r="G1" s="57"/>
      <c r="H1" s="57"/>
      <c r="I1" s="57"/>
      <c r="J1" s="57"/>
      <c r="K1" s="57"/>
      <c r="L1" s="57"/>
      <c r="M1" s="57" t="str">
        <f>DIV_02Input!M1</f>
        <v>Update 1</v>
      </c>
      <c r="N1" s="57" t="str">
        <f>DIV_02Input!N1</f>
        <v>Update 2</v>
      </c>
      <c r="O1" s="57" t="str">
        <f>DIV_02Input!O1</f>
        <v>Update 3</v>
      </c>
      <c r="P1" s="57"/>
      <c r="Q1" s="57"/>
    </row>
    <row r="2" spans="1:17" x14ac:dyDescent="0.35">
      <c r="A2" s="57"/>
      <c r="B2" s="436"/>
      <c r="C2" s="436"/>
      <c r="D2" s="436"/>
      <c r="E2" s="436"/>
      <c r="F2" s="436"/>
      <c r="G2" s="436"/>
      <c r="H2" s="436"/>
      <c r="I2" s="436"/>
      <c r="J2" s="436"/>
      <c r="K2" s="436"/>
      <c r="L2" s="436"/>
      <c r="M2" s="1"/>
      <c r="N2" s="1"/>
      <c r="O2" s="1"/>
      <c r="P2" s="57"/>
      <c r="Q2" s="57"/>
    </row>
    <row r="3" spans="1:17" ht="15" thickBot="1" x14ac:dyDescent="0.4">
      <c r="A3" s="446" t="e">
        <f>VLOOKUP(A1,DIV_08Data!$A$1:$DZU$1000000,36,FALSE)</f>
        <v>#N/A</v>
      </c>
      <c r="B3" s="425"/>
      <c r="C3" s="103" t="e">
        <f>VLOOKUP(A1,DIV_08Data!$A$1:$DZU$1000000,38,FALSE)</f>
        <v>#N/A</v>
      </c>
      <c r="D3" s="447" t="e">
        <f>VLOOKUP(A1,DIV_08Data!$A$1:$DZU$1000000,39,FALSE)</f>
        <v>#N/A</v>
      </c>
      <c r="E3" s="448"/>
      <c r="F3" s="448"/>
      <c r="G3" s="448"/>
      <c r="H3" s="6" t="e">
        <f>VLOOKUP(A1,DIV_08Data!$A$1:$DZU$1000000,43,FALSE)</f>
        <v>#N/A</v>
      </c>
      <c r="I3" s="6" t="e">
        <f>VLOOKUP(A1,DIV_08Data!$A$1:$DZU$1000000,44,FALSE)</f>
        <v>#N/A</v>
      </c>
      <c r="J3" s="449" t="e">
        <f>VLOOKUP(A1,DIV_08Data!$A$1:$DZU$1000000,45,FALSE)</f>
        <v>#N/A</v>
      </c>
      <c r="K3" s="450"/>
      <c r="L3" s="100" t="e">
        <f>VLOOKUP(A1,DIV_08Data!$A$1:$DZU$1000000,47,FALSE)</f>
        <v>#N/A</v>
      </c>
      <c r="M3" s="8" t="e">
        <f>VLOOKUP(A1,DIV_08Data!$A$1:$DZU$1000000,48,FALSE)</f>
        <v>#N/A</v>
      </c>
      <c r="N3" s="6" t="e">
        <f>VLOOKUP(A1,DIV_08Data!$A$1:$DZU$1000000,49,FALSE)</f>
        <v>#N/A</v>
      </c>
      <c r="O3" s="8" t="e">
        <f>VLOOKUP(A1,DIV_08Data!$A$1:$DZU$1000000,50,FALSE)</f>
        <v>#N/A</v>
      </c>
      <c r="P3" s="7" t="e">
        <f>VLOOKUP(A1,DIV_08Data!$A$1:$DZU$1000000,51,FALSE)</f>
        <v>#N/A</v>
      </c>
      <c r="Q3" s="8" t="e">
        <f>VLOOKUP(A1,DIV_08Data!$A$1:$DZU$1000000,52,FALSE)</f>
        <v>#N/A</v>
      </c>
    </row>
    <row r="4" spans="1:17" ht="15" thickBot="1" x14ac:dyDescent="0.4">
      <c r="A4" s="451" t="e">
        <f>VLOOKUP(A1,DIV_08Data!$A$1:$DZU$1000000,53,FALSE)</f>
        <v>#N/A</v>
      </c>
      <c r="B4" s="452"/>
      <c r="C4" s="79" t="e">
        <f>VLOOKUP(A1,DIV_08Data!$A$1:$DZU$1000000,55,FALSE)</f>
        <v>#N/A</v>
      </c>
      <c r="D4" s="6" t="e">
        <f>VLOOKUP(A1,DIV_08Data!$A$1:$DZU$1000000,56,FALSE)</f>
        <v>#N/A</v>
      </c>
      <c r="E4" s="5" t="e">
        <f>VLOOKUP(A1,DIV_08Data!$A$1:$DZU$1000000,57,FALSE)</f>
        <v>#N/A</v>
      </c>
      <c r="F4" s="61" t="e">
        <f>VLOOKUP(A1,DIV_08Data!$A$1:$DZU$1000000,58,FALSE)</f>
        <v>#N/A</v>
      </c>
      <c r="G4" s="8" t="e">
        <f>VLOOKUP(A1,DIV_08Data!$A$1:$DZU$1000000,59,FALSE)</f>
        <v>#N/A</v>
      </c>
      <c r="H4" s="6" t="e">
        <f>VLOOKUP(A1,DIV_08Data!$A$1:$DZU$1000000,60,FALSE)</f>
        <v>#N/A</v>
      </c>
      <c r="I4" s="6" t="e">
        <f>VLOOKUP(A1,DIV_08Data!$A$1:$DZU$1000000,61,FALSE)</f>
        <v>#N/A</v>
      </c>
      <c r="J4" s="443" t="e">
        <f>VLOOKUP(A1,DIV_08Data!$A$1:$DZU$1000000,62,FALSE)</f>
        <v>#N/A</v>
      </c>
      <c r="K4" s="444"/>
      <c r="L4" s="102" t="e">
        <f>VLOOKUP(A1,DIV_08Data!$A$1:$DZU$1000000,64,FALSE)</f>
        <v>#N/A</v>
      </c>
      <c r="M4" s="9" t="e">
        <f>VLOOKUP(A1,DIV_08Data!$A$1:$DZU$1000000,65,FALSE)</f>
        <v>#N/A</v>
      </c>
      <c r="N4" s="31" t="e">
        <f>VLOOKUP(A1,DIV_08Data!$A$1:$DZU$1000000,66,FALSE)</f>
        <v>#N/A</v>
      </c>
      <c r="O4" s="98" t="e">
        <f>VLOOKUP(A1,DIV_08Data!$A$1:$DZU$1000000,67,FALSE)</f>
        <v>#N/A</v>
      </c>
      <c r="P4" s="7" t="e">
        <f>VLOOKUP(A1,DIV_08Data!$A$1:$DZU$1000000,68,FALSE)</f>
        <v>#N/A</v>
      </c>
      <c r="Q4" s="10" t="e">
        <f>VLOOKUP(A1,DIV_08Data!$A$1:$DZU$1000000,69,FALSE)</f>
        <v>#N/A</v>
      </c>
    </row>
    <row r="5" spans="1:17" ht="15" thickBot="1" x14ac:dyDescent="0.4">
      <c r="A5" s="3" t="e">
        <f>VLOOKUP(A1,DIV_08Data!$A$1:$DZU$1000000,70,FALSE)</f>
        <v>#N/A</v>
      </c>
      <c r="B5" s="4" t="e">
        <f>VLOOKUP(A1,DIV_08Data!$A$1:$DZU$1000000,71,FALSE)</f>
        <v>#N/A</v>
      </c>
      <c r="C5" s="5" t="e">
        <f>VLOOKUP(A1,DIV_08Data!$A$1:$DZU$1000000,72,FALSE)</f>
        <v>#N/A</v>
      </c>
      <c r="D5" s="6" t="e">
        <f>VLOOKUP(A1,DIV_08Data!$A$1:$DZU$1000000,73,FALSE)</f>
        <v>#N/A</v>
      </c>
      <c r="E5" s="7" t="e">
        <f>VLOOKUP(A1,DIV_08Data!$A$1:$DZU$1000000,74,FALSE)</f>
        <v>#N/A</v>
      </c>
      <c r="F5" s="6" t="e">
        <f>VLOOKUP(A1,DIV_08Data!$A$1:$DZU$1000000,75,FALSE)</f>
        <v>#N/A</v>
      </c>
      <c r="G5" s="8" t="e">
        <f>VLOOKUP(A1,DIV_08Data!$A$1:$DZU$1000000,76,FALSE)</f>
        <v>#N/A</v>
      </c>
      <c r="H5" s="6" t="e">
        <f>VLOOKUP(A1,DIV_08Data!$A$1:$DZU$1000000,77,FALSE)</f>
        <v>#N/A</v>
      </c>
      <c r="I5" s="6" t="e">
        <f>VLOOKUP(A1,DIV_08Data!$A$1:$DZU$1000000,78,FALSE)</f>
        <v>#N/A</v>
      </c>
      <c r="J5" s="443" t="e">
        <f>VLOOKUP(A1,DIV_08Data!$A$1:$DZU$1000000,79,FALSE)</f>
        <v>#N/A</v>
      </c>
      <c r="K5" s="444"/>
      <c r="L5" s="11" t="e">
        <f>VLOOKUP(A1,DIV_08Data!$A$1:$DZU$1000000,81,FALSE)</f>
        <v>#N/A</v>
      </c>
      <c r="M5" s="91" t="e">
        <f>VLOOKUP(A1,DIV_08Data!$A$1:$DZU$1000000,82,FALSE)</f>
        <v>#N/A</v>
      </c>
      <c r="N5" s="31" t="e">
        <f>VLOOKUP(A1,DIV_08Data!$A$1:$DZU$1000000,83,FALSE)</f>
        <v>#N/A</v>
      </c>
      <c r="O5" s="96" t="e">
        <f>VLOOKUP(A1,DIV_08Data!$A$1:$DZU$1000000,84,FALSE)</f>
        <v>#N/A</v>
      </c>
      <c r="P5" s="86" t="e">
        <f>VLOOKUP(A1,DIV_08Data!$A$1:$DZU$1000000,85,FALSE)</f>
        <v>#N/A</v>
      </c>
      <c r="Q5" s="8" t="e">
        <f>VLOOKUP(A1,DIV_08Data!$A$1:$DZU$1000000,86,FALSE)</f>
        <v>#N/A</v>
      </c>
    </row>
    <row r="6" spans="1:17" ht="15" thickBot="1" x14ac:dyDescent="0.4">
      <c r="A6" s="3" t="e">
        <f>VLOOKUP(A1,DIV_08Data!$A$1:$DZU$1000000,87,FALSE)</f>
        <v>#N/A</v>
      </c>
      <c r="B6" s="4" t="e">
        <f>VLOOKUP(A1,DIV_08Data!$A$1:$DZU$1000000,88,FALSE)</f>
        <v>#N/A</v>
      </c>
      <c r="C6" s="5" t="e">
        <f>VLOOKUP(A1,DIV_08Data!$A$1:$DZU$1000000,89,FALSE)</f>
        <v>#N/A</v>
      </c>
      <c r="D6" s="6" t="e">
        <f>VLOOKUP(A1,DIV_08Data!$A$1:$DZU$1000000,90,FALSE)</f>
        <v>#N/A</v>
      </c>
      <c r="E6" s="7" t="e">
        <f>VLOOKUP(A1,DIV_08Data!$A$1:$DZU$1000000,91,FALSE)</f>
        <v>#N/A</v>
      </c>
      <c r="F6" s="6" t="e">
        <f>VLOOKUP(A1,DIV_08Data!$A$1:$DZU$1000000,92,FALSE)</f>
        <v>#N/A</v>
      </c>
      <c r="G6" s="10" t="e">
        <f>VLOOKUP(A1,DIV_08Data!$A$1:$DZU$1000000,93,FALSE)</f>
        <v>#N/A</v>
      </c>
      <c r="H6" s="12" t="e">
        <f>VLOOKUP(A1,DIV_08Data!$A$1:$DZU$1000000,94,FALSE)</f>
        <v>#N/A</v>
      </c>
      <c r="I6" s="13" t="e">
        <f>VLOOKUP(A1,DIV_08Data!$A$1:$DZU$1000000,95,FALSE)</f>
        <v>#N/A</v>
      </c>
      <c r="J6" s="445" t="e">
        <f>VLOOKUP(A1,DIV_08Data!$A$1:$DZU$1000000,96,FALSE)</f>
        <v>#N/A</v>
      </c>
      <c r="K6" s="444"/>
      <c r="L6" s="11" t="e">
        <f>VLOOKUP(A1,DIV_08Data!$A$1:$DZU$1000000,98,FALSE)</f>
        <v>#N/A</v>
      </c>
      <c r="M6" s="9" t="e">
        <f>VLOOKUP(A1,DIV_08Data!$A$1:$DZU$1000000,99,FALSE)</f>
        <v>#N/A</v>
      </c>
      <c r="N6" s="31" t="e">
        <f>VLOOKUP(A1,DIV_08Data!$A$1:$DZU$1000000,100,FALSE)</f>
        <v>#N/A</v>
      </c>
      <c r="O6" s="97" t="e">
        <f>VLOOKUP(A1,DIV_08Data!$A$1:$DZU$1000000,101,FALSE)</f>
        <v>#N/A</v>
      </c>
      <c r="P6" s="7" t="e">
        <f>VLOOKUP(A1,DIV_08Data!$A$1:$DZU$1000000,102,FALSE)</f>
        <v>#N/A</v>
      </c>
      <c r="Q6" s="8" t="e">
        <f>VLOOKUP(A1,DIV_08Data!$A$1:$DZU$1000000,103,FALSE)</f>
        <v>#N/A</v>
      </c>
    </row>
    <row r="7" spans="1:17" x14ac:dyDescent="0.35">
      <c r="A7" s="3" t="e">
        <f>VLOOKUP(A1,DIV_08Data!$A$1:$DZU$1000000,104,FALSE)</f>
        <v>#N/A</v>
      </c>
      <c r="B7" s="4" t="e">
        <f>VLOOKUP(A1,DIV_08Data!$A$1:$DZU$1000000,105,FALSE)</f>
        <v>#N/A</v>
      </c>
      <c r="C7" s="84" t="e">
        <f>VLOOKUP(A1,DIV_08Data!$A$1:$DZU$1000000,106,FALSE)</f>
        <v>#N/A</v>
      </c>
      <c r="D7" s="6" t="e">
        <f>VLOOKUP(A1,DIV_08Data!$A$1:$DZU$1000000,107,FALSE)</f>
        <v>#N/A</v>
      </c>
      <c r="E7" s="7" t="e">
        <f>VLOOKUP(A1,DIV_08Data!$A$1:$DZU$1000000,108,FALSE)</f>
        <v>#N/A</v>
      </c>
      <c r="F7" s="6" t="e">
        <f>VLOOKUP(A1,DIV_08Data!$A$1:$DZU$1000000,109,FALSE)</f>
        <v>#N/A</v>
      </c>
      <c r="G7" s="7" t="e">
        <f>VLOOKUP(A1,DIV_08Data!$A$1:$DZU$1000000,110,FALSE)</f>
        <v>#N/A</v>
      </c>
      <c r="H7" s="14" t="e">
        <f>VLOOKUP(A1,DIV_08Data!$A$1:$DZU$1000000,111,FALSE)</f>
        <v>#N/A</v>
      </c>
      <c r="I7" s="6" t="e">
        <f>VLOOKUP(A1,DIV_08Data!$A$1:$DZU$1000000,112,FALSE)</f>
        <v>#N/A</v>
      </c>
      <c r="J7" s="443" t="e">
        <f>VLOOKUP(A1,DIV_08Data!$A$1:$DZU$1000000,113,FALSE)</f>
        <v>#N/A</v>
      </c>
      <c r="K7" s="444"/>
      <c r="L7" s="11" t="e">
        <f>VLOOKUP(A1,DIV_08Data!$A$1:$DZU$1000000,115,FALSE)</f>
        <v>#N/A</v>
      </c>
      <c r="M7" s="6" t="e">
        <f>VLOOKUP(A1,DIV_08Data!$A$1:$DZU$1000000,116,FALSE)</f>
        <v>#N/A</v>
      </c>
      <c r="N7" s="31" t="e">
        <f>VLOOKUP(A1,DIV_08Data!$A$1:$DZU$1000000,117,FALSE)</f>
        <v>#N/A</v>
      </c>
      <c r="O7" s="96" t="e">
        <f>VLOOKUP(A1,DIV_08Data!$A$1:$DZU$1000000,118,FALSE)</f>
        <v>#N/A</v>
      </c>
      <c r="P7" s="90" t="e">
        <f>VLOOKUP(A1,DIV_08Data!$A$1:$DZU$1000000,119,FALSE)</f>
        <v>#N/A</v>
      </c>
      <c r="Q7" s="90" t="e">
        <f>VLOOKUP(A1,DIV_08Data!$A$1:$DZU$1000000,120,FALSE)</f>
        <v>#N/A</v>
      </c>
    </row>
    <row r="8" spans="1:17" ht="15" thickBot="1" x14ac:dyDescent="0.4">
      <c r="A8" s="3" t="e">
        <f>VLOOKUP(A1,DIV_08Data!$A$1:$DZU$1000000,121,FALSE)</f>
        <v>#N/A</v>
      </c>
      <c r="B8" s="4" t="e">
        <f>VLOOKUP(A1,DIV_08Data!$A$1:$DZU$1000000,122,FALSE)</f>
        <v>#N/A</v>
      </c>
      <c r="C8" s="86" t="e">
        <f>VLOOKUP(A1,DIV_08Data!$A$1:$DZU$1000000,123,FALSE)</f>
        <v>#N/A</v>
      </c>
      <c r="D8" s="6" t="e">
        <f>VLOOKUP(A1,DIV_08Data!$A$1:$DZU$1000000,124,FALSE)</f>
        <v>#N/A</v>
      </c>
      <c r="E8" s="7" t="e">
        <f>VLOOKUP(A1,DIV_08Data!$A$1:$DZU$1000000,125,FALSE)</f>
        <v>#N/A</v>
      </c>
      <c r="F8" s="6" t="e">
        <f>VLOOKUP(A1,DIV_08Data!$A$1:$DZU$1000000,126,FALSE)</f>
        <v>#N/A</v>
      </c>
      <c r="G8" s="6" t="e">
        <f>VLOOKUP(A1,DIV_08Data!$A$1:$DZU$1000000,127,FALSE)</f>
        <v>#N/A</v>
      </c>
      <c r="H8" s="6" t="e">
        <f>VLOOKUP(A1,DIV_08Data!$A$1:$DZU$1000000,128,FALSE)</f>
        <v>#N/A</v>
      </c>
      <c r="I8" s="6" t="e">
        <f>VLOOKUP(A1,DIV_08Data!$A$1:$DZU$1000000,129,FALSE)</f>
        <v>#N/A</v>
      </c>
      <c r="J8" s="6" t="e">
        <f>VLOOKUP(A1,DIV_08Data!$A$1:$DZU$1000000,130,FALSE)</f>
        <v>#N/A</v>
      </c>
      <c r="K8" s="6" t="e">
        <f>VLOOKUP(A1,DIV_08Data!$A$1:$DZU$1000000,131,FALSE)</f>
        <v>#N/A</v>
      </c>
      <c r="L8" s="83" t="e">
        <f>VLOOKUP(A1,DIV_08Data!$A$1:$DZU$1000000,132,FALSE)</f>
        <v>#N/A</v>
      </c>
      <c r="M8" s="6" t="e">
        <f>VLOOKUP(A1,DIV_08Data!$A$1:$DZU$1000000,133,FALSE)</f>
        <v>#N/A</v>
      </c>
      <c r="N8" s="6" t="e">
        <f>VLOOKUP(A1,DIV_08Data!$A$1:$DZU$1000000,134,FALSE)</f>
        <v>#N/A</v>
      </c>
      <c r="O8" s="95" t="e">
        <f>VLOOKUP(A1,DIV_08Data!$A$1:$DZU$1000000,135,FALSE)</f>
        <v>#N/A</v>
      </c>
      <c r="P8" s="6" t="e">
        <f>VLOOKUP(A1,DIV_08Data!$A$1:$DZU$1000000,136,FALSE)</f>
        <v>#N/A</v>
      </c>
      <c r="Q8" s="6" t="e">
        <f>VLOOKUP(A1,DIV_08Data!$A$1:$DZU$1000000,137,FALSE)</f>
        <v>#N/A</v>
      </c>
    </row>
    <row r="9" spans="1:17" ht="15" thickBot="1" x14ac:dyDescent="0.4">
      <c r="A9" s="15" t="e">
        <f>VLOOKUP(A1,DIV_08Data!$A$1:$DZU$1000000,138,FALSE)</f>
        <v>#N/A</v>
      </c>
      <c r="B9" s="16" t="e">
        <f>VLOOKUP(A1,DIV_08Data!$A$1:$DZU$1000000,139,FALSE)</f>
        <v>#N/A</v>
      </c>
      <c r="C9" s="17" t="e">
        <f>VLOOKUP(A1,DIV_08Data!$A$1:$DZU$1000000,140,FALSE)</f>
        <v>#N/A</v>
      </c>
      <c r="D9" s="18" t="e">
        <f>VLOOKUP(A1,DIV_08Data!$A$1:$DZU$1000000,141,FALSE)</f>
        <v>#N/A</v>
      </c>
      <c r="E9" s="19" t="e">
        <f>VLOOKUP(A1,DIV_08Data!$A$1:$DZU$1000000,142,FALSE)</f>
        <v>#N/A</v>
      </c>
      <c r="F9" s="16" t="e">
        <f>VLOOKUP(A1,DIV_08Data!$A$1:$DZU$1000000,143,FALSE)</f>
        <v>#N/A</v>
      </c>
      <c r="G9" s="20" t="e">
        <f>VLOOKUP(A1,DIV_08Data!$A$1:$DZU$1000000,144,FALSE)</f>
        <v>#N/A</v>
      </c>
      <c r="H9" s="16" t="e">
        <f>VLOOKUP(A1,DIV_08Data!$A$1:$DZU$1000000,145,FALSE)</f>
        <v>#N/A</v>
      </c>
      <c r="I9" s="20" t="e">
        <f>VLOOKUP(A1,DIV_08Data!$A$1:$DZU$1000000,146,FALSE)</f>
        <v>#N/A</v>
      </c>
      <c r="J9" s="21" t="e">
        <f>VLOOKUP(A1,DIV_08Data!$A$1:$DZU$1000000,147,FALSE)</f>
        <v>#N/A</v>
      </c>
      <c r="K9" s="16" t="e">
        <f>VLOOKUP(A1,DIV_08Data!$A$1:$DZU$1000000,148,FALSE)</f>
        <v>#N/A</v>
      </c>
      <c r="L9" s="21" t="e">
        <f>VLOOKUP(A1,DIV_08Data!$A$1:$DZU$1000000,149,FALSE)</f>
        <v>#N/A</v>
      </c>
      <c r="M9" s="20" t="e">
        <f>VLOOKUP(A1,DIV_08Data!$A$1:$DZU$1000000,150,FALSE)</f>
        <v>#N/A</v>
      </c>
      <c r="N9" s="16" t="e">
        <f>VLOOKUP(A1,DIV_08Data!$A$1:$DZU$1000000,151,FALSE)</f>
        <v>#N/A</v>
      </c>
      <c r="O9" s="20" t="e">
        <f>VLOOKUP(A1,DIV_08Data!$A$1:$DZU$1000000,152,FALSE)</f>
        <v>#N/A</v>
      </c>
      <c r="P9" s="18" t="e">
        <f>VLOOKUP(A1,DIV_08Data!$A$1:$DZU$1000000,153,FALSE)</f>
        <v>#N/A</v>
      </c>
      <c r="Q9" s="20" t="e">
        <f>VLOOKUP(A1,DIV_08Data!$A$1:$DZU$1000000,154,FALSE)</f>
        <v>#N/A</v>
      </c>
    </row>
    <row r="10" spans="1:17" ht="15" thickBot="1" x14ac:dyDescent="0.4">
      <c r="A10" s="22" t="e">
        <f>VLOOKUP(A1,DIV_08Data!$A$1:$DZU$1000000,155,FALSE)</f>
        <v>#N/A</v>
      </c>
      <c r="B10" s="23" t="e">
        <f>VLOOKUP(A1,DIV_08Data!$A$1:$DZU$1000000,156,FALSE)</f>
        <v>#N/A</v>
      </c>
      <c r="C10" s="24" t="e">
        <f>VLOOKUP(A1,DIV_08Data!$A$1:$DZU$1000000,157,FALSE)</f>
        <v>#N/A</v>
      </c>
      <c r="D10" s="25" t="e">
        <f>VLOOKUP(A1,DIV_08Data!$A$1:$DZU$1000000,158,FALSE)</f>
        <v>#N/A</v>
      </c>
      <c r="E10" s="26" t="e">
        <f>VLOOKUP(A1,DIV_08Data!$A$1:$DZU$1000000,159,FALSE)</f>
        <v>#N/A</v>
      </c>
      <c r="F10" s="27" t="e">
        <f>VLOOKUP(A1,DIV_08Data!$A$1:$DZU$1000000,160,FALSE)</f>
        <v>#N/A</v>
      </c>
      <c r="G10" s="28" t="e">
        <f>VLOOKUP(A1,DIV_08Data!$A$1:$DZU$1000000,161,FALSE)</f>
        <v>#N/A</v>
      </c>
      <c r="H10" s="27" t="e">
        <f>VLOOKUP(A1,DIV_08Data!$A$1:$DZU$1000000,162,FALSE)</f>
        <v>#N/A</v>
      </c>
      <c r="I10" s="28" t="e">
        <f>VLOOKUP(A1,DIV_08Data!$A$1:$DZU$1000000,163,FALSE)</f>
        <v>#N/A</v>
      </c>
      <c r="J10" s="27" t="e">
        <f>VLOOKUP(A1,DIV_08Data!$A$1:$DZU$1000000,164,FALSE)</f>
        <v>#N/A</v>
      </c>
      <c r="K10" s="27" t="e">
        <f>VLOOKUP(A1,DIV_08Data!$A$1:$DZU$1000000,165,FALSE)</f>
        <v>#N/A</v>
      </c>
      <c r="L10" s="27" t="e">
        <f>VLOOKUP(A1,DIV_08Data!$A$1:$DZU$1000000,166,FALSE)</f>
        <v>#N/A</v>
      </c>
      <c r="M10" s="28" t="e">
        <f>VLOOKUP(A1,DIV_08Data!$A$1:$DZU$1000000,167,FALSE)</f>
        <v>#N/A</v>
      </c>
      <c r="N10" s="27" t="e">
        <f>VLOOKUP(A1,DIV_08Data!$A$1:$DZU$1000000,168,FALSE)</f>
        <v>#N/A</v>
      </c>
      <c r="O10" s="28" t="e">
        <f>VLOOKUP(A1,DIV_08Data!$A$1:$DZU$1000000,169,FALSE)</f>
        <v>#N/A</v>
      </c>
      <c r="P10" s="25" t="e">
        <f>VLOOKUP(A1,DIV_08Data!$A$1:$DZU$1000000,170,FALSE)</f>
        <v>#N/A</v>
      </c>
      <c r="Q10" s="28" t="e">
        <f>VLOOKUP(A1,DIV_08Data!$A$1:$DZU$1000000,171,FALSE)</f>
        <v>#N/A</v>
      </c>
    </row>
    <row r="11" spans="1:17" x14ac:dyDescent="0.35">
      <c r="A11" s="22" t="e">
        <f>VLOOKUP(A1,DIV_08Data!$A$1:$DZU$1000000,172,FALSE)</f>
        <v>#N/A</v>
      </c>
      <c r="B11" s="29" t="e">
        <f>VLOOKUP(A1,DIV_08Data!$A$1:$DZU$1000000,173,FALSE)</f>
        <v>#N/A</v>
      </c>
      <c r="C11" s="30" t="e">
        <f>VLOOKUP(A1,DIV_08Data!$A$1:$DZU$1000000,174,FALSE)</f>
        <v>#N/A</v>
      </c>
      <c r="D11" s="31" t="e">
        <f>VLOOKUP(A1,DIV_08Data!$A$1:$DZU$1000000,175,FALSE)</f>
        <v>#N/A</v>
      </c>
      <c r="E11" s="32" t="e">
        <f>VLOOKUP(A1,DIV_08Data!$A$1:$DZU$1000000,176,FALSE)</f>
        <v>#N/A</v>
      </c>
      <c r="F11" s="34" t="e">
        <f>VLOOKUP(A1,DIV_08Data!$A$1:$DZU$1000000,177,FALSE)</f>
        <v>#N/A</v>
      </c>
      <c r="G11" s="33" t="e">
        <f>VLOOKUP(A1,DIV_08Data!$A$1:$DZU$1000000,178,FALSE)</f>
        <v>#N/A</v>
      </c>
      <c r="H11" s="34" t="e">
        <f>VLOOKUP(A1,DIV_08Data!$A$1:$DZU$1000000,179,FALSE)</f>
        <v>#N/A</v>
      </c>
      <c r="I11" s="33" t="e">
        <f>VLOOKUP(A1,DIV_08Data!$A$1:$DZU$1000000,180,FALSE)</f>
        <v>#N/A</v>
      </c>
      <c r="J11" s="34" t="e">
        <f>VLOOKUP(A1,DIV_08Data!$A$1:$DZU$1000000,181,FALSE)</f>
        <v>#N/A</v>
      </c>
      <c r="K11" s="34" t="e">
        <f>VLOOKUP(A1,DIV_08Data!$A$1:$DZU$1000000,182,FALSE)</f>
        <v>#N/A</v>
      </c>
      <c r="L11" s="34" t="e">
        <f>VLOOKUP(A1,DIV_08Data!$A$1:$DZU$1000000,183,FALSE)</f>
        <v>#N/A</v>
      </c>
      <c r="M11" s="33" t="e">
        <f>VLOOKUP(A1,DIV_08Data!$A$1:$DZU$1000000,184,FALSE)</f>
        <v>#N/A</v>
      </c>
      <c r="N11" s="34" t="e">
        <f>VLOOKUP(A1,DIV_08Data!$A$1:$DZU$1000000,185,FALSE)</f>
        <v>#N/A</v>
      </c>
      <c r="O11" s="35" t="e">
        <f>VLOOKUP(A1,DIV_08Data!$A$1:$DZU$1000000,186,FALSE)</f>
        <v>#N/A</v>
      </c>
      <c r="P11" s="31" t="e">
        <f>VLOOKUP(A1,DIV_08Data!$A$1:$DZU$1000000,187,FALSE)</f>
        <v>#N/A</v>
      </c>
      <c r="Q11" s="35" t="e">
        <f>VLOOKUP(A1,DIV_08Data!$A$1:$DZU$1000000,188,FALSE)</f>
        <v>#N/A</v>
      </c>
    </row>
    <row r="12" spans="1:17" x14ac:dyDescent="0.35">
      <c r="A12" s="22" t="e">
        <f>VLOOKUP(A1,DIV_08Data!$A$1:$DZU$1000000,189,FALSE)</f>
        <v>#N/A</v>
      </c>
      <c r="B12" s="29" t="e">
        <f>VLOOKUP(A1,DIV_08Data!$A$1:$DZU$1000000,190,FALSE)</f>
        <v>#N/A</v>
      </c>
      <c r="C12" s="30" t="e">
        <f>VLOOKUP(A1,DIV_08Data!$A$1:$DZU$1000000,191,FALSE)</f>
        <v>#N/A</v>
      </c>
      <c r="D12" s="31" t="e">
        <f>VLOOKUP(A1,DIV_08Data!$A$1:$DZU$1000000,192,FALSE)</f>
        <v>#N/A</v>
      </c>
      <c r="E12" s="32" t="e">
        <f>VLOOKUP(A1,DIV_08Data!$A$1:$DZU$1000000,193,FALSE)</f>
        <v>#N/A</v>
      </c>
      <c r="F12" s="34" t="e">
        <f>VLOOKUP(A1,DIV_08Data!$A$1:$DZU$1000000,194,FALSE)</f>
        <v>#N/A</v>
      </c>
      <c r="G12" s="33" t="e">
        <f>VLOOKUP(A1,DIV_08Data!$A$1:$DZU$1000000,195,FALSE)</f>
        <v>#N/A</v>
      </c>
      <c r="H12" s="34" t="e">
        <f>VLOOKUP(A1,DIV_08Data!$A$1:$DZU$1000000,196,FALSE)</f>
        <v>#N/A</v>
      </c>
      <c r="I12" s="33" t="e">
        <f>VLOOKUP(A1,DIV_08Data!$A$1:$DZU$1000000,197,FALSE)</f>
        <v>#N/A</v>
      </c>
      <c r="J12" s="34" t="e">
        <f>VLOOKUP(A1,DIV_08Data!$A$1:$DZU$1000000,198,FALSE)</f>
        <v>#N/A</v>
      </c>
      <c r="K12" s="34" t="e">
        <f>VLOOKUP(A1,DIV_08Data!$A$1:$DZU$1000000,199,FALSE)</f>
        <v>#N/A</v>
      </c>
      <c r="L12" s="34" t="e">
        <f>VLOOKUP(A1,DIV_08Data!$A$1:$DZU$1000000,200,FALSE)</f>
        <v>#N/A</v>
      </c>
      <c r="M12" s="33" t="e">
        <f>VLOOKUP(A1,DIV_08Data!$A$1:$DZU$1000000,201,FALSE)</f>
        <v>#N/A</v>
      </c>
      <c r="N12" s="34" t="e">
        <f>VLOOKUP(A1,DIV_08Data!$A$1:$DZU$1000000,202,FALSE)</f>
        <v>#N/A</v>
      </c>
      <c r="O12" s="35" t="e">
        <f>VLOOKUP(A1,DIV_08Data!$A$1:$DZU$1000000,203,FALSE)</f>
        <v>#N/A</v>
      </c>
      <c r="P12" s="31" t="e">
        <f>VLOOKUP(A1,DIV_08Data!$A$1:$DZU$1000000,204,FALSE)</f>
        <v>#N/A</v>
      </c>
      <c r="Q12" s="35" t="e">
        <f>VLOOKUP(A1,DIV_08Data!$A$1:$DZU$1000000,205,FALSE)</f>
        <v>#N/A</v>
      </c>
    </row>
    <row r="13" spans="1:17" x14ac:dyDescent="0.35">
      <c r="A13" s="22" t="e">
        <f>VLOOKUP(A1,DIV_08Data!$A$1:$DZU$1000000,206,FALSE)</f>
        <v>#N/A</v>
      </c>
      <c r="B13" s="37" t="e">
        <f>VLOOKUP(A1,DIV_08Data!$A$1:$DZU$1000000,207,FALSE)</f>
        <v>#N/A</v>
      </c>
      <c r="C13" s="38" t="e">
        <f>VLOOKUP(A1,DIV_08Data!$A$1:$DZU$1000000,208,FALSE)</f>
        <v>#N/A</v>
      </c>
      <c r="D13" s="31" t="e">
        <f>VLOOKUP(A1,DIV_08Data!$A$1:$DZU$1000000,209,FALSE)</f>
        <v>#N/A</v>
      </c>
      <c r="E13" s="32" t="e">
        <f>VLOOKUP(A1,DIV_08Data!$A$1:$DZU$1000000,210,FALSE)</f>
        <v>#N/A</v>
      </c>
      <c r="F13" s="93" t="e">
        <f>VLOOKUP(A1,DIV_08Data!$A$1:$DZU$1000000,211,FALSE)</f>
        <v>#N/A</v>
      </c>
      <c r="G13" s="33" t="e">
        <f>VLOOKUP(A1,DIV_08Data!$A$1:$DZU$1000000,212,FALSE)</f>
        <v>#N/A</v>
      </c>
      <c r="H13" s="93" t="e">
        <f>VLOOKUP(A1,DIV_08Data!$A$1:$DZU$1000000,213,FALSE)</f>
        <v>#N/A</v>
      </c>
      <c r="I13" s="33" t="e">
        <f>VLOOKUP(A1,DIV_08Data!$A$1:$DZU$1000000,214,FALSE)</f>
        <v>#N/A</v>
      </c>
      <c r="J13" s="34" t="e">
        <f>VLOOKUP(A1,DIV_08Data!$A$1:$DZU$1000000,215,FALSE)</f>
        <v>#N/A</v>
      </c>
      <c r="K13" s="34" t="e">
        <f>VLOOKUP(A1,DIV_08Data!$A$1:$DZU$1000000,216,FALSE)</f>
        <v>#N/A</v>
      </c>
      <c r="L13" s="93" t="e">
        <f>VLOOKUP(A1,DIV_08Data!$A$1:$DZU$1000000,217,FALSE)</f>
        <v>#N/A</v>
      </c>
      <c r="M13" s="33" t="e">
        <f>VLOOKUP(A1,DIV_08Data!$A$1:$DZU$1000000,218,FALSE)</f>
        <v>#N/A</v>
      </c>
      <c r="N13" s="93" t="e">
        <f>VLOOKUP(A1,DIV_08Data!$A$1:$DZU$1000000,219,FALSE)</f>
        <v>#N/A</v>
      </c>
      <c r="O13" s="33" t="e">
        <f>VLOOKUP(A1,DIV_08Data!$A$1:$DZU$1000000,220,FALSE)</f>
        <v>#N/A</v>
      </c>
      <c r="P13" s="46" t="e">
        <f>VLOOKUP(A1,DIV_08Data!$A$1:$DZU$1000000,221,FALSE)</f>
        <v>#N/A</v>
      </c>
      <c r="Q13" s="33" t="e">
        <f>VLOOKUP(A1,DIV_08Data!$A$1:$DZU$1000000,222,FALSE)</f>
        <v>#N/A</v>
      </c>
    </row>
    <row r="14" spans="1:17" x14ac:dyDescent="0.35">
      <c r="A14" s="22" t="e">
        <f>VLOOKUP(A1,DIV_08Data!$A$1:$DZU$1000000,223,FALSE)</f>
        <v>#N/A</v>
      </c>
      <c r="B14" s="37" t="e">
        <f>VLOOKUP(A1,DIV_08Data!$A$1:$DZU$1000000,224,FALSE)</f>
        <v>#N/A</v>
      </c>
      <c r="C14" s="38" t="e">
        <f>VLOOKUP(A1,DIV_08Data!$A$1:$DZU$1000000,225,FALSE)</f>
        <v>#N/A</v>
      </c>
      <c r="D14" s="31" t="e">
        <f>VLOOKUP(A1,DIV_08Data!$A$1:$DZU$1000000,226,FALSE)</f>
        <v>#N/A</v>
      </c>
      <c r="E14" s="32" t="e">
        <f>VLOOKUP(A1,DIV_08Data!$A$1:$DZU$1000000,227,FALSE)</f>
        <v>#N/A</v>
      </c>
      <c r="F14" s="34" t="e">
        <f>VLOOKUP(A1,DIV_08Data!$A$1:$DZU$1000000,228,FALSE)</f>
        <v>#N/A</v>
      </c>
      <c r="G14" s="33" t="e">
        <f>VLOOKUP(A1,DIV_08Data!$A$1:$DZU$1000000,229,FALSE)</f>
        <v>#N/A</v>
      </c>
      <c r="H14" s="34" t="e">
        <f>VLOOKUP(A1,DIV_08Data!$A$1:$DZU$1000000,230,FALSE)</f>
        <v>#N/A</v>
      </c>
      <c r="I14" s="33" t="e">
        <f>VLOOKUP(A1,DIV_08Data!$A$1:$DZU$1000000,231,FALSE)</f>
        <v>#N/A</v>
      </c>
      <c r="J14" s="34" t="e">
        <f>VLOOKUP(A1,DIV_08Data!$A$1:$DZU$1000000,232,FALSE)</f>
        <v>#N/A</v>
      </c>
      <c r="K14" s="34" t="e">
        <f>VLOOKUP(A1,DIV_08Data!$A$1:$DZU$1000000,233,FALSE)</f>
        <v>#N/A</v>
      </c>
      <c r="L14" s="34" t="e">
        <f>VLOOKUP(A1,DIV_08Data!$A$1:$DZU$1000000,234,FALSE)</f>
        <v>#N/A</v>
      </c>
      <c r="M14" s="33" t="e">
        <f>VLOOKUP(A1,DIV_08Data!$A$1:$DZU$1000000,235,FALSE)</f>
        <v>#N/A</v>
      </c>
      <c r="N14" s="34" t="e">
        <f>VLOOKUP(A1,DIV_08Data!$A$1:$DZU$1000000,236,FALSE)</f>
        <v>#N/A</v>
      </c>
      <c r="O14" s="33" t="e">
        <f>VLOOKUP(A1,DIV_08Data!$A$1:$DZU$1000000,237,FALSE)</f>
        <v>#N/A</v>
      </c>
      <c r="P14" s="46" t="e">
        <f>VLOOKUP(A1,DIV_08Data!$A$1:$DZU$1000000,238,FALSE)</f>
        <v>#N/A</v>
      </c>
      <c r="Q14" s="33" t="e">
        <f>VLOOKUP(A1,DIV_08Data!$A$1:$DZU$1000000,239,FALSE)</f>
        <v>#N/A</v>
      </c>
    </row>
    <row r="15" spans="1:17" x14ac:dyDescent="0.35">
      <c r="A15" s="22" t="e">
        <f>VLOOKUP(A1,DIV_08Data!$A$1:$DZU$1000000,240,FALSE)</f>
        <v>#N/A</v>
      </c>
      <c r="B15" s="37" t="e">
        <f>VLOOKUP(A1,DIV_08Data!$A$1:$DZU$1000000,241,FALSE)</f>
        <v>#N/A</v>
      </c>
      <c r="C15" s="38" t="e">
        <f>VLOOKUP(A1,DIV_08Data!$A$1:$DZU$1000000,242,FALSE)</f>
        <v>#N/A</v>
      </c>
      <c r="D15" s="31" t="e">
        <f>VLOOKUP(A1,DIV_08Data!$A$1:$DZU$1000000,243,FALSE)</f>
        <v>#N/A</v>
      </c>
      <c r="E15" s="32" t="e">
        <f>VLOOKUP(A1,DIV_08Data!$A$1:$DZU$1000000,244,FALSE)</f>
        <v>#N/A</v>
      </c>
      <c r="F15" s="34" t="e">
        <f>VLOOKUP(A1,DIV_08Data!$A$1:$DZU$1000000,245,FALSE)</f>
        <v>#N/A</v>
      </c>
      <c r="G15" s="33" t="e">
        <f>VLOOKUP(A1,DIV_08Data!$A$1:$DZU$1000000,246,FALSE)</f>
        <v>#N/A</v>
      </c>
      <c r="H15" s="34" t="e">
        <f>VLOOKUP(A1,DIV_08Data!$A$1:$DZU$1000000,247,FALSE)</f>
        <v>#N/A</v>
      </c>
      <c r="I15" s="33" t="e">
        <f>VLOOKUP(A1,DIV_08Data!$A$1:$DZU$1000000,248,FALSE)</f>
        <v>#N/A</v>
      </c>
      <c r="J15" s="34" t="e">
        <f>VLOOKUP(A1,DIV_08Data!$A$1:$DZU$1000000,249,FALSE)</f>
        <v>#N/A</v>
      </c>
      <c r="K15" s="34" t="e">
        <f>VLOOKUP(A1,DIV_08Data!$A$1:$DZU$1000000,250,FALSE)</f>
        <v>#N/A</v>
      </c>
      <c r="L15" s="34" t="e">
        <f>VLOOKUP(A1,DIV_08Data!$A$1:$DZU$1000000,251,FALSE)</f>
        <v>#N/A</v>
      </c>
      <c r="M15" s="33" t="e">
        <f>VLOOKUP(A1,DIV_08Data!$A$1:$DZU$1000000,252,FALSE)</f>
        <v>#N/A</v>
      </c>
      <c r="N15" s="34" t="e">
        <f>VLOOKUP(A1,DIV_08Data!$A$1:$DZU$1000000,253,FALSE)</f>
        <v>#N/A</v>
      </c>
      <c r="O15" s="33" t="e">
        <f>VLOOKUP(A1,DIV_08Data!$A$1:$DZU$1000000,254,FALSE)</f>
        <v>#N/A</v>
      </c>
      <c r="P15" s="31" t="e">
        <f>VLOOKUP(A1,DIV_08Data!$A$1:$DZU$1000000,255,FALSE)</f>
        <v>#N/A</v>
      </c>
      <c r="Q15" s="33" t="e">
        <f>VLOOKUP(A1,DIV_08Data!$A$1:$DZU$1000000,256,FALSE)</f>
        <v>#N/A</v>
      </c>
    </row>
    <row r="16" spans="1:17" x14ac:dyDescent="0.35">
      <c r="A16" s="22" t="e">
        <f>VLOOKUP(A1,DIV_08Data!$A$1:$DZU$1000000,257,FALSE)</f>
        <v>#N/A</v>
      </c>
      <c r="B16" s="37" t="e">
        <f>VLOOKUP(A1,DIV_08Data!$A$1:$DZU$1000000,258,FALSE)</f>
        <v>#N/A</v>
      </c>
      <c r="C16" s="38" t="e">
        <f>VLOOKUP(A1,DIV_08Data!$A$1:$DZU$1000000,259,FALSE)</f>
        <v>#N/A</v>
      </c>
      <c r="D16" s="31" t="e">
        <f>VLOOKUP(A1,DIV_08Data!$A$1:$DZU$1000000,260,FALSE)</f>
        <v>#N/A</v>
      </c>
      <c r="E16" s="32" t="e">
        <f>VLOOKUP(A1,DIV_08Data!$A$1:$DZU$1000000,261,FALSE)</f>
        <v>#N/A</v>
      </c>
      <c r="F16" s="34" t="e">
        <f>VLOOKUP(A1,DIV_08Data!$A$1:$DZU$1000000,262,FALSE)</f>
        <v>#N/A</v>
      </c>
      <c r="G16" s="33" t="e">
        <f>VLOOKUP(A1,DIV_08Data!$A$1:$DZU$1000000,263,FALSE)</f>
        <v>#N/A</v>
      </c>
      <c r="H16" s="34" t="e">
        <f>VLOOKUP(A1,DIV_08Data!$A$1:$DZU$1000000,264,FALSE)</f>
        <v>#N/A</v>
      </c>
      <c r="I16" s="33" t="e">
        <f>VLOOKUP(A1,DIV_08Data!$A$1:$DZU$1000000,265,FALSE)</f>
        <v>#N/A</v>
      </c>
      <c r="J16" s="34" t="e">
        <f>VLOOKUP(A1,DIV_08Data!$A$1:$DZU$1000000,266,FALSE)</f>
        <v>#N/A</v>
      </c>
      <c r="K16" s="34" t="e">
        <f>VLOOKUP(A1,DIV_08Data!$A$1:$DZU$1000000,267,FALSE)</f>
        <v>#N/A</v>
      </c>
      <c r="L16" s="93" t="e">
        <f>VLOOKUP(A1,DIV_08Data!$A$1:$DZU$1000000,268,FALSE)</f>
        <v>#N/A</v>
      </c>
      <c r="M16" s="33" t="e">
        <f>VLOOKUP(A1,DIV_08Data!$A$1:$DZU$1000000,269,FALSE)</f>
        <v>#N/A</v>
      </c>
      <c r="N16" s="34" t="e">
        <f>VLOOKUP(A1,DIV_08Data!$A$1:$DZU$1000000,270,FALSE)</f>
        <v>#N/A</v>
      </c>
      <c r="O16" s="33" t="e">
        <f>VLOOKUP(A1,DIV_08Data!$A$1:$DZU$1000000,271,FALSE)</f>
        <v>#N/A</v>
      </c>
      <c r="P16" s="46" t="e">
        <f>VLOOKUP(A1,DIV_08Data!$A$1:$DZU$1000000,272,FALSE)</f>
        <v>#N/A</v>
      </c>
      <c r="Q16" s="33" t="e">
        <f>VLOOKUP(A1,DIV_08Data!$A$1:$DZU$1000000,273,FALSE)</f>
        <v>#N/A</v>
      </c>
    </row>
    <row r="17" spans="1:17" x14ac:dyDescent="0.35">
      <c r="A17" s="22" t="e">
        <f>VLOOKUP(A1,DIV_08Data!$A$1:$DZU$1000000,274,FALSE)</f>
        <v>#N/A</v>
      </c>
      <c r="B17" s="37" t="e">
        <f>VLOOKUP(A1,DIV_08Data!$A$1:$DZU$1000000,275,FALSE)</f>
        <v>#N/A</v>
      </c>
      <c r="C17" s="38" t="e">
        <f>VLOOKUP(A1,DIV_08Data!$A$1:$DZU$1000000,276,FALSE)</f>
        <v>#N/A</v>
      </c>
      <c r="D17" s="31" t="e">
        <f>VLOOKUP(A1,DIV_08Data!$A$1:$DZU$1000000,277,FALSE)</f>
        <v>#N/A</v>
      </c>
      <c r="E17" s="32" t="e">
        <f>VLOOKUP(A1,DIV_08Data!$A$1:$DZU$1000000,278,FALSE)</f>
        <v>#N/A</v>
      </c>
      <c r="F17" s="34" t="e">
        <f>VLOOKUP(A1,DIV_08Data!$A$1:$DZU$1000000,279,FALSE)</f>
        <v>#N/A</v>
      </c>
      <c r="G17" s="33" t="e">
        <f>VLOOKUP(A1,DIV_08Data!$A$1:$DZU$1000000,280,FALSE)</f>
        <v>#N/A</v>
      </c>
      <c r="H17" s="34" t="e">
        <f>VLOOKUP(A1,DIV_08Data!$A$1:$DZU$1000000,281,FALSE)</f>
        <v>#N/A</v>
      </c>
      <c r="I17" s="33" t="e">
        <f>VLOOKUP(A1,DIV_08Data!$A$1:$DZU$1000000,282,FALSE)</f>
        <v>#N/A</v>
      </c>
      <c r="J17" s="34" t="e">
        <f>VLOOKUP(A1,DIV_08Data!$A$1:$DZU$1000000,283,FALSE)</f>
        <v>#N/A</v>
      </c>
      <c r="K17" s="34" t="e">
        <f>VLOOKUP(A1,DIV_08Data!$A$1:$DZU$1000000,284,FALSE)</f>
        <v>#N/A</v>
      </c>
      <c r="L17" s="93" t="e">
        <f>VLOOKUP(A1,DIV_08Data!$A$1:$DZU$1000000,285,FALSE)</f>
        <v>#N/A</v>
      </c>
      <c r="M17" s="33" t="e">
        <f>VLOOKUP(A1,DIV_08Data!$A$1:$DZU$1000000,286,FALSE)</f>
        <v>#N/A</v>
      </c>
      <c r="N17" s="34" t="e">
        <f>VLOOKUP(A1,DIV_08Data!$A$1:$DZU$1000000,287,FALSE)</f>
        <v>#N/A</v>
      </c>
      <c r="O17" s="33" t="e">
        <f>VLOOKUP(A1,DIV_08Data!$A$1:$DZU$1000000,288,FALSE)</f>
        <v>#N/A</v>
      </c>
      <c r="P17" s="46" t="e">
        <f>VLOOKUP(A1,DIV_08Data!$A$1:$DZU$1000000,289,FALSE)</f>
        <v>#N/A</v>
      </c>
      <c r="Q17" s="33" t="e">
        <f>VLOOKUP(A1,DIV_08Data!$A$1:$DZU$1000000,290,FALSE)</f>
        <v>#N/A</v>
      </c>
    </row>
    <row r="18" spans="1:17" x14ac:dyDescent="0.35">
      <c r="A18" s="22" t="e">
        <f>VLOOKUP(A1,DIV_08Data!$A$1:$DZU$1000000,291,FALSE)</f>
        <v>#N/A</v>
      </c>
      <c r="B18" s="37" t="e">
        <f>VLOOKUP(A1,DIV_08Data!$A$1:$DZU$1000000,292,FALSE)</f>
        <v>#N/A</v>
      </c>
      <c r="C18" s="38" t="e">
        <f>VLOOKUP(A1,DIV_08Data!$A$1:$DZU$1000000,293,FALSE)</f>
        <v>#N/A</v>
      </c>
      <c r="D18" s="31" t="e">
        <f>VLOOKUP(A1,DIV_08Data!$A$1:$DZU$1000000,294,FALSE)</f>
        <v>#N/A</v>
      </c>
      <c r="E18" s="32" t="e">
        <f>VLOOKUP(A1,DIV_08Data!$A$1:$DZU$1000000,295,FALSE)</f>
        <v>#N/A</v>
      </c>
      <c r="F18" s="34" t="e">
        <f>VLOOKUP(A1,DIV_08Data!$A$1:$DZU$1000000,296,FALSE)</f>
        <v>#N/A</v>
      </c>
      <c r="G18" s="33" t="e">
        <f>VLOOKUP(A1,DIV_08Data!$A$1:$DZU$1000000,297,FALSE)</f>
        <v>#N/A</v>
      </c>
      <c r="H18" s="34" t="e">
        <f>VLOOKUP(A1,DIV_08Data!$A$1:$DZU$1000000,298,FALSE)</f>
        <v>#N/A</v>
      </c>
      <c r="I18" s="33" t="e">
        <f>VLOOKUP(A1,DIV_08Data!$A$1:$DZU$1000000,299,FALSE)</f>
        <v>#N/A</v>
      </c>
      <c r="J18" s="34" t="e">
        <f>VLOOKUP(A1,DIV_08Data!$A$1:$DZU$1000000,300,FALSE)</f>
        <v>#N/A</v>
      </c>
      <c r="K18" s="34" t="e">
        <f>VLOOKUP(A1,DIV_08Data!$A$1:$DZU$1000000,301,FALSE)</f>
        <v>#N/A</v>
      </c>
      <c r="L18" s="93" t="e">
        <f>VLOOKUP(A1,DIV_08Data!$A$1:$DZU$1000000,302,FALSE)</f>
        <v>#N/A</v>
      </c>
      <c r="M18" s="33" t="e">
        <f>VLOOKUP(A1,DIV_08Data!$A$1:$DZU$1000000,303,FALSE)</f>
        <v>#N/A</v>
      </c>
      <c r="N18" s="34" t="e">
        <f>VLOOKUP(A1,DIV_08Data!$A$1:$DZU$1000000,304,FALSE)</f>
        <v>#N/A</v>
      </c>
      <c r="O18" s="33" t="e">
        <f>VLOOKUP(A1,DIV_08Data!$A$1:$DZU$1000000,305,FALSE)</f>
        <v>#N/A</v>
      </c>
      <c r="P18" s="46" t="e">
        <f>VLOOKUP(A1,DIV_08Data!$A$1:$DZU$1000000,306,FALSE)</f>
        <v>#N/A</v>
      </c>
      <c r="Q18" s="33" t="e">
        <f>VLOOKUP(A1,DIV_08Data!$A$1:$DZU$1000000,307,FALSE)</f>
        <v>#N/A</v>
      </c>
    </row>
    <row r="19" spans="1:17" x14ac:dyDescent="0.35">
      <c r="A19" s="22" t="e">
        <f>VLOOKUP(A1,DIV_08Data!$A$1:$DZU$1000000,308,FALSE)</f>
        <v>#N/A</v>
      </c>
      <c r="B19" s="37" t="e">
        <f>VLOOKUP(A1,DIV_08Data!$A$1:$DZU$1000000,309,FALSE)</f>
        <v>#N/A</v>
      </c>
      <c r="C19" s="38" t="e">
        <f>VLOOKUP(A1,DIV_08Data!$A$1:$DZU$1000000,310,FALSE)</f>
        <v>#N/A</v>
      </c>
      <c r="D19" s="31" t="e">
        <f>VLOOKUP(A1,DIV_08Data!$A$1:$DZU$1000000,311,FALSE)</f>
        <v>#N/A</v>
      </c>
      <c r="E19" s="32" t="e">
        <f>VLOOKUP(A1,DIV_08Data!$A$1:$DZU$1000000,312,FALSE)</f>
        <v>#N/A</v>
      </c>
      <c r="F19" s="34" t="e">
        <f>VLOOKUP(A1,DIV_08Data!$A$1:$DZU$1000000,313,FALSE)</f>
        <v>#N/A</v>
      </c>
      <c r="G19" s="33" t="e">
        <f>VLOOKUP(A1,DIV_08Data!$A$1:$DZU$1000000,314,FALSE)</f>
        <v>#N/A</v>
      </c>
      <c r="H19" s="34" t="e">
        <f>VLOOKUP(A1,DIV_08Data!$A$1:$DZU$1000000,315,FALSE)</f>
        <v>#N/A</v>
      </c>
      <c r="I19" s="33" t="e">
        <f>VLOOKUP(A1,DIV_08Data!$A$1:$DZU$1000000,316,FALSE)</f>
        <v>#N/A</v>
      </c>
      <c r="J19" s="34" t="e">
        <f>VLOOKUP(A1,DIV_08Data!$A$1:$DZU$1000000,317,FALSE)</f>
        <v>#N/A</v>
      </c>
      <c r="K19" s="34" t="e">
        <f>VLOOKUP(A1,DIV_08Data!$A$1:$DZU$1000000,318,FALSE)</f>
        <v>#N/A</v>
      </c>
      <c r="L19" s="93" t="e">
        <f>VLOOKUP(A1,DIV_08Data!$A$1:$DZU$1000000,319,FALSE)</f>
        <v>#N/A</v>
      </c>
      <c r="M19" s="33" t="e">
        <f>VLOOKUP(A1,DIV_08Data!$A$1:$DZU$1000000,320,FALSE)</f>
        <v>#N/A</v>
      </c>
      <c r="N19" s="34" t="e">
        <f>VLOOKUP(A1,DIV_08Data!$A$1:$DZU$1000000,321,FALSE)</f>
        <v>#N/A</v>
      </c>
      <c r="O19" s="33" t="e">
        <f>VLOOKUP(A1,DIV_08Data!$A$1:$DZU$1000000,322,FALSE)</f>
        <v>#N/A</v>
      </c>
      <c r="P19" s="46" t="e">
        <f>VLOOKUP(A1,DIV_08Data!$A$1:$DZU$1000000,323,FALSE)</f>
        <v>#N/A</v>
      </c>
      <c r="Q19" s="33" t="e">
        <f>VLOOKUP(A1,DIV_08Data!$A$1:$DZU$1000000,324,FALSE)</f>
        <v>#N/A</v>
      </c>
    </row>
    <row r="20" spans="1:17" x14ac:dyDescent="0.35">
      <c r="A20" s="22" t="e">
        <f>VLOOKUP(A1,DIV_08Data!$A$1:$DZU$1000000,325,FALSE)</f>
        <v>#N/A</v>
      </c>
      <c r="B20" s="37" t="e">
        <f>VLOOKUP(A1,DIV_08Data!$A$1:$DZU$1000000,326,FALSE)</f>
        <v>#N/A</v>
      </c>
      <c r="C20" s="38" t="e">
        <f>VLOOKUP(A1,DIV_08Data!$A$1:$DZU$1000000,327,FALSE)</f>
        <v>#N/A</v>
      </c>
      <c r="D20" s="31" t="e">
        <f>VLOOKUP(A1,DIV_08Data!$A$1:$DZU$1000000,328,FALSE)</f>
        <v>#N/A</v>
      </c>
      <c r="E20" s="32" t="e">
        <f>VLOOKUP(A1,DIV_08Data!$A$1:$DZU$1000000,329,FALSE)</f>
        <v>#N/A</v>
      </c>
      <c r="F20" s="34" t="e">
        <f>VLOOKUP(A1,DIV_08Data!$A$1:$DZU$1000000,330,FALSE)</f>
        <v>#N/A</v>
      </c>
      <c r="G20" s="33" t="e">
        <f>VLOOKUP(A1,DIV_08Data!$A$1:$DZU$1000000,331,FALSE)</f>
        <v>#N/A</v>
      </c>
      <c r="H20" s="34" t="e">
        <f>VLOOKUP(A1,DIV_08Data!$A$1:$DZU$1000000,332,FALSE)</f>
        <v>#N/A</v>
      </c>
      <c r="I20" s="33" t="e">
        <f>VLOOKUP(A1,DIV_08Data!$A$1:$DZU$1000000,333,FALSE)</f>
        <v>#N/A</v>
      </c>
      <c r="J20" s="34" t="e">
        <f>VLOOKUP(A1,DIV_08Data!$A$1:$DZU$1000000,334,FALSE)</f>
        <v>#N/A</v>
      </c>
      <c r="K20" s="34" t="e">
        <f>VLOOKUP(A1,DIV_08Data!$A$1:$DZU$1000000,335,FALSE)</f>
        <v>#N/A</v>
      </c>
      <c r="L20" s="93" t="e">
        <f>VLOOKUP(A1,DIV_08Data!$A$1:$DZU$1000000,336,FALSE)</f>
        <v>#N/A</v>
      </c>
      <c r="M20" s="33" t="e">
        <f>VLOOKUP(A1,DIV_08Data!$A$1:$DZU$1000000,337,FALSE)</f>
        <v>#N/A</v>
      </c>
      <c r="N20" s="34" t="e">
        <f>VLOOKUP(A1,DIV_08Data!$A$1:$DZU$1000000,338,FALSE)</f>
        <v>#N/A</v>
      </c>
      <c r="O20" s="33" t="e">
        <f>VLOOKUP(A1,DIV_08Data!$A$1:$DZU$1000000,339,FALSE)</f>
        <v>#N/A</v>
      </c>
      <c r="P20" s="46" t="e">
        <f>VLOOKUP(A1,DIV_08Data!$A$1:$DZU$1000000,340,FALSE)</f>
        <v>#N/A</v>
      </c>
      <c r="Q20" s="33" t="e">
        <f>VLOOKUP(A1,DIV_08Data!$A$1:$DZU$1000000,341,FALSE)</f>
        <v>#N/A</v>
      </c>
    </row>
    <row r="21" spans="1:17" x14ac:dyDescent="0.35">
      <c r="A21" s="22" t="e">
        <f>VLOOKUP(A1,DIV_08Data!$A$1:$DZU$1000000,342,FALSE)</f>
        <v>#N/A</v>
      </c>
      <c r="B21" s="37" t="e">
        <f>VLOOKUP(A1,DIV_08Data!$A$1:$DZU$1000000,343,FALSE)</f>
        <v>#N/A</v>
      </c>
      <c r="C21" s="38" t="e">
        <f>VLOOKUP(A1,DIV_08Data!$A$1:$DZU$1000000,344,FALSE)</f>
        <v>#N/A</v>
      </c>
      <c r="D21" s="31" t="e">
        <f>VLOOKUP(A1,DIV_08Data!$A$1:$DZU$1000000,345,FALSE)</f>
        <v>#N/A</v>
      </c>
      <c r="E21" s="32" t="e">
        <f>VLOOKUP(A1,DIV_08Data!$A$1:$DZU$1000000,346,FALSE)</f>
        <v>#N/A</v>
      </c>
      <c r="F21" s="34" t="e">
        <f>VLOOKUP(A1,DIV_08Data!$A$1:$DZU$1000000,347,FALSE)</f>
        <v>#N/A</v>
      </c>
      <c r="G21" s="33" t="e">
        <f>VLOOKUP(A1,DIV_08Data!$A$1:$DZU$1000000,348,FALSE)</f>
        <v>#N/A</v>
      </c>
      <c r="H21" s="34" t="e">
        <f>VLOOKUP(A1,DIV_08Data!$A$1:$DZU$1000000,349,FALSE)</f>
        <v>#N/A</v>
      </c>
      <c r="I21" s="33" t="e">
        <f>VLOOKUP(A1,DIV_08Data!$A$1:$DZU$1000000,350,FALSE)</f>
        <v>#N/A</v>
      </c>
      <c r="J21" s="34" t="e">
        <f>VLOOKUP(A1,DIV_08Data!$A$1:$DZU$1000000,351,FALSE)</f>
        <v>#N/A</v>
      </c>
      <c r="K21" s="34" t="e">
        <f>VLOOKUP(A1,DIV_08Data!$A$1:$DZU$1000000,352,FALSE)</f>
        <v>#N/A</v>
      </c>
      <c r="L21" s="93" t="e">
        <f>VLOOKUP(A1,DIV_08Data!$A$1:$DZU$1000000,353,FALSE)</f>
        <v>#N/A</v>
      </c>
      <c r="M21" s="33" t="e">
        <f>VLOOKUP(A1,DIV_08Data!$A$1:$DZU$1000000,354,FALSE)</f>
        <v>#N/A</v>
      </c>
      <c r="N21" s="34" t="e">
        <f>VLOOKUP(A1,DIV_08Data!$A$1:$DZU$1000000,355,FALSE)</f>
        <v>#N/A</v>
      </c>
      <c r="O21" s="33" t="e">
        <f>VLOOKUP(A1,DIV_08Data!$A$1:$DZU$1000000,356,FALSE)</f>
        <v>#N/A</v>
      </c>
      <c r="P21" s="46" t="e">
        <f>VLOOKUP(A1,DIV_08Data!$A$1:$DZU$1000000,357,FALSE)</f>
        <v>#N/A</v>
      </c>
      <c r="Q21" s="33" t="e">
        <f>VLOOKUP(A1,DIV_08Data!$A$1:$DZU$1000000,358,FALSE)</f>
        <v>#N/A</v>
      </c>
    </row>
    <row r="22" spans="1:17" x14ac:dyDescent="0.35">
      <c r="A22" s="22" t="e">
        <f>VLOOKUP(A1,DIV_08Data!$A$1:$DZU$1000000,359,FALSE)</f>
        <v>#N/A</v>
      </c>
      <c r="B22" s="37" t="e">
        <f>VLOOKUP(A1,DIV_08Data!$A$1:$DZU$1000000,360,FALSE)</f>
        <v>#N/A</v>
      </c>
      <c r="C22" s="38" t="e">
        <f>VLOOKUP(A1,DIV_08Data!$A$1:$DZU$1000000,361,FALSE)</f>
        <v>#N/A</v>
      </c>
      <c r="D22" s="31" t="e">
        <f>VLOOKUP(A1,DIV_08Data!$A$1:$DZU$1000000,362,FALSE)</f>
        <v>#N/A</v>
      </c>
      <c r="E22" s="32" t="e">
        <f>VLOOKUP(A1,DIV_08Data!$A$1:$DZU$1000000,363,FALSE)</f>
        <v>#N/A</v>
      </c>
      <c r="F22" s="34" t="e">
        <f>VLOOKUP(A1,DIV_08Data!$A$1:$DZU$1000000,364,FALSE)</f>
        <v>#N/A</v>
      </c>
      <c r="G22" s="33" t="e">
        <f>VLOOKUP(A1,DIV_08Data!$A$1:$DZU$1000000,365,FALSE)</f>
        <v>#N/A</v>
      </c>
      <c r="H22" s="34" t="e">
        <f>VLOOKUP(A1,DIV_08Data!$A$1:$DZU$1000000,366,FALSE)</f>
        <v>#N/A</v>
      </c>
      <c r="I22" s="33" t="e">
        <f>VLOOKUP(A1,DIV_08Data!$A$1:$DZU$1000000,367,FALSE)</f>
        <v>#N/A</v>
      </c>
      <c r="J22" s="34" t="e">
        <f>VLOOKUP(A1,DIV_08Data!$A$1:$DZU$1000000,368,FALSE)</f>
        <v>#N/A</v>
      </c>
      <c r="K22" s="34" t="e">
        <f>VLOOKUP(A1,DIV_08Data!$A$1:$DZU$1000000,369,FALSE)</f>
        <v>#N/A</v>
      </c>
      <c r="L22" s="93" t="e">
        <f>VLOOKUP(A1,DIV_08Data!$A$1:$DZU$1000000,370,FALSE)</f>
        <v>#N/A</v>
      </c>
      <c r="M22" s="33" t="e">
        <f>VLOOKUP(A1,DIV_08Data!$A$1:$DZU$1000000,371,FALSE)</f>
        <v>#N/A</v>
      </c>
      <c r="N22" s="34" t="e">
        <f>VLOOKUP(A1,DIV_08Data!$A$1:$DZU$1000000,372,FALSE)</f>
        <v>#N/A</v>
      </c>
      <c r="O22" s="33" t="e">
        <f>VLOOKUP(A1,DIV_08Data!$A$1:$DZU$1000000,373,FALSE)</f>
        <v>#N/A</v>
      </c>
      <c r="P22" s="46" t="e">
        <f>VLOOKUP(A1,DIV_08Data!$A$1:$DZU$1000000,374,FALSE)</f>
        <v>#N/A</v>
      </c>
      <c r="Q22" s="33" t="e">
        <f>VLOOKUP(A1,DIV_08Data!$A$1:$DZU$1000000,375,FALSE)</f>
        <v>#N/A</v>
      </c>
    </row>
    <row r="23" spans="1:17" x14ac:dyDescent="0.35">
      <c r="A23" s="22" t="e">
        <f>VLOOKUP(A1,DIV_08Data!$A$1:$DZU$1000000,376,FALSE)</f>
        <v>#N/A</v>
      </c>
      <c r="B23" s="37" t="e">
        <f>VLOOKUP(A1,DIV_08Data!$A$1:$DZU$1000000,377,FALSE)</f>
        <v>#N/A</v>
      </c>
      <c r="C23" s="38" t="e">
        <f>VLOOKUP(A1,DIV_08Data!$A$1:$DZU$1000000,378,FALSE)</f>
        <v>#N/A</v>
      </c>
      <c r="D23" s="31" t="e">
        <f>VLOOKUP(A1,DIV_08Data!$A$1:$DZU$1000000,379,FALSE)</f>
        <v>#N/A</v>
      </c>
      <c r="E23" s="32" t="e">
        <f>VLOOKUP(A1,DIV_08Data!$A$1:$DZU$1000000,380,FALSE)</f>
        <v>#N/A</v>
      </c>
      <c r="F23" s="34" t="e">
        <f>VLOOKUP(A1,DIV_08Data!$A$1:$DZU$1000000,381,FALSE)</f>
        <v>#N/A</v>
      </c>
      <c r="G23" s="33" t="e">
        <f>VLOOKUP(A1,DIV_08Data!$A$1:$DZU$1000000,382,FALSE)</f>
        <v>#N/A</v>
      </c>
      <c r="H23" s="34" t="e">
        <f>VLOOKUP(A1,DIV_08Data!$A$1:$DZU$1000000,383,FALSE)</f>
        <v>#N/A</v>
      </c>
      <c r="I23" s="33" t="e">
        <f>VLOOKUP(A1,DIV_08Data!$A$1:$DZU$1000000,384,FALSE)</f>
        <v>#N/A</v>
      </c>
      <c r="J23" s="34" t="e">
        <f>VLOOKUP(A1,DIV_08Data!$A$1:$DZU$1000000,385,FALSE)</f>
        <v>#N/A</v>
      </c>
      <c r="K23" s="34" t="e">
        <f>VLOOKUP(A1,DIV_08Data!$A$1:$DZU$1000000,386,FALSE)</f>
        <v>#N/A</v>
      </c>
      <c r="L23" s="93" t="e">
        <f>VLOOKUP(A1,DIV_08Data!$A$1:$DZU$1000000,387,FALSE)</f>
        <v>#N/A</v>
      </c>
      <c r="M23" s="33" t="e">
        <f>VLOOKUP(A1,DIV_08Data!$A$1:$DZU$1000000,388,FALSE)</f>
        <v>#N/A</v>
      </c>
      <c r="N23" s="34" t="e">
        <f>VLOOKUP(A1,DIV_08Data!$A$1:$DZU$1000000,389,FALSE)</f>
        <v>#N/A</v>
      </c>
      <c r="O23" s="33" t="e">
        <f>VLOOKUP(A1,DIV_08Data!$A$1:$DZU$1000000,390,FALSE)</f>
        <v>#N/A</v>
      </c>
      <c r="P23" s="46" t="e">
        <f>VLOOKUP(A1,DIV_08Data!$A$1:$DZU$1000000,391,FALSE)</f>
        <v>#N/A</v>
      </c>
      <c r="Q23" s="33" t="e">
        <f>VLOOKUP(A1,DIV_08Data!$A$1:$DZU$1000000,392,FALSE)</f>
        <v>#N/A</v>
      </c>
    </row>
    <row r="24" spans="1:17" x14ac:dyDescent="0.35">
      <c r="A24" s="22" t="e">
        <f>VLOOKUP(A1,DIV_08Data!$A$1:$DZU$1000000,393,FALSE)</f>
        <v>#N/A</v>
      </c>
      <c r="B24" s="37" t="e">
        <f>VLOOKUP(A1,DIV_08Data!$A$1:$DZU$1000000,394,FALSE)</f>
        <v>#N/A</v>
      </c>
      <c r="C24" s="38" t="e">
        <f>VLOOKUP(A1,DIV_08Data!$A$1:$DZU$1000000,395,FALSE)</f>
        <v>#N/A</v>
      </c>
      <c r="D24" s="31" t="e">
        <f>VLOOKUP(A1,DIV_08Data!$A$1:$DZU$1000000,396,FALSE)</f>
        <v>#N/A</v>
      </c>
      <c r="E24" s="32" t="e">
        <f>VLOOKUP(A1,DIV_08Data!$A$1:$DZU$1000000,397,FALSE)</f>
        <v>#N/A</v>
      </c>
      <c r="F24" s="34" t="e">
        <f>VLOOKUP(A1,DIV_08Data!$A$1:$DZU$1000000,398,FALSE)</f>
        <v>#N/A</v>
      </c>
      <c r="G24" s="33" t="e">
        <f>VLOOKUP(A1,DIV_08Data!$A$1:$DZU$1000000,399,FALSE)</f>
        <v>#N/A</v>
      </c>
      <c r="H24" s="34" t="e">
        <f>VLOOKUP(A1,DIV_08Data!$A$1:$DZU$1000000,400,FALSE)</f>
        <v>#N/A</v>
      </c>
      <c r="I24" s="33" t="e">
        <f>VLOOKUP(A1,DIV_08Data!$A$1:$DZU$1000000,401,FALSE)</f>
        <v>#N/A</v>
      </c>
      <c r="J24" s="34" t="e">
        <f>VLOOKUP(A1,DIV_08Data!$A$1:$DZU$1000000,402,FALSE)</f>
        <v>#N/A</v>
      </c>
      <c r="K24" s="34" t="e">
        <f>VLOOKUP(A1,DIV_08Data!$A$1:$DZU$1000000,403,FALSE)</f>
        <v>#N/A</v>
      </c>
      <c r="L24" s="93" t="e">
        <f>VLOOKUP(A1,DIV_08Data!$A$1:$DZU$1000000,404,FALSE)</f>
        <v>#N/A</v>
      </c>
      <c r="M24" s="33" t="e">
        <f>VLOOKUP(A1,DIV_08Data!$A$1:$DZU$1000000,405,FALSE)</f>
        <v>#N/A</v>
      </c>
      <c r="N24" s="34" t="e">
        <f>VLOOKUP(A1,DIV_08Data!$A$1:$DZU$1000000,406,FALSE)</f>
        <v>#N/A</v>
      </c>
      <c r="O24" s="33" t="e">
        <f>VLOOKUP(A1,DIV_08Data!$A$1:$DZU$1000000,407,FALSE)</f>
        <v>#N/A</v>
      </c>
      <c r="P24" s="46" t="e">
        <f>VLOOKUP(A1,DIV_08Data!$A$1:$DZU$1000000,408,FALSE)</f>
        <v>#N/A</v>
      </c>
      <c r="Q24" s="33" t="e">
        <f>VLOOKUP(A1,DIV_08Data!$A$1:$DZU$1000000,409,FALSE)</f>
        <v>#N/A</v>
      </c>
    </row>
    <row r="25" spans="1:17" x14ac:dyDescent="0.35">
      <c r="A25" s="22" t="e">
        <f>VLOOKUP(A1,DIV_08Data!$A$1:$DZU$1000000,410,FALSE)</f>
        <v>#N/A</v>
      </c>
      <c r="B25" s="37" t="e">
        <f>VLOOKUP(A1,DIV_08Data!$A$1:$DZU$1000000,411,FALSE)</f>
        <v>#N/A</v>
      </c>
      <c r="C25" s="38" t="e">
        <f>VLOOKUP(A1,DIV_08Data!$A$1:$DZU$1000000,412,FALSE)</f>
        <v>#N/A</v>
      </c>
      <c r="D25" s="31" t="e">
        <f>VLOOKUP(A1,DIV_08Data!$A$1:$DZU$1000000,413,FALSE)</f>
        <v>#N/A</v>
      </c>
      <c r="E25" s="32" t="e">
        <f>VLOOKUP(A1,DIV_08Data!$A$1:$DZU$1000000,414,FALSE)</f>
        <v>#N/A</v>
      </c>
      <c r="F25" s="34" t="e">
        <f>VLOOKUP(A1,DIV_08Data!$A$1:$DZU$1000000,415,FALSE)</f>
        <v>#N/A</v>
      </c>
      <c r="G25" s="33" t="e">
        <f>VLOOKUP(A1,DIV_08Data!$A$1:$DZU$1000000,416,FALSE)</f>
        <v>#N/A</v>
      </c>
      <c r="H25" s="34" t="e">
        <f>VLOOKUP(A1,DIV_08Data!$A$1:$DZU$1000000,417,FALSE)</f>
        <v>#N/A</v>
      </c>
      <c r="I25" s="33" t="e">
        <f>VLOOKUP(A1,DIV_08Data!$A$1:$DZU$1000000,418,FALSE)</f>
        <v>#N/A</v>
      </c>
      <c r="J25" s="34" t="e">
        <f>VLOOKUP(A1,DIV_08Data!$A$1:$DZU$1000000,419,FALSE)</f>
        <v>#N/A</v>
      </c>
      <c r="K25" s="34" t="e">
        <f>VLOOKUP(A1,DIV_08Data!$A$1:$DZU$1000000,420,FALSE)</f>
        <v>#N/A</v>
      </c>
      <c r="L25" s="93" t="e">
        <f>VLOOKUP(A1,DIV_08Data!$A$1:$DZU$1000000,421,FALSE)</f>
        <v>#N/A</v>
      </c>
      <c r="M25" s="33" t="e">
        <f>VLOOKUP(A1,DIV_08Data!$A$1:$DZU$1000000,422,FALSE)</f>
        <v>#N/A</v>
      </c>
      <c r="N25" s="34" t="e">
        <f>VLOOKUP(A1,DIV_08Data!$A$1:$DZU$1000000,423,FALSE)</f>
        <v>#N/A</v>
      </c>
      <c r="O25" s="33" t="e">
        <f>VLOOKUP(A1,DIV_08Data!$A$1:$DZU$1000000,424,FALSE)</f>
        <v>#N/A</v>
      </c>
      <c r="P25" s="46" t="e">
        <f>VLOOKUP(A1,DIV_08Data!$A$1:$DZU$1000000,425,FALSE)</f>
        <v>#N/A</v>
      </c>
      <c r="Q25" s="33" t="e">
        <f>VLOOKUP(A1,DIV_08Data!$A$1:$DZU$1000000,426,FALSE)</f>
        <v>#N/A</v>
      </c>
    </row>
    <row r="26" spans="1:17" x14ac:dyDescent="0.35">
      <c r="A26" s="22" t="e">
        <f>VLOOKUP(A1,DIV_08Data!$A$1:$DZU$1000000,427,FALSE)</f>
        <v>#N/A</v>
      </c>
      <c r="B26" s="37" t="e">
        <f>VLOOKUP(A1,DIV_08Data!$A$1:$DZU$1000000,428,FALSE)</f>
        <v>#N/A</v>
      </c>
      <c r="C26" s="38" t="e">
        <f>VLOOKUP(A1,DIV_08Data!$A$1:$DZU$1000000,429,FALSE)</f>
        <v>#N/A</v>
      </c>
      <c r="D26" s="31" t="e">
        <f>VLOOKUP(A1,DIV_08Data!$A$1:$DZU$1000000,430,FALSE)</f>
        <v>#N/A</v>
      </c>
      <c r="E26" s="32" t="e">
        <f>VLOOKUP(A1,DIV_08Data!$A$1:$DZU$1000000,431,FALSE)</f>
        <v>#N/A</v>
      </c>
      <c r="F26" s="34" t="e">
        <f>VLOOKUP(A1,DIV_08Data!$A$1:$DZU$1000000,432,FALSE)</f>
        <v>#N/A</v>
      </c>
      <c r="G26" s="33" t="e">
        <f>VLOOKUP(A1,DIV_08Data!$A$1:$DZU$1000000,433,FALSE)</f>
        <v>#N/A</v>
      </c>
      <c r="H26" s="34" t="e">
        <f>VLOOKUP(A1,DIV_08Data!$A$1:$DZU$1000000,434,FALSE)</f>
        <v>#N/A</v>
      </c>
      <c r="I26" s="33" t="e">
        <f>VLOOKUP(A1,DIV_08Data!$A$1:$DZU$1000000,435,FALSE)</f>
        <v>#N/A</v>
      </c>
      <c r="J26" s="34" t="e">
        <f>VLOOKUP(A1,DIV_08Data!$A$1:$DZU$1000000,436,FALSE)</f>
        <v>#N/A</v>
      </c>
      <c r="K26" s="34" t="e">
        <f>VLOOKUP(A1,DIV_08Data!$A$1:$DZU$1000000,437,FALSE)</f>
        <v>#N/A</v>
      </c>
      <c r="L26" s="93" t="e">
        <f>VLOOKUP(A1,DIV_08Data!$A$1:$DZU$1000000,438,FALSE)</f>
        <v>#N/A</v>
      </c>
      <c r="M26" s="33" t="e">
        <f>VLOOKUP(A1,DIV_08Data!$A$1:$DZU$1000000,439,FALSE)</f>
        <v>#N/A</v>
      </c>
      <c r="N26" s="34" t="e">
        <f>VLOOKUP(A1,DIV_08Data!$A$1:$DZU$1000000,440,FALSE)</f>
        <v>#N/A</v>
      </c>
      <c r="O26" s="33" t="e">
        <f>VLOOKUP(A1,DIV_08Data!$A$1:$DZU$1000000,441,FALSE)</f>
        <v>#N/A</v>
      </c>
      <c r="P26" s="46" t="e">
        <f>VLOOKUP(A1,DIV_08Data!$A$1:$DZU$1000000,442,FALSE)</f>
        <v>#N/A</v>
      </c>
      <c r="Q26" s="33" t="e">
        <f>VLOOKUP(A1,DIV_08Data!$A$1:$DZU$1000000,443,FALSE)</f>
        <v>#N/A</v>
      </c>
    </row>
    <row r="27" spans="1:17" x14ac:dyDescent="0.35">
      <c r="A27" s="22" t="e">
        <f>VLOOKUP(A1,DIV_08Data!$A$1:$DZU$1000000,444,FALSE)</f>
        <v>#N/A</v>
      </c>
      <c r="B27" s="37" t="e">
        <f>VLOOKUP(A1,DIV_08Data!$A$1:$DZU$1000000,445,FALSE)</f>
        <v>#N/A</v>
      </c>
      <c r="C27" s="38" t="e">
        <f>VLOOKUP(A1,DIV_08Data!$A$1:$DZU$1000000,446,FALSE)</f>
        <v>#N/A</v>
      </c>
      <c r="D27" s="31" t="e">
        <f>VLOOKUP(A1,DIV_08Data!$A$1:$DZU$1000000,447,FALSE)</f>
        <v>#N/A</v>
      </c>
      <c r="E27" s="32" t="e">
        <f>VLOOKUP(A1,DIV_08Data!$A$1:$DZU$1000000,448,FALSE)</f>
        <v>#N/A</v>
      </c>
      <c r="F27" s="34" t="e">
        <f>VLOOKUP(A1,DIV_08Data!$A$1:$DZU$1000000,449,FALSE)</f>
        <v>#N/A</v>
      </c>
      <c r="G27" s="33" t="e">
        <f>VLOOKUP(A1,DIV_08Data!$A$1:$DZU$1000000,450,FALSE)</f>
        <v>#N/A</v>
      </c>
      <c r="H27" s="34" t="e">
        <f>VLOOKUP(A1,DIV_08Data!$A$1:$DZU$1000000,451,FALSE)</f>
        <v>#N/A</v>
      </c>
      <c r="I27" s="33" t="e">
        <f>VLOOKUP(A1,DIV_08Data!$A$1:$DZU$1000000,452,FALSE)</f>
        <v>#N/A</v>
      </c>
      <c r="J27" s="34" t="e">
        <f>VLOOKUP(A1,DIV_08Data!$A$1:$DZU$1000000,453,FALSE)</f>
        <v>#N/A</v>
      </c>
      <c r="K27" s="34" t="e">
        <f>VLOOKUP(A1,DIV_08Data!$A$1:$DZU$1000000,454,FALSE)</f>
        <v>#N/A</v>
      </c>
      <c r="L27" s="93" t="e">
        <f>VLOOKUP(A1,DIV_08Data!$A$1:$DZU$1000000,455,FALSE)</f>
        <v>#N/A</v>
      </c>
      <c r="M27" s="33" t="e">
        <f>VLOOKUP(A1,DIV_08Data!$A$1:$DZU$1000000,456,FALSE)</f>
        <v>#N/A</v>
      </c>
      <c r="N27" s="34" t="e">
        <f>VLOOKUP(A1,DIV_08Data!$A$1:$DZU$1000000,457,FALSE)</f>
        <v>#N/A</v>
      </c>
      <c r="O27" s="33" t="e">
        <f>VLOOKUP(A1,DIV_08Data!$A$1:$DZU$1000000,458,FALSE)</f>
        <v>#N/A</v>
      </c>
      <c r="P27" s="46" t="e">
        <f>VLOOKUP(A1,DIV_08Data!$A$1:$DZU$1000000,459,FALSE)</f>
        <v>#N/A</v>
      </c>
      <c r="Q27" s="33" t="e">
        <f>VLOOKUP(A1,DIV_08Data!$A$1:$DZU$1000000,460,FALSE)</f>
        <v>#N/A</v>
      </c>
    </row>
    <row r="28" spans="1:17" x14ac:dyDescent="0.35">
      <c r="A28" s="22" t="e">
        <f>VLOOKUP(A1,DIV_08Data!$A$1:$DZU$1000000,461,FALSE)</f>
        <v>#N/A</v>
      </c>
      <c r="B28" s="37" t="e">
        <f>VLOOKUP(A1,DIV_08Data!$A$1:$DZU$1000000,462,FALSE)</f>
        <v>#N/A</v>
      </c>
      <c r="C28" s="38" t="e">
        <f>VLOOKUP(A1,DIV_08Data!$A$1:$DZU$1000000,463,FALSE)</f>
        <v>#N/A</v>
      </c>
      <c r="D28" s="31" t="e">
        <f>VLOOKUP(A1,DIV_08Data!$A$1:$DZU$1000000,464,FALSE)</f>
        <v>#N/A</v>
      </c>
      <c r="E28" s="32" t="e">
        <f>VLOOKUP(A1,DIV_08Data!$A$1:$DZU$1000000,465,FALSE)</f>
        <v>#N/A</v>
      </c>
      <c r="F28" s="34" t="e">
        <f>VLOOKUP(A1,DIV_08Data!$A$1:$DZU$1000000,466,FALSE)</f>
        <v>#N/A</v>
      </c>
      <c r="G28" s="33" t="e">
        <f>VLOOKUP(A1,DIV_08Data!$A$1:$DZU$1000000,467,FALSE)</f>
        <v>#N/A</v>
      </c>
      <c r="H28" s="34" t="e">
        <f>VLOOKUP(A1,DIV_08Data!$A$1:$DZU$1000000,468,FALSE)</f>
        <v>#N/A</v>
      </c>
      <c r="I28" s="33" t="e">
        <f>VLOOKUP(A1,DIV_08Data!$A$1:$DZU$1000000,469,FALSE)</f>
        <v>#N/A</v>
      </c>
      <c r="J28" s="34" t="e">
        <f>VLOOKUP(A1,DIV_08Data!$A$1:$DZU$1000000,470,FALSE)</f>
        <v>#N/A</v>
      </c>
      <c r="K28" s="34" t="e">
        <f>VLOOKUP(A1,DIV_08Data!$A$1:$DZU$1000000,471,FALSE)</f>
        <v>#N/A</v>
      </c>
      <c r="L28" s="93" t="e">
        <f>VLOOKUP(A1,DIV_08Data!$A$1:$DZU$1000000,472,FALSE)</f>
        <v>#N/A</v>
      </c>
      <c r="M28" s="33" t="e">
        <f>VLOOKUP(A1,DIV_08Data!$A$1:$DZU$1000000,473,FALSE)</f>
        <v>#N/A</v>
      </c>
      <c r="N28" s="34" t="e">
        <f>VLOOKUP(A1,DIV_08Data!$A$1:$DZU$1000000,474,FALSE)</f>
        <v>#N/A</v>
      </c>
      <c r="O28" s="33" t="e">
        <f>VLOOKUP(A1,DIV_08Data!$A$1:$DZU$1000000,475,FALSE)</f>
        <v>#N/A</v>
      </c>
      <c r="P28" s="46" t="e">
        <f>VLOOKUP(A1,DIV_08Data!$A$1:$DZU$1000000,476,FALSE)</f>
        <v>#N/A</v>
      </c>
      <c r="Q28" s="33" t="e">
        <f>VLOOKUP(A1,DIV_08Data!$A$1:$DZU$1000000,477,FALSE)</f>
        <v>#N/A</v>
      </c>
    </row>
    <row r="29" spans="1:17" x14ac:dyDescent="0.35">
      <c r="A29" s="22" t="e">
        <f>VLOOKUP(A1,DIV_08Data!$A$1:$DZU$1000000,478,FALSE)</f>
        <v>#N/A</v>
      </c>
      <c r="B29" s="37" t="e">
        <f>VLOOKUP(A1,DIV_08Data!$A$1:$DZU$1000000,479,FALSE)</f>
        <v>#N/A</v>
      </c>
      <c r="C29" s="38" t="e">
        <f>VLOOKUP(A1,DIV_08Data!$A$1:$DZU$1000000,480,FALSE)</f>
        <v>#N/A</v>
      </c>
      <c r="D29" s="31" t="e">
        <f>VLOOKUP(A1,DIV_08Data!$A$1:$DZU$1000000,481,FALSE)</f>
        <v>#N/A</v>
      </c>
      <c r="E29" s="32" t="e">
        <f>VLOOKUP(A1,DIV_08Data!$A$1:$DZU$1000000,482,FALSE)</f>
        <v>#N/A</v>
      </c>
      <c r="F29" s="34" t="e">
        <f>VLOOKUP(A1,DIV_08Data!$A$1:$DZU$1000000,483,FALSE)</f>
        <v>#N/A</v>
      </c>
      <c r="G29" s="33" t="e">
        <f>VLOOKUP(A1,DIV_08Data!$A$1:$DZU$1000000,484,FALSE)</f>
        <v>#N/A</v>
      </c>
      <c r="H29" s="34" t="e">
        <f>VLOOKUP(A1,DIV_08Data!$A$1:$DZU$1000000,485,FALSE)</f>
        <v>#N/A</v>
      </c>
      <c r="I29" s="33" t="e">
        <f>VLOOKUP(A1,DIV_08Data!$A$1:$DZU$1000000,486,FALSE)</f>
        <v>#N/A</v>
      </c>
      <c r="J29" s="34" t="e">
        <f>VLOOKUP(A1,DIV_08Data!$A$1:$DZU$1000000,487,FALSE)</f>
        <v>#N/A</v>
      </c>
      <c r="K29" s="34" t="e">
        <f>VLOOKUP(A1,DIV_08Data!$A$1:$DZU$1000000,488,FALSE)</f>
        <v>#N/A</v>
      </c>
      <c r="L29" s="93" t="e">
        <f>VLOOKUP(A1,DIV_08Data!$A$1:$DZU$1000000,489,FALSE)</f>
        <v>#N/A</v>
      </c>
      <c r="M29" s="33" t="e">
        <f>VLOOKUP(A1,DIV_08Data!$A$1:$DZU$1000000,490,FALSE)</f>
        <v>#N/A</v>
      </c>
      <c r="N29" s="34" t="e">
        <f>VLOOKUP(A1,DIV_08Data!$A$1:$DZU$1000000,491,FALSE)</f>
        <v>#N/A</v>
      </c>
      <c r="O29" s="33" t="e">
        <f>VLOOKUP(A1,DIV_08Data!$A$1:$DZU$1000000,492,FALSE)</f>
        <v>#N/A</v>
      </c>
      <c r="P29" s="46" t="e">
        <f>VLOOKUP(A1,DIV_08Data!$A$1:$DZU$1000000,493,FALSE)</f>
        <v>#N/A</v>
      </c>
      <c r="Q29" s="33" t="e">
        <f>VLOOKUP(A1,DIV_08Data!$A$1:$DZU$1000000,494,FALSE)</f>
        <v>#N/A</v>
      </c>
    </row>
    <row r="30" spans="1:17" x14ac:dyDescent="0.35">
      <c r="A30" s="22" t="e">
        <f>VLOOKUP(A1,DIV_08Data!$A$1:$DZU$1000000,495,FALSE)</f>
        <v>#N/A</v>
      </c>
      <c r="B30" s="37" t="e">
        <f>VLOOKUP(A1,DIV_08Data!$A$1:$DZU$1000000,496,FALSE)</f>
        <v>#N/A</v>
      </c>
      <c r="C30" s="38" t="e">
        <f>VLOOKUP(A1,DIV_08Data!$A$1:$DZU$1000000,497,FALSE)</f>
        <v>#N/A</v>
      </c>
      <c r="D30" s="31" t="e">
        <f>VLOOKUP(A1,DIV_08Data!$A$1:$DZU$1000000,498,FALSE)</f>
        <v>#N/A</v>
      </c>
      <c r="E30" s="32" t="e">
        <f>VLOOKUP(A1,DIV_08Data!$A$1:$DZU$1000000,499,FALSE)</f>
        <v>#N/A</v>
      </c>
      <c r="F30" s="34" t="e">
        <f>VLOOKUP(A1,DIV_08Data!$A$1:$DZU$1000000,500,FALSE)</f>
        <v>#N/A</v>
      </c>
      <c r="G30" s="33" t="e">
        <f>VLOOKUP(A1,DIV_08Data!$A$1:$DZU$1000000,501,FALSE)</f>
        <v>#N/A</v>
      </c>
      <c r="H30" s="34" t="e">
        <f>VLOOKUP(A1,DIV_08Data!$A$1:$DZU$1000000,502,FALSE)</f>
        <v>#N/A</v>
      </c>
      <c r="I30" s="33" t="e">
        <f>VLOOKUP(A1,DIV_08Data!$A$1:$DZU$1000000,503,FALSE)</f>
        <v>#N/A</v>
      </c>
      <c r="J30" s="34" t="e">
        <f>VLOOKUP(A1,DIV_08Data!$A$1:$DZU$1000000,504,FALSE)</f>
        <v>#N/A</v>
      </c>
      <c r="K30" s="34" t="e">
        <f>VLOOKUP(A1,DIV_08Data!$A$1:$DZU$1000000,505,FALSE)</f>
        <v>#N/A</v>
      </c>
      <c r="L30" s="93" t="e">
        <f>VLOOKUP(A1,DIV_08Data!$A$1:$DZU$1000000,506,FALSE)</f>
        <v>#N/A</v>
      </c>
      <c r="M30" s="33" t="e">
        <f>VLOOKUP(A1,DIV_08Data!$A$1:$DZU$1000000,507,FALSE)</f>
        <v>#N/A</v>
      </c>
      <c r="N30" s="34" t="e">
        <f>VLOOKUP(A1,DIV_08Data!$A$1:$DZU$1000000,508,FALSE)</f>
        <v>#N/A</v>
      </c>
      <c r="O30" s="33" t="e">
        <f>VLOOKUP(A1,DIV_08Data!$A$1:$DZU$1000000,509,FALSE)</f>
        <v>#N/A</v>
      </c>
      <c r="P30" s="46" t="e">
        <f>VLOOKUP(A1,DIV_08Data!$A$1:$DZU$1000000,510,FALSE)</f>
        <v>#N/A</v>
      </c>
      <c r="Q30" s="33" t="e">
        <f>VLOOKUP(A1,DIV_08Data!$A$1:$DZU$1000000,511,FALSE)</f>
        <v>#N/A</v>
      </c>
    </row>
    <row r="31" spans="1:17" x14ac:dyDescent="0.35">
      <c r="A31" s="22" t="e">
        <f>VLOOKUP(A1,DIV_08Data!$A$1:$DZU$1000000,512,FALSE)</f>
        <v>#N/A</v>
      </c>
      <c r="B31" s="37" t="e">
        <f>VLOOKUP(A1,DIV_08Data!$A$1:$DZU$1000000,513,FALSE)</f>
        <v>#N/A</v>
      </c>
      <c r="C31" s="38" t="e">
        <f>VLOOKUP(A1,DIV_08Data!$A$1:$DZU$1000000,514,FALSE)</f>
        <v>#N/A</v>
      </c>
      <c r="D31" s="31" t="e">
        <f>VLOOKUP(A1,DIV_08Data!$A$1:$DZU$1000000,515,FALSE)</f>
        <v>#N/A</v>
      </c>
      <c r="E31" s="32" t="e">
        <f>VLOOKUP(A1,DIV_08Data!$A$1:$DZU$1000000,516,FALSE)</f>
        <v>#N/A</v>
      </c>
      <c r="F31" s="34" t="e">
        <f>VLOOKUP(A1,DIV_08Data!$A$1:$DZU$1000000,517,FALSE)</f>
        <v>#N/A</v>
      </c>
      <c r="G31" s="33" t="e">
        <f>VLOOKUP(A1,DIV_08Data!$A$1:$DZU$1000000,518,FALSE)</f>
        <v>#N/A</v>
      </c>
      <c r="H31" s="34" t="e">
        <f>VLOOKUP(A1,DIV_08Data!$A$1:$DZU$1000000,519,FALSE)</f>
        <v>#N/A</v>
      </c>
      <c r="I31" s="33" t="e">
        <f>VLOOKUP(A1,DIV_08Data!$A$1:$DZU$1000000,520,FALSE)</f>
        <v>#N/A</v>
      </c>
      <c r="J31" s="34" t="e">
        <f>VLOOKUP(A1,DIV_08Data!$A$1:$DZU$1000000,521,FALSE)</f>
        <v>#N/A</v>
      </c>
      <c r="K31" s="34" t="e">
        <f>VLOOKUP(A1,DIV_08Data!$A$1:$DZU$1000000,522,FALSE)</f>
        <v>#N/A</v>
      </c>
      <c r="L31" s="93" t="e">
        <f>VLOOKUP(A1,DIV_08Data!$A$1:$DZU$1000000,523,FALSE)</f>
        <v>#N/A</v>
      </c>
      <c r="M31" s="33" t="e">
        <f>VLOOKUP(A1,DIV_08Data!$A$1:$DZU$1000000,524,FALSE)</f>
        <v>#N/A</v>
      </c>
      <c r="N31" s="34" t="e">
        <f>VLOOKUP(A1,DIV_08Data!$A$1:$DZU$1000000,525,FALSE)</f>
        <v>#N/A</v>
      </c>
      <c r="O31" s="33" t="e">
        <f>VLOOKUP(A1,DIV_08Data!$A$1:$DZU$1000000,526,FALSE)</f>
        <v>#N/A</v>
      </c>
      <c r="P31" s="46" t="e">
        <f>VLOOKUP(A1,DIV_08Data!$A$1:$DZU$1000000,527,FALSE)</f>
        <v>#N/A</v>
      </c>
      <c r="Q31" s="33" t="e">
        <f>VLOOKUP(A1,DIV_08Data!$A$1:$DZU$1000000,528,FALSE)</f>
        <v>#N/A</v>
      </c>
    </row>
    <row r="32" spans="1:17" x14ac:dyDescent="0.35">
      <c r="A32" s="22" t="e">
        <f>VLOOKUP(A1,DIV_08Data!$A$1:$DZU$1000000,529,FALSE)</f>
        <v>#N/A</v>
      </c>
      <c r="B32" s="37" t="e">
        <f>VLOOKUP(A1,DIV_08Data!$A$1:$DZU$1000000,530,FALSE)</f>
        <v>#N/A</v>
      </c>
      <c r="C32" s="38" t="e">
        <f>VLOOKUP(A1,DIV_08Data!$A$1:$DZU$1000000,531,FALSE)</f>
        <v>#N/A</v>
      </c>
      <c r="D32" s="31" t="e">
        <f>VLOOKUP(A1,DIV_08Data!$A$1:$DZU$1000000,532,FALSE)</f>
        <v>#N/A</v>
      </c>
      <c r="E32" s="32" t="e">
        <f>VLOOKUP(A1,DIV_08Data!$A$1:$DZU$1000000,533,FALSE)</f>
        <v>#N/A</v>
      </c>
      <c r="F32" s="34" t="e">
        <f>VLOOKUP(A1,DIV_08Data!$A$1:$DZU$1000000,534,FALSE)</f>
        <v>#N/A</v>
      </c>
      <c r="G32" s="33" t="e">
        <f>VLOOKUP(A1,DIV_08Data!$A$1:$DZU$1000000,535,FALSE)</f>
        <v>#N/A</v>
      </c>
      <c r="H32" s="34" t="e">
        <f>VLOOKUP(A1,DIV_08Data!$A$1:$DZU$1000000,536,FALSE)</f>
        <v>#N/A</v>
      </c>
      <c r="I32" s="33" t="e">
        <f>VLOOKUP(A1,DIV_08Data!$A$1:$DZU$1000000,537,FALSE)</f>
        <v>#N/A</v>
      </c>
      <c r="J32" s="34" t="e">
        <f>VLOOKUP(A1,DIV_08Data!$A$1:$DZU$1000000,538,FALSE)</f>
        <v>#N/A</v>
      </c>
      <c r="K32" s="34" t="e">
        <f>VLOOKUP(A1,DIV_08Data!$A$1:$DZU$1000000,539,FALSE)</f>
        <v>#N/A</v>
      </c>
      <c r="L32" s="93" t="e">
        <f>VLOOKUP(A1,DIV_08Data!$A$1:$DZU$1000000,540,FALSE)</f>
        <v>#N/A</v>
      </c>
      <c r="M32" s="33" t="e">
        <f>VLOOKUP(A1,DIV_08Data!$A$1:$DZU$1000000,541,FALSE)</f>
        <v>#N/A</v>
      </c>
      <c r="N32" s="34" t="e">
        <f>VLOOKUP(A1,DIV_08Data!$A$1:$DZU$1000000,542,FALSE)</f>
        <v>#N/A</v>
      </c>
      <c r="O32" s="33" t="e">
        <f>VLOOKUP(A1,DIV_08Data!$A$1:$DZU$1000000,543,FALSE)</f>
        <v>#N/A</v>
      </c>
      <c r="P32" s="46" t="e">
        <f>VLOOKUP(A1,DIV_08Data!$A$1:$DZU$1000000,544,FALSE)</f>
        <v>#N/A</v>
      </c>
      <c r="Q32" s="33" t="e">
        <f>VLOOKUP(A1,DIV_08Data!$A$1:$DZU$1000000,545,FALSE)</f>
        <v>#N/A</v>
      </c>
    </row>
    <row r="33" spans="1:17" x14ac:dyDescent="0.35">
      <c r="A33" s="22" t="e">
        <f>VLOOKUP(A1,DIV_08Data!$A$1:$DZU$1000000,546,FALSE)</f>
        <v>#N/A</v>
      </c>
      <c r="B33" s="37" t="e">
        <f>VLOOKUP(A1,DIV_08Data!$A$1:$DZU$1000000,547,FALSE)</f>
        <v>#N/A</v>
      </c>
      <c r="C33" s="38" t="e">
        <f>VLOOKUP(A1,DIV_08Data!$A$1:$DZU$1000000,548,FALSE)</f>
        <v>#N/A</v>
      </c>
      <c r="D33" s="31" t="e">
        <f>VLOOKUP(A1,DIV_08Data!$A$1:$DZU$1000000,549,FALSE)</f>
        <v>#N/A</v>
      </c>
      <c r="E33" s="32" t="e">
        <f>VLOOKUP(A1,DIV_08Data!$A$1:$DZU$1000000,550,FALSE)</f>
        <v>#N/A</v>
      </c>
      <c r="F33" s="34" t="e">
        <f>VLOOKUP(A1,DIV_08Data!$A$1:$DZU$1000000,551,FALSE)</f>
        <v>#N/A</v>
      </c>
      <c r="G33" s="33" t="e">
        <f>VLOOKUP(A1,DIV_08Data!$A$1:$DZU$1000000,552,FALSE)</f>
        <v>#N/A</v>
      </c>
      <c r="H33" s="34" t="e">
        <f>VLOOKUP(A1,DIV_08Data!$A$1:$DZU$1000000,553,FALSE)</f>
        <v>#N/A</v>
      </c>
      <c r="I33" s="33" t="e">
        <f>VLOOKUP(A1,DIV_08Data!$A$1:$DZU$1000000,554,FALSE)</f>
        <v>#N/A</v>
      </c>
      <c r="J33" s="34" t="e">
        <f>VLOOKUP(A1,DIV_08Data!$A$1:$DZU$1000000,555,FALSE)</f>
        <v>#N/A</v>
      </c>
      <c r="K33" s="34" t="e">
        <f>VLOOKUP(A1,DIV_08Data!$A$1:$DZU$1000000,556,FALSE)</f>
        <v>#N/A</v>
      </c>
      <c r="L33" s="93" t="e">
        <f>VLOOKUP(A1,DIV_08Data!$A$1:$DZU$1000000,557,FALSE)</f>
        <v>#N/A</v>
      </c>
      <c r="M33" s="33" t="e">
        <f>VLOOKUP(A1,DIV_08Data!$A$1:$DZU$1000000,558,FALSE)</f>
        <v>#N/A</v>
      </c>
      <c r="N33" s="34" t="e">
        <f>VLOOKUP(A1,DIV_08Data!$A$1:$DZU$1000000,559,FALSE)</f>
        <v>#N/A</v>
      </c>
      <c r="O33" s="33" t="e">
        <f>VLOOKUP(A1,DIV_08Data!$A$1:$DZU$1000000,560,FALSE)</f>
        <v>#N/A</v>
      </c>
      <c r="P33" s="46" t="e">
        <f>VLOOKUP(A1,DIV_08Data!$A$1:$DZU$1000000,561,FALSE)</f>
        <v>#N/A</v>
      </c>
      <c r="Q33" s="33" t="e">
        <f>VLOOKUP(A1,DIV_08Data!$A$1:$DZU$1000000,562,FALSE)</f>
        <v>#N/A</v>
      </c>
    </row>
    <row r="34" spans="1:17" x14ac:dyDescent="0.35">
      <c r="A34" s="22" t="e">
        <f>VLOOKUP(A1,DIV_08Data!$A$1:$DZU$1000000,563,FALSE)</f>
        <v>#N/A</v>
      </c>
      <c r="B34" s="37" t="e">
        <f>VLOOKUP(A1,DIV_08Data!$A$1:$DZU$1000000,564,FALSE)</f>
        <v>#N/A</v>
      </c>
      <c r="C34" s="38" t="e">
        <f>VLOOKUP(A1,DIV_08Data!$A$1:$DZU$1000000,565,FALSE)</f>
        <v>#N/A</v>
      </c>
      <c r="D34" s="31" t="e">
        <f>VLOOKUP(A1,DIV_08Data!$A$1:$DZU$1000000,566,FALSE)</f>
        <v>#N/A</v>
      </c>
      <c r="E34" s="32" t="e">
        <f>VLOOKUP(A1,DIV_08Data!$A$1:$DZU$1000000,567,FALSE)</f>
        <v>#N/A</v>
      </c>
      <c r="F34" s="34" t="e">
        <f>VLOOKUP(A1,DIV_08Data!$A$1:$DZU$1000000,568,FALSE)</f>
        <v>#N/A</v>
      </c>
      <c r="G34" s="33" t="e">
        <f>VLOOKUP(A1,DIV_08Data!$A$1:$DZU$1000000,569,FALSE)</f>
        <v>#N/A</v>
      </c>
      <c r="H34" s="34" t="e">
        <f>VLOOKUP(A1,DIV_08Data!$A$1:$DZU$1000000,570,FALSE)</f>
        <v>#N/A</v>
      </c>
      <c r="I34" s="33" t="e">
        <f>VLOOKUP(A1,DIV_08Data!$A$1:$DZU$1000000,571,FALSE)</f>
        <v>#N/A</v>
      </c>
      <c r="J34" s="34" t="e">
        <f>VLOOKUP(A1,DIV_08Data!$A$1:$DZU$1000000,572,FALSE)</f>
        <v>#N/A</v>
      </c>
      <c r="K34" s="34" t="e">
        <f>VLOOKUP(A1,DIV_08Data!$A$1:$DZU$1000000,573,FALSE)</f>
        <v>#N/A</v>
      </c>
      <c r="L34" s="93" t="e">
        <f>VLOOKUP(A1,DIV_08Data!$A$1:$DZU$1000000,574,FALSE)</f>
        <v>#N/A</v>
      </c>
      <c r="M34" s="33" t="e">
        <f>VLOOKUP(A1,DIV_08Data!$A$1:$DZU$1000000,575,FALSE)</f>
        <v>#N/A</v>
      </c>
      <c r="N34" s="34" t="e">
        <f>VLOOKUP(A1,DIV_08Data!$A$1:$DZU$1000000,576,FALSE)</f>
        <v>#N/A</v>
      </c>
      <c r="O34" s="33" t="e">
        <f>VLOOKUP(A1,DIV_08Data!$A$1:$DZU$1000000,577,FALSE)</f>
        <v>#N/A</v>
      </c>
      <c r="P34" s="46" t="e">
        <f>VLOOKUP(A1,DIV_08Data!$A$1:$DZU$1000000,578,FALSE)</f>
        <v>#N/A</v>
      </c>
      <c r="Q34" s="33" t="e">
        <f>VLOOKUP(A1,DIV_08Data!$A$1:$DZU$1000000,579,FALSE)</f>
        <v>#N/A</v>
      </c>
    </row>
    <row r="35" spans="1:17" x14ac:dyDescent="0.35">
      <c r="A35" s="22" t="e">
        <f>VLOOKUP(A1,DIV_08Data!$A$1:$DZU$1000000,580,FALSE)</f>
        <v>#N/A</v>
      </c>
      <c r="B35" s="37" t="e">
        <f>VLOOKUP(A1,DIV_08Data!$A$1:$DZU$1000000,581,FALSE)</f>
        <v>#N/A</v>
      </c>
      <c r="C35" s="38" t="e">
        <f>VLOOKUP(A1,DIV_08Data!$A$1:$DZU$1000000,582,FALSE)</f>
        <v>#N/A</v>
      </c>
      <c r="D35" s="31" t="e">
        <f>VLOOKUP(A1,DIV_08Data!$A$1:$DZU$1000000,583,FALSE)</f>
        <v>#N/A</v>
      </c>
      <c r="E35" s="32" t="e">
        <f>VLOOKUP(A1,DIV_08Data!$A$1:$DZU$1000000,584,FALSE)</f>
        <v>#N/A</v>
      </c>
      <c r="F35" s="34" t="e">
        <f>VLOOKUP(A1,DIV_08Data!$A$1:$DZU$1000000,585,FALSE)</f>
        <v>#N/A</v>
      </c>
      <c r="G35" s="33" t="e">
        <f>VLOOKUP(A1,DIV_08Data!$A$1:$DZU$1000000,586,FALSE)</f>
        <v>#N/A</v>
      </c>
      <c r="H35" s="34" t="e">
        <f>VLOOKUP(A1,DIV_08Data!$A$1:$DZU$1000000,587,FALSE)</f>
        <v>#N/A</v>
      </c>
      <c r="I35" s="33" t="e">
        <f>VLOOKUP(A1,DIV_08Data!$A$1:$DZU$1000000,588,FALSE)</f>
        <v>#N/A</v>
      </c>
      <c r="J35" s="34" t="e">
        <f>VLOOKUP(A1,DIV_08Data!$A$1:$DZU$1000000,589,FALSE)</f>
        <v>#N/A</v>
      </c>
      <c r="K35" s="34" t="e">
        <f>VLOOKUP(A1,DIV_08Data!$A$1:$DZU$1000000,590,FALSE)</f>
        <v>#N/A</v>
      </c>
      <c r="L35" s="93" t="e">
        <f>VLOOKUP(A1,DIV_08Data!$A$1:$DZU$1000000,591,FALSE)</f>
        <v>#N/A</v>
      </c>
      <c r="M35" s="33" t="e">
        <f>VLOOKUP(A1,DIV_08Data!$A$1:$DZU$1000000,592,FALSE)</f>
        <v>#N/A</v>
      </c>
      <c r="N35" s="34" t="e">
        <f>VLOOKUP(A1,DIV_08Data!$A$1:$DZU$1000000,593,FALSE)</f>
        <v>#N/A</v>
      </c>
      <c r="O35" s="33" t="e">
        <f>VLOOKUP(A1,DIV_08Data!$A$1:$DZU$1000000,594,FALSE)</f>
        <v>#N/A</v>
      </c>
      <c r="P35" s="46" t="e">
        <f>VLOOKUP(A1,DIV_08Data!$A$1:$DZU$1000000,595,FALSE)</f>
        <v>#N/A</v>
      </c>
      <c r="Q35" s="33" t="e">
        <f>VLOOKUP(A1,DIV_08Data!$A$1:$DZU$1000000,596,FALSE)</f>
        <v>#N/A</v>
      </c>
    </row>
    <row r="36" spans="1:17" x14ac:dyDescent="0.35">
      <c r="A36" s="22" t="e">
        <f>VLOOKUP(A1,DIV_08Data!$A$1:$DZU$1000000,597,FALSE)</f>
        <v>#N/A</v>
      </c>
      <c r="B36" s="37" t="e">
        <f>VLOOKUP(A1,DIV_08Data!$A$1:$DZU$1000000,598,FALSE)</f>
        <v>#N/A</v>
      </c>
      <c r="C36" s="38" t="e">
        <f>VLOOKUP(A1,DIV_08Data!$A$1:$DZU$1000000,599,FALSE)</f>
        <v>#N/A</v>
      </c>
      <c r="D36" s="31" t="e">
        <f>VLOOKUP(A1,DIV_08Data!$A$1:$DZU$1000000,600,FALSE)</f>
        <v>#N/A</v>
      </c>
      <c r="E36" s="32" t="e">
        <f>VLOOKUP(A1,DIV_08Data!$A$1:$DZU$1000000,601,FALSE)</f>
        <v>#N/A</v>
      </c>
      <c r="F36" s="34" t="e">
        <f>VLOOKUP(A1,DIV_08Data!$A$1:$DZU$1000000,602,FALSE)</f>
        <v>#N/A</v>
      </c>
      <c r="G36" s="33" t="e">
        <f>VLOOKUP(A1,DIV_08Data!$A$1:$DZU$1000000,603,FALSE)</f>
        <v>#N/A</v>
      </c>
      <c r="H36" s="34" t="e">
        <f>VLOOKUP(A1,DIV_08Data!$A$1:$DZU$1000000,604,FALSE)</f>
        <v>#N/A</v>
      </c>
      <c r="I36" s="33" t="e">
        <f>VLOOKUP(A1,DIV_08Data!$A$1:$DZU$1000000,605,FALSE)</f>
        <v>#N/A</v>
      </c>
      <c r="J36" s="34" t="e">
        <f>VLOOKUP(A1,DIV_08Data!$A$1:$DZU$1000000,606,FALSE)</f>
        <v>#N/A</v>
      </c>
      <c r="K36" s="34" t="e">
        <f>VLOOKUP(A1,DIV_08Data!$A$1:$DZU$1000000,607,FALSE)</f>
        <v>#N/A</v>
      </c>
      <c r="L36" s="93" t="e">
        <f>VLOOKUP(A1,DIV_08Data!$A$1:$DZU$1000000,608,FALSE)</f>
        <v>#N/A</v>
      </c>
      <c r="M36" s="33" t="e">
        <f>VLOOKUP(A1,DIV_08Data!$A$1:$DZU$1000000,609,FALSE)</f>
        <v>#N/A</v>
      </c>
      <c r="N36" s="34" t="e">
        <f>VLOOKUP(A1,DIV_08Data!$A$1:$DZU$1000000,610,FALSE)</f>
        <v>#N/A</v>
      </c>
      <c r="O36" s="33" t="e">
        <f>VLOOKUP(A1,DIV_08Data!$A$1:$DZU$1000000,611,FALSE)</f>
        <v>#N/A</v>
      </c>
      <c r="P36" s="46" t="e">
        <f>VLOOKUP(A1,DIV_08Data!$A$1:$DZU$1000000,612,FALSE)</f>
        <v>#N/A</v>
      </c>
      <c r="Q36" s="33" t="e">
        <f>VLOOKUP(A1,DIV_08Data!$A$1:$DZU$1000000,613,FALSE)</f>
        <v>#N/A</v>
      </c>
    </row>
    <row r="37" spans="1:17" x14ac:dyDescent="0.35">
      <c r="A37" s="22" t="e">
        <f>VLOOKUP(A1,DIV_08Data!$A$1:$DZU$1000000,614,FALSE)</f>
        <v>#N/A</v>
      </c>
      <c r="B37" s="37" t="e">
        <f>VLOOKUP(A1,DIV_08Data!$A$1:$DZU$1000000,615,FALSE)</f>
        <v>#N/A</v>
      </c>
      <c r="C37" s="38" t="e">
        <f>VLOOKUP(A1,DIV_08Data!$A$1:$DZU$1000000,616,FALSE)</f>
        <v>#N/A</v>
      </c>
      <c r="D37" s="31" t="e">
        <f>VLOOKUP(A1,DIV_08Data!$A$1:$DZU$1000000,617,FALSE)</f>
        <v>#N/A</v>
      </c>
      <c r="E37" s="32" t="e">
        <f>VLOOKUP(A1,DIV_08Data!$A$1:$DZU$1000000,618,FALSE)</f>
        <v>#N/A</v>
      </c>
      <c r="F37" s="34" t="e">
        <f>VLOOKUP(A1,DIV_08Data!$A$1:$DZU$1000000,619,FALSE)</f>
        <v>#N/A</v>
      </c>
      <c r="G37" s="33" t="e">
        <f>VLOOKUP(A1,DIV_08Data!$A$1:$DZU$1000000,620,FALSE)</f>
        <v>#N/A</v>
      </c>
      <c r="H37" s="34" t="e">
        <f>VLOOKUP(A1,DIV_08Data!$A$1:$DZU$1000000,621,FALSE)</f>
        <v>#N/A</v>
      </c>
      <c r="I37" s="33" t="e">
        <f>VLOOKUP(A1,DIV_08Data!$A$1:$DZU$1000000,622,FALSE)</f>
        <v>#N/A</v>
      </c>
      <c r="J37" s="34" t="e">
        <f>VLOOKUP(A1,DIV_08Data!$A$1:$DZU$1000000,623,FALSE)</f>
        <v>#N/A</v>
      </c>
      <c r="K37" s="34" t="e">
        <f>VLOOKUP(A1,DIV_08Data!$A$1:$DZU$1000000,624,FALSE)</f>
        <v>#N/A</v>
      </c>
      <c r="L37" s="93" t="e">
        <f>VLOOKUP(A1,DIV_08Data!$A$1:$DZU$1000000,625,FALSE)</f>
        <v>#N/A</v>
      </c>
      <c r="M37" s="33" t="e">
        <f>VLOOKUP(A1,DIV_08Data!$A$1:$DZU$1000000,626,FALSE)</f>
        <v>#N/A</v>
      </c>
      <c r="N37" s="34" t="e">
        <f>VLOOKUP(A1,DIV_08Data!$A$1:$DZU$1000000,627,FALSE)</f>
        <v>#N/A</v>
      </c>
      <c r="O37" s="33" t="e">
        <f>VLOOKUP(A1,DIV_08Data!$A$1:$DZU$1000000,628,FALSE)</f>
        <v>#N/A</v>
      </c>
      <c r="P37" s="46" t="e">
        <f>VLOOKUP(A1,DIV_08Data!$A$1:$DZU$1000000,629,FALSE)</f>
        <v>#N/A</v>
      </c>
      <c r="Q37" s="33" t="e">
        <f>VLOOKUP(A1,DIV_08Data!$A$1:$DZU$1000000,630,FALSE)</f>
        <v>#N/A</v>
      </c>
    </row>
    <row r="38" spans="1:17" x14ac:dyDescent="0.35">
      <c r="A38" s="22" t="e">
        <f>VLOOKUP(A1,DIV_08Data!$A$1:$DZU$1000000,631,FALSE)</f>
        <v>#N/A</v>
      </c>
      <c r="B38" s="37" t="e">
        <f>VLOOKUP(A1,DIV_08Data!$A$1:$DZU$1000000,632,FALSE)</f>
        <v>#N/A</v>
      </c>
      <c r="C38" s="38" t="e">
        <f>VLOOKUP(A1,DIV_08Data!$A$1:$DZU$1000000,633,FALSE)</f>
        <v>#N/A</v>
      </c>
      <c r="D38" s="31" t="e">
        <f>VLOOKUP(A1,DIV_08Data!$A$1:$DZU$1000000,634,FALSE)</f>
        <v>#N/A</v>
      </c>
      <c r="E38" s="32" t="e">
        <f>VLOOKUP(A1,DIV_08Data!$A$1:$DZU$1000000,635,FALSE)</f>
        <v>#N/A</v>
      </c>
      <c r="F38" s="34" t="e">
        <f>VLOOKUP(A1,DIV_08Data!$A$1:$DZU$1000000,636,FALSE)</f>
        <v>#N/A</v>
      </c>
      <c r="G38" s="33" t="e">
        <f>VLOOKUP(A1,DIV_08Data!$A$1:$DZU$1000000,637,FALSE)</f>
        <v>#N/A</v>
      </c>
      <c r="H38" s="34" t="e">
        <f>VLOOKUP(A1,DIV_08Data!$A$1:$DZU$1000000,638,FALSE)</f>
        <v>#N/A</v>
      </c>
      <c r="I38" s="33" t="e">
        <f>VLOOKUP(A1,DIV_08Data!$A$1:$DZU$1000000,639,FALSE)</f>
        <v>#N/A</v>
      </c>
      <c r="J38" s="34" t="e">
        <f>VLOOKUP(A1,DIV_08Data!$A$1:$DZU$1000000,640,FALSE)</f>
        <v>#N/A</v>
      </c>
      <c r="K38" s="34" t="e">
        <f>VLOOKUP(A1,DIV_08Data!$A$1:$DZU$1000000,641,FALSE)</f>
        <v>#N/A</v>
      </c>
      <c r="L38" s="93" t="e">
        <f>VLOOKUP(A1,DIV_08Data!$A$1:$DZU$1000000,642,FALSE)</f>
        <v>#N/A</v>
      </c>
      <c r="M38" s="33" t="e">
        <f>VLOOKUP(A1,DIV_08Data!$A$1:$DZU$1000000,643,FALSE)</f>
        <v>#N/A</v>
      </c>
      <c r="N38" s="34" t="e">
        <f>VLOOKUP(A1,DIV_08Data!$A$1:$DZU$1000000,644,FALSE)</f>
        <v>#N/A</v>
      </c>
      <c r="O38" s="33" t="e">
        <f>VLOOKUP(A1,DIV_08Data!$A$1:$DZU$1000000,645,FALSE)</f>
        <v>#N/A</v>
      </c>
      <c r="P38" s="46" t="e">
        <f>VLOOKUP(A1,DIV_08Data!$A$1:$DZU$1000000,646,FALSE)</f>
        <v>#N/A</v>
      </c>
      <c r="Q38" s="33" t="e">
        <f>VLOOKUP(A1,DIV_08Data!$A$1:$DZU$1000000,647,FALSE)</f>
        <v>#N/A</v>
      </c>
    </row>
    <row r="39" spans="1:17" x14ac:dyDescent="0.35">
      <c r="A39" s="22" t="e">
        <f>VLOOKUP(A1,DIV_08Data!$A$1:$DZU$1000000,648,FALSE)</f>
        <v>#N/A</v>
      </c>
      <c r="B39" s="37" t="e">
        <f>VLOOKUP(A1,DIV_08Data!$A$1:$DZU$1000000,649,FALSE)</f>
        <v>#N/A</v>
      </c>
      <c r="C39" s="38" t="e">
        <f>VLOOKUP(A1,DIV_08Data!$A$1:$DZU$1000000,650,FALSE)</f>
        <v>#N/A</v>
      </c>
      <c r="D39" s="31" t="e">
        <f>VLOOKUP(A1,DIV_08Data!$A$1:$DZU$1000000,651,FALSE)</f>
        <v>#N/A</v>
      </c>
      <c r="E39" s="32" t="e">
        <f>VLOOKUP(A1,DIV_08Data!$A$1:$DZU$1000000,652,FALSE)</f>
        <v>#N/A</v>
      </c>
      <c r="F39" s="34" t="e">
        <f>VLOOKUP(A1,DIV_08Data!$A$1:$DZU$1000000,653,FALSE)</f>
        <v>#N/A</v>
      </c>
      <c r="G39" s="33" t="e">
        <f>VLOOKUP(A1,DIV_08Data!$A$1:$DZU$1000000,654,FALSE)</f>
        <v>#N/A</v>
      </c>
      <c r="H39" s="34" t="e">
        <f>VLOOKUP(A1,DIV_08Data!$A$1:$DZU$1000000,655,FALSE)</f>
        <v>#N/A</v>
      </c>
      <c r="I39" s="33" t="e">
        <f>VLOOKUP(A1,DIV_08Data!$A$1:$DZU$1000000,656,FALSE)</f>
        <v>#N/A</v>
      </c>
      <c r="J39" s="34" t="e">
        <f>VLOOKUP(A1,DIV_08Data!$A$1:$DZU$1000000,657,FALSE)</f>
        <v>#N/A</v>
      </c>
      <c r="K39" s="34" t="e">
        <f>VLOOKUP(A1,DIV_08Data!$A$1:$DZU$1000000,658,FALSE)</f>
        <v>#N/A</v>
      </c>
      <c r="L39" s="93" t="e">
        <f>VLOOKUP(A1,DIV_08Data!$A$1:$DZU$1000000,659,FALSE)</f>
        <v>#N/A</v>
      </c>
      <c r="M39" s="33" t="e">
        <f>VLOOKUP(A1,DIV_08Data!$A$1:$DZU$1000000,660,FALSE)</f>
        <v>#N/A</v>
      </c>
      <c r="N39" s="34" t="e">
        <f>VLOOKUP(A1,DIV_08Data!$A$1:$DZU$1000000,661,FALSE)</f>
        <v>#N/A</v>
      </c>
      <c r="O39" s="33" t="e">
        <f>VLOOKUP(A1,DIV_08Data!$A$1:$DZU$1000000,662,FALSE)</f>
        <v>#N/A</v>
      </c>
      <c r="P39" s="46" t="e">
        <f>VLOOKUP(A1,DIV_08Data!$A$1:$DZU$1000000,663,FALSE)</f>
        <v>#N/A</v>
      </c>
      <c r="Q39" s="33" t="e">
        <f>VLOOKUP(A1,DIV_08Data!$A$1:$DZU$1000000,664,FALSE)</f>
        <v>#N/A</v>
      </c>
    </row>
    <row r="40" spans="1:17" x14ac:dyDescent="0.35">
      <c r="A40" s="22" t="e">
        <f>VLOOKUP(A1,DIV_08Data!$A$1:$DZU$1000000,665,FALSE)</f>
        <v>#N/A</v>
      </c>
      <c r="B40" s="37" t="e">
        <f>VLOOKUP(A1,DIV_08Data!$A$1:$DZU$1000000,666,FALSE)</f>
        <v>#N/A</v>
      </c>
      <c r="C40" s="38" t="e">
        <f>VLOOKUP(A1,DIV_08Data!$A$1:$DZU$1000000,667,FALSE)</f>
        <v>#N/A</v>
      </c>
      <c r="D40" s="31" t="e">
        <f>VLOOKUP(A1,DIV_08Data!$A$1:$DZU$1000000,668,FALSE)</f>
        <v>#N/A</v>
      </c>
      <c r="E40" s="32" t="e">
        <f>VLOOKUP(A1,DIV_08Data!$A$1:$DZU$1000000,669,FALSE)</f>
        <v>#N/A</v>
      </c>
      <c r="F40" s="34" t="e">
        <f>VLOOKUP(A1,DIV_08Data!$A$1:$DZU$1000000,670,FALSE)</f>
        <v>#N/A</v>
      </c>
      <c r="G40" s="33" t="e">
        <f>VLOOKUP(A1,DIV_08Data!$A$1:$DZU$1000000,671,FALSE)</f>
        <v>#N/A</v>
      </c>
      <c r="H40" s="34" t="e">
        <f>VLOOKUP(A1,DIV_08Data!$A$1:$DZU$1000000,672,FALSE)</f>
        <v>#N/A</v>
      </c>
      <c r="I40" s="33" t="e">
        <f>VLOOKUP(A1,DIV_08Data!$A$1:$DZU$1000000,673,FALSE)</f>
        <v>#N/A</v>
      </c>
      <c r="J40" s="34" t="e">
        <f>VLOOKUP(A1,DIV_08Data!$A$1:$DZU$1000000,674,FALSE)</f>
        <v>#N/A</v>
      </c>
      <c r="K40" s="34" t="e">
        <f>VLOOKUP(A1,DIV_08Data!$A$1:$DZU$1000000,675,FALSE)</f>
        <v>#N/A</v>
      </c>
      <c r="L40" s="93" t="e">
        <f>VLOOKUP(A1,DIV_08Data!$A$1:$DZU$1000000,676,FALSE)</f>
        <v>#N/A</v>
      </c>
      <c r="M40" s="33" t="e">
        <f>VLOOKUP(A1,DIV_08Data!$A$1:$DZU$1000000,677,FALSE)</f>
        <v>#N/A</v>
      </c>
      <c r="N40" s="34" t="e">
        <f>VLOOKUP(A1,DIV_08Data!$A$1:$DZU$1000000,678,FALSE)</f>
        <v>#N/A</v>
      </c>
      <c r="O40" s="33" t="e">
        <f>VLOOKUP(A1,DIV_08Data!$A$1:$DZU$1000000,679,FALSE)</f>
        <v>#N/A</v>
      </c>
      <c r="P40" s="46" t="e">
        <f>VLOOKUP(A1,DIV_08Data!$A$1:$DZU$1000000,680,FALSE)</f>
        <v>#N/A</v>
      </c>
      <c r="Q40" s="33" t="e">
        <f>VLOOKUP(A1,DIV_08Data!$A$1:$DZU$1000000,681,FALSE)</f>
        <v>#N/A</v>
      </c>
    </row>
    <row r="41" spans="1:17" x14ac:dyDescent="0.35">
      <c r="A41" s="22" t="e">
        <f>VLOOKUP(A1,DIV_08Data!$A$1:$DZU$1000000,682,FALSE)</f>
        <v>#N/A</v>
      </c>
      <c r="B41" s="37" t="e">
        <f>VLOOKUP(A1,DIV_08Data!$A$1:$DZU$1000000,683,FALSE)</f>
        <v>#N/A</v>
      </c>
      <c r="C41" s="38" t="e">
        <f>VLOOKUP(A1,DIV_08Data!$A$1:$DZU$1000000,684,FALSE)</f>
        <v>#N/A</v>
      </c>
      <c r="D41" s="31" t="e">
        <f>VLOOKUP(A1,DIV_08Data!$A$1:$DZU$1000000,685,FALSE)</f>
        <v>#N/A</v>
      </c>
      <c r="E41" s="32" t="e">
        <f>VLOOKUP(A1,DIV_08Data!$A$1:$DZU$1000000,686,FALSE)</f>
        <v>#N/A</v>
      </c>
      <c r="F41" s="34" t="e">
        <f>VLOOKUP(A1,DIV_08Data!$A$1:$DZU$1000000,687,FALSE)</f>
        <v>#N/A</v>
      </c>
      <c r="G41" s="33" t="e">
        <f>VLOOKUP(A1,DIV_08Data!$A$1:$DZU$1000000,688,FALSE)</f>
        <v>#N/A</v>
      </c>
      <c r="H41" s="34" t="e">
        <f>VLOOKUP(A1,DIV_08Data!$A$1:$DZU$1000000,689,FALSE)</f>
        <v>#N/A</v>
      </c>
      <c r="I41" s="33" t="e">
        <f>VLOOKUP(A1,DIV_08Data!$A$1:$DZU$1000000,690,FALSE)</f>
        <v>#N/A</v>
      </c>
      <c r="J41" s="34" t="e">
        <f>VLOOKUP(A1,DIV_08Data!$A$1:$DZU$1000000,691,FALSE)</f>
        <v>#N/A</v>
      </c>
      <c r="K41" s="34" t="e">
        <f>VLOOKUP(A1,DIV_08Data!$A$1:$DZU$1000000,692,FALSE)</f>
        <v>#N/A</v>
      </c>
      <c r="L41" s="93" t="e">
        <f>VLOOKUP(A1,DIV_08Data!$A$1:$DZU$1000000,693,FALSE)</f>
        <v>#N/A</v>
      </c>
      <c r="M41" s="33" t="e">
        <f>VLOOKUP(A1,DIV_08Data!$A$1:$DZU$1000000,694,FALSE)</f>
        <v>#N/A</v>
      </c>
      <c r="N41" s="34" t="e">
        <f>VLOOKUP(A1,DIV_08Data!$A$1:$DZU$1000000,695,FALSE)</f>
        <v>#N/A</v>
      </c>
      <c r="O41" s="33" t="e">
        <f>VLOOKUP(A1,DIV_08Data!$A$1:$DZU$1000000,696,FALSE)</f>
        <v>#N/A</v>
      </c>
      <c r="P41" s="46" t="e">
        <f>VLOOKUP(A1,DIV_08Data!$A$1:$DZU$1000000,697,FALSE)</f>
        <v>#N/A</v>
      </c>
      <c r="Q41" s="33" t="e">
        <f>VLOOKUP(A1,DIV_08Data!$A$1:$DZU$1000000,698,FALSE)</f>
        <v>#N/A</v>
      </c>
    </row>
    <row r="42" spans="1:17" x14ac:dyDescent="0.35">
      <c r="A42" s="22" t="e">
        <f>VLOOKUP(A1,DIV_08Data!$A$1:$DZU$1000000,699,FALSE)</f>
        <v>#N/A</v>
      </c>
      <c r="B42" s="37" t="e">
        <f>VLOOKUP(A1,DIV_08Data!$A$1:$DZU$1000000,700,FALSE)</f>
        <v>#N/A</v>
      </c>
      <c r="C42" s="38" t="e">
        <f>VLOOKUP(A1,DIV_08Data!$A$1:$DZU$1000000,701,FALSE)</f>
        <v>#N/A</v>
      </c>
      <c r="D42" s="31" t="e">
        <f>VLOOKUP(A1,DIV_08Data!$A$1:$DZU$1000000,702,FALSE)</f>
        <v>#N/A</v>
      </c>
      <c r="E42" s="32" t="e">
        <f>VLOOKUP(A1,DIV_08Data!$A$1:$DZU$1000000,703,FALSE)</f>
        <v>#N/A</v>
      </c>
      <c r="F42" s="34" t="e">
        <f>VLOOKUP(A1,DIV_08Data!$A$1:$DZU$1000000,704,FALSE)</f>
        <v>#N/A</v>
      </c>
      <c r="G42" s="33" t="e">
        <f>VLOOKUP(A1,DIV_08Data!$A$1:$DZU$1000000,705,FALSE)</f>
        <v>#N/A</v>
      </c>
      <c r="H42" s="34" t="e">
        <f>VLOOKUP(A1,DIV_08Data!$A$1:$DZU$1000000,706,FALSE)</f>
        <v>#N/A</v>
      </c>
      <c r="I42" s="33" t="e">
        <f>VLOOKUP(A1,DIV_08Data!$A$1:$DZU$1000000,707,FALSE)</f>
        <v>#N/A</v>
      </c>
      <c r="J42" s="34" t="e">
        <f>VLOOKUP(A1,DIV_08Data!$A$1:$DZU$1000000,708,FALSE)</f>
        <v>#N/A</v>
      </c>
      <c r="K42" s="34" t="e">
        <f>VLOOKUP(A1,DIV_08Data!$A$1:$DZU$1000000,709,FALSE)</f>
        <v>#N/A</v>
      </c>
      <c r="L42" s="93" t="e">
        <f>VLOOKUP(A1,DIV_08Data!$A$1:$DZU$1000000,710,FALSE)</f>
        <v>#N/A</v>
      </c>
      <c r="M42" s="33" t="e">
        <f>VLOOKUP(A1,DIV_08Data!$A$1:$DZU$1000000,711,FALSE)</f>
        <v>#N/A</v>
      </c>
      <c r="N42" s="34" t="e">
        <f>VLOOKUP(A1,DIV_08Data!$A$1:$DZU$1000000,712,FALSE)</f>
        <v>#N/A</v>
      </c>
      <c r="O42" s="33" t="e">
        <f>VLOOKUP(A1,DIV_08Data!$A$1:$DZU$1000000,713,FALSE)</f>
        <v>#N/A</v>
      </c>
      <c r="P42" s="46" t="e">
        <f>VLOOKUP(A1,DIV_08Data!$A$1:$DZU$1000000,714,FALSE)</f>
        <v>#N/A</v>
      </c>
      <c r="Q42" s="33" t="e">
        <f>VLOOKUP(A1,DIV_08Data!$A$1:$DZU$1000000,715,FALSE)</f>
        <v>#N/A</v>
      </c>
    </row>
    <row r="43" spans="1:17" x14ac:dyDescent="0.35">
      <c r="A43" s="22" t="e">
        <f>VLOOKUP(A1,DIV_08Data!$A$1:$DZU$1000000,716,FALSE)</f>
        <v>#N/A</v>
      </c>
      <c r="B43" s="37" t="e">
        <f>VLOOKUP(A1,DIV_08Data!$A$1:$DZU$1000000,717,FALSE)</f>
        <v>#N/A</v>
      </c>
      <c r="C43" s="38" t="e">
        <f>VLOOKUP(A1,DIV_08Data!$A$1:$DZU$1000000,718,FALSE)</f>
        <v>#N/A</v>
      </c>
      <c r="D43" s="31" t="e">
        <f>VLOOKUP(A1,DIV_08Data!$A$1:$DZU$1000000,719,FALSE)</f>
        <v>#N/A</v>
      </c>
      <c r="E43" s="32" t="e">
        <f>VLOOKUP(A1,DIV_08Data!$A$1:$DZU$1000000,720,FALSE)</f>
        <v>#N/A</v>
      </c>
      <c r="F43" s="34" t="e">
        <f>VLOOKUP(A1,DIV_08Data!$A$1:$DZU$1000000,721,FALSE)</f>
        <v>#N/A</v>
      </c>
      <c r="G43" s="33" t="e">
        <f>VLOOKUP(A1,DIV_08Data!$A$1:$DZU$1000000,722,FALSE)</f>
        <v>#N/A</v>
      </c>
      <c r="H43" s="34" t="e">
        <f>VLOOKUP(A1,DIV_08Data!$A$1:$DZU$1000000,723,FALSE)</f>
        <v>#N/A</v>
      </c>
      <c r="I43" s="33" t="e">
        <f>VLOOKUP(A1,DIV_08Data!$A$1:$DZU$1000000,724,FALSE)</f>
        <v>#N/A</v>
      </c>
      <c r="J43" s="34" t="e">
        <f>VLOOKUP(A1,DIV_08Data!$A$1:$DZU$1000000,725,FALSE)</f>
        <v>#N/A</v>
      </c>
      <c r="K43" s="34" t="e">
        <f>VLOOKUP(A1,DIV_08Data!$A$1:$DZU$1000000,726,FALSE)</f>
        <v>#N/A</v>
      </c>
      <c r="L43" s="93" t="e">
        <f>VLOOKUP(A1,DIV_08Data!$A$1:$DZU$1000000,727,FALSE)</f>
        <v>#N/A</v>
      </c>
      <c r="M43" s="33" t="e">
        <f>VLOOKUP(A1,DIV_08Data!$A$1:$DZU$1000000,728,FALSE)</f>
        <v>#N/A</v>
      </c>
      <c r="N43" s="34" t="e">
        <f>VLOOKUP(A1,DIV_08Data!$A$1:$DZU$1000000,729,FALSE)</f>
        <v>#N/A</v>
      </c>
      <c r="O43" s="33" t="e">
        <f>VLOOKUP(A1,DIV_08Data!$A$1:$DZU$1000000,730,FALSE)</f>
        <v>#N/A</v>
      </c>
      <c r="P43" s="46" t="e">
        <f>VLOOKUP(A1,DIV_08Data!$A$1:$DZU$1000000,731,FALSE)</f>
        <v>#N/A</v>
      </c>
      <c r="Q43" s="33" t="e">
        <f>VLOOKUP(A1,DIV_08Data!$A$1:$DZU$1000000,732,FALSE)</f>
        <v>#N/A</v>
      </c>
    </row>
    <row r="44" spans="1:17" x14ac:dyDescent="0.35">
      <c r="A44" s="22" t="e">
        <f>VLOOKUP(A1,DIV_08Data!$A$1:$DZU$1000000,733,FALSE)</f>
        <v>#N/A</v>
      </c>
      <c r="B44" s="37" t="e">
        <f>VLOOKUP(A1,DIV_08Data!$A$1:$DZU$1000000,734,FALSE)</f>
        <v>#N/A</v>
      </c>
      <c r="C44" s="38" t="e">
        <f>VLOOKUP(A1,DIV_08Data!$A$1:$DZU$1000000,735,FALSE)</f>
        <v>#N/A</v>
      </c>
      <c r="D44" s="31" t="e">
        <f>VLOOKUP(A1,DIV_08Data!$A$1:$DZU$1000000,736,FALSE)</f>
        <v>#N/A</v>
      </c>
      <c r="E44" s="32" t="e">
        <f>VLOOKUP(A1,DIV_08Data!$A$1:$DZU$1000000,737,FALSE)</f>
        <v>#N/A</v>
      </c>
      <c r="F44" s="34" t="e">
        <f>VLOOKUP(A1,DIV_08Data!$A$1:$DZU$1000000,738,FALSE)</f>
        <v>#N/A</v>
      </c>
      <c r="G44" s="33" t="e">
        <f>VLOOKUP(A1,DIV_08Data!$A$1:$DZU$1000000,739,FALSE)</f>
        <v>#N/A</v>
      </c>
      <c r="H44" s="34" t="e">
        <f>VLOOKUP(A1,DIV_08Data!$A$1:$DZU$1000000,740,FALSE)</f>
        <v>#N/A</v>
      </c>
      <c r="I44" s="33" t="e">
        <f>VLOOKUP(A1,DIV_08Data!$A$1:$DZU$1000000,741,FALSE)</f>
        <v>#N/A</v>
      </c>
      <c r="J44" s="34" t="e">
        <f>VLOOKUP(A1,DIV_08Data!$A$1:$DZU$1000000,742,FALSE)</f>
        <v>#N/A</v>
      </c>
      <c r="K44" s="34" t="e">
        <f>VLOOKUP(A1,DIV_08Data!$A$1:$DZU$1000000,743,FALSE)</f>
        <v>#N/A</v>
      </c>
      <c r="L44" s="93" t="e">
        <f>VLOOKUP(A1,DIV_08Data!$A$1:$DZU$1000000,744,FALSE)</f>
        <v>#N/A</v>
      </c>
      <c r="M44" s="33" t="e">
        <f>VLOOKUP(A1,DIV_08Data!$A$1:$DZU$1000000,745,FALSE)</f>
        <v>#N/A</v>
      </c>
      <c r="N44" s="34" t="e">
        <f>VLOOKUP(A1,DIV_08Data!$A$1:$DZU$1000000,746,FALSE)</f>
        <v>#N/A</v>
      </c>
      <c r="O44" s="33" t="e">
        <f>VLOOKUP(A1,DIV_08Data!$A$1:$DZU$1000000,747,FALSE)</f>
        <v>#N/A</v>
      </c>
      <c r="P44" s="46" t="e">
        <f>VLOOKUP(A1,DIV_08Data!$A$1:$DZU$1000000,748,FALSE)</f>
        <v>#N/A</v>
      </c>
      <c r="Q44" s="33" t="e">
        <f>VLOOKUP(A1,DIV_08Data!$A$1:$DZU$1000000,749,FALSE)</f>
        <v>#N/A</v>
      </c>
    </row>
    <row r="45" spans="1:17" x14ac:dyDescent="0.35">
      <c r="A45" s="22" t="e">
        <f>VLOOKUP(A1,DIV_08Data!$A$1:$DZU$1000000,750,FALSE)</f>
        <v>#N/A</v>
      </c>
      <c r="B45" s="37" t="e">
        <f>VLOOKUP(A1,DIV_08Data!$A$1:$DZU$1000000,751,FALSE)</f>
        <v>#N/A</v>
      </c>
      <c r="C45" s="38" t="e">
        <f>VLOOKUP(A1,DIV_08Data!$A$1:$DZU$1000000,752,FALSE)</f>
        <v>#N/A</v>
      </c>
      <c r="D45" s="31" t="e">
        <f>VLOOKUP(A1,DIV_08Data!$A$1:$DZU$1000000,753,FALSE)</f>
        <v>#N/A</v>
      </c>
      <c r="E45" s="32" t="e">
        <f>VLOOKUP(A1,DIV_08Data!$A$1:$DZU$1000000,754,FALSE)</f>
        <v>#N/A</v>
      </c>
      <c r="F45" s="34" t="e">
        <f>VLOOKUP(A1,DIV_08Data!$A$1:$DZU$1000000,755,FALSE)</f>
        <v>#N/A</v>
      </c>
      <c r="G45" s="33" t="e">
        <f>VLOOKUP(A1,DIV_08Data!$A$1:$DZU$1000000,756,FALSE)</f>
        <v>#N/A</v>
      </c>
      <c r="H45" s="34" t="e">
        <f>VLOOKUP(A1,DIV_08Data!$A$1:$DZU$1000000,757,FALSE)</f>
        <v>#N/A</v>
      </c>
      <c r="I45" s="33" t="e">
        <f>VLOOKUP(A1,DIV_08Data!$A$1:$DZU$1000000,758,FALSE)</f>
        <v>#N/A</v>
      </c>
      <c r="J45" s="34" t="e">
        <f>VLOOKUP(A1,DIV_08Data!$A$1:$DZU$1000000,759,FALSE)</f>
        <v>#N/A</v>
      </c>
      <c r="K45" s="34" t="e">
        <f>VLOOKUP(A1,DIV_08Data!$A$1:$DZU$1000000,760,FALSE)</f>
        <v>#N/A</v>
      </c>
      <c r="L45" s="93" t="e">
        <f>VLOOKUP(A1,DIV_08Data!$A$1:$DZU$1000000,761,FALSE)</f>
        <v>#N/A</v>
      </c>
      <c r="M45" s="33" t="e">
        <f>VLOOKUP(A1,DIV_08Data!$A$1:$DZU$1000000,762,FALSE)</f>
        <v>#N/A</v>
      </c>
      <c r="N45" s="34" t="e">
        <f>VLOOKUP(A1,DIV_08Data!$A$1:$DZU$1000000,763,FALSE)</f>
        <v>#N/A</v>
      </c>
      <c r="O45" s="33" t="e">
        <f>VLOOKUP(A1,DIV_08Data!$A$1:$DZU$1000000,764,FALSE)</f>
        <v>#N/A</v>
      </c>
      <c r="P45" s="46" t="e">
        <f>VLOOKUP(A1,DIV_08Data!$A$1:$DZU$1000000,765,FALSE)</f>
        <v>#N/A</v>
      </c>
      <c r="Q45" s="33" t="e">
        <f>VLOOKUP(A1,DIV_08Data!$A$1:$DZU$1000000,766,FALSE)</f>
        <v>#N/A</v>
      </c>
    </row>
    <row r="46" spans="1:17" x14ac:dyDescent="0.35">
      <c r="A46" s="22" t="e">
        <f>VLOOKUP(A1,DIV_08Data!$A$1:$DZU$1000000,767,FALSE)</f>
        <v>#N/A</v>
      </c>
      <c r="B46" s="37" t="e">
        <f>VLOOKUP(A1,DIV_08Data!$A$1:$DZU$1000000,768,FALSE)</f>
        <v>#N/A</v>
      </c>
      <c r="C46" s="38" t="e">
        <f>VLOOKUP(A1,DIV_08Data!$A$1:$DZU$1000000,769,FALSE)</f>
        <v>#N/A</v>
      </c>
      <c r="D46" s="31" t="e">
        <f>VLOOKUP(A1,DIV_08Data!$A$1:$DZU$1000000,770,FALSE)</f>
        <v>#N/A</v>
      </c>
      <c r="E46" s="32" t="e">
        <f>VLOOKUP(A1,DIV_08Data!$A$1:$DZU$1000000,771,FALSE)</f>
        <v>#N/A</v>
      </c>
      <c r="F46" s="34" t="e">
        <f>VLOOKUP(A1,DIV_08Data!$A$1:$DZU$1000000,772,FALSE)</f>
        <v>#N/A</v>
      </c>
      <c r="G46" s="33" t="e">
        <f>VLOOKUP(A1,DIV_08Data!$A$1:$DZU$1000000,773,FALSE)</f>
        <v>#N/A</v>
      </c>
      <c r="H46" s="34" t="e">
        <f>VLOOKUP(A1,DIV_08Data!$A$1:$DZU$1000000,774,FALSE)</f>
        <v>#N/A</v>
      </c>
      <c r="I46" s="33" t="e">
        <f>VLOOKUP(A1,DIV_08Data!$A$1:$DZU$1000000,775,FALSE)</f>
        <v>#N/A</v>
      </c>
      <c r="J46" s="34" t="e">
        <f>VLOOKUP(A1,DIV_08Data!$A$1:$DZU$1000000,776,FALSE)</f>
        <v>#N/A</v>
      </c>
      <c r="K46" s="34" t="e">
        <f>VLOOKUP(A1,DIV_08Data!$A$1:$DZU$1000000,777,FALSE)</f>
        <v>#N/A</v>
      </c>
      <c r="L46" s="93" t="e">
        <f>VLOOKUP(A1,DIV_08Data!$A$1:$DZU$1000000,778,FALSE)</f>
        <v>#N/A</v>
      </c>
      <c r="M46" s="33" t="e">
        <f>VLOOKUP(A1,DIV_08Data!$A$1:$DZU$1000000,779,FALSE)</f>
        <v>#N/A</v>
      </c>
      <c r="N46" s="34" t="e">
        <f>VLOOKUP(A1,DIV_08Data!$A$1:$DZU$1000000,780,FALSE)</f>
        <v>#N/A</v>
      </c>
      <c r="O46" s="33" t="e">
        <f>VLOOKUP(A1,DIV_08Data!$A$1:$DZU$1000000,781,FALSE)</f>
        <v>#N/A</v>
      </c>
      <c r="P46" s="46" t="e">
        <f>VLOOKUP(A1,DIV_08Data!$A$1:$DZU$1000000,782,FALSE)</f>
        <v>#N/A</v>
      </c>
      <c r="Q46" s="33" t="e">
        <f>VLOOKUP(A1,DIV_08Data!$A$1:$DZU$1000000,783,FALSE)</f>
        <v>#N/A</v>
      </c>
    </row>
    <row r="47" spans="1:17" x14ac:dyDescent="0.35">
      <c r="A47" s="22" t="e">
        <f>VLOOKUP(A1,DIV_08Data!$A$1:$DZU$1000000,784,FALSE)</f>
        <v>#N/A</v>
      </c>
      <c r="B47" s="37" t="e">
        <f>VLOOKUP(A1,DIV_08Data!$A$1:$DZU$1000000,785,FALSE)</f>
        <v>#N/A</v>
      </c>
      <c r="C47" s="38" t="e">
        <f>VLOOKUP(A1,DIV_08Data!$A$1:$DZU$1000000,786,FALSE)</f>
        <v>#N/A</v>
      </c>
      <c r="D47" s="31" t="e">
        <f>VLOOKUP(A1,DIV_08Data!$A$1:$DZU$1000000,787,FALSE)</f>
        <v>#N/A</v>
      </c>
      <c r="E47" s="32" t="e">
        <f>VLOOKUP(A1,DIV_08Data!$A$1:$DZU$1000000,788,FALSE)</f>
        <v>#N/A</v>
      </c>
      <c r="F47" s="34" t="e">
        <f>VLOOKUP(A1,DIV_08Data!$A$1:$DZU$1000000,789,FALSE)</f>
        <v>#N/A</v>
      </c>
      <c r="G47" s="33" t="e">
        <f>VLOOKUP(A1,DIV_08Data!$A$1:$DZU$1000000,790,FALSE)</f>
        <v>#N/A</v>
      </c>
      <c r="H47" s="34" t="e">
        <f>VLOOKUP(A1,DIV_08Data!$A$1:$DZU$1000000,791,FALSE)</f>
        <v>#N/A</v>
      </c>
      <c r="I47" s="33" t="e">
        <f>VLOOKUP(A1,DIV_08Data!$A$1:$DZU$1000000,792,FALSE)</f>
        <v>#N/A</v>
      </c>
      <c r="J47" s="34" t="e">
        <f>VLOOKUP(A1,DIV_08Data!$A$1:$DZU$1000000,793,FALSE)</f>
        <v>#N/A</v>
      </c>
      <c r="K47" s="34" t="e">
        <f>VLOOKUP(A1,DIV_08Data!$A$1:$DZU$1000000,794,FALSE)</f>
        <v>#N/A</v>
      </c>
      <c r="L47" s="93" t="e">
        <f>VLOOKUP(A1,DIV_08Data!$A$1:$DZU$1000000,795,FALSE)</f>
        <v>#N/A</v>
      </c>
      <c r="M47" s="33" t="e">
        <f>VLOOKUP(A1,DIV_08Data!$A$1:$DZU$1000000,796,FALSE)</f>
        <v>#N/A</v>
      </c>
      <c r="N47" s="34" t="e">
        <f>VLOOKUP(A1,DIV_08Data!$A$1:$DZU$1000000,797,FALSE)</f>
        <v>#N/A</v>
      </c>
      <c r="O47" s="33" t="e">
        <f>VLOOKUP(A1,DIV_08Data!$A$1:$DZU$1000000,798,FALSE)</f>
        <v>#N/A</v>
      </c>
      <c r="P47" s="46" t="e">
        <f>VLOOKUP(A1,DIV_08Data!$A$1:$DZU$1000000,799,FALSE)</f>
        <v>#N/A</v>
      </c>
      <c r="Q47" s="33" t="e">
        <f>VLOOKUP(A1,DIV_08Data!$A$1:$DZU$1000000,800,FALSE)</f>
        <v>#N/A</v>
      </c>
    </row>
    <row r="48" spans="1:17" x14ac:dyDescent="0.35">
      <c r="A48" s="22" t="e">
        <f>VLOOKUP(A1,DIV_08Data!$A$1:$DZU$1000000,801,FALSE)</f>
        <v>#N/A</v>
      </c>
      <c r="B48" s="37" t="e">
        <f>VLOOKUP(A1,DIV_08Data!$A$1:$DZU$1000000,802,FALSE)</f>
        <v>#N/A</v>
      </c>
      <c r="C48" s="38" t="e">
        <f>VLOOKUP(A1,DIV_08Data!$A$1:$DZU$1000000,803,FALSE)</f>
        <v>#N/A</v>
      </c>
      <c r="D48" s="31" t="e">
        <f>VLOOKUP(A1,DIV_08Data!$A$1:$DZU$1000000,804,FALSE)</f>
        <v>#N/A</v>
      </c>
      <c r="E48" s="32" t="e">
        <f>VLOOKUP(A1,DIV_08Data!$A$1:$DZU$1000000,805,FALSE)</f>
        <v>#N/A</v>
      </c>
      <c r="F48" s="34" t="e">
        <f>VLOOKUP(A1,DIV_08Data!$A$1:$DZU$1000000,806,FALSE)</f>
        <v>#N/A</v>
      </c>
      <c r="G48" s="33" t="e">
        <f>VLOOKUP(A1,DIV_08Data!$A$1:$DZU$1000000,807,FALSE)</f>
        <v>#N/A</v>
      </c>
      <c r="H48" s="34" t="e">
        <f>VLOOKUP(A1,DIV_08Data!$A$1:$DZU$1000000,808,FALSE)</f>
        <v>#N/A</v>
      </c>
      <c r="I48" s="33" t="e">
        <f>VLOOKUP(A1,DIV_08Data!$A$1:$DZU$1000000,809,FALSE)</f>
        <v>#N/A</v>
      </c>
      <c r="J48" s="34" t="e">
        <f>VLOOKUP(A1,DIV_08Data!$A$1:$DZU$1000000,810,FALSE)</f>
        <v>#N/A</v>
      </c>
      <c r="K48" s="34" t="e">
        <f>VLOOKUP(A1,DIV_08Data!$A$1:$DZU$1000000,811,FALSE)</f>
        <v>#N/A</v>
      </c>
      <c r="L48" s="93" t="e">
        <f>VLOOKUP(A1,DIV_08Data!$A$1:$DZU$1000000,812,FALSE)</f>
        <v>#N/A</v>
      </c>
      <c r="M48" s="33" t="e">
        <f>VLOOKUP(A1,DIV_08Data!$A$1:$DZU$1000000,813,FALSE)</f>
        <v>#N/A</v>
      </c>
      <c r="N48" s="34" t="e">
        <f>VLOOKUP(A1,DIV_08Data!$A$1:$DZU$1000000,814,FALSE)</f>
        <v>#N/A</v>
      </c>
      <c r="O48" s="33" t="e">
        <f>VLOOKUP(A1,DIV_08Data!$A$1:$DZU$1000000,815,FALSE)</f>
        <v>#N/A</v>
      </c>
      <c r="P48" s="46" t="e">
        <f>VLOOKUP(A1,DIV_08Data!$A$1:$DZU$1000000,816,FALSE)</f>
        <v>#N/A</v>
      </c>
      <c r="Q48" s="33" t="e">
        <f>VLOOKUP(A1,DIV_08Data!$A$1:$DZU$1000000,817,FALSE)</f>
        <v>#N/A</v>
      </c>
    </row>
    <row r="49" spans="1:17" x14ac:dyDescent="0.35">
      <c r="A49" s="22" t="e">
        <f>VLOOKUP(A1,DIV_08Data!$A$1:$DZU$1000000,818,FALSE)</f>
        <v>#N/A</v>
      </c>
      <c r="B49" s="37" t="e">
        <f>VLOOKUP(A1,DIV_08Data!$A$1:$DZU$1000000,819,FALSE)</f>
        <v>#N/A</v>
      </c>
      <c r="C49" s="38" t="e">
        <f>VLOOKUP(A1,DIV_08Data!$A$1:$DZU$1000000,820,FALSE)</f>
        <v>#N/A</v>
      </c>
      <c r="D49" s="31" t="e">
        <f>VLOOKUP(A1,DIV_08Data!$A$1:$DZU$1000000,821,FALSE)</f>
        <v>#N/A</v>
      </c>
      <c r="E49" s="32" t="e">
        <f>VLOOKUP(A1,DIV_08Data!$A$1:$DZU$1000000,822,FALSE)</f>
        <v>#N/A</v>
      </c>
      <c r="F49" s="34" t="e">
        <f>VLOOKUP(A1,DIV_08Data!$A$1:$DZU$1000000,823,FALSE)</f>
        <v>#N/A</v>
      </c>
      <c r="G49" s="33" t="e">
        <f>VLOOKUP(A1,DIV_08Data!$A$1:$DZU$1000000,824,FALSE)</f>
        <v>#N/A</v>
      </c>
      <c r="H49" s="34" t="e">
        <f>VLOOKUP(A1,DIV_08Data!$A$1:$DZU$1000000,825,FALSE)</f>
        <v>#N/A</v>
      </c>
      <c r="I49" s="33" t="e">
        <f>VLOOKUP(A1,DIV_08Data!$A$1:$DZU$1000000,826,FALSE)</f>
        <v>#N/A</v>
      </c>
      <c r="J49" s="34" t="e">
        <f>VLOOKUP(A1,DIV_08Data!$A$1:$DZU$1000000,827,FALSE)</f>
        <v>#N/A</v>
      </c>
      <c r="K49" s="34" t="e">
        <f>VLOOKUP(A1,DIV_08Data!$A$1:$DZU$1000000,828,FALSE)</f>
        <v>#N/A</v>
      </c>
      <c r="L49" s="93" t="e">
        <f>VLOOKUP(A1,DIV_08Data!$A$1:$DZU$1000000,829,FALSE)</f>
        <v>#N/A</v>
      </c>
      <c r="M49" s="33" t="e">
        <f>VLOOKUP(A1,DIV_08Data!$A$1:$DZU$1000000,830,FALSE)</f>
        <v>#N/A</v>
      </c>
      <c r="N49" s="34" t="e">
        <f>VLOOKUP(A1,DIV_08Data!$A$1:$DZU$1000000,831,FALSE)</f>
        <v>#N/A</v>
      </c>
      <c r="O49" s="33" t="e">
        <f>VLOOKUP(A1,DIV_08Data!$A$1:$DZU$1000000,832,FALSE)</f>
        <v>#N/A</v>
      </c>
      <c r="P49" s="46" t="e">
        <f>VLOOKUP(A1,DIV_08Data!$A$1:$DZU$1000000,833,FALSE)</f>
        <v>#N/A</v>
      </c>
      <c r="Q49" s="33" t="e">
        <f>VLOOKUP(A1,DIV_08Data!$A$1:$DZU$1000000,834,FALSE)</f>
        <v>#N/A</v>
      </c>
    </row>
    <row r="50" spans="1:17" x14ac:dyDescent="0.35">
      <c r="A50" s="22" t="e">
        <f>VLOOKUP(A1,DIV_08Data!$A$1:$DZU$1000000,835,FALSE)</f>
        <v>#N/A</v>
      </c>
      <c r="B50" s="37" t="e">
        <f>VLOOKUP(A1,DIV_08Data!$A$1:$DZU$1000000,836,FALSE)</f>
        <v>#N/A</v>
      </c>
      <c r="C50" s="38" t="e">
        <f>VLOOKUP(A1,DIV_08Data!$A$1:$DZU$1000000,837,FALSE)</f>
        <v>#N/A</v>
      </c>
      <c r="D50" s="31" t="e">
        <f>VLOOKUP(A1,DIV_08Data!$A$1:$DZU$1000000,838,FALSE)</f>
        <v>#N/A</v>
      </c>
      <c r="E50" s="32" t="e">
        <f>VLOOKUP(A1,DIV_08Data!$A$1:$DZU$1000000,839,FALSE)</f>
        <v>#N/A</v>
      </c>
      <c r="F50" s="34" t="e">
        <f>VLOOKUP(A1,DIV_08Data!$A$1:$DZU$1000000,840,FALSE)</f>
        <v>#N/A</v>
      </c>
      <c r="G50" s="33" t="e">
        <f>VLOOKUP(A1,DIV_08Data!$A$1:$DZU$1000000,841,FALSE)</f>
        <v>#N/A</v>
      </c>
      <c r="H50" s="34" t="e">
        <f>VLOOKUP(A1,DIV_08Data!$A$1:$DZU$1000000,842,FALSE)</f>
        <v>#N/A</v>
      </c>
      <c r="I50" s="33" t="e">
        <f>VLOOKUP(A1,DIV_08Data!$A$1:$DZU$1000000,843,FALSE)</f>
        <v>#N/A</v>
      </c>
      <c r="J50" s="34" t="e">
        <f>VLOOKUP(A1,DIV_08Data!$A$1:$DZU$1000000,844,FALSE)</f>
        <v>#N/A</v>
      </c>
      <c r="K50" s="34" t="e">
        <f>VLOOKUP(A1,DIV_08Data!$A$1:$DZU$1000000,845,FALSE)</f>
        <v>#N/A</v>
      </c>
      <c r="L50" s="93" t="e">
        <f>VLOOKUP(A1,DIV_08Data!$A$1:$DZU$1000000,846,FALSE)</f>
        <v>#N/A</v>
      </c>
      <c r="M50" s="33" t="e">
        <f>VLOOKUP(A1,DIV_08Data!$A$1:$DZU$1000000,847,FALSE)</f>
        <v>#N/A</v>
      </c>
      <c r="N50" s="34" t="e">
        <f>VLOOKUP(A1,DIV_08Data!$A$1:$DZU$1000000,848,FALSE)</f>
        <v>#N/A</v>
      </c>
      <c r="O50" s="33" t="e">
        <f>VLOOKUP(A1,DIV_08Data!$A$1:$DZU$1000000,849,FALSE)</f>
        <v>#N/A</v>
      </c>
      <c r="P50" s="46" t="e">
        <f>VLOOKUP(A1,DIV_08Data!$A$1:$DZU$1000000,850,FALSE)</f>
        <v>#N/A</v>
      </c>
      <c r="Q50" s="33" t="e">
        <f>VLOOKUP(A1,DIV_08Data!$A$1:$DZU$1000000,851,FALSE)</f>
        <v>#N/A</v>
      </c>
    </row>
    <row r="51" spans="1:17" x14ac:dyDescent="0.35">
      <c r="A51" s="22" t="e">
        <f>VLOOKUP(A1,DIV_08Data!$A$1:$DZU$1000000,852,FALSE)</f>
        <v>#N/A</v>
      </c>
      <c r="B51" s="37" t="e">
        <f>VLOOKUP(A1,DIV_08Data!$A$1:$DZU$1000000,853,FALSE)</f>
        <v>#N/A</v>
      </c>
      <c r="C51" s="38" t="e">
        <f>VLOOKUP(A1,DIV_08Data!$A$1:$DZU$1000000,854,FALSE)</f>
        <v>#N/A</v>
      </c>
      <c r="D51" s="31" t="e">
        <f>VLOOKUP(A1,DIV_08Data!$A$1:$DZU$1000000,855,FALSE)</f>
        <v>#N/A</v>
      </c>
      <c r="E51" s="32" t="e">
        <f>VLOOKUP(A1,DIV_08Data!$A$1:$DZU$1000000,856,FALSE)</f>
        <v>#N/A</v>
      </c>
      <c r="F51" s="34" t="e">
        <f>VLOOKUP(A1,DIV_08Data!$A$1:$DZU$1000000,857,FALSE)</f>
        <v>#N/A</v>
      </c>
      <c r="G51" s="33" t="e">
        <f>VLOOKUP(A1,DIV_08Data!$A$1:$DZU$1000000,858,FALSE)</f>
        <v>#N/A</v>
      </c>
      <c r="H51" s="34" t="e">
        <f>VLOOKUP(A1,DIV_08Data!$A$1:$DZU$1000000,859,FALSE)</f>
        <v>#N/A</v>
      </c>
      <c r="I51" s="33" t="e">
        <f>VLOOKUP(A1,DIV_08Data!$A$1:$DZU$1000000,860,FALSE)</f>
        <v>#N/A</v>
      </c>
      <c r="J51" s="34" t="e">
        <f>VLOOKUP(A1,DIV_08Data!$A$1:$DZU$1000000,861,FALSE)</f>
        <v>#N/A</v>
      </c>
      <c r="K51" s="34" t="e">
        <f>VLOOKUP(A1,DIV_08Data!$A$1:$DZU$1000000,862,FALSE)</f>
        <v>#N/A</v>
      </c>
      <c r="L51" s="93" t="e">
        <f>VLOOKUP(A1,DIV_08Data!$A$1:$DZU$1000000,863,FALSE)</f>
        <v>#N/A</v>
      </c>
      <c r="M51" s="33" t="e">
        <f>VLOOKUP(A1,DIV_08Data!$A$1:$DZU$1000000,864,FALSE)</f>
        <v>#N/A</v>
      </c>
      <c r="N51" s="34" t="e">
        <f>VLOOKUP(A1,DIV_08Data!$A$1:$DZU$1000000,865,FALSE)</f>
        <v>#N/A</v>
      </c>
      <c r="O51" s="33" t="e">
        <f>VLOOKUP(A1,DIV_08Data!$A$1:$DZU$1000000,866,FALSE)</f>
        <v>#N/A</v>
      </c>
      <c r="P51" s="46" t="e">
        <f>VLOOKUP(A1,DIV_08Data!$A$1:$DZU$1000000,867,FALSE)</f>
        <v>#N/A</v>
      </c>
      <c r="Q51" s="33" t="e">
        <f>VLOOKUP(A1,DIV_08Data!$A$1:$DZU$1000000,868,FALSE)</f>
        <v>#N/A</v>
      </c>
    </row>
    <row r="52" spans="1:17" x14ac:dyDescent="0.35">
      <c r="A52" s="22" t="e">
        <f>VLOOKUP(A1,DIV_08Data!$A$1:$DZU$1000000,869,FALSE)</f>
        <v>#N/A</v>
      </c>
      <c r="B52" s="37" t="e">
        <f>VLOOKUP(A1,DIV_08Data!$A$1:$DZU$1000000,870,FALSE)</f>
        <v>#N/A</v>
      </c>
      <c r="C52" s="38" t="e">
        <f>VLOOKUP(A1,DIV_08Data!$A$1:$DZU$1000000,871,FALSE)</f>
        <v>#N/A</v>
      </c>
      <c r="D52" s="31" t="e">
        <f>VLOOKUP(A1,DIV_08Data!$A$1:$DZU$1000000,872,FALSE)</f>
        <v>#N/A</v>
      </c>
      <c r="E52" s="32" t="e">
        <f>VLOOKUP(A1,DIV_08Data!$A$1:$DZU$1000000,873,FALSE)</f>
        <v>#N/A</v>
      </c>
      <c r="F52" s="34" t="e">
        <f>VLOOKUP(A1,DIV_08Data!$A$1:$DZU$1000000,874,FALSE)</f>
        <v>#N/A</v>
      </c>
      <c r="G52" s="33" t="e">
        <f>VLOOKUP(A1,DIV_08Data!$A$1:$DZU$1000000,875,FALSE)</f>
        <v>#N/A</v>
      </c>
      <c r="H52" s="34" t="e">
        <f>VLOOKUP(A1,DIV_08Data!$A$1:$DZU$1000000,876,FALSE)</f>
        <v>#N/A</v>
      </c>
      <c r="I52" s="33" t="e">
        <f>VLOOKUP(A1,DIV_08Data!$A$1:$DZU$1000000,877,FALSE)</f>
        <v>#N/A</v>
      </c>
      <c r="J52" s="34" t="e">
        <f>VLOOKUP(A1,DIV_08Data!$A$1:$DZU$1000000,878,FALSE)</f>
        <v>#N/A</v>
      </c>
      <c r="K52" s="34" t="e">
        <f>VLOOKUP(A1,DIV_08Data!$A$1:$DZU$1000000,879,FALSE)</f>
        <v>#N/A</v>
      </c>
      <c r="L52" s="93" t="e">
        <f>VLOOKUP(A1,DIV_08Data!$A$1:$DZU$1000000,880,FALSE)</f>
        <v>#N/A</v>
      </c>
      <c r="M52" s="33" t="e">
        <f>VLOOKUP(A1,DIV_08Data!$A$1:$DZU$1000000,881,FALSE)</f>
        <v>#N/A</v>
      </c>
      <c r="N52" s="34" t="e">
        <f>VLOOKUP(A1,DIV_08Data!$A$1:$DZU$1000000,882,FALSE)</f>
        <v>#N/A</v>
      </c>
      <c r="O52" s="33" t="e">
        <f>VLOOKUP(A1,DIV_08Data!$A$1:$DZU$1000000,883,FALSE)</f>
        <v>#N/A</v>
      </c>
      <c r="P52" s="46" t="e">
        <f>VLOOKUP(A1,DIV_08Data!$A$1:$DZU$1000000,884,FALSE)</f>
        <v>#N/A</v>
      </c>
      <c r="Q52" s="33" t="e">
        <f>VLOOKUP(A1,DIV_08Data!$A$1:$DZU$1000000,885,FALSE)</f>
        <v>#N/A</v>
      </c>
    </row>
    <row r="53" spans="1:17" x14ac:dyDescent="0.35">
      <c r="A53" s="22" t="e">
        <f>VLOOKUP(A1,DIV_08Data!$A$1:$DZU$1000000,886,FALSE)</f>
        <v>#N/A</v>
      </c>
      <c r="B53" s="37" t="e">
        <f>VLOOKUP(A1,DIV_08Data!$A$1:$DZU$1000000,887,FALSE)</f>
        <v>#N/A</v>
      </c>
      <c r="C53" s="38" t="e">
        <f>VLOOKUP(A1,DIV_08Data!$A$1:$DZU$1000000,888,FALSE)</f>
        <v>#N/A</v>
      </c>
      <c r="D53" s="31" t="e">
        <f>VLOOKUP(A1,DIV_08Data!$A$1:$DZU$1000000,889,FALSE)</f>
        <v>#N/A</v>
      </c>
      <c r="E53" s="32" t="e">
        <f>VLOOKUP(A1,DIV_08Data!$A$1:$DZU$1000000,890,FALSE)</f>
        <v>#N/A</v>
      </c>
      <c r="F53" s="34" t="e">
        <f>VLOOKUP(A1,DIV_08Data!$A$1:$DZU$1000000,891,FALSE)</f>
        <v>#N/A</v>
      </c>
      <c r="G53" s="33" t="e">
        <f>VLOOKUP(A1,DIV_08Data!$A$1:$DZU$1000000,892,FALSE)</f>
        <v>#N/A</v>
      </c>
      <c r="H53" s="34" t="e">
        <f>VLOOKUP(A1,DIV_08Data!$A$1:$DZU$1000000,893,FALSE)</f>
        <v>#N/A</v>
      </c>
      <c r="I53" s="33" t="e">
        <f>VLOOKUP(A1,DIV_08Data!$A$1:$DZU$1000000,894,FALSE)</f>
        <v>#N/A</v>
      </c>
      <c r="J53" s="34" t="e">
        <f>VLOOKUP(A1,DIV_08Data!$A$1:$DZU$1000000,895,FALSE)</f>
        <v>#N/A</v>
      </c>
      <c r="K53" s="34" t="e">
        <f>VLOOKUP(A1,DIV_08Data!$A$1:$DZU$1000000,896,FALSE)</f>
        <v>#N/A</v>
      </c>
      <c r="L53" s="93" t="e">
        <f>VLOOKUP(A1,DIV_08Data!$A$1:$DZU$1000000,897,FALSE)</f>
        <v>#N/A</v>
      </c>
      <c r="M53" s="33" t="e">
        <f>VLOOKUP(A1,DIV_08Data!$A$1:$DZU$1000000,898,FALSE)</f>
        <v>#N/A</v>
      </c>
      <c r="N53" s="34" t="e">
        <f>VLOOKUP(A1,DIV_08Data!$A$1:$DZU$1000000,899,FALSE)</f>
        <v>#N/A</v>
      </c>
      <c r="O53" s="33" t="e">
        <f>VLOOKUP(A1,DIV_08Data!$A$1:$DZU$1000000,900,FALSE)</f>
        <v>#N/A</v>
      </c>
      <c r="P53" s="46" t="e">
        <f>VLOOKUP(A1,DIV_08Data!$A$1:$DZU$1000000,901,FALSE)</f>
        <v>#N/A</v>
      </c>
      <c r="Q53" s="33" t="e">
        <f>VLOOKUP(A1,DIV_08Data!$A$1:$DZU$1000000,902,FALSE)</f>
        <v>#N/A</v>
      </c>
    </row>
    <row r="54" spans="1:17" x14ac:dyDescent="0.35">
      <c r="A54" s="22" t="e">
        <f>VLOOKUP(A1,DIV_08Data!$A$1:$DZU$1000000,903,FALSE)</f>
        <v>#N/A</v>
      </c>
      <c r="B54" s="37" t="e">
        <f>VLOOKUP(A1,DIV_08Data!$A$1:$DZU$1000000,904,FALSE)</f>
        <v>#N/A</v>
      </c>
      <c r="C54" s="38" t="e">
        <f>VLOOKUP(A1,DIV_08Data!$A$1:$DZU$1000000,905,FALSE)</f>
        <v>#N/A</v>
      </c>
      <c r="D54" s="31" t="e">
        <f>VLOOKUP(A1,DIV_08Data!$A$1:$DZU$1000000,906,FALSE)</f>
        <v>#N/A</v>
      </c>
      <c r="E54" s="32" t="e">
        <f>VLOOKUP(A1,DIV_08Data!$A$1:$DZU$1000000,907,FALSE)</f>
        <v>#N/A</v>
      </c>
      <c r="F54" s="34" t="e">
        <f>VLOOKUP(A1,DIV_08Data!$A$1:$DZU$1000000,908,FALSE)</f>
        <v>#N/A</v>
      </c>
      <c r="G54" s="33" t="e">
        <f>VLOOKUP(A1,DIV_08Data!$A$1:$DZU$1000000,909,FALSE)</f>
        <v>#N/A</v>
      </c>
      <c r="H54" s="34" t="e">
        <f>VLOOKUP(A1,DIV_08Data!$A$1:$DZU$1000000,910,FALSE)</f>
        <v>#N/A</v>
      </c>
      <c r="I54" s="33" t="e">
        <f>VLOOKUP(A1,DIV_08Data!$A$1:$DZU$1000000,911,FALSE)</f>
        <v>#N/A</v>
      </c>
      <c r="J54" s="34" t="e">
        <f>VLOOKUP(A1,DIV_08Data!$A$1:$DZU$1000000,912,FALSE)</f>
        <v>#N/A</v>
      </c>
      <c r="K54" s="34" t="e">
        <f>VLOOKUP(A1,DIV_08Data!$A$1:$DZU$1000000,913,FALSE)</f>
        <v>#N/A</v>
      </c>
      <c r="L54" s="93" t="e">
        <f>VLOOKUP(A1,DIV_08Data!$A$1:$DZU$1000000,914,FALSE)</f>
        <v>#N/A</v>
      </c>
      <c r="M54" s="33" t="e">
        <f>VLOOKUP(A1,DIV_08Data!$A$1:$DZU$1000000,915,FALSE)</f>
        <v>#N/A</v>
      </c>
      <c r="N54" s="34" t="e">
        <f>VLOOKUP(A1,DIV_08Data!$A$1:$DZU$1000000,916,FALSE)</f>
        <v>#N/A</v>
      </c>
      <c r="O54" s="33" t="e">
        <f>VLOOKUP(A1,DIV_08Data!$A$1:$DZU$1000000,917,FALSE)</f>
        <v>#N/A</v>
      </c>
      <c r="P54" s="46" t="e">
        <f>VLOOKUP(A1,DIV_08Data!$A$1:$DZU$1000000,918,FALSE)</f>
        <v>#N/A</v>
      </c>
      <c r="Q54" s="33" t="e">
        <f>VLOOKUP(A1,DIV_08Data!$A$1:$DZU$1000000,919,FALSE)</f>
        <v>#N/A</v>
      </c>
    </row>
    <row r="55" spans="1:17" x14ac:dyDescent="0.35">
      <c r="A55" s="22" t="e">
        <f>VLOOKUP(A1,DIV_08Data!$A$1:$DZU$1000000,920,FALSE)</f>
        <v>#N/A</v>
      </c>
      <c r="B55" s="37" t="e">
        <f>VLOOKUP(A1,DIV_08Data!$A$1:$DZU$1000000,921,FALSE)</f>
        <v>#N/A</v>
      </c>
      <c r="C55" s="38" t="e">
        <f>VLOOKUP(A1,DIV_08Data!$A$1:$DZU$1000000,922,FALSE)</f>
        <v>#N/A</v>
      </c>
      <c r="D55" s="31" t="e">
        <f>VLOOKUP(A1,DIV_08Data!$A$1:$DZU$1000000,923,FALSE)</f>
        <v>#N/A</v>
      </c>
      <c r="E55" s="32" t="e">
        <f>VLOOKUP(A1,DIV_08Data!$A$1:$DZU$1000000,924,FALSE)</f>
        <v>#N/A</v>
      </c>
      <c r="F55" s="34" t="e">
        <f>VLOOKUP(A1,DIV_08Data!$A$1:$DZU$1000000,925,FALSE)</f>
        <v>#N/A</v>
      </c>
      <c r="G55" s="33" t="e">
        <f>VLOOKUP(A1,DIV_08Data!$A$1:$DZU$1000000,926,FALSE)</f>
        <v>#N/A</v>
      </c>
      <c r="H55" s="34" t="e">
        <f>VLOOKUP(A1,DIV_08Data!$A$1:$DZU$1000000,927,FALSE)</f>
        <v>#N/A</v>
      </c>
      <c r="I55" s="33" t="e">
        <f>VLOOKUP(A1,DIV_08Data!$A$1:$DZU$1000000,928,FALSE)</f>
        <v>#N/A</v>
      </c>
      <c r="J55" s="34" t="e">
        <f>VLOOKUP(A1,DIV_08Data!$A$1:$DZU$1000000,929,FALSE)</f>
        <v>#N/A</v>
      </c>
      <c r="K55" s="34" t="e">
        <f>VLOOKUP(A1,DIV_08Data!$A$1:$DZU$1000000,930,FALSE)</f>
        <v>#N/A</v>
      </c>
      <c r="L55" s="93" t="e">
        <f>VLOOKUP(A1,DIV_08Data!$A$1:$DZU$1000000,931,FALSE)</f>
        <v>#N/A</v>
      </c>
      <c r="M55" s="33" t="e">
        <f>VLOOKUP(A1,DIV_08Data!$A$1:$DZU$1000000,932,FALSE)</f>
        <v>#N/A</v>
      </c>
      <c r="N55" s="34" t="e">
        <f>VLOOKUP(A1,DIV_08Data!$A$1:$DZU$1000000,933,FALSE)</f>
        <v>#N/A</v>
      </c>
      <c r="O55" s="33" t="e">
        <f>VLOOKUP(A1,DIV_08Data!$A$1:$DZU$1000000,934,FALSE)</f>
        <v>#N/A</v>
      </c>
      <c r="P55" s="46" t="e">
        <f>VLOOKUP(A1,DIV_08Data!$A$1:$DZU$1000000,935,FALSE)</f>
        <v>#N/A</v>
      </c>
      <c r="Q55" s="33" t="e">
        <f>VLOOKUP(A1,DIV_08Data!$A$1:$DZU$1000000,936,FALSE)</f>
        <v>#N/A</v>
      </c>
    </row>
    <row r="56" spans="1:17" x14ac:dyDescent="0.35">
      <c r="A56" s="22" t="e">
        <f>VLOOKUP(A1,DIV_08Data!$A$1:$DZU$1000000,937,FALSE)</f>
        <v>#N/A</v>
      </c>
      <c r="B56" s="37" t="e">
        <f>VLOOKUP(A1,DIV_08Data!$A$1:$DZU$1000000,938,FALSE)</f>
        <v>#N/A</v>
      </c>
      <c r="C56" s="38" t="e">
        <f>VLOOKUP(A1,DIV_08Data!$A$1:$DZU$1000000,939,FALSE)</f>
        <v>#N/A</v>
      </c>
      <c r="D56" s="31" t="e">
        <f>VLOOKUP(A1,DIV_08Data!$A$1:$DZU$1000000,940,FALSE)</f>
        <v>#N/A</v>
      </c>
      <c r="E56" s="32" t="e">
        <f>VLOOKUP(A1,DIV_08Data!$A$1:$DZU$1000000,941,FALSE)</f>
        <v>#N/A</v>
      </c>
      <c r="F56" s="34" t="e">
        <f>VLOOKUP(A1,DIV_08Data!$A$1:$DZU$1000000,942,FALSE)</f>
        <v>#N/A</v>
      </c>
      <c r="G56" s="33" t="e">
        <f>VLOOKUP(A1,DIV_08Data!$A$1:$DZU$1000000,943,FALSE)</f>
        <v>#N/A</v>
      </c>
      <c r="H56" s="34" t="e">
        <f>VLOOKUP(A1,DIV_08Data!$A$1:$DZU$1000000,944,FALSE)</f>
        <v>#N/A</v>
      </c>
      <c r="I56" s="33" t="e">
        <f>VLOOKUP(A1,DIV_08Data!$A$1:$DZU$1000000,945,FALSE)</f>
        <v>#N/A</v>
      </c>
      <c r="J56" s="34" t="e">
        <f>VLOOKUP(A1,DIV_08Data!$A$1:$DZU$1000000,946,FALSE)</f>
        <v>#N/A</v>
      </c>
      <c r="K56" s="34" t="e">
        <f>VLOOKUP(A1,DIV_08Data!$A$1:$DZU$1000000,947,FALSE)</f>
        <v>#N/A</v>
      </c>
      <c r="L56" s="93" t="e">
        <f>VLOOKUP(A1,DIV_08Data!$A$1:$DZU$1000000,948,FALSE)</f>
        <v>#N/A</v>
      </c>
      <c r="M56" s="33" t="e">
        <f>VLOOKUP(A1,DIV_08Data!$A$1:$DZU$1000000,949,FALSE)</f>
        <v>#N/A</v>
      </c>
      <c r="N56" s="34" t="e">
        <f>VLOOKUP(A1,DIV_08Data!$A$1:$DZU$1000000,950,FALSE)</f>
        <v>#N/A</v>
      </c>
      <c r="O56" s="33" t="e">
        <f>VLOOKUP(A1,DIV_08Data!$A$1:$DZU$1000000,951,FALSE)</f>
        <v>#N/A</v>
      </c>
      <c r="P56" s="46" t="e">
        <f>VLOOKUP(A1,DIV_08Data!$A$1:$DZU$1000000,952,FALSE)</f>
        <v>#N/A</v>
      </c>
      <c r="Q56" s="33" t="e">
        <f>VLOOKUP(A1,DIV_08Data!$A$1:$DZU$1000000,953,FALSE)</f>
        <v>#N/A</v>
      </c>
    </row>
    <row r="57" spans="1:17" x14ac:dyDescent="0.35">
      <c r="A57" s="22" t="e">
        <f>VLOOKUP(A1,DIV_08Data!$A$1:$DZU$1000000,954,FALSE)</f>
        <v>#N/A</v>
      </c>
      <c r="B57" s="37" t="e">
        <f>VLOOKUP(A1,DIV_08Data!$A$1:$DZU$1000000,955,FALSE)</f>
        <v>#N/A</v>
      </c>
      <c r="C57" s="38" t="e">
        <f>VLOOKUP(A1,DIV_08Data!$A$1:$DZU$1000000,956,FALSE)</f>
        <v>#N/A</v>
      </c>
      <c r="D57" s="31" t="e">
        <f>VLOOKUP(A1,DIV_08Data!$A$1:$DZU$1000000,957,FALSE)</f>
        <v>#N/A</v>
      </c>
      <c r="E57" s="32" t="e">
        <f>VLOOKUP(A1,DIV_08Data!$A$1:$DZU$1000000,958,FALSE)</f>
        <v>#N/A</v>
      </c>
      <c r="F57" s="34" t="e">
        <f>VLOOKUP(A1,DIV_08Data!$A$1:$DZU$1000000,959,FALSE)</f>
        <v>#N/A</v>
      </c>
      <c r="G57" s="33" t="e">
        <f>VLOOKUP(A1,DIV_08Data!$A$1:$DZU$1000000,960,FALSE)</f>
        <v>#N/A</v>
      </c>
      <c r="H57" s="34" t="e">
        <f>VLOOKUP(A1,DIV_08Data!$A$1:$DZU$1000000,961,FALSE)</f>
        <v>#N/A</v>
      </c>
      <c r="I57" s="33" t="e">
        <f>VLOOKUP(A1,DIV_08Data!$A$1:$DZU$1000000,962,FALSE)</f>
        <v>#N/A</v>
      </c>
      <c r="J57" s="34" t="e">
        <f>VLOOKUP(A1,DIV_08Data!$A$1:$DZU$1000000,963,FALSE)</f>
        <v>#N/A</v>
      </c>
      <c r="K57" s="34" t="e">
        <f>VLOOKUP(A1,DIV_08Data!$A$1:$DZU$1000000,964,FALSE)</f>
        <v>#N/A</v>
      </c>
      <c r="L57" s="93" t="e">
        <f>VLOOKUP(A1,DIV_08Data!$A$1:$DZU$1000000,965,FALSE)</f>
        <v>#N/A</v>
      </c>
      <c r="M57" s="33" t="e">
        <f>VLOOKUP(A1,DIV_08Data!$A$1:$DZU$1000000,966,FALSE)</f>
        <v>#N/A</v>
      </c>
      <c r="N57" s="34" t="e">
        <f>VLOOKUP(A1,DIV_08Data!$A$1:$DZU$1000000,967,FALSE)</f>
        <v>#N/A</v>
      </c>
      <c r="O57" s="33" t="e">
        <f>VLOOKUP(A1,DIV_08Data!$A$1:$DZU$1000000,968,FALSE)</f>
        <v>#N/A</v>
      </c>
      <c r="P57" s="46" t="e">
        <f>VLOOKUP(A1,DIV_08Data!$A$1:$DZU$1000000,969,FALSE)</f>
        <v>#N/A</v>
      </c>
      <c r="Q57" s="33" t="e">
        <f>VLOOKUP(A1,DIV_08Data!$A$1:$DZU$1000000,970,FALSE)</f>
        <v>#N/A</v>
      </c>
    </row>
    <row r="58" spans="1:17" x14ac:dyDescent="0.35">
      <c r="A58" s="22" t="e">
        <f>VLOOKUP(A1,DIV_08Data!$A$1:$DZU$1000000,971,FALSE)</f>
        <v>#N/A</v>
      </c>
      <c r="B58" s="37" t="e">
        <f>VLOOKUP(A1,DIV_08Data!$A$1:$DZU$1000000,972,FALSE)</f>
        <v>#N/A</v>
      </c>
      <c r="C58" s="38" t="e">
        <f>VLOOKUP(A1,DIV_08Data!$A$1:$DZU$1000000,973,FALSE)</f>
        <v>#N/A</v>
      </c>
      <c r="D58" s="31" t="e">
        <f>VLOOKUP(A1,DIV_08Data!$A$1:$DZU$1000000,974,FALSE)</f>
        <v>#N/A</v>
      </c>
      <c r="E58" s="32" t="e">
        <f>VLOOKUP(A1,DIV_08Data!$A$1:$DZU$1000000,975,FALSE)</f>
        <v>#N/A</v>
      </c>
      <c r="F58" s="34" t="e">
        <f>VLOOKUP(A1,DIV_08Data!$A$1:$DZU$1000000,976,FALSE)</f>
        <v>#N/A</v>
      </c>
      <c r="G58" s="33" t="e">
        <f>VLOOKUP(A1,DIV_08Data!$A$1:$DZU$1000000,977,FALSE)</f>
        <v>#N/A</v>
      </c>
      <c r="H58" s="34" t="e">
        <f>VLOOKUP(A1,DIV_08Data!$A$1:$DZU$1000000,978,FALSE)</f>
        <v>#N/A</v>
      </c>
      <c r="I58" s="33" t="e">
        <f>VLOOKUP(A1,DIV_08Data!$A$1:$DZU$1000000,979,FALSE)</f>
        <v>#N/A</v>
      </c>
      <c r="J58" s="34" t="e">
        <f>VLOOKUP(A1,DIV_08Data!$A$1:$DZU$1000000,980,FALSE)</f>
        <v>#N/A</v>
      </c>
      <c r="K58" s="34" t="e">
        <f>VLOOKUP(A1,DIV_08Data!$A$1:$DZU$1000000,981,FALSE)</f>
        <v>#N/A</v>
      </c>
      <c r="L58" s="93" t="e">
        <f>VLOOKUP(A1,DIV_08Data!$A$1:$DZU$1000000,982,FALSE)</f>
        <v>#N/A</v>
      </c>
      <c r="M58" s="33" t="e">
        <f>VLOOKUP(A1,DIV_08Data!$A$1:$DZU$1000000,983,FALSE)</f>
        <v>#N/A</v>
      </c>
      <c r="N58" s="34" t="e">
        <f>VLOOKUP(A1,DIV_08Data!$A$1:$DZU$1000000,984,FALSE)</f>
        <v>#N/A</v>
      </c>
      <c r="O58" s="33" t="e">
        <f>VLOOKUP(A1,DIV_08Data!$A$1:$DZU$1000000,985,FALSE)</f>
        <v>#N/A</v>
      </c>
      <c r="P58" s="46" t="e">
        <f>VLOOKUP(A1,DIV_08Data!$A$1:$DZU$1000000,986,FALSE)</f>
        <v>#N/A</v>
      </c>
      <c r="Q58" s="33" t="e">
        <f>VLOOKUP(A1,DIV_08Data!$A$1:$DZU$1000000,987,FALSE)</f>
        <v>#N/A</v>
      </c>
    </row>
    <row r="59" spans="1:17" x14ac:dyDescent="0.35">
      <c r="A59" s="22" t="e">
        <f>VLOOKUP(A1,DIV_08Data!$A$1:$DZU$1000000,988,FALSE)</f>
        <v>#N/A</v>
      </c>
      <c r="B59" s="37" t="e">
        <f>VLOOKUP(A1,DIV_08Data!$A$1:$DZU$1000000,989,FALSE)</f>
        <v>#N/A</v>
      </c>
      <c r="C59" s="38" t="e">
        <f>VLOOKUP(A1,DIV_08Data!$A$1:$DZU$1000000,990,FALSE)</f>
        <v>#N/A</v>
      </c>
      <c r="D59" s="31" t="e">
        <f>VLOOKUP(A1,DIV_08Data!$A$1:$DZU$1000000,991,FALSE)</f>
        <v>#N/A</v>
      </c>
      <c r="E59" s="32" t="e">
        <f>VLOOKUP(A1,DIV_08Data!$A$1:$DZU$1000000,992,FALSE)</f>
        <v>#N/A</v>
      </c>
      <c r="F59" s="34" t="e">
        <f>VLOOKUP(A1,DIV_08Data!$A$1:$DZU$1000000,993,FALSE)</f>
        <v>#N/A</v>
      </c>
      <c r="G59" s="33" t="e">
        <f>VLOOKUP(A1,DIV_08Data!$A$1:$DZU$1000000,994,FALSE)</f>
        <v>#N/A</v>
      </c>
      <c r="H59" s="34" t="e">
        <f>VLOOKUP(A1,DIV_08Data!$A$1:$DZU$1000000,995,FALSE)</f>
        <v>#N/A</v>
      </c>
      <c r="I59" s="33" t="e">
        <f>VLOOKUP(A1,DIV_08Data!$A$1:$DZU$1000000,996,FALSE)</f>
        <v>#N/A</v>
      </c>
      <c r="J59" s="34" t="e">
        <f>VLOOKUP(A1,DIV_08Data!$A$1:$DZU$1000000,997,FALSE)</f>
        <v>#N/A</v>
      </c>
      <c r="K59" s="34" t="e">
        <f>VLOOKUP(A1,DIV_08Data!$A$1:$DZU$1000000,998,FALSE)</f>
        <v>#N/A</v>
      </c>
      <c r="L59" s="93" t="e">
        <f>VLOOKUP(A1,DIV_08Data!$A$1:$DZU$1000000,999,FALSE)</f>
        <v>#N/A</v>
      </c>
      <c r="M59" s="33" t="e">
        <f>VLOOKUP(A1,DIV_08Data!$A$1:$DZU$1000000,1000,FALSE)</f>
        <v>#N/A</v>
      </c>
      <c r="N59" s="34" t="e">
        <f>VLOOKUP(A1,DIV_08Data!$A$1:$DZU$1000000,1001,FALSE)</f>
        <v>#N/A</v>
      </c>
      <c r="O59" s="33" t="e">
        <f>VLOOKUP(A1,DIV_08Data!$A$1:$DZU$1000000,1002,FALSE)</f>
        <v>#N/A</v>
      </c>
      <c r="P59" s="46" t="e">
        <f>VLOOKUP(A1,DIV_08Data!$A$1:$DZU$1000000,1003,FALSE)</f>
        <v>#N/A</v>
      </c>
      <c r="Q59" s="33" t="e">
        <f>VLOOKUP(A1,DIV_08Data!$A$1:$DZU$1000000,1004,FALSE)</f>
        <v>#N/A</v>
      </c>
    </row>
    <row r="60" spans="1:17" x14ac:dyDescent="0.35">
      <c r="A60" s="22" t="e">
        <f>VLOOKUP(A1,DIV_08Data!$A$1:$DZU$1000000,1005,FALSE)</f>
        <v>#N/A</v>
      </c>
      <c r="B60" s="37" t="e">
        <f>VLOOKUP(A1,DIV_08Data!$A$1:$DZU$1000000,1006,FALSE)</f>
        <v>#N/A</v>
      </c>
      <c r="C60" s="38" t="e">
        <f>VLOOKUP(A1,DIV_08Data!$A$1:$DZU$1000000,1007,FALSE)</f>
        <v>#N/A</v>
      </c>
      <c r="D60" s="31" t="e">
        <f>VLOOKUP(A1,DIV_08Data!$A$1:$DZU$1000000,1008,FALSE)</f>
        <v>#N/A</v>
      </c>
      <c r="E60" s="32" t="e">
        <f>VLOOKUP(A1,DIV_08Data!$A$1:$DZU$1000000,1009,FALSE)</f>
        <v>#N/A</v>
      </c>
      <c r="F60" s="34" t="e">
        <f>VLOOKUP(A1,DIV_08Data!$A$1:$DZU$1000000,1010,FALSE)</f>
        <v>#N/A</v>
      </c>
      <c r="G60" s="33" t="e">
        <f>VLOOKUP(A1,DIV_08Data!$A$1:$DZU$1000000,1011,FALSE)</f>
        <v>#N/A</v>
      </c>
      <c r="H60" s="34" t="e">
        <f>VLOOKUP(A1,DIV_08Data!$A$1:$DZU$1000000,1012,FALSE)</f>
        <v>#N/A</v>
      </c>
      <c r="I60" s="33" t="e">
        <f>VLOOKUP(A1,DIV_08Data!$A$1:$DZU$1000000,1013,FALSE)</f>
        <v>#N/A</v>
      </c>
      <c r="J60" s="34" t="e">
        <f>VLOOKUP(A1,DIV_08Data!$A$1:$DZU$1000000,1014,FALSE)</f>
        <v>#N/A</v>
      </c>
      <c r="K60" s="34" t="e">
        <f>VLOOKUP(A1,DIV_08Data!$A$1:$DZU$1000000,1015,FALSE)</f>
        <v>#N/A</v>
      </c>
      <c r="L60" s="93" t="e">
        <f>VLOOKUP(A1,DIV_08Data!$A$1:$DZU$1000000,1016,FALSE)</f>
        <v>#N/A</v>
      </c>
      <c r="M60" s="33" t="e">
        <f>VLOOKUP(A1,DIV_08Data!$A$1:$DZU$1000000,1017,FALSE)</f>
        <v>#N/A</v>
      </c>
      <c r="N60" s="34" t="e">
        <f>VLOOKUP(A1,DIV_08Data!$A$1:$DZU$1000000,1018,FALSE)</f>
        <v>#N/A</v>
      </c>
      <c r="O60" s="33" t="e">
        <f>VLOOKUP(A1,DIV_08Data!$A$1:$DZU$1000000,1019,FALSE)</f>
        <v>#N/A</v>
      </c>
      <c r="P60" s="46" t="e">
        <f>VLOOKUP(A1,DIV_08Data!$A$1:$DZU$1000000,1020,FALSE)</f>
        <v>#N/A</v>
      </c>
      <c r="Q60" s="33" t="e">
        <f>VLOOKUP(A1,DIV_08Data!$A$1:$DZU$1000000,1021,FALSE)</f>
        <v>#N/A</v>
      </c>
    </row>
    <row r="61" spans="1:17" x14ac:dyDescent="0.35">
      <c r="A61" s="22" t="e">
        <f>VLOOKUP(A1,DIV_08Data!$A$1:$DZU$1000000,1022,FALSE)</f>
        <v>#N/A</v>
      </c>
      <c r="B61" s="37" t="e">
        <f>VLOOKUP(A1,DIV_08Data!$A$1:$DZU$1000000,1023,FALSE)</f>
        <v>#N/A</v>
      </c>
      <c r="C61" s="38" t="e">
        <f>VLOOKUP(A1,DIV_08Data!$A$1:$DZU$1000000,1024,FALSE)</f>
        <v>#N/A</v>
      </c>
      <c r="D61" s="31" t="e">
        <f>VLOOKUP(A1,DIV_08Data!$A$1:$DZU$1000000,1025,FALSE)</f>
        <v>#N/A</v>
      </c>
      <c r="E61" s="32" t="e">
        <f>VLOOKUP(A1,DIV_08Data!$A$1:$DZU$1000000,1026,FALSE)</f>
        <v>#N/A</v>
      </c>
      <c r="F61" s="34" t="e">
        <f>VLOOKUP(A1,DIV_08Data!$A$1:$DZU$1000000,1027,FALSE)</f>
        <v>#N/A</v>
      </c>
      <c r="G61" s="33" t="e">
        <f>VLOOKUP(A1,DIV_08Data!$A$1:$DZU$1000000,1028,FALSE)</f>
        <v>#N/A</v>
      </c>
      <c r="H61" s="34" t="e">
        <f>VLOOKUP(A1,DIV_08Data!$A$1:$DZU$1000000,1029,FALSE)</f>
        <v>#N/A</v>
      </c>
      <c r="I61" s="33" t="e">
        <f>VLOOKUP(A1,DIV_08Data!$A$1:$DZU$1000000,1030,FALSE)</f>
        <v>#N/A</v>
      </c>
      <c r="J61" s="34" t="e">
        <f>VLOOKUP(A1,DIV_08Data!$A$1:$DZU$1000000,1031,FALSE)</f>
        <v>#N/A</v>
      </c>
      <c r="K61" s="34" t="e">
        <f>VLOOKUP(A1,DIV_08Data!$A$1:$DZU$1000000,1032,FALSE)</f>
        <v>#N/A</v>
      </c>
      <c r="L61" s="93" t="e">
        <f>VLOOKUP(A1,DIV_08Data!$A$1:$DZU$1000000,1033,FALSE)</f>
        <v>#N/A</v>
      </c>
      <c r="M61" s="33" t="e">
        <f>VLOOKUP(A1,DIV_08Data!$A$1:$DZU$1000000,1034,FALSE)</f>
        <v>#N/A</v>
      </c>
      <c r="N61" s="34" t="e">
        <f>VLOOKUP(A1,DIV_08Data!$A$1:$DZU$1000000,1035,FALSE)</f>
        <v>#N/A</v>
      </c>
      <c r="O61" s="33" t="e">
        <f>VLOOKUP(A1,DIV_08Data!$A$1:$DZU$1000000,1036,FALSE)</f>
        <v>#N/A</v>
      </c>
      <c r="P61" s="46" t="e">
        <f>VLOOKUP(A1,DIV_08Data!$A$1:$DZU$1000000,1037,FALSE)</f>
        <v>#N/A</v>
      </c>
      <c r="Q61" s="33" t="e">
        <f>VLOOKUP(A1,DIV_08Data!$A$1:$DZU$1000000,1038,FALSE)</f>
        <v>#N/A</v>
      </c>
    </row>
    <row r="62" spans="1:17" x14ac:dyDescent="0.35">
      <c r="A62" s="22" t="e">
        <f>VLOOKUP(A1,DIV_08Data!$A$1:$DZU$1000000,1039,FALSE)</f>
        <v>#N/A</v>
      </c>
      <c r="B62" s="37" t="e">
        <f>VLOOKUP(A1,DIV_08Data!$A$1:$DZU$1000000,1040,FALSE)</f>
        <v>#N/A</v>
      </c>
      <c r="C62" s="38" t="e">
        <f>VLOOKUP(A1,DIV_08Data!$A$1:$DZU$1000000,1041,FALSE)</f>
        <v>#N/A</v>
      </c>
      <c r="D62" s="31" t="e">
        <f>VLOOKUP(A1,DIV_08Data!$A$1:$DZU$1000000,1042,FALSE)</f>
        <v>#N/A</v>
      </c>
      <c r="E62" s="32" t="e">
        <f>VLOOKUP(A1,DIV_08Data!$A$1:$DZU$1000000,1043,FALSE)</f>
        <v>#N/A</v>
      </c>
      <c r="F62" s="34" t="e">
        <f>VLOOKUP(A1,DIV_08Data!$A$1:$DZU$1000000,1044,FALSE)</f>
        <v>#N/A</v>
      </c>
      <c r="G62" s="33" t="e">
        <f>VLOOKUP(A1,DIV_08Data!$A$1:$DZU$1000000,1045,FALSE)</f>
        <v>#N/A</v>
      </c>
      <c r="H62" s="34" t="e">
        <f>VLOOKUP(A1,DIV_08Data!$A$1:$DZU$1000000,1046,FALSE)</f>
        <v>#N/A</v>
      </c>
      <c r="I62" s="33" t="e">
        <f>VLOOKUP(A1,DIV_08Data!$A$1:$DZU$1000000,1047,FALSE)</f>
        <v>#N/A</v>
      </c>
      <c r="J62" s="34" t="e">
        <f>VLOOKUP(A1,DIV_08Data!$A$1:$DZU$1000000,1048,FALSE)</f>
        <v>#N/A</v>
      </c>
      <c r="K62" s="34" t="e">
        <f>VLOOKUP(A1,DIV_08Data!$A$1:$DZU$1000000,1049,FALSE)</f>
        <v>#N/A</v>
      </c>
      <c r="L62" s="93" t="e">
        <f>VLOOKUP(A1,DIV_08Data!$A$1:$DZU$1000000,1050,FALSE)</f>
        <v>#N/A</v>
      </c>
      <c r="M62" s="33" t="e">
        <f>VLOOKUP(A1,DIV_08Data!$A$1:$DZU$1000000,1051,FALSE)</f>
        <v>#N/A</v>
      </c>
      <c r="N62" s="34" t="e">
        <f>VLOOKUP(A1,DIV_08Data!$A$1:$DZU$1000000,1052,FALSE)</f>
        <v>#N/A</v>
      </c>
      <c r="O62" s="33" t="e">
        <f>VLOOKUP(A1,DIV_08Data!$A$1:$DZU$1000000,1053,FALSE)</f>
        <v>#N/A</v>
      </c>
      <c r="P62" s="46" t="e">
        <f>VLOOKUP(A1,DIV_08Data!$A$1:$DZU$1000000,1054,FALSE)</f>
        <v>#N/A</v>
      </c>
      <c r="Q62" s="33" t="e">
        <f>VLOOKUP(A1,DIV_08Data!$A$1:$DZU$1000000,1055,FALSE)</f>
        <v>#N/A</v>
      </c>
    </row>
    <row r="63" spans="1:17" x14ac:dyDescent="0.35">
      <c r="A63" s="22" t="e">
        <f>VLOOKUP(A1,DIV_08Data!$A$1:$DZU$1000000,1056,FALSE)</f>
        <v>#N/A</v>
      </c>
      <c r="B63" s="37" t="e">
        <f>VLOOKUP(A1,DIV_08Data!$A$1:$DZU$1000000,1057,FALSE)</f>
        <v>#N/A</v>
      </c>
      <c r="C63" s="38" t="e">
        <f>VLOOKUP(A1,DIV_08Data!$A$1:$DZU$1000000,1058,FALSE)</f>
        <v>#N/A</v>
      </c>
      <c r="D63" s="31" t="e">
        <f>VLOOKUP(A1,DIV_08Data!$A$1:$DZU$1000000,1059,FALSE)</f>
        <v>#N/A</v>
      </c>
      <c r="E63" s="32" t="e">
        <f>VLOOKUP(A1,DIV_08Data!$A$1:$DZU$1000000,1060,FALSE)</f>
        <v>#N/A</v>
      </c>
      <c r="F63" s="34" t="e">
        <f>VLOOKUP(A1,DIV_08Data!$A$1:$DZU$1000000,1061,FALSE)</f>
        <v>#N/A</v>
      </c>
      <c r="G63" s="33" t="e">
        <f>VLOOKUP(A1,DIV_08Data!$A$1:$DZU$1000000,1062,FALSE)</f>
        <v>#N/A</v>
      </c>
      <c r="H63" s="34" t="e">
        <f>VLOOKUP(A1,DIV_08Data!$A$1:$DZU$1000000,1063,FALSE)</f>
        <v>#N/A</v>
      </c>
      <c r="I63" s="33" t="e">
        <f>VLOOKUP(A1,DIV_08Data!$A$1:$DZU$1000000,1064,FALSE)</f>
        <v>#N/A</v>
      </c>
      <c r="J63" s="34" t="e">
        <f>VLOOKUP(A1,DIV_08Data!$A$1:$DZU$1000000,1065,FALSE)</f>
        <v>#N/A</v>
      </c>
      <c r="K63" s="34" t="e">
        <f>VLOOKUP(A1,DIV_08Data!$A$1:$DZU$1000000,1066,FALSE)</f>
        <v>#N/A</v>
      </c>
      <c r="L63" s="93" t="e">
        <f>VLOOKUP(A1,DIV_08Data!$A$1:$DZU$1000000,1067,FALSE)</f>
        <v>#N/A</v>
      </c>
      <c r="M63" s="33" t="e">
        <f>VLOOKUP(A1,DIV_08Data!$A$1:$DZU$1000000,1068,FALSE)</f>
        <v>#N/A</v>
      </c>
      <c r="N63" s="34" t="e">
        <f>VLOOKUP(A1,DIV_08Data!$A$1:$DZU$1000000,1069,FALSE)</f>
        <v>#N/A</v>
      </c>
      <c r="O63" s="33" t="e">
        <f>VLOOKUP(A1,DIV_08Data!$A$1:$DZU$1000000,1070,FALSE)</f>
        <v>#N/A</v>
      </c>
      <c r="P63" s="46" t="e">
        <f>VLOOKUP(A1,DIV_08Data!$A$1:$DZU$1000000,1071,FALSE)</f>
        <v>#N/A</v>
      </c>
      <c r="Q63" s="33" t="e">
        <f>VLOOKUP(A1,DIV_08Data!$A$1:$DZU$1000000,1072,FALSE)</f>
        <v>#N/A</v>
      </c>
    </row>
    <row r="64" spans="1:17" x14ac:dyDescent="0.35">
      <c r="A64" s="22" t="e">
        <f>VLOOKUP(A1,DIV_08Data!$A$1:$DZU$1000000,1073,FALSE)</f>
        <v>#N/A</v>
      </c>
      <c r="B64" s="37" t="e">
        <f>VLOOKUP(A1,DIV_08Data!$A$1:$DZU$1000000,1074,FALSE)</f>
        <v>#N/A</v>
      </c>
      <c r="C64" s="38" t="e">
        <f>VLOOKUP(A1,DIV_08Data!$A$1:$DZU$1000000,1075,FALSE)</f>
        <v>#N/A</v>
      </c>
      <c r="D64" s="31" t="e">
        <f>VLOOKUP(A1,DIV_08Data!$A$1:$DZU$1000000,1076,FALSE)</f>
        <v>#N/A</v>
      </c>
      <c r="E64" s="32" t="e">
        <f>VLOOKUP(A1,DIV_08Data!$A$1:$DZU$1000000,1077,FALSE)</f>
        <v>#N/A</v>
      </c>
      <c r="F64" s="34" t="e">
        <f>VLOOKUP(A1,DIV_08Data!$A$1:$DZU$1000000,1078,FALSE)</f>
        <v>#N/A</v>
      </c>
      <c r="G64" s="33" t="e">
        <f>VLOOKUP(A1,DIV_08Data!$A$1:$DZU$1000000,1079,FALSE)</f>
        <v>#N/A</v>
      </c>
      <c r="H64" s="34" t="e">
        <f>VLOOKUP(A1,DIV_08Data!$A$1:$DZU$1000000,1080,FALSE)</f>
        <v>#N/A</v>
      </c>
      <c r="I64" s="33" t="e">
        <f>VLOOKUP(A1,DIV_08Data!$A$1:$DZU$1000000,1081,FALSE)</f>
        <v>#N/A</v>
      </c>
      <c r="J64" s="34" t="e">
        <f>VLOOKUP(A1,DIV_08Data!$A$1:$DZU$1000000,1082,FALSE)</f>
        <v>#N/A</v>
      </c>
      <c r="K64" s="34" t="e">
        <f>VLOOKUP(A1,DIV_08Data!$A$1:$DZU$1000000,1083,FALSE)</f>
        <v>#N/A</v>
      </c>
      <c r="L64" s="93" t="e">
        <f>VLOOKUP(A1,DIV_08Data!$A$1:$DZU$1000000,1084,FALSE)</f>
        <v>#N/A</v>
      </c>
      <c r="M64" s="33" t="e">
        <f>VLOOKUP(A1,DIV_08Data!$A$1:$DZU$1000000,1085,FALSE)</f>
        <v>#N/A</v>
      </c>
      <c r="N64" s="34" t="e">
        <f>VLOOKUP(A1,DIV_08Data!$A$1:$DZU$1000000,1086,FALSE)</f>
        <v>#N/A</v>
      </c>
      <c r="O64" s="33" t="e">
        <f>VLOOKUP(A1,DIV_08Data!$A$1:$DZU$1000000,1087,FALSE)</f>
        <v>#N/A</v>
      </c>
      <c r="P64" s="46" t="e">
        <f>VLOOKUP(A1,DIV_08Data!$A$1:$DZU$1000000,1088,FALSE)</f>
        <v>#N/A</v>
      </c>
      <c r="Q64" s="33" t="e">
        <f>VLOOKUP(A1,DIV_08Data!$A$1:$DZU$1000000,1089,FALSE)</f>
        <v>#N/A</v>
      </c>
    </row>
    <row r="65" spans="1:17" x14ac:dyDescent="0.35">
      <c r="A65" s="22" t="e">
        <f>VLOOKUP(A1,DIV_08Data!$A$1:$DZU$1000000,1090,FALSE)</f>
        <v>#N/A</v>
      </c>
      <c r="B65" s="37" t="e">
        <f>VLOOKUP(A1,DIV_08Data!$A$1:$DZU$1000000,1091,FALSE)</f>
        <v>#N/A</v>
      </c>
      <c r="C65" s="38" t="e">
        <f>VLOOKUP(A1,DIV_08Data!$A$1:$DZU$1000000,1092,FALSE)</f>
        <v>#N/A</v>
      </c>
      <c r="D65" s="31" t="e">
        <f>VLOOKUP(A1,DIV_08Data!$A$1:$DZU$1000000,1093,FALSE)</f>
        <v>#N/A</v>
      </c>
      <c r="E65" s="32" t="e">
        <f>VLOOKUP(A1,DIV_08Data!$A$1:$DZU$1000000,1094,FALSE)</f>
        <v>#N/A</v>
      </c>
      <c r="F65" s="34" t="e">
        <f>VLOOKUP(A1,DIV_08Data!$A$1:$DZU$1000000,1095,FALSE)</f>
        <v>#N/A</v>
      </c>
      <c r="G65" s="33" t="e">
        <f>VLOOKUP(A1,DIV_08Data!$A$1:$DZU$1000000,1096,FALSE)</f>
        <v>#N/A</v>
      </c>
      <c r="H65" s="34" t="e">
        <f>VLOOKUP(A1,DIV_08Data!$A$1:$DZU$1000000,1097,FALSE)</f>
        <v>#N/A</v>
      </c>
      <c r="I65" s="33" t="e">
        <f>VLOOKUP(A1,DIV_08Data!$A$1:$DZU$1000000,1098,FALSE)</f>
        <v>#N/A</v>
      </c>
      <c r="J65" s="34" t="e">
        <f>VLOOKUP(A1,DIV_08Data!$A$1:$DZU$1000000,1099,FALSE)</f>
        <v>#N/A</v>
      </c>
      <c r="K65" s="34" t="e">
        <f>VLOOKUP(A1,DIV_08Data!$A$1:$DZU$1000000,1100,FALSE)</f>
        <v>#N/A</v>
      </c>
      <c r="L65" s="93" t="e">
        <f>VLOOKUP(A1,DIV_08Data!$A$1:$DZU$1000000,1101,FALSE)</f>
        <v>#N/A</v>
      </c>
      <c r="M65" s="33" t="e">
        <f>VLOOKUP(A1,DIV_08Data!$A$1:$DZU$1000000,1102,FALSE)</f>
        <v>#N/A</v>
      </c>
      <c r="N65" s="34" t="e">
        <f>VLOOKUP(A1,DIV_08Data!$A$1:$DZU$1000000,1103,FALSE)</f>
        <v>#N/A</v>
      </c>
      <c r="O65" s="33" t="e">
        <f>VLOOKUP(A1,DIV_08Data!$A$1:$DZU$1000000,1104,FALSE)</f>
        <v>#N/A</v>
      </c>
      <c r="P65" s="46" t="e">
        <f>VLOOKUP(A1,DIV_08Data!$A$1:$DZU$1000000,1105,FALSE)</f>
        <v>#N/A</v>
      </c>
      <c r="Q65" s="33" t="e">
        <f>VLOOKUP(A1,DIV_08Data!$A$1:$DZU$1000000,1106,FALSE)</f>
        <v>#N/A</v>
      </c>
    </row>
    <row r="66" spans="1:17" x14ac:dyDescent="0.35">
      <c r="A66" s="22" t="e">
        <f>VLOOKUP(A1,DIV_08Data!$A$1:$DZU$1000000,1107,FALSE)</f>
        <v>#N/A</v>
      </c>
      <c r="B66" s="37" t="e">
        <f>VLOOKUP(A1,DIV_08Data!$A$1:$DZU$1000000,1108,FALSE)</f>
        <v>#N/A</v>
      </c>
      <c r="C66" s="38" t="e">
        <f>VLOOKUP(A1,DIV_08Data!$A$1:$DZU$1000000,1109,FALSE)</f>
        <v>#N/A</v>
      </c>
      <c r="D66" s="31" t="e">
        <f>VLOOKUP(A1,DIV_08Data!$A$1:$DZU$1000000,1110,FALSE)</f>
        <v>#N/A</v>
      </c>
      <c r="E66" s="32" t="e">
        <f>VLOOKUP(A1,DIV_08Data!$A$1:$DZU$1000000,1111,FALSE)</f>
        <v>#N/A</v>
      </c>
      <c r="F66" s="34" t="e">
        <f>VLOOKUP(A1,DIV_08Data!$A$1:$DZU$1000000,1112,FALSE)</f>
        <v>#N/A</v>
      </c>
      <c r="G66" s="33" t="e">
        <f>VLOOKUP(A1,DIV_08Data!$A$1:$DZU$1000000,1113,FALSE)</f>
        <v>#N/A</v>
      </c>
      <c r="H66" s="34" t="e">
        <f>VLOOKUP(A1,DIV_08Data!$A$1:$DZU$1000000,1114,FALSE)</f>
        <v>#N/A</v>
      </c>
      <c r="I66" s="33" t="e">
        <f>VLOOKUP(A1,DIV_08Data!$A$1:$DZU$1000000,1115,FALSE)</f>
        <v>#N/A</v>
      </c>
      <c r="J66" s="34" t="e">
        <f>VLOOKUP(A1,DIV_08Data!$A$1:$DZU$1000000,1116,FALSE)</f>
        <v>#N/A</v>
      </c>
      <c r="K66" s="34" t="e">
        <f>VLOOKUP(A1,DIV_08Data!$A$1:$DZU$1000000,1117,FALSE)</f>
        <v>#N/A</v>
      </c>
      <c r="L66" s="93" t="e">
        <f>VLOOKUP(A1,DIV_08Data!$A$1:$DZU$1000000,1118,FALSE)</f>
        <v>#N/A</v>
      </c>
      <c r="M66" s="33" t="e">
        <f>VLOOKUP(A1,DIV_08Data!$A$1:$DZU$1000000,1119,FALSE)</f>
        <v>#N/A</v>
      </c>
      <c r="N66" s="34" t="e">
        <f>VLOOKUP(A1,DIV_08Data!$A$1:$DZU$1000000,1120,FALSE)</f>
        <v>#N/A</v>
      </c>
      <c r="O66" s="33" t="e">
        <f>VLOOKUP(A1,DIV_08Data!$A$1:$DZU$1000000,1121,FALSE)</f>
        <v>#N/A</v>
      </c>
      <c r="P66" s="46" t="e">
        <f>VLOOKUP(A1,DIV_08Data!$A$1:$DZU$1000000,1122,FALSE)</f>
        <v>#N/A</v>
      </c>
      <c r="Q66" s="33" t="e">
        <f>VLOOKUP(A1,DIV_08Data!$A$1:$DZU$1000000,1123,FALSE)</f>
        <v>#N/A</v>
      </c>
    </row>
    <row r="67" spans="1:17" x14ac:dyDescent="0.35">
      <c r="A67" s="22" t="e">
        <f>VLOOKUP(A1,DIV_08Data!$A$1:$DZU$1000000,1124,FALSE)</f>
        <v>#N/A</v>
      </c>
      <c r="B67" s="37" t="e">
        <f>VLOOKUP(A1,DIV_08Data!$A$1:$DZU$1000000,1125,FALSE)</f>
        <v>#N/A</v>
      </c>
      <c r="C67" s="38" t="e">
        <f>VLOOKUP(A1,DIV_08Data!$A$1:$DZU$1000000,1126,FALSE)</f>
        <v>#N/A</v>
      </c>
      <c r="D67" s="31" t="e">
        <f>VLOOKUP(A1,DIV_08Data!$A$1:$DZU$1000000,1127,FALSE)</f>
        <v>#N/A</v>
      </c>
      <c r="E67" s="32" t="e">
        <f>VLOOKUP(A1,DIV_08Data!$A$1:$DZU$1000000,1128,FALSE)</f>
        <v>#N/A</v>
      </c>
      <c r="F67" s="34" t="e">
        <f>VLOOKUP(A1,DIV_08Data!$A$1:$DZU$1000000,1129,FALSE)</f>
        <v>#N/A</v>
      </c>
      <c r="G67" s="33" t="e">
        <f>VLOOKUP(A1,DIV_08Data!$A$1:$DZU$1000000,1130,FALSE)</f>
        <v>#N/A</v>
      </c>
      <c r="H67" s="34" t="e">
        <f>VLOOKUP(A1,DIV_08Data!$A$1:$DZU$1000000,1131,FALSE)</f>
        <v>#N/A</v>
      </c>
      <c r="I67" s="33" t="e">
        <f>VLOOKUP(A1,DIV_08Data!$A$1:$DZU$1000000,1132,FALSE)</f>
        <v>#N/A</v>
      </c>
      <c r="J67" s="34" t="e">
        <f>VLOOKUP(A1,DIV_08Data!$A$1:$DZU$1000000,1133,FALSE)</f>
        <v>#N/A</v>
      </c>
      <c r="K67" s="34" t="e">
        <f>VLOOKUP(A1,DIV_08Data!$A$1:$DZU$1000000,1134,FALSE)</f>
        <v>#N/A</v>
      </c>
      <c r="L67" s="93" t="e">
        <f>VLOOKUP(A1,DIV_08Data!$A$1:$DZU$1000000,1135,FALSE)</f>
        <v>#N/A</v>
      </c>
      <c r="M67" s="33" t="e">
        <f>VLOOKUP(A1,DIV_08Data!$A$1:$DZU$1000000,1136,FALSE)</f>
        <v>#N/A</v>
      </c>
      <c r="N67" s="34" t="e">
        <f>VLOOKUP(A1,DIV_08Data!$A$1:$DZU$1000000,1137,FALSE)</f>
        <v>#N/A</v>
      </c>
      <c r="O67" s="33" t="e">
        <f>VLOOKUP(A1,DIV_08Data!$A$1:$DZU$1000000,1138,FALSE)</f>
        <v>#N/A</v>
      </c>
      <c r="P67" s="46" t="e">
        <f>VLOOKUP(A1,DIV_08Data!$A$1:$DZU$1000000,1139,FALSE)</f>
        <v>#N/A</v>
      </c>
      <c r="Q67" s="33" t="e">
        <f>VLOOKUP(A1,DIV_08Data!$A$1:$DZU$1000000,1140,FALSE)</f>
        <v>#N/A</v>
      </c>
    </row>
    <row r="68" spans="1:17" x14ac:dyDescent="0.35">
      <c r="A68" s="22" t="e">
        <f>VLOOKUP(A1,DIV_08Data!$A$1:$DZU$1000000,1141,FALSE)</f>
        <v>#N/A</v>
      </c>
      <c r="B68" s="37" t="e">
        <f>VLOOKUP(A1,DIV_08Data!$A$1:$DZU$1000000,1142,FALSE)</f>
        <v>#N/A</v>
      </c>
      <c r="C68" s="38" t="e">
        <f>VLOOKUP(A1,DIV_08Data!$A$1:$DZU$1000000,1143,FALSE)</f>
        <v>#N/A</v>
      </c>
      <c r="D68" s="31" t="e">
        <f>VLOOKUP(A1,DIV_08Data!$A$1:$DZU$1000000,1144,FALSE)</f>
        <v>#N/A</v>
      </c>
      <c r="E68" s="32" t="e">
        <f>VLOOKUP(A1,DIV_08Data!$A$1:$DZU$1000000,1145,FALSE)</f>
        <v>#N/A</v>
      </c>
      <c r="F68" s="34" t="e">
        <f>VLOOKUP(A1,DIV_08Data!$A$1:$DZU$1000000,1146,FALSE)</f>
        <v>#N/A</v>
      </c>
      <c r="G68" s="33" t="e">
        <f>VLOOKUP(A1,DIV_08Data!$A$1:$DZU$1000000,1147,FALSE)</f>
        <v>#N/A</v>
      </c>
      <c r="H68" s="34" t="e">
        <f>VLOOKUP(A1,DIV_08Data!$A$1:$DZU$1000000,1148,FALSE)</f>
        <v>#N/A</v>
      </c>
      <c r="I68" s="33" t="e">
        <f>VLOOKUP(A1,DIV_08Data!$A$1:$DZU$1000000,1149,FALSE)</f>
        <v>#N/A</v>
      </c>
      <c r="J68" s="34" t="e">
        <f>VLOOKUP(A1,DIV_08Data!$A$1:$DZU$1000000,1150,FALSE)</f>
        <v>#N/A</v>
      </c>
      <c r="K68" s="34" t="e">
        <f>VLOOKUP(A1,DIV_08Data!$A$1:$DZU$1000000,1151,FALSE)</f>
        <v>#N/A</v>
      </c>
      <c r="L68" s="93" t="e">
        <f>VLOOKUP(A1,DIV_08Data!$A$1:$DZU$1000000,1152,FALSE)</f>
        <v>#N/A</v>
      </c>
      <c r="M68" s="33" t="e">
        <f>VLOOKUP(A1,DIV_08Data!$A$1:$DZU$1000000,1153,FALSE)</f>
        <v>#N/A</v>
      </c>
      <c r="N68" s="34" t="e">
        <f>VLOOKUP(A1,DIV_08Data!$A$1:$DZU$1000000,1154,FALSE)</f>
        <v>#N/A</v>
      </c>
      <c r="O68" s="33" t="e">
        <f>VLOOKUP(A1,DIV_08Data!$A$1:$DZU$1000000,1155,FALSE)</f>
        <v>#N/A</v>
      </c>
      <c r="P68" s="46" t="e">
        <f>VLOOKUP(A1,DIV_08Data!$A$1:$DZU$1000000,1156,FALSE)</f>
        <v>#N/A</v>
      </c>
      <c r="Q68" s="33" t="e">
        <f>VLOOKUP(A1,DIV_08Data!$A$1:$DZU$1000000,1157,FALSE)</f>
        <v>#N/A</v>
      </c>
    </row>
    <row r="69" spans="1:17" x14ac:dyDescent="0.35">
      <c r="A69" s="22" t="e">
        <f>VLOOKUP(A1,DIV_08Data!$A$1:$DZU$1000000,1158,FALSE)</f>
        <v>#N/A</v>
      </c>
      <c r="B69" s="37" t="e">
        <f>VLOOKUP(A1,DIV_08Data!$A$1:$DZU$1000000,1159,FALSE)</f>
        <v>#N/A</v>
      </c>
      <c r="C69" s="38" t="e">
        <f>VLOOKUP(A1,DIV_08Data!$A$1:$DZU$1000000,1160,FALSE)</f>
        <v>#N/A</v>
      </c>
      <c r="D69" s="31" t="e">
        <f>VLOOKUP(A1,DIV_08Data!$A$1:$DZU$1000000,1161,FALSE)</f>
        <v>#N/A</v>
      </c>
      <c r="E69" s="32" t="e">
        <f>VLOOKUP(A1,DIV_08Data!$A$1:$DZU$1000000,1162,FALSE)</f>
        <v>#N/A</v>
      </c>
      <c r="F69" s="34" t="e">
        <f>VLOOKUP(A1,DIV_08Data!$A$1:$DZU$1000000,1163,FALSE)</f>
        <v>#N/A</v>
      </c>
      <c r="G69" s="33" t="e">
        <f>VLOOKUP(A1,DIV_08Data!$A$1:$DZU$1000000,1164,FALSE)</f>
        <v>#N/A</v>
      </c>
      <c r="H69" s="34" t="e">
        <f>VLOOKUP(A1,DIV_08Data!$A$1:$DZU$1000000,1165,FALSE)</f>
        <v>#N/A</v>
      </c>
      <c r="I69" s="33" t="e">
        <f>VLOOKUP(A1,DIV_08Data!$A$1:$DZU$1000000,1166,FALSE)</f>
        <v>#N/A</v>
      </c>
      <c r="J69" s="34" t="e">
        <f>VLOOKUP(A1,DIV_08Data!$A$1:$DZU$1000000,1167,FALSE)</f>
        <v>#N/A</v>
      </c>
      <c r="K69" s="34" t="e">
        <f>VLOOKUP(A1,DIV_08Data!$A$1:$DZU$1000000,1168,FALSE)</f>
        <v>#N/A</v>
      </c>
      <c r="L69" s="93" t="e">
        <f>VLOOKUP(A1,DIV_08Data!$A$1:$DZU$1000000,1169,FALSE)</f>
        <v>#N/A</v>
      </c>
      <c r="M69" s="33" t="e">
        <f>VLOOKUP(A1,DIV_08Data!$A$1:$DZU$1000000,1170,FALSE)</f>
        <v>#N/A</v>
      </c>
      <c r="N69" s="34" t="e">
        <f>VLOOKUP(A1,DIV_08Data!$A$1:$DZU$1000000,1171,FALSE)</f>
        <v>#N/A</v>
      </c>
      <c r="O69" s="33" t="e">
        <f>VLOOKUP(A1,DIV_08Data!$A$1:$DZU$1000000,1172,FALSE)</f>
        <v>#N/A</v>
      </c>
      <c r="P69" s="46" t="e">
        <f>VLOOKUP(A1,DIV_08Data!$A$1:$DZU$1000000,1173,FALSE)</f>
        <v>#N/A</v>
      </c>
      <c r="Q69" s="33" t="e">
        <f>VLOOKUP(A1,DIV_08Data!$A$1:$DZU$1000000,1174,FALSE)</f>
        <v>#N/A</v>
      </c>
    </row>
    <row r="70" spans="1:17" x14ac:dyDescent="0.35">
      <c r="A70" s="22" t="e">
        <f>VLOOKUP(A1,DIV_08Data!$A$1:$DZU$1000000,1175,FALSE)</f>
        <v>#N/A</v>
      </c>
      <c r="B70" s="37" t="e">
        <f>VLOOKUP(A1,DIV_08Data!$A$1:$DZU$1000000,1176,FALSE)</f>
        <v>#N/A</v>
      </c>
      <c r="C70" s="38" t="e">
        <f>VLOOKUP(A1,DIV_08Data!$A$1:$DZU$1000000,1177,FALSE)</f>
        <v>#N/A</v>
      </c>
      <c r="D70" s="31" t="e">
        <f>VLOOKUP(A1,DIV_08Data!$A$1:$DZU$1000000,1178,FALSE)</f>
        <v>#N/A</v>
      </c>
      <c r="E70" s="32" t="e">
        <f>VLOOKUP(A1,DIV_08Data!$A$1:$DZU$1000000,1179,FALSE)</f>
        <v>#N/A</v>
      </c>
      <c r="F70" s="34" t="e">
        <f>VLOOKUP(A1,DIV_08Data!$A$1:$DZU$1000000,1180,FALSE)</f>
        <v>#N/A</v>
      </c>
      <c r="G70" s="33" t="e">
        <f>VLOOKUP(A1,DIV_08Data!$A$1:$DZU$1000000,1181,FALSE)</f>
        <v>#N/A</v>
      </c>
      <c r="H70" s="34" t="e">
        <f>VLOOKUP(A1,DIV_08Data!$A$1:$DZU$1000000,1182,FALSE)</f>
        <v>#N/A</v>
      </c>
      <c r="I70" s="33" t="e">
        <f>VLOOKUP(A1,DIV_08Data!$A$1:$DZU$1000000,1183,FALSE)</f>
        <v>#N/A</v>
      </c>
      <c r="J70" s="34" t="e">
        <f>VLOOKUP(A1,DIV_08Data!$A$1:$DZU$1000000,1184,FALSE)</f>
        <v>#N/A</v>
      </c>
      <c r="K70" s="34" t="e">
        <f>VLOOKUP(A1,DIV_08Data!$A$1:$DZU$1000000,1185,FALSE)</f>
        <v>#N/A</v>
      </c>
      <c r="L70" s="93" t="e">
        <f>VLOOKUP(A1,DIV_08Data!$A$1:$DZU$1000000,1186,FALSE)</f>
        <v>#N/A</v>
      </c>
      <c r="M70" s="33" t="e">
        <f>VLOOKUP(A1,DIV_08Data!$A$1:$DZU$1000000,1187,FALSE)</f>
        <v>#N/A</v>
      </c>
      <c r="N70" s="34" t="e">
        <f>VLOOKUP(A1,DIV_08Data!$A$1:$DZU$1000000,1188,FALSE)</f>
        <v>#N/A</v>
      </c>
      <c r="O70" s="33" t="e">
        <f>VLOOKUP(A1,DIV_08Data!$A$1:$DZU$1000000,1189,FALSE)</f>
        <v>#N/A</v>
      </c>
      <c r="P70" s="46" t="e">
        <f>VLOOKUP(A1,DIV_08Data!$A$1:$DZU$1000000,1190,FALSE)</f>
        <v>#N/A</v>
      </c>
      <c r="Q70" s="33" t="e">
        <f>VLOOKUP(A1,DIV_08Data!$A$1:$DZU$1000000,1191,FALSE)</f>
        <v>#N/A</v>
      </c>
    </row>
    <row r="71" spans="1:17" x14ac:dyDescent="0.35">
      <c r="A71" s="22" t="e">
        <f>VLOOKUP(A1,DIV_08Data!$A$1:$DZU$1000000,1192,FALSE)</f>
        <v>#N/A</v>
      </c>
      <c r="B71" s="37" t="e">
        <f>VLOOKUP(A1,DIV_08Data!$A$1:$DZU$1000000,1193,FALSE)</f>
        <v>#N/A</v>
      </c>
      <c r="C71" s="38" t="e">
        <f>VLOOKUP(A1,DIV_08Data!$A$1:$DZU$1000000,1194,FALSE)</f>
        <v>#N/A</v>
      </c>
      <c r="D71" s="31" t="e">
        <f>VLOOKUP(A1,DIV_08Data!$A$1:$DZU$1000000,1195,FALSE)</f>
        <v>#N/A</v>
      </c>
      <c r="E71" s="32" t="e">
        <f>VLOOKUP(A1,DIV_08Data!$A$1:$DZU$1000000,1196,FALSE)</f>
        <v>#N/A</v>
      </c>
      <c r="F71" s="34" t="e">
        <f>VLOOKUP(A1,DIV_08Data!$A$1:$DZU$1000000,1197,FALSE)</f>
        <v>#N/A</v>
      </c>
      <c r="G71" s="33" t="e">
        <f>VLOOKUP(A1,DIV_08Data!$A$1:$DZU$1000000,1198,FALSE)</f>
        <v>#N/A</v>
      </c>
      <c r="H71" s="34" t="e">
        <f>VLOOKUP(A1,DIV_08Data!$A$1:$DZU$1000000,1199,FALSE)</f>
        <v>#N/A</v>
      </c>
      <c r="I71" s="33" t="e">
        <f>VLOOKUP(A1,DIV_08Data!$A$1:$DZU$1000000,1200,FALSE)</f>
        <v>#N/A</v>
      </c>
      <c r="J71" s="34" t="e">
        <f>VLOOKUP(A1,DIV_08Data!$A$1:$DZU$1000000,1201,FALSE)</f>
        <v>#N/A</v>
      </c>
      <c r="K71" s="34" t="e">
        <f>VLOOKUP(A1,DIV_08Data!$A$1:$DZU$1000000,1202,FALSE)</f>
        <v>#N/A</v>
      </c>
      <c r="L71" s="93" t="e">
        <f>VLOOKUP(A1,DIV_08Data!$A$1:$DZU$1000000,1203,FALSE)</f>
        <v>#N/A</v>
      </c>
      <c r="M71" s="33" t="e">
        <f>VLOOKUP(A1,DIV_08Data!$A$1:$DZU$1000000,1204,FALSE)</f>
        <v>#N/A</v>
      </c>
      <c r="N71" s="34" t="e">
        <f>VLOOKUP(A1,DIV_08Data!$A$1:$DZU$1000000,1205,FALSE)</f>
        <v>#N/A</v>
      </c>
      <c r="O71" s="33" t="e">
        <f>VLOOKUP(A1,DIV_08Data!$A$1:$DZU$1000000,1206,FALSE)</f>
        <v>#N/A</v>
      </c>
      <c r="P71" s="46" t="e">
        <f>VLOOKUP(A1,DIV_08Data!$A$1:$DZU$1000000,1207,FALSE)</f>
        <v>#N/A</v>
      </c>
      <c r="Q71" s="33" t="e">
        <f>VLOOKUP(A1,DIV_08Data!$A$1:$DZU$1000000,1208,FALSE)</f>
        <v>#N/A</v>
      </c>
    </row>
    <row r="72" spans="1:17" x14ac:dyDescent="0.35">
      <c r="A72" s="22" t="e">
        <f>VLOOKUP(A1,DIV_08Data!$A$1:$DZU$1000000,1209,FALSE)</f>
        <v>#N/A</v>
      </c>
      <c r="B72" s="37" t="e">
        <f>VLOOKUP(A1,DIV_08Data!$A$1:$DZU$1000000,1210,FALSE)</f>
        <v>#N/A</v>
      </c>
      <c r="C72" s="38" t="e">
        <f>VLOOKUP(A1,DIV_08Data!$A$1:$DZU$1000000,1211,FALSE)</f>
        <v>#N/A</v>
      </c>
      <c r="D72" s="31" t="e">
        <f>VLOOKUP(A1,DIV_08Data!$A$1:$DZU$1000000,1212,FALSE)</f>
        <v>#N/A</v>
      </c>
      <c r="E72" s="32" t="e">
        <f>VLOOKUP(A1,DIV_08Data!$A$1:$DZU$1000000,1213,FALSE)</f>
        <v>#N/A</v>
      </c>
      <c r="F72" s="34" t="e">
        <f>VLOOKUP(A1,DIV_08Data!$A$1:$DZU$1000000,1214,FALSE)</f>
        <v>#N/A</v>
      </c>
      <c r="G72" s="33" t="e">
        <f>VLOOKUP(A1,DIV_08Data!$A$1:$DZU$1000000,1215,FALSE)</f>
        <v>#N/A</v>
      </c>
      <c r="H72" s="34" t="e">
        <f>VLOOKUP(A1,DIV_08Data!$A$1:$DZU$1000000,1216,FALSE)</f>
        <v>#N/A</v>
      </c>
      <c r="I72" s="33" t="e">
        <f>VLOOKUP(A1,DIV_08Data!$A$1:$DZU$1000000,1217,FALSE)</f>
        <v>#N/A</v>
      </c>
      <c r="J72" s="34" t="e">
        <f>VLOOKUP(A1,DIV_08Data!$A$1:$DZU$1000000,1218,FALSE)</f>
        <v>#N/A</v>
      </c>
      <c r="K72" s="34" t="e">
        <f>VLOOKUP(A1,DIV_08Data!$A$1:$DZU$1000000,1219,FALSE)</f>
        <v>#N/A</v>
      </c>
      <c r="L72" s="93" t="e">
        <f>VLOOKUP(A1,DIV_08Data!$A$1:$DZU$1000000,1220,FALSE)</f>
        <v>#N/A</v>
      </c>
      <c r="M72" s="33" t="e">
        <f>VLOOKUP(A1,DIV_08Data!$A$1:$DZU$1000000,1221,FALSE)</f>
        <v>#N/A</v>
      </c>
      <c r="N72" s="34" t="e">
        <f>VLOOKUP(A1,DIV_08Data!$A$1:$DZU$1000000,1222,FALSE)</f>
        <v>#N/A</v>
      </c>
      <c r="O72" s="33" t="e">
        <f>VLOOKUP(A1,DIV_08Data!$A$1:$DZU$1000000,1223,FALSE)</f>
        <v>#N/A</v>
      </c>
      <c r="P72" s="46" t="e">
        <f>VLOOKUP(A1,DIV_08Data!$A$1:$DZU$1000000,1224,FALSE)</f>
        <v>#N/A</v>
      </c>
      <c r="Q72" s="33" t="e">
        <f>VLOOKUP(A1,DIV_08Data!$A$1:$DZU$1000000,1225,FALSE)</f>
        <v>#N/A</v>
      </c>
    </row>
    <row r="73" spans="1:17" x14ac:dyDescent="0.35">
      <c r="A73" s="22" t="e">
        <f>VLOOKUP(A1,DIV_08Data!$A$1:$DZU$1000000,1226,FALSE)</f>
        <v>#N/A</v>
      </c>
      <c r="B73" s="37" t="e">
        <f>VLOOKUP(A1,DIV_08Data!$A$1:$DZU$1000000,1227,FALSE)</f>
        <v>#N/A</v>
      </c>
      <c r="C73" s="38" t="e">
        <f>VLOOKUP(A1,DIV_08Data!$A$1:$DZU$1000000,1228,FALSE)</f>
        <v>#N/A</v>
      </c>
      <c r="D73" s="31" t="e">
        <f>VLOOKUP(A1,DIV_08Data!$A$1:$DZU$1000000,1229,FALSE)</f>
        <v>#N/A</v>
      </c>
      <c r="E73" s="32" t="e">
        <f>VLOOKUP(A1,DIV_08Data!$A$1:$DZU$1000000,1230,FALSE)</f>
        <v>#N/A</v>
      </c>
      <c r="F73" s="34" t="e">
        <f>VLOOKUP(A1,DIV_08Data!$A$1:$DZU$1000000,1231,FALSE)</f>
        <v>#N/A</v>
      </c>
      <c r="G73" s="33" t="e">
        <f>VLOOKUP(A1,DIV_08Data!$A$1:$DZU$1000000,1232,FALSE)</f>
        <v>#N/A</v>
      </c>
      <c r="H73" s="34" t="e">
        <f>VLOOKUP(A1,DIV_08Data!$A$1:$DZU$1000000,1233,FALSE)</f>
        <v>#N/A</v>
      </c>
      <c r="I73" s="33" t="e">
        <f>VLOOKUP(A1,DIV_08Data!$A$1:$DZU$1000000,1234,FALSE)</f>
        <v>#N/A</v>
      </c>
      <c r="J73" s="34" t="e">
        <f>VLOOKUP(A1,DIV_08Data!$A$1:$DZU$1000000,1235,FALSE)</f>
        <v>#N/A</v>
      </c>
      <c r="K73" s="34" t="e">
        <f>VLOOKUP(A1,DIV_08Data!$A$1:$DZU$1000000,1236,FALSE)</f>
        <v>#N/A</v>
      </c>
      <c r="L73" s="93" t="e">
        <f>VLOOKUP(A1,DIV_08Data!$A$1:$DZU$1000000,1237,FALSE)</f>
        <v>#N/A</v>
      </c>
      <c r="M73" s="33" t="e">
        <f>VLOOKUP(A1,DIV_08Data!$A$1:$DZU$1000000,1238,FALSE)</f>
        <v>#N/A</v>
      </c>
      <c r="N73" s="34" t="e">
        <f>VLOOKUP(A1,DIV_08Data!$A$1:$DZU$1000000,1239,FALSE)</f>
        <v>#N/A</v>
      </c>
      <c r="O73" s="33" t="e">
        <f>VLOOKUP(A1,DIV_08Data!$A$1:$DZU$1000000,1240,FALSE)</f>
        <v>#N/A</v>
      </c>
      <c r="P73" s="46" t="e">
        <f>VLOOKUP(A1,DIV_08Data!$A$1:$DZU$1000000,1241,FALSE)</f>
        <v>#N/A</v>
      </c>
      <c r="Q73" s="33" t="e">
        <f>VLOOKUP(A1,DIV_08Data!$A$1:$DZU$1000000,1242,FALSE)</f>
        <v>#N/A</v>
      </c>
    </row>
    <row r="74" spans="1:17" x14ac:dyDescent="0.35">
      <c r="A74" s="22" t="e">
        <f>VLOOKUP(A1,DIV_08Data!$A$1:$DZU$1000000,1243,FALSE)</f>
        <v>#N/A</v>
      </c>
      <c r="B74" s="37" t="e">
        <f>VLOOKUP(A1,DIV_08Data!$A$1:$DZU$1000000,1244,FALSE)</f>
        <v>#N/A</v>
      </c>
      <c r="C74" s="38" t="e">
        <f>VLOOKUP(A1,DIV_08Data!$A$1:$DZU$1000000,1245,FALSE)</f>
        <v>#N/A</v>
      </c>
      <c r="D74" s="31" t="e">
        <f>VLOOKUP(A1,DIV_08Data!$A$1:$DZU$1000000,1246,FALSE)</f>
        <v>#N/A</v>
      </c>
      <c r="E74" s="32" t="e">
        <f>VLOOKUP(A1,DIV_08Data!$A$1:$DZU$1000000,1247,FALSE)</f>
        <v>#N/A</v>
      </c>
      <c r="F74" s="34" t="e">
        <f>VLOOKUP(A1,DIV_08Data!$A$1:$DZU$1000000,1248,FALSE)</f>
        <v>#N/A</v>
      </c>
      <c r="G74" s="33" t="e">
        <f>VLOOKUP(A1,DIV_08Data!$A$1:$DZU$1000000,1249,FALSE)</f>
        <v>#N/A</v>
      </c>
      <c r="H74" s="34" t="e">
        <f>VLOOKUP(A1,DIV_08Data!$A$1:$DZU$1000000,1250,FALSE)</f>
        <v>#N/A</v>
      </c>
      <c r="I74" s="33" t="e">
        <f>VLOOKUP(A1,DIV_08Data!$A$1:$DZU$1000000,1251,FALSE)</f>
        <v>#N/A</v>
      </c>
      <c r="J74" s="34" t="e">
        <f>VLOOKUP(A1,DIV_08Data!$A$1:$DZU$1000000,1252,FALSE)</f>
        <v>#N/A</v>
      </c>
      <c r="K74" s="34" t="e">
        <f>VLOOKUP(A1,DIV_08Data!$A$1:$DZU$1000000,1253,FALSE)</f>
        <v>#N/A</v>
      </c>
      <c r="L74" s="93" t="e">
        <f>VLOOKUP(A1,DIV_08Data!$A$1:$DZU$1000000,1254,FALSE)</f>
        <v>#N/A</v>
      </c>
      <c r="M74" s="33" t="e">
        <f>VLOOKUP(A1,DIV_08Data!$A$1:$DZU$1000000,1255,FALSE)</f>
        <v>#N/A</v>
      </c>
      <c r="N74" s="34" t="e">
        <f>VLOOKUP(A1,DIV_08Data!$A$1:$DZU$1000000,1256,FALSE)</f>
        <v>#N/A</v>
      </c>
      <c r="O74" s="33" t="e">
        <f>VLOOKUP(A1,DIV_08Data!$A$1:$DZU$1000000,1257,FALSE)</f>
        <v>#N/A</v>
      </c>
      <c r="P74" s="46" t="e">
        <f>VLOOKUP(A1,DIV_08Data!$A$1:$DZU$1000000,1258,FALSE)</f>
        <v>#N/A</v>
      </c>
      <c r="Q74" s="33" t="e">
        <f>VLOOKUP(A1,DIV_08Data!$A$1:$DZU$1000000,1259,FALSE)</f>
        <v>#N/A</v>
      </c>
    </row>
    <row r="75" spans="1:17" x14ac:dyDescent="0.35">
      <c r="A75" s="22" t="e">
        <f>VLOOKUP(A1,DIV_08Data!$A$1:$DZU$1000000,1260,FALSE)</f>
        <v>#N/A</v>
      </c>
      <c r="B75" s="37" t="e">
        <f>VLOOKUP(A1,DIV_08Data!$A$1:$DZU$1000000,1261,FALSE)</f>
        <v>#N/A</v>
      </c>
      <c r="C75" s="38" t="e">
        <f>VLOOKUP(A1,DIV_08Data!$A$1:$DZU$1000000,1262,FALSE)</f>
        <v>#N/A</v>
      </c>
      <c r="D75" s="31" t="e">
        <f>VLOOKUP(A1,DIV_08Data!$A$1:$DZU$1000000,1263,FALSE)</f>
        <v>#N/A</v>
      </c>
      <c r="E75" s="32" t="e">
        <f>VLOOKUP(A1,DIV_08Data!$A$1:$DZU$1000000,1264,FALSE)</f>
        <v>#N/A</v>
      </c>
      <c r="F75" s="34" t="e">
        <f>VLOOKUP(A1,DIV_08Data!$A$1:$DZU$1000000,1265,FALSE)</f>
        <v>#N/A</v>
      </c>
      <c r="G75" s="33" t="e">
        <f>VLOOKUP(A1,DIV_08Data!$A$1:$DZU$1000000,1266,FALSE)</f>
        <v>#N/A</v>
      </c>
      <c r="H75" s="34" t="e">
        <f>VLOOKUP(A1,DIV_08Data!$A$1:$DZU$1000000,1267,FALSE)</f>
        <v>#N/A</v>
      </c>
      <c r="I75" s="33" t="e">
        <f>VLOOKUP(A1,DIV_08Data!$A$1:$DZU$1000000,1268,FALSE)</f>
        <v>#N/A</v>
      </c>
      <c r="J75" s="34" t="e">
        <f>VLOOKUP(A1,DIV_08Data!$A$1:$DZU$1000000,1269,FALSE)</f>
        <v>#N/A</v>
      </c>
      <c r="K75" s="34" t="e">
        <f>VLOOKUP(A1,DIV_08Data!$A$1:$DZU$1000000,1270,FALSE)</f>
        <v>#N/A</v>
      </c>
      <c r="L75" s="93" t="e">
        <f>VLOOKUP(A1,DIV_08Data!$A$1:$DZU$1000000,1271,FALSE)</f>
        <v>#N/A</v>
      </c>
      <c r="M75" s="33" t="e">
        <f>VLOOKUP(A1,DIV_08Data!$A$1:$DZU$1000000,1272,FALSE)</f>
        <v>#N/A</v>
      </c>
      <c r="N75" s="34" t="e">
        <f>VLOOKUP(A1,DIV_08Data!$A$1:$DZU$1000000,1273,FALSE)</f>
        <v>#N/A</v>
      </c>
      <c r="O75" s="33" t="e">
        <f>VLOOKUP(A1,DIV_08Data!$A$1:$DZU$1000000,1274,FALSE)</f>
        <v>#N/A</v>
      </c>
      <c r="P75" s="46" t="e">
        <f>VLOOKUP(A1,DIV_08Data!$A$1:$DZU$1000000,1275,FALSE)</f>
        <v>#N/A</v>
      </c>
      <c r="Q75" s="33" t="e">
        <f>VLOOKUP(A1,DIV_08Data!$A$1:$DZU$1000000,1276,FALSE)</f>
        <v>#N/A</v>
      </c>
    </row>
    <row r="76" spans="1:17" x14ac:dyDescent="0.35">
      <c r="A76" s="22" t="e">
        <f>VLOOKUP(A1,DIV_08Data!$A$1:$DZU$1000000,1277,FALSE)</f>
        <v>#N/A</v>
      </c>
      <c r="B76" s="37" t="e">
        <f>VLOOKUP(A1,DIV_08Data!$A$1:$DZU$1000000,1278,FALSE)</f>
        <v>#N/A</v>
      </c>
      <c r="C76" s="38" t="e">
        <f>VLOOKUP(A1,DIV_08Data!$A$1:$DZU$1000000,1279,FALSE)</f>
        <v>#N/A</v>
      </c>
      <c r="D76" s="31" t="e">
        <f>VLOOKUP(A1,DIV_08Data!$A$1:$DZU$1000000,1280,FALSE)</f>
        <v>#N/A</v>
      </c>
      <c r="E76" s="32" t="e">
        <f>VLOOKUP(A1,DIV_08Data!$A$1:$DZU$1000000,1281,FALSE)</f>
        <v>#N/A</v>
      </c>
      <c r="F76" s="34" t="e">
        <f>VLOOKUP(A1,DIV_08Data!$A$1:$DZU$1000000,1282,FALSE)</f>
        <v>#N/A</v>
      </c>
      <c r="G76" s="33" t="e">
        <f>VLOOKUP(A1,DIV_08Data!$A$1:$DZU$1000000,1283,FALSE)</f>
        <v>#N/A</v>
      </c>
      <c r="H76" s="34" t="e">
        <f>VLOOKUP(A1,DIV_08Data!$A$1:$DZU$1000000,1284,FALSE)</f>
        <v>#N/A</v>
      </c>
      <c r="I76" s="33" t="e">
        <f>VLOOKUP(A1,DIV_08Data!$A$1:$DZU$1000000,1285,FALSE)</f>
        <v>#N/A</v>
      </c>
      <c r="J76" s="34" t="e">
        <f>VLOOKUP(A1,DIV_08Data!$A$1:$DZU$1000000,1286,FALSE)</f>
        <v>#N/A</v>
      </c>
      <c r="K76" s="34" t="e">
        <f>VLOOKUP(A1,DIV_08Data!$A$1:$DZU$1000000,1287,FALSE)</f>
        <v>#N/A</v>
      </c>
      <c r="L76" s="93" t="e">
        <f>VLOOKUP(A1,DIV_08Data!$A$1:$DZU$1000000,1288,FALSE)</f>
        <v>#N/A</v>
      </c>
      <c r="M76" s="33" t="e">
        <f>VLOOKUP(A1,DIV_08Data!$A$1:$DZU$1000000,1289,FALSE)</f>
        <v>#N/A</v>
      </c>
      <c r="N76" s="34" t="e">
        <f>VLOOKUP(A1,DIV_08Data!$A$1:$DZU$1000000,1290,FALSE)</f>
        <v>#N/A</v>
      </c>
      <c r="O76" s="33" t="e">
        <f>VLOOKUP(A1,DIV_08Data!$A$1:$DZU$1000000,1291,FALSE)</f>
        <v>#N/A</v>
      </c>
      <c r="P76" s="46" t="e">
        <f>VLOOKUP(A1,DIV_08Data!$A$1:$DZU$1000000,1292,FALSE)</f>
        <v>#N/A</v>
      </c>
      <c r="Q76" s="33" t="e">
        <f>VLOOKUP(A1,DIV_08Data!$A$1:$DZU$1000000,1293,FALSE)</f>
        <v>#N/A</v>
      </c>
    </row>
    <row r="77" spans="1:17" x14ac:dyDescent="0.35">
      <c r="A77" s="22" t="e">
        <f>VLOOKUP(A1,DIV_08Data!$A$1:$DZU$1000000,1294,FALSE)</f>
        <v>#N/A</v>
      </c>
      <c r="B77" s="37" t="e">
        <f>VLOOKUP(A1,DIV_08Data!$A$1:$DZU$1000000,1295,FALSE)</f>
        <v>#N/A</v>
      </c>
      <c r="C77" s="38" t="e">
        <f>VLOOKUP(A1,DIV_08Data!$A$1:$DZU$1000000,1296,FALSE)</f>
        <v>#N/A</v>
      </c>
      <c r="D77" s="31" t="e">
        <f>VLOOKUP(A1,DIV_08Data!$A$1:$DZU$1000000,1297,FALSE)</f>
        <v>#N/A</v>
      </c>
      <c r="E77" s="32" t="e">
        <f>VLOOKUP(A1,DIV_08Data!$A$1:$DZU$1000000,1298,FALSE)</f>
        <v>#N/A</v>
      </c>
      <c r="F77" s="34" t="e">
        <f>VLOOKUP(A1,DIV_08Data!$A$1:$DZU$1000000,1299,FALSE)</f>
        <v>#N/A</v>
      </c>
      <c r="G77" s="33" t="e">
        <f>VLOOKUP(A1,DIV_08Data!$A$1:$DZU$1000000,1300,FALSE)</f>
        <v>#N/A</v>
      </c>
      <c r="H77" s="34" t="e">
        <f>VLOOKUP(A1,DIV_08Data!$A$1:$DZU$1000000,1301,FALSE)</f>
        <v>#N/A</v>
      </c>
      <c r="I77" s="33" t="e">
        <f>VLOOKUP(A1,DIV_08Data!$A$1:$DZU$1000000,1302,FALSE)</f>
        <v>#N/A</v>
      </c>
      <c r="J77" s="34" t="e">
        <f>VLOOKUP(A1,DIV_08Data!$A$1:$DZU$1000000,1303,FALSE)</f>
        <v>#N/A</v>
      </c>
      <c r="K77" s="34" t="e">
        <f>VLOOKUP(A1,DIV_08Data!$A$1:$DZU$1000000,1304,FALSE)</f>
        <v>#N/A</v>
      </c>
      <c r="L77" s="93" t="e">
        <f>VLOOKUP(A1,DIV_08Data!$A$1:$DZU$1000000,1305,FALSE)</f>
        <v>#N/A</v>
      </c>
      <c r="M77" s="33" t="e">
        <f>VLOOKUP(A1,DIV_08Data!$A$1:$DZU$1000000,1306,FALSE)</f>
        <v>#N/A</v>
      </c>
      <c r="N77" s="34" t="e">
        <f>VLOOKUP(A1,DIV_08Data!$A$1:$DZU$1000000,1307,FALSE)</f>
        <v>#N/A</v>
      </c>
      <c r="O77" s="33" t="e">
        <f>VLOOKUP(A1,DIV_08Data!$A$1:$DZU$1000000,1308,FALSE)</f>
        <v>#N/A</v>
      </c>
      <c r="P77" s="46" t="e">
        <f>VLOOKUP(A1,DIV_08Data!$A$1:$DZU$1000000,1309,FALSE)</f>
        <v>#N/A</v>
      </c>
      <c r="Q77" s="33" t="e">
        <f>VLOOKUP(A1,DIV_08Data!$A$1:$DZU$1000000,1310,FALSE)</f>
        <v>#N/A</v>
      </c>
    </row>
    <row r="78" spans="1:17" x14ac:dyDescent="0.35">
      <c r="A78" s="22" t="e">
        <f>VLOOKUP(A1,DIV_08Data!$A$1:$DZU$1000000,1311,FALSE)</f>
        <v>#N/A</v>
      </c>
      <c r="B78" s="37" t="e">
        <f>VLOOKUP(A1,DIV_08Data!$A$1:$DZU$1000000,1312,FALSE)</f>
        <v>#N/A</v>
      </c>
      <c r="C78" s="38" t="e">
        <f>VLOOKUP(A1,DIV_08Data!$A$1:$DZU$1000000,1313,FALSE)</f>
        <v>#N/A</v>
      </c>
      <c r="D78" s="31" t="e">
        <f>VLOOKUP(A1,DIV_08Data!$A$1:$DZU$1000000,1314,FALSE)</f>
        <v>#N/A</v>
      </c>
      <c r="E78" s="32" t="e">
        <f>VLOOKUP(A1,DIV_08Data!$A$1:$DZU$1000000,1315,FALSE)</f>
        <v>#N/A</v>
      </c>
      <c r="F78" s="34" t="e">
        <f>VLOOKUP(A1,DIV_08Data!$A$1:$DZU$1000000,1316,FALSE)</f>
        <v>#N/A</v>
      </c>
      <c r="G78" s="33" t="e">
        <f>VLOOKUP(A1,DIV_08Data!$A$1:$DZU$1000000,1317,FALSE)</f>
        <v>#N/A</v>
      </c>
      <c r="H78" s="34" t="e">
        <f>VLOOKUP(A1,DIV_08Data!$A$1:$DZU$1000000,1318,FALSE)</f>
        <v>#N/A</v>
      </c>
      <c r="I78" s="33" t="e">
        <f>VLOOKUP(A1,DIV_08Data!$A$1:$DZU$1000000,1319,FALSE)</f>
        <v>#N/A</v>
      </c>
      <c r="J78" s="34" t="e">
        <f>VLOOKUP(A1,DIV_08Data!$A$1:$DZU$1000000,1320,FALSE)</f>
        <v>#N/A</v>
      </c>
      <c r="K78" s="34" t="e">
        <f>VLOOKUP(A1,DIV_08Data!$A$1:$DZU$1000000,1321,FALSE)</f>
        <v>#N/A</v>
      </c>
      <c r="L78" s="93" t="e">
        <f>VLOOKUP(A1,DIV_08Data!$A$1:$DZU$1000000,1322,FALSE)</f>
        <v>#N/A</v>
      </c>
      <c r="M78" s="33" t="e">
        <f>VLOOKUP(A1,DIV_08Data!$A$1:$DZU$1000000,1323,FALSE)</f>
        <v>#N/A</v>
      </c>
      <c r="N78" s="34" t="e">
        <f>VLOOKUP(A1,DIV_08Data!$A$1:$DZU$1000000,1324,FALSE)</f>
        <v>#N/A</v>
      </c>
      <c r="O78" s="33" t="e">
        <f>VLOOKUP(A1,DIV_08Data!$A$1:$DZU$1000000,1325,FALSE)</f>
        <v>#N/A</v>
      </c>
      <c r="P78" s="46" t="e">
        <f>VLOOKUP(A1,DIV_08Data!$A$1:$DZU$1000000,1326,FALSE)</f>
        <v>#N/A</v>
      </c>
      <c r="Q78" s="33" t="e">
        <f>VLOOKUP(A1,DIV_08Data!$A$1:$DZU$1000000,1327,FALSE)</f>
        <v>#N/A</v>
      </c>
    </row>
    <row r="79" spans="1:17" x14ac:dyDescent="0.35">
      <c r="A79" s="22" t="e">
        <f>VLOOKUP(A1,DIV_08Data!$A$1:$DZU$1000000,1328,FALSE)</f>
        <v>#N/A</v>
      </c>
      <c r="B79" s="37" t="e">
        <f>VLOOKUP(A1,DIV_08Data!$A$1:$DZU$1000000,1329,FALSE)</f>
        <v>#N/A</v>
      </c>
      <c r="C79" s="38" t="e">
        <f>VLOOKUP(A1,DIV_08Data!$A$1:$DZU$1000000,1330,FALSE)</f>
        <v>#N/A</v>
      </c>
      <c r="D79" s="31" t="e">
        <f>VLOOKUP(A1,DIV_08Data!$A$1:$DZU$1000000,1331,FALSE)</f>
        <v>#N/A</v>
      </c>
      <c r="E79" s="32" t="e">
        <f>VLOOKUP(A1,DIV_08Data!$A$1:$DZU$1000000,1332,FALSE)</f>
        <v>#N/A</v>
      </c>
      <c r="F79" s="34" t="e">
        <f>VLOOKUP(A1,DIV_08Data!$A$1:$DZU$1000000,1333,FALSE)</f>
        <v>#N/A</v>
      </c>
      <c r="G79" s="33" t="e">
        <f>VLOOKUP(A1,DIV_08Data!$A$1:$DZU$1000000,1334,FALSE)</f>
        <v>#N/A</v>
      </c>
      <c r="H79" s="34" t="e">
        <f>VLOOKUP(A1,DIV_08Data!$A$1:$DZU$1000000,1335,FALSE)</f>
        <v>#N/A</v>
      </c>
      <c r="I79" s="33" t="e">
        <f>VLOOKUP(A1,DIV_08Data!$A$1:$DZU$1000000,1336,FALSE)</f>
        <v>#N/A</v>
      </c>
      <c r="J79" s="34" t="e">
        <f>VLOOKUP(A1,DIV_08Data!$A$1:$DZU$1000000,1337,FALSE)</f>
        <v>#N/A</v>
      </c>
      <c r="K79" s="34" t="e">
        <f>VLOOKUP(A1,DIV_08Data!$A$1:$DZU$1000000,1338,FALSE)</f>
        <v>#N/A</v>
      </c>
      <c r="L79" s="93" t="e">
        <f>VLOOKUP(A1,DIV_08Data!$A$1:$DZU$1000000,1339,FALSE)</f>
        <v>#N/A</v>
      </c>
      <c r="M79" s="33" t="e">
        <f>VLOOKUP(A1,DIV_08Data!$A$1:$DZU$1000000,1340,FALSE)</f>
        <v>#N/A</v>
      </c>
      <c r="N79" s="34" t="e">
        <f>VLOOKUP(A1,DIV_08Data!$A$1:$DZU$1000000,1341,FALSE)</f>
        <v>#N/A</v>
      </c>
      <c r="O79" s="33" t="e">
        <f>VLOOKUP(A1,DIV_08Data!$A$1:$DZU$1000000,1342,FALSE)</f>
        <v>#N/A</v>
      </c>
      <c r="P79" s="46" t="e">
        <f>VLOOKUP(A1,DIV_08Data!$A$1:$DZU$1000000,1343,FALSE)</f>
        <v>#N/A</v>
      </c>
      <c r="Q79" s="33" t="e">
        <f>VLOOKUP(A1,DIV_08Data!$A$1:$DZU$1000000,1344,FALSE)</f>
        <v>#N/A</v>
      </c>
    </row>
    <row r="80" spans="1:17" x14ac:dyDescent="0.35">
      <c r="A80" s="22" t="e">
        <f>VLOOKUP(A1,DIV_08Data!$A$1:$DZU$1000000,1345,FALSE)</f>
        <v>#N/A</v>
      </c>
      <c r="B80" s="37" t="e">
        <f>VLOOKUP(A1,DIV_08Data!$A$1:$DZU$1000000,1346,FALSE)</f>
        <v>#N/A</v>
      </c>
      <c r="C80" s="38" t="e">
        <f>VLOOKUP(A1,DIV_08Data!$A$1:$DZU$1000000,1347,FALSE)</f>
        <v>#N/A</v>
      </c>
      <c r="D80" s="31" t="e">
        <f>VLOOKUP(A1,DIV_08Data!$A$1:$DZU$1000000,1348,FALSE)</f>
        <v>#N/A</v>
      </c>
      <c r="E80" s="32" t="e">
        <f>VLOOKUP(A1,DIV_08Data!$A$1:$DZU$1000000,1349,FALSE)</f>
        <v>#N/A</v>
      </c>
      <c r="F80" s="34" t="e">
        <f>VLOOKUP(A1,DIV_08Data!$A$1:$DZU$1000000,1350,FALSE)</f>
        <v>#N/A</v>
      </c>
      <c r="G80" s="33" t="e">
        <f>VLOOKUP(A1,DIV_08Data!$A$1:$DZU$1000000,1351,FALSE)</f>
        <v>#N/A</v>
      </c>
      <c r="H80" s="34" t="e">
        <f>VLOOKUP(A1,DIV_08Data!$A$1:$DZU$1000000,1352,FALSE)</f>
        <v>#N/A</v>
      </c>
      <c r="I80" s="33" t="e">
        <f>VLOOKUP(A1,DIV_08Data!$A$1:$DZU$1000000,1353,FALSE)</f>
        <v>#N/A</v>
      </c>
      <c r="J80" s="34" t="e">
        <f>VLOOKUP(A1,DIV_08Data!$A$1:$DZU$1000000,1354,FALSE)</f>
        <v>#N/A</v>
      </c>
      <c r="K80" s="34" t="e">
        <f>VLOOKUP(A1,DIV_08Data!$A$1:$DZU$1000000,1355,FALSE)</f>
        <v>#N/A</v>
      </c>
      <c r="L80" s="93" t="e">
        <f>VLOOKUP(A1,DIV_08Data!$A$1:$DZU$1000000,1356,FALSE)</f>
        <v>#N/A</v>
      </c>
      <c r="M80" s="33" t="e">
        <f>VLOOKUP(A1,DIV_08Data!$A$1:$DZU$1000000,1357,FALSE)</f>
        <v>#N/A</v>
      </c>
      <c r="N80" s="34" t="e">
        <f>VLOOKUP(A1,DIV_08Data!$A$1:$DZU$1000000,1358,FALSE)</f>
        <v>#N/A</v>
      </c>
      <c r="O80" s="33" t="e">
        <f>VLOOKUP(A1,DIV_08Data!$A$1:$DZU$1000000,1359,FALSE)</f>
        <v>#N/A</v>
      </c>
      <c r="P80" s="46" t="e">
        <f>VLOOKUP(A1,DIV_08Data!$A$1:$DZU$1000000,1360,FALSE)</f>
        <v>#N/A</v>
      </c>
      <c r="Q80" s="33" t="e">
        <f>VLOOKUP(A1,DIV_08Data!$A$1:$DZU$1000000,1361,FALSE)</f>
        <v>#N/A</v>
      </c>
    </row>
    <row r="81" spans="1:17" x14ac:dyDescent="0.35">
      <c r="A81" s="22" t="e">
        <f>VLOOKUP(A1,DIV_08Data!$A$1:$DZU$1000000,1362,FALSE)</f>
        <v>#N/A</v>
      </c>
      <c r="B81" s="37" t="e">
        <f>VLOOKUP(A1,DIV_08Data!$A$1:$DZU$1000000,1363,FALSE)</f>
        <v>#N/A</v>
      </c>
      <c r="C81" s="38" t="e">
        <f>VLOOKUP(A1,DIV_08Data!$A$1:$DZU$1000000,1364,FALSE)</f>
        <v>#N/A</v>
      </c>
      <c r="D81" s="31" t="e">
        <f>VLOOKUP(A1,DIV_08Data!$A$1:$DZU$1000000,1365,FALSE)</f>
        <v>#N/A</v>
      </c>
      <c r="E81" s="32" t="e">
        <f>VLOOKUP(A1,DIV_08Data!$A$1:$DZU$1000000,1366,FALSE)</f>
        <v>#N/A</v>
      </c>
      <c r="F81" s="34" t="e">
        <f>VLOOKUP(A1,DIV_08Data!$A$1:$DZU$1000000,1367,FALSE)</f>
        <v>#N/A</v>
      </c>
      <c r="G81" s="33" t="e">
        <f>VLOOKUP(A1,DIV_08Data!$A$1:$DZU$1000000,1368,FALSE)</f>
        <v>#N/A</v>
      </c>
      <c r="H81" s="34" t="e">
        <f>VLOOKUP(A1,DIV_08Data!$A$1:$DZU$1000000,1369,FALSE)</f>
        <v>#N/A</v>
      </c>
      <c r="I81" s="33" t="e">
        <f>VLOOKUP(A1,DIV_08Data!$A$1:$DZU$1000000,1370,FALSE)</f>
        <v>#N/A</v>
      </c>
      <c r="J81" s="34" t="e">
        <f>VLOOKUP(A1,DIV_08Data!$A$1:$DZU$1000000,1371,FALSE)</f>
        <v>#N/A</v>
      </c>
      <c r="K81" s="34" t="e">
        <f>VLOOKUP(A1,DIV_08Data!$A$1:$DZU$1000000,1372,FALSE)</f>
        <v>#N/A</v>
      </c>
      <c r="L81" s="93" t="e">
        <f>VLOOKUP(A1,DIV_08Data!$A$1:$DZU$1000000,1373,FALSE)</f>
        <v>#N/A</v>
      </c>
      <c r="M81" s="33" t="e">
        <f>VLOOKUP(A1,DIV_08Data!$A$1:$DZU$1000000,1374,FALSE)</f>
        <v>#N/A</v>
      </c>
      <c r="N81" s="34" t="e">
        <f>VLOOKUP(A1,DIV_08Data!$A$1:$DZU$1000000,1375,FALSE)</f>
        <v>#N/A</v>
      </c>
      <c r="O81" s="33" t="e">
        <f>VLOOKUP(A1,DIV_08Data!$A$1:$DZU$1000000,1376,FALSE)</f>
        <v>#N/A</v>
      </c>
      <c r="P81" s="46" t="e">
        <f>VLOOKUP(A1,DIV_08Data!$A$1:$DZU$1000000,1377,FALSE)</f>
        <v>#N/A</v>
      </c>
      <c r="Q81" s="33" t="e">
        <f>VLOOKUP(A1,DIV_08Data!$A$1:$DZU$1000000,1378,FALSE)</f>
        <v>#N/A</v>
      </c>
    </row>
    <row r="82" spans="1:17" x14ac:dyDescent="0.35">
      <c r="A82" s="22" t="e">
        <f>VLOOKUP(A1,DIV_08Data!$A$1:$DZU$1000000,1379,FALSE)</f>
        <v>#N/A</v>
      </c>
      <c r="B82" s="37" t="e">
        <f>VLOOKUP(A1,DIV_08Data!$A$1:$DZU$1000000,1380,FALSE)</f>
        <v>#N/A</v>
      </c>
      <c r="C82" s="38" t="e">
        <f>VLOOKUP(A1,DIV_08Data!$A$1:$DZU$1000000,1381,FALSE)</f>
        <v>#N/A</v>
      </c>
      <c r="D82" s="31" t="e">
        <f>VLOOKUP(A1,DIV_08Data!$A$1:$DZU$1000000,1382,FALSE)</f>
        <v>#N/A</v>
      </c>
      <c r="E82" s="32" t="e">
        <f>VLOOKUP(A1,DIV_08Data!$A$1:$DZU$1000000,1383,FALSE)</f>
        <v>#N/A</v>
      </c>
      <c r="F82" s="34" t="e">
        <f>VLOOKUP(A1,DIV_08Data!$A$1:$DZU$1000000,1384,FALSE)</f>
        <v>#N/A</v>
      </c>
      <c r="G82" s="33" t="e">
        <f>VLOOKUP(A1,DIV_08Data!$A$1:$DZU$1000000,1385,FALSE)</f>
        <v>#N/A</v>
      </c>
      <c r="H82" s="34" t="e">
        <f>VLOOKUP(A1,DIV_08Data!$A$1:$DZU$1000000,1386,FALSE)</f>
        <v>#N/A</v>
      </c>
      <c r="I82" s="33" t="e">
        <f>VLOOKUP(A1,DIV_08Data!$A$1:$DZU$1000000,1387,FALSE)</f>
        <v>#N/A</v>
      </c>
      <c r="J82" s="34" t="e">
        <f>VLOOKUP(A1,DIV_08Data!$A$1:$DZU$1000000,1388,FALSE)</f>
        <v>#N/A</v>
      </c>
      <c r="K82" s="34" t="e">
        <f>VLOOKUP(A1,DIV_08Data!$A$1:$DZU$1000000,1389,FALSE)</f>
        <v>#N/A</v>
      </c>
      <c r="L82" s="93" t="e">
        <f>VLOOKUP(A1,DIV_08Data!$A$1:$DZU$1000000,1390,FALSE)</f>
        <v>#N/A</v>
      </c>
      <c r="M82" s="33" t="e">
        <f>VLOOKUP(A1,DIV_08Data!$A$1:$DZU$1000000,1391,FALSE)</f>
        <v>#N/A</v>
      </c>
      <c r="N82" s="34" t="e">
        <f>VLOOKUP(A1,DIV_08Data!$A$1:$DZU$1000000,1392,FALSE)</f>
        <v>#N/A</v>
      </c>
      <c r="O82" s="33" t="e">
        <f>VLOOKUP(A1,DIV_08Data!$A$1:$DZU$1000000,1393,FALSE)</f>
        <v>#N/A</v>
      </c>
      <c r="P82" s="46" t="e">
        <f>VLOOKUP(A1,DIV_08Data!$A$1:$DZU$1000000,1394,FALSE)</f>
        <v>#N/A</v>
      </c>
      <c r="Q82" s="33" t="e">
        <f>VLOOKUP(A1,DIV_08Data!$A$1:$DZU$1000000,1395,FALSE)</f>
        <v>#N/A</v>
      </c>
    </row>
    <row r="83" spans="1:17" x14ac:dyDescent="0.35">
      <c r="A83" s="22" t="e">
        <f>VLOOKUP(A1,DIV_08Data!$A$1:$DZU$1000000,1396,FALSE)</f>
        <v>#N/A</v>
      </c>
      <c r="B83" s="37" t="e">
        <f>VLOOKUP(A1,DIV_08Data!$A$1:$DZU$1000000,1397,FALSE)</f>
        <v>#N/A</v>
      </c>
      <c r="C83" s="38" t="e">
        <f>VLOOKUP(A1,DIV_08Data!$A$1:$DZU$1000000,1398,FALSE)</f>
        <v>#N/A</v>
      </c>
      <c r="D83" s="31" t="e">
        <f>VLOOKUP(A1,DIV_08Data!$A$1:$DZU$1000000,1399,FALSE)</f>
        <v>#N/A</v>
      </c>
      <c r="E83" s="32" t="e">
        <f>VLOOKUP(A1,DIV_08Data!$A$1:$DZU$1000000,1400,FALSE)</f>
        <v>#N/A</v>
      </c>
      <c r="F83" s="34" t="e">
        <f>VLOOKUP(A1,DIV_08Data!$A$1:$DZU$1000000,1401,FALSE)</f>
        <v>#N/A</v>
      </c>
      <c r="G83" s="33" t="e">
        <f>VLOOKUP(A1,DIV_08Data!$A$1:$DZU$1000000,1402,FALSE)</f>
        <v>#N/A</v>
      </c>
      <c r="H83" s="34" t="e">
        <f>VLOOKUP(A1,DIV_08Data!$A$1:$DZU$1000000,1403,FALSE)</f>
        <v>#N/A</v>
      </c>
      <c r="I83" s="33" t="e">
        <f>VLOOKUP(A1,DIV_08Data!$A$1:$DZU$1000000,1404,FALSE)</f>
        <v>#N/A</v>
      </c>
      <c r="J83" s="34" t="e">
        <f>VLOOKUP(A1,DIV_08Data!$A$1:$DZU$1000000,1405,FALSE)</f>
        <v>#N/A</v>
      </c>
      <c r="K83" s="34" t="e">
        <f>VLOOKUP(A1,DIV_08Data!$A$1:$DZU$1000000,1406,FALSE)</f>
        <v>#N/A</v>
      </c>
      <c r="L83" s="93" t="e">
        <f>VLOOKUP(A1,DIV_08Data!$A$1:$DZU$1000000,1407,FALSE)</f>
        <v>#N/A</v>
      </c>
      <c r="M83" s="33" t="e">
        <f>VLOOKUP(A1,DIV_08Data!$A$1:$DZU$1000000,1408,FALSE)</f>
        <v>#N/A</v>
      </c>
      <c r="N83" s="34" t="e">
        <f>VLOOKUP(A1,DIV_08Data!$A$1:$DZU$1000000,1409,FALSE)</f>
        <v>#N/A</v>
      </c>
      <c r="O83" s="33" t="e">
        <f>VLOOKUP(A1,DIV_08Data!$A$1:$DZU$1000000,1410,FALSE)</f>
        <v>#N/A</v>
      </c>
      <c r="P83" s="46" t="e">
        <f>VLOOKUP(A1,DIV_08Data!$A$1:$DZU$1000000,1411,FALSE)</f>
        <v>#N/A</v>
      </c>
      <c r="Q83" s="33" t="e">
        <f>VLOOKUP(A1,DIV_08Data!$A$1:$DZU$1000000,1412,FALSE)</f>
        <v>#N/A</v>
      </c>
    </row>
    <row r="84" spans="1:17" x14ac:dyDescent="0.35">
      <c r="A84" s="22" t="e">
        <f>VLOOKUP(A1,DIV_08Data!$A$1:$DZU$1000000,1413,FALSE)</f>
        <v>#N/A</v>
      </c>
      <c r="B84" s="37" t="e">
        <f>VLOOKUP(A1,DIV_08Data!$A$1:$DZU$1000000,1414,FALSE)</f>
        <v>#N/A</v>
      </c>
      <c r="C84" s="38" t="e">
        <f>VLOOKUP(A1,DIV_08Data!$A$1:$DZU$1000000,1415,FALSE)</f>
        <v>#N/A</v>
      </c>
      <c r="D84" s="31" t="e">
        <f>VLOOKUP(A1,DIV_08Data!$A$1:$DZU$1000000,1416,FALSE)</f>
        <v>#N/A</v>
      </c>
      <c r="E84" s="32" t="e">
        <f>VLOOKUP(A1,DIV_08Data!$A$1:$DZU$1000000,1417,FALSE)</f>
        <v>#N/A</v>
      </c>
      <c r="F84" s="34" t="e">
        <f>VLOOKUP(A1,DIV_08Data!$A$1:$DZU$1000000,1418,FALSE)</f>
        <v>#N/A</v>
      </c>
      <c r="G84" s="33" t="e">
        <f>VLOOKUP(A1,DIV_08Data!$A$1:$DZU$1000000,1419,FALSE)</f>
        <v>#N/A</v>
      </c>
      <c r="H84" s="34" t="e">
        <f>VLOOKUP(A1,DIV_08Data!$A$1:$DZU$1000000,1420,FALSE)</f>
        <v>#N/A</v>
      </c>
      <c r="I84" s="33" t="e">
        <f>VLOOKUP(A1,DIV_08Data!$A$1:$DZU$1000000,1421,FALSE)</f>
        <v>#N/A</v>
      </c>
      <c r="J84" s="34" t="e">
        <f>VLOOKUP(A1,DIV_08Data!$A$1:$DZU$1000000,1422,FALSE)</f>
        <v>#N/A</v>
      </c>
      <c r="K84" s="34" t="e">
        <f>VLOOKUP(A1,DIV_08Data!$A$1:$DZU$1000000,1423,FALSE)</f>
        <v>#N/A</v>
      </c>
      <c r="L84" s="93" t="e">
        <f>VLOOKUP(A1,DIV_08Data!$A$1:$DZU$1000000,1424,FALSE)</f>
        <v>#N/A</v>
      </c>
      <c r="M84" s="33" t="e">
        <f>VLOOKUP(A1,DIV_08Data!$A$1:$DZU$1000000,1425,FALSE)</f>
        <v>#N/A</v>
      </c>
      <c r="N84" s="34" t="e">
        <f>VLOOKUP(A1,DIV_08Data!$A$1:$DZU$1000000,1426,FALSE)</f>
        <v>#N/A</v>
      </c>
      <c r="O84" s="33" t="e">
        <f>VLOOKUP(A1,DIV_08Data!$A$1:$DZU$1000000,1427,FALSE)</f>
        <v>#N/A</v>
      </c>
      <c r="P84" s="46" t="e">
        <f>VLOOKUP(A1,DIV_08Data!$A$1:$DZU$1000000,1428,FALSE)</f>
        <v>#N/A</v>
      </c>
      <c r="Q84" s="33" t="e">
        <f>VLOOKUP(A1,DIV_08Data!$A$1:$DZU$1000000,1429,FALSE)</f>
        <v>#N/A</v>
      </c>
    </row>
    <row r="85" spans="1:17" x14ac:dyDescent="0.35">
      <c r="A85" s="22" t="e">
        <f>VLOOKUP(A1,DIV_08Data!$A$1:$DZU$1000000,1430,FALSE)</f>
        <v>#N/A</v>
      </c>
      <c r="B85" s="37" t="e">
        <f>VLOOKUP(A1,DIV_08Data!$A$1:$DZU$1000000,1431,FALSE)</f>
        <v>#N/A</v>
      </c>
      <c r="C85" s="38" t="e">
        <f>VLOOKUP(A1,DIV_08Data!$A$1:$DZU$1000000,1432,FALSE)</f>
        <v>#N/A</v>
      </c>
      <c r="D85" s="31" t="e">
        <f>VLOOKUP(A1,DIV_08Data!$A$1:$DZU$1000000,1433,FALSE)</f>
        <v>#N/A</v>
      </c>
      <c r="E85" s="32" t="e">
        <f>VLOOKUP(A1,DIV_08Data!$A$1:$DZU$1000000,1434,FALSE)</f>
        <v>#N/A</v>
      </c>
      <c r="F85" s="34" t="e">
        <f>VLOOKUP(A1,DIV_08Data!$A$1:$DZU$1000000,1435,FALSE)</f>
        <v>#N/A</v>
      </c>
      <c r="G85" s="33" t="e">
        <f>VLOOKUP(A1,DIV_08Data!$A$1:$DZU$1000000,1436,FALSE)</f>
        <v>#N/A</v>
      </c>
      <c r="H85" s="34" t="e">
        <f>VLOOKUP(A1,DIV_08Data!$A$1:$DZU$1000000,1437,FALSE)</f>
        <v>#N/A</v>
      </c>
      <c r="I85" s="33" t="e">
        <f>VLOOKUP(A1,DIV_08Data!$A$1:$DZU$1000000,1438,FALSE)</f>
        <v>#N/A</v>
      </c>
      <c r="J85" s="34" t="e">
        <f>VLOOKUP(A1,DIV_08Data!$A$1:$DZU$1000000,1439,FALSE)</f>
        <v>#N/A</v>
      </c>
      <c r="K85" s="34" t="e">
        <f>VLOOKUP(A1,DIV_08Data!$A$1:$DZU$1000000,1440,FALSE)</f>
        <v>#N/A</v>
      </c>
      <c r="L85" s="93" t="e">
        <f>VLOOKUP(A1,DIV_08Data!$A$1:$DZU$1000000,1441,FALSE)</f>
        <v>#N/A</v>
      </c>
      <c r="M85" s="33" t="e">
        <f>VLOOKUP(A1,DIV_08Data!$A$1:$DZU$1000000,1442,FALSE)</f>
        <v>#N/A</v>
      </c>
      <c r="N85" s="34" t="e">
        <f>VLOOKUP(A1,DIV_08Data!$A$1:$DZU$1000000,1443,FALSE)</f>
        <v>#N/A</v>
      </c>
      <c r="O85" s="33" t="e">
        <f>VLOOKUP(A1,DIV_08Data!$A$1:$DZU$1000000,1444,FALSE)</f>
        <v>#N/A</v>
      </c>
      <c r="P85" s="46" t="e">
        <f>VLOOKUP(A1,DIV_08Data!$A$1:$DZU$1000000,1445,FALSE)</f>
        <v>#N/A</v>
      </c>
      <c r="Q85" s="33" t="e">
        <f>VLOOKUP(A1,DIV_08Data!$A$1:$DZU$1000000,1446,FALSE)</f>
        <v>#N/A</v>
      </c>
    </row>
    <row r="86" spans="1:17" x14ac:dyDescent="0.35">
      <c r="A86" s="22" t="e">
        <f>VLOOKUP(A1,DIV_08Data!$A$1:$DZU$1000000,1447,FALSE)</f>
        <v>#N/A</v>
      </c>
      <c r="B86" s="37" t="e">
        <f>VLOOKUP(A1,DIV_08Data!$A$1:$DZU$1000000,1448,FALSE)</f>
        <v>#N/A</v>
      </c>
      <c r="C86" s="38" t="e">
        <f>VLOOKUP(A1,DIV_08Data!$A$1:$DZU$1000000,1449,FALSE)</f>
        <v>#N/A</v>
      </c>
      <c r="D86" s="31" t="e">
        <f>VLOOKUP(A1,DIV_08Data!$A$1:$DZU$1000000,1450,FALSE)</f>
        <v>#N/A</v>
      </c>
      <c r="E86" s="32" t="e">
        <f>VLOOKUP(A1,DIV_08Data!$A$1:$DZU$1000000,1451,FALSE)</f>
        <v>#N/A</v>
      </c>
      <c r="F86" s="34" t="e">
        <f>VLOOKUP(A1,DIV_08Data!$A$1:$DZU$1000000,1452,FALSE)</f>
        <v>#N/A</v>
      </c>
      <c r="G86" s="33" t="e">
        <f>VLOOKUP(A1,DIV_08Data!$A$1:$DZU$1000000,1453,FALSE)</f>
        <v>#N/A</v>
      </c>
      <c r="H86" s="34" t="e">
        <f>VLOOKUP(A1,DIV_08Data!$A$1:$DZU$1000000,1454,FALSE)</f>
        <v>#N/A</v>
      </c>
      <c r="I86" s="33" t="e">
        <f>VLOOKUP(A1,DIV_08Data!$A$1:$DZU$1000000,1455,FALSE)</f>
        <v>#N/A</v>
      </c>
      <c r="J86" s="34" t="e">
        <f>VLOOKUP(A1,DIV_08Data!$A$1:$DZU$1000000,1456,FALSE)</f>
        <v>#N/A</v>
      </c>
      <c r="K86" s="34" t="e">
        <f>VLOOKUP(A1,DIV_08Data!$A$1:$DZU$1000000,1457,FALSE)</f>
        <v>#N/A</v>
      </c>
      <c r="L86" s="93" t="e">
        <f>VLOOKUP(A1,DIV_08Data!$A$1:$DZU$1000000,1458,FALSE)</f>
        <v>#N/A</v>
      </c>
      <c r="M86" s="33" t="e">
        <f>VLOOKUP(A1,DIV_08Data!$A$1:$DZU$1000000,1459,FALSE)</f>
        <v>#N/A</v>
      </c>
      <c r="N86" s="34" t="e">
        <f>VLOOKUP(A1,DIV_08Data!$A$1:$DZU$1000000,1460,FALSE)</f>
        <v>#N/A</v>
      </c>
      <c r="O86" s="33" t="e">
        <f>VLOOKUP(A1,DIV_08Data!$A$1:$DZU$1000000,1461,FALSE)</f>
        <v>#N/A</v>
      </c>
      <c r="P86" s="46" t="e">
        <f>VLOOKUP(A1,DIV_08Data!$A$1:$DZU$1000000,1462,FALSE)</f>
        <v>#N/A</v>
      </c>
      <c r="Q86" s="33" t="e">
        <f>VLOOKUP(A1,DIV_08Data!$A$1:$DZU$1000000,1463,FALSE)</f>
        <v>#N/A</v>
      </c>
    </row>
    <row r="87" spans="1:17" x14ac:dyDescent="0.35">
      <c r="A87" s="22" t="e">
        <f>VLOOKUP(A1,DIV_08Data!$A$1:$DZU$1000000,1464,FALSE)</f>
        <v>#N/A</v>
      </c>
      <c r="B87" s="37" t="e">
        <f>VLOOKUP(A1,DIV_08Data!$A$1:$DZU$1000000,1465,FALSE)</f>
        <v>#N/A</v>
      </c>
      <c r="C87" s="38" t="e">
        <f>VLOOKUP(A1,DIV_08Data!$A$1:$DZU$1000000,1466,FALSE)</f>
        <v>#N/A</v>
      </c>
      <c r="D87" s="31" t="e">
        <f>VLOOKUP(A1,DIV_08Data!$A$1:$DZU$1000000,1467,FALSE)</f>
        <v>#N/A</v>
      </c>
      <c r="E87" s="32" t="e">
        <f>VLOOKUP(A1,DIV_08Data!$A$1:$DZU$1000000,1468,FALSE)</f>
        <v>#N/A</v>
      </c>
      <c r="F87" s="34" t="e">
        <f>VLOOKUP(A1,DIV_08Data!$A$1:$DZU$1000000,1469,FALSE)</f>
        <v>#N/A</v>
      </c>
      <c r="G87" s="33" t="e">
        <f>VLOOKUP(A1,DIV_08Data!$A$1:$DZU$1000000,1470,FALSE)</f>
        <v>#N/A</v>
      </c>
      <c r="H87" s="34" t="e">
        <f>VLOOKUP(A1,DIV_08Data!$A$1:$DZU$1000000,1471,FALSE)</f>
        <v>#N/A</v>
      </c>
      <c r="I87" s="33" t="e">
        <f>VLOOKUP(A1,DIV_08Data!$A$1:$DZU$1000000,1472,FALSE)</f>
        <v>#N/A</v>
      </c>
      <c r="J87" s="34" t="e">
        <f>VLOOKUP(A1,DIV_08Data!$A$1:$DZU$1000000,1473,FALSE)</f>
        <v>#N/A</v>
      </c>
      <c r="K87" s="34" t="e">
        <f>VLOOKUP(A1,DIV_08Data!$A$1:$DZU$1000000,1474,FALSE)</f>
        <v>#N/A</v>
      </c>
      <c r="L87" s="93" t="e">
        <f>VLOOKUP(A1,DIV_08Data!$A$1:$DZU$1000000,1475,FALSE)</f>
        <v>#N/A</v>
      </c>
      <c r="M87" s="33" t="e">
        <f>VLOOKUP(A1,DIV_08Data!$A$1:$DZU$1000000,1476,FALSE)</f>
        <v>#N/A</v>
      </c>
      <c r="N87" s="34" t="e">
        <f>VLOOKUP(A1,DIV_08Data!$A$1:$DZU$1000000,1477,FALSE)</f>
        <v>#N/A</v>
      </c>
      <c r="O87" s="33" t="e">
        <f>VLOOKUP(A1,DIV_08Data!$A$1:$DZU$1000000,1478,FALSE)</f>
        <v>#N/A</v>
      </c>
      <c r="P87" s="46" t="e">
        <f>VLOOKUP(A1,DIV_08Data!$A$1:$DZU$1000000,1479,FALSE)</f>
        <v>#N/A</v>
      </c>
      <c r="Q87" s="33" t="e">
        <f>VLOOKUP(A1,DIV_08Data!$A$1:$DZU$1000000,1480,FALSE)</f>
        <v>#N/A</v>
      </c>
    </row>
    <row r="88" spans="1:17" x14ac:dyDescent="0.35">
      <c r="A88" s="22" t="e">
        <f>VLOOKUP(A1,DIV_08Data!$A$1:$DZU$1000000,1481,FALSE)</f>
        <v>#N/A</v>
      </c>
      <c r="B88" s="37" t="e">
        <f>VLOOKUP(A1,DIV_08Data!$A$1:$DZU$1000000,1482,FALSE)</f>
        <v>#N/A</v>
      </c>
      <c r="C88" s="38" t="e">
        <f>VLOOKUP(A1,DIV_08Data!$A$1:$DZU$1000000,1483,FALSE)</f>
        <v>#N/A</v>
      </c>
      <c r="D88" s="31" t="e">
        <f>VLOOKUP(A1,DIV_08Data!$A$1:$DZU$1000000,1484,FALSE)</f>
        <v>#N/A</v>
      </c>
      <c r="E88" s="32" t="e">
        <f>VLOOKUP(A1,DIV_08Data!$A$1:$DZU$1000000,1485,FALSE)</f>
        <v>#N/A</v>
      </c>
      <c r="F88" s="34" t="e">
        <f>VLOOKUP(A1,DIV_08Data!$A$1:$DZU$1000000,1486,FALSE)</f>
        <v>#N/A</v>
      </c>
      <c r="G88" s="33" t="e">
        <f>VLOOKUP(A1,DIV_08Data!$A$1:$DZU$1000000,1487,FALSE)</f>
        <v>#N/A</v>
      </c>
      <c r="H88" s="34" t="e">
        <f>VLOOKUP(A1,DIV_08Data!$A$1:$DZU$1000000,1488,FALSE)</f>
        <v>#N/A</v>
      </c>
      <c r="I88" s="33" t="e">
        <f>VLOOKUP(A1,DIV_08Data!$A$1:$DZU$1000000,1489,FALSE)</f>
        <v>#N/A</v>
      </c>
      <c r="J88" s="34" t="e">
        <f>VLOOKUP(A1,DIV_08Data!$A$1:$DZU$1000000,1490,FALSE)</f>
        <v>#N/A</v>
      </c>
      <c r="K88" s="34" t="e">
        <f>VLOOKUP(A1,DIV_08Data!$A$1:$DZU$1000000,1491,FALSE)</f>
        <v>#N/A</v>
      </c>
      <c r="L88" s="93" t="e">
        <f>VLOOKUP(A1,DIV_08Data!$A$1:$DZU$1000000,1492,FALSE)</f>
        <v>#N/A</v>
      </c>
      <c r="M88" s="33" t="e">
        <f>VLOOKUP(A1,DIV_08Data!$A$1:$DZU$1000000,1493,FALSE)</f>
        <v>#N/A</v>
      </c>
      <c r="N88" s="34" t="e">
        <f>VLOOKUP(A1,DIV_08Data!$A$1:$DZU$1000000,1494,FALSE)</f>
        <v>#N/A</v>
      </c>
      <c r="O88" s="33" t="e">
        <f>VLOOKUP(A1,DIV_08Data!$A$1:$DZU$1000000,1495,FALSE)</f>
        <v>#N/A</v>
      </c>
      <c r="P88" s="46" t="e">
        <f>VLOOKUP(A1,DIV_08Data!$A$1:$DZU$1000000,1496,FALSE)</f>
        <v>#N/A</v>
      </c>
      <c r="Q88" s="33" t="e">
        <f>VLOOKUP(A1,DIV_08Data!$A$1:$DZU$1000000,1497,FALSE)</f>
        <v>#N/A</v>
      </c>
    </row>
    <row r="89" spans="1:17" x14ac:dyDescent="0.35">
      <c r="A89" s="22" t="e">
        <f>VLOOKUP(A1,DIV_08Data!$A$1:$DZU$1000000,1498,FALSE)</f>
        <v>#N/A</v>
      </c>
      <c r="B89" s="37" t="e">
        <f>VLOOKUP(A1,DIV_08Data!$A$1:$DZU$1000000,1499,FALSE)</f>
        <v>#N/A</v>
      </c>
      <c r="C89" s="38" t="e">
        <f>VLOOKUP(A1,DIV_08Data!$A$1:$DZU$1000000,1500,FALSE)</f>
        <v>#N/A</v>
      </c>
      <c r="D89" s="31" t="e">
        <f>VLOOKUP(A1,DIV_08Data!$A$1:$DZU$1000000,1501,FALSE)</f>
        <v>#N/A</v>
      </c>
      <c r="E89" s="32" t="e">
        <f>VLOOKUP(A1,DIV_08Data!$A$1:$DZU$1000000,1502,FALSE)</f>
        <v>#N/A</v>
      </c>
      <c r="F89" s="34" t="e">
        <f>VLOOKUP(A1,DIV_08Data!$A$1:$DZU$1000000,1503,FALSE)</f>
        <v>#N/A</v>
      </c>
      <c r="G89" s="33" t="e">
        <f>VLOOKUP(A1,DIV_08Data!$A$1:$DZU$1000000,1504,FALSE)</f>
        <v>#N/A</v>
      </c>
      <c r="H89" s="34" t="e">
        <f>VLOOKUP(A1,DIV_08Data!$A$1:$DZU$1000000,1505,FALSE)</f>
        <v>#N/A</v>
      </c>
      <c r="I89" s="33" t="e">
        <f>VLOOKUP(A1,DIV_08Data!$A$1:$DZU$1000000,1506,FALSE)</f>
        <v>#N/A</v>
      </c>
      <c r="J89" s="34" t="e">
        <f>VLOOKUP(A1,DIV_08Data!$A$1:$DZU$1000000,1507,FALSE)</f>
        <v>#N/A</v>
      </c>
      <c r="K89" s="34" t="e">
        <f>VLOOKUP(A1,DIV_08Data!$A$1:$DZU$1000000,1508,FALSE)</f>
        <v>#N/A</v>
      </c>
      <c r="L89" s="93" t="e">
        <f>VLOOKUP(A1,DIV_08Data!$A$1:$DZU$1000000,1509,FALSE)</f>
        <v>#N/A</v>
      </c>
      <c r="M89" s="33" t="e">
        <f>VLOOKUP(A1,DIV_08Data!$A$1:$DZU$1000000,1510,FALSE)</f>
        <v>#N/A</v>
      </c>
      <c r="N89" s="34" t="e">
        <f>VLOOKUP(A1,DIV_08Data!$A$1:$DZU$1000000,1511,FALSE)</f>
        <v>#N/A</v>
      </c>
      <c r="O89" s="33" t="e">
        <f>VLOOKUP(A1,DIV_08Data!$A$1:$DZU$1000000,1512,FALSE)</f>
        <v>#N/A</v>
      </c>
      <c r="P89" s="46" t="e">
        <f>VLOOKUP(A1,DIV_08Data!$A$1:$DZU$1000000,1513,FALSE)</f>
        <v>#N/A</v>
      </c>
      <c r="Q89" s="33" t="e">
        <f>VLOOKUP(A1,DIV_08Data!$A$1:$DZU$1000000,1514,FALSE)</f>
        <v>#N/A</v>
      </c>
    </row>
    <row r="90" spans="1:17" x14ac:dyDescent="0.35">
      <c r="A90" s="22" t="e">
        <f>VLOOKUP(A1,DIV_08Data!$A$1:$DZU$1000000,1515,FALSE)</f>
        <v>#N/A</v>
      </c>
      <c r="B90" s="37" t="e">
        <f>VLOOKUP(A1,DIV_08Data!$A$1:$DZU$1000000,1516,FALSE)</f>
        <v>#N/A</v>
      </c>
      <c r="C90" s="38" t="e">
        <f>VLOOKUP(A1,DIV_08Data!$A$1:$DZU$1000000,1517,FALSE)</f>
        <v>#N/A</v>
      </c>
      <c r="D90" s="31" t="e">
        <f>VLOOKUP(A1,DIV_08Data!$A$1:$DZU$1000000,1518,FALSE)</f>
        <v>#N/A</v>
      </c>
      <c r="E90" s="32" t="e">
        <f>VLOOKUP(A1,DIV_08Data!$A$1:$DZU$1000000,1519,FALSE)</f>
        <v>#N/A</v>
      </c>
      <c r="F90" s="34" t="e">
        <f>VLOOKUP(A1,DIV_08Data!$A$1:$DZU$1000000,1520,FALSE)</f>
        <v>#N/A</v>
      </c>
      <c r="G90" s="33" t="e">
        <f>VLOOKUP(A1,DIV_08Data!$A$1:$DZU$1000000,1521,FALSE)</f>
        <v>#N/A</v>
      </c>
      <c r="H90" s="34" t="e">
        <f>VLOOKUP(A1,DIV_08Data!$A$1:$DZU$1000000,1522,FALSE)</f>
        <v>#N/A</v>
      </c>
      <c r="I90" s="33" t="e">
        <f>VLOOKUP(A1,DIV_08Data!$A$1:$DZU$1000000,1523,FALSE)</f>
        <v>#N/A</v>
      </c>
      <c r="J90" s="34" t="e">
        <f>VLOOKUP(A1,DIV_08Data!$A$1:$DZU$1000000,1524,FALSE)</f>
        <v>#N/A</v>
      </c>
      <c r="K90" s="34" t="e">
        <f>VLOOKUP(A1,DIV_08Data!$A$1:$DZU$1000000,1525,FALSE)</f>
        <v>#N/A</v>
      </c>
      <c r="L90" s="93" t="e">
        <f>VLOOKUP(A1,DIV_08Data!$A$1:$DZU$1000000,1526,FALSE)</f>
        <v>#N/A</v>
      </c>
      <c r="M90" s="33" t="e">
        <f>VLOOKUP(A1,DIV_08Data!$A$1:$DZU$1000000,1527,FALSE)</f>
        <v>#N/A</v>
      </c>
      <c r="N90" s="34" t="e">
        <f>VLOOKUP(A1,DIV_08Data!$A$1:$DZU$1000000,1528,FALSE)</f>
        <v>#N/A</v>
      </c>
      <c r="O90" s="33" t="e">
        <f>VLOOKUP(A1,DIV_08Data!$A$1:$DZU$1000000,1529,FALSE)</f>
        <v>#N/A</v>
      </c>
      <c r="P90" s="46" t="e">
        <f>VLOOKUP(A1,DIV_08Data!$A$1:$DZU$1000000,1530,FALSE)</f>
        <v>#N/A</v>
      </c>
      <c r="Q90" s="33" t="e">
        <f>VLOOKUP(A1,DIV_08Data!$A$1:$DZU$1000000,1531,FALSE)</f>
        <v>#N/A</v>
      </c>
    </row>
    <row r="91" spans="1:17" x14ac:dyDescent="0.35">
      <c r="A91" s="22" t="e">
        <f>VLOOKUP(A1,DIV_08Data!$A$1:$DZU$1000000,1532,FALSE)</f>
        <v>#N/A</v>
      </c>
      <c r="B91" s="37" t="e">
        <f>VLOOKUP(A1,DIV_08Data!$A$1:$DZU$1000000,1533,FALSE)</f>
        <v>#N/A</v>
      </c>
      <c r="C91" s="38" t="e">
        <f>VLOOKUP(A1,DIV_08Data!$A$1:$DZU$1000000,1534,FALSE)</f>
        <v>#N/A</v>
      </c>
      <c r="D91" s="31" t="e">
        <f>VLOOKUP(A1,DIV_08Data!$A$1:$DZU$1000000,1535,FALSE)</f>
        <v>#N/A</v>
      </c>
      <c r="E91" s="32" t="e">
        <f>VLOOKUP(A1,DIV_08Data!$A$1:$DZU$1000000,1536,FALSE)</f>
        <v>#N/A</v>
      </c>
      <c r="F91" s="34" t="e">
        <f>VLOOKUP(A1,DIV_08Data!$A$1:$DZU$1000000,1537,FALSE)</f>
        <v>#N/A</v>
      </c>
      <c r="G91" s="33" t="e">
        <f>VLOOKUP(A1,DIV_08Data!$A$1:$DZU$1000000,1538,FALSE)</f>
        <v>#N/A</v>
      </c>
      <c r="H91" s="34" t="e">
        <f>VLOOKUP(A1,DIV_08Data!$A$1:$DZU$1000000,1539,FALSE)</f>
        <v>#N/A</v>
      </c>
      <c r="I91" s="33" t="e">
        <f>VLOOKUP(A1,DIV_08Data!$A$1:$DZU$1000000,1540,FALSE)</f>
        <v>#N/A</v>
      </c>
      <c r="J91" s="34" t="e">
        <f>VLOOKUP(A1,DIV_08Data!$A$1:$DZU$1000000,1541,FALSE)</f>
        <v>#N/A</v>
      </c>
      <c r="K91" s="34" t="e">
        <f>VLOOKUP(A1,DIV_08Data!$A$1:$DZU$1000000,1542,FALSE)</f>
        <v>#N/A</v>
      </c>
      <c r="L91" s="93" t="e">
        <f>VLOOKUP(A1,DIV_08Data!$A$1:$DZU$1000000,1543,FALSE)</f>
        <v>#N/A</v>
      </c>
      <c r="M91" s="33" t="e">
        <f>VLOOKUP(A1,DIV_08Data!$A$1:$DZU$1000000,1544,FALSE)</f>
        <v>#N/A</v>
      </c>
      <c r="N91" s="34" t="e">
        <f>VLOOKUP(A1,DIV_08Data!$A$1:$DZU$1000000,1545,FALSE)</f>
        <v>#N/A</v>
      </c>
      <c r="O91" s="33" t="e">
        <f>VLOOKUP(A1,DIV_08Data!$A$1:$DZU$1000000,1546,FALSE)</f>
        <v>#N/A</v>
      </c>
      <c r="P91" s="46" t="e">
        <f>VLOOKUP(A1,DIV_08Data!$A$1:$DZU$1000000,1547,FALSE)</f>
        <v>#N/A</v>
      </c>
      <c r="Q91" s="33" t="e">
        <f>VLOOKUP(A1,DIV_08Data!$A$1:$DZU$1000000,1548,FALSE)</f>
        <v>#N/A</v>
      </c>
    </row>
    <row r="92" spans="1:17" x14ac:dyDescent="0.35">
      <c r="A92" s="22" t="e">
        <f>VLOOKUP(A1,DIV_08Data!$A$1:$DZU$1000000,1549,FALSE)</f>
        <v>#N/A</v>
      </c>
      <c r="B92" s="37" t="e">
        <f>VLOOKUP(A1,DIV_08Data!$A$1:$DZU$1000000,1550,FALSE)</f>
        <v>#N/A</v>
      </c>
      <c r="C92" s="38" t="e">
        <f>VLOOKUP(A1,DIV_08Data!$A$1:$DZU$1000000,1551,FALSE)</f>
        <v>#N/A</v>
      </c>
      <c r="D92" s="31" t="e">
        <f>VLOOKUP(A1,DIV_08Data!$A$1:$DZU$1000000,1552,FALSE)</f>
        <v>#N/A</v>
      </c>
      <c r="E92" s="32" t="e">
        <f>VLOOKUP(A1,DIV_08Data!$A$1:$DZU$1000000,1553,FALSE)</f>
        <v>#N/A</v>
      </c>
      <c r="F92" s="34" t="e">
        <f>VLOOKUP(A1,DIV_08Data!$A$1:$DZU$1000000,1554,FALSE)</f>
        <v>#N/A</v>
      </c>
      <c r="G92" s="33" t="e">
        <f>VLOOKUP(A1,DIV_08Data!$A$1:$DZU$1000000,1555,FALSE)</f>
        <v>#N/A</v>
      </c>
      <c r="H92" s="34" t="e">
        <f>VLOOKUP(A1,DIV_08Data!$A$1:$DZU$1000000,1556,FALSE)</f>
        <v>#N/A</v>
      </c>
      <c r="I92" s="33" t="e">
        <f>VLOOKUP(A1,DIV_08Data!$A$1:$DZU$1000000,1557,FALSE)</f>
        <v>#N/A</v>
      </c>
      <c r="J92" s="34" t="e">
        <f>VLOOKUP(A1,DIV_08Data!$A$1:$DZU$1000000,1558,FALSE)</f>
        <v>#N/A</v>
      </c>
      <c r="K92" s="34" t="e">
        <f>VLOOKUP(A1,DIV_08Data!$A$1:$DZU$1000000,1559,FALSE)</f>
        <v>#N/A</v>
      </c>
      <c r="L92" s="93" t="e">
        <f>VLOOKUP(A1,DIV_08Data!$A$1:$DZU$1000000,1560,FALSE)</f>
        <v>#N/A</v>
      </c>
      <c r="M92" s="33" t="e">
        <f>VLOOKUP(A1,DIV_08Data!$A$1:$DZU$1000000,1561,FALSE)</f>
        <v>#N/A</v>
      </c>
      <c r="N92" s="34" t="e">
        <f>VLOOKUP(A1,DIV_08Data!$A$1:$DZU$1000000,1562,FALSE)</f>
        <v>#N/A</v>
      </c>
      <c r="O92" s="33" t="e">
        <f>VLOOKUP(A1,DIV_08Data!$A$1:$DZU$1000000,1563,FALSE)</f>
        <v>#N/A</v>
      </c>
      <c r="P92" s="46" t="e">
        <f>VLOOKUP(A1,DIV_08Data!$A$1:$DZU$1000000,1564,FALSE)</f>
        <v>#N/A</v>
      </c>
      <c r="Q92" s="33" t="e">
        <f>VLOOKUP(A1,DIV_08Data!$A$1:$DZU$1000000,1565,FALSE)</f>
        <v>#N/A</v>
      </c>
    </row>
    <row r="93" spans="1:17" x14ac:dyDescent="0.35">
      <c r="A93" s="22" t="e">
        <f>VLOOKUP(A1,DIV_08Data!$A$1:$DZU$1000000,1566,FALSE)</f>
        <v>#N/A</v>
      </c>
      <c r="B93" s="37" t="e">
        <f>VLOOKUP(A1,DIV_08Data!$A$1:$DZU$1000000,1567,FALSE)</f>
        <v>#N/A</v>
      </c>
      <c r="C93" s="38" t="e">
        <f>VLOOKUP(A1,DIV_08Data!$A$1:$DZU$1000000,1568,FALSE)</f>
        <v>#N/A</v>
      </c>
      <c r="D93" s="31" t="e">
        <f>VLOOKUP(A1,DIV_08Data!$A$1:$DZU$1000000,1569,FALSE)</f>
        <v>#N/A</v>
      </c>
      <c r="E93" s="32" t="e">
        <f>VLOOKUP(A1,DIV_08Data!$A$1:$DZU$1000000,1570,FALSE)</f>
        <v>#N/A</v>
      </c>
      <c r="F93" s="34" t="e">
        <f>VLOOKUP(A1,DIV_08Data!$A$1:$DZU$1000000,1571,FALSE)</f>
        <v>#N/A</v>
      </c>
      <c r="G93" s="33" t="e">
        <f>VLOOKUP(A1,DIV_08Data!$A$1:$DZU$1000000,1572,FALSE)</f>
        <v>#N/A</v>
      </c>
      <c r="H93" s="34" t="e">
        <f>VLOOKUP(A1,DIV_08Data!$A$1:$DZU$1000000,1573,FALSE)</f>
        <v>#N/A</v>
      </c>
      <c r="I93" s="33" t="e">
        <f>VLOOKUP(A1,DIV_08Data!$A$1:$DZU$1000000,1574,FALSE)</f>
        <v>#N/A</v>
      </c>
      <c r="J93" s="34" t="e">
        <f>VLOOKUP(A1,DIV_08Data!$A$1:$DZU$1000000,1575,FALSE)</f>
        <v>#N/A</v>
      </c>
      <c r="K93" s="34" t="e">
        <f>VLOOKUP(A1,DIV_08Data!$A$1:$DZU$1000000,1576,FALSE)</f>
        <v>#N/A</v>
      </c>
      <c r="L93" s="93" t="e">
        <f>VLOOKUP(A1,DIV_08Data!$A$1:$DZU$1000000,1577,FALSE)</f>
        <v>#N/A</v>
      </c>
      <c r="M93" s="33" t="e">
        <f>VLOOKUP(A1,DIV_08Data!$A$1:$DZU$1000000,1578,FALSE)</f>
        <v>#N/A</v>
      </c>
      <c r="N93" s="34" t="e">
        <f>VLOOKUP(A1,DIV_08Data!$A$1:$DZU$1000000,1579,FALSE)</f>
        <v>#N/A</v>
      </c>
      <c r="O93" s="33" t="e">
        <f>VLOOKUP(A1,DIV_08Data!$A$1:$DZU$1000000,1580,FALSE)</f>
        <v>#N/A</v>
      </c>
      <c r="P93" s="46" t="e">
        <f>VLOOKUP(A1,DIV_08Data!$A$1:$DZU$1000000,1581,FALSE)</f>
        <v>#N/A</v>
      </c>
      <c r="Q93" s="33" t="e">
        <f>VLOOKUP(A1,DIV_08Data!$A$1:$DZU$1000000,1582,FALSE)</f>
        <v>#N/A</v>
      </c>
    </row>
    <row r="94" spans="1:17" x14ac:dyDescent="0.35">
      <c r="A94" s="22" t="e">
        <f>VLOOKUP(A1,DIV_08Data!$A$1:$DZU$1000000,1583,FALSE)</f>
        <v>#N/A</v>
      </c>
      <c r="B94" s="37" t="e">
        <f>VLOOKUP(A1,DIV_08Data!$A$1:$DZU$1000000,1584,FALSE)</f>
        <v>#N/A</v>
      </c>
      <c r="C94" s="38" t="e">
        <f>VLOOKUP(A1,DIV_08Data!$A$1:$DZU$1000000,1585,FALSE)</f>
        <v>#N/A</v>
      </c>
      <c r="D94" s="31" t="e">
        <f>VLOOKUP(A1,DIV_08Data!$A$1:$DZU$1000000,1586,FALSE)</f>
        <v>#N/A</v>
      </c>
      <c r="E94" s="32" t="e">
        <f>VLOOKUP(A1,DIV_08Data!$A$1:$DZU$1000000,1587,FALSE)</f>
        <v>#N/A</v>
      </c>
      <c r="F94" s="34" t="e">
        <f>VLOOKUP(A1,DIV_08Data!$A$1:$DZU$1000000,1588,FALSE)</f>
        <v>#N/A</v>
      </c>
      <c r="G94" s="33" t="e">
        <f>VLOOKUP(A1,DIV_08Data!$A$1:$DZU$1000000,1589,FALSE)</f>
        <v>#N/A</v>
      </c>
      <c r="H94" s="34" t="e">
        <f>VLOOKUP(A1,DIV_08Data!$A$1:$DZU$1000000,1590,FALSE)</f>
        <v>#N/A</v>
      </c>
      <c r="I94" s="33" t="e">
        <f>VLOOKUP(A1,DIV_08Data!$A$1:$DZU$1000000,1591,FALSE)</f>
        <v>#N/A</v>
      </c>
      <c r="J94" s="34" t="e">
        <f>VLOOKUP(A1,DIV_08Data!$A$1:$DZU$1000000,1592,FALSE)</f>
        <v>#N/A</v>
      </c>
      <c r="K94" s="34" t="e">
        <f>VLOOKUP(A1,DIV_08Data!$A$1:$DZU$1000000,1593,FALSE)</f>
        <v>#N/A</v>
      </c>
      <c r="L94" s="93" t="e">
        <f>VLOOKUP(A1,DIV_08Data!$A$1:$DZU$1000000,1594,FALSE)</f>
        <v>#N/A</v>
      </c>
      <c r="M94" s="33" t="e">
        <f>VLOOKUP(A1,DIV_08Data!$A$1:$DZU$1000000,1595,FALSE)</f>
        <v>#N/A</v>
      </c>
      <c r="N94" s="34" t="e">
        <f>VLOOKUP(A1,DIV_08Data!$A$1:$DZU$1000000,1596,FALSE)</f>
        <v>#N/A</v>
      </c>
      <c r="O94" s="33" t="e">
        <f>VLOOKUP(A1,DIV_08Data!$A$1:$DZU$1000000,1597,FALSE)</f>
        <v>#N/A</v>
      </c>
      <c r="P94" s="46" t="e">
        <f>VLOOKUP(A1,DIV_08Data!$A$1:$DZU$1000000,1598,FALSE)</f>
        <v>#N/A</v>
      </c>
      <c r="Q94" s="33" t="e">
        <f>VLOOKUP(A1,DIV_08Data!$A$1:$DZU$1000000,1599,FALSE)</f>
        <v>#N/A</v>
      </c>
    </row>
    <row r="95" spans="1:17" x14ac:dyDescent="0.35">
      <c r="A95" s="22" t="e">
        <f>VLOOKUP(A1,DIV_08Data!$A$1:$DZU$1000000,1600,FALSE)</f>
        <v>#N/A</v>
      </c>
      <c r="B95" s="37" t="e">
        <f>VLOOKUP(A1,DIV_08Data!$A$1:$DZU$1000000,1601,FALSE)</f>
        <v>#N/A</v>
      </c>
      <c r="C95" s="38" t="e">
        <f>VLOOKUP(A1,DIV_08Data!$A$1:$DZU$1000000,1602,FALSE)</f>
        <v>#N/A</v>
      </c>
      <c r="D95" s="31" t="e">
        <f>VLOOKUP(A1,DIV_08Data!$A$1:$DZU$1000000,1603,FALSE)</f>
        <v>#N/A</v>
      </c>
      <c r="E95" s="32" t="e">
        <f>VLOOKUP(A1,DIV_08Data!$A$1:$DZU$1000000,1604,FALSE)</f>
        <v>#N/A</v>
      </c>
      <c r="F95" s="34" t="e">
        <f>VLOOKUP(A1,DIV_08Data!$A$1:$DZU$1000000,1605,FALSE)</f>
        <v>#N/A</v>
      </c>
      <c r="G95" s="33" t="e">
        <f>VLOOKUP(A1,DIV_08Data!$A$1:$DZU$1000000,1606,FALSE)</f>
        <v>#N/A</v>
      </c>
      <c r="H95" s="34" t="e">
        <f>VLOOKUP(A1,DIV_08Data!$A$1:$DZU$1000000,1607,FALSE)</f>
        <v>#N/A</v>
      </c>
      <c r="I95" s="33" t="e">
        <f>VLOOKUP(A1,DIV_08Data!$A$1:$DZU$1000000,1608,FALSE)</f>
        <v>#N/A</v>
      </c>
      <c r="J95" s="34" t="e">
        <f>VLOOKUP(A1,DIV_08Data!$A$1:$DZU$1000000,1609,FALSE)</f>
        <v>#N/A</v>
      </c>
      <c r="K95" s="34" t="e">
        <f>VLOOKUP(A1,DIV_08Data!$A$1:$DZU$1000000,1610,FALSE)</f>
        <v>#N/A</v>
      </c>
      <c r="L95" s="93" t="e">
        <f>VLOOKUP(A1,DIV_08Data!$A$1:$DZU$1000000,1611,FALSE)</f>
        <v>#N/A</v>
      </c>
      <c r="M95" s="33" t="e">
        <f>VLOOKUP(A1,DIV_08Data!$A$1:$DZU$1000000,1612,FALSE)</f>
        <v>#N/A</v>
      </c>
      <c r="N95" s="34" t="e">
        <f>VLOOKUP(A1,DIV_08Data!$A$1:$DZU$1000000,1613,FALSE)</f>
        <v>#N/A</v>
      </c>
      <c r="O95" s="33" t="e">
        <f>VLOOKUP(A1,DIV_08Data!$A$1:$DZU$1000000,1614,FALSE)</f>
        <v>#N/A</v>
      </c>
      <c r="P95" s="46" t="e">
        <f>VLOOKUP(A1,DIV_08Data!$A$1:$DZU$1000000,1615,FALSE)</f>
        <v>#N/A</v>
      </c>
      <c r="Q95" s="33" t="e">
        <f>VLOOKUP(A1,DIV_08Data!$A$1:$DZU$1000000,1616,FALSE)</f>
        <v>#N/A</v>
      </c>
    </row>
    <row r="96" spans="1:17" x14ac:dyDescent="0.35">
      <c r="A96" s="22" t="e">
        <f>VLOOKUP(A1,DIV_08Data!$A$1:$DZU$1000000,1617,FALSE)</f>
        <v>#N/A</v>
      </c>
      <c r="B96" s="37" t="e">
        <f>VLOOKUP(A1,DIV_08Data!$A$1:$DZU$1000000,1618,FALSE)</f>
        <v>#N/A</v>
      </c>
      <c r="C96" s="38" t="e">
        <f>VLOOKUP(A1,DIV_08Data!$A$1:$DZU$1000000,1619,FALSE)</f>
        <v>#N/A</v>
      </c>
      <c r="D96" s="31" t="e">
        <f>VLOOKUP(A1,DIV_08Data!$A$1:$DZU$1000000,1620,FALSE)</f>
        <v>#N/A</v>
      </c>
      <c r="E96" s="32" t="e">
        <f>VLOOKUP(A1,DIV_08Data!$A$1:$DZU$1000000,1621,FALSE)</f>
        <v>#N/A</v>
      </c>
      <c r="F96" s="34" t="e">
        <f>VLOOKUP(A1,DIV_08Data!$A$1:$DZU$1000000,1622,FALSE)</f>
        <v>#N/A</v>
      </c>
      <c r="G96" s="33" t="e">
        <f>VLOOKUP(A1,DIV_08Data!$A$1:$DZU$1000000,1623,FALSE)</f>
        <v>#N/A</v>
      </c>
      <c r="H96" s="34" t="e">
        <f>VLOOKUP(A1,DIV_08Data!$A$1:$DZU$1000000,1624,FALSE)</f>
        <v>#N/A</v>
      </c>
      <c r="I96" s="33" t="e">
        <f>VLOOKUP(A1,DIV_08Data!$A$1:$DZU$1000000,1625,FALSE)</f>
        <v>#N/A</v>
      </c>
      <c r="J96" s="34" t="e">
        <f>VLOOKUP(A1,DIV_08Data!$A$1:$DZU$1000000,1626,FALSE)</f>
        <v>#N/A</v>
      </c>
      <c r="K96" s="34" t="e">
        <f>VLOOKUP(A1,DIV_08Data!$A$1:$DZU$1000000,1627,FALSE)</f>
        <v>#N/A</v>
      </c>
      <c r="L96" s="93" t="e">
        <f>VLOOKUP(A1,DIV_08Data!$A$1:$DZU$1000000,1628,FALSE)</f>
        <v>#N/A</v>
      </c>
      <c r="M96" s="33" t="e">
        <f>VLOOKUP(A1,DIV_08Data!$A$1:$DZU$1000000,1629,FALSE)</f>
        <v>#N/A</v>
      </c>
      <c r="N96" s="34" t="e">
        <f>VLOOKUP(A1,DIV_08Data!$A$1:$DZU$1000000,1630,FALSE)</f>
        <v>#N/A</v>
      </c>
      <c r="O96" s="33" t="e">
        <f>VLOOKUP(A1,DIV_08Data!$A$1:$DZU$1000000,1631,FALSE)</f>
        <v>#N/A</v>
      </c>
      <c r="P96" s="46" t="e">
        <f>VLOOKUP(A1,DIV_08Data!$A$1:$DZU$1000000,1632,FALSE)</f>
        <v>#N/A</v>
      </c>
      <c r="Q96" s="33" t="e">
        <f>VLOOKUP(A1,DIV_08Data!$A$1:$DZU$1000000,1633,FALSE)</f>
        <v>#N/A</v>
      </c>
    </row>
    <row r="97" spans="1:17" x14ac:dyDescent="0.35">
      <c r="A97" s="22" t="e">
        <f>VLOOKUP(A1,DIV_08Data!$A$1:$DZU$1000000,1634,FALSE)</f>
        <v>#N/A</v>
      </c>
      <c r="B97" s="37" t="e">
        <f>VLOOKUP(A1,DIV_08Data!$A$1:$DZU$1000000,1635,FALSE)</f>
        <v>#N/A</v>
      </c>
      <c r="C97" s="38" t="e">
        <f>VLOOKUP(A1,DIV_08Data!$A$1:$DZU$1000000,1636,FALSE)</f>
        <v>#N/A</v>
      </c>
      <c r="D97" s="31" t="e">
        <f>VLOOKUP(A1,DIV_08Data!$A$1:$DZU$1000000,1637,FALSE)</f>
        <v>#N/A</v>
      </c>
      <c r="E97" s="32" t="e">
        <f>VLOOKUP(A1,DIV_08Data!$A$1:$DZU$1000000,1638,FALSE)</f>
        <v>#N/A</v>
      </c>
      <c r="F97" s="34" t="e">
        <f>VLOOKUP(A1,DIV_08Data!$A$1:$DZU$1000000,1639,FALSE)</f>
        <v>#N/A</v>
      </c>
      <c r="G97" s="33" t="e">
        <f>VLOOKUP(A1,DIV_08Data!$A$1:$DZU$1000000,1640,FALSE)</f>
        <v>#N/A</v>
      </c>
      <c r="H97" s="34" t="e">
        <f>VLOOKUP(A1,DIV_08Data!$A$1:$DZU$1000000,1641,FALSE)</f>
        <v>#N/A</v>
      </c>
      <c r="I97" s="33" t="e">
        <f>VLOOKUP(A1,DIV_08Data!$A$1:$DZU$1000000,1642,FALSE)</f>
        <v>#N/A</v>
      </c>
      <c r="J97" s="34" t="e">
        <f>VLOOKUP(A1,DIV_08Data!$A$1:$DZU$1000000,1643,FALSE)</f>
        <v>#N/A</v>
      </c>
      <c r="K97" s="34" t="e">
        <f>VLOOKUP(A1,DIV_08Data!$A$1:$DZU$1000000,1644,FALSE)</f>
        <v>#N/A</v>
      </c>
      <c r="L97" s="93" t="e">
        <f>VLOOKUP(A1,DIV_08Data!$A$1:$DZU$1000000,1645,FALSE)</f>
        <v>#N/A</v>
      </c>
      <c r="M97" s="33" t="e">
        <f>VLOOKUP(A1,DIV_08Data!$A$1:$DZU$1000000,1646,FALSE)</f>
        <v>#N/A</v>
      </c>
      <c r="N97" s="34" t="e">
        <f>VLOOKUP(A1,DIV_08Data!$A$1:$DZU$1000000,1647,FALSE)</f>
        <v>#N/A</v>
      </c>
      <c r="O97" s="33" t="e">
        <f>VLOOKUP(A1,DIV_08Data!$A$1:$DZU$1000000,1648,FALSE)</f>
        <v>#N/A</v>
      </c>
      <c r="P97" s="46" t="e">
        <f>VLOOKUP(A1,DIV_08Data!$A$1:$DZU$1000000,1649,FALSE)</f>
        <v>#N/A</v>
      </c>
      <c r="Q97" s="33" t="e">
        <f>VLOOKUP(A1,DIV_08Data!$A$1:$DZU$1000000,1650,FALSE)</f>
        <v>#N/A</v>
      </c>
    </row>
    <row r="98" spans="1:17" x14ac:dyDescent="0.35">
      <c r="A98" s="22" t="e">
        <f>VLOOKUP(A1,DIV_08Data!$A$1:$DZU$1000000,1651,FALSE)</f>
        <v>#N/A</v>
      </c>
      <c r="B98" s="37" t="e">
        <f>VLOOKUP(A1,DIV_08Data!$A$1:$DZU$1000000,1652,FALSE)</f>
        <v>#N/A</v>
      </c>
      <c r="C98" s="38" t="e">
        <f>VLOOKUP(A1,DIV_08Data!$A$1:$DZU$1000000,1653,FALSE)</f>
        <v>#N/A</v>
      </c>
      <c r="D98" s="31" t="e">
        <f>VLOOKUP(A1,DIV_08Data!$A$1:$DZU$1000000,1654,FALSE)</f>
        <v>#N/A</v>
      </c>
      <c r="E98" s="32" t="e">
        <f>VLOOKUP(A1,DIV_08Data!$A$1:$DZU$1000000,1655,FALSE)</f>
        <v>#N/A</v>
      </c>
      <c r="F98" s="34" t="e">
        <f>VLOOKUP(A1,DIV_08Data!$A$1:$DZU$1000000,1656,FALSE)</f>
        <v>#N/A</v>
      </c>
      <c r="G98" s="33" t="e">
        <f>VLOOKUP(A1,DIV_08Data!$A$1:$DZU$1000000,1657,FALSE)</f>
        <v>#N/A</v>
      </c>
      <c r="H98" s="34" t="e">
        <f>VLOOKUP(A1,DIV_08Data!$A$1:$DZU$1000000,1658,FALSE)</f>
        <v>#N/A</v>
      </c>
      <c r="I98" s="33" t="e">
        <f>VLOOKUP(A1,DIV_08Data!$A$1:$DZU$1000000,1659,FALSE)</f>
        <v>#N/A</v>
      </c>
      <c r="J98" s="34" t="e">
        <f>VLOOKUP(A1,DIV_08Data!$A$1:$DZU$1000000,1660,FALSE)</f>
        <v>#N/A</v>
      </c>
      <c r="K98" s="34" t="e">
        <f>VLOOKUP(A1,DIV_08Data!$A$1:$DZU$1000000,1661,FALSE)</f>
        <v>#N/A</v>
      </c>
      <c r="L98" s="93" t="e">
        <f>VLOOKUP(A1,DIV_08Data!$A$1:$DZU$1000000,1662,FALSE)</f>
        <v>#N/A</v>
      </c>
      <c r="M98" s="33" t="e">
        <f>VLOOKUP(A1,DIV_08Data!$A$1:$DZU$1000000,1663,FALSE)</f>
        <v>#N/A</v>
      </c>
      <c r="N98" s="34" t="e">
        <f>VLOOKUP(A1,DIV_08Data!$A$1:$DZU$1000000,1664,FALSE)</f>
        <v>#N/A</v>
      </c>
      <c r="O98" s="33" t="e">
        <f>VLOOKUP(A1,DIV_08Data!$A$1:$DZU$1000000,1665,FALSE)</f>
        <v>#N/A</v>
      </c>
      <c r="P98" s="46" t="e">
        <f>VLOOKUP(A1,DIV_08Data!$A$1:$DZU$1000000,1666,FALSE)</f>
        <v>#N/A</v>
      </c>
      <c r="Q98" s="33" t="e">
        <f>VLOOKUP(A1,DIV_08Data!$A$1:$DZU$1000000,1667,FALSE)</f>
        <v>#N/A</v>
      </c>
    </row>
    <row r="99" spans="1:17" x14ac:dyDescent="0.35">
      <c r="A99" s="22" t="e">
        <f>VLOOKUP(A1,DIV_08Data!$A$1:$DZU$1000000,1668,FALSE)</f>
        <v>#N/A</v>
      </c>
      <c r="B99" s="37" t="e">
        <f>VLOOKUP(A1,DIV_08Data!$A$1:$DZU$1000000,1669,FALSE)</f>
        <v>#N/A</v>
      </c>
      <c r="C99" s="38" t="e">
        <f>VLOOKUP(A1,DIV_08Data!$A$1:$DZU$1000000,1670,FALSE)</f>
        <v>#N/A</v>
      </c>
      <c r="D99" s="31" t="e">
        <f>VLOOKUP(A1,DIV_08Data!$A$1:$DZU$1000000,1671,FALSE)</f>
        <v>#N/A</v>
      </c>
      <c r="E99" s="32" t="e">
        <f>VLOOKUP(A1,DIV_08Data!$A$1:$DZU$1000000,1672,FALSE)</f>
        <v>#N/A</v>
      </c>
      <c r="F99" s="34" t="e">
        <f>VLOOKUP(A1,DIV_08Data!$A$1:$DZU$1000000,1673,FALSE)</f>
        <v>#N/A</v>
      </c>
      <c r="G99" s="33" t="e">
        <f>VLOOKUP(A1,DIV_08Data!$A$1:$DZU$1000000,1674,FALSE)</f>
        <v>#N/A</v>
      </c>
      <c r="H99" s="34" t="e">
        <f>VLOOKUP(A1,DIV_08Data!$A$1:$DZU$1000000,1675,FALSE)</f>
        <v>#N/A</v>
      </c>
      <c r="I99" s="33" t="e">
        <f>VLOOKUP(A1,DIV_08Data!$A$1:$DZU$1000000,1676,FALSE)</f>
        <v>#N/A</v>
      </c>
      <c r="J99" s="34" t="e">
        <f>VLOOKUP(A1,DIV_08Data!$A$1:$DZU$1000000,1677,FALSE)</f>
        <v>#N/A</v>
      </c>
      <c r="K99" s="34" t="e">
        <f>VLOOKUP(A1,DIV_08Data!$A$1:$DZU$1000000,1678,FALSE)</f>
        <v>#N/A</v>
      </c>
      <c r="L99" s="93" t="e">
        <f>VLOOKUP(A1,DIV_08Data!$A$1:$DZU$1000000,1679,FALSE)</f>
        <v>#N/A</v>
      </c>
      <c r="M99" s="33" t="e">
        <f>VLOOKUP(A1,DIV_08Data!$A$1:$DZU$1000000,1680,FALSE)</f>
        <v>#N/A</v>
      </c>
      <c r="N99" s="34" t="e">
        <f>VLOOKUP(A1,DIV_08Data!$A$1:$DZU$1000000,1681,FALSE)</f>
        <v>#N/A</v>
      </c>
      <c r="O99" s="33" t="e">
        <f>VLOOKUP(A1,DIV_08Data!$A$1:$DZU$1000000,1682,FALSE)</f>
        <v>#N/A</v>
      </c>
      <c r="P99" s="46" t="e">
        <f>VLOOKUP(A1,DIV_08Data!$A$1:$DZU$1000000,1683,FALSE)</f>
        <v>#N/A</v>
      </c>
      <c r="Q99" s="33" t="e">
        <f>VLOOKUP(A1,DIV_08Data!$A$1:$DZU$1000000,1684,FALSE)</f>
        <v>#N/A</v>
      </c>
    </row>
    <row r="100" spans="1:17" x14ac:dyDescent="0.35">
      <c r="A100" s="22" t="e">
        <f>VLOOKUP(A1,DIV_08Data!$A$1:$DZU$1000000,1685,FALSE)</f>
        <v>#N/A</v>
      </c>
      <c r="B100" s="37" t="e">
        <f>VLOOKUP(A1,DIV_08Data!$A$1:$DZU$1000000,1686,FALSE)</f>
        <v>#N/A</v>
      </c>
      <c r="C100" s="38" t="e">
        <f>VLOOKUP(A1,DIV_08Data!$A$1:$DZU$1000000,1687,FALSE)</f>
        <v>#N/A</v>
      </c>
      <c r="D100" s="31" t="e">
        <f>VLOOKUP(A1,DIV_08Data!$A$1:$DZU$1000000,1688,FALSE)</f>
        <v>#N/A</v>
      </c>
      <c r="E100" s="32" t="e">
        <f>VLOOKUP(A1,DIV_08Data!$A$1:$DZU$1000000,1689,FALSE)</f>
        <v>#N/A</v>
      </c>
      <c r="F100" s="34" t="e">
        <f>VLOOKUP(A1,DIV_08Data!$A$1:$DZU$1000000,1690,FALSE)</f>
        <v>#N/A</v>
      </c>
      <c r="G100" s="33" t="e">
        <f>VLOOKUP(A1,DIV_08Data!$A$1:$DZU$1000000,1691,FALSE)</f>
        <v>#N/A</v>
      </c>
      <c r="H100" s="34" t="e">
        <f>VLOOKUP(A1,DIV_08Data!$A$1:$DZU$1000000,1692,FALSE)</f>
        <v>#N/A</v>
      </c>
      <c r="I100" s="33" t="e">
        <f>VLOOKUP(A1,DIV_08Data!$A$1:$DZU$1000000,1693,FALSE)</f>
        <v>#N/A</v>
      </c>
      <c r="J100" s="34" t="e">
        <f>VLOOKUP(A1,DIV_08Data!$A$1:$DZU$1000000,1694,FALSE)</f>
        <v>#N/A</v>
      </c>
      <c r="K100" s="34" t="e">
        <f>VLOOKUP(A1,DIV_08Data!$A$1:$DZU$1000000,1695,FALSE)</f>
        <v>#N/A</v>
      </c>
      <c r="L100" s="93" t="e">
        <f>VLOOKUP(A1,DIV_08Data!$A$1:$DZU$1000000,1696,FALSE)</f>
        <v>#N/A</v>
      </c>
      <c r="M100" s="33" t="e">
        <f>VLOOKUP(A1,DIV_08Data!$A$1:$DZU$1000000,1697,FALSE)</f>
        <v>#N/A</v>
      </c>
      <c r="N100" s="34" t="e">
        <f>VLOOKUP(A1,DIV_08Data!$A$1:$DZU$1000000,1698,FALSE)</f>
        <v>#N/A</v>
      </c>
      <c r="O100" s="33" t="e">
        <f>VLOOKUP(A1,DIV_08Data!$A$1:$DZU$1000000,1699,FALSE)</f>
        <v>#N/A</v>
      </c>
      <c r="P100" s="46" t="e">
        <f>VLOOKUP(A1,DIV_08Data!$A$1:$DZU$1000000,1700,FALSE)</f>
        <v>#N/A</v>
      </c>
      <c r="Q100" s="33" t="e">
        <f>VLOOKUP(A1,DIV_08Data!$A$1:$DZU$1000000,1701,FALSE)</f>
        <v>#N/A</v>
      </c>
    </row>
    <row r="101" spans="1:17" x14ac:dyDescent="0.35">
      <c r="A101" s="22" t="e">
        <f>VLOOKUP(A1,DIV_08Data!$A$1:$DZU$1000000,1702,FALSE)</f>
        <v>#N/A</v>
      </c>
      <c r="B101" s="37" t="e">
        <f>VLOOKUP(A1,DIV_08Data!$A$1:$DZU$1000000,1703,FALSE)</f>
        <v>#N/A</v>
      </c>
      <c r="C101" s="38" t="e">
        <f>VLOOKUP(A1,DIV_08Data!$A$1:$DZU$1000000,1704,FALSE)</f>
        <v>#N/A</v>
      </c>
      <c r="D101" s="31" t="e">
        <f>VLOOKUP(A1,DIV_08Data!$A$1:$DZU$1000000,1705,FALSE)</f>
        <v>#N/A</v>
      </c>
      <c r="E101" s="32" t="e">
        <f>VLOOKUP(A1,DIV_08Data!$A$1:$DZU$1000000,1706,FALSE)</f>
        <v>#N/A</v>
      </c>
      <c r="F101" s="34" t="e">
        <f>VLOOKUP(A1,DIV_08Data!$A$1:$DZU$1000000,1707,FALSE)</f>
        <v>#N/A</v>
      </c>
      <c r="G101" s="33" t="e">
        <f>VLOOKUP(A1,DIV_08Data!$A$1:$DZU$1000000,1708,FALSE)</f>
        <v>#N/A</v>
      </c>
      <c r="H101" s="34" t="e">
        <f>VLOOKUP(A1,DIV_08Data!$A$1:$DZU$1000000,1709,FALSE)</f>
        <v>#N/A</v>
      </c>
      <c r="I101" s="33" t="e">
        <f>VLOOKUP(A1,DIV_08Data!$A$1:$DZU$1000000,1710,FALSE)</f>
        <v>#N/A</v>
      </c>
      <c r="J101" s="34" t="e">
        <f>VLOOKUP(A1,DIV_08Data!$A$1:$DZU$1000000,1711,FALSE)</f>
        <v>#N/A</v>
      </c>
      <c r="K101" s="34" t="e">
        <f>VLOOKUP(A1,DIV_08Data!$A$1:$DZU$1000000,1712,FALSE)</f>
        <v>#N/A</v>
      </c>
      <c r="L101" s="93" t="e">
        <f>VLOOKUP(A1,DIV_08Data!$A$1:$DZU$1000000,1713,FALSE)</f>
        <v>#N/A</v>
      </c>
      <c r="M101" s="33" t="e">
        <f>VLOOKUP(A1,DIV_08Data!$A$1:$DZU$1000000,1714,FALSE)</f>
        <v>#N/A</v>
      </c>
      <c r="N101" s="34" t="e">
        <f>VLOOKUP(A1,DIV_08Data!$A$1:$DZU$1000000,1715,FALSE)</f>
        <v>#N/A</v>
      </c>
      <c r="O101" s="33" t="e">
        <f>VLOOKUP(A1,DIV_08Data!$A$1:$DZU$1000000,1716,FALSE)</f>
        <v>#N/A</v>
      </c>
      <c r="P101" s="46" t="e">
        <f>VLOOKUP(A1,DIV_08Data!$A$1:$DZU$1000000,1717,FALSE)</f>
        <v>#N/A</v>
      </c>
      <c r="Q101" s="33" t="e">
        <f>VLOOKUP(A1,DIV_08Data!$A$1:$DZU$1000000,1718,FALSE)</f>
        <v>#N/A</v>
      </c>
    </row>
    <row r="102" spans="1:17" x14ac:dyDescent="0.35">
      <c r="A102" s="22" t="e">
        <f>VLOOKUP(A1,DIV_08Data!$A$1:$DZU$1000000,1719,FALSE)</f>
        <v>#N/A</v>
      </c>
      <c r="B102" s="37" t="e">
        <f>VLOOKUP(A1,DIV_08Data!$A$1:$DZU$1000000,1720,FALSE)</f>
        <v>#N/A</v>
      </c>
      <c r="C102" s="38" t="e">
        <f>VLOOKUP(A1,DIV_08Data!$A$1:$DZU$1000000,1721,FALSE)</f>
        <v>#N/A</v>
      </c>
      <c r="D102" s="31" t="e">
        <f>VLOOKUP(A1,DIV_08Data!$A$1:$DZU$1000000,1722,FALSE)</f>
        <v>#N/A</v>
      </c>
      <c r="E102" s="32" t="e">
        <f>VLOOKUP(A1,DIV_08Data!$A$1:$DZU$1000000,1723,FALSE)</f>
        <v>#N/A</v>
      </c>
      <c r="F102" s="34" t="e">
        <f>VLOOKUP(A1,DIV_08Data!$A$1:$DZU$1000000,1724,FALSE)</f>
        <v>#N/A</v>
      </c>
      <c r="G102" s="33" t="e">
        <f>VLOOKUP(A1,DIV_08Data!$A$1:$DZU$1000000,1725,FALSE)</f>
        <v>#N/A</v>
      </c>
      <c r="H102" s="34" t="e">
        <f>VLOOKUP(A1,DIV_08Data!$A$1:$DZU$1000000,1726,FALSE)</f>
        <v>#N/A</v>
      </c>
      <c r="I102" s="33" t="e">
        <f>VLOOKUP(A1,DIV_08Data!$A$1:$DZU$1000000,1727,FALSE)</f>
        <v>#N/A</v>
      </c>
      <c r="J102" s="34" t="e">
        <f>VLOOKUP(A1,DIV_08Data!$A$1:$DZU$1000000,1728,FALSE)</f>
        <v>#N/A</v>
      </c>
      <c r="K102" s="34" t="e">
        <f>VLOOKUP(A1,DIV_08Data!$A$1:$DZU$1000000,1729,FALSE)</f>
        <v>#N/A</v>
      </c>
      <c r="L102" s="93" t="e">
        <f>VLOOKUP(A1,DIV_08Data!$A$1:$DZU$1000000,1730,FALSE)</f>
        <v>#N/A</v>
      </c>
      <c r="M102" s="33" t="e">
        <f>VLOOKUP(A1,DIV_08Data!$A$1:$DZU$1000000,1731,FALSE)</f>
        <v>#N/A</v>
      </c>
      <c r="N102" s="34" t="e">
        <f>VLOOKUP(A1,DIV_08Data!$A$1:$DZU$1000000,1732,FALSE)</f>
        <v>#N/A</v>
      </c>
      <c r="O102" s="33" t="e">
        <f>VLOOKUP(A1,DIV_08Data!$A$1:$DZU$1000000,1733,FALSE)</f>
        <v>#N/A</v>
      </c>
      <c r="P102" s="46" t="e">
        <f>VLOOKUP(A1,DIV_08Data!$A$1:$DZU$1000000,1734,FALSE)</f>
        <v>#N/A</v>
      </c>
      <c r="Q102" s="33" t="e">
        <f>VLOOKUP(A1,DIV_08Data!$A$1:$DZU$1000000,1735,FALSE)</f>
        <v>#N/A</v>
      </c>
    </row>
    <row r="103" spans="1:17" x14ac:dyDescent="0.35">
      <c r="A103" s="22" t="e">
        <f>VLOOKUP(A1,DIV_08Data!$A$1:$DZU$1000000,1736,FALSE)</f>
        <v>#N/A</v>
      </c>
      <c r="B103" s="37" t="e">
        <f>VLOOKUP(A1,DIV_08Data!$A$1:$DZU$1000000,1737,FALSE)</f>
        <v>#N/A</v>
      </c>
      <c r="C103" s="38" t="e">
        <f>VLOOKUP(A1,DIV_08Data!$A$1:$DZU$1000000,1738,FALSE)</f>
        <v>#N/A</v>
      </c>
      <c r="D103" s="31" t="e">
        <f>VLOOKUP(A1,DIV_08Data!$A$1:$DZU$1000000,1739,FALSE)</f>
        <v>#N/A</v>
      </c>
      <c r="E103" s="32" t="e">
        <f>VLOOKUP(A1,DIV_08Data!$A$1:$DZU$1000000,1740,FALSE)</f>
        <v>#N/A</v>
      </c>
      <c r="F103" s="34" t="e">
        <f>VLOOKUP(A1,DIV_08Data!$A$1:$DZU$1000000,1741,FALSE)</f>
        <v>#N/A</v>
      </c>
      <c r="G103" s="33" t="e">
        <f>VLOOKUP(A1,DIV_08Data!$A$1:$DZU$1000000,1742,FALSE)</f>
        <v>#N/A</v>
      </c>
      <c r="H103" s="34" t="e">
        <f>VLOOKUP(A1,DIV_08Data!$A$1:$DZU$1000000,1743,FALSE)</f>
        <v>#N/A</v>
      </c>
      <c r="I103" s="33" t="e">
        <f>VLOOKUP(A1,DIV_08Data!$A$1:$DZU$1000000,1744,FALSE)</f>
        <v>#N/A</v>
      </c>
      <c r="J103" s="34" t="e">
        <f>VLOOKUP(A1,DIV_08Data!$A$1:$DZU$1000000,1745,FALSE)</f>
        <v>#N/A</v>
      </c>
      <c r="K103" s="34" t="e">
        <f>VLOOKUP(A1,DIV_08Data!$A$1:$DZU$1000000,1746,FALSE)</f>
        <v>#N/A</v>
      </c>
      <c r="L103" s="93" t="e">
        <f>VLOOKUP(A1,DIV_08Data!$A$1:$DZU$1000000,1747,FALSE)</f>
        <v>#N/A</v>
      </c>
      <c r="M103" s="33" t="e">
        <f>VLOOKUP(A1,DIV_08Data!$A$1:$DZU$1000000,1748,FALSE)</f>
        <v>#N/A</v>
      </c>
      <c r="N103" s="34" t="e">
        <f>VLOOKUP(A1,DIV_08Data!$A$1:$DZU$1000000,1749,FALSE)</f>
        <v>#N/A</v>
      </c>
      <c r="O103" s="33" t="e">
        <f>VLOOKUP(A1,DIV_08Data!$A$1:$DZU$1000000,1750,FALSE)</f>
        <v>#N/A</v>
      </c>
      <c r="P103" s="46" t="e">
        <f>VLOOKUP(A1,DIV_08Data!$A$1:$DZU$1000000,1751,FALSE)</f>
        <v>#N/A</v>
      </c>
      <c r="Q103" s="33" t="e">
        <f>VLOOKUP(A1,DIV_08Data!$A$1:$DZU$1000000,1752,FALSE)</f>
        <v>#N/A</v>
      </c>
    </row>
    <row r="104" spans="1:17" x14ac:dyDescent="0.35">
      <c r="A104" s="22" t="e">
        <f>VLOOKUP(A1,DIV_08Data!$A$1:$DZU$1000000,1753,FALSE)</f>
        <v>#N/A</v>
      </c>
      <c r="B104" s="37" t="e">
        <f>VLOOKUP(A1,DIV_08Data!$A$1:$DZU$1000000,1754,FALSE)</f>
        <v>#N/A</v>
      </c>
      <c r="C104" s="38" t="e">
        <f>VLOOKUP(A1,DIV_08Data!$A$1:$DZU$1000000,1755,FALSE)</f>
        <v>#N/A</v>
      </c>
      <c r="D104" s="31" t="e">
        <f>VLOOKUP(A1,DIV_08Data!$A$1:$DZU$1000000,1756,FALSE)</f>
        <v>#N/A</v>
      </c>
      <c r="E104" s="32" t="e">
        <f>VLOOKUP(A1,DIV_08Data!$A$1:$DZU$1000000,1757,FALSE)</f>
        <v>#N/A</v>
      </c>
      <c r="F104" s="34" t="e">
        <f>VLOOKUP(A1,DIV_08Data!$A$1:$DZU$1000000,1758,FALSE)</f>
        <v>#N/A</v>
      </c>
      <c r="G104" s="33" t="e">
        <f>VLOOKUP(A1,DIV_08Data!$A$1:$DZU$1000000,1759,FALSE)</f>
        <v>#N/A</v>
      </c>
      <c r="H104" s="34" t="e">
        <f>VLOOKUP(A1,DIV_08Data!$A$1:$DZU$1000000,1760,FALSE)</f>
        <v>#N/A</v>
      </c>
      <c r="I104" s="33" t="e">
        <f>VLOOKUP(A1,DIV_08Data!$A$1:$DZU$1000000,1761,FALSE)</f>
        <v>#N/A</v>
      </c>
      <c r="J104" s="34" t="e">
        <f>VLOOKUP(A1,DIV_08Data!$A$1:$DZU$1000000,1762,FALSE)</f>
        <v>#N/A</v>
      </c>
      <c r="K104" s="34" t="e">
        <f>VLOOKUP(A1,DIV_08Data!$A$1:$DZU$1000000,1763,FALSE)</f>
        <v>#N/A</v>
      </c>
      <c r="L104" s="93" t="e">
        <f>VLOOKUP(A1,DIV_08Data!$A$1:$DZU$1000000,1764,FALSE)</f>
        <v>#N/A</v>
      </c>
      <c r="M104" s="33" t="e">
        <f>VLOOKUP(A1,DIV_08Data!$A$1:$DZU$1000000,1765,FALSE)</f>
        <v>#N/A</v>
      </c>
      <c r="N104" s="34" t="e">
        <f>VLOOKUP(A1,DIV_08Data!$A$1:$DZU$1000000,1766,FALSE)</f>
        <v>#N/A</v>
      </c>
      <c r="O104" s="33" t="e">
        <f>VLOOKUP(A1,DIV_08Data!$A$1:$DZU$1000000,1767,FALSE)</f>
        <v>#N/A</v>
      </c>
      <c r="P104" s="46" t="e">
        <f>VLOOKUP(A1,DIV_08Data!$A$1:$DZU$1000000,1768,FALSE)</f>
        <v>#N/A</v>
      </c>
      <c r="Q104" s="33" t="e">
        <f>VLOOKUP(A1,DIV_08Data!$A$1:$DZU$1000000,1769,FALSE)</f>
        <v>#N/A</v>
      </c>
    </row>
    <row r="105" spans="1:17" x14ac:dyDescent="0.35">
      <c r="A105" s="22" t="e">
        <f>VLOOKUP(A1,DIV_08Data!$A$1:$DZU$1000000,1770,FALSE)</f>
        <v>#N/A</v>
      </c>
      <c r="B105" s="37" t="e">
        <f>VLOOKUP(A1,DIV_08Data!$A$1:$DZU$1000000,1771,FALSE)</f>
        <v>#N/A</v>
      </c>
      <c r="C105" s="38" t="e">
        <f>VLOOKUP(A1,DIV_08Data!$A$1:$DZU$1000000,1772,FALSE)</f>
        <v>#N/A</v>
      </c>
      <c r="D105" s="31" t="e">
        <f>VLOOKUP(A1,DIV_08Data!$A$1:$DZU$1000000,1773,FALSE)</f>
        <v>#N/A</v>
      </c>
      <c r="E105" s="32" t="e">
        <f>VLOOKUP(A1,DIV_08Data!$A$1:$DZU$1000000,1774,FALSE)</f>
        <v>#N/A</v>
      </c>
      <c r="F105" s="34" t="e">
        <f>VLOOKUP(A1,DIV_08Data!$A$1:$DZU$1000000,1775,FALSE)</f>
        <v>#N/A</v>
      </c>
      <c r="G105" s="33" t="e">
        <f>VLOOKUP(A1,DIV_08Data!$A$1:$DZU$1000000,1776,FALSE)</f>
        <v>#N/A</v>
      </c>
      <c r="H105" s="34" t="e">
        <f>VLOOKUP(A1,DIV_08Data!$A$1:$DZU$1000000,1777,FALSE)</f>
        <v>#N/A</v>
      </c>
      <c r="I105" s="33" t="e">
        <f>VLOOKUP(A1,DIV_08Data!$A$1:$DZU$1000000,1778,FALSE)</f>
        <v>#N/A</v>
      </c>
      <c r="J105" s="34" t="e">
        <f>VLOOKUP(A1,DIV_08Data!$A$1:$DZU$1000000,1779,FALSE)</f>
        <v>#N/A</v>
      </c>
      <c r="K105" s="34" t="e">
        <f>VLOOKUP(A1,DIV_08Data!$A$1:$DZU$1000000,1780,FALSE)</f>
        <v>#N/A</v>
      </c>
      <c r="L105" s="93" t="e">
        <f>VLOOKUP(A1,DIV_08Data!$A$1:$DZU$1000000,1781,FALSE)</f>
        <v>#N/A</v>
      </c>
      <c r="M105" s="33" t="e">
        <f>VLOOKUP(A1,DIV_08Data!$A$1:$DZU$1000000,1782,FALSE)</f>
        <v>#N/A</v>
      </c>
      <c r="N105" s="34" t="e">
        <f>VLOOKUP(A1,DIV_08Data!$A$1:$DZU$1000000,1783,FALSE)</f>
        <v>#N/A</v>
      </c>
      <c r="O105" s="33" t="e">
        <f>VLOOKUP(A1,DIV_08Data!$A$1:$DZU$1000000,1784,FALSE)</f>
        <v>#N/A</v>
      </c>
      <c r="P105" s="46" t="e">
        <f>VLOOKUP(A1,DIV_08Data!$A$1:$DZU$1000000,1785,FALSE)</f>
        <v>#N/A</v>
      </c>
      <c r="Q105" s="33" t="e">
        <f>VLOOKUP(A1,DIV_08Data!$A$1:$DZU$1000000,1786,FALSE)</f>
        <v>#N/A</v>
      </c>
    </row>
    <row r="106" spans="1:17" x14ac:dyDescent="0.35">
      <c r="A106" s="22" t="e">
        <f>VLOOKUP(A1,DIV_08Data!$A$1:$DZU$1000000,1787,FALSE)</f>
        <v>#N/A</v>
      </c>
      <c r="B106" s="37" t="e">
        <f>VLOOKUP(A1,DIV_08Data!$A$1:$DZU$1000000,1788,FALSE)</f>
        <v>#N/A</v>
      </c>
      <c r="C106" s="38" t="e">
        <f>VLOOKUP(A1,DIV_08Data!$A$1:$DZU$1000000,1789,FALSE)</f>
        <v>#N/A</v>
      </c>
      <c r="D106" s="31" t="e">
        <f>VLOOKUP(A1,DIV_08Data!$A$1:$DZU$1000000,1790,FALSE)</f>
        <v>#N/A</v>
      </c>
      <c r="E106" s="32" t="e">
        <f>VLOOKUP(A1,DIV_08Data!$A$1:$DZU$1000000,1791,FALSE)</f>
        <v>#N/A</v>
      </c>
      <c r="F106" s="34" t="e">
        <f>VLOOKUP(A1,DIV_08Data!$A$1:$DZU$1000000,1792,FALSE)</f>
        <v>#N/A</v>
      </c>
      <c r="G106" s="33" t="e">
        <f>VLOOKUP(A1,DIV_08Data!$A$1:$DZU$1000000,1793,FALSE)</f>
        <v>#N/A</v>
      </c>
      <c r="H106" s="34" t="e">
        <f>VLOOKUP(A1,DIV_08Data!$A$1:$DZU$1000000,1794,FALSE)</f>
        <v>#N/A</v>
      </c>
      <c r="I106" s="33" t="e">
        <f>VLOOKUP(A1,DIV_08Data!$A$1:$DZU$1000000,1795,FALSE)</f>
        <v>#N/A</v>
      </c>
      <c r="J106" s="34" t="e">
        <f>VLOOKUP(A1,DIV_08Data!$A$1:$DZU$1000000,1796,FALSE)</f>
        <v>#N/A</v>
      </c>
      <c r="K106" s="34" t="e">
        <f>VLOOKUP(A1,DIV_08Data!$A$1:$DZU$1000000,1797,FALSE)</f>
        <v>#N/A</v>
      </c>
      <c r="L106" s="93" t="e">
        <f>VLOOKUP(A1,DIV_08Data!$A$1:$DZU$1000000,1798,FALSE)</f>
        <v>#N/A</v>
      </c>
      <c r="M106" s="33" t="e">
        <f>VLOOKUP(A1,DIV_08Data!$A$1:$DZU$1000000,1799,FALSE)</f>
        <v>#N/A</v>
      </c>
      <c r="N106" s="34" t="e">
        <f>VLOOKUP(A1,DIV_08Data!$A$1:$DZU$1000000,1800,FALSE)</f>
        <v>#N/A</v>
      </c>
      <c r="O106" s="33" t="e">
        <f>VLOOKUP(A1,DIV_08Data!$A$1:$DZU$1000000,1801,FALSE)</f>
        <v>#N/A</v>
      </c>
      <c r="P106" s="46" t="e">
        <f>VLOOKUP(A1,DIV_08Data!$A$1:$DZU$1000000,1802,FALSE)</f>
        <v>#N/A</v>
      </c>
      <c r="Q106" s="33" t="e">
        <f>VLOOKUP(A1,DIV_08Data!$A$1:$DZU$1000000,1803,FALSE)</f>
        <v>#N/A</v>
      </c>
    </row>
    <row r="107" spans="1:17" x14ac:dyDescent="0.35">
      <c r="A107" s="22" t="e">
        <f>VLOOKUP(A1,DIV_08Data!$A$1:$DZU$1000000,1804,FALSE)</f>
        <v>#N/A</v>
      </c>
      <c r="B107" s="37" t="e">
        <f>VLOOKUP(A1,DIV_08Data!$A$1:$DZU$1000000,1805,FALSE)</f>
        <v>#N/A</v>
      </c>
      <c r="C107" s="38" t="e">
        <f>VLOOKUP(A1,DIV_08Data!$A$1:$DZU$1000000,1806,FALSE)</f>
        <v>#N/A</v>
      </c>
      <c r="D107" s="31" t="e">
        <f>VLOOKUP(A1,DIV_08Data!$A$1:$DZU$1000000,1807,FALSE)</f>
        <v>#N/A</v>
      </c>
      <c r="E107" s="32" t="e">
        <f>VLOOKUP(A1,DIV_08Data!$A$1:$DZU$1000000,1808,FALSE)</f>
        <v>#N/A</v>
      </c>
      <c r="F107" s="34" t="e">
        <f>VLOOKUP(A1,DIV_08Data!$A$1:$DZU$1000000,1809,FALSE)</f>
        <v>#N/A</v>
      </c>
      <c r="G107" s="33" t="e">
        <f>VLOOKUP(A1,DIV_08Data!$A$1:$DZU$1000000,1810,FALSE)</f>
        <v>#N/A</v>
      </c>
      <c r="H107" s="34" t="e">
        <f>VLOOKUP(A1,DIV_08Data!$A$1:$DZU$1000000,1811,FALSE)</f>
        <v>#N/A</v>
      </c>
      <c r="I107" s="33" t="e">
        <f>VLOOKUP(A1,DIV_08Data!$A$1:$DZU$1000000,1812,FALSE)</f>
        <v>#N/A</v>
      </c>
      <c r="J107" s="34" t="e">
        <f>VLOOKUP(A1,DIV_08Data!$A$1:$DZU$1000000,1813,FALSE)</f>
        <v>#N/A</v>
      </c>
      <c r="K107" s="34" t="e">
        <f>VLOOKUP(A1,DIV_08Data!$A$1:$DZU$1000000,1814,FALSE)</f>
        <v>#N/A</v>
      </c>
      <c r="L107" s="93" t="e">
        <f>VLOOKUP(A1,DIV_08Data!$A$1:$DZU$1000000,1815,FALSE)</f>
        <v>#N/A</v>
      </c>
      <c r="M107" s="33" t="e">
        <f>VLOOKUP(A1,DIV_08Data!$A$1:$DZU$1000000,1816,FALSE)</f>
        <v>#N/A</v>
      </c>
      <c r="N107" s="34" t="e">
        <f>VLOOKUP(A1,DIV_08Data!$A$1:$DZU$1000000,1817,FALSE)</f>
        <v>#N/A</v>
      </c>
      <c r="O107" s="33" t="e">
        <f>VLOOKUP(A1,DIV_08Data!$A$1:$DZU$1000000,1818,FALSE)</f>
        <v>#N/A</v>
      </c>
      <c r="P107" s="46" t="e">
        <f>VLOOKUP(A1,DIV_08Data!$A$1:$DZU$1000000,1819,FALSE)</f>
        <v>#N/A</v>
      </c>
      <c r="Q107" s="33" t="e">
        <f>VLOOKUP(A1,DIV_08Data!$A$1:$DZU$1000000,1820,FALSE)</f>
        <v>#N/A</v>
      </c>
    </row>
    <row r="108" spans="1:17" x14ac:dyDescent="0.35">
      <c r="A108" s="22" t="e">
        <f>VLOOKUP(A1,DIV_08Data!$A$1:$DZU$1000000,1821,FALSE)</f>
        <v>#N/A</v>
      </c>
      <c r="B108" s="37" t="e">
        <f>VLOOKUP(A1,DIV_08Data!$A$1:$DZU$1000000,1822,FALSE)</f>
        <v>#N/A</v>
      </c>
      <c r="C108" s="38" t="e">
        <f>VLOOKUP(A1,DIV_08Data!$A$1:$DZU$1000000,1823,FALSE)</f>
        <v>#N/A</v>
      </c>
      <c r="D108" s="31" t="e">
        <f>VLOOKUP(A1,DIV_08Data!$A$1:$DZU$1000000,1824,FALSE)</f>
        <v>#N/A</v>
      </c>
      <c r="E108" s="32" t="e">
        <f>VLOOKUP(A1,DIV_08Data!$A$1:$DZU$1000000,1825,FALSE)</f>
        <v>#N/A</v>
      </c>
      <c r="F108" s="34" t="e">
        <f>VLOOKUP(A1,DIV_08Data!$A$1:$DZU$1000000,1826,FALSE)</f>
        <v>#N/A</v>
      </c>
      <c r="G108" s="33" t="e">
        <f>VLOOKUP(A1,DIV_08Data!$A$1:$DZU$1000000,1827,FALSE)</f>
        <v>#N/A</v>
      </c>
      <c r="H108" s="34" t="e">
        <f>VLOOKUP(A1,DIV_08Data!$A$1:$DZU$1000000,1828,FALSE)</f>
        <v>#N/A</v>
      </c>
      <c r="I108" s="33" t="e">
        <f>VLOOKUP(A1,DIV_08Data!$A$1:$DZU$1000000,1829,FALSE)</f>
        <v>#N/A</v>
      </c>
      <c r="J108" s="34" t="e">
        <f>VLOOKUP(A1,DIV_08Data!$A$1:$DZU$1000000,1830,FALSE)</f>
        <v>#N/A</v>
      </c>
      <c r="K108" s="34" t="e">
        <f>VLOOKUP(A1,DIV_08Data!$A$1:$DZU$1000000,1831,FALSE)</f>
        <v>#N/A</v>
      </c>
      <c r="L108" s="93" t="e">
        <f>VLOOKUP(A1,DIV_08Data!$A$1:$DZU$1000000,1832,FALSE)</f>
        <v>#N/A</v>
      </c>
      <c r="M108" s="33" t="e">
        <f>VLOOKUP(A1,DIV_08Data!$A$1:$DZU$1000000,1833,FALSE)</f>
        <v>#N/A</v>
      </c>
      <c r="N108" s="34" t="e">
        <f>VLOOKUP(A1,DIV_08Data!$A$1:$DZU$1000000,1834,FALSE)</f>
        <v>#N/A</v>
      </c>
      <c r="O108" s="33" t="e">
        <f>VLOOKUP(A1,DIV_08Data!$A$1:$DZU$1000000,1835,FALSE)</f>
        <v>#N/A</v>
      </c>
      <c r="P108" s="46" t="e">
        <f>VLOOKUP(A1,DIV_08Data!$A$1:$DZU$1000000,1836,FALSE)</f>
        <v>#N/A</v>
      </c>
      <c r="Q108" s="33" t="e">
        <f>VLOOKUP(A1,DIV_08Data!$A$1:$DZU$1000000,1837,FALSE)</f>
        <v>#N/A</v>
      </c>
    </row>
    <row r="109" spans="1:17" x14ac:dyDescent="0.35">
      <c r="A109" s="22" t="e">
        <f>VLOOKUP(A1,DIV_08Data!$A$1:$DZU$1000000,1838,FALSE)</f>
        <v>#N/A</v>
      </c>
      <c r="B109" s="37" t="e">
        <f>VLOOKUP(A1,DIV_08Data!$A$1:$DZU$1000000,1839,FALSE)</f>
        <v>#N/A</v>
      </c>
      <c r="C109" s="38" t="e">
        <f>VLOOKUP(A1,DIV_08Data!$A$1:$DZU$1000000,1840,FALSE)</f>
        <v>#N/A</v>
      </c>
      <c r="D109" s="31" t="e">
        <f>VLOOKUP(A1,DIV_08Data!$A$1:$DZU$1000000,1841,FALSE)</f>
        <v>#N/A</v>
      </c>
      <c r="E109" s="32" t="e">
        <f>VLOOKUP(A1,DIV_08Data!$A$1:$DZU$1000000,1842,FALSE)</f>
        <v>#N/A</v>
      </c>
      <c r="F109" s="34" t="e">
        <f>VLOOKUP(A1,DIV_08Data!$A$1:$DZU$1000000,1843,FALSE)</f>
        <v>#N/A</v>
      </c>
      <c r="G109" s="33" t="e">
        <f>VLOOKUP(A1,DIV_08Data!$A$1:$DZU$1000000,1844,FALSE)</f>
        <v>#N/A</v>
      </c>
      <c r="H109" s="34" t="e">
        <f>VLOOKUP(A1,DIV_08Data!$A$1:$DZU$1000000,1845,FALSE)</f>
        <v>#N/A</v>
      </c>
      <c r="I109" s="33" t="e">
        <f>VLOOKUP(A1,DIV_08Data!$A$1:$DZU$1000000,1846,FALSE)</f>
        <v>#N/A</v>
      </c>
      <c r="J109" s="34" t="e">
        <f>VLOOKUP(A1,DIV_08Data!$A$1:$DZU$1000000,1847,FALSE)</f>
        <v>#N/A</v>
      </c>
      <c r="K109" s="34" t="e">
        <f>VLOOKUP(A1,DIV_08Data!$A$1:$DZU$1000000,1848,FALSE)</f>
        <v>#N/A</v>
      </c>
      <c r="L109" s="93" t="e">
        <f>VLOOKUP(A1,DIV_08Data!$A$1:$DZU$1000000,1849,FALSE)</f>
        <v>#N/A</v>
      </c>
      <c r="M109" s="33" t="e">
        <f>VLOOKUP(A1,DIV_08Data!$A$1:$DZU$1000000,1850,FALSE)</f>
        <v>#N/A</v>
      </c>
      <c r="N109" s="34" t="e">
        <f>VLOOKUP(A1,DIV_08Data!$A$1:$DZU$1000000,1851,FALSE)</f>
        <v>#N/A</v>
      </c>
      <c r="O109" s="33" t="e">
        <f>VLOOKUP(A1,DIV_08Data!$A$1:$DZU$1000000,1852,FALSE)</f>
        <v>#N/A</v>
      </c>
      <c r="P109" s="46" t="e">
        <f>VLOOKUP(A1,DIV_08Data!$A$1:$DZU$1000000,1853,FALSE)</f>
        <v>#N/A</v>
      </c>
      <c r="Q109" s="33" t="e">
        <f>VLOOKUP(A1,DIV_08Data!$A$1:$DZU$1000000,1854,FALSE)</f>
        <v>#N/A</v>
      </c>
    </row>
    <row r="110" spans="1:17" x14ac:dyDescent="0.35">
      <c r="A110" s="22" t="e">
        <f>VLOOKUP(A1,DIV_08Data!$A$1:$DZU$1000000,1855,FALSE)</f>
        <v>#N/A</v>
      </c>
      <c r="B110" s="37" t="e">
        <f>VLOOKUP(A1,DIV_08Data!$A$1:$DZU$1000000,1856,FALSE)</f>
        <v>#N/A</v>
      </c>
      <c r="C110" s="38" t="e">
        <f>VLOOKUP(A1,DIV_08Data!$A$1:$DZU$1000000,1857,FALSE)</f>
        <v>#N/A</v>
      </c>
      <c r="D110" s="31" t="e">
        <f>VLOOKUP(A1,DIV_08Data!$A$1:$DZU$1000000,1858,FALSE)</f>
        <v>#N/A</v>
      </c>
      <c r="E110" s="32" t="e">
        <f>VLOOKUP(A1,DIV_08Data!$A$1:$DZU$1000000,1859,FALSE)</f>
        <v>#N/A</v>
      </c>
      <c r="F110" s="34" t="e">
        <f>VLOOKUP(A1,DIV_08Data!$A$1:$DZU$1000000,1860,FALSE)</f>
        <v>#N/A</v>
      </c>
      <c r="G110" s="33" t="e">
        <f>VLOOKUP(A1,DIV_08Data!$A$1:$DZU$1000000,1861,FALSE)</f>
        <v>#N/A</v>
      </c>
      <c r="H110" s="34" t="e">
        <f>VLOOKUP(A1,DIV_08Data!$A$1:$DZU$1000000,1862,FALSE)</f>
        <v>#N/A</v>
      </c>
      <c r="I110" s="33" t="e">
        <f>VLOOKUP(A1,DIV_08Data!$A$1:$DZU$1000000,1863,FALSE)</f>
        <v>#N/A</v>
      </c>
      <c r="J110" s="34" t="e">
        <f>VLOOKUP(A1,DIV_08Data!$A$1:$DZU$1000000,1864,FALSE)</f>
        <v>#N/A</v>
      </c>
      <c r="K110" s="34" t="e">
        <f>VLOOKUP(A1,DIV_08Data!$A$1:$DZU$1000000,1865,FALSE)</f>
        <v>#N/A</v>
      </c>
      <c r="L110" s="93" t="e">
        <f>VLOOKUP(A1,DIV_08Data!$A$1:$DZU$1000000,1866,FALSE)</f>
        <v>#N/A</v>
      </c>
      <c r="M110" s="33" t="e">
        <f>VLOOKUP(A1,DIV_08Data!$A$1:$DZU$1000000,1867,FALSE)</f>
        <v>#N/A</v>
      </c>
      <c r="N110" s="34" t="e">
        <f>VLOOKUP(A1,DIV_08Data!$A$1:$DZU$1000000,1868,FALSE)</f>
        <v>#N/A</v>
      </c>
      <c r="O110" s="33" t="e">
        <f>VLOOKUP(A1,DIV_08Data!$A$1:$DZU$1000000,1869,FALSE)</f>
        <v>#N/A</v>
      </c>
      <c r="P110" s="46" t="e">
        <f>VLOOKUP(A1,DIV_08Data!$A$1:$DZU$1000000,1870,FALSE)</f>
        <v>#N/A</v>
      </c>
      <c r="Q110" s="33" t="e">
        <f>VLOOKUP(A1,DIV_08Data!$A$1:$DZU$1000000,1871,FALSE)</f>
        <v>#N/A</v>
      </c>
    </row>
    <row r="111" spans="1:17" x14ac:dyDescent="0.35">
      <c r="A111" s="22" t="e">
        <f>VLOOKUP(A1,DIV_08Data!$A$1:$DZU$1000000,1872,FALSE)</f>
        <v>#N/A</v>
      </c>
      <c r="B111" s="37" t="e">
        <f>VLOOKUP(A1,DIV_08Data!$A$1:$DZU$1000000,1873,FALSE)</f>
        <v>#N/A</v>
      </c>
      <c r="C111" s="38" t="e">
        <f>VLOOKUP(A1,DIV_08Data!$A$1:$DZU$1000000,1874,FALSE)</f>
        <v>#N/A</v>
      </c>
      <c r="D111" s="31" t="e">
        <f>VLOOKUP(A1,DIV_08Data!$A$1:$DZU$1000000,1875,FALSE)</f>
        <v>#N/A</v>
      </c>
      <c r="E111" s="32" t="e">
        <f>VLOOKUP(A1,DIV_08Data!$A$1:$DZU$1000000,1876,FALSE)</f>
        <v>#N/A</v>
      </c>
      <c r="F111" s="34" t="e">
        <f>VLOOKUP(A1,DIV_08Data!$A$1:$DZU$1000000,1877,FALSE)</f>
        <v>#N/A</v>
      </c>
      <c r="G111" s="33" t="e">
        <f>VLOOKUP(A1,DIV_08Data!$A$1:$DZU$1000000,1878,FALSE)</f>
        <v>#N/A</v>
      </c>
      <c r="H111" s="34" t="e">
        <f>VLOOKUP(A1,DIV_08Data!$A$1:$DZU$1000000,1879,FALSE)</f>
        <v>#N/A</v>
      </c>
      <c r="I111" s="33" t="e">
        <f>VLOOKUP(A1,DIV_08Data!$A$1:$DZU$1000000,1880,FALSE)</f>
        <v>#N/A</v>
      </c>
      <c r="J111" s="34" t="e">
        <f>VLOOKUP(A1,DIV_08Data!$A$1:$DZU$1000000,1881,FALSE)</f>
        <v>#N/A</v>
      </c>
      <c r="K111" s="34" t="e">
        <f>VLOOKUP(A1,DIV_08Data!$A$1:$DZU$1000000,1882,FALSE)</f>
        <v>#N/A</v>
      </c>
      <c r="L111" s="93" t="e">
        <f>VLOOKUP(A1,DIV_08Data!$A$1:$DZU$1000000,1883,FALSE)</f>
        <v>#N/A</v>
      </c>
      <c r="M111" s="33" t="e">
        <f>VLOOKUP(A1,DIV_08Data!$A$1:$DZU$1000000,1884,FALSE)</f>
        <v>#N/A</v>
      </c>
      <c r="N111" s="34" t="e">
        <f>VLOOKUP(A1,DIV_08Data!$A$1:$DZU$1000000,1885,FALSE)</f>
        <v>#N/A</v>
      </c>
      <c r="O111" s="33" t="e">
        <f>VLOOKUP(A1,DIV_08Data!$A$1:$DZU$1000000,1886,FALSE)</f>
        <v>#N/A</v>
      </c>
      <c r="P111" s="46" t="e">
        <f>VLOOKUP(A1,DIV_08Data!$A$1:$DZU$1000000,1887,FALSE)</f>
        <v>#N/A</v>
      </c>
      <c r="Q111" s="33" t="e">
        <f>VLOOKUP(A1,DIV_08Data!$A$1:$DZU$1000000,1888,FALSE)</f>
        <v>#N/A</v>
      </c>
    </row>
    <row r="112" spans="1:17" x14ac:dyDescent="0.35">
      <c r="A112" s="22" t="e">
        <f>VLOOKUP(A1,DIV_08Data!$A$1:$DZU$1000000,1889,FALSE)</f>
        <v>#N/A</v>
      </c>
      <c r="B112" s="37" t="e">
        <f>VLOOKUP(A1,DIV_08Data!$A$1:$DZU$1000000,1890,FALSE)</f>
        <v>#N/A</v>
      </c>
      <c r="C112" s="38" t="e">
        <f>VLOOKUP(A1,DIV_08Data!$A$1:$DZU$1000000,1891,FALSE)</f>
        <v>#N/A</v>
      </c>
      <c r="D112" s="31" t="e">
        <f>VLOOKUP(A1,DIV_08Data!$A$1:$DZU$1000000,1892,FALSE)</f>
        <v>#N/A</v>
      </c>
      <c r="E112" s="32" t="e">
        <f>VLOOKUP(A1,DIV_08Data!$A$1:$DZU$1000000,1893,FALSE)</f>
        <v>#N/A</v>
      </c>
      <c r="F112" s="34" t="e">
        <f>VLOOKUP(A1,DIV_08Data!$A$1:$DZU$1000000,1894,FALSE)</f>
        <v>#N/A</v>
      </c>
      <c r="G112" s="33" t="e">
        <f>VLOOKUP(A1,DIV_08Data!$A$1:$DZU$1000000,1895,FALSE)</f>
        <v>#N/A</v>
      </c>
      <c r="H112" s="34" t="e">
        <f>VLOOKUP(A1,DIV_08Data!$A$1:$DZU$1000000,1896,FALSE)</f>
        <v>#N/A</v>
      </c>
      <c r="I112" s="33" t="e">
        <f>VLOOKUP(A1,DIV_08Data!$A$1:$DZU$1000000,1897,FALSE)</f>
        <v>#N/A</v>
      </c>
      <c r="J112" s="34" t="e">
        <f>VLOOKUP(A1,DIV_08Data!$A$1:$DZU$1000000,1898,FALSE)</f>
        <v>#N/A</v>
      </c>
      <c r="K112" s="34" t="e">
        <f>VLOOKUP(A1,DIV_08Data!$A$1:$DZU$1000000,1899,FALSE)</f>
        <v>#N/A</v>
      </c>
      <c r="L112" s="93" t="e">
        <f>VLOOKUP(A1,DIV_08Data!$A$1:$DZU$1000000,1900,FALSE)</f>
        <v>#N/A</v>
      </c>
      <c r="M112" s="33" t="e">
        <f>VLOOKUP(A1,DIV_08Data!$A$1:$DZU$1000000,1901,FALSE)</f>
        <v>#N/A</v>
      </c>
      <c r="N112" s="34" t="e">
        <f>VLOOKUP(A1,DIV_08Data!$A$1:$DZU$1000000,1902,FALSE)</f>
        <v>#N/A</v>
      </c>
      <c r="O112" s="33" t="e">
        <f>VLOOKUP(A1,DIV_08Data!$A$1:$DZU$1000000,1903,FALSE)</f>
        <v>#N/A</v>
      </c>
      <c r="P112" s="46" t="e">
        <f>VLOOKUP(A1,DIV_08Data!$A$1:$DZU$1000000,1904,FALSE)</f>
        <v>#N/A</v>
      </c>
      <c r="Q112" s="33" t="e">
        <f>VLOOKUP(A1,DIV_08Data!$A$1:$DZU$1000000,1905,FALSE)</f>
        <v>#N/A</v>
      </c>
    </row>
    <row r="113" spans="1:17" x14ac:dyDescent="0.35">
      <c r="A113" s="22" t="e">
        <f>VLOOKUP(A1,DIV_08Data!$A$1:$DZU$1000000,1906,FALSE)</f>
        <v>#N/A</v>
      </c>
      <c r="B113" s="37" t="e">
        <f>VLOOKUP(A1,DIV_08Data!$A$1:$DZU$1000000,1907,FALSE)</f>
        <v>#N/A</v>
      </c>
      <c r="C113" s="38" t="e">
        <f>VLOOKUP(A1,DIV_08Data!$A$1:$DZU$1000000,1908,FALSE)</f>
        <v>#N/A</v>
      </c>
      <c r="D113" s="31" t="e">
        <f>VLOOKUP(A1,DIV_08Data!$A$1:$DZU$1000000,1909,FALSE)</f>
        <v>#N/A</v>
      </c>
      <c r="E113" s="32" t="e">
        <f>VLOOKUP(A1,DIV_08Data!$A$1:$DZU$1000000,1910,FALSE)</f>
        <v>#N/A</v>
      </c>
      <c r="F113" s="34" t="e">
        <f>VLOOKUP(A1,DIV_08Data!$A$1:$DZU$1000000,1911,FALSE)</f>
        <v>#N/A</v>
      </c>
      <c r="G113" s="33" t="e">
        <f>VLOOKUP(A1,DIV_08Data!$A$1:$DZU$1000000,1912,FALSE)</f>
        <v>#N/A</v>
      </c>
      <c r="H113" s="34" t="e">
        <f>VLOOKUP(A1,DIV_08Data!$A$1:$DZU$1000000,1913,FALSE)</f>
        <v>#N/A</v>
      </c>
      <c r="I113" s="33" t="e">
        <f>VLOOKUP(A1,DIV_08Data!$A$1:$DZU$1000000,1914,FALSE)</f>
        <v>#N/A</v>
      </c>
      <c r="J113" s="34" t="e">
        <f>VLOOKUP(A1,DIV_08Data!$A$1:$DZU$1000000,1915,FALSE)</f>
        <v>#N/A</v>
      </c>
      <c r="K113" s="34" t="e">
        <f>VLOOKUP(A1,DIV_08Data!$A$1:$DZU$1000000,1916,FALSE)</f>
        <v>#N/A</v>
      </c>
      <c r="L113" s="93" t="e">
        <f>VLOOKUP(A1,DIV_08Data!$A$1:$DZU$1000000,1917,FALSE)</f>
        <v>#N/A</v>
      </c>
      <c r="M113" s="33" t="e">
        <f>VLOOKUP(A1,DIV_08Data!$A$1:$DZU$1000000,1918,FALSE)</f>
        <v>#N/A</v>
      </c>
      <c r="N113" s="34" t="e">
        <f>VLOOKUP(A1,DIV_08Data!$A$1:$DZU$1000000,1919,FALSE)</f>
        <v>#N/A</v>
      </c>
      <c r="O113" s="33" t="e">
        <f>VLOOKUP(A1,DIV_08Data!$A$1:$DZU$1000000,1920,FALSE)</f>
        <v>#N/A</v>
      </c>
      <c r="P113" s="46" t="e">
        <f>VLOOKUP(A1,DIV_08Data!$A$1:$DZU$1000000,1921,FALSE)</f>
        <v>#N/A</v>
      </c>
      <c r="Q113" s="33" t="e">
        <f>VLOOKUP(A1,DIV_08Data!$A$1:$DZU$1000000,1922,FALSE)</f>
        <v>#N/A</v>
      </c>
    </row>
    <row r="114" spans="1:17" x14ac:dyDescent="0.35">
      <c r="A114" s="22" t="e">
        <f>VLOOKUP(A1,DIV_08Data!$A$1:$DZU$1000000,1923,FALSE)</f>
        <v>#N/A</v>
      </c>
      <c r="B114" s="37" t="e">
        <f>VLOOKUP(A1,DIV_08Data!$A$1:$DZU$1000000,1924,FALSE)</f>
        <v>#N/A</v>
      </c>
      <c r="C114" s="38" t="e">
        <f>VLOOKUP(A1,DIV_08Data!$A$1:$DZU$1000000,1925,FALSE)</f>
        <v>#N/A</v>
      </c>
      <c r="D114" s="31" t="e">
        <f>VLOOKUP(A1,DIV_08Data!$A$1:$DZU$1000000,1926,FALSE)</f>
        <v>#N/A</v>
      </c>
      <c r="E114" s="32" t="e">
        <f>VLOOKUP(A1,DIV_08Data!$A$1:$DZU$1000000,1927,FALSE)</f>
        <v>#N/A</v>
      </c>
      <c r="F114" s="34" t="e">
        <f>VLOOKUP(A1,DIV_08Data!$A$1:$DZU$1000000,1928,FALSE)</f>
        <v>#N/A</v>
      </c>
      <c r="G114" s="33" t="e">
        <f>VLOOKUP(A1,DIV_08Data!$A$1:$DZU$1000000,1929,FALSE)</f>
        <v>#N/A</v>
      </c>
      <c r="H114" s="34" t="e">
        <f>VLOOKUP(A1,DIV_08Data!$A$1:$DZU$1000000,1930,FALSE)</f>
        <v>#N/A</v>
      </c>
      <c r="I114" s="33" t="e">
        <f>VLOOKUP(A1,DIV_08Data!$A$1:$DZU$1000000,1931,FALSE)</f>
        <v>#N/A</v>
      </c>
      <c r="J114" s="34" t="e">
        <f>VLOOKUP(A1,DIV_08Data!$A$1:$DZU$1000000,1932,FALSE)</f>
        <v>#N/A</v>
      </c>
      <c r="K114" s="34" t="e">
        <f>VLOOKUP(A1,DIV_08Data!$A$1:$DZU$1000000,1933,FALSE)</f>
        <v>#N/A</v>
      </c>
      <c r="L114" s="93" t="e">
        <f>VLOOKUP(A1,DIV_08Data!$A$1:$DZU$1000000,1934,FALSE)</f>
        <v>#N/A</v>
      </c>
      <c r="M114" s="33" t="e">
        <f>VLOOKUP(A1,DIV_08Data!$A$1:$DZU$1000000,1935,FALSE)</f>
        <v>#N/A</v>
      </c>
      <c r="N114" s="34" t="e">
        <f>VLOOKUP(A1,DIV_08Data!$A$1:$DZU$1000000,1936,FALSE)</f>
        <v>#N/A</v>
      </c>
      <c r="O114" s="33" t="e">
        <f>VLOOKUP(A1,DIV_08Data!$A$1:$DZU$1000000,1937,FALSE)</f>
        <v>#N/A</v>
      </c>
      <c r="P114" s="46" t="e">
        <f>VLOOKUP(A1,DIV_08Data!$A$1:$DZU$1000000,1938,FALSE)</f>
        <v>#N/A</v>
      </c>
      <c r="Q114" s="33" t="e">
        <f>VLOOKUP(A1,DIV_08Data!$A$1:$DZU$1000000,1939,FALSE)</f>
        <v>#N/A</v>
      </c>
    </row>
    <row r="115" spans="1:17" x14ac:dyDescent="0.35">
      <c r="A115" s="22" t="e">
        <f>VLOOKUP(A1,DIV_08Data!$A$1:$DZU$1000000,1940,FALSE)</f>
        <v>#N/A</v>
      </c>
      <c r="B115" s="37" t="e">
        <f>VLOOKUP(A1,DIV_08Data!$A$1:$DZU$1000000,1941,FALSE)</f>
        <v>#N/A</v>
      </c>
      <c r="C115" s="38" t="e">
        <f>VLOOKUP(A1,DIV_08Data!$A$1:$DZU$1000000,1942,FALSE)</f>
        <v>#N/A</v>
      </c>
      <c r="D115" s="31" t="e">
        <f>VLOOKUP(A1,DIV_08Data!$A$1:$DZU$1000000,1943,FALSE)</f>
        <v>#N/A</v>
      </c>
      <c r="E115" s="32" t="e">
        <f>VLOOKUP(A1,DIV_08Data!$A$1:$DZU$1000000,1944,FALSE)</f>
        <v>#N/A</v>
      </c>
      <c r="F115" s="34" t="e">
        <f>VLOOKUP(A1,DIV_08Data!$A$1:$DZU$1000000,1945,FALSE)</f>
        <v>#N/A</v>
      </c>
      <c r="G115" s="33" t="e">
        <f>VLOOKUP(A1,DIV_08Data!$A$1:$DZU$1000000,1946,FALSE)</f>
        <v>#N/A</v>
      </c>
      <c r="H115" s="34" t="e">
        <f>VLOOKUP(A1,DIV_08Data!$A$1:$DZU$1000000,1947,FALSE)</f>
        <v>#N/A</v>
      </c>
      <c r="I115" s="33" t="e">
        <f>VLOOKUP(A1,DIV_08Data!$A$1:$DZU$1000000,1948,FALSE)</f>
        <v>#N/A</v>
      </c>
      <c r="J115" s="34" t="e">
        <f>VLOOKUP(A1,DIV_08Data!$A$1:$DZU$1000000,1949,FALSE)</f>
        <v>#N/A</v>
      </c>
      <c r="K115" s="34" t="e">
        <f>VLOOKUP(A1,DIV_08Data!$A$1:$DZU$1000000,1950,FALSE)</f>
        <v>#N/A</v>
      </c>
      <c r="L115" s="93" t="e">
        <f>VLOOKUP(A1,DIV_08Data!$A$1:$DZU$1000000,1951,FALSE)</f>
        <v>#N/A</v>
      </c>
      <c r="M115" s="33" t="e">
        <f>VLOOKUP(A1,DIV_08Data!$A$1:$DZU$1000000,1952,FALSE)</f>
        <v>#N/A</v>
      </c>
      <c r="N115" s="34" t="e">
        <f>VLOOKUP(A1,DIV_08Data!$A$1:$DZU$1000000,1953,FALSE)</f>
        <v>#N/A</v>
      </c>
      <c r="O115" s="33" t="e">
        <f>VLOOKUP(A1,DIV_08Data!$A$1:$DZU$1000000,1954,FALSE)</f>
        <v>#N/A</v>
      </c>
      <c r="P115" s="46" t="e">
        <f>VLOOKUP(A1,DIV_08Data!$A$1:$DZU$1000000,1955,FALSE)</f>
        <v>#N/A</v>
      </c>
      <c r="Q115" s="33" t="e">
        <f>VLOOKUP(A1,DIV_08Data!$A$1:$DZU$1000000,1956,FALSE)</f>
        <v>#N/A</v>
      </c>
    </row>
    <row r="116" spans="1:17" x14ac:dyDescent="0.35">
      <c r="A116" s="22" t="e">
        <f>VLOOKUP(A1,DIV_08Data!$A$1:$DZU$1000000,1957,FALSE)</f>
        <v>#N/A</v>
      </c>
      <c r="B116" s="37" t="e">
        <f>VLOOKUP(A1,DIV_08Data!$A$1:$DZU$1000000,1958,FALSE)</f>
        <v>#N/A</v>
      </c>
      <c r="C116" s="38" t="e">
        <f>VLOOKUP(A1,DIV_08Data!$A$1:$DZU$1000000,1959,FALSE)</f>
        <v>#N/A</v>
      </c>
      <c r="D116" s="31" t="e">
        <f>VLOOKUP(A1,DIV_08Data!$A$1:$DZU$1000000,1960,FALSE)</f>
        <v>#N/A</v>
      </c>
      <c r="E116" s="32" t="e">
        <f>VLOOKUP(A1,DIV_08Data!$A$1:$DZU$1000000,1961,FALSE)</f>
        <v>#N/A</v>
      </c>
      <c r="F116" s="34" t="e">
        <f>VLOOKUP(A1,DIV_08Data!$A$1:$DZU$1000000,1962,FALSE)</f>
        <v>#N/A</v>
      </c>
      <c r="G116" s="33" t="e">
        <f>VLOOKUP(A1,DIV_08Data!$A$1:$DZU$1000000,1963,FALSE)</f>
        <v>#N/A</v>
      </c>
      <c r="H116" s="34" t="e">
        <f>VLOOKUP(A1,DIV_08Data!$A$1:$DZU$1000000,1964,FALSE)</f>
        <v>#N/A</v>
      </c>
      <c r="I116" s="33" t="e">
        <f>VLOOKUP(A1,DIV_08Data!$A$1:$DZU$1000000,1965,FALSE)</f>
        <v>#N/A</v>
      </c>
      <c r="J116" s="34" t="e">
        <f>VLOOKUP(A1,DIV_08Data!$A$1:$DZU$1000000,1966,FALSE)</f>
        <v>#N/A</v>
      </c>
      <c r="K116" s="34" t="e">
        <f>VLOOKUP(A1,DIV_08Data!$A$1:$DZU$1000000,1967,FALSE)</f>
        <v>#N/A</v>
      </c>
      <c r="L116" s="93" t="e">
        <f>VLOOKUP(A1,DIV_08Data!$A$1:$DZU$1000000,1968,FALSE)</f>
        <v>#N/A</v>
      </c>
      <c r="M116" s="33" t="e">
        <f>VLOOKUP(A1,DIV_08Data!$A$1:$DZU$1000000,1969,FALSE)</f>
        <v>#N/A</v>
      </c>
      <c r="N116" s="34" t="e">
        <f>VLOOKUP(A1,DIV_08Data!$A$1:$DZU$1000000,1970,FALSE)</f>
        <v>#N/A</v>
      </c>
      <c r="O116" s="33" t="e">
        <f>VLOOKUP(A1,DIV_08Data!$A$1:$DZU$1000000,1971,FALSE)</f>
        <v>#N/A</v>
      </c>
      <c r="P116" s="46" t="e">
        <f>VLOOKUP(A1,DIV_08Data!$A$1:$DZU$1000000,1972,FALSE)</f>
        <v>#N/A</v>
      </c>
      <c r="Q116" s="33" t="e">
        <f>VLOOKUP(A1,DIV_08Data!$A$1:$DZU$1000000,1973,FALSE)</f>
        <v>#N/A</v>
      </c>
    </row>
    <row r="117" spans="1:17" x14ac:dyDescent="0.35">
      <c r="A117" s="22" t="e">
        <f>VLOOKUP(A1,DIV_08Data!$A$1:$DZU$1000000,1974,FALSE)</f>
        <v>#N/A</v>
      </c>
      <c r="B117" s="37" t="e">
        <f>VLOOKUP(A1,DIV_08Data!$A$1:$DZU$1000000,1975,FALSE)</f>
        <v>#N/A</v>
      </c>
      <c r="C117" s="38" t="e">
        <f>VLOOKUP(A1,DIV_08Data!$A$1:$DZU$1000000,1976,FALSE)</f>
        <v>#N/A</v>
      </c>
      <c r="D117" s="31" t="e">
        <f>VLOOKUP(A1,DIV_08Data!$A$1:$DZU$1000000,1977,FALSE)</f>
        <v>#N/A</v>
      </c>
      <c r="E117" s="32" t="e">
        <f>VLOOKUP(A1,DIV_08Data!$A$1:$DZU$1000000,1978,FALSE)</f>
        <v>#N/A</v>
      </c>
      <c r="F117" s="34" t="e">
        <f>VLOOKUP(A1,DIV_08Data!$A$1:$DZU$1000000,1979,FALSE)</f>
        <v>#N/A</v>
      </c>
      <c r="G117" s="33" t="e">
        <f>VLOOKUP(A1,DIV_08Data!$A$1:$DZU$1000000,1980,FALSE)</f>
        <v>#N/A</v>
      </c>
      <c r="H117" s="34" t="e">
        <f>VLOOKUP(A1,DIV_08Data!$A$1:$DZU$1000000,1981,FALSE)</f>
        <v>#N/A</v>
      </c>
      <c r="I117" s="33" t="e">
        <f>VLOOKUP(A1,DIV_08Data!$A$1:$DZU$1000000,1982,FALSE)</f>
        <v>#N/A</v>
      </c>
      <c r="J117" s="34" t="e">
        <f>VLOOKUP(A1,DIV_08Data!$A$1:$DZU$1000000,1983,FALSE)</f>
        <v>#N/A</v>
      </c>
      <c r="K117" s="34" t="e">
        <f>VLOOKUP(A1,DIV_08Data!$A$1:$DZU$1000000,1984,FALSE)</f>
        <v>#N/A</v>
      </c>
      <c r="L117" s="93" t="e">
        <f>VLOOKUP(A1,DIV_08Data!$A$1:$DZU$1000000,1985,FALSE)</f>
        <v>#N/A</v>
      </c>
      <c r="M117" s="33" t="e">
        <f>VLOOKUP(A1,DIV_08Data!$A$1:$DZU$1000000,1986,FALSE)</f>
        <v>#N/A</v>
      </c>
      <c r="N117" s="34" t="e">
        <f>VLOOKUP(A1,DIV_08Data!$A$1:$DZU$1000000,1987,FALSE)</f>
        <v>#N/A</v>
      </c>
      <c r="O117" s="33" t="e">
        <f>VLOOKUP(A1,DIV_08Data!$A$1:$DZU$1000000,1988,FALSE)</f>
        <v>#N/A</v>
      </c>
      <c r="P117" s="46" t="e">
        <f>VLOOKUP(A1,DIV_08Data!$A$1:$DZU$1000000,1989,FALSE)</f>
        <v>#N/A</v>
      </c>
      <c r="Q117" s="33" t="e">
        <f>VLOOKUP(A1,DIV_08Data!$A$1:$DZU$1000000,1990,FALSE)</f>
        <v>#N/A</v>
      </c>
    </row>
    <row r="118" spans="1:17" x14ac:dyDescent="0.35">
      <c r="A118" s="22" t="e">
        <f>VLOOKUP(A1,DIV_08Data!$A$1:$DZU$1000000,1991,FALSE)</f>
        <v>#N/A</v>
      </c>
      <c r="B118" s="37" t="e">
        <f>VLOOKUP(A1,DIV_08Data!$A$1:$DZU$1000000,1992,FALSE)</f>
        <v>#N/A</v>
      </c>
      <c r="C118" s="38" t="e">
        <f>VLOOKUP(A1,DIV_08Data!$A$1:$DZU$1000000,1993,FALSE)</f>
        <v>#N/A</v>
      </c>
      <c r="D118" s="31" t="e">
        <f>VLOOKUP(A1,DIV_08Data!$A$1:$DZU$1000000,1994,FALSE)</f>
        <v>#N/A</v>
      </c>
      <c r="E118" s="32" t="e">
        <f>VLOOKUP(A1,DIV_08Data!$A$1:$DZU$1000000,1995,FALSE)</f>
        <v>#N/A</v>
      </c>
      <c r="F118" s="34" t="e">
        <f>VLOOKUP(A1,DIV_08Data!$A$1:$DZU$1000000,1996,FALSE)</f>
        <v>#N/A</v>
      </c>
      <c r="G118" s="33" t="e">
        <f>VLOOKUP(A1,DIV_08Data!$A$1:$DZU$1000000,1997,FALSE)</f>
        <v>#N/A</v>
      </c>
      <c r="H118" s="34" t="e">
        <f>VLOOKUP(A1,DIV_08Data!$A$1:$DZU$1000000,1998,FALSE)</f>
        <v>#N/A</v>
      </c>
      <c r="I118" s="33" t="e">
        <f>VLOOKUP(A1,DIV_08Data!$A$1:$DZU$1000000,1999,FALSE)</f>
        <v>#N/A</v>
      </c>
      <c r="J118" s="34" t="e">
        <f>VLOOKUP(A1,DIV_08Data!$A$1:$DZU$1000000,2000,FALSE)</f>
        <v>#N/A</v>
      </c>
      <c r="K118" s="34" t="e">
        <f>VLOOKUP(A1,DIV_08Data!$A$1:$DZU$1000000,2001,FALSE)</f>
        <v>#N/A</v>
      </c>
      <c r="L118" s="93" t="e">
        <f>VLOOKUP(A1,DIV_08Data!$A$1:$DZU$1000000,2002,FALSE)</f>
        <v>#N/A</v>
      </c>
      <c r="M118" s="33" t="e">
        <f>VLOOKUP(A1,DIV_08Data!$A$1:$DZU$1000000,2003,FALSE)</f>
        <v>#N/A</v>
      </c>
      <c r="N118" s="34" t="e">
        <f>VLOOKUP(A1,DIV_08Data!$A$1:$DZU$1000000,2004,FALSE)</f>
        <v>#N/A</v>
      </c>
      <c r="O118" s="33" t="e">
        <f>VLOOKUP(A1,DIV_08Data!$A$1:$DZU$1000000,2005,FALSE)</f>
        <v>#N/A</v>
      </c>
      <c r="P118" s="46" t="e">
        <f>VLOOKUP(A1,DIV_08Data!$A$1:$DZU$1000000,2006,FALSE)</f>
        <v>#N/A</v>
      </c>
      <c r="Q118" s="33" t="e">
        <f>VLOOKUP(A1,DIV_08Data!$A$1:$DZU$1000000,2007,FALSE)</f>
        <v>#N/A</v>
      </c>
    </row>
    <row r="119" spans="1:17" x14ac:dyDescent="0.35">
      <c r="A119" s="22" t="e">
        <f>VLOOKUP(A1,DIV_08Data!$A$1:$DZU$1000000,2008,FALSE)</f>
        <v>#N/A</v>
      </c>
      <c r="B119" s="37" t="e">
        <f>VLOOKUP(A1,DIV_08Data!$A$1:$DZU$1000000,2009,FALSE)</f>
        <v>#N/A</v>
      </c>
      <c r="C119" s="38" t="e">
        <f>VLOOKUP(A1,DIV_08Data!$A$1:$DZU$1000000,2010,FALSE)</f>
        <v>#N/A</v>
      </c>
      <c r="D119" s="31" t="e">
        <f>VLOOKUP(A1,DIV_08Data!$A$1:$DZU$1000000,2011,FALSE)</f>
        <v>#N/A</v>
      </c>
      <c r="E119" s="32" t="e">
        <f>VLOOKUP(A1,DIV_08Data!$A$1:$DZU$1000000,2012,FALSE)</f>
        <v>#N/A</v>
      </c>
      <c r="F119" s="34" t="e">
        <f>VLOOKUP(A1,DIV_08Data!$A$1:$DZU$1000000,2013,FALSE)</f>
        <v>#N/A</v>
      </c>
      <c r="G119" s="33" t="e">
        <f>VLOOKUP(A1,DIV_08Data!$A$1:$DZU$1000000,2014,FALSE)</f>
        <v>#N/A</v>
      </c>
      <c r="H119" s="34" t="e">
        <f>VLOOKUP(A1,DIV_08Data!$A$1:$DZU$1000000,2015,FALSE)</f>
        <v>#N/A</v>
      </c>
      <c r="I119" s="33" t="e">
        <f>VLOOKUP(A1,DIV_08Data!$A$1:$DZU$1000000,2016,FALSE)</f>
        <v>#N/A</v>
      </c>
      <c r="J119" s="34" t="e">
        <f>VLOOKUP(A1,DIV_08Data!$A$1:$DZU$1000000,2017,FALSE)</f>
        <v>#N/A</v>
      </c>
      <c r="K119" s="34" t="e">
        <f>VLOOKUP(A1,DIV_08Data!$A$1:$DZU$1000000,2018,FALSE)</f>
        <v>#N/A</v>
      </c>
      <c r="L119" s="93" t="e">
        <f>VLOOKUP(A1,DIV_08Data!$A$1:$DZU$1000000,2019,FALSE)</f>
        <v>#N/A</v>
      </c>
      <c r="M119" s="33" t="e">
        <f>VLOOKUP(A1,DIV_08Data!$A$1:$DZU$1000000,2020,FALSE)</f>
        <v>#N/A</v>
      </c>
      <c r="N119" s="34" t="e">
        <f>VLOOKUP(A1,DIV_08Data!$A$1:$DZU$1000000,2021,FALSE)</f>
        <v>#N/A</v>
      </c>
      <c r="O119" s="33" t="e">
        <f>VLOOKUP(A1,DIV_08Data!$A$1:$DZU$1000000,2022,FALSE)</f>
        <v>#N/A</v>
      </c>
      <c r="P119" s="46" t="e">
        <f>VLOOKUP(A1,DIV_08Data!$A$1:$DZU$1000000,2023,FALSE)</f>
        <v>#N/A</v>
      </c>
      <c r="Q119" s="33" t="e">
        <f>VLOOKUP(A1,DIV_08Data!$A$1:$DZU$1000000,2024,FALSE)</f>
        <v>#N/A</v>
      </c>
    </row>
    <row r="120" spans="1:17" x14ac:dyDescent="0.35">
      <c r="A120" s="22" t="e">
        <f>VLOOKUP(A1,DIV_08Data!$A$1:$DZU$1000000,2025,FALSE)</f>
        <v>#N/A</v>
      </c>
      <c r="B120" s="37" t="e">
        <f>VLOOKUP(A1,DIV_08Data!$A$1:$DZU$1000000,2026,FALSE)</f>
        <v>#N/A</v>
      </c>
      <c r="C120" s="38" t="e">
        <f>VLOOKUP(A1,DIV_08Data!$A$1:$DZU$1000000,2027,FALSE)</f>
        <v>#N/A</v>
      </c>
      <c r="D120" s="31" t="e">
        <f>VLOOKUP(A1,DIV_08Data!$A$1:$DZU$1000000,2028,FALSE)</f>
        <v>#N/A</v>
      </c>
      <c r="E120" s="32" t="e">
        <f>VLOOKUP(A1,DIV_08Data!$A$1:$DZU$1000000,2029,FALSE)</f>
        <v>#N/A</v>
      </c>
      <c r="F120" s="34" t="e">
        <f>VLOOKUP(A1,DIV_08Data!$A$1:$DZU$1000000,2030,FALSE)</f>
        <v>#N/A</v>
      </c>
      <c r="G120" s="33" t="e">
        <f>VLOOKUP(A1,DIV_08Data!$A$1:$DZU$1000000,2031,FALSE)</f>
        <v>#N/A</v>
      </c>
      <c r="H120" s="34" t="e">
        <f>VLOOKUP(A1,DIV_08Data!$A$1:$DZU$1000000,2032,FALSE)</f>
        <v>#N/A</v>
      </c>
      <c r="I120" s="33" t="e">
        <f>VLOOKUP(A1,DIV_08Data!$A$1:$DZU$1000000,2033,FALSE)</f>
        <v>#N/A</v>
      </c>
      <c r="J120" s="34" t="e">
        <f>VLOOKUP(A1,DIV_08Data!$A$1:$DZU$1000000,2034,FALSE)</f>
        <v>#N/A</v>
      </c>
      <c r="K120" s="34" t="e">
        <f>VLOOKUP(A1,DIV_08Data!$A$1:$DZU$1000000,2035,FALSE)</f>
        <v>#N/A</v>
      </c>
      <c r="L120" s="93" t="e">
        <f>VLOOKUP(A1,DIV_08Data!$A$1:$DZU$1000000,2036,FALSE)</f>
        <v>#N/A</v>
      </c>
      <c r="M120" s="33" t="e">
        <f>VLOOKUP(A1,DIV_08Data!$A$1:$DZU$1000000,2037,FALSE)</f>
        <v>#N/A</v>
      </c>
      <c r="N120" s="34" t="e">
        <f>VLOOKUP(A1,DIV_08Data!$A$1:$DZU$1000000,2038,FALSE)</f>
        <v>#N/A</v>
      </c>
      <c r="O120" s="33" t="e">
        <f>VLOOKUP(A1,DIV_08Data!$A$1:$DZU$1000000,2039,FALSE)</f>
        <v>#N/A</v>
      </c>
      <c r="P120" s="46" t="e">
        <f>VLOOKUP(A1,DIV_08Data!$A$1:$DZU$1000000,2040,FALSE)</f>
        <v>#N/A</v>
      </c>
      <c r="Q120" s="33" t="e">
        <f>VLOOKUP(A1,DIV_08Data!$A$1:$DZU$1000000,2041,FALSE)</f>
        <v>#N/A</v>
      </c>
    </row>
    <row r="121" spans="1:17" x14ac:dyDescent="0.35">
      <c r="A121" s="22" t="e">
        <f>VLOOKUP(A1,DIV_08Data!$A$1:$DZU$1000000,2042,FALSE)</f>
        <v>#N/A</v>
      </c>
      <c r="B121" s="37" t="e">
        <f>VLOOKUP(A1,DIV_08Data!$A$1:$DZU$1000000,2043,FALSE)</f>
        <v>#N/A</v>
      </c>
      <c r="C121" s="38" t="e">
        <f>VLOOKUP(A1,DIV_08Data!$A$1:$DZU$1000000,2044,FALSE)</f>
        <v>#N/A</v>
      </c>
      <c r="D121" s="31" t="e">
        <f>VLOOKUP(A1,DIV_08Data!$A$1:$DZU$1000000,2045,FALSE)</f>
        <v>#N/A</v>
      </c>
      <c r="E121" s="32" t="e">
        <f>VLOOKUP(A1,DIV_08Data!$A$1:$DZU$1000000,2046,FALSE)</f>
        <v>#N/A</v>
      </c>
      <c r="F121" s="34" t="e">
        <f>VLOOKUP(A1,DIV_08Data!$A$1:$DZU$1000000,2047,FALSE)</f>
        <v>#N/A</v>
      </c>
      <c r="G121" s="33" t="e">
        <f>VLOOKUP(A1,DIV_08Data!$A$1:$DZU$1000000,2048,FALSE)</f>
        <v>#N/A</v>
      </c>
      <c r="H121" s="34" t="e">
        <f>VLOOKUP(A1,DIV_08Data!$A$1:$DZU$1000000,2049,FALSE)</f>
        <v>#N/A</v>
      </c>
      <c r="I121" s="33" t="e">
        <f>VLOOKUP(A1,DIV_08Data!$A$1:$DZU$1000000,2050,FALSE)</f>
        <v>#N/A</v>
      </c>
      <c r="J121" s="34" t="e">
        <f>VLOOKUP(A1,DIV_08Data!$A$1:$DZU$1000000,2051,FALSE)</f>
        <v>#N/A</v>
      </c>
      <c r="K121" s="34" t="e">
        <f>VLOOKUP(A1,DIV_08Data!$A$1:$DZU$1000000,2052,FALSE)</f>
        <v>#N/A</v>
      </c>
      <c r="L121" s="93" t="e">
        <f>VLOOKUP(A1,DIV_08Data!$A$1:$DZU$1000000,2053,FALSE)</f>
        <v>#N/A</v>
      </c>
      <c r="M121" s="33" t="e">
        <f>VLOOKUP(A1,DIV_08Data!$A$1:$DZU$1000000,2054,FALSE)</f>
        <v>#N/A</v>
      </c>
      <c r="N121" s="34" t="e">
        <f>VLOOKUP(A1,DIV_08Data!$A$1:$DZU$1000000,2055,FALSE)</f>
        <v>#N/A</v>
      </c>
      <c r="O121" s="33" t="e">
        <f>VLOOKUP(A1,DIV_08Data!$A$1:$DZU$1000000,2056,FALSE)</f>
        <v>#N/A</v>
      </c>
      <c r="P121" s="46" t="e">
        <f>VLOOKUP(A1,DIV_08Data!$A$1:$DZU$1000000,2057,FALSE)</f>
        <v>#N/A</v>
      </c>
      <c r="Q121" s="33" t="e">
        <f>VLOOKUP(A1,DIV_08Data!$A$1:$DZU$1000000,2058,FALSE)</f>
        <v>#N/A</v>
      </c>
    </row>
    <row r="122" spans="1:17" x14ac:dyDescent="0.35">
      <c r="A122" s="22" t="e">
        <f>VLOOKUP(A1,DIV_08Data!$A$1:$DZU$1000000,2059,FALSE)</f>
        <v>#N/A</v>
      </c>
      <c r="B122" s="37" t="e">
        <f>VLOOKUP(A1,DIV_08Data!$A$1:$DZU$1000000,2060,FALSE)</f>
        <v>#N/A</v>
      </c>
      <c r="C122" s="38" t="e">
        <f>VLOOKUP(A1,DIV_08Data!$A$1:$DZU$1000000,2061,FALSE)</f>
        <v>#N/A</v>
      </c>
      <c r="D122" s="31" t="e">
        <f>VLOOKUP(A1,DIV_08Data!$A$1:$DZU$1000000,2062,FALSE)</f>
        <v>#N/A</v>
      </c>
      <c r="E122" s="32" t="e">
        <f>VLOOKUP(A1,DIV_08Data!$A$1:$DZU$1000000,2063,FALSE)</f>
        <v>#N/A</v>
      </c>
      <c r="F122" s="34" t="e">
        <f>VLOOKUP(A1,DIV_08Data!$A$1:$DZU$1000000,2064,FALSE)</f>
        <v>#N/A</v>
      </c>
      <c r="G122" s="33" t="e">
        <f>VLOOKUP(A1,DIV_08Data!$A$1:$DZU$1000000,2065,FALSE)</f>
        <v>#N/A</v>
      </c>
      <c r="H122" s="34" t="e">
        <f>VLOOKUP(A1,DIV_08Data!$A$1:$DZU$1000000,2066,FALSE)</f>
        <v>#N/A</v>
      </c>
      <c r="I122" s="33" t="e">
        <f>VLOOKUP(A1,DIV_08Data!$A$1:$DZU$1000000,2067,FALSE)</f>
        <v>#N/A</v>
      </c>
      <c r="J122" s="34" t="e">
        <f>VLOOKUP(A1,DIV_08Data!$A$1:$DZU$1000000,2068,FALSE)</f>
        <v>#N/A</v>
      </c>
      <c r="K122" s="34" t="e">
        <f>VLOOKUP(A1,DIV_08Data!$A$1:$DZU$1000000,2069,FALSE)</f>
        <v>#N/A</v>
      </c>
      <c r="L122" s="93" t="e">
        <f>VLOOKUP(A1,DIV_08Data!$A$1:$DZU$1000000,2070,FALSE)</f>
        <v>#N/A</v>
      </c>
      <c r="M122" s="33" t="e">
        <f>VLOOKUP(A1,DIV_08Data!$A$1:$DZU$1000000,2071,FALSE)</f>
        <v>#N/A</v>
      </c>
      <c r="N122" s="34" t="e">
        <f>VLOOKUP(A1,DIV_08Data!$A$1:$DZU$1000000,2072,FALSE)</f>
        <v>#N/A</v>
      </c>
      <c r="O122" s="33" t="e">
        <f>VLOOKUP(A1,DIV_08Data!$A$1:$DZU$1000000,2073,FALSE)</f>
        <v>#N/A</v>
      </c>
      <c r="P122" s="46" t="e">
        <f>VLOOKUP(A1,DIV_08Data!$A$1:$DZU$1000000,2074,FALSE)</f>
        <v>#N/A</v>
      </c>
      <c r="Q122" s="33" t="e">
        <f>VLOOKUP(A1,DIV_08Data!$A$1:$DZU$1000000,2075,FALSE)</f>
        <v>#N/A</v>
      </c>
    </row>
    <row r="123" spans="1:17" x14ac:dyDescent="0.35">
      <c r="A123" s="22" t="e">
        <f>VLOOKUP(A1,DIV_08Data!$A$1:$DZU$1000000,2076,FALSE)</f>
        <v>#N/A</v>
      </c>
      <c r="B123" s="37" t="e">
        <f>VLOOKUP(A1,DIV_08Data!$A$1:$DZU$1000000,2077,FALSE)</f>
        <v>#N/A</v>
      </c>
      <c r="C123" s="38" t="e">
        <f>VLOOKUP(A1,DIV_08Data!$A$1:$DZU$1000000,2078,FALSE)</f>
        <v>#N/A</v>
      </c>
      <c r="D123" s="31" t="e">
        <f>VLOOKUP(A1,DIV_08Data!$A$1:$DZU$1000000,2079,FALSE)</f>
        <v>#N/A</v>
      </c>
      <c r="E123" s="32" t="e">
        <f>VLOOKUP(A1,DIV_08Data!$A$1:$DZU$1000000,2080,FALSE)</f>
        <v>#N/A</v>
      </c>
      <c r="F123" s="34" t="e">
        <f>VLOOKUP(A1,DIV_08Data!$A$1:$DZU$1000000,2081,FALSE)</f>
        <v>#N/A</v>
      </c>
      <c r="G123" s="33" t="e">
        <f>VLOOKUP(A1,DIV_08Data!$A$1:$DZU$1000000,2082,FALSE)</f>
        <v>#N/A</v>
      </c>
      <c r="H123" s="34" t="e">
        <f>VLOOKUP(A1,DIV_08Data!$A$1:$DZU$1000000,2083,FALSE)</f>
        <v>#N/A</v>
      </c>
      <c r="I123" s="33" t="e">
        <f>VLOOKUP(A1,DIV_08Data!$A$1:$DZU$1000000,2084,FALSE)</f>
        <v>#N/A</v>
      </c>
      <c r="J123" s="34" t="e">
        <f>VLOOKUP(A1,DIV_08Data!$A$1:$DZU$1000000,2085,FALSE)</f>
        <v>#N/A</v>
      </c>
      <c r="K123" s="34" t="e">
        <f>VLOOKUP(A1,DIV_08Data!$A$1:$DZU$1000000,2086,FALSE)</f>
        <v>#N/A</v>
      </c>
      <c r="L123" s="93" t="e">
        <f>VLOOKUP(A1,DIV_08Data!$A$1:$DZU$1000000,2087,FALSE)</f>
        <v>#N/A</v>
      </c>
      <c r="M123" s="33" t="e">
        <f>VLOOKUP(A1,DIV_08Data!$A$1:$DZU$1000000,2088,FALSE)</f>
        <v>#N/A</v>
      </c>
      <c r="N123" s="34" t="e">
        <f>VLOOKUP(A1,DIV_08Data!$A$1:$DZU$1000000,2089,FALSE)</f>
        <v>#N/A</v>
      </c>
      <c r="O123" s="33" t="e">
        <f>VLOOKUP(A1,DIV_08Data!$A$1:$DZU$1000000,2090,FALSE)</f>
        <v>#N/A</v>
      </c>
      <c r="P123" s="46" t="e">
        <f>VLOOKUP(A1,DIV_08Data!$A$1:$DZU$1000000,2091,FALSE)</f>
        <v>#N/A</v>
      </c>
      <c r="Q123" s="33" t="e">
        <f>VLOOKUP(A1,DIV_08Data!$A$1:$DZU$1000000,2092,FALSE)</f>
        <v>#N/A</v>
      </c>
    </row>
    <row r="124" spans="1:17" x14ac:dyDescent="0.35">
      <c r="A124" s="22" t="e">
        <f>VLOOKUP(A1,DIV_08Data!$A$1:$DZU$1000000,2093,FALSE)</f>
        <v>#N/A</v>
      </c>
      <c r="B124" s="37" t="e">
        <f>VLOOKUP(A1,DIV_08Data!$A$1:$DZU$1000000,2094,FALSE)</f>
        <v>#N/A</v>
      </c>
      <c r="C124" s="38" t="e">
        <f>VLOOKUP(A1,DIV_08Data!$A$1:$DZU$1000000,2095,FALSE)</f>
        <v>#N/A</v>
      </c>
      <c r="D124" s="31" t="e">
        <f>VLOOKUP(A1,DIV_08Data!$A$1:$DZU$1000000,2096,FALSE)</f>
        <v>#N/A</v>
      </c>
      <c r="E124" s="32" t="e">
        <f>VLOOKUP(A1,DIV_08Data!$A$1:$DZU$1000000,2097,FALSE)</f>
        <v>#N/A</v>
      </c>
      <c r="F124" s="34" t="e">
        <f>VLOOKUP(A1,DIV_08Data!$A$1:$DZU$1000000,2098,FALSE)</f>
        <v>#N/A</v>
      </c>
      <c r="G124" s="33" t="e">
        <f>VLOOKUP(A1,DIV_08Data!$A$1:$DZU$1000000,2099,FALSE)</f>
        <v>#N/A</v>
      </c>
      <c r="H124" s="34" t="e">
        <f>VLOOKUP(A1,DIV_08Data!$A$1:$DZU$1000000,2100,FALSE)</f>
        <v>#N/A</v>
      </c>
      <c r="I124" s="33" t="e">
        <f>VLOOKUP(A1,DIV_08Data!$A$1:$DZU$1000000,2101,FALSE)</f>
        <v>#N/A</v>
      </c>
      <c r="J124" s="34" t="e">
        <f>VLOOKUP(A1,DIV_08Data!$A$1:$DZU$1000000,2102,FALSE)</f>
        <v>#N/A</v>
      </c>
      <c r="K124" s="34" t="e">
        <f>VLOOKUP(A1,DIV_08Data!$A$1:$DZU$1000000,2103,FALSE)</f>
        <v>#N/A</v>
      </c>
      <c r="L124" s="93" t="e">
        <f>VLOOKUP(A1,DIV_08Data!$A$1:$DZU$1000000,2104,FALSE)</f>
        <v>#N/A</v>
      </c>
      <c r="M124" s="33" t="e">
        <f>VLOOKUP(A1,DIV_08Data!$A$1:$DZU$1000000,2105,FALSE)</f>
        <v>#N/A</v>
      </c>
      <c r="N124" s="34" t="e">
        <f>VLOOKUP(A1,DIV_08Data!$A$1:$DZU$1000000,2106,FALSE)</f>
        <v>#N/A</v>
      </c>
      <c r="O124" s="33" t="e">
        <f>VLOOKUP(A1,DIV_08Data!$A$1:$DZU$1000000,2107,FALSE)</f>
        <v>#N/A</v>
      </c>
      <c r="P124" s="46" t="e">
        <f>VLOOKUP(A1,DIV_08Data!$A$1:$DZU$1000000,2108,FALSE)</f>
        <v>#N/A</v>
      </c>
      <c r="Q124" s="33" t="e">
        <f>VLOOKUP(A1,DIV_08Data!$A$1:$DZU$1000000,2109,FALSE)</f>
        <v>#N/A</v>
      </c>
    </row>
    <row r="125" spans="1:17" x14ac:dyDescent="0.35">
      <c r="A125" s="22" t="e">
        <f>VLOOKUP(A1,DIV_08Data!$A$1:$DZU$1000000,2110,FALSE)</f>
        <v>#N/A</v>
      </c>
      <c r="B125" s="37" t="e">
        <f>VLOOKUP(A1,DIV_08Data!$A$1:$DZU$1000000,2111,FALSE)</f>
        <v>#N/A</v>
      </c>
      <c r="C125" s="38" t="e">
        <f>VLOOKUP(A1,DIV_08Data!$A$1:$DZU$1000000,2112,FALSE)</f>
        <v>#N/A</v>
      </c>
      <c r="D125" s="31" t="e">
        <f>VLOOKUP(A1,DIV_08Data!$A$1:$DZU$1000000,2113,FALSE)</f>
        <v>#N/A</v>
      </c>
      <c r="E125" s="32" t="e">
        <f>VLOOKUP(A1,DIV_08Data!$A$1:$DZU$1000000,2114,FALSE)</f>
        <v>#N/A</v>
      </c>
      <c r="F125" s="34" t="e">
        <f>VLOOKUP(A1,DIV_08Data!$A$1:$DZU$1000000,2115,FALSE)</f>
        <v>#N/A</v>
      </c>
      <c r="G125" s="33" t="e">
        <f>VLOOKUP(A1,DIV_08Data!$A$1:$DZU$1000000,2116,FALSE)</f>
        <v>#N/A</v>
      </c>
      <c r="H125" s="34" t="e">
        <f>VLOOKUP(A1,DIV_08Data!$A$1:$DZU$1000000,2117,FALSE)</f>
        <v>#N/A</v>
      </c>
      <c r="I125" s="33" t="e">
        <f>VLOOKUP(A1,DIV_08Data!$A$1:$DZU$1000000,2118,FALSE)</f>
        <v>#N/A</v>
      </c>
      <c r="J125" s="34" t="e">
        <f>VLOOKUP(A1,DIV_08Data!$A$1:$DZU$1000000,2119,FALSE)</f>
        <v>#N/A</v>
      </c>
      <c r="K125" s="34" t="e">
        <f>VLOOKUP(A1,DIV_08Data!$A$1:$DZU$1000000,2120,FALSE)</f>
        <v>#N/A</v>
      </c>
      <c r="L125" s="93" t="e">
        <f>VLOOKUP(A1,DIV_08Data!$A$1:$DZU$1000000,2121,FALSE)</f>
        <v>#N/A</v>
      </c>
      <c r="M125" s="33" t="e">
        <f>VLOOKUP(A1,DIV_08Data!$A$1:$DZU$1000000,2122,FALSE)</f>
        <v>#N/A</v>
      </c>
      <c r="N125" s="34" t="e">
        <f>VLOOKUP(A1,DIV_08Data!$A$1:$DZU$1000000,2123,FALSE)</f>
        <v>#N/A</v>
      </c>
      <c r="O125" s="33" t="e">
        <f>VLOOKUP(A1,DIV_08Data!$A$1:$DZU$1000000,2124,FALSE)</f>
        <v>#N/A</v>
      </c>
      <c r="P125" s="46" t="e">
        <f>VLOOKUP(A1,DIV_08Data!$A$1:$DZU$1000000,2125,FALSE)</f>
        <v>#N/A</v>
      </c>
      <c r="Q125" s="33" t="e">
        <f>VLOOKUP(A1,DIV_08Data!$A$1:$DZU$1000000,2126,FALSE)</f>
        <v>#N/A</v>
      </c>
    </row>
    <row r="126" spans="1:17" x14ac:dyDescent="0.35">
      <c r="A126" s="22" t="e">
        <f>VLOOKUP(A1,DIV_08Data!$A$1:$DZU$1000000,2127,FALSE)</f>
        <v>#N/A</v>
      </c>
      <c r="B126" s="37" t="e">
        <f>VLOOKUP(A1,DIV_08Data!$A$1:$DZU$1000000,2128,FALSE)</f>
        <v>#N/A</v>
      </c>
      <c r="C126" s="38" t="e">
        <f>VLOOKUP(A1,DIV_08Data!$A$1:$DZU$1000000,2129,FALSE)</f>
        <v>#N/A</v>
      </c>
      <c r="D126" s="31" t="e">
        <f>VLOOKUP(A1,DIV_08Data!$A$1:$DZU$1000000,2130,FALSE)</f>
        <v>#N/A</v>
      </c>
      <c r="E126" s="32" t="e">
        <f>VLOOKUP(A1,DIV_08Data!$A$1:$DZU$1000000,2131,FALSE)</f>
        <v>#N/A</v>
      </c>
      <c r="F126" s="34" t="e">
        <f>VLOOKUP(A1,DIV_08Data!$A$1:$DZU$1000000,2132,FALSE)</f>
        <v>#N/A</v>
      </c>
      <c r="G126" s="33" t="e">
        <f>VLOOKUP(A1,DIV_08Data!$A$1:$DZU$1000000,2133,FALSE)</f>
        <v>#N/A</v>
      </c>
      <c r="H126" s="34" t="e">
        <f>VLOOKUP(A1,DIV_08Data!$A$1:$DZU$1000000,2134,FALSE)</f>
        <v>#N/A</v>
      </c>
      <c r="I126" s="33" t="e">
        <f>VLOOKUP(A1,DIV_08Data!$A$1:$DZU$1000000,2135,FALSE)</f>
        <v>#N/A</v>
      </c>
      <c r="J126" s="34" t="e">
        <f>VLOOKUP(A1,DIV_08Data!$A$1:$DZU$1000000,2136,FALSE)</f>
        <v>#N/A</v>
      </c>
      <c r="K126" s="34" t="e">
        <f>VLOOKUP(A1,DIV_08Data!$A$1:$DZU$1000000,2137,FALSE)</f>
        <v>#N/A</v>
      </c>
      <c r="L126" s="93" t="e">
        <f>VLOOKUP(A1,DIV_08Data!$A$1:$DZU$1000000,2138,FALSE)</f>
        <v>#N/A</v>
      </c>
      <c r="M126" s="33" t="e">
        <f>VLOOKUP(A1,DIV_08Data!$A$1:$DZU$1000000,2139,FALSE)</f>
        <v>#N/A</v>
      </c>
      <c r="N126" s="34" t="e">
        <f>VLOOKUP(A1,DIV_08Data!$A$1:$DZU$1000000,2140,FALSE)</f>
        <v>#N/A</v>
      </c>
      <c r="O126" s="33" t="e">
        <f>VLOOKUP(A1,DIV_08Data!$A$1:$DZU$1000000,2141,FALSE)</f>
        <v>#N/A</v>
      </c>
      <c r="P126" s="46" t="e">
        <f>VLOOKUP(A1,DIV_08Data!$A$1:$DZU$1000000,2142,FALSE)</f>
        <v>#N/A</v>
      </c>
      <c r="Q126" s="33" t="e">
        <f>VLOOKUP(A1,DIV_08Data!$A$1:$DZU$1000000,2143,FALSE)</f>
        <v>#N/A</v>
      </c>
    </row>
    <row r="127" spans="1:17" x14ac:dyDescent="0.35">
      <c r="A127" s="22" t="e">
        <f>VLOOKUP(A1,DIV_08Data!$A$1:$DZU$1000000,2144,FALSE)</f>
        <v>#N/A</v>
      </c>
      <c r="B127" s="37" t="e">
        <f>VLOOKUP(A1,DIV_08Data!$A$1:$DZU$1000000,2145,FALSE)</f>
        <v>#N/A</v>
      </c>
      <c r="C127" s="38" t="e">
        <f>VLOOKUP(A1,DIV_08Data!$A$1:$DZU$1000000,2146,FALSE)</f>
        <v>#N/A</v>
      </c>
      <c r="D127" s="31" t="e">
        <f>VLOOKUP(A1,DIV_08Data!$A$1:$DZU$1000000,2147,FALSE)</f>
        <v>#N/A</v>
      </c>
      <c r="E127" s="32" t="e">
        <f>VLOOKUP(A1,DIV_08Data!$A$1:$DZU$1000000,2148,FALSE)</f>
        <v>#N/A</v>
      </c>
      <c r="F127" s="34" t="e">
        <f>VLOOKUP(A1,DIV_08Data!$A$1:$DZU$1000000,2149,FALSE)</f>
        <v>#N/A</v>
      </c>
      <c r="G127" s="33" t="e">
        <f>VLOOKUP(A1,DIV_08Data!$A$1:$DZU$1000000,2150,FALSE)</f>
        <v>#N/A</v>
      </c>
      <c r="H127" s="34" t="e">
        <f>VLOOKUP(A1,DIV_08Data!$A$1:$DZU$1000000,2151,FALSE)</f>
        <v>#N/A</v>
      </c>
      <c r="I127" s="33" t="e">
        <f>VLOOKUP(A1,DIV_08Data!$A$1:$DZU$1000000,2152,FALSE)</f>
        <v>#N/A</v>
      </c>
      <c r="J127" s="34" t="e">
        <f>VLOOKUP(A1,DIV_08Data!$A$1:$DZU$1000000,2153,FALSE)</f>
        <v>#N/A</v>
      </c>
      <c r="K127" s="34" t="e">
        <f>VLOOKUP(A1,DIV_08Data!$A$1:$DZU$1000000,2154,FALSE)</f>
        <v>#N/A</v>
      </c>
      <c r="L127" s="93" t="e">
        <f>VLOOKUP(A1,DIV_08Data!$A$1:$DZU$1000000,2155,FALSE)</f>
        <v>#N/A</v>
      </c>
      <c r="M127" s="33" t="e">
        <f>VLOOKUP(A1,DIV_08Data!$A$1:$DZU$1000000,2156,FALSE)</f>
        <v>#N/A</v>
      </c>
      <c r="N127" s="34" t="e">
        <f>VLOOKUP(A1,DIV_08Data!$A$1:$DZU$1000000,2157,FALSE)</f>
        <v>#N/A</v>
      </c>
      <c r="O127" s="33" t="e">
        <f>VLOOKUP(A1,DIV_08Data!$A$1:$DZU$1000000,2158,FALSE)</f>
        <v>#N/A</v>
      </c>
      <c r="P127" s="46" t="e">
        <f>VLOOKUP(A1,DIV_08Data!$A$1:$DZU$1000000,2159,FALSE)</f>
        <v>#N/A</v>
      </c>
      <c r="Q127" s="33" t="e">
        <f>VLOOKUP(A1,DIV_08Data!$A$1:$DZU$1000000,2160,FALSE)</f>
        <v>#N/A</v>
      </c>
    </row>
    <row r="128" spans="1:17" x14ac:dyDescent="0.35">
      <c r="A128" s="22" t="e">
        <f>VLOOKUP(A1,DIV_08Data!$A$1:$DZU$1000000,2161,FALSE)</f>
        <v>#N/A</v>
      </c>
      <c r="B128" s="37" t="e">
        <f>VLOOKUP(A1,DIV_08Data!$A$1:$DZU$1000000,2162,FALSE)</f>
        <v>#N/A</v>
      </c>
      <c r="C128" s="38" t="e">
        <f>VLOOKUP(A1,DIV_08Data!$A$1:$DZU$1000000,2163,FALSE)</f>
        <v>#N/A</v>
      </c>
      <c r="D128" s="31" t="e">
        <f>VLOOKUP(A1,DIV_08Data!$A$1:$DZU$1000000,2164,FALSE)</f>
        <v>#N/A</v>
      </c>
      <c r="E128" s="32" t="e">
        <f>VLOOKUP(A1,DIV_08Data!$A$1:$DZU$1000000,2165,FALSE)</f>
        <v>#N/A</v>
      </c>
      <c r="F128" s="34" t="e">
        <f>VLOOKUP(A1,DIV_08Data!$A$1:$DZU$1000000,2166,FALSE)</f>
        <v>#N/A</v>
      </c>
      <c r="G128" s="33" t="e">
        <f>VLOOKUP(A1,DIV_08Data!$A$1:$DZU$1000000,2167,FALSE)</f>
        <v>#N/A</v>
      </c>
      <c r="H128" s="34" t="e">
        <f>VLOOKUP(A1,DIV_08Data!$A$1:$DZU$1000000,2168,FALSE)</f>
        <v>#N/A</v>
      </c>
      <c r="I128" s="33" t="e">
        <f>VLOOKUP(A1,DIV_08Data!$A$1:$DZU$1000000,2169,FALSE)</f>
        <v>#N/A</v>
      </c>
      <c r="J128" s="34" t="e">
        <f>VLOOKUP(A1,DIV_08Data!$A$1:$DZU$1000000,2170,FALSE)</f>
        <v>#N/A</v>
      </c>
      <c r="K128" s="34" t="e">
        <f>VLOOKUP(A1,DIV_08Data!$A$1:$DZU$1000000,2171,FALSE)</f>
        <v>#N/A</v>
      </c>
      <c r="L128" s="93" t="e">
        <f>VLOOKUP(A1,DIV_08Data!$A$1:$DZU$1000000,2172,FALSE)</f>
        <v>#N/A</v>
      </c>
      <c r="M128" s="33" t="e">
        <f>VLOOKUP(A1,DIV_08Data!$A$1:$DZU$1000000,2173,FALSE)</f>
        <v>#N/A</v>
      </c>
      <c r="N128" s="34" t="e">
        <f>VLOOKUP(A1,DIV_08Data!$A$1:$DZU$1000000,2174,FALSE)</f>
        <v>#N/A</v>
      </c>
      <c r="O128" s="33" t="e">
        <f>VLOOKUP(A1,DIV_08Data!$A$1:$DZU$1000000,2175,FALSE)</f>
        <v>#N/A</v>
      </c>
      <c r="P128" s="46" t="e">
        <f>VLOOKUP(A1,DIV_08Data!$A$1:$DZU$1000000,2176,FALSE)</f>
        <v>#N/A</v>
      </c>
      <c r="Q128" s="33" t="e">
        <f>VLOOKUP(A1,DIV_08Data!$A$1:$DZU$1000000,2177,FALSE)</f>
        <v>#N/A</v>
      </c>
    </row>
    <row r="129" spans="1:17" x14ac:dyDescent="0.35">
      <c r="A129" s="22" t="e">
        <f>VLOOKUP(A1,DIV_08Data!$A$1:$DZU$1000000,2178,FALSE)</f>
        <v>#N/A</v>
      </c>
      <c r="B129" s="37" t="e">
        <f>VLOOKUP(A1,DIV_08Data!$A$1:$DZU$1000000,2179,FALSE)</f>
        <v>#N/A</v>
      </c>
      <c r="C129" s="38" t="e">
        <f>VLOOKUP(A1,DIV_08Data!$A$1:$DZU$1000000,2180,FALSE)</f>
        <v>#N/A</v>
      </c>
      <c r="D129" s="31" t="e">
        <f>VLOOKUP(A1,DIV_08Data!$A$1:$DZU$1000000,2181,FALSE)</f>
        <v>#N/A</v>
      </c>
      <c r="E129" s="32" t="e">
        <f>VLOOKUP(A1,DIV_08Data!$A$1:$DZU$1000000,2182,FALSE)</f>
        <v>#N/A</v>
      </c>
      <c r="F129" s="34" t="e">
        <f>VLOOKUP(A1,DIV_08Data!$A$1:$DZU$1000000,2183,FALSE)</f>
        <v>#N/A</v>
      </c>
      <c r="G129" s="33" t="e">
        <f>VLOOKUP(A1,DIV_08Data!$A$1:$DZU$1000000,2184,FALSE)</f>
        <v>#N/A</v>
      </c>
      <c r="H129" s="34" t="e">
        <f>VLOOKUP(A1,DIV_08Data!$A$1:$DZU$1000000,2185,FALSE)</f>
        <v>#N/A</v>
      </c>
      <c r="I129" s="33" t="e">
        <f>VLOOKUP(A1,DIV_08Data!$A$1:$DZU$1000000,2186,FALSE)</f>
        <v>#N/A</v>
      </c>
      <c r="J129" s="34" t="e">
        <f>VLOOKUP(A1,DIV_08Data!$A$1:$DZU$1000000,2187,FALSE)</f>
        <v>#N/A</v>
      </c>
      <c r="K129" s="34" t="e">
        <f>VLOOKUP(A1,DIV_08Data!$A$1:$DZU$1000000,2188,FALSE)</f>
        <v>#N/A</v>
      </c>
      <c r="L129" s="93" t="e">
        <f>VLOOKUP(A1,DIV_08Data!$A$1:$DZU$1000000,2189,FALSE)</f>
        <v>#N/A</v>
      </c>
      <c r="M129" s="33" t="e">
        <f>VLOOKUP(A1,DIV_08Data!$A$1:$DZU$1000000,2190,FALSE)</f>
        <v>#N/A</v>
      </c>
      <c r="N129" s="34" t="e">
        <f>VLOOKUP(A1,DIV_08Data!$A$1:$DZU$1000000,2191,FALSE)</f>
        <v>#N/A</v>
      </c>
      <c r="O129" s="33" t="e">
        <f>VLOOKUP(A1,DIV_08Data!$A$1:$DZU$1000000,2192,FALSE)</f>
        <v>#N/A</v>
      </c>
      <c r="P129" s="46" t="e">
        <f>VLOOKUP(A1,DIV_08Data!$A$1:$DZU$1000000,2193,FALSE)</f>
        <v>#N/A</v>
      </c>
      <c r="Q129" s="33" t="e">
        <f>VLOOKUP(A1,DIV_08Data!$A$1:$DZU$1000000,2194,FALSE)</f>
        <v>#N/A</v>
      </c>
    </row>
    <row r="130" spans="1:17" x14ac:dyDescent="0.35">
      <c r="A130" s="22" t="e">
        <f>VLOOKUP(A1,DIV_08Data!$A$1:$DZU$1000000,2195,FALSE)</f>
        <v>#N/A</v>
      </c>
      <c r="B130" s="37" t="e">
        <f>VLOOKUP(A1,DIV_08Data!$A$1:$DZU$1000000,2196,FALSE)</f>
        <v>#N/A</v>
      </c>
      <c r="C130" s="38" t="e">
        <f>VLOOKUP(A1,DIV_08Data!$A$1:$DZU$1000000,2197,FALSE)</f>
        <v>#N/A</v>
      </c>
      <c r="D130" s="31" t="e">
        <f>VLOOKUP(A1,DIV_08Data!$A$1:$DZU$1000000,2198,FALSE)</f>
        <v>#N/A</v>
      </c>
      <c r="E130" s="32" t="e">
        <f>VLOOKUP(A1,DIV_08Data!$A$1:$DZU$1000000,2199,FALSE)</f>
        <v>#N/A</v>
      </c>
      <c r="F130" s="34" t="e">
        <f>VLOOKUP(A1,DIV_08Data!$A$1:$DZU$1000000,2200,FALSE)</f>
        <v>#N/A</v>
      </c>
      <c r="G130" s="33" t="e">
        <f>VLOOKUP(A1,DIV_08Data!$A$1:$DZU$1000000,2201,FALSE)</f>
        <v>#N/A</v>
      </c>
      <c r="H130" s="34" t="e">
        <f>VLOOKUP(A1,DIV_08Data!$A$1:$DZU$1000000,2202,FALSE)</f>
        <v>#N/A</v>
      </c>
      <c r="I130" s="33" t="e">
        <f>VLOOKUP(A1,DIV_08Data!$A$1:$DZU$1000000,2203,FALSE)</f>
        <v>#N/A</v>
      </c>
      <c r="J130" s="34" t="e">
        <f>VLOOKUP(A1,DIV_08Data!$A$1:$DZU$1000000,2204,FALSE)</f>
        <v>#N/A</v>
      </c>
      <c r="K130" s="34" t="e">
        <f>VLOOKUP(A1,DIV_08Data!$A$1:$DZU$1000000,2205,FALSE)</f>
        <v>#N/A</v>
      </c>
      <c r="L130" s="93" t="e">
        <f>VLOOKUP(A1,DIV_08Data!$A$1:$DZU$1000000,2206,FALSE)</f>
        <v>#N/A</v>
      </c>
      <c r="M130" s="33" t="e">
        <f>VLOOKUP(A1,DIV_08Data!$A$1:$DZU$1000000,2207,FALSE)</f>
        <v>#N/A</v>
      </c>
      <c r="N130" s="34" t="e">
        <f>VLOOKUP(A1,DIV_08Data!$A$1:$DZU$1000000,2208,FALSE)</f>
        <v>#N/A</v>
      </c>
      <c r="O130" s="33" t="e">
        <f>VLOOKUP(A1,DIV_08Data!$A$1:$DZU$1000000,2209,FALSE)</f>
        <v>#N/A</v>
      </c>
      <c r="P130" s="46" t="e">
        <f>VLOOKUP(A1,DIV_08Data!$A$1:$DZU$1000000,2210,FALSE)</f>
        <v>#N/A</v>
      </c>
      <c r="Q130" s="33" t="e">
        <f>VLOOKUP(A1,DIV_08Data!$A$1:$DZU$1000000,2211,FALSE)</f>
        <v>#N/A</v>
      </c>
    </row>
    <row r="131" spans="1:17" x14ac:dyDescent="0.35">
      <c r="A131" s="22" t="e">
        <f>VLOOKUP(A1,DIV_08Data!$A$1:$DZU$1000000,2212,FALSE)</f>
        <v>#N/A</v>
      </c>
      <c r="B131" s="37" t="e">
        <f>VLOOKUP(A1,DIV_08Data!$A$1:$DZU$1000000,2213,FALSE)</f>
        <v>#N/A</v>
      </c>
      <c r="C131" s="38" t="e">
        <f>VLOOKUP(A1,DIV_08Data!$A$1:$DZU$1000000,2214,FALSE)</f>
        <v>#N/A</v>
      </c>
      <c r="D131" s="31" t="e">
        <f>VLOOKUP(A1,DIV_08Data!$A$1:$DZU$1000000,2215,FALSE)</f>
        <v>#N/A</v>
      </c>
      <c r="E131" s="32" t="e">
        <f>VLOOKUP(A1,DIV_08Data!$A$1:$DZU$1000000,2216,FALSE)</f>
        <v>#N/A</v>
      </c>
      <c r="F131" s="34" t="e">
        <f>VLOOKUP(A1,DIV_08Data!$A$1:$DZU$1000000,2217,FALSE)</f>
        <v>#N/A</v>
      </c>
      <c r="G131" s="33" t="e">
        <f>VLOOKUP(A1,DIV_08Data!$A$1:$DZU$1000000,2218,FALSE)</f>
        <v>#N/A</v>
      </c>
      <c r="H131" s="34" t="e">
        <f>VLOOKUP(A1,DIV_08Data!$A$1:$DZU$1000000,2219,FALSE)</f>
        <v>#N/A</v>
      </c>
      <c r="I131" s="33" t="e">
        <f>VLOOKUP(A1,DIV_08Data!$A$1:$DZU$1000000,2220,FALSE)</f>
        <v>#N/A</v>
      </c>
      <c r="J131" s="34" t="e">
        <f>VLOOKUP(A1,DIV_08Data!$A$1:$DZU$1000000,2221,FALSE)</f>
        <v>#N/A</v>
      </c>
      <c r="K131" s="34" t="e">
        <f>VLOOKUP(A1,DIV_08Data!$A$1:$DZU$1000000,2222,FALSE)</f>
        <v>#N/A</v>
      </c>
      <c r="L131" s="93" t="e">
        <f>VLOOKUP(A1,DIV_08Data!$A$1:$DZU$1000000,2223,FALSE)</f>
        <v>#N/A</v>
      </c>
      <c r="M131" s="33" t="e">
        <f>VLOOKUP(A1,DIV_08Data!$A$1:$DZU$1000000,2224,FALSE)</f>
        <v>#N/A</v>
      </c>
      <c r="N131" s="34" t="e">
        <f>VLOOKUP(A1,DIV_08Data!$A$1:$DZU$1000000,2225,FALSE)</f>
        <v>#N/A</v>
      </c>
      <c r="O131" s="33" t="e">
        <f>VLOOKUP(A1,DIV_08Data!$A$1:$DZU$1000000,2226,FALSE)</f>
        <v>#N/A</v>
      </c>
      <c r="P131" s="46" t="e">
        <f>VLOOKUP(A1,DIV_08Data!$A$1:$DZU$1000000,2227,FALSE)</f>
        <v>#N/A</v>
      </c>
      <c r="Q131" s="33" t="e">
        <f>VLOOKUP(A1,DIV_08Data!$A$1:$DZU$1000000,2228,FALSE)</f>
        <v>#N/A</v>
      </c>
    </row>
    <row r="132" spans="1:17" x14ac:dyDescent="0.35">
      <c r="A132" s="22" t="e">
        <f>VLOOKUP(A1,DIV_08Data!$A$1:$DZU$1000000,2229,FALSE)</f>
        <v>#N/A</v>
      </c>
      <c r="B132" s="37" t="e">
        <f>VLOOKUP(A1,DIV_08Data!$A$1:$DZU$1000000,2230,FALSE)</f>
        <v>#N/A</v>
      </c>
      <c r="C132" s="38" t="e">
        <f>VLOOKUP(A1,DIV_08Data!$A$1:$DZU$1000000,2231,FALSE)</f>
        <v>#N/A</v>
      </c>
      <c r="D132" s="31" t="e">
        <f>VLOOKUP(A1,DIV_08Data!$A$1:$DZU$1000000,2232,FALSE)</f>
        <v>#N/A</v>
      </c>
      <c r="E132" s="32" t="e">
        <f>VLOOKUP(A1,DIV_08Data!$A$1:$DZU$1000000,2233,FALSE)</f>
        <v>#N/A</v>
      </c>
      <c r="F132" s="34" t="e">
        <f>VLOOKUP(A1,DIV_08Data!$A$1:$DZU$1000000,2234,FALSE)</f>
        <v>#N/A</v>
      </c>
      <c r="G132" s="33" t="e">
        <f>VLOOKUP(A1,DIV_08Data!$A$1:$DZU$1000000,2235,FALSE)</f>
        <v>#N/A</v>
      </c>
      <c r="H132" s="34" t="e">
        <f>VLOOKUP(A1,DIV_08Data!$A$1:$DZU$1000000,2236,FALSE)</f>
        <v>#N/A</v>
      </c>
      <c r="I132" s="33" t="e">
        <f>VLOOKUP(A1,DIV_08Data!$A$1:$DZU$1000000,2237,FALSE)</f>
        <v>#N/A</v>
      </c>
      <c r="J132" s="34" t="e">
        <f>VLOOKUP(A1,DIV_08Data!$A$1:$DZU$1000000,2238,FALSE)</f>
        <v>#N/A</v>
      </c>
      <c r="K132" s="34" t="e">
        <f>VLOOKUP(A1,DIV_08Data!$A$1:$DZU$1000000,2239,FALSE)</f>
        <v>#N/A</v>
      </c>
      <c r="L132" s="93" t="e">
        <f>VLOOKUP(A1,DIV_08Data!$A$1:$DZU$1000000,2240,FALSE)</f>
        <v>#N/A</v>
      </c>
      <c r="M132" s="33" t="e">
        <f>VLOOKUP(A1,DIV_08Data!$A$1:$DZU$1000000,2241,FALSE)</f>
        <v>#N/A</v>
      </c>
      <c r="N132" s="34" t="e">
        <f>VLOOKUP(A1,DIV_08Data!$A$1:$DZU$1000000,2242,FALSE)</f>
        <v>#N/A</v>
      </c>
      <c r="O132" s="33" t="e">
        <f>VLOOKUP(A1,DIV_08Data!$A$1:$DZU$1000000,2243,FALSE)</f>
        <v>#N/A</v>
      </c>
      <c r="P132" s="46" t="e">
        <f>VLOOKUP(A1,DIV_08Data!$A$1:$DZU$1000000,2244,FALSE)</f>
        <v>#N/A</v>
      </c>
      <c r="Q132" s="33" t="e">
        <f>VLOOKUP(A1,DIV_08Data!$A$1:$DZU$1000000,2245,FALSE)</f>
        <v>#N/A</v>
      </c>
    </row>
    <row r="133" spans="1:17" x14ac:dyDescent="0.35">
      <c r="A133" s="22" t="e">
        <f>VLOOKUP(A1,DIV_08Data!$A$1:$DZU$1000000,2246,FALSE)</f>
        <v>#N/A</v>
      </c>
      <c r="B133" s="37" t="e">
        <f>VLOOKUP(A1,DIV_08Data!$A$1:$DZU$1000000,2247,FALSE)</f>
        <v>#N/A</v>
      </c>
      <c r="C133" s="38" t="e">
        <f>VLOOKUP(A1,DIV_08Data!$A$1:$DZU$1000000,2248,FALSE)</f>
        <v>#N/A</v>
      </c>
      <c r="D133" s="31" t="e">
        <f>VLOOKUP(A1,DIV_08Data!$A$1:$DZU$1000000,2249,FALSE)</f>
        <v>#N/A</v>
      </c>
      <c r="E133" s="32" t="e">
        <f>VLOOKUP(A1,DIV_08Data!$A$1:$DZU$1000000,2250,FALSE)</f>
        <v>#N/A</v>
      </c>
      <c r="F133" s="34" t="e">
        <f>VLOOKUP(A1,DIV_08Data!$A$1:$DZU$1000000,2251,FALSE)</f>
        <v>#N/A</v>
      </c>
      <c r="G133" s="33" t="e">
        <f>VLOOKUP(A1,DIV_08Data!$A$1:$DZU$1000000,2252,FALSE)</f>
        <v>#N/A</v>
      </c>
      <c r="H133" s="34" t="e">
        <f>VLOOKUP(A1,DIV_08Data!$A$1:$DZU$1000000,2253,FALSE)</f>
        <v>#N/A</v>
      </c>
      <c r="I133" s="33" t="e">
        <f>VLOOKUP(A1,DIV_08Data!$A$1:$DZU$1000000,2254,FALSE)</f>
        <v>#N/A</v>
      </c>
      <c r="J133" s="34" t="e">
        <f>VLOOKUP(A1,DIV_08Data!$A$1:$DZU$1000000,2255,FALSE)</f>
        <v>#N/A</v>
      </c>
      <c r="K133" s="34" t="e">
        <f>VLOOKUP(A1,DIV_08Data!$A$1:$DZU$1000000,2256,FALSE)</f>
        <v>#N/A</v>
      </c>
      <c r="L133" s="93" t="e">
        <f>VLOOKUP(A1,DIV_08Data!$A$1:$DZU$1000000,2257,FALSE)</f>
        <v>#N/A</v>
      </c>
      <c r="M133" s="33" t="e">
        <f>VLOOKUP(A1,DIV_08Data!$A$1:$DZU$1000000,2258,FALSE)</f>
        <v>#N/A</v>
      </c>
      <c r="N133" s="34" t="e">
        <f>VLOOKUP(A1,DIV_08Data!$A$1:$DZU$1000000,2259,FALSE)</f>
        <v>#N/A</v>
      </c>
      <c r="O133" s="33" t="e">
        <f>VLOOKUP(A1,DIV_08Data!$A$1:$DZU$1000000,2260,FALSE)</f>
        <v>#N/A</v>
      </c>
      <c r="P133" s="46" t="e">
        <f>VLOOKUP(A1,DIV_08Data!$A$1:$DZU$1000000,2261,FALSE)</f>
        <v>#N/A</v>
      </c>
      <c r="Q133" s="33" t="e">
        <f>VLOOKUP(A1,DIV_08Data!$A$1:$DZU$1000000,2262,FALSE)</f>
        <v>#N/A</v>
      </c>
    </row>
    <row r="134" spans="1:17" x14ac:dyDescent="0.35">
      <c r="A134" s="22" t="e">
        <f>VLOOKUP(A1,DIV_08Data!$A$1:$DZU$1000000,2263,FALSE)</f>
        <v>#N/A</v>
      </c>
      <c r="B134" s="37" t="e">
        <f>VLOOKUP(A1,DIV_08Data!$A$1:$DZU$1000000,2264,FALSE)</f>
        <v>#N/A</v>
      </c>
      <c r="C134" s="38" t="e">
        <f>VLOOKUP(A1,DIV_08Data!$A$1:$DZU$1000000,2265,FALSE)</f>
        <v>#N/A</v>
      </c>
      <c r="D134" s="31" t="e">
        <f>VLOOKUP(A1,DIV_08Data!$A$1:$DZU$1000000,2266,FALSE)</f>
        <v>#N/A</v>
      </c>
      <c r="E134" s="32" t="e">
        <f>VLOOKUP(A1,DIV_08Data!$A$1:$DZU$1000000,2267,FALSE)</f>
        <v>#N/A</v>
      </c>
      <c r="F134" s="34" t="e">
        <f>VLOOKUP(A1,DIV_08Data!$A$1:$DZU$1000000,2268,FALSE)</f>
        <v>#N/A</v>
      </c>
      <c r="G134" s="33" t="e">
        <f>VLOOKUP(A1,DIV_08Data!$A$1:$DZU$1000000,2269,FALSE)</f>
        <v>#N/A</v>
      </c>
      <c r="H134" s="34" t="e">
        <f>VLOOKUP(A1,DIV_08Data!$A$1:$DZU$1000000,2270,FALSE)</f>
        <v>#N/A</v>
      </c>
      <c r="I134" s="33" t="e">
        <f>VLOOKUP(A1,DIV_08Data!$A$1:$DZU$1000000,2271,FALSE)</f>
        <v>#N/A</v>
      </c>
      <c r="J134" s="34" t="e">
        <f>VLOOKUP(A1,DIV_08Data!$A$1:$DZU$1000000,2272,FALSE)</f>
        <v>#N/A</v>
      </c>
      <c r="K134" s="34" t="e">
        <f>VLOOKUP(A1,DIV_08Data!$A$1:$DZU$1000000,2273,FALSE)</f>
        <v>#N/A</v>
      </c>
      <c r="L134" s="93" t="e">
        <f>VLOOKUP(A1,DIV_08Data!$A$1:$DZU$1000000,2274,FALSE)</f>
        <v>#N/A</v>
      </c>
      <c r="M134" s="33" t="e">
        <f>VLOOKUP(A1,DIV_08Data!$A$1:$DZU$1000000,2275,FALSE)</f>
        <v>#N/A</v>
      </c>
      <c r="N134" s="34" t="e">
        <f>VLOOKUP(A1,DIV_08Data!$A$1:$DZU$1000000,2276,FALSE)</f>
        <v>#N/A</v>
      </c>
      <c r="O134" s="33" t="e">
        <f>VLOOKUP(A1,DIV_08Data!$A$1:$DZU$1000000,2277,FALSE)</f>
        <v>#N/A</v>
      </c>
      <c r="P134" s="46" t="e">
        <f>VLOOKUP(A1,DIV_08Data!$A$1:$DZU$1000000,2278,FALSE)</f>
        <v>#N/A</v>
      </c>
      <c r="Q134" s="33" t="e">
        <f>VLOOKUP(A1,DIV_08Data!$A$1:$DZU$1000000,2279,FALSE)</f>
        <v>#N/A</v>
      </c>
    </row>
    <row r="135" spans="1:17" x14ac:dyDescent="0.35">
      <c r="A135" s="22" t="e">
        <f>VLOOKUP(A1,DIV_08Data!$A$1:$DZU$1000000,2280,FALSE)</f>
        <v>#N/A</v>
      </c>
      <c r="B135" s="37" t="e">
        <f>VLOOKUP(A1,DIV_08Data!$A$1:$DZU$1000000,2281,FALSE)</f>
        <v>#N/A</v>
      </c>
      <c r="C135" s="38" t="e">
        <f>VLOOKUP(A1,DIV_08Data!$A$1:$DZU$1000000,2282,FALSE)</f>
        <v>#N/A</v>
      </c>
      <c r="D135" s="31" t="e">
        <f>VLOOKUP(A1,DIV_08Data!$A$1:$DZU$1000000,2283,FALSE)</f>
        <v>#N/A</v>
      </c>
      <c r="E135" s="32" t="e">
        <f>VLOOKUP(A1,DIV_08Data!$A$1:$DZU$1000000,2284,FALSE)</f>
        <v>#N/A</v>
      </c>
      <c r="F135" s="34" t="e">
        <f>VLOOKUP(A1,DIV_08Data!$A$1:$DZU$1000000,2285,FALSE)</f>
        <v>#N/A</v>
      </c>
      <c r="G135" s="33" t="e">
        <f>VLOOKUP(A1,DIV_08Data!$A$1:$DZU$1000000,2286,FALSE)</f>
        <v>#N/A</v>
      </c>
      <c r="H135" s="34" t="e">
        <f>VLOOKUP(A1,DIV_08Data!$A$1:$DZU$1000000,2287,FALSE)</f>
        <v>#N/A</v>
      </c>
      <c r="I135" s="33" t="e">
        <f>VLOOKUP(A1,DIV_08Data!$A$1:$DZU$1000000,2288,FALSE)</f>
        <v>#N/A</v>
      </c>
      <c r="J135" s="34" t="e">
        <f>VLOOKUP(A1,DIV_08Data!$A$1:$DZU$1000000,2289,FALSE)</f>
        <v>#N/A</v>
      </c>
      <c r="K135" s="34" t="e">
        <f>VLOOKUP(A1,DIV_08Data!$A$1:$DZU$1000000,2290,FALSE)</f>
        <v>#N/A</v>
      </c>
      <c r="L135" s="93" t="e">
        <f>VLOOKUP(A1,DIV_08Data!$A$1:$DZU$1000000,2291,FALSE)</f>
        <v>#N/A</v>
      </c>
      <c r="M135" s="33" t="e">
        <f>VLOOKUP(A1,DIV_08Data!$A$1:$DZU$1000000,2292,FALSE)</f>
        <v>#N/A</v>
      </c>
      <c r="N135" s="34" t="e">
        <f>VLOOKUP(A1,DIV_08Data!$A$1:$DZU$1000000,2293,FALSE)</f>
        <v>#N/A</v>
      </c>
      <c r="O135" s="33" t="e">
        <f>VLOOKUP(A1,DIV_08Data!$A$1:$DZU$1000000,2294,FALSE)</f>
        <v>#N/A</v>
      </c>
      <c r="P135" s="46" t="e">
        <f>VLOOKUP(A1,DIV_08Data!$A$1:$DZU$1000000,2295,FALSE)</f>
        <v>#N/A</v>
      </c>
      <c r="Q135" s="33" t="e">
        <f>VLOOKUP(A1,DIV_08Data!$A$1:$DZU$1000000,2296,FALSE)</f>
        <v>#N/A</v>
      </c>
    </row>
    <row r="136" spans="1:17" x14ac:dyDescent="0.35">
      <c r="A136" s="22" t="e">
        <f>VLOOKUP(A1,DIV_08Data!$A$1:$DZU$1000000,2297,FALSE)</f>
        <v>#N/A</v>
      </c>
      <c r="B136" s="37" t="e">
        <f>VLOOKUP(A1,DIV_08Data!$A$1:$DZU$1000000,2298,FALSE)</f>
        <v>#N/A</v>
      </c>
      <c r="C136" s="38" t="e">
        <f>VLOOKUP(A1,DIV_08Data!$A$1:$DZU$1000000,2299,FALSE)</f>
        <v>#N/A</v>
      </c>
      <c r="D136" s="31" t="e">
        <f>VLOOKUP(A1,DIV_08Data!$A$1:$DZU$1000000,2300,FALSE)</f>
        <v>#N/A</v>
      </c>
      <c r="E136" s="32" t="e">
        <f>VLOOKUP(A1,DIV_08Data!$A$1:$DZU$1000000,2301,FALSE)</f>
        <v>#N/A</v>
      </c>
      <c r="F136" s="34" t="e">
        <f>VLOOKUP(A1,DIV_08Data!$A$1:$DZU$1000000,2302,FALSE)</f>
        <v>#N/A</v>
      </c>
      <c r="G136" s="33" t="e">
        <f>VLOOKUP(A1,DIV_08Data!$A$1:$DZU$1000000,2303,FALSE)</f>
        <v>#N/A</v>
      </c>
      <c r="H136" s="34" t="e">
        <f>VLOOKUP(A1,DIV_08Data!$A$1:$DZU$1000000,2304,FALSE)</f>
        <v>#N/A</v>
      </c>
      <c r="I136" s="33" t="e">
        <f>VLOOKUP(A1,DIV_08Data!$A$1:$DZU$1000000,2305,FALSE)</f>
        <v>#N/A</v>
      </c>
      <c r="J136" s="34" t="e">
        <f>VLOOKUP(A1,DIV_08Data!$A$1:$DZU$1000000,2306,FALSE)</f>
        <v>#N/A</v>
      </c>
      <c r="K136" s="34" t="e">
        <f>VLOOKUP(A1,DIV_08Data!$A$1:$DZU$1000000,2307,FALSE)</f>
        <v>#N/A</v>
      </c>
      <c r="L136" s="93" t="e">
        <f>VLOOKUP(A1,DIV_08Data!$A$1:$DZU$1000000,2308,FALSE)</f>
        <v>#N/A</v>
      </c>
      <c r="M136" s="33" t="e">
        <f>VLOOKUP(A1,DIV_08Data!$A$1:$DZU$1000000,2309,FALSE)</f>
        <v>#N/A</v>
      </c>
      <c r="N136" s="34" t="e">
        <f>VLOOKUP(A1,DIV_08Data!$A$1:$DZU$1000000,2310,FALSE)</f>
        <v>#N/A</v>
      </c>
      <c r="O136" s="33" t="e">
        <f>VLOOKUP(A1,DIV_08Data!$A$1:$DZU$1000000,2311,FALSE)</f>
        <v>#N/A</v>
      </c>
      <c r="P136" s="46" t="e">
        <f>VLOOKUP(A1,DIV_08Data!$A$1:$DZU$1000000,2312,FALSE)</f>
        <v>#N/A</v>
      </c>
      <c r="Q136" s="33" t="e">
        <f>VLOOKUP(A1,DIV_08Data!$A$1:$DZU$1000000,2313,FALSE)</f>
        <v>#N/A</v>
      </c>
    </row>
    <row r="137" spans="1:17" x14ac:dyDescent="0.35">
      <c r="A137" s="22" t="e">
        <f>VLOOKUP(A1,DIV_08Data!$A$1:$DZU$1000000,2314,FALSE)</f>
        <v>#N/A</v>
      </c>
      <c r="B137" s="37" t="e">
        <f>VLOOKUP(A1,DIV_08Data!$A$1:$DZU$1000000,2315,FALSE)</f>
        <v>#N/A</v>
      </c>
      <c r="C137" s="38" t="e">
        <f>VLOOKUP(A1,DIV_08Data!$A$1:$DZU$1000000,2316,FALSE)</f>
        <v>#N/A</v>
      </c>
      <c r="D137" s="31" t="e">
        <f>VLOOKUP(A1,DIV_08Data!$A$1:$DZU$1000000,2317,FALSE)</f>
        <v>#N/A</v>
      </c>
      <c r="E137" s="32" t="e">
        <f>VLOOKUP(A1,DIV_08Data!$A$1:$DZU$1000000,2318,FALSE)</f>
        <v>#N/A</v>
      </c>
      <c r="F137" s="34" t="e">
        <f>VLOOKUP(A1,DIV_08Data!$A$1:$DZU$1000000,2319,FALSE)</f>
        <v>#N/A</v>
      </c>
      <c r="G137" s="33" t="e">
        <f>VLOOKUP(A1,DIV_08Data!$A$1:$DZU$1000000,2320,FALSE)</f>
        <v>#N/A</v>
      </c>
      <c r="H137" s="34" t="e">
        <f>VLOOKUP(A1,DIV_08Data!$A$1:$DZU$1000000,2321,FALSE)</f>
        <v>#N/A</v>
      </c>
      <c r="I137" s="33" t="e">
        <f>VLOOKUP(A1,DIV_08Data!$A$1:$DZU$1000000,2322,FALSE)</f>
        <v>#N/A</v>
      </c>
      <c r="J137" s="34" t="e">
        <f>VLOOKUP(A1,DIV_08Data!$A$1:$DZU$1000000,2323,FALSE)</f>
        <v>#N/A</v>
      </c>
      <c r="K137" s="34" t="e">
        <f>VLOOKUP(A1,DIV_08Data!$A$1:$DZU$1000000,2324,FALSE)</f>
        <v>#N/A</v>
      </c>
      <c r="L137" s="93" t="e">
        <f>VLOOKUP(A1,DIV_08Data!$A$1:$DZU$1000000,2325,FALSE)</f>
        <v>#N/A</v>
      </c>
      <c r="M137" s="33" t="e">
        <f>VLOOKUP(A1,DIV_08Data!$A$1:$DZU$1000000,2326,FALSE)</f>
        <v>#N/A</v>
      </c>
      <c r="N137" s="34" t="e">
        <f>VLOOKUP(A1,DIV_08Data!$A$1:$DZU$1000000,2327,FALSE)</f>
        <v>#N/A</v>
      </c>
      <c r="O137" s="33" t="e">
        <f>VLOOKUP(A1,DIV_08Data!$A$1:$DZU$1000000,2328,FALSE)</f>
        <v>#N/A</v>
      </c>
      <c r="P137" s="46" t="e">
        <f>VLOOKUP(A1,DIV_08Data!$A$1:$DZU$1000000,2329,FALSE)</f>
        <v>#N/A</v>
      </c>
      <c r="Q137" s="33" t="e">
        <f>VLOOKUP(A1,DIV_08Data!$A$1:$DZU$1000000,2330,FALSE)</f>
        <v>#N/A</v>
      </c>
    </row>
    <row r="138" spans="1:17" x14ac:dyDescent="0.35">
      <c r="A138" s="22" t="e">
        <f>VLOOKUP(A1,DIV_08Data!$A$1:$DZU$1000000,2331,FALSE)</f>
        <v>#N/A</v>
      </c>
      <c r="B138" s="37" t="e">
        <f>VLOOKUP(A1,DIV_08Data!$A$1:$DZU$1000000,2332,FALSE)</f>
        <v>#N/A</v>
      </c>
      <c r="C138" s="38" t="e">
        <f>VLOOKUP(A1,DIV_08Data!$A$1:$DZU$1000000,2333,FALSE)</f>
        <v>#N/A</v>
      </c>
      <c r="D138" s="31" t="e">
        <f>VLOOKUP(A1,DIV_08Data!$A$1:$DZU$1000000,2334,FALSE)</f>
        <v>#N/A</v>
      </c>
      <c r="E138" s="32" t="e">
        <f>VLOOKUP(A1,DIV_08Data!$A$1:$DZU$1000000,2335,FALSE)</f>
        <v>#N/A</v>
      </c>
      <c r="F138" s="34" t="e">
        <f>VLOOKUP(A1,DIV_08Data!$A$1:$DZU$1000000,2336,FALSE)</f>
        <v>#N/A</v>
      </c>
      <c r="G138" s="33" t="e">
        <f>VLOOKUP(A1,DIV_08Data!$A$1:$DZU$1000000,2337,FALSE)</f>
        <v>#N/A</v>
      </c>
      <c r="H138" s="34" t="e">
        <f>VLOOKUP(A1,DIV_08Data!$A$1:$DZU$1000000,2338,FALSE)</f>
        <v>#N/A</v>
      </c>
      <c r="I138" s="33" t="e">
        <f>VLOOKUP(A1,DIV_08Data!$A$1:$DZU$1000000,2339,FALSE)</f>
        <v>#N/A</v>
      </c>
      <c r="J138" s="34" t="e">
        <f>VLOOKUP(A1,DIV_08Data!$A$1:$DZU$1000000,2340,FALSE)</f>
        <v>#N/A</v>
      </c>
      <c r="K138" s="34" t="e">
        <f>VLOOKUP(A1,DIV_08Data!$A$1:$DZU$1000000,2341,FALSE)</f>
        <v>#N/A</v>
      </c>
      <c r="L138" s="93" t="e">
        <f>VLOOKUP(A1,DIV_08Data!$A$1:$DZU$1000000,2342,FALSE)</f>
        <v>#N/A</v>
      </c>
      <c r="M138" s="33" t="e">
        <f>VLOOKUP(A1,DIV_08Data!$A$1:$DZU$1000000,2343,FALSE)</f>
        <v>#N/A</v>
      </c>
      <c r="N138" s="34" t="e">
        <f>VLOOKUP(A1,DIV_08Data!$A$1:$DZU$1000000,2344,FALSE)</f>
        <v>#N/A</v>
      </c>
      <c r="O138" s="33" t="e">
        <f>VLOOKUP(A1,DIV_08Data!$A$1:$DZU$1000000,2345,FALSE)</f>
        <v>#N/A</v>
      </c>
      <c r="P138" s="46" t="e">
        <f>VLOOKUP(A1,DIV_08Data!$A$1:$DZU$1000000,2346,FALSE)</f>
        <v>#N/A</v>
      </c>
      <c r="Q138" s="33" t="e">
        <f>VLOOKUP(A1,DIV_08Data!$A$1:$DZU$1000000,2347,FALSE)</f>
        <v>#N/A</v>
      </c>
    </row>
    <row r="139" spans="1:17" x14ac:dyDescent="0.35">
      <c r="A139" s="22" t="e">
        <f>VLOOKUP(A1,DIV_08Data!$A$1:$DZU$1000000,2348,FALSE)</f>
        <v>#N/A</v>
      </c>
      <c r="B139" s="37" t="e">
        <f>VLOOKUP(A1,DIV_08Data!$A$1:$DZU$1000000,2349,FALSE)</f>
        <v>#N/A</v>
      </c>
      <c r="C139" s="38" t="e">
        <f>VLOOKUP(A1,DIV_08Data!$A$1:$DZU$1000000,2350,FALSE)</f>
        <v>#N/A</v>
      </c>
      <c r="D139" s="31" t="e">
        <f>VLOOKUP(A1,DIV_08Data!$A$1:$DZU$1000000,2351,FALSE)</f>
        <v>#N/A</v>
      </c>
      <c r="E139" s="32" t="e">
        <f>VLOOKUP(A1,DIV_08Data!$A$1:$DZU$1000000,2352,FALSE)</f>
        <v>#N/A</v>
      </c>
      <c r="F139" s="34" t="e">
        <f>VLOOKUP(A1,DIV_08Data!$A$1:$DZU$1000000,2353,FALSE)</f>
        <v>#N/A</v>
      </c>
      <c r="G139" s="33" t="e">
        <f>VLOOKUP(A1,DIV_08Data!$A$1:$DZU$1000000,2354,FALSE)</f>
        <v>#N/A</v>
      </c>
      <c r="H139" s="34" t="e">
        <f>VLOOKUP(A1,DIV_08Data!$A$1:$DZU$1000000,2355,FALSE)</f>
        <v>#N/A</v>
      </c>
      <c r="I139" s="33" t="e">
        <f>VLOOKUP(A1,DIV_08Data!$A$1:$DZU$1000000,2356,FALSE)</f>
        <v>#N/A</v>
      </c>
      <c r="J139" s="34" t="e">
        <f>VLOOKUP(A1,DIV_08Data!$A$1:$DZU$1000000,2357,FALSE)</f>
        <v>#N/A</v>
      </c>
      <c r="K139" s="34" t="e">
        <f>VLOOKUP(A1,DIV_08Data!$A$1:$DZU$1000000,2358,FALSE)</f>
        <v>#N/A</v>
      </c>
      <c r="L139" s="93" t="e">
        <f>VLOOKUP(A1,DIV_08Data!$A$1:$DZU$1000000,2359,FALSE)</f>
        <v>#N/A</v>
      </c>
      <c r="M139" s="33" t="e">
        <f>VLOOKUP(A1,DIV_08Data!$A$1:$DZU$1000000,2360,FALSE)</f>
        <v>#N/A</v>
      </c>
      <c r="N139" s="34" t="e">
        <f>VLOOKUP(A1,DIV_08Data!$A$1:$DZU$1000000,2361,FALSE)</f>
        <v>#N/A</v>
      </c>
      <c r="O139" s="33" t="e">
        <f>VLOOKUP(A1,DIV_08Data!$A$1:$DZU$1000000,2362,FALSE)</f>
        <v>#N/A</v>
      </c>
      <c r="P139" s="46" t="e">
        <f>VLOOKUP(A1,DIV_08Data!$A$1:$DZU$1000000,2363,FALSE)</f>
        <v>#N/A</v>
      </c>
      <c r="Q139" s="33" t="e">
        <f>VLOOKUP(A1,DIV_08Data!$A$1:$DZU$1000000,2364,FALSE)</f>
        <v>#N/A</v>
      </c>
    </row>
    <row r="140" spans="1:17" x14ac:dyDescent="0.35">
      <c r="A140" s="22" t="e">
        <f>VLOOKUP(A1,DIV_08Data!$A$1:$DZU$1000000,2365,FALSE)</f>
        <v>#N/A</v>
      </c>
      <c r="B140" s="37" t="e">
        <f>VLOOKUP(A1,DIV_08Data!$A$1:$DZU$1000000,2366,FALSE)</f>
        <v>#N/A</v>
      </c>
      <c r="C140" s="38" t="e">
        <f>VLOOKUP(A1,DIV_08Data!$A$1:$DZU$1000000,2367,FALSE)</f>
        <v>#N/A</v>
      </c>
      <c r="D140" s="31" t="e">
        <f>VLOOKUP(A1,DIV_08Data!$A$1:$DZU$1000000,2368,FALSE)</f>
        <v>#N/A</v>
      </c>
      <c r="E140" s="32" t="e">
        <f>VLOOKUP(A1,DIV_08Data!$A$1:$DZU$1000000,2369,FALSE)</f>
        <v>#N/A</v>
      </c>
      <c r="F140" s="34" t="e">
        <f>VLOOKUP(A1,DIV_08Data!$A$1:$DZU$1000000,2370,FALSE)</f>
        <v>#N/A</v>
      </c>
      <c r="G140" s="33" t="e">
        <f>VLOOKUP(A1,DIV_08Data!$A$1:$DZU$1000000,2371,FALSE)</f>
        <v>#N/A</v>
      </c>
      <c r="H140" s="34" t="e">
        <f>VLOOKUP(A1,DIV_08Data!$A$1:$DZU$1000000,2372,FALSE)</f>
        <v>#N/A</v>
      </c>
      <c r="I140" s="33" t="e">
        <f>VLOOKUP(A1,DIV_08Data!$A$1:$DZU$1000000,2373,FALSE)</f>
        <v>#N/A</v>
      </c>
      <c r="J140" s="34" t="e">
        <f>VLOOKUP(A1,DIV_08Data!$A$1:$DZU$1000000,2374,FALSE)</f>
        <v>#N/A</v>
      </c>
      <c r="K140" s="34" t="e">
        <f>VLOOKUP(A1,DIV_08Data!$A$1:$DZU$1000000,2375,FALSE)</f>
        <v>#N/A</v>
      </c>
      <c r="L140" s="93" t="e">
        <f>VLOOKUP(A1,DIV_08Data!$A$1:$DZU$1000000,2376,FALSE)</f>
        <v>#N/A</v>
      </c>
      <c r="M140" s="33" t="e">
        <f>VLOOKUP(A1,DIV_08Data!$A$1:$DZU$1000000,2377,FALSE)</f>
        <v>#N/A</v>
      </c>
      <c r="N140" s="34" t="e">
        <f>VLOOKUP(A1,DIV_08Data!$A$1:$DZU$1000000,2378,FALSE)</f>
        <v>#N/A</v>
      </c>
      <c r="O140" s="33" t="e">
        <f>VLOOKUP(A1,DIV_08Data!$A$1:$DZU$1000000,2379,FALSE)</f>
        <v>#N/A</v>
      </c>
      <c r="P140" s="46" t="e">
        <f>VLOOKUP(A1,DIV_08Data!$A$1:$DZU$1000000,2380,FALSE)</f>
        <v>#N/A</v>
      </c>
      <c r="Q140" s="33" t="e">
        <f>VLOOKUP(A1,DIV_08Data!$A$1:$DZU$1000000,2381,FALSE)</f>
        <v>#N/A</v>
      </c>
    </row>
    <row r="141" spans="1:17" x14ac:dyDescent="0.35">
      <c r="A141" s="22" t="e">
        <f>VLOOKUP(A1,DIV_08Data!$A$1:$DZU$1000000,2382,FALSE)</f>
        <v>#N/A</v>
      </c>
      <c r="B141" s="37" t="e">
        <f>VLOOKUP(A1,DIV_08Data!$A$1:$DZU$1000000,2383,FALSE)</f>
        <v>#N/A</v>
      </c>
      <c r="C141" s="38" t="e">
        <f>VLOOKUP(A1,DIV_08Data!$A$1:$DZU$1000000,2384,FALSE)</f>
        <v>#N/A</v>
      </c>
      <c r="D141" s="31" t="e">
        <f>VLOOKUP(A1,DIV_08Data!$A$1:$DZU$1000000,2385,FALSE)</f>
        <v>#N/A</v>
      </c>
      <c r="E141" s="32" t="e">
        <f>VLOOKUP(A1,DIV_08Data!$A$1:$DZU$1000000,2386,FALSE)</f>
        <v>#N/A</v>
      </c>
      <c r="F141" s="34" t="e">
        <f>VLOOKUP(A1,DIV_08Data!$A$1:$DZU$1000000,2387,FALSE)</f>
        <v>#N/A</v>
      </c>
      <c r="G141" s="33" t="e">
        <f>VLOOKUP(A1,DIV_08Data!$A$1:$DZU$1000000,2388,FALSE)</f>
        <v>#N/A</v>
      </c>
      <c r="H141" s="34" t="e">
        <f>VLOOKUP(A1,DIV_08Data!$A$1:$DZU$1000000,2389,FALSE)</f>
        <v>#N/A</v>
      </c>
      <c r="I141" s="33" t="e">
        <f>VLOOKUP(A1,DIV_08Data!$A$1:$DZU$1000000,2390,FALSE)</f>
        <v>#N/A</v>
      </c>
      <c r="J141" s="34" t="e">
        <f>VLOOKUP(A1,DIV_08Data!$A$1:$DZU$1000000,2391,FALSE)</f>
        <v>#N/A</v>
      </c>
      <c r="K141" s="34" t="e">
        <f>VLOOKUP(A1,DIV_08Data!$A$1:$DZU$1000000,2392,FALSE)</f>
        <v>#N/A</v>
      </c>
      <c r="L141" s="93" t="e">
        <f>VLOOKUP(A1,DIV_08Data!$A$1:$DZU$1000000,2393,FALSE)</f>
        <v>#N/A</v>
      </c>
      <c r="M141" s="33" t="e">
        <f>VLOOKUP(A1,DIV_08Data!$A$1:$DZU$1000000,2394,FALSE)</f>
        <v>#N/A</v>
      </c>
      <c r="N141" s="34" t="e">
        <f>VLOOKUP(A1,DIV_08Data!$A$1:$DZU$1000000,2395,FALSE)</f>
        <v>#N/A</v>
      </c>
      <c r="O141" s="33" t="e">
        <f>VLOOKUP(A1,DIV_08Data!$A$1:$DZU$1000000,2396,FALSE)</f>
        <v>#N/A</v>
      </c>
      <c r="P141" s="46" t="e">
        <f>VLOOKUP(A1,DIV_08Data!$A$1:$DZU$1000000,2397,FALSE)</f>
        <v>#N/A</v>
      </c>
      <c r="Q141" s="33" t="e">
        <f>VLOOKUP(A1,DIV_08Data!$A$1:$DZU$1000000,2398,FALSE)</f>
        <v>#N/A</v>
      </c>
    </row>
    <row r="142" spans="1:17" x14ac:dyDescent="0.35">
      <c r="A142" s="22" t="e">
        <f>VLOOKUP(A1,DIV_08Data!$A$1:$DZU$1000000,2399,FALSE)</f>
        <v>#N/A</v>
      </c>
      <c r="B142" s="37" t="e">
        <f>VLOOKUP(A1,DIV_08Data!$A$1:$DZU$1000000,2400,FALSE)</f>
        <v>#N/A</v>
      </c>
      <c r="C142" s="38" t="e">
        <f>VLOOKUP(A1,DIV_08Data!$A$1:$DZU$1000000,2401,FALSE)</f>
        <v>#N/A</v>
      </c>
      <c r="D142" s="31" t="e">
        <f>VLOOKUP(A1,DIV_08Data!$A$1:$DZU$1000000,2402,FALSE)</f>
        <v>#N/A</v>
      </c>
      <c r="E142" s="32" t="e">
        <f>VLOOKUP(A1,DIV_08Data!$A$1:$DZU$1000000,2403,FALSE)</f>
        <v>#N/A</v>
      </c>
      <c r="F142" s="34" t="e">
        <f>VLOOKUP(A1,DIV_08Data!$A$1:$DZU$1000000,2404,FALSE)</f>
        <v>#N/A</v>
      </c>
      <c r="G142" s="33" t="e">
        <f>VLOOKUP(A1,DIV_08Data!$A$1:$DZU$1000000,2405,FALSE)</f>
        <v>#N/A</v>
      </c>
      <c r="H142" s="34" t="e">
        <f>VLOOKUP(A1,DIV_08Data!$A$1:$DZU$1000000,2406,FALSE)</f>
        <v>#N/A</v>
      </c>
      <c r="I142" s="33" t="e">
        <f>VLOOKUP(A1,DIV_08Data!$A$1:$DZU$1000000,2407,FALSE)</f>
        <v>#N/A</v>
      </c>
      <c r="J142" s="34" t="e">
        <f>VLOOKUP(A1,DIV_08Data!$A$1:$DZU$1000000,2408,FALSE)</f>
        <v>#N/A</v>
      </c>
      <c r="K142" s="34" t="e">
        <f>VLOOKUP(A1,DIV_08Data!$A$1:$DZU$1000000,2409,FALSE)</f>
        <v>#N/A</v>
      </c>
      <c r="L142" s="93" t="e">
        <f>VLOOKUP(A1,DIV_08Data!$A$1:$DZU$1000000,2410,FALSE)</f>
        <v>#N/A</v>
      </c>
      <c r="M142" s="33" t="e">
        <f>VLOOKUP(A1,DIV_08Data!$A$1:$DZU$1000000,2411,FALSE)</f>
        <v>#N/A</v>
      </c>
      <c r="N142" s="34" t="e">
        <f>VLOOKUP(A1,DIV_08Data!$A$1:$DZU$1000000,2412,FALSE)</f>
        <v>#N/A</v>
      </c>
      <c r="O142" s="33" t="e">
        <f>VLOOKUP(A1,DIV_08Data!$A$1:$DZU$1000000,2413,FALSE)</f>
        <v>#N/A</v>
      </c>
      <c r="P142" s="46" t="e">
        <f>VLOOKUP(A1,DIV_08Data!$A$1:$DZU$1000000,2414,FALSE)</f>
        <v>#N/A</v>
      </c>
      <c r="Q142" s="33" t="e">
        <f>VLOOKUP(A1,DIV_08Data!$A$1:$DZU$1000000,2415,FALSE)</f>
        <v>#N/A</v>
      </c>
    </row>
    <row r="143" spans="1:17" x14ac:dyDescent="0.35">
      <c r="A143" s="22" t="e">
        <f>VLOOKUP(A1,DIV_08Data!$A$1:$DZU$1000000,2416,FALSE)</f>
        <v>#N/A</v>
      </c>
      <c r="B143" s="37" t="e">
        <f>VLOOKUP(A1,DIV_08Data!$A$1:$DZU$1000000,2417,FALSE)</f>
        <v>#N/A</v>
      </c>
      <c r="C143" s="38" t="e">
        <f>VLOOKUP(A1,DIV_08Data!$A$1:$DZU$1000000,2418,FALSE)</f>
        <v>#N/A</v>
      </c>
      <c r="D143" s="31" t="e">
        <f>VLOOKUP(A1,DIV_08Data!$A$1:$DZU$1000000,2419,FALSE)</f>
        <v>#N/A</v>
      </c>
      <c r="E143" s="32" t="e">
        <f>VLOOKUP(A1,DIV_08Data!$A$1:$DZU$1000000,2420,FALSE)</f>
        <v>#N/A</v>
      </c>
      <c r="F143" s="34" t="e">
        <f>VLOOKUP(A1,DIV_08Data!$A$1:$DZU$1000000,2421,FALSE)</f>
        <v>#N/A</v>
      </c>
      <c r="G143" s="33" t="e">
        <f>VLOOKUP(A1,DIV_08Data!$A$1:$DZU$1000000,2422,FALSE)</f>
        <v>#N/A</v>
      </c>
      <c r="H143" s="34" t="e">
        <f>VLOOKUP(A1,DIV_08Data!$A$1:$DZU$1000000,2423,FALSE)</f>
        <v>#N/A</v>
      </c>
      <c r="I143" s="33" t="e">
        <f>VLOOKUP(A1,DIV_08Data!$A$1:$DZU$1000000,2424,FALSE)</f>
        <v>#N/A</v>
      </c>
      <c r="J143" s="34" t="e">
        <f>VLOOKUP(A1,DIV_08Data!$A$1:$DZU$1000000,2425,FALSE)</f>
        <v>#N/A</v>
      </c>
      <c r="K143" s="34" t="e">
        <f>VLOOKUP(A1,DIV_08Data!$A$1:$DZU$1000000,2426,FALSE)</f>
        <v>#N/A</v>
      </c>
      <c r="L143" s="93" t="e">
        <f>VLOOKUP(A1,DIV_08Data!$A$1:$DZU$1000000,2427,FALSE)</f>
        <v>#N/A</v>
      </c>
      <c r="M143" s="33" t="e">
        <f>VLOOKUP(A1,DIV_08Data!$A$1:$DZU$1000000,2428,FALSE)</f>
        <v>#N/A</v>
      </c>
      <c r="N143" s="34" t="e">
        <f>VLOOKUP(A1,DIV_08Data!$A$1:$DZU$1000000,2429,FALSE)</f>
        <v>#N/A</v>
      </c>
      <c r="O143" s="33" t="e">
        <f>VLOOKUP(A1,DIV_08Data!$A$1:$DZU$1000000,2430,FALSE)</f>
        <v>#N/A</v>
      </c>
      <c r="P143" s="46" t="e">
        <f>VLOOKUP(A1,DIV_08Data!$A$1:$DZU$1000000,2431,FALSE)</f>
        <v>#N/A</v>
      </c>
      <c r="Q143" s="33" t="e">
        <f>VLOOKUP(A1,DIV_08Data!$A$1:$DZU$1000000,2432,FALSE)</f>
        <v>#N/A</v>
      </c>
    </row>
    <row r="144" spans="1:17" x14ac:dyDescent="0.35">
      <c r="A144" s="22" t="e">
        <f>VLOOKUP(A1,DIV_08Data!$A$1:$DZU$1000000,2433,FALSE)</f>
        <v>#N/A</v>
      </c>
      <c r="B144" s="37" t="e">
        <f>VLOOKUP(A1,DIV_08Data!$A$1:$DZU$1000000,2434,FALSE)</f>
        <v>#N/A</v>
      </c>
      <c r="C144" s="38" t="e">
        <f>VLOOKUP(A1,DIV_08Data!$A$1:$DZU$1000000,2435,FALSE)</f>
        <v>#N/A</v>
      </c>
      <c r="D144" s="31" t="e">
        <f>VLOOKUP(A1,DIV_08Data!$A$1:$DZU$1000000,2436,FALSE)</f>
        <v>#N/A</v>
      </c>
      <c r="E144" s="32" t="e">
        <f>VLOOKUP(A1,DIV_08Data!$A$1:$DZU$1000000,2437,FALSE)</f>
        <v>#N/A</v>
      </c>
      <c r="F144" s="34" t="e">
        <f>VLOOKUP(A1,DIV_08Data!$A$1:$DZU$1000000,2438,FALSE)</f>
        <v>#N/A</v>
      </c>
      <c r="G144" s="33" t="e">
        <f>VLOOKUP(A1,DIV_08Data!$A$1:$DZU$1000000,2439,FALSE)</f>
        <v>#N/A</v>
      </c>
      <c r="H144" s="34" t="e">
        <f>VLOOKUP(A1,DIV_08Data!$A$1:$DZU$1000000,2440,FALSE)</f>
        <v>#N/A</v>
      </c>
      <c r="I144" s="33" t="e">
        <f>VLOOKUP(A1,DIV_08Data!$A$1:$DZU$1000000,2441,FALSE)</f>
        <v>#N/A</v>
      </c>
      <c r="J144" s="34" t="e">
        <f>VLOOKUP(A1,DIV_08Data!$A$1:$DZU$1000000,2442,FALSE)</f>
        <v>#N/A</v>
      </c>
      <c r="K144" s="34" t="e">
        <f>VLOOKUP(A1,DIV_08Data!$A$1:$DZU$1000000,2443,FALSE)</f>
        <v>#N/A</v>
      </c>
      <c r="L144" s="93" t="e">
        <f>VLOOKUP(A1,DIV_08Data!$A$1:$DZU$1000000,2444,FALSE)</f>
        <v>#N/A</v>
      </c>
      <c r="M144" s="33" t="e">
        <f>VLOOKUP(A1,DIV_08Data!$A$1:$DZU$1000000,2445,FALSE)</f>
        <v>#N/A</v>
      </c>
      <c r="N144" s="34" t="e">
        <f>VLOOKUP(A1,DIV_08Data!$A$1:$DZU$1000000,2446,FALSE)</f>
        <v>#N/A</v>
      </c>
      <c r="O144" s="33" t="e">
        <f>VLOOKUP(A1,DIV_08Data!$A$1:$DZU$1000000,2447,FALSE)</f>
        <v>#N/A</v>
      </c>
      <c r="P144" s="46" t="e">
        <f>VLOOKUP(A1,DIV_08Data!$A$1:$DZU$1000000,2448,FALSE)</f>
        <v>#N/A</v>
      </c>
      <c r="Q144" s="33" t="e">
        <f>VLOOKUP(A1,DIV_08Data!$A$1:$DZU$1000000,2449,FALSE)</f>
        <v>#N/A</v>
      </c>
    </row>
    <row r="145" spans="1:17" x14ac:dyDescent="0.35">
      <c r="A145" s="22" t="e">
        <f>VLOOKUP(A1,DIV_08Data!$A$1:$DZU$1000000,2450,FALSE)</f>
        <v>#N/A</v>
      </c>
      <c r="B145" s="37" t="e">
        <f>VLOOKUP(A1,DIV_08Data!$A$1:$DZU$1000000,2451,FALSE)</f>
        <v>#N/A</v>
      </c>
      <c r="C145" s="38" t="e">
        <f>VLOOKUP(A1,DIV_08Data!$A$1:$DZU$1000000,2452,FALSE)</f>
        <v>#N/A</v>
      </c>
      <c r="D145" s="31" t="e">
        <f>VLOOKUP(A1,DIV_08Data!$A$1:$DZU$1000000,2453,FALSE)</f>
        <v>#N/A</v>
      </c>
      <c r="E145" s="32" t="e">
        <f>VLOOKUP(A1,DIV_08Data!$A$1:$DZU$1000000,2454,FALSE)</f>
        <v>#N/A</v>
      </c>
      <c r="F145" s="34" t="e">
        <f>VLOOKUP(A1,DIV_08Data!$A$1:$DZU$1000000,2455,FALSE)</f>
        <v>#N/A</v>
      </c>
      <c r="G145" s="33" t="e">
        <f>VLOOKUP(A1,DIV_08Data!$A$1:$DZU$1000000,2456,FALSE)</f>
        <v>#N/A</v>
      </c>
      <c r="H145" s="34" t="e">
        <f>VLOOKUP(A1,DIV_08Data!$A$1:$DZU$1000000,2457,FALSE)</f>
        <v>#N/A</v>
      </c>
      <c r="I145" s="33" t="e">
        <f>VLOOKUP(A1,DIV_08Data!$A$1:$DZU$1000000,2458,FALSE)</f>
        <v>#N/A</v>
      </c>
      <c r="J145" s="34" t="e">
        <f>VLOOKUP(A1,DIV_08Data!$A$1:$DZU$1000000,2459,FALSE)</f>
        <v>#N/A</v>
      </c>
      <c r="K145" s="34" t="e">
        <f>VLOOKUP(A1,DIV_08Data!$A$1:$DZU$1000000,2460,FALSE)</f>
        <v>#N/A</v>
      </c>
      <c r="L145" s="93" t="e">
        <f>VLOOKUP(A1,DIV_08Data!$A$1:$DZU$1000000,2461,FALSE)</f>
        <v>#N/A</v>
      </c>
      <c r="M145" s="33" t="e">
        <f>VLOOKUP(A1,DIV_08Data!$A$1:$DZU$1000000,2462,FALSE)</f>
        <v>#N/A</v>
      </c>
      <c r="N145" s="34" t="e">
        <f>VLOOKUP(A1,DIV_08Data!$A$1:$DZU$1000000,2463,FALSE)</f>
        <v>#N/A</v>
      </c>
      <c r="O145" s="33" t="e">
        <f>VLOOKUP(A1,DIV_08Data!$A$1:$DZU$1000000,2464,FALSE)</f>
        <v>#N/A</v>
      </c>
      <c r="P145" s="46" t="e">
        <f>VLOOKUP(A1,DIV_08Data!$A$1:$DZU$1000000,2465,FALSE)</f>
        <v>#N/A</v>
      </c>
      <c r="Q145" s="33" t="e">
        <f>VLOOKUP(A1,DIV_08Data!$A$1:$DZU$1000000,2466,FALSE)</f>
        <v>#N/A</v>
      </c>
    </row>
    <row r="146" spans="1:17" x14ac:dyDescent="0.35">
      <c r="A146" s="22" t="e">
        <f>VLOOKUP(A1,DIV_08Data!$A$1:$DZU$1000000,2467,FALSE)</f>
        <v>#N/A</v>
      </c>
      <c r="B146" s="37" t="e">
        <f>VLOOKUP(A1,DIV_08Data!$A$1:$DZU$1000000,2468,FALSE)</f>
        <v>#N/A</v>
      </c>
      <c r="C146" s="38" t="e">
        <f>VLOOKUP(A1,DIV_08Data!$A$1:$DZU$1000000,2469,FALSE)</f>
        <v>#N/A</v>
      </c>
      <c r="D146" s="31" t="e">
        <f>VLOOKUP(A1,DIV_08Data!$A$1:$DZU$1000000,2470,FALSE)</f>
        <v>#N/A</v>
      </c>
      <c r="E146" s="32" t="e">
        <f>VLOOKUP(A1,DIV_08Data!$A$1:$DZU$1000000,2471,FALSE)</f>
        <v>#N/A</v>
      </c>
      <c r="F146" s="34" t="e">
        <f>VLOOKUP(A1,DIV_08Data!$A$1:$DZU$1000000,2472,FALSE)</f>
        <v>#N/A</v>
      </c>
      <c r="G146" s="33" t="e">
        <f>VLOOKUP(A1,DIV_08Data!$A$1:$DZU$1000000,2473,FALSE)</f>
        <v>#N/A</v>
      </c>
      <c r="H146" s="34" t="e">
        <f>VLOOKUP(A1,DIV_08Data!$A$1:$DZU$1000000,2474,FALSE)</f>
        <v>#N/A</v>
      </c>
      <c r="I146" s="33" t="e">
        <f>VLOOKUP(A1,DIV_08Data!$A$1:$DZU$1000000,2475,FALSE)</f>
        <v>#N/A</v>
      </c>
      <c r="J146" s="34" t="e">
        <f>VLOOKUP(A1,DIV_08Data!$A$1:$DZU$1000000,2476,FALSE)</f>
        <v>#N/A</v>
      </c>
      <c r="K146" s="34" t="e">
        <f>VLOOKUP(A1,DIV_08Data!$A$1:$DZU$1000000,2477,FALSE)</f>
        <v>#N/A</v>
      </c>
      <c r="L146" s="93" t="e">
        <f>VLOOKUP(A1,DIV_08Data!$A$1:$DZU$1000000,2478,FALSE)</f>
        <v>#N/A</v>
      </c>
      <c r="M146" s="33" t="e">
        <f>VLOOKUP(A1,DIV_08Data!$A$1:$DZU$1000000,2479,FALSE)</f>
        <v>#N/A</v>
      </c>
      <c r="N146" s="34" t="e">
        <f>VLOOKUP(A1,DIV_08Data!$A$1:$DZU$1000000,2480,FALSE)</f>
        <v>#N/A</v>
      </c>
      <c r="O146" s="33" t="e">
        <f>VLOOKUP(A1,DIV_08Data!$A$1:$DZU$1000000,2481,FALSE)</f>
        <v>#N/A</v>
      </c>
      <c r="P146" s="46" t="e">
        <f>VLOOKUP(A1,DIV_08Data!$A$1:$DZU$1000000,2482,FALSE)</f>
        <v>#N/A</v>
      </c>
      <c r="Q146" s="33" t="e">
        <f>VLOOKUP(A1,DIV_08Data!$A$1:$DZU$1000000,2483,FALSE)</f>
        <v>#N/A</v>
      </c>
    </row>
    <row r="147" spans="1:17" x14ac:dyDescent="0.35">
      <c r="A147" s="22" t="e">
        <f>VLOOKUP(A1,DIV_08Data!$A$1:$DZU$1000000,2484,FALSE)</f>
        <v>#N/A</v>
      </c>
      <c r="B147" s="37" t="e">
        <f>VLOOKUP(A1,DIV_08Data!$A$1:$DZU$1000000,2485,FALSE)</f>
        <v>#N/A</v>
      </c>
      <c r="C147" s="38" t="e">
        <f>VLOOKUP(A1,DIV_08Data!$A$1:$DZU$1000000,2486,FALSE)</f>
        <v>#N/A</v>
      </c>
      <c r="D147" s="31" t="e">
        <f>VLOOKUP(A1,DIV_08Data!$A$1:$DZU$1000000,2487,FALSE)</f>
        <v>#N/A</v>
      </c>
      <c r="E147" s="32" t="e">
        <f>VLOOKUP(A1,DIV_08Data!$A$1:$DZU$1000000,2488,FALSE)</f>
        <v>#N/A</v>
      </c>
      <c r="F147" s="34" t="e">
        <f>VLOOKUP(A1,DIV_08Data!$A$1:$DZU$1000000,2489,FALSE)</f>
        <v>#N/A</v>
      </c>
      <c r="G147" s="33" t="e">
        <f>VLOOKUP(A1,DIV_08Data!$A$1:$DZU$1000000,2490,FALSE)</f>
        <v>#N/A</v>
      </c>
      <c r="H147" s="34" t="e">
        <f>VLOOKUP(A1,DIV_08Data!$A$1:$DZU$1000000,2491,FALSE)</f>
        <v>#N/A</v>
      </c>
      <c r="I147" s="33" t="e">
        <f>VLOOKUP(A1,DIV_08Data!$A$1:$DZU$1000000,2492,FALSE)</f>
        <v>#N/A</v>
      </c>
      <c r="J147" s="34" t="e">
        <f>VLOOKUP(A1,DIV_08Data!$A$1:$DZU$1000000,2493,FALSE)</f>
        <v>#N/A</v>
      </c>
      <c r="K147" s="34" t="e">
        <f>VLOOKUP(A1,DIV_08Data!$A$1:$DZU$1000000,2494,FALSE)</f>
        <v>#N/A</v>
      </c>
      <c r="L147" s="93" t="e">
        <f>VLOOKUP(A1,DIV_08Data!$A$1:$DZU$1000000,2495,FALSE)</f>
        <v>#N/A</v>
      </c>
      <c r="M147" s="33" t="e">
        <f>VLOOKUP(A1,DIV_08Data!$A$1:$DZU$1000000,2496,FALSE)</f>
        <v>#N/A</v>
      </c>
      <c r="N147" s="34" t="e">
        <f>VLOOKUP(A1,DIV_08Data!$A$1:$DZU$1000000,2497,FALSE)</f>
        <v>#N/A</v>
      </c>
      <c r="O147" s="33" t="e">
        <f>VLOOKUP(A1,DIV_08Data!$A$1:$DZU$1000000,2498,FALSE)</f>
        <v>#N/A</v>
      </c>
      <c r="P147" s="46" t="e">
        <f>VLOOKUP(A1,DIV_08Data!$A$1:$DZU$1000000,2499,FALSE)</f>
        <v>#N/A</v>
      </c>
      <c r="Q147" s="33" t="e">
        <f>VLOOKUP(A1,DIV_08Data!$A$1:$DZU$1000000,2500,FALSE)</f>
        <v>#N/A</v>
      </c>
    </row>
    <row r="148" spans="1:17" x14ac:dyDescent="0.35">
      <c r="A148" s="22" t="e">
        <f>VLOOKUP(A1,DIV_08Data!$A$1:$DZU$1000000,2501,FALSE)</f>
        <v>#N/A</v>
      </c>
      <c r="B148" s="37" t="e">
        <f>VLOOKUP(A1,DIV_08Data!$A$1:$DZU$1000000,2502,FALSE)</f>
        <v>#N/A</v>
      </c>
      <c r="C148" s="38" t="e">
        <f>VLOOKUP(A1,DIV_08Data!$A$1:$DZU$1000000,2503,FALSE)</f>
        <v>#N/A</v>
      </c>
      <c r="D148" s="31" t="e">
        <f>VLOOKUP(A1,DIV_08Data!$A$1:$DZU$1000000,2504,FALSE)</f>
        <v>#N/A</v>
      </c>
      <c r="E148" s="32" t="e">
        <f>VLOOKUP(A1,DIV_08Data!$A$1:$DZU$1000000,2505,FALSE)</f>
        <v>#N/A</v>
      </c>
      <c r="F148" s="34" t="e">
        <f>VLOOKUP(A1,DIV_08Data!$A$1:$DZU$1000000,2506,FALSE)</f>
        <v>#N/A</v>
      </c>
      <c r="G148" s="33" t="e">
        <f>VLOOKUP(A1,DIV_08Data!$A$1:$DZU$1000000,2507,FALSE)</f>
        <v>#N/A</v>
      </c>
      <c r="H148" s="34" t="e">
        <f>VLOOKUP(A1,DIV_08Data!$A$1:$DZU$1000000,2508,FALSE)</f>
        <v>#N/A</v>
      </c>
      <c r="I148" s="33" t="e">
        <f>VLOOKUP(A1,DIV_08Data!$A$1:$DZU$1000000,2509,FALSE)</f>
        <v>#N/A</v>
      </c>
      <c r="J148" s="34" t="e">
        <f>VLOOKUP(A1,DIV_08Data!$A$1:$DZU$1000000,2510,FALSE)</f>
        <v>#N/A</v>
      </c>
      <c r="K148" s="34" t="e">
        <f>VLOOKUP(A1,DIV_08Data!$A$1:$DZU$1000000,2511,FALSE)</f>
        <v>#N/A</v>
      </c>
      <c r="L148" s="93" t="e">
        <f>VLOOKUP(A1,DIV_08Data!$A$1:$DZU$1000000,2512,FALSE)</f>
        <v>#N/A</v>
      </c>
      <c r="M148" s="33" t="e">
        <f>VLOOKUP(A1,DIV_08Data!$A$1:$DZU$1000000,2513,FALSE)</f>
        <v>#N/A</v>
      </c>
      <c r="N148" s="34" t="e">
        <f>VLOOKUP(A1,DIV_08Data!$A$1:$DZU$1000000,2514,FALSE)</f>
        <v>#N/A</v>
      </c>
      <c r="O148" s="33" t="e">
        <f>VLOOKUP(A1,DIV_08Data!$A$1:$DZU$1000000,2515,FALSE)</f>
        <v>#N/A</v>
      </c>
      <c r="P148" s="46" t="e">
        <f>VLOOKUP(A1,DIV_08Data!$A$1:$DZU$1000000,2516,FALSE)</f>
        <v>#N/A</v>
      </c>
      <c r="Q148" s="33" t="e">
        <f>VLOOKUP(A1,DIV_08Data!$A$1:$DZU$1000000,2517,FALSE)</f>
        <v>#N/A</v>
      </c>
    </row>
    <row r="149" spans="1:17" x14ac:dyDescent="0.35">
      <c r="A149" s="22" t="e">
        <f>VLOOKUP(A1,DIV_08Data!$A$1:$DZU$1000000,2518,FALSE)</f>
        <v>#N/A</v>
      </c>
      <c r="B149" s="37" t="e">
        <f>VLOOKUP(A1,DIV_08Data!$A$1:$DZU$1000000,2519,FALSE)</f>
        <v>#N/A</v>
      </c>
      <c r="C149" s="38" t="e">
        <f>VLOOKUP(A1,DIV_08Data!$A$1:$DZU$1000000,2520,FALSE)</f>
        <v>#N/A</v>
      </c>
      <c r="D149" s="31" t="e">
        <f>VLOOKUP(A1,DIV_08Data!$A$1:$DZU$1000000,2521,FALSE)</f>
        <v>#N/A</v>
      </c>
      <c r="E149" s="32" t="e">
        <f>VLOOKUP(A1,DIV_08Data!$A$1:$DZU$1000000,2522,FALSE)</f>
        <v>#N/A</v>
      </c>
      <c r="F149" s="34" t="e">
        <f>VLOOKUP(A1,DIV_08Data!$A$1:$DZU$1000000,2523,FALSE)</f>
        <v>#N/A</v>
      </c>
      <c r="G149" s="33" t="e">
        <f>VLOOKUP(A1,DIV_08Data!$A$1:$DZU$1000000,2524,FALSE)</f>
        <v>#N/A</v>
      </c>
      <c r="H149" s="34" t="e">
        <f>VLOOKUP(A1,DIV_08Data!$A$1:$DZU$1000000,2525,FALSE)</f>
        <v>#N/A</v>
      </c>
      <c r="I149" s="33" t="e">
        <f>VLOOKUP(A1,DIV_08Data!$A$1:$DZU$1000000,2526,FALSE)</f>
        <v>#N/A</v>
      </c>
      <c r="J149" s="34" t="e">
        <f>VLOOKUP(A1,DIV_08Data!$A$1:$DZU$1000000,2527,FALSE)</f>
        <v>#N/A</v>
      </c>
      <c r="K149" s="34" t="e">
        <f>VLOOKUP(A1,DIV_08Data!$A$1:$DZU$1000000,2528,FALSE)</f>
        <v>#N/A</v>
      </c>
      <c r="L149" s="93" t="e">
        <f>VLOOKUP(A1,DIV_08Data!$A$1:$DZU$1000000,2529,FALSE)</f>
        <v>#N/A</v>
      </c>
      <c r="M149" s="33" t="e">
        <f>VLOOKUP(A1,DIV_08Data!$A$1:$DZU$1000000,2530,FALSE)</f>
        <v>#N/A</v>
      </c>
      <c r="N149" s="34" t="e">
        <f>VLOOKUP(A1,DIV_08Data!$A$1:$DZU$1000000,2531,FALSE)</f>
        <v>#N/A</v>
      </c>
      <c r="O149" s="33" t="e">
        <f>VLOOKUP(A1,DIV_08Data!$A$1:$DZU$1000000,2532,FALSE)</f>
        <v>#N/A</v>
      </c>
      <c r="P149" s="46" t="e">
        <f>VLOOKUP(A1,DIV_08Data!$A$1:$DZU$1000000,2533,FALSE)</f>
        <v>#N/A</v>
      </c>
      <c r="Q149" s="33" t="e">
        <f>VLOOKUP(A1,DIV_08Data!$A$1:$DZU$1000000,2534,FALSE)</f>
        <v>#N/A</v>
      </c>
    </row>
    <row r="150" spans="1:17" x14ac:dyDescent="0.35">
      <c r="A150" s="22" t="e">
        <f>VLOOKUP(A1,DIV_08Data!$A$1:$DZU$1000000,2535,FALSE)</f>
        <v>#N/A</v>
      </c>
      <c r="B150" s="37" t="e">
        <f>VLOOKUP(A1,DIV_08Data!$A$1:$DZU$1000000,2536,FALSE)</f>
        <v>#N/A</v>
      </c>
      <c r="C150" s="38" t="e">
        <f>VLOOKUP(A1,DIV_08Data!$A$1:$DZU$1000000,2537,FALSE)</f>
        <v>#N/A</v>
      </c>
      <c r="D150" s="31" t="e">
        <f>VLOOKUP(A1,DIV_08Data!$A$1:$DZU$1000000,2538,FALSE)</f>
        <v>#N/A</v>
      </c>
      <c r="E150" s="32" t="e">
        <f>VLOOKUP(A1,DIV_08Data!$A$1:$DZU$1000000,2539,FALSE)</f>
        <v>#N/A</v>
      </c>
      <c r="F150" s="34" t="e">
        <f>VLOOKUP(A1,DIV_08Data!$A$1:$DZU$1000000,2540,FALSE)</f>
        <v>#N/A</v>
      </c>
      <c r="G150" s="33" t="e">
        <f>VLOOKUP(A1,DIV_08Data!$A$1:$DZU$1000000,2541,FALSE)</f>
        <v>#N/A</v>
      </c>
      <c r="H150" s="34" t="e">
        <f>VLOOKUP(A1,DIV_08Data!$A$1:$DZU$1000000,2542,FALSE)</f>
        <v>#N/A</v>
      </c>
      <c r="I150" s="33" t="e">
        <f>VLOOKUP(A1,DIV_08Data!$A$1:$DZU$1000000,2543,FALSE)</f>
        <v>#N/A</v>
      </c>
      <c r="J150" s="34" t="e">
        <f>VLOOKUP(A1,DIV_08Data!$A$1:$DZU$1000000,2544,FALSE)</f>
        <v>#N/A</v>
      </c>
      <c r="K150" s="34" t="e">
        <f>VLOOKUP(A1,DIV_08Data!$A$1:$DZU$1000000,2545,FALSE)</f>
        <v>#N/A</v>
      </c>
      <c r="L150" s="93" t="e">
        <f>VLOOKUP(A1,DIV_08Data!$A$1:$DZU$1000000,2546,FALSE)</f>
        <v>#N/A</v>
      </c>
      <c r="M150" s="33" t="e">
        <f>VLOOKUP(A1,DIV_08Data!$A$1:$DZU$1000000,2547,FALSE)</f>
        <v>#N/A</v>
      </c>
      <c r="N150" s="34" t="e">
        <f>VLOOKUP(A1,DIV_08Data!$A$1:$DZU$1000000,2548,FALSE)</f>
        <v>#N/A</v>
      </c>
      <c r="O150" s="33" t="e">
        <f>VLOOKUP(A1,DIV_08Data!$A$1:$DZU$1000000,2549,FALSE)</f>
        <v>#N/A</v>
      </c>
      <c r="P150" s="46" t="e">
        <f>VLOOKUP(A1,DIV_08Data!$A$1:$DZU$1000000,2550,FALSE)</f>
        <v>#N/A</v>
      </c>
      <c r="Q150" s="33" t="e">
        <f>VLOOKUP(A1,DIV_08Data!$A$1:$DZU$1000000,2551,FALSE)</f>
        <v>#N/A</v>
      </c>
    </row>
    <row r="151" spans="1:17" x14ac:dyDescent="0.35">
      <c r="A151" s="22" t="e">
        <f>VLOOKUP(A1,DIV_08Data!$A$1:$DZU$1000000,2552,FALSE)</f>
        <v>#N/A</v>
      </c>
      <c r="B151" s="37" t="e">
        <f>VLOOKUP(A1,DIV_08Data!$A$1:$DZU$1000000,2553,FALSE)</f>
        <v>#N/A</v>
      </c>
      <c r="C151" s="38" t="e">
        <f>VLOOKUP(A1,DIV_08Data!$A$1:$DZU$1000000,2554,FALSE)</f>
        <v>#N/A</v>
      </c>
      <c r="D151" s="31" t="e">
        <f>VLOOKUP(A1,DIV_08Data!$A$1:$DZU$1000000,2555,FALSE)</f>
        <v>#N/A</v>
      </c>
      <c r="E151" s="32" t="e">
        <f>VLOOKUP(A1,DIV_08Data!$A$1:$DZU$1000000,2556,FALSE)</f>
        <v>#N/A</v>
      </c>
      <c r="F151" s="34" t="e">
        <f>VLOOKUP(A1,DIV_08Data!$A$1:$DZU$1000000,2557,FALSE)</f>
        <v>#N/A</v>
      </c>
      <c r="G151" s="33" t="e">
        <f>VLOOKUP(A1,DIV_08Data!$A$1:$DZU$1000000,2558,FALSE)</f>
        <v>#N/A</v>
      </c>
      <c r="H151" s="34" t="e">
        <f>VLOOKUP(A1,DIV_08Data!$A$1:$DZU$1000000,2559,FALSE)</f>
        <v>#N/A</v>
      </c>
      <c r="I151" s="33" t="e">
        <f>VLOOKUP(A1,DIV_08Data!$A$1:$DZU$1000000,2560,FALSE)</f>
        <v>#N/A</v>
      </c>
      <c r="J151" s="34" t="e">
        <f>VLOOKUP(A1,DIV_08Data!$A$1:$DZU$1000000,2561,FALSE)</f>
        <v>#N/A</v>
      </c>
      <c r="K151" s="34" t="e">
        <f>VLOOKUP(A1,DIV_08Data!$A$1:$DZU$1000000,2562,FALSE)</f>
        <v>#N/A</v>
      </c>
      <c r="L151" s="93" t="e">
        <f>VLOOKUP(A1,DIV_08Data!$A$1:$DZU$1000000,2563,FALSE)</f>
        <v>#N/A</v>
      </c>
      <c r="M151" s="33" t="e">
        <f>VLOOKUP(A1,DIV_08Data!$A$1:$DZU$1000000,2564,FALSE)</f>
        <v>#N/A</v>
      </c>
      <c r="N151" s="34" t="e">
        <f>VLOOKUP(A1,DIV_08Data!$A$1:$DZU$1000000,2565,FALSE)</f>
        <v>#N/A</v>
      </c>
      <c r="O151" s="33" t="e">
        <f>VLOOKUP(A1,DIV_08Data!$A$1:$DZU$1000000,2566,FALSE)</f>
        <v>#N/A</v>
      </c>
      <c r="P151" s="46" t="e">
        <f>VLOOKUP(A1,DIV_08Data!$A$1:$DZU$1000000,2567,FALSE)</f>
        <v>#N/A</v>
      </c>
      <c r="Q151" s="33" t="e">
        <f>VLOOKUP(A1,DIV_08Data!$A$1:$DZU$1000000,2568,FALSE)</f>
        <v>#N/A</v>
      </c>
    </row>
    <row r="152" spans="1:17" x14ac:dyDescent="0.35">
      <c r="A152" s="22" t="e">
        <f>VLOOKUP(A1,DIV_08Data!$A$1:$DZU$1000000,2569,FALSE)</f>
        <v>#N/A</v>
      </c>
      <c r="B152" s="37" t="e">
        <f>VLOOKUP(A1,DIV_08Data!$A$1:$DZU$1000000,2570,FALSE)</f>
        <v>#N/A</v>
      </c>
      <c r="C152" s="38" t="e">
        <f>VLOOKUP(A1,DIV_08Data!$A$1:$DZU$1000000,2571,FALSE)</f>
        <v>#N/A</v>
      </c>
      <c r="D152" s="31" t="e">
        <f>VLOOKUP(A1,DIV_08Data!$A$1:$DZU$1000000,2572,FALSE)</f>
        <v>#N/A</v>
      </c>
      <c r="E152" s="32" t="e">
        <f>VLOOKUP(A1,DIV_08Data!$A$1:$DZU$1000000,2573,FALSE)</f>
        <v>#N/A</v>
      </c>
      <c r="F152" s="34" t="e">
        <f>VLOOKUP(A1,DIV_08Data!$A$1:$DZU$1000000,2574,FALSE)</f>
        <v>#N/A</v>
      </c>
      <c r="G152" s="33" t="e">
        <f>VLOOKUP(A1,DIV_08Data!$A$1:$DZU$1000000,2575,FALSE)</f>
        <v>#N/A</v>
      </c>
      <c r="H152" s="34" t="e">
        <f>VLOOKUP(A1,DIV_08Data!$A$1:$DZU$1000000,2576,FALSE)</f>
        <v>#N/A</v>
      </c>
      <c r="I152" s="33" t="e">
        <f>VLOOKUP(A1,DIV_08Data!$A$1:$DZU$1000000,2577,FALSE)</f>
        <v>#N/A</v>
      </c>
      <c r="J152" s="34" t="e">
        <f>VLOOKUP(A1,DIV_08Data!$A$1:$DZU$1000000,2578,FALSE)</f>
        <v>#N/A</v>
      </c>
      <c r="K152" s="34" t="e">
        <f>VLOOKUP(A1,DIV_08Data!$A$1:$DZU$1000000,2579,FALSE)</f>
        <v>#N/A</v>
      </c>
      <c r="L152" s="93" t="e">
        <f>VLOOKUP(A1,DIV_08Data!$A$1:$DZU$1000000,2580,FALSE)</f>
        <v>#N/A</v>
      </c>
      <c r="M152" s="33" t="e">
        <f>VLOOKUP(A1,DIV_08Data!$A$1:$DZU$1000000,2581,FALSE)</f>
        <v>#N/A</v>
      </c>
      <c r="N152" s="34" t="e">
        <f>VLOOKUP(A1,DIV_08Data!$A$1:$DZU$1000000,2582,FALSE)</f>
        <v>#N/A</v>
      </c>
      <c r="O152" s="33" t="e">
        <f>VLOOKUP(A1,DIV_08Data!$A$1:$DZU$1000000,2583,FALSE)</f>
        <v>#N/A</v>
      </c>
      <c r="P152" s="46" t="e">
        <f>VLOOKUP(A1,DIV_08Data!$A$1:$DZU$1000000,2584,FALSE)</f>
        <v>#N/A</v>
      </c>
      <c r="Q152" s="33" t="e">
        <f>VLOOKUP(A1,DIV_08Data!$A$1:$DZU$1000000,2585,FALSE)</f>
        <v>#N/A</v>
      </c>
    </row>
    <row r="153" spans="1:17" x14ac:dyDescent="0.35">
      <c r="A153" s="22" t="e">
        <f>VLOOKUP(A1,DIV_08Data!$A$1:$DZU$1000000,2586,FALSE)</f>
        <v>#N/A</v>
      </c>
      <c r="B153" s="37" t="e">
        <f>VLOOKUP(A1,DIV_08Data!$A$1:$DZU$1000000,2587,FALSE)</f>
        <v>#N/A</v>
      </c>
      <c r="C153" s="38" t="e">
        <f>VLOOKUP(A1,DIV_08Data!$A$1:$DZU$1000000,2588,FALSE)</f>
        <v>#N/A</v>
      </c>
      <c r="D153" s="31" t="e">
        <f>VLOOKUP(A1,DIV_08Data!$A$1:$DZU$1000000,2589,FALSE)</f>
        <v>#N/A</v>
      </c>
      <c r="E153" s="32" t="e">
        <f>VLOOKUP(A1,DIV_08Data!$A$1:$DZU$1000000,2590,FALSE)</f>
        <v>#N/A</v>
      </c>
      <c r="F153" s="34" t="e">
        <f>VLOOKUP(A1,DIV_08Data!$A$1:$DZU$1000000,2591,FALSE)</f>
        <v>#N/A</v>
      </c>
      <c r="G153" s="33" t="e">
        <f>VLOOKUP(A1,DIV_08Data!$A$1:$DZU$1000000,2592,FALSE)</f>
        <v>#N/A</v>
      </c>
      <c r="H153" s="34" t="e">
        <f>VLOOKUP(A1,DIV_08Data!$A$1:$DZU$1000000,2593,FALSE)</f>
        <v>#N/A</v>
      </c>
      <c r="I153" s="33" t="e">
        <f>VLOOKUP(A1,DIV_08Data!$A$1:$DZU$1000000,2594,FALSE)</f>
        <v>#N/A</v>
      </c>
      <c r="J153" s="34" t="e">
        <f>VLOOKUP(A1,DIV_08Data!$A$1:$DZU$1000000,2595,FALSE)</f>
        <v>#N/A</v>
      </c>
      <c r="K153" s="34" t="e">
        <f>VLOOKUP(A1,DIV_08Data!$A$1:$DZU$1000000,2596,FALSE)</f>
        <v>#N/A</v>
      </c>
      <c r="L153" s="93" t="e">
        <f>VLOOKUP(A1,DIV_08Data!$A$1:$DZU$1000000,2597,FALSE)</f>
        <v>#N/A</v>
      </c>
      <c r="M153" s="33" t="e">
        <f>VLOOKUP(A1,DIV_08Data!$A$1:$DZU$1000000,2598,FALSE)</f>
        <v>#N/A</v>
      </c>
      <c r="N153" s="34" t="e">
        <f>VLOOKUP(A1,DIV_08Data!$A$1:$DZU$1000000,2599,FALSE)</f>
        <v>#N/A</v>
      </c>
      <c r="O153" s="33" t="e">
        <f>VLOOKUP(A1,DIV_08Data!$A$1:$DZU$1000000,2600,FALSE)</f>
        <v>#N/A</v>
      </c>
      <c r="P153" s="46" t="e">
        <f>VLOOKUP(A1,DIV_08Data!$A$1:$DZU$1000000,2601,FALSE)</f>
        <v>#N/A</v>
      </c>
      <c r="Q153" s="33" t="e">
        <f>VLOOKUP(A1,DIV_08Data!$A$1:$DZU$1000000,2602,FALSE)</f>
        <v>#N/A</v>
      </c>
    </row>
    <row r="154" spans="1:17" x14ac:dyDescent="0.35">
      <c r="A154" s="22" t="e">
        <f>VLOOKUP(A1,DIV_08Data!$A$1:$DZU$1000000,2603,FALSE)</f>
        <v>#N/A</v>
      </c>
      <c r="B154" s="37" t="e">
        <f>VLOOKUP(A1,DIV_08Data!$A$1:$DZU$1000000,2604,FALSE)</f>
        <v>#N/A</v>
      </c>
      <c r="C154" s="38" t="e">
        <f>VLOOKUP(A1,DIV_08Data!$A$1:$DZU$1000000,2605,FALSE)</f>
        <v>#N/A</v>
      </c>
      <c r="D154" s="31" t="e">
        <f>VLOOKUP(A1,DIV_08Data!$A$1:$DZU$1000000,2606,FALSE)</f>
        <v>#N/A</v>
      </c>
      <c r="E154" s="32" t="e">
        <f>VLOOKUP(A1,DIV_08Data!$A$1:$DZU$1000000,2607,FALSE)</f>
        <v>#N/A</v>
      </c>
      <c r="F154" s="34" t="e">
        <f>VLOOKUP(A1,DIV_08Data!$A$1:$DZU$1000000,2608,FALSE)</f>
        <v>#N/A</v>
      </c>
      <c r="G154" s="33" t="e">
        <f>VLOOKUP(A1,DIV_08Data!$A$1:$DZU$1000000,2609,FALSE)</f>
        <v>#N/A</v>
      </c>
      <c r="H154" s="34" t="e">
        <f>VLOOKUP(A1,DIV_08Data!$A$1:$DZU$1000000,2610,FALSE)</f>
        <v>#N/A</v>
      </c>
      <c r="I154" s="33" t="e">
        <f>VLOOKUP(A1,DIV_08Data!$A$1:$DZU$1000000,2611,FALSE)</f>
        <v>#N/A</v>
      </c>
      <c r="J154" s="34" t="e">
        <f>VLOOKUP(A1,DIV_08Data!$A$1:$DZU$1000000,2612,FALSE)</f>
        <v>#N/A</v>
      </c>
      <c r="K154" s="34" t="e">
        <f>VLOOKUP(A1,DIV_08Data!$A$1:$DZU$1000000,2613,FALSE)</f>
        <v>#N/A</v>
      </c>
      <c r="L154" s="93" t="e">
        <f>VLOOKUP(A1,DIV_08Data!$A$1:$DZU$1000000,2614,FALSE)</f>
        <v>#N/A</v>
      </c>
      <c r="M154" s="33" t="e">
        <f>VLOOKUP(A1,DIV_08Data!$A$1:$DZU$1000000,2615,FALSE)</f>
        <v>#N/A</v>
      </c>
      <c r="N154" s="34" t="e">
        <f>VLOOKUP(A1,DIV_08Data!$A$1:$DZU$1000000,2616,FALSE)</f>
        <v>#N/A</v>
      </c>
      <c r="O154" s="33" t="e">
        <f>VLOOKUP(A1,DIV_08Data!$A$1:$DZU$1000000,2617,FALSE)</f>
        <v>#N/A</v>
      </c>
      <c r="P154" s="46" t="e">
        <f>VLOOKUP(A1,DIV_08Data!$A$1:$DZU$1000000,2618,FALSE)</f>
        <v>#N/A</v>
      </c>
      <c r="Q154" s="33" t="e">
        <f>VLOOKUP(A1,DIV_08Data!$A$1:$DZU$1000000,2619,FALSE)</f>
        <v>#N/A</v>
      </c>
    </row>
    <row r="155" spans="1:17" x14ac:dyDescent="0.35">
      <c r="A155" s="22" t="e">
        <f>VLOOKUP(A1,DIV_08Data!$A$1:$DZU$1000000,2620,FALSE)</f>
        <v>#N/A</v>
      </c>
      <c r="B155" s="37" t="e">
        <f>VLOOKUP(A1,DIV_08Data!$A$1:$DZU$1000000,2621,FALSE)</f>
        <v>#N/A</v>
      </c>
      <c r="C155" s="38" t="e">
        <f>VLOOKUP(A1,DIV_08Data!$A$1:$DZU$1000000,2622,FALSE)</f>
        <v>#N/A</v>
      </c>
      <c r="D155" s="31" t="e">
        <f>VLOOKUP(A1,DIV_08Data!$A$1:$DZU$1000000,2623,FALSE)</f>
        <v>#N/A</v>
      </c>
      <c r="E155" s="32" t="e">
        <f>VLOOKUP(A1,DIV_08Data!$A$1:$DZU$1000000,2624,FALSE)</f>
        <v>#N/A</v>
      </c>
      <c r="F155" s="34" t="e">
        <f>VLOOKUP(A1,DIV_08Data!$A$1:$DZU$1000000,2625,FALSE)</f>
        <v>#N/A</v>
      </c>
      <c r="G155" s="33" t="e">
        <f>VLOOKUP(A1,DIV_08Data!$A$1:$DZU$1000000,2626,FALSE)</f>
        <v>#N/A</v>
      </c>
      <c r="H155" s="34" t="e">
        <f>VLOOKUP(A1,DIV_08Data!$A$1:$DZU$1000000,2627,FALSE)</f>
        <v>#N/A</v>
      </c>
      <c r="I155" s="33" t="e">
        <f>VLOOKUP(A1,DIV_08Data!$A$1:$DZU$1000000,2628,FALSE)</f>
        <v>#N/A</v>
      </c>
      <c r="J155" s="34" t="e">
        <f>VLOOKUP(A1,DIV_08Data!$A$1:$DZU$1000000,2629,FALSE)</f>
        <v>#N/A</v>
      </c>
      <c r="K155" s="34" t="e">
        <f>VLOOKUP(A1,DIV_08Data!$A$1:$DZU$1000000,2630,FALSE)</f>
        <v>#N/A</v>
      </c>
      <c r="L155" s="93" t="e">
        <f>VLOOKUP(A1,DIV_08Data!$A$1:$DZU$1000000,2631,FALSE)</f>
        <v>#N/A</v>
      </c>
      <c r="M155" s="33" t="e">
        <f>VLOOKUP(A1,DIV_08Data!$A$1:$DZU$1000000,2632,FALSE)</f>
        <v>#N/A</v>
      </c>
      <c r="N155" s="34" t="e">
        <f>VLOOKUP(A1,DIV_08Data!$A$1:$DZU$1000000,2633,FALSE)</f>
        <v>#N/A</v>
      </c>
      <c r="O155" s="33" t="e">
        <f>VLOOKUP(A1,DIV_08Data!$A$1:$DZU$1000000,2634,FALSE)</f>
        <v>#N/A</v>
      </c>
      <c r="P155" s="46" t="e">
        <f>VLOOKUP(A1,DIV_08Data!$A$1:$DZU$1000000,2635,FALSE)</f>
        <v>#N/A</v>
      </c>
      <c r="Q155" s="33" t="e">
        <f>VLOOKUP(A1,DIV_08Data!$A$1:$DZU$1000000,2636,FALSE)</f>
        <v>#N/A</v>
      </c>
    </row>
    <row r="156" spans="1:17" x14ac:dyDescent="0.35">
      <c r="A156" s="22" t="e">
        <f>VLOOKUP(A1,DIV_08Data!$A$1:$DZU$1000000,2637,FALSE)</f>
        <v>#N/A</v>
      </c>
      <c r="B156" s="37" t="e">
        <f>VLOOKUP(A1,DIV_08Data!$A$1:$DZU$1000000,2638,FALSE)</f>
        <v>#N/A</v>
      </c>
      <c r="C156" s="38" t="e">
        <f>VLOOKUP(A1,DIV_08Data!$A$1:$DZU$1000000,2639,FALSE)</f>
        <v>#N/A</v>
      </c>
      <c r="D156" s="31" t="e">
        <f>VLOOKUP(A1,DIV_08Data!$A$1:$DZU$1000000,2640,FALSE)</f>
        <v>#N/A</v>
      </c>
      <c r="E156" s="32" t="e">
        <f>VLOOKUP(A1,DIV_08Data!$A$1:$DZU$1000000,2641,FALSE)</f>
        <v>#N/A</v>
      </c>
      <c r="F156" s="34" t="e">
        <f>VLOOKUP(A1,DIV_08Data!$A$1:$DZU$1000000,2642,FALSE)</f>
        <v>#N/A</v>
      </c>
      <c r="G156" s="33" t="e">
        <f>VLOOKUP(A1,DIV_08Data!$A$1:$DZU$1000000,2643,FALSE)</f>
        <v>#N/A</v>
      </c>
      <c r="H156" s="34" t="e">
        <f>VLOOKUP(A1,DIV_08Data!$A$1:$DZU$1000000,2644,FALSE)</f>
        <v>#N/A</v>
      </c>
      <c r="I156" s="33" t="e">
        <f>VLOOKUP(A1,DIV_08Data!$A$1:$DZU$1000000,2645,FALSE)</f>
        <v>#N/A</v>
      </c>
      <c r="J156" s="34" t="e">
        <f>VLOOKUP(A1,DIV_08Data!$A$1:$DZU$1000000,2646,FALSE)</f>
        <v>#N/A</v>
      </c>
      <c r="K156" s="34" t="e">
        <f>VLOOKUP(A1,DIV_08Data!$A$1:$DZU$1000000,2647,FALSE)</f>
        <v>#N/A</v>
      </c>
      <c r="L156" s="93" t="e">
        <f>VLOOKUP(A1,DIV_08Data!$A$1:$DZU$1000000,2648,FALSE)</f>
        <v>#N/A</v>
      </c>
      <c r="M156" s="33" t="e">
        <f>VLOOKUP(A1,DIV_08Data!$A$1:$DZU$1000000,2649,FALSE)</f>
        <v>#N/A</v>
      </c>
      <c r="N156" s="34" t="e">
        <f>VLOOKUP(A1,DIV_08Data!$A$1:$DZU$1000000,2650,FALSE)</f>
        <v>#N/A</v>
      </c>
      <c r="O156" s="33" t="e">
        <f>VLOOKUP(A1,DIV_08Data!$A$1:$DZU$1000000,2651,FALSE)</f>
        <v>#N/A</v>
      </c>
      <c r="P156" s="46" t="e">
        <f>VLOOKUP(A1,DIV_08Data!$A$1:$DZU$1000000,2652,FALSE)</f>
        <v>#N/A</v>
      </c>
      <c r="Q156" s="33" t="e">
        <f>VLOOKUP(A1,DIV_08Data!$A$1:$DZU$1000000,2653,FALSE)</f>
        <v>#N/A</v>
      </c>
    </row>
    <row r="157" spans="1:17" x14ac:dyDescent="0.35">
      <c r="A157" s="22" t="e">
        <f>VLOOKUP(A1,DIV_08Data!$A$1:$DZU$1000000,2654,FALSE)</f>
        <v>#N/A</v>
      </c>
      <c r="B157" s="37" t="e">
        <f>VLOOKUP(A1,DIV_08Data!$A$1:$DZU$1000000,2655,FALSE)</f>
        <v>#N/A</v>
      </c>
      <c r="C157" s="38" t="e">
        <f>VLOOKUP(A1,DIV_08Data!$A$1:$DZU$1000000,2656,FALSE)</f>
        <v>#N/A</v>
      </c>
      <c r="D157" s="31" t="e">
        <f>VLOOKUP(A1,DIV_08Data!$A$1:$DZU$1000000,2657,FALSE)</f>
        <v>#N/A</v>
      </c>
      <c r="E157" s="32" t="e">
        <f>VLOOKUP(A1,DIV_08Data!$A$1:$DZU$1000000,2658,FALSE)</f>
        <v>#N/A</v>
      </c>
      <c r="F157" s="34" t="e">
        <f>VLOOKUP(A1,DIV_08Data!$A$1:$DZU$1000000,2659,FALSE)</f>
        <v>#N/A</v>
      </c>
      <c r="G157" s="33" t="e">
        <f>VLOOKUP(A1,DIV_08Data!$A$1:$DZU$1000000,2660,FALSE)</f>
        <v>#N/A</v>
      </c>
      <c r="H157" s="34" t="e">
        <f>VLOOKUP(A1,DIV_08Data!$A$1:$DZU$1000000,2661,FALSE)</f>
        <v>#N/A</v>
      </c>
      <c r="I157" s="33" t="e">
        <f>VLOOKUP(A1,DIV_08Data!$A$1:$DZU$1000000,2662,FALSE)</f>
        <v>#N/A</v>
      </c>
      <c r="J157" s="34" t="e">
        <f>VLOOKUP(A1,DIV_08Data!$A$1:$DZU$1000000,2663,FALSE)</f>
        <v>#N/A</v>
      </c>
      <c r="K157" s="34" t="e">
        <f>VLOOKUP(A1,DIV_08Data!$A$1:$DZU$1000000,2664,FALSE)</f>
        <v>#N/A</v>
      </c>
      <c r="L157" s="93" t="e">
        <f>VLOOKUP(A1,DIV_08Data!$A$1:$DZU$1000000,2665,FALSE)</f>
        <v>#N/A</v>
      </c>
      <c r="M157" s="33" t="e">
        <f>VLOOKUP(A1,DIV_08Data!$A$1:$DZU$1000000,2666,FALSE)</f>
        <v>#N/A</v>
      </c>
      <c r="N157" s="34" t="e">
        <f>VLOOKUP(A1,DIV_08Data!$A$1:$DZU$1000000,2667,FALSE)</f>
        <v>#N/A</v>
      </c>
      <c r="O157" s="33" t="e">
        <f>VLOOKUP(A1,DIV_08Data!$A$1:$DZU$1000000,2668,FALSE)</f>
        <v>#N/A</v>
      </c>
      <c r="P157" s="46" t="e">
        <f>VLOOKUP(A1,DIV_08Data!$A$1:$DZU$1000000,2669,FALSE)</f>
        <v>#N/A</v>
      </c>
      <c r="Q157" s="33" t="e">
        <f>VLOOKUP(A1,DIV_08Data!$A$1:$DZU$1000000,2670,FALSE)</f>
        <v>#N/A</v>
      </c>
    </row>
    <row r="158" spans="1:17" x14ac:dyDescent="0.35">
      <c r="A158" s="22" t="e">
        <f>VLOOKUP(A1,DIV_08Data!$A$1:$DZU$1000000,2671,FALSE)</f>
        <v>#N/A</v>
      </c>
      <c r="B158" s="37" t="e">
        <f>VLOOKUP(A1,DIV_08Data!$A$1:$DZU$1000000,2672,FALSE)</f>
        <v>#N/A</v>
      </c>
      <c r="C158" s="38" t="e">
        <f>VLOOKUP(A1,DIV_08Data!$A$1:$DZU$1000000,2673,FALSE)</f>
        <v>#N/A</v>
      </c>
      <c r="D158" s="31" t="e">
        <f>VLOOKUP(A1,DIV_08Data!$A$1:$DZU$1000000,2674,FALSE)</f>
        <v>#N/A</v>
      </c>
      <c r="E158" s="32" t="e">
        <f>VLOOKUP(A1,DIV_08Data!$A$1:$DZU$1000000,2675,FALSE)</f>
        <v>#N/A</v>
      </c>
      <c r="F158" s="34" t="e">
        <f>VLOOKUP(A1,DIV_08Data!$A$1:$DZU$1000000,2676,FALSE)</f>
        <v>#N/A</v>
      </c>
      <c r="G158" s="33" t="e">
        <f>VLOOKUP(A1,DIV_08Data!$A$1:$DZU$1000000,2677,FALSE)</f>
        <v>#N/A</v>
      </c>
      <c r="H158" s="34" t="e">
        <f>VLOOKUP(A1,DIV_08Data!$A$1:$DZU$1000000,2678,FALSE)</f>
        <v>#N/A</v>
      </c>
      <c r="I158" s="33" t="e">
        <f>VLOOKUP(A1,DIV_08Data!$A$1:$DZU$1000000,2679,FALSE)</f>
        <v>#N/A</v>
      </c>
      <c r="J158" s="34" t="e">
        <f>VLOOKUP(A1,DIV_08Data!$A$1:$DZU$1000000,2680,FALSE)</f>
        <v>#N/A</v>
      </c>
      <c r="K158" s="34" t="e">
        <f>VLOOKUP(A1,DIV_08Data!$A$1:$DZU$1000000,2681,FALSE)</f>
        <v>#N/A</v>
      </c>
      <c r="L158" s="93" t="e">
        <f>VLOOKUP(A1,DIV_08Data!$A$1:$DZU$1000000,2682,FALSE)</f>
        <v>#N/A</v>
      </c>
      <c r="M158" s="33" t="e">
        <f>VLOOKUP(A1,DIV_08Data!$A$1:$DZU$1000000,2683,FALSE)</f>
        <v>#N/A</v>
      </c>
      <c r="N158" s="34" t="e">
        <f>VLOOKUP(A1,DIV_08Data!$A$1:$DZU$1000000,2684,FALSE)</f>
        <v>#N/A</v>
      </c>
      <c r="O158" s="33" t="e">
        <f>VLOOKUP(A1,DIV_08Data!$A$1:$DZU$1000000,2685,FALSE)</f>
        <v>#N/A</v>
      </c>
      <c r="P158" s="46" t="e">
        <f>VLOOKUP(A1,DIV_08Data!$A$1:$DZU$1000000,2686,FALSE)</f>
        <v>#N/A</v>
      </c>
      <c r="Q158" s="33" t="e">
        <f>VLOOKUP(A1,DIV_08Data!$A$1:$DZU$1000000,2687,FALSE)</f>
        <v>#N/A</v>
      </c>
    </row>
    <row r="159" spans="1:17" x14ac:dyDescent="0.35">
      <c r="A159" s="22" t="e">
        <f>VLOOKUP(A1,DIV_08Data!$A$1:$DZU$1000000,2688,FALSE)</f>
        <v>#N/A</v>
      </c>
      <c r="B159" s="37" t="e">
        <f>VLOOKUP(A1,DIV_08Data!$A$1:$DZU$1000000,2689,FALSE)</f>
        <v>#N/A</v>
      </c>
      <c r="C159" s="38" t="e">
        <f>VLOOKUP(A1,DIV_08Data!$A$1:$DZU$1000000,2690,FALSE)</f>
        <v>#N/A</v>
      </c>
      <c r="D159" s="31" t="e">
        <f>VLOOKUP(A1,DIV_08Data!$A$1:$DZU$1000000,2691,FALSE)</f>
        <v>#N/A</v>
      </c>
      <c r="E159" s="32" t="e">
        <f>VLOOKUP(A1,DIV_08Data!$A$1:$DZU$1000000,2692,FALSE)</f>
        <v>#N/A</v>
      </c>
      <c r="F159" s="34" t="e">
        <f>VLOOKUP(A1,DIV_08Data!$A$1:$DZU$1000000,2693,FALSE)</f>
        <v>#N/A</v>
      </c>
      <c r="G159" s="33" t="e">
        <f>VLOOKUP(A1,DIV_08Data!$A$1:$DZU$1000000,2694,FALSE)</f>
        <v>#N/A</v>
      </c>
      <c r="H159" s="34" t="e">
        <f>VLOOKUP(A1,DIV_08Data!$A$1:$DZU$1000000,2695,FALSE)</f>
        <v>#N/A</v>
      </c>
      <c r="I159" s="33" t="e">
        <f>VLOOKUP(A1,DIV_08Data!$A$1:$DZU$1000000,2696,FALSE)</f>
        <v>#N/A</v>
      </c>
      <c r="J159" s="34" t="e">
        <f>VLOOKUP(A1,DIV_08Data!$A$1:$DZU$1000000,2697,FALSE)</f>
        <v>#N/A</v>
      </c>
      <c r="K159" s="34" t="e">
        <f>VLOOKUP(A1,DIV_08Data!$A$1:$DZU$1000000,2698,FALSE)</f>
        <v>#N/A</v>
      </c>
      <c r="L159" s="93" t="e">
        <f>VLOOKUP(A1,DIV_08Data!$A$1:$DZU$1000000,2699,FALSE)</f>
        <v>#N/A</v>
      </c>
      <c r="M159" s="33" t="e">
        <f>VLOOKUP(A1,DIV_08Data!$A$1:$DZU$1000000,2700,FALSE)</f>
        <v>#N/A</v>
      </c>
      <c r="N159" s="34" t="e">
        <f>VLOOKUP(A1,DIV_08Data!$A$1:$DZU$1000000,2701,FALSE)</f>
        <v>#N/A</v>
      </c>
      <c r="O159" s="33" t="e">
        <f>VLOOKUP(A1,DIV_08Data!$A$1:$DZU$1000000,2702,FALSE)</f>
        <v>#N/A</v>
      </c>
      <c r="P159" s="46" t="e">
        <f>VLOOKUP(A1,DIV_08Data!$A$1:$DZU$1000000,2703,FALSE)</f>
        <v>#N/A</v>
      </c>
      <c r="Q159" s="33" t="e">
        <f>VLOOKUP(A1,DIV_08Data!$A$1:$DZU$1000000,2704,FALSE)</f>
        <v>#N/A</v>
      </c>
    </row>
    <row r="160" spans="1:17" x14ac:dyDescent="0.35">
      <c r="A160" s="22" t="e">
        <f>VLOOKUP(A1,DIV_08Data!$A$1:$DZU$1000000,2705,FALSE)</f>
        <v>#N/A</v>
      </c>
      <c r="B160" s="37" t="e">
        <f>VLOOKUP(A1,DIV_08Data!$A$1:$DZU$1000000,2706,FALSE)</f>
        <v>#N/A</v>
      </c>
      <c r="C160" s="38" t="e">
        <f>VLOOKUP(A1,DIV_08Data!$A$1:$DZU$1000000,2707,FALSE)</f>
        <v>#N/A</v>
      </c>
      <c r="D160" s="31" t="e">
        <f>VLOOKUP(A1,DIV_08Data!$A$1:$DZU$1000000,2708,FALSE)</f>
        <v>#N/A</v>
      </c>
      <c r="E160" s="32" t="e">
        <f>VLOOKUP(A1,DIV_08Data!$A$1:$DZU$1000000,2709,FALSE)</f>
        <v>#N/A</v>
      </c>
      <c r="F160" s="34" t="e">
        <f>VLOOKUP(A1,DIV_08Data!$A$1:$DZU$1000000,2710,FALSE)</f>
        <v>#N/A</v>
      </c>
      <c r="G160" s="33" t="e">
        <f>VLOOKUP(A1,DIV_08Data!$A$1:$DZU$1000000,2711,FALSE)</f>
        <v>#N/A</v>
      </c>
      <c r="H160" s="34" t="e">
        <f>VLOOKUP(A1,DIV_08Data!$A$1:$DZU$1000000,2712,FALSE)</f>
        <v>#N/A</v>
      </c>
      <c r="I160" s="33" t="e">
        <f>VLOOKUP(A1,DIV_08Data!$A$1:$DZU$1000000,2713,FALSE)</f>
        <v>#N/A</v>
      </c>
      <c r="J160" s="34" t="e">
        <f>VLOOKUP(A1,DIV_08Data!$A$1:$DZU$1000000,2714,FALSE)</f>
        <v>#N/A</v>
      </c>
      <c r="K160" s="34" t="e">
        <f>VLOOKUP(A1,DIV_08Data!$A$1:$DZU$1000000,2715,FALSE)</f>
        <v>#N/A</v>
      </c>
      <c r="L160" s="93" t="e">
        <f>VLOOKUP(A1,DIV_08Data!$A$1:$DZU$1000000,2716,FALSE)</f>
        <v>#N/A</v>
      </c>
      <c r="M160" s="33" t="e">
        <f>VLOOKUP(A1,DIV_08Data!$A$1:$DZU$1000000,2717,FALSE)</f>
        <v>#N/A</v>
      </c>
      <c r="N160" s="34" t="e">
        <f>VLOOKUP(A1,DIV_08Data!$A$1:$DZU$1000000,2718,FALSE)</f>
        <v>#N/A</v>
      </c>
      <c r="O160" s="33" t="e">
        <f>VLOOKUP(A1,DIV_08Data!$A$1:$DZU$1000000,2719,FALSE)</f>
        <v>#N/A</v>
      </c>
      <c r="P160" s="46" t="e">
        <f>VLOOKUP(A1,DIV_08Data!$A$1:$DZU$1000000,2720,FALSE)</f>
        <v>#N/A</v>
      </c>
      <c r="Q160" s="33" t="e">
        <f>VLOOKUP(A1,DIV_08Data!$A$1:$DZU$1000000,2721,FALSE)</f>
        <v>#N/A</v>
      </c>
    </row>
    <row r="161" spans="1:17" x14ac:dyDescent="0.35">
      <c r="A161" s="22" t="e">
        <f>VLOOKUP(A1,DIV_08Data!$A$1:$DZU$1000000,2722,FALSE)</f>
        <v>#N/A</v>
      </c>
      <c r="B161" s="37" t="e">
        <f>VLOOKUP(A1,DIV_08Data!$A$1:$DZU$1000000,2723,FALSE)</f>
        <v>#N/A</v>
      </c>
      <c r="C161" s="38" t="e">
        <f>VLOOKUP(A1,DIV_08Data!$A$1:$DZU$1000000,2724,FALSE)</f>
        <v>#N/A</v>
      </c>
      <c r="D161" s="31" t="e">
        <f>VLOOKUP(A1,DIV_08Data!$A$1:$DZU$1000000,2725,FALSE)</f>
        <v>#N/A</v>
      </c>
      <c r="E161" s="32" t="e">
        <f>VLOOKUP(A1,DIV_08Data!$A$1:$DZU$1000000,2726,FALSE)</f>
        <v>#N/A</v>
      </c>
      <c r="F161" s="34" t="e">
        <f>VLOOKUP(A1,DIV_08Data!$A$1:$DZU$1000000,2727,FALSE)</f>
        <v>#N/A</v>
      </c>
      <c r="G161" s="33" t="e">
        <f>VLOOKUP(A1,DIV_08Data!$A$1:$DZU$1000000,2728,FALSE)</f>
        <v>#N/A</v>
      </c>
      <c r="H161" s="34" t="e">
        <f>VLOOKUP(A1,DIV_08Data!$A$1:$DZU$1000000,2729,FALSE)</f>
        <v>#N/A</v>
      </c>
      <c r="I161" s="33" t="e">
        <f>VLOOKUP(A1,DIV_08Data!$A$1:$DZU$1000000,2730,FALSE)</f>
        <v>#N/A</v>
      </c>
      <c r="J161" s="34" t="e">
        <f>VLOOKUP(A1,DIV_08Data!$A$1:$DZU$1000000,2731,FALSE)</f>
        <v>#N/A</v>
      </c>
      <c r="K161" s="34" t="e">
        <f>VLOOKUP(A1,DIV_08Data!$A$1:$DZU$1000000,2732,FALSE)</f>
        <v>#N/A</v>
      </c>
      <c r="L161" s="93" t="e">
        <f>VLOOKUP(A1,DIV_08Data!$A$1:$DZU$1000000,2733,FALSE)</f>
        <v>#N/A</v>
      </c>
      <c r="M161" s="33" t="e">
        <f>VLOOKUP(A1,DIV_08Data!$A$1:$DZU$1000000,2734,FALSE)</f>
        <v>#N/A</v>
      </c>
      <c r="N161" s="34" t="e">
        <f>VLOOKUP(A1,DIV_08Data!$A$1:$DZU$1000000,2735,FALSE)</f>
        <v>#N/A</v>
      </c>
      <c r="O161" s="33" t="e">
        <f>VLOOKUP(A1,DIV_08Data!$A$1:$DZU$1000000,2736,FALSE)</f>
        <v>#N/A</v>
      </c>
      <c r="P161" s="46" t="e">
        <f>VLOOKUP(A1,DIV_08Data!$A$1:$DZU$1000000,2737,FALSE)</f>
        <v>#N/A</v>
      </c>
      <c r="Q161" s="33" t="e">
        <f>VLOOKUP(A1,DIV_08Data!$A$1:$DZU$1000000,2738,FALSE)</f>
        <v>#N/A</v>
      </c>
    </row>
    <row r="162" spans="1:17" x14ac:dyDescent="0.35">
      <c r="A162" s="22" t="e">
        <f>VLOOKUP(A1,DIV_08Data!$A$1:$DZU$1000000,2739,FALSE)</f>
        <v>#N/A</v>
      </c>
      <c r="B162" s="37" t="e">
        <f>VLOOKUP(A1,DIV_08Data!$A$1:$DZU$1000000,2740,FALSE)</f>
        <v>#N/A</v>
      </c>
      <c r="C162" s="38" t="e">
        <f>VLOOKUP(A1,DIV_08Data!$A$1:$DZU$1000000,2741,FALSE)</f>
        <v>#N/A</v>
      </c>
      <c r="D162" s="31" t="e">
        <f>VLOOKUP(A1,DIV_08Data!$A$1:$DZU$1000000,2742,FALSE)</f>
        <v>#N/A</v>
      </c>
      <c r="E162" s="32" t="e">
        <f>VLOOKUP(A1,DIV_08Data!$A$1:$DZU$1000000,2743,FALSE)</f>
        <v>#N/A</v>
      </c>
      <c r="F162" s="34" t="e">
        <f>VLOOKUP(A1,DIV_08Data!$A$1:$DZU$1000000,2744,FALSE)</f>
        <v>#N/A</v>
      </c>
      <c r="G162" s="33" t="e">
        <f>VLOOKUP(A1,DIV_08Data!$A$1:$DZU$1000000,2745,FALSE)</f>
        <v>#N/A</v>
      </c>
      <c r="H162" s="34" t="e">
        <f>VLOOKUP(A1,DIV_08Data!$A$1:$DZU$1000000,2746,FALSE)</f>
        <v>#N/A</v>
      </c>
      <c r="I162" s="33" t="e">
        <f>VLOOKUP(A1,DIV_08Data!$A$1:$DZU$1000000,2747,FALSE)</f>
        <v>#N/A</v>
      </c>
      <c r="J162" s="34" t="e">
        <f>VLOOKUP(A1,DIV_08Data!$A$1:$DZU$1000000,2748,FALSE)</f>
        <v>#N/A</v>
      </c>
      <c r="K162" s="34" t="e">
        <f>VLOOKUP(A1,DIV_08Data!$A$1:$DZU$1000000,2749,FALSE)</f>
        <v>#N/A</v>
      </c>
      <c r="L162" s="93" t="e">
        <f>VLOOKUP(A1,DIV_08Data!$A$1:$DZU$1000000,2750,FALSE)</f>
        <v>#N/A</v>
      </c>
      <c r="M162" s="33" t="e">
        <f>VLOOKUP(A1,DIV_08Data!$A$1:$DZU$1000000,2751,FALSE)</f>
        <v>#N/A</v>
      </c>
      <c r="N162" s="34" t="e">
        <f>VLOOKUP(A1,DIV_08Data!$A$1:$DZU$1000000,2752,FALSE)</f>
        <v>#N/A</v>
      </c>
      <c r="O162" s="33" t="e">
        <f>VLOOKUP(A1,DIV_08Data!$A$1:$DZU$1000000,2753,FALSE)</f>
        <v>#N/A</v>
      </c>
      <c r="P162" s="46" t="e">
        <f>VLOOKUP(A1,DIV_08Data!$A$1:$DZU$1000000,2754,FALSE)</f>
        <v>#N/A</v>
      </c>
      <c r="Q162" s="33" t="e">
        <f>VLOOKUP(A1,DIV_08Data!$A$1:$DZU$1000000,2755,FALSE)</f>
        <v>#N/A</v>
      </c>
    </row>
    <row r="163" spans="1:17" x14ac:dyDescent="0.35">
      <c r="A163" s="22" t="e">
        <f>VLOOKUP(A1,DIV_08Data!$A$1:$DZU$1000000,2756,FALSE)</f>
        <v>#N/A</v>
      </c>
      <c r="B163" s="37" t="e">
        <f>VLOOKUP(A1,DIV_08Data!$A$1:$DZU$1000000,2757,FALSE)</f>
        <v>#N/A</v>
      </c>
      <c r="C163" s="38" t="e">
        <f>VLOOKUP(A1,DIV_08Data!$A$1:$DZU$1000000,2758,FALSE)</f>
        <v>#N/A</v>
      </c>
      <c r="D163" s="31" t="e">
        <f>VLOOKUP(A1,DIV_08Data!$A$1:$DZU$1000000,2759,FALSE)</f>
        <v>#N/A</v>
      </c>
      <c r="E163" s="32" t="e">
        <f>VLOOKUP(A1,DIV_08Data!$A$1:$DZU$1000000,2760,FALSE)</f>
        <v>#N/A</v>
      </c>
      <c r="F163" s="34" t="e">
        <f>VLOOKUP(A1,DIV_08Data!$A$1:$DZU$1000000,2761,FALSE)</f>
        <v>#N/A</v>
      </c>
      <c r="G163" s="33" t="e">
        <f>VLOOKUP(A1,DIV_08Data!$A$1:$DZU$1000000,2762,FALSE)</f>
        <v>#N/A</v>
      </c>
      <c r="H163" s="34" t="e">
        <f>VLOOKUP(A1,DIV_08Data!$A$1:$DZU$1000000,2763,FALSE)</f>
        <v>#N/A</v>
      </c>
      <c r="I163" s="33" t="e">
        <f>VLOOKUP(A1,DIV_08Data!$A$1:$DZU$1000000,2764,FALSE)</f>
        <v>#N/A</v>
      </c>
      <c r="J163" s="34" t="e">
        <f>VLOOKUP(A1,DIV_08Data!$A$1:$DZU$1000000,2765,FALSE)</f>
        <v>#N/A</v>
      </c>
      <c r="K163" s="34" t="e">
        <f>VLOOKUP(A1,DIV_08Data!$A$1:$DZU$1000000,2766,FALSE)</f>
        <v>#N/A</v>
      </c>
      <c r="L163" s="93" t="e">
        <f>VLOOKUP(A1,DIV_08Data!$A$1:$DZU$1000000,2767,FALSE)</f>
        <v>#N/A</v>
      </c>
      <c r="M163" s="33" t="e">
        <f>VLOOKUP(A1,DIV_08Data!$A$1:$DZU$1000000,2768,FALSE)</f>
        <v>#N/A</v>
      </c>
      <c r="N163" s="34" t="e">
        <f>VLOOKUP(A1,DIV_08Data!$A$1:$DZU$1000000,2769,FALSE)</f>
        <v>#N/A</v>
      </c>
      <c r="O163" s="33" t="e">
        <f>VLOOKUP(A1,DIV_08Data!$A$1:$DZU$1000000,2770,FALSE)</f>
        <v>#N/A</v>
      </c>
      <c r="P163" s="46" t="e">
        <f>VLOOKUP(A1,DIV_08Data!$A$1:$DZU$1000000,2771,FALSE)</f>
        <v>#N/A</v>
      </c>
      <c r="Q163" s="33" t="e">
        <f>VLOOKUP(A1,DIV_08Data!$A$1:$DZU$1000000,2772,FALSE)</f>
        <v>#N/A</v>
      </c>
    </row>
    <row r="164" spans="1:17" x14ac:dyDescent="0.35">
      <c r="A164" s="22" t="e">
        <f>VLOOKUP(A1,DIV_08Data!$A$1:$DZU$1000000,2773,FALSE)</f>
        <v>#N/A</v>
      </c>
      <c r="B164" s="37" t="e">
        <f>VLOOKUP(A1,DIV_08Data!$A$1:$DZU$1000000,2774,FALSE)</f>
        <v>#N/A</v>
      </c>
      <c r="C164" s="38" t="e">
        <f>VLOOKUP(A1,DIV_08Data!$A$1:$DZU$1000000,2775,FALSE)</f>
        <v>#N/A</v>
      </c>
      <c r="D164" s="31" t="e">
        <f>VLOOKUP(A1,DIV_08Data!$A$1:$DZU$1000000,2776,FALSE)</f>
        <v>#N/A</v>
      </c>
      <c r="E164" s="32" t="e">
        <f>VLOOKUP(A1,DIV_08Data!$A$1:$DZU$1000000,2777,FALSE)</f>
        <v>#N/A</v>
      </c>
      <c r="F164" s="34" t="e">
        <f>VLOOKUP(A1,DIV_08Data!$A$1:$DZU$1000000,2778,FALSE)</f>
        <v>#N/A</v>
      </c>
      <c r="G164" s="33" t="e">
        <f>VLOOKUP(A1,DIV_08Data!$A$1:$DZU$1000000,2779,FALSE)</f>
        <v>#N/A</v>
      </c>
      <c r="H164" s="34" t="e">
        <f>VLOOKUP(A1,DIV_08Data!$A$1:$DZU$1000000,2780,FALSE)</f>
        <v>#N/A</v>
      </c>
      <c r="I164" s="33" t="e">
        <f>VLOOKUP(A1,DIV_08Data!$A$1:$DZU$1000000,2781,FALSE)</f>
        <v>#N/A</v>
      </c>
      <c r="J164" s="34" t="e">
        <f>VLOOKUP(A1,DIV_08Data!$A$1:$DZU$1000000,2782,FALSE)</f>
        <v>#N/A</v>
      </c>
      <c r="K164" s="34" t="e">
        <f>VLOOKUP(A1,DIV_08Data!$A$1:$DZU$1000000,2783,FALSE)</f>
        <v>#N/A</v>
      </c>
      <c r="L164" s="93" t="e">
        <f>VLOOKUP(A1,DIV_08Data!$A$1:$DZU$1000000,2784,FALSE)</f>
        <v>#N/A</v>
      </c>
      <c r="M164" s="33" t="e">
        <f>VLOOKUP(A1,DIV_08Data!$A$1:$DZU$1000000,2785,FALSE)</f>
        <v>#N/A</v>
      </c>
      <c r="N164" s="34" t="e">
        <f>VLOOKUP(A1,DIV_08Data!$A$1:$DZU$1000000,2786,FALSE)</f>
        <v>#N/A</v>
      </c>
      <c r="O164" s="33" t="e">
        <f>VLOOKUP(A1,DIV_08Data!$A$1:$DZU$1000000,2787,FALSE)</f>
        <v>#N/A</v>
      </c>
      <c r="P164" s="46" t="e">
        <f>VLOOKUP(A1,DIV_08Data!$A$1:$DZU$1000000,2788,FALSE)</f>
        <v>#N/A</v>
      </c>
      <c r="Q164" s="33" t="e">
        <f>VLOOKUP(A1,DIV_08Data!$A$1:$DZU$1000000,2789,FALSE)</f>
        <v>#N/A</v>
      </c>
    </row>
    <row r="165" spans="1:17" x14ac:dyDescent="0.35">
      <c r="A165" s="22" t="e">
        <f>VLOOKUP(A1,DIV_08Data!$A$1:$DZU$1000000,2790,FALSE)</f>
        <v>#N/A</v>
      </c>
      <c r="B165" s="37" t="e">
        <f>VLOOKUP(A1,DIV_08Data!$A$1:$DZU$1000000,2791,FALSE)</f>
        <v>#N/A</v>
      </c>
      <c r="C165" s="38" t="e">
        <f>VLOOKUP(A1,DIV_08Data!$A$1:$DZU$1000000,2792,FALSE)</f>
        <v>#N/A</v>
      </c>
      <c r="D165" s="31" t="e">
        <f>VLOOKUP(A1,DIV_08Data!$A$1:$DZU$1000000,2793,FALSE)</f>
        <v>#N/A</v>
      </c>
      <c r="E165" s="32" t="e">
        <f>VLOOKUP(A1,DIV_08Data!$A$1:$DZU$1000000,2794,FALSE)</f>
        <v>#N/A</v>
      </c>
      <c r="F165" s="34" t="e">
        <f>VLOOKUP(A1,DIV_08Data!$A$1:$DZU$1000000,2795,FALSE)</f>
        <v>#N/A</v>
      </c>
      <c r="G165" s="33" t="e">
        <f>VLOOKUP(A1,DIV_08Data!$A$1:$DZU$1000000,2796,FALSE)</f>
        <v>#N/A</v>
      </c>
      <c r="H165" s="34" t="e">
        <f>VLOOKUP(A1,DIV_08Data!$A$1:$DZU$1000000,2797,FALSE)</f>
        <v>#N/A</v>
      </c>
      <c r="I165" s="33" t="e">
        <f>VLOOKUP(A1,DIV_08Data!$A$1:$DZU$1000000,2798,FALSE)</f>
        <v>#N/A</v>
      </c>
      <c r="J165" s="34" t="e">
        <f>VLOOKUP(A1,DIV_08Data!$A$1:$DZU$1000000,2799,FALSE)</f>
        <v>#N/A</v>
      </c>
      <c r="K165" s="34" t="e">
        <f>VLOOKUP(A1,DIV_08Data!$A$1:$DZU$1000000,2800,FALSE)</f>
        <v>#N/A</v>
      </c>
      <c r="L165" s="93" t="e">
        <f>VLOOKUP(A1,DIV_08Data!$A$1:$DZU$1000000,2801,FALSE)</f>
        <v>#N/A</v>
      </c>
      <c r="M165" s="33" t="e">
        <f>VLOOKUP(A1,DIV_08Data!$A$1:$DZU$1000000,2802,FALSE)</f>
        <v>#N/A</v>
      </c>
      <c r="N165" s="34" t="e">
        <f>VLOOKUP(A1,DIV_08Data!$A$1:$DZU$1000000,2803,FALSE)</f>
        <v>#N/A</v>
      </c>
      <c r="O165" s="33" t="e">
        <f>VLOOKUP(A1,DIV_08Data!$A$1:$DZU$1000000,2804,FALSE)</f>
        <v>#N/A</v>
      </c>
      <c r="P165" s="46" t="e">
        <f>VLOOKUP(A1,DIV_08Data!$A$1:$DZU$1000000,2805,FALSE)</f>
        <v>#N/A</v>
      </c>
      <c r="Q165" s="33" t="e">
        <f>VLOOKUP(A1,DIV_08Data!$A$1:$DZU$1000000,2806,FALSE)</f>
        <v>#N/A</v>
      </c>
    </row>
    <row r="166" spans="1:17" x14ac:dyDescent="0.35">
      <c r="A166" s="22" t="e">
        <f>VLOOKUP(A1,DIV_08Data!$A$1:$DZU$1000000,2807,FALSE)</f>
        <v>#N/A</v>
      </c>
      <c r="B166" s="37" t="e">
        <f>VLOOKUP(A1,DIV_08Data!$A$1:$DZU$1000000,2808,FALSE)</f>
        <v>#N/A</v>
      </c>
      <c r="C166" s="38" t="e">
        <f>VLOOKUP(A1,DIV_08Data!$A$1:$DZU$1000000,2809,FALSE)</f>
        <v>#N/A</v>
      </c>
      <c r="D166" s="31" t="e">
        <f>VLOOKUP(A1,DIV_08Data!$A$1:$DZU$1000000,2810,FALSE)</f>
        <v>#N/A</v>
      </c>
      <c r="E166" s="32" t="e">
        <f>VLOOKUP(A1,DIV_08Data!$A$1:$DZU$1000000,2811,FALSE)</f>
        <v>#N/A</v>
      </c>
      <c r="F166" s="34" t="e">
        <f>VLOOKUP(A1,DIV_08Data!$A$1:$DZU$1000000,2812,FALSE)</f>
        <v>#N/A</v>
      </c>
      <c r="G166" s="33" t="e">
        <f>VLOOKUP(A1,DIV_08Data!$A$1:$DZU$1000000,2813,FALSE)</f>
        <v>#N/A</v>
      </c>
      <c r="H166" s="34" t="e">
        <f>VLOOKUP(A1,DIV_08Data!$A$1:$DZU$1000000,2814,FALSE)</f>
        <v>#N/A</v>
      </c>
      <c r="I166" s="33" t="e">
        <f>VLOOKUP(A1,DIV_08Data!$A$1:$DZU$1000000,2815,FALSE)</f>
        <v>#N/A</v>
      </c>
      <c r="J166" s="34" t="e">
        <f>VLOOKUP(A1,DIV_08Data!$A$1:$DZU$1000000,2816,FALSE)</f>
        <v>#N/A</v>
      </c>
      <c r="K166" s="34" t="e">
        <f>VLOOKUP(A1,DIV_08Data!$A$1:$DZU$1000000,2817,FALSE)</f>
        <v>#N/A</v>
      </c>
      <c r="L166" s="93" t="e">
        <f>VLOOKUP(A1,DIV_08Data!$A$1:$DZU$1000000,2818,FALSE)</f>
        <v>#N/A</v>
      </c>
      <c r="M166" s="33" t="e">
        <f>VLOOKUP(A1,DIV_08Data!$A$1:$DZU$1000000,2819,FALSE)</f>
        <v>#N/A</v>
      </c>
      <c r="N166" s="34" t="e">
        <f>VLOOKUP(A1,DIV_08Data!$A$1:$DZU$1000000,2820,FALSE)</f>
        <v>#N/A</v>
      </c>
      <c r="O166" s="33" t="e">
        <f>VLOOKUP(A1,DIV_08Data!$A$1:$DZU$1000000,2821,FALSE)</f>
        <v>#N/A</v>
      </c>
      <c r="P166" s="46" t="e">
        <f>VLOOKUP(A1,DIV_08Data!$A$1:$DZU$1000000,2822,FALSE)</f>
        <v>#N/A</v>
      </c>
      <c r="Q166" s="33" t="e">
        <f>VLOOKUP(A1,DIV_08Data!$A$1:$DZU$1000000,2823,FALSE)</f>
        <v>#N/A</v>
      </c>
    </row>
    <row r="167" spans="1:17" x14ac:dyDescent="0.35">
      <c r="A167" s="22" t="e">
        <f>VLOOKUP(A1,DIV_08Data!$A$1:$DZU$1000000,2824,FALSE)</f>
        <v>#N/A</v>
      </c>
      <c r="B167" s="37" t="e">
        <f>VLOOKUP(A1,DIV_08Data!$A$1:$DZU$1000000,2825,FALSE)</f>
        <v>#N/A</v>
      </c>
      <c r="C167" s="38" t="e">
        <f>VLOOKUP(A1,DIV_08Data!$A$1:$DZU$1000000,2826,FALSE)</f>
        <v>#N/A</v>
      </c>
      <c r="D167" s="31" t="e">
        <f>VLOOKUP(A1,DIV_08Data!$A$1:$DZU$1000000,2827,FALSE)</f>
        <v>#N/A</v>
      </c>
      <c r="E167" s="32" t="e">
        <f>VLOOKUP(A1,DIV_08Data!$A$1:$DZU$1000000,2828,FALSE)</f>
        <v>#N/A</v>
      </c>
      <c r="F167" s="34" t="e">
        <f>VLOOKUP(A1,DIV_08Data!$A$1:$DZU$1000000,2829,FALSE)</f>
        <v>#N/A</v>
      </c>
      <c r="G167" s="33" t="e">
        <f>VLOOKUP(A1,DIV_08Data!$A$1:$DZU$1000000,2830,FALSE)</f>
        <v>#N/A</v>
      </c>
      <c r="H167" s="34" t="e">
        <f>VLOOKUP(A1,DIV_08Data!$A$1:$DZU$1000000,2831,FALSE)</f>
        <v>#N/A</v>
      </c>
      <c r="I167" s="33" t="e">
        <f>VLOOKUP(A1,DIV_08Data!$A$1:$DZU$1000000,2832,FALSE)</f>
        <v>#N/A</v>
      </c>
      <c r="J167" s="34" t="e">
        <f>VLOOKUP(A1,DIV_08Data!$A$1:$DZU$1000000,2833,FALSE)</f>
        <v>#N/A</v>
      </c>
      <c r="K167" s="34" t="e">
        <f>VLOOKUP(A1,DIV_08Data!$A$1:$DZU$1000000,2834,FALSE)</f>
        <v>#N/A</v>
      </c>
      <c r="L167" s="93" t="e">
        <f>VLOOKUP(A1,DIV_08Data!$A$1:$DZU$1000000,2835,FALSE)</f>
        <v>#N/A</v>
      </c>
      <c r="M167" s="33" t="e">
        <f>VLOOKUP(A1,DIV_08Data!$A$1:$DZU$1000000,2836,FALSE)</f>
        <v>#N/A</v>
      </c>
      <c r="N167" s="34" t="e">
        <f>VLOOKUP(A1,DIV_08Data!$A$1:$DZU$1000000,2837,FALSE)</f>
        <v>#N/A</v>
      </c>
      <c r="O167" s="33" t="e">
        <f>VLOOKUP(A1,DIV_08Data!$A$1:$DZU$1000000,2838,FALSE)</f>
        <v>#N/A</v>
      </c>
      <c r="P167" s="46" t="e">
        <f>VLOOKUP(A1,DIV_08Data!$A$1:$DZU$1000000,2839,FALSE)</f>
        <v>#N/A</v>
      </c>
      <c r="Q167" s="33" t="e">
        <f>VLOOKUP(A1,DIV_08Data!$A$1:$DZU$1000000,2840,FALSE)</f>
        <v>#N/A</v>
      </c>
    </row>
    <row r="168" spans="1:17" x14ac:dyDescent="0.35">
      <c r="A168" s="22" t="e">
        <f>VLOOKUP(A1,DIV_08Data!$A$1:$DZU$1000000,2841,FALSE)</f>
        <v>#N/A</v>
      </c>
      <c r="B168" s="37" t="e">
        <f>VLOOKUP(A1,DIV_08Data!$A$1:$DZU$1000000,2842,FALSE)</f>
        <v>#N/A</v>
      </c>
      <c r="C168" s="38" t="e">
        <f>VLOOKUP(A1,DIV_08Data!$A$1:$DZU$1000000,2843,FALSE)</f>
        <v>#N/A</v>
      </c>
      <c r="D168" s="31" t="e">
        <f>VLOOKUP(A1,DIV_08Data!$A$1:$DZU$1000000,2844,FALSE)</f>
        <v>#N/A</v>
      </c>
      <c r="E168" s="32" t="e">
        <f>VLOOKUP(A1,DIV_08Data!$A$1:$DZU$1000000,2845,FALSE)</f>
        <v>#N/A</v>
      </c>
      <c r="F168" s="34" t="e">
        <f>VLOOKUP(A1,DIV_08Data!$A$1:$DZU$1000000,2846,FALSE)</f>
        <v>#N/A</v>
      </c>
      <c r="G168" s="33" t="e">
        <f>VLOOKUP(A1,DIV_08Data!$A$1:$DZU$1000000,2847,FALSE)</f>
        <v>#N/A</v>
      </c>
      <c r="H168" s="34" t="e">
        <f>VLOOKUP(A1,DIV_08Data!$A$1:$DZU$1000000,2848,FALSE)</f>
        <v>#N/A</v>
      </c>
      <c r="I168" s="33" t="e">
        <f>VLOOKUP(A1,DIV_08Data!$A$1:$DZU$1000000,2849,FALSE)</f>
        <v>#N/A</v>
      </c>
      <c r="J168" s="34" t="e">
        <f>VLOOKUP(A1,DIV_08Data!$A$1:$DZU$1000000,2850,FALSE)</f>
        <v>#N/A</v>
      </c>
      <c r="K168" s="34" t="e">
        <f>VLOOKUP(A1,DIV_08Data!$A$1:$DZU$1000000,2851,FALSE)</f>
        <v>#N/A</v>
      </c>
      <c r="L168" s="93" t="e">
        <f>VLOOKUP(A1,DIV_08Data!$A$1:$DZU$1000000,2852,FALSE)</f>
        <v>#N/A</v>
      </c>
      <c r="M168" s="33" t="e">
        <f>VLOOKUP(A1,DIV_08Data!$A$1:$DZU$1000000,2853,FALSE)</f>
        <v>#N/A</v>
      </c>
      <c r="N168" s="34" t="e">
        <f>VLOOKUP(A1,DIV_08Data!$A$1:$DZU$1000000,2854,FALSE)</f>
        <v>#N/A</v>
      </c>
      <c r="O168" s="33" t="e">
        <f>VLOOKUP(A1,DIV_08Data!$A$1:$DZU$1000000,2855,FALSE)</f>
        <v>#N/A</v>
      </c>
      <c r="P168" s="46" t="e">
        <f>VLOOKUP(A1,DIV_08Data!$A$1:$DZU$1000000,2856,FALSE)</f>
        <v>#N/A</v>
      </c>
      <c r="Q168" s="33" t="e">
        <f>VLOOKUP(A1,DIV_08Data!$A$1:$DZU$1000000,2857,FALSE)</f>
        <v>#N/A</v>
      </c>
    </row>
    <row r="169" spans="1:17" x14ac:dyDescent="0.35">
      <c r="A169" s="22" t="e">
        <f>VLOOKUP(A1,DIV_08Data!$A$1:$DZU$1000000,2858,FALSE)</f>
        <v>#N/A</v>
      </c>
      <c r="B169" s="37" t="e">
        <f>VLOOKUP(A1,DIV_08Data!$A$1:$DZU$1000000,2859,FALSE)</f>
        <v>#N/A</v>
      </c>
      <c r="C169" s="38" t="e">
        <f>VLOOKUP(A1,DIV_08Data!$A$1:$DZU$1000000,2860,FALSE)</f>
        <v>#N/A</v>
      </c>
      <c r="D169" s="31" t="e">
        <f>VLOOKUP(A1,DIV_08Data!$A$1:$DZU$1000000,2861,FALSE)</f>
        <v>#N/A</v>
      </c>
      <c r="E169" s="32" t="e">
        <f>VLOOKUP(A1,DIV_08Data!$A$1:$DZU$1000000,2862,FALSE)</f>
        <v>#N/A</v>
      </c>
      <c r="F169" s="34" t="e">
        <f>VLOOKUP(A1,DIV_08Data!$A$1:$DZU$1000000,2863,FALSE)</f>
        <v>#N/A</v>
      </c>
      <c r="G169" s="33" t="e">
        <f>VLOOKUP(A1,DIV_08Data!$A$1:$DZU$1000000,2864,FALSE)</f>
        <v>#N/A</v>
      </c>
      <c r="H169" s="34" t="e">
        <f>VLOOKUP(A1,DIV_08Data!$A$1:$DZU$1000000,2865,FALSE)</f>
        <v>#N/A</v>
      </c>
      <c r="I169" s="33" t="e">
        <f>VLOOKUP(A1,DIV_08Data!$A$1:$DZU$1000000,2866,FALSE)</f>
        <v>#N/A</v>
      </c>
      <c r="J169" s="34" t="e">
        <f>VLOOKUP(A1,DIV_08Data!$A$1:$DZU$1000000,2867,FALSE)</f>
        <v>#N/A</v>
      </c>
      <c r="K169" s="34" t="e">
        <f>VLOOKUP(A1,DIV_08Data!$A$1:$DZU$1000000,2868,FALSE)</f>
        <v>#N/A</v>
      </c>
      <c r="L169" s="93" t="e">
        <f>VLOOKUP(A1,DIV_08Data!$A$1:$DZU$1000000,2869,FALSE)</f>
        <v>#N/A</v>
      </c>
      <c r="M169" s="33" t="e">
        <f>VLOOKUP(A1,DIV_08Data!$A$1:$DZU$1000000,2870,FALSE)</f>
        <v>#N/A</v>
      </c>
      <c r="N169" s="34" t="e">
        <f>VLOOKUP(A1,DIV_08Data!$A$1:$DZU$1000000,2871,FALSE)</f>
        <v>#N/A</v>
      </c>
      <c r="O169" s="33" t="e">
        <f>VLOOKUP(A1,DIV_08Data!$A$1:$DZU$1000000,2872,FALSE)</f>
        <v>#N/A</v>
      </c>
      <c r="P169" s="46" t="e">
        <f>VLOOKUP(A1,DIV_08Data!$A$1:$DZU$1000000,2873,FALSE)</f>
        <v>#N/A</v>
      </c>
      <c r="Q169" s="33" t="e">
        <f>VLOOKUP(A1,DIV_08Data!$A$1:$DZU$1000000,2874,FALSE)</f>
        <v>#N/A</v>
      </c>
    </row>
    <row r="170" spans="1:17" x14ac:dyDescent="0.35">
      <c r="A170" s="22" t="e">
        <f>VLOOKUP(A1,DIV_08Data!$A$1:$DZU$1000000,2875,FALSE)</f>
        <v>#N/A</v>
      </c>
      <c r="B170" s="37" t="e">
        <f>VLOOKUP(A1,DIV_08Data!$A$1:$DZU$1000000,2876,FALSE)</f>
        <v>#N/A</v>
      </c>
      <c r="C170" s="38" t="e">
        <f>VLOOKUP(A1,DIV_08Data!$A$1:$DZU$1000000,2877,FALSE)</f>
        <v>#N/A</v>
      </c>
      <c r="D170" s="31" t="e">
        <f>VLOOKUP(A1,DIV_08Data!$A$1:$DZU$1000000,2878,FALSE)</f>
        <v>#N/A</v>
      </c>
      <c r="E170" s="32" t="e">
        <f>VLOOKUP(A1,DIV_08Data!$A$1:$DZU$1000000,2879,FALSE)</f>
        <v>#N/A</v>
      </c>
      <c r="F170" s="34" t="e">
        <f>VLOOKUP(A1,DIV_08Data!$A$1:$DZU$1000000,2880,FALSE)</f>
        <v>#N/A</v>
      </c>
      <c r="G170" s="33" t="e">
        <f>VLOOKUP(A1,DIV_08Data!$A$1:$DZU$1000000,2881,FALSE)</f>
        <v>#N/A</v>
      </c>
      <c r="H170" s="34" t="e">
        <f>VLOOKUP(A1,DIV_08Data!$A$1:$DZU$1000000,2882,FALSE)</f>
        <v>#N/A</v>
      </c>
      <c r="I170" s="33" t="e">
        <f>VLOOKUP(A1,DIV_08Data!$A$1:$DZU$1000000,2883,FALSE)</f>
        <v>#N/A</v>
      </c>
      <c r="J170" s="34" t="e">
        <f>VLOOKUP(A1,DIV_08Data!$A$1:$DZU$1000000,2884,FALSE)</f>
        <v>#N/A</v>
      </c>
      <c r="K170" s="34" t="e">
        <f>VLOOKUP(A1,DIV_08Data!$A$1:$DZU$1000000,2885,FALSE)</f>
        <v>#N/A</v>
      </c>
      <c r="L170" s="93" t="e">
        <f>VLOOKUP(A1,DIV_08Data!$A$1:$DZU$1000000,2886,FALSE)</f>
        <v>#N/A</v>
      </c>
      <c r="M170" s="33" t="e">
        <f>VLOOKUP(A1,DIV_08Data!$A$1:$DZU$1000000,2887,FALSE)</f>
        <v>#N/A</v>
      </c>
      <c r="N170" s="34" t="e">
        <f>VLOOKUP(A1,DIV_08Data!$A$1:$DZU$1000000,2888,FALSE)</f>
        <v>#N/A</v>
      </c>
      <c r="O170" s="33" t="e">
        <f>VLOOKUP(A1,DIV_08Data!$A$1:$DZU$1000000,2889,FALSE)</f>
        <v>#N/A</v>
      </c>
      <c r="P170" s="46" t="e">
        <f>VLOOKUP(A1,DIV_08Data!$A$1:$DZU$1000000,2890,FALSE)</f>
        <v>#N/A</v>
      </c>
      <c r="Q170" s="33" t="e">
        <f>VLOOKUP(A1,DIV_08Data!$A$1:$DZU$1000000,2891,FALSE)</f>
        <v>#N/A</v>
      </c>
    </row>
    <row r="171" spans="1:17" x14ac:dyDescent="0.35">
      <c r="A171" s="22" t="e">
        <f>VLOOKUP(A1,DIV_08Data!$A$1:$DZU$1000000,2892,FALSE)</f>
        <v>#N/A</v>
      </c>
      <c r="B171" s="37" t="e">
        <f>VLOOKUP(A1,DIV_08Data!$A$1:$DZU$1000000,2893,FALSE)</f>
        <v>#N/A</v>
      </c>
      <c r="C171" s="38" t="e">
        <f>VLOOKUP(A1,DIV_08Data!$A$1:$DZU$1000000,2894,FALSE)</f>
        <v>#N/A</v>
      </c>
      <c r="D171" s="31" t="e">
        <f>VLOOKUP(A1,DIV_08Data!$A$1:$DZU$1000000,2895,FALSE)</f>
        <v>#N/A</v>
      </c>
      <c r="E171" s="32" t="e">
        <f>VLOOKUP(A1,DIV_08Data!$A$1:$DZU$1000000,2896,FALSE)</f>
        <v>#N/A</v>
      </c>
      <c r="F171" s="34" t="e">
        <f>VLOOKUP(A1,DIV_08Data!$A$1:$DZU$1000000,2897,FALSE)</f>
        <v>#N/A</v>
      </c>
      <c r="G171" s="33" t="e">
        <f>VLOOKUP(A1,DIV_08Data!$A$1:$DZU$1000000,2898,FALSE)</f>
        <v>#N/A</v>
      </c>
      <c r="H171" s="34" t="e">
        <f>VLOOKUP(A1,DIV_08Data!$A$1:$DZU$1000000,2899,FALSE)</f>
        <v>#N/A</v>
      </c>
      <c r="I171" s="33" t="e">
        <f>VLOOKUP(A1,DIV_08Data!$A$1:$DZU$1000000,2900,FALSE)</f>
        <v>#N/A</v>
      </c>
      <c r="J171" s="34" t="e">
        <f>VLOOKUP(A1,DIV_08Data!$A$1:$DZU$1000000,2901,FALSE)</f>
        <v>#N/A</v>
      </c>
      <c r="K171" s="34" t="e">
        <f>VLOOKUP(A1,DIV_08Data!$A$1:$DZU$1000000,2902,FALSE)</f>
        <v>#N/A</v>
      </c>
      <c r="L171" s="93" t="e">
        <f>VLOOKUP(A1,DIV_08Data!$A$1:$DZU$1000000,2903,FALSE)</f>
        <v>#N/A</v>
      </c>
      <c r="M171" s="33" t="e">
        <f>VLOOKUP(A1,DIV_08Data!$A$1:$DZU$1000000,2904,FALSE)</f>
        <v>#N/A</v>
      </c>
      <c r="N171" s="34" t="e">
        <f>VLOOKUP(A1,DIV_08Data!$A$1:$DZU$1000000,2905,FALSE)</f>
        <v>#N/A</v>
      </c>
      <c r="O171" s="33" t="e">
        <f>VLOOKUP(A1,DIV_08Data!$A$1:$DZU$1000000,2906,FALSE)</f>
        <v>#N/A</v>
      </c>
      <c r="P171" s="46" t="e">
        <f>VLOOKUP(A1,DIV_08Data!$A$1:$DZU$1000000,2907,FALSE)</f>
        <v>#N/A</v>
      </c>
      <c r="Q171" s="33" t="e">
        <f>VLOOKUP(A1,DIV_08Data!$A$1:$DZU$1000000,2908,FALSE)</f>
        <v>#N/A</v>
      </c>
    </row>
    <row r="172" spans="1:17" x14ac:dyDescent="0.35">
      <c r="A172" s="22" t="e">
        <f>VLOOKUP(A1,DIV_08Data!$A$1:$DZU$1000000,2909,FALSE)</f>
        <v>#N/A</v>
      </c>
      <c r="B172" s="37" t="e">
        <f>VLOOKUP(A1,DIV_08Data!$A$1:$DZU$1000000,2910,FALSE)</f>
        <v>#N/A</v>
      </c>
      <c r="C172" s="38" t="e">
        <f>VLOOKUP(A1,DIV_08Data!$A$1:$DZU$1000000,2911,FALSE)</f>
        <v>#N/A</v>
      </c>
      <c r="D172" s="31" t="e">
        <f>VLOOKUP(A1,DIV_08Data!$A$1:$DZU$1000000,2912,FALSE)</f>
        <v>#N/A</v>
      </c>
      <c r="E172" s="32" t="e">
        <f>VLOOKUP(A1,DIV_08Data!$A$1:$DZU$1000000,2913,FALSE)</f>
        <v>#N/A</v>
      </c>
      <c r="F172" s="34" t="e">
        <f>VLOOKUP(A1,DIV_08Data!$A$1:$DZU$1000000,2914,FALSE)</f>
        <v>#N/A</v>
      </c>
      <c r="G172" s="33" t="e">
        <f>VLOOKUP(A1,DIV_08Data!$A$1:$DZU$1000000,2915,FALSE)</f>
        <v>#N/A</v>
      </c>
      <c r="H172" s="34" t="e">
        <f>VLOOKUP(A1,DIV_08Data!$A$1:$DZU$1000000,2916,FALSE)</f>
        <v>#N/A</v>
      </c>
      <c r="I172" s="33" t="e">
        <f>VLOOKUP(A1,DIV_08Data!$A$1:$DZU$1000000,2917,FALSE)</f>
        <v>#N/A</v>
      </c>
      <c r="J172" s="34" t="e">
        <f>VLOOKUP(A1,DIV_08Data!$A$1:$DZU$1000000,2918,FALSE)</f>
        <v>#N/A</v>
      </c>
      <c r="K172" s="34" t="e">
        <f>VLOOKUP(A1,DIV_08Data!$A$1:$DZU$1000000,2919,FALSE)</f>
        <v>#N/A</v>
      </c>
      <c r="L172" s="93" t="e">
        <f>VLOOKUP(A1,DIV_08Data!$A$1:$DZU$1000000,2920,FALSE)</f>
        <v>#N/A</v>
      </c>
      <c r="M172" s="33" t="e">
        <f>VLOOKUP(A1,DIV_08Data!$A$1:$DZU$1000000,2921,FALSE)</f>
        <v>#N/A</v>
      </c>
      <c r="N172" s="34" t="e">
        <f>VLOOKUP(A1,DIV_08Data!$A$1:$DZU$1000000,2922,FALSE)</f>
        <v>#N/A</v>
      </c>
      <c r="O172" s="33" t="e">
        <f>VLOOKUP(A1,DIV_08Data!$A$1:$DZU$1000000,2923,FALSE)</f>
        <v>#N/A</v>
      </c>
      <c r="P172" s="46" t="e">
        <f>VLOOKUP(A1,DIV_08Data!$A$1:$DZU$1000000,2924,FALSE)</f>
        <v>#N/A</v>
      </c>
      <c r="Q172" s="33" t="e">
        <f>VLOOKUP(A1,DIV_08Data!$A$1:$DZU$1000000,2925,FALSE)</f>
        <v>#N/A</v>
      </c>
    </row>
    <row r="173" spans="1:17" x14ac:dyDescent="0.35">
      <c r="A173" s="22" t="e">
        <f>VLOOKUP(A1,DIV_08Data!$A$1:$DZU$1000000,2926,FALSE)</f>
        <v>#N/A</v>
      </c>
      <c r="B173" s="37" t="e">
        <f>VLOOKUP(A1,DIV_08Data!$A$1:$DZU$1000000,2927,FALSE)</f>
        <v>#N/A</v>
      </c>
      <c r="C173" s="38" t="e">
        <f>VLOOKUP(A1,DIV_08Data!$A$1:$DZU$1000000,2928,FALSE)</f>
        <v>#N/A</v>
      </c>
      <c r="D173" s="31" t="e">
        <f>VLOOKUP(A1,DIV_08Data!$A$1:$DZU$1000000,2929,FALSE)</f>
        <v>#N/A</v>
      </c>
      <c r="E173" s="32" t="e">
        <f>VLOOKUP(A1,DIV_08Data!$A$1:$DZU$1000000,2930,FALSE)</f>
        <v>#N/A</v>
      </c>
      <c r="F173" s="34" t="e">
        <f>VLOOKUP(A1,DIV_08Data!$A$1:$DZU$1000000,2931,FALSE)</f>
        <v>#N/A</v>
      </c>
      <c r="G173" s="33" t="e">
        <f>VLOOKUP(A1,DIV_08Data!$A$1:$DZU$1000000,2932,FALSE)</f>
        <v>#N/A</v>
      </c>
      <c r="H173" s="34" t="e">
        <f>VLOOKUP(A1,DIV_08Data!$A$1:$DZU$1000000,2933,FALSE)</f>
        <v>#N/A</v>
      </c>
      <c r="I173" s="33" t="e">
        <f>VLOOKUP(A1,DIV_08Data!$A$1:$DZU$1000000,2934,FALSE)</f>
        <v>#N/A</v>
      </c>
      <c r="J173" s="34" t="e">
        <f>VLOOKUP(A1,DIV_08Data!$A$1:$DZU$1000000,2935,FALSE)</f>
        <v>#N/A</v>
      </c>
      <c r="K173" s="34" t="e">
        <f>VLOOKUP(A1,DIV_08Data!$A$1:$DZU$1000000,2936,FALSE)</f>
        <v>#N/A</v>
      </c>
      <c r="L173" s="93" t="e">
        <f>VLOOKUP(A1,DIV_08Data!$A$1:$DZU$1000000,2937,FALSE)</f>
        <v>#N/A</v>
      </c>
      <c r="M173" s="33" t="e">
        <f>VLOOKUP(A1,DIV_08Data!$A$1:$DZU$1000000,2938,FALSE)</f>
        <v>#N/A</v>
      </c>
      <c r="N173" s="34" t="e">
        <f>VLOOKUP(A1,DIV_08Data!$A$1:$DZU$1000000,2939,FALSE)</f>
        <v>#N/A</v>
      </c>
      <c r="O173" s="33" t="e">
        <f>VLOOKUP(A1,DIV_08Data!$A$1:$DZU$1000000,2940,FALSE)</f>
        <v>#N/A</v>
      </c>
      <c r="P173" s="46" t="e">
        <f>VLOOKUP(A1,DIV_08Data!$A$1:$DZU$1000000,2941,FALSE)</f>
        <v>#N/A</v>
      </c>
      <c r="Q173" s="33" t="e">
        <f>VLOOKUP(A1,DIV_08Data!$A$1:$DZU$1000000,2942,FALSE)</f>
        <v>#N/A</v>
      </c>
    </row>
    <row r="174" spans="1:17" x14ac:dyDescent="0.35">
      <c r="A174" s="22" t="e">
        <f>VLOOKUP(A1,DIV_08Data!$A$1:$DZU$1000000,2943,FALSE)</f>
        <v>#N/A</v>
      </c>
      <c r="B174" s="37" t="e">
        <f>VLOOKUP(A1,DIV_08Data!$A$1:$DZU$1000000,2944,FALSE)</f>
        <v>#N/A</v>
      </c>
      <c r="C174" s="38" t="e">
        <f>VLOOKUP(A1,DIV_08Data!$A$1:$DZU$1000000,2945,FALSE)</f>
        <v>#N/A</v>
      </c>
      <c r="D174" s="31" t="e">
        <f>VLOOKUP(A1,DIV_08Data!$A$1:$DZU$1000000,2946,FALSE)</f>
        <v>#N/A</v>
      </c>
      <c r="E174" s="32" t="e">
        <f>VLOOKUP(A1,DIV_08Data!$A$1:$DZU$1000000,2947,FALSE)</f>
        <v>#N/A</v>
      </c>
      <c r="F174" s="34" t="e">
        <f>VLOOKUP(A1,DIV_08Data!$A$1:$DZU$1000000,2948,FALSE)</f>
        <v>#N/A</v>
      </c>
      <c r="G174" s="33" t="e">
        <f>VLOOKUP(A1,DIV_08Data!$A$1:$DZU$1000000,2949,FALSE)</f>
        <v>#N/A</v>
      </c>
      <c r="H174" s="34" t="e">
        <f>VLOOKUP(A1,DIV_08Data!$A$1:$DZU$1000000,2950,FALSE)</f>
        <v>#N/A</v>
      </c>
      <c r="I174" s="33" t="e">
        <f>VLOOKUP(A1,DIV_08Data!$A$1:$DZU$1000000,2951,FALSE)</f>
        <v>#N/A</v>
      </c>
      <c r="J174" s="34" t="e">
        <f>VLOOKUP(A1,DIV_08Data!$A$1:$DZU$1000000,2952,FALSE)</f>
        <v>#N/A</v>
      </c>
      <c r="K174" s="34" t="e">
        <f>VLOOKUP(A1,DIV_08Data!$A$1:$DZU$1000000,2953,FALSE)</f>
        <v>#N/A</v>
      </c>
      <c r="L174" s="93" t="e">
        <f>VLOOKUP(A1,DIV_08Data!$A$1:$DZU$1000000,2954,FALSE)</f>
        <v>#N/A</v>
      </c>
      <c r="M174" s="33" t="e">
        <f>VLOOKUP(A1,DIV_08Data!$A$1:$DZU$1000000,2955,FALSE)</f>
        <v>#N/A</v>
      </c>
      <c r="N174" s="34" t="e">
        <f>VLOOKUP(A1,DIV_08Data!$A$1:$DZU$1000000,2956,FALSE)</f>
        <v>#N/A</v>
      </c>
      <c r="O174" s="33" t="e">
        <f>VLOOKUP(A1,DIV_08Data!$A$1:$DZU$1000000,2957,FALSE)</f>
        <v>#N/A</v>
      </c>
      <c r="P174" s="46" t="e">
        <f>VLOOKUP(A1,DIV_08Data!$A$1:$DZU$1000000,2958,FALSE)</f>
        <v>#N/A</v>
      </c>
      <c r="Q174" s="33" t="e">
        <f>VLOOKUP(A1,DIV_08Data!$A$1:$DZU$1000000,2959,FALSE)</f>
        <v>#N/A</v>
      </c>
    </row>
    <row r="175" spans="1:17" x14ac:dyDescent="0.35">
      <c r="A175" s="22" t="e">
        <f>VLOOKUP(A1,DIV_08Data!$A$1:$DZU$1000000,2960,FALSE)</f>
        <v>#N/A</v>
      </c>
      <c r="B175" s="37" t="e">
        <f>VLOOKUP(A1,DIV_08Data!$A$1:$DZU$1000000,2961,FALSE)</f>
        <v>#N/A</v>
      </c>
      <c r="C175" s="38" t="e">
        <f>VLOOKUP(A1,DIV_08Data!$A$1:$DZU$1000000,2962,FALSE)</f>
        <v>#N/A</v>
      </c>
      <c r="D175" s="31" t="e">
        <f>VLOOKUP(A1,DIV_08Data!$A$1:$DZU$1000000,2963,FALSE)</f>
        <v>#N/A</v>
      </c>
      <c r="E175" s="32" t="e">
        <f>VLOOKUP(A1,DIV_08Data!$A$1:$DZU$1000000,2964,FALSE)</f>
        <v>#N/A</v>
      </c>
      <c r="F175" s="34" t="e">
        <f>VLOOKUP(A1,DIV_08Data!$A$1:$DZU$1000000,2965,FALSE)</f>
        <v>#N/A</v>
      </c>
      <c r="G175" s="33" t="e">
        <f>VLOOKUP(A1,DIV_08Data!$A$1:$DZU$1000000,2966,FALSE)</f>
        <v>#N/A</v>
      </c>
      <c r="H175" s="34" t="e">
        <f>VLOOKUP(A1,DIV_08Data!$A$1:$DZU$1000000,2967,FALSE)</f>
        <v>#N/A</v>
      </c>
      <c r="I175" s="33" t="e">
        <f>VLOOKUP(A1,DIV_08Data!$A$1:$DZU$1000000,2968,FALSE)</f>
        <v>#N/A</v>
      </c>
      <c r="J175" s="34" t="e">
        <f>VLOOKUP(A1,DIV_08Data!$A$1:$DZU$1000000,2969,FALSE)</f>
        <v>#N/A</v>
      </c>
      <c r="K175" s="34" t="e">
        <f>VLOOKUP(A1,DIV_08Data!$A$1:$DZU$1000000,2970,FALSE)</f>
        <v>#N/A</v>
      </c>
      <c r="L175" s="93" t="e">
        <f>VLOOKUP(A1,DIV_08Data!$A$1:$DZU$1000000,2971,FALSE)</f>
        <v>#N/A</v>
      </c>
      <c r="M175" s="33" t="e">
        <f>VLOOKUP(A1,DIV_08Data!$A$1:$DZU$1000000,2972,FALSE)</f>
        <v>#N/A</v>
      </c>
      <c r="N175" s="34" t="e">
        <f>VLOOKUP(A1,DIV_08Data!$A$1:$DZU$1000000,2973,FALSE)</f>
        <v>#N/A</v>
      </c>
      <c r="O175" s="33" t="e">
        <f>VLOOKUP(A1,DIV_08Data!$A$1:$DZU$1000000,2974,FALSE)</f>
        <v>#N/A</v>
      </c>
      <c r="P175" s="46" t="e">
        <f>VLOOKUP(A1,DIV_08Data!$A$1:$DZU$1000000,2975,FALSE)</f>
        <v>#N/A</v>
      </c>
      <c r="Q175" s="33" t="e">
        <f>VLOOKUP(A1,DIV_08Data!$A$1:$DZU$1000000,2976,FALSE)</f>
        <v>#N/A</v>
      </c>
    </row>
    <row r="176" spans="1:17" x14ac:dyDescent="0.35">
      <c r="A176" s="22" t="e">
        <f>VLOOKUP(A1,DIV_08Data!$A$1:$DZU$1000000,2977,FALSE)</f>
        <v>#N/A</v>
      </c>
      <c r="B176" s="37" t="e">
        <f>VLOOKUP(A1,DIV_08Data!$A$1:$DZU$1000000,2978,FALSE)</f>
        <v>#N/A</v>
      </c>
      <c r="C176" s="38" t="e">
        <f>VLOOKUP(A1,DIV_08Data!$A$1:$DZU$1000000,2979,FALSE)</f>
        <v>#N/A</v>
      </c>
      <c r="D176" s="31" t="e">
        <f>VLOOKUP(A1,DIV_08Data!$A$1:$DZU$1000000,2980,FALSE)</f>
        <v>#N/A</v>
      </c>
      <c r="E176" s="32" t="e">
        <f>VLOOKUP(A1,DIV_08Data!$A$1:$DZU$1000000,2981,FALSE)</f>
        <v>#N/A</v>
      </c>
      <c r="F176" s="34" t="e">
        <f>VLOOKUP(A1,DIV_08Data!$A$1:$DZU$1000000,2982,FALSE)</f>
        <v>#N/A</v>
      </c>
      <c r="G176" s="33" t="e">
        <f>VLOOKUP(A1,DIV_08Data!$A$1:$DZU$1000000,2983,FALSE)</f>
        <v>#N/A</v>
      </c>
      <c r="H176" s="34" t="e">
        <f>VLOOKUP(A1,DIV_08Data!$A$1:$DZU$1000000,2984,FALSE)</f>
        <v>#N/A</v>
      </c>
      <c r="I176" s="33" t="e">
        <f>VLOOKUP(A1,DIV_08Data!$A$1:$DZU$1000000,2985,FALSE)</f>
        <v>#N/A</v>
      </c>
      <c r="J176" s="34" t="e">
        <f>VLOOKUP(A1,DIV_08Data!$A$1:$DZU$1000000,2986,FALSE)</f>
        <v>#N/A</v>
      </c>
      <c r="K176" s="34" t="e">
        <f>VLOOKUP(A1,DIV_08Data!$A$1:$DZU$1000000,2987,FALSE)</f>
        <v>#N/A</v>
      </c>
      <c r="L176" s="93" t="e">
        <f>VLOOKUP(A1,DIV_08Data!$A$1:$DZU$1000000,2988,FALSE)</f>
        <v>#N/A</v>
      </c>
      <c r="M176" s="33" t="e">
        <f>VLOOKUP(A1,DIV_08Data!$A$1:$DZU$1000000,2989,FALSE)</f>
        <v>#N/A</v>
      </c>
      <c r="N176" s="34" t="e">
        <f>VLOOKUP(A1,DIV_08Data!$A$1:$DZU$1000000,2990,FALSE)</f>
        <v>#N/A</v>
      </c>
      <c r="O176" s="33" t="e">
        <f>VLOOKUP(A1,DIV_08Data!$A$1:$DZU$1000000,2991,FALSE)</f>
        <v>#N/A</v>
      </c>
      <c r="P176" s="46" t="e">
        <f>VLOOKUP(A1,DIV_08Data!$A$1:$DZU$1000000,2992,FALSE)</f>
        <v>#N/A</v>
      </c>
      <c r="Q176" s="33" t="e">
        <f>VLOOKUP(A1,DIV_08Data!$A$1:$DZU$1000000,2993,FALSE)</f>
        <v>#N/A</v>
      </c>
    </row>
    <row r="177" spans="1:17" x14ac:dyDescent="0.35">
      <c r="A177" s="22" t="e">
        <f>VLOOKUP(A1,DIV_08Data!$A$1:$DZU$1000000,2994,FALSE)</f>
        <v>#N/A</v>
      </c>
      <c r="B177" s="37" t="e">
        <f>VLOOKUP(A1,DIV_08Data!$A$1:$DZU$1000000,2995,FALSE)</f>
        <v>#N/A</v>
      </c>
      <c r="C177" s="38" t="e">
        <f>VLOOKUP(A1,DIV_08Data!$A$1:$DZU$1000000,2996,FALSE)</f>
        <v>#N/A</v>
      </c>
      <c r="D177" s="31" t="e">
        <f>VLOOKUP(A1,DIV_08Data!$A$1:$DZU$1000000,2997,FALSE)</f>
        <v>#N/A</v>
      </c>
      <c r="E177" s="32" t="e">
        <f>VLOOKUP(A1,DIV_08Data!$A$1:$DZU$1000000,2998,FALSE)</f>
        <v>#N/A</v>
      </c>
      <c r="F177" s="34" t="e">
        <f>VLOOKUP(A1,DIV_08Data!$A$1:$DZU$1000000,2999,FALSE)</f>
        <v>#N/A</v>
      </c>
      <c r="G177" s="33" t="e">
        <f>VLOOKUP(A1,DIV_08Data!$A$1:$DZU$1000000,3000,FALSE)</f>
        <v>#N/A</v>
      </c>
      <c r="H177" s="34" t="e">
        <f>VLOOKUP(A1,DIV_08Data!$A$1:$DZU$1000000,3001,FALSE)</f>
        <v>#N/A</v>
      </c>
      <c r="I177" s="33" t="e">
        <f>VLOOKUP(A1,DIV_08Data!$A$1:$DZU$1000000,3002,FALSE)</f>
        <v>#N/A</v>
      </c>
      <c r="J177" s="34" t="e">
        <f>VLOOKUP(A1,DIV_08Data!$A$1:$DZU$1000000,3003,FALSE)</f>
        <v>#N/A</v>
      </c>
      <c r="K177" s="34" t="e">
        <f>VLOOKUP(A1,DIV_08Data!$A$1:$DZU$1000000,3004,FALSE)</f>
        <v>#N/A</v>
      </c>
      <c r="L177" s="93" t="e">
        <f>VLOOKUP(A1,DIV_08Data!$A$1:$DZU$1000000,3005,FALSE)</f>
        <v>#N/A</v>
      </c>
      <c r="M177" s="33" t="e">
        <f>VLOOKUP(A1,DIV_08Data!$A$1:$DZU$1000000,3006,FALSE)</f>
        <v>#N/A</v>
      </c>
      <c r="N177" s="34" t="e">
        <f>VLOOKUP(A1,DIV_08Data!$A$1:$DZU$1000000,3007,FALSE)</f>
        <v>#N/A</v>
      </c>
      <c r="O177" s="33" t="e">
        <f>VLOOKUP(A1,DIV_08Data!$A$1:$DZU$1000000,3008,FALSE)</f>
        <v>#N/A</v>
      </c>
      <c r="P177" s="46" t="e">
        <f>VLOOKUP(A1,DIV_08Data!$A$1:$DZU$1000000,3009,FALSE)</f>
        <v>#N/A</v>
      </c>
      <c r="Q177" s="33" t="e">
        <f>VLOOKUP(A1,DIV_08Data!$A$1:$DZU$1000000,3010,FALSE)</f>
        <v>#N/A</v>
      </c>
    </row>
    <row r="178" spans="1:17" x14ac:dyDescent="0.35">
      <c r="A178" s="22" t="e">
        <f>VLOOKUP(A1,DIV_08Data!$A$1:$DZU$1000000,3011,FALSE)</f>
        <v>#N/A</v>
      </c>
      <c r="B178" s="37" t="e">
        <f>VLOOKUP(A1,DIV_08Data!$A$1:$DZU$1000000,3012,FALSE)</f>
        <v>#N/A</v>
      </c>
      <c r="C178" s="38" t="e">
        <f>VLOOKUP(A1,DIV_08Data!$A$1:$DZU$1000000,3013,FALSE)</f>
        <v>#N/A</v>
      </c>
      <c r="D178" s="31" t="e">
        <f>VLOOKUP(A1,DIV_08Data!$A$1:$DZU$1000000,3014,FALSE)</f>
        <v>#N/A</v>
      </c>
      <c r="E178" s="32" t="e">
        <f>VLOOKUP(A1,DIV_08Data!$A$1:$DZU$1000000,3015,FALSE)</f>
        <v>#N/A</v>
      </c>
      <c r="F178" s="34" t="e">
        <f>VLOOKUP(A1,DIV_08Data!$A$1:$DZU$1000000,3016,FALSE)</f>
        <v>#N/A</v>
      </c>
      <c r="G178" s="33" t="e">
        <f>VLOOKUP(A1,DIV_08Data!$A$1:$DZU$1000000,3017,FALSE)</f>
        <v>#N/A</v>
      </c>
      <c r="H178" s="34" t="e">
        <f>VLOOKUP(A1,DIV_08Data!$A$1:$DZU$1000000,3018,FALSE)</f>
        <v>#N/A</v>
      </c>
      <c r="I178" s="33" t="e">
        <f>VLOOKUP(A1,DIV_08Data!$A$1:$DZU$1000000,3019,FALSE)</f>
        <v>#N/A</v>
      </c>
      <c r="J178" s="34" t="e">
        <f>VLOOKUP(A1,DIV_08Data!$A$1:$DZU$1000000,3020,FALSE)</f>
        <v>#N/A</v>
      </c>
      <c r="K178" s="34" t="e">
        <f>VLOOKUP(A1,DIV_08Data!$A$1:$DZU$1000000,3021,FALSE)</f>
        <v>#N/A</v>
      </c>
      <c r="L178" s="93" t="e">
        <f>VLOOKUP(A1,DIV_08Data!$A$1:$DZU$1000000,3022,FALSE)</f>
        <v>#N/A</v>
      </c>
      <c r="M178" s="33" t="e">
        <f>VLOOKUP(A1,DIV_08Data!$A$1:$DZU$1000000,3023,FALSE)</f>
        <v>#N/A</v>
      </c>
      <c r="N178" s="34" t="e">
        <f>VLOOKUP(A1,DIV_08Data!$A$1:$DZU$1000000,3024,FALSE)</f>
        <v>#N/A</v>
      </c>
      <c r="O178" s="33" t="e">
        <f>VLOOKUP(A1,DIV_08Data!$A$1:$DZU$1000000,3025,FALSE)</f>
        <v>#N/A</v>
      </c>
      <c r="P178" s="46" t="e">
        <f>VLOOKUP(A1,DIV_08Data!$A$1:$DZU$1000000,3026,FALSE)</f>
        <v>#N/A</v>
      </c>
      <c r="Q178" s="33" t="e">
        <f>VLOOKUP(A1,DIV_08Data!$A$1:$DZU$1000000,3027,FALSE)</f>
        <v>#N/A</v>
      </c>
    </row>
    <row r="179" spans="1:17" x14ac:dyDescent="0.35">
      <c r="A179" s="22" t="e">
        <f>VLOOKUP(A1,DIV_08Data!$A$1:$DZU$1000000,3028,FALSE)</f>
        <v>#N/A</v>
      </c>
      <c r="B179" s="37" t="e">
        <f>VLOOKUP(A1,DIV_08Data!$A$1:$DZU$1000000,3029,FALSE)</f>
        <v>#N/A</v>
      </c>
      <c r="C179" s="38" t="e">
        <f>VLOOKUP(A1,DIV_08Data!$A$1:$DZU$1000000,3030,FALSE)</f>
        <v>#N/A</v>
      </c>
      <c r="D179" s="31" t="e">
        <f>VLOOKUP(A1,DIV_08Data!$A$1:$DZU$1000000,3031,FALSE)</f>
        <v>#N/A</v>
      </c>
      <c r="E179" s="32" t="e">
        <f>VLOOKUP(A1,DIV_08Data!$A$1:$DZU$1000000,3032,FALSE)</f>
        <v>#N/A</v>
      </c>
      <c r="F179" s="34" t="e">
        <f>VLOOKUP(A1,DIV_08Data!$A$1:$DZU$1000000,3033,FALSE)</f>
        <v>#N/A</v>
      </c>
      <c r="G179" s="33" t="e">
        <f>VLOOKUP(A1,DIV_08Data!$A$1:$DZU$1000000,3034,FALSE)</f>
        <v>#N/A</v>
      </c>
      <c r="H179" s="34" t="e">
        <f>VLOOKUP(A1,DIV_08Data!$A$1:$DZU$1000000,3035,FALSE)</f>
        <v>#N/A</v>
      </c>
      <c r="I179" s="33" t="e">
        <f>VLOOKUP(A1,DIV_08Data!$A$1:$DZU$1000000,3036,FALSE)</f>
        <v>#N/A</v>
      </c>
      <c r="J179" s="34" t="e">
        <f>VLOOKUP(A1,DIV_08Data!$A$1:$DZU$1000000,3037,FALSE)</f>
        <v>#N/A</v>
      </c>
      <c r="K179" s="34" t="e">
        <f>VLOOKUP(A1,DIV_08Data!$A$1:$DZU$1000000,3038,FALSE)</f>
        <v>#N/A</v>
      </c>
      <c r="L179" s="93" t="e">
        <f>VLOOKUP(A1,DIV_08Data!$A$1:$DZU$1000000,3039,FALSE)</f>
        <v>#N/A</v>
      </c>
      <c r="M179" s="33" t="e">
        <f>VLOOKUP(A1,DIV_08Data!$A$1:$DZU$1000000,3040,FALSE)</f>
        <v>#N/A</v>
      </c>
      <c r="N179" s="34" t="e">
        <f>VLOOKUP(A1,DIV_08Data!$A$1:$DZU$1000000,3041,FALSE)</f>
        <v>#N/A</v>
      </c>
      <c r="O179" s="33" t="e">
        <f>VLOOKUP(A1,DIV_08Data!$A$1:$DZU$1000000,3042,FALSE)</f>
        <v>#N/A</v>
      </c>
      <c r="P179" s="46" t="e">
        <f>VLOOKUP(A1,DIV_08Data!$A$1:$DZU$1000000,3043,FALSE)</f>
        <v>#N/A</v>
      </c>
      <c r="Q179" s="33" t="e">
        <f>VLOOKUP(A1,DIV_08Data!$A$1:$DZU$1000000,3044,FALSE)</f>
        <v>#N/A</v>
      </c>
    </row>
    <row r="180" spans="1:17" x14ac:dyDescent="0.35">
      <c r="A180" s="22" t="e">
        <f>VLOOKUP(A1,DIV_08Data!$A$1:$DZU$1000000,3045,FALSE)</f>
        <v>#N/A</v>
      </c>
      <c r="B180" s="37" t="e">
        <f>VLOOKUP(A1,DIV_08Data!$A$1:$DZU$1000000,3046,FALSE)</f>
        <v>#N/A</v>
      </c>
      <c r="C180" s="38" t="e">
        <f>VLOOKUP(A1,DIV_08Data!$A$1:$DZU$1000000,3047,FALSE)</f>
        <v>#N/A</v>
      </c>
      <c r="D180" s="31" t="e">
        <f>VLOOKUP(A1,DIV_08Data!$A$1:$DZU$1000000,3048,FALSE)</f>
        <v>#N/A</v>
      </c>
      <c r="E180" s="32" t="e">
        <f>VLOOKUP(A1,DIV_08Data!$A$1:$DZU$1000000,3049,FALSE)</f>
        <v>#N/A</v>
      </c>
      <c r="F180" s="34" t="e">
        <f>VLOOKUP(A1,DIV_08Data!$A$1:$DZU$1000000,3050,FALSE)</f>
        <v>#N/A</v>
      </c>
      <c r="G180" s="33" t="e">
        <f>VLOOKUP(A1,DIV_08Data!$A$1:$DZU$1000000,3051,FALSE)</f>
        <v>#N/A</v>
      </c>
      <c r="H180" s="34" t="e">
        <f>VLOOKUP(A1,DIV_08Data!$A$1:$DZU$1000000,3052,FALSE)</f>
        <v>#N/A</v>
      </c>
      <c r="I180" s="33" t="e">
        <f>VLOOKUP(A1,DIV_08Data!$A$1:$DZU$1000000,3053,FALSE)</f>
        <v>#N/A</v>
      </c>
      <c r="J180" s="34" t="e">
        <f>VLOOKUP(A1,DIV_08Data!$A$1:$DZU$1000000,3054,FALSE)</f>
        <v>#N/A</v>
      </c>
      <c r="K180" s="34" t="e">
        <f>VLOOKUP(A1,DIV_08Data!$A$1:$DZU$1000000,3055,FALSE)</f>
        <v>#N/A</v>
      </c>
      <c r="L180" s="93" t="e">
        <f>VLOOKUP(A1,DIV_08Data!$A$1:$DZU$1000000,3056,FALSE)</f>
        <v>#N/A</v>
      </c>
      <c r="M180" s="33" t="e">
        <f>VLOOKUP(A1,DIV_08Data!$A$1:$DZU$1000000,3057,FALSE)</f>
        <v>#N/A</v>
      </c>
      <c r="N180" s="34" t="e">
        <f>VLOOKUP(A1,DIV_08Data!$A$1:$DZU$1000000,3058,FALSE)</f>
        <v>#N/A</v>
      </c>
      <c r="O180" s="33" t="e">
        <f>VLOOKUP(A1,DIV_08Data!$A$1:$DZU$1000000,3059,FALSE)</f>
        <v>#N/A</v>
      </c>
      <c r="P180" s="46" t="e">
        <f>VLOOKUP(A1,DIV_08Data!$A$1:$DZU$1000000,3060,FALSE)</f>
        <v>#N/A</v>
      </c>
      <c r="Q180" s="33" t="e">
        <f>VLOOKUP(A1,DIV_08Data!$A$1:$DZU$1000000,3061,FALSE)</f>
        <v>#N/A</v>
      </c>
    </row>
    <row r="181" spans="1:17" x14ac:dyDescent="0.35">
      <c r="A181" s="22" t="e">
        <f>VLOOKUP(A1,DIV_08Data!$A$1:$DZU$1000000,3062,FALSE)</f>
        <v>#N/A</v>
      </c>
      <c r="B181" s="37" t="e">
        <f>VLOOKUP(A1,DIV_08Data!$A$1:$DZU$1000000,3063,FALSE)</f>
        <v>#N/A</v>
      </c>
      <c r="C181" s="38" t="e">
        <f>VLOOKUP(A1,DIV_08Data!$A$1:$DZU$1000000,3064,FALSE)</f>
        <v>#N/A</v>
      </c>
      <c r="D181" s="31" t="e">
        <f>VLOOKUP(A1,DIV_08Data!$A$1:$DZU$1000000,3065,FALSE)</f>
        <v>#N/A</v>
      </c>
      <c r="E181" s="32" t="e">
        <f>VLOOKUP(A1,DIV_08Data!$A$1:$DZU$1000000,3066,FALSE)</f>
        <v>#N/A</v>
      </c>
      <c r="F181" s="34" t="e">
        <f>VLOOKUP(A1,DIV_08Data!$A$1:$DZU$1000000,3067,FALSE)</f>
        <v>#N/A</v>
      </c>
      <c r="G181" s="33" t="e">
        <f>VLOOKUP(A1,DIV_08Data!$A$1:$DZU$1000000,3068,FALSE)</f>
        <v>#N/A</v>
      </c>
      <c r="H181" s="34" t="e">
        <f>VLOOKUP(A1,DIV_08Data!$A$1:$DZU$1000000,3069,FALSE)</f>
        <v>#N/A</v>
      </c>
      <c r="I181" s="33" t="e">
        <f>VLOOKUP(A1,DIV_08Data!$A$1:$DZU$1000000,3070,FALSE)</f>
        <v>#N/A</v>
      </c>
      <c r="J181" s="34" t="e">
        <f>VLOOKUP(A1,DIV_08Data!$A$1:$DZU$1000000,3071,FALSE)</f>
        <v>#N/A</v>
      </c>
      <c r="K181" s="34" t="e">
        <f>VLOOKUP(A1,DIV_08Data!$A$1:$DZU$1000000,3072,FALSE)</f>
        <v>#N/A</v>
      </c>
      <c r="L181" s="93" t="e">
        <f>VLOOKUP(A1,DIV_08Data!$A$1:$DZU$1000000,3073,FALSE)</f>
        <v>#N/A</v>
      </c>
      <c r="M181" s="33" t="e">
        <f>VLOOKUP(A1,DIV_08Data!$A$1:$DZU$1000000,3074,FALSE)</f>
        <v>#N/A</v>
      </c>
      <c r="N181" s="34" t="e">
        <f>VLOOKUP(A1,DIV_08Data!$A$1:$DZU$1000000,3075,FALSE)</f>
        <v>#N/A</v>
      </c>
      <c r="O181" s="33" t="e">
        <f>VLOOKUP(A1,DIV_08Data!$A$1:$DZU$1000000,3076,FALSE)</f>
        <v>#N/A</v>
      </c>
      <c r="P181" s="46" t="e">
        <f>VLOOKUP(A1,DIV_08Data!$A$1:$DZU$1000000,3077,FALSE)</f>
        <v>#N/A</v>
      </c>
      <c r="Q181" s="33" t="e">
        <f>VLOOKUP(A1,DIV_08Data!$A$1:$DZU$1000000,3078,FALSE)</f>
        <v>#N/A</v>
      </c>
    </row>
    <row r="182" spans="1:17" x14ac:dyDescent="0.35">
      <c r="A182" s="22" t="e">
        <f>VLOOKUP(A1,DIV_08Data!$A$1:$DZU$1000000,3079,FALSE)</f>
        <v>#N/A</v>
      </c>
      <c r="B182" s="37" t="e">
        <f>VLOOKUP(A1,DIV_08Data!$A$1:$DZU$1000000,3080,FALSE)</f>
        <v>#N/A</v>
      </c>
      <c r="C182" s="38" t="e">
        <f>VLOOKUP(A1,DIV_08Data!$A$1:$DZU$1000000,3081,FALSE)</f>
        <v>#N/A</v>
      </c>
      <c r="D182" s="31" t="e">
        <f>VLOOKUP(A1,DIV_08Data!$A$1:$DZU$1000000,3082,FALSE)</f>
        <v>#N/A</v>
      </c>
      <c r="E182" s="32" t="e">
        <f>VLOOKUP(A1,DIV_08Data!$A$1:$DZU$1000000,3083,FALSE)</f>
        <v>#N/A</v>
      </c>
      <c r="F182" s="34" t="e">
        <f>VLOOKUP(A1,DIV_08Data!$A$1:$DZU$1000000,3084,FALSE)</f>
        <v>#N/A</v>
      </c>
      <c r="G182" s="33" t="e">
        <f>VLOOKUP(A1,DIV_08Data!$A$1:$DZU$1000000,3085,FALSE)</f>
        <v>#N/A</v>
      </c>
      <c r="H182" s="34" t="e">
        <f>VLOOKUP(A1,DIV_08Data!$A$1:$DZU$1000000,3086,FALSE)</f>
        <v>#N/A</v>
      </c>
      <c r="I182" s="33" t="e">
        <f>VLOOKUP(A1,DIV_08Data!$A$1:$DZU$1000000,3087,FALSE)</f>
        <v>#N/A</v>
      </c>
      <c r="J182" s="34" t="e">
        <f>VLOOKUP(A1,DIV_08Data!$A$1:$DZU$1000000,3088,FALSE)</f>
        <v>#N/A</v>
      </c>
      <c r="K182" s="34" t="e">
        <f>VLOOKUP(A1,DIV_08Data!$A$1:$DZU$1000000,3089,FALSE)</f>
        <v>#N/A</v>
      </c>
      <c r="L182" s="93" t="e">
        <f>VLOOKUP(A1,DIV_08Data!$A$1:$DZU$1000000,3090,FALSE)</f>
        <v>#N/A</v>
      </c>
      <c r="M182" s="33" t="e">
        <f>VLOOKUP(A1,DIV_08Data!$A$1:$DZU$1000000,3091,FALSE)</f>
        <v>#N/A</v>
      </c>
      <c r="N182" s="34" t="e">
        <f>VLOOKUP(A1,DIV_08Data!$A$1:$DZU$1000000,3092,FALSE)</f>
        <v>#N/A</v>
      </c>
      <c r="O182" s="33" t="e">
        <f>VLOOKUP(A1,DIV_08Data!$A$1:$DZU$1000000,3093,FALSE)</f>
        <v>#N/A</v>
      </c>
      <c r="P182" s="46" t="e">
        <f>VLOOKUP(A1,DIV_08Data!$A$1:$DZU$1000000,3094,FALSE)</f>
        <v>#N/A</v>
      </c>
      <c r="Q182" s="33" t="e">
        <f>VLOOKUP(A1,DIV_08Data!$A$1:$DZU$1000000,3095,FALSE)</f>
        <v>#N/A</v>
      </c>
    </row>
    <row r="183" spans="1:17" x14ac:dyDescent="0.35">
      <c r="A183" s="22" t="e">
        <f>VLOOKUP(A1,DIV_08Data!$A$1:$DZU$1000000,3096,FALSE)</f>
        <v>#N/A</v>
      </c>
      <c r="B183" s="37" t="e">
        <f>VLOOKUP(A1,DIV_08Data!$A$1:$DZU$1000000,3097,FALSE)</f>
        <v>#N/A</v>
      </c>
      <c r="C183" s="38" t="e">
        <f>VLOOKUP(A1,DIV_08Data!$A$1:$DZU$1000000,3098,FALSE)</f>
        <v>#N/A</v>
      </c>
      <c r="D183" s="31" t="e">
        <f>VLOOKUP(A1,DIV_08Data!$A$1:$DZU$1000000,3099,FALSE)</f>
        <v>#N/A</v>
      </c>
      <c r="E183" s="32" t="e">
        <f>VLOOKUP(A1,DIV_08Data!$A$1:$DZU$1000000,3100,FALSE)</f>
        <v>#N/A</v>
      </c>
      <c r="F183" s="34" t="e">
        <f>VLOOKUP(A1,DIV_08Data!$A$1:$DZU$1000000,3101,FALSE)</f>
        <v>#N/A</v>
      </c>
      <c r="G183" s="33" t="e">
        <f>VLOOKUP(A1,DIV_08Data!$A$1:$DZU$1000000,3102,FALSE)</f>
        <v>#N/A</v>
      </c>
      <c r="H183" s="34" t="e">
        <f>VLOOKUP(A1,DIV_08Data!$A$1:$DZU$1000000,3103,FALSE)</f>
        <v>#N/A</v>
      </c>
      <c r="I183" s="33" t="e">
        <f>VLOOKUP(A1,DIV_08Data!$A$1:$DZU$1000000,3104,FALSE)</f>
        <v>#N/A</v>
      </c>
      <c r="J183" s="34" t="e">
        <f>VLOOKUP(A1,DIV_08Data!$A$1:$DZU$1000000,3105,FALSE)</f>
        <v>#N/A</v>
      </c>
      <c r="K183" s="34" t="e">
        <f>VLOOKUP(A1,DIV_08Data!$A$1:$DZU$1000000,3106,FALSE)</f>
        <v>#N/A</v>
      </c>
      <c r="L183" s="93" t="e">
        <f>VLOOKUP(A1,DIV_08Data!$A$1:$DZU$1000000,3107,FALSE)</f>
        <v>#N/A</v>
      </c>
      <c r="M183" s="33" t="e">
        <f>VLOOKUP(A1,DIV_08Data!$A$1:$DZU$1000000,3108,FALSE)</f>
        <v>#N/A</v>
      </c>
      <c r="N183" s="34" t="e">
        <f>VLOOKUP(A1,DIV_08Data!$A$1:$DZU$1000000,3109,FALSE)</f>
        <v>#N/A</v>
      </c>
      <c r="O183" s="33" t="e">
        <f>VLOOKUP(A1,DIV_08Data!$A$1:$DZU$1000000,3110,FALSE)</f>
        <v>#N/A</v>
      </c>
      <c r="P183" s="46" t="e">
        <f>VLOOKUP(A1,DIV_08Data!$A$1:$DZU$1000000,3111,FALSE)</f>
        <v>#N/A</v>
      </c>
      <c r="Q183" s="33" t="e">
        <f>VLOOKUP(A1,DIV_08Data!$A$1:$DZU$1000000,3112,FALSE)</f>
        <v>#N/A</v>
      </c>
    </row>
    <row r="184" spans="1:17" x14ac:dyDescent="0.35">
      <c r="A184" s="22" t="e">
        <f>VLOOKUP(A1,DIV_08Data!$A$1:$DZU$1000000,3113,FALSE)</f>
        <v>#N/A</v>
      </c>
      <c r="B184" s="37" t="e">
        <f>VLOOKUP(A1,DIV_08Data!$A$1:$DZU$1000000,3114,FALSE)</f>
        <v>#N/A</v>
      </c>
      <c r="C184" s="38" t="e">
        <f>VLOOKUP(A1,DIV_08Data!$A$1:$DZU$1000000,3115,FALSE)</f>
        <v>#N/A</v>
      </c>
      <c r="D184" s="31" t="e">
        <f>VLOOKUP(A1,DIV_08Data!$A$1:$DZU$1000000,3116,FALSE)</f>
        <v>#N/A</v>
      </c>
      <c r="E184" s="32" t="e">
        <f>VLOOKUP(A1,DIV_08Data!$A$1:$DZU$1000000,3117,FALSE)</f>
        <v>#N/A</v>
      </c>
      <c r="F184" s="34" t="e">
        <f>VLOOKUP(A1,DIV_08Data!$A$1:$DZU$1000000,3118,FALSE)</f>
        <v>#N/A</v>
      </c>
      <c r="G184" s="33" t="e">
        <f>VLOOKUP(A1,DIV_08Data!$A$1:$DZU$1000000,3119,FALSE)</f>
        <v>#N/A</v>
      </c>
      <c r="H184" s="34" t="e">
        <f>VLOOKUP(A1,DIV_08Data!$A$1:$DZU$1000000,3120,FALSE)</f>
        <v>#N/A</v>
      </c>
      <c r="I184" s="33" t="e">
        <f>VLOOKUP(A1,DIV_08Data!$A$1:$DZU$1000000,3121,FALSE)</f>
        <v>#N/A</v>
      </c>
      <c r="J184" s="34" t="e">
        <f>VLOOKUP(A1,DIV_08Data!$A$1:$DZU$1000000,3122,FALSE)</f>
        <v>#N/A</v>
      </c>
      <c r="K184" s="34" t="e">
        <f>VLOOKUP(A1,DIV_08Data!$A$1:$DZU$1000000,3123,FALSE)</f>
        <v>#N/A</v>
      </c>
      <c r="L184" s="93" t="e">
        <f>VLOOKUP(A1,DIV_08Data!$A$1:$DZU$1000000,3124,FALSE)</f>
        <v>#N/A</v>
      </c>
      <c r="M184" s="33" t="e">
        <f>VLOOKUP(A1,DIV_08Data!$A$1:$DZU$1000000,3125,FALSE)</f>
        <v>#N/A</v>
      </c>
      <c r="N184" s="34" t="e">
        <f>VLOOKUP(A1,DIV_08Data!$A$1:$DZU$1000000,3126,FALSE)</f>
        <v>#N/A</v>
      </c>
      <c r="O184" s="33" t="e">
        <f>VLOOKUP(A1,DIV_08Data!$A$1:$DZU$1000000,3127,FALSE)</f>
        <v>#N/A</v>
      </c>
      <c r="P184" s="46" t="e">
        <f>VLOOKUP(A1,DIV_08Data!$A$1:$DZU$1000000,3128,FALSE)</f>
        <v>#N/A</v>
      </c>
      <c r="Q184" s="33" t="e">
        <f>VLOOKUP(A1,DIV_08Data!$A$1:$DZU$1000000,3129,FALSE)</f>
        <v>#N/A</v>
      </c>
    </row>
    <row r="185" spans="1:17" x14ac:dyDescent="0.35">
      <c r="A185" s="22" t="e">
        <f>VLOOKUP(A1,DIV_08Data!$A$1:$DZU$1000000,3130,FALSE)</f>
        <v>#N/A</v>
      </c>
      <c r="B185" s="37" t="e">
        <f>VLOOKUP(A1,DIV_08Data!$A$1:$DZU$1000000,3131,FALSE)</f>
        <v>#N/A</v>
      </c>
      <c r="C185" s="38" t="e">
        <f>VLOOKUP(A1,DIV_08Data!$A$1:$DZU$1000000,3132,FALSE)</f>
        <v>#N/A</v>
      </c>
      <c r="D185" s="31" t="e">
        <f>VLOOKUP(A1,DIV_08Data!$A$1:$DZU$1000000,3133,FALSE)</f>
        <v>#N/A</v>
      </c>
      <c r="E185" s="32" t="e">
        <f>VLOOKUP(A1,DIV_08Data!$A$1:$DZU$1000000,3134,FALSE)</f>
        <v>#N/A</v>
      </c>
      <c r="F185" s="34" t="e">
        <f>VLOOKUP(A1,DIV_08Data!$A$1:$DZU$1000000,3135,FALSE)</f>
        <v>#N/A</v>
      </c>
      <c r="G185" s="33" t="e">
        <f>VLOOKUP(A1,DIV_08Data!$A$1:$DZU$1000000,3136,FALSE)</f>
        <v>#N/A</v>
      </c>
      <c r="H185" s="34" t="e">
        <f>VLOOKUP(A1,DIV_08Data!$A$1:$DZU$1000000,3137,FALSE)</f>
        <v>#N/A</v>
      </c>
      <c r="I185" s="33" t="e">
        <f>VLOOKUP(A1,DIV_08Data!$A$1:$DZU$1000000,3138,FALSE)</f>
        <v>#N/A</v>
      </c>
      <c r="J185" s="34" t="e">
        <f>VLOOKUP(A1,DIV_08Data!$A$1:$DZU$1000000,3139,FALSE)</f>
        <v>#N/A</v>
      </c>
      <c r="K185" s="34" t="e">
        <f>VLOOKUP(A1,DIV_08Data!$A$1:$DZU$1000000,3140,FALSE)</f>
        <v>#N/A</v>
      </c>
      <c r="L185" s="93" t="e">
        <f>VLOOKUP(A1,DIV_08Data!$A$1:$DZU$1000000,3141,FALSE)</f>
        <v>#N/A</v>
      </c>
      <c r="M185" s="33" t="e">
        <f>VLOOKUP(A1,DIV_08Data!$A$1:$DZU$1000000,3142,FALSE)</f>
        <v>#N/A</v>
      </c>
      <c r="N185" s="34" t="e">
        <f>VLOOKUP(A1,DIV_08Data!$A$1:$DZU$1000000,3143,FALSE)</f>
        <v>#N/A</v>
      </c>
      <c r="O185" s="33" t="e">
        <f>VLOOKUP(A1,DIV_08Data!$A$1:$DZU$1000000,3144,FALSE)</f>
        <v>#N/A</v>
      </c>
      <c r="P185" s="46" t="e">
        <f>VLOOKUP(A1,DIV_08Data!$A$1:$DZU$1000000,3145,FALSE)</f>
        <v>#N/A</v>
      </c>
      <c r="Q185" s="33" t="e">
        <f>VLOOKUP(A1,DIV_08Data!$A$1:$DZU$1000000,3146,FALSE)</f>
        <v>#N/A</v>
      </c>
    </row>
    <row r="186" spans="1:17" x14ac:dyDescent="0.35">
      <c r="A186" s="22" t="e">
        <f>VLOOKUP(A1,DIV_08Data!$A$1:$DZU$1000000,3147,FALSE)</f>
        <v>#N/A</v>
      </c>
      <c r="B186" s="37" t="e">
        <f>VLOOKUP(A1,DIV_08Data!$A$1:$DZU$1000000,3148,FALSE)</f>
        <v>#N/A</v>
      </c>
      <c r="C186" s="38" t="e">
        <f>VLOOKUP(A1,DIV_08Data!$A$1:$DZU$1000000,3149,FALSE)</f>
        <v>#N/A</v>
      </c>
      <c r="D186" s="31" t="e">
        <f>VLOOKUP(A1,DIV_08Data!$A$1:$DZU$1000000,3150,FALSE)</f>
        <v>#N/A</v>
      </c>
      <c r="E186" s="32" t="e">
        <f>VLOOKUP(A1,DIV_08Data!$A$1:$DZU$1000000,3151,FALSE)</f>
        <v>#N/A</v>
      </c>
      <c r="F186" s="34" t="e">
        <f>VLOOKUP(A1,DIV_08Data!$A$1:$DZU$1000000,3152,FALSE)</f>
        <v>#N/A</v>
      </c>
      <c r="G186" s="33" t="e">
        <f>VLOOKUP(A1,DIV_08Data!$A$1:$DZU$1000000,3153,FALSE)</f>
        <v>#N/A</v>
      </c>
      <c r="H186" s="34" t="e">
        <f>VLOOKUP(A1,DIV_08Data!$A$1:$DZU$1000000,3154,FALSE)</f>
        <v>#N/A</v>
      </c>
      <c r="I186" s="33" t="e">
        <f>VLOOKUP(A1,DIV_08Data!$A$1:$DZU$1000000,3155,FALSE)</f>
        <v>#N/A</v>
      </c>
      <c r="J186" s="34" t="e">
        <f>VLOOKUP(A1,DIV_08Data!$A$1:$DZU$1000000,3156,FALSE)</f>
        <v>#N/A</v>
      </c>
      <c r="K186" s="34" t="e">
        <f>VLOOKUP(A1,DIV_08Data!$A$1:$DZU$1000000,3157,FALSE)</f>
        <v>#N/A</v>
      </c>
      <c r="L186" s="93" t="e">
        <f>VLOOKUP(A1,DIV_08Data!$A$1:$DZU$1000000,3158,FALSE)</f>
        <v>#N/A</v>
      </c>
      <c r="M186" s="33" t="e">
        <f>VLOOKUP(A1,DIV_08Data!$A$1:$DZU$1000000,3159,FALSE)</f>
        <v>#N/A</v>
      </c>
      <c r="N186" s="34" t="e">
        <f>VLOOKUP(A1,DIV_08Data!$A$1:$DZU$1000000,3160,FALSE)</f>
        <v>#N/A</v>
      </c>
      <c r="O186" s="33" t="e">
        <f>VLOOKUP(A1,DIV_08Data!$A$1:$DZU$1000000,3161,FALSE)</f>
        <v>#N/A</v>
      </c>
      <c r="P186" s="46" t="e">
        <f>VLOOKUP(A1,DIV_08Data!$A$1:$DZU$1000000,3162,FALSE)</f>
        <v>#N/A</v>
      </c>
      <c r="Q186" s="33" t="e">
        <f>VLOOKUP(A1,DIV_08Data!$A$1:$DZU$1000000,3163,FALSE)</f>
        <v>#N/A</v>
      </c>
    </row>
    <row r="187" spans="1:17" x14ac:dyDescent="0.35">
      <c r="A187" s="22" t="e">
        <f>VLOOKUP(A1,DIV_08Data!$A$1:$DZU$1000000,3164,FALSE)</f>
        <v>#N/A</v>
      </c>
      <c r="B187" s="37" t="e">
        <f>VLOOKUP(A1,DIV_08Data!$A$1:$DZU$1000000,3165,FALSE)</f>
        <v>#N/A</v>
      </c>
      <c r="C187" s="38" t="e">
        <f>VLOOKUP(A1,DIV_08Data!$A$1:$DZU$1000000,3166,FALSE)</f>
        <v>#N/A</v>
      </c>
      <c r="D187" s="31" t="e">
        <f>VLOOKUP(A1,DIV_08Data!$A$1:$DZU$1000000,3167,FALSE)</f>
        <v>#N/A</v>
      </c>
      <c r="E187" s="32" t="e">
        <f>VLOOKUP(A1,DIV_08Data!$A$1:$DZU$1000000,3168,FALSE)</f>
        <v>#N/A</v>
      </c>
      <c r="F187" s="34" t="e">
        <f>VLOOKUP(A1,DIV_08Data!$A$1:$DZU$1000000,3169,FALSE)</f>
        <v>#N/A</v>
      </c>
      <c r="G187" s="33" t="e">
        <f>VLOOKUP(A1,DIV_08Data!$A$1:$DZU$1000000,3170,FALSE)</f>
        <v>#N/A</v>
      </c>
      <c r="H187" s="34" t="e">
        <f>VLOOKUP(A1,DIV_08Data!$A$1:$DZU$1000000,3171,FALSE)</f>
        <v>#N/A</v>
      </c>
      <c r="I187" s="33" t="e">
        <f>VLOOKUP(A1,DIV_08Data!$A$1:$DZU$1000000,3172,FALSE)</f>
        <v>#N/A</v>
      </c>
      <c r="J187" s="34" t="e">
        <f>VLOOKUP(A1,DIV_08Data!$A$1:$DZU$1000000,3173,FALSE)</f>
        <v>#N/A</v>
      </c>
      <c r="K187" s="34" t="e">
        <f>VLOOKUP(A1,DIV_08Data!$A$1:$DZU$1000000,3174,FALSE)</f>
        <v>#N/A</v>
      </c>
      <c r="L187" s="93" t="e">
        <f>VLOOKUP(A1,DIV_08Data!$A$1:$DZU$1000000,3175,FALSE)</f>
        <v>#N/A</v>
      </c>
      <c r="M187" s="33" t="e">
        <f>VLOOKUP(A1,DIV_08Data!$A$1:$DZU$1000000,3176,FALSE)</f>
        <v>#N/A</v>
      </c>
      <c r="N187" s="34" t="e">
        <f>VLOOKUP(A1,DIV_08Data!$A$1:$DZU$1000000,3177,FALSE)</f>
        <v>#N/A</v>
      </c>
      <c r="O187" s="33" t="e">
        <f>VLOOKUP(A1,DIV_08Data!$A$1:$DZU$1000000,3178,FALSE)</f>
        <v>#N/A</v>
      </c>
      <c r="P187" s="46" t="e">
        <f>VLOOKUP(A1,DIV_08Data!$A$1:$DZU$1000000,3179,FALSE)</f>
        <v>#N/A</v>
      </c>
      <c r="Q187" s="33" t="e">
        <f>VLOOKUP(A1,DIV_08Data!$A$1:$DZU$1000000,3180,FALSE)</f>
        <v>#N/A</v>
      </c>
    </row>
    <row r="188" spans="1:17" x14ac:dyDescent="0.35">
      <c r="A188" s="22" t="e">
        <f>VLOOKUP(A1,DIV_08Data!$A$1:$DZU$1000000,3181,FALSE)</f>
        <v>#N/A</v>
      </c>
      <c r="B188" s="37" t="e">
        <f>VLOOKUP(A1,DIV_08Data!$A$1:$DZU$1000000,3182,FALSE)</f>
        <v>#N/A</v>
      </c>
      <c r="C188" s="38" t="e">
        <f>VLOOKUP(A1,DIV_08Data!$A$1:$DZU$1000000,3183,FALSE)</f>
        <v>#N/A</v>
      </c>
      <c r="D188" s="31" t="e">
        <f>VLOOKUP(A1,DIV_08Data!$A$1:$DZU$1000000,3184,FALSE)</f>
        <v>#N/A</v>
      </c>
      <c r="E188" s="32" t="e">
        <f>VLOOKUP(A1,DIV_08Data!$A$1:$DZU$1000000,3185,FALSE)</f>
        <v>#N/A</v>
      </c>
      <c r="F188" s="34" t="e">
        <f>VLOOKUP(A1,DIV_08Data!$A$1:$DZU$1000000,3186,FALSE)</f>
        <v>#N/A</v>
      </c>
      <c r="G188" s="33" t="e">
        <f>VLOOKUP(A1,DIV_08Data!$A$1:$DZU$1000000,3187,FALSE)</f>
        <v>#N/A</v>
      </c>
      <c r="H188" s="34" t="e">
        <f>VLOOKUP(A1,DIV_08Data!$A$1:$DZU$1000000,3188,FALSE)</f>
        <v>#N/A</v>
      </c>
      <c r="I188" s="33" t="e">
        <f>VLOOKUP(A1,DIV_08Data!$A$1:$DZU$1000000,3189,FALSE)</f>
        <v>#N/A</v>
      </c>
      <c r="J188" s="34" t="e">
        <f>VLOOKUP(A1,DIV_08Data!$A$1:$DZU$1000000,3190,FALSE)</f>
        <v>#N/A</v>
      </c>
      <c r="K188" s="34" t="e">
        <f>VLOOKUP(A1,DIV_08Data!$A$1:$DZU$1000000,3191,FALSE)</f>
        <v>#N/A</v>
      </c>
      <c r="L188" s="93" t="e">
        <f>VLOOKUP(A1,DIV_08Data!$A$1:$DZU$1000000,3192,FALSE)</f>
        <v>#N/A</v>
      </c>
      <c r="M188" s="33" t="e">
        <f>VLOOKUP(A1,DIV_08Data!$A$1:$DZU$1000000,3193,FALSE)</f>
        <v>#N/A</v>
      </c>
      <c r="N188" s="34" t="e">
        <f>VLOOKUP(A1,DIV_08Data!$A$1:$DZU$1000000,3194,FALSE)</f>
        <v>#N/A</v>
      </c>
      <c r="O188" s="33" t="e">
        <f>VLOOKUP(A1,DIV_08Data!$A$1:$DZU$1000000,3195,FALSE)</f>
        <v>#N/A</v>
      </c>
      <c r="P188" s="46" t="e">
        <f>VLOOKUP(A1,DIV_08Data!$A$1:$DZU$1000000,3196,FALSE)</f>
        <v>#N/A</v>
      </c>
      <c r="Q188" s="33" t="e">
        <f>VLOOKUP(A1,DIV_08Data!$A$1:$DZU$1000000,3197,FALSE)</f>
        <v>#N/A</v>
      </c>
    </row>
    <row r="189" spans="1:17" x14ac:dyDescent="0.35">
      <c r="A189" s="22" t="e">
        <f>VLOOKUP(A1,DIV_08Data!$A$1:$DZU$1000000,3198,FALSE)</f>
        <v>#N/A</v>
      </c>
      <c r="B189" s="37" t="e">
        <f>VLOOKUP(A1,DIV_08Data!$A$1:$DZU$1000000,3199,FALSE)</f>
        <v>#N/A</v>
      </c>
      <c r="C189" s="38" t="e">
        <f>VLOOKUP(A1,DIV_08Data!$A$1:$DZU$1000000,3200,FALSE)</f>
        <v>#N/A</v>
      </c>
      <c r="D189" s="31" t="e">
        <f>VLOOKUP(A1,DIV_08Data!$A$1:$DZU$1000000,3201,FALSE)</f>
        <v>#N/A</v>
      </c>
      <c r="E189" s="32" t="e">
        <f>VLOOKUP(A1,DIV_08Data!$A$1:$DZU$1000000,3202,FALSE)</f>
        <v>#N/A</v>
      </c>
      <c r="F189" s="34" t="e">
        <f>VLOOKUP(A1,DIV_08Data!$A$1:$DZU$1000000,3203,FALSE)</f>
        <v>#N/A</v>
      </c>
      <c r="G189" s="33" t="e">
        <f>VLOOKUP(A1,DIV_08Data!$A$1:$DZU$1000000,3204,FALSE)</f>
        <v>#N/A</v>
      </c>
      <c r="H189" s="34" t="e">
        <f>VLOOKUP(A1,DIV_08Data!$A$1:$DZU$1000000,3205,FALSE)</f>
        <v>#N/A</v>
      </c>
      <c r="I189" s="33" t="e">
        <f>VLOOKUP(A1,DIV_08Data!$A$1:$DZU$1000000,3206,FALSE)</f>
        <v>#N/A</v>
      </c>
      <c r="J189" s="34" t="e">
        <f>VLOOKUP(A1,DIV_08Data!$A$1:$DZU$1000000,3207,FALSE)</f>
        <v>#N/A</v>
      </c>
      <c r="K189" s="34" t="e">
        <f>VLOOKUP(A1,DIV_08Data!$A$1:$DZU$1000000,3208,FALSE)</f>
        <v>#N/A</v>
      </c>
      <c r="L189" s="93" t="e">
        <f>VLOOKUP(A1,DIV_08Data!$A$1:$DZU$1000000,3209,FALSE)</f>
        <v>#N/A</v>
      </c>
      <c r="M189" s="33" t="e">
        <f>VLOOKUP(A1,DIV_08Data!$A$1:$DZU$1000000,3210,FALSE)</f>
        <v>#N/A</v>
      </c>
      <c r="N189" s="34" t="e">
        <f>VLOOKUP(A1,DIV_08Data!$A$1:$DZU$1000000,3211,FALSE)</f>
        <v>#N/A</v>
      </c>
      <c r="O189" s="33" t="e">
        <f>VLOOKUP(A1,DIV_08Data!$A$1:$DZU$1000000,3212,FALSE)</f>
        <v>#N/A</v>
      </c>
      <c r="P189" s="46" t="e">
        <f>VLOOKUP(A1,DIV_08Data!$A$1:$DZU$1000000,3213,FALSE)</f>
        <v>#N/A</v>
      </c>
      <c r="Q189" s="33" t="e">
        <f>VLOOKUP(A1,DIV_08Data!$A$1:$DZU$1000000,3214,FALSE)</f>
        <v>#N/A</v>
      </c>
    </row>
    <row r="190" spans="1:17" x14ac:dyDescent="0.35">
      <c r="A190" s="22" t="e">
        <f>VLOOKUP(A1,DIV_08Data!$A$1:$DZU$1000000,3215,FALSE)</f>
        <v>#N/A</v>
      </c>
      <c r="B190" s="37" t="e">
        <f>VLOOKUP(A1,DIV_08Data!$A$1:$DZU$1000000,3216,FALSE)</f>
        <v>#N/A</v>
      </c>
      <c r="C190" s="38" t="e">
        <f>VLOOKUP(A1,DIV_08Data!$A$1:$DZU$1000000,3217,FALSE)</f>
        <v>#N/A</v>
      </c>
      <c r="D190" s="31" t="e">
        <f>VLOOKUP(A1,DIV_08Data!$A$1:$DZU$1000000,3218,FALSE)</f>
        <v>#N/A</v>
      </c>
      <c r="E190" s="32" t="e">
        <f>VLOOKUP(A1,DIV_08Data!$A$1:$DZU$1000000,3219,FALSE)</f>
        <v>#N/A</v>
      </c>
      <c r="F190" s="34" t="e">
        <f>VLOOKUP(A1,DIV_08Data!$A$1:$DZU$1000000,3220,FALSE)</f>
        <v>#N/A</v>
      </c>
      <c r="G190" s="33" t="e">
        <f>VLOOKUP(A1,DIV_08Data!$A$1:$DZU$1000000,3221,FALSE)</f>
        <v>#N/A</v>
      </c>
      <c r="H190" s="34" t="e">
        <f>VLOOKUP(A1,DIV_08Data!$A$1:$DZU$1000000,3222,FALSE)</f>
        <v>#N/A</v>
      </c>
      <c r="I190" s="33" t="e">
        <f>VLOOKUP(A1,DIV_08Data!$A$1:$DZU$1000000,3223,FALSE)</f>
        <v>#N/A</v>
      </c>
      <c r="J190" s="34" t="e">
        <f>VLOOKUP(A1,DIV_08Data!$A$1:$DZU$1000000,3224,FALSE)</f>
        <v>#N/A</v>
      </c>
      <c r="K190" s="34" t="e">
        <f>VLOOKUP(A1,DIV_08Data!$A$1:$DZU$1000000,3225,FALSE)</f>
        <v>#N/A</v>
      </c>
      <c r="L190" s="93" t="e">
        <f>VLOOKUP(A1,DIV_08Data!$A$1:$DZU$1000000,3226,FALSE)</f>
        <v>#N/A</v>
      </c>
      <c r="M190" s="33" t="e">
        <f>VLOOKUP(A1,DIV_08Data!$A$1:$DZU$1000000,3227,FALSE)</f>
        <v>#N/A</v>
      </c>
      <c r="N190" s="34" t="e">
        <f>VLOOKUP(A1,DIV_08Data!$A$1:$DZU$1000000,3228,FALSE)</f>
        <v>#N/A</v>
      </c>
      <c r="O190" s="33" t="e">
        <f>VLOOKUP(A1,DIV_08Data!$A$1:$DZU$1000000,3229,FALSE)</f>
        <v>#N/A</v>
      </c>
      <c r="P190" s="46" t="e">
        <f>VLOOKUP(A1,DIV_08Data!$A$1:$DZU$1000000,3230,FALSE)</f>
        <v>#N/A</v>
      </c>
      <c r="Q190" s="33" t="e">
        <f>VLOOKUP(A1,DIV_08Data!$A$1:$DZU$1000000,3231,FALSE)</f>
        <v>#N/A</v>
      </c>
    </row>
    <row r="191" spans="1:17" x14ac:dyDescent="0.35">
      <c r="A191" s="22" t="e">
        <f>VLOOKUP(A1,DIV_08Data!$A$1:$DZU$1000000,3232,FALSE)</f>
        <v>#N/A</v>
      </c>
      <c r="B191" s="37" t="e">
        <f>VLOOKUP(A1,DIV_08Data!$A$1:$DZU$1000000,3233,FALSE)</f>
        <v>#N/A</v>
      </c>
      <c r="C191" s="43" t="e">
        <f>VLOOKUP(A1,DIV_08Data!$A$1:$DZU$1000000,3234,FALSE)</f>
        <v>#N/A</v>
      </c>
      <c r="D191" s="31" t="e">
        <f>VLOOKUP(A1,DIV_08Data!$A$1:$DZU$1000000,3235,FALSE)</f>
        <v>#N/A</v>
      </c>
      <c r="E191" s="32" t="e">
        <f>VLOOKUP(A1,DIV_08Data!$A$1:$DZU$1000000,3236,FALSE)</f>
        <v>#N/A</v>
      </c>
      <c r="F191" s="44" t="e">
        <f>VLOOKUP(A1,DIV_08Data!$A$1:$DZU$1000000,3237,FALSE)</f>
        <v>#N/A</v>
      </c>
      <c r="G191" s="45" t="e">
        <f>VLOOKUP(A1,DIV_08Data!$A$1:$DZU$1000000,3238,FALSE)</f>
        <v>#N/A</v>
      </c>
      <c r="H191" s="44" t="e">
        <f>VLOOKUP(A1,DIV_08Data!$A$1:$DZU$1000000,3239,FALSE)</f>
        <v>#N/A</v>
      </c>
      <c r="I191" s="45" t="e">
        <f>VLOOKUP(A1,DIV_08Data!$A$1:$DZU$1000000,3240,FALSE)</f>
        <v>#N/A</v>
      </c>
      <c r="J191" s="34" t="e">
        <f>VLOOKUP(A1,DIV_08Data!$A$1:$DZU$1000000,3241,FALSE)</f>
        <v>#N/A</v>
      </c>
      <c r="K191" s="43" t="e">
        <f>VLOOKUP(A1,DIV_08Data!$A$1:$DZU$1000000,3242,FALSE)</f>
        <v>#N/A</v>
      </c>
      <c r="L191" s="44" t="e">
        <f>VLOOKUP(A1,DIV_08Data!$A$1:$DZU$1000000,3243,FALSE)</f>
        <v>#N/A</v>
      </c>
      <c r="M191" s="45" t="e">
        <f>VLOOKUP(A1,DIV_08Data!$A$1:$DZU$1000000,3244,FALSE)</f>
        <v>#N/A</v>
      </c>
      <c r="N191" s="44" t="e">
        <f>VLOOKUP(A1,DIV_08Data!$A$1:$DZU$1000000,3245,FALSE)</f>
        <v>#N/A</v>
      </c>
      <c r="O191" s="45" t="e">
        <f>VLOOKUP(A1,DIV_08Data!$A$1:$DZU$1000000,3246,FALSE)</f>
        <v>#N/A</v>
      </c>
      <c r="P191" s="46" t="e">
        <f>VLOOKUP(A1,DIV_08Data!$A$1:$DZU$1000000,3247,FALSE)</f>
        <v>#N/A</v>
      </c>
      <c r="Q191" s="45" t="e">
        <f>VLOOKUP(A1,DIV_08Data!$A$1:$DZU$1000000,3248,FALSE)</f>
        <v>#N/A</v>
      </c>
    </row>
    <row r="192" spans="1:17" x14ac:dyDescent="0.35">
      <c r="A192" s="22" t="e">
        <f>VLOOKUP(A1,DIV_08Data!$A$1:$DZU$1000000,3249,FALSE)</f>
        <v>#N/A</v>
      </c>
      <c r="B192" s="37" t="e">
        <f>VLOOKUP(A1,DIV_08Data!$A$1:$DZU$1000000,3250,FALSE)</f>
        <v>#N/A</v>
      </c>
      <c r="C192" s="38" t="e">
        <f>VLOOKUP(A1,DIV_08Data!$A$1:$DZU$1000000,3251,FALSE)</f>
        <v>#N/A</v>
      </c>
      <c r="D192" s="31" t="e">
        <f>VLOOKUP(A1,DIV_08Data!$A$1:$DZU$1000000,3252,FALSE)</f>
        <v>#N/A</v>
      </c>
      <c r="E192" s="32" t="e">
        <f>VLOOKUP(A1,DIV_08Data!$A$1:$DZU$1000000,3253,FALSE)</f>
        <v>#N/A</v>
      </c>
      <c r="F192" s="34" t="e">
        <f>VLOOKUP(A1,DIV_08Data!$A$1:$DZU$1000000,3254,FALSE)</f>
        <v>#N/A</v>
      </c>
      <c r="G192" s="33" t="e">
        <f>VLOOKUP(A1,DIV_08Data!$A$1:$DZU$1000000,3255,FALSE)</f>
        <v>#N/A</v>
      </c>
      <c r="H192" s="34" t="e">
        <f>VLOOKUP(A1,DIV_08Data!$A$1:$DZU$1000000,3256,FALSE)</f>
        <v>#N/A</v>
      </c>
      <c r="I192" s="33" t="e">
        <f>VLOOKUP(A1,DIV_08Data!$A$1:$DZU$1000000,3257,FALSE)</f>
        <v>#N/A</v>
      </c>
      <c r="J192" s="34" t="e">
        <f>VLOOKUP(A1,DIV_08Data!$A$1:$DZU$1000000,3258,FALSE)</f>
        <v>#N/A</v>
      </c>
      <c r="K192" s="34" t="e">
        <f>VLOOKUP(A1,DIV_08Data!$A$1:$DZU$1000000,3259,FALSE)</f>
        <v>#N/A</v>
      </c>
      <c r="L192" s="34" t="e">
        <f>VLOOKUP(A1,DIV_08Data!$A$1:$DZU$1000000,3260,FALSE)</f>
        <v>#N/A</v>
      </c>
      <c r="M192" s="33" t="e">
        <f>VLOOKUP(A1,DIV_08Data!$A$1:$DZU$1000000,3261,FALSE)</f>
        <v>#N/A</v>
      </c>
      <c r="N192" s="34" t="e">
        <f>VLOOKUP(A1,DIV_08Data!$A$1:$DZU$1000000,3262,FALSE)</f>
        <v>#N/A</v>
      </c>
      <c r="O192" s="33" t="e">
        <f>VLOOKUP(A1,DIV_08Data!$A$1:$DZU$1000000,3263,FALSE)</f>
        <v>#N/A</v>
      </c>
      <c r="P192" s="46" t="e">
        <f>VLOOKUP(A1,DIV_08Data!$A$1:$DZU$1000000,3264,FALSE)</f>
        <v>#N/A</v>
      </c>
      <c r="Q192" s="33" t="e">
        <f>VLOOKUP(A1,DIV_08Data!$A$1:$DZU$1000000,3265,FALSE)</f>
        <v>#N/A</v>
      </c>
    </row>
    <row r="193" spans="1:17" x14ac:dyDescent="0.35">
      <c r="A193" s="22" t="e">
        <f>VLOOKUP(A1,DIV_08Data!$A$1:$DZU$1000000,3266,FALSE)</f>
        <v>#N/A</v>
      </c>
      <c r="B193" s="37" t="e">
        <f>VLOOKUP(A1,DIV_08Data!$A$1:$DZU$1000000,3267,FALSE)</f>
        <v>#N/A</v>
      </c>
      <c r="C193" s="30" t="e">
        <f>VLOOKUP(A1,DIV_08Data!$A$1:$DZU$1000000,3268,FALSE)</f>
        <v>#N/A</v>
      </c>
      <c r="D193" s="31" t="e">
        <f>VLOOKUP(A1,DIV_08Data!$A$1:$DZU$1000000,3269,FALSE)</f>
        <v>#N/A</v>
      </c>
      <c r="E193" s="32" t="e">
        <f>VLOOKUP(A1,DIV_08Data!$A$1:$DZU$1000000,3270,FALSE)</f>
        <v>#N/A</v>
      </c>
      <c r="F193" s="34" t="e">
        <f>VLOOKUP(A1,DIV_08Data!$A$1:$DZU$1000000,3271,FALSE)</f>
        <v>#N/A</v>
      </c>
      <c r="G193" s="33" t="e">
        <f>VLOOKUP(A1,DIV_08Data!$A$1:$DZU$1000000,3272,FALSE)</f>
        <v>#N/A</v>
      </c>
      <c r="H193" s="34" t="e">
        <f>VLOOKUP(A1,DIV_08Data!$A$1:$DZU$1000000,3273,FALSE)</f>
        <v>#N/A</v>
      </c>
      <c r="I193" s="33" t="e">
        <f>VLOOKUP(A1,DIV_08Data!$A$1:$DZU$1000000,3274,FALSE)</f>
        <v>#N/A</v>
      </c>
      <c r="J193" s="34" t="e">
        <f>VLOOKUP(A1,DIV_08Data!$A$1:$DZU$1000000,3275,FALSE)</f>
        <v>#N/A</v>
      </c>
      <c r="K193" s="34" t="e">
        <f>VLOOKUP(A1,DIV_08Data!$A$1:$DZU$1000000,3276,FALSE)</f>
        <v>#N/A</v>
      </c>
      <c r="L193" s="34" t="e">
        <f>VLOOKUP(A1,DIV_08Data!$A$1:$DZU$1000000,3277,FALSE)</f>
        <v>#N/A</v>
      </c>
      <c r="M193" s="33" t="e">
        <f>VLOOKUP(A1,DIV_08Data!$A$1:$DZU$1000000,3278,FALSE)</f>
        <v>#N/A</v>
      </c>
      <c r="N193" s="34" t="e">
        <f>VLOOKUP(A1,DIV_08Data!$A$1:$DZU$1000000,3279,FALSE)</f>
        <v>#N/A</v>
      </c>
      <c r="O193" s="33" t="e">
        <f>VLOOKUP(A1,DIV_08Data!$A$1:$DZU$1000000,3280,FALSE)</f>
        <v>#N/A</v>
      </c>
      <c r="P193" s="46" t="e">
        <f>VLOOKUP(A1,DIV_08Data!$A$1:$DZU$1000000,3281,FALSE)</f>
        <v>#N/A</v>
      </c>
      <c r="Q193" s="33" t="e">
        <f>VLOOKUP(A1,DIV_08Data!$A$1:$DZU$1000000,3282,FALSE)</f>
        <v>#N/A</v>
      </c>
    </row>
    <row r="194" spans="1:17" x14ac:dyDescent="0.35">
      <c r="A194" s="22" t="e">
        <f>VLOOKUP(A1,DIV_08Data!$A$1:$DZU$1000000,3283,FALSE)</f>
        <v>#N/A</v>
      </c>
      <c r="B194" s="37" t="e">
        <f>VLOOKUP(A1,DIV_08Data!$A$1:$DZU$1000000,3284,FALSE)</f>
        <v>#N/A</v>
      </c>
      <c r="C194" s="38" t="e">
        <f>VLOOKUP(A1,DIV_08Data!$A$1:$DZU$1000000,3285,FALSE)</f>
        <v>#N/A</v>
      </c>
      <c r="D194" s="31" t="e">
        <f>VLOOKUP(A1,DIV_08Data!$A$1:$DZU$1000000,3286,FALSE)</f>
        <v>#N/A</v>
      </c>
      <c r="E194" s="32" t="e">
        <f>VLOOKUP(A1,DIV_08Data!$A$1:$DZU$1000000,3287,FALSE)</f>
        <v>#N/A</v>
      </c>
      <c r="F194" s="34" t="e">
        <f>VLOOKUP(A1,DIV_08Data!$A$1:$DZU$1000000,3288,FALSE)</f>
        <v>#N/A</v>
      </c>
      <c r="G194" s="33" t="e">
        <f>VLOOKUP(A1,DIV_08Data!$A$1:$DZU$1000000,3289,FALSE)</f>
        <v>#N/A</v>
      </c>
      <c r="H194" s="34" t="e">
        <f>VLOOKUP(A1,DIV_08Data!$A$1:$DZU$1000000,3290,FALSE)</f>
        <v>#N/A</v>
      </c>
      <c r="I194" s="33" t="e">
        <f>VLOOKUP(A1,DIV_08Data!$A$1:$DZU$1000000,3291,FALSE)</f>
        <v>#N/A</v>
      </c>
      <c r="J194" s="34" t="e">
        <f>VLOOKUP(A1,DIV_08Data!$A$1:$DZU$1000000,3292,FALSE)</f>
        <v>#N/A</v>
      </c>
      <c r="K194" s="34" t="e">
        <f>VLOOKUP(A1,DIV_08Data!$A$1:$DZU$1000000,3293,FALSE)</f>
        <v>#N/A</v>
      </c>
      <c r="L194" s="93" t="e">
        <f>VLOOKUP(A1,DIV_08Data!$A$1:$DZU$1000000,3294,FALSE)</f>
        <v>#N/A</v>
      </c>
      <c r="M194" s="33" t="e">
        <f>VLOOKUP(A1,DIV_08Data!$A$1:$DZU$1000000,3295,FALSE)</f>
        <v>#N/A</v>
      </c>
      <c r="N194" s="34" t="e">
        <f>VLOOKUP(A1,DIV_08Data!$A$1:$DZU$1000000,3296,FALSE)</f>
        <v>#N/A</v>
      </c>
      <c r="O194" s="33" t="e">
        <f>VLOOKUP(A1,DIV_08Data!$A$1:$DZU$1000000,3297,FALSE)</f>
        <v>#N/A</v>
      </c>
      <c r="P194" s="46" t="e">
        <f>VLOOKUP(A1,DIV_08Data!$A$1:$DZU$1000000,3298,FALSE)</f>
        <v>#N/A</v>
      </c>
      <c r="Q194" s="33" t="e">
        <f>VLOOKUP(A1,DIV_08Data!$A$1:$DZU$1000000,3299,FALSE)</f>
        <v>#N/A</v>
      </c>
    </row>
    <row r="195" spans="1:17" x14ac:dyDescent="0.35">
      <c r="A195" s="22" t="e">
        <f>VLOOKUP(A1,DIV_08Data!$A$1:$DZU$1000000,3300,FALSE)</f>
        <v>#N/A</v>
      </c>
      <c r="B195" s="37" t="e">
        <f>VLOOKUP(A1,DIV_08Data!$A$1:$DZU$1000000,3301,FALSE)</f>
        <v>#N/A</v>
      </c>
      <c r="C195" s="38" t="e">
        <f>VLOOKUP(A1,DIV_08Data!$A$1:$DZU$1000000,3302,FALSE)</f>
        <v>#N/A</v>
      </c>
      <c r="D195" s="31" t="e">
        <f>VLOOKUP(A1,DIV_08Data!$A$1:$DZU$1000000,3303,FALSE)</f>
        <v>#N/A</v>
      </c>
      <c r="E195" s="32" t="e">
        <f>VLOOKUP(A1,DIV_08Data!$A$1:$DZU$1000000,3304,FALSE)</f>
        <v>#N/A</v>
      </c>
      <c r="F195" s="34" t="e">
        <f>VLOOKUP(A1,DIV_08Data!$A$1:$DZU$1000000,3305,FALSE)</f>
        <v>#N/A</v>
      </c>
      <c r="G195" s="33" t="e">
        <f>VLOOKUP(A1,DIV_08Data!$A$1:$DZU$1000000,3306,FALSE)</f>
        <v>#N/A</v>
      </c>
      <c r="H195" s="34" t="e">
        <f>VLOOKUP(A1,DIV_08Data!$A$1:$DZU$1000000,3307,FALSE)</f>
        <v>#N/A</v>
      </c>
      <c r="I195" s="33" t="e">
        <f>VLOOKUP(A1,DIV_08Data!$A$1:$DZU$1000000,3308,FALSE)</f>
        <v>#N/A</v>
      </c>
      <c r="J195" s="34" t="e">
        <f>VLOOKUP(A1,DIV_08Data!$A$1:$DZU$1000000,3309,FALSE)</f>
        <v>#N/A</v>
      </c>
      <c r="K195" s="34" t="e">
        <f>VLOOKUP(A1,DIV_08Data!$A$1:$DZU$1000000,3310,FALSE)</f>
        <v>#N/A</v>
      </c>
      <c r="L195" s="93" t="e">
        <f>VLOOKUP(A1,DIV_08Data!$A$1:$DZU$1000000,3311,FALSE)</f>
        <v>#N/A</v>
      </c>
      <c r="M195" s="33" t="e">
        <f>VLOOKUP(A1,DIV_08Data!$A$1:$DZU$1000000,3312,FALSE)</f>
        <v>#N/A</v>
      </c>
      <c r="N195" s="34" t="e">
        <f>VLOOKUP(A1,DIV_08Data!$A$1:$DZU$1000000,3313,FALSE)</f>
        <v>#N/A</v>
      </c>
      <c r="O195" s="33" t="e">
        <f>VLOOKUP(A1,DIV_08Data!$A$1:$DZU$1000000,3314,FALSE)</f>
        <v>#N/A</v>
      </c>
      <c r="P195" s="46" t="e">
        <f>VLOOKUP(A1,DIV_08Data!$A$1:$DZU$1000000,3315,FALSE)</f>
        <v>#N/A</v>
      </c>
      <c r="Q195" s="33" t="e">
        <f>VLOOKUP(A1,DIV_08Data!$A$1:$DZU$1000000,3316,FALSE)</f>
        <v>#N/A</v>
      </c>
    </row>
    <row r="196" spans="1:17" x14ac:dyDescent="0.35">
      <c r="A196" s="22" t="e">
        <f>VLOOKUP(A1,DIV_08Data!$A$1:$DZU$1000000,3317,FALSE)</f>
        <v>#N/A</v>
      </c>
      <c r="B196" s="37" t="e">
        <f>VLOOKUP(A1,DIV_08Data!$A$1:$DZU$1000000,3318,FALSE)</f>
        <v>#N/A</v>
      </c>
      <c r="C196" s="38" t="e">
        <f>VLOOKUP(A1,DIV_08Data!$A$1:$DZU$1000000,3319,FALSE)</f>
        <v>#N/A</v>
      </c>
      <c r="D196" s="31" t="e">
        <f>VLOOKUP(A1,DIV_08Data!$A$1:$DZU$1000000,3320,FALSE)</f>
        <v>#N/A</v>
      </c>
      <c r="E196" s="32" t="e">
        <f>VLOOKUP(A1,DIV_08Data!$A$1:$DZU$1000000,3321,FALSE)</f>
        <v>#N/A</v>
      </c>
      <c r="F196" s="34" t="e">
        <f>VLOOKUP(A1,DIV_08Data!$A$1:$DZU$1000000,3322,FALSE)</f>
        <v>#N/A</v>
      </c>
      <c r="G196" s="33" t="e">
        <f>VLOOKUP(A1,DIV_08Data!$A$1:$DZU$1000000,3323,FALSE)</f>
        <v>#N/A</v>
      </c>
      <c r="H196" s="34" t="e">
        <f>VLOOKUP(A1,DIV_08Data!$A$1:$DZU$1000000,3324,FALSE)</f>
        <v>#N/A</v>
      </c>
      <c r="I196" s="33" t="e">
        <f>VLOOKUP(A1,DIV_08Data!$A$1:$DZU$1000000,3325,FALSE)</f>
        <v>#N/A</v>
      </c>
      <c r="J196" s="34" t="e">
        <f>VLOOKUP(A1,DIV_08Data!$A$1:$DZU$1000000,3326,FALSE)</f>
        <v>#N/A</v>
      </c>
      <c r="K196" s="34" t="e">
        <f>VLOOKUP(A1,DIV_08Data!$A$1:$DZU$1000000,3327,FALSE)</f>
        <v>#N/A</v>
      </c>
      <c r="L196" s="93" t="e">
        <f>VLOOKUP(A1,DIV_08Data!$A$1:$DZU$1000000,3328,FALSE)</f>
        <v>#N/A</v>
      </c>
      <c r="M196" s="33" t="e">
        <f>VLOOKUP(A1,DIV_08Data!$A$1:$DZU$1000000,3329,FALSE)</f>
        <v>#N/A</v>
      </c>
      <c r="N196" s="34" t="e">
        <f>VLOOKUP(A1,DIV_08Data!$A$1:$DZU$1000000,3330,FALSE)</f>
        <v>#N/A</v>
      </c>
      <c r="O196" s="33" t="e">
        <f>VLOOKUP(A1,DIV_08Data!$A$1:$DZU$1000000,3331,FALSE)</f>
        <v>#N/A</v>
      </c>
      <c r="P196" s="46" t="e">
        <f>VLOOKUP(A1,DIV_08Data!$A$1:$DZU$1000000,3332,FALSE)</f>
        <v>#N/A</v>
      </c>
      <c r="Q196" s="33" t="e">
        <f>VLOOKUP(A1,DIV_08Data!$A$1:$DZU$1000000,3333,FALSE)</f>
        <v>#N/A</v>
      </c>
    </row>
    <row r="197" spans="1:17" x14ac:dyDescent="0.35">
      <c r="A197" s="22" t="e">
        <f>VLOOKUP(A1,DIV_08Data!$A$1:$DZU$1000000,3334,FALSE)</f>
        <v>#N/A</v>
      </c>
      <c r="B197" s="37" t="e">
        <f>VLOOKUP(A1,DIV_08Data!$A$1:$DZU$1000000,3335,FALSE)</f>
        <v>#N/A</v>
      </c>
      <c r="C197" s="43" t="e">
        <f>VLOOKUP(A1,DIV_08Data!$A$1:$DZU$1000000,3336,FALSE)</f>
        <v>#N/A</v>
      </c>
      <c r="D197" s="31" t="e">
        <f>VLOOKUP(A1,DIV_08Data!$A$1:$DZU$1000000,3337,FALSE)</f>
        <v>#N/A</v>
      </c>
      <c r="E197" s="32" t="e">
        <f>VLOOKUP(A1,DIV_08Data!$A$1:$DZU$1000000,3338,FALSE)</f>
        <v>#N/A</v>
      </c>
      <c r="F197" s="44" t="e">
        <f>VLOOKUP(A1,DIV_08Data!$A$1:$DZU$1000000,3339,FALSE)</f>
        <v>#N/A</v>
      </c>
      <c r="G197" s="45" t="e">
        <f>VLOOKUP(A1,DIV_08Data!$A$1:$DZU$1000000,3340,FALSE)</f>
        <v>#N/A</v>
      </c>
      <c r="H197" s="44" t="e">
        <f>VLOOKUP(A1,DIV_08Data!$A$1:$DZU$1000000,3341,FALSE)</f>
        <v>#N/A</v>
      </c>
      <c r="I197" s="45" t="e">
        <f>VLOOKUP(A1,DIV_08Data!$A$1:$DZU$1000000,3342,FALSE)</f>
        <v>#N/A</v>
      </c>
      <c r="J197" s="34" t="e">
        <f>VLOOKUP(A1,DIV_08Data!$A$1:$DZU$1000000,3343,FALSE)</f>
        <v>#N/A</v>
      </c>
      <c r="K197" s="43" t="e">
        <f>VLOOKUP(A1,DIV_08Data!$A$1:$DZU$1000000,3344,FALSE)</f>
        <v>#N/A</v>
      </c>
      <c r="L197" s="44" t="e">
        <f>VLOOKUP(A1,DIV_08Data!$A$1:$DZU$1000000,3345,FALSE)</f>
        <v>#N/A</v>
      </c>
      <c r="M197" s="45" t="e">
        <f>VLOOKUP(A1,DIV_08Data!$A$1:$DZU$1000000,3346,FALSE)</f>
        <v>#N/A</v>
      </c>
      <c r="N197" s="44" t="e">
        <f>VLOOKUP(A1,DIV_08Data!$A$1:$DZU$1000000,3347,FALSE)</f>
        <v>#N/A</v>
      </c>
      <c r="O197" s="45" t="e">
        <f>VLOOKUP(A1,DIV_08Data!$A$1:$DZU$1000000,3348,FALSE)</f>
        <v>#N/A</v>
      </c>
      <c r="P197" s="36" t="e">
        <f>VLOOKUP(A1,DIV_08Data!$A$1:$DZU$1000000,3349,FALSE)</f>
        <v>#N/A</v>
      </c>
      <c r="Q197" s="45" t="e">
        <f>VLOOKUP(A1,DIV_08Data!$A$1:$DZU$1000000,3350,FALSE)</f>
        <v>#N/A</v>
      </c>
    </row>
    <row r="198" spans="1:17" x14ac:dyDescent="0.35">
      <c r="A198" s="22" t="e">
        <f>VLOOKUP(A1,DIV_08Data!$A$1:$DZU$1000000,3351,FALSE)</f>
        <v>#N/A</v>
      </c>
      <c r="B198" s="37" t="e">
        <f>VLOOKUP(A1,DIV_08Data!$A$1:$DZU$1000000,3352,FALSE)</f>
        <v>#N/A</v>
      </c>
      <c r="C198" s="38" t="e">
        <f>VLOOKUP(A1,DIV_08Data!$A$1:$DZU$1000000,3353,FALSE)</f>
        <v>#N/A</v>
      </c>
      <c r="D198" s="31" t="e">
        <f>VLOOKUP(A1,DIV_08Data!$A$1:$DZU$1000000,3354,FALSE)</f>
        <v>#N/A</v>
      </c>
      <c r="E198" s="32" t="e">
        <f>VLOOKUP(A1,DIV_08Data!$A$1:$DZU$1000000,3355,FALSE)</f>
        <v>#N/A</v>
      </c>
      <c r="F198" s="34" t="e">
        <f>VLOOKUP(A1,DIV_08Data!$A$1:$DZU$1000000,3356,FALSE)</f>
        <v>#N/A</v>
      </c>
      <c r="G198" s="33" t="e">
        <f>VLOOKUP(A1,DIV_08Data!$A$1:$DZU$1000000,3357,FALSE)</f>
        <v>#N/A</v>
      </c>
      <c r="H198" s="34" t="e">
        <f>VLOOKUP(A1,DIV_08Data!$A$1:$DZU$1000000,3358,FALSE)</f>
        <v>#N/A</v>
      </c>
      <c r="I198" s="33" t="e">
        <f>VLOOKUP(A1,DIV_08Data!$A$1:$DZU$1000000,3359,FALSE)</f>
        <v>#N/A</v>
      </c>
      <c r="J198" s="34" t="e">
        <f>VLOOKUP(A1,DIV_08Data!$A$1:$DZU$1000000,3360,FALSE)</f>
        <v>#N/A</v>
      </c>
      <c r="K198" s="34" t="e">
        <f>VLOOKUP(A1,DIV_08Data!$A$1:$DZU$1000000,3361,FALSE)</f>
        <v>#N/A</v>
      </c>
      <c r="L198" s="34" t="e">
        <f>VLOOKUP(A1,DIV_08Data!$A$1:$DZU$1000000,3362,FALSE)</f>
        <v>#N/A</v>
      </c>
      <c r="M198" s="33" t="e">
        <f>VLOOKUP(A1,DIV_08Data!$A$1:$DZU$1000000,3363,FALSE)</f>
        <v>#N/A</v>
      </c>
      <c r="N198" s="34" t="e">
        <f>VLOOKUP(A1,DIV_08Data!$A$1:$DZU$1000000,3364,FALSE)</f>
        <v>#N/A</v>
      </c>
      <c r="O198" s="35" t="e">
        <f>VLOOKUP(A1,DIV_08Data!$A$1:$DZU$1000000,3365,FALSE)</f>
        <v>#N/A</v>
      </c>
      <c r="P198" s="36" t="e">
        <f>VLOOKUP(A1,DIV_08Data!$A$1:$DZU$1000000,3366,FALSE)</f>
        <v>#N/A</v>
      </c>
      <c r="Q198" s="35" t="e">
        <f>VLOOKUP(A1,DIV_08Data!$A$1:$DZU$1000000,3367,FALSE)</f>
        <v>#N/A</v>
      </c>
    </row>
    <row r="199" spans="1:17" x14ac:dyDescent="0.35">
      <c r="A199" s="62" t="e">
        <f>VLOOKUP(A1,DIV_08Data!$A$1:$DZU$1000000,3368,FALSE)</f>
        <v>#N/A</v>
      </c>
      <c r="B199" s="63" t="e">
        <f>VLOOKUP(A1,DIV_08Data!$A$1:$DZU$1000000,3369,FALSE)</f>
        <v>#N/A</v>
      </c>
      <c r="C199" s="64" t="e">
        <f>VLOOKUP(A1,DIV_08Data!$A$1:$DZU$1000000,3370,FALSE)</f>
        <v>#N/A</v>
      </c>
      <c r="D199" s="65" t="e">
        <f>VLOOKUP(A1,DIV_08Data!$A$1:$DZU$1000000,3371,FALSE)</f>
        <v>#N/A</v>
      </c>
      <c r="E199" s="66" t="e">
        <f>VLOOKUP(A1,DIV_08Data!$A$1:$DZU$1000000,3372,FALSE)</f>
        <v>#N/A</v>
      </c>
      <c r="F199" s="67" t="e">
        <f>VLOOKUP(A1,DIV_08Data!$A$1:$DZU$1000000,3373,FALSE)</f>
        <v>#N/A</v>
      </c>
      <c r="G199" s="68" t="e">
        <f>VLOOKUP(A1,DIV_08Data!$A$1:$DZU$1000000,3374,FALSE)</f>
        <v>#N/A</v>
      </c>
      <c r="H199" s="67" t="e">
        <f>VLOOKUP(A1,DIV_08Data!$A$1:$DZU$1000000,3375,FALSE)</f>
        <v>#N/A</v>
      </c>
      <c r="I199" s="68" t="e">
        <f>VLOOKUP(A1,DIV_08Data!$A$1:$DZU$1000000,3376,FALSE)</f>
        <v>#N/A</v>
      </c>
      <c r="J199" s="67" t="e">
        <f>VLOOKUP(A1,DIV_08Data!$A$1:$DZU$1000000,3377,FALSE)</f>
        <v>#N/A</v>
      </c>
      <c r="K199" s="69" t="e">
        <f>VLOOKUP(A1,DIV_08Data!$A$1:$DZU$1000000,3378,FALSE)</f>
        <v>#N/A</v>
      </c>
      <c r="L199" s="67" t="e">
        <f>VLOOKUP(A1,DIV_08Data!$A$1:$DZU$1000000,3379,FALSE)</f>
        <v>#N/A</v>
      </c>
      <c r="M199" s="68" t="e">
        <f>VLOOKUP(A1,DIV_08Data!$A$1:$DZU$1000000,3380,FALSE)</f>
        <v>#N/A</v>
      </c>
      <c r="N199" s="67" t="e">
        <f>VLOOKUP(A1,DIV_08Data!$A$1:$DZU$1000000,3381,FALSE)</f>
        <v>#N/A</v>
      </c>
      <c r="O199" s="68" t="e">
        <f>VLOOKUP(A1,DIV_08Data!$A$1:$DZU$1000000,3382,FALSE)</f>
        <v>#N/A</v>
      </c>
      <c r="P199" s="70" t="e">
        <f>VLOOKUP(A1,DIV_08Data!$A$1:$DZU$1000000,3383,FALSE)</f>
        <v>#N/A</v>
      </c>
      <c r="Q199" s="68" t="e">
        <f>VLOOKUP(A1,DIV_08Data!$A$1:$DZU$1000000,3384,FALSE)</f>
        <v>#N/A</v>
      </c>
    </row>
    <row r="200" spans="1:17" x14ac:dyDescent="0.35">
      <c r="A200" s="1" t="e">
        <f>VLOOKUP(A1,DIV_08Data!$A$1:$DZU$1000000,3385,FALSE)</f>
        <v>#N/A</v>
      </c>
      <c r="B200" s="1" t="e">
        <f>VLOOKUP(A1,DIV_08Data!$A$1:$DZU$1000000,3386,FALSE)</f>
        <v>#N/A</v>
      </c>
      <c r="C200" s="1" t="e">
        <f>VLOOKUP(A1,DIV_08Data!$A$1:$DZU$1000000,3387,FALSE)</f>
        <v>#N/A</v>
      </c>
      <c r="D200" s="1" t="e">
        <f>VLOOKUP(A1,DIV_08Data!$A$1:$DZU$1000000,3388,FALSE)</f>
        <v>#N/A</v>
      </c>
      <c r="E200" s="1" t="e">
        <f>VLOOKUP(A1,DIV_08Data!$A$1:$DZU$1000000,3389,FALSE)</f>
        <v>#N/A</v>
      </c>
      <c r="F200" s="1" t="e">
        <f>VLOOKUP(A1,DIV_08Data!$A$1:$DZU$1000000,3390,FALSE)</f>
        <v>#N/A</v>
      </c>
      <c r="G200" s="1" t="e">
        <f>VLOOKUP(A1,DIV_08Data!$A$1:$DZU$1000000,3391,FALSE)</f>
        <v>#N/A</v>
      </c>
      <c r="H200" s="1" t="e">
        <f>VLOOKUP(A1,DIV_08Data!$A$1:$DZU$1000000,3392,FALSE)</f>
        <v>#N/A</v>
      </c>
      <c r="I200" s="1" t="e">
        <f>VLOOKUP(A1,DIV_08Data!$A$1:$DZU$1000000,3393,FALSE)</f>
        <v>#N/A</v>
      </c>
      <c r="J200" s="1" t="e">
        <f>VLOOKUP(A1,DIV_08Data!$A$1:$DZU$1000000,3394,FALSE)</f>
        <v>#N/A</v>
      </c>
      <c r="K200" s="1" t="e">
        <f>VLOOKUP(A1,DIV_08Data!$A$1:$DZU$1000000,3395,FALSE)</f>
        <v>#N/A</v>
      </c>
      <c r="L200" s="1" t="e">
        <f>VLOOKUP(A1,DIV_08Data!$A$1:$DZU$1000000,3396,FALSE)</f>
        <v>#N/A</v>
      </c>
      <c r="M200" s="1" t="e">
        <f>VLOOKUP(A1,DIV_08Data!$A$1:$DZU$1000000,3397,FALSE)</f>
        <v>#N/A</v>
      </c>
      <c r="N200" s="1" t="e">
        <f>VLOOKUP(A1,DIV_08Data!$A$1:$DZU$1000000,3398,FALSE)</f>
        <v>#N/A</v>
      </c>
      <c r="O200" s="1" t="e">
        <f>VLOOKUP(A1,DIV_08Data!$A$1:$DZU$1000000,3399,FALSE)</f>
        <v>#N/A</v>
      </c>
      <c r="P200" s="1" t="e">
        <f>VLOOKUP(A1,DIV_08Data!$A$1:$DZU$1000000,3400,FALSE)</f>
        <v>#N/A</v>
      </c>
      <c r="Q200" s="78" t="e">
        <f>VLOOKUP(A1,DIV_08Data!$A$1:$DZU$1000000,3401,FALSE)</f>
        <v>#N/A</v>
      </c>
    </row>
  </sheetData>
  <mergeCells count="9">
    <mergeCell ref="J5:K5"/>
    <mergeCell ref="J6:K6"/>
    <mergeCell ref="J7:K7"/>
    <mergeCell ref="B2:L2"/>
    <mergeCell ref="A3:B3"/>
    <mergeCell ref="D3:G3"/>
    <mergeCell ref="J3:K3"/>
    <mergeCell ref="A4:B4"/>
    <mergeCell ref="J4:K4"/>
  </mergeCells>
  <dataValidations count="1">
    <dataValidation type="list" allowBlank="1" showInputMessage="1" showErrorMessage="1" sqref="C16:C190" xr:uid="{B91D25D3-B98B-4093-AAF2-69C4E6442F5A}">
      <formula1>$C$205:$C207</formula1>
    </dataValidation>
  </dataValidations>
  <hyperlinks>
    <hyperlink ref="D3" r:id="rId1" display="datamateapp@gmail.com" xr:uid="{11EA5B68-D2A6-47D7-8CBE-08C736F436CA}"/>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49542" r:id="rId4" name="Button 6">
              <controlPr defaultSize="0" print="0" autoFill="0" autoPict="0" macro="[0]!ViewInput">
                <anchor moveWithCells="1" sizeWithCells="1">
                  <from>
                    <xdr:col>16</xdr:col>
                    <xdr:colOff>1454150</xdr:colOff>
                    <xdr:row>2</xdr:row>
                    <xdr:rowOff>44450</xdr:rowOff>
                  </from>
                  <to>
                    <xdr:col>19</xdr:col>
                    <xdr:colOff>12700</xdr:colOff>
                    <xdr:row>4</xdr:row>
                    <xdr:rowOff>82550</xdr:rowOff>
                  </to>
                </anchor>
              </controlPr>
            </control>
          </mc:Choice>
        </mc:AlternateContent>
        <mc:AlternateContent xmlns:mc="http://schemas.openxmlformats.org/markup-compatibility/2006">
          <mc:Choice Requires="x14">
            <control shapeId="449543" r:id="rId5" name="Button 7">
              <controlPr defaultSize="0" print="0" autoFill="0" autoPict="0" macro="[0]!ViewLog">
                <anchor moveWithCells="1" sizeWithCells="1">
                  <from>
                    <xdr:col>16</xdr:col>
                    <xdr:colOff>1454150</xdr:colOff>
                    <xdr:row>5</xdr:row>
                    <xdr:rowOff>31750</xdr:rowOff>
                  </from>
                  <to>
                    <xdr:col>19</xdr:col>
                    <xdr:colOff>12700</xdr:colOff>
                    <xdr:row>7</xdr:row>
                    <xdr:rowOff>31750</xdr:rowOff>
                  </to>
                </anchor>
              </controlPr>
            </control>
          </mc:Choice>
        </mc:AlternateContent>
        <mc:AlternateContent xmlns:mc="http://schemas.openxmlformats.org/markup-compatibility/2006">
          <mc:Choice Requires="x14">
            <control shapeId="449544" r:id="rId6" name="Button 8">
              <controlPr defaultSize="0" print="0" autoFill="0" autoPict="0" macro="[0]!OpenDataMateAppPage">
                <anchor moveWithCells="1" sizeWithCells="1">
                  <from>
                    <xdr:col>16</xdr:col>
                    <xdr:colOff>1454150</xdr:colOff>
                    <xdr:row>7</xdr:row>
                    <xdr:rowOff>152400</xdr:rowOff>
                  </from>
                  <to>
                    <xdr:col>19</xdr:col>
                    <xdr:colOff>12700</xdr:colOff>
                    <xdr:row>9</xdr:row>
                    <xdr:rowOff>146050</xdr:rowOff>
                  </to>
                </anchor>
              </controlPr>
            </control>
          </mc:Choice>
        </mc:AlternateContent>
        <mc:AlternateContent xmlns:mc="http://schemas.openxmlformats.org/markup-compatibility/2006">
          <mc:Choice Requires="x14">
            <control shapeId="449545" r:id="rId7" name="Button 9">
              <controlPr defaultSize="0" print="0" autoFill="0" autoPict="0" macro="RefreshView">
                <anchor moveWithCells="1" sizeWithCells="1">
                  <from>
                    <xdr:col>16</xdr:col>
                    <xdr:colOff>1454150</xdr:colOff>
                    <xdr:row>0</xdr:row>
                    <xdr:rowOff>0</xdr:rowOff>
                  </from>
                  <to>
                    <xdr:col>19</xdr:col>
                    <xdr:colOff>12700</xdr:colOff>
                    <xdr:row>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BEEDA3D-26F7-403D-B362-1793B12413B5}">
          <x14:formula1>
            <xm:f>DIV_02Data!$A:$A</xm:f>
          </x14:formula1>
          <xm:sqref>B2:L2</xm:sqref>
        </x14:dataValidation>
      </x14:dataValidations>
    </ext>
  </extLst>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D96FA-40B1-4735-9225-7636E2DC5C56}">
  <sheetPr codeName="Sheet101"/>
  <dimension ref="A2:B3"/>
  <sheetViews>
    <sheetView zoomScale="75" zoomScaleNormal="75" workbookViewId="0">
      <selection activeCell="A3" sqref="A3"/>
    </sheetView>
  </sheetViews>
  <sheetFormatPr defaultRowHeight="14.5" x14ac:dyDescent="0.35"/>
  <cols>
    <col min="1" max="1" width="28.26953125" customWidth="1"/>
    <col min="2" max="8" width="13.36328125" customWidth="1"/>
    <col min="9" max="9" width="50.36328125" customWidth="1"/>
    <col min="13" max="15" width="10.26953125" customWidth="1"/>
  </cols>
  <sheetData>
    <row r="2" spans="1:2" ht="18.5" x14ac:dyDescent="0.45">
      <c r="A2" s="71" t="str">
        <f>DIV_08Input!A3</f>
        <v>DIV 08</v>
      </c>
      <c r="B2" s="1"/>
    </row>
    <row r="3" spans="1:2" x14ac:dyDescent="0.35">
      <c r="A3" s="1" t="s">
        <v>21395</v>
      </c>
      <c r="B3" s="246">
        <f ca="1">TODAY()</f>
        <v>45603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50564" r:id="rId3" name="Button 4">
              <controlPr defaultSize="0" print="0" autoFill="0" autoPict="0" macro="[0]!ViewInput">
                <anchor moveWithCells="1" sizeWithCells="1">
                  <from>
                    <xdr:col>16</xdr:col>
                    <xdr:colOff>603250</xdr:colOff>
                    <xdr:row>0</xdr:row>
                    <xdr:rowOff>0</xdr:rowOff>
                  </from>
                  <to>
                    <xdr:col>19</xdr:col>
                    <xdr:colOff>44450</xdr:colOff>
                    <xdr:row>2</xdr:row>
                    <xdr:rowOff>12700</xdr:rowOff>
                  </to>
                </anchor>
              </controlPr>
            </control>
          </mc:Choice>
        </mc:AlternateContent>
        <mc:AlternateContent xmlns:mc="http://schemas.openxmlformats.org/markup-compatibility/2006">
          <mc:Choice Requires="x14">
            <control shapeId="450565" r:id="rId4" name="Button 5">
              <controlPr defaultSize="0" print="0" autoFill="0" autoPict="0" macro="[0]!ViewView_Print">
                <anchor moveWithCells="1" sizeWithCells="1">
                  <from>
                    <xdr:col>16</xdr:col>
                    <xdr:colOff>603250</xdr:colOff>
                    <xdr:row>2</xdr:row>
                    <xdr:rowOff>38100</xdr:rowOff>
                  </from>
                  <to>
                    <xdr:col>19</xdr:col>
                    <xdr:colOff>44450</xdr:colOff>
                    <xdr:row>4</xdr:row>
                    <xdr:rowOff>50800</xdr:rowOff>
                  </to>
                </anchor>
              </controlPr>
            </control>
          </mc:Choice>
        </mc:AlternateContent>
        <mc:AlternateContent xmlns:mc="http://schemas.openxmlformats.org/markup-compatibility/2006">
          <mc:Choice Requires="x14">
            <control shapeId="450566" r:id="rId5" name="Button 6">
              <controlPr defaultSize="0" print="0" autoFill="0" autoPict="0" macro="[0]!ViewUpdate">
                <anchor moveWithCells="1" sizeWithCells="1">
                  <from>
                    <xdr:col>16</xdr:col>
                    <xdr:colOff>603250</xdr:colOff>
                    <xdr:row>4</xdr:row>
                    <xdr:rowOff>76200</xdr:rowOff>
                  </from>
                  <to>
                    <xdr:col>19</xdr:col>
                    <xdr:colOff>44450</xdr:colOff>
                    <xdr:row>6</xdr:row>
                    <xdr:rowOff>88900</xdr:rowOff>
                  </to>
                </anchor>
              </controlPr>
            </control>
          </mc:Choice>
        </mc:AlternateContent>
      </controls>
    </mc:Choice>
  </mc:AlternateContent>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49B37-28BD-409C-B71C-9138149F4DB1}">
  <sheetPr codeName="Sheet102"/>
  <dimension ref="A1:P1"/>
  <sheetViews>
    <sheetView workbookViewId="0">
      <selection sqref="A1:Q207"/>
    </sheetView>
  </sheetViews>
  <sheetFormatPr defaultRowHeight="14.5" x14ac:dyDescent="0.35"/>
  <cols>
    <col min="1" max="1" width="8.7265625" style="248"/>
    <col min="5" max="5" width="22.08984375" style="248" customWidth="1"/>
    <col min="6" max="6" width="8.7265625" style="248"/>
    <col min="7" max="11" width="11.6328125" style="248" customWidth="1"/>
    <col min="12" max="12" width="12.26953125" style="248" customWidth="1"/>
    <col min="13" max="13" width="34.54296875" style="248" customWidth="1"/>
    <col min="14" max="16" width="8.7265625" style="248"/>
  </cols>
  <sheetData>
    <row r="1" spans="2:16" x14ac:dyDescent="0.35">
      <c r="B1" s="73" t="str">
        <f>DIV_08View_Print!M1</f>
        <v>Update 1</v>
      </c>
      <c r="C1" s="73" t="str">
        <f>DIV_08View_Print!N1</f>
        <v>Update 2</v>
      </c>
      <c r="D1" s="73" t="str">
        <f>DIV_08View_Print!O1</f>
        <v>Update 3</v>
      </c>
      <c r="E1" s="74" t="str">
        <f>SEC_081000!A1</f>
        <v>AREA/FLOOR/ZONE</v>
      </c>
      <c r="F1" s="74" t="str">
        <f>SEC_081000!B1</f>
        <v>Page</v>
      </c>
      <c r="G1" s="74" t="str">
        <f>SEC_081000!C1</f>
        <v>SUB COST</v>
      </c>
      <c r="H1" s="74" t="str">
        <f>SEC_081000!D1</f>
        <v>MAT COST</v>
      </c>
      <c r="I1" s="74" t="str">
        <f>SEC_081000!E1</f>
        <v>LAB COST</v>
      </c>
      <c r="J1" s="74" t="str">
        <f>SEC_081000!F1</f>
        <v>EQUIP COST</v>
      </c>
      <c r="K1" s="74" t="str">
        <f>SEC_081000!G1</f>
        <v>Total Cost</v>
      </c>
      <c r="L1" s="74" t="str">
        <f>SEC_081000!H1</f>
        <v>Date</v>
      </c>
      <c r="M1" s="74" t="str">
        <f>SEC_081000!I1</f>
        <v>Description</v>
      </c>
      <c r="N1" s="74" t="str">
        <f>SEC_081000!J1</f>
        <v>Log 10</v>
      </c>
      <c r="O1" s="74" t="str">
        <f>SEC_081000!K1</f>
        <v>Log 11</v>
      </c>
      <c r="P1" s="75" t="str">
        <f>SEC_081000!L1</f>
        <v>Log 12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51585" r:id="rId3" name="Button 1">
              <controlPr defaultSize="0" print="0" autoFill="0" autoPict="0" macro="[0]!ViewLog">
                <anchor moveWithCells="1" sizeWithCells="1">
                  <from>
                    <xdr:col>17</xdr:col>
                    <xdr:colOff>0</xdr:colOff>
                    <xdr:row>0</xdr:row>
                    <xdr:rowOff>44450</xdr:rowOff>
                  </from>
                  <to>
                    <xdr:col>19</xdr:col>
                    <xdr:colOff>50800</xdr:colOff>
                    <xdr:row>2</xdr:row>
                    <xdr:rowOff>57150</xdr:rowOff>
                  </to>
                </anchor>
              </controlPr>
            </control>
          </mc:Choice>
        </mc:AlternateContent>
      </controls>
    </mc:Choice>
  </mc:AlternateConten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7D89D-8DBA-4278-A414-8F7E313909BC}">
  <sheetPr codeName="Sheet103"/>
  <dimension ref="S1:AG1"/>
  <sheetViews>
    <sheetView workbookViewId="0">
      <selection activeCell="M40" sqref="M40"/>
    </sheetView>
  </sheetViews>
  <sheetFormatPr defaultRowHeight="14.5" x14ac:dyDescent="0.35"/>
  <sheetData>
    <row r="1" spans="19:33" x14ac:dyDescent="0.35">
      <c r="S1" t="str">
        <f>DIV_08Input!A1</f>
        <v>AREA/FLOOR/ZONE</v>
      </c>
      <c r="T1" t="str">
        <f>DIV_08Input!B1</f>
        <v>Page</v>
      </c>
      <c r="U1" t="str">
        <f>DIV_08Input!C1</f>
        <v>SUB COST</v>
      </c>
      <c r="V1" t="str">
        <f>DIV_08Input!D1</f>
        <v>MAT COST</v>
      </c>
      <c r="W1" t="str">
        <f>DIV_08Input!E1</f>
        <v>LAB COST</v>
      </c>
      <c r="X1" t="str">
        <f>DIV_08Input!F1</f>
        <v>EQUIP COST</v>
      </c>
      <c r="Y1" t="str">
        <f>DIV_08Input!G1</f>
        <v>Total Cost</v>
      </c>
      <c r="Z1" t="str">
        <f>DIV_08Input!H1</f>
        <v>Date</v>
      </c>
      <c r="AA1" t="str">
        <f>DIV_08Input!I1</f>
        <v>Description</v>
      </c>
      <c r="AB1" t="str">
        <f>DIV_08Input!J1</f>
        <v>Log 10</v>
      </c>
      <c r="AC1" t="str">
        <f>DIV_08Input!K1</f>
        <v>Log 11</v>
      </c>
      <c r="AD1" t="str">
        <f>DIV_08Input!L1</f>
        <v>Log 12</v>
      </c>
      <c r="AE1" t="str">
        <f>DIV_08Input!M1</f>
        <v>Update 1</v>
      </c>
      <c r="AF1" t="str">
        <f>DIV_08Input!N1</f>
        <v>Update 2</v>
      </c>
      <c r="AG1" t="str">
        <f>DIV_08Input!O1</f>
        <v>Update 3</v>
      </c>
    </row>
  </sheetData>
  <pageMargins left="0.7" right="0.7" top="0.75" bottom="0.75" header="0.3" footer="0.3"/>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4FEEB-64C7-4975-BC50-B4A3E8359F2E}">
  <sheetPr codeName="Sheet104"/>
  <dimension ref="A1:Q558"/>
  <sheetViews>
    <sheetView zoomScale="75" zoomScaleNormal="75" workbookViewId="0"/>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DOORS AND FRAMES</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08 10 00</v>
      </c>
      <c r="C10" s="24" t="str">
        <f>C206</f>
        <v>DOORS AND FRAMES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DOORS AND FRAMES</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14465</v>
      </c>
      <c r="C206" s="82" t="s">
        <v>14466</v>
      </c>
      <c r="D206" s="1"/>
      <c r="E206" s="1"/>
      <c r="F206" s="1"/>
      <c r="G206" s="1"/>
      <c r="H206" s="1"/>
      <c r="I206" s="1"/>
      <c r="J206" s="1"/>
      <c r="K206" s="1"/>
      <c r="L206" s="1"/>
      <c r="M206" s="1"/>
      <c r="N206" s="1"/>
      <c r="O206" s="1"/>
      <c r="P206" s="1"/>
      <c r="Q206" s="1"/>
    </row>
    <row r="207" spans="2:17" x14ac:dyDescent="0.35">
      <c r="B207" s="49" t="s">
        <v>14467</v>
      </c>
      <c r="C207" s="53" t="s">
        <v>14468</v>
      </c>
      <c r="D207" s="1"/>
      <c r="E207" s="1"/>
      <c r="F207" s="1"/>
      <c r="G207" s="1"/>
      <c r="H207" s="1"/>
      <c r="I207" s="1"/>
      <c r="J207" s="1"/>
      <c r="K207" s="1"/>
      <c r="L207" s="1"/>
      <c r="M207" s="1"/>
      <c r="N207" s="1"/>
      <c r="O207" s="1"/>
      <c r="P207" s="1"/>
      <c r="Q207" s="1"/>
    </row>
    <row r="208" spans="2:17" x14ac:dyDescent="0.35">
      <c r="B208" s="49" t="s">
        <v>14469</v>
      </c>
      <c r="C208" s="53" t="s">
        <v>14470</v>
      </c>
    </row>
    <row r="209" spans="2:5" x14ac:dyDescent="0.35">
      <c r="B209" s="49" t="s">
        <v>14471</v>
      </c>
      <c r="C209" s="53" t="s">
        <v>14472</v>
      </c>
    </row>
    <row r="210" spans="2:5" x14ac:dyDescent="0.35">
      <c r="B210" s="49" t="s">
        <v>14473</v>
      </c>
      <c r="C210" s="53" t="s">
        <v>14474</v>
      </c>
    </row>
    <row r="211" spans="2:5" x14ac:dyDescent="0.35">
      <c r="B211" s="49" t="s">
        <v>14475</v>
      </c>
      <c r="C211" s="53" t="s">
        <v>14476</v>
      </c>
    </row>
    <row r="212" spans="2:5" x14ac:dyDescent="0.35">
      <c r="B212" s="49" t="s">
        <v>14477</v>
      </c>
      <c r="C212" s="53" t="s">
        <v>14478</v>
      </c>
    </row>
    <row r="213" spans="2:5" x14ac:dyDescent="0.35">
      <c r="B213" s="49" t="s">
        <v>14479</v>
      </c>
      <c r="C213" s="53" t="s">
        <v>14480</v>
      </c>
    </row>
    <row r="214" spans="2:5" x14ac:dyDescent="0.35">
      <c r="C214" s="1" t="s">
        <v>2313</v>
      </c>
      <c r="D214" s="1" t="s">
        <v>18</v>
      </c>
      <c r="E214" s="250">
        <v>8000.8</v>
      </c>
    </row>
    <row r="215" spans="2:5" x14ac:dyDescent="0.35">
      <c r="C215" s="1" t="s">
        <v>2312</v>
      </c>
      <c r="D215" s="1" t="s">
        <v>18</v>
      </c>
      <c r="E215" s="250">
        <v>8000.8010000000004</v>
      </c>
    </row>
    <row r="216" spans="2:5" x14ac:dyDescent="0.35">
      <c r="C216" s="1" t="s">
        <v>2311</v>
      </c>
      <c r="D216" s="1" t="s">
        <v>18</v>
      </c>
      <c r="E216" s="250">
        <v>8000.81</v>
      </c>
    </row>
    <row r="217" spans="2:5" x14ac:dyDescent="0.35">
      <c r="C217" s="1" t="s">
        <v>2310</v>
      </c>
      <c r="D217" s="1" t="s">
        <v>18</v>
      </c>
      <c r="E217" s="250">
        <v>8000.8109999999997</v>
      </c>
    </row>
    <row r="218" spans="2:5" x14ac:dyDescent="0.35">
      <c r="C218" s="1" t="s">
        <v>2309</v>
      </c>
      <c r="D218" s="1" t="s">
        <v>18</v>
      </c>
      <c r="E218" s="250">
        <v>8000.87</v>
      </c>
    </row>
    <row r="219" spans="2:5" x14ac:dyDescent="0.35">
      <c r="C219" s="1" t="s">
        <v>2308</v>
      </c>
      <c r="D219" s="1" t="s">
        <v>58</v>
      </c>
      <c r="E219" s="250">
        <v>8000.8710000000001</v>
      </c>
    </row>
    <row r="220" spans="2:5" x14ac:dyDescent="0.35">
      <c r="C220" s="1" t="s">
        <v>2307</v>
      </c>
      <c r="D220" s="1" t="s">
        <v>58</v>
      </c>
      <c r="E220" s="250">
        <v>8000.8810000000003</v>
      </c>
    </row>
    <row r="221" spans="2:5" x14ac:dyDescent="0.35">
      <c r="C221" s="1" t="s">
        <v>2306</v>
      </c>
      <c r="D221" s="1" t="s">
        <v>57</v>
      </c>
      <c r="E221" s="250">
        <v>8110.1</v>
      </c>
    </row>
    <row r="222" spans="2:5" x14ac:dyDescent="0.35">
      <c r="C222" s="1" t="s">
        <v>2305</v>
      </c>
      <c r="D222" s="1" t="s">
        <v>57</v>
      </c>
      <c r="E222" s="250">
        <v>8110.1109999999999</v>
      </c>
    </row>
    <row r="223" spans="2:5" x14ac:dyDescent="0.35">
      <c r="C223" s="1" t="s">
        <v>2177</v>
      </c>
      <c r="D223" s="1" t="s">
        <v>18</v>
      </c>
      <c r="E223" s="250">
        <v>8110.1120000000001</v>
      </c>
    </row>
    <row r="224" spans="2:5" x14ac:dyDescent="0.35">
      <c r="C224" s="1" t="s">
        <v>2304</v>
      </c>
      <c r="D224" s="1" t="s">
        <v>57</v>
      </c>
      <c r="E224" s="250">
        <v>8110.1210000000001</v>
      </c>
    </row>
    <row r="225" spans="3:5" x14ac:dyDescent="0.35">
      <c r="C225" s="1" t="s">
        <v>2177</v>
      </c>
      <c r="D225" s="1" t="s">
        <v>18</v>
      </c>
      <c r="E225" s="250">
        <v>8110.1220000000003</v>
      </c>
    </row>
    <row r="226" spans="3:5" x14ac:dyDescent="0.35">
      <c r="C226" s="1" t="s">
        <v>2303</v>
      </c>
      <c r="D226" s="1" t="s">
        <v>57</v>
      </c>
      <c r="E226" s="250">
        <v>8110.1310000000003</v>
      </c>
    </row>
    <row r="227" spans="3:5" x14ac:dyDescent="0.35">
      <c r="C227" s="1" t="s">
        <v>2177</v>
      </c>
      <c r="D227" s="1" t="s">
        <v>18</v>
      </c>
      <c r="E227" s="250">
        <v>8110.1319999999996</v>
      </c>
    </row>
    <row r="228" spans="3:5" x14ac:dyDescent="0.35">
      <c r="C228" s="1" t="s">
        <v>2302</v>
      </c>
      <c r="D228" s="1" t="s">
        <v>57</v>
      </c>
      <c r="E228" s="250">
        <v>8110.1409999999996</v>
      </c>
    </row>
    <row r="229" spans="3:5" x14ac:dyDescent="0.35">
      <c r="C229" s="1" t="s">
        <v>2177</v>
      </c>
      <c r="D229" s="1" t="s">
        <v>18</v>
      </c>
      <c r="E229" s="250">
        <v>8110.1419999999998</v>
      </c>
    </row>
    <row r="230" spans="3:5" x14ac:dyDescent="0.35">
      <c r="C230" s="1" t="s">
        <v>2301</v>
      </c>
      <c r="D230" s="1" t="s">
        <v>57</v>
      </c>
      <c r="E230" s="250">
        <v>8110.1509999999998</v>
      </c>
    </row>
    <row r="231" spans="3:5" x14ac:dyDescent="0.35">
      <c r="C231" s="1" t="s">
        <v>2177</v>
      </c>
      <c r="D231" s="1" t="s">
        <v>18</v>
      </c>
      <c r="E231" s="250">
        <v>8110.152</v>
      </c>
    </row>
    <row r="232" spans="3:5" x14ac:dyDescent="0.35">
      <c r="C232" s="1" t="s">
        <v>2300</v>
      </c>
      <c r="D232" s="1" t="s">
        <v>57</v>
      </c>
      <c r="E232" s="250">
        <v>8110.1610000000001</v>
      </c>
    </row>
    <row r="233" spans="3:5" x14ac:dyDescent="0.35">
      <c r="C233" s="1" t="s">
        <v>2177</v>
      </c>
      <c r="D233" s="1" t="s">
        <v>18</v>
      </c>
      <c r="E233" s="250">
        <v>8110.1620000000003</v>
      </c>
    </row>
    <row r="234" spans="3:5" x14ac:dyDescent="0.35">
      <c r="C234" s="1" t="s">
        <v>2299</v>
      </c>
      <c r="D234" s="1" t="s">
        <v>57</v>
      </c>
      <c r="E234" s="250">
        <v>8110.1710000000003</v>
      </c>
    </row>
    <row r="235" spans="3:5" x14ac:dyDescent="0.35">
      <c r="C235" s="1" t="s">
        <v>2177</v>
      </c>
      <c r="D235" s="1" t="s">
        <v>18</v>
      </c>
      <c r="E235" s="250">
        <v>8110.1719999999996</v>
      </c>
    </row>
    <row r="236" spans="3:5" x14ac:dyDescent="0.35">
      <c r="C236" s="1" t="s">
        <v>2298</v>
      </c>
      <c r="D236" s="1" t="s">
        <v>57</v>
      </c>
      <c r="E236" s="250">
        <v>8110.1809999999996</v>
      </c>
    </row>
    <row r="237" spans="3:5" x14ac:dyDescent="0.35">
      <c r="C237" s="1" t="s">
        <v>2177</v>
      </c>
      <c r="D237" s="1" t="s">
        <v>18</v>
      </c>
      <c r="E237" s="250">
        <v>8110.1819999999998</v>
      </c>
    </row>
    <row r="238" spans="3:5" x14ac:dyDescent="0.35">
      <c r="C238" s="1" t="s">
        <v>2297</v>
      </c>
      <c r="D238" s="1" t="s">
        <v>57</v>
      </c>
      <c r="E238" s="250">
        <v>8110.1909999999998</v>
      </c>
    </row>
    <row r="239" spans="3:5" x14ac:dyDescent="0.35">
      <c r="C239" s="1" t="s">
        <v>2177</v>
      </c>
      <c r="D239" s="1" t="s">
        <v>18</v>
      </c>
      <c r="E239" s="250">
        <v>8110.192</v>
      </c>
    </row>
    <row r="240" spans="3:5" x14ac:dyDescent="0.35">
      <c r="C240" s="1" t="s">
        <v>2296</v>
      </c>
      <c r="D240" s="1" t="s">
        <v>57</v>
      </c>
      <c r="E240" s="250">
        <v>8110.201</v>
      </c>
    </row>
    <row r="241" spans="3:5" x14ac:dyDescent="0.35">
      <c r="C241" s="1" t="s">
        <v>2177</v>
      </c>
      <c r="D241" s="1" t="s">
        <v>18</v>
      </c>
      <c r="E241" s="250">
        <v>8110.2020000000002</v>
      </c>
    </row>
    <row r="242" spans="3:5" x14ac:dyDescent="0.35">
      <c r="C242" s="1" t="s">
        <v>2295</v>
      </c>
      <c r="D242" s="1" t="s">
        <v>57</v>
      </c>
      <c r="E242" s="250">
        <v>8110.2110000000002</v>
      </c>
    </row>
    <row r="243" spans="3:5" x14ac:dyDescent="0.35">
      <c r="C243" s="1" t="s">
        <v>2177</v>
      </c>
      <c r="D243" s="1" t="s">
        <v>18</v>
      </c>
      <c r="E243" s="250">
        <v>8110.2120000000004</v>
      </c>
    </row>
    <row r="244" spans="3:5" x14ac:dyDescent="0.35">
      <c r="C244" s="1" t="s">
        <v>2294</v>
      </c>
      <c r="D244" s="1" t="s">
        <v>57</v>
      </c>
      <c r="E244" s="250">
        <v>8110.2209999999995</v>
      </c>
    </row>
    <row r="245" spans="3:5" x14ac:dyDescent="0.35">
      <c r="C245" s="1" t="s">
        <v>2177</v>
      </c>
      <c r="D245" s="1" t="s">
        <v>18</v>
      </c>
      <c r="E245" s="250">
        <v>8110.2219999999998</v>
      </c>
    </row>
    <row r="246" spans="3:5" x14ac:dyDescent="0.35">
      <c r="C246" s="1" t="s">
        <v>2293</v>
      </c>
      <c r="D246" s="1" t="s">
        <v>57</v>
      </c>
      <c r="E246" s="250">
        <v>8110.241</v>
      </c>
    </row>
    <row r="247" spans="3:5" x14ac:dyDescent="0.35">
      <c r="C247" s="1" t="s">
        <v>2177</v>
      </c>
      <c r="D247" s="1" t="s">
        <v>18</v>
      </c>
      <c r="E247" s="250">
        <v>8110.2420000000002</v>
      </c>
    </row>
    <row r="248" spans="3:5" x14ac:dyDescent="0.35">
      <c r="C248" s="1" t="s">
        <v>2292</v>
      </c>
      <c r="D248" s="1" t="s">
        <v>57</v>
      </c>
      <c r="E248" s="250">
        <v>8110.2510000000002</v>
      </c>
    </row>
    <row r="249" spans="3:5" x14ac:dyDescent="0.35">
      <c r="C249" s="1" t="s">
        <v>2177</v>
      </c>
      <c r="D249" s="1" t="s">
        <v>18</v>
      </c>
      <c r="E249" s="250">
        <v>8110.2520000000004</v>
      </c>
    </row>
    <row r="250" spans="3:5" x14ac:dyDescent="0.35">
      <c r="C250" s="1" t="s">
        <v>2291</v>
      </c>
      <c r="D250" s="1" t="s">
        <v>57</v>
      </c>
      <c r="E250" s="250">
        <v>8110.2610000000004</v>
      </c>
    </row>
    <row r="251" spans="3:5" x14ac:dyDescent="0.35">
      <c r="C251" s="1" t="s">
        <v>2177</v>
      </c>
      <c r="D251" s="1" t="s">
        <v>18</v>
      </c>
      <c r="E251" s="250">
        <v>8110.2619999999997</v>
      </c>
    </row>
    <row r="252" spans="3:5" x14ac:dyDescent="0.35">
      <c r="C252" s="1" t="s">
        <v>2290</v>
      </c>
      <c r="D252" s="1" t="s">
        <v>57</v>
      </c>
      <c r="E252" s="250">
        <v>8110.27</v>
      </c>
    </row>
    <row r="253" spans="3:5" x14ac:dyDescent="0.35">
      <c r="C253" s="1" t="s">
        <v>2289</v>
      </c>
      <c r="D253" s="1" t="s">
        <v>18</v>
      </c>
      <c r="E253" s="250">
        <v>8110.2709999999997</v>
      </c>
    </row>
    <row r="254" spans="3:5" x14ac:dyDescent="0.35">
      <c r="C254" s="1" t="s">
        <v>2288</v>
      </c>
      <c r="D254" s="1" t="s">
        <v>18</v>
      </c>
      <c r="E254" s="250">
        <v>8110.2809999999999</v>
      </c>
    </row>
    <row r="255" spans="3:5" x14ac:dyDescent="0.35">
      <c r="C255" s="1" t="s">
        <v>2287</v>
      </c>
      <c r="D255" s="1" t="s">
        <v>18</v>
      </c>
      <c r="E255" s="250">
        <v>8110.2910000000002</v>
      </c>
    </row>
    <row r="256" spans="3:5" x14ac:dyDescent="0.35">
      <c r="C256" s="1" t="s">
        <v>2286</v>
      </c>
      <c r="D256" s="1" t="s">
        <v>18</v>
      </c>
      <c r="E256" s="250">
        <v>8110.3010000000004</v>
      </c>
    </row>
    <row r="257" spans="3:5" x14ac:dyDescent="0.35">
      <c r="C257" s="1" t="s">
        <v>2285</v>
      </c>
      <c r="D257" s="1" t="s">
        <v>18</v>
      </c>
      <c r="E257" s="250">
        <v>8110.3109999999997</v>
      </c>
    </row>
    <row r="258" spans="3:5" x14ac:dyDescent="0.35">
      <c r="C258" s="1" t="s">
        <v>2284</v>
      </c>
      <c r="D258" s="1" t="s">
        <v>18</v>
      </c>
      <c r="E258" s="250">
        <v>8110.3209999999999</v>
      </c>
    </row>
    <row r="259" spans="3:5" x14ac:dyDescent="0.35">
      <c r="C259" s="1" t="s">
        <v>2283</v>
      </c>
      <c r="D259" s="1" t="s">
        <v>18</v>
      </c>
      <c r="E259" s="250">
        <v>8110.3310000000001</v>
      </c>
    </row>
    <row r="260" spans="3:5" x14ac:dyDescent="0.35">
      <c r="C260" s="1" t="s">
        <v>2282</v>
      </c>
      <c r="D260" s="1" t="s">
        <v>18</v>
      </c>
      <c r="E260" s="250">
        <v>8110.3410000000003</v>
      </c>
    </row>
    <row r="261" spans="3:5" x14ac:dyDescent="0.35">
      <c r="C261" s="1" t="s">
        <v>2281</v>
      </c>
      <c r="D261" s="1" t="s">
        <v>18</v>
      </c>
      <c r="E261" s="250">
        <v>8110.3509999999997</v>
      </c>
    </row>
    <row r="262" spans="3:5" x14ac:dyDescent="0.35">
      <c r="C262" s="1" t="s">
        <v>2280</v>
      </c>
      <c r="D262" s="1" t="s">
        <v>18</v>
      </c>
      <c r="E262" s="250">
        <v>8110.3609999999999</v>
      </c>
    </row>
    <row r="263" spans="3:5" x14ac:dyDescent="0.35">
      <c r="C263" s="1" t="s">
        <v>2279</v>
      </c>
      <c r="D263" s="1" t="s">
        <v>18</v>
      </c>
      <c r="E263" s="250">
        <v>8110.3710000000001</v>
      </c>
    </row>
    <row r="264" spans="3:5" x14ac:dyDescent="0.35">
      <c r="C264" s="1" t="s">
        <v>2278</v>
      </c>
      <c r="D264" s="1" t="s">
        <v>18</v>
      </c>
      <c r="E264" s="250">
        <v>8110.3810000000003</v>
      </c>
    </row>
    <row r="265" spans="3:5" x14ac:dyDescent="0.35">
      <c r="C265" s="1" t="s">
        <v>2277</v>
      </c>
      <c r="D265" s="1" t="s">
        <v>18</v>
      </c>
      <c r="E265" s="250">
        <v>8110.3909999999996</v>
      </c>
    </row>
    <row r="266" spans="3:5" x14ac:dyDescent="0.35">
      <c r="C266" s="1" t="s">
        <v>2276</v>
      </c>
      <c r="D266" s="1" t="s">
        <v>18</v>
      </c>
      <c r="E266" s="250">
        <v>8110.4009999999998</v>
      </c>
    </row>
    <row r="267" spans="3:5" x14ac:dyDescent="0.35">
      <c r="C267" s="1" t="s">
        <v>2275</v>
      </c>
      <c r="D267" s="1" t="s">
        <v>18</v>
      </c>
      <c r="E267" s="250">
        <v>8110.4110000000001</v>
      </c>
    </row>
    <row r="268" spans="3:5" x14ac:dyDescent="0.35">
      <c r="C268" s="1" t="s">
        <v>2274</v>
      </c>
      <c r="D268" s="1" t="s">
        <v>621</v>
      </c>
      <c r="E268" s="250">
        <v>8110.5010000000002</v>
      </c>
    </row>
    <row r="269" spans="3:5" x14ac:dyDescent="0.35">
      <c r="C269" s="1" t="s">
        <v>2273</v>
      </c>
      <c r="D269" s="1" t="s">
        <v>621</v>
      </c>
      <c r="E269" s="250">
        <v>8110.5020000000004</v>
      </c>
    </row>
    <row r="270" spans="3:5" x14ac:dyDescent="0.35">
      <c r="C270" s="1" t="s">
        <v>2272</v>
      </c>
      <c r="D270" s="1" t="s">
        <v>621</v>
      </c>
      <c r="E270" s="250">
        <v>8110.5029999999997</v>
      </c>
    </row>
    <row r="271" spans="3:5" x14ac:dyDescent="0.35">
      <c r="C271" s="1" t="s">
        <v>2271</v>
      </c>
      <c r="D271" s="1" t="s">
        <v>621</v>
      </c>
      <c r="E271" s="250">
        <v>8110.5039999999999</v>
      </c>
    </row>
    <row r="272" spans="3:5" x14ac:dyDescent="0.35">
      <c r="C272" s="1" t="s">
        <v>2270</v>
      </c>
      <c r="D272" s="1" t="s">
        <v>621</v>
      </c>
      <c r="E272" s="250">
        <v>8110.5050000000001</v>
      </c>
    </row>
    <row r="273" spans="3:5" x14ac:dyDescent="0.35">
      <c r="C273" s="1" t="s">
        <v>2269</v>
      </c>
      <c r="D273" s="1" t="s">
        <v>621</v>
      </c>
      <c r="E273" s="250">
        <v>8110.5060000000003</v>
      </c>
    </row>
    <row r="274" spans="3:5" x14ac:dyDescent="0.35">
      <c r="C274" s="1" t="s">
        <v>2268</v>
      </c>
      <c r="D274" s="1" t="s">
        <v>621</v>
      </c>
      <c r="E274" s="250">
        <v>8110.5110000000004</v>
      </c>
    </row>
    <row r="275" spans="3:5" x14ac:dyDescent="0.35">
      <c r="C275" s="1" t="s">
        <v>2267</v>
      </c>
      <c r="D275" s="1" t="s">
        <v>621</v>
      </c>
      <c r="E275" s="250">
        <v>8110.5119999999997</v>
      </c>
    </row>
    <row r="276" spans="3:5" x14ac:dyDescent="0.35">
      <c r="C276" s="1" t="s">
        <v>2266</v>
      </c>
      <c r="D276" s="1" t="s">
        <v>621</v>
      </c>
      <c r="E276" s="250">
        <v>8110.5129999999999</v>
      </c>
    </row>
    <row r="277" spans="3:5" x14ac:dyDescent="0.35">
      <c r="C277" s="1" t="s">
        <v>2265</v>
      </c>
      <c r="D277" s="1" t="s">
        <v>621</v>
      </c>
      <c r="E277" s="250">
        <v>8110.5140000000001</v>
      </c>
    </row>
    <row r="278" spans="3:5" x14ac:dyDescent="0.35">
      <c r="C278" s="1" t="s">
        <v>2264</v>
      </c>
      <c r="D278" s="1" t="s">
        <v>621</v>
      </c>
      <c r="E278" s="250">
        <v>8110.5150000000003</v>
      </c>
    </row>
    <row r="279" spans="3:5" x14ac:dyDescent="0.35">
      <c r="C279" s="1" t="s">
        <v>2263</v>
      </c>
      <c r="D279" s="1" t="s">
        <v>621</v>
      </c>
      <c r="E279" s="250">
        <v>8110.5159999999996</v>
      </c>
    </row>
    <row r="280" spans="3:5" x14ac:dyDescent="0.35">
      <c r="C280" s="1" t="s">
        <v>2262</v>
      </c>
      <c r="D280" s="1" t="s">
        <v>57</v>
      </c>
      <c r="E280" s="250">
        <v>8111.1</v>
      </c>
    </row>
    <row r="281" spans="3:5" x14ac:dyDescent="0.35">
      <c r="C281" s="1" t="s">
        <v>2232</v>
      </c>
      <c r="D281" s="1" t="s">
        <v>18</v>
      </c>
      <c r="E281" s="250">
        <v>8111.1009999999997</v>
      </c>
    </row>
    <row r="282" spans="3:5" x14ac:dyDescent="0.35">
      <c r="C282" s="1" t="s">
        <v>2261</v>
      </c>
      <c r="D282" s="1" t="s">
        <v>57</v>
      </c>
      <c r="E282" s="250">
        <v>8111.12</v>
      </c>
    </row>
    <row r="283" spans="3:5" x14ac:dyDescent="0.35">
      <c r="C283" s="1" t="s">
        <v>2232</v>
      </c>
      <c r="D283" s="1" t="s">
        <v>18</v>
      </c>
      <c r="E283" s="250">
        <v>8111.1210000000001</v>
      </c>
    </row>
    <row r="284" spans="3:5" x14ac:dyDescent="0.35">
      <c r="C284" s="1" t="s">
        <v>2260</v>
      </c>
      <c r="D284" s="1" t="s">
        <v>57</v>
      </c>
      <c r="E284" s="250">
        <v>8111.14</v>
      </c>
    </row>
    <row r="285" spans="3:5" x14ac:dyDescent="0.35">
      <c r="C285" s="1" t="s">
        <v>2232</v>
      </c>
      <c r="D285" s="1" t="s">
        <v>18</v>
      </c>
      <c r="E285" s="250">
        <v>8111.1409999999996</v>
      </c>
    </row>
    <row r="286" spans="3:5" x14ac:dyDescent="0.35">
      <c r="C286" s="1" t="s">
        <v>2259</v>
      </c>
      <c r="D286" s="1" t="s">
        <v>57</v>
      </c>
      <c r="E286" s="250">
        <v>8111.16</v>
      </c>
    </row>
    <row r="287" spans="3:5" x14ac:dyDescent="0.35">
      <c r="C287" s="1" t="s">
        <v>2258</v>
      </c>
      <c r="D287" s="1" t="s">
        <v>18</v>
      </c>
      <c r="E287" s="250">
        <v>8111.1610000000001</v>
      </c>
    </row>
    <row r="288" spans="3:5" x14ac:dyDescent="0.35">
      <c r="C288" s="1" t="s">
        <v>2257</v>
      </c>
      <c r="D288" s="1" t="s">
        <v>57</v>
      </c>
      <c r="E288" s="250">
        <v>8111.5010000000002</v>
      </c>
    </row>
    <row r="289" spans="3:5" x14ac:dyDescent="0.35">
      <c r="C289" s="1" t="s">
        <v>2166</v>
      </c>
      <c r="D289" s="1" t="s">
        <v>18</v>
      </c>
      <c r="E289" s="250">
        <v>8111.5020000000004</v>
      </c>
    </row>
    <row r="290" spans="3:5" x14ac:dyDescent="0.35">
      <c r="C290" s="1" t="s">
        <v>2256</v>
      </c>
      <c r="D290" s="1" t="s">
        <v>18</v>
      </c>
      <c r="E290" s="250">
        <v>8111.5029999999997</v>
      </c>
    </row>
    <row r="291" spans="3:5" x14ac:dyDescent="0.35">
      <c r="C291" s="1" t="s">
        <v>2164</v>
      </c>
      <c r="D291" s="1" t="s">
        <v>18</v>
      </c>
      <c r="E291" s="250">
        <v>8111.5039999999999</v>
      </c>
    </row>
    <row r="292" spans="3:5" x14ac:dyDescent="0.35">
      <c r="C292" s="1" t="s">
        <v>2169</v>
      </c>
      <c r="D292" s="1" t="s">
        <v>18</v>
      </c>
      <c r="E292" s="250">
        <v>8111.5050000000001</v>
      </c>
    </row>
    <row r="293" spans="3:5" x14ac:dyDescent="0.35">
      <c r="C293" s="1" t="s">
        <v>2168</v>
      </c>
      <c r="D293" s="1" t="s">
        <v>18</v>
      </c>
      <c r="E293" s="250">
        <v>8111.5060000000003</v>
      </c>
    </row>
    <row r="294" spans="3:5" x14ac:dyDescent="0.35">
      <c r="C294" s="1" t="s">
        <v>2161</v>
      </c>
      <c r="D294" s="1" t="s">
        <v>18</v>
      </c>
      <c r="E294" s="250">
        <v>8111.5069999999996</v>
      </c>
    </row>
    <row r="295" spans="3:5" x14ac:dyDescent="0.35">
      <c r="C295" s="1" t="s">
        <v>2160</v>
      </c>
      <c r="D295" s="1" t="s">
        <v>18</v>
      </c>
      <c r="E295" s="250">
        <v>8111.5079999999998</v>
      </c>
    </row>
    <row r="296" spans="3:5" x14ac:dyDescent="0.35">
      <c r="C296" s="1" t="s">
        <v>2255</v>
      </c>
      <c r="D296" s="1" t="s">
        <v>18</v>
      </c>
      <c r="E296" s="250">
        <v>8111.5110000000004</v>
      </c>
    </row>
    <row r="297" spans="3:5" x14ac:dyDescent="0.35">
      <c r="C297" s="1" t="s">
        <v>2254</v>
      </c>
      <c r="D297" s="1" t="s">
        <v>18</v>
      </c>
      <c r="E297" s="250">
        <v>8111.52</v>
      </c>
    </row>
    <row r="298" spans="3:5" x14ac:dyDescent="0.35">
      <c r="C298" s="1" t="s">
        <v>2253</v>
      </c>
      <c r="D298" s="1" t="s">
        <v>18</v>
      </c>
      <c r="E298" s="250">
        <v>8111.5209999999997</v>
      </c>
    </row>
    <row r="299" spans="3:5" x14ac:dyDescent="0.35">
      <c r="C299" s="1" t="s">
        <v>2252</v>
      </c>
      <c r="D299" s="1" t="s">
        <v>18</v>
      </c>
      <c r="E299" s="250">
        <v>8111.53</v>
      </c>
    </row>
    <row r="300" spans="3:5" x14ac:dyDescent="0.35">
      <c r="C300" s="1" t="s">
        <v>2251</v>
      </c>
      <c r="D300" s="1" t="s">
        <v>18</v>
      </c>
      <c r="E300" s="250">
        <v>8111.54</v>
      </c>
    </row>
    <row r="301" spans="3:5" x14ac:dyDescent="0.35">
      <c r="C301" s="1" t="s">
        <v>2156</v>
      </c>
      <c r="D301" s="1" t="s">
        <v>18</v>
      </c>
      <c r="E301" s="250">
        <v>8111.55</v>
      </c>
    </row>
    <row r="302" spans="3:5" x14ac:dyDescent="0.35">
      <c r="C302" s="1" t="s">
        <v>2250</v>
      </c>
      <c r="D302" s="1" t="s">
        <v>18</v>
      </c>
      <c r="E302" s="250">
        <v>8111.5550000000003</v>
      </c>
    </row>
    <row r="303" spans="3:5" x14ac:dyDescent="0.35">
      <c r="C303" s="1" t="s">
        <v>2249</v>
      </c>
      <c r="D303" s="1" t="s">
        <v>57</v>
      </c>
      <c r="E303" s="250">
        <v>8112.01</v>
      </c>
    </row>
    <row r="304" spans="3:5" x14ac:dyDescent="0.35">
      <c r="C304" s="1" t="s">
        <v>2246</v>
      </c>
      <c r="D304" s="1" t="s">
        <v>57</v>
      </c>
      <c r="E304" s="250">
        <v>8112.0110000000004</v>
      </c>
    </row>
    <row r="305" spans="3:5" x14ac:dyDescent="0.35">
      <c r="C305" s="1" t="s">
        <v>2235</v>
      </c>
      <c r="D305" s="1" t="s">
        <v>58</v>
      </c>
      <c r="E305" s="250">
        <v>8112.0119999999997</v>
      </c>
    </row>
    <row r="306" spans="3:5" x14ac:dyDescent="0.35">
      <c r="C306" s="1" t="s">
        <v>2245</v>
      </c>
      <c r="D306" s="1" t="s">
        <v>57</v>
      </c>
      <c r="E306" s="250">
        <v>8112.0129999999999</v>
      </c>
    </row>
    <row r="307" spans="3:5" x14ac:dyDescent="0.35">
      <c r="C307" s="1" t="s">
        <v>2235</v>
      </c>
      <c r="D307" s="1" t="s">
        <v>58</v>
      </c>
      <c r="E307" s="250">
        <v>8112.0140000000001</v>
      </c>
    </row>
    <row r="308" spans="3:5" x14ac:dyDescent="0.35">
      <c r="C308" s="1" t="s">
        <v>2244</v>
      </c>
      <c r="D308" s="1" t="s">
        <v>57</v>
      </c>
      <c r="E308" s="250">
        <v>8112.0150000000003</v>
      </c>
    </row>
    <row r="309" spans="3:5" x14ac:dyDescent="0.35">
      <c r="C309" s="1" t="s">
        <v>2235</v>
      </c>
      <c r="D309" s="1" t="s">
        <v>58</v>
      </c>
      <c r="E309" s="250">
        <v>8112.0159999999996</v>
      </c>
    </row>
    <row r="310" spans="3:5" x14ac:dyDescent="0.35">
      <c r="C310" s="1" t="s">
        <v>2243</v>
      </c>
      <c r="D310" s="1" t="s">
        <v>57</v>
      </c>
      <c r="E310" s="250">
        <v>8112.0169999999998</v>
      </c>
    </row>
    <row r="311" spans="3:5" x14ac:dyDescent="0.35">
      <c r="C311" s="1" t="s">
        <v>2235</v>
      </c>
      <c r="D311" s="1" t="s">
        <v>58</v>
      </c>
      <c r="E311" s="250">
        <v>8112.018</v>
      </c>
    </row>
    <row r="312" spans="3:5" x14ac:dyDescent="0.35">
      <c r="C312" s="1" t="s">
        <v>2242</v>
      </c>
      <c r="D312" s="1" t="s">
        <v>57</v>
      </c>
      <c r="E312" s="250">
        <v>8112.0209999999997</v>
      </c>
    </row>
    <row r="313" spans="3:5" x14ac:dyDescent="0.35">
      <c r="C313" s="1" t="s">
        <v>2235</v>
      </c>
      <c r="D313" s="1" t="s">
        <v>58</v>
      </c>
      <c r="E313" s="250">
        <v>8112.0219999999999</v>
      </c>
    </row>
    <row r="314" spans="3:5" x14ac:dyDescent="0.35">
      <c r="C314" s="1" t="s">
        <v>2241</v>
      </c>
      <c r="D314" s="1" t="s">
        <v>57</v>
      </c>
      <c r="E314" s="250">
        <v>8112.0230000000001</v>
      </c>
    </row>
    <row r="315" spans="3:5" x14ac:dyDescent="0.35">
      <c r="C315" s="1" t="s">
        <v>2235</v>
      </c>
      <c r="D315" s="1" t="s">
        <v>58</v>
      </c>
      <c r="E315" s="250">
        <v>8112.0240000000003</v>
      </c>
    </row>
    <row r="316" spans="3:5" x14ac:dyDescent="0.35">
      <c r="C316" s="1" t="s">
        <v>2240</v>
      </c>
      <c r="D316" s="1" t="s">
        <v>57</v>
      </c>
      <c r="E316" s="250">
        <v>8112.0309999999999</v>
      </c>
    </row>
    <row r="317" spans="3:5" x14ac:dyDescent="0.35">
      <c r="C317" s="1" t="s">
        <v>2235</v>
      </c>
      <c r="D317" s="1" t="s">
        <v>58</v>
      </c>
      <c r="E317" s="250">
        <v>8112.0320000000002</v>
      </c>
    </row>
    <row r="318" spans="3:5" x14ac:dyDescent="0.35">
      <c r="C318" s="1" t="s">
        <v>2239</v>
      </c>
      <c r="D318" s="1" t="s">
        <v>57</v>
      </c>
      <c r="E318" s="250">
        <v>8112.0330000000004</v>
      </c>
    </row>
    <row r="319" spans="3:5" x14ac:dyDescent="0.35">
      <c r="C319" s="1" t="s">
        <v>2235</v>
      </c>
      <c r="D319" s="1" t="s">
        <v>58</v>
      </c>
      <c r="E319" s="250">
        <v>8112.0339999999997</v>
      </c>
    </row>
    <row r="320" spans="3:5" x14ac:dyDescent="0.35">
      <c r="C320" s="1" t="s">
        <v>2238</v>
      </c>
      <c r="D320" s="1" t="s">
        <v>57</v>
      </c>
      <c r="E320" s="250">
        <v>8112.0349999999999</v>
      </c>
    </row>
    <row r="321" spans="3:5" x14ac:dyDescent="0.35">
      <c r="C321" s="1" t="s">
        <v>2235</v>
      </c>
      <c r="D321" s="1" t="s">
        <v>58</v>
      </c>
      <c r="E321" s="250">
        <v>8112.0360000000001</v>
      </c>
    </row>
    <row r="322" spans="3:5" x14ac:dyDescent="0.35">
      <c r="C322" s="1" t="s">
        <v>2237</v>
      </c>
      <c r="D322" s="1" t="s">
        <v>57</v>
      </c>
      <c r="E322" s="250">
        <v>8112.0410000000002</v>
      </c>
    </row>
    <row r="323" spans="3:5" x14ac:dyDescent="0.35">
      <c r="C323" s="1" t="s">
        <v>2235</v>
      </c>
      <c r="D323" s="1" t="s">
        <v>58</v>
      </c>
      <c r="E323" s="250">
        <v>8112.0420000000004</v>
      </c>
    </row>
    <row r="324" spans="3:5" x14ac:dyDescent="0.35">
      <c r="C324" s="1" t="s">
        <v>2236</v>
      </c>
      <c r="D324" s="1" t="s">
        <v>57</v>
      </c>
      <c r="E324" s="250">
        <v>8112.0429999999997</v>
      </c>
    </row>
    <row r="325" spans="3:5" x14ac:dyDescent="0.35">
      <c r="C325" s="1" t="s">
        <v>2235</v>
      </c>
      <c r="D325" s="1" t="s">
        <v>58</v>
      </c>
      <c r="E325" s="250">
        <v>8112.0439999999999</v>
      </c>
    </row>
    <row r="326" spans="3:5" x14ac:dyDescent="0.35">
      <c r="C326" s="1" t="s">
        <v>2248</v>
      </c>
      <c r="D326" s="1" t="s">
        <v>57</v>
      </c>
      <c r="E326" s="250">
        <v>8112.05</v>
      </c>
    </row>
    <row r="327" spans="3:5" x14ac:dyDescent="0.35">
      <c r="C327" s="1" t="s">
        <v>2246</v>
      </c>
      <c r="D327" s="1" t="s">
        <v>57</v>
      </c>
      <c r="E327" s="250">
        <v>8112.0510000000004</v>
      </c>
    </row>
    <row r="328" spans="3:5" x14ac:dyDescent="0.35">
      <c r="C328" s="1" t="s">
        <v>2235</v>
      </c>
      <c r="D328" s="1" t="s">
        <v>58</v>
      </c>
      <c r="E328" s="250">
        <v>8112.0519999999997</v>
      </c>
    </row>
    <row r="329" spans="3:5" x14ac:dyDescent="0.35">
      <c r="C329" s="1" t="s">
        <v>2245</v>
      </c>
      <c r="D329" s="1" t="s">
        <v>57</v>
      </c>
      <c r="E329" s="250">
        <v>8112.0529999999999</v>
      </c>
    </row>
    <row r="330" spans="3:5" x14ac:dyDescent="0.35">
      <c r="C330" s="1" t="s">
        <v>2235</v>
      </c>
      <c r="D330" s="1" t="s">
        <v>58</v>
      </c>
      <c r="E330" s="250">
        <v>8112.0540000000001</v>
      </c>
    </row>
    <row r="331" spans="3:5" x14ac:dyDescent="0.35">
      <c r="C331" s="1" t="s">
        <v>2244</v>
      </c>
      <c r="D331" s="1" t="s">
        <v>57</v>
      </c>
      <c r="E331" s="250">
        <v>8112.0550000000003</v>
      </c>
    </row>
    <row r="332" spans="3:5" x14ac:dyDescent="0.35">
      <c r="C332" s="1" t="s">
        <v>2235</v>
      </c>
      <c r="D332" s="1" t="s">
        <v>58</v>
      </c>
      <c r="E332" s="250">
        <v>8112.0559999999996</v>
      </c>
    </row>
    <row r="333" spans="3:5" x14ac:dyDescent="0.35">
      <c r="C333" s="1" t="s">
        <v>2243</v>
      </c>
      <c r="D333" s="1" t="s">
        <v>57</v>
      </c>
      <c r="E333" s="250">
        <v>8112.0569999999998</v>
      </c>
    </row>
    <row r="334" spans="3:5" x14ac:dyDescent="0.35">
      <c r="C334" s="1" t="s">
        <v>2235</v>
      </c>
      <c r="D334" s="1" t="s">
        <v>58</v>
      </c>
      <c r="E334" s="250">
        <v>8112.058</v>
      </c>
    </row>
    <row r="335" spans="3:5" x14ac:dyDescent="0.35">
      <c r="C335" s="1" t="s">
        <v>2242</v>
      </c>
      <c r="D335" s="1" t="s">
        <v>57</v>
      </c>
      <c r="E335" s="250">
        <v>8112.0609999999997</v>
      </c>
    </row>
    <row r="336" spans="3:5" x14ac:dyDescent="0.35">
      <c r="C336" s="1" t="s">
        <v>2235</v>
      </c>
      <c r="D336" s="1" t="s">
        <v>58</v>
      </c>
      <c r="E336" s="250">
        <v>8112.0619999999999</v>
      </c>
    </row>
    <row r="337" spans="3:5" x14ac:dyDescent="0.35">
      <c r="C337" s="1" t="s">
        <v>2241</v>
      </c>
      <c r="D337" s="1" t="s">
        <v>57</v>
      </c>
      <c r="E337" s="250">
        <v>8112.0630000000001</v>
      </c>
    </row>
    <row r="338" spans="3:5" x14ac:dyDescent="0.35">
      <c r="C338" s="1" t="s">
        <v>2235</v>
      </c>
      <c r="D338" s="1" t="s">
        <v>58</v>
      </c>
      <c r="E338" s="250">
        <v>8112.0640000000003</v>
      </c>
    </row>
    <row r="339" spans="3:5" x14ac:dyDescent="0.35">
      <c r="C339" s="1" t="s">
        <v>2240</v>
      </c>
      <c r="D339" s="1" t="s">
        <v>57</v>
      </c>
      <c r="E339" s="250">
        <v>8112.0709999999999</v>
      </c>
    </row>
    <row r="340" spans="3:5" x14ac:dyDescent="0.35">
      <c r="C340" s="1" t="s">
        <v>2235</v>
      </c>
      <c r="D340" s="1" t="s">
        <v>58</v>
      </c>
      <c r="E340" s="250">
        <v>8112.0720000000001</v>
      </c>
    </row>
    <row r="341" spans="3:5" x14ac:dyDescent="0.35">
      <c r="C341" s="1" t="s">
        <v>2239</v>
      </c>
      <c r="D341" s="1" t="s">
        <v>57</v>
      </c>
      <c r="E341" s="250">
        <v>8112.0730000000003</v>
      </c>
    </row>
    <row r="342" spans="3:5" x14ac:dyDescent="0.35">
      <c r="C342" s="1" t="s">
        <v>2235</v>
      </c>
      <c r="D342" s="1" t="s">
        <v>58</v>
      </c>
      <c r="E342" s="250">
        <v>8112.0739999999996</v>
      </c>
    </row>
    <row r="343" spans="3:5" x14ac:dyDescent="0.35">
      <c r="C343" s="1" t="s">
        <v>2238</v>
      </c>
      <c r="D343" s="1" t="s">
        <v>57</v>
      </c>
      <c r="E343" s="250">
        <v>8112.0749999999998</v>
      </c>
    </row>
    <row r="344" spans="3:5" x14ac:dyDescent="0.35">
      <c r="C344" s="1" t="s">
        <v>2235</v>
      </c>
      <c r="D344" s="1" t="s">
        <v>58</v>
      </c>
      <c r="E344" s="250">
        <v>8112.076</v>
      </c>
    </row>
    <row r="345" spans="3:5" x14ac:dyDescent="0.35">
      <c r="C345" s="1" t="s">
        <v>2237</v>
      </c>
      <c r="D345" s="1" t="s">
        <v>57</v>
      </c>
      <c r="E345" s="250">
        <v>8112.0810000000001</v>
      </c>
    </row>
    <row r="346" spans="3:5" x14ac:dyDescent="0.35">
      <c r="C346" s="1" t="s">
        <v>2235</v>
      </c>
      <c r="D346" s="1" t="s">
        <v>58</v>
      </c>
      <c r="E346" s="250">
        <v>8112.0820000000003</v>
      </c>
    </row>
    <row r="347" spans="3:5" x14ac:dyDescent="0.35">
      <c r="C347" s="1" t="s">
        <v>2236</v>
      </c>
      <c r="D347" s="1" t="s">
        <v>57</v>
      </c>
      <c r="E347" s="250">
        <v>8112.0829999999996</v>
      </c>
    </row>
    <row r="348" spans="3:5" x14ac:dyDescent="0.35">
      <c r="C348" s="1" t="s">
        <v>2235</v>
      </c>
      <c r="D348" s="1" t="s">
        <v>58</v>
      </c>
      <c r="E348" s="250">
        <v>8112.0839999999998</v>
      </c>
    </row>
    <row r="349" spans="3:5" x14ac:dyDescent="0.35">
      <c r="C349" s="1" t="s">
        <v>2247</v>
      </c>
      <c r="D349" s="1" t="s">
        <v>57</v>
      </c>
      <c r="E349" s="250">
        <v>8112.09</v>
      </c>
    </row>
    <row r="350" spans="3:5" x14ac:dyDescent="0.35">
      <c r="C350" s="1" t="s">
        <v>2246</v>
      </c>
      <c r="D350" s="1" t="s">
        <v>57</v>
      </c>
      <c r="E350" s="250">
        <v>8112.0910000000003</v>
      </c>
    </row>
    <row r="351" spans="3:5" x14ac:dyDescent="0.35">
      <c r="C351" s="1" t="s">
        <v>2235</v>
      </c>
      <c r="D351" s="1" t="s">
        <v>58</v>
      </c>
      <c r="E351" s="250">
        <v>8112.0919999999996</v>
      </c>
    </row>
    <row r="352" spans="3:5" x14ac:dyDescent="0.35">
      <c r="C352" s="1" t="s">
        <v>2245</v>
      </c>
      <c r="D352" s="1" t="s">
        <v>57</v>
      </c>
      <c r="E352" s="250">
        <v>8112.0929999999998</v>
      </c>
    </row>
    <row r="353" spans="3:5" x14ac:dyDescent="0.35">
      <c r="C353" s="1" t="s">
        <v>2235</v>
      </c>
      <c r="D353" s="1" t="s">
        <v>58</v>
      </c>
      <c r="E353" s="250">
        <v>8112.0940000000001</v>
      </c>
    </row>
    <row r="354" spans="3:5" x14ac:dyDescent="0.35">
      <c r="C354" s="1" t="s">
        <v>2244</v>
      </c>
      <c r="D354" s="1" t="s">
        <v>57</v>
      </c>
      <c r="E354" s="250">
        <v>8112.0950000000003</v>
      </c>
    </row>
    <row r="355" spans="3:5" x14ac:dyDescent="0.35">
      <c r="C355" s="1" t="s">
        <v>2235</v>
      </c>
      <c r="D355" s="1" t="s">
        <v>58</v>
      </c>
      <c r="E355" s="250">
        <v>8112.0959999999995</v>
      </c>
    </row>
    <row r="356" spans="3:5" x14ac:dyDescent="0.35">
      <c r="C356" s="1" t="s">
        <v>2243</v>
      </c>
      <c r="D356" s="1" t="s">
        <v>57</v>
      </c>
      <c r="E356" s="250">
        <v>8112.0969999999998</v>
      </c>
    </row>
    <row r="357" spans="3:5" x14ac:dyDescent="0.35">
      <c r="C357" s="1" t="s">
        <v>2235</v>
      </c>
      <c r="D357" s="1" t="s">
        <v>58</v>
      </c>
      <c r="E357" s="250">
        <v>8112.098</v>
      </c>
    </row>
    <row r="358" spans="3:5" x14ac:dyDescent="0.35">
      <c r="C358" s="1" t="s">
        <v>2242</v>
      </c>
      <c r="D358" s="1" t="s">
        <v>57</v>
      </c>
      <c r="E358" s="250">
        <v>8112.1009999999997</v>
      </c>
    </row>
    <row r="359" spans="3:5" x14ac:dyDescent="0.35">
      <c r="C359" s="1" t="s">
        <v>2235</v>
      </c>
      <c r="D359" s="1" t="s">
        <v>58</v>
      </c>
      <c r="E359" s="250">
        <v>8112.1019999999999</v>
      </c>
    </row>
    <row r="360" spans="3:5" x14ac:dyDescent="0.35">
      <c r="C360" s="1" t="s">
        <v>2241</v>
      </c>
      <c r="D360" s="1" t="s">
        <v>57</v>
      </c>
      <c r="E360" s="250">
        <v>8112.1030000000001</v>
      </c>
    </row>
    <row r="361" spans="3:5" x14ac:dyDescent="0.35">
      <c r="C361" s="1" t="s">
        <v>2235</v>
      </c>
      <c r="D361" s="1" t="s">
        <v>58</v>
      </c>
      <c r="E361" s="250">
        <v>8112.1040000000003</v>
      </c>
    </row>
    <row r="362" spans="3:5" x14ac:dyDescent="0.35">
      <c r="C362" s="1" t="s">
        <v>2240</v>
      </c>
      <c r="D362" s="1" t="s">
        <v>57</v>
      </c>
      <c r="E362" s="250">
        <v>8112.1109999999999</v>
      </c>
    </row>
    <row r="363" spans="3:5" x14ac:dyDescent="0.35">
      <c r="C363" s="1" t="s">
        <v>2235</v>
      </c>
      <c r="D363" s="1" t="s">
        <v>58</v>
      </c>
      <c r="E363" s="250">
        <v>8112.1120000000001</v>
      </c>
    </row>
    <row r="364" spans="3:5" x14ac:dyDescent="0.35">
      <c r="C364" s="1" t="s">
        <v>2239</v>
      </c>
      <c r="D364" s="1" t="s">
        <v>57</v>
      </c>
      <c r="E364" s="250">
        <v>8112.1130000000003</v>
      </c>
    </row>
    <row r="365" spans="3:5" x14ac:dyDescent="0.35">
      <c r="C365" s="1" t="s">
        <v>2235</v>
      </c>
      <c r="D365" s="1" t="s">
        <v>58</v>
      </c>
      <c r="E365" s="250">
        <v>8112.1139999999996</v>
      </c>
    </row>
    <row r="366" spans="3:5" x14ac:dyDescent="0.35">
      <c r="C366" s="1" t="s">
        <v>2238</v>
      </c>
      <c r="D366" s="1" t="s">
        <v>57</v>
      </c>
      <c r="E366" s="250">
        <v>8112.1149999999998</v>
      </c>
    </row>
    <row r="367" spans="3:5" x14ac:dyDescent="0.35">
      <c r="C367" s="1" t="s">
        <v>2235</v>
      </c>
      <c r="D367" s="1" t="s">
        <v>58</v>
      </c>
      <c r="E367" s="250">
        <v>8112.116</v>
      </c>
    </row>
    <row r="368" spans="3:5" x14ac:dyDescent="0.35">
      <c r="C368" s="1" t="s">
        <v>2237</v>
      </c>
      <c r="D368" s="1" t="s">
        <v>57</v>
      </c>
      <c r="E368" s="250">
        <v>8112.1210000000001</v>
      </c>
    </row>
    <row r="369" spans="3:5" x14ac:dyDescent="0.35">
      <c r="C369" s="1" t="s">
        <v>2235</v>
      </c>
      <c r="D369" s="1" t="s">
        <v>58</v>
      </c>
      <c r="E369" s="250">
        <v>8112.1220000000003</v>
      </c>
    </row>
    <row r="370" spans="3:5" x14ac:dyDescent="0.35">
      <c r="C370" s="1" t="s">
        <v>2236</v>
      </c>
      <c r="D370" s="1" t="s">
        <v>57</v>
      </c>
      <c r="E370" s="250">
        <v>8112.1229999999996</v>
      </c>
    </row>
    <row r="371" spans="3:5" x14ac:dyDescent="0.35">
      <c r="C371" s="1" t="s">
        <v>2235</v>
      </c>
      <c r="D371" s="1" t="s">
        <v>58</v>
      </c>
      <c r="E371" s="250">
        <v>8112.1239999999998</v>
      </c>
    </row>
    <row r="372" spans="3:5" x14ac:dyDescent="0.35">
      <c r="C372" s="1" t="s">
        <v>2234</v>
      </c>
      <c r="D372" s="1" t="s">
        <v>57</v>
      </c>
      <c r="E372" s="250">
        <v>8120.11</v>
      </c>
    </row>
    <row r="373" spans="3:5" x14ac:dyDescent="0.35">
      <c r="C373" s="1" t="s">
        <v>2232</v>
      </c>
      <c r="D373" s="1" t="s">
        <v>18</v>
      </c>
      <c r="E373" s="250">
        <v>8120.1109999999999</v>
      </c>
    </row>
    <row r="374" spans="3:5" x14ac:dyDescent="0.35">
      <c r="C374" s="1" t="s">
        <v>2233</v>
      </c>
      <c r="D374" s="1" t="s">
        <v>57</v>
      </c>
      <c r="E374" s="250">
        <v>8120.13</v>
      </c>
    </row>
    <row r="375" spans="3:5" x14ac:dyDescent="0.35">
      <c r="C375" s="1" t="s">
        <v>2232</v>
      </c>
      <c r="D375" s="1" t="s">
        <v>18</v>
      </c>
      <c r="E375" s="250">
        <v>8120.1310000000003</v>
      </c>
    </row>
    <row r="376" spans="3:5" x14ac:dyDescent="0.35">
      <c r="C376" s="1" t="s">
        <v>2231</v>
      </c>
      <c r="D376" s="1" t="s">
        <v>18</v>
      </c>
      <c r="E376" s="250">
        <v>8120.15</v>
      </c>
    </row>
    <row r="377" spans="3:5" x14ac:dyDescent="0.35">
      <c r="C377" s="1" t="s">
        <v>2230</v>
      </c>
      <c r="D377" s="1" t="s">
        <v>18</v>
      </c>
      <c r="E377" s="250">
        <v>8120.16</v>
      </c>
    </row>
    <row r="378" spans="3:5" x14ac:dyDescent="0.35">
      <c r="C378" s="1" t="s">
        <v>2229</v>
      </c>
      <c r="D378" s="1" t="s">
        <v>18</v>
      </c>
      <c r="E378" s="250">
        <v>8120.17</v>
      </c>
    </row>
    <row r="379" spans="3:5" x14ac:dyDescent="0.35">
      <c r="C379" s="1" t="s">
        <v>2228</v>
      </c>
      <c r="D379" s="1" t="s">
        <v>18</v>
      </c>
      <c r="E379" s="250">
        <v>8120.18</v>
      </c>
    </row>
    <row r="380" spans="3:5" x14ac:dyDescent="0.35">
      <c r="C380" s="1" t="s">
        <v>2227</v>
      </c>
      <c r="D380" s="1" t="s">
        <v>18</v>
      </c>
      <c r="E380" s="250">
        <v>8120.19</v>
      </c>
    </row>
    <row r="381" spans="3:5" x14ac:dyDescent="0.35">
      <c r="C381" s="1" t="s">
        <v>2226</v>
      </c>
      <c r="D381" s="1" t="s">
        <v>18</v>
      </c>
      <c r="E381" s="250">
        <v>8120.2</v>
      </c>
    </row>
    <row r="382" spans="3:5" x14ac:dyDescent="0.35">
      <c r="C382" s="1" t="s">
        <v>2225</v>
      </c>
      <c r="D382" s="1" t="s">
        <v>18</v>
      </c>
      <c r="E382" s="250">
        <v>8120.3010000000004</v>
      </c>
    </row>
    <row r="383" spans="3:5" x14ac:dyDescent="0.35">
      <c r="C383" s="1" t="s">
        <v>2224</v>
      </c>
      <c r="D383" s="1" t="s">
        <v>18</v>
      </c>
      <c r="E383" s="250">
        <v>8120.31</v>
      </c>
    </row>
    <row r="384" spans="3:5" x14ac:dyDescent="0.35">
      <c r="C384" s="1" t="s">
        <v>2223</v>
      </c>
      <c r="D384" s="1" t="s">
        <v>18</v>
      </c>
      <c r="E384" s="250">
        <v>8120.3149999999996</v>
      </c>
    </row>
    <row r="385" spans="3:5" x14ac:dyDescent="0.35">
      <c r="C385" s="1" t="s">
        <v>2222</v>
      </c>
      <c r="D385" s="1" t="s">
        <v>18</v>
      </c>
      <c r="E385" s="250">
        <v>8160.01</v>
      </c>
    </row>
    <row r="386" spans="3:5" x14ac:dyDescent="0.35">
      <c r="C386" s="1" t="s">
        <v>2221</v>
      </c>
      <c r="D386" s="1" t="s">
        <v>18</v>
      </c>
      <c r="E386" s="250">
        <v>8160.0110000000004</v>
      </c>
    </row>
    <row r="387" spans="3:5" x14ac:dyDescent="0.35">
      <c r="C387" s="1" t="s">
        <v>2220</v>
      </c>
      <c r="D387" s="1" t="s">
        <v>18</v>
      </c>
      <c r="E387" s="250">
        <v>8160.0119999999997</v>
      </c>
    </row>
    <row r="388" spans="3:5" x14ac:dyDescent="0.35">
      <c r="C388" s="1" t="s">
        <v>2219</v>
      </c>
      <c r="D388" s="1" t="s">
        <v>18</v>
      </c>
      <c r="E388" s="250">
        <v>8160.0129999999999</v>
      </c>
    </row>
    <row r="389" spans="3:5" x14ac:dyDescent="0.35">
      <c r="C389" s="1" t="s">
        <v>2218</v>
      </c>
      <c r="D389" s="1" t="s">
        <v>18</v>
      </c>
      <c r="E389" s="250">
        <v>8160.0140000000001</v>
      </c>
    </row>
    <row r="390" spans="3:5" x14ac:dyDescent="0.35">
      <c r="C390" s="1" t="s">
        <v>2217</v>
      </c>
      <c r="D390" s="1" t="s">
        <v>18</v>
      </c>
      <c r="E390" s="250">
        <v>8160.02</v>
      </c>
    </row>
    <row r="391" spans="3:5" x14ac:dyDescent="0.35">
      <c r="C391" s="1" t="s">
        <v>2216</v>
      </c>
      <c r="D391" s="1" t="s">
        <v>18</v>
      </c>
      <c r="E391" s="250">
        <v>8180.01</v>
      </c>
    </row>
    <row r="392" spans="3:5" x14ac:dyDescent="0.35">
      <c r="C392" s="1" t="s">
        <v>2215</v>
      </c>
      <c r="D392" s="1" t="s">
        <v>18</v>
      </c>
      <c r="E392" s="250">
        <v>8180.02</v>
      </c>
    </row>
    <row r="393" spans="3:5" x14ac:dyDescent="0.35">
      <c r="C393" s="1" t="s">
        <v>2214</v>
      </c>
      <c r="D393" s="1" t="s">
        <v>57</v>
      </c>
      <c r="E393" s="250">
        <v>8210.1</v>
      </c>
    </row>
    <row r="394" spans="3:5" x14ac:dyDescent="0.35">
      <c r="C394" s="1" t="s">
        <v>2211</v>
      </c>
      <c r="D394" s="1" t="s">
        <v>57</v>
      </c>
      <c r="E394" s="250">
        <v>8210.1110000000008</v>
      </c>
    </row>
    <row r="395" spans="3:5" x14ac:dyDescent="0.35">
      <c r="C395" s="1" t="s">
        <v>2177</v>
      </c>
      <c r="D395" s="1" t="s">
        <v>18</v>
      </c>
      <c r="E395" s="250">
        <v>8210.1119999999992</v>
      </c>
    </row>
    <row r="396" spans="3:5" x14ac:dyDescent="0.35">
      <c r="C396" s="1" t="s">
        <v>2210</v>
      </c>
      <c r="D396" s="1" t="s">
        <v>57</v>
      </c>
      <c r="E396" s="250">
        <v>8210.1209999999992</v>
      </c>
    </row>
    <row r="397" spans="3:5" x14ac:dyDescent="0.35">
      <c r="C397" s="1" t="s">
        <v>2177</v>
      </c>
      <c r="D397" s="1" t="s">
        <v>18</v>
      </c>
      <c r="E397" s="250">
        <v>8210.1219999999994</v>
      </c>
    </row>
    <row r="398" spans="3:5" x14ac:dyDescent="0.35">
      <c r="C398" s="1" t="s">
        <v>2209</v>
      </c>
      <c r="D398" s="1" t="s">
        <v>57</v>
      </c>
      <c r="E398" s="250">
        <v>8210.1309999999994</v>
      </c>
    </row>
    <row r="399" spans="3:5" x14ac:dyDescent="0.35">
      <c r="C399" s="1" t="s">
        <v>2177</v>
      </c>
      <c r="D399" s="1" t="s">
        <v>18</v>
      </c>
      <c r="E399" s="250">
        <v>8210.1319999999996</v>
      </c>
    </row>
    <row r="400" spans="3:5" x14ac:dyDescent="0.35">
      <c r="C400" s="1" t="s">
        <v>2208</v>
      </c>
      <c r="D400" s="1" t="s">
        <v>57</v>
      </c>
      <c r="E400" s="250">
        <v>8210.1409999999996</v>
      </c>
    </row>
    <row r="401" spans="3:5" x14ac:dyDescent="0.35">
      <c r="C401" s="1" t="s">
        <v>2177</v>
      </c>
      <c r="D401" s="1" t="s">
        <v>18</v>
      </c>
      <c r="E401" s="250">
        <v>8210.1419999999998</v>
      </c>
    </row>
    <row r="402" spans="3:5" x14ac:dyDescent="0.35">
      <c r="C402" s="1" t="s">
        <v>2207</v>
      </c>
      <c r="D402" s="1" t="s">
        <v>57</v>
      </c>
      <c r="E402" s="250">
        <v>8210.1509999999998</v>
      </c>
    </row>
    <row r="403" spans="3:5" x14ac:dyDescent="0.35">
      <c r="C403" s="1" t="s">
        <v>2177</v>
      </c>
      <c r="D403" s="1" t="s">
        <v>18</v>
      </c>
      <c r="E403" s="250">
        <v>8210.152</v>
      </c>
    </row>
    <row r="404" spans="3:5" x14ac:dyDescent="0.35">
      <c r="C404" s="1" t="s">
        <v>2201</v>
      </c>
      <c r="D404" s="1" t="s">
        <v>57</v>
      </c>
      <c r="E404" s="250">
        <v>8210.1610000000001</v>
      </c>
    </row>
    <row r="405" spans="3:5" x14ac:dyDescent="0.35">
      <c r="C405" s="1" t="s">
        <v>2177</v>
      </c>
      <c r="D405" s="1" t="s">
        <v>18</v>
      </c>
      <c r="E405" s="250">
        <v>8210.1620000000003</v>
      </c>
    </row>
    <row r="406" spans="3:5" x14ac:dyDescent="0.35">
      <c r="C406" s="1" t="s">
        <v>2200</v>
      </c>
      <c r="D406" s="1" t="s">
        <v>57</v>
      </c>
      <c r="E406" s="250">
        <v>8210.1710000000003</v>
      </c>
    </row>
    <row r="407" spans="3:5" x14ac:dyDescent="0.35">
      <c r="C407" s="1" t="s">
        <v>2177</v>
      </c>
      <c r="D407" s="1" t="s">
        <v>18</v>
      </c>
      <c r="E407" s="250">
        <v>8210.1720000000005</v>
      </c>
    </row>
    <row r="408" spans="3:5" x14ac:dyDescent="0.35">
      <c r="C408" s="1" t="s">
        <v>2199</v>
      </c>
      <c r="D408" s="1" t="s">
        <v>57</v>
      </c>
      <c r="E408" s="250">
        <v>8210.1810000000005</v>
      </c>
    </row>
    <row r="409" spans="3:5" x14ac:dyDescent="0.35">
      <c r="C409" s="1" t="s">
        <v>2177</v>
      </c>
      <c r="D409" s="1" t="s">
        <v>18</v>
      </c>
      <c r="E409" s="250">
        <v>8210.1820000000007</v>
      </c>
    </row>
    <row r="410" spans="3:5" x14ac:dyDescent="0.35">
      <c r="C410" s="1" t="s">
        <v>2198</v>
      </c>
      <c r="D410" s="1" t="s">
        <v>57</v>
      </c>
      <c r="E410" s="250">
        <v>8210.1910000000007</v>
      </c>
    </row>
    <row r="411" spans="3:5" x14ac:dyDescent="0.35">
      <c r="C411" s="1" t="s">
        <v>2177</v>
      </c>
      <c r="D411" s="1" t="s">
        <v>18</v>
      </c>
      <c r="E411" s="250">
        <v>8210.1919999999991</v>
      </c>
    </row>
    <row r="412" spans="3:5" x14ac:dyDescent="0.35">
      <c r="C412" s="1" t="s">
        <v>2197</v>
      </c>
      <c r="D412" s="1" t="s">
        <v>57</v>
      </c>
      <c r="E412" s="250">
        <v>8210.2009999999991</v>
      </c>
    </row>
    <row r="413" spans="3:5" x14ac:dyDescent="0.35">
      <c r="C413" s="1" t="s">
        <v>2177</v>
      </c>
      <c r="D413" s="1" t="s">
        <v>18</v>
      </c>
      <c r="E413" s="250">
        <v>8210.2019999999993</v>
      </c>
    </row>
    <row r="414" spans="3:5" x14ac:dyDescent="0.35">
      <c r="C414" s="1" t="s">
        <v>2213</v>
      </c>
      <c r="D414" s="1" t="s">
        <v>57</v>
      </c>
      <c r="E414" s="250">
        <v>8210.2099999999991</v>
      </c>
    </row>
    <row r="415" spans="3:5" x14ac:dyDescent="0.35">
      <c r="C415" s="1" t="s">
        <v>2195</v>
      </c>
      <c r="D415" s="1" t="s">
        <v>18</v>
      </c>
      <c r="E415" s="250">
        <v>8210.2109999999993</v>
      </c>
    </row>
    <row r="416" spans="3:5" x14ac:dyDescent="0.35">
      <c r="C416" s="1" t="s">
        <v>2194</v>
      </c>
      <c r="D416" s="1" t="s">
        <v>18</v>
      </c>
      <c r="E416" s="250">
        <v>8210.2209999999995</v>
      </c>
    </row>
    <row r="417" spans="3:5" x14ac:dyDescent="0.35">
      <c r="C417" s="1" t="s">
        <v>2193</v>
      </c>
      <c r="D417" s="1" t="s">
        <v>18</v>
      </c>
      <c r="E417" s="250">
        <v>8210.2309999999998</v>
      </c>
    </row>
    <row r="418" spans="3:5" x14ac:dyDescent="0.35">
      <c r="C418" s="1" t="s">
        <v>2192</v>
      </c>
      <c r="D418" s="1" t="s">
        <v>18</v>
      </c>
      <c r="E418" s="250">
        <v>8210.241</v>
      </c>
    </row>
    <row r="419" spans="3:5" x14ac:dyDescent="0.35">
      <c r="C419" s="1" t="s">
        <v>2191</v>
      </c>
      <c r="D419" s="1" t="s">
        <v>18</v>
      </c>
      <c r="E419" s="250">
        <v>8210.2510000000002</v>
      </c>
    </row>
    <row r="420" spans="3:5" x14ac:dyDescent="0.35">
      <c r="C420" s="1" t="s">
        <v>2185</v>
      </c>
      <c r="D420" s="1" t="s">
        <v>18</v>
      </c>
      <c r="E420" s="250">
        <v>8210.2610000000004</v>
      </c>
    </row>
    <row r="421" spans="3:5" x14ac:dyDescent="0.35">
      <c r="C421" s="1" t="s">
        <v>2183</v>
      </c>
      <c r="D421" s="1" t="s">
        <v>18</v>
      </c>
      <c r="E421" s="250">
        <v>8210.2710000000006</v>
      </c>
    </row>
    <row r="422" spans="3:5" x14ac:dyDescent="0.35">
      <c r="C422" s="1" t="s">
        <v>2184</v>
      </c>
      <c r="D422" s="1" t="s">
        <v>18</v>
      </c>
      <c r="E422" s="250">
        <v>8210.2810000000009</v>
      </c>
    </row>
    <row r="423" spans="3:5" x14ac:dyDescent="0.35">
      <c r="C423" s="1" t="s">
        <v>2182</v>
      </c>
      <c r="D423" s="1" t="s">
        <v>18</v>
      </c>
      <c r="E423" s="250">
        <v>8210.2909999999993</v>
      </c>
    </row>
    <row r="424" spans="3:5" x14ac:dyDescent="0.35">
      <c r="C424" s="1" t="s">
        <v>2181</v>
      </c>
      <c r="D424" s="1" t="s">
        <v>18</v>
      </c>
      <c r="E424" s="250">
        <v>8210.3009999999995</v>
      </c>
    </row>
    <row r="425" spans="3:5" x14ac:dyDescent="0.35">
      <c r="C425" s="1" t="s">
        <v>2212</v>
      </c>
      <c r="D425" s="1" t="s">
        <v>57</v>
      </c>
      <c r="E425" s="250">
        <v>8211.1</v>
      </c>
    </row>
    <row r="426" spans="3:5" x14ac:dyDescent="0.35">
      <c r="C426" s="1" t="s">
        <v>2211</v>
      </c>
      <c r="D426" s="1" t="s">
        <v>57</v>
      </c>
      <c r="E426" s="250">
        <v>8211.1110000000008</v>
      </c>
    </row>
    <row r="427" spans="3:5" x14ac:dyDescent="0.35">
      <c r="C427" s="1" t="s">
        <v>2177</v>
      </c>
      <c r="D427" s="1" t="s">
        <v>18</v>
      </c>
      <c r="E427" s="250">
        <v>8211.1119999999992</v>
      </c>
    </row>
    <row r="428" spans="3:5" x14ac:dyDescent="0.35">
      <c r="C428" s="1" t="s">
        <v>2210</v>
      </c>
      <c r="D428" s="1" t="s">
        <v>57</v>
      </c>
      <c r="E428" s="250">
        <v>8211.1209999999992</v>
      </c>
    </row>
    <row r="429" spans="3:5" x14ac:dyDescent="0.35">
      <c r="C429" s="1" t="s">
        <v>2177</v>
      </c>
      <c r="D429" s="1" t="s">
        <v>18</v>
      </c>
      <c r="E429" s="250">
        <v>8211.1219999999994</v>
      </c>
    </row>
    <row r="430" spans="3:5" x14ac:dyDescent="0.35">
      <c r="C430" s="1" t="s">
        <v>2209</v>
      </c>
      <c r="D430" s="1" t="s">
        <v>57</v>
      </c>
      <c r="E430" s="250">
        <v>8211.1309999999994</v>
      </c>
    </row>
    <row r="431" spans="3:5" x14ac:dyDescent="0.35">
      <c r="C431" s="1" t="s">
        <v>2177</v>
      </c>
      <c r="D431" s="1" t="s">
        <v>18</v>
      </c>
      <c r="E431" s="250">
        <v>8211.1319999999996</v>
      </c>
    </row>
    <row r="432" spans="3:5" x14ac:dyDescent="0.35">
      <c r="C432" s="1" t="s">
        <v>2208</v>
      </c>
      <c r="D432" s="1" t="s">
        <v>57</v>
      </c>
      <c r="E432" s="250">
        <v>8211.1409999999996</v>
      </c>
    </row>
    <row r="433" spans="3:5" x14ac:dyDescent="0.35">
      <c r="C433" s="1" t="s">
        <v>2177</v>
      </c>
      <c r="D433" s="1" t="s">
        <v>18</v>
      </c>
      <c r="E433" s="250">
        <v>8211.1419999999998</v>
      </c>
    </row>
    <row r="434" spans="3:5" x14ac:dyDescent="0.35">
      <c r="C434" s="1" t="s">
        <v>2207</v>
      </c>
      <c r="D434" s="1" t="s">
        <v>57</v>
      </c>
      <c r="E434" s="250">
        <v>8211.1509999999998</v>
      </c>
    </row>
    <row r="435" spans="3:5" x14ac:dyDescent="0.35">
      <c r="C435" s="1" t="s">
        <v>2177</v>
      </c>
      <c r="D435" s="1" t="s">
        <v>18</v>
      </c>
      <c r="E435" s="250">
        <v>8211.152</v>
      </c>
    </row>
    <row r="436" spans="3:5" x14ac:dyDescent="0.35">
      <c r="C436" s="1" t="s">
        <v>2206</v>
      </c>
      <c r="D436" s="1" t="s">
        <v>57</v>
      </c>
      <c r="E436" s="250">
        <v>8211.1610000000001</v>
      </c>
    </row>
    <row r="437" spans="3:5" x14ac:dyDescent="0.35">
      <c r="C437" s="1" t="s">
        <v>2177</v>
      </c>
      <c r="D437" s="1" t="s">
        <v>18</v>
      </c>
      <c r="E437" s="250">
        <v>8211.1620000000003</v>
      </c>
    </row>
    <row r="438" spans="3:5" x14ac:dyDescent="0.35">
      <c r="C438" s="1" t="s">
        <v>2205</v>
      </c>
      <c r="D438" s="1" t="s">
        <v>57</v>
      </c>
      <c r="E438" s="250">
        <v>8211.1710000000003</v>
      </c>
    </row>
    <row r="439" spans="3:5" x14ac:dyDescent="0.35">
      <c r="C439" s="1" t="s">
        <v>2177</v>
      </c>
      <c r="D439" s="1" t="s">
        <v>18</v>
      </c>
      <c r="E439" s="250">
        <v>8211.1720000000005</v>
      </c>
    </row>
    <row r="440" spans="3:5" x14ac:dyDescent="0.35">
      <c r="C440" s="1" t="s">
        <v>2204</v>
      </c>
      <c r="D440" s="1" t="s">
        <v>57</v>
      </c>
      <c r="E440" s="250">
        <v>8211.1810000000005</v>
      </c>
    </row>
    <row r="441" spans="3:5" x14ac:dyDescent="0.35">
      <c r="C441" s="1" t="s">
        <v>2177</v>
      </c>
      <c r="D441" s="1" t="s">
        <v>18</v>
      </c>
      <c r="E441" s="250">
        <v>8211.1820000000007</v>
      </c>
    </row>
    <row r="442" spans="3:5" x14ac:dyDescent="0.35">
      <c r="C442" s="1" t="s">
        <v>2203</v>
      </c>
      <c r="D442" s="1" t="s">
        <v>57</v>
      </c>
      <c r="E442" s="250">
        <v>8211.1910000000007</v>
      </c>
    </row>
    <row r="443" spans="3:5" x14ac:dyDescent="0.35">
      <c r="C443" s="1" t="s">
        <v>2177</v>
      </c>
      <c r="D443" s="1" t="s">
        <v>18</v>
      </c>
      <c r="E443" s="250">
        <v>8211.1919999999991</v>
      </c>
    </row>
    <row r="444" spans="3:5" x14ac:dyDescent="0.35">
      <c r="C444" s="1" t="s">
        <v>2202</v>
      </c>
      <c r="D444" s="1" t="s">
        <v>57</v>
      </c>
      <c r="E444" s="250">
        <v>8211.2009999999991</v>
      </c>
    </row>
    <row r="445" spans="3:5" x14ac:dyDescent="0.35">
      <c r="C445" s="1" t="s">
        <v>2177</v>
      </c>
      <c r="D445" s="1" t="s">
        <v>18</v>
      </c>
      <c r="E445" s="250">
        <v>8211.2019999999993</v>
      </c>
    </row>
    <row r="446" spans="3:5" x14ac:dyDescent="0.35">
      <c r="C446" s="1" t="s">
        <v>2201</v>
      </c>
      <c r="D446" s="1" t="s">
        <v>57</v>
      </c>
      <c r="E446" s="250">
        <v>8211.2109999999993</v>
      </c>
    </row>
    <row r="447" spans="3:5" x14ac:dyDescent="0.35">
      <c r="C447" s="1" t="s">
        <v>2177</v>
      </c>
      <c r="D447" s="1" t="s">
        <v>18</v>
      </c>
      <c r="E447" s="250">
        <v>8211.2119999999995</v>
      </c>
    </row>
    <row r="448" spans="3:5" x14ac:dyDescent="0.35">
      <c r="C448" s="1" t="s">
        <v>2200</v>
      </c>
      <c r="D448" s="1" t="s">
        <v>57</v>
      </c>
      <c r="E448" s="250">
        <v>8211.2209999999995</v>
      </c>
    </row>
    <row r="449" spans="3:5" x14ac:dyDescent="0.35">
      <c r="C449" s="1" t="s">
        <v>2177</v>
      </c>
      <c r="D449" s="1" t="s">
        <v>18</v>
      </c>
      <c r="E449" s="250">
        <v>8211.2219999999998</v>
      </c>
    </row>
    <row r="450" spans="3:5" x14ac:dyDescent="0.35">
      <c r="C450" s="1" t="s">
        <v>2199</v>
      </c>
      <c r="D450" s="1" t="s">
        <v>57</v>
      </c>
      <c r="E450" s="250">
        <v>8211.2309999999998</v>
      </c>
    </row>
    <row r="451" spans="3:5" x14ac:dyDescent="0.35">
      <c r="C451" s="1" t="s">
        <v>2177</v>
      </c>
      <c r="D451" s="1" t="s">
        <v>18</v>
      </c>
      <c r="E451" s="250">
        <v>8211.232</v>
      </c>
    </row>
    <row r="452" spans="3:5" x14ac:dyDescent="0.35">
      <c r="C452" s="1" t="s">
        <v>2198</v>
      </c>
      <c r="D452" s="1" t="s">
        <v>57</v>
      </c>
      <c r="E452" s="250">
        <v>8211.241</v>
      </c>
    </row>
    <row r="453" spans="3:5" x14ac:dyDescent="0.35">
      <c r="C453" s="1" t="s">
        <v>2177</v>
      </c>
      <c r="D453" s="1" t="s">
        <v>18</v>
      </c>
      <c r="E453" s="250">
        <v>8211.2420000000002</v>
      </c>
    </row>
    <row r="454" spans="3:5" x14ac:dyDescent="0.35">
      <c r="C454" s="1" t="s">
        <v>2197</v>
      </c>
      <c r="D454" s="1" t="s">
        <v>57</v>
      </c>
      <c r="E454" s="250">
        <v>8211.2510000000002</v>
      </c>
    </row>
    <row r="455" spans="3:5" x14ac:dyDescent="0.35">
      <c r="C455" s="1" t="s">
        <v>2177</v>
      </c>
      <c r="D455" s="1" t="s">
        <v>18</v>
      </c>
      <c r="E455" s="250">
        <v>8211.2520000000004</v>
      </c>
    </row>
    <row r="456" spans="3:5" x14ac:dyDescent="0.35">
      <c r="C456" s="1" t="s">
        <v>2196</v>
      </c>
      <c r="D456" s="1" t="s">
        <v>57</v>
      </c>
      <c r="E456" s="250">
        <v>8211.26</v>
      </c>
    </row>
    <row r="457" spans="3:5" x14ac:dyDescent="0.35">
      <c r="C457" s="1" t="s">
        <v>2195</v>
      </c>
      <c r="D457" s="1" t="s">
        <v>18</v>
      </c>
      <c r="E457" s="250">
        <v>8211.2610000000004</v>
      </c>
    </row>
    <row r="458" spans="3:5" x14ac:dyDescent="0.35">
      <c r="C458" s="1" t="s">
        <v>2194</v>
      </c>
      <c r="D458" s="1" t="s">
        <v>18</v>
      </c>
      <c r="E458" s="250">
        <v>8211.2710000000006</v>
      </c>
    </row>
    <row r="459" spans="3:5" x14ac:dyDescent="0.35">
      <c r="C459" s="1" t="s">
        <v>2193</v>
      </c>
      <c r="D459" s="1" t="s">
        <v>18</v>
      </c>
      <c r="E459" s="250">
        <v>8211.2810000000009</v>
      </c>
    </row>
    <row r="460" spans="3:5" x14ac:dyDescent="0.35">
      <c r="C460" s="1" t="s">
        <v>2192</v>
      </c>
      <c r="D460" s="1" t="s">
        <v>18</v>
      </c>
      <c r="E460" s="250">
        <v>8211.2909999999993</v>
      </c>
    </row>
    <row r="461" spans="3:5" x14ac:dyDescent="0.35">
      <c r="C461" s="1" t="s">
        <v>2191</v>
      </c>
      <c r="D461" s="1" t="s">
        <v>18</v>
      </c>
      <c r="E461" s="250">
        <v>8211.3009999999995</v>
      </c>
    </row>
    <row r="462" spans="3:5" x14ac:dyDescent="0.35">
      <c r="C462" s="1" t="s">
        <v>2190</v>
      </c>
      <c r="D462" s="1" t="s">
        <v>18</v>
      </c>
      <c r="E462" s="250">
        <v>8211.3109999999997</v>
      </c>
    </row>
    <row r="463" spans="3:5" x14ac:dyDescent="0.35">
      <c r="C463" s="1" t="s">
        <v>2189</v>
      </c>
      <c r="D463" s="1" t="s">
        <v>18</v>
      </c>
      <c r="E463" s="250">
        <v>8211.3209999999999</v>
      </c>
    </row>
    <row r="464" spans="3:5" x14ac:dyDescent="0.35">
      <c r="C464" s="1" t="s">
        <v>2188</v>
      </c>
      <c r="D464" s="1" t="s">
        <v>18</v>
      </c>
      <c r="E464" s="250">
        <v>8211.3310000000001</v>
      </c>
    </row>
    <row r="465" spans="3:5" x14ac:dyDescent="0.35">
      <c r="C465" s="1" t="s">
        <v>2187</v>
      </c>
      <c r="D465" s="1" t="s">
        <v>18</v>
      </c>
      <c r="E465" s="250">
        <v>8211.3410000000003</v>
      </c>
    </row>
    <row r="466" spans="3:5" x14ac:dyDescent="0.35">
      <c r="C466" s="1" t="s">
        <v>2186</v>
      </c>
      <c r="D466" s="1" t="s">
        <v>18</v>
      </c>
      <c r="E466" s="250">
        <v>8211.3510000000006</v>
      </c>
    </row>
    <row r="467" spans="3:5" x14ac:dyDescent="0.35">
      <c r="C467" s="1" t="s">
        <v>2185</v>
      </c>
      <c r="D467" s="1" t="s">
        <v>18</v>
      </c>
      <c r="E467" s="250">
        <v>8211.3610000000008</v>
      </c>
    </row>
    <row r="468" spans="3:5" x14ac:dyDescent="0.35">
      <c r="C468" s="1" t="s">
        <v>2184</v>
      </c>
      <c r="D468" s="1" t="s">
        <v>18</v>
      </c>
      <c r="E468" s="250">
        <v>8211.3709999999992</v>
      </c>
    </row>
    <row r="469" spans="3:5" x14ac:dyDescent="0.35">
      <c r="C469" s="1" t="s">
        <v>2183</v>
      </c>
      <c r="D469" s="1" t="s">
        <v>18</v>
      </c>
      <c r="E469" s="250">
        <v>8211.3809999999994</v>
      </c>
    </row>
    <row r="470" spans="3:5" x14ac:dyDescent="0.35">
      <c r="C470" s="1" t="s">
        <v>2182</v>
      </c>
      <c r="D470" s="1" t="s">
        <v>18</v>
      </c>
      <c r="E470" s="250">
        <v>8211.3909999999996</v>
      </c>
    </row>
    <row r="471" spans="3:5" x14ac:dyDescent="0.35">
      <c r="C471" s="1" t="s">
        <v>2181</v>
      </c>
      <c r="D471" s="1" t="s">
        <v>18</v>
      </c>
      <c r="E471" s="250">
        <v>8211.4009999999998</v>
      </c>
    </row>
    <row r="472" spans="3:5" x14ac:dyDescent="0.35">
      <c r="C472" s="1" t="s">
        <v>2180</v>
      </c>
      <c r="D472" s="1" t="s">
        <v>57</v>
      </c>
      <c r="E472" s="250">
        <v>8212.1</v>
      </c>
    </row>
    <row r="473" spans="3:5" x14ac:dyDescent="0.35">
      <c r="C473" s="1" t="s">
        <v>2179</v>
      </c>
      <c r="D473" s="1" t="s">
        <v>57</v>
      </c>
      <c r="E473" s="250">
        <v>8212.1110000000008</v>
      </c>
    </row>
    <row r="474" spans="3:5" x14ac:dyDescent="0.35">
      <c r="C474" s="1" t="s">
        <v>2177</v>
      </c>
      <c r="D474" s="1" t="s">
        <v>18</v>
      </c>
      <c r="E474" s="250">
        <v>8212.1119999999992</v>
      </c>
    </row>
    <row r="475" spans="3:5" x14ac:dyDescent="0.35">
      <c r="C475" s="1" t="s">
        <v>2178</v>
      </c>
      <c r="D475" s="1" t="s">
        <v>57</v>
      </c>
      <c r="E475" s="250">
        <v>8212.1209999999992</v>
      </c>
    </row>
    <row r="476" spans="3:5" x14ac:dyDescent="0.35">
      <c r="C476" s="1" t="s">
        <v>2177</v>
      </c>
      <c r="D476" s="1" t="s">
        <v>18</v>
      </c>
      <c r="E476" s="250">
        <v>8212.1219999999994</v>
      </c>
    </row>
    <row r="477" spans="3:5" x14ac:dyDescent="0.35">
      <c r="C477" s="1" t="s">
        <v>2176</v>
      </c>
      <c r="D477" s="1" t="s">
        <v>18</v>
      </c>
      <c r="E477" s="250">
        <v>8213.01</v>
      </c>
    </row>
    <row r="478" spans="3:5" x14ac:dyDescent="0.35">
      <c r="C478" s="1" t="s">
        <v>2175</v>
      </c>
      <c r="D478" s="1" t="s">
        <v>18</v>
      </c>
      <c r="E478" s="250">
        <v>8213.02</v>
      </c>
    </row>
    <row r="479" spans="3:5" x14ac:dyDescent="0.35">
      <c r="C479" s="1" t="s">
        <v>2174</v>
      </c>
      <c r="D479" s="1" t="s">
        <v>18</v>
      </c>
      <c r="E479" s="250">
        <v>8213.0300000000007</v>
      </c>
    </row>
    <row r="480" spans="3:5" x14ac:dyDescent="0.35">
      <c r="C480" s="1" t="s">
        <v>2173</v>
      </c>
      <c r="D480" s="1" t="s">
        <v>18</v>
      </c>
      <c r="E480" s="250">
        <v>8213.0400000000009</v>
      </c>
    </row>
    <row r="481" spans="3:5" x14ac:dyDescent="0.35">
      <c r="C481" s="1" t="s">
        <v>2172</v>
      </c>
      <c r="D481" s="1" t="s">
        <v>57</v>
      </c>
      <c r="E481" s="250">
        <v>8214</v>
      </c>
    </row>
    <row r="482" spans="3:5" x14ac:dyDescent="0.35">
      <c r="C482" s="1" t="s">
        <v>2166</v>
      </c>
      <c r="D482" s="1" t="s">
        <v>18</v>
      </c>
      <c r="E482" s="250">
        <v>8214.0010000000002</v>
      </c>
    </row>
    <row r="483" spans="3:5" x14ac:dyDescent="0.35">
      <c r="C483" s="1" t="s">
        <v>2165</v>
      </c>
      <c r="D483" s="1" t="s">
        <v>18</v>
      </c>
      <c r="E483" s="250">
        <v>8214.0020000000004</v>
      </c>
    </row>
    <row r="484" spans="3:5" x14ac:dyDescent="0.35">
      <c r="C484" s="1" t="s">
        <v>2164</v>
      </c>
      <c r="D484" s="1" t="s">
        <v>18</v>
      </c>
      <c r="E484" s="250">
        <v>8214.0030000000006</v>
      </c>
    </row>
    <row r="485" spans="3:5" x14ac:dyDescent="0.35">
      <c r="C485" s="1" t="s">
        <v>2169</v>
      </c>
      <c r="D485" s="1" t="s">
        <v>18</v>
      </c>
      <c r="E485" s="250">
        <v>8214.0040000000008</v>
      </c>
    </row>
    <row r="486" spans="3:5" x14ac:dyDescent="0.35">
      <c r="C486" s="1" t="s">
        <v>2168</v>
      </c>
      <c r="D486" s="1" t="s">
        <v>18</v>
      </c>
      <c r="E486" s="250">
        <v>8214.0049999999992</v>
      </c>
    </row>
    <row r="487" spans="3:5" x14ac:dyDescent="0.35">
      <c r="C487" s="1" t="s">
        <v>2161</v>
      </c>
      <c r="D487" s="1" t="s">
        <v>18</v>
      </c>
      <c r="E487" s="250">
        <v>8214.0059999999994</v>
      </c>
    </row>
    <row r="488" spans="3:5" x14ac:dyDescent="0.35">
      <c r="C488" s="1" t="s">
        <v>2160</v>
      </c>
      <c r="D488" s="1" t="s">
        <v>18</v>
      </c>
      <c r="E488" s="250">
        <v>8214.0069999999996</v>
      </c>
    </row>
    <row r="489" spans="3:5" x14ac:dyDescent="0.35">
      <c r="C489" s="1" t="s">
        <v>2171</v>
      </c>
      <c r="D489" s="1" t="s">
        <v>57</v>
      </c>
      <c r="E489" s="250">
        <v>8214.1</v>
      </c>
    </row>
    <row r="490" spans="3:5" x14ac:dyDescent="0.35">
      <c r="C490" s="1" t="s">
        <v>2166</v>
      </c>
      <c r="D490" s="1" t="s">
        <v>18</v>
      </c>
      <c r="E490" s="250">
        <v>8214.1010000000006</v>
      </c>
    </row>
    <row r="491" spans="3:5" x14ac:dyDescent="0.35">
      <c r="C491" s="1" t="s">
        <v>2165</v>
      </c>
      <c r="D491" s="1" t="s">
        <v>18</v>
      </c>
      <c r="E491" s="250">
        <v>8214.1020000000008</v>
      </c>
    </row>
    <row r="492" spans="3:5" x14ac:dyDescent="0.35">
      <c r="C492" s="1" t="s">
        <v>2164</v>
      </c>
      <c r="D492" s="1" t="s">
        <v>18</v>
      </c>
      <c r="E492" s="250">
        <v>8214.1029999999992</v>
      </c>
    </row>
    <row r="493" spans="3:5" x14ac:dyDescent="0.35">
      <c r="C493" s="1" t="s">
        <v>2169</v>
      </c>
      <c r="D493" s="1" t="s">
        <v>18</v>
      </c>
      <c r="E493" s="250">
        <v>8214.1039999999994</v>
      </c>
    </row>
    <row r="494" spans="3:5" x14ac:dyDescent="0.35">
      <c r="C494" s="1" t="s">
        <v>2168</v>
      </c>
      <c r="D494" s="1" t="s">
        <v>18</v>
      </c>
      <c r="E494" s="250">
        <v>8214.1049999999996</v>
      </c>
    </row>
    <row r="495" spans="3:5" x14ac:dyDescent="0.35">
      <c r="C495" s="1" t="s">
        <v>2161</v>
      </c>
      <c r="D495" s="1" t="s">
        <v>18</v>
      </c>
      <c r="E495" s="250">
        <v>8214.1059999999998</v>
      </c>
    </row>
    <row r="496" spans="3:5" x14ac:dyDescent="0.35">
      <c r="C496" s="1" t="s">
        <v>2160</v>
      </c>
      <c r="D496" s="1" t="s">
        <v>18</v>
      </c>
      <c r="E496" s="250">
        <v>8214.107</v>
      </c>
    </row>
    <row r="497" spans="3:5" x14ac:dyDescent="0.35">
      <c r="C497" s="1" t="s">
        <v>2170</v>
      </c>
      <c r="D497" s="1" t="s">
        <v>57</v>
      </c>
      <c r="E497" s="250">
        <v>8214.2000000000007</v>
      </c>
    </row>
    <row r="498" spans="3:5" x14ac:dyDescent="0.35">
      <c r="C498" s="1" t="s">
        <v>2166</v>
      </c>
      <c r="D498" s="1" t="s">
        <v>18</v>
      </c>
      <c r="E498" s="250">
        <v>8214.2009999999991</v>
      </c>
    </row>
    <row r="499" spans="3:5" x14ac:dyDescent="0.35">
      <c r="C499" s="1" t="s">
        <v>2165</v>
      </c>
      <c r="D499" s="1" t="s">
        <v>18</v>
      </c>
      <c r="E499" s="250">
        <v>8214.2019999999993</v>
      </c>
    </row>
    <row r="500" spans="3:5" x14ac:dyDescent="0.35">
      <c r="C500" s="1" t="s">
        <v>2164</v>
      </c>
      <c r="D500" s="1" t="s">
        <v>18</v>
      </c>
      <c r="E500" s="250">
        <v>8214.2029999999995</v>
      </c>
    </row>
    <row r="501" spans="3:5" x14ac:dyDescent="0.35">
      <c r="C501" s="1" t="s">
        <v>2169</v>
      </c>
      <c r="D501" s="1" t="s">
        <v>18</v>
      </c>
      <c r="E501" s="250">
        <v>8214.2039999999997</v>
      </c>
    </row>
    <row r="502" spans="3:5" x14ac:dyDescent="0.35">
      <c r="C502" s="1" t="s">
        <v>2168</v>
      </c>
      <c r="D502" s="1" t="s">
        <v>18</v>
      </c>
      <c r="E502" s="250">
        <v>8214.2049999999999</v>
      </c>
    </row>
    <row r="503" spans="3:5" x14ac:dyDescent="0.35">
      <c r="C503" s="1" t="s">
        <v>2161</v>
      </c>
      <c r="D503" s="1" t="s">
        <v>18</v>
      </c>
      <c r="E503" s="250">
        <v>8214.2060000000001</v>
      </c>
    </row>
    <row r="504" spans="3:5" x14ac:dyDescent="0.35">
      <c r="C504" s="1" t="s">
        <v>2160</v>
      </c>
      <c r="D504" s="1" t="s">
        <v>18</v>
      </c>
      <c r="E504" s="250">
        <v>8214.2070000000003</v>
      </c>
    </row>
    <row r="505" spans="3:5" x14ac:dyDescent="0.35">
      <c r="C505" s="1" t="s">
        <v>2167</v>
      </c>
      <c r="D505" s="1" t="s">
        <v>57</v>
      </c>
      <c r="E505" s="250">
        <v>8214.2999999999993</v>
      </c>
    </row>
    <row r="506" spans="3:5" x14ac:dyDescent="0.35">
      <c r="C506" s="1" t="s">
        <v>2166</v>
      </c>
      <c r="D506" s="1" t="s">
        <v>18</v>
      </c>
      <c r="E506" s="250">
        <v>8214.3009999999995</v>
      </c>
    </row>
    <row r="507" spans="3:5" x14ac:dyDescent="0.35">
      <c r="C507" s="1" t="s">
        <v>2165</v>
      </c>
      <c r="D507" s="1" t="s">
        <v>18</v>
      </c>
      <c r="E507" s="250">
        <v>8214.3019999999997</v>
      </c>
    </row>
    <row r="508" spans="3:5" x14ac:dyDescent="0.35">
      <c r="C508" s="1" t="s">
        <v>2164</v>
      </c>
      <c r="D508" s="1" t="s">
        <v>18</v>
      </c>
      <c r="E508" s="250">
        <v>8214.3029999999999</v>
      </c>
    </row>
    <row r="509" spans="3:5" x14ac:dyDescent="0.35">
      <c r="C509" s="1" t="s">
        <v>2163</v>
      </c>
      <c r="D509" s="1" t="s">
        <v>18</v>
      </c>
      <c r="E509" s="250">
        <v>8214.3040000000001</v>
      </c>
    </row>
    <row r="510" spans="3:5" x14ac:dyDescent="0.35">
      <c r="C510" s="1" t="s">
        <v>2162</v>
      </c>
      <c r="D510" s="1" t="s">
        <v>18</v>
      </c>
      <c r="E510" s="250">
        <v>8214.3050000000003</v>
      </c>
    </row>
    <row r="511" spans="3:5" x14ac:dyDescent="0.35">
      <c r="C511" s="1" t="s">
        <v>2161</v>
      </c>
      <c r="D511" s="1" t="s">
        <v>18</v>
      </c>
      <c r="E511" s="250">
        <v>8214.3060000000005</v>
      </c>
    </row>
    <row r="512" spans="3:5" x14ac:dyDescent="0.35">
      <c r="C512" s="1" t="s">
        <v>2160</v>
      </c>
      <c r="D512" s="1" t="s">
        <v>18</v>
      </c>
      <c r="E512" s="250">
        <v>8214.3070000000007</v>
      </c>
    </row>
    <row r="513" spans="3:5" x14ac:dyDescent="0.35">
      <c r="C513" s="1" t="s">
        <v>2159</v>
      </c>
      <c r="D513" s="1" t="s">
        <v>57</v>
      </c>
      <c r="E513" s="250">
        <v>8214.4</v>
      </c>
    </row>
    <row r="514" spans="3:5" x14ac:dyDescent="0.35">
      <c r="C514" s="1" t="s">
        <v>2139</v>
      </c>
      <c r="D514" s="1" t="s">
        <v>18</v>
      </c>
      <c r="E514" s="250">
        <v>8214.4009999999998</v>
      </c>
    </row>
    <row r="515" spans="3:5" x14ac:dyDescent="0.35">
      <c r="C515" s="1" t="s">
        <v>2158</v>
      </c>
      <c r="D515" s="1" t="s">
        <v>57</v>
      </c>
      <c r="E515" s="250">
        <v>8214.41</v>
      </c>
    </row>
    <row r="516" spans="3:5" x14ac:dyDescent="0.35">
      <c r="C516" s="1" t="s">
        <v>2139</v>
      </c>
      <c r="D516" s="1" t="s">
        <v>18</v>
      </c>
      <c r="E516" s="250">
        <v>8214.4110000000001</v>
      </c>
    </row>
    <row r="517" spans="3:5" x14ac:dyDescent="0.35">
      <c r="C517" s="1" t="s">
        <v>2157</v>
      </c>
      <c r="D517" s="1" t="s">
        <v>57</v>
      </c>
      <c r="E517" s="250">
        <v>8214.42</v>
      </c>
    </row>
    <row r="518" spans="3:5" x14ac:dyDescent="0.35">
      <c r="C518" s="1" t="s">
        <v>2139</v>
      </c>
      <c r="D518" s="1" t="s">
        <v>18</v>
      </c>
      <c r="E518" s="250">
        <v>8214.4210000000003</v>
      </c>
    </row>
    <row r="519" spans="3:5" x14ac:dyDescent="0.35">
      <c r="C519" s="1" t="s">
        <v>2156</v>
      </c>
      <c r="D519" s="1" t="s">
        <v>18</v>
      </c>
      <c r="E519" s="250">
        <v>8214.4500000000007</v>
      </c>
    </row>
    <row r="520" spans="3:5" x14ac:dyDescent="0.35">
      <c r="C520" s="1" t="s">
        <v>2155</v>
      </c>
      <c r="D520" s="1" t="s">
        <v>18</v>
      </c>
      <c r="E520" s="250">
        <v>8214.4599999999991</v>
      </c>
    </row>
    <row r="521" spans="3:5" x14ac:dyDescent="0.35">
      <c r="C521" s="1" t="s">
        <v>2154</v>
      </c>
      <c r="D521" s="1" t="s">
        <v>18</v>
      </c>
      <c r="E521" s="250">
        <v>8214.4650000000001</v>
      </c>
    </row>
    <row r="522" spans="3:5" x14ac:dyDescent="0.35">
      <c r="C522" s="1" t="s">
        <v>2153</v>
      </c>
      <c r="D522" s="1" t="s">
        <v>18</v>
      </c>
      <c r="E522" s="250">
        <v>8215.01</v>
      </c>
    </row>
    <row r="523" spans="3:5" x14ac:dyDescent="0.35">
      <c r="C523" s="1" t="s">
        <v>2152</v>
      </c>
      <c r="D523" s="1" t="s">
        <v>18</v>
      </c>
      <c r="E523" s="250">
        <v>8215.0499999999993</v>
      </c>
    </row>
    <row r="524" spans="3:5" x14ac:dyDescent="0.35">
      <c r="C524" s="1" t="s">
        <v>2151</v>
      </c>
      <c r="D524" s="1" t="s">
        <v>18</v>
      </c>
      <c r="E524" s="250">
        <v>8215.06</v>
      </c>
    </row>
    <row r="525" spans="3:5" x14ac:dyDescent="0.35">
      <c r="C525" s="1" t="s">
        <v>2150</v>
      </c>
      <c r="D525" s="1" t="s">
        <v>18</v>
      </c>
      <c r="E525" s="250">
        <v>8215.07</v>
      </c>
    </row>
    <row r="526" spans="3:5" x14ac:dyDescent="0.35">
      <c r="C526" s="1" t="s">
        <v>2149</v>
      </c>
      <c r="D526" s="1" t="s">
        <v>18</v>
      </c>
      <c r="E526" s="250">
        <v>8215.0750000000007</v>
      </c>
    </row>
    <row r="527" spans="3:5" x14ac:dyDescent="0.35">
      <c r="C527" s="1" t="s">
        <v>2148</v>
      </c>
      <c r="D527" s="1" t="s">
        <v>18</v>
      </c>
      <c r="E527" s="250">
        <v>8215.0759999999991</v>
      </c>
    </row>
    <row r="528" spans="3:5" x14ac:dyDescent="0.35">
      <c r="C528" s="1" t="s">
        <v>2147</v>
      </c>
      <c r="D528" s="1" t="s">
        <v>20</v>
      </c>
      <c r="E528" s="250">
        <v>8215.08</v>
      </c>
    </row>
    <row r="529" spans="3:5" x14ac:dyDescent="0.35">
      <c r="C529" s="1" t="s">
        <v>2146</v>
      </c>
      <c r="D529" s="1" t="s">
        <v>18</v>
      </c>
      <c r="E529" s="250">
        <v>8215.0810000000001</v>
      </c>
    </row>
    <row r="530" spans="3:5" x14ac:dyDescent="0.35">
      <c r="C530" s="1" t="s">
        <v>2145</v>
      </c>
      <c r="D530" s="1" t="s">
        <v>57</v>
      </c>
      <c r="E530" s="250">
        <v>8220.01</v>
      </c>
    </row>
    <row r="531" spans="3:5" x14ac:dyDescent="0.35">
      <c r="C531" s="1" t="s">
        <v>2139</v>
      </c>
      <c r="D531" s="1" t="s">
        <v>18</v>
      </c>
      <c r="E531" s="250">
        <v>8220.0110000000004</v>
      </c>
    </row>
    <row r="532" spans="3:5" x14ac:dyDescent="0.35">
      <c r="C532" s="1" t="s">
        <v>2144</v>
      </c>
      <c r="D532" s="1" t="s">
        <v>57</v>
      </c>
      <c r="E532" s="250">
        <v>8220.02</v>
      </c>
    </row>
    <row r="533" spans="3:5" x14ac:dyDescent="0.35">
      <c r="C533" s="1" t="s">
        <v>2139</v>
      </c>
      <c r="D533" s="1" t="s">
        <v>18</v>
      </c>
      <c r="E533" s="250">
        <v>8220.0210000000006</v>
      </c>
    </row>
    <row r="534" spans="3:5" x14ac:dyDescent="0.35">
      <c r="C534" s="1" t="s">
        <v>2143</v>
      </c>
      <c r="D534" s="1" t="s">
        <v>18</v>
      </c>
      <c r="E534" s="250">
        <v>8260.01</v>
      </c>
    </row>
    <row r="535" spans="3:5" x14ac:dyDescent="0.35">
      <c r="C535" s="1" t="s">
        <v>2142</v>
      </c>
      <c r="D535" s="1" t="s">
        <v>57</v>
      </c>
      <c r="E535" s="250">
        <v>8260.02</v>
      </c>
    </row>
    <row r="536" spans="3:5" x14ac:dyDescent="0.35">
      <c r="C536" s="1" t="s">
        <v>2139</v>
      </c>
      <c r="D536" s="1" t="s">
        <v>18</v>
      </c>
      <c r="E536" s="250">
        <v>8260.0210000000006</v>
      </c>
    </row>
    <row r="537" spans="3:5" x14ac:dyDescent="0.35">
      <c r="C537" s="1" t="s">
        <v>2141</v>
      </c>
      <c r="D537" s="1" t="s">
        <v>57</v>
      </c>
      <c r="E537" s="250">
        <v>8260.0300000000007</v>
      </c>
    </row>
    <row r="538" spans="3:5" x14ac:dyDescent="0.35">
      <c r="C538" s="1" t="s">
        <v>2139</v>
      </c>
      <c r="D538" s="1" t="s">
        <v>18</v>
      </c>
      <c r="E538" s="250">
        <v>8260.0310000000009</v>
      </c>
    </row>
    <row r="539" spans="3:5" x14ac:dyDescent="0.35">
      <c r="C539" s="1" t="s">
        <v>2140</v>
      </c>
      <c r="D539" s="1" t="s">
        <v>57</v>
      </c>
      <c r="E539" s="250">
        <v>8260.0400000000009</v>
      </c>
    </row>
    <row r="540" spans="3:5" x14ac:dyDescent="0.35">
      <c r="C540" s="1" t="s">
        <v>2139</v>
      </c>
      <c r="D540" s="1" t="s">
        <v>18</v>
      </c>
      <c r="E540" s="250">
        <v>8260.0409999999993</v>
      </c>
    </row>
    <row r="541" spans="3:5" x14ac:dyDescent="0.35">
      <c r="C541" s="1" t="s">
        <v>2138</v>
      </c>
      <c r="D541" s="1" t="s">
        <v>57</v>
      </c>
      <c r="E541" s="250">
        <v>8260.1</v>
      </c>
    </row>
    <row r="542" spans="3:5" x14ac:dyDescent="0.35">
      <c r="C542" s="1" t="s">
        <v>2110</v>
      </c>
      <c r="D542" s="1" t="s">
        <v>18</v>
      </c>
      <c r="E542" s="250">
        <v>8260.1010000000006</v>
      </c>
    </row>
    <row r="543" spans="3:5" x14ac:dyDescent="0.35">
      <c r="C543" s="1" t="s">
        <v>2137</v>
      </c>
      <c r="D543" s="1" t="s">
        <v>57</v>
      </c>
      <c r="E543" s="250">
        <v>8260.11</v>
      </c>
    </row>
    <row r="544" spans="3:5" x14ac:dyDescent="0.35">
      <c r="C544" s="1" t="s">
        <v>2110</v>
      </c>
      <c r="D544" s="1" t="s">
        <v>18</v>
      </c>
      <c r="E544" s="250">
        <v>8260.1110000000008</v>
      </c>
    </row>
    <row r="545" spans="3:5" x14ac:dyDescent="0.35">
      <c r="C545" s="1" t="s">
        <v>2136</v>
      </c>
      <c r="D545" s="1" t="s">
        <v>57</v>
      </c>
      <c r="E545" s="250">
        <v>8260.1200000000008</v>
      </c>
    </row>
    <row r="546" spans="3:5" x14ac:dyDescent="0.35">
      <c r="C546" s="1" t="s">
        <v>2110</v>
      </c>
      <c r="D546" s="1" t="s">
        <v>18</v>
      </c>
      <c r="E546" s="250">
        <v>8260.1209999999992</v>
      </c>
    </row>
    <row r="547" spans="3:5" x14ac:dyDescent="0.35">
      <c r="C547" s="1" t="s">
        <v>2135</v>
      </c>
      <c r="D547" s="1" t="s">
        <v>57</v>
      </c>
      <c r="E547" s="250">
        <v>8260.1299999999992</v>
      </c>
    </row>
    <row r="548" spans="3:5" x14ac:dyDescent="0.35">
      <c r="C548" s="1" t="s">
        <v>2110</v>
      </c>
      <c r="D548" s="1" t="s">
        <v>18</v>
      </c>
      <c r="E548" s="250">
        <v>8260.1309999999994</v>
      </c>
    </row>
    <row r="549" spans="3:5" x14ac:dyDescent="0.35">
      <c r="C549" s="1" t="s">
        <v>2134</v>
      </c>
      <c r="D549" s="1" t="s">
        <v>57</v>
      </c>
      <c r="E549" s="250">
        <v>8260.14</v>
      </c>
    </row>
    <row r="550" spans="3:5" x14ac:dyDescent="0.35">
      <c r="C550" s="1" t="s">
        <v>2110</v>
      </c>
      <c r="D550" s="1" t="s">
        <v>18</v>
      </c>
      <c r="E550" s="250">
        <v>8260.1409999999996</v>
      </c>
    </row>
    <row r="551" spans="3:5" x14ac:dyDescent="0.35">
      <c r="C551" s="1" t="s">
        <v>2133</v>
      </c>
      <c r="D551" s="1" t="s">
        <v>57</v>
      </c>
      <c r="E551" s="250">
        <v>8260.15</v>
      </c>
    </row>
    <row r="552" spans="3:5" x14ac:dyDescent="0.35">
      <c r="C552" s="1" t="s">
        <v>2110</v>
      </c>
      <c r="D552" s="1" t="s">
        <v>18</v>
      </c>
      <c r="E552" s="250">
        <v>8260.1509999999998</v>
      </c>
    </row>
    <row r="553" spans="3:5" x14ac:dyDescent="0.35">
      <c r="C553" s="1" t="s">
        <v>2132</v>
      </c>
      <c r="D553" s="1" t="s">
        <v>57</v>
      </c>
      <c r="E553" s="250">
        <v>8260.16</v>
      </c>
    </row>
    <row r="554" spans="3:5" x14ac:dyDescent="0.35">
      <c r="C554" s="1" t="s">
        <v>2110</v>
      </c>
      <c r="D554" s="1" t="s">
        <v>18</v>
      </c>
      <c r="E554" s="250">
        <v>8260.1610000000001</v>
      </c>
    </row>
    <row r="555" spans="3:5" x14ac:dyDescent="0.35">
      <c r="C555" s="1" t="s">
        <v>2131</v>
      </c>
      <c r="D555" s="1" t="s">
        <v>57</v>
      </c>
      <c r="E555" s="250">
        <v>8260.17</v>
      </c>
    </row>
    <row r="556" spans="3:5" x14ac:dyDescent="0.35">
      <c r="C556" s="1" t="s">
        <v>2110</v>
      </c>
      <c r="D556" s="1" t="s">
        <v>18</v>
      </c>
      <c r="E556" s="250">
        <v>8260.1710000000003</v>
      </c>
    </row>
    <row r="557" spans="3:5" x14ac:dyDescent="0.35">
      <c r="C557" s="1" t="s">
        <v>2130</v>
      </c>
      <c r="D557" s="1" t="s">
        <v>57</v>
      </c>
      <c r="E557" s="250">
        <v>8260.18</v>
      </c>
    </row>
    <row r="558" spans="3:5" x14ac:dyDescent="0.35">
      <c r="C558" s="1" t="s">
        <v>2110</v>
      </c>
      <c r="D558" s="1" t="s">
        <v>18</v>
      </c>
      <c r="E558" s="250">
        <v>8260.1810000000005</v>
      </c>
    </row>
  </sheetData>
  <mergeCells count="9">
    <mergeCell ref="P3:Q3"/>
    <mergeCell ref="J6:K6"/>
    <mergeCell ref="J7:K7"/>
    <mergeCell ref="A3:B3"/>
    <mergeCell ref="D3:G3"/>
    <mergeCell ref="J3:K3"/>
    <mergeCell ref="A4:B4"/>
    <mergeCell ref="J4:K4"/>
    <mergeCell ref="J5:K5"/>
  </mergeCells>
  <dataValidations disablePrompts="1" count="1">
    <dataValidation type="list" allowBlank="1" showInputMessage="1" showErrorMessage="1" sqref="C16:C190" xr:uid="{A7400AFF-4F23-4F83-A74E-47A326C74D9A}">
      <formula1>$C$205:$C207</formula1>
    </dataValidation>
  </dataValidations>
  <hyperlinks>
    <hyperlink ref="D3" r:id="rId1" display="datamateapp@gmail.com" xr:uid="{45A9AAC4-6148-46B5-9D66-4D958550EAFD}"/>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53641" r:id="rId4" name="Button 9">
              <controlPr defaultSize="0" print="0" autoFill="0" autoPict="0" macro="[0]!ExitSEC_081000">
                <anchor moveWithCells="1" sizeWithCells="1">
                  <from>
                    <xdr:col>16</xdr:col>
                    <xdr:colOff>184150</xdr:colOff>
                    <xdr:row>0</xdr:row>
                    <xdr:rowOff>0</xdr:rowOff>
                  </from>
                  <to>
                    <xdr:col>16</xdr:col>
                    <xdr:colOff>1454150</xdr:colOff>
                    <xdr:row>2</xdr:row>
                    <xdr:rowOff>12700</xdr:rowOff>
                  </to>
                </anchor>
              </controlPr>
            </control>
          </mc:Choice>
        </mc:AlternateContent>
        <mc:AlternateContent xmlns:mc="http://schemas.openxmlformats.org/markup-compatibility/2006">
          <mc:Choice Requires="x14">
            <control shapeId="453907" r:id="rId5" name="Button 275">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453908" r:id="rId6" name="Button 276">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453909" r:id="rId7" name="Button 277">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453910" r:id="rId8" name="Button 278">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453911" r:id="rId9" name="Button 279">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453912" r:id="rId10" name="Button 280">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453913" r:id="rId11" name="Button 281">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453914" r:id="rId12" name="Button 282">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46015-E020-45BF-A0C9-4E4810CAAF78}">
  <sheetPr codeName="Sheet94"/>
  <dimension ref="A1:Q255"/>
  <sheetViews>
    <sheetView showZeros="0" zoomScale="75" zoomScaleNormal="75" workbookViewId="0">
      <selection activeCell="C4" sqref="C4"/>
    </sheetView>
  </sheetViews>
  <sheetFormatPr defaultRowHeight="14.5" x14ac:dyDescent="0.35"/>
  <cols>
    <col min="1" max="1" width="4.54296875" style="1" customWidth="1"/>
    <col min="2" max="2" width="14" style="1" customWidth="1"/>
    <col min="3" max="3" width="77.1796875" style="1" bestFit="1" customWidth="1"/>
    <col min="4" max="4" width="10.7265625" style="1" customWidth="1"/>
    <col min="5" max="5" width="10.1796875" style="1" customWidth="1"/>
    <col min="6" max="6" width="13.26953125" style="1" customWidth="1"/>
    <col min="7" max="7" width="15.1796875" style="1" customWidth="1"/>
    <col min="8" max="8" width="13.26953125" style="1" customWidth="1"/>
    <col min="9" max="9" width="12.7265625" style="1" customWidth="1"/>
    <col min="10" max="10" width="12.26953125" style="1" customWidth="1"/>
    <col min="11" max="11" width="9" style="1" customWidth="1"/>
    <col min="12" max="12" width="13.26953125" style="1" customWidth="1"/>
    <col min="13" max="13" width="12.7265625" style="1" customWidth="1"/>
    <col min="14" max="14" width="13.26953125" style="1" customWidth="1"/>
    <col min="15" max="15" width="12.7265625" style="1" customWidth="1"/>
    <col min="16" max="16" width="13.26953125" style="1" customWidth="1"/>
    <col min="17" max="17" width="21.26953125" style="1" customWidth="1"/>
    <col min="18" max="22" width="8.7265625" style="1"/>
    <col min="23" max="23" width="4.54296875" style="1" customWidth="1"/>
    <col min="24" max="24" width="11.90625" style="1" customWidth="1"/>
    <col min="25" max="25" width="77.1796875" style="1" bestFit="1" customWidth="1"/>
    <col min="26" max="26" width="10.7265625" style="1" customWidth="1"/>
    <col min="27" max="27" width="10.1796875" style="1" customWidth="1"/>
    <col min="28" max="28" width="13.26953125" style="1" customWidth="1"/>
    <col min="29" max="29" width="15.1796875" style="1" customWidth="1"/>
    <col min="30" max="30" width="13.26953125" style="1" customWidth="1"/>
    <col min="31" max="31" width="12.7265625" style="1" customWidth="1"/>
    <col min="32" max="32" width="12.26953125" style="1" customWidth="1"/>
    <col min="33" max="33" width="9" style="1" customWidth="1"/>
    <col min="34" max="34" width="13.26953125" style="1" customWidth="1"/>
    <col min="35" max="35" width="12.7265625" style="1" customWidth="1"/>
    <col min="36" max="36" width="13.26953125" style="1" customWidth="1"/>
    <col min="37" max="37" width="12.7265625" style="1" customWidth="1"/>
    <col min="38" max="38" width="13.26953125" style="1" customWidth="1"/>
    <col min="39" max="39" width="21.26953125" style="1" customWidth="1"/>
    <col min="40" max="16384" width="8.7265625" style="1"/>
  </cols>
  <sheetData>
    <row r="1" spans="1:17" ht="14.5" customHeight="1"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SPECIALTY DOORS AND FRAMES</v>
      </c>
      <c r="J2" s="59"/>
      <c r="K2" s="59"/>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40" customHeight="1"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08 30 00</v>
      </c>
      <c r="C10" s="24" t="str">
        <f>C206</f>
        <v>SPECIALTY DOORS AND FRAMES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SPECIALTY DOORS AND FRAMES</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Q200" s="78" t="s">
        <v>21404</v>
      </c>
    </row>
    <row r="201" spans="2:17" x14ac:dyDescent="0.35">
      <c r="C201" s="78" t="s">
        <v>21592</v>
      </c>
    </row>
    <row r="203" spans="2:17" x14ac:dyDescent="0.35">
      <c r="C203" s="77" t="s">
        <v>21399</v>
      </c>
    </row>
    <row r="205" spans="2:17" x14ac:dyDescent="0.35">
      <c r="C205" s="1" t="s">
        <v>21398</v>
      </c>
      <c r="D205" s="1" t="s">
        <v>75</v>
      </c>
      <c r="E205" s="1" t="s">
        <v>13768</v>
      </c>
      <c r="F205" s="2" t="s">
        <v>21397</v>
      </c>
      <c r="G205" s="1" t="s">
        <v>9</v>
      </c>
    </row>
    <row r="206" spans="2:17" x14ac:dyDescent="0.35">
      <c r="B206" s="49" t="s">
        <v>14481</v>
      </c>
      <c r="C206" s="251" t="s">
        <v>14482</v>
      </c>
    </row>
    <row r="207" spans="2:17" x14ac:dyDescent="0.35">
      <c r="B207" s="49" t="s">
        <v>14483</v>
      </c>
      <c r="C207" s="53" t="s">
        <v>14484</v>
      </c>
    </row>
    <row r="208" spans="2:17" x14ac:dyDescent="0.35">
      <c r="B208" s="49" t="s">
        <v>14485</v>
      </c>
      <c r="C208" s="53" t="s">
        <v>14486</v>
      </c>
    </row>
    <row r="209" spans="2:5" x14ac:dyDescent="0.35">
      <c r="B209" s="49" t="s">
        <v>14487</v>
      </c>
      <c r="C209" s="53" t="s">
        <v>14488</v>
      </c>
    </row>
    <row r="210" spans="2:5" x14ac:dyDescent="0.35">
      <c r="B210" s="49" t="s">
        <v>14489</v>
      </c>
      <c r="C210" s="53" t="s">
        <v>14490</v>
      </c>
    </row>
    <row r="211" spans="2:5" x14ac:dyDescent="0.35">
      <c r="B211" s="49" t="s">
        <v>14491</v>
      </c>
      <c r="C211" s="53" t="s">
        <v>14492</v>
      </c>
    </row>
    <row r="212" spans="2:5" x14ac:dyDescent="0.35">
      <c r="B212" s="49" t="s">
        <v>14493</v>
      </c>
      <c r="C212" s="53" t="s">
        <v>14494</v>
      </c>
    </row>
    <row r="213" spans="2:5" x14ac:dyDescent="0.35">
      <c r="B213" s="49" t="s">
        <v>14495</v>
      </c>
      <c r="C213" s="53" t="s">
        <v>14496</v>
      </c>
    </row>
    <row r="214" spans="2:5" x14ac:dyDescent="0.35">
      <c r="B214" s="49" t="s">
        <v>14497</v>
      </c>
      <c r="C214" s="53" t="s">
        <v>14498</v>
      </c>
    </row>
    <row r="215" spans="2:5" x14ac:dyDescent="0.35">
      <c r="C215" s="1" t="s">
        <v>2129</v>
      </c>
      <c r="D215" s="1" t="s">
        <v>18</v>
      </c>
      <c r="E215" s="250">
        <v>8310.01</v>
      </c>
    </row>
    <row r="216" spans="2:5" x14ac:dyDescent="0.35">
      <c r="C216" s="1" t="s">
        <v>2128</v>
      </c>
      <c r="D216" s="1" t="s">
        <v>18</v>
      </c>
      <c r="E216" s="250">
        <v>8330.01</v>
      </c>
    </row>
    <row r="217" spans="2:5" x14ac:dyDescent="0.35">
      <c r="C217" s="1" t="s">
        <v>2127</v>
      </c>
      <c r="D217" s="1" t="s">
        <v>18</v>
      </c>
      <c r="E217" s="250">
        <v>8330.0110000000004</v>
      </c>
    </row>
    <row r="218" spans="2:5" x14ac:dyDescent="0.35">
      <c r="C218" s="1" t="s">
        <v>2126</v>
      </c>
      <c r="D218" s="1" t="s">
        <v>18</v>
      </c>
      <c r="E218" s="250">
        <v>8330.02</v>
      </c>
    </row>
    <row r="219" spans="2:5" x14ac:dyDescent="0.35">
      <c r="C219" s="1" t="s">
        <v>2125</v>
      </c>
      <c r="D219" s="1" t="s">
        <v>18</v>
      </c>
      <c r="E219" s="250">
        <v>8330.0210000000006</v>
      </c>
    </row>
    <row r="220" spans="2:5" x14ac:dyDescent="0.35">
      <c r="C220" s="1" t="s">
        <v>2124</v>
      </c>
      <c r="D220" s="1" t="s">
        <v>18</v>
      </c>
      <c r="E220" s="250">
        <v>8330.0300000000007</v>
      </c>
    </row>
    <row r="221" spans="2:5" x14ac:dyDescent="0.35">
      <c r="C221" s="1" t="s">
        <v>2123</v>
      </c>
      <c r="D221" s="1" t="s">
        <v>18</v>
      </c>
      <c r="E221" s="250">
        <v>8330.0400000000009</v>
      </c>
    </row>
    <row r="222" spans="2:5" x14ac:dyDescent="0.35">
      <c r="C222" s="1" t="s">
        <v>2122</v>
      </c>
      <c r="D222" s="1" t="s">
        <v>18</v>
      </c>
      <c r="E222" s="250">
        <v>8340.01</v>
      </c>
    </row>
    <row r="223" spans="2:5" x14ac:dyDescent="0.35">
      <c r="C223" s="1" t="s">
        <v>2121</v>
      </c>
      <c r="D223" s="1" t="s">
        <v>18</v>
      </c>
      <c r="E223" s="250">
        <v>8340.0120000000006</v>
      </c>
    </row>
    <row r="224" spans="2:5" x14ac:dyDescent="0.35">
      <c r="C224" s="1" t="s">
        <v>2120</v>
      </c>
      <c r="D224" s="1" t="s">
        <v>18</v>
      </c>
      <c r="E224" s="250">
        <v>8350.01</v>
      </c>
    </row>
    <row r="225" spans="3:5" x14ac:dyDescent="0.35">
      <c r="C225" s="1" t="s">
        <v>2119</v>
      </c>
      <c r="D225" s="1" t="s">
        <v>57</v>
      </c>
      <c r="E225" s="250">
        <v>8350.02</v>
      </c>
    </row>
    <row r="226" spans="3:5" x14ac:dyDescent="0.35">
      <c r="C226" s="1" t="s">
        <v>2110</v>
      </c>
      <c r="D226" s="1" t="s">
        <v>18</v>
      </c>
      <c r="E226" s="250">
        <v>8350.0210000000006</v>
      </c>
    </row>
    <row r="227" spans="3:5" x14ac:dyDescent="0.35">
      <c r="C227" s="1" t="s">
        <v>2118</v>
      </c>
      <c r="D227" s="1" t="s">
        <v>57</v>
      </c>
      <c r="E227" s="250">
        <v>8350.0300000000007</v>
      </c>
    </row>
    <row r="228" spans="3:5" x14ac:dyDescent="0.35">
      <c r="C228" s="1" t="s">
        <v>2110</v>
      </c>
      <c r="D228" s="1" t="s">
        <v>18</v>
      </c>
      <c r="E228" s="250">
        <v>8350.0310000000009</v>
      </c>
    </row>
    <row r="229" spans="3:5" x14ac:dyDescent="0.35">
      <c r="C229" s="1" t="s">
        <v>2117</v>
      </c>
      <c r="D229" s="1" t="s">
        <v>57</v>
      </c>
      <c r="E229" s="250">
        <v>8350.0400000000009</v>
      </c>
    </row>
    <row r="230" spans="3:5" x14ac:dyDescent="0.35">
      <c r="C230" s="1" t="s">
        <v>2110</v>
      </c>
      <c r="D230" s="1" t="s">
        <v>18</v>
      </c>
      <c r="E230" s="250">
        <v>8350.0409999999993</v>
      </c>
    </row>
    <row r="231" spans="3:5" x14ac:dyDescent="0.35">
      <c r="C231" s="1" t="s">
        <v>2116</v>
      </c>
      <c r="D231" s="1" t="s">
        <v>57</v>
      </c>
      <c r="E231" s="250">
        <v>8350.0499999999993</v>
      </c>
    </row>
    <row r="232" spans="3:5" x14ac:dyDescent="0.35">
      <c r="C232" s="1" t="s">
        <v>2110</v>
      </c>
      <c r="D232" s="1" t="s">
        <v>18</v>
      </c>
      <c r="E232" s="250">
        <v>8350.0509999999995</v>
      </c>
    </row>
    <row r="233" spans="3:5" x14ac:dyDescent="0.35">
      <c r="C233" s="1" t="s">
        <v>2115</v>
      </c>
      <c r="D233" s="1" t="s">
        <v>57</v>
      </c>
      <c r="E233" s="250">
        <v>8350.06</v>
      </c>
    </row>
    <row r="234" spans="3:5" x14ac:dyDescent="0.35">
      <c r="C234" s="1" t="s">
        <v>2110</v>
      </c>
      <c r="D234" s="1" t="s">
        <v>18</v>
      </c>
      <c r="E234" s="250">
        <v>8350.0609999999997</v>
      </c>
    </row>
    <row r="235" spans="3:5" x14ac:dyDescent="0.35">
      <c r="C235" s="1" t="s">
        <v>2114</v>
      </c>
      <c r="D235" s="1" t="s">
        <v>57</v>
      </c>
      <c r="E235" s="250">
        <v>8350.07</v>
      </c>
    </row>
    <row r="236" spans="3:5" x14ac:dyDescent="0.35">
      <c r="C236" s="1" t="s">
        <v>2110</v>
      </c>
      <c r="D236" s="1" t="s">
        <v>18</v>
      </c>
      <c r="E236" s="250">
        <v>8350.0709999999999</v>
      </c>
    </row>
    <row r="237" spans="3:5" x14ac:dyDescent="0.35">
      <c r="C237" s="1" t="s">
        <v>2113</v>
      </c>
      <c r="D237" s="1" t="s">
        <v>57</v>
      </c>
      <c r="E237" s="250">
        <v>8350.08</v>
      </c>
    </row>
    <row r="238" spans="3:5" x14ac:dyDescent="0.35">
      <c r="C238" s="1" t="s">
        <v>2110</v>
      </c>
      <c r="D238" s="1" t="s">
        <v>18</v>
      </c>
      <c r="E238" s="250">
        <v>8350.0810000000001</v>
      </c>
    </row>
    <row r="239" spans="3:5" x14ac:dyDescent="0.35">
      <c r="C239" s="1" t="s">
        <v>2112</v>
      </c>
      <c r="D239" s="1" t="s">
        <v>57</v>
      </c>
      <c r="E239" s="250">
        <v>8350.09</v>
      </c>
    </row>
    <row r="240" spans="3:5" x14ac:dyDescent="0.35">
      <c r="C240" s="1" t="s">
        <v>2110</v>
      </c>
      <c r="D240" s="1" t="s">
        <v>18</v>
      </c>
      <c r="E240" s="250">
        <v>8350.0910000000003</v>
      </c>
    </row>
    <row r="241" spans="3:5" x14ac:dyDescent="0.35">
      <c r="C241" s="1" t="s">
        <v>2111</v>
      </c>
      <c r="D241" s="1" t="s">
        <v>57</v>
      </c>
      <c r="E241" s="250">
        <v>8350.1</v>
      </c>
    </row>
    <row r="242" spans="3:5" x14ac:dyDescent="0.35">
      <c r="C242" s="1" t="s">
        <v>2110</v>
      </c>
      <c r="D242" s="1" t="s">
        <v>18</v>
      </c>
      <c r="E242" s="250">
        <v>8350.1010000000006</v>
      </c>
    </row>
    <row r="243" spans="3:5" x14ac:dyDescent="0.35">
      <c r="C243" s="1" t="s">
        <v>2109</v>
      </c>
      <c r="D243" s="1" t="s">
        <v>18</v>
      </c>
      <c r="E243" s="250">
        <v>8360.01</v>
      </c>
    </row>
    <row r="244" spans="3:5" x14ac:dyDescent="0.35">
      <c r="C244" s="1" t="s">
        <v>2108</v>
      </c>
      <c r="D244" s="1" t="s">
        <v>18</v>
      </c>
      <c r="E244" s="250">
        <v>8360.0110000000004</v>
      </c>
    </row>
    <row r="245" spans="3:5" x14ac:dyDescent="0.35">
      <c r="C245" s="1" t="s">
        <v>2107</v>
      </c>
      <c r="D245" s="1" t="s">
        <v>18</v>
      </c>
      <c r="E245" s="250">
        <v>8360.0120000000006</v>
      </c>
    </row>
    <row r="246" spans="3:5" x14ac:dyDescent="0.35">
      <c r="C246" s="1" t="s">
        <v>2106</v>
      </c>
      <c r="D246" s="1" t="s">
        <v>18</v>
      </c>
      <c r="E246" s="250">
        <v>8360.02</v>
      </c>
    </row>
    <row r="247" spans="3:5" x14ac:dyDescent="0.35">
      <c r="C247" s="1" t="s">
        <v>2105</v>
      </c>
      <c r="D247" s="1" t="s">
        <v>18</v>
      </c>
      <c r="E247" s="250">
        <v>8360.0210000000006</v>
      </c>
    </row>
    <row r="248" spans="3:5" x14ac:dyDescent="0.35">
      <c r="C248" s="1" t="s">
        <v>2104</v>
      </c>
      <c r="D248" s="1" t="s">
        <v>18</v>
      </c>
      <c r="E248" s="250">
        <v>8360.0220000000008</v>
      </c>
    </row>
    <row r="249" spans="3:5" x14ac:dyDescent="0.35">
      <c r="C249" s="1" t="s">
        <v>2103</v>
      </c>
      <c r="D249" s="1" t="s">
        <v>18</v>
      </c>
      <c r="E249" s="250">
        <v>8360.0249999999996</v>
      </c>
    </row>
    <row r="250" spans="3:5" x14ac:dyDescent="0.35">
      <c r="C250" s="1" t="s">
        <v>2102</v>
      </c>
      <c r="D250" s="1" t="s">
        <v>18</v>
      </c>
      <c r="E250" s="250">
        <v>8360.0259999999998</v>
      </c>
    </row>
    <row r="251" spans="3:5" x14ac:dyDescent="0.35">
      <c r="C251" s="1" t="s">
        <v>2101</v>
      </c>
      <c r="D251" s="1" t="s">
        <v>18</v>
      </c>
      <c r="E251" s="250">
        <v>8360.0349999999999</v>
      </c>
    </row>
    <row r="252" spans="3:5" x14ac:dyDescent="0.35">
      <c r="C252" s="1" t="s">
        <v>2100</v>
      </c>
      <c r="D252" s="1" t="s">
        <v>18</v>
      </c>
      <c r="E252" s="250">
        <v>8360.0360000000001</v>
      </c>
    </row>
    <row r="253" spans="3:5" x14ac:dyDescent="0.35">
      <c r="C253" s="1" t="s">
        <v>2099</v>
      </c>
      <c r="D253" s="1" t="s">
        <v>18</v>
      </c>
      <c r="E253" s="250">
        <v>8380.01</v>
      </c>
    </row>
    <row r="254" spans="3:5" x14ac:dyDescent="0.35">
      <c r="C254" s="1" t="s">
        <v>2098</v>
      </c>
      <c r="D254" s="1" t="s">
        <v>18</v>
      </c>
      <c r="E254" s="250">
        <v>8380.0120000000006</v>
      </c>
    </row>
    <row r="255" spans="3:5" x14ac:dyDescent="0.35">
      <c r="C255" s="1" t="s">
        <v>2097</v>
      </c>
      <c r="D255" s="1" t="s">
        <v>18</v>
      </c>
      <c r="E255" s="250">
        <v>8380.0149999999994</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A7DE155F-37F3-4459-AF03-978D2303D454}">
      <formula1>$C$205:$C207</formula1>
    </dataValidation>
  </dataValidations>
  <hyperlinks>
    <hyperlink ref="D3" r:id="rId1" display="datamateapp@gmail.com" xr:uid="{83F3936F-B2CD-4784-BD6C-8141FC0F320B}"/>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54665" r:id="rId4" name="Button 9">
              <controlPr defaultSize="0" print="0" autoFill="0" autoPict="0" macro="[0]!ExitSEC_083000">
                <anchor moveWithCells="1" sizeWithCells="1">
                  <from>
                    <xdr:col>16</xdr:col>
                    <xdr:colOff>171450</xdr:colOff>
                    <xdr:row>0</xdr:row>
                    <xdr:rowOff>0</xdr:rowOff>
                  </from>
                  <to>
                    <xdr:col>16</xdr:col>
                    <xdr:colOff>1441450</xdr:colOff>
                    <xdr:row>2</xdr:row>
                    <xdr:rowOff>12700</xdr:rowOff>
                  </to>
                </anchor>
              </controlPr>
            </control>
          </mc:Choice>
        </mc:AlternateContent>
        <mc:AlternateContent xmlns:mc="http://schemas.openxmlformats.org/markup-compatibility/2006">
          <mc:Choice Requires="x14">
            <control shapeId="454692" r:id="rId5" name="Button 36">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454693" r:id="rId6" name="Button 37">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454694" r:id="rId7" name="Button 38">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454695" r:id="rId8" name="Button 39">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454696" r:id="rId9" name="Button 40">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454697" r:id="rId10" name="Button 41">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454698" r:id="rId11" name="Button 42">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454699" r:id="rId12" name="Button 43">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controls>
    </mc:Choice>
  </mc:AlternateContent>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421174-F43A-4D2C-B74A-9C9CDB509201}">
  <sheetPr codeName="Sheet106"/>
  <dimension ref="A1:Q217"/>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ENTRANCES, STOREFRONTS, AND CURTAIN WALLS</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08 40 00</v>
      </c>
      <c r="C10" s="24" t="str">
        <f>C206</f>
        <v>ENTRANCES, STOREFRONTS, AND CURTAIN WALLS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ENTRANCES, STOREFRONTS, AND CURTAIN WALLS</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14499</v>
      </c>
      <c r="C206" s="251" t="s">
        <v>14500</v>
      </c>
      <c r="D206" s="1"/>
      <c r="E206" s="1"/>
      <c r="F206" s="1"/>
      <c r="G206" s="1"/>
      <c r="H206" s="1"/>
      <c r="I206" s="1"/>
      <c r="J206" s="1"/>
      <c r="K206" s="1"/>
      <c r="L206" s="1"/>
      <c r="M206" s="1"/>
      <c r="N206" s="1"/>
      <c r="O206" s="1"/>
      <c r="P206" s="1"/>
      <c r="Q206" s="1"/>
    </row>
    <row r="207" spans="2:17" x14ac:dyDescent="0.35">
      <c r="B207" s="49" t="s">
        <v>14501</v>
      </c>
      <c r="C207" s="53" t="s">
        <v>14502</v>
      </c>
      <c r="D207" s="1"/>
      <c r="E207" s="1"/>
      <c r="F207" s="1"/>
      <c r="G207" s="1"/>
      <c r="H207" s="1"/>
      <c r="I207" s="1"/>
      <c r="J207" s="1"/>
      <c r="K207" s="1"/>
      <c r="L207" s="1"/>
      <c r="M207" s="1"/>
      <c r="N207" s="1"/>
      <c r="O207" s="1"/>
      <c r="P207" s="1"/>
      <c r="Q207" s="1"/>
    </row>
    <row r="208" spans="2:17" x14ac:dyDescent="0.35">
      <c r="B208" s="49" t="s">
        <v>14503</v>
      </c>
      <c r="C208" s="53" t="s">
        <v>46</v>
      </c>
    </row>
    <row r="209" spans="2:5" x14ac:dyDescent="0.35">
      <c r="B209" s="49" t="s">
        <v>14504</v>
      </c>
      <c r="C209" s="53" t="s">
        <v>14505</v>
      </c>
    </row>
    <row r="210" spans="2:5" x14ac:dyDescent="0.35">
      <c r="B210" s="49" t="s">
        <v>14506</v>
      </c>
      <c r="C210" s="53" t="s">
        <v>14507</v>
      </c>
    </row>
    <row r="211" spans="2:5" x14ac:dyDescent="0.35">
      <c r="B211" s="49" t="s">
        <v>14508</v>
      </c>
      <c r="C211" s="53" t="s">
        <v>14509</v>
      </c>
    </row>
    <row r="212" spans="2:5" x14ac:dyDescent="0.35">
      <c r="B212" s="49" t="s">
        <v>14510</v>
      </c>
      <c r="C212" s="53" t="s">
        <v>14511</v>
      </c>
    </row>
    <row r="213" spans="2:5" x14ac:dyDescent="0.35">
      <c r="C213" s="1" t="s">
        <v>2096</v>
      </c>
      <c r="D213" s="1" t="s">
        <v>20</v>
      </c>
      <c r="E213" s="250">
        <v>8410.01</v>
      </c>
    </row>
    <row r="214" spans="2:5" x14ac:dyDescent="0.35">
      <c r="C214" s="1" t="s">
        <v>2095</v>
      </c>
      <c r="D214" s="1" t="s">
        <v>20</v>
      </c>
      <c r="E214" s="250">
        <v>8410.0149999999994</v>
      </c>
    </row>
    <row r="215" spans="2:5" x14ac:dyDescent="0.35">
      <c r="C215" s="1" t="s">
        <v>2094</v>
      </c>
      <c r="D215" s="1" t="s">
        <v>18</v>
      </c>
      <c r="E215" s="250">
        <v>8460.01</v>
      </c>
    </row>
    <row r="216" spans="2:5" x14ac:dyDescent="0.35">
      <c r="C216" s="1" t="s">
        <v>2093</v>
      </c>
      <c r="D216" s="1" t="s">
        <v>18</v>
      </c>
      <c r="E216" s="250">
        <v>8460.0120000000006</v>
      </c>
    </row>
    <row r="217" spans="2:5" x14ac:dyDescent="0.35">
      <c r="C217" s="1" t="s">
        <v>2092</v>
      </c>
      <c r="D217" s="1" t="s">
        <v>18</v>
      </c>
      <c r="E217" s="250">
        <v>8470.01</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576BCB62-198E-4F0A-90B0-5FDB1247C0F4}">
      <formula1>$C$205:$C207</formula1>
    </dataValidation>
  </dataValidations>
  <hyperlinks>
    <hyperlink ref="D3" r:id="rId1" display="datamateapp@gmail.com" xr:uid="{CC412939-9E66-4DE6-9AB6-C08DE5FA21CC}"/>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57737" r:id="rId4" name="Button 9">
              <controlPr defaultSize="0" print="0" autoFill="0" autoPict="0" macro="[0]!ExitSEC_084000">
                <anchor moveWithCells="1" sizeWithCells="1">
                  <from>
                    <xdr:col>16</xdr:col>
                    <xdr:colOff>184150</xdr:colOff>
                    <xdr:row>0</xdr:row>
                    <xdr:rowOff>0</xdr:rowOff>
                  </from>
                  <to>
                    <xdr:col>16</xdr:col>
                    <xdr:colOff>1454150</xdr:colOff>
                    <xdr:row>2</xdr:row>
                    <xdr:rowOff>12700</xdr:rowOff>
                  </to>
                </anchor>
              </controlPr>
            </control>
          </mc:Choice>
        </mc:AlternateContent>
        <mc:AlternateContent xmlns:mc="http://schemas.openxmlformats.org/markup-compatibility/2006">
          <mc:Choice Requires="x14">
            <control shapeId="457781" r:id="rId5" name="Button 53">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457782" r:id="rId6" name="Button 54">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457783" r:id="rId7" name="Button 55">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457784" r:id="rId8" name="Button 56">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457785" r:id="rId9" name="Button 57">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457786" r:id="rId10" name="Button 58">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457787" r:id="rId11" name="Button 59">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457788" r:id="rId12" name="Button 60">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3FC4C-7C0D-4C60-A089-0D9AAB6F80BE}">
  <sheetPr codeName="Sheet107"/>
  <dimension ref="A1:Q281"/>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WINDOWS</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08 50 00</v>
      </c>
      <c r="C10" s="24" t="str">
        <f>C206</f>
        <v>WINDOWS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WINDOWS</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14512</v>
      </c>
      <c r="C206" s="251" t="s">
        <v>14513</v>
      </c>
      <c r="D206" s="1"/>
      <c r="E206" s="1"/>
      <c r="F206" s="1"/>
      <c r="G206" s="1"/>
      <c r="H206" s="1"/>
      <c r="I206" s="1"/>
      <c r="J206" s="1"/>
      <c r="K206" s="1"/>
      <c r="L206" s="1"/>
      <c r="M206" s="1"/>
      <c r="N206" s="1"/>
      <c r="O206" s="1"/>
      <c r="P206" s="1"/>
      <c r="Q206" s="1"/>
    </row>
    <row r="207" spans="2:17" x14ac:dyDescent="0.35">
      <c r="B207" s="49" t="s">
        <v>14514</v>
      </c>
      <c r="C207" s="53" t="s">
        <v>14515</v>
      </c>
      <c r="D207" s="1"/>
      <c r="E207" s="1"/>
      <c r="F207" s="1"/>
      <c r="G207" s="1"/>
      <c r="H207" s="1"/>
      <c r="I207" s="1"/>
      <c r="J207" s="1"/>
      <c r="K207" s="1"/>
      <c r="L207" s="1"/>
      <c r="M207" s="1"/>
      <c r="N207" s="1"/>
      <c r="O207" s="1"/>
      <c r="P207" s="1"/>
      <c r="Q207" s="1"/>
    </row>
    <row r="208" spans="2:17" x14ac:dyDescent="0.35">
      <c r="B208" s="49" t="s">
        <v>14516</v>
      </c>
      <c r="C208" s="53" t="s">
        <v>14517</v>
      </c>
    </row>
    <row r="209" spans="2:5" x14ac:dyDescent="0.35">
      <c r="B209" s="49" t="s">
        <v>14518</v>
      </c>
      <c r="C209" s="53" t="s">
        <v>14519</v>
      </c>
    </row>
    <row r="210" spans="2:5" x14ac:dyDescent="0.35">
      <c r="B210" s="49" t="s">
        <v>14520</v>
      </c>
      <c r="C210" s="53" t="s">
        <v>14521</v>
      </c>
    </row>
    <row r="211" spans="2:5" x14ac:dyDescent="0.35">
      <c r="B211" s="49" t="s">
        <v>14522</v>
      </c>
      <c r="C211" s="53" t="s">
        <v>14523</v>
      </c>
    </row>
    <row r="212" spans="2:5" x14ac:dyDescent="0.35">
      <c r="B212" s="49" t="s">
        <v>14524</v>
      </c>
      <c r="C212" s="53" t="s">
        <v>14525</v>
      </c>
    </row>
    <row r="213" spans="2:5" x14ac:dyDescent="0.35">
      <c r="C213" s="1" t="s">
        <v>35</v>
      </c>
      <c r="D213" s="1" t="s">
        <v>18</v>
      </c>
      <c r="E213" s="250">
        <v>8510.01</v>
      </c>
    </row>
    <row r="214" spans="2:5" x14ac:dyDescent="0.35">
      <c r="C214" s="1" t="s">
        <v>2091</v>
      </c>
      <c r="D214" s="1" t="s">
        <v>20</v>
      </c>
      <c r="E214" s="250">
        <v>8510.02</v>
      </c>
    </row>
    <row r="215" spans="2:5" x14ac:dyDescent="0.35">
      <c r="C215" s="1" t="s">
        <v>2090</v>
      </c>
      <c r="D215" s="1" t="s">
        <v>20</v>
      </c>
      <c r="E215" s="250">
        <v>8510.0300000000007</v>
      </c>
    </row>
    <row r="216" spans="2:5" x14ac:dyDescent="0.35">
      <c r="C216" s="1" t="s">
        <v>2089</v>
      </c>
      <c r="D216" s="1" t="s">
        <v>20</v>
      </c>
      <c r="E216" s="250">
        <v>8510.0400000000009</v>
      </c>
    </row>
    <row r="217" spans="2:5" x14ac:dyDescent="0.35">
      <c r="C217" s="1" t="s">
        <v>2088</v>
      </c>
      <c r="D217" s="1" t="s">
        <v>18</v>
      </c>
      <c r="E217" s="250">
        <v>8510.0450000000001</v>
      </c>
    </row>
    <row r="218" spans="2:5" x14ac:dyDescent="0.35">
      <c r="C218" s="1" t="s">
        <v>2087</v>
      </c>
      <c r="D218" s="1" t="s">
        <v>18</v>
      </c>
      <c r="E218" s="250">
        <v>8510.0460000000003</v>
      </c>
    </row>
    <row r="219" spans="2:5" x14ac:dyDescent="0.35">
      <c r="C219" s="1" t="s">
        <v>2086</v>
      </c>
      <c r="D219" s="1" t="s">
        <v>18</v>
      </c>
      <c r="E219" s="250">
        <v>8510.0470000000005</v>
      </c>
    </row>
    <row r="220" spans="2:5" x14ac:dyDescent="0.35">
      <c r="C220" s="1" t="s">
        <v>2085</v>
      </c>
      <c r="D220" s="1" t="s">
        <v>18</v>
      </c>
      <c r="E220" s="250">
        <v>8510.0480000000007</v>
      </c>
    </row>
    <row r="221" spans="2:5" x14ac:dyDescent="0.35">
      <c r="C221" s="1" t="s">
        <v>2084</v>
      </c>
      <c r="D221" s="1" t="s">
        <v>18</v>
      </c>
      <c r="E221" s="250">
        <v>8520.01</v>
      </c>
    </row>
    <row r="222" spans="2:5" x14ac:dyDescent="0.35">
      <c r="C222" s="1" t="s">
        <v>2083</v>
      </c>
      <c r="D222" s="1" t="s">
        <v>18</v>
      </c>
      <c r="E222" s="250">
        <v>8520.0110000000004</v>
      </c>
    </row>
    <row r="223" spans="2:5" x14ac:dyDescent="0.35">
      <c r="C223" s="1" t="s">
        <v>2082</v>
      </c>
      <c r="D223" s="1" t="s">
        <v>18</v>
      </c>
      <c r="E223" s="250">
        <v>8520.0120000000006</v>
      </c>
    </row>
    <row r="224" spans="2:5" x14ac:dyDescent="0.35">
      <c r="C224" s="1" t="s">
        <v>2081</v>
      </c>
      <c r="D224" s="1" t="s">
        <v>18</v>
      </c>
      <c r="E224" s="250">
        <v>8520.0130000000008</v>
      </c>
    </row>
    <row r="225" spans="3:5" x14ac:dyDescent="0.35">
      <c r="C225" s="1" t="s">
        <v>2080</v>
      </c>
      <c r="D225" s="1" t="s">
        <v>18</v>
      </c>
      <c r="E225" s="250">
        <v>8520.0139999999992</v>
      </c>
    </row>
    <row r="226" spans="3:5" x14ac:dyDescent="0.35">
      <c r="C226" s="1" t="s">
        <v>2079</v>
      </c>
      <c r="D226" s="1" t="s">
        <v>18</v>
      </c>
      <c r="E226" s="250">
        <v>8520.0149999999994</v>
      </c>
    </row>
    <row r="227" spans="3:5" x14ac:dyDescent="0.35">
      <c r="C227" s="1" t="s">
        <v>2078</v>
      </c>
      <c r="D227" s="1" t="s">
        <v>18</v>
      </c>
      <c r="E227" s="250">
        <v>8520.0159999999996</v>
      </c>
    </row>
    <row r="228" spans="3:5" x14ac:dyDescent="0.35">
      <c r="C228" s="1" t="s">
        <v>2077</v>
      </c>
      <c r="D228" s="1" t="s">
        <v>18</v>
      </c>
      <c r="E228" s="250">
        <v>8520.0169999999998</v>
      </c>
    </row>
    <row r="229" spans="3:5" x14ac:dyDescent="0.35">
      <c r="C229" s="1" t="s">
        <v>2076</v>
      </c>
      <c r="D229" s="1" t="s">
        <v>18</v>
      </c>
      <c r="E229" s="250">
        <v>8520.018</v>
      </c>
    </row>
    <row r="230" spans="3:5" x14ac:dyDescent="0.35">
      <c r="C230" s="1" t="s">
        <v>2075</v>
      </c>
      <c r="D230" s="1" t="s">
        <v>18</v>
      </c>
      <c r="E230" s="250">
        <v>8520.1</v>
      </c>
    </row>
    <row r="231" spans="3:5" x14ac:dyDescent="0.35">
      <c r="C231" s="1" t="s">
        <v>2074</v>
      </c>
      <c r="D231" s="1" t="s">
        <v>18</v>
      </c>
      <c r="E231" s="250">
        <v>8520.11</v>
      </c>
    </row>
    <row r="232" spans="3:5" x14ac:dyDescent="0.35">
      <c r="C232" s="1" t="s">
        <v>2073</v>
      </c>
      <c r="D232" s="1" t="s">
        <v>18</v>
      </c>
      <c r="E232" s="250">
        <v>8520.1110000000008</v>
      </c>
    </row>
    <row r="233" spans="3:5" x14ac:dyDescent="0.35">
      <c r="C233" s="1" t="s">
        <v>2072</v>
      </c>
      <c r="D233" s="1" t="s">
        <v>18</v>
      </c>
      <c r="E233" s="250">
        <v>8520.1119999999992</v>
      </c>
    </row>
    <row r="234" spans="3:5" x14ac:dyDescent="0.35">
      <c r="C234" s="1" t="s">
        <v>2071</v>
      </c>
      <c r="D234" s="1" t="s">
        <v>18</v>
      </c>
      <c r="E234" s="250">
        <v>8520.1129999999994</v>
      </c>
    </row>
    <row r="235" spans="3:5" x14ac:dyDescent="0.35">
      <c r="C235" s="1" t="s">
        <v>2070</v>
      </c>
      <c r="D235" s="1" t="s">
        <v>18</v>
      </c>
      <c r="E235" s="250">
        <v>8520.1139999999996</v>
      </c>
    </row>
    <row r="236" spans="3:5" x14ac:dyDescent="0.35">
      <c r="C236" s="1" t="s">
        <v>2069</v>
      </c>
      <c r="D236" s="1" t="s">
        <v>18</v>
      </c>
      <c r="E236" s="250">
        <v>8520.1149999999998</v>
      </c>
    </row>
    <row r="237" spans="3:5" x14ac:dyDescent="0.35">
      <c r="C237" s="1" t="s">
        <v>2068</v>
      </c>
      <c r="D237" s="1" t="s">
        <v>18</v>
      </c>
      <c r="E237" s="250">
        <v>8520.116</v>
      </c>
    </row>
    <row r="238" spans="3:5" x14ac:dyDescent="0.35">
      <c r="C238" s="1" t="s">
        <v>2067</v>
      </c>
      <c r="D238" s="1" t="s">
        <v>18</v>
      </c>
      <c r="E238" s="250">
        <v>8520.1170000000002</v>
      </c>
    </row>
    <row r="239" spans="3:5" x14ac:dyDescent="0.35">
      <c r="C239" s="1" t="s">
        <v>2066</v>
      </c>
      <c r="D239" s="1" t="s">
        <v>18</v>
      </c>
      <c r="E239" s="250">
        <v>8520.1180000000004</v>
      </c>
    </row>
    <row r="240" spans="3:5" x14ac:dyDescent="0.35">
      <c r="C240" s="1" t="s">
        <v>2065</v>
      </c>
      <c r="D240" s="1" t="s">
        <v>18</v>
      </c>
      <c r="E240" s="250">
        <v>8520.2000000000007</v>
      </c>
    </row>
    <row r="241" spans="3:5" x14ac:dyDescent="0.35">
      <c r="C241" s="1" t="s">
        <v>2064</v>
      </c>
      <c r="D241" s="1" t="s">
        <v>18</v>
      </c>
      <c r="E241" s="250">
        <v>8540.01</v>
      </c>
    </row>
    <row r="242" spans="3:5" x14ac:dyDescent="0.35">
      <c r="C242" s="1" t="s">
        <v>2063</v>
      </c>
      <c r="D242" s="1" t="s">
        <v>18</v>
      </c>
      <c r="E242" s="250">
        <v>8540.0110000000004</v>
      </c>
    </row>
    <row r="243" spans="3:5" x14ac:dyDescent="0.35">
      <c r="C243" s="1" t="s">
        <v>2062</v>
      </c>
      <c r="D243" s="1" t="s">
        <v>18</v>
      </c>
      <c r="E243" s="250">
        <v>8540.0120000000006</v>
      </c>
    </row>
    <row r="244" spans="3:5" x14ac:dyDescent="0.35">
      <c r="C244" s="1" t="s">
        <v>2061</v>
      </c>
      <c r="D244" s="1" t="s">
        <v>18</v>
      </c>
      <c r="E244" s="250">
        <v>8540.0130000000008</v>
      </c>
    </row>
    <row r="245" spans="3:5" x14ac:dyDescent="0.35">
      <c r="C245" s="1" t="s">
        <v>2060</v>
      </c>
      <c r="D245" s="1" t="s">
        <v>18</v>
      </c>
      <c r="E245" s="250">
        <v>8540.0139999999992</v>
      </c>
    </row>
    <row r="246" spans="3:5" x14ac:dyDescent="0.35">
      <c r="C246" s="1" t="s">
        <v>2059</v>
      </c>
      <c r="D246" s="1" t="s">
        <v>18</v>
      </c>
      <c r="E246" s="250">
        <v>8540.0149999999994</v>
      </c>
    </row>
    <row r="247" spans="3:5" x14ac:dyDescent="0.35">
      <c r="C247" s="1" t="s">
        <v>2058</v>
      </c>
      <c r="D247" s="1" t="s">
        <v>18</v>
      </c>
      <c r="E247" s="250">
        <v>8540.0159999999996</v>
      </c>
    </row>
    <row r="248" spans="3:5" x14ac:dyDescent="0.35">
      <c r="C248" s="1" t="s">
        <v>2057</v>
      </c>
      <c r="D248" s="1" t="s">
        <v>18</v>
      </c>
      <c r="E248" s="250">
        <v>8540.0169999999998</v>
      </c>
    </row>
    <row r="249" spans="3:5" x14ac:dyDescent="0.35">
      <c r="C249" s="1" t="s">
        <v>2056</v>
      </c>
      <c r="D249" s="1" t="s">
        <v>18</v>
      </c>
      <c r="E249" s="250">
        <v>8540.018</v>
      </c>
    </row>
    <row r="250" spans="3:5" x14ac:dyDescent="0.35">
      <c r="C250" s="1" t="s">
        <v>2055</v>
      </c>
      <c r="D250" s="1" t="s">
        <v>18</v>
      </c>
      <c r="E250" s="250">
        <v>8540.1</v>
      </c>
    </row>
    <row r="251" spans="3:5" x14ac:dyDescent="0.35">
      <c r="C251" s="1" t="s">
        <v>2054</v>
      </c>
      <c r="D251" s="1" t="s">
        <v>18</v>
      </c>
      <c r="E251" s="250">
        <v>8550.01</v>
      </c>
    </row>
    <row r="252" spans="3:5" x14ac:dyDescent="0.35">
      <c r="C252" s="1" t="s">
        <v>2053</v>
      </c>
      <c r="D252" s="1" t="s">
        <v>18</v>
      </c>
      <c r="E252" s="250">
        <v>8550.0110000000004</v>
      </c>
    </row>
    <row r="253" spans="3:5" x14ac:dyDescent="0.35">
      <c r="C253" s="1" t="s">
        <v>2052</v>
      </c>
      <c r="D253" s="1" t="s">
        <v>18</v>
      </c>
      <c r="E253" s="250">
        <v>8550.0120000000006</v>
      </c>
    </row>
    <row r="254" spans="3:5" x14ac:dyDescent="0.35">
      <c r="C254" s="1" t="s">
        <v>2051</v>
      </c>
      <c r="D254" s="1" t="s">
        <v>18</v>
      </c>
      <c r="E254" s="250">
        <v>8550.0130000000008</v>
      </c>
    </row>
    <row r="255" spans="3:5" x14ac:dyDescent="0.35">
      <c r="C255" s="1" t="s">
        <v>2050</v>
      </c>
      <c r="D255" s="1" t="s">
        <v>18</v>
      </c>
      <c r="E255" s="250">
        <v>8550.0139999999992</v>
      </c>
    </row>
    <row r="256" spans="3:5" x14ac:dyDescent="0.35">
      <c r="C256" s="1" t="s">
        <v>2049</v>
      </c>
      <c r="D256" s="1" t="s">
        <v>18</v>
      </c>
      <c r="E256" s="250">
        <v>8550.0149999999994</v>
      </c>
    </row>
    <row r="257" spans="3:5" x14ac:dyDescent="0.35">
      <c r="C257" s="1" t="s">
        <v>2048</v>
      </c>
      <c r="D257" s="1" t="s">
        <v>18</v>
      </c>
      <c r="E257" s="250">
        <v>8550.0159999999996</v>
      </c>
    </row>
    <row r="258" spans="3:5" x14ac:dyDescent="0.35">
      <c r="C258" s="1" t="s">
        <v>2047</v>
      </c>
      <c r="D258" s="1" t="s">
        <v>18</v>
      </c>
      <c r="E258" s="250">
        <v>8550.0169999999998</v>
      </c>
    </row>
    <row r="259" spans="3:5" x14ac:dyDescent="0.35">
      <c r="C259" s="1" t="s">
        <v>2046</v>
      </c>
      <c r="D259" s="1" t="s">
        <v>18</v>
      </c>
      <c r="E259" s="250">
        <v>8550.1</v>
      </c>
    </row>
    <row r="260" spans="3:5" x14ac:dyDescent="0.35">
      <c r="C260" s="1" t="s">
        <v>2045</v>
      </c>
      <c r="D260" s="1" t="s">
        <v>18</v>
      </c>
      <c r="E260" s="250">
        <v>8550.11</v>
      </c>
    </row>
    <row r="261" spans="3:5" x14ac:dyDescent="0.35">
      <c r="C261" s="1" t="s">
        <v>2044</v>
      </c>
      <c r="D261" s="1" t="s">
        <v>18</v>
      </c>
      <c r="E261" s="250">
        <v>8550.1110000000008</v>
      </c>
    </row>
    <row r="262" spans="3:5" x14ac:dyDescent="0.35">
      <c r="C262" s="1" t="s">
        <v>2043</v>
      </c>
      <c r="D262" s="1" t="s">
        <v>18</v>
      </c>
      <c r="E262" s="250">
        <v>8550.1119999999992</v>
      </c>
    </row>
    <row r="263" spans="3:5" x14ac:dyDescent="0.35">
      <c r="C263" s="1" t="s">
        <v>2042</v>
      </c>
      <c r="D263" s="1" t="s">
        <v>18</v>
      </c>
      <c r="E263" s="250">
        <v>8550.1129999999994</v>
      </c>
    </row>
    <row r="264" spans="3:5" x14ac:dyDescent="0.35">
      <c r="C264" s="1" t="s">
        <v>2041</v>
      </c>
      <c r="D264" s="1" t="s">
        <v>18</v>
      </c>
      <c r="E264" s="250">
        <v>8550.1139999999996</v>
      </c>
    </row>
    <row r="265" spans="3:5" x14ac:dyDescent="0.35">
      <c r="C265" s="1" t="s">
        <v>2040</v>
      </c>
      <c r="D265" s="1" t="s">
        <v>18</v>
      </c>
      <c r="E265" s="250">
        <v>8550.1149999999998</v>
      </c>
    </row>
    <row r="266" spans="3:5" x14ac:dyDescent="0.35">
      <c r="C266" s="1" t="s">
        <v>2039</v>
      </c>
      <c r="D266" s="1" t="s">
        <v>18</v>
      </c>
      <c r="E266" s="250">
        <v>8550.116</v>
      </c>
    </row>
    <row r="267" spans="3:5" x14ac:dyDescent="0.35">
      <c r="C267" s="1" t="s">
        <v>2038</v>
      </c>
      <c r="D267" s="1" t="s">
        <v>18</v>
      </c>
      <c r="E267" s="250">
        <v>8550.1170000000002</v>
      </c>
    </row>
    <row r="268" spans="3:5" x14ac:dyDescent="0.35">
      <c r="C268" s="1" t="s">
        <v>2037</v>
      </c>
      <c r="D268" s="1" t="s">
        <v>18</v>
      </c>
      <c r="E268" s="250">
        <v>8550.1180000000004</v>
      </c>
    </row>
    <row r="269" spans="3:5" x14ac:dyDescent="0.35">
      <c r="C269" s="1" t="s">
        <v>2036</v>
      </c>
      <c r="D269" s="1" t="s">
        <v>18</v>
      </c>
      <c r="E269" s="250">
        <v>8550.2000000000007</v>
      </c>
    </row>
    <row r="270" spans="3:5" x14ac:dyDescent="0.35">
      <c r="C270" s="1" t="s">
        <v>2035</v>
      </c>
      <c r="D270" s="1" t="s">
        <v>18</v>
      </c>
      <c r="E270" s="250">
        <v>8550.2999999999993</v>
      </c>
    </row>
    <row r="271" spans="3:5" x14ac:dyDescent="0.35">
      <c r="C271" s="1" t="s">
        <v>2034</v>
      </c>
      <c r="D271" s="1" t="s">
        <v>18</v>
      </c>
      <c r="E271" s="250">
        <v>8550.4</v>
      </c>
    </row>
    <row r="272" spans="3:5" x14ac:dyDescent="0.35">
      <c r="C272" s="1" t="s">
        <v>2033</v>
      </c>
      <c r="D272" s="1" t="s">
        <v>18</v>
      </c>
      <c r="E272" s="250">
        <v>8550.4009999999998</v>
      </c>
    </row>
    <row r="273" spans="3:5" x14ac:dyDescent="0.35">
      <c r="C273" s="1" t="s">
        <v>2032</v>
      </c>
      <c r="D273" s="1" t="s">
        <v>18</v>
      </c>
      <c r="E273" s="250">
        <v>8550.402</v>
      </c>
    </row>
    <row r="274" spans="3:5" x14ac:dyDescent="0.35">
      <c r="C274" s="1" t="s">
        <v>2031</v>
      </c>
      <c r="D274" s="1" t="s">
        <v>18</v>
      </c>
      <c r="E274" s="250">
        <v>8550.4030000000002</v>
      </c>
    </row>
    <row r="275" spans="3:5" x14ac:dyDescent="0.35">
      <c r="C275" s="1" t="s">
        <v>2030</v>
      </c>
      <c r="D275" s="1" t="s">
        <v>18</v>
      </c>
      <c r="E275" s="250">
        <v>8550.4040000000005</v>
      </c>
    </row>
    <row r="276" spans="3:5" x14ac:dyDescent="0.35">
      <c r="C276" s="1" t="s">
        <v>2029</v>
      </c>
      <c r="D276" s="1" t="s">
        <v>18</v>
      </c>
      <c r="E276" s="250">
        <v>8550.4050000000007</v>
      </c>
    </row>
    <row r="277" spans="3:5" x14ac:dyDescent="0.35">
      <c r="C277" s="1" t="s">
        <v>2028</v>
      </c>
      <c r="D277" s="1" t="s">
        <v>18</v>
      </c>
      <c r="E277" s="250">
        <v>8550.4060000000009</v>
      </c>
    </row>
    <row r="278" spans="3:5" x14ac:dyDescent="0.35">
      <c r="C278" s="1" t="s">
        <v>2027</v>
      </c>
      <c r="D278" s="1" t="s">
        <v>18</v>
      </c>
      <c r="E278" s="250">
        <v>8550.4069999999992</v>
      </c>
    </row>
    <row r="279" spans="3:5" x14ac:dyDescent="0.35">
      <c r="C279" s="1" t="s">
        <v>2026</v>
      </c>
      <c r="D279" s="1" t="s">
        <v>18</v>
      </c>
      <c r="E279" s="250">
        <v>8550.4079999999994</v>
      </c>
    </row>
    <row r="280" spans="3:5" x14ac:dyDescent="0.35">
      <c r="C280" s="1" t="s">
        <v>2025</v>
      </c>
      <c r="D280" s="1" t="s">
        <v>18</v>
      </c>
      <c r="E280" s="250">
        <v>8580.01</v>
      </c>
    </row>
    <row r="281" spans="3:5" x14ac:dyDescent="0.35">
      <c r="C281" s="1" t="s">
        <v>2024</v>
      </c>
      <c r="D281" s="1" t="s">
        <v>18</v>
      </c>
      <c r="E281" s="250">
        <v>8580.02</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6DD0C780-DE5D-4E0F-8607-15F76E4F2D4C}">
      <formula1>$C$205:$C207</formula1>
    </dataValidation>
  </dataValidations>
  <hyperlinks>
    <hyperlink ref="D3" r:id="rId1" display="datamateapp@gmail.com" xr:uid="{CA899199-F840-4F17-87DE-B4D2CEB3752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58762" r:id="rId4" name="Button 10">
              <controlPr defaultSize="0" print="0" autoFill="0" autoPict="0" macro="[0]!ExitSEC_085000">
                <anchor moveWithCells="1" sizeWithCells="1">
                  <from>
                    <xdr:col>16</xdr:col>
                    <xdr:colOff>209550</xdr:colOff>
                    <xdr:row>0</xdr:row>
                    <xdr:rowOff>0</xdr:rowOff>
                  </from>
                  <to>
                    <xdr:col>16</xdr:col>
                    <xdr:colOff>1479550</xdr:colOff>
                    <xdr:row>2</xdr:row>
                    <xdr:rowOff>12700</xdr:rowOff>
                  </to>
                </anchor>
              </controlPr>
            </control>
          </mc:Choice>
        </mc:AlternateContent>
        <mc:AlternateContent xmlns:mc="http://schemas.openxmlformats.org/markup-compatibility/2006">
          <mc:Choice Requires="x14">
            <control shapeId="458789" r:id="rId5" name="Button 37">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458790" r:id="rId6" name="Button 38">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458791" r:id="rId7" name="Button 39">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458792" r:id="rId8" name="Button 40">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458793" r:id="rId9" name="Button 41">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458794" r:id="rId10" name="Button 42">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458795" r:id="rId11" name="Button 43">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458796" r:id="rId12" name="Button 44">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22B385-F770-4B3F-8099-BC3918D7A1EE}">
  <sheetPr codeName="Sheet108"/>
  <dimension ref="A1:Q221"/>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ROOF WINDOWS AND SKYLIGHTS</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08 60 00</v>
      </c>
      <c r="C10" s="24" t="str">
        <f>C206</f>
        <v>ROOF WINDOWS AND SKYLIGHTS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ROOF WINDOWS AND SKYLIGHTS</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14526</v>
      </c>
      <c r="C206" s="82" t="s">
        <v>14527</v>
      </c>
      <c r="D206" s="1"/>
      <c r="E206" s="1"/>
      <c r="F206" s="1"/>
      <c r="G206" s="1"/>
      <c r="H206" s="1"/>
      <c r="I206" s="1"/>
      <c r="J206" s="1"/>
      <c r="K206" s="1"/>
      <c r="L206" s="1"/>
      <c r="M206" s="1"/>
      <c r="N206" s="1"/>
      <c r="O206" s="1"/>
      <c r="P206" s="1"/>
      <c r="Q206" s="1"/>
    </row>
    <row r="207" spans="2:17" x14ac:dyDescent="0.35">
      <c r="B207" s="49" t="s">
        <v>14528</v>
      </c>
      <c r="C207" s="53" t="s">
        <v>14529</v>
      </c>
      <c r="D207" s="1"/>
      <c r="E207" s="1"/>
      <c r="F207" s="1"/>
      <c r="G207" s="1"/>
      <c r="H207" s="1"/>
      <c r="I207" s="1"/>
      <c r="J207" s="1"/>
      <c r="K207" s="1"/>
      <c r="L207" s="1"/>
      <c r="M207" s="1"/>
      <c r="N207" s="1"/>
      <c r="O207" s="1"/>
      <c r="P207" s="1"/>
      <c r="Q207" s="1"/>
    </row>
    <row r="208" spans="2:17" x14ac:dyDescent="0.35">
      <c r="B208" s="49" t="s">
        <v>14530</v>
      </c>
      <c r="C208" s="53" t="s">
        <v>14531</v>
      </c>
    </row>
    <row r="209" spans="2:5" x14ac:dyDescent="0.35">
      <c r="B209" s="49" t="s">
        <v>14532</v>
      </c>
      <c r="C209" s="53" t="s">
        <v>14533</v>
      </c>
    </row>
    <row r="210" spans="2:5" x14ac:dyDescent="0.35">
      <c r="B210" s="49" t="s">
        <v>14534</v>
      </c>
      <c r="C210" s="53" t="s">
        <v>14535</v>
      </c>
    </row>
    <row r="211" spans="2:5" x14ac:dyDescent="0.35">
      <c r="B211" s="49" t="s">
        <v>14536</v>
      </c>
      <c r="C211" s="53" t="s">
        <v>14537</v>
      </c>
    </row>
    <row r="212" spans="2:5" x14ac:dyDescent="0.35">
      <c r="B212" s="49" t="s">
        <v>14538</v>
      </c>
      <c r="C212" s="53" t="s">
        <v>14539</v>
      </c>
    </row>
    <row r="213" spans="2:5" x14ac:dyDescent="0.35">
      <c r="C213" s="1" t="s">
        <v>2023</v>
      </c>
      <c r="D213" s="1" t="s">
        <v>20</v>
      </c>
      <c r="E213" s="250">
        <v>8620.01</v>
      </c>
    </row>
    <row r="214" spans="2:5" x14ac:dyDescent="0.35">
      <c r="C214" s="1" t="s">
        <v>2022</v>
      </c>
      <c r="D214" s="1" t="s">
        <v>20</v>
      </c>
      <c r="E214" s="250">
        <v>8620.0110000000004</v>
      </c>
    </row>
    <row r="215" spans="2:5" x14ac:dyDescent="0.35">
      <c r="C215" s="1" t="s">
        <v>2021</v>
      </c>
      <c r="D215" s="1" t="s">
        <v>18</v>
      </c>
      <c r="E215" s="250">
        <v>8620.0149999999994</v>
      </c>
    </row>
    <row r="216" spans="2:5" x14ac:dyDescent="0.35">
      <c r="C216" s="1" t="s">
        <v>2020</v>
      </c>
      <c r="D216" s="1" t="s">
        <v>20</v>
      </c>
      <c r="E216" s="250">
        <v>8620.02</v>
      </c>
    </row>
    <row r="217" spans="2:5" x14ac:dyDescent="0.35">
      <c r="C217" s="1" t="s">
        <v>2019</v>
      </c>
      <c r="D217" s="1" t="s">
        <v>20</v>
      </c>
      <c r="E217" s="250">
        <v>8620.0300000000007</v>
      </c>
    </row>
    <row r="218" spans="2:5" x14ac:dyDescent="0.35">
      <c r="C218" s="1" t="s">
        <v>2018</v>
      </c>
      <c r="D218" s="1" t="s">
        <v>20</v>
      </c>
      <c r="E218" s="250">
        <v>8620.0400000000009</v>
      </c>
    </row>
    <row r="219" spans="2:5" x14ac:dyDescent="0.35">
      <c r="C219" s="1" t="s">
        <v>2016</v>
      </c>
      <c r="D219" s="1" t="s">
        <v>20</v>
      </c>
      <c r="E219" s="250">
        <v>8630.01</v>
      </c>
    </row>
    <row r="220" spans="2:5" x14ac:dyDescent="0.35">
      <c r="C220" s="1" t="s">
        <v>2017</v>
      </c>
      <c r="D220" s="1" t="s">
        <v>20</v>
      </c>
      <c r="E220" s="250">
        <v>8630.0149999999994</v>
      </c>
    </row>
    <row r="221" spans="2:5" x14ac:dyDescent="0.35">
      <c r="C221" s="1" t="s">
        <v>2016</v>
      </c>
      <c r="D221" s="1" t="s">
        <v>20</v>
      </c>
      <c r="E221" s="250">
        <v>8630.02</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9ECD23EC-2D82-425A-8000-67C6916BBB83}">
      <formula1>$C$205:$C207</formula1>
    </dataValidation>
  </dataValidations>
  <hyperlinks>
    <hyperlink ref="D3" r:id="rId1" display="datamateapp@gmail.com" xr:uid="{C8287256-BAA4-4E1B-B5CE-4138456C1307}"/>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59786" r:id="rId4" name="Button 10">
              <controlPr defaultSize="0" print="0" autoFill="0" autoPict="0" macro="[0]!ExitSEC_086000">
                <anchor moveWithCells="1" sizeWithCells="1">
                  <from>
                    <xdr:col>16</xdr:col>
                    <xdr:colOff>209550</xdr:colOff>
                    <xdr:row>0</xdr:row>
                    <xdr:rowOff>0</xdr:rowOff>
                  </from>
                  <to>
                    <xdr:col>16</xdr:col>
                    <xdr:colOff>1479550</xdr:colOff>
                    <xdr:row>2</xdr:row>
                    <xdr:rowOff>12700</xdr:rowOff>
                  </to>
                </anchor>
              </controlPr>
            </control>
          </mc:Choice>
        </mc:AlternateContent>
        <mc:AlternateContent xmlns:mc="http://schemas.openxmlformats.org/markup-compatibility/2006">
          <mc:Choice Requires="x14">
            <control shapeId="459822" r:id="rId5" name="Button 46">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459823" r:id="rId6" name="Button 47">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459824" r:id="rId7" name="Button 48">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459825" r:id="rId8" name="Button 49">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459826" r:id="rId9" name="Button 50">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459827" r:id="rId10" name="Button 51">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459828" r:id="rId11" name="Button 52">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459829" r:id="rId12" name="Button 53">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3F191-F3E5-48A0-9B8A-A76924486884}">
  <sheetPr codeName="Sheet109"/>
  <dimension ref="A1:Q285"/>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HARDWARE</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08 70 00</v>
      </c>
      <c r="C10" s="24" t="str">
        <f>C206</f>
        <v>HARDWARE</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HARDWARE</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14540</v>
      </c>
      <c r="C206" s="251" t="s">
        <v>14541</v>
      </c>
      <c r="D206" s="1"/>
      <c r="E206" s="1"/>
      <c r="F206" s="1"/>
      <c r="G206" s="1"/>
      <c r="H206" s="1"/>
      <c r="I206" s="1"/>
      <c r="J206" s="1"/>
      <c r="K206" s="1"/>
      <c r="L206" s="1"/>
      <c r="M206" s="1"/>
      <c r="N206" s="1"/>
      <c r="O206" s="1"/>
      <c r="P206" s="1"/>
      <c r="Q206" s="1"/>
    </row>
    <row r="207" spans="2:17" x14ac:dyDescent="0.35">
      <c r="B207" s="49" t="s">
        <v>14542</v>
      </c>
      <c r="C207" s="53" t="s">
        <v>14543</v>
      </c>
      <c r="D207" s="1"/>
      <c r="E207" s="1"/>
      <c r="F207" s="1"/>
      <c r="G207" s="1"/>
      <c r="H207" s="1"/>
      <c r="I207" s="1"/>
      <c r="J207" s="1"/>
      <c r="K207" s="1"/>
      <c r="L207" s="1"/>
      <c r="M207" s="1"/>
      <c r="N207" s="1"/>
      <c r="O207" s="1"/>
      <c r="P207" s="1"/>
      <c r="Q207" s="1"/>
    </row>
    <row r="208" spans="2:17" x14ac:dyDescent="0.35">
      <c r="B208" s="49" t="s">
        <v>14544</v>
      </c>
      <c r="C208" s="53" t="s">
        <v>14545</v>
      </c>
    </row>
    <row r="209" spans="2:5" x14ac:dyDescent="0.35">
      <c r="B209" s="49" t="s">
        <v>14546</v>
      </c>
      <c r="C209" s="53" t="s">
        <v>14547</v>
      </c>
    </row>
    <row r="210" spans="2:5" x14ac:dyDescent="0.35">
      <c r="B210" s="49" t="s">
        <v>14548</v>
      </c>
      <c r="C210" s="53" t="s">
        <v>14549</v>
      </c>
    </row>
    <row r="211" spans="2:5" x14ac:dyDescent="0.35">
      <c r="B211" s="49" t="s">
        <v>14550</v>
      </c>
      <c r="C211" s="53" t="s">
        <v>14551</v>
      </c>
    </row>
    <row r="212" spans="2:5" x14ac:dyDescent="0.35">
      <c r="C212" s="1" t="s">
        <v>2015</v>
      </c>
      <c r="D212" s="1" t="s">
        <v>18</v>
      </c>
      <c r="E212" s="250">
        <v>8710.01</v>
      </c>
    </row>
    <row r="213" spans="2:5" x14ac:dyDescent="0.35">
      <c r="C213" s="1" t="s">
        <v>2014</v>
      </c>
      <c r="D213" s="1" t="s">
        <v>18</v>
      </c>
      <c r="E213" s="250">
        <v>8710.02</v>
      </c>
    </row>
    <row r="214" spans="2:5" x14ac:dyDescent="0.35">
      <c r="C214" s="1" t="s">
        <v>2013</v>
      </c>
      <c r="D214" s="1" t="s">
        <v>18</v>
      </c>
      <c r="E214" s="250">
        <v>8710.0300000000007</v>
      </c>
    </row>
    <row r="215" spans="2:5" x14ac:dyDescent="0.35">
      <c r="C215" s="1" t="s">
        <v>2012</v>
      </c>
      <c r="D215" s="1" t="s">
        <v>18</v>
      </c>
      <c r="E215" s="250">
        <v>8710.0400000000009</v>
      </c>
    </row>
    <row r="216" spans="2:5" x14ac:dyDescent="0.35">
      <c r="C216" s="1" t="s">
        <v>2011</v>
      </c>
      <c r="D216" s="1" t="s">
        <v>18</v>
      </c>
      <c r="E216" s="250">
        <v>8710.0499999999993</v>
      </c>
    </row>
    <row r="217" spans="2:5" x14ac:dyDescent="0.35">
      <c r="C217" s="1" t="s">
        <v>2010</v>
      </c>
      <c r="D217" s="1" t="s">
        <v>18</v>
      </c>
      <c r="E217" s="250">
        <v>8710.06</v>
      </c>
    </row>
    <row r="218" spans="2:5" x14ac:dyDescent="0.35">
      <c r="C218" s="1" t="s">
        <v>2009</v>
      </c>
      <c r="D218" s="1" t="s">
        <v>1684</v>
      </c>
      <c r="E218" s="250">
        <v>8710.1</v>
      </c>
    </row>
    <row r="219" spans="2:5" x14ac:dyDescent="0.35">
      <c r="C219" s="1" t="s">
        <v>2009</v>
      </c>
      <c r="D219" s="1" t="s">
        <v>1684</v>
      </c>
      <c r="E219" s="250">
        <v>8710.1010000000006</v>
      </c>
    </row>
    <row r="220" spans="2:5" x14ac:dyDescent="0.35">
      <c r="C220" s="1" t="s">
        <v>2009</v>
      </c>
      <c r="D220" s="1" t="s">
        <v>1684</v>
      </c>
      <c r="E220" s="250">
        <v>8710.1020000000008</v>
      </c>
    </row>
    <row r="221" spans="2:5" x14ac:dyDescent="0.35">
      <c r="C221" s="1" t="s">
        <v>2009</v>
      </c>
      <c r="D221" s="1" t="s">
        <v>1684</v>
      </c>
      <c r="E221" s="250">
        <v>8710.1029999999992</v>
      </c>
    </row>
    <row r="222" spans="2:5" x14ac:dyDescent="0.35">
      <c r="C222" s="1" t="s">
        <v>2009</v>
      </c>
      <c r="D222" s="1" t="s">
        <v>1684</v>
      </c>
      <c r="E222" s="250">
        <v>8710.1039999999994</v>
      </c>
    </row>
    <row r="223" spans="2:5" x14ac:dyDescent="0.35">
      <c r="C223" s="1" t="s">
        <v>2009</v>
      </c>
      <c r="D223" s="1" t="s">
        <v>1684</v>
      </c>
      <c r="E223" s="250">
        <v>8710.1049999999996</v>
      </c>
    </row>
    <row r="224" spans="2:5" x14ac:dyDescent="0.35">
      <c r="C224" s="1" t="s">
        <v>2009</v>
      </c>
      <c r="D224" s="1" t="s">
        <v>1684</v>
      </c>
      <c r="E224" s="250">
        <v>8710.1059999999998</v>
      </c>
    </row>
    <row r="225" spans="3:5" x14ac:dyDescent="0.35">
      <c r="C225" s="1" t="s">
        <v>2009</v>
      </c>
      <c r="D225" s="1" t="s">
        <v>1684</v>
      </c>
      <c r="E225" s="250">
        <v>8710.107</v>
      </c>
    </row>
    <row r="226" spans="3:5" x14ac:dyDescent="0.35">
      <c r="C226" s="1" t="s">
        <v>2009</v>
      </c>
      <c r="D226" s="1" t="s">
        <v>1684</v>
      </c>
      <c r="E226" s="250">
        <v>8710.1080000000002</v>
      </c>
    </row>
    <row r="227" spans="3:5" x14ac:dyDescent="0.35">
      <c r="C227" s="1" t="s">
        <v>2009</v>
      </c>
      <c r="D227" s="1" t="s">
        <v>2008</v>
      </c>
      <c r="E227" s="250">
        <v>8710.1090000000004</v>
      </c>
    </row>
    <row r="228" spans="3:5" x14ac:dyDescent="0.35">
      <c r="C228" s="1" t="s">
        <v>2007</v>
      </c>
      <c r="D228" s="1" t="s">
        <v>58</v>
      </c>
      <c r="E228" s="250">
        <v>8710.2009999999991</v>
      </c>
    </row>
    <row r="229" spans="3:5" x14ac:dyDescent="0.35">
      <c r="C229" s="1" t="s">
        <v>2006</v>
      </c>
      <c r="D229" s="1" t="s">
        <v>58</v>
      </c>
      <c r="E229" s="250">
        <v>8710.2019999999993</v>
      </c>
    </row>
    <row r="230" spans="3:5" x14ac:dyDescent="0.35">
      <c r="C230" s="1" t="s">
        <v>2005</v>
      </c>
      <c r="D230" s="1" t="s">
        <v>58</v>
      </c>
      <c r="E230" s="250">
        <v>8710.2029999999995</v>
      </c>
    </row>
    <row r="231" spans="3:5" x14ac:dyDescent="0.35">
      <c r="C231" s="1" t="s">
        <v>2004</v>
      </c>
      <c r="D231" s="1" t="s">
        <v>58</v>
      </c>
      <c r="E231" s="250">
        <v>8710.2039999999997</v>
      </c>
    </row>
    <row r="232" spans="3:5" x14ac:dyDescent="0.35">
      <c r="C232" s="1" t="s">
        <v>2003</v>
      </c>
      <c r="D232" s="1" t="s">
        <v>58</v>
      </c>
      <c r="E232" s="250">
        <v>8710.2049999999999</v>
      </c>
    </row>
    <row r="233" spans="3:5" x14ac:dyDescent="0.35">
      <c r="C233" s="1" t="s">
        <v>2002</v>
      </c>
      <c r="D233" s="1" t="s">
        <v>58</v>
      </c>
      <c r="E233" s="250">
        <v>8710.2060000000001</v>
      </c>
    </row>
    <row r="234" spans="3:5" x14ac:dyDescent="0.35">
      <c r="C234" s="1" t="s">
        <v>2001</v>
      </c>
      <c r="D234" s="1" t="s">
        <v>58</v>
      </c>
      <c r="E234" s="250">
        <v>8710.2199999999993</v>
      </c>
    </row>
    <row r="235" spans="3:5" x14ac:dyDescent="0.35">
      <c r="C235" s="1" t="s">
        <v>2000</v>
      </c>
      <c r="D235" s="1" t="s">
        <v>58</v>
      </c>
      <c r="E235" s="250">
        <v>8710.2209999999995</v>
      </c>
    </row>
    <row r="236" spans="3:5" x14ac:dyDescent="0.35">
      <c r="C236" s="1" t="s">
        <v>1999</v>
      </c>
      <c r="D236" s="1" t="s">
        <v>58</v>
      </c>
      <c r="E236" s="250">
        <v>8710.2219999999998</v>
      </c>
    </row>
    <row r="237" spans="3:5" x14ac:dyDescent="0.35">
      <c r="C237" s="1" t="s">
        <v>1998</v>
      </c>
      <c r="D237" s="1" t="s">
        <v>58</v>
      </c>
      <c r="E237" s="250">
        <v>8710.223</v>
      </c>
    </row>
    <row r="238" spans="3:5" x14ac:dyDescent="0.35">
      <c r="C238" s="1" t="s">
        <v>1997</v>
      </c>
      <c r="D238" s="1" t="s">
        <v>58</v>
      </c>
      <c r="E238" s="250">
        <v>8710.2240000000002</v>
      </c>
    </row>
    <row r="239" spans="3:5" x14ac:dyDescent="0.35">
      <c r="C239" s="1" t="s">
        <v>1996</v>
      </c>
      <c r="D239" s="1" t="s">
        <v>58</v>
      </c>
      <c r="E239" s="250">
        <v>8710.2250000000004</v>
      </c>
    </row>
    <row r="240" spans="3:5" x14ac:dyDescent="0.35">
      <c r="C240" s="1" t="s">
        <v>1995</v>
      </c>
      <c r="D240" s="1" t="s">
        <v>58</v>
      </c>
      <c r="E240" s="250">
        <v>8710.2260000000006</v>
      </c>
    </row>
    <row r="241" spans="3:5" x14ac:dyDescent="0.35">
      <c r="C241" s="1" t="s">
        <v>1994</v>
      </c>
      <c r="D241" s="1" t="s">
        <v>58</v>
      </c>
      <c r="E241" s="250">
        <v>8710.2270000000008</v>
      </c>
    </row>
    <row r="242" spans="3:5" x14ac:dyDescent="0.35">
      <c r="C242" s="1" t="s">
        <v>1993</v>
      </c>
      <c r="D242" s="1" t="s">
        <v>58</v>
      </c>
      <c r="E242" s="250">
        <v>8710.2279999999992</v>
      </c>
    </row>
    <row r="243" spans="3:5" x14ac:dyDescent="0.35">
      <c r="C243" s="1" t="s">
        <v>1992</v>
      </c>
      <c r="D243" s="1" t="s">
        <v>58</v>
      </c>
      <c r="E243" s="250">
        <v>8710.24</v>
      </c>
    </row>
    <row r="244" spans="3:5" x14ac:dyDescent="0.35">
      <c r="C244" s="1" t="s">
        <v>1991</v>
      </c>
      <c r="D244" s="1" t="s">
        <v>58</v>
      </c>
      <c r="E244" s="250">
        <v>8710.241</v>
      </c>
    </row>
    <row r="245" spans="3:5" x14ac:dyDescent="0.35">
      <c r="C245" s="1" t="s">
        <v>1990</v>
      </c>
      <c r="D245" s="1" t="s">
        <v>58</v>
      </c>
      <c r="E245" s="250">
        <v>8710.2420000000002</v>
      </c>
    </row>
    <row r="246" spans="3:5" x14ac:dyDescent="0.35">
      <c r="C246" s="1" t="s">
        <v>1989</v>
      </c>
      <c r="D246" s="1" t="s">
        <v>58</v>
      </c>
      <c r="E246" s="250">
        <v>8710.2430000000004</v>
      </c>
    </row>
    <row r="247" spans="3:5" x14ac:dyDescent="0.35">
      <c r="C247" s="1" t="s">
        <v>1988</v>
      </c>
      <c r="D247" s="1" t="s">
        <v>58</v>
      </c>
      <c r="E247" s="250">
        <v>8710.2440000000006</v>
      </c>
    </row>
    <row r="248" spans="3:5" x14ac:dyDescent="0.35">
      <c r="C248" s="1" t="s">
        <v>1987</v>
      </c>
      <c r="D248" s="1" t="s">
        <v>58</v>
      </c>
      <c r="E248" s="250">
        <v>8710.2450000000008</v>
      </c>
    </row>
    <row r="249" spans="3:5" x14ac:dyDescent="0.35">
      <c r="C249" s="1" t="s">
        <v>1986</v>
      </c>
      <c r="D249" s="1" t="s">
        <v>58</v>
      </c>
      <c r="E249" s="250">
        <v>8710.2459999999992</v>
      </c>
    </row>
    <row r="250" spans="3:5" x14ac:dyDescent="0.35">
      <c r="C250" s="1" t="s">
        <v>1985</v>
      </c>
      <c r="D250" s="1" t="s">
        <v>58</v>
      </c>
      <c r="E250" s="250">
        <v>8710.2469999999994</v>
      </c>
    </row>
    <row r="251" spans="3:5" x14ac:dyDescent="0.35">
      <c r="C251" s="1" t="s">
        <v>1984</v>
      </c>
      <c r="D251" s="1" t="s">
        <v>58</v>
      </c>
      <c r="E251" s="250">
        <v>8710.25</v>
      </c>
    </row>
    <row r="252" spans="3:5" x14ac:dyDescent="0.35">
      <c r="C252" s="1" t="s">
        <v>1983</v>
      </c>
      <c r="D252" s="1" t="s">
        <v>58</v>
      </c>
      <c r="E252" s="250">
        <v>8710.2510000000002</v>
      </c>
    </row>
    <row r="253" spans="3:5" x14ac:dyDescent="0.35">
      <c r="C253" s="1" t="s">
        <v>1982</v>
      </c>
      <c r="D253" s="1" t="s">
        <v>58</v>
      </c>
      <c r="E253" s="250">
        <v>8710.2520000000004</v>
      </c>
    </row>
    <row r="254" spans="3:5" x14ac:dyDescent="0.35">
      <c r="C254" s="1" t="s">
        <v>1981</v>
      </c>
      <c r="D254" s="1" t="s">
        <v>58</v>
      </c>
      <c r="E254" s="250">
        <v>8710.2530000000006</v>
      </c>
    </row>
    <row r="255" spans="3:5" x14ac:dyDescent="0.35">
      <c r="C255" s="1" t="s">
        <v>1980</v>
      </c>
      <c r="D255" s="1" t="s">
        <v>58</v>
      </c>
      <c r="E255" s="250">
        <v>8710.2540000000008</v>
      </c>
    </row>
    <row r="256" spans="3:5" x14ac:dyDescent="0.35">
      <c r="C256" s="1" t="s">
        <v>1979</v>
      </c>
      <c r="D256" s="1" t="s">
        <v>58</v>
      </c>
      <c r="E256" s="250">
        <v>8710.2549999999992</v>
      </c>
    </row>
    <row r="257" spans="3:5" x14ac:dyDescent="0.35">
      <c r="C257" s="1" t="s">
        <v>1978</v>
      </c>
      <c r="D257" s="1" t="s">
        <v>58</v>
      </c>
      <c r="E257" s="250">
        <v>8710.26</v>
      </c>
    </row>
    <row r="258" spans="3:5" x14ac:dyDescent="0.35">
      <c r="C258" s="1" t="s">
        <v>1977</v>
      </c>
      <c r="D258" s="1" t="s">
        <v>58</v>
      </c>
      <c r="E258" s="250">
        <v>8710.2610000000004</v>
      </c>
    </row>
    <row r="259" spans="3:5" x14ac:dyDescent="0.35">
      <c r="C259" s="1" t="s">
        <v>1976</v>
      </c>
      <c r="D259" s="1" t="s">
        <v>58</v>
      </c>
      <c r="E259" s="250">
        <v>8710.27</v>
      </c>
    </row>
    <row r="260" spans="3:5" x14ac:dyDescent="0.35">
      <c r="C260" s="1" t="s">
        <v>1975</v>
      </c>
      <c r="D260" s="1" t="s">
        <v>58</v>
      </c>
      <c r="E260" s="250">
        <v>8710.2710000000006</v>
      </c>
    </row>
    <row r="261" spans="3:5" x14ac:dyDescent="0.35">
      <c r="C261" s="1" t="s">
        <v>1974</v>
      </c>
      <c r="D261" s="1" t="s">
        <v>58</v>
      </c>
      <c r="E261" s="250">
        <v>8710.2720000000008</v>
      </c>
    </row>
    <row r="262" spans="3:5" x14ac:dyDescent="0.35">
      <c r="C262" s="1" t="s">
        <v>1973</v>
      </c>
      <c r="D262" s="1" t="s">
        <v>58</v>
      </c>
      <c r="E262" s="250">
        <v>8710.2729999999992</v>
      </c>
    </row>
    <row r="263" spans="3:5" x14ac:dyDescent="0.35">
      <c r="C263" s="1" t="s">
        <v>1972</v>
      </c>
      <c r="D263" s="1" t="s">
        <v>58</v>
      </c>
      <c r="E263" s="250">
        <v>8710.3009999999995</v>
      </c>
    </row>
    <row r="264" spans="3:5" x14ac:dyDescent="0.35">
      <c r="C264" s="1" t="s">
        <v>1971</v>
      </c>
      <c r="D264" s="1" t="s">
        <v>58</v>
      </c>
      <c r="E264" s="250">
        <v>8710.3109999999997</v>
      </c>
    </row>
    <row r="265" spans="3:5" x14ac:dyDescent="0.35">
      <c r="C265" s="1" t="s">
        <v>1970</v>
      </c>
      <c r="D265" s="1" t="s">
        <v>58</v>
      </c>
      <c r="E265" s="250">
        <v>8710.3119999999999</v>
      </c>
    </row>
    <row r="266" spans="3:5" x14ac:dyDescent="0.35">
      <c r="C266" s="1" t="s">
        <v>1969</v>
      </c>
      <c r="D266" s="1" t="s">
        <v>58</v>
      </c>
      <c r="E266" s="250">
        <v>8710.3130000000001</v>
      </c>
    </row>
    <row r="267" spans="3:5" x14ac:dyDescent="0.35">
      <c r="C267" s="1" t="s">
        <v>1968</v>
      </c>
      <c r="D267" s="1" t="s">
        <v>58</v>
      </c>
      <c r="E267" s="250">
        <v>8710.32</v>
      </c>
    </row>
    <row r="268" spans="3:5" x14ac:dyDescent="0.35">
      <c r="C268" s="1" t="s">
        <v>1967</v>
      </c>
      <c r="D268" s="1" t="s">
        <v>58</v>
      </c>
      <c r="E268" s="250">
        <v>8710.3310000000001</v>
      </c>
    </row>
    <row r="269" spans="3:5" x14ac:dyDescent="0.35">
      <c r="C269" s="1" t="s">
        <v>1966</v>
      </c>
      <c r="D269" s="1" t="s">
        <v>58</v>
      </c>
      <c r="E269" s="250">
        <v>8710.3320000000003</v>
      </c>
    </row>
    <row r="270" spans="3:5" x14ac:dyDescent="0.35">
      <c r="C270" s="1" t="s">
        <v>1965</v>
      </c>
      <c r="D270" s="1" t="s">
        <v>58</v>
      </c>
      <c r="E270" s="250">
        <v>8710.3379999999997</v>
      </c>
    </row>
    <row r="271" spans="3:5" x14ac:dyDescent="0.35">
      <c r="C271" s="1" t="s">
        <v>1964</v>
      </c>
      <c r="D271" s="1" t="s">
        <v>18</v>
      </c>
      <c r="E271" s="250">
        <v>8720.01</v>
      </c>
    </row>
    <row r="272" spans="3:5" x14ac:dyDescent="0.35">
      <c r="C272" s="1" t="s">
        <v>1963</v>
      </c>
      <c r="D272" s="1" t="s">
        <v>18</v>
      </c>
      <c r="E272" s="250">
        <v>8720.02</v>
      </c>
    </row>
    <row r="273" spans="3:5" x14ac:dyDescent="0.35">
      <c r="C273" s="1" t="s">
        <v>1962</v>
      </c>
      <c r="D273" s="1" t="s">
        <v>58</v>
      </c>
      <c r="E273" s="250">
        <v>8720.0210000000006</v>
      </c>
    </row>
    <row r="274" spans="3:5" x14ac:dyDescent="0.35">
      <c r="C274" s="1" t="s">
        <v>1961</v>
      </c>
      <c r="D274" s="1" t="s">
        <v>58</v>
      </c>
      <c r="E274" s="250">
        <v>8720.0220000000008</v>
      </c>
    </row>
    <row r="275" spans="3:5" x14ac:dyDescent="0.35">
      <c r="C275" s="1" t="s">
        <v>1960</v>
      </c>
      <c r="D275" s="1" t="s">
        <v>58</v>
      </c>
      <c r="E275" s="250">
        <v>8720.0229999999992</v>
      </c>
    </row>
    <row r="276" spans="3:5" x14ac:dyDescent="0.35">
      <c r="C276" s="1" t="s">
        <v>1959</v>
      </c>
      <c r="D276" s="1" t="s">
        <v>58</v>
      </c>
      <c r="E276" s="250">
        <v>8720.0239999999994</v>
      </c>
    </row>
    <row r="277" spans="3:5" x14ac:dyDescent="0.35">
      <c r="C277" s="1" t="s">
        <v>1958</v>
      </c>
      <c r="D277" s="1" t="s">
        <v>59</v>
      </c>
      <c r="E277" s="250">
        <v>8720.0300000000007</v>
      </c>
    </row>
    <row r="278" spans="3:5" x14ac:dyDescent="0.35">
      <c r="C278" s="1" t="s">
        <v>1957</v>
      </c>
      <c r="D278" s="1" t="s">
        <v>58</v>
      </c>
      <c r="E278" s="250">
        <v>8720.0310000000009</v>
      </c>
    </row>
    <row r="279" spans="3:5" x14ac:dyDescent="0.35">
      <c r="C279" s="1" t="s">
        <v>1956</v>
      </c>
      <c r="D279" s="1" t="s">
        <v>58</v>
      </c>
      <c r="E279" s="250">
        <v>8720.0319999999992</v>
      </c>
    </row>
    <row r="280" spans="3:5" x14ac:dyDescent="0.35">
      <c r="C280" s="1" t="s">
        <v>1955</v>
      </c>
      <c r="D280" s="1" t="s">
        <v>58</v>
      </c>
      <c r="E280" s="250">
        <v>8720.0329999999994</v>
      </c>
    </row>
    <row r="281" spans="3:5" x14ac:dyDescent="0.35">
      <c r="C281" s="1" t="s">
        <v>1954</v>
      </c>
      <c r="D281" s="1" t="s">
        <v>18</v>
      </c>
      <c r="E281" s="250">
        <v>8740.01</v>
      </c>
    </row>
    <row r="282" spans="3:5" x14ac:dyDescent="0.35">
      <c r="C282" s="1" t="s">
        <v>1953</v>
      </c>
      <c r="D282" s="1" t="s">
        <v>18</v>
      </c>
      <c r="E282" s="250">
        <v>8740.02</v>
      </c>
    </row>
    <row r="283" spans="3:5" x14ac:dyDescent="0.35">
      <c r="C283" s="1" t="s">
        <v>1952</v>
      </c>
      <c r="D283" s="1" t="s">
        <v>58</v>
      </c>
      <c r="E283" s="250">
        <v>8740.0239999999994</v>
      </c>
    </row>
    <row r="284" spans="3:5" x14ac:dyDescent="0.35">
      <c r="C284" s="1" t="s">
        <v>1951</v>
      </c>
      <c r="D284" s="1" t="s">
        <v>18</v>
      </c>
      <c r="E284" s="250">
        <v>8750.01</v>
      </c>
    </row>
    <row r="285" spans="3:5" x14ac:dyDescent="0.35">
      <c r="C285" s="1" t="s">
        <v>1950</v>
      </c>
      <c r="D285" s="1" t="s">
        <v>18</v>
      </c>
      <c r="E285" s="250">
        <v>8750.0110000000004</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3BB883DA-2B0A-4D48-89A6-4F36E05ACD31}">
      <formula1>$C$205:$C207</formula1>
    </dataValidation>
  </dataValidations>
  <hyperlinks>
    <hyperlink ref="D3" r:id="rId1" display="datamateapp@gmail.com" xr:uid="{656E3F83-7518-42C5-872C-DB9A9AC30B5E}"/>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60809" r:id="rId4" name="Button 9">
              <controlPr defaultSize="0" print="0" autoFill="0" autoPict="0" macro="[0]!ExitSEC_087000">
                <anchor moveWithCells="1" sizeWithCells="1">
                  <from>
                    <xdr:col>16</xdr:col>
                    <xdr:colOff>196850</xdr:colOff>
                    <xdr:row>0</xdr:row>
                    <xdr:rowOff>0</xdr:rowOff>
                  </from>
                  <to>
                    <xdr:col>16</xdr:col>
                    <xdr:colOff>1466850</xdr:colOff>
                    <xdr:row>2</xdr:row>
                    <xdr:rowOff>12700</xdr:rowOff>
                  </to>
                </anchor>
              </controlPr>
            </control>
          </mc:Choice>
        </mc:AlternateContent>
        <mc:AlternateContent xmlns:mc="http://schemas.openxmlformats.org/markup-compatibility/2006">
          <mc:Choice Requires="x14">
            <control shapeId="460836" r:id="rId5" name="Button 36">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460837" r:id="rId6" name="Button 37">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460838" r:id="rId7" name="Button 38">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460839" r:id="rId8" name="Button 39">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460840" r:id="rId9" name="Button 40">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460841" r:id="rId10" name="Button 41">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460842" r:id="rId11" name="Button 42">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460843" r:id="rId12" name="Button 43">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F9C12C-2B34-4CDC-BACE-149B3618AFA6}">
  <sheetPr codeName="Sheet110"/>
  <dimension ref="A1:Q221"/>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GLAZING</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08 80 00</v>
      </c>
      <c r="C10" s="24" t="str">
        <f>C206</f>
        <v>GLAZING</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GLAZING</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14552</v>
      </c>
      <c r="C206" s="251" t="s">
        <v>14553</v>
      </c>
      <c r="D206" s="1"/>
      <c r="E206" s="1"/>
      <c r="F206" s="1"/>
      <c r="G206" s="1"/>
      <c r="H206" s="1"/>
      <c r="I206" s="1"/>
      <c r="J206" s="1"/>
      <c r="K206" s="1"/>
      <c r="L206" s="1"/>
      <c r="M206" s="1"/>
      <c r="N206" s="1"/>
      <c r="O206" s="1"/>
      <c r="P206" s="1"/>
      <c r="Q206" s="1"/>
    </row>
    <row r="207" spans="2:17" x14ac:dyDescent="0.35">
      <c r="B207" s="49" t="s">
        <v>14554</v>
      </c>
      <c r="C207" s="53" t="s">
        <v>14555</v>
      </c>
      <c r="D207" s="1"/>
      <c r="E207" s="1"/>
      <c r="F207" s="1"/>
      <c r="G207" s="1"/>
      <c r="H207" s="1"/>
      <c r="I207" s="1"/>
      <c r="J207" s="1"/>
      <c r="K207" s="1"/>
      <c r="L207" s="1"/>
      <c r="M207" s="1"/>
      <c r="N207" s="1"/>
      <c r="O207" s="1"/>
      <c r="P207" s="1"/>
      <c r="Q207" s="1"/>
    </row>
    <row r="208" spans="2:17" x14ac:dyDescent="0.35">
      <c r="B208" s="49" t="s">
        <v>14556</v>
      </c>
      <c r="C208" s="53" t="s">
        <v>14557</v>
      </c>
    </row>
    <row r="209" spans="2:5" x14ac:dyDescent="0.35">
      <c r="B209" s="49" t="s">
        <v>14558</v>
      </c>
      <c r="C209" s="53" t="s">
        <v>14559</v>
      </c>
    </row>
    <row r="210" spans="2:5" x14ac:dyDescent="0.35">
      <c r="B210" s="49" t="s">
        <v>14560</v>
      </c>
      <c r="C210" s="53" t="s">
        <v>14561</v>
      </c>
    </row>
    <row r="211" spans="2:5" x14ac:dyDescent="0.35">
      <c r="B211" s="49" t="s">
        <v>14562</v>
      </c>
      <c r="C211" s="53" t="s">
        <v>14563</v>
      </c>
    </row>
    <row r="212" spans="2:5" x14ac:dyDescent="0.35">
      <c r="B212" s="49" t="s">
        <v>14564</v>
      </c>
      <c r="C212" s="53" t="s">
        <v>14565</v>
      </c>
    </row>
    <row r="213" spans="2:5" x14ac:dyDescent="0.35">
      <c r="C213" s="1" t="s">
        <v>1949</v>
      </c>
      <c r="D213" s="1" t="s">
        <v>20</v>
      </c>
      <c r="E213" s="250">
        <v>8809.7999999999993</v>
      </c>
    </row>
    <row r="214" spans="2:5" x14ac:dyDescent="0.35">
      <c r="C214" s="1" t="s">
        <v>1948</v>
      </c>
      <c r="D214" s="1" t="s">
        <v>20</v>
      </c>
      <c r="E214" s="250">
        <v>8810.0110000000004</v>
      </c>
    </row>
    <row r="215" spans="2:5" x14ac:dyDescent="0.35">
      <c r="C215" s="1" t="s">
        <v>1947</v>
      </c>
      <c r="D215" s="1" t="s">
        <v>20</v>
      </c>
      <c r="E215" s="250">
        <v>8810.0149999999994</v>
      </c>
    </row>
    <row r="216" spans="2:5" x14ac:dyDescent="0.35">
      <c r="C216" s="1" t="s">
        <v>1946</v>
      </c>
      <c r="D216" s="1" t="s">
        <v>20</v>
      </c>
      <c r="E216" s="250">
        <v>8810.02</v>
      </c>
    </row>
    <row r="217" spans="2:5" x14ac:dyDescent="0.35">
      <c r="C217" s="1" t="s">
        <v>1945</v>
      </c>
      <c r="D217" s="1" t="s">
        <v>20</v>
      </c>
      <c r="E217" s="250">
        <v>8840.0049999999992</v>
      </c>
    </row>
    <row r="218" spans="2:5" x14ac:dyDescent="0.35">
      <c r="C218" s="1" t="s">
        <v>1944</v>
      </c>
      <c r="D218" s="1" t="s">
        <v>20</v>
      </c>
      <c r="E218" s="250">
        <v>8910.01</v>
      </c>
    </row>
    <row r="219" spans="2:5" x14ac:dyDescent="0.35">
      <c r="C219" s="1" t="s">
        <v>1943</v>
      </c>
      <c r="D219" s="1" t="s">
        <v>20</v>
      </c>
      <c r="E219" s="250">
        <v>8910.02</v>
      </c>
    </row>
    <row r="220" spans="2:5" x14ac:dyDescent="0.35">
      <c r="C220" s="1" t="s">
        <v>1942</v>
      </c>
      <c r="D220" s="1" t="s">
        <v>20</v>
      </c>
      <c r="E220" s="250">
        <v>8950.01</v>
      </c>
    </row>
    <row r="221" spans="2:5" x14ac:dyDescent="0.35">
      <c r="C221" s="1" t="s">
        <v>1941</v>
      </c>
      <c r="D221" s="1" t="s">
        <v>20</v>
      </c>
      <c r="E221" s="250">
        <v>8960.01</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F48D8F85-6CBE-4DC8-9C77-3847A7121AC1}">
      <formula1>$C$205:$C207</formula1>
    </dataValidation>
  </dataValidations>
  <hyperlinks>
    <hyperlink ref="D3" r:id="rId1" display="datamateapp@gmail.com" xr:uid="{52993E71-54EE-46E1-AFD8-0423061EDD50}"/>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61834" r:id="rId4" name="Button 10">
              <controlPr defaultSize="0" print="0" autoFill="0" autoPict="0" macro="[0]!ExitSEC_088000">
                <anchor moveWithCells="1" sizeWithCells="1">
                  <from>
                    <xdr:col>16</xdr:col>
                    <xdr:colOff>203200</xdr:colOff>
                    <xdr:row>0</xdr:row>
                    <xdr:rowOff>0</xdr:rowOff>
                  </from>
                  <to>
                    <xdr:col>16</xdr:col>
                    <xdr:colOff>1473200</xdr:colOff>
                    <xdr:row>2</xdr:row>
                    <xdr:rowOff>12700</xdr:rowOff>
                  </to>
                </anchor>
              </controlPr>
            </control>
          </mc:Choice>
        </mc:AlternateContent>
        <mc:AlternateContent xmlns:mc="http://schemas.openxmlformats.org/markup-compatibility/2006">
          <mc:Choice Requires="x14">
            <control shapeId="461844" r:id="rId5" name="Button 20">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461845" r:id="rId6" name="Button 21">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461846" r:id="rId7" name="Button 22">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461847" r:id="rId8" name="Button 23">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461848" r:id="rId9" name="Button 24">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461849" r:id="rId10" name="Button 25">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461850" r:id="rId11" name="Button 26">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461851" r:id="rId12" name="Button 27">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D6674-B6ED-456A-9FE7-F7D387340A79}">
  <sheetPr codeName="Sheet111"/>
  <dimension ref="A1:Q209"/>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LOUVERS AND VENTS</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08 90 00</v>
      </c>
      <c r="C10" s="24" t="str">
        <f>C206</f>
        <v>LOUVERS AND VENTS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LOUVERS AND VENTS</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14566</v>
      </c>
      <c r="C206" s="251" t="s">
        <v>14567</v>
      </c>
      <c r="D206" s="1"/>
      <c r="E206" s="1"/>
      <c r="F206" s="1"/>
      <c r="G206" s="1"/>
      <c r="H206" s="1"/>
      <c r="I206" s="1"/>
      <c r="J206" s="1"/>
      <c r="K206" s="1"/>
      <c r="L206" s="1"/>
      <c r="M206" s="1"/>
      <c r="N206" s="1"/>
      <c r="O206" s="1"/>
      <c r="P206" s="1"/>
      <c r="Q206" s="1"/>
    </row>
    <row r="207" spans="2:17" x14ac:dyDescent="0.35">
      <c r="B207" s="49" t="s">
        <v>14568</v>
      </c>
      <c r="C207" s="53" t="s">
        <v>1670</v>
      </c>
      <c r="D207" s="1"/>
      <c r="E207" s="1"/>
      <c r="F207" s="1"/>
      <c r="G207" s="1"/>
      <c r="H207" s="1"/>
      <c r="I207" s="1"/>
      <c r="J207" s="1"/>
      <c r="K207" s="1"/>
      <c r="L207" s="1"/>
      <c r="M207" s="1"/>
      <c r="N207" s="1"/>
      <c r="O207" s="1"/>
      <c r="P207" s="1"/>
      <c r="Q207" s="1"/>
    </row>
    <row r="208" spans="2:17" x14ac:dyDescent="0.35">
      <c r="B208" s="49" t="s">
        <v>14569</v>
      </c>
      <c r="C208" s="53" t="s">
        <v>14570</v>
      </c>
    </row>
    <row r="209" spans="2:3" x14ac:dyDescent="0.35">
      <c r="B209" s="49" t="s">
        <v>14571</v>
      </c>
      <c r="C209" s="53" t="s">
        <v>14572</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75DD1BE9-D760-4BAB-B2F6-639F58CE91BF}">
      <formula1>$C$205:$C207</formula1>
    </dataValidation>
  </dataValidations>
  <hyperlinks>
    <hyperlink ref="D3" r:id="rId1" display="datamateapp@gmail.com" xr:uid="{5F9B2E59-F89F-4E69-B274-22FD52FB8904}"/>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62857" r:id="rId4" name="Button 9">
              <controlPr defaultSize="0" print="0" autoFill="0" autoPict="0" macro="[0]!ExitSEC_089000">
                <anchor moveWithCells="1" sizeWithCells="1">
                  <from>
                    <xdr:col>16</xdr:col>
                    <xdr:colOff>209550</xdr:colOff>
                    <xdr:row>0</xdr:row>
                    <xdr:rowOff>0</xdr:rowOff>
                  </from>
                  <to>
                    <xdr:col>16</xdr:col>
                    <xdr:colOff>1479550</xdr:colOff>
                    <xdr:row>2</xdr:row>
                    <xdr:rowOff>12700</xdr:rowOff>
                  </to>
                </anchor>
              </controlPr>
            </control>
          </mc:Choice>
        </mc:AlternateContent>
        <mc:AlternateContent xmlns:mc="http://schemas.openxmlformats.org/markup-compatibility/2006">
          <mc:Choice Requires="x14">
            <control shapeId="462867" r:id="rId5" name="Button 19">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462868" r:id="rId6" name="Button 20">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462869" r:id="rId7" name="Button 21">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462870" r:id="rId8" name="Button 22">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462871" r:id="rId9" name="Button 23">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462872" r:id="rId10" name="Button 24">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462873" r:id="rId11" name="Button 25">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462874" r:id="rId12" name="Button 26">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1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615FB-D05B-4ADE-866D-CF2E72DB377D}">
  <sheetPr codeName="Sheet117"/>
  <dimension ref="A1:Q206"/>
  <sheetViews>
    <sheetView zoomScale="75" zoomScaleNormal="75" workbookViewId="0">
      <selection activeCell="H51" sqref="H51"/>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f>C10</f>
        <v>0</v>
      </c>
      <c r="J2" s="59"/>
      <c r="K2" s="59"/>
      <c r="L2" s="1"/>
      <c r="M2" s="59"/>
      <c r="N2" s="59"/>
      <c r="O2" s="60"/>
      <c r="P2" s="57"/>
      <c r="Q2" s="57"/>
    </row>
    <row r="3" spans="1:17" ht="15" thickBot="1" x14ac:dyDescent="0.4">
      <c r="A3" s="446" t="s">
        <v>21548</v>
      </c>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7"/>
      <c r="Q3" s="8"/>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40"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f>B208</f>
        <v>0</v>
      </c>
      <c r="C10" s="24">
        <f>C208</f>
        <v>0</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f>C10</f>
        <v>0</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21402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21432</v>
      </c>
      <c r="C206" s="106" t="s">
        <v>21400</v>
      </c>
      <c r="D206" s="1"/>
      <c r="E206" s="1"/>
      <c r="F206" s="1"/>
      <c r="G206" s="1"/>
      <c r="H206" s="1"/>
      <c r="I206" s="1"/>
      <c r="J206" s="1"/>
      <c r="K206" s="1"/>
      <c r="L206" s="1"/>
      <c r="M206" s="1"/>
      <c r="N206" s="1"/>
      <c r="O206" s="1"/>
      <c r="P206" s="1"/>
      <c r="Q206" s="1"/>
    </row>
  </sheetData>
  <mergeCells count="8">
    <mergeCell ref="J6:K6"/>
    <mergeCell ref="J7:K7"/>
    <mergeCell ref="A3:B3"/>
    <mergeCell ref="D3:G3"/>
    <mergeCell ref="J3:K3"/>
    <mergeCell ref="A4:B4"/>
    <mergeCell ref="J4:K4"/>
    <mergeCell ref="J5:K5"/>
  </mergeCells>
  <dataValidations count="1">
    <dataValidation type="list" allowBlank="1" showInputMessage="1" showErrorMessage="1" sqref="C16:C190" xr:uid="{FB5CF94A-523F-4B2D-8CD0-9E3E6F912162}">
      <formula1>$C$205:$C207</formula1>
    </dataValidation>
  </dataValidations>
  <hyperlinks>
    <hyperlink ref="D3" r:id="rId1" display="datamateapp@gmail.com" xr:uid="{240A39C5-E5AB-4305-ABF3-07D6EA484394}"/>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61153" r:id="rId4" name="Button 1">
              <controlPr defaultSize="0" print="0" autoFill="0" autoPict="0">
                <anchor moveWithCells="1" sizeWithCells="1">
                  <from>
                    <xdr:col>17</xdr:col>
                    <xdr:colOff>0</xdr:colOff>
                    <xdr:row>0</xdr:row>
                    <xdr:rowOff>0</xdr:rowOff>
                  </from>
                  <to>
                    <xdr:col>19</xdr:col>
                    <xdr:colOff>50800</xdr:colOff>
                    <xdr:row>2</xdr:row>
                    <xdr:rowOff>19050</xdr:rowOff>
                  </to>
                </anchor>
              </controlPr>
            </control>
          </mc:Choice>
        </mc:AlternateContent>
        <mc:AlternateContent xmlns:mc="http://schemas.openxmlformats.org/markup-compatibility/2006">
          <mc:Choice Requires="x14">
            <control shapeId="561154" r:id="rId5" name="Button 2">
              <controlPr defaultSize="0" print="0" autoFill="0" autoPict="0" macro="[0]!ClearContentsAndDropdowns">
                <anchor moveWithCells="1" sizeWithCells="1">
                  <from>
                    <xdr:col>17</xdr:col>
                    <xdr:colOff>0</xdr:colOff>
                    <xdr:row>2</xdr:row>
                    <xdr:rowOff>184150</xdr:rowOff>
                  </from>
                  <to>
                    <xdr:col>19</xdr:col>
                    <xdr:colOff>50800</xdr:colOff>
                    <xdr:row>5</xdr:row>
                    <xdr:rowOff>25400</xdr:rowOff>
                  </to>
                </anchor>
              </controlPr>
            </control>
          </mc:Choice>
        </mc:AlternateContent>
        <mc:AlternateContent xmlns:mc="http://schemas.openxmlformats.org/markup-compatibility/2006">
          <mc:Choice Requires="x14">
            <control shapeId="561155"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63500</xdr:rowOff>
                  </to>
                </anchor>
              </controlPr>
            </control>
          </mc:Choice>
        </mc:AlternateContent>
        <mc:AlternateContent xmlns:mc="http://schemas.openxmlformats.org/markup-compatibility/2006">
          <mc:Choice Requires="x14">
            <control shapeId="561156"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76200</xdr:rowOff>
                  </to>
                </anchor>
              </controlPr>
            </control>
          </mc:Choice>
        </mc:AlternateContent>
        <mc:AlternateContent xmlns:mc="http://schemas.openxmlformats.org/markup-compatibility/2006">
          <mc:Choice Requires="x14">
            <control shapeId="561157" r:id="rId8" name="Button 5">
              <controlPr defaultSize="0" print="0" autoFill="0" autoPict="0" macro="[0]!Dashboard">
                <anchor moveWithCells="1" sizeWithCells="1">
                  <from>
                    <xdr:col>17</xdr:col>
                    <xdr:colOff>0</xdr:colOff>
                    <xdr:row>11</xdr:row>
                    <xdr:rowOff>12700</xdr:rowOff>
                  </from>
                  <to>
                    <xdr:col>19</xdr:col>
                    <xdr:colOff>50800</xdr:colOff>
                    <xdr:row>13</xdr:row>
                    <xdr:rowOff>31750</xdr:rowOff>
                  </to>
                </anchor>
              </controlPr>
            </control>
          </mc:Choice>
        </mc:AlternateContent>
        <mc:AlternateContent xmlns:mc="http://schemas.openxmlformats.org/markup-compatibility/2006">
          <mc:Choice Requires="x14">
            <control shapeId="561158" r:id="rId9" name="Button 6">
              <controlPr defaultSize="0" print="0" autoFill="0" autoPict="0" macro="[0]!ViewLog">
                <anchor moveWithCells="1" sizeWithCells="1">
                  <from>
                    <xdr:col>17</xdr:col>
                    <xdr:colOff>0</xdr:colOff>
                    <xdr:row>14</xdr:row>
                    <xdr:rowOff>12700</xdr:rowOff>
                  </from>
                  <to>
                    <xdr:col>19</xdr:col>
                    <xdr:colOff>50800</xdr:colOff>
                    <xdr:row>16</xdr:row>
                    <xdr:rowOff>31750</xdr:rowOff>
                  </to>
                </anchor>
              </controlPr>
            </control>
          </mc:Choice>
        </mc:AlternateContent>
        <mc:AlternateContent xmlns:mc="http://schemas.openxmlformats.org/markup-compatibility/2006">
          <mc:Choice Requires="x14">
            <control shapeId="561159" r:id="rId10" name="Button 7">
              <controlPr defaultSize="0" print="0" autoFill="0" autoPict="0" macro="[0]!ViewView_Print">
                <anchor moveWithCells="1" sizeWithCells="1">
                  <from>
                    <xdr:col>17</xdr:col>
                    <xdr:colOff>0</xdr:colOff>
                    <xdr:row>17</xdr:row>
                    <xdr:rowOff>19050</xdr:rowOff>
                  </from>
                  <to>
                    <xdr:col>19</xdr:col>
                    <xdr:colOff>50800</xdr:colOff>
                    <xdr:row>19</xdr:row>
                    <xdr:rowOff>38100</xdr:rowOff>
                  </to>
                </anchor>
              </controlPr>
            </control>
          </mc:Choice>
        </mc:AlternateContent>
        <mc:AlternateContent xmlns:mc="http://schemas.openxmlformats.org/markup-compatibility/2006">
          <mc:Choice Requires="x14">
            <control shapeId="561160" r:id="rId11" name="Button 8">
              <controlPr defaultSize="0" print="0" autoFill="0" autoPict="0" macro="[0]!OpenDataMateAppPage">
                <anchor moveWithCells="1" sizeWithCells="1">
                  <from>
                    <xdr:col>17</xdr:col>
                    <xdr:colOff>0</xdr:colOff>
                    <xdr:row>20</xdr:row>
                    <xdr:rowOff>25400</xdr:rowOff>
                  </from>
                  <to>
                    <xdr:col>19</xdr:col>
                    <xdr:colOff>50800</xdr:colOff>
                    <xdr:row>22</xdr:row>
                    <xdr:rowOff>44450</xdr:rowOff>
                  </to>
                </anchor>
              </controlPr>
            </control>
          </mc:Choice>
        </mc:AlternateContent>
        <mc:AlternateContent xmlns:mc="http://schemas.openxmlformats.org/markup-compatibility/2006">
          <mc:Choice Requires="x14">
            <control shapeId="561163" r:id="rId12" name="Button 11">
              <controlPr defaultSize="0" print="0" autoFill="0" autoPict="0" macro="[0]!ClearContentsAndDropdowns">
                <anchor moveWithCells="1" sizeWithCells="1">
                  <from>
                    <xdr:col>17</xdr:col>
                    <xdr:colOff>0</xdr:colOff>
                    <xdr:row>2</xdr:row>
                    <xdr:rowOff>184150</xdr:rowOff>
                  </from>
                  <to>
                    <xdr:col>19</xdr:col>
                    <xdr:colOff>57150</xdr:colOff>
                    <xdr:row>5</xdr:row>
                    <xdr:rowOff>25400</xdr:rowOff>
                  </to>
                </anchor>
              </controlPr>
            </control>
          </mc:Choice>
        </mc:AlternateContent>
        <mc:AlternateContent xmlns:mc="http://schemas.openxmlformats.org/markup-compatibility/2006">
          <mc:Choice Requires="x14">
            <control shapeId="561164" r:id="rId13" name="Button 12">
              <controlPr defaultSize="0" print="0" autoFill="0" autoPict="0" macro="[0]!CopyInput1WithAdjustedReferencesAndButtonsInROriginalOrder">
                <anchor moveWithCells="1" sizeWithCells="1">
                  <from>
                    <xdr:col>17</xdr:col>
                    <xdr:colOff>0</xdr:colOff>
                    <xdr:row>6</xdr:row>
                    <xdr:rowOff>50800</xdr:rowOff>
                  </from>
                  <to>
                    <xdr:col>19</xdr:col>
                    <xdr:colOff>57150</xdr:colOff>
                    <xdr:row>8</xdr:row>
                    <xdr:rowOff>63500</xdr:rowOff>
                  </to>
                </anchor>
              </controlPr>
            </control>
          </mc:Choice>
        </mc:AlternateContent>
        <mc:AlternateContent xmlns:mc="http://schemas.openxmlformats.org/markup-compatibility/2006">
          <mc:Choice Requires="x14">
            <control shapeId="561165" r:id="rId14" name="Button 13">
              <controlPr defaultSize="0" print="0" autoFill="0" autoPict="0" macro="[0]!CopyInput2WithAdjustedReferencesAndButtonsInROriginalOrder">
                <anchor moveWithCells="1" sizeWithCells="1">
                  <from>
                    <xdr:col>17</xdr:col>
                    <xdr:colOff>0</xdr:colOff>
                    <xdr:row>8</xdr:row>
                    <xdr:rowOff>387350</xdr:rowOff>
                  </from>
                  <to>
                    <xdr:col>19</xdr:col>
                    <xdr:colOff>57150</xdr:colOff>
                    <xdr:row>10</xdr:row>
                    <xdr:rowOff>76200</xdr:rowOff>
                  </to>
                </anchor>
              </controlPr>
            </control>
          </mc:Choice>
        </mc:AlternateContent>
        <mc:AlternateContent xmlns:mc="http://schemas.openxmlformats.org/markup-compatibility/2006">
          <mc:Choice Requires="x14">
            <control shapeId="561166" r:id="rId15" name="Button 14">
              <controlPr defaultSize="0" print="0" autoFill="0" autoPict="0" macro="[0]!Dashboard">
                <anchor moveWithCells="1" sizeWithCells="1">
                  <from>
                    <xdr:col>17</xdr:col>
                    <xdr:colOff>0</xdr:colOff>
                    <xdr:row>11</xdr:row>
                    <xdr:rowOff>12700</xdr:rowOff>
                  </from>
                  <to>
                    <xdr:col>19</xdr:col>
                    <xdr:colOff>57150</xdr:colOff>
                    <xdr:row>13</xdr:row>
                    <xdr:rowOff>31750</xdr:rowOff>
                  </to>
                </anchor>
              </controlPr>
            </control>
          </mc:Choice>
        </mc:AlternateContent>
      </controls>
    </mc:Choice>
  </mc:AlternateContent>
</worksheet>
</file>

<file path=xl/worksheets/sheet1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A45CC-8B4C-46D1-A1CC-3D30DD05FAE0}">
  <sheetPr codeName="Sheet118"/>
  <dimension ref="A1:Q200"/>
  <sheetViews>
    <sheetView zoomScale="75" zoomScaleNormal="75" workbookViewId="0">
      <selection activeCell="J25" sqref="J25"/>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7" t="str">
        <f>DIV_09View_Print!B2</f>
        <v>AREA/FLOOR/ZONE- Page- SUB COST- MAT COST- LAB COST- EQUIP COST- Total Cost- Date- Description- Log 10- Log 11- Log 12</v>
      </c>
      <c r="B1" s="57"/>
      <c r="C1" s="57"/>
      <c r="D1" s="57"/>
      <c r="E1" s="57"/>
      <c r="F1" s="57"/>
      <c r="G1" s="57"/>
      <c r="H1" s="57"/>
      <c r="I1" s="57"/>
      <c r="J1" s="57"/>
      <c r="K1" s="57"/>
      <c r="L1" s="57"/>
      <c r="M1" s="57" t="str">
        <f>DIV_02Input!M1</f>
        <v>Update 1</v>
      </c>
      <c r="N1" s="57" t="str">
        <f>DIV_02Input!N1</f>
        <v>Update 2</v>
      </c>
      <c r="O1" s="57" t="str">
        <f>DIV_02Input!O1</f>
        <v>Update 3</v>
      </c>
      <c r="P1" s="57"/>
      <c r="Q1" s="57"/>
    </row>
    <row r="2" spans="1:17" x14ac:dyDescent="0.35">
      <c r="A2" s="57"/>
      <c r="B2" s="436" t="s">
        <v>21420</v>
      </c>
      <c r="C2" s="436"/>
      <c r="D2" s="436"/>
      <c r="E2" s="436"/>
      <c r="F2" s="436"/>
      <c r="G2" s="436"/>
      <c r="H2" s="436"/>
      <c r="I2" s="436"/>
      <c r="J2" s="436"/>
      <c r="K2" s="436"/>
      <c r="L2" s="436"/>
      <c r="M2" s="1"/>
      <c r="N2" s="1"/>
      <c r="O2" s="1"/>
      <c r="P2" s="57"/>
      <c r="Q2" s="57"/>
    </row>
    <row r="3" spans="1:17" ht="15" thickBot="1" x14ac:dyDescent="0.4">
      <c r="A3" s="446" t="e">
        <f>VLOOKUP(A1,DIV_09Data!$A$1:$DZU$1000000,36,FALSE)</f>
        <v>#N/A</v>
      </c>
      <c r="B3" s="425"/>
      <c r="C3" s="103" t="e">
        <f>VLOOKUP(A1,DIV_09Data!$A$1:$DZU$1000000,38,FALSE)</f>
        <v>#N/A</v>
      </c>
      <c r="D3" s="447" t="e">
        <f>VLOOKUP(A1,DIV_09Data!$A$1:$DZU$1000000,39,FALSE)</f>
        <v>#N/A</v>
      </c>
      <c r="E3" s="448"/>
      <c r="F3" s="448"/>
      <c r="G3" s="448"/>
      <c r="H3" s="6" t="e">
        <f>VLOOKUP(A1,DIV_09Data!$A$1:$DZU$1000000,43,FALSE)</f>
        <v>#N/A</v>
      </c>
      <c r="I3" s="6" t="e">
        <f>VLOOKUP(A1,DIV_09Data!$A$1:$DZU$1000000,44,FALSE)</f>
        <v>#N/A</v>
      </c>
      <c r="J3" s="449" t="e">
        <f>VLOOKUP(A1,DIV_09Data!$A$1:$DZU$1000000,45,FALSE)</f>
        <v>#N/A</v>
      </c>
      <c r="K3" s="450"/>
      <c r="L3" s="100" t="e">
        <f>VLOOKUP(A1,DIV_09Data!$A$1:$DZU$1000000,47,FALSE)</f>
        <v>#N/A</v>
      </c>
      <c r="M3" s="8" t="e">
        <f>VLOOKUP(A1,DIV_09Data!$A$1:$DZU$1000000,48,FALSE)</f>
        <v>#N/A</v>
      </c>
      <c r="N3" s="6" t="e">
        <f>VLOOKUP(A1,DIV_09Data!$A$1:$DZU$1000000,49,FALSE)</f>
        <v>#N/A</v>
      </c>
      <c r="O3" s="8" t="e">
        <f>VLOOKUP(A1,DIV_09Data!$A$1:$DZU$1000000,50,FALSE)</f>
        <v>#N/A</v>
      </c>
      <c r="P3" s="7" t="e">
        <f>VLOOKUP(A1,DIV_09Data!$A$1:$DZU$1000000,51,FALSE)</f>
        <v>#N/A</v>
      </c>
      <c r="Q3" s="8" t="e">
        <f>VLOOKUP(A1,DIV_09Data!$A$1:$DZU$1000000,52,FALSE)</f>
        <v>#N/A</v>
      </c>
    </row>
    <row r="4" spans="1:17" ht="15" thickBot="1" x14ac:dyDescent="0.4">
      <c r="A4" s="451" t="e">
        <f>VLOOKUP(A1,DIV_09Data!$A$1:$DZU$1000000,53,FALSE)</f>
        <v>#N/A</v>
      </c>
      <c r="B4" s="452"/>
      <c r="C4" s="79" t="e">
        <f>VLOOKUP(A1,DIV_09Data!$A$1:$DZU$1000000,55,FALSE)</f>
        <v>#N/A</v>
      </c>
      <c r="D4" s="6" t="e">
        <f>VLOOKUP(A1,DIV_09Data!$A$1:$DZU$1000000,56,FALSE)</f>
        <v>#N/A</v>
      </c>
      <c r="E4" s="5" t="e">
        <f>VLOOKUP(A1,DIV_09Data!$A$1:$DZU$1000000,57,FALSE)</f>
        <v>#N/A</v>
      </c>
      <c r="F4" s="61" t="e">
        <f>VLOOKUP(A1,DIV_09Data!$A$1:$DZU$1000000,58,FALSE)</f>
        <v>#N/A</v>
      </c>
      <c r="G4" s="8" t="e">
        <f>VLOOKUP(A1,DIV_09Data!$A$1:$DZU$1000000,59,FALSE)</f>
        <v>#N/A</v>
      </c>
      <c r="H4" s="6" t="e">
        <f>VLOOKUP(A1,DIV_09Data!$A$1:$DZU$1000000,60,FALSE)</f>
        <v>#N/A</v>
      </c>
      <c r="I4" s="6" t="e">
        <f>VLOOKUP(A1,DIV_09Data!$A$1:$DZU$1000000,61,FALSE)</f>
        <v>#N/A</v>
      </c>
      <c r="J4" s="443" t="e">
        <f>VLOOKUP(A1,DIV_09Data!$A$1:$DZU$1000000,62,FALSE)</f>
        <v>#N/A</v>
      </c>
      <c r="K4" s="444"/>
      <c r="L4" s="102" t="e">
        <f>VLOOKUP(A1,DIV_09Data!$A$1:$DZU$1000000,64,FALSE)</f>
        <v>#N/A</v>
      </c>
      <c r="M4" s="9" t="e">
        <f>VLOOKUP(A1,DIV_09Data!$A$1:$DZU$1000000,65,FALSE)</f>
        <v>#N/A</v>
      </c>
      <c r="N4" s="31" t="e">
        <f>VLOOKUP(A1,DIV_09Data!$A$1:$DZU$1000000,66,FALSE)</f>
        <v>#N/A</v>
      </c>
      <c r="O4" s="98" t="e">
        <f>VLOOKUP(A1,DIV_09Data!$A$1:$DZU$1000000,67,FALSE)</f>
        <v>#N/A</v>
      </c>
      <c r="P4" s="7" t="e">
        <f>VLOOKUP(A1,DIV_09Data!$A$1:$DZU$1000000,68,FALSE)</f>
        <v>#N/A</v>
      </c>
      <c r="Q4" s="10" t="e">
        <f>VLOOKUP(A1,DIV_09Data!$A$1:$DZU$1000000,69,FALSE)</f>
        <v>#N/A</v>
      </c>
    </row>
    <row r="5" spans="1:17" ht="15" thickBot="1" x14ac:dyDescent="0.4">
      <c r="A5" s="3" t="e">
        <f>VLOOKUP(A1,DIV_09Data!$A$1:$DZU$1000000,70,FALSE)</f>
        <v>#N/A</v>
      </c>
      <c r="B5" s="4" t="e">
        <f>VLOOKUP(A1,DIV_09Data!$A$1:$DZU$1000000,71,FALSE)</f>
        <v>#N/A</v>
      </c>
      <c r="C5" s="5" t="e">
        <f>VLOOKUP(A1,DIV_09Data!$A$1:$DZU$1000000,72,FALSE)</f>
        <v>#N/A</v>
      </c>
      <c r="D5" s="6" t="e">
        <f>VLOOKUP(A1,DIV_09Data!$A$1:$DZU$1000000,73,FALSE)</f>
        <v>#N/A</v>
      </c>
      <c r="E5" s="7" t="e">
        <f>VLOOKUP(A1,DIV_09Data!$A$1:$DZU$1000000,74,FALSE)</f>
        <v>#N/A</v>
      </c>
      <c r="F5" s="6" t="e">
        <f>VLOOKUP(A1,DIV_09Data!$A$1:$DZU$1000000,75,FALSE)</f>
        <v>#N/A</v>
      </c>
      <c r="G5" s="8" t="e">
        <f>VLOOKUP(A1,DIV_09Data!$A$1:$DZU$1000000,76,FALSE)</f>
        <v>#N/A</v>
      </c>
      <c r="H5" s="6" t="e">
        <f>VLOOKUP(A1,DIV_09Data!$A$1:$DZU$1000000,77,FALSE)</f>
        <v>#N/A</v>
      </c>
      <c r="I5" s="6" t="e">
        <f>VLOOKUP(A1,DIV_09Data!$A$1:$DZU$1000000,78,FALSE)</f>
        <v>#N/A</v>
      </c>
      <c r="J5" s="443" t="e">
        <f>VLOOKUP(A1,DIV_09Data!$A$1:$DZU$1000000,79,FALSE)</f>
        <v>#N/A</v>
      </c>
      <c r="K5" s="444"/>
      <c r="L5" s="11" t="e">
        <f>VLOOKUP(A1,DIV_09Data!$A$1:$DZU$1000000,81,FALSE)</f>
        <v>#N/A</v>
      </c>
      <c r="M5" s="91" t="e">
        <f>VLOOKUP(A1,DIV_09Data!$A$1:$DZU$1000000,82,FALSE)</f>
        <v>#N/A</v>
      </c>
      <c r="N5" s="31" t="e">
        <f>VLOOKUP(A1,DIV_09Data!$A$1:$DZU$1000000,83,FALSE)</f>
        <v>#N/A</v>
      </c>
      <c r="O5" s="96" t="e">
        <f>VLOOKUP(A1,DIV_09Data!$A$1:$DZU$1000000,84,FALSE)</f>
        <v>#N/A</v>
      </c>
      <c r="P5" s="86" t="e">
        <f>VLOOKUP(A1,DIV_09Data!$A$1:$DZU$1000000,85,FALSE)</f>
        <v>#N/A</v>
      </c>
      <c r="Q5" s="8" t="e">
        <f>VLOOKUP(A1,DIV_09Data!$A$1:$DZU$1000000,86,FALSE)</f>
        <v>#N/A</v>
      </c>
    </row>
    <row r="6" spans="1:17" ht="15" thickBot="1" x14ac:dyDescent="0.4">
      <c r="A6" s="3" t="e">
        <f>VLOOKUP(A1,DIV_09Data!$A$1:$DZU$1000000,87,FALSE)</f>
        <v>#N/A</v>
      </c>
      <c r="B6" s="4" t="e">
        <f>VLOOKUP(A1,DIV_09Data!$A$1:$DZU$1000000,88,FALSE)</f>
        <v>#N/A</v>
      </c>
      <c r="C6" s="5" t="e">
        <f>VLOOKUP(A1,DIV_09Data!$A$1:$DZU$1000000,89,FALSE)</f>
        <v>#N/A</v>
      </c>
      <c r="D6" s="6" t="e">
        <f>VLOOKUP(A1,DIV_09Data!$A$1:$DZU$1000000,90,FALSE)</f>
        <v>#N/A</v>
      </c>
      <c r="E6" s="7" t="e">
        <f>VLOOKUP(A1,DIV_09Data!$A$1:$DZU$1000000,91,FALSE)</f>
        <v>#N/A</v>
      </c>
      <c r="F6" s="6" t="e">
        <f>VLOOKUP(A1,DIV_09Data!$A$1:$DZU$1000000,92,FALSE)</f>
        <v>#N/A</v>
      </c>
      <c r="G6" s="10" t="e">
        <f>VLOOKUP(A1,DIV_09Data!$A$1:$DZU$1000000,93,FALSE)</f>
        <v>#N/A</v>
      </c>
      <c r="H6" s="12" t="e">
        <f>VLOOKUP(A1,DIV_09Data!$A$1:$DZU$1000000,94,FALSE)</f>
        <v>#N/A</v>
      </c>
      <c r="I6" s="13" t="e">
        <f>VLOOKUP(A1,DIV_09Data!$A$1:$DZU$1000000,95,FALSE)</f>
        <v>#N/A</v>
      </c>
      <c r="J6" s="445" t="e">
        <f>VLOOKUP(A1,DIV_09Data!$A$1:$DZU$1000000,96,FALSE)</f>
        <v>#N/A</v>
      </c>
      <c r="K6" s="444"/>
      <c r="L6" s="11" t="e">
        <f>VLOOKUP(A1,DIV_09Data!$A$1:$DZU$1000000,98,FALSE)</f>
        <v>#N/A</v>
      </c>
      <c r="M6" s="9" t="e">
        <f>VLOOKUP(A1,DIV_09Data!$A$1:$DZU$1000000,99,FALSE)</f>
        <v>#N/A</v>
      </c>
      <c r="N6" s="31" t="e">
        <f>VLOOKUP(A1,DIV_09Data!$A$1:$DZU$1000000,100,FALSE)</f>
        <v>#N/A</v>
      </c>
      <c r="O6" s="97" t="e">
        <f>VLOOKUP(A1,DIV_09Data!$A$1:$DZU$1000000,101,FALSE)</f>
        <v>#N/A</v>
      </c>
      <c r="P6" s="7" t="e">
        <f>VLOOKUP(A1,DIV_09Data!$A$1:$DZU$1000000,102,FALSE)</f>
        <v>#N/A</v>
      </c>
      <c r="Q6" s="8" t="e">
        <f>VLOOKUP(A1,DIV_09Data!$A$1:$DZU$1000000,103,FALSE)</f>
        <v>#N/A</v>
      </c>
    </row>
    <row r="7" spans="1:17" x14ac:dyDescent="0.35">
      <c r="A7" s="3" t="e">
        <f>VLOOKUP(A1,DIV_09Data!$A$1:$DZU$1000000,104,FALSE)</f>
        <v>#N/A</v>
      </c>
      <c r="B7" s="4" t="e">
        <f>VLOOKUP(A1,DIV_09Data!$A$1:$DZU$1000000,105,FALSE)</f>
        <v>#N/A</v>
      </c>
      <c r="C7" s="84" t="e">
        <f>VLOOKUP(A1,DIV_09Data!$A$1:$DZU$1000000,106,FALSE)</f>
        <v>#N/A</v>
      </c>
      <c r="D7" s="6" t="e">
        <f>VLOOKUP(A1,DIV_09Data!$A$1:$DZU$1000000,107,FALSE)</f>
        <v>#N/A</v>
      </c>
      <c r="E7" s="7" t="e">
        <f>VLOOKUP(A1,DIV_09Data!$A$1:$DZU$1000000,108,FALSE)</f>
        <v>#N/A</v>
      </c>
      <c r="F7" s="6" t="e">
        <f>VLOOKUP(A1,DIV_09Data!$A$1:$DZU$1000000,109,FALSE)</f>
        <v>#N/A</v>
      </c>
      <c r="G7" s="7" t="e">
        <f>VLOOKUP(A1,DIV_09Data!$A$1:$DZU$1000000,110,FALSE)</f>
        <v>#N/A</v>
      </c>
      <c r="H7" s="14" t="e">
        <f>VLOOKUP(A1,DIV_09Data!$A$1:$DZU$1000000,111,FALSE)</f>
        <v>#N/A</v>
      </c>
      <c r="I7" s="6" t="e">
        <f>VLOOKUP(A1,DIV_09Data!$A$1:$DZU$1000000,112,FALSE)</f>
        <v>#N/A</v>
      </c>
      <c r="J7" s="443" t="e">
        <f>VLOOKUP(A1,DIV_09Data!$A$1:$DZU$1000000,113,FALSE)</f>
        <v>#N/A</v>
      </c>
      <c r="K7" s="444"/>
      <c r="L7" s="11" t="e">
        <f>VLOOKUP(A1,DIV_09Data!$A$1:$DZU$1000000,115,FALSE)</f>
        <v>#N/A</v>
      </c>
      <c r="M7" s="6" t="e">
        <f>VLOOKUP(A1,DIV_09Data!$A$1:$DZU$1000000,116,FALSE)</f>
        <v>#N/A</v>
      </c>
      <c r="N7" s="31" t="e">
        <f>VLOOKUP(A1,DIV_09Data!$A$1:$DZU$1000000,117,FALSE)</f>
        <v>#N/A</v>
      </c>
      <c r="O7" s="96" t="e">
        <f>VLOOKUP(A1,DIV_09Data!$A$1:$DZU$1000000,118,FALSE)</f>
        <v>#N/A</v>
      </c>
      <c r="P7" s="90" t="e">
        <f>VLOOKUP(A1,DIV_09Data!$A$1:$DZU$1000000,119,FALSE)</f>
        <v>#N/A</v>
      </c>
      <c r="Q7" s="90" t="e">
        <f>VLOOKUP(A1,DIV_09Data!$A$1:$DZU$1000000,120,FALSE)</f>
        <v>#N/A</v>
      </c>
    </row>
    <row r="8" spans="1:17" ht="15" thickBot="1" x14ac:dyDescent="0.4">
      <c r="A8" s="3" t="e">
        <f>VLOOKUP(A1,DIV_09Data!$A$1:$DZU$1000000,121,FALSE)</f>
        <v>#N/A</v>
      </c>
      <c r="B8" s="4" t="e">
        <f>VLOOKUP(A1,DIV_09Data!$A$1:$DZU$1000000,122,FALSE)</f>
        <v>#N/A</v>
      </c>
      <c r="C8" s="86" t="e">
        <f>VLOOKUP(A1,DIV_09Data!$A$1:$DZU$1000000,123,FALSE)</f>
        <v>#N/A</v>
      </c>
      <c r="D8" s="6" t="e">
        <f>VLOOKUP(A1,DIV_09Data!$A$1:$DZU$1000000,124,FALSE)</f>
        <v>#N/A</v>
      </c>
      <c r="E8" s="7" t="e">
        <f>VLOOKUP(A1,DIV_09Data!$A$1:$DZU$1000000,125,FALSE)</f>
        <v>#N/A</v>
      </c>
      <c r="F8" s="6" t="e">
        <f>VLOOKUP(A1,DIV_09Data!$A$1:$DZU$1000000,126,FALSE)</f>
        <v>#N/A</v>
      </c>
      <c r="G8" s="6" t="e">
        <f>VLOOKUP(A1,DIV_09Data!$A$1:$DZU$1000000,127,FALSE)</f>
        <v>#N/A</v>
      </c>
      <c r="H8" s="6" t="e">
        <f>VLOOKUP(A1,DIV_09Data!$A$1:$DZU$1000000,128,FALSE)</f>
        <v>#N/A</v>
      </c>
      <c r="I8" s="6" t="e">
        <f>VLOOKUP(A1,DIV_09Data!$A$1:$DZU$1000000,129,FALSE)</f>
        <v>#N/A</v>
      </c>
      <c r="J8" s="6" t="e">
        <f>VLOOKUP(A1,DIV_09Data!$A$1:$DZU$1000000,130,FALSE)</f>
        <v>#N/A</v>
      </c>
      <c r="K8" s="6" t="e">
        <f>VLOOKUP(A1,DIV_09Data!$A$1:$DZU$1000000,131,FALSE)</f>
        <v>#N/A</v>
      </c>
      <c r="L8" s="83" t="e">
        <f>VLOOKUP(A1,DIV_09Data!$A$1:$DZU$1000000,132,FALSE)</f>
        <v>#N/A</v>
      </c>
      <c r="M8" s="6" t="e">
        <f>VLOOKUP(A1,DIV_09Data!$A$1:$DZU$1000000,133,FALSE)</f>
        <v>#N/A</v>
      </c>
      <c r="N8" s="6" t="e">
        <f>VLOOKUP(A1,DIV_09Data!$A$1:$DZU$1000000,134,FALSE)</f>
        <v>#N/A</v>
      </c>
      <c r="O8" s="95" t="e">
        <f>VLOOKUP(A1,DIV_09Data!$A$1:$DZU$1000000,135,FALSE)</f>
        <v>#N/A</v>
      </c>
      <c r="P8" s="6" t="e">
        <f>VLOOKUP(A1,DIV_09Data!$A$1:$DZU$1000000,136,FALSE)</f>
        <v>#N/A</v>
      </c>
      <c r="Q8" s="6" t="e">
        <f>VLOOKUP(A1,DIV_09Data!$A$1:$DZU$1000000,137,FALSE)</f>
        <v>#N/A</v>
      </c>
    </row>
    <row r="9" spans="1:17" ht="15" thickBot="1" x14ac:dyDescent="0.4">
      <c r="A9" s="15" t="e">
        <f>VLOOKUP(A1,DIV_09Data!$A$1:$DZU$1000000,138,FALSE)</f>
        <v>#N/A</v>
      </c>
      <c r="B9" s="16" t="e">
        <f>VLOOKUP(A1,DIV_09Data!$A$1:$DZU$1000000,139,FALSE)</f>
        <v>#N/A</v>
      </c>
      <c r="C9" s="17" t="e">
        <f>VLOOKUP(A1,DIV_09Data!$A$1:$DZU$1000000,140,FALSE)</f>
        <v>#N/A</v>
      </c>
      <c r="D9" s="18" t="e">
        <f>VLOOKUP(A1,DIV_09Data!$A$1:$DZU$1000000,141,FALSE)</f>
        <v>#N/A</v>
      </c>
      <c r="E9" s="19" t="e">
        <f>VLOOKUP(A1,DIV_09Data!$A$1:$DZU$1000000,142,FALSE)</f>
        <v>#N/A</v>
      </c>
      <c r="F9" s="16" t="e">
        <f>VLOOKUP(A1,DIV_09Data!$A$1:$DZU$1000000,143,FALSE)</f>
        <v>#N/A</v>
      </c>
      <c r="G9" s="20" t="e">
        <f>VLOOKUP(A1,DIV_09Data!$A$1:$DZU$1000000,144,FALSE)</f>
        <v>#N/A</v>
      </c>
      <c r="H9" s="16" t="e">
        <f>VLOOKUP(A1,DIV_09Data!$A$1:$DZU$1000000,145,FALSE)</f>
        <v>#N/A</v>
      </c>
      <c r="I9" s="20" t="e">
        <f>VLOOKUP(A1,DIV_09Data!$A$1:$DZU$1000000,146,FALSE)</f>
        <v>#N/A</v>
      </c>
      <c r="J9" s="21" t="e">
        <f>VLOOKUP(A1,DIV_09Data!$A$1:$DZU$1000000,147,FALSE)</f>
        <v>#N/A</v>
      </c>
      <c r="K9" s="16" t="e">
        <f>VLOOKUP(A1,DIV_09Data!$A$1:$DZU$1000000,148,FALSE)</f>
        <v>#N/A</v>
      </c>
      <c r="L9" s="21" t="e">
        <f>VLOOKUP(A1,DIV_09Data!$A$1:$DZU$1000000,149,FALSE)</f>
        <v>#N/A</v>
      </c>
      <c r="M9" s="20" t="e">
        <f>VLOOKUP(A1,DIV_09Data!$A$1:$DZU$1000000,150,FALSE)</f>
        <v>#N/A</v>
      </c>
      <c r="N9" s="16" t="e">
        <f>VLOOKUP(A1,DIV_09Data!$A$1:$DZU$1000000,151,FALSE)</f>
        <v>#N/A</v>
      </c>
      <c r="O9" s="20" t="e">
        <f>VLOOKUP(A1,DIV_09Data!$A$1:$DZU$1000000,152,FALSE)</f>
        <v>#N/A</v>
      </c>
      <c r="P9" s="18" t="e">
        <f>VLOOKUP(A1,DIV_09Data!$A$1:$DZU$1000000,153,FALSE)</f>
        <v>#N/A</v>
      </c>
      <c r="Q9" s="20" t="e">
        <f>VLOOKUP(A1,DIV_09Data!$A$1:$DZU$1000000,154,FALSE)</f>
        <v>#N/A</v>
      </c>
    </row>
    <row r="10" spans="1:17" ht="15" thickBot="1" x14ac:dyDescent="0.4">
      <c r="A10" s="22" t="e">
        <f>VLOOKUP(A1,DIV_09Data!$A$1:$DZU$1000000,155,FALSE)</f>
        <v>#N/A</v>
      </c>
      <c r="B10" s="23" t="e">
        <f>VLOOKUP(A1,DIV_09Data!$A$1:$DZU$1000000,156,FALSE)</f>
        <v>#N/A</v>
      </c>
      <c r="C10" s="24" t="e">
        <f>VLOOKUP(A1,DIV_09Data!$A$1:$DZU$1000000,157,FALSE)</f>
        <v>#N/A</v>
      </c>
      <c r="D10" s="25" t="e">
        <f>VLOOKUP(A1,DIV_09Data!$A$1:$DZU$1000000,158,FALSE)</f>
        <v>#N/A</v>
      </c>
      <c r="E10" s="26" t="e">
        <f>VLOOKUP(A1,DIV_09Data!$A$1:$DZU$1000000,159,FALSE)</f>
        <v>#N/A</v>
      </c>
      <c r="F10" s="27" t="e">
        <f>VLOOKUP(A1,DIV_09Data!$A$1:$DZU$1000000,160,FALSE)</f>
        <v>#N/A</v>
      </c>
      <c r="G10" s="28" t="e">
        <f>VLOOKUP(A1,DIV_09Data!$A$1:$DZU$1000000,161,FALSE)</f>
        <v>#N/A</v>
      </c>
      <c r="H10" s="27" t="e">
        <f>VLOOKUP(A1,DIV_09Data!$A$1:$DZU$1000000,162,FALSE)</f>
        <v>#N/A</v>
      </c>
      <c r="I10" s="28" t="e">
        <f>VLOOKUP(A1,DIV_09Data!$A$1:$DZU$1000000,163,FALSE)</f>
        <v>#N/A</v>
      </c>
      <c r="J10" s="27" t="e">
        <f>VLOOKUP(A1,DIV_09Data!$A$1:$DZU$1000000,164,FALSE)</f>
        <v>#N/A</v>
      </c>
      <c r="K10" s="27" t="e">
        <f>VLOOKUP(A1,DIV_09Data!$A$1:$DZU$1000000,165,FALSE)</f>
        <v>#N/A</v>
      </c>
      <c r="L10" s="27" t="e">
        <f>VLOOKUP(A1,DIV_09Data!$A$1:$DZU$1000000,166,FALSE)</f>
        <v>#N/A</v>
      </c>
      <c r="M10" s="28" t="e">
        <f>VLOOKUP(A1,DIV_09Data!$A$1:$DZU$1000000,167,FALSE)</f>
        <v>#N/A</v>
      </c>
      <c r="N10" s="27" t="e">
        <f>VLOOKUP(A1,DIV_09Data!$A$1:$DZU$1000000,168,FALSE)</f>
        <v>#N/A</v>
      </c>
      <c r="O10" s="28" t="e">
        <f>VLOOKUP(A1,DIV_09Data!$A$1:$DZU$1000000,169,FALSE)</f>
        <v>#N/A</v>
      </c>
      <c r="P10" s="25" t="e">
        <f>VLOOKUP(A1,DIV_09Data!$A$1:$DZU$1000000,170,FALSE)</f>
        <v>#N/A</v>
      </c>
      <c r="Q10" s="28" t="e">
        <f>VLOOKUP(A1,DIV_09Data!$A$1:$DZU$1000000,171,FALSE)</f>
        <v>#N/A</v>
      </c>
    </row>
    <row r="11" spans="1:17" x14ac:dyDescent="0.35">
      <c r="A11" s="22" t="e">
        <f>VLOOKUP(A1,DIV_09Data!$A$1:$DZU$1000000,172,FALSE)</f>
        <v>#N/A</v>
      </c>
      <c r="B11" s="29" t="e">
        <f>VLOOKUP(A1,DIV_09Data!$A$1:$DZU$1000000,173,FALSE)</f>
        <v>#N/A</v>
      </c>
      <c r="C11" s="30" t="e">
        <f>VLOOKUP(A1,DIV_09Data!$A$1:$DZU$1000000,174,FALSE)</f>
        <v>#N/A</v>
      </c>
      <c r="D11" s="31" t="e">
        <f>VLOOKUP(A1,DIV_09Data!$A$1:$DZU$1000000,175,FALSE)</f>
        <v>#N/A</v>
      </c>
      <c r="E11" s="32" t="e">
        <f>VLOOKUP(A1,DIV_09Data!$A$1:$DZU$1000000,176,FALSE)</f>
        <v>#N/A</v>
      </c>
      <c r="F11" s="34" t="e">
        <f>VLOOKUP(A1,DIV_09Data!$A$1:$DZU$1000000,177,FALSE)</f>
        <v>#N/A</v>
      </c>
      <c r="G11" s="33" t="e">
        <f>VLOOKUP(A1,DIV_09Data!$A$1:$DZU$1000000,178,FALSE)</f>
        <v>#N/A</v>
      </c>
      <c r="H11" s="34" t="e">
        <f>VLOOKUP(A1,DIV_09Data!$A$1:$DZU$1000000,179,FALSE)</f>
        <v>#N/A</v>
      </c>
      <c r="I11" s="33" t="e">
        <f>VLOOKUP(A1,DIV_09Data!$A$1:$DZU$1000000,180,FALSE)</f>
        <v>#N/A</v>
      </c>
      <c r="J11" s="34" t="e">
        <f>VLOOKUP(A1,DIV_09Data!$A$1:$DZU$1000000,181,FALSE)</f>
        <v>#N/A</v>
      </c>
      <c r="K11" s="34" t="e">
        <f>VLOOKUP(A1,DIV_09Data!$A$1:$DZU$1000000,182,FALSE)</f>
        <v>#N/A</v>
      </c>
      <c r="L11" s="34" t="e">
        <f>VLOOKUP(A1,DIV_09Data!$A$1:$DZU$1000000,183,FALSE)</f>
        <v>#N/A</v>
      </c>
      <c r="M11" s="33" t="e">
        <f>VLOOKUP(A1,DIV_09Data!$A$1:$DZU$1000000,184,FALSE)</f>
        <v>#N/A</v>
      </c>
      <c r="N11" s="34" t="e">
        <f>VLOOKUP(A1,DIV_09Data!$A$1:$DZU$1000000,185,FALSE)</f>
        <v>#N/A</v>
      </c>
      <c r="O11" s="35" t="e">
        <f>VLOOKUP(A1,DIV_09Data!$A$1:$DZU$1000000,186,FALSE)</f>
        <v>#N/A</v>
      </c>
      <c r="P11" s="31" t="e">
        <f>VLOOKUP(A1,DIV_09Data!$A$1:$DZU$1000000,187,FALSE)</f>
        <v>#N/A</v>
      </c>
      <c r="Q11" s="35" t="e">
        <f>VLOOKUP(A1,DIV_09Data!$A$1:$DZU$1000000,188,FALSE)</f>
        <v>#N/A</v>
      </c>
    </row>
    <row r="12" spans="1:17" x14ac:dyDescent="0.35">
      <c r="A12" s="22" t="e">
        <f>VLOOKUP(A1,DIV_09Data!$A$1:$DZU$1000000,189,FALSE)</f>
        <v>#N/A</v>
      </c>
      <c r="B12" s="29" t="e">
        <f>VLOOKUP(A1,DIV_09Data!$A$1:$DZU$1000000,190,FALSE)</f>
        <v>#N/A</v>
      </c>
      <c r="C12" s="30" t="e">
        <f>VLOOKUP(A1,DIV_09Data!$A$1:$DZU$1000000,191,FALSE)</f>
        <v>#N/A</v>
      </c>
      <c r="D12" s="31" t="e">
        <f>VLOOKUP(A1,DIV_09Data!$A$1:$DZU$1000000,192,FALSE)</f>
        <v>#N/A</v>
      </c>
      <c r="E12" s="32" t="e">
        <f>VLOOKUP(A1,DIV_09Data!$A$1:$DZU$1000000,193,FALSE)</f>
        <v>#N/A</v>
      </c>
      <c r="F12" s="34" t="e">
        <f>VLOOKUP(A1,DIV_09Data!$A$1:$DZU$1000000,194,FALSE)</f>
        <v>#N/A</v>
      </c>
      <c r="G12" s="33" t="e">
        <f>VLOOKUP(A1,DIV_09Data!$A$1:$DZU$1000000,195,FALSE)</f>
        <v>#N/A</v>
      </c>
      <c r="H12" s="34" t="e">
        <f>VLOOKUP(A1,DIV_09Data!$A$1:$DZU$1000000,196,FALSE)</f>
        <v>#N/A</v>
      </c>
      <c r="I12" s="33" t="e">
        <f>VLOOKUP(A1,DIV_09Data!$A$1:$DZU$1000000,197,FALSE)</f>
        <v>#N/A</v>
      </c>
      <c r="J12" s="34" t="e">
        <f>VLOOKUP(A1,DIV_09Data!$A$1:$DZU$1000000,198,FALSE)</f>
        <v>#N/A</v>
      </c>
      <c r="K12" s="34" t="e">
        <f>VLOOKUP(A1,DIV_09Data!$A$1:$DZU$1000000,199,FALSE)</f>
        <v>#N/A</v>
      </c>
      <c r="L12" s="34" t="e">
        <f>VLOOKUP(A1,DIV_09Data!$A$1:$DZU$1000000,200,FALSE)</f>
        <v>#N/A</v>
      </c>
      <c r="M12" s="33" t="e">
        <f>VLOOKUP(A1,DIV_09Data!$A$1:$DZU$1000000,201,FALSE)</f>
        <v>#N/A</v>
      </c>
      <c r="N12" s="34" t="e">
        <f>VLOOKUP(A1,DIV_09Data!$A$1:$DZU$1000000,202,FALSE)</f>
        <v>#N/A</v>
      </c>
      <c r="O12" s="35" t="e">
        <f>VLOOKUP(A1,DIV_09Data!$A$1:$DZU$1000000,203,FALSE)</f>
        <v>#N/A</v>
      </c>
      <c r="P12" s="31" t="e">
        <f>VLOOKUP(A1,DIV_09Data!$A$1:$DZU$1000000,204,FALSE)</f>
        <v>#N/A</v>
      </c>
      <c r="Q12" s="35" t="e">
        <f>VLOOKUP(A1,DIV_09Data!$A$1:$DZU$1000000,205,FALSE)</f>
        <v>#N/A</v>
      </c>
    </row>
    <row r="13" spans="1:17" x14ac:dyDescent="0.35">
      <c r="A13" s="22" t="e">
        <f>VLOOKUP(A1,DIV_09Data!$A$1:$DZU$1000000,206,FALSE)</f>
        <v>#N/A</v>
      </c>
      <c r="B13" s="37" t="e">
        <f>VLOOKUP(A1,DIV_09Data!$A$1:$DZU$1000000,207,FALSE)</f>
        <v>#N/A</v>
      </c>
      <c r="C13" s="38" t="e">
        <f>VLOOKUP(A1,DIV_09Data!$A$1:$DZU$1000000,208,FALSE)</f>
        <v>#N/A</v>
      </c>
      <c r="D13" s="31" t="e">
        <f>VLOOKUP(A1,DIV_09Data!$A$1:$DZU$1000000,209,FALSE)</f>
        <v>#N/A</v>
      </c>
      <c r="E13" s="32" t="e">
        <f>VLOOKUP(A1,DIV_09Data!$A$1:$DZU$1000000,210,FALSE)</f>
        <v>#N/A</v>
      </c>
      <c r="F13" s="93" t="e">
        <f>VLOOKUP(A1,DIV_09Data!$A$1:$DZU$1000000,211,FALSE)</f>
        <v>#N/A</v>
      </c>
      <c r="G13" s="33" t="e">
        <f>VLOOKUP(A1,DIV_09Data!$A$1:$DZU$1000000,212,FALSE)</f>
        <v>#N/A</v>
      </c>
      <c r="H13" s="93" t="e">
        <f>VLOOKUP(A1,DIV_09Data!$A$1:$DZU$1000000,213,FALSE)</f>
        <v>#N/A</v>
      </c>
      <c r="I13" s="33" t="e">
        <f>VLOOKUP(A1,DIV_09Data!$A$1:$DZU$1000000,214,FALSE)</f>
        <v>#N/A</v>
      </c>
      <c r="J13" s="34" t="e">
        <f>VLOOKUP(A1,DIV_09Data!$A$1:$DZU$1000000,215,FALSE)</f>
        <v>#N/A</v>
      </c>
      <c r="K13" s="34" t="e">
        <f>VLOOKUP(A1,DIV_09Data!$A$1:$DZU$1000000,216,FALSE)</f>
        <v>#N/A</v>
      </c>
      <c r="L13" s="93" t="e">
        <f>VLOOKUP(A1,DIV_09Data!$A$1:$DZU$1000000,217,FALSE)</f>
        <v>#N/A</v>
      </c>
      <c r="M13" s="33" t="e">
        <f>VLOOKUP(A1,DIV_09Data!$A$1:$DZU$1000000,218,FALSE)</f>
        <v>#N/A</v>
      </c>
      <c r="N13" s="93" t="e">
        <f>VLOOKUP(A1,DIV_09Data!$A$1:$DZU$1000000,219,FALSE)</f>
        <v>#N/A</v>
      </c>
      <c r="O13" s="33" t="e">
        <f>VLOOKUP(A1,DIV_09Data!$A$1:$DZU$1000000,220,FALSE)</f>
        <v>#N/A</v>
      </c>
      <c r="P13" s="46" t="e">
        <f>VLOOKUP(A1,DIV_09Data!$A$1:$DZU$1000000,221,FALSE)</f>
        <v>#N/A</v>
      </c>
      <c r="Q13" s="33" t="e">
        <f>VLOOKUP(A1,DIV_09Data!$A$1:$DZU$1000000,222,FALSE)</f>
        <v>#N/A</v>
      </c>
    </row>
    <row r="14" spans="1:17" x14ac:dyDescent="0.35">
      <c r="A14" s="22" t="e">
        <f>VLOOKUP(A1,DIV_09Data!$A$1:$DZU$1000000,223,FALSE)</f>
        <v>#N/A</v>
      </c>
      <c r="B14" s="37" t="e">
        <f>VLOOKUP(A1,DIV_09Data!$A$1:$DZU$1000000,224,FALSE)</f>
        <v>#N/A</v>
      </c>
      <c r="C14" s="38" t="e">
        <f>VLOOKUP(A1,DIV_09Data!$A$1:$DZU$1000000,225,FALSE)</f>
        <v>#N/A</v>
      </c>
      <c r="D14" s="31" t="e">
        <f>VLOOKUP(A1,DIV_09Data!$A$1:$DZU$1000000,226,FALSE)</f>
        <v>#N/A</v>
      </c>
      <c r="E14" s="32" t="e">
        <f>VLOOKUP(A1,DIV_09Data!$A$1:$DZU$1000000,227,FALSE)</f>
        <v>#N/A</v>
      </c>
      <c r="F14" s="34" t="e">
        <f>VLOOKUP(A1,DIV_09Data!$A$1:$DZU$1000000,228,FALSE)</f>
        <v>#N/A</v>
      </c>
      <c r="G14" s="33" t="e">
        <f>VLOOKUP(A1,DIV_09Data!$A$1:$DZU$1000000,229,FALSE)</f>
        <v>#N/A</v>
      </c>
      <c r="H14" s="34" t="e">
        <f>VLOOKUP(A1,DIV_09Data!$A$1:$DZU$1000000,230,FALSE)</f>
        <v>#N/A</v>
      </c>
      <c r="I14" s="33" t="e">
        <f>VLOOKUP(A1,DIV_09Data!$A$1:$DZU$1000000,231,FALSE)</f>
        <v>#N/A</v>
      </c>
      <c r="J14" s="34" t="e">
        <f>VLOOKUP(A1,DIV_09Data!$A$1:$DZU$1000000,232,FALSE)</f>
        <v>#N/A</v>
      </c>
      <c r="K14" s="34" t="e">
        <f>VLOOKUP(A1,DIV_09Data!$A$1:$DZU$1000000,233,FALSE)</f>
        <v>#N/A</v>
      </c>
      <c r="L14" s="34" t="e">
        <f>VLOOKUP(A1,DIV_09Data!$A$1:$DZU$1000000,234,FALSE)</f>
        <v>#N/A</v>
      </c>
      <c r="M14" s="33" t="e">
        <f>VLOOKUP(A1,DIV_09Data!$A$1:$DZU$1000000,235,FALSE)</f>
        <v>#N/A</v>
      </c>
      <c r="N14" s="34" t="e">
        <f>VLOOKUP(A1,DIV_09Data!$A$1:$DZU$1000000,236,FALSE)</f>
        <v>#N/A</v>
      </c>
      <c r="O14" s="33" t="e">
        <f>VLOOKUP(A1,DIV_09Data!$A$1:$DZU$1000000,237,FALSE)</f>
        <v>#N/A</v>
      </c>
      <c r="P14" s="46" t="e">
        <f>VLOOKUP(A1,DIV_09Data!$A$1:$DZU$1000000,238,FALSE)</f>
        <v>#N/A</v>
      </c>
      <c r="Q14" s="33" t="e">
        <f>VLOOKUP(A1,DIV_09Data!$A$1:$DZU$1000000,239,FALSE)</f>
        <v>#N/A</v>
      </c>
    </row>
    <row r="15" spans="1:17" x14ac:dyDescent="0.35">
      <c r="A15" s="22" t="e">
        <f>VLOOKUP(A1,DIV_09Data!$A$1:$DZU$1000000,240,FALSE)</f>
        <v>#N/A</v>
      </c>
      <c r="B15" s="37" t="e">
        <f>VLOOKUP(A1,DIV_09Data!$A$1:$DZU$1000000,241,FALSE)</f>
        <v>#N/A</v>
      </c>
      <c r="C15" s="38" t="e">
        <f>VLOOKUP(A1,DIV_09Data!$A$1:$DZU$1000000,242,FALSE)</f>
        <v>#N/A</v>
      </c>
      <c r="D15" s="31" t="e">
        <f>VLOOKUP(A1,DIV_09Data!$A$1:$DZU$1000000,243,FALSE)</f>
        <v>#N/A</v>
      </c>
      <c r="E15" s="32" t="e">
        <f>VLOOKUP(A1,DIV_09Data!$A$1:$DZU$1000000,244,FALSE)</f>
        <v>#N/A</v>
      </c>
      <c r="F15" s="34" t="e">
        <f>VLOOKUP(A1,DIV_09Data!$A$1:$DZU$1000000,245,FALSE)</f>
        <v>#N/A</v>
      </c>
      <c r="G15" s="33" t="e">
        <f>VLOOKUP(A1,DIV_09Data!$A$1:$DZU$1000000,246,FALSE)</f>
        <v>#N/A</v>
      </c>
      <c r="H15" s="34" t="e">
        <f>VLOOKUP(A1,DIV_09Data!$A$1:$DZU$1000000,247,FALSE)</f>
        <v>#N/A</v>
      </c>
      <c r="I15" s="33" t="e">
        <f>VLOOKUP(A1,DIV_09Data!$A$1:$DZU$1000000,248,FALSE)</f>
        <v>#N/A</v>
      </c>
      <c r="J15" s="34" t="e">
        <f>VLOOKUP(A1,DIV_09Data!$A$1:$DZU$1000000,249,FALSE)</f>
        <v>#N/A</v>
      </c>
      <c r="K15" s="34" t="e">
        <f>VLOOKUP(A1,DIV_09Data!$A$1:$DZU$1000000,250,FALSE)</f>
        <v>#N/A</v>
      </c>
      <c r="L15" s="34" t="e">
        <f>VLOOKUP(A1,DIV_09Data!$A$1:$DZU$1000000,251,FALSE)</f>
        <v>#N/A</v>
      </c>
      <c r="M15" s="33" t="e">
        <f>VLOOKUP(A1,DIV_09Data!$A$1:$DZU$1000000,252,FALSE)</f>
        <v>#N/A</v>
      </c>
      <c r="N15" s="34" t="e">
        <f>VLOOKUP(A1,DIV_09Data!$A$1:$DZU$1000000,253,FALSE)</f>
        <v>#N/A</v>
      </c>
      <c r="O15" s="33" t="e">
        <f>VLOOKUP(A1,DIV_09Data!$A$1:$DZU$1000000,254,FALSE)</f>
        <v>#N/A</v>
      </c>
      <c r="P15" s="31" t="e">
        <f>VLOOKUP(A1,DIV_09Data!$A$1:$DZU$1000000,255,FALSE)</f>
        <v>#N/A</v>
      </c>
      <c r="Q15" s="33" t="e">
        <f>VLOOKUP(A1,DIV_09Data!$A$1:$DZU$1000000,256,FALSE)</f>
        <v>#N/A</v>
      </c>
    </row>
    <row r="16" spans="1:17" x14ac:dyDescent="0.35">
      <c r="A16" s="22" t="e">
        <f>VLOOKUP(A1,DIV_09Data!$A$1:$DZU$1000000,257,FALSE)</f>
        <v>#N/A</v>
      </c>
      <c r="B16" s="37" t="e">
        <f>VLOOKUP(A1,DIV_09Data!$A$1:$DZU$1000000,258,FALSE)</f>
        <v>#N/A</v>
      </c>
      <c r="C16" s="38" t="e">
        <f>VLOOKUP(A1,DIV_09Data!$A$1:$DZU$1000000,259,FALSE)</f>
        <v>#N/A</v>
      </c>
      <c r="D16" s="31" t="e">
        <f>VLOOKUP(A1,DIV_09Data!$A$1:$DZU$1000000,260,FALSE)</f>
        <v>#N/A</v>
      </c>
      <c r="E16" s="32" t="e">
        <f>VLOOKUP(A1,DIV_09Data!$A$1:$DZU$1000000,261,FALSE)</f>
        <v>#N/A</v>
      </c>
      <c r="F16" s="34" t="e">
        <f>VLOOKUP(A1,DIV_09Data!$A$1:$DZU$1000000,262,FALSE)</f>
        <v>#N/A</v>
      </c>
      <c r="G16" s="33" t="e">
        <f>VLOOKUP(A1,DIV_09Data!$A$1:$DZU$1000000,263,FALSE)</f>
        <v>#N/A</v>
      </c>
      <c r="H16" s="34" t="e">
        <f>VLOOKUP(A1,DIV_09Data!$A$1:$DZU$1000000,264,FALSE)</f>
        <v>#N/A</v>
      </c>
      <c r="I16" s="33" t="e">
        <f>VLOOKUP(A1,DIV_09Data!$A$1:$DZU$1000000,265,FALSE)</f>
        <v>#N/A</v>
      </c>
      <c r="J16" s="34" t="e">
        <f>VLOOKUP(A1,DIV_09Data!$A$1:$DZU$1000000,266,FALSE)</f>
        <v>#N/A</v>
      </c>
      <c r="K16" s="34" t="e">
        <f>VLOOKUP(A1,DIV_09Data!$A$1:$DZU$1000000,267,FALSE)</f>
        <v>#N/A</v>
      </c>
      <c r="L16" s="93" t="e">
        <f>VLOOKUP(A1,DIV_09Data!$A$1:$DZU$1000000,268,FALSE)</f>
        <v>#N/A</v>
      </c>
      <c r="M16" s="33" t="e">
        <f>VLOOKUP(A1,DIV_09Data!$A$1:$DZU$1000000,269,FALSE)</f>
        <v>#N/A</v>
      </c>
      <c r="N16" s="34" t="e">
        <f>VLOOKUP(A1,DIV_09Data!$A$1:$DZU$1000000,270,FALSE)</f>
        <v>#N/A</v>
      </c>
      <c r="O16" s="33" t="e">
        <f>VLOOKUP(A1,DIV_09Data!$A$1:$DZU$1000000,271,FALSE)</f>
        <v>#N/A</v>
      </c>
      <c r="P16" s="46" t="e">
        <f>VLOOKUP(A1,DIV_09Data!$A$1:$DZU$1000000,272,FALSE)</f>
        <v>#N/A</v>
      </c>
      <c r="Q16" s="33" t="e">
        <f>VLOOKUP(A1,DIV_09Data!$A$1:$DZU$1000000,273,FALSE)</f>
        <v>#N/A</v>
      </c>
    </row>
    <row r="17" spans="1:17" x14ac:dyDescent="0.35">
      <c r="A17" s="22" t="e">
        <f>VLOOKUP(A1,DIV_09Data!$A$1:$DZU$1000000,274,FALSE)</f>
        <v>#N/A</v>
      </c>
      <c r="B17" s="37" t="e">
        <f>VLOOKUP(A1,DIV_09Data!$A$1:$DZU$1000000,275,FALSE)</f>
        <v>#N/A</v>
      </c>
      <c r="C17" s="38" t="e">
        <f>VLOOKUP(A1,DIV_09Data!$A$1:$DZU$1000000,276,FALSE)</f>
        <v>#N/A</v>
      </c>
      <c r="D17" s="31" t="e">
        <f>VLOOKUP(A1,DIV_09Data!$A$1:$DZU$1000000,277,FALSE)</f>
        <v>#N/A</v>
      </c>
      <c r="E17" s="32" t="e">
        <f>VLOOKUP(A1,DIV_09Data!$A$1:$DZU$1000000,278,FALSE)</f>
        <v>#N/A</v>
      </c>
      <c r="F17" s="34" t="e">
        <f>VLOOKUP(A1,DIV_09Data!$A$1:$DZU$1000000,279,FALSE)</f>
        <v>#N/A</v>
      </c>
      <c r="G17" s="33" t="e">
        <f>VLOOKUP(A1,DIV_09Data!$A$1:$DZU$1000000,280,FALSE)</f>
        <v>#N/A</v>
      </c>
      <c r="H17" s="34" t="e">
        <f>VLOOKUP(A1,DIV_09Data!$A$1:$DZU$1000000,281,FALSE)</f>
        <v>#N/A</v>
      </c>
      <c r="I17" s="33" t="e">
        <f>VLOOKUP(A1,DIV_09Data!$A$1:$DZU$1000000,282,FALSE)</f>
        <v>#N/A</v>
      </c>
      <c r="J17" s="34" t="e">
        <f>VLOOKUP(A1,DIV_09Data!$A$1:$DZU$1000000,283,FALSE)</f>
        <v>#N/A</v>
      </c>
      <c r="K17" s="34" t="e">
        <f>VLOOKUP(A1,DIV_09Data!$A$1:$DZU$1000000,284,FALSE)</f>
        <v>#N/A</v>
      </c>
      <c r="L17" s="93" t="e">
        <f>VLOOKUP(A1,DIV_09Data!$A$1:$DZU$1000000,285,FALSE)</f>
        <v>#N/A</v>
      </c>
      <c r="M17" s="33" t="e">
        <f>VLOOKUP(A1,DIV_09Data!$A$1:$DZU$1000000,286,FALSE)</f>
        <v>#N/A</v>
      </c>
      <c r="N17" s="34" t="e">
        <f>VLOOKUP(A1,DIV_09Data!$A$1:$DZU$1000000,287,FALSE)</f>
        <v>#N/A</v>
      </c>
      <c r="O17" s="33" t="e">
        <f>VLOOKUP(A1,DIV_09Data!$A$1:$DZU$1000000,288,FALSE)</f>
        <v>#N/A</v>
      </c>
      <c r="P17" s="46" t="e">
        <f>VLOOKUP(A1,DIV_09Data!$A$1:$DZU$1000000,289,FALSE)</f>
        <v>#N/A</v>
      </c>
      <c r="Q17" s="33" t="e">
        <f>VLOOKUP(A1,DIV_09Data!$A$1:$DZU$1000000,290,FALSE)</f>
        <v>#N/A</v>
      </c>
    </row>
    <row r="18" spans="1:17" x14ac:dyDescent="0.35">
      <c r="A18" s="22" t="e">
        <f>VLOOKUP(A1,DIV_09Data!$A$1:$DZU$1000000,291,FALSE)</f>
        <v>#N/A</v>
      </c>
      <c r="B18" s="37" t="e">
        <f>VLOOKUP(A1,DIV_09Data!$A$1:$DZU$1000000,292,FALSE)</f>
        <v>#N/A</v>
      </c>
      <c r="C18" s="38" t="e">
        <f>VLOOKUP(A1,DIV_09Data!$A$1:$DZU$1000000,293,FALSE)</f>
        <v>#N/A</v>
      </c>
      <c r="D18" s="31" t="e">
        <f>VLOOKUP(A1,DIV_09Data!$A$1:$DZU$1000000,294,FALSE)</f>
        <v>#N/A</v>
      </c>
      <c r="E18" s="32" t="e">
        <f>VLOOKUP(A1,DIV_09Data!$A$1:$DZU$1000000,295,FALSE)</f>
        <v>#N/A</v>
      </c>
      <c r="F18" s="34" t="e">
        <f>VLOOKUP(A1,DIV_09Data!$A$1:$DZU$1000000,296,FALSE)</f>
        <v>#N/A</v>
      </c>
      <c r="G18" s="33" t="e">
        <f>VLOOKUP(A1,DIV_09Data!$A$1:$DZU$1000000,297,FALSE)</f>
        <v>#N/A</v>
      </c>
      <c r="H18" s="34" t="e">
        <f>VLOOKUP(A1,DIV_09Data!$A$1:$DZU$1000000,298,FALSE)</f>
        <v>#N/A</v>
      </c>
      <c r="I18" s="33" t="e">
        <f>VLOOKUP(A1,DIV_09Data!$A$1:$DZU$1000000,299,FALSE)</f>
        <v>#N/A</v>
      </c>
      <c r="J18" s="34" t="e">
        <f>VLOOKUP(A1,DIV_09Data!$A$1:$DZU$1000000,300,FALSE)</f>
        <v>#N/A</v>
      </c>
      <c r="K18" s="34" t="e">
        <f>VLOOKUP(A1,DIV_09Data!$A$1:$DZU$1000000,301,FALSE)</f>
        <v>#N/A</v>
      </c>
      <c r="L18" s="93" t="e">
        <f>VLOOKUP(A1,DIV_09Data!$A$1:$DZU$1000000,302,FALSE)</f>
        <v>#N/A</v>
      </c>
      <c r="M18" s="33" t="e">
        <f>VLOOKUP(A1,DIV_09Data!$A$1:$DZU$1000000,303,FALSE)</f>
        <v>#N/A</v>
      </c>
      <c r="N18" s="34" t="e">
        <f>VLOOKUP(A1,DIV_09Data!$A$1:$DZU$1000000,304,FALSE)</f>
        <v>#N/A</v>
      </c>
      <c r="O18" s="33" t="e">
        <f>VLOOKUP(A1,DIV_09Data!$A$1:$DZU$1000000,305,FALSE)</f>
        <v>#N/A</v>
      </c>
      <c r="P18" s="46" t="e">
        <f>VLOOKUP(A1,DIV_09Data!$A$1:$DZU$1000000,306,FALSE)</f>
        <v>#N/A</v>
      </c>
      <c r="Q18" s="33" t="e">
        <f>VLOOKUP(A1,DIV_09Data!$A$1:$DZU$1000000,307,FALSE)</f>
        <v>#N/A</v>
      </c>
    </row>
    <row r="19" spans="1:17" x14ac:dyDescent="0.35">
      <c r="A19" s="22" t="e">
        <f>VLOOKUP(A1,DIV_09Data!$A$1:$DZU$1000000,308,FALSE)</f>
        <v>#N/A</v>
      </c>
      <c r="B19" s="37" t="e">
        <f>VLOOKUP(A1,DIV_09Data!$A$1:$DZU$1000000,309,FALSE)</f>
        <v>#N/A</v>
      </c>
      <c r="C19" s="38" t="e">
        <f>VLOOKUP(A1,DIV_09Data!$A$1:$DZU$1000000,310,FALSE)</f>
        <v>#N/A</v>
      </c>
      <c r="D19" s="31" t="e">
        <f>VLOOKUP(A1,DIV_09Data!$A$1:$DZU$1000000,311,FALSE)</f>
        <v>#N/A</v>
      </c>
      <c r="E19" s="32" t="e">
        <f>VLOOKUP(A1,DIV_09Data!$A$1:$DZU$1000000,312,FALSE)</f>
        <v>#N/A</v>
      </c>
      <c r="F19" s="34" t="e">
        <f>VLOOKUP(A1,DIV_09Data!$A$1:$DZU$1000000,313,FALSE)</f>
        <v>#N/A</v>
      </c>
      <c r="G19" s="33" t="e">
        <f>VLOOKUP(A1,DIV_09Data!$A$1:$DZU$1000000,314,FALSE)</f>
        <v>#N/A</v>
      </c>
      <c r="H19" s="34" t="e">
        <f>VLOOKUP(A1,DIV_09Data!$A$1:$DZU$1000000,315,FALSE)</f>
        <v>#N/A</v>
      </c>
      <c r="I19" s="33" t="e">
        <f>VLOOKUP(A1,DIV_09Data!$A$1:$DZU$1000000,316,FALSE)</f>
        <v>#N/A</v>
      </c>
      <c r="J19" s="34" t="e">
        <f>VLOOKUP(A1,DIV_09Data!$A$1:$DZU$1000000,317,FALSE)</f>
        <v>#N/A</v>
      </c>
      <c r="K19" s="34" t="e">
        <f>VLOOKUP(A1,DIV_09Data!$A$1:$DZU$1000000,318,FALSE)</f>
        <v>#N/A</v>
      </c>
      <c r="L19" s="93" t="e">
        <f>VLOOKUP(A1,DIV_09Data!$A$1:$DZU$1000000,319,FALSE)</f>
        <v>#N/A</v>
      </c>
      <c r="M19" s="33" t="e">
        <f>VLOOKUP(A1,DIV_09Data!$A$1:$DZU$1000000,320,FALSE)</f>
        <v>#N/A</v>
      </c>
      <c r="N19" s="34" t="e">
        <f>VLOOKUP(A1,DIV_09Data!$A$1:$DZU$1000000,321,FALSE)</f>
        <v>#N/A</v>
      </c>
      <c r="O19" s="33" t="e">
        <f>VLOOKUP(A1,DIV_09Data!$A$1:$DZU$1000000,322,FALSE)</f>
        <v>#N/A</v>
      </c>
      <c r="P19" s="46" t="e">
        <f>VLOOKUP(A1,DIV_09Data!$A$1:$DZU$1000000,323,FALSE)</f>
        <v>#N/A</v>
      </c>
      <c r="Q19" s="33" t="e">
        <f>VLOOKUP(A1,DIV_09Data!$A$1:$DZU$1000000,324,FALSE)</f>
        <v>#N/A</v>
      </c>
    </row>
    <row r="20" spans="1:17" x14ac:dyDescent="0.35">
      <c r="A20" s="22" t="e">
        <f>VLOOKUP(A1,DIV_09Data!$A$1:$DZU$1000000,325,FALSE)</f>
        <v>#N/A</v>
      </c>
      <c r="B20" s="37" t="e">
        <f>VLOOKUP(A1,DIV_09Data!$A$1:$DZU$1000000,326,FALSE)</f>
        <v>#N/A</v>
      </c>
      <c r="C20" s="38" t="e">
        <f>VLOOKUP(A1,DIV_09Data!$A$1:$DZU$1000000,327,FALSE)</f>
        <v>#N/A</v>
      </c>
      <c r="D20" s="31" t="e">
        <f>VLOOKUP(A1,DIV_09Data!$A$1:$DZU$1000000,328,FALSE)</f>
        <v>#N/A</v>
      </c>
      <c r="E20" s="32" t="e">
        <f>VLOOKUP(A1,DIV_09Data!$A$1:$DZU$1000000,329,FALSE)</f>
        <v>#N/A</v>
      </c>
      <c r="F20" s="34" t="e">
        <f>VLOOKUP(A1,DIV_09Data!$A$1:$DZU$1000000,330,FALSE)</f>
        <v>#N/A</v>
      </c>
      <c r="G20" s="33" t="e">
        <f>VLOOKUP(A1,DIV_09Data!$A$1:$DZU$1000000,331,FALSE)</f>
        <v>#N/A</v>
      </c>
      <c r="H20" s="34" t="e">
        <f>VLOOKUP(A1,DIV_09Data!$A$1:$DZU$1000000,332,FALSE)</f>
        <v>#N/A</v>
      </c>
      <c r="I20" s="33" t="e">
        <f>VLOOKUP(A1,DIV_09Data!$A$1:$DZU$1000000,333,FALSE)</f>
        <v>#N/A</v>
      </c>
      <c r="J20" s="34" t="e">
        <f>VLOOKUP(A1,DIV_09Data!$A$1:$DZU$1000000,334,FALSE)</f>
        <v>#N/A</v>
      </c>
      <c r="K20" s="34" t="e">
        <f>VLOOKUP(A1,DIV_09Data!$A$1:$DZU$1000000,335,FALSE)</f>
        <v>#N/A</v>
      </c>
      <c r="L20" s="93" t="e">
        <f>VLOOKUP(A1,DIV_09Data!$A$1:$DZU$1000000,336,FALSE)</f>
        <v>#N/A</v>
      </c>
      <c r="M20" s="33" t="e">
        <f>VLOOKUP(A1,DIV_09Data!$A$1:$DZU$1000000,337,FALSE)</f>
        <v>#N/A</v>
      </c>
      <c r="N20" s="34" t="e">
        <f>VLOOKUP(A1,DIV_09Data!$A$1:$DZU$1000000,338,FALSE)</f>
        <v>#N/A</v>
      </c>
      <c r="O20" s="33" t="e">
        <f>VLOOKUP(A1,DIV_09Data!$A$1:$DZU$1000000,339,FALSE)</f>
        <v>#N/A</v>
      </c>
      <c r="P20" s="46" t="e">
        <f>VLOOKUP(A1,DIV_09Data!$A$1:$DZU$1000000,340,FALSE)</f>
        <v>#N/A</v>
      </c>
      <c r="Q20" s="33" t="e">
        <f>VLOOKUP(A1,DIV_09Data!$A$1:$DZU$1000000,341,FALSE)</f>
        <v>#N/A</v>
      </c>
    </row>
    <row r="21" spans="1:17" x14ac:dyDescent="0.35">
      <c r="A21" s="22" t="e">
        <f>VLOOKUP(A1,DIV_09Data!$A$1:$DZU$1000000,342,FALSE)</f>
        <v>#N/A</v>
      </c>
      <c r="B21" s="37" t="e">
        <f>VLOOKUP(A1,DIV_09Data!$A$1:$DZU$1000000,343,FALSE)</f>
        <v>#N/A</v>
      </c>
      <c r="C21" s="38" t="e">
        <f>VLOOKUP(A1,DIV_09Data!$A$1:$DZU$1000000,344,FALSE)</f>
        <v>#N/A</v>
      </c>
      <c r="D21" s="31" t="e">
        <f>VLOOKUP(A1,DIV_09Data!$A$1:$DZU$1000000,345,FALSE)</f>
        <v>#N/A</v>
      </c>
      <c r="E21" s="32" t="e">
        <f>VLOOKUP(A1,DIV_09Data!$A$1:$DZU$1000000,346,FALSE)</f>
        <v>#N/A</v>
      </c>
      <c r="F21" s="34" t="e">
        <f>VLOOKUP(A1,DIV_09Data!$A$1:$DZU$1000000,347,FALSE)</f>
        <v>#N/A</v>
      </c>
      <c r="G21" s="33" t="e">
        <f>VLOOKUP(A1,DIV_09Data!$A$1:$DZU$1000000,348,FALSE)</f>
        <v>#N/A</v>
      </c>
      <c r="H21" s="34" t="e">
        <f>VLOOKUP(A1,DIV_09Data!$A$1:$DZU$1000000,349,FALSE)</f>
        <v>#N/A</v>
      </c>
      <c r="I21" s="33" t="e">
        <f>VLOOKUP(A1,DIV_09Data!$A$1:$DZU$1000000,350,FALSE)</f>
        <v>#N/A</v>
      </c>
      <c r="J21" s="34" t="e">
        <f>VLOOKUP(A1,DIV_09Data!$A$1:$DZU$1000000,351,FALSE)</f>
        <v>#N/A</v>
      </c>
      <c r="K21" s="34" t="e">
        <f>VLOOKUP(A1,DIV_09Data!$A$1:$DZU$1000000,352,FALSE)</f>
        <v>#N/A</v>
      </c>
      <c r="L21" s="93" t="e">
        <f>VLOOKUP(A1,DIV_09Data!$A$1:$DZU$1000000,353,FALSE)</f>
        <v>#N/A</v>
      </c>
      <c r="M21" s="33" t="e">
        <f>VLOOKUP(A1,DIV_09Data!$A$1:$DZU$1000000,354,FALSE)</f>
        <v>#N/A</v>
      </c>
      <c r="N21" s="34" t="e">
        <f>VLOOKUP(A1,DIV_09Data!$A$1:$DZU$1000000,355,FALSE)</f>
        <v>#N/A</v>
      </c>
      <c r="O21" s="33" t="e">
        <f>VLOOKUP(A1,DIV_09Data!$A$1:$DZU$1000000,356,FALSE)</f>
        <v>#N/A</v>
      </c>
      <c r="P21" s="46" t="e">
        <f>VLOOKUP(A1,DIV_09Data!$A$1:$DZU$1000000,357,FALSE)</f>
        <v>#N/A</v>
      </c>
      <c r="Q21" s="33" t="e">
        <f>VLOOKUP(A1,DIV_09Data!$A$1:$DZU$1000000,358,FALSE)</f>
        <v>#N/A</v>
      </c>
    </row>
    <row r="22" spans="1:17" x14ac:dyDescent="0.35">
      <c r="A22" s="22" t="e">
        <f>VLOOKUP(A1,DIV_09Data!$A$1:$DZU$1000000,359,FALSE)</f>
        <v>#N/A</v>
      </c>
      <c r="B22" s="37" t="e">
        <f>VLOOKUP(A1,DIV_09Data!$A$1:$DZU$1000000,360,FALSE)</f>
        <v>#N/A</v>
      </c>
      <c r="C22" s="38" t="e">
        <f>VLOOKUP(A1,DIV_09Data!$A$1:$DZU$1000000,361,FALSE)</f>
        <v>#N/A</v>
      </c>
      <c r="D22" s="31" t="e">
        <f>VLOOKUP(A1,DIV_09Data!$A$1:$DZU$1000000,362,FALSE)</f>
        <v>#N/A</v>
      </c>
      <c r="E22" s="32" t="e">
        <f>VLOOKUP(A1,DIV_09Data!$A$1:$DZU$1000000,363,FALSE)</f>
        <v>#N/A</v>
      </c>
      <c r="F22" s="34" t="e">
        <f>VLOOKUP(A1,DIV_09Data!$A$1:$DZU$1000000,364,FALSE)</f>
        <v>#N/A</v>
      </c>
      <c r="G22" s="33" t="e">
        <f>VLOOKUP(A1,DIV_09Data!$A$1:$DZU$1000000,365,FALSE)</f>
        <v>#N/A</v>
      </c>
      <c r="H22" s="34" t="e">
        <f>VLOOKUP(A1,DIV_09Data!$A$1:$DZU$1000000,366,FALSE)</f>
        <v>#N/A</v>
      </c>
      <c r="I22" s="33" t="e">
        <f>VLOOKUP(A1,DIV_09Data!$A$1:$DZU$1000000,367,FALSE)</f>
        <v>#N/A</v>
      </c>
      <c r="J22" s="34" t="e">
        <f>VLOOKUP(A1,DIV_09Data!$A$1:$DZU$1000000,368,FALSE)</f>
        <v>#N/A</v>
      </c>
      <c r="K22" s="34" t="e">
        <f>VLOOKUP(A1,DIV_09Data!$A$1:$DZU$1000000,369,FALSE)</f>
        <v>#N/A</v>
      </c>
      <c r="L22" s="93" t="e">
        <f>VLOOKUP(A1,DIV_09Data!$A$1:$DZU$1000000,370,FALSE)</f>
        <v>#N/A</v>
      </c>
      <c r="M22" s="33" t="e">
        <f>VLOOKUP(A1,DIV_09Data!$A$1:$DZU$1000000,371,FALSE)</f>
        <v>#N/A</v>
      </c>
      <c r="N22" s="34" t="e">
        <f>VLOOKUP(A1,DIV_09Data!$A$1:$DZU$1000000,372,FALSE)</f>
        <v>#N/A</v>
      </c>
      <c r="O22" s="33" t="e">
        <f>VLOOKUP(A1,DIV_09Data!$A$1:$DZU$1000000,373,FALSE)</f>
        <v>#N/A</v>
      </c>
      <c r="P22" s="46" t="e">
        <f>VLOOKUP(A1,DIV_09Data!$A$1:$DZU$1000000,374,FALSE)</f>
        <v>#N/A</v>
      </c>
      <c r="Q22" s="33" t="e">
        <f>VLOOKUP(A1,DIV_09Data!$A$1:$DZU$1000000,375,FALSE)</f>
        <v>#N/A</v>
      </c>
    </row>
    <row r="23" spans="1:17" x14ac:dyDescent="0.35">
      <c r="A23" s="22" t="e">
        <f>VLOOKUP(A1,DIV_09Data!$A$1:$DZU$1000000,376,FALSE)</f>
        <v>#N/A</v>
      </c>
      <c r="B23" s="37" t="e">
        <f>VLOOKUP(A1,DIV_09Data!$A$1:$DZU$1000000,377,FALSE)</f>
        <v>#N/A</v>
      </c>
      <c r="C23" s="38" t="e">
        <f>VLOOKUP(A1,DIV_09Data!$A$1:$DZU$1000000,378,FALSE)</f>
        <v>#N/A</v>
      </c>
      <c r="D23" s="31" t="e">
        <f>VLOOKUP(A1,DIV_09Data!$A$1:$DZU$1000000,379,FALSE)</f>
        <v>#N/A</v>
      </c>
      <c r="E23" s="32" t="e">
        <f>VLOOKUP(A1,DIV_09Data!$A$1:$DZU$1000000,380,FALSE)</f>
        <v>#N/A</v>
      </c>
      <c r="F23" s="34" t="e">
        <f>VLOOKUP(A1,DIV_09Data!$A$1:$DZU$1000000,381,FALSE)</f>
        <v>#N/A</v>
      </c>
      <c r="G23" s="33" t="e">
        <f>VLOOKUP(A1,DIV_09Data!$A$1:$DZU$1000000,382,FALSE)</f>
        <v>#N/A</v>
      </c>
      <c r="H23" s="34" t="e">
        <f>VLOOKUP(A1,DIV_09Data!$A$1:$DZU$1000000,383,FALSE)</f>
        <v>#N/A</v>
      </c>
      <c r="I23" s="33" t="e">
        <f>VLOOKUP(A1,DIV_09Data!$A$1:$DZU$1000000,384,FALSE)</f>
        <v>#N/A</v>
      </c>
      <c r="J23" s="34" t="e">
        <f>VLOOKUP(A1,DIV_09Data!$A$1:$DZU$1000000,385,FALSE)</f>
        <v>#N/A</v>
      </c>
      <c r="K23" s="34" t="e">
        <f>VLOOKUP(A1,DIV_09Data!$A$1:$DZU$1000000,386,FALSE)</f>
        <v>#N/A</v>
      </c>
      <c r="L23" s="93" t="e">
        <f>VLOOKUP(A1,DIV_09Data!$A$1:$DZU$1000000,387,FALSE)</f>
        <v>#N/A</v>
      </c>
      <c r="M23" s="33" t="e">
        <f>VLOOKUP(A1,DIV_09Data!$A$1:$DZU$1000000,388,FALSE)</f>
        <v>#N/A</v>
      </c>
      <c r="N23" s="34" t="e">
        <f>VLOOKUP(A1,DIV_09Data!$A$1:$DZU$1000000,389,FALSE)</f>
        <v>#N/A</v>
      </c>
      <c r="O23" s="33" t="e">
        <f>VLOOKUP(A1,DIV_09Data!$A$1:$DZU$1000000,390,FALSE)</f>
        <v>#N/A</v>
      </c>
      <c r="P23" s="46" t="e">
        <f>VLOOKUP(A1,DIV_09Data!$A$1:$DZU$1000000,391,FALSE)</f>
        <v>#N/A</v>
      </c>
      <c r="Q23" s="33" t="e">
        <f>VLOOKUP(A1,DIV_09Data!$A$1:$DZU$1000000,392,FALSE)</f>
        <v>#N/A</v>
      </c>
    </row>
    <row r="24" spans="1:17" x14ac:dyDescent="0.35">
      <c r="A24" s="22" t="e">
        <f>VLOOKUP(A1,DIV_09Data!$A$1:$DZU$1000000,393,FALSE)</f>
        <v>#N/A</v>
      </c>
      <c r="B24" s="37" t="e">
        <f>VLOOKUP(A1,DIV_09Data!$A$1:$DZU$1000000,394,FALSE)</f>
        <v>#N/A</v>
      </c>
      <c r="C24" s="38" t="e">
        <f>VLOOKUP(A1,DIV_09Data!$A$1:$DZU$1000000,395,FALSE)</f>
        <v>#N/A</v>
      </c>
      <c r="D24" s="31" t="e">
        <f>VLOOKUP(A1,DIV_09Data!$A$1:$DZU$1000000,396,FALSE)</f>
        <v>#N/A</v>
      </c>
      <c r="E24" s="32" t="e">
        <f>VLOOKUP(A1,DIV_09Data!$A$1:$DZU$1000000,397,FALSE)</f>
        <v>#N/A</v>
      </c>
      <c r="F24" s="34" t="e">
        <f>VLOOKUP(A1,DIV_09Data!$A$1:$DZU$1000000,398,FALSE)</f>
        <v>#N/A</v>
      </c>
      <c r="G24" s="33" t="e">
        <f>VLOOKUP(A1,DIV_09Data!$A$1:$DZU$1000000,399,FALSE)</f>
        <v>#N/A</v>
      </c>
      <c r="H24" s="34" t="e">
        <f>VLOOKUP(A1,DIV_09Data!$A$1:$DZU$1000000,400,FALSE)</f>
        <v>#N/A</v>
      </c>
      <c r="I24" s="33" t="e">
        <f>VLOOKUP(A1,DIV_09Data!$A$1:$DZU$1000000,401,FALSE)</f>
        <v>#N/A</v>
      </c>
      <c r="J24" s="34" t="e">
        <f>VLOOKUP(A1,DIV_09Data!$A$1:$DZU$1000000,402,FALSE)</f>
        <v>#N/A</v>
      </c>
      <c r="K24" s="34" t="e">
        <f>VLOOKUP(A1,DIV_09Data!$A$1:$DZU$1000000,403,FALSE)</f>
        <v>#N/A</v>
      </c>
      <c r="L24" s="93" t="e">
        <f>VLOOKUP(A1,DIV_09Data!$A$1:$DZU$1000000,404,FALSE)</f>
        <v>#N/A</v>
      </c>
      <c r="M24" s="33" t="e">
        <f>VLOOKUP(A1,DIV_09Data!$A$1:$DZU$1000000,405,FALSE)</f>
        <v>#N/A</v>
      </c>
      <c r="N24" s="34" t="e">
        <f>VLOOKUP(A1,DIV_09Data!$A$1:$DZU$1000000,406,FALSE)</f>
        <v>#N/A</v>
      </c>
      <c r="O24" s="33" t="e">
        <f>VLOOKUP(A1,DIV_09Data!$A$1:$DZU$1000000,407,FALSE)</f>
        <v>#N/A</v>
      </c>
      <c r="P24" s="46" t="e">
        <f>VLOOKUP(A1,DIV_09Data!$A$1:$DZU$1000000,408,FALSE)</f>
        <v>#N/A</v>
      </c>
      <c r="Q24" s="33" t="e">
        <f>VLOOKUP(A1,DIV_09Data!$A$1:$DZU$1000000,409,FALSE)</f>
        <v>#N/A</v>
      </c>
    </row>
    <row r="25" spans="1:17" x14ac:dyDescent="0.35">
      <c r="A25" s="22" t="e">
        <f>VLOOKUP(A1,DIV_09Data!$A$1:$DZU$1000000,410,FALSE)</f>
        <v>#N/A</v>
      </c>
      <c r="B25" s="37" t="e">
        <f>VLOOKUP(A1,DIV_09Data!$A$1:$DZU$1000000,411,FALSE)</f>
        <v>#N/A</v>
      </c>
      <c r="C25" s="38" t="e">
        <f>VLOOKUP(A1,DIV_09Data!$A$1:$DZU$1000000,412,FALSE)</f>
        <v>#N/A</v>
      </c>
      <c r="D25" s="31" t="e">
        <f>VLOOKUP(A1,DIV_09Data!$A$1:$DZU$1000000,413,FALSE)</f>
        <v>#N/A</v>
      </c>
      <c r="E25" s="32" t="e">
        <f>VLOOKUP(A1,DIV_09Data!$A$1:$DZU$1000000,414,FALSE)</f>
        <v>#N/A</v>
      </c>
      <c r="F25" s="34" t="e">
        <f>VLOOKUP(A1,DIV_09Data!$A$1:$DZU$1000000,415,FALSE)</f>
        <v>#N/A</v>
      </c>
      <c r="G25" s="33" t="e">
        <f>VLOOKUP(A1,DIV_09Data!$A$1:$DZU$1000000,416,FALSE)</f>
        <v>#N/A</v>
      </c>
      <c r="H25" s="34" t="e">
        <f>VLOOKUP(A1,DIV_09Data!$A$1:$DZU$1000000,417,FALSE)</f>
        <v>#N/A</v>
      </c>
      <c r="I25" s="33" t="e">
        <f>VLOOKUP(A1,DIV_09Data!$A$1:$DZU$1000000,418,FALSE)</f>
        <v>#N/A</v>
      </c>
      <c r="J25" s="34" t="e">
        <f>VLOOKUP(A1,DIV_09Data!$A$1:$DZU$1000000,419,FALSE)</f>
        <v>#N/A</v>
      </c>
      <c r="K25" s="34" t="e">
        <f>VLOOKUP(A1,DIV_09Data!$A$1:$DZU$1000000,420,FALSE)</f>
        <v>#N/A</v>
      </c>
      <c r="L25" s="93" t="e">
        <f>VLOOKUP(A1,DIV_09Data!$A$1:$DZU$1000000,421,FALSE)</f>
        <v>#N/A</v>
      </c>
      <c r="M25" s="33" t="e">
        <f>VLOOKUP(A1,DIV_09Data!$A$1:$DZU$1000000,422,FALSE)</f>
        <v>#N/A</v>
      </c>
      <c r="N25" s="34" t="e">
        <f>VLOOKUP(A1,DIV_09Data!$A$1:$DZU$1000000,423,FALSE)</f>
        <v>#N/A</v>
      </c>
      <c r="O25" s="33" t="e">
        <f>VLOOKUP(A1,DIV_09Data!$A$1:$DZU$1000000,424,FALSE)</f>
        <v>#N/A</v>
      </c>
      <c r="P25" s="46" t="e">
        <f>VLOOKUP(A1,DIV_09Data!$A$1:$DZU$1000000,425,FALSE)</f>
        <v>#N/A</v>
      </c>
      <c r="Q25" s="33" t="e">
        <f>VLOOKUP(A1,DIV_09Data!$A$1:$DZU$1000000,426,FALSE)</f>
        <v>#N/A</v>
      </c>
    </row>
    <row r="26" spans="1:17" x14ac:dyDescent="0.35">
      <c r="A26" s="22" t="e">
        <f>VLOOKUP(A1,DIV_09Data!$A$1:$DZU$1000000,427,FALSE)</f>
        <v>#N/A</v>
      </c>
      <c r="B26" s="37" t="e">
        <f>VLOOKUP(A1,DIV_09Data!$A$1:$DZU$1000000,428,FALSE)</f>
        <v>#N/A</v>
      </c>
      <c r="C26" s="38" t="e">
        <f>VLOOKUP(A1,DIV_09Data!$A$1:$DZU$1000000,429,FALSE)</f>
        <v>#N/A</v>
      </c>
      <c r="D26" s="31" t="e">
        <f>VLOOKUP(A1,DIV_09Data!$A$1:$DZU$1000000,430,FALSE)</f>
        <v>#N/A</v>
      </c>
      <c r="E26" s="32" t="e">
        <f>VLOOKUP(A1,DIV_09Data!$A$1:$DZU$1000000,431,FALSE)</f>
        <v>#N/A</v>
      </c>
      <c r="F26" s="34" t="e">
        <f>VLOOKUP(A1,DIV_09Data!$A$1:$DZU$1000000,432,FALSE)</f>
        <v>#N/A</v>
      </c>
      <c r="G26" s="33" t="e">
        <f>VLOOKUP(A1,DIV_09Data!$A$1:$DZU$1000000,433,FALSE)</f>
        <v>#N/A</v>
      </c>
      <c r="H26" s="34" t="e">
        <f>VLOOKUP(A1,DIV_09Data!$A$1:$DZU$1000000,434,FALSE)</f>
        <v>#N/A</v>
      </c>
      <c r="I26" s="33" t="e">
        <f>VLOOKUP(A1,DIV_09Data!$A$1:$DZU$1000000,435,FALSE)</f>
        <v>#N/A</v>
      </c>
      <c r="J26" s="34" t="e">
        <f>VLOOKUP(A1,DIV_09Data!$A$1:$DZU$1000000,436,FALSE)</f>
        <v>#N/A</v>
      </c>
      <c r="K26" s="34" t="e">
        <f>VLOOKUP(A1,DIV_09Data!$A$1:$DZU$1000000,437,FALSE)</f>
        <v>#N/A</v>
      </c>
      <c r="L26" s="93" t="e">
        <f>VLOOKUP(A1,DIV_09Data!$A$1:$DZU$1000000,438,FALSE)</f>
        <v>#N/A</v>
      </c>
      <c r="M26" s="33" t="e">
        <f>VLOOKUP(A1,DIV_09Data!$A$1:$DZU$1000000,439,FALSE)</f>
        <v>#N/A</v>
      </c>
      <c r="N26" s="34" t="e">
        <f>VLOOKUP(A1,DIV_09Data!$A$1:$DZU$1000000,440,FALSE)</f>
        <v>#N/A</v>
      </c>
      <c r="O26" s="33" t="e">
        <f>VLOOKUP(A1,DIV_09Data!$A$1:$DZU$1000000,441,FALSE)</f>
        <v>#N/A</v>
      </c>
      <c r="P26" s="46" t="e">
        <f>VLOOKUP(A1,DIV_09Data!$A$1:$DZU$1000000,442,FALSE)</f>
        <v>#N/A</v>
      </c>
      <c r="Q26" s="33" t="e">
        <f>VLOOKUP(A1,DIV_09Data!$A$1:$DZU$1000000,443,FALSE)</f>
        <v>#N/A</v>
      </c>
    </row>
    <row r="27" spans="1:17" x14ac:dyDescent="0.35">
      <c r="A27" s="22" t="e">
        <f>VLOOKUP(A1,DIV_09Data!$A$1:$DZU$1000000,444,FALSE)</f>
        <v>#N/A</v>
      </c>
      <c r="B27" s="37" t="e">
        <f>VLOOKUP(A1,DIV_09Data!$A$1:$DZU$1000000,445,FALSE)</f>
        <v>#N/A</v>
      </c>
      <c r="C27" s="38" t="e">
        <f>VLOOKUP(A1,DIV_09Data!$A$1:$DZU$1000000,446,FALSE)</f>
        <v>#N/A</v>
      </c>
      <c r="D27" s="31" t="e">
        <f>VLOOKUP(A1,DIV_09Data!$A$1:$DZU$1000000,447,FALSE)</f>
        <v>#N/A</v>
      </c>
      <c r="E27" s="32" t="e">
        <f>VLOOKUP(A1,DIV_09Data!$A$1:$DZU$1000000,448,FALSE)</f>
        <v>#N/A</v>
      </c>
      <c r="F27" s="34" t="e">
        <f>VLOOKUP(A1,DIV_09Data!$A$1:$DZU$1000000,449,FALSE)</f>
        <v>#N/A</v>
      </c>
      <c r="G27" s="33" t="e">
        <f>VLOOKUP(A1,DIV_09Data!$A$1:$DZU$1000000,450,FALSE)</f>
        <v>#N/A</v>
      </c>
      <c r="H27" s="34" t="e">
        <f>VLOOKUP(A1,DIV_09Data!$A$1:$DZU$1000000,451,FALSE)</f>
        <v>#N/A</v>
      </c>
      <c r="I27" s="33" t="e">
        <f>VLOOKUP(A1,DIV_09Data!$A$1:$DZU$1000000,452,FALSE)</f>
        <v>#N/A</v>
      </c>
      <c r="J27" s="34" t="e">
        <f>VLOOKUP(A1,DIV_09Data!$A$1:$DZU$1000000,453,FALSE)</f>
        <v>#N/A</v>
      </c>
      <c r="K27" s="34" t="e">
        <f>VLOOKUP(A1,DIV_09Data!$A$1:$DZU$1000000,454,FALSE)</f>
        <v>#N/A</v>
      </c>
      <c r="L27" s="93" t="e">
        <f>VLOOKUP(A1,DIV_09Data!$A$1:$DZU$1000000,455,FALSE)</f>
        <v>#N/A</v>
      </c>
      <c r="M27" s="33" t="e">
        <f>VLOOKUP(A1,DIV_09Data!$A$1:$DZU$1000000,456,FALSE)</f>
        <v>#N/A</v>
      </c>
      <c r="N27" s="34" t="e">
        <f>VLOOKUP(A1,DIV_09Data!$A$1:$DZU$1000000,457,FALSE)</f>
        <v>#N/A</v>
      </c>
      <c r="O27" s="33" t="e">
        <f>VLOOKUP(A1,DIV_09Data!$A$1:$DZU$1000000,458,FALSE)</f>
        <v>#N/A</v>
      </c>
      <c r="P27" s="46" t="e">
        <f>VLOOKUP(A1,DIV_09Data!$A$1:$DZU$1000000,459,FALSE)</f>
        <v>#N/A</v>
      </c>
      <c r="Q27" s="33" t="e">
        <f>VLOOKUP(A1,DIV_09Data!$A$1:$DZU$1000000,460,FALSE)</f>
        <v>#N/A</v>
      </c>
    </row>
    <row r="28" spans="1:17" x14ac:dyDescent="0.35">
      <c r="A28" s="22" t="e">
        <f>VLOOKUP(A1,DIV_09Data!$A$1:$DZU$1000000,461,FALSE)</f>
        <v>#N/A</v>
      </c>
      <c r="B28" s="37" t="e">
        <f>VLOOKUP(A1,DIV_09Data!$A$1:$DZU$1000000,462,FALSE)</f>
        <v>#N/A</v>
      </c>
      <c r="C28" s="38" t="e">
        <f>VLOOKUP(A1,DIV_09Data!$A$1:$DZU$1000000,463,FALSE)</f>
        <v>#N/A</v>
      </c>
      <c r="D28" s="31" t="e">
        <f>VLOOKUP(A1,DIV_09Data!$A$1:$DZU$1000000,464,FALSE)</f>
        <v>#N/A</v>
      </c>
      <c r="E28" s="32" t="e">
        <f>VLOOKUP(A1,DIV_09Data!$A$1:$DZU$1000000,465,FALSE)</f>
        <v>#N/A</v>
      </c>
      <c r="F28" s="34" t="e">
        <f>VLOOKUP(A1,DIV_09Data!$A$1:$DZU$1000000,466,FALSE)</f>
        <v>#N/A</v>
      </c>
      <c r="G28" s="33" t="e">
        <f>VLOOKUP(A1,DIV_09Data!$A$1:$DZU$1000000,467,FALSE)</f>
        <v>#N/A</v>
      </c>
      <c r="H28" s="34" t="e">
        <f>VLOOKUP(A1,DIV_09Data!$A$1:$DZU$1000000,468,FALSE)</f>
        <v>#N/A</v>
      </c>
      <c r="I28" s="33" t="e">
        <f>VLOOKUP(A1,DIV_09Data!$A$1:$DZU$1000000,469,FALSE)</f>
        <v>#N/A</v>
      </c>
      <c r="J28" s="34" t="e">
        <f>VLOOKUP(A1,DIV_09Data!$A$1:$DZU$1000000,470,FALSE)</f>
        <v>#N/A</v>
      </c>
      <c r="K28" s="34" t="e">
        <f>VLOOKUP(A1,DIV_09Data!$A$1:$DZU$1000000,471,FALSE)</f>
        <v>#N/A</v>
      </c>
      <c r="L28" s="93" t="e">
        <f>VLOOKUP(A1,DIV_09Data!$A$1:$DZU$1000000,472,FALSE)</f>
        <v>#N/A</v>
      </c>
      <c r="M28" s="33" t="e">
        <f>VLOOKUP(A1,DIV_09Data!$A$1:$DZU$1000000,473,FALSE)</f>
        <v>#N/A</v>
      </c>
      <c r="N28" s="34" t="e">
        <f>VLOOKUP(A1,DIV_09Data!$A$1:$DZU$1000000,474,FALSE)</f>
        <v>#N/A</v>
      </c>
      <c r="O28" s="33" t="e">
        <f>VLOOKUP(A1,DIV_09Data!$A$1:$DZU$1000000,475,FALSE)</f>
        <v>#N/A</v>
      </c>
      <c r="P28" s="46" t="e">
        <f>VLOOKUP(A1,DIV_09Data!$A$1:$DZU$1000000,476,FALSE)</f>
        <v>#N/A</v>
      </c>
      <c r="Q28" s="33" t="e">
        <f>VLOOKUP(A1,DIV_09Data!$A$1:$DZU$1000000,477,FALSE)</f>
        <v>#N/A</v>
      </c>
    </row>
    <row r="29" spans="1:17" x14ac:dyDescent="0.35">
      <c r="A29" s="22" t="e">
        <f>VLOOKUP(A1,DIV_09Data!$A$1:$DZU$1000000,478,FALSE)</f>
        <v>#N/A</v>
      </c>
      <c r="B29" s="37" t="e">
        <f>VLOOKUP(A1,DIV_09Data!$A$1:$DZU$1000000,479,FALSE)</f>
        <v>#N/A</v>
      </c>
      <c r="C29" s="38" t="e">
        <f>VLOOKUP(A1,DIV_09Data!$A$1:$DZU$1000000,480,FALSE)</f>
        <v>#N/A</v>
      </c>
      <c r="D29" s="31" t="e">
        <f>VLOOKUP(A1,DIV_09Data!$A$1:$DZU$1000000,481,FALSE)</f>
        <v>#N/A</v>
      </c>
      <c r="E29" s="32" t="e">
        <f>VLOOKUP(A1,DIV_09Data!$A$1:$DZU$1000000,482,FALSE)</f>
        <v>#N/A</v>
      </c>
      <c r="F29" s="34" t="e">
        <f>VLOOKUP(A1,DIV_09Data!$A$1:$DZU$1000000,483,FALSE)</f>
        <v>#N/A</v>
      </c>
      <c r="G29" s="33" t="e">
        <f>VLOOKUP(A1,DIV_09Data!$A$1:$DZU$1000000,484,FALSE)</f>
        <v>#N/A</v>
      </c>
      <c r="H29" s="34" t="e">
        <f>VLOOKUP(A1,DIV_09Data!$A$1:$DZU$1000000,485,FALSE)</f>
        <v>#N/A</v>
      </c>
      <c r="I29" s="33" t="e">
        <f>VLOOKUP(A1,DIV_09Data!$A$1:$DZU$1000000,486,FALSE)</f>
        <v>#N/A</v>
      </c>
      <c r="J29" s="34" t="e">
        <f>VLOOKUP(A1,DIV_09Data!$A$1:$DZU$1000000,487,FALSE)</f>
        <v>#N/A</v>
      </c>
      <c r="K29" s="34" t="e">
        <f>VLOOKUP(A1,DIV_09Data!$A$1:$DZU$1000000,488,FALSE)</f>
        <v>#N/A</v>
      </c>
      <c r="L29" s="93" t="e">
        <f>VLOOKUP(A1,DIV_09Data!$A$1:$DZU$1000000,489,FALSE)</f>
        <v>#N/A</v>
      </c>
      <c r="M29" s="33" t="e">
        <f>VLOOKUP(A1,DIV_09Data!$A$1:$DZU$1000000,490,FALSE)</f>
        <v>#N/A</v>
      </c>
      <c r="N29" s="34" t="e">
        <f>VLOOKUP(A1,DIV_09Data!$A$1:$DZU$1000000,491,FALSE)</f>
        <v>#N/A</v>
      </c>
      <c r="O29" s="33" t="e">
        <f>VLOOKUP(A1,DIV_09Data!$A$1:$DZU$1000000,492,FALSE)</f>
        <v>#N/A</v>
      </c>
      <c r="P29" s="46" t="e">
        <f>VLOOKUP(A1,DIV_09Data!$A$1:$DZU$1000000,493,FALSE)</f>
        <v>#N/A</v>
      </c>
      <c r="Q29" s="33" t="e">
        <f>VLOOKUP(A1,DIV_09Data!$A$1:$DZU$1000000,494,FALSE)</f>
        <v>#N/A</v>
      </c>
    </row>
    <row r="30" spans="1:17" x14ac:dyDescent="0.35">
      <c r="A30" s="22" t="e">
        <f>VLOOKUP(A1,DIV_09Data!$A$1:$DZU$1000000,495,FALSE)</f>
        <v>#N/A</v>
      </c>
      <c r="B30" s="37" t="e">
        <f>VLOOKUP(A1,DIV_09Data!$A$1:$DZU$1000000,496,FALSE)</f>
        <v>#N/A</v>
      </c>
      <c r="C30" s="38" t="e">
        <f>VLOOKUP(A1,DIV_09Data!$A$1:$DZU$1000000,497,FALSE)</f>
        <v>#N/A</v>
      </c>
      <c r="D30" s="31" t="e">
        <f>VLOOKUP(A1,DIV_09Data!$A$1:$DZU$1000000,498,FALSE)</f>
        <v>#N/A</v>
      </c>
      <c r="E30" s="32" t="e">
        <f>VLOOKUP(A1,DIV_09Data!$A$1:$DZU$1000000,499,FALSE)</f>
        <v>#N/A</v>
      </c>
      <c r="F30" s="34" t="e">
        <f>VLOOKUP(A1,DIV_09Data!$A$1:$DZU$1000000,500,FALSE)</f>
        <v>#N/A</v>
      </c>
      <c r="G30" s="33" t="e">
        <f>VLOOKUP(A1,DIV_09Data!$A$1:$DZU$1000000,501,FALSE)</f>
        <v>#N/A</v>
      </c>
      <c r="H30" s="34" t="e">
        <f>VLOOKUP(A1,DIV_09Data!$A$1:$DZU$1000000,502,FALSE)</f>
        <v>#N/A</v>
      </c>
      <c r="I30" s="33" t="e">
        <f>VLOOKUP(A1,DIV_09Data!$A$1:$DZU$1000000,503,FALSE)</f>
        <v>#N/A</v>
      </c>
      <c r="J30" s="34" t="e">
        <f>VLOOKUP(A1,DIV_09Data!$A$1:$DZU$1000000,504,FALSE)</f>
        <v>#N/A</v>
      </c>
      <c r="K30" s="34" t="e">
        <f>VLOOKUP(A1,DIV_09Data!$A$1:$DZU$1000000,505,FALSE)</f>
        <v>#N/A</v>
      </c>
      <c r="L30" s="93" t="e">
        <f>VLOOKUP(A1,DIV_09Data!$A$1:$DZU$1000000,506,FALSE)</f>
        <v>#N/A</v>
      </c>
      <c r="M30" s="33" t="e">
        <f>VLOOKUP(A1,DIV_09Data!$A$1:$DZU$1000000,507,FALSE)</f>
        <v>#N/A</v>
      </c>
      <c r="N30" s="34" t="e">
        <f>VLOOKUP(A1,DIV_09Data!$A$1:$DZU$1000000,508,FALSE)</f>
        <v>#N/A</v>
      </c>
      <c r="O30" s="33" t="e">
        <f>VLOOKUP(A1,DIV_09Data!$A$1:$DZU$1000000,509,FALSE)</f>
        <v>#N/A</v>
      </c>
      <c r="P30" s="46" t="e">
        <f>VLOOKUP(A1,DIV_09Data!$A$1:$DZU$1000000,510,FALSE)</f>
        <v>#N/A</v>
      </c>
      <c r="Q30" s="33" t="e">
        <f>VLOOKUP(A1,DIV_09Data!$A$1:$DZU$1000000,511,FALSE)</f>
        <v>#N/A</v>
      </c>
    </row>
    <row r="31" spans="1:17" x14ac:dyDescent="0.35">
      <c r="A31" s="22" t="e">
        <f>VLOOKUP(A1,DIV_09Data!$A$1:$DZU$1000000,512,FALSE)</f>
        <v>#N/A</v>
      </c>
      <c r="B31" s="37" t="e">
        <f>VLOOKUP(A1,DIV_09Data!$A$1:$DZU$1000000,513,FALSE)</f>
        <v>#N/A</v>
      </c>
      <c r="C31" s="38" t="e">
        <f>VLOOKUP(A1,DIV_09Data!$A$1:$DZU$1000000,514,FALSE)</f>
        <v>#N/A</v>
      </c>
      <c r="D31" s="31" t="e">
        <f>VLOOKUP(A1,DIV_09Data!$A$1:$DZU$1000000,515,FALSE)</f>
        <v>#N/A</v>
      </c>
      <c r="E31" s="32" t="e">
        <f>VLOOKUP(A1,DIV_09Data!$A$1:$DZU$1000000,516,FALSE)</f>
        <v>#N/A</v>
      </c>
      <c r="F31" s="34" t="e">
        <f>VLOOKUP(A1,DIV_09Data!$A$1:$DZU$1000000,517,FALSE)</f>
        <v>#N/A</v>
      </c>
      <c r="G31" s="33" t="e">
        <f>VLOOKUP(A1,DIV_09Data!$A$1:$DZU$1000000,518,FALSE)</f>
        <v>#N/A</v>
      </c>
      <c r="H31" s="34" t="e">
        <f>VLOOKUP(A1,DIV_09Data!$A$1:$DZU$1000000,519,FALSE)</f>
        <v>#N/A</v>
      </c>
      <c r="I31" s="33" t="e">
        <f>VLOOKUP(A1,DIV_09Data!$A$1:$DZU$1000000,520,FALSE)</f>
        <v>#N/A</v>
      </c>
      <c r="J31" s="34" t="e">
        <f>VLOOKUP(A1,DIV_09Data!$A$1:$DZU$1000000,521,FALSE)</f>
        <v>#N/A</v>
      </c>
      <c r="K31" s="34" t="e">
        <f>VLOOKUP(A1,DIV_09Data!$A$1:$DZU$1000000,522,FALSE)</f>
        <v>#N/A</v>
      </c>
      <c r="L31" s="93" t="e">
        <f>VLOOKUP(A1,DIV_09Data!$A$1:$DZU$1000000,523,FALSE)</f>
        <v>#N/A</v>
      </c>
      <c r="M31" s="33" t="e">
        <f>VLOOKUP(A1,DIV_09Data!$A$1:$DZU$1000000,524,FALSE)</f>
        <v>#N/A</v>
      </c>
      <c r="N31" s="34" t="e">
        <f>VLOOKUP(A1,DIV_09Data!$A$1:$DZU$1000000,525,FALSE)</f>
        <v>#N/A</v>
      </c>
      <c r="O31" s="33" t="e">
        <f>VLOOKUP(A1,DIV_09Data!$A$1:$DZU$1000000,526,FALSE)</f>
        <v>#N/A</v>
      </c>
      <c r="P31" s="46" t="e">
        <f>VLOOKUP(A1,DIV_09Data!$A$1:$DZU$1000000,527,FALSE)</f>
        <v>#N/A</v>
      </c>
      <c r="Q31" s="33" t="e">
        <f>VLOOKUP(A1,DIV_09Data!$A$1:$DZU$1000000,528,FALSE)</f>
        <v>#N/A</v>
      </c>
    </row>
    <row r="32" spans="1:17" x14ac:dyDescent="0.35">
      <c r="A32" s="22" t="e">
        <f>VLOOKUP(A1,DIV_09Data!$A$1:$DZU$1000000,529,FALSE)</f>
        <v>#N/A</v>
      </c>
      <c r="B32" s="37" t="e">
        <f>VLOOKUP(A1,DIV_09Data!$A$1:$DZU$1000000,530,FALSE)</f>
        <v>#N/A</v>
      </c>
      <c r="C32" s="38" t="e">
        <f>VLOOKUP(A1,DIV_09Data!$A$1:$DZU$1000000,531,FALSE)</f>
        <v>#N/A</v>
      </c>
      <c r="D32" s="31" t="e">
        <f>VLOOKUP(A1,DIV_09Data!$A$1:$DZU$1000000,532,FALSE)</f>
        <v>#N/A</v>
      </c>
      <c r="E32" s="32" t="e">
        <f>VLOOKUP(A1,DIV_09Data!$A$1:$DZU$1000000,533,FALSE)</f>
        <v>#N/A</v>
      </c>
      <c r="F32" s="34" t="e">
        <f>VLOOKUP(A1,DIV_09Data!$A$1:$DZU$1000000,534,FALSE)</f>
        <v>#N/A</v>
      </c>
      <c r="G32" s="33" t="e">
        <f>VLOOKUP(A1,DIV_09Data!$A$1:$DZU$1000000,535,FALSE)</f>
        <v>#N/A</v>
      </c>
      <c r="H32" s="34" t="e">
        <f>VLOOKUP(A1,DIV_09Data!$A$1:$DZU$1000000,536,FALSE)</f>
        <v>#N/A</v>
      </c>
      <c r="I32" s="33" t="e">
        <f>VLOOKUP(A1,DIV_09Data!$A$1:$DZU$1000000,537,FALSE)</f>
        <v>#N/A</v>
      </c>
      <c r="J32" s="34" t="e">
        <f>VLOOKUP(A1,DIV_09Data!$A$1:$DZU$1000000,538,FALSE)</f>
        <v>#N/A</v>
      </c>
      <c r="K32" s="34" t="e">
        <f>VLOOKUP(A1,DIV_09Data!$A$1:$DZU$1000000,539,FALSE)</f>
        <v>#N/A</v>
      </c>
      <c r="L32" s="93" t="e">
        <f>VLOOKUP(A1,DIV_09Data!$A$1:$DZU$1000000,540,FALSE)</f>
        <v>#N/A</v>
      </c>
      <c r="M32" s="33" t="e">
        <f>VLOOKUP(A1,DIV_09Data!$A$1:$DZU$1000000,541,FALSE)</f>
        <v>#N/A</v>
      </c>
      <c r="N32" s="34" t="e">
        <f>VLOOKUP(A1,DIV_09Data!$A$1:$DZU$1000000,542,FALSE)</f>
        <v>#N/A</v>
      </c>
      <c r="O32" s="33" t="e">
        <f>VLOOKUP(A1,DIV_09Data!$A$1:$DZU$1000000,543,FALSE)</f>
        <v>#N/A</v>
      </c>
      <c r="P32" s="46" t="e">
        <f>VLOOKUP(A1,DIV_09Data!$A$1:$DZU$1000000,544,FALSE)</f>
        <v>#N/A</v>
      </c>
      <c r="Q32" s="33" t="e">
        <f>VLOOKUP(A1,DIV_09Data!$A$1:$DZU$1000000,545,FALSE)</f>
        <v>#N/A</v>
      </c>
    </row>
    <row r="33" spans="1:17" x14ac:dyDescent="0.35">
      <c r="A33" s="22" t="e">
        <f>VLOOKUP(A1,DIV_09Data!$A$1:$DZU$1000000,546,FALSE)</f>
        <v>#N/A</v>
      </c>
      <c r="B33" s="37" t="e">
        <f>VLOOKUP(A1,DIV_09Data!$A$1:$DZU$1000000,547,FALSE)</f>
        <v>#N/A</v>
      </c>
      <c r="C33" s="38" t="e">
        <f>VLOOKUP(A1,DIV_09Data!$A$1:$DZU$1000000,548,FALSE)</f>
        <v>#N/A</v>
      </c>
      <c r="D33" s="31" t="e">
        <f>VLOOKUP(A1,DIV_09Data!$A$1:$DZU$1000000,549,FALSE)</f>
        <v>#N/A</v>
      </c>
      <c r="E33" s="32" t="e">
        <f>VLOOKUP(A1,DIV_09Data!$A$1:$DZU$1000000,550,FALSE)</f>
        <v>#N/A</v>
      </c>
      <c r="F33" s="34" t="e">
        <f>VLOOKUP(A1,DIV_09Data!$A$1:$DZU$1000000,551,FALSE)</f>
        <v>#N/A</v>
      </c>
      <c r="G33" s="33" t="e">
        <f>VLOOKUP(A1,DIV_09Data!$A$1:$DZU$1000000,552,FALSE)</f>
        <v>#N/A</v>
      </c>
      <c r="H33" s="34" t="e">
        <f>VLOOKUP(A1,DIV_09Data!$A$1:$DZU$1000000,553,FALSE)</f>
        <v>#N/A</v>
      </c>
      <c r="I33" s="33" t="e">
        <f>VLOOKUP(A1,DIV_09Data!$A$1:$DZU$1000000,554,FALSE)</f>
        <v>#N/A</v>
      </c>
      <c r="J33" s="34" t="e">
        <f>VLOOKUP(A1,DIV_09Data!$A$1:$DZU$1000000,555,FALSE)</f>
        <v>#N/A</v>
      </c>
      <c r="K33" s="34" t="e">
        <f>VLOOKUP(A1,DIV_09Data!$A$1:$DZU$1000000,556,FALSE)</f>
        <v>#N/A</v>
      </c>
      <c r="L33" s="93" t="e">
        <f>VLOOKUP(A1,DIV_09Data!$A$1:$DZU$1000000,557,FALSE)</f>
        <v>#N/A</v>
      </c>
      <c r="M33" s="33" t="e">
        <f>VLOOKUP(A1,DIV_09Data!$A$1:$DZU$1000000,558,FALSE)</f>
        <v>#N/A</v>
      </c>
      <c r="N33" s="34" t="e">
        <f>VLOOKUP(A1,DIV_09Data!$A$1:$DZU$1000000,559,FALSE)</f>
        <v>#N/A</v>
      </c>
      <c r="O33" s="33" t="e">
        <f>VLOOKUP(A1,DIV_09Data!$A$1:$DZU$1000000,560,FALSE)</f>
        <v>#N/A</v>
      </c>
      <c r="P33" s="46" t="e">
        <f>VLOOKUP(A1,DIV_09Data!$A$1:$DZU$1000000,561,FALSE)</f>
        <v>#N/A</v>
      </c>
      <c r="Q33" s="33" t="e">
        <f>VLOOKUP(A1,DIV_09Data!$A$1:$DZU$1000000,562,FALSE)</f>
        <v>#N/A</v>
      </c>
    </row>
    <row r="34" spans="1:17" x14ac:dyDescent="0.35">
      <c r="A34" s="22" t="e">
        <f>VLOOKUP(A1,DIV_09Data!$A$1:$DZU$1000000,563,FALSE)</f>
        <v>#N/A</v>
      </c>
      <c r="B34" s="37" t="e">
        <f>VLOOKUP(A1,DIV_09Data!$A$1:$DZU$1000000,564,FALSE)</f>
        <v>#N/A</v>
      </c>
      <c r="C34" s="38" t="e">
        <f>VLOOKUP(A1,DIV_09Data!$A$1:$DZU$1000000,565,FALSE)</f>
        <v>#N/A</v>
      </c>
      <c r="D34" s="31" t="e">
        <f>VLOOKUP(A1,DIV_09Data!$A$1:$DZU$1000000,566,FALSE)</f>
        <v>#N/A</v>
      </c>
      <c r="E34" s="32" t="e">
        <f>VLOOKUP(A1,DIV_09Data!$A$1:$DZU$1000000,567,FALSE)</f>
        <v>#N/A</v>
      </c>
      <c r="F34" s="34" t="e">
        <f>VLOOKUP(A1,DIV_09Data!$A$1:$DZU$1000000,568,FALSE)</f>
        <v>#N/A</v>
      </c>
      <c r="G34" s="33" t="e">
        <f>VLOOKUP(A1,DIV_09Data!$A$1:$DZU$1000000,569,FALSE)</f>
        <v>#N/A</v>
      </c>
      <c r="H34" s="34" t="e">
        <f>VLOOKUP(A1,DIV_09Data!$A$1:$DZU$1000000,570,FALSE)</f>
        <v>#N/A</v>
      </c>
      <c r="I34" s="33" t="e">
        <f>VLOOKUP(A1,DIV_09Data!$A$1:$DZU$1000000,571,FALSE)</f>
        <v>#N/A</v>
      </c>
      <c r="J34" s="34" t="e">
        <f>VLOOKUP(A1,DIV_09Data!$A$1:$DZU$1000000,572,FALSE)</f>
        <v>#N/A</v>
      </c>
      <c r="K34" s="34" t="e">
        <f>VLOOKUP(A1,DIV_09Data!$A$1:$DZU$1000000,573,FALSE)</f>
        <v>#N/A</v>
      </c>
      <c r="L34" s="93" t="e">
        <f>VLOOKUP(A1,DIV_09Data!$A$1:$DZU$1000000,574,FALSE)</f>
        <v>#N/A</v>
      </c>
      <c r="M34" s="33" t="e">
        <f>VLOOKUP(A1,DIV_09Data!$A$1:$DZU$1000000,575,FALSE)</f>
        <v>#N/A</v>
      </c>
      <c r="N34" s="34" t="e">
        <f>VLOOKUP(A1,DIV_09Data!$A$1:$DZU$1000000,576,FALSE)</f>
        <v>#N/A</v>
      </c>
      <c r="O34" s="33" t="e">
        <f>VLOOKUP(A1,DIV_09Data!$A$1:$DZU$1000000,577,FALSE)</f>
        <v>#N/A</v>
      </c>
      <c r="P34" s="46" t="e">
        <f>VLOOKUP(A1,DIV_09Data!$A$1:$DZU$1000000,578,FALSE)</f>
        <v>#N/A</v>
      </c>
      <c r="Q34" s="33" t="e">
        <f>VLOOKUP(A1,DIV_09Data!$A$1:$DZU$1000000,579,FALSE)</f>
        <v>#N/A</v>
      </c>
    </row>
    <row r="35" spans="1:17" x14ac:dyDescent="0.35">
      <c r="A35" s="22" t="e">
        <f>VLOOKUP(A1,DIV_09Data!$A$1:$DZU$1000000,580,FALSE)</f>
        <v>#N/A</v>
      </c>
      <c r="B35" s="37" t="e">
        <f>VLOOKUP(A1,DIV_09Data!$A$1:$DZU$1000000,581,FALSE)</f>
        <v>#N/A</v>
      </c>
      <c r="C35" s="38" t="e">
        <f>VLOOKUP(A1,DIV_09Data!$A$1:$DZU$1000000,582,FALSE)</f>
        <v>#N/A</v>
      </c>
      <c r="D35" s="31" t="e">
        <f>VLOOKUP(A1,DIV_09Data!$A$1:$DZU$1000000,583,FALSE)</f>
        <v>#N/A</v>
      </c>
      <c r="E35" s="32" t="e">
        <f>VLOOKUP(A1,DIV_09Data!$A$1:$DZU$1000000,584,FALSE)</f>
        <v>#N/A</v>
      </c>
      <c r="F35" s="34" t="e">
        <f>VLOOKUP(A1,DIV_09Data!$A$1:$DZU$1000000,585,FALSE)</f>
        <v>#N/A</v>
      </c>
      <c r="G35" s="33" t="e">
        <f>VLOOKUP(A1,DIV_09Data!$A$1:$DZU$1000000,586,FALSE)</f>
        <v>#N/A</v>
      </c>
      <c r="H35" s="34" t="e">
        <f>VLOOKUP(A1,DIV_09Data!$A$1:$DZU$1000000,587,FALSE)</f>
        <v>#N/A</v>
      </c>
      <c r="I35" s="33" t="e">
        <f>VLOOKUP(A1,DIV_09Data!$A$1:$DZU$1000000,588,FALSE)</f>
        <v>#N/A</v>
      </c>
      <c r="J35" s="34" t="e">
        <f>VLOOKUP(A1,DIV_09Data!$A$1:$DZU$1000000,589,FALSE)</f>
        <v>#N/A</v>
      </c>
      <c r="K35" s="34" t="e">
        <f>VLOOKUP(A1,DIV_09Data!$A$1:$DZU$1000000,590,FALSE)</f>
        <v>#N/A</v>
      </c>
      <c r="L35" s="93" t="e">
        <f>VLOOKUP(A1,DIV_09Data!$A$1:$DZU$1000000,591,FALSE)</f>
        <v>#N/A</v>
      </c>
      <c r="M35" s="33" t="e">
        <f>VLOOKUP(A1,DIV_09Data!$A$1:$DZU$1000000,592,FALSE)</f>
        <v>#N/A</v>
      </c>
      <c r="N35" s="34" t="e">
        <f>VLOOKUP(A1,DIV_09Data!$A$1:$DZU$1000000,593,FALSE)</f>
        <v>#N/A</v>
      </c>
      <c r="O35" s="33" t="e">
        <f>VLOOKUP(A1,DIV_09Data!$A$1:$DZU$1000000,594,FALSE)</f>
        <v>#N/A</v>
      </c>
      <c r="P35" s="46" t="e">
        <f>VLOOKUP(A1,DIV_09Data!$A$1:$DZU$1000000,595,FALSE)</f>
        <v>#N/A</v>
      </c>
      <c r="Q35" s="33" t="e">
        <f>VLOOKUP(A1,DIV_09Data!$A$1:$DZU$1000000,596,FALSE)</f>
        <v>#N/A</v>
      </c>
    </row>
    <row r="36" spans="1:17" x14ac:dyDescent="0.35">
      <c r="A36" s="22" t="e">
        <f>VLOOKUP(A1,DIV_09Data!$A$1:$DZU$1000000,597,FALSE)</f>
        <v>#N/A</v>
      </c>
      <c r="B36" s="37" t="e">
        <f>VLOOKUP(A1,DIV_09Data!$A$1:$DZU$1000000,598,FALSE)</f>
        <v>#N/A</v>
      </c>
      <c r="C36" s="38" t="e">
        <f>VLOOKUP(A1,DIV_09Data!$A$1:$DZU$1000000,599,FALSE)</f>
        <v>#N/A</v>
      </c>
      <c r="D36" s="31" t="e">
        <f>VLOOKUP(A1,DIV_09Data!$A$1:$DZU$1000000,600,FALSE)</f>
        <v>#N/A</v>
      </c>
      <c r="E36" s="32" t="e">
        <f>VLOOKUP(A1,DIV_09Data!$A$1:$DZU$1000000,601,FALSE)</f>
        <v>#N/A</v>
      </c>
      <c r="F36" s="34" t="e">
        <f>VLOOKUP(A1,DIV_09Data!$A$1:$DZU$1000000,602,FALSE)</f>
        <v>#N/A</v>
      </c>
      <c r="G36" s="33" t="e">
        <f>VLOOKUP(A1,DIV_09Data!$A$1:$DZU$1000000,603,FALSE)</f>
        <v>#N/A</v>
      </c>
      <c r="H36" s="34" t="e">
        <f>VLOOKUP(A1,DIV_09Data!$A$1:$DZU$1000000,604,FALSE)</f>
        <v>#N/A</v>
      </c>
      <c r="I36" s="33" t="e">
        <f>VLOOKUP(A1,DIV_09Data!$A$1:$DZU$1000000,605,FALSE)</f>
        <v>#N/A</v>
      </c>
      <c r="J36" s="34" t="e">
        <f>VLOOKUP(A1,DIV_09Data!$A$1:$DZU$1000000,606,FALSE)</f>
        <v>#N/A</v>
      </c>
      <c r="K36" s="34" t="e">
        <f>VLOOKUP(A1,DIV_09Data!$A$1:$DZU$1000000,607,FALSE)</f>
        <v>#N/A</v>
      </c>
      <c r="L36" s="93" t="e">
        <f>VLOOKUP(A1,DIV_09Data!$A$1:$DZU$1000000,608,FALSE)</f>
        <v>#N/A</v>
      </c>
      <c r="M36" s="33" t="e">
        <f>VLOOKUP(A1,DIV_09Data!$A$1:$DZU$1000000,609,FALSE)</f>
        <v>#N/A</v>
      </c>
      <c r="N36" s="34" t="e">
        <f>VLOOKUP(A1,DIV_09Data!$A$1:$DZU$1000000,610,FALSE)</f>
        <v>#N/A</v>
      </c>
      <c r="O36" s="33" t="e">
        <f>VLOOKUP(A1,DIV_09Data!$A$1:$DZU$1000000,611,FALSE)</f>
        <v>#N/A</v>
      </c>
      <c r="P36" s="46" t="e">
        <f>VLOOKUP(A1,DIV_09Data!$A$1:$DZU$1000000,612,FALSE)</f>
        <v>#N/A</v>
      </c>
      <c r="Q36" s="33" t="e">
        <f>VLOOKUP(A1,DIV_09Data!$A$1:$DZU$1000000,613,FALSE)</f>
        <v>#N/A</v>
      </c>
    </row>
    <row r="37" spans="1:17" x14ac:dyDescent="0.35">
      <c r="A37" s="22" t="e">
        <f>VLOOKUP(A1,DIV_09Data!$A$1:$DZU$1000000,614,FALSE)</f>
        <v>#N/A</v>
      </c>
      <c r="B37" s="37" t="e">
        <f>VLOOKUP(A1,DIV_09Data!$A$1:$DZU$1000000,615,FALSE)</f>
        <v>#N/A</v>
      </c>
      <c r="C37" s="38" t="e">
        <f>VLOOKUP(A1,DIV_09Data!$A$1:$DZU$1000000,616,FALSE)</f>
        <v>#N/A</v>
      </c>
      <c r="D37" s="31" t="e">
        <f>VLOOKUP(A1,DIV_09Data!$A$1:$DZU$1000000,617,FALSE)</f>
        <v>#N/A</v>
      </c>
      <c r="E37" s="32" t="e">
        <f>VLOOKUP(A1,DIV_09Data!$A$1:$DZU$1000000,618,FALSE)</f>
        <v>#N/A</v>
      </c>
      <c r="F37" s="34" t="e">
        <f>VLOOKUP(A1,DIV_09Data!$A$1:$DZU$1000000,619,FALSE)</f>
        <v>#N/A</v>
      </c>
      <c r="G37" s="33" t="e">
        <f>VLOOKUP(A1,DIV_09Data!$A$1:$DZU$1000000,620,FALSE)</f>
        <v>#N/A</v>
      </c>
      <c r="H37" s="34" t="e">
        <f>VLOOKUP(A1,DIV_09Data!$A$1:$DZU$1000000,621,FALSE)</f>
        <v>#N/A</v>
      </c>
      <c r="I37" s="33" t="e">
        <f>VLOOKUP(A1,DIV_09Data!$A$1:$DZU$1000000,622,FALSE)</f>
        <v>#N/A</v>
      </c>
      <c r="J37" s="34" t="e">
        <f>VLOOKUP(A1,DIV_09Data!$A$1:$DZU$1000000,623,FALSE)</f>
        <v>#N/A</v>
      </c>
      <c r="K37" s="34" t="e">
        <f>VLOOKUP(A1,DIV_09Data!$A$1:$DZU$1000000,624,FALSE)</f>
        <v>#N/A</v>
      </c>
      <c r="L37" s="93" t="e">
        <f>VLOOKUP(A1,DIV_09Data!$A$1:$DZU$1000000,625,FALSE)</f>
        <v>#N/A</v>
      </c>
      <c r="M37" s="33" t="e">
        <f>VLOOKUP(A1,DIV_09Data!$A$1:$DZU$1000000,626,FALSE)</f>
        <v>#N/A</v>
      </c>
      <c r="N37" s="34" t="e">
        <f>VLOOKUP(A1,DIV_09Data!$A$1:$DZU$1000000,627,FALSE)</f>
        <v>#N/A</v>
      </c>
      <c r="O37" s="33" t="e">
        <f>VLOOKUP(A1,DIV_09Data!$A$1:$DZU$1000000,628,FALSE)</f>
        <v>#N/A</v>
      </c>
      <c r="P37" s="46" t="e">
        <f>VLOOKUP(A1,DIV_09Data!$A$1:$DZU$1000000,629,FALSE)</f>
        <v>#N/A</v>
      </c>
      <c r="Q37" s="33" t="e">
        <f>VLOOKUP(A1,DIV_09Data!$A$1:$DZU$1000000,630,FALSE)</f>
        <v>#N/A</v>
      </c>
    </row>
    <row r="38" spans="1:17" x14ac:dyDescent="0.35">
      <c r="A38" s="22" t="e">
        <f>VLOOKUP(A1,DIV_09Data!$A$1:$DZU$1000000,631,FALSE)</f>
        <v>#N/A</v>
      </c>
      <c r="B38" s="37" t="e">
        <f>VLOOKUP(A1,DIV_09Data!$A$1:$DZU$1000000,632,FALSE)</f>
        <v>#N/A</v>
      </c>
      <c r="C38" s="38" t="e">
        <f>VLOOKUP(A1,DIV_09Data!$A$1:$DZU$1000000,633,FALSE)</f>
        <v>#N/A</v>
      </c>
      <c r="D38" s="31" t="e">
        <f>VLOOKUP(A1,DIV_09Data!$A$1:$DZU$1000000,634,FALSE)</f>
        <v>#N/A</v>
      </c>
      <c r="E38" s="32" t="e">
        <f>VLOOKUP(A1,DIV_09Data!$A$1:$DZU$1000000,635,FALSE)</f>
        <v>#N/A</v>
      </c>
      <c r="F38" s="34" t="e">
        <f>VLOOKUP(A1,DIV_09Data!$A$1:$DZU$1000000,636,FALSE)</f>
        <v>#N/A</v>
      </c>
      <c r="G38" s="33" t="e">
        <f>VLOOKUP(A1,DIV_09Data!$A$1:$DZU$1000000,637,FALSE)</f>
        <v>#N/A</v>
      </c>
      <c r="H38" s="34" t="e">
        <f>VLOOKUP(A1,DIV_09Data!$A$1:$DZU$1000000,638,FALSE)</f>
        <v>#N/A</v>
      </c>
      <c r="I38" s="33" t="e">
        <f>VLOOKUP(A1,DIV_09Data!$A$1:$DZU$1000000,639,FALSE)</f>
        <v>#N/A</v>
      </c>
      <c r="J38" s="34" t="e">
        <f>VLOOKUP(A1,DIV_09Data!$A$1:$DZU$1000000,640,FALSE)</f>
        <v>#N/A</v>
      </c>
      <c r="K38" s="34" t="e">
        <f>VLOOKUP(A1,DIV_09Data!$A$1:$DZU$1000000,641,FALSE)</f>
        <v>#N/A</v>
      </c>
      <c r="L38" s="93" t="e">
        <f>VLOOKUP(A1,DIV_09Data!$A$1:$DZU$1000000,642,FALSE)</f>
        <v>#N/A</v>
      </c>
      <c r="M38" s="33" t="e">
        <f>VLOOKUP(A1,DIV_09Data!$A$1:$DZU$1000000,643,FALSE)</f>
        <v>#N/A</v>
      </c>
      <c r="N38" s="34" t="e">
        <f>VLOOKUP(A1,DIV_09Data!$A$1:$DZU$1000000,644,FALSE)</f>
        <v>#N/A</v>
      </c>
      <c r="O38" s="33" t="e">
        <f>VLOOKUP(A1,DIV_09Data!$A$1:$DZU$1000000,645,FALSE)</f>
        <v>#N/A</v>
      </c>
      <c r="P38" s="46" t="e">
        <f>VLOOKUP(A1,DIV_09Data!$A$1:$DZU$1000000,646,FALSE)</f>
        <v>#N/A</v>
      </c>
      <c r="Q38" s="33" t="e">
        <f>VLOOKUP(A1,DIV_09Data!$A$1:$DZU$1000000,647,FALSE)</f>
        <v>#N/A</v>
      </c>
    </row>
    <row r="39" spans="1:17" x14ac:dyDescent="0.35">
      <c r="A39" s="22" t="e">
        <f>VLOOKUP(A1,DIV_09Data!$A$1:$DZU$1000000,648,FALSE)</f>
        <v>#N/A</v>
      </c>
      <c r="B39" s="37" t="e">
        <f>VLOOKUP(A1,DIV_09Data!$A$1:$DZU$1000000,649,FALSE)</f>
        <v>#N/A</v>
      </c>
      <c r="C39" s="38" t="e">
        <f>VLOOKUP(A1,DIV_09Data!$A$1:$DZU$1000000,650,FALSE)</f>
        <v>#N/A</v>
      </c>
      <c r="D39" s="31" t="e">
        <f>VLOOKUP(A1,DIV_09Data!$A$1:$DZU$1000000,651,FALSE)</f>
        <v>#N/A</v>
      </c>
      <c r="E39" s="32" t="e">
        <f>VLOOKUP(A1,DIV_09Data!$A$1:$DZU$1000000,652,FALSE)</f>
        <v>#N/A</v>
      </c>
      <c r="F39" s="34" t="e">
        <f>VLOOKUP(A1,DIV_09Data!$A$1:$DZU$1000000,653,FALSE)</f>
        <v>#N/A</v>
      </c>
      <c r="G39" s="33" t="e">
        <f>VLOOKUP(A1,DIV_09Data!$A$1:$DZU$1000000,654,FALSE)</f>
        <v>#N/A</v>
      </c>
      <c r="H39" s="34" t="e">
        <f>VLOOKUP(A1,DIV_09Data!$A$1:$DZU$1000000,655,FALSE)</f>
        <v>#N/A</v>
      </c>
      <c r="I39" s="33" t="e">
        <f>VLOOKUP(A1,DIV_09Data!$A$1:$DZU$1000000,656,FALSE)</f>
        <v>#N/A</v>
      </c>
      <c r="J39" s="34" t="e">
        <f>VLOOKUP(A1,DIV_09Data!$A$1:$DZU$1000000,657,FALSE)</f>
        <v>#N/A</v>
      </c>
      <c r="K39" s="34" t="e">
        <f>VLOOKUP(A1,DIV_09Data!$A$1:$DZU$1000000,658,FALSE)</f>
        <v>#N/A</v>
      </c>
      <c r="L39" s="93" t="e">
        <f>VLOOKUP(A1,DIV_09Data!$A$1:$DZU$1000000,659,FALSE)</f>
        <v>#N/A</v>
      </c>
      <c r="M39" s="33" t="e">
        <f>VLOOKUP(A1,DIV_09Data!$A$1:$DZU$1000000,660,FALSE)</f>
        <v>#N/A</v>
      </c>
      <c r="N39" s="34" t="e">
        <f>VLOOKUP(A1,DIV_09Data!$A$1:$DZU$1000000,661,FALSE)</f>
        <v>#N/A</v>
      </c>
      <c r="O39" s="33" t="e">
        <f>VLOOKUP(A1,DIV_09Data!$A$1:$DZU$1000000,662,FALSE)</f>
        <v>#N/A</v>
      </c>
      <c r="P39" s="46" t="e">
        <f>VLOOKUP(A1,DIV_09Data!$A$1:$DZU$1000000,663,FALSE)</f>
        <v>#N/A</v>
      </c>
      <c r="Q39" s="33" t="e">
        <f>VLOOKUP(A1,DIV_09Data!$A$1:$DZU$1000000,664,FALSE)</f>
        <v>#N/A</v>
      </c>
    </row>
    <row r="40" spans="1:17" x14ac:dyDescent="0.35">
      <c r="A40" s="22" t="e">
        <f>VLOOKUP(A1,DIV_09Data!$A$1:$DZU$1000000,665,FALSE)</f>
        <v>#N/A</v>
      </c>
      <c r="B40" s="37" t="e">
        <f>VLOOKUP(A1,DIV_09Data!$A$1:$DZU$1000000,666,FALSE)</f>
        <v>#N/A</v>
      </c>
      <c r="C40" s="38" t="e">
        <f>VLOOKUP(A1,DIV_09Data!$A$1:$DZU$1000000,667,FALSE)</f>
        <v>#N/A</v>
      </c>
      <c r="D40" s="31" t="e">
        <f>VLOOKUP(A1,DIV_09Data!$A$1:$DZU$1000000,668,FALSE)</f>
        <v>#N/A</v>
      </c>
      <c r="E40" s="32" t="e">
        <f>VLOOKUP(A1,DIV_09Data!$A$1:$DZU$1000000,669,FALSE)</f>
        <v>#N/A</v>
      </c>
      <c r="F40" s="34" t="e">
        <f>VLOOKUP(A1,DIV_09Data!$A$1:$DZU$1000000,670,FALSE)</f>
        <v>#N/A</v>
      </c>
      <c r="G40" s="33" t="e">
        <f>VLOOKUP(A1,DIV_09Data!$A$1:$DZU$1000000,671,FALSE)</f>
        <v>#N/A</v>
      </c>
      <c r="H40" s="34" t="e">
        <f>VLOOKUP(A1,DIV_09Data!$A$1:$DZU$1000000,672,FALSE)</f>
        <v>#N/A</v>
      </c>
      <c r="I40" s="33" t="e">
        <f>VLOOKUP(A1,DIV_09Data!$A$1:$DZU$1000000,673,FALSE)</f>
        <v>#N/A</v>
      </c>
      <c r="J40" s="34" t="e">
        <f>VLOOKUP(A1,DIV_09Data!$A$1:$DZU$1000000,674,FALSE)</f>
        <v>#N/A</v>
      </c>
      <c r="K40" s="34" t="e">
        <f>VLOOKUP(A1,DIV_09Data!$A$1:$DZU$1000000,675,FALSE)</f>
        <v>#N/A</v>
      </c>
      <c r="L40" s="93" t="e">
        <f>VLOOKUP(A1,DIV_09Data!$A$1:$DZU$1000000,676,FALSE)</f>
        <v>#N/A</v>
      </c>
      <c r="M40" s="33" t="e">
        <f>VLOOKUP(A1,DIV_09Data!$A$1:$DZU$1000000,677,FALSE)</f>
        <v>#N/A</v>
      </c>
      <c r="N40" s="34" t="e">
        <f>VLOOKUP(A1,DIV_09Data!$A$1:$DZU$1000000,678,FALSE)</f>
        <v>#N/A</v>
      </c>
      <c r="O40" s="33" t="e">
        <f>VLOOKUP(A1,DIV_09Data!$A$1:$DZU$1000000,679,FALSE)</f>
        <v>#N/A</v>
      </c>
      <c r="P40" s="46" t="e">
        <f>VLOOKUP(A1,DIV_09Data!$A$1:$DZU$1000000,680,FALSE)</f>
        <v>#N/A</v>
      </c>
      <c r="Q40" s="33" t="e">
        <f>VLOOKUP(A1,DIV_09Data!$A$1:$DZU$1000000,681,FALSE)</f>
        <v>#N/A</v>
      </c>
    </row>
    <row r="41" spans="1:17" x14ac:dyDescent="0.35">
      <c r="A41" s="22" t="e">
        <f>VLOOKUP(A1,DIV_09Data!$A$1:$DZU$1000000,682,FALSE)</f>
        <v>#N/A</v>
      </c>
      <c r="B41" s="37" t="e">
        <f>VLOOKUP(A1,DIV_09Data!$A$1:$DZU$1000000,683,FALSE)</f>
        <v>#N/A</v>
      </c>
      <c r="C41" s="38" t="e">
        <f>VLOOKUP(A1,DIV_09Data!$A$1:$DZU$1000000,684,FALSE)</f>
        <v>#N/A</v>
      </c>
      <c r="D41" s="31" t="e">
        <f>VLOOKUP(A1,DIV_09Data!$A$1:$DZU$1000000,685,FALSE)</f>
        <v>#N/A</v>
      </c>
      <c r="E41" s="32" t="e">
        <f>VLOOKUP(A1,DIV_09Data!$A$1:$DZU$1000000,686,FALSE)</f>
        <v>#N/A</v>
      </c>
      <c r="F41" s="34" t="e">
        <f>VLOOKUP(A1,DIV_09Data!$A$1:$DZU$1000000,687,FALSE)</f>
        <v>#N/A</v>
      </c>
      <c r="G41" s="33" t="e">
        <f>VLOOKUP(A1,DIV_09Data!$A$1:$DZU$1000000,688,FALSE)</f>
        <v>#N/A</v>
      </c>
      <c r="H41" s="34" t="e">
        <f>VLOOKUP(A1,DIV_09Data!$A$1:$DZU$1000000,689,FALSE)</f>
        <v>#N/A</v>
      </c>
      <c r="I41" s="33" t="e">
        <f>VLOOKUP(A1,DIV_09Data!$A$1:$DZU$1000000,690,FALSE)</f>
        <v>#N/A</v>
      </c>
      <c r="J41" s="34" t="e">
        <f>VLOOKUP(A1,DIV_09Data!$A$1:$DZU$1000000,691,FALSE)</f>
        <v>#N/A</v>
      </c>
      <c r="K41" s="34" t="e">
        <f>VLOOKUP(A1,DIV_09Data!$A$1:$DZU$1000000,692,FALSE)</f>
        <v>#N/A</v>
      </c>
      <c r="L41" s="93" t="e">
        <f>VLOOKUP(A1,DIV_09Data!$A$1:$DZU$1000000,693,FALSE)</f>
        <v>#N/A</v>
      </c>
      <c r="M41" s="33" t="e">
        <f>VLOOKUP(A1,DIV_09Data!$A$1:$DZU$1000000,694,FALSE)</f>
        <v>#N/A</v>
      </c>
      <c r="N41" s="34" t="e">
        <f>VLOOKUP(A1,DIV_09Data!$A$1:$DZU$1000000,695,FALSE)</f>
        <v>#N/A</v>
      </c>
      <c r="O41" s="33" t="e">
        <f>VLOOKUP(A1,DIV_09Data!$A$1:$DZU$1000000,696,FALSE)</f>
        <v>#N/A</v>
      </c>
      <c r="P41" s="46" t="e">
        <f>VLOOKUP(A1,DIV_09Data!$A$1:$DZU$1000000,697,FALSE)</f>
        <v>#N/A</v>
      </c>
      <c r="Q41" s="33" t="e">
        <f>VLOOKUP(A1,DIV_09Data!$A$1:$DZU$1000000,698,FALSE)</f>
        <v>#N/A</v>
      </c>
    </row>
    <row r="42" spans="1:17" x14ac:dyDescent="0.35">
      <c r="A42" s="22" t="e">
        <f>VLOOKUP(A1,DIV_09Data!$A$1:$DZU$1000000,699,FALSE)</f>
        <v>#N/A</v>
      </c>
      <c r="B42" s="37" t="e">
        <f>VLOOKUP(A1,DIV_09Data!$A$1:$DZU$1000000,700,FALSE)</f>
        <v>#N/A</v>
      </c>
      <c r="C42" s="38" t="e">
        <f>VLOOKUP(A1,DIV_09Data!$A$1:$DZU$1000000,701,FALSE)</f>
        <v>#N/A</v>
      </c>
      <c r="D42" s="31" t="e">
        <f>VLOOKUP(A1,DIV_09Data!$A$1:$DZU$1000000,702,FALSE)</f>
        <v>#N/A</v>
      </c>
      <c r="E42" s="32" t="e">
        <f>VLOOKUP(A1,DIV_09Data!$A$1:$DZU$1000000,703,FALSE)</f>
        <v>#N/A</v>
      </c>
      <c r="F42" s="34" t="e">
        <f>VLOOKUP(A1,DIV_09Data!$A$1:$DZU$1000000,704,FALSE)</f>
        <v>#N/A</v>
      </c>
      <c r="G42" s="33" t="e">
        <f>VLOOKUP(A1,DIV_09Data!$A$1:$DZU$1000000,705,FALSE)</f>
        <v>#N/A</v>
      </c>
      <c r="H42" s="34" t="e">
        <f>VLOOKUP(A1,DIV_09Data!$A$1:$DZU$1000000,706,FALSE)</f>
        <v>#N/A</v>
      </c>
      <c r="I42" s="33" t="e">
        <f>VLOOKUP(A1,DIV_09Data!$A$1:$DZU$1000000,707,FALSE)</f>
        <v>#N/A</v>
      </c>
      <c r="J42" s="34" t="e">
        <f>VLOOKUP(A1,DIV_09Data!$A$1:$DZU$1000000,708,FALSE)</f>
        <v>#N/A</v>
      </c>
      <c r="K42" s="34" t="e">
        <f>VLOOKUP(A1,DIV_09Data!$A$1:$DZU$1000000,709,FALSE)</f>
        <v>#N/A</v>
      </c>
      <c r="L42" s="93" t="e">
        <f>VLOOKUP(A1,DIV_09Data!$A$1:$DZU$1000000,710,FALSE)</f>
        <v>#N/A</v>
      </c>
      <c r="M42" s="33" t="e">
        <f>VLOOKUP(A1,DIV_09Data!$A$1:$DZU$1000000,711,FALSE)</f>
        <v>#N/A</v>
      </c>
      <c r="N42" s="34" t="e">
        <f>VLOOKUP(A1,DIV_09Data!$A$1:$DZU$1000000,712,FALSE)</f>
        <v>#N/A</v>
      </c>
      <c r="O42" s="33" t="e">
        <f>VLOOKUP(A1,DIV_09Data!$A$1:$DZU$1000000,713,FALSE)</f>
        <v>#N/A</v>
      </c>
      <c r="P42" s="46" t="e">
        <f>VLOOKUP(A1,DIV_09Data!$A$1:$DZU$1000000,714,FALSE)</f>
        <v>#N/A</v>
      </c>
      <c r="Q42" s="33" t="e">
        <f>VLOOKUP(A1,DIV_09Data!$A$1:$DZU$1000000,715,FALSE)</f>
        <v>#N/A</v>
      </c>
    </row>
    <row r="43" spans="1:17" x14ac:dyDescent="0.35">
      <c r="A43" s="22" t="e">
        <f>VLOOKUP(A1,DIV_09Data!$A$1:$DZU$1000000,716,FALSE)</f>
        <v>#N/A</v>
      </c>
      <c r="B43" s="37" t="e">
        <f>VLOOKUP(A1,DIV_09Data!$A$1:$DZU$1000000,717,FALSE)</f>
        <v>#N/A</v>
      </c>
      <c r="C43" s="38" t="e">
        <f>VLOOKUP(A1,DIV_09Data!$A$1:$DZU$1000000,718,FALSE)</f>
        <v>#N/A</v>
      </c>
      <c r="D43" s="31" t="e">
        <f>VLOOKUP(A1,DIV_09Data!$A$1:$DZU$1000000,719,FALSE)</f>
        <v>#N/A</v>
      </c>
      <c r="E43" s="32" t="e">
        <f>VLOOKUP(A1,DIV_09Data!$A$1:$DZU$1000000,720,FALSE)</f>
        <v>#N/A</v>
      </c>
      <c r="F43" s="34" t="e">
        <f>VLOOKUP(A1,DIV_09Data!$A$1:$DZU$1000000,721,FALSE)</f>
        <v>#N/A</v>
      </c>
      <c r="G43" s="33" t="e">
        <f>VLOOKUP(A1,DIV_09Data!$A$1:$DZU$1000000,722,FALSE)</f>
        <v>#N/A</v>
      </c>
      <c r="H43" s="34" t="e">
        <f>VLOOKUP(A1,DIV_09Data!$A$1:$DZU$1000000,723,FALSE)</f>
        <v>#N/A</v>
      </c>
      <c r="I43" s="33" t="e">
        <f>VLOOKUP(A1,DIV_09Data!$A$1:$DZU$1000000,724,FALSE)</f>
        <v>#N/A</v>
      </c>
      <c r="J43" s="34" t="e">
        <f>VLOOKUP(A1,DIV_09Data!$A$1:$DZU$1000000,725,FALSE)</f>
        <v>#N/A</v>
      </c>
      <c r="K43" s="34" t="e">
        <f>VLOOKUP(A1,DIV_09Data!$A$1:$DZU$1000000,726,FALSE)</f>
        <v>#N/A</v>
      </c>
      <c r="L43" s="93" t="e">
        <f>VLOOKUP(A1,DIV_09Data!$A$1:$DZU$1000000,727,FALSE)</f>
        <v>#N/A</v>
      </c>
      <c r="M43" s="33" t="e">
        <f>VLOOKUP(A1,DIV_09Data!$A$1:$DZU$1000000,728,FALSE)</f>
        <v>#N/A</v>
      </c>
      <c r="N43" s="34" t="e">
        <f>VLOOKUP(A1,DIV_09Data!$A$1:$DZU$1000000,729,FALSE)</f>
        <v>#N/A</v>
      </c>
      <c r="O43" s="33" t="e">
        <f>VLOOKUP(A1,DIV_09Data!$A$1:$DZU$1000000,730,FALSE)</f>
        <v>#N/A</v>
      </c>
      <c r="P43" s="46" t="e">
        <f>VLOOKUP(A1,DIV_09Data!$A$1:$DZU$1000000,731,FALSE)</f>
        <v>#N/A</v>
      </c>
      <c r="Q43" s="33" t="e">
        <f>VLOOKUP(A1,DIV_09Data!$A$1:$DZU$1000000,732,FALSE)</f>
        <v>#N/A</v>
      </c>
    </row>
    <row r="44" spans="1:17" x14ac:dyDescent="0.35">
      <c r="A44" s="22" t="e">
        <f>VLOOKUP(A1,DIV_09Data!$A$1:$DZU$1000000,733,FALSE)</f>
        <v>#N/A</v>
      </c>
      <c r="B44" s="37" t="e">
        <f>VLOOKUP(A1,DIV_09Data!$A$1:$DZU$1000000,734,FALSE)</f>
        <v>#N/A</v>
      </c>
      <c r="C44" s="38" t="e">
        <f>VLOOKUP(A1,DIV_09Data!$A$1:$DZU$1000000,735,FALSE)</f>
        <v>#N/A</v>
      </c>
      <c r="D44" s="31" t="e">
        <f>VLOOKUP(A1,DIV_09Data!$A$1:$DZU$1000000,736,FALSE)</f>
        <v>#N/A</v>
      </c>
      <c r="E44" s="32" t="e">
        <f>VLOOKUP(A1,DIV_09Data!$A$1:$DZU$1000000,737,FALSE)</f>
        <v>#N/A</v>
      </c>
      <c r="F44" s="34" t="e">
        <f>VLOOKUP(A1,DIV_09Data!$A$1:$DZU$1000000,738,FALSE)</f>
        <v>#N/A</v>
      </c>
      <c r="G44" s="33" t="e">
        <f>VLOOKUP(A1,DIV_09Data!$A$1:$DZU$1000000,739,FALSE)</f>
        <v>#N/A</v>
      </c>
      <c r="H44" s="34" t="e">
        <f>VLOOKUP(A1,DIV_09Data!$A$1:$DZU$1000000,740,FALSE)</f>
        <v>#N/A</v>
      </c>
      <c r="I44" s="33" t="e">
        <f>VLOOKUP(A1,DIV_09Data!$A$1:$DZU$1000000,741,FALSE)</f>
        <v>#N/A</v>
      </c>
      <c r="J44" s="34" t="e">
        <f>VLOOKUP(A1,DIV_09Data!$A$1:$DZU$1000000,742,FALSE)</f>
        <v>#N/A</v>
      </c>
      <c r="K44" s="34" t="e">
        <f>VLOOKUP(A1,DIV_09Data!$A$1:$DZU$1000000,743,FALSE)</f>
        <v>#N/A</v>
      </c>
      <c r="L44" s="93" t="e">
        <f>VLOOKUP(A1,DIV_09Data!$A$1:$DZU$1000000,744,FALSE)</f>
        <v>#N/A</v>
      </c>
      <c r="M44" s="33" t="e">
        <f>VLOOKUP(A1,DIV_09Data!$A$1:$DZU$1000000,745,FALSE)</f>
        <v>#N/A</v>
      </c>
      <c r="N44" s="34" t="e">
        <f>VLOOKUP(A1,DIV_09Data!$A$1:$DZU$1000000,746,FALSE)</f>
        <v>#N/A</v>
      </c>
      <c r="O44" s="33" t="e">
        <f>VLOOKUP(A1,DIV_09Data!$A$1:$DZU$1000000,747,FALSE)</f>
        <v>#N/A</v>
      </c>
      <c r="P44" s="46" t="e">
        <f>VLOOKUP(A1,DIV_09Data!$A$1:$DZU$1000000,748,FALSE)</f>
        <v>#N/A</v>
      </c>
      <c r="Q44" s="33" t="e">
        <f>VLOOKUP(A1,DIV_09Data!$A$1:$DZU$1000000,749,FALSE)</f>
        <v>#N/A</v>
      </c>
    </row>
    <row r="45" spans="1:17" x14ac:dyDescent="0.35">
      <c r="A45" s="22" t="e">
        <f>VLOOKUP(A1,DIV_09Data!$A$1:$DZU$1000000,750,FALSE)</f>
        <v>#N/A</v>
      </c>
      <c r="B45" s="37" t="e">
        <f>VLOOKUP(A1,DIV_09Data!$A$1:$DZU$1000000,751,FALSE)</f>
        <v>#N/A</v>
      </c>
      <c r="C45" s="38" t="e">
        <f>VLOOKUP(A1,DIV_09Data!$A$1:$DZU$1000000,752,FALSE)</f>
        <v>#N/A</v>
      </c>
      <c r="D45" s="31" t="e">
        <f>VLOOKUP(A1,DIV_09Data!$A$1:$DZU$1000000,753,FALSE)</f>
        <v>#N/A</v>
      </c>
      <c r="E45" s="32" t="e">
        <f>VLOOKUP(A1,DIV_09Data!$A$1:$DZU$1000000,754,FALSE)</f>
        <v>#N/A</v>
      </c>
      <c r="F45" s="34" t="e">
        <f>VLOOKUP(A1,DIV_09Data!$A$1:$DZU$1000000,755,FALSE)</f>
        <v>#N/A</v>
      </c>
      <c r="G45" s="33" t="e">
        <f>VLOOKUP(A1,DIV_09Data!$A$1:$DZU$1000000,756,FALSE)</f>
        <v>#N/A</v>
      </c>
      <c r="H45" s="34" t="e">
        <f>VLOOKUP(A1,DIV_09Data!$A$1:$DZU$1000000,757,FALSE)</f>
        <v>#N/A</v>
      </c>
      <c r="I45" s="33" t="e">
        <f>VLOOKUP(A1,DIV_09Data!$A$1:$DZU$1000000,758,FALSE)</f>
        <v>#N/A</v>
      </c>
      <c r="J45" s="34" t="e">
        <f>VLOOKUP(A1,DIV_09Data!$A$1:$DZU$1000000,759,FALSE)</f>
        <v>#N/A</v>
      </c>
      <c r="K45" s="34" t="e">
        <f>VLOOKUP(A1,DIV_09Data!$A$1:$DZU$1000000,760,FALSE)</f>
        <v>#N/A</v>
      </c>
      <c r="L45" s="93" t="e">
        <f>VLOOKUP(A1,DIV_09Data!$A$1:$DZU$1000000,761,FALSE)</f>
        <v>#N/A</v>
      </c>
      <c r="M45" s="33" t="e">
        <f>VLOOKUP(A1,DIV_09Data!$A$1:$DZU$1000000,762,FALSE)</f>
        <v>#N/A</v>
      </c>
      <c r="N45" s="34" t="e">
        <f>VLOOKUP(A1,DIV_09Data!$A$1:$DZU$1000000,763,FALSE)</f>
        <v>#N/A</v>
      </c>
      <c r="O45" s="33" t="e">
        <f>VLOOKUP(A1,DIV_09Data!$A$1:$DZU$1000000,764,FALSE)</f>
        <v>#N/A</v>
      </c>
      <c r="P45" s="46" t="e">
        <f>VLOOKUP(A1,DIV_09Data!$A$1:$DZU$1000000,765,FALSE)</f>
        <v>#N/A</v>
      </c>
      <c r="Q45" s="33" t="e">
        <f>VLOOKUP(A1,DIV_09Data!$A$1:$DZU$1000000,766,FALSE)</f>
        <v>#N/A</v>
      </c>
    </row>
    <row r="46" spans="1:17" x14ac:dyDescent="0.35">
      <c r="A46" s="22" t="e">
        <f>VLOOKUP(A1,DIV_09Data!$A$1:$DZU$1000000,767,FALSE)</f>
        <v>#N/A</v>
      </c>
      <c r="B46" s="37" t="e">
        <f>VLOOKUP(A1,DIV_09Data!$A$1:$DZU$1000000,768,FALSE)</f>
        <v>#N/A</v>
      </c>
      <c r="C46" s="38" t="e">
        <f>VLOOKUP(A1,DIV_09Data!$A$1:$DZU$1000000,769,FALSE)</f>
        <v>#N/A</v>
      </c>
      <c r="D46" s="31" t="e">
        <f>VLOOKUP(A1,DIV_09Data!$A$1:$DZU$1000000,770,FALSE)</f>
        <v>#N/A</v>
      </c>
      <c r="E46" s="32" t="e">
        <f>VLOOKUP(A1,DIV_09Data!$A$1:$DZU$1000000,771,FALSE)</f>
        <v>#N/A</v>
      </c>
      <c r="F46" s="34" t="e">
        <f>VLOOKUP(A1,DIV_09Data!$A$1:$DZU$1000000,772,FALSE)</f>
        <v>#N/A</v>
      </c>
      <c r="G46" s="33" t="e">
        <f>VLOOKUP(A1,DIV_09Data!$A$1:$DZU$1000000,773,FALSE)</f>
        <v>#N/A</v>
      </c>
      <c r="H46" s="34" t="e">
        <f>VLOOKUP(A1,DIV_09Data!$A$1:$DZU$1000000,774,FALSE)</f>
        <v>#N/A</v>
      </c>
      <c r="I46" s="33" t="e">
        <f>VLOOKUP(A1,DIV_09Data!$A$1:$DZU$1000000,775,FALSE)</f>
        <v>#N/A</v>
      </c>
      <c r="J46" s="34" t="e">
        <f>VLOOKUP(A1,DIV_09Data!$A$1:$DZU$1000000,776,FALSE)</f>
        <v>#N/A</v>
      </c>
      <c r="K46" s="34" t="e">
        <f>VLOOKUP(A1,DIV_09Data!$A$1:$DZU$1000000,777,FALSE)</f>
        <v>#N/A</v>
      </c>
      <c r="L46" s="93" t="e">
        <f>VLOOKUP(A1,DIV_09Data!$A$1:$DZU$1000000,778,FALSE)</f>
        <v>#N/A</v>
      </c>
      <c r="M46" s="33" t="e">
        <f>VLOOKUP(A1,DIV_09Data!$A$1:$DZU$1000000,779,FALSE)</f>
        <v>#N/A</v>
      </c>
      <c r="N46" s="34" t="e">
        <f>VLOOKUP(A1,DIV_09Data!$A$1:$DZU$1000000,780,FALSE)</f>
        <v>#N/A</v>
      </c>
      <c r="O46" s="33" t="e">
        <f>VLOOKUP(A1,DIV_09Data!$A$1:$DZU$1000000,781,FALSE)</f>
        <v>#N/A</v>
      </c>
      <c r="P46" s="46" t="e">
        <f>VLOOKUP(A1,DIV_09Data!$A$1:$DZU$1000000,782,FALSE)</f>
        <v>#N/A</v>
      </c>
      <c r="Q46" s="33" t="e">
        <f>VLOOKUP(A1,DIV_09Data!$A$1:$DZU$1000000,783,FALSE)</f>
        <v>#N/A</v>
      </c>
    </row>
    <row r="47" spans="1:17" x14ac:dyDescent="0.35">
      <c r="A47" s="22" t="e">
        <f>VLOOKUP(A1,DIV_09Data!$A$1:$DZU$1000000,784,FALSE)</f>
        <v>#N/A</v>
      </c>
      <c r="B47" s="37" t="e">
        <f>VLOOKUP(A1,DIV_09Data!$A$1:$DZU$1000000,785,FALSE)</f>
        <v>#N/A</v>
      </c>
      <c r="C47" s="38" t="e">
        <f>VLOOKUP(A1,DIV_09Data!$A$1:$DZU$1000000,786,FALSE)</f>
        <v>#N/A</v>
      </c>
      <c r="D47" s="31" t="e">
        <f>VLOOKUP(A1,DIV_09Data!$A$1:$DZU$1000000,787,FALSE)</f>
        <v>#N/A</v>
      </c>
      <c r="E47" s="32" t="e">
        <f>VLOOKUP(A1,DIV_09Data!$A$1:$DZU$1000000,788,FALSE)</f>
        <v>#N/A</v>
      </c>
      <c r="F47" s="34" t="e">
        <f>VLOOKUP(A1,DIV_09Data!$A$1:$DZU$1000000,789,FALSE)</f>
        <v>#N/A</v>
      </c>
      <c r="G47" s="33" t="e">
        <f>VLOOKUP(A1,DIV_09Data!$A$1:$DZU$1000000,790,FALSE)</f>
        <v>#N/A</v>
      </c>
      <c r="H47" s="34" t="e">
        <f>VLOOKUP(A1,DIV_09Data!$A$1:$DZU$1000000,791,FALSE)</f>
        <v>#N/A</v>
      </c>
      <c r="I47" s="33" t="e">
        <f>VLOOKUP(A1,DIV_09Data!$A$1:$DZU$1000000,792,FALSE)</f>
        <v>#N/A</v>
      </c>
      <c r="J47" s="34" t="e">
        <f>VLOOKUP(A1,DIV_09Data!$A$1:$DZU$1000000,793,FALSE)</f>
        <v>#N/A</v>
      </c>
      <c r="K47" s="34" t="e">
        <f>VLOOKUP(A1,DIV_09Data!$A$1:$DZU$1000000,794,FALSE)</f>
        <v>#N/A</v>
      </c>
      <c r="L47" s="93" t="e">
        <f>VLOOKUP(A1,DIV_09Data!$A$1:$DZU$1000000,795,FALSE)</f>
        <v>#N/A</v>
      </c>
      <c r="M47" s="33" t="e">
        <f>VLOOKUP(A1,DIV_09Data!$A$1:$DZU$1000000,796,FALSE)</f>
        <v>#N/A</v>
      </c>
      <c r="N47" s="34" t="e">
        <f>VLOOKUP(A1,DIV_09Data!$A$1:$DZU$1000000,797,FALSE)</f>
        <v>#N/A</v>
      </c>
      <c r="O47" s="33" t="e">
        <f>VLOOKUP(A1,DIV_09Data!$A$1:$DZU$1000000,798,FALSE)</f>
        <v>#N/A</v>
      </c>
      <c r="P47" s="46" t="e">
        <f>VLOOKUP(A1,DIV_09Data!$A$1:$DZU$1000000,799,FALSE)</f>
        <v>#N/A</v>
      </c>
      <c r="Q47" s="33" t="e">
        <f>VLOOKUP(A1,DIV_09Data!$A$1:$DZU$1000000,800,FALSE)</f>
        <v>#N/A</v>
      </c>
    </row>
    <row r="48" spans="1:17" x14ac:dyDescent="0.35">
      <c r="A48" s="22" t="e">
        <f>VLOOKUP(A1,DIV_09Data!$A$1:$DZU$1000000,801,FALSE)</f>
        <v>#N/A</v>
      </c>
      <c r="B48" s="37" t="e">
        <f>VLOOKUP(A1,DIV_09Data!$A$1:$DZU$1000000,802,FALSE)</f>
        <v>#N/A</v>
      </c>
      <c r="C48" s="38" t="e">
        <f>VLOOKUP(A1,DIV_09Data!$A$1:$DZU$1000000,803,FALSE)</f>
        <v>#N/A</v>
      </c>
      <c r="D48" s="31" t="e">
        <f>VLOOKUP(A1,DIV_09Data!$A$1:$DZU$1000000,804,FALSE)</f>
        <v>#N/A</v>
      </c>
      <c r="E48" s="32" t="e">
        <f>VLOOKUP(A1,DIV_09Data!$A$1:$DZU$1000000,805,FALSE)</f>
        <v>#N/A</v>
      </c>
      <c r="F48" s="34" t="e">
        <f>VLOOKUP(A1,DIV_09Data!$A$1:$DZU$1000000,806,FALSE)</f>
        <v>#N/A</v>
      </c>
      <c r="G48" s="33" t="e">
        <f>VLOOKUP(A1,DIV_09Data!$A$1:$DZU$1000000,807,FALSE)</f>
        <v>#N/A</v>
      </c>
      <c r="H48" s="34" t="e">
        <f>VLOOKUP(A1,DIV_09Data!$A$1:$DZU$1000000,808,FALSE)</f>
        <v>#N/A</v>
      </c>
      <c r="I48" s="33" t="e">
        <f>VLOOKUP(A1,DIV_09Data!$A$1:$DZU$1000000,809,FALSE)</f>
        <v>#N/A</v>
      </c>
      <c r="J48" s="34" t="e">
        <f>VLOOKUP(A1,DIV_09Data!$A$1:$DZU$1000000,810,FALSE)</f>
        <v>#N/A</v>
      </c>
      <c r="K48" s="34" t="e">
        <f>VLOOKUP(A1,DIV_09Data!$A$1:$DZU$1000000,811,FALSE)</f>
        <v>#N/A</v>
      </c>
      <c r="L48" s="93" t="e">
        <f>VLOOKUP(A1,DIV_09Data!$A$1:$DZU$1000000,812,FALSE)</f>
        <v>#N/A</v>
      </c>
      <c r="M48" s="33" t="e">
        <f>VLOOKUP(A1,DIV_09Data!$A$1:$DZU$1000000,813,FALSE)</f>
        <v>#N/A</v>
      </c>
      <c r="N48" s="34" t="e">
        <f>VLOOKUP(A1,DIV_09Data!$A$1:$DZU$1000000,814,FALSE)</f>
        <v>#N/A</v>
      </c>
      <c r="O48" s="33" t="e">
        <f>VLOOKUP(A1,DIV_09Data!$A$1:$DZU$1000000,815,FALSE)</f>
        <v>#N/A</v>
      </c>
      <c r="P48" s="46" t="e">
        <f>VLOOKUP(A1,DIV_09Data!$A$1:$DZU$1000000,816,FALSE)</f>
        <v>#N/A</v>
      </c>
      <c r="Q48" s="33" t="e">
        <f>VLOOKUP(A1,DIV_09Data!$A$1:$DZU$1000000,817,FALSE)</f>
        <v>#N/A</v>
      </c>
    </row>
    <row r="49" spans="1:17" x14ac:dyDescent="0.35">
      <c r="A49" s="22" t="e">
        <f>VLOOKUP(A1,DIV_09Data!$A$1:$DZU$1000000,818,FALSE)</f>
        <v>#N/A</v>
      </c>
      <c r="B49" s="37" t="e">
        <f>VLOOKUP(A1,DIV_09Data!$A$1:$DZU$1000000,819,FALSE)</f>
        <v>#N/A</v>
      </c>
      <c r="C49" s="38" t="e">
        <f>VLOOKUP(A1,DIV_09Data!$A$1:$DZU$1000000,820,FALSE)</f>
        <v>#N/A</v>
      </c>
      <c r="D49" s="31" t="e">
        <f>VLOOKUP(A1,DIV_09Data!$A$1:$DZU$1000000,821,FALSE)</f>
        <v>#N/A</v>
      </c>
      <c r="E49" s="32" t="e">
        <f>VLOOKUP(A1,DIV_09Data!$A$1:$DZU$1000000,822,FALSE)</f>
        <v>#N/A</v>
      </c>
      <c r="F49" s="34" t="e">
        <f>VLOOKUP(A1,DIV_09Data!$A$1:$DZU$1000000,823,FALSE)</f>
        <v>#N/A</v>
      </c>
      <c r="G49" s="33" t="e">
        <f>VLOOKUP(A1,DIV_09Data!$A$1:$DZU$1000000,824,FALSE)</f>
        <v>#N/A</v>
      </c>
      <c r="H49" s="34" t="e">
        <f>VLOOKUP(A1,DIV_09Data!$A$1:$DZU$1000000,825,FALSE)</f>
        <v>#N/A</v>
      </c>
      <c r="I49" s="33" t="e">
        <f>VLOOKUP(A1,DIV_09Data!$A$1:$DZU$1000000,826,FALSE)</f>
        <v>#N/A</v>
      </c>
      <c r="J49" s="34" t="e">
        <f>VLOOKUP(A1,DIV_09Data!$A$1:$DZU$1000000,827,FALSE)</f>
        <v>#N/A</v>
      </c>
      <c r="K49" s="34" t="e">
        <f>VLOOKUP(A1,DIV_09Data!$A$1:$DZU$1000000,828,FALSE)</f>
        <v>#N/A</v>
      </c>
      <c r="L49" s="93" t="e">
        <f>VLOOKUP(A1,DIV_09Data!$A$1:$DZU$1000000,829,FALSE)</f>
        <v>#N/A</v>
      </c>
      <c r="M49" s="33" t="e">
        <f>VLOOKUP(A1,DIV_09Data!$A$1:$DZU$1000000,830,FALSE)</f>
        <v>#N/A</v>
      </c>
      <c r="N49" s="34" t="e">
        <f>VLOOKUP(A1,DIV_09Data!$A$1:$DZU$1000000,831,FALSE)</f>
        <v>#N/A</v>
      </c>
      <c r="O49" s="33" t="e">
        <f>VLOOKUP(A1,DIV_09Data!$A$1:$DZU$1000000,832,FALSE)</f>
        <v>#N/A</v>
      </c>
      <c r="P49" s="46" t="e">
        <f>VLOOKUP(A1,DIV_09Data!$A$1:$DZU$1000000,833,FALSE)</f>
        <v>#N/A</v>
      </c>
      <c r="Q49" s="33" t="e">
        <f>VLOOKUP(A1,DIV_09Data!$A$1:$DZU$1000000,834,FALSE)</f>
        <v>#N/A</v>
      </c>
    </row>
    <row r="50" spans="1:17" x14ac:dyDescent="0.35">
      <c r="A50" s="22" t="e">
        <f>VLOOKUP(A1,DIV_09Data!$A$1:$DZU$1000000,835,FALSE)</f>
        <v>#N/A</v>
      </c>
      <c r="B50" s="37" t="e">
        <f>VLOOKUP(A1,DIV_09Data!$A$1:$DZU$1000000,836,FALSE)</f>
        <v>#N/A</v>
      </c>
      <c r="C50" s="38" t="e">
        <f>VLOOKUP(A1,DIV_09Data!$A$1:$DZU$1000000,837,FALSE)</f>
        <v>#N/A</v>
      </c>
      <c r="D50" s="31" t="e">
        <f>VLOOKUP(A1,DIV_09Data!$A$1:$DZU$1000000,838,FALSE)</f>
        <v>#N/A</v>
      </c>
      <c r="E50" s="32" t="e">
        <f>VLOOKUP(A1,DIV_09Data!$A$1:$DZU$1000000,839,FALSE)</f>
        <v>#N/A</v>
      </c>
      <c r="F50" s="34" t="e">
        <f>VLOOKUP(A1,DIV_09Data!$A$1:$DZU$1000000,840,FALSE)</f>
        <v>#N/A</v>
      </c>
      <c r="G50" s="33" t="e">
        <f>VLOOKUP(A1,DIV_09Data!$A$1:$DZU$1000000,841,FALSE)</f>
        <v>#N/A</v>
      </c>
      <c r="H50" s="34" t="e">
        <f>VLOOKUP(A1,DIV_09Data!$A$1:$DZU$1000000,842,FALSE)</f>
        <v>#N/A</v>
      </c>
      <c r="I50" s="33" t="e">
        <f>VLOOKUP(A1,DIV_09Data!$A$1:$DZU$1000000,843,FALSE)</f>
        <v>#N/A</v>
      </c>
      <c r="J50" s="34" t="e">
        <f>VLOOKUP(A1,DIV_09Data!$A$1:$DZU$1000000,844,FALSE)</f>
        <v>#N/A</v>
      </c>
      <c r="K50" s="34" t="e">
        <f>VLOOKUP(A1,DIV_09Data!$A$1:$DZU$1000000,845,FALSE)</f>
        <v>#N/A</v>
      </c>
      <c r="L50" s="93" t="e">
        <f>VLOOKUP(A1,DIV_09Data!$A$1:$DZU$1000000,846,FALSE)</f>
        <v>#N/A</v>
      </c>
      <c r="M50" s="33" t="e">
        <f>VLOOKUP(A1,DIV_09Data!$A$1:$DZU$1000000,847,FALSE)</f>
        <v>#N/A</v>
      </c>
      <c r="N50" s="34" t="e">
        <f>VLOOKUP(A1,DIV_09Data!$A$1:$DZU$1000000,848,FALSE)</f>
        <v>#N/A</v>
      </c>
      <c r="O50" s="33" t="e">
        <f>VLOOKUP(A1,DIV_09Data!$A$1:$DZU$1000000,849,FALSE)</f>
        <v>#N/A</v>
      </c>
      <c r="P50" s="46" t="e">
        <f>VLOOKUP(A1,DIV_09Data!$A$1:$DZU$1000000,850,FALSE)</f>
        <v>#N/A</v>
      </c>
      <c r="Q50" s="33" t="e">
        <f>VLOOKUP(A1,DIV_09Data!$A$1:$DZU$1000000,851,FALSE)</f>
        <v>#N/A</v>
      </c>
    </row>
    <row r="51" spans="1:17" x14ac:dyDescent="0.35">
      <c r="A51" s="22" t="e">
        <f>VLOOKUP(A1,DIV_09Data!$A$1:$DZU$1000000,852,FALSE)</f>
        <v>#N/A</v>
      </c>
      <c r="B51" s="37" t="e">
        <f>VLOOKUP(A1,DIV_09Data!$A$1:$DZU$1000000,853,FALSE)</f>
        <v>#N/A</v>
      </c>
      <c r="C51" s="38" t="e">
        <f>VLOOKUP(A1,DIV_09Data!$A$1:$DZU$1000000,854,FALSE)</f>
        <v>#N/A</v>
      </c>
      <c r="D51" s="31" t="e">
        <f>VLOOKUP(A1,DIV_09Data!$A$1:$DZU$1000000,855,FALSE)</f>
        <v>#N/A</v>
      </c>
      <c r="E51" s="32" t="e">
        <f>VLOOKUP(A1,DIV_09Data!$A$1:$DZU$1000000,856,FALSE)</f>
        <v>#N/A</v>
      </c>
      <c r="F51" s="34" t="e">
        <f>VLOOKUP(A1,DIV_09Data!$A$1:$DZU$1000000,857,FALSE)</f>
        <v>#N/A</v>
      </c>
      <c r="G51" s="33" t="e">
        <f>VLOOKUP(A1,DIV_09Data!$A$1:$DZU$1000000,858,FALSE)</f>
        <v>#N/A</v>
      </c>
      <c r="H51" s="34" t="e">
        <f>VLOOKUP(A1,DIV_09Data!$A$1:$DZU$1000000,859,FALSE)</f>
        <v>#N/A</v>
      </c>
      <c r="I51" s="33" t="e">
        <f>VLOOKUP(A1,DIV_09Data!$A$1:$DZU$1000000,860,FALSE)</f>
        <v>#N/A</v>
      </c>
      <c r="J51" s="34" t="e">
        <f>VLOOKUP(A1,DIV_09Data!$A$1:$DZU$1000000,861,FALSE)</f>
        <v>#N/A</v>
      </c>
      <c r="K51" s="34" t="e">
        <f>VLOOKUP(A1,DIV_09Data!$A$1:$DZU$1000000,862,FALSE)</f>
        <v>#N/A</v>
      </c>
      <c r="L51" s="93" t="e">
        <f>VLOOKUP(A1,DIV_09Data!$A$1:$DZU$1000000,863,FALSE)</f>
        <v>#N/A</v>
      </c>
      <c r="M51" s="33" t="e">
        <f>VLOOKUP(A1,DIV_09Data!$A$1:$DZU$1000000,864,FALSE)</f>
        <v>#N/A</v>
      </c>
      <c r="N51" s="34" t="e">
        <f>VLOOKUP(A1,DIV_09Data!$A$1:$DZU$1000000,865,FALSE)</f>
        <v>#N/A</v>
      </c>
      <c r="O51" s="33" t="e">
        <f>VLOOKUP(A1,DIV_09Data!$A$1:$DZU$1000000,866,FALSE)</f>
        <v>#N/A</v>
      </c>
      <c r="P51" s="46" t="e">
        <f>VLOOKUP(A1,DIV_09Data!$A$1:$DZU$1000000,867,FALSE)</f>
        <v>#N/A</v>
      </c>
      <c r="Q51" s="33" t="e">
        <f>VLOOKUP(A1,DIV_09Data!$A$1:$DZU$1000000,868,FALSE)</f>
        <v>#N/A</v>
      </c>
    </row>
    <row r="52" spans="1:17" x14ac:dyDescent="0.35">
      <c r="A52" s="22" t="e">
        <f>VLOOKUP(A1,DIV_09Data!$A$1:$DZU$1000000,869,FALSE)</f>
        <v>#N/A</v>
      </c>
      <c r="B52" s="37" t="e">
        <f>VLOOKUP(A1,DIV_09Data!$A$1:$DZU$1000000,870,FALSE)</f>
        <v>#N/A</v>
      </c>
      <c r="C52" s="38" t="e">
        <f>VLOOKUP(A1,DIV_09Data!$A$1:$DZU$1000000,871,FALSE)</f>
        <v>#N/A</v>
      </c>
      <c r="D52" s="31" t="e">
        <f>VLOOKUP(A1,DIV_09Data!$A$1:$DZU$1000000,872,FALSE)</f>
        <v>#N/A</v>
      </c>
      <c r="E52" s="32" t="e">
        <f>VLOOKUP(A1,DIV_09Data!$A$1:$DZU$1000000,873,FALSE)</f>
        <v>#N/A</v>
      </c>
      <c r="F52" s="34" t="e">
        <f>VLOOKUP(A1,DIV_09Data!$A$1:$DZU$1000000,874,FALSE)</f>
        <v>#N/A</v>
      </c>
      <c r="G52" s="33" t="e">
        <f>VLOOKUP(A1,DIV_09Data!$A$1:$DZU$1000000,875,FALSE)</f>
        <v>#N/A</v>
      </c>
      <c r="H52" s="34" t="e">
        <f>VLOOKUP(A1,DIV_09Data!$A$1:$DZU$1000000,876,FALSE)</f>
        <v>#N/A</v>
      </c>
      <c r="I52" s="33" t="e">
        <f>VLOOKUP(A1,DIV_09Data!$A$1:$DZU$1000000,877,FALSE)</f>
        <v>#N/A</v>
      </c>
      <c r="J52" s="34" t="e">
        <f>VLOOKUP(A1,DIV_09Data!$A$1:$DZU$1000000,878,FALSE)</f>
        <v>#N/A</v>
      </c>
      <c r="K52" s="34" t="e">
        <f>VLOOKUP(A1,DIV_09Data!$A$1:$DZU$1000000,879,FALSE)</f>
        <v>#N/A</v>
      </c>
      <c r="L52" s="93" t="e">
        <f>VLOOKUP(A1,DIV_09Data!$A$1:$DZU$1000000,880,FALSE)</f>
        <v>#N/A</v>
      </c>
      <c r="M52" s="33" t="e">
        <f>VLOOKUP(A1,DIV_09Data!$A$1:$DZU$1000000,881,FALSE)</f>
        <v>#N/A</v>
      </c>
      <c r="N52" s="34" t="e">
        <f>VLOOKUP(A1,DIV_09Data!$A$1:$DZU$1000000,882,FALSE)</f>
        <v>#N/A</v>
      </c>
      <c r="O52" s="33" t="e">
        <f>VLOOKUP(A1,DIV_09Data!$A$1:$DZU$1000000,883,FALSE)</f>
        <v>#N/A</v>
      </c>
      <c r="P52" s="46" t="e">
        <f>VLOOKUP(A1,DIV_09Data!$A$1:$DZU$1000000,884,FALSE)</f>
        <v>#N/A</v>
      </c>
      <c r="Q52" s="33" t="e">
        <f>VLOOKUP(A1,DIV_09Data!$A$1:$DZU$1000000,885,FALSE)</f>
        <v>#N/A</v>
      </c>
    </row>
    <row r="53" spans="1:17" x14ac:dyDescent="0.35">
      <c r="A53" s="22" t="e">
        <f>VLOOKUP(A1,DIV_09Data!$A$1:$DZU$1000000,886,FALSE)</f>
        <v>#N/A</v>
      </c>
      <c r="B53" s="37" t="e">
        <f>VLOOKUP(A1,DIV_09Data!$A$1:$DZU$1000000,887,FALSE)</f>
        <v>#N/A</v>
      </c>
      <c r="C53" s="38" t="e">
        <f>VLOOKUP(A1,DIV_09Data!$A$1:$DZU$1000000,888,FALSE)</f>
        <v>#N/A</v>
      </c>
      <c r="D53" s="31" t="e">
        <f>VLOOKUP(A1,DIV_09Data!$A$1:$DZU$1000000,889,FALSE)</f>
        <v>#N/A</v>
      </c>
      <c r="E53" s="32" t="e">
        <f>VLOOKUP(A1,DIV_09Data!$A$1:$DZU$1000000,890,FALSE)</f>
        <v>#N/A</v>
      </c>
      <c r="F53" s="34" t="e">
        <f>VLOOKUP(A1,DIV_09Data!$A$1:$DZU$1000000,891,FALSE)</f>
        <v>#N/A</v>
      </c>
      <c r="G53" s="33" t="e">
        <f>VLOOKUP(A1,DIV_09Data!$A$1:$DZU$1000000,892,FALSE)</f>
        <v>#N/A</v>
      </c>
      <c r="H53" s="34" t="e">
        <f>VLOOKUP(A1,DIV_09Data!$A$1:$DZU$1000000,893,FALSE)</f>
        <v>#N/A</v>
      </c>
      <c r="I53" s="33" t="e">
        <f>VLOOKUP(A1,DIV_09Data!$A$1:$DZU$1000000,894,FALSE)</f>
        <v>#N/A</v>
      </c>
      <c r="J53" s="34" t="e">
        <f>VLOOKUP(A1,DIV_09Data!$A$1:$DZU$1000000,895,FALSE)</f>
        <v>#N/A</v>
      </c>
      <c r="K53" s="34" t="e">
        <f>VLOOKUP(A1,DIV_09Data!$A$1:$DZU$1000000,896,FALSE)</f>
        <v>#N/A</v>
      </c>
      <c r="L53" s="93" t="e">
        <f>VLOOKUP(A1,DIV_09Data!$A$1:$DZU$1000000,897,FALSE)</f>
        <v>#N/A</v>
      </c>
      <c r="M53" s="33" t="e">
        <f>VLOOKUP(A1,DIV_09Data!$A$1:$DZU$1000000,898,FALSE)</f>
        <v>#N/A</v>
      </c>
      <c r="N53" s="34" t="e">
        <f>VLOOKUP(A1,DIV_09Data!$A$1:$DZU$1000000,899,FALSE)</f>
        <v>#N/A</v>
      </c>
      <c r="O53" s="33" t="e">
        <f>VLOOKUP(A1,DIV_09Data!$A$1:$DZU$1000000,900,FALSE)</f>
        <v>#N/A</v>
      </c>
      <c r="P53" s="46" t="e">
        <f>VLOOKUP(A1,DIV_09Data!$A$1:$DZU$1000000,901,FALSE)</f>
        <v>#N/A</v>
      </c>
      <c r="Q53" s="33" t="e">
        <f>VLOOKUP(A1,DIV_09Data!$A$1:$DZU$1000000,902,FALSE)</f>
        <v>#N/A</v>
      </c>
    </row>
    <row r="54" spans="1:17" x14ac:dyDescent="0.35">
      <c r="A54" s="22" t="e">
        <f>VLOOKUP(A1,DIV_09Data!$A$1:$DZU$1000000,903,FALSE)</f>
        <v>#N/A</v>
      </c>
      <c r="B54" s="37" t="e">
        <f>VLOOKUP(A1,DIV_09Data!$A$1:$DZU$1000000,904,FALSE)</f>
        <v>#N/A</v>
      </c>
      <c r="C54" s="38" t="e">
        <f>VLOOKUP(A1,DIV_09Data!$A$1:$DZU$1000000,905,FALSE)</f>
        <v>#N/A</v>
      </c>
      <c r="D54" s="31" t="e">
        <f>VLOOKUP(A1,DIV_09Data!$A$1:$DZU$1000000,906,FALSE)</f>
        <v>#N/A</v>
      </c>
      <c r="E54" s="32" t="e">
        <f>VLOOKUP(A1,DIV_09Data!$A$1:$DZU$1000000,907,FALSE)</f>
        <v>#N/A</v>
      </c>
      <c r="F54" s="34" t="e">
        <f>VLOOKUP(A1,DIV_09Data!$A$1:$DZU$1000000,908,FALSE)</f>
        <v>#N/A</v>
      </c>
      <c r="G54" s="33" t="e">
        <f>VLOOKUP(A1,DIV_09Data!$A$1:$DZU$1000000,909,FALSE)</f>
        <v>#N/A</v>
      </c>
      <c r="H54" s="34" t="e">
        <f>VLOOKUP(A1,DIV_09Data!$A$1:$DZU$1000000,910,FALSE)</f>
        <v>#N/A</v>
      </c>
      <c r="I54" s="33" t="e">
        <f>VLOOKUP(A1,DIV_09Data!$A$1:$DZU$1000000,911,FALSE)</f>
        <v>#N/A</v>
      </c>
      <c r="J54" s="34" t="e">
        <f>VLOOKUP(A1,DIV_09Data!$A$1:$DZU$1000000,912,FALSE)</f>
        <v>#N/A</v>
      </c>
      <c r="K54" s="34" t="e">
        <f>VLOOKUP(A1,DIV_09Data!$A$1:$DZU$1000000,913,FALSE)</f>
        <v>#N/A</v>
      </c>
      <c r="L54" s="93" t="e">
        <f>VLOOKUP(A1,DIV_09Data!$A$1:$DZU$1000000,914,FALSE)</f>
        <v>#N/A</v>
      </c>
      <c r="M54" s="33" t="e">
        <f>VLOOKUP(A1,DIV_09Data!$A$1:$DZU$1000000,915,FALSE)</f>
        <v>#N/A</v>
      </c>
      <c r="N54" s="34" t="e">
        <f>VLOOKUP(A1,DIV_09Data!$A$1:$DZU$1000000,916,FALSE)</f>
        <v>#N/A</v>
      </c>
      <c r="O54" s="33" t="e">
        <f>VLOOKUP(A1,DIV_09Data!$A$1:$DZU$1000000,917,FALSE)</f>
        <v>#N/A</v>
      </c>
      <c r="P54" s="46" t="e">
        <f>VLOOKUP(A1,DIV_09Data!$A$1:$DZU$1000000,918,FALSE)</f>
        <v>#N/A</v>
      </c>
      <c r="Q54" s="33" t="e">
        <f>VLOOKUP(A1,DIV_09Data!$A$1:$DZU$1000000,919,FALSE)</f>
        <v>#N/A</v>
      </c>
    </row>
    <row r="55" spans="1:17" x14ac:dyDescent="0.35">
      <c r="A55" s="22" t="e">
        <f>VLOOKUP(A1,DIV_09Data!$A$1:$DZU$1000000,920,FALSE)</f>
        <v>#N/A</v>
      </c>
      <c r="B55" s="37" t="e">
        <f>VLOOKUP(A1,DIV_09Data!$A$1:$DZU$1000000,921,FALSE)</f>
        <v>#N/A</v>
      </c>
      <c r="C55" s="38" t="e">
        <f>VLOOKUP(A1,DIV_09Data!$A$1:$DZU$1000000,922,FALSE)</f>
        <v>#N/A</v>
      </c>
      <c r="D55" s="31" t="e">
        <f>VLOOKUP(A1,DIV_09Data!$A$1:$DZU$1000000,923,FALSE)</f>
        <v>#N/A</v>
      </c>
      <c r="E55" s="32" t="e">
        <f>VLOOKUP(A1,DIV_09Data!$A$1:$DZU$1000000,924,FALSE)</f>
        <v>#N/A</v>
      </c>
      <c r="F55" s="34" t="e">
        <f>VLOOKUP(A1,DIV_09Data!$A$1:$DZU$1000000,925,FALSE)</f>
        <v>#N/A</v>
      </c>
      <c r="G55" s="33" t="e">
        <f>VLOOKUP(A1,DIV_09Data!$A$1:$DZU$1000000,926,FALSE)</f>
        <v>#N/A</v>
      </c>
      <c r="H55" s="34" t="e">
        <f>VLOOKUP(A1,DIV_09Data!$A$1:$DZU$1000000,927,FALSE)</f>
        <v>#N/A</v>
      </c>
      <c r="I55" s="33" t="e">
        <f>VLOOKUP(A1,DIV_09Data!$A$1:$DZU$1000000,928,FALSE)</f>
        <v>#N/A</v>
      </c>
      <c r="J55" s="34" t="e">
        <f>VLOOKUP(A1,DIV_09Data!$A$1:$DZU$1000000,929,FALSE)</f>
        <v>#N/A</v>
      </c>
      <c r="K55" s="34" t="e">
        <f>VLOOKUP(A1,DIV_09Data!$A$1:$DZU$1000000,930,FALSE)</f>
        <v>#N/A</v>
      </c>
      <c r="L55" s="93" t="e">
        <f>VLOOKUP(A1,DIV_09Data!$A$1:$DZU$1000000,931,FALSE)</f>
        <v>#N/A</v>
      </c>
      <c r="M55" s="33" t="e">
        <f>VLOOKUP(A1,DIV_09Data!$A$1:$DZU$1000000,932,FALSE)</f>
        <v>#N/A</v>
      </c>
      <c r="N55" s="34" t="e">
        <f>VLOOKUP(A1,DIV_09Data!$A$1:$DZU$1000000,933,FALSE)</f>
        <v>#N/A</v>
      </c>
      <c r="O55" s="33" t="e">
        <f>VLOOKUP(A1,DIV_09Data!$A$1:$DZU$1000000,934,FALSE)</f>
        <v>#N/A</v>
      </c>
      <c r="P55" s="46" t="e">
        <f>VLOOKUP(A1,DIV_09Data!$A$1:$DZU$1000000,935,FALSE)</f>
        <v>#N/A</v>
      </c>
      <c r="Q55" s="33" t="e">
        <f>VLOOKUP(A1,DIV_09Data!$A$1:$DZU$1000000,936,FALSE)</f>
        <v>#N/A</v>
      </c>
    </row>
    <row r="56" spans="1:17" x14ac:dyDescent="0.35">
      <c r="A56" s="22" t="e">
        <f>VLOOKUP(A1,DIV_09Data!$A$1:$DZU$1000000,937,FALSE)</f>
        <v>#N/A</v>
      </c>
      <c r="B56" s="37" t="e">
        <f>VLOOKUP(A1,DIV_09Data!$A$1:$DZU$1000000,938,FALSE)</f>
        <v>#N/A</v>
      </c>
      <c r="C56" s="38" t="e">
        <f>VLOOKUP(A1,DIV_09Data!$A$1:$DZU$1000000,939,FALSE)</f>
        <v>#N/A</v>
      </c>
      <c r="D56" s="31" t="e">
        <f>VLOOKUP(A1,DIV_09Data!$A$1:$DZU$1000000,940,FALSE)</f>
        <v>#N/A</v>
      </c>
      <c r="E56" s="32" t="e">
        <f>VLOOKUP(A1,DIV_09Data!$A$1:$DZU$1000000,941,FALSE)</f>
        <v>#N/A</v>
      </c>
      <c r="F56" s="34" t="e">
        <f>VLOOKUP(A1,DIV_09Data!$A$1:$DZU$1000000,942,FALSE)</f>
        <v>#N/A</v>
      </c>
      <c r="G56" s="33" t="e">
        <f>VLOOKUP(A1,DIV_09Data!$A$1:$DZU$1000000,943,FALSE)</f>
        <v>#N/A</v>
      </c>
      <c r="H56" s="34" t="e">
        <f>VLOOKUP(A1,DIV_09Data!$A$1:$DZU$1000000,944,FALSE)</f>
        <v>#N/A</v>
      </c>
      <c r="I56" s="33" t="e">
        <f>VLOOKUP(A1,DIV_09Data!$A$1:$DZU$1000000,945,FALSE)</f>
        <v>#N/A</v>
      </c>
      <c r="J56" s="34" t="e">
        <f>VLOOKUP(A1,DIV_09Data!$A$1:$DZU$1000000,946,FALSE)</f>
        <v>#N/A</v>
      </c>
      <c r="K56" s="34" t="e">
        <f>VLOOKUP(A1,DIV_09Data!$A$1:$DZU$1000000,947,FALSE)</f>
        <v>#N/A</v>
      </c>
      <c r="L56" s="93" t="e">
        <f>VLOOKUP(A1,DIV_09Data!$A$1:$DZU$1000000,948,FALSE)</f>
        <v>#N/A</v>
      </c>
      <c r="M56" s="33" t="e">
        <f>VLOOKUP(A1,DIV_09Data!$A$1:$DZU$1000000,949,FALSE)</f>
        <v>#N/A</v>
      </c>
      <c r="N56" s="34" t="e">
        <f>VLOOKUP(A1,DIV_09Data!$A$1:$DZU$1000000,950,FALSE)</f>
        <v>#N/A</v>
      </c>
      <c r="O56" s="33" t="e">
        <f>VLOOKUP(A1,DIV_09Data!$A$1:$DZU$1000000,951,FALSE)</f>
        <v>#N/A</v>
      </c>
      <c r="P56" s="46" t="e">
        <f>VLOOKUP(A1,DIV_09Data!$A$1:$DZU$1000000,952,FALSE)</f>
        <v>#N/A</v>
      </c>
      <c r="Q56" s="33" t="e">
        <f>VLOOKUP(A1,DIV_09Data!$A$1:$DZU$1000000,953,FALSE)</f>
        <v>#N/A</v>
      </c>
    </row>
    <row r="57" spans="1:17" x14ac:dyDescent="0.35">
      <c r="A57" s="22" t="e">
        <f>VLOOKUP(A1,DIV_09Data!$A$1:$DZU$1000000,954,FALSE)</f>
        <v>#N/A</v>
      </c>
      <c r="B57" s="37" t="e">
        <f>VLOOKUP(A1,DIV_09Data!$A$1:$DZU$1000000,955,FALSE)</f>
        <v>#N/A</v>
      </c>
      <c r="C57" s="38" t="e">
        <f>VLOOKUP(A1,DIV_09Data!$A$1:$DZU$1000000,956,FALSE)</f>
        <v>#N/A</v>
      </c>
      <c r="D57" s="31" t="e">
        <f>VLOOKUP(A1,DIV_09Data!$A$1:$DZU$1000000,957,FALSE)</f>
        <v>#N/A</v>
      </c>
      <c r="E57" s="32" t="e">
        <f>VLOOKUP(A1,DIV_09Data!$A$1:$DZU$1000000,958,FALSE)</f>
        <v>#N/A</v>
      </c>
      <c r="F57" s="34" t="e">
        <f>VLOOKUP(A1,DIV_09Data!$A$1:$DZU$1000000,959,FALSE)</f>
        <v>#N/A</v>
      </c>
      <c r="G57" s="33" t="e">
        <f>VLOOKUP(A1,DIV_09Data!$A$1:$DZU$1000000,960,FALSE)</f>
        <v>#N/A</v>
      </c>
      <c r="H57" s="34" t="e">
        <f>VLOOKUP(A1,DIV_09Data!$A$1:$DZU$1000000,961,FALSE)</f>
        <v>#N/A</v>
      </c>
      <c r="I57" s="33" t="e">
        <f>VLOOKUP(A1,DIV_09Data!$A$1:$DZU$1000000,962,FALSE)</f>
        <v>#N/A</v>
      </c>
      <c r="J57" s="34" t="e">
        <f>VLOOKUP(A1,DIV_09Data!$A$1:$DZU$1000000,963,FALSE)</f>
        <v>#N/A</v>
      </c>
      <c r="K57" s="34" t="e">
        <f>VLOOKUP(A1,DIV_09Data!$A$1:$DZU$1000000,964,FALSE)</f>
        <v>#N/A</v>
      </c>
      <c r="L57" s="93" t="e">
        <f>VLOOKUP(A1,DIV_09Data!$A$1:$DZU$1000000,965,FALSE)</f>
        <v>#N/A</v>
      </c>
      <c r="M57" s="33" t="e">
        <f>VLOOKUP(A1,DIV_09Data!$A$1:$DZU$1000000,966,FALSE)</f>
        <v>#N/A</v>
      </c>
      <c r="N57" s="34" t="e">
        <f>VLOOKUP(A1,DIV_09Data!$A$1:$DZU$1000000,967,FALSE)</f>
        <v>#N/A</v>
      </c>
      <c r="O57" s="33" t="e">
        <f>VLOOKUP(A1,DIV_09Data!$A$1:$DZU$1000000,968,FALSE)</f>
        <v>#N/A</v>
      </c>
      <c r="P57" s="46" t="e">
        <f>VLOOKUP(A1,DIV_09Data!$A$1:$DZU$1000000,969,FALSE)</f>
        <v>#N/A</v>
      </c>
      <c r="Q57" s="33" t="e">
        <f>VLOOKUP(A1,DIV_09Data!$A$1:$DZU$1000000,970,FALSE)</f>
        <v>#N/A</v>
      </c>
    </row>
    <row r="58" spans="1:17" x14ac:dyDescent="0.35">
      <c r="A58" s="22" t="e">
        <f>VLOOKUP(A1,DIV_09Data!$A$1:$DZU$1000000,971,FALSE)</f>
        <v>#N/A</v>
      </c>
      <c r="B58" s="37" t="e">
        <f>VLOOKUP(A1,DIV_09Data!$A$1:$DZU$1000000,972,FALSE)</f>
        <v>#N/A</v>
      </c>
      <c r="C58" s="38" t="e">
        <f>VLOOKUP(A1,DIV_09Data!$A$1:$DZU$1000000,973,FALSE)</f>
        <v>#N/A</v>
      </c>
      <c r="D58" s="31" t="e">
        <f>VLOOKUP(A1,DIV_09Data!$A$1:$DZU$1000000,974,FALSE)</f>
        <v>#N/A</v>
      </c>
      <c r="E58" s="32" t="e">
        <f>VLOOKUP(A1,DIV_09Data!$A$1:$DZU$1000000,975,FALSE)</f>
        <v>#N/A</v>
      </c>
      <c r="F58" s="34" t="e">
        <f>VLOOKUP(A1,DIV_09Data!$A$1:$DZU$1000000,976,FALSE)</f>
        <v>#N/A</v>
      </c>
      <c r="G58" s="33" t="e">
        <f>VLOOKUP(A1,DIV_09Data!$A$1:$DZU$1000000,977,FALSE)</f>
        <v>#N/A</v>
      </c>
      <c r="H58" s="34" t="e">
        <f>VLOOKUP(A1,DIV_09Data!$A$1:$DZU$1000000,978,FALSE)</f>
        <v>#N/A</v>
      </c>
      <c r="I58" s="33" t="e">
        <f>VLOOKUP(A1,DIV_09Data!$A$1:$DZU$1000000,979,FALSE)</f>
        <v>#N/A</v>
      </c>
      <c r="J58" s="34" t="e">
        <f>VLOOKUP(A1,DIV_09Data!$A$1:$DZU$1000000,980,FALSE)</f>
        <v>#N/A</v>
      </c>
      <c r="K58" s="34" t="e">
        <f>VLOOKUP(A1,DIV_09Data!$A$1:$DZU$1000000,981,FALSE)</f>
        <v>#N/A</v>
      </c>
      <c r="L58" s="93" t="e">
        <f>VLOOKUP(A1,DIV_09Data!$A$1:$DZU$1000000,982,FALSE)</f>
        <v>#N/A</v>
      </c>
      <c r="M58" s="33" t="e">
        <f>VLOOKUP(A1,DIV_09Data!$A$1:$DZU$1000000,983,FALSE)</f>
        <v>#N/A</v>
      </c>
      <c r="N58" s="34" t="e">
        <f>VLOOKUP(A1,DIV_09Data!$A$1:$DZU$1000000,984,FALSE)</f>
        <v>#N/A</v>
      </c>
      <c r="O58" s="33" t="e">
        <f>VLOOKUP(A1,DIV_09Data!$A$1:$DZU$1000000,985,FALSE)</f>
        <v>#N/A</v>
      </c>
      <c r="P58" s="46" t="e">
        <f>VLOOKUP(A1,DIV_09Data!$A$1:$DZU$1000000,986,FALSE)</f>
        <v>#N/A</v>
      </c>
      <c r="Q58" s="33" t="e">
        <f>VLOOKUP(A1,DIV_09Data!$A$1:$DZU$1000000,987,FALSE)</f>
        <v>#N/A</v>
      </c>
    </row>
    <row r="59" spans="1:17" x14ac:dyDescent="0.35">
      <c r="A59" s="22" t="e">
        <f>VLOOKUP(A1,DIV_09Data!$A$1:$DZU$1000000,988,FALSE)</f>
        <v>#N/A</v>
      </c>
      <c r="B59" s="37" t="e">
        <f>VLOOKUP(A1,DIV_09Data!$A$1:$DZU$1000000,989,FALSE)</f>
        <v>#N/A</v>
      </c>
      <c r="C59" s="38" t="e">
        <f>VLOOKUP(A1,DIV_09Data!$A$1:$DZU$1000000,990,FALSE)</f>
        <v>#N/A</v>
      </c>
      <c r="D59" s="31" t="e">
        <f>VLOOKUP(A1,DIV_09Data!$A$1:$DZU$1000000,991,FALSE)</f>
        <v>#N/A</v>
      </c>
      <c r="E59" s="32" t="e">
        <f>VLOOKUP(A1,DIV_09Data!$A$1:$DZU$1000000,992,FALSE)</f>
        <v>#N/A</v>
      </c>
      <c r="F59" s="34" t="e">
        <f>VLOOKUP(A1,DIV_09Data!$A$1:$DZU$1000000,993,FALSE)</f>
        <v>#N/A</v>
      </c>
      <c r="G59" s="33" t="e">
        <f>VLOOKUP(A1,DIV_09Data!$A$1:$DZU$1000000,994,FALSE)</f>
        <v>#N/A</v>
      </c>
      <c r="H59" s="34" t="e">
        <f>VLOOKUP(A1,DIV_09Data!$A$1:$DZU$1000000,995,FALSE)</f>
        <v>#N/A</v>
      </c>
      <c r="I59" s="33" t="e">
        <f>VLOOKUP(A1,DIV_09Data!$A$1:$DZU$1000000,996,FALSE)</f>
        <v>#N/A</v>
      </c>
      <c r="J59" s="34" t="e">
        <f>VLOOKUP(A1,DIV_09Data!$A$1:$DZU$1000000,997,FALSE)</f>
        <v>#N/A</v>
      </c>
      <c r="K59" s="34" t="e">
        <f>VLOOKUP(A1,DIV_09Data!$A$1:$DZU$1000000,998,FALSE)</f>
        <v>#N/A</v>
      </c>
      <c r="L59" s="93" t="e">
        <f>VLOOKUP(A1,DIV_09Data!$A$1:$DZU$1000000,999,FALSE)</f>
        <v>#N/A</v>
      </c>
      <c r="M59" s="33" t="e">
        <f>VLOOKUP(A1,DIV_09Data!$A$1:$DZU$1000000,1000,FALSE)</f>
        <v>#N/A</v>
      </c>
      <c r="N59" s="34" t="e">
        <f>VLOOKUP(A1,DIV_09Data!$A$1:$DZU$1000000,1001,FALSE)</f>
        <v>#N/A</v>
      </c>
      <c r="O59" s="33" t="e">
        <f>VLOOKUP(A1,DIV_09Data!$A$1:$DZU$1000000,1002,FALSE)</f>
        <v>#N/A</v>
      </c>
      <c r="P59" s="46" t="e">
        <f>VLOOKUP(A1,DIV_09Data!$A$1:$DZU$1000000,1003,FALSE)</f>
        <v>#N/A</v>
      </c>
      <c r="Q59" s="33" t="e">
        <f>VLOOKUP(A1,DIV_09Data!$A$1:$DZU$1000000,1004,FALSE)</f>
        <v>#N/A</v>
      </c>
    </row>
    <row r="60" spans="1:17" x14ac:dyDescent="0.35">
      <c r="A60" s="22" t="e">
        <f>VLOOKUP(A1,DIV_09Data!$A$1:$DZU$1000000,1005,FALSE)</f>
        <v>#N/A</v>
      </c>
      <c r="B60" s="37" t="e">
        <f>VLOOKUP(A1,DIV_09Data!$A$1:$DZU$1000000,1006,FALSE)</f>
        <v>#N/A</v>
      </c>
      <c r="C60" s="38" t="e">
        <f>VLOOKUP(A1,DIV_09Data!$A$1:$DZU$1000000,1007,FALSE)</f>
        <v>#N/A</v>
      </c>
      <c r="D60" s="31" t="e">
        <f>VLOOKUP(A1,DIV_09Data!$A$1:$DZU$1000000,1008,FALSE)</f>
        <v>#N/A</v>
      </c>
      <c r="E60" s="32" t="e">
        <f>VLOOKUP(A1,DIV_09Data!$A$1:$DZU$1000000,1009,FALSE)</f>
        <v>#N/A</v>
      </c>
      <c r="F60" s="34" t="e">
        <f>VLOOKUP(A1,DIV_09Data!$A$1:$DZU$1000000,1010,FALSE)</f>
        <v>#N/A</v>
      </c>
      <c r="G60" s="33" t="e">
        <f>VLOOKUP(A1,DIV_09Data!$A$1:$DZU$1000000,1011,FALSE)</f>
        <v>#N/A</v>
      </c>
      <c r="H60" s="34" t="e">
        <f>VLOOKUP(A1,DIV_09Data!$A$1:$DZU$1000000,1012,FALSE)</f>
        <v>#N/A</v>
      </c>
      <c r="I60" s="33" t="e">
        <f>VLOOKUP(A1,DIV_09Data!$A$1:$DZU$1000000,1013,FALSE)</f>
        <v>#N/A</v>
      </c>
      <c r="J60" s="34" t="e">
        <f>VLOOKUP(A1,DIV_09Data!$A$1:$DZU$1000000,1014,FALSE)</f>
        <v>#N/A</v>
      </c>
      <c r="K60" s="34" t="e">
        <f>VLOOKUP(A1,DIV_09Data!$A$1:$DZU$1000000,1015,FALSE)</f>
        <v>#N/A</v>
      </c>
      <c r="L60" s="93" t="e">
        <f>VLOOKUP(A1,DIV_09Data!$A$1:$DZU$1000000,1016,FALSE)</f>
        <v>#N/A</v>
      </c>
      <c r="M60" s="33" t="e">
        <f>VLOOKUP(A1,DIV_09Data!$A$1:$DZU$1000000,1017,FALSE)</f>
        <v>#N/A</v>
      </c>
      <c r="N60" s="34" t="e">
        <f>VLOOKUP(A1,DIV_09Data!$A$1:$DZU$1000000,1018,FALSE)</f>
        <v>#N/A</v>
      </c>
      <c r="O60" s="33" t="e">
        <f>VLOOKUP(A1,DIV_09Data!$A$1:$DZU$1000000,1019,FALSE)</f>
        <v>#N/A</v>
      </c>
      <c r="P60" s="46" t="e">
        <f>VLOOKUP(A1,DIV_09Data!$A$1:$DZU$1000000,1020,FALSE)</f>
        <v>#N/A</v>
      </c>
      <c r="Q60" s="33" t="e">
        <f>VLOOKUP(A1,DIV_09Data!$A$1:$DZU$1000000,1021,FALSE)</f>
        <v>#N/A</v>
      </c>
    </row>
    <row r="61" spans="1:17" x14ac:dyDescent="0.35">
      <c r="A61" s="22" t="e">
        <f>VLOOKUP(A1,DIV_09Data!$A$1:$DZU$1000000,1022,FALSE)</f>
        <v>#N/A</v>
      </c>
      <c r="B61" s="37" t="e">
        <f>VLOOKUP(A1,DIV_09Data!$A$1:$DZU$1000000,1023,FALSE)</f>
        <v>#N/A</v>
      </c>
      <c r="C61" s="38" t="e">
        <f>VLOOKUP(A1,DIV_09Data!$A$1:$DZU$1000000,1024,FALSE)</f>
        <v>#N/A</v>
      </c>
      <c r="D61" s="31" t="e">
        <f>VLOOKUP(A1,DIV_09Data!$A$1:$DZU$1000000,1025,FALSE)</f>
        <v>#N/A</v>
      </c>
      <c r="E61" s="32" t="e">
        <f>VLOOKUP(A1,DIV_09Data!$A$1:$DZU$1000000,1026,FALSE)</f>
        <v>#N/A</v>
      </c>
      <c r="F61" s="34" t="e">
        <f>VLOOKUP(A1,DIV_09Data!$A$1:$DZU$1000000,1027,FALSE)</f>
        <v>#N/A</v>
      </c>
      <c r="G61" s="33" t="e">
        <f>VLOOKUP(A1,DIV_09Data!$A$1:$DZU$1000000,1028,FALSE)</f>
        <v>#N/A</v>
      </c>
      <c r="H61" s="34" t="e">
        <f>VLOOKUP(A1,DIV_09Data!$A$1:$DZU$1000000,1029,FALSE)</f>
        <v>#N/A</v>
      </c>
      <c r="I61" s="33" t="e">
        <f>VLOOKUP(A1,DIV_09Data!$A$1:$DZU$1000000,1030,FALSE)</f>
        <v>#N/A</v>
      </c>
      <c r="J61" s="34" t="e">
        <f>VLOOKUP(A1,DIV_09Data!$A$1:$DZU$1000000,1031,FALSE)</f>
        <v>#N/A</v>
      </c>
      <c r="K61" s="34" t="e">
        <f>VLOOKUP(A1,DIV_09Data!$A$1:$DZU$1000000,1032,FALSE)</f>
        <v>#N/A</v>
      </c>
      <c r="L61" s="93" t="e">
        <f>VLOOKUP(A1,DIV_09Data!$A$1:$DZU$1000000,1033,FALSE)</f>
        <v>#N/A</v>
      </c>
      <c r="M61" s="33" t="e">
        <f>VLOOKUP(A1,DIV_09Data!$A$1:$DZU$1000000,1034,FALSE)</f>
        <v>#N/A</v>
      </c>
      <c r="N61" s="34" t="e">
        <f>VLOOKUP(A1,DIV_09Data!$A$1:$DZU$1000000,1035,FALSE)</f>
        <v>#N/A</v>
      </c>
      <c r="O61" s="33" t="e">
        <f>VLOOKUP(A1,DIV_09Data!$A$1:$DZU$1000000,1036,FALSE)</f>
        <v>#N/A</v>
      </c>
      <c r="P61" s="46" t="e">
        <f>VLOOKUP(A1,DIV_09Data!$A$1:$DZU$1000000,1037,FALSE)</f>
        <v>#N/A</v>
      </c>
      <c r="Q61" s="33" t="e">
        <f>VLOOKUP(A1,DIV_09Data!$A$1:$DZU$1000000,1038,FALSE)</f>
        <v>#N/A</v>
      </c>
    </row>
    <row r="62" spans="1:17" x14ac:dyDescent="0.35">
      <c r="A62" s="22" t="e">
        <f>VLOOKUP(A1,DIV_09Data!$A$1:$DZU$1000000,1039,FALSE)</f>
        <v>#N/A</v>
      </c>
      <c r="B62" s="37" t="e">
        <f>VLOOKUP(A1,DIV_09Data!$A$1:$DZU$1000000,1040,FALSE)</f>
        <v>#N/A</v>
      </c>
      <c r="C62" s="38" t="e">
        <f>VLOOKUP(A1,DIV_09Data!$A$1:$DZU$1000000,1041,FALSE)</f>
        <v>#N/A</v>
      </c>
      <c r="D62" s="31" t="e">
        <f>VLOOKUP(A1,DIV_09Data!$A$1:$DZU$1000000,1042,FALSE)</f>
        <v>#N/A</v>
      </c>
      <c r="E62" s="32" t="e">
        <f>VLOOKUP(A1,DIV_09Data!$A$1:$DZU$1000000,1043,FALSE)</f>
        <v>#N/A</v>
      </c>
      <c r="F62" s="34" t="e">
        <f>VLOOKUP(A1,DIV_09Data!$A$1:$DZU$1000000,1044,FALSE)</f>
        <v>#N/A</v>
      </c>
      <c r="G62" s="33" t="e">
        <f>VLOOKUP(A1,DIV_09Data!$A$1:$DZU$1000000,1045,FALSE)</f>
        <v>#N/A</v>
      </c>
      <c r="H62" s="34" t="e">
        <f>VLOOKUP(A1,DIV_09Data!$A$1:$DZU$1000000,1046,FALSE)</f>
        <v>#N/A</v>
      </c>
      <c r="I62" s="33" t="e">
        <f>VLOOKUP(A1,DIV_09Data!$A$1:$DZU$1000000,1047,FALSE)</f>
        <v>#N/A</v>
      </c>
      <c r="J62" s="34" t="e">
        <f>VLOOKUP(A1,DIV_09Data!$A$1:$DZU$1000000,1048,FALSE)</f>
        <v>#N/A</v>
      </c>
      <c r="K62" s="34" t="e">
        <f>VLOOKUP(A1,DIV_09Data!$A$1:$DZU$1000000,1049,FALSE)</f>
        <v>#N/A</v>
      </c>
      <c r="L62" s="93" t="e">
        <f>VLOOKUP(A1,DIV_09Data!$A$1:$DZU$1000000,1050,FALSE)</f>
        <v>#N/A</v>
      </c>
      <c r="M62" s="33" t="e">
        <f>VLOOKUP(A1,DIV_09Data!$A$1:$DZU$1000000,1051,FALSE)</f>
        <v>#N/A</v>
      </c>
      <c r="N62" s="34" t="e">
        <f>VLOOKUP(A1,DIV_09Data!$A$1:$DZU$1000000,1052,FALSE)</f>
        <v>#N/A</v>
      </c>
      <c r="O62" s="33" t="e">
        <f>VLOOKUP(A1,DIV_09Data!$A$1:$DZU$1000000,1053,FALSE)</f>
        <v>#N/A</v>
      </c>
      <c r="P62" s="46" t="e">
        <f>VLOOKUP(A1,DIV_09Data!$A$1:$DZU$1000000,1054,FALSE)</f>
        <v>#N/A</v>
      </c>
      <c r="Q62" s="33" t="e">
        <f>VLOOKUP(A1,DIV_09Data!$A$1:$DZU$1000000,1055,FALSE)</f>
        <v>#N/A</v>
      </c>
    </row>
    <row r="63" spans="1:17" x14ac:dyDescent="0.35">
      <c r="A63" s="22" t="e">
        <f>VLOOKUP(A1,DIV_09Data!$A$1:$DZU$1000000,1056,FALSE)</f>
        <v>#N/A</v>
      </c>
      <c r="B63" s="37" t="e">
        <f>VLOOKUP(A1,DIV_09Data!$A$1:$DZU$1000000,1057,FALSE)</f>
        <v>#N/A</v>
      </c>
      <c r="C63" s="38" t="e">
        <f>VLOOKUP(A1,DIV_09Data!$A$1:$DZU$1000000,1058,FALSE)</f>
        <v>#N/A</v>
      </c>
      <c r="D63" s="31" t="e">
        <f>VLOOKUP(A1,DIV_09Data!$A$1:$DZU$1000000,1059,FALSE)</f>
        <v>#N/A</v>
      </c>
      <c r="E63" s="32" t="e">
        <f>VLOOKUP(A1,DIV_09Data!$A$1:$DZU$1000000,1060,FALSE)</f>
        <v>#N/A</v>
      </c>
      <c r="F63" s="34" t="e">
        <f>VLOOKUP(A1,DIV_09Data!$A$1:$DZU$1000000,1061,FALSE)</f>
        <v>#N/A</v>
      </c>
      <c r="G63" s="33" t="e">
        <f>VLOOKUP(A1,DIV_09Data!$A$1:$DZU$1000000,1062,FALSE)</f>
        <v>#N/A</v>
      </c>
      <c r="H63" s="34" t="e">
        <f>VLOOKUP(A1,DIV_09Data!$A$1:$DZU$1000000,1063,FALSE)</f>
        <v>#N/A</v>
      </c>
      <c r="I63" s="33" t="e">
        <f>VLOOKUP(A1,DIV_09Data!$A$1:$DZU$1000000,1064,FALSE)</f>
        <v>#N/A</v>
      </c>
      <c r="J63" s="34" t="e">
        <f>VLOOKUP(A1,DIV_09Data!$A$1:$DZU$1000000,1065,FALSE)</f>
        <v>#N/A</v>
      </c>
      <c r="K63" s="34" t="e">
        <f>VLOOKUP(A1,DIV_09Data!$A$1:$DZU$1000000,1066,FALSE)</f>
        <v>#N/A</v>
      </c>
      <c r="L63" s="93" t="e">
        <f>VLOOKUP(A1,DIV_09Data!$A$1:$DZU$1000000,1067,FALSE)</f>
        <v>#N/A</v>
      </c>
      <c r="M63" s="33" t="e">
        <f>VLOOKUP(A1,DIV_09Data!$A$1:$DZU$1000000,1068,FALSE)</f>
        <v>#N/A</v>
      </c>
      <c r="N63" s="34" t="e">
        <f>VLOOKUP(A1,DIV_09Data!$A$1:$DZU$1000000,1069,FALSE)</f>
        <v>#N/A</v>
      </c>
      <c r="O63" s="33" t="e">
        <f>VLOOKUP(A1,DIV_09Data!$A$1:$DZU$1000000,1070,FALSE)</f>
        <v>#N/A</v>
      </c>
      <c r="P63" s="46" t="e">
        <f>VLOOKUP(A1,DIV_09Data!$A$1:$DZU$1000000,1071,FALSE)</f>
        <v>#N/A</v>
      </c>
      <c r="Q63" s="33" t="e">
        <f>VLOOKUP(A1,DIV_09Data!$A$1:$DZU$1000000,1072,FALSE)</f>
        <v>#N/A</v>
      </c>
    </row>
    <row r="64" spans="1:17" x14ac:dyDescent="0.35">
      <c r="A64" s="22" t="e">
        <f>VLOOKUP(A1,DIV_09Data!$A$1:$DZU$1000000,1073,FALSE)</f>
        <v>#N/A</v>
      </c>
      <c r="B64" s="37" t="e">
        <f>VLOOKUP(A1,DIV_09Data!$A$1:$DZU$1000000,1074,FALSE)</f>
        <v>#N/A</v>
      </c>
      <c r="C64" s="38" t="e">
        <f>VLOOKUP(A1,DIV_09Data!$A$1:$DZU$1000000,1075,FALSE)</f>
        <v>#N/A</v>
      </c>
      <c r="D64" s="31" t="e">
        <f>VLOOKUP(A1,DIV_09Data!$A$1:$DZU$1000000,1076,FALSE)</f>
        <v>#N/A</v>
      </c>
      <c r="E64" s="32" t="e">
        <f>VLOOKUP(A1,DIV_09Data!$A$1:$DZU$1000000,1077,FALSE)</f>
        <v>#N/A</v>
      </c>
      <c r="F64" s="34" t="e">
        <f>VLOOKUP(A1,DIV_09Data!$A$1:$DZU$1000000,1078,FALSE)</f>
        <v>#N/A</v>
      </c>
      <c r="G64" s="33" t="e">
        <f>VLOOKUP(A1,DIV_09Data!$A$1:$DZU$1000000,1079,FALSE)</f>
        <v>#N/A</v>
      </c>
      <c r="H64" s="34" t="e">
        <f>VLOOKUP(A1,DIV_09Data!$A$1:$DZU$1000000,1080,FALSE)</f>
        <v>#N/A</v>
      </c>
      <c r="I64" s="33" t="e">
        <f>VLOOKUP(A1,DIV_09Data!$A$1:$DZU$1000000,1081,FALSE)</f>
        <v>#N/A</v>
      </c>
      <c r="J64" s="34" t="e">
        <f>VLOOKUP(A1,DIV_09Data!$A$1:$DZU$1000000,1082,FALSE)</f>
        <v>#N/A</v>
      </c>
      <c r="K64" s="34" t="e">
        <f>VLOOKUP(A1,DIV_09Data!$A$1:$DZU$1000000,1083,FALSE)</f>
        <v>#N/A</v>
      </c>
      <c r="L64" s="93" t="e">
        <f>VLOOKUP(A1,DIV_09Data!$A$1:$DZU$1000000,1084,FALSE)</f>
        <v>#N/A</v>
      </c>
      <c r="M64" s="33" t="e">
        <f>VLOOKUP(A1,DIV_09Data!$A$1:$DZU$1000000,1085,FALSE)</f>
        <v>#N/A</v>
      </c>
      <c r="N64" s="34" t="e">
        <f>VLOOKUP(A1,DIV_09Data!$A$1:$DZU$1000000,1086,FALSE)</f>
        <v>#N/A</v>
      </c>
      <c r="O64" s="33" t="e">
        <f>VLOOKUP(A1,DIV_09Data!$A$1:$DZU$1000000,1087,FALSE)</f>
        <v>#N/A</v>
      </c>
      <c r="P64" s="46" t="e">
        <f>VLOOKUP(A1,DIV_09Data!$A$1:$DZU$1000000,1088,FALSE)</f>
        <v>#N/A</v>
      </c>
      <c r="Q64" s="33" t="e">
        <f>VLOOKUP(A1,DIV_09Data!$A$1:$DZU$1000000,1089,FALSE)</f>
        <v>#N/A</v>
      </c>
    </row>
    <row r="65" spans="1:17" x14ac:dyDescent="0.35">
      <c r="A65" s="22" t="e">
        <f>VLOOKUP(A1,DIV_09Data!$A$1:$DZU$1000000,1090,FALSE)</f>
        <v>#N/A</v>
      </c>
      <c r="B65" s="37" t="e">
        <f>VLOOKUP(A1,DIV_09Data!$A$1:$DZU$1000000,1091,FALSE)</f>
        <v>#N/A</v>
      </c>
      <c r="C65" s="38" t="e">
        <f>VLOOKUP(A1,DIV_09Data!$A$1:$DZU$1000000,1092,FALSE)</f>
        <v>#N/A</v>
      </c>
      <c r="D65" s="31" t="e">
        <f>VLOOKUP(A1,DIV_09Data!$A$1:$DZU$1000000,1093,FALSE)</f>
        <v>#N/A</v>
      </c>
      <c r="E65" s="32" t="e">
        <f>VLOOKUP(A1,DIV_09Data!$A$1:$DZU$1000000,1094,FALSE)</f>
        <v>#N/A</v>
      </c>
      <c r="F65" s="34" t="e">
        <f>VLOOKUP(A1,DIV_09Data!$A$1:$DZU$1000000,1095,FALSE)</f>
        <v>#N/A</v>
      </c>
      <c r="G65" s="33" t="e">
        <f>VLOOKUP(A1,DIV_09Data!$A$1:$DZU$1000000,1096,FALSE)</f>
        <v>#N/A</v>
      </c>
      <c r="H65" s="34" t="e">
        <f>VLOOKUP(A1,DIV_09Data!$A$1:$DZU$1000000,1097,FALSE)</f>
        <v>#N/A</v>
      </c>
      <c r="I65" s="33" t="e">
        <f>VLOOKUP(A1,DIV_09Data!$A$1:$DZU$1000000,1098,FALSE)</f>
        <v>#N/A</v>
      </c>
      <c r="J65" s="34" t="e">
        <f>VLOOKUP(A1,DIV_09Data!$A$1:$DZU$1000000,1099,FALSE)</f>
        <v>#N/A</v>
      </c>
      <c r="K65" s="34" t="e">
        <f>VLOOKUP(A1,DIV_09Data!$A$1:$DZU$1000000,1100,FALSE)</f>
        <v>#N/A</v>
      </c>
      <c r="L65" s="93" t="e">
        <f>VLOOKUP(A1,DIV_09Data!$A$1:$DZU$1000000,1101,FALSE)</f>
        <v>#N/A</v>
      </c>
      <c r="M65" s="33" t="e">
        <f>VLOOKUP(A1,DIV_09Data!$A$1:$DZU$1000000,1102,FALSE)</f>
        <v>#N/A</v>
      </c>
      <c r="N65" s="34" t="e">
        <f>VLOOKUP(A1,DIV_09Data!$A$1:$DZU$1000000,1103,FALSE)</f>
        <v>#N/A</v>
      </c>
      <c r="O65" s="33" t="e">
        <f>VLOOKUP(A1,DIV_09Data!$A$1:$DZU$1000000,1104,FALSE)</f>
        <v>#N/A</v>
      </c>
      <c r="P65" s="46" t="e">
        <f>VLOOKUP(A1,DIV_09Data!$A$1:$DZU$1000000,1105,FALSE)</f>
        <v>#N/A</v>
      </c>
      <c r="Q65" s="33" t="e">
        <f>VLOOKUP(A1,DIV_09Data!$A$1:$DZU$1000000,1106,FALSE)</f>
        <v>#N/A</v>
      </c>
    </row>
    <row r="66" spans="1:17" x14ac:dyDescent="0.35">
      <c r="A66" s="22" t="e">
        <f>VLOOKUP(A1,DIV_09Data!$A$1:$DZU$1000000,1107,FALSE)</f>
        <v>#N/A</v>
      </c>
      <c r="B66" s="37" t="e">
        <f>VLOOKUP(A1,DIV_09Data!$A$1:$DZU$1000000,1108,FALSE)</f>
        <v>#N/A</v>
      </c>
      <c r="C66" s="38" t="e">
        <f>VLOOKUP(A1,DIV_09Data!$A$1:$DZU$1000000,1109,FALSE)</f>
        <v>#N/A</v>
      </c>
      <c r="D66" s="31" t="e">
        <f>VLOOKUP(A1,DIV_09Data!$A$1:$DZU$1000000,1110,FALSE)</f>
        <v>#N/A</v>
      </c>
      <c r="E66" s="32" t="e">
        <f>VLOOKUP(A1,DIV_09Data!$A$1:$DZU$1000000,1111,FALSE)</f>
        <v>#N/A</v>
      </c>
      <c r="F66" s="34" t="e">
        <f>VLOOKUP(A1,DIV_09Data!$A$1:$DZU$1000000,1112,FALSE)</f>
        <v>#N/A</v>
      </c>
      <c r="G66" s="33" t="e">
        <f>VLOOKUP(A1,DIV_09Data!$A$1:$DZU$1000000,1113,FALSE)</f>
        <v>#N/A</v>
      </c>
      <c r="H66" s="34" t="e">
        <f>VLOOKUP(A1,DIV_09Data!$A$1:$DZU$1000000,1114,FALSE)</f>
        <v>#N/A</v>
      </c>
      <c r="I66" s="33" t="e">
        <f>VLOOKUP(A1,DIV_09Data!$A$1:$DZU$1000000,1115,FALSE)</f>
        <v>#N/A</v>
      </c>
      <c r="J66" s="34" t="e">
        <f>VLOOKUP(A1,DIV_09Data!$A$1:$DZU$1000000,1116,FALSE)</f>
        <v>#N/A</v>
      </c>
      <c r="K66" s="34" t="e">
        <f>VLOOKUP(A1,DIV_09Data!$A$1:$DZU$1000000,1117,FALSE)</f>
        <v>#N/A</v>
      </c>
      <c r="L66" s="93" t="e">
        <f>VLOOKUP(A1,DIV_09Data!$A$1:$DZU$1000000,1118,FALSE)</f>
        <v>#N/A</v>
      </c>
      <c r="M66" s="33" t="e">
        <f>VLOOKUP(A1,DIV_09Data!$A$1:$DZU$1000000,1119,FALSE)</f>
        <v>#N/A</v>
      </c>
      <c r="N66" s="34" t="e">
        <f>VLOOKUP(A1,DIV_09Data!$A$1:$DZU$1000000,1120,FALSE)</f>
        <v>#N/A</v>
      </c>
      <c r="O66" s="33" t="e">
        <f>VLOOKUP(A1,DIV_09Data!$A$1:$DZU$1000000,1121,FALSE)</f>
        <v>#N/A</v>
      </c>
      <c r="P66" s="46" t="e">
        <f>VLOOKUP(A1,DIV_09Data!$A$1:$DZU$1000000,1122,FALSE)</f>
        <v>#N/A</v>
      </c>
      <c r="Q66" s="33" t="e">
        <f>VLOOKUP(A1,DIV_09Data!$A$1:$DZU$1000000,1123,FALSE)</f>
        <v>#N/A</v>
      </c>
    </row>
    <row r="67" spans="1:17" x14ac:dyDescent="0.35">
      <c r="A67" s="22" t="e">
        <f>VLOOKUP(A1,DIV_09Data!$A$1:$DZU$1000000,1124,FALSE)</f>
        <v>#N/A</v>
      </c>
      <c r="B67" s="37" t="e">
        <f>VLOOKUP(A1,DIV_09Data!$A$1:$DZU$1000000,1125,FALSE)</f>
        <v>#N/A</v>
      </c>
      <c r="C67" s="38" t="e">
        <f>VLOOKUP(A1,DIV_09Data!$A$1:$DZU$1000000,1126,FALSE)</f>
        <v>#N/A</v>
      </c>
      <c r="D67" s="31" t="e">
        <f>VLOOKUP(A1,DIV_09Data!$A$1:$DZU$1000000,1127,FALSE)</f>
        <v>#N/A</v>
      </c>
      <c r="E67" s="32" t="e">
        <f>VLOOKUP(A1,DIV_09Data!$A$1:$DZU$1000000,1128,FALSE)</f>
        <v>#N/A</v>
      </c>
      <c r="F67" s="34" t="e">
        <f>VLOOKUP(A1,DIV_09Data!$A$1:$DZU$1000000,1129,FALSE)</f>
        <v>#N/A</v>
      </c>
      <c r="G67" s="33" t="e">
        <f>VLOOKUP(A1,DIV_09Data!$A$1:$DZU$1000000,1130,FALSE)</f>
        <v>#N/A</v>
      </c>
      <c r="H67" s="34" t="e">
        <f>VLOOKUP(A1,DIV_09Data!$A$1:$DZU$1000000,1131,FALSE)</f>
        <v>#N/A</v>
      </c>
      <c r="I67" s="33" t="e">
        <f>VLOOKUP(A1,DIV_09Data!$A$1:$DZU$1000000,1132,FALSE)</f>
        <v>#N/A</v>
      </c>
      <c r="J67" s="34" t="e">
        <f>VLOOKUP(A1,DIV_09Data!$A$1:$DZU$1000000,1133,FALSE)</f>
        <v>#N/A</v>
      </c>
      <c r="K67" s="34" t="e">
        <f>VLOOKUP(A1,DIV_09Data!$A$1:$DZU$1000000,1134,FALSE)</f>
        <v>#N/A</v>
      </c>
      <c r="L67" s="93" t="e">
        <f>VLOOKUP(A1,DIV_09Data!$A$1:$DZU$1000000,1135,FALSE)</f>
        <v>#N/A</v>
      </c>
      <c r="M67" s="33" t="e">
        <f>VLOOKUP(A1,DIV_09Data!$A$1:$DZU$1000000,1136,FALSE)</f>
        <v>#N/A</v>
      </c>
      <c r="N67" s="34" t="e">
        <f>VLOOKUP(A1,DIV_09Data!$A$1:$DZU$1000000,1137,FALSE)</f>
        <v>#N/A</v>
      </c>
      <c r="O67" s="33" t="e">
        <f>VLOOKUP(A1,DIV_09Data!$A$1:$DZU$1000000,1138,FALSE)</f>
        <v>#N/A</v>
      </c>
      <c r="P67" s="46" t="e">
        <f>VLOOKUP(A1,DIV_09Data!$A$1:$DZU$1000000,1139,FALSE)</f>
        <v>#N/A</v>
      </c>
      <c r="Q67" s="33" t="e">
        <f>VLOOKUP(A1,DIV_09Data!$A$1:$DZU$1000000,1140,FALSE)</f>
        <v>#N/A</v>
      </c>
    </row>
    <row r="68" spans="1:17" x14ac:dyDescent="0.35">
      <c r="A68" s="22" t="e">
        <f>VLOOKUP(A1,DIV_09Data!$A$1:$DZU$1000000,1141,FALSE)</f>
        <v>#N/A</v>
      </c>
      <c r="B68" s="37" t="e">
        <f>VLOOKUP(A1,DIV_09Data!$A$1:$DZU$1000000,1142,FALSE)</f>
        <v>#N/A</v>
      </c>
      <c r="C68" s="38" t="e">
        <f>VLOOKUP(A1,DIV_09Data!$A$1:$DZU$1000000,1143,FALSE)</f>
        <v>#N/A</v>
      </c>
      <c r="D68" s="31" t="e">
        <f>VLOOKUP(A1,DIV_09Data!$A$1:$DZU$1000000,1144,FALSE)</f>
        <v>#N/A</v>
      </c>
      <c r="E68" s="32" t="e">
        <f>VLOOKUP(A1,DIV_09Data!$A$1:$DZU$1000000,1145,FALSE)</f>
        <v>#N/A</v>
      </c>
      <c r="F68" s="34" t="e">
        <f>VLOOKUP(A1,DIV_09Data!$A$1:$DZU$1000000,1146,FALSE)</f>
        <v>#N/A</v>
      </c>
      <c r="G68" s="33" t="e">
        <f>VLOOKUP(A1,DIV_09Data!$A$1:$DZU$1000000,1147,FALSE)</f>
        <v>#N/A</v>
      </c>
      <c r="H68" s="34" t="e">
        <f>VLOOKUP(A1,DIV_09Data!$A$1:$DZU$1000000,1148,FALSE)</f>
        <v>#N/A</v>
      </c>
      <c r="I68" s="33" t="e">
        <f>VLOOKUP(A1,DIV_09Data!$A$1:$DZU$1000000,1149,FALSE)</f>
        <v>#N/A</v>
      </c>
      <c r="J68" s="34" t="e">
        <f>VLOOKUP(A1,DIV_09Data!$A$1:$DZU$1000000,1150,FALSE)</f>
        <v>#N/A</v>
      </c>
      <c r="K68" s="34" t="e">
        <f>VLOOKUP(A1,DIV_09Data!$A$1:$DZU$1000000,1151,FALSE)</f>
        <v>#N/A</v>
      </c>
      <c r="L68" s="93" t="e">
        <f>VLOOKUP(A1,DIV_09Data!$A$1:$DZU$1000000,1152,FALSE)</f>
        <v>#N/A</v>
      </c>
      <c r="M68" s="33" t="e">
        <f>VLOOKUP(A1,DIV_09Data!$A$1:$DZU$1000000,1153,FALSE)</f>
        <v>#N/A</v>
      </c>
      <c r="N68" s="34" t="e">
        <f>VLOOKUP(A1,DIV_09Data!$A$1:$DZU$1000000,1154,FALSE)</f>
        <v>#N/A</v>
      </c>
      <c r="O68" s="33" t="e">
        <f>VLOOKUP(A1,DIV_09Data!$A$1:$DZU$1000000,1155,FALSE)</f>
        <v>#N/A</v>
      </c>
      <c r="P68" s="46" t="e">
        <f>VLOOKUP(A1,DIV_09Data!$A$1:$DZU$1000000,1156,FALSE)</f>
        <v>#N/A</v>
      </c>
      <c r="Q68" s="33" t="e">
        <f>VLOOKUP(A1,DIV_09Data!$A$1:$DZU$1000000,1157,FALSE)</f>
        <v>#N/A</v>
      </c>
    </row>
    <row r="69" spans="1:17" x14ac:dyDescent="0.35">
      <c r="A69" s="22" t="e">
        <f>VLOOKUP(A1,DIV_09Data!$A$1:$DZU$1000000,1158,FALSE)</f>
        <v>#N/A</v>
      </c>
      <c r="B69" s="37" t="e">
        <f>VLOOKUP(A1,DIV_09Data!$A$1:$DZU$1000000,1159,FALSE)</f>
        <v>#N/A</v>
      </c>
      <c r="C69" s="38" t="e">
        <f>VLOOKUP(A1,DIV_09Data!$A$1:$DZU$1000000,1160,FALSE)</f>
        <v>#N/A</v>
      </c>
      <c r="D69" s="31" t="e">
        <f>VLOOKUP(A1,DIV_09Data!$A$1:$DZU$1000000,1161,FALSE)</f>
        <v>#N/A</v>
      </c>
      <c r="E69" s="32" t="e">
        <f>VLOOKUP(A1,DIV_09Data!$A$1:$DZU$1000000,1162,FALSE)</f>
        <v>#N/A</v>
      </c>
      <c r="F69" s="34" t="e">
        <f>VLOOKUP(A1,DIV_09Data!$A$1:$DZU$1000000,1163,FALSE)</f>
        <v>#N/A</v>
      </c>
      <c r="G69" s="33" t="e">
        <f>VLOOKUP(A1,DIV_09Data!$A$1:$DZU$1000000,1164,FALSE)</f>
        <v>#N/A</v>
      </c>
      <c r="H69" s="34" t="e">
        <f>VLOOKUP(A1,DIV_09Data!$A$1:$DZU$1000000,1165,FALSE)</f>
        <v>#N/A</v>
      </c>
      <c r="I69" s="33" t="e">
        <f>VLOOKUP(A1,DIV_09Data!$A$1:$DZU$1000000,1166,FALSE)</f>
        <v>#N/A</v>
      </c>
      <c r="J69" s="34" t="e">
        <f>VLOOKUP(A1,DIV_09Data!$A$1:$DZU$1000000,1167,FALSE)</f>
        <v>#N/A</v>
      </c>
      <c r="K69" s="34" t="e">
        <f>VLOOKUP(A1,DIV_09Data!$A$1:$DZU$1000000,1168,FALSE)</f>
        <v>#N/A</v>
      </c>
      <c r="L69" s="93" t="e">
        <f>VLOOKUP(A1,DIV_09Data!$A$1:$DZU$1000000,1169,FALSE)</f>
        <v>#N/A</v>
      </c>
      <c r="M69" s="33" t="e">
        <f>VLOOKUP(A1,DIV_09Data!$A$1:$DZU$1000000,1170,FALSE)</f>
        <v>#N/A</v>
      </c>
      <c r="N69" s="34" t="e">
        <f>VLOOKUP(A1,DIV_09Data!$A$1:$DZU$1000000,1171,FALSE)</f>
        <v>#N/A</v>
      </c>
      <c r="O69" s="33" t="e">
        <f>VLOOKUP(A1,DIV_09Data!$A$1:$DZU$1000000,1172,FALSE)</f>
        <v>#N/A</v>
      </c>
      <c r="P69" s="46" t="e">
        <f>VLOOKUP(A1,DIV_09Data!$A$1:$DZU$1000000,1173,FALSE)</f>
        <v>#N/A</v>
      </c>
      <c r="Q69" s="33" t="e">
        <f>VLOOKUP(A1,DIV_09Data!$A$1:$DZU$1000000,1174,FALSE)</f>
        <v>#N/A</v>
      </c>
    </row>
    <row r="70" spans="1:17" x14ac:dyDescent="0.35">
      <c r="A70" s="22" t="e">
        <f>VLOOKUP(A1,DIV_09Data!$A$1:$DZU$1000000,1175,FALSE)</f>
        <v>#N/A</v>
      </c>
      <c r="B70" s="37" t="e">
        <f>VLOOKUP(A1,DIV_09Data!$A$1:$DZU$1000000,1176,FALSE)</f>
        <v>#N/A</v>
      </c>
      <c r="C70" s="38" t="e">
        <f>VLOOKUP(A1,DIV_09Data!$A$1:$DZU$1000000,1177,FALSE)</f>
        <v>#N/A</v>
      </c>
      <c r="D70" s="31" t="e">
        <f>VLOOKUP(A1,DIV_09Data!$A$1:$DZU$1000000,1178,FALSE)</f>
        <v>#N/A</v>
      </c>
      <c r="E70" s="32" t="e">
        <f>VLOOKUP(A1,DIV_09Data!$A$1:$DZU$1000000,1179,FALSE)</f>
        <v>#N/A</v>
      </c>
      <c r="F70" s="34" t="e">
        <f>VLOOKUP(A1,DIV_09Data!$A$1:$DZU$1000000,1180,FALSE)</f>
        <v>#N/A</v>
      </c>
      <c r="G70" s="33" t="e">
        <f>VLOOKUP(A1,DIV_09Data!$A$1:$DZU$1000000,1181,FALSE)</f>
        <v>#N/A</v>
      </c>
      <c r="H70" s="34" t="e">
        <f>VLOOKUP(A1,DIV_09Data!$A$1:$DZU$1000000,1182,FALSE)</f>
        <v>#N/A</v>
      </c>
      <c r="I70" s="33" t="e">
        <f>VLOOKUP(A1,DIV_09Data!$A$1:$DZU$1000000,1183,FALSE)</f>
        <v>#N/A</v>
      </c>
      <c r="J70" s="34" t="e">
        <f>VLOOKUP(A1,DIV_09Data!$A$1:$DZU$1000000,1184,FALSE)</f>
        <v>#N/A</v>
      </c>
      <c r="K70" s="34" t="e">
        <f>VLOOKUP(A1,DIV_09Data!$A$1:$DZU$1000000,1185,FALSE)</f>
        <v>#N/A</v>
      </c>
      <c r="L70" s="93" t="e">
        <f>VLOOKUP(A1,DIV_09Data!$A$1:$DZU$1000000,1186,FALSE)</f>
        <v>#N/A</v>
      </c>
      <c r="M70" s="33" t="e">
        <f>VLOOKUP(A1,DIV_09Data!$A$1:$DZU$1000000,1187,FALSE)</f>
        <v>#N/A</v>
      </c>
      <c r="N70" s="34" t="e">
        <f>VLOOKUP(A1,DIV_09Data!$A$1:$DZU$1000000,1188,FALSE)</f>
        <v>#N/A</v>
      </c>
      <c r="O70" s="33" t="e">
        <f>VLOOKUP(A1,DIV_09Data!$A$1:$DZU$1000000,1189,FALSE)</f>
        <v>#N/A</v>
      </c>
      <c r="P70" s="46" t="e">
        <f>VLOOKUP(A1,DIV_09Data!$A$1:$DZU$1000000,1190,FALSE)</f>
        <v>#N/A</v>
      </c>
      <c r="Q70" s="33" t="e">
        <f>VLOOKUP(A1,DIV_09Data!$A$1:$DZU$1000000,1191,FALSE)</f>
        <v>#N/A</v>
      </c>
    </row>
    <row r="71" spans="1:17" x14ac:dyDescent="0.35">
      <c r="A71" s="22" t="e">
        <f>VLOOKUP(A1,DIV_09Data!$A$1:$DZU$1000000,1192,FALSE)</f>
        <v>#N/A</v>
      </c>
      <c r="B71" s="37" t="e">
        <f>VLOOKUP(A1,DIV_09Data!$A$1:$DZU$1000000,1193,FALSE)</f>
        <v>#N/A</v>
      </c>
      <c r="C71" s="38" t="e">
        <f>VLOOKUP(A1,DIV_09Data!$A$1:$DZU$1000000,1194,FALSE)</f>
        <v>#N/A</v>
      </c>
      <c r="D71" s="31" t="e">
        <f>VLOOKUP(A1,DIV_09Data!$A$1:$DZU$1000000,1195,FALSE)</f>
        <v>#N/A</v>
      </c>
      <c r="E71" s="32" t="e">
        <f>VLOOKUP(A1,DIV_09Data!$A$1:$DZU$1000000,1196,FALSE)</f>
        <v>#N/A</v>
      </c>
      <c r="F71" s="34" t="e">
        <f>VLOOKUP(A1,DIV_09Data!$A$1:$DZU$1000000,1197,FALSE)</f>
        <v>#N/A</v>
      </c>
      <c r="G71" s="33" t="e">
        <f>VLOOKUP(A1,DIV_09Data!$A$1:$DZU$1000000,1198,FALSE)</f>
        <v>#N/A</v>
      </c>
      <c r="H71" s="34" t="e">
        <f>VLOOKUP(A1,DIV_09Data!$A$1:$DZU$1000000,1199,FALSE)</f>
        <v>#N/A</v>
      </c>
      <c r="I71" s="33" t="e">
        <f>VLOOKUP(A1,DIV_09Data!$A$1:$DZU$1000000,1200,FALSE)</f>
        <v>#N/A</v>
      </c>
      <c r="J71" s="34" t="e">
        <f>VLOOKUP(A1,DIV_09Data!$A$1:$DZU$1000000,1201,FALSE)</f>
        <v>#N/A</v>
      </c>
      <c r="K71" s="34" t="e">
        <f>VLOOKUP(A1,DIV_09Data!$A$1:$DZU$1000000,1202,FALSE)</f>
        <v>#N/A</v>
      </c>
      <c r="L71" s="93" t="e">
        <f>VLOOKUP(A1,DIV_09Data!$A$1:$DZU$1000000,1203,FALSE)</f>
        <v>#N/A</v>
      </c>
      <c r="M71" s="33" t="e">
        <f>VLOOKUP(A1,DIV_09Data!$A$1:$DZU$1000000,1204,FALSE)</f>
        <v>#N/A</v>
      </c>
      <c r="N71" s="34" t="e">
        <f>VLOOKUP(A1,DIV_09Data!$A$1:$DZU$1000000,1205,FALSE)</f>
        <v>#N/A</v>
      </c>
      <c r="O71" s="33" t="e">
        <f>VLOOKUP(A1,DIV_09Data!$A$1:$DZU$1000000,1206,FALSE)</f>
        <v>#N/A</v>
      </c>
      <c r="P71" s="46" t="e">
        <f>VLOOKUP(A1,DIV_09Data!$A$1:$DZU$1000000,1207,FALSE)</f>
        <v>#N/A</v>
      </c>
      <c r="Q71" s="33" t="e">
        <f>VLOOKUP(A1,DIV_09Data!$A$1:$DZU$1000000,1208,FALSE)</f>
        <v>#N/A</v>
      </c>
    </row>
    <row r="72" spans="1:17" x14ac:dyDescent="0.35">
      <c r="A72" s="22" t="e">
        <f>VLOOKUP(A1,DIV_09Data!$A$1:$DZU$1000000,1209,FALSE)</f>
        <v>#N/A</v>
      </c>
      <c r="B72" s="37" t="e">
        <f>VLOOKUP(A1,DIV_09Data!$A$1:$DZU$1000000,1210,FALSE)</f>
        <v>#N/A</v>
      </c>
      <c r="C72" s="38" t="e">
        <f>VLOOKUP(A1,DIV_09Data!$A$1:$DZU$1000000,1211,FALSE)</f>
        <v>#N/A</v>
      </c>
      <c r="D72" s="31" t="e">
        <f>VLOOKUP(A1,DIV_09Data!$A$1:$DZU$1000000,1212,FALSE)</f>
        <v>#N/A</v>
      </c>
      <c r="E72" s="32" t="e">
        <f>VLOOKUP(A1,DIV_09Data!$A$1:$DZU$1000000,1213,FALSE)</f>
        <v>#N/A</v>
      </c>
      <c r="F72" s="34" t="e">
        <f>VLOOKUP(A1,DIV_09Data!$A$1:$DZU$1000000,1214,FALSE)</f>
        <v>#N/A</v>
      </c>
      <c r="G72" s="33" t="e">
        <f>VLOOKUP(A1,DIV_09Data!$A$1:$DZU$1000000,1215,FALSE)</f>
        <v>#N/A</v>
      </c>
      <c r="H72" s="34" t="e">
        <f>VLOOKUP(A1,DIV_09Data!$A$1:$DZU$1000000,1216,FALSE)</f>
        <v>#N/A</v>
      </c>
      <c r="I72" s="33" t="e">
        <f>VLOOKUP(A1,DIV_09Data!$A$1:$DZU$1000000,1217,FALSE)</f>
        <v>#N/A</v>
      </c>
      <c r="J72" s="34" t="e">
        <f>VLOOKUP(A1,DIV_09Data!$A$1:$DZU$1000000,1218,FALSE)</f>
        <v>#N/A</v>
      </c>
      <c r="K72" s="34" t="e">
        <f>VLOOKUP(A1,DIV_09Data!$A$1:$DZU$1000000,1219,FALSE)</f>
        <v>#N/A</v>
      </c>
      <c r="L72" s="93" t="e">
        <f>VLOOKUP(A1,DIV_09Data!$A$1:$DZU$1000000,1220,FALSE)</f>
        <v>#N/A</v>
      </c>
      <c r="M72" s="33" t="e">
        <f>VLOOKUP(A1,DIV_09Data!$A$1:$DZU$1000000,1221,FALSE)</f>
        <v>#N/A</v>
      </c>
      <c r="N72" s="34" t="e">
        <f>VLOOKUP(A1,DIV_09Data!$A$1:$DZU$1000000,1222,FALSE)</f>
        <v>#N/A</v>
      </c>
      <c r="O72" s="33" t="e">
        <f>VLOOKUP(A1,DIV_09Data!$A$1:$DZU$1000000,1223,FALSE)</f>
        <v>#N/A</v>
      </c>
      <c r="P72" s="46" t="e">
        <f>VLOOKUP(A1,DIV_09Data!$A$1:$DZU$1000000,1224,FALSE)</f>
        <v>#N/A</v>
      </c>
      <c r="Q72" s="33" t="e">
        <f>VLOOKUP(A1,DIV_09Data!$A$1:$DZU$1000000,1225,FALSE)</f>
        <v>#N/A</v>
      </c>
    </row>
    <row r="73" spans="1:17" x14ac:dyDescent="0.35">
      <c r="A73" s="22" t="e">
        <f>VLOOKUP(A1,DIV_09Data!$A$1:$DZU$1000000,1226,FALSE)</f>
        <v>#N/A</v>
      </c>
      <c r="B73" s="37" t="e">
        <f>VLOOKUP(A1,DIV_09Data!$A$1:$DZU$1000000,1227,FALSE)</f>
        <v>#N/A</v>
      </c>
      <c r="C73" s="38" t="e">
        <f>VLOOKUP(A1,DIV_09Data!$A$1:$DZU$1000000,1228,FALSE)</f>
        <v>#N/A</v>
      </c>
      <c r="D73" s="31" t="e">
        <f>VLOOKUP(A1,DIV_09Data!$A$1:$DZU$1000000,1229,FALSE)</f>
        <v>#N/A</v>
      </c>
      <c r="E73" s="32" t="e">
        <f>VLOOKUP(A1,DIV_09Data!$A$1:$DZU$1000000,1230,FALSE)</f>
        <v>#N/A</v>
      </c>
      <c r="F73" s="34" t="e">
        <f>VLOOKUP(A1,DIV_09Data!$A$1:$DZU$1000000,1231,FALSE)</f>
        <v>#N/A</v>
      </c>
      <c r="G73" s="33" t="e">
        <f>VLOOKUP(A1,DIV_09Data!$A$1:$DZU$1000000,1232,FALSE)</f>
        <v>#N/A</v>
      </c>
      <c r="H73" s="34" t="e">
        <f>VLOOKUP(A1,DIV_09Data!$A$1:$DZU$1000000,1233,FALSE)</f>
        <v>#N/A</v>
      </c>
      <c r="I73" s="33" t="e">
        <f>VLOOKUP(A1,DIV_09Data!$A$1:$DZU$1000000,1234,FALSE)</f>
        <v>#N/A</v>
      </c>
      <c r="J73" s="34" t="e">
        <f>VLOOKUP(A1,DIV_09Data!$A$1:$DZU$1000000,1235,FALSE)</f>
        <v>#N/A</v>
      </c>
      <c r="K73" s="34" t="e">
        <f>VLOOKUP(A1,DIV_09Data!$A$1:$DZU$1000000,1236,FALSE)</f>
        <v>#N/A</v>
      </c>
      <c r="L73" s="93" t="e">
        <f>VLOOKUP(A1,DIV_09Data!$A$1:$DZU$1000000,1237,FALSE)</f>
        <v>#N/A</v>
      </c>
      <c r="M73" s="33" t="e">
        <f>VLOOKUP(A1,DIV_09Data!$A$1:$DZU$1000000,1238,FALSE)</f>
        <v>#N/A</v>
      </c>
      <c r="N73" s="34" t="e">
        <f>VLOOKUP(A1,DIV_09Data!$A$1:$DZU$1000000,1239,FALSE)</f>
        <v>#N/A</v>
      </c>
      <c r="O73" s="33" t="e">
        <f>VLOOKUP(A1,DIV_09Data!$A$1:$DZU$1000000,1240,FALSE)</f>
        <v>#N/A</v>
      </c>
      <c r="P73" s="46" t="e">
        <f>VLOOKUP(A1,DIV_09Data!$A$1:$DZU$1000000,1241,FALSE)</f>
        <v>#N/A</v>
      </c>
      <c r="Q73" s="33" t="e">
        <f>VLOOKUP(A1,DIV_09Data!$A$1:$DZU$1000000,1242,FALSE)</f>
        <v>#N/A</v>
      </c>
    </row>
    <row r="74" spans="1:17" x14ac:dyDescent="0.35">
      <c r="A74" s="22" t="e">
        <f>VLOOKUP(A1,DIV_09Data!$A$1:$DZU$1000000,1243,FALSE)</f>
        <v>#N/A</v>
      </c>
      <c r="B74" s="37" t="e">
        <f>VLOOKUP(A1,DIV_09Data!$A$1:$DZU$1000000,1244,FALSE)</f>
        <v>#N/A</v>
      </c>
      <c r="C74" s="38" t="e">
        <f>VLOOKUP(A1,DIV_09Data!$A$1:$DZU$1000000,1245,FALSE)</f>
        <v>#N/A</v>
      </c>
      <c r="D74" s="31" t="e">
        <f>VLOOKUP(A1,DIV_09Data!$A$1:$DZU$1000000,1246,FALSE)</f>
        <v>#N/A</v>
      </c>
      <c r="E74" s="32" t="e">
        <f>VLOOKUP(A1,DIV_09Data!$A$1:$DZU$1000000,1247,FALSE)</f>
        <v>#N/A</v>
      </c>
      <c r="F74" s="34" t="e">
        <f>VLOOKUP(A1,DIV_09Data!$A$1:$DZU$1000000,1248,FALSE)</f>
        <v>#N/A</v>
      </c>
      <c r="G74" s="33" t="e">
        <f>VLOOKUP(A1,DIV_09Data!$A$1:$DZU$1000000,1249,FALSE)</f>
        <v>#N/A</v>
      </c>
      <c r="H74" s="34" t="e">
        <f>VLOOKUP(A1,DIV_09Data!$A$1:$DZU$1000000,1250,FALSE)</f>
        <v>#N/A</v>
      </c>
      <c r="I74" s="33" t="e">
        <f>VLOOKUP(A1,DIV_09Data!$A$1:$DZU$1000000,1251,FALSE)</f>
        <v>#N/A</v>
      </c>
      <c r="J74" s="34" t="e">
        <f>VLOOKUP(A1,DIV_09Data!$A$1:$DZU$1000000,1252,FALSE)</f>
        <v>#N/A</v>
      </c>
      <c r="K74" s="34" t="e">
        <f>VLOOKUP(A1,DIV_09Data!$A$1:$DZU$1000000,1253,FALSE)</f>
        <v>#N/A</v>
      </c>
      <c r="L74" s="93" t="e">
        <f>VLOOKUP(A1,DIV_09Data!$A$1:$DZU$1000000,1254,FALSE)</f>
        <v>#N/A</v>
      </c>
      <c r="M74" s="33" t="e">
        <f>VLOOKUP(A1,DIV_09Data!$A$1:$DZU$1000000,1255,FALSE)</f>
        <v>#N/A</v>
      </c>
      <c r="N74" s="34" t="e">
        <f>VLOOKUP(A1,DIV_09Data!$A$1:$DZU$1000000,1256,FALSE)</f>
        <v>#N/A</v>
      </c>
      <c r="O74" s="33" t="e">
        <f>VLOOKUP(A1,DIV_09Data!$A$1:$DZU$1000000,1257,FALSE)</f>
        <v>#N/A</v>
      </c>
      <c r="P74" s="46" t="e">
        <f>VLOOKUP(A1,DIV_09Data!$A$1:$DZU$1000000,1258,FALSE)</f>
        <v>#N/A</v>
      </c>
      <c r="Q74" s="33" t="e">
        <f>VLOOKUP(A1,DIV_09Data!$A$1:$DZU$1000000,1259,FALSE)</f>
        <v>#N/A</v>
      </c>
    </row>
    <row r="75" spans="1:17" x14ac:dyDescent="0.35">
      <c r="A75" s="22" t="e">
        <f>VLOOKUP(A1,DIV_09Data!$A$1:$DZU$1000000,1260,FALSE)</f>
        <v>#N/A</v>
      </c>
      <c r="B75" s="37" t="e">
        <f>VLOOKUP(A1,DIV_09Data!$A$1:$DZU$1000000,1261,FALSE)</f>
        <v>#N/A</v>
      </c>
      <c r="C75" s="38" t="e">
        <f>VLOOKUP(A1,DIV_09Data!$A$1:$DZU$1000000,1262,FALSE)</f>
        <v>#N/A</v>
      </c>
      <c r="D75" s="31" t="e">
        <f>VLOOKUP(A1,DIV_09Data!$A$1:$DZU$1000000,1263,FALSE)</f>
        <v>#N/A</v>
      </c>
      <c r="E75" s="32" t="e">
        <f>VLOOKUP(A1,DIV_09Data!$A$1:$DZU$1000000,1264,FALSE)</f>
        <v>#N/A</v>
      </c>
      <c r="F75" s="34" t="e">
        <f>VLOOKUP(A1,DIV_09Data!$A$1:$DZU$1000000,1265,FALSE)</f>
        <v>#N/A</v>
      </c>
      <c r="G75" s="33" t="e">
        <f>VLOOKUP(A1,DIV_09Data!$A$1:$DZU$1000000,1266,FALSE)</f>
        <v>#N/A</v>
      </c>
      <c r="H75" s="34" t="e">
        <f>VLOOKUP(A1,DIV_09Data!$A$1:$DZU$1000000,1267,FALSE)</f>
        <v>#N/A</v>
      </c>
      <c r="I75" s="33" t="e">
        <f>VLOOKUP(A1,DIV_09Data!$A$1:$DZU$1000000,1268,FALSE)</f>
        <v>#N/A</v>
      </c>
      <c r="J75" s="34" t="e">
        <f>VLOOKUP(A1,DIV_09Data!$A$1:$DZU$1000000,1269,FALSE)</f>
        <v>#N/A</v>
      </c>
      <c r="K75" s="34" t="e">
        <f>VLOOKUP(A1,DIV_09Data!$A$1:$DZU$1000000,1270,FALSE)</f>
        <v>#N/A</v>
      </c>
      <c r="L75" s="93" t="e">
        <f>VLOOKUP(A1,DIV_09Data!$A$1:$DZU$1000000,1271,FALSE)</f>
        <v>#N/A</v>
      </c>
      <c r="M75" s="33" t="e">
        <f>VLOOKUP(A1,DIV_09Data!$A$1:$DZU$1000000,1272,FALSE)</f>
        <v>#N/A</v>
      </c>
      <c r="N75" s="34" t="e">
        <f>VLOOKUP(A1,DIV_09Data!$A$1:$DZU$1000000,1273,FALSE)</f>
        <v>#N/A</v>
      </c>
      <c r="O75" s="33" t="e">
        <f>VLOOKUP(A1,DIV_09Data!$A$1:$DZU$1000000,1274,FALSE)</f>
        <v>#N/A</v>
      </c>
      <c r="P75" s="46" t="e">
        <f>VLOOKUP(A1,DIV_09Data!$A$1:$DZU$1000000,1275,FALSE)</f>
        <v>#N/A</v>
      </c>
      <c r="Q75" s="33" t="e">
        <f>VLOOKUP(A1,DIV_09Data!$A$1:$DZU$1000000,1276,FALSE)</f>
        <v>#N/A</v>
      </c>
    </row>
    <row r="76" spans="1:17" x14ac:dyDescent="0.35">
      <c r="A76" s="22" t="e">
        <f>VLOOKUP(A1,DIV_09Data!$A$1:$DZU$1000000,1277,FALSE)</f>
        <v>#N/A</v>
      </c>
      <c r="B76" s="37" t="e">
        <f>VLOOKUP(A1,DIV_09Data!$A$1:$DZU$1000000,1278,FALSE)</f>
        <v>#N/A</v>
      </c>
      <c r="C76" s="38" t="e">
        <f>VLOOKUP(A1,DIV_09Data!$A$1:$DZU$1000000,1279,FALSE)</f>
        <v>#N/A</v>
      </c>
      <c r="D76" s="31" t="e">
        <f>VLOOKUP(A1,DIV_09Data!$A$1:$DZU$1000000,1280,FALSE)</f>
        <v>#N/A</v>
      </c>
      <c r="E76" s="32" t="e">
        <f>VLOOKUP(A1,DIV_09Data!$A$1:$DZU$1000000,1281,FALSE)</f>
        <v>#N/A</v>
      </c>
      <c r="F76" s="34" t="e">
        <f>VLOOKUP(A1,DIV_09Data!$A$1:$DZU$1000000,1282,FALSE)</f>
        <v>#N/A</v>
      </c>
      <c r="G76" s="33" t="e">
        <f>VLOOKUP(A1,DIV_09Data!$A$1:$DZU$1000000,1283,FALSE)</f>
        <v>#N/A</v>
      </c>
      <c r="H76" s="34" t="e">
        <f>VLOOKUP(A1,DIV_09Data!$A$1:$DZU$1000000,1284,FALSE)</f>
        <v>#N/A</v>
      </c>
      <c r="I76" s="33" t="e">
        <f>VLOOKUP(A1,DIV_09Data!$A$1:$DZU$1000000,1285,FALSE)</f>
        <v>#N/A</v>
      </c>
      <c r="J76" s="34" t="e">
        <f>VLOOKUP(A1,DIV_09Data!$A$1:$DZU$1000000,1286,FALSE)</f>
        <v>#N/A</v>
      </c>
      <c r="K76" s="34" t="e">
        <f>VLOOKUP(A1,DIV_09Data!$A$1:$DZU$1000000,1287,FALSE)</f>
        <v>#N/A</v>
      </c>
      <c r="L76" s="93" t="e">
        <f>VLOOKUP(A1,DIV_09Data!$A$1:$DZU$1000000,1288,FALSE)</f>
        <v>#N/A</v>
      </c>
      <c r="M76" s="33" t="e">
        <f>VLOOKUP(A1,DIV_09Data!$A$1:$DZU$1000000,1289,FALSE)</f>
        <v>#N/A</v>
      </c>
      <c r="N76" s="34" t="e">
        <f>VLOOKUP(A1,DIV_09Data!$A$1:$DZU$1000000,1290,FALSE)</f>
        <v>#N/A</v>
      </c>
      <c r="O76" s="33" t="e">
        <f>VLOOKUP(A1,DIV_09Data!$A$1:$DZU$1000000,1291,FALSE)</f>
        <v>#N/A</v>
      </c>
      <c r="P76" s="46" t="e">
        <f>VLOOKUP(A1,DIV_09Data!$A$1:$DZU$1000000,1292,FALSE)</f>
        <v>#N/A</v>
      </c>
      <c r="Q76" s="33" t="e">
        <f>VLOOKUP(A1,DIV_09Data!$A$1:$DZU$1000000,1293,FALSE)</f>
        <v>#N/A</v>
      </c>
    </row>
    <row r="77" spans="1:17" x14ac:dyDescent="0.35">
      <c r="A77" s="22" t="e">
        <f>VLOOKUP(A1,DIV_09Data!$A$1:$DZU$1000000,1294,FALSE)</f>
        <v>#N/A</v>
      </c>
      <c r="B77" s="37" t="e">
        <f>VLOOKUP(A1,DIV_09Data!$A$1:$DZU$1000000,1295,FALSE)</f>
        <v>#N/A</v>
      </c>
      <c r="C77" s="38" t="e">
        <f>VLOOKUP(A1,DIV_09Data!$A$1:$DZU$1000000,1296,FALSE)</f>
        <v>#N/A</v>
      </c>
      <c r="D77" s="31" t="e">
        <f>VLOOKUP(A1,DIV_09Data!$A$1:$DZU$1000000,1297,FALSE)</f>
        <v>#N/A</v>
      </c>
      <c r="E77" s="32" t="e">
        <f>VLOOKUP(A1,DIV_09Data!$A$1:$DZU$1000000,1298,FALSE)</f>
        <v>#N/A</v>
      </c>
      <c r="F77" s="34" t="e">
        <f>VLOOKUP(A1,DIV_09Data!$A$1:$DZU$1000000,1299,FALSE)</f>
        <v>#N/A</v>
      </c>
      <c r="G77" s="33" t="e">
        <f>VLOOKUP(A1,DIV_09Data!$A$1:$DZU$1000000,1300,FALSE)</f>
        <v>#N/A</v>
      </c>
      <c r="H77" s="34" t="e">
        <f>VLOOKUP(A1,DIV_09Data!$A$1:$DZU$1000000,1301,FALSE)</f>
        <v>#N/A</v>
      </c>
      <c r="I77" s="33" t="e">
        <f>VLOOKUP(A1,DIV_09Data!$A$1:$DZU$1000000,1302,FALSE)</f>
        <v>#N/A</v>
      </c>
      <c r="J77" s="34" t="e">
        <f>VLOOKUP(A1,DIV_09Data!$A$1:$DZU$1000000,1303,FALSE)</f>
        <v>#N/A</v>
      </c>
      <c r="K77" s="34" t="e">
        <f>VLOOKUP(A1,DIV_09Data!$A$1:$DZU$1000000,1304,FALSE)</f>
        <v>#N/A</v>
      </c>
      <c r="L77" s="93" t="e">
        <f>VLOOKUP(A1,DIV_09Data!$A$1:$DZU$1000000,1305,FALSE)</f>
        <v>#N/A</v>
      </c>
      <c r="M77" s="33" t="e">
        <f>VLOOKUP(A1,DIV_09Data!$A$1:$DZU$1000000,1306,FALSE)</f>
        <v>#N/A</v>
      </c>
      <c r="N77" s="34" t="e">
        <f>VLOOKUP(A1,DIV_09Data!$A$1:$DZU$1000000,1307,FALSE)</f>
        <v>#N/A</v>
      </c>
      <c r="O77" s="33" t="e">
        <f>VLOOKUP(A1,DIV_09Data!$A$1:$DZU$1000000,1308,FALSE)</f>
        <v>#N/A</v>
      </c>
      <c r="P77" s="46" t="e">
        <f>VLOOKUP(A1,DIV_09Data!$A$1:$DZU$1000000,1309,FALSE)</f>
        <v>#N/A</v>
      </c>
      <c r="Q77" s="33" t="e">
        <f>VLOOKUP(A1,DIV_09Data!$A$1:$DZU$1000000,1310,FALSE)</f>
        <v>#N/A</v>
      </c>
    </row>
    <row r="78" spans="1:17" x14ac:dyDescent="0.35">
      <c r="A78" s="22" t="e">
        <f>VLOOKUP(A1,DIV_09Data!$A$1:$DZU$1000000,1311,FALSE)</f>
        <v>#N/A</v>
      </c>
      <c r="B78" s="37" t="e">
        <f>VLOOKUP(A1,DIV_09Data!$A$1:$DZU$1000000,1312,FALSE)</f>
        <v>#N/A</v>
      </c>
      <c r="C78" s="38" t="e">
        <f>VLOOKUP(A1,DIV_09Data!$A$1:$DZU$1000000,1313,FALSE)</f>
        <v>#N/A</v>
      </c>
      <c r="D78" s="31" t="e">
        <f>VLOOKUP(A1,DIV_09Data!$A$1:$DZU$1000000,1314,FALSE)</f>
        <v>#N/A</v>
      </c>
      <c r="E78" s="32" t="e">
        <f>VLOOKUP(A1,DIV_09Data!$A$1:$DZU$1000000,1315,FALSE)</f>
        <v>#N/A</v>
      </c>
      <c r="F78" s="34" t="e">
        <f>VLOOKUP(A1,DIV_09Data!$A$1:$DZU$1000000,1316,FALSE)</f>
        <v>#N/A</v>
      </c>
      <c r="G78" s="33" t="e">
        <f>VLOOKUP(A1,DIV_09Data!$A$1:$DZU$1000000,1317,FALSE)</f>
        <v>#N/A</v>
      </c>
      <c r="H78" s="34" t="e">
        <f>VLOOKUP(A1,DIV_09Data!$A$1:$DZU$1000000,1318,FALSE)</f>
        <v>#N/A</v>
      </c>
      <c r="I78" s="33" t="e">
        <f>VLOOKUP(A1,DIV_09Data!$A$1:$DZU$1000000,1319,FALSE)</f>
        <v>#N/A</v>
      </c>
      <c r="J78" s="34" t="e">
        <f>VLOOKUP(A1,DIV_09Data!$A$1:$DZU$1000000,1320,FALSE)</f>
        <v>#N/A</v>
      </c>
      <c r="K78" s="34" t="e">
        <f>VLOOKUP(A1,DIV_09Data!$A$1:$DZU$1000000,1321,FALSE)</f>
        <v>#N/A</v>
      </c>
      <c r="L78" s="93" t="e">
        <f>VLOOKUP(A1,DIV_09Data!$A$1:$DZU$1000000,1322,FALSE)</f>
        <v>#N/A</v>
      </c>
      <c r="M78" s="33" t="e">
        <f>VLOOKUP(A1,DIV_09Data!$A$1:$DZU$1000000,1323,FALSE)</f>
        <v>#N/A</v>
      </c>
      <c r="N78" s="34" t="e">
        <f>VLOOKUP(A1,DIV_09Data!$A$1:$DZU$1000000,1324,FALSE)</f>
        <v>#N/A</v>
      </c>
      <c r="O78" s="33" t="e">
        <f>VLOOKUP(A1,DIV_09Data!$A$1:$DZU$1000000,1325,FALSE)</f>
        <v>#N/A</v>
      </c>
      <c r="P78" s="46" t="e">
        <f>VLOOKUP(A1,DIV_09Data!$A$1:$DZU$1000000,1326,FALSE)</f>
        <v>#N/A</v>
      </c>
      <c r="Q78" s="33" t="e">
        <f>VLOOKUP(A1,DIV_09Data!$A$1:$DZU$1000000,1327,FALSE)</f>
        <v>#N/A</v>
      </c>
    </row>
    <row r="79" spans="1:17" x14ac:dyDescent="0.35">
      <c r="A79" s="22" t="e">
        <f>VLOOKUP(A1,DIV_09Data!$A$1:$DZU$1000000,1328,FALSE)</f>
        <v>#N/A</v>
      </c>
      <c r="B79" s="37" t="e">
        <f>VLOOKUP(A1,DIV_09Data!$A$1:$DZU$1000000,1329,FALSE)</f>
        <v>#N/A</v>
      </c>
      <c r="C79" s="38" t="e">
        <f>VLOOKUP(A1,DIV_09Data!$A$1:$DZU$1000000,1330,FALSE)</f>
        <v>#N/A</v>
      </c>
      <c r="D79" s="31" t="e">
        <f>VLOOKUP(A1,DIV_09Data!$A$1:$DZU$1000000,1331,FALSE)</f>
        <v>#N/A</v>
      </c>
      <c r="E79" s="32" t="e">
        <f>VLOOKUP(A1,DIV_09Data!$A$1:$DZU$1000000,1332,FALSE)</f>
        <v>#N/A</v>
      </c>
      <c r="F79" s="34" t="e">
        <f>VLOOKUP(A1,DIV_09Data!$A$1:$DZU$1000000,1333,FALSE)</f>
        <v>#N/A</v>
      </c>
      <c r="G79" s="33" t="e">
        <f>VLOOKUP(A1,DIV_09Data!$A$1:$DZU$1000000,1334,FALSE)</f>
        <v>#N/A</v>
      </c>
      <c r="H79" s="34" t="e">
        <f>VLOOKUP(A1,DIV_09Data!$A$1:$DZU$1000000,1335,FALSE)</f>
        <v>#N/A</v>
      </c>
      <c r="I79" s="33" t="e">
        <f>VLOOKUP(A1,DIV_09Data!$A$1:$DZU$1000000,1336,FALSE)</f>
        <v>#N/A</v>
      </c>
      <c r="J79" s="34" t="e">
        <f>VLOOKUP(A1,DIV_09Data!$A$1:$DZU$1000000,1337,FALSE)</f>
        <v>#N/A</v>
      </c>
      <c r="K79" s="34" t="e">
        <f>VLOOKUP(A1,DIV_09Data!$A$1:$DZU$1000000,1338,FALSE)</f>
        <v>#N/A</v>
      </c>
      <c r="L79" s="93" t="e">
        <f>VLOOKUP(A1,DIV_09Data!$A$1:$DZU$1000000,1339,FALSE)</f>
        <v>#N/A</v>
      </c>
      <c r="M79" s="33" t="e">
        <f>VLOOKUP(A1,DIV_09Data!$A$1:$DZU$1000000,1340,FALSE)</f>
        <v>#N/A</v>
      </c>
      <c r="N79" s="34" t="e">
        <f>VLOOKUP(A1,DIV_09Data!$A$1:$DZU$1000000,1341,FALSE)</f>
        <v>#N/A</v>
      </c>
      <c r="O79" s="33" t="e">
        <f>VLOOKUP(A1,DIV_09Data!$A$1:$DZU$1000000,1342,FALSE)</f>
        <v>#N/A</v>
      </c>
      <c r="P79" s="46" t="e">
        <f>VLOOKUP(A1,DIV_09Data!$A$1:$DZU$1000000,1343,FALSE)</f>
        <v>#N/A</v>
      </c>
      <c r="Q79" s="33" t="e">
        <f>VLOOKUP(A1,DIV_09Data!$A$1:$DZU$1000000,1344,FALSE)</f>
        <v>#N/A</v>
      </c>
    </row>
    <row r="80" spans="1:17" x14ac:dyDescent="0.35">
      <c r="A80" s="22" t="e">
        <f>VLOOKUP(A1,DIV_09Data!$A$1:$DZU$1000000,1345,FALSE)</f>
        <v>#N/A</v>
      </c>
      <c r="B80" s="37" t="e">
        <f>VLOOKUP(A1,DIV_09Data!$A$1:$DZU$1000000,1346,FALSE)</f>
        <v>#N/A</v>
      </c>
      <c r="C80" s="38" t="e">
        <f>VLOOKUP(A1,DIV_09Data!$A$1:$DZU$1000000,1347,FALSE)</f>
        <v>#N/A</v>
      </c>
      <c r="D80" s="31" t="e">
        <f>VLOOKUP(A1,DIV_09Data!$A$1:$DZU$1000000,1348,FALSE)</f>
        <v>#N/A</v>
      </c>
      <c r="E80" s="32" t="e">
        <f>VLOOKUP(A1,DIV_09Data!$A$1:$DZU$1000000,1349,FALSE)</f>
        <v>#N/A</v>
      </c>
      <c r="F80" s="34" t="e">
        <f>VLOOKUP(A1,DIV_09Data!$A$1:$DZU$1000000,1350,FALSE)</f>
        <v>#N/A</v>
      </c>
      <c r="G80" s="33" t="e">
        <f>VLOOKUP(A1,DIV_09Data!$A$1:$DZU$1000000,1351,FALSE)</f>
        <v>#N/A</v>
      </c>
      <c r="H80" s="34" t="e">
        <f>VLOOKUP(A1,DIV_09Data!$A$1:$DZU$1000000,1352,FALSE)</f>
        <v>#N/A</v>
      </c>
      <c r="I80" s="33" t="e">
        <f>VLOOKUP(A1,DIV_09Data!$A$1:$DZU$1000000,1353,FALSE)</f>
        <v>#N/A</v>
      </c>
      <c r="J80" s="34" t="e">
        <f>VLOOKUP(A1,DIV_09Data!$A$1:$DZU$1000000,1354,FALSE)</f>
        <v>#N/A</v>
      </c>
      <c r="K80" s="34" t="e">
        <f>VLOOKUP(A1,DIV_09Data!$A$1:$DZU$1000000,1355,FALSE)</f>
        <v>#N/A</v>
      </c>
      <c r="L80" s="93" t="e">
        <f>VLOOKUP(A1,DIV_09Data!$A$1:$DZU$1000000,1356,FALSE)</f>
        <v>#N/A</v>
      </c>
      <c r="M80" s="33" t="e">
        <f>VLOOKUP(A1,DIV_09Data!$A$1:$DZU$1000000,1357,FALSE)</f>
        <v>#N/A</v>
      </c>
      <c r="N80" s="34" t="e">
        <f>VLOOKUP(A1,DIV_09Data!$A$1:$DZU$1000000,1358,FALSE)</f>
        <v>#N/A</v>
      </c>
      <c r="O80" s="33" t="e">
        <f>VLOOKUP(A1,DIV_09Data!$A$1:$DZU$1000000,1359,FALSE)</f>
        <v>#N/A</v>
      </c>
      <c r="P80" s="46" t="e">
        <f>VLOOKUP(A1,DIV_09Data!$A$1:$DZU$1000000,1360,FALSE)</f>
        <v>#N/A</v>
      </c>
      <c r="Q80" s="33" t="e">
        <f>VLOOKUP(A1,DIV_09Data!$A$1:$DZU$1000000,1361,FALSE)</f>
        <v>#N/A</v>
      </c>
    </row>
    <row r="81" spans="1:17" x14ac:dyDescent="0.35">
      <c r="A81" s="22" t="e">
        <f>VLOOKUP(A1,DIV_09Data!$A$1:$DZU$1000000,1362,FALSE)</f>
        <v>#N/A</v>
      </c>
      <c r="B81" s="37" t="e">
        <f>VLOOKUP(A1,DIV_09Data!$A$1:$DZU$1000000,1363,FALSE)</f>
        <v>#N/A</v>
      </c>
      <c r="C81" s="38" t="e">
        <f>VLOOKUP(A1,DIV_09Data!$A$1:$DZU$1000000,1364,FALSE)</f>
        <v>#N/A</v>
      </c>
      <c r="D81" s="31" t="e">
        <f>VLOOKUP(A1,DIV_09Data!$A$1:$DZU$1000000,1365,FALSE)</f>
        <v>#N/A</v>
      </c>
      <c r="E81" s="32" t="e">
        <f>VLOOKUP(A1,DIV_09Data!$A$1:$DZU$1000000,1366,FALSE)</f>
        <v>#N/A</v>
      </c>
      <c r="F81" s="34" t="e">
        <f>VLOOKUP(A1,DIV_09Data!$A$1:$DZU$1000000,1367,FALSE)</f>
        <v>#N/A</v>
      </c>
      <c r="G81" s="33" t="e">
        <f>VLOOKUP(A1,DIV_09Data!$A$1:$DZU$1000000,1368,FALSE)</f>
        <v>#N/A</v>
      </c>
      <c r="H81" s="34" t="e">
        <f>VLOOKUP(A1,DIV_09Data!$A$1:$DZU$1000000,1369,FALSE)</f>
        <v>#N/A</v>
      </c>
      <c r="I81" s="33" t="e">
        <f>VLOOKUP(A1,DIV_09Data!$A$1:$DZU$1000000,1370,FALSE)</f>
        <v>#N/A</v>
      </c>
      <c r="J81" s="34" t="e">
        <f>VLOOKUP(A1,DIV_09Data!$A$1:$DZU$1000000,1371,FALSE)</f>
        <v>#N/A</v>
      </c>
      <c r="K81" s="34" t="e">
        <f>VLOOKUP(A1,DIV_09Data!$A$1:$DZU$1000000,1372,FALSE)</f>
        <v>#N/A</v>
      </c>
      <c r="L81" s="93" t="e">
        <f>VLOOKUP(A1,DIV_09Data!$A$1:$DZU$1000000,1373,FALSE)</f>
        <v>#N/A</v>
      </c>
      <c r="M81" s="33" t="e">
        <f>VLOOKUP(A1,DIV_09Data!$A$1:$DZU$1000000,1374,FALSE)</f>
        <v>#N/A</v>
      </c>
      <c r="N81" s="34" t="e">
        <f>VLOOKUP(A1,DIV_09Data!$A$1:$DZU$1000000,1375,FALSE)</f>
        <v>#N/A</v>
      </c>
      <c r="O81" s="33" t="e">
        <f>VLOOKUP(A1,DIV_09Data!$A$1:$DZU$1000000,1376,FALSE)</f>
        <v>#N/A</v>
      </c>
      <c r="P81" s="46" t="e">
        <f>VLOOKUP(A1,DIV_09Data!$A$1:$DZU$1000000,1377,FALSE)</f>
        <v>#N/A</v>
      </c>
      <c r="Q81" s="33" t="e">
        <f>VLOOKUP(A1,DIV_09Data!$A$1:$DZU$1000000,1378,FALSE)</f>
        <v>#N/A</v>
      </c>
    </row>
    <row r="82" spans="1:17" x14ac:dyDescent="0.35">
      <c r="A82" s="22" t="e">
        <f>VLOOKUP(A1,DIV_09Data!$A$1:$DZU$1000000,1379,FALSE)</f>
        <v>#N/A</v>
      </c>
      <c r="B82" s="37" t="e">
        <f>VLOOKUP(A1,DIV_09Data!$A$1:$DZU$1000000,1380,FALSE)</f>
        <v>#N/A</v>
      </c>
      <c r="C82" s="38" t="e">
        <f>VLOOKUP(A1,DIV_09Data!$A$1:$DZU$1000000,1381,FALSE)</f>
        <v>#N/A</v>
      </c>
      <c r="D82" s="31" t="e">
        <f>VLOOKUP(A1,DIV_09Data!$A$1:$DZU$1000000,1382,FALSE)</f>
        <v>#N/A</v>
      </c>
      <c r="E82" s="32" t="e">
        <f>VLOOKUP(A1,DIV_09Data!$A$1:$DZU$1000000,1383,FALSE)</f>
        <v>#N/A</v>
      </c>
      <c r="F82" s="34" t="e">
        <f>VLOOKUP(A1,DIV_09Data!$A$1:$DZU$1000000,1384,FALSE)</f>
        <v>#N/A</v>
      </c>
      <c r="G82" s="33" t="e">
        <f>VLOOKUP(A1,DIV_09Data!$A$1:$DZU$1000000,1385,FALSE)</f>
        <v>#N/A</v>
      </c>
      <c r="H82" s="34" t="e">
        <f>VLOOKUP(A1,DIV_09Data!$A$1:$DZU$1000000,1386,FALSE)</f>
        <v>#N/A</v>
      </c>
      <c r="I82" s="33" t="e">
        <f>VLOOKUP(A1,DIV_09Data!$A$1:$DZU$1000000,1387,FALSE)</f>
        <v>#N/A</v>
      </c>
      <c r="J82" s="34" t="e">
        <f>VLOOKUP(A1,DIV_09Data!$A$1:$DZU$1000000,1388,FALSE)</f>
        <v>#N/A</v>
      </c>
      <c r="K82" s="34" t="e">
        <f>VLOOKUP(A1,DIV_09Data!$A$1:$DZU$1000000,1389,FALSE)</f>
        <v>#N/A</v>
      </c>
      <c r="L82" s="93" t="e">
        <f>VLOOKUP(A1,DIV_09Data!$A$1:$DZU$1000000,1390,FALSE)</f>
        <v>#N/A</v>
      </c>
      <c r="M82" s="33" t="e">
        <f>VLOOKUP(A1,DIV_09Data!$A$1:$DZU$1000000,1391,FALSE)</f>
        <v>#N/A</v>
      </c>
      <c r="N82" s="34" t="e">
        <f>VLOOKUP(A1,DIV_09Data!$A$1:$DZU$1000000,1392,FALSE)</f>
        <v>#N/A</v>
      </c>
      <c r="O82" s="33" t="e">
        <f>VLOOKUP(A1,DIV_09Data!$A$1:$DZU$1000000,1393,FALSE)</f>
        <v>#N/A</v>
      </c>
      <c r="P82" s="46" t="e">
        <f>VLOOKUP(A1,DIV_09Data!$A$1:$DZU$1000000,1394,FALSE)</f>
        <v>#N/A</v>
      </c>
      <c r="Q82" s="33" t="e">
        <f>VLOOKUP(A1,DIV_09Data!$A$1:$DZU$1000000,1395,FALSE)</f>
        <v>#N/A</v>
      </c>
    </row>
    <row r="83" spans="1:17" x14ac:dyDescent="0.35">
      <c r="A83" s="22" t="e">
        <f>VLOOKUP(A1,DIV_09Data!$A$1:$DZU$1000000,1396,FALSE)</f>
        <v>#N/A</v>
      </c>
      <c r="B83" s="37" t="e">
        <f>VLOOKUP(A1,DIV_09Data!$A$1:$DZU$1000000,1397,FALSE)</f>
        <v>#N/A</v>
      </c>
      <c r="C83" s="38" t="e">
        <f>VLOOKUP(A1,DIV_09Data!$A$1:$DZU$1000000,1398,FALSE)</f>
        <v>#N/A</v>
      </c>
      <c r="D83" s="31" t="e">
        <f>VLOOKUP(A1,DIV_09Data!$A$1:$DZU$1000000,1399,FALSE)</f>
        <v>#N/A</v>
      </c>
      <c r="E83" s="32" t="e">
        <f>VLOOKUP(A1,DIV_09Data!$A$1:$DZU$1000000,1400,FALSE)</f>
        <v>#N/A</v>
      </c>
      <c r="F83" s="34" t="e">
        <f>VLOOKUP(A1,DIV_09Data!$A$1:$DZU$1000000,1401,FALSE)</f>
        <v>#N/A</v>
      </c>
      <c r="G83" s="33" t="e">
        <f>VLOOKUP(A1,DIV_09Data!$A$1:$DZU$1000000,1402,FALSE)</f>
        <v>#N/A</v>
      </c>
      <c r="H83" s="34" t="e">
        <f>VLOOKUP(A1,DIV_09Data!$A$1:$DZU$1000000,1403,FALSE)</f>
        <v>#N/A</v>
      </c>
      <c r="I83" s="33" t="e">
        <f>VLOOKUP(A1,DIV_09Data!$A$1:$DZU$1000000,1404,FALSE)</f>
        <v>#N/A</v>
      </c>
      <c r="J83" s="34" t="e">
        <f>VLOOKUP(A1,DIV_09Data!$A$1:$DZU$1000000,1405,FALSE)</f>
        <v>#N/A</v>
      </c>
      <c r="K83" s="34" t="e">
        <f>VLOOKUP(A1,DIV_09Data!$A$1:$DZU$1000000,1406,FALSE)</f>
        <v>#N/A</v>
      </c>
      <c r="L83" s="93" t="e">
        <f>VLOOKUP(A1,DIV_09Data!$A$1:$DZU$1000000,1407,FALSE)</f>
        <v>#N/A</v>
      </c>
      <c r="M83" s="33" t="e">
        <f>VLOOKUP(A1,DIV_09Data!$A$1:$DZU$1000000,1408,FALSE)</f>
        <v>#N/A</v>
      </c>
      <c r="N83" s="34" t="e">
        <f>VLOOKUP(A1,DIV_09Data!$A$1:$DZU$1000000,1409,FALSE)</f>
        <v>#N/A</v>
      </c>
      <c r="O83" s="33" t="e">
        <f>VLOOKUP(A1,DIV_09Data!$A$1:$DZU$1000000,1410,FALSE)</f>
        <v>#N/A</v>
      </c>
      <c r="P83" s="46" t="e">
        <f>VLOOKUP(A1,DIV_09Data!$A$1:$DZU$1000000,1411,FALSE)</f>
        <v>#N/A</v>
      </c>
      <c r="Q83" s="33" t="e">
        <f>VLOOKUP(A1,DIV_09Data!$A$1:$DZU$1000000,1412,FALSE)</f>
        <v>#N/A</v>
      </c>
    </row>
    <row r="84" spans="1:17" x14ac:dyDescent="0.35">
      <c r="A84" s="22" t="e">
        <f>VLOOKUP(A1,DIV_09Data!$A$1:$DZU$1000000,1413,FALSE)</f>
        <v>#N/A</v>
      </c>
      <c r="B84" s="37" t="e">
        <f>VLOOKUP(A1,DIV_09Data!$A$1:$DZU$1000000,1414,FALSE)</f>
        <v>#N/A</v>
      </c>
      <c r="C84" s="38" t="e">
        <f>VLOOKUP(A1,DIV_09Data!$A$1:$DZU$1000000,1415,FALSE)</f>
        <v>#N/A</v>
      </c>
      <c r="D84" s="31" t="e">
        <f>VLOOKUP(A1,DIV_09Data!$A$1:$DZU$1000000,1416,FALSE)</f>
        <v>#N/A</v>
      </c>
      <c r="E84" s="32" t="e">
        <f>VLOOKUP(A1,DIV_09Data!$A$1:$DZU$1000000,1417,FALSE)</f>
        <v>#N/A</v>
      </c>
      <c r="F84" s="34" t="e">
        <f>VLOOKUP(A1,DIV_09Data!$A$1:$DZU$1000000,1418,FALSE)</f>
        <v>#N/A</v>
      </c>
      <c r="G84" s="33" t="e">
        <f>VLOOKUP(A1,DIV_09Data!$A$1:$DZU$1000000,1419,FALSE)</f>
        <v>#N/A</v>
      </c>
      <c r="H84" s="34" t="e">
        <f>VLOOKUP(A1,DIV_09Data!$A$1:$DZU$1000000,1420,FALSE)</f>
        <v>#N/A</v>
      </c>
      <c r="I84" s="33" t="e">
        <f>VLOOKUP(A1,DIV_09Data!$A$1:$DZU$1000000,1421,FALSE)</f>
        <v>#N/A</v>
      </c>
      <c r="J84" s="34" t="e">
        <f>VLOOKUP(A1,DIV_09Data!$A$1:$DZU$1000000,1422,FALSE)</f>
        <v>#N/A</v>
      </c>
      <c r="K84" s="34" t="e">
        <f>VLOOKUP(A1,DIV_09Data!$A$1:$DZU$1000000,1423,FALSE)</f>
        <v>#N/A</v>
      </c>
      <c r="L84" s="93" t="e">
        <f>VLOOKUP(A1,DIV_09Data!$A$1:$DZU$1000000,1424,FALSE)</f>
        <v>#N/A</v>
      </c>
      <c r="M84" s="33" t="e">
        <f>VLOOKUP(A1,DIV_09Data!$A$1:$DZU$1000000,1425,FALSE)</f>
        <v>#N/A</v>
      </c>
      <c r="N84" s="34" t="e">
        <f>VLOOKUP(A1,DIV_09Data!$A$1:$DZU$1000000,1426,FALSE)</f>
        <v>#N/A</v>
      </c>
      <c r="O84" s="33" t="e">
        <f>VLOOKUP(A1,DIV_09Data!$A$1:$DZU$1000000,1427,FALSE)</f>
        <v>#N/A</v>
      </c>
      <c r="P84" s="46" t="e">
        <f>VLOOKUP(A1,DIV_09Data!$A$1:$DZU$1000000,1428,FALSE)</f>
        <v>#N/A</v>
      </c>
      <c r="Q84" s="33" t="e">
        <f>VLOOKUP(A1,DIV_09Data!$A$1:$DZU$1000000,1429,FALSE)</f>
        <v>#N/A</v>
      </c>
    </row>
    <row r="85" spans="1:17" x14ac:dyDescent="0.35">
      <c r="A85" s="22" t="e">
        <f>VLOOKUP(A1,DIV_09Data!$A$1:$DZU$1000000,1430,FALSE)</f>
        <v>#N/A</v>
      </c>
      <c r="B85" s="37" t="e">
        <f>VLOOKUP(A1,DIV_09Data!$A$1:$DZU$1000000,1431,FALSE)</f>
        <v>#N/A</v>
      </c>
      <c r="C85" s="38" t="e">
        <f>VLOOKUP(A1,DIV_09Data!$A$1:$DZU$1000000,1432,FALSE)</f>
        <v>#N/A</v>
      </c>
      <c r="D85" s="31" t="e">
        <f>VLOOKUP(A1,DIV_09Data!$A$1:$DZU$1000000,1433,FALSE)</f>
        <v>#N/A</v>
      </c>
      <c r="E85" s="32" t="e">
        <f>VLOOKUP(A1,DIV_09Data!$A$1:$DZU$1000000,1434,FALSE)</f>
        <v>#N/A</v>
      </c>
      <c r="F85" s="34" t="e">
        <f>VLOOKUP(A1,DIV_09Data!$A$1:$DZU$1000000,1435,FALSE)</f>
        <v>#N/A</v>
      </c>
      <c r="G85" s="33" t="e">
        <f>VLOOKUP(A1,DIV_09Data!$A$1:$DZU$1000000,1436,FALSE)</f>
        <v>#N/A</v>
      </c>
      <c r="H85" s="34" t="e">
        <f>VLOOKUP(A1,DIV_09Data!$A$1:$DZU$1000000,1437,FALSE)</f>
        <v>#N/A</v>
      </c>
      <c r="I85" s="33" t="e">
        <f>VLOOKUP(A1,DIV_09Data!$A$1:$DZU$1000000,1438,FALSE)</f>
        <v>#N/A</v>
      </c>
      <c r="J85" s="34" t="e">
        <f>VLOOKUP(A1,DIV_09Data!$A$1:$DZU$1000000,1439,FALSE)</f>
        <v>#N/A</v>
      </c>
      <c r="K85" s="34" t="e">
        <f>VLOOKUP(A1,DIV_09Data!$A$1:$DZU$1000000,1440,FALSE)</f>
        <v>#N/A</v>
      </c>
      <c r="L85" s="93" t="e">
        <f>VLOOKUP(A1,DIV_09Data!$A$1:$DZU$1000000,1441,FALSE)</f>
        <v>#N/A</v>
      </c>
      <c r="M85" s="33" t="e">
        <f>VLOOKUP(A1,DIV_09Data!$A$1:$DZU$1000000,1442,FALSE)</f>
        <v>#N/A</v>
      </c>
      <c r="N85" s="34" t="e">
        <f>VLOOKUP(A1,DIV_09Data!$A$1:$DZU$1000000,1443,FALSE)</f>
        <v>#N/A</v>
      </c>
      <c r="O85" s="33" t="e">
        <f>VLOOKUP(A1,DIV_09Data!$A$1:$DZU$1000000,1444,FALSE)</f>
        <v>#N/A</v>
      </c>
      <c r="P85" s="46" t="e">
        <f>VLOOKUP(A1,DIV_09Data!$A$1:$DZU$1000000,1445,FALSE)</f>
        <v>#N/A</v>
      </c>
      <c r="Q85" s="33" t="e">
        <f>VLOOKUP(A1,DIV_09Data!$A$1:$DZU$1000000,1446,FALSE)</f>
        <v>#N/A</v>
      </c>
    </row>
    <row r="86" spans="1:17" x14ac:dyDescent="0.35">
      <c r="A86" s="22" t="e">
        <f>VLOOKUP(A1,DIV_09Data!$A$1:$DZU$1000000,1447,FALSE)</f>
        <v>#N/A</v>
      </c>
      <c r="B86" s="37" t="e">
        <f>VLOOKUP(A1,DIV_09Data!$A$1:$DZU$1000000,1448,FALSE)</f>
        <v>#N/A</v>
      </c>
      <c r="C86" s="38" t="e">
        <f>VLOOKUP(A1,DIV_09Data!$A$1:$DZU$1000000,1449,FALSE)</f>
        <v>#N/A</v>
      </c>
      <c r="D86" s="31" t="e">
        <f>VLOOKUP(A1,DIV_09Data!$A$1:$DZU$1000000,1450,FALSE)</f>
        <v>#N/A</v>
      </c>
      <c r="E86" s="32" t="e">
        <f>VLOOKUP(A1,DIV_09Data!$A$1:$DZU$1000000,1451,FALSE)</f>
        <v>#N/A</v>
      </c>
      <c r="F86" s="34" t="e">
        <f>VLOOKUP(A1,DIV_09Data!$A$1:$DZU$1000000,1452,FALSE)</f>
        <v>#N/A</v>
      </c>
      <c r="G86" s="33" t="e">
        <f>VLOOKUP(A1,DIV_09Data!$A$1:$DZU$1000000,1453,FALSE)</f>
        <v>#N/A</v>
      </c>
      <c r="H86" s="34" t="e">
        <f>VLOOKUP(A1,DIV_09Data!$A$1:$DZU$1000000,1454,FALSE)</f>
        <v>#N/A</v>
      </c>
      <c r="I86" s="33" t="e">
        <f>VLOOKUP(A1,DIV_09Data!$A$1:$DZU$1000000,1455,FALSE)</f>
        <v>#N/A</v>
      </c>
      <c r="J86" s="34" t="e">
        <f>VLOOKUP(A1,DIV_09Data!$A$1:$DZU$1000000,1456,FALSE)</f>
        <v>#N/A</v>
      </c>
      <c r="K86" s="34" t="e">
        <f>VLOOKUP(A1,DIV_09Data!$A$1:$DZU$1000000,1457,FALSE)</f>
        <v>#N/A</v>
      </c>
      <c r="L86" s="93" t="e">
        <f>VLOOKUP(A1,DIV_09Data!$A$1:$DZU$1000000,1458,FALSE)</f>
        <v>#N/A</v>
      </c>
      <c r="M86" s="33" t="e">
        <f>VLOOKUP(A1,DIV_09Data!$A$1:$DZU$1000000,1459,FALSE)</f>
        <v>#N/A</v>
      </c>
      <c r="N86" s="34" t="e">
        <f>VLOOKUP(A1,DIV_09Data!$A$1:$DZU$1000000,1460,FALSE)</f>
        <v>#N/A</v>
      </c>
      <c r="O86" s="33" t="e">
        <f>VLOOKUP(A1,DIV_09Data!$A$1:$DZU$1000000,1461,FALSE)</f>
        <v>#N/A</v>
      </c>
      <c r="P86" s="46" t="e">
        <f>VLOOKUP(A1,DIV_09Data!$A$1:$DZU$1000000,1462,FALSE)</f>
        <v>#N/A</v>
      </c>
      <c r="Q86" s="33" t="e">
        <f>VLOOKUP(A1,DIV_09Data!$A$1:$DZU$1000000,1463,FALSE)</f>
        <v>#N/A</v>
      </c>
    </row>
    <row r="87" spans="1:17" x14ac:dyDescent="0.35">
      <c r="A87" s="22" t="e">
        <f>VLOOKUP(A1,DIV_09Data!$A$1:$DZU$1000000,1464,FALSE)</f>
        <v>#N/A</v>
      </c>
      <c r="B87" s="37" t="e">
        <f>VLOOKUP(A1,DIV_09Data!$A$1:$DZU$1000000,1465,FALSE)</f>
        <v>#N/A</v>
      </c>
      <c r="C87" s="38" t="e">
        <f>VLOOKUP(A1,DIV_09Data!$A$1:$DZU$1000000,1466,FALSE)</f>
        <v>#N/A</v>
      </c>
      <c r="D87" s="31" t="e">
        <f>VLOOKUP(A1,DIV_09Data!$A$1:$DZU$1000000,1467,FALSE)</f>
        <v>#N/A</v>
      </c>
      <c r="E87" s="32" t="e">
        <f>VLOOKUP(A1,DIV_09Data!$A$1:$DZU$1000000,1468,FALSE)</f>
        <v>#N/A</v>
      </c>
      <c r="F87" s="34" t="e">
        <f>VLOOKUP(A1,DIV_09Data!$A$1:$DZU$1000000,1469,FALSE)</f>
        <v>#N/A</v>
      </c>
      <c r="G87" s="33" t="e">
        <f>VLOOKUP(A1,DIV_09Data!$A$1:$DZU$1000000,1470,FALSE)</f>
        <v>#N/A</v>
      </c>
      <c r="H87" s="34" t="e">
        <f>VLOOKUP(A1,DIV_09Data!$A$1:$DZU$1000000,1471,FALSE)</f>
        <v>#N/A</v>
      </c>
      <c r="I87" s="33" t="e">
        <f>VLOOKUP(A1,DIV_09Data!$A$1:$DZU$1000000,1472,FALSE)</f>
        <v>#N/A</v>
      </c>
      <c r="J87" s="34" t="e">
        <f>VLOOKUP(A1,DIV_09Data!$A$1:$DZU$1000000,1473,FALSE)</f>
        <v>#N/A</v>
      </c>
      <c r="K87" s="34" t="e">
        <f>VLOOKUP(A1,DIV_09Data!$A$1:$DZU$1000000,1474,FALSE)</f>
        <v>#N/A</v>
      </c>
      <c r="L87" s="93" t="e">
        <f>VLOOKUP(A1,DIV_09Data!$A$1:$DZU$1000000,1475,FALSE)</f>
        <v>#N/A</v>
      </c>
      <c r="M87" s="33" t="e">
        <f>VLOOKUP(A1,DIV_09Data!$A$1:$DZU$1000000,1476,FALSE)</f>
        <v>#N/A</v>
      </c>
      <c r="N87" s="34" t="e">
        <f>VLOOKUP(A1,DIV_09Data!$A$1:$DZU$1000000,1477,FALSE)</f>
        <v>#N/A</v>
      </c>
      <c r="O87" s="33" t="e">
        <f>VLOOKUP(A1,DIV_09Data!$A$1:$DZU$1000000,1478,FALSE)</f>
        <v>#N/A</v>
      </c>
      <c r="P87" s="46" t="e">
        <f>VLOOKUP(A1,DIV_09Data!$A$1:$DZU$1000000,1479,FALSE)</f>
        <v>#N/A</v>
      </c>
      <c r="Q87" s="33" t="e">
        <f>VLOOKUP(A1,DIV_09Data!$A$1:$DZU$1000000,1480,FALSE)</f>
        <v>#N/A</v>
      </c>
    </row>
    <row r="88" spans="1:17" x14ac:dyDescent="0.35">
      <c r="A88" s="22" t="e">
        <f>VLOOKUP(A1,DIV_09Data!$A$1:$DZU$1000000,1481,FALSE)</f>
        <v>#N/A</v>
      </c>
      <c r="B88" s="37" t="e">
        <f>VLOOKUP(A1,DIV_09Data!$A$1:$DZU$1000000,1482,FALSE)</f>
        <v>#N/A</v>
      </c>
      <c r="C88" s="38" t="e">
        <f>VLOOKUP(A1,DIV_09Data!$A$1:$DZU$1000000,1483,FALSE)</f>
        <v>#N/A</v>
      </c>
      <c r="D88" s="31" t="e">
        <f>VLOOKUP(A1,DIV_09Data!$A$1:$DZU$1000000,1484,FALSE)</f>
        <v>#N/A</v>
      </c>
      <c r="E88" s="32" t="e">
        <f>VLOOKUP(A1,DIV_09Data!$A$1:$DZU$1000000,1485,FALSE)</f>
        <v>#N/A</v>
      </c>
      <c r="F88" s="34" t="e">
        <f>VLOOKUP(A1,DIV_09Data!$A$1:$DZU$1000000,1486,FALSE)</f>
        <v>#N/A</v>
      </c>
      <c r="G88" s="33" t="e">
        <f>VLOOKUP(A1,DIV_09Data!$A$1:$DZU$1000000,1487,FALSE)</f>
        <v>#N/A</v>
      </c>
      <c r="H88" s="34" t="e">
        <f>VLOOKUP(A1,DIV_09Data!$A$1:$DZU$1000000,1488,FALSE)</f>
        <v>#N/A</v>
      </c>
      <c r="I88" s="33" t="e">
        <f>VLOOKUP(A1,DIV_09Data!$A$1:$DZU$1000000,1489,FALSE)</f>
        <v>#N/A</v>
      </c>
      <c r="J88" s="34" t="e">
        <f>VLOOKUP(A1,DIV_09Data!$A$1:$DZU$1000000,1490,FALSE)</f>
        <v>#N/A</v>
      </c>
      <c r="K88" s="34" t="e">
        <f>VLOOKUP(A1,DIV_09Data!$A$1:$DZU$1000000,1491,FALSE)</f>
        <v>#N/A</v>
      </c>
      <c r="L88" s="93" t="e">
        <f>VLOOKUP(A1,DIV_09Data!$A$1:$DZU$1000000,1492,FALSE)</f>
        <v>#N/A</v>
      </c>
      <c r="M88" s="33" t="e">
        <f>VLOOKUP(A1,DIV_09Data!$A$1:$DZU$1000000,1493,FALSE)</f>
        <v>#N/A</v>
      </c>
      <c r="N88" s="34" t="e">
        <f>VLOOKUP(A1,DIV_09Data!$A$1:$DZU$1000000,1494,FALSE)</f>
        <v>#N/A</v>
      </c>
      <c r="O88" s="33" t="e">
        <f>VLOOKUP(A1,DIV_09Data!$A$1:$DZU$1000000,1495,FALSE)</f>
        <v>#N/A</v>
      </c>
      <c r="P88" s="46" t="e">
        <f>VLOOKUP(A1,DIV_09Data!$A$1:$DZU$1000000,1496,FALSE)</f>
        <v>#N/A</v>
      </c>
      <c r="Q88" s="33" t="e">
        <f>VLOOKUP(A1,DIV_09Data!$A$1:$DZU$1000000,1497,FALSE)</f>
        <v>#N/A</v>
      </c>
    </row>
    <row r="89" spans="1:17" x14ac:dyDescent="0.35">
      <c r="A89" s="22" t="e">
        <f>VLOOKUP(A1,DIV_09Data!$A$1:$DZU$1000000,1498,FALSE)</f>
        <v>#N/A</v>
      </c>
      <c r="B89" s="37" t="e">
        <f>VLOOKUP(A1,DIV_09Data!$A$1:$DZU$1000000,1499,FALSE)</f>
        <v>#N/A</v>
      </c>
      <c r="C89" s="38" t="e">
        <f>VLOOKUP(A1,DIV_09Data!$A$1:$DZU$1000000,1500,FALSE)</f>
        <v>#N/A</v>
      </c>
      <c r="D89" s="31" t="e">
        <f>VLOOKUP(A1,DIV_09Data!$A$1:$DZU$1000000,1501,FALSE)</f>
        <v>#N/A</v>
      </c>
      <c r="E89" s="32" t="e">
        <f>VLOOKUP(A1,DIV_09Data!$A$1:$DZU$1000000,1502,FALSE)</f>
        <v>#N/A</v>
      </c>
      <c r="F89" s="34" t="e">
        <f>VLOOKUP(A1,DIV_09Data!$A$1:$DZU$1000000,1503,FALSE)</f>
        <v>#N/A</v>
      </c>
      <c r="G89" s="33" t="e">
        <f>VLOOKUP(A1,DIV_09Data!$A$1:$DZU$1000000,1504,FALSE)</f>
        <v>#N/A</v>
      </c>
      <c r="H89" s="34" t="e">
        <f>VLOOKUP(A1,DIV_09Data!$A$1:$DZU$1000000,1505,FALSE)</f>
        <v>#N/A</v>
      </c>
      <c r="I89" s="33" t="e">
        <f>VLOOKUP(A1,DIV_09Data!$A$1:$DZU$1000000,1506,FALSE)</f>
        <v>#N/A</v>
      </c>
      <c r="J89" s="34" t="e">
        <f>VLOOKUP(A1,DIV_09Data!$A$1:$DZU$1000000,1507,FALSE)</f>
        <v>#N/A</v>
      </c>
      <c r="K89" s="34" t="e">
        <f>VLOOKUP(A1,DIV_09Data!$A$1:$DZU$1000000,1508,FALSE)</f>
        <v>#N/A</v>
      </c>
      <c r="L89" s="93" t="e">
        <f>VLOOKUP(A1,DIV_09Data!$A$1:$DZU$1000000,1509,FALSE)</f>
        <v>#N/A</v>
      </c>
      <c r="M89" s="33" t="e">
        <f>VLOOKUP(A1,DIV_09Data!$A$1:$DZU$1000000,1510,FALSE)</f>
        <v>#N/A</v>
      </c>
      <c r="N89" s="34" t="e">
        <f>VLOOKUP(A1,DIV_09Data!$A$1:$DZU$1000000,1511,FALSE)</f>
        <v>#N/A</v>
      </c>
      <c r="O89" s="33" t="e">
        <f>VLOOKUP(A1,DIV_09Data!$A$1:$DZU$1000000,1512,FALSE)</f>
        <v>#N/A</v>
      </c>
      <c r="P89" s="46" t="e">
        <f>VLOOKUP(A1,DIV_09Data!$A$1:$DZU$1000000,1513,FALSE)</f>
        <v>#N/A</v>
      </c>
      <c r="Q89" s="33" t="e">
        <f>VLOOKUP(A1,DIV_09Data!$A$1:$DZU$1000000,1514,FALSE)</f>
        <v>#N/A</v>
      </c>
    </row>
    <row r="90" spans="1:17" x14ac:dyDescent="0.35">
      <c r="A90" s="22" t="e">
        <f>VLOOKUP(A1,DIV_09Data!$A$1:$DZU$1000000,1515,FALSE)</f>
        <v>#N/A</v>
      </c>
      <c r="B90" s="37" t="e">
        <f>VLOOKUP(A1,DIV_09Data!$A$1:$DZU$1000000,1516,FALSE)</f>
        <v>#N/A</v>
      </c>
      <c r="C90" s="38" t="e">
        <f>VLOOKUP(A1,DIV_09Data!$A$1:$DZU$1000000,1517,FALSE)</f>
        <v>#N/A</v>
      </c>
      <c r="D90" s="31" t="e">
        <f>VLOOKUP(A1,DIV_09Data!$A$1:$DZU$1000000,1518,FALSE)</f>
        <v>#N/A</v>
      </c>
      <c r="E90" s="32" t="e">
        <f>VLOOKUP(A1,DIV_09Data!$A$1:$DZU$1000000,1519,FALSE)</f>
        <v>#N/A</v>
      </c>
      <c r="F90" s="34" t="e">
        <f>VLOOKUP(A1,DIV_09Data!$A$1:$DZU$1000000,1520,FALSE)</f>
        <v>#N/A</v>
      </c>
      <c r="G90" s="33" t="e">
        <f>VLOOKUP(A1,DIV_09Data!$A$1:$DZU$1000000,1521,FALSE)</f>
        <v>#N/A</v>
      </c>
      <c r="H90" s="34" t="e">
        <f>VLOOKUP(A1,DIV_09Data!$A$1:$DZU$1000000,1522,FALSE)</f>
        <v>#N/A</v>
      </c>
      <c r="I90" s="33" t="e">
        <f>VLOOKUP(A1,DIV_09Data!$A$1:$DZU$1000000,1523,FALSE)</f>
        <v>#N/A</v>
      </c>
      <c r="J90" s="34" t="e">
        <f>VLOOKUP(A1,DIV_09Data!$A$1:$DZU$1000000,1524,FALSE)</f>
        <v>#N/A</v>
      </c>
      <c r="K90" s="34" t="e">
        <f>VLOOKUP(A1,DIV_09Data!$A$1:$DZU$1000000,1525,FALSE)</f>
        <v>#N/A</v>
      </c>
      <c r="L90" s="93" t="e">
        <f>VLOOKUP(A1,DIV_09Data!$A$1:$DZU$1000000,1526,FALSE)</f>
        <v>#N/A</v>
      </c>
      <c r="M90" s="33" t="e">
        <f>VLOOKUP(A1,DIV_09Data!$A$1:$DZU$1000000,1527,FALSE)</f>
        <v>#N/A</v>
      </c>
      <c r="N90" s="34" t="e">
        <f>VLOOKUP(A1,DIV_09Data!$A$1:$DZU$1000000,1528,FALSE)</f>
        <v>#N/A</v>
      </c>
      <c r="O90" s="33" t="e">
        <f>VLOOKUP(A1,DIV_09Data!$A$1:$DZU$1000000,1529,FALSE)</f>
        <v>#N/A</v>
      </c>
      <c r="P90" s="46" t="e">
        <f>VLOOKUP(A1,DIV_09Data!$A$1:$DZU$1000000,1530,FALSE)</f>
        <v>#N/A</v>
      </c>
      <c r="Q90" s="33" t="e">
        <f>VLOOKUP(A1,DIV_09Data!$A$1:$DZU$1000000,1531,FALSE)</f>
        <v>#N/A</v>
      </c>
    </row>
    <row r="91" spans="1:17" x14ac:dyDescent="0.35">
      <c r="A91" s="22" t="e">
        <f>VLOOKUP(A1,DIV_09Data!$A$1:$DZU$1000000,1532,FALSE)</f>
        <v>#N/A</v>
      </c>
      <c r="B91" s="37" t="e">
        <f>VLOOKUP(A1,DIV_09Data!$A$1:$DZU$1000000,1533,FALSE)</f>
        <v>#N/A</v>
      </c>
      <c r="C91" s="38" t="e">
        <f>VLOOKUP(A1,DIV_09Data!$A$1:$DZU$1000000,1534,FALSE)</f>
        <v>#N/A</v>
      </c>
      <c r="D91" s="31" t="e">
        <f>VLOOKUP(A1,DIV_09Data!$A$1:$DZU$1000000,1535,FALSE)</f>
        <v>#N/A</v>
      </c>
      <c r="E91" s="32" t="e">
        <f>VLOOKUP(A1,DIV_09Data!$A$1:$DZU$1000000,1536,FALSE)</f>
        <v>#N/A</v>
      </c>
      <c r="F91" s="34" t="e">
        <f>VLOOKUP(A1,DIV_09Data!$A$1:$DZU$1000000,1537,FALSE)</f>
        <v>#N/A</v>
      </c>
      <c r="G91" s="33" t="e">
        <f>VLOOKUP(A1,DIV_09Data!$A$1:$DZU$1000000,1538,FALSE)</f>
        <v>#N/A</v>
      </c>
      <c r="H91" s="34" t="e">
        <f>VLOOKUP(A1,DIV_09Data!$A$1:$DZU$1000000,1539,FALSE)</f>
        <v>#N/A</v>
      </c>
      <c r="I91" s="33" t="e">
        <f>VLOOKUP(A1,DIV_09Data!$A$1:$DZU$1000000,1540,FALSE)</f>
        <v>#N/A</v>
      </c>
      <c r="J91" s="34" t="e">
        <f>VLOOKUP(A1,DIV_09Data!$A$1:$DZU$1000000,1541,FALSE)</f>
        <v>#N/A</v>
      </c>
      <c r="K91" s="34" t="e">
        <f>VLOOKUP(A1,DIV_09Data!$A$1:$DZU$1000000,1542,FALSE)</f>
        <v>#N/A</v>
      </c>
      <c r="L91" s="93" t="e">
        <f>VLOOKUP(A1,DIV_09Data!$A$1:$DZU$1000000,1543,FALSE)</f>
        <v>#N/A</v>
      </c>
      <c r="M91" s="33" t="e">
        <f>VLOOKUP(A1,DIV_09Data!$A$1:$DZU$1000000,1544,FALSE)</f>
        <v>#N/A</v>
      </c>
      <c r="N91" s="34" t="e">
        <f>VLOOKUP(A1,DIV_09Data!$A$1:$DZU$1000000,1545,FALSE)</f>
        <v>#N/A</v>
      </c>
      <c r="O91" s="33" t="e">
        <f>VLOOKUP(A1,DIV_09Data!$A$1:$DZU$1000000,1546,FALSE)</f>
        <v>#N/A</v>
      </c>
      <c r="P91" s="46" t="e">
        <f>VLOOKUP(A1,DIV_09Data!$A$1:$DZU$1000000,1547,FALSE)</f>
        <v>#N/A</v>
      </c>
      <c r="Q91" s="33" t="e">
        <f>VLOOKUP(A1,DIV_09Data!$A$1:$DZU$1000000,1548,FALSE)</f>
        <v>#N/A</v>
      </c>
    </row>
    <row r="92" spans="1:17" x14ac:dyDescent="0.35">
      <c r="A92" s="22" t="e">
        <f>VLOOKUP(A1,DIV_09Data!$A$1:$DZU$1000000,1549,FALSE)</f>
        <v>#N/A</v>
      </c>
      <c r="B92" s="37" t="e">
        <f>VLOOKUP(A1,DIV_09Data!$A$1:$DZU$1000000,1550,FALSE)</f>
        <v>#N/A</v>
      </c>
      <c r="C92" s="38" t="e">
        <f>VLOOKUP(A1,DIV_09Data!$A$1:$DZU$1000000,1551,FALSE)</f>
        <v>#N/A</v>
      </c>
      <c r="D92" s="31" t="e">
        <f>VLOOKUP(A1,DIV_09Data!$A$1:$DZU$1000000,1552,FALSE)</f>
        <v>#N/A</v>
      </c>
      <c r="E92" s="32" t="e">
        <f>VLOOKUP(A1,DIV_09Data!$A$1:$DZU$1000000,1553,FALSE)</f>
        <v>#N/A</v>
      </c>
      <c r="F92" s="34" t="e">
        <f>VLOOKUP(A1,DIV_09Data!$A$1:$DZU$1000000,1554,FALSE)</f>
        <v>#N/A</v>
      </c>
      <c r="G92" s="33" t="e">
        <f>VLOOKUP(A1,DIV_09Data!$A$1:$DZU$1000000,1555,FALSE)</f>
        <v>#N/A</v>
      </c>
      <c r="H92" s="34" t="e">
        <f>VLOOKUP(A1,DIV_09Data!$A$1:$DZU$1000000,1556,FALSE)</f>
        <v>#N/A</v>
      </c>
      <c r="I92" s="33" t="e">
        <f>VLOOKUP(A1,DIV_09Data!$A$1:$DZU$1000000,1557,FALSE)</f>
        <v>#N/A</v>
      </c>
      <c r="J92" s="34" t="e">
        <f>VLOOKUP(A1,DIV_09Data!$A$1:$DZU$1000000,1558,FALSE)</f>
        <v>#N/A</v>
      </c>
      <c r="K92" s="34" t="e">
        <f>VLOOKUP(A1,DIV_09Data!$A$1:$DZU$1000000,1559,FALSE)</f>
        <v>#N/A</v>
      </c>
      <c r="L92" s="93" t="e">
        <f>VLOOKUP(A1,DIV_09Data!$A$1:$DZU$1000000,1560,FALSE)</f>
        <v>#N/A</v>
      </c>
      <c r="M92" s="33" t="e">
        <f>VLOOKUP(A1,DIV_09Data!$A$1:$DZU$1000000,1561,FALSE)</f>
        <v>#N/A</v>
      </c>
      <c r="N92" s="34" t="e">
        <f>VLOOKUP(A1,DIV_09Data!$A$1:$DZU$1000000,1562,FALSE)</f>
        <v>#N/A</v>
      </c>
      <c r="O92" s="33" t="e">
        <f>VLOOKUP(A1,DIV_09Data!$A$1:$DZU$1000000,1563,FALSE)</f>
        <v>#N/A</v>
      </c>
      <c r="P92" s="46" t="e">
        <f>VLOOKUP(A1,DIV_09Data!$A$1:$DZU$1000000,1564,FALSE)</f>
        <v>#N/A</v>
      </c>
      <c r="Q92" s="33" t="e">
        <f>VLOOKUP(A1,DIV_09Data!$A$1:$DZU$1000000,1565,FALSE)</f>
        <v>#N/A</v>
      </c>
    </row>
    <row r="93" spans="1:17" x14ac:dyDescent="0.35">
      <c r="A93" s="22" t="e">
        <f>VLOOKUP(A1,DIV_09Data!$A$1:$DZU$1000000,1566,FALSE)</f>
        <v>#N/A</v>
      </c>
      <c r="B93" s="37" t="e">
        <f>VLOOKUP(A1,DIV_09Data!$A$1:$DZU$1000000,1567,FALSE)</f>
        <v>#N/A</v>
      </c>
      <c r="C93" s="38" t="e">
        <f>VLOOKUP(A1,DIV_09Data!$A$1:$DZU$1000000,1568,FALSE)</f>
        <v>#N/A</v>
      </c>
      <c r="D93" s="31" t="e">
        <f>VLOOKUP(A1,DIV_09Data!$A$1:$DZU$1000000,1569,FALSE)</f>
        <v>#N/A</v>
      </c>
      <c r="E93" s="32" t="e">
        <f>VLOOKUP(A1,DIV_09Data!$A$1:$DZU$1000000,1570,FALSE)</f>
        <v>#N/A</v>
      </c>
      <c r="F93" s="34" t="e">
        <f>VLOOKUP(A1,DIV_09Data!$A$1:$DZU$1000000,1571,FALSE)</f>
        <v>#N/A</v>
      </c>
      <c r="G93" s="33" t="e">
        <f>VLOOKUP(A1,DIV_09Data!$A$1:$DZU$1000000,1572,FALSE)</f>
        <v>#N/A</v>
      </c>
      <c r="H93" s="34" t="e">
        <f>VLOOKUP(A1,DIV_09Data!$A$1:$DZU$1000000,1573,FALSE)</f>
        <v>#N/A</v>
      </c>
      <c r="I93" s="33" t="e">
        <f>VLOOKUP(A1,DIV_09Data!$A$1:$DZU$1000000,1574,FALSE)</f>
        <v>#N/A</v>
      </c>
      <c r="J93" s="34" t="e">
        <f>VLOOKUP(A1,DIV_09Data!$A$1:$DZU$1000000,1575,FALSE)</f>
        <v>#N/A</v>
      </c>
      <c r="K93" s="34" t="e">
        <f>VLOOKUP(A1,DIV_09Data!$A$1:$DZU$1000000,1576,FALSE)</f>
        <v>#N/A</v>
      </c>
      <c r="L93" s="93" t="e">
        <f>VLOOKUP(A1,DIV_09Data!$A$1:$DZU$1000000,1577,FALSE)</f>
        <v>#N/A</v>
      </c>
      <c r="M93" s="33" t="e">
        <f>VLOOKUP(A1,DIV_09Data!$A$1:$DZU$1000000,1578,FALSE)</f>
        <v>#N/A</v>
      </c>
      <c r="N93" s="34" t="e">
        <f>VLOOKUP(A1,DIV_09Data!$A$1:$DZU$1000000,1579,FALSE)</f>
        <v>#N/A</v>
      </c>
      <c r="O93" s="33" t="e">
        <f>VLOOKUP(A1,DIV_09Data!$A$1:$DZU$1000000,1580,FALSE)</f>
        <v>#N/A</v>
      </c>
      <c r="P93" s="46" t="e">
        <f>VLOOKUP(A1,DIV_09Data!$A$1:$DZU$1000000,1581,FALSE)</f>
        <v>#N/A</v>
      </c>
      <c r="Q93" s="33" t="e">
        <f>VLOOKUP(A1,DIV_09Data!$A$1:$DZU$1000000,1582,FALSE)</f>
        <v>#N/A</v>
      </c>
    </row>
    <row r="94" spans="1:17" x14ac:dyDescent="0.35">
      <c r="A94" s="22" t="e">
        <f>VLOOKUP(A1,DIV_09Data!$A$1:$DZU$1000000,1583,FALSE)</f>
        <v>#N/A</v>
      </c>
      <c r="B94" s="37" t="e">
        <f>VLOOKUP(A1,DIV_09Data!$A$1:$DZU$1000000,1584,FALSE)</f>
        <v>#N/A</v>
      </c>
      <c r="C94" s="38" t="e">
        <f>VLOOKUP(A1,DIV_09Data!$A$1:$DZU$1000000,1585,FALSE)</f>
        <v>#N/A</v>
      </c>
      <c r="D94" s="31" t="e">
        <f>VLOOKUP(A1,DIV_09Data!$A$1:$DZU$1000000,1586,FALSE)</f>
        <v>#N/A</v>
      </c>
      <c r="E94" s="32" t="e">
        <f>VLOOKUP(A1,DIV_09Data!$A$1:$DZU$1000000,1587,FALSE)</f>
        <v>#N/A</v>
      </c>
      <c r="F94" s="34" t="e">
        <f>VLOOKUP(A1,DIV_09Data!$A$1:$DZU$1000000,1588,FALSE)</f>
        <v>#N/A</v>
      </c>
      <c r="G94" s="33" t="e">
        <f>VLOOKUP(A1,DIV_09Data!$A$1:$DZU$1000000,1589,FALSE)</f>
        <v>#N/A</v>
      </c>
      <c r="H94" s="34" t="e">
        <f>VLOOKUP(A1,DIV_09Data!$A$1:$DZU$1000000,1590,FALSE)</f>
        <v>#N/A</v>
      </c>
      <c r="I94" s="33" t="e">
        <f>VLOOKUP(A1,DIV_09Data!$A$1:$DZU$1000000,1591,FALSE)</f>
        <v>#N/A</v>
      </c>
      <c r="J94" s="34" t="e">
        <f>VLOOKUP(A1,DIV_09Data!$A$1:$DZU$1000000,1592,FALSE)</f>
        <v>#N/A</v>
      </c>
      <c r="K94" s="34" t="e">
        <f>VLOOKUP(A1,DIV_09Data!$A$1:$DZU$1000000,1593,FALSE)</f>
        <v>#N/A</v>
      </c>
      <c r="L94" s="93" t="e">
        <f>VLOOKUP(A1,DIV_09Data!$A$1:$DZU$1000000,1594,FALSE)</f>
        <v>#N/A</v>
      </c>
      <c r="M94" s="33" t="e">
        <f>VLOOKUP(A1,DIV_09Data!$A$1:$DZU$1000000,1595,FALSE)</f>
        <v>#N/A</v>
      </c>
      <c r="N94" s="34" t="e">
        <f>VLOOKUP(A1,DIV_09Data!$A$1:$DZU$1000000,1596,FALSE)</f>
        <v>#N/A</v>
      </c>
      <c r="O94" s="33" t="e">
        <f>VLOOKUP(A1,DIV_09Data!$A$1:$DZU$1000000,1597,FALSE)</f>
        <v>#N/A</v>
      </c>
      <c r="P94" s="46" t="e">
        <f>VLOOKUP(A1,DIV_09Data!$A$1:$DZU$1000000,1598,FALSE)</f>
        <v>#N/A</v>
      </c>
      <c r="Q94" s="33" t="e">
        <f>VLOOKUP(A1,DIV_09Data!$A$1:$DZU$1000000,1599,FALSE)</f>
        <v>#N/A</v>
      </c>
    </row>
    <row r="95" spans="1:17" x14ac:dyDescent="0.35">
      <c r="A95" s="22" t="e">
        <f>VLOOKUP(A1,DIV_09Data!$A$1:$DZU$1000000,1600,FALSE)</f>
        <v>#N/A</v>
      </c>
      <c r="B95" s="37" t="e">
        <f>VLOOKUP(A1,DIV_09Data!$A$1:$DZU$1000000,1601,FALSE)</f>
        <v>#N/A</v>
      </c>
      <c r="C95" s="38" t="e">
        <f>VLOOKUP(A1,DIV_09Data!$A$1:$DZU$1000000,1602,FALSE)</f>
        <v>#N/A</v>
      </c>
      <c r="D95" s="31" t="e">
        <f>VLOOKUP(A1,DIV_09Data!$A$1:$DZU$1000000,1603,FALSE)</f>
        <v>#N/A</v>
      </c>
      <c r="E95" s="32" t="e">
        <f>VLOOKUP(A1,DIV_09Data!$A$1:$DZU$1000000,1604,FALSE)</f>
        <v>#N/A</v>
      </c>
      <c r="F95" s="34" t="e">
        <f>VLOOKUP(A1,DIV_09Data!$A$1:$DZU$1000000,1605,FALSE)</f>
        <v>#N/A</v>
      </c>
      <c r="G95" s="33" t="e">
        <f>VLOOKUP(A1,DIV_09Data!$A$1:$DZU$1000000,1606,FALSE)</f>
        <v>#N/A</v>
      </c>
      <c r="H95" s="34" t="e">
        <f>VLOOKUP(A1,DIV_09Data!$A$1:$DZU$1000000,1607,FALSE)</f>
        <v>#N/A</v>
      </c>
      <c r="I95" s="33" t="e">
        <f>VLOOKUP(A1,DIV_09Data!$A$1:$DZU$1000000,1608,FALSE)</f>
        <v>#N/A</v>
      </c>
      <c r="J95" s="34" t="e">
        <f>VLOOKUP(A1,DIV_09Data!$A$1:$DZU$1000000,1609,FALSE)</f>
        <v>#N/A</v>
      </c>
      <c r="K95" s="34" t="e">
        <f>VLOOKUP(A1,DIV_09Data!$A$1:$DZU$1000000,1610,FALSE)</f>
        <v>#N/A</v>
      </c>
      <c r="L95" s="93" t="e">
        <f>VLOOKUP(A1,DIV_09Data!$A$1:$DZU$1000000,1611,FALSE)</f>
        <v>#N/A</v>
      </c>
      <c r="M95" s="33" t="e">
        <f>VLOOKUP(A1,DIV_09Data!$A$1:$DZU$1000000,1612,FALSE)</f>
        <v>#N/A</v>
      </c>
      <c r="N95" s="34" t="e">
        <f>VLOOKUP(A1,DIV_09Data!$A$1:$DZU$1000000,1613,FALSE)</f>
        <v>#N/A</v>
      </c>
      <c r="O95" s="33" t="e">
        <f>VLOOKUP(A1,DIV_09Data!$A$1:$DZU$1000000,1614,FALSE)</f>
        <v>#N/A</v>
      </c>
      <c r="P95" s="46" t="e">
        <f>VLOOKUP(A1,DIV_09Data!$A$1:$DZU$1000000,1615,FALSE)</f>
        <v>#N/A</v>
      </c>
      <c r="Q95" s="33" t="e">
        <f>VLOOKUP(A1,DIV_09Data!$A$1:$DZU$1000000,1616,FALSE)</f>
        <v>#N/A</v>
      </c>
    </row>
    <row r="96" spans="1:17" x14ac:dyDescent="0.35">
      <c r="A96" s="22" t="e">
        <f>VLOOKUP(A1,DIV_09Data!$A$1:$DZU$1000000,1617,FALSE)</f>
        <v>#N/A</v>
      </c>
      <c r="B96" s="37" t="e">
        <f>VLOOKUP(A1,DIV_09Data!$A$1:$DZU$1000000,1618,FALSE)</f>
        <v>#N/A</v>
      </c>
      <c r="C96" s="38" t="e">
        <f>VLOOKUP(A1,DIV_09Data!$A$1:$DZU$1000000,1619,FALSE)</f>
        <v>#N/A</v>
      </c>
      <c r="D96" s="31" t="e">
        <f>VLOOKUP(A1,DIV_09Data!$A$1:$DZU$1000000,1620,FALSE)</f>
        <v>#N/A</v>
      </c>
      <c r="E96" s="32" t="e">
        <f>VLOOKUP(A1,DIV_09Data!$A$1:$DZU$1000000,1621,FALSE)</f>
        <v>#N/A</v>
      </c>
      <c r="F96" s="34" t="e">
        <f>VLOOKUP(A1,DIV_09Data!$A$1:$DZU$1000000,1622,FALSE)</f>
        <v>#N/A</v>
      </c>
      <c r="G96" s="33" t="e">
        <f>VLOOKUP(A1,DIV_09Data!$A$1:$DZU$1000000,1623,FALSE)</f>
        <v>#N/A</v>
      </c>
      <c r="H96" s="34" t="e">
        <f>VLOOKUP(A1,DIV_09Data!$A$1:$DZU$1000000,1624,FALSE)</f>
        <v>#N/A</v>
      </c>
      <c r="I96" s="33" t="e">
        <f>VLOOKUP(A1,DIV_09Data!$A$1:$DZU$1000000,1625,FALSE)</f>
        <v>#N/A</v>
      </c>
      <c r="J96" s="34" t="e">
        <f>VLOOKUP(A1,DIV_09Data!$A$1:$DZU$1000000,1626,FALSE)</f>
        <v>#N/A</v>
      </c>
      <c r="K96" s="34" t="e">
        <f>VLOOKUP(A1,DIV_09Data!$A$1:$DZU$1000000,1627,FALSE)</f>
        <v>#N/A</v>
      </c>
      <c r="L96" s="93" t="e">
        <f>VLOOKUP(A1,DIV_09Data!$A$1:$DZU$1000000,1628,FALSE)</f>
        <v>#N/A</v>
      </c>
      <c r="M96" s="33" t="e">
        <f>VLOOKUP(A1,DIV_09Data!$A$1:$DZU$1000000,1629,FALSE)</f>
        <v>#N/A</v>
      </c>
      <c r="N96" s="34" t="e">
        <f>VLOOKUP(A1,DIV_09Data!$A$1:$DZU$1000000,1630,FALSE)</f>
        <v>#N/A</v>
      </c>
      <c r="O96" s="33" t="e">
        <f>VLOOKUP(A1,DIV_09Data!$A$1:$DZU$1000000,1631,FALSE)</f>
        <v>#N/A</v>
      </c>
      <c r="P96" s="46" t="e">
        <f>VLOOKUP(A1,DIV_09Data!$A$1:$DZU$1000000,1632,FALSE)</f>
        <v>#N/A</v>
      </c>
      <c r="Q96" s="33" t="e">
        <f>VLOOKUP(A1,DIV_09Data!$A$1:$DZU$1000000,1633,FALSE)</f>
        <v>#N/A</v>
      </c>
    </row>
    <row r="97" spans="1:17" x14ac:dyDescent="0.35">
      <c r="A97" s="22" t="e">
        <f>VLOOKUP(A1,DIV_09Data!$A$1:$DZU$1000000,1634,FALSE)</f>
        <v>#N/A</v>
      </c>
      <c r="B97" s="37" t="e">
        <f>VLOOKUP(A1,DIV_09Data!$A$1:$DZU$1000000,1635,FALSE)</f>
        <v>#N/A</v>
      </c>
      <c r="C97" s="38" t="e">
        <f>VLOOKUP(A1,DIV_09Data!$A$1:$DZU$1000000,1636,FALSE)</f>
        <v>#N/A</v>
      </c>
      <c r="D97" s="31" t="e">
        <f>VLOOKUP(A1,DIV_09Data!$A$1:$DZU$1000000,1637,FALSE)</f>
        <v>#N/A</v>
      </c>
      <c r="E97" s="32" t="e">
        <f>VLOOKUP(A1,DIV_09Data!$A$1:$DZU$1000000,1638,FALSE)</f>
        <v>#N/A</v>
      </c>
      <c r="F97" s="34" t="e">
        <f>VLOOKUP(A1,DIV_09Data!$A$1:$DZU$1000000,1639,FALSE)</f>
        <v>#N/A</v>
      </c>
      <c r="G97" s="33" t="e">
        <f>VLOOKUP(A1,DIV_09Data!$A$1:$DZU$1000000,1640,FALSE)</f>
        <v>#N/A</v>
      </c>
      <c r="H97" s="34" t="e">
        <f>VLOOKUP(A1,DIV_09Data!$A$1:$DZU$1000000,1641,FALSE)</f>
        <v>#N/A</v>
      </c>
      <c r="I97" s="33" t="e">
        <f>VLOOKUP(A1,DIV_09Data!$A$1:$DZU$1000000,1642,FALSE)</f>
        <v>#N/A</v>
      </c>
      <c r="J97" s="34" t="e">
        <f>VLOOKUP(A1,DIV_09Data!$A$1:$DZU$1000000,1643,FALSE)</f>
        <v>#N/A</v>
      </c>
      <c r="K97" s="34" t="e">
        <f>VLOOKUP(A1,DIV_09Data!$A$1:$DZU$1000000,1644,FALSE)</f>
        <v>#N/A</v>
      </c>
      <c r="L97" s="93" t="e">
        <f>VLOOKUP(A1,DIV_09Data!$A$1:$DZU$1000000,1645,FALSE)</f>
        <v>#N/A</v>
      </c>
      <c r="M97" s="33" t="e">
        <f>VLOOKUP(A1,DIV_09Data!$A$1:$DZU$1000000,1646,FALSE)</f>
        <v>#N/A</v>
      </c>
      <c r="N97" s="34" t="e">
        <f>VLOOKUP(A1,DIV_09Data!$A$1:$DZU$1000000,1647,FALSE)</f>
        <v>#N/A</v>
      </c>
      <c r="O97" s="33" t="e">
        <f>VLOOKUP(A1,DIV_09Data!$A$1:$DZU$1000000,1648,FALSE)</f>
        <v>#N/A</v>
      </c>
      <c r="P97" s="46" t="e">
        <f>VLOOKUP(A1,DIV_09Data!$A$1:$DZU$1000000,1649,FALSE)</f>
        <v>#N/A</v>
      </c>
      <c r="Q97" s="33" t="e">
        <f>VLOOKUP(A1,DIV_09Data!$A$1:$DZU$1000000,1650,FALSE)</f>
        <v>#N/A</v>
      </c>
    </row>
    <row r="98" spans="1:17" x14ac:dyDescent="0.35">
      <c r="A98" s="22" t="e">
        <f>VLOOKUP(A1,DIV_09Data!$A$1:$DZU$1000000,1651,FALSE)</f>
        <v>#N/A</v>
      </c>
      <c r="B98" s="37" t="e">
        <f>VLOOKUP(A1,DIV_09Data!$A$1:$DZU$1000000,1652,FALSE)</f>
        <v>#N/A</v>
      </c>
      <c r="C98" s="38" t="e">
        <f>VLOOKUP(A1,DIV_09Data!$A$1:$DZU$1000000,1653,FALSE)</f>
        <v>#N/A</v>
      </c>
      <c r="D98" s="31" t="e">
        <f>VLOOKUP(A1,DIV_09Data!$A$1:$DZU$1000000,1654,FALSE)</f>
        <v>#N/A</v>
      </c>
      <c r="E98" s="32" t="e">
        <f>VLOOKUP(A1,DIV_09Data!$A$1:$DZU$1000000,1655,FALSE)</f>
        <v>#N/A</v>
      </c>
      <c r="F98" s="34" t="e">
        <f>VLOOKUP(A1,DIV_09Data!$A$1:$DZU$1000000,1656,FALSE)</f>
        <v>#N/A</v>
      </c>
      <c r="G98" s="33" t="e">
        <f>VLOOKUP(A1,DIV_09Data!$A$1:$DZU$1000000,1657,FALSE)</f>
        <v>#N/A</v>
      </c>
      <c r="H98" s="34" t="e">
        <f>VLOOKUP(A1,DIV_09Data!$A$1:$DZU$1000000,1658,FALSE)</f>
        <v>#N/A</v>
      </c>
      <c r="I98" s="33" t="e">
        <f>VLOOKUP(A1,DIV_09Data!$A$1:$DZU$1000000,1659,FALSE)</f>
        <v>#N/A</v>
      </c>
      <c r="J98" s="34" t="e">
        <f>VLOOKUP(A1,DIV_09Data!$A$1:$DZU$1000000,1660,FALSE)</f>
        <v>#N/A</v>
      </c>
      <c r="K98" s="34" t="e">
        <f>VLOOKUP(A1,DIV_09Data!$A$1:$DZU$1000000,1661,FALSE)</f>
        <v>#N/A</v>
      </c>
      <c r="L98" s="93" t="e">
        <f>VLOOKUP(A1,DIV_09Data!$A$1:$DZU$1000000,1662,FALSE)</f>
        <v>#N/A</v>
      </c>
      <c r="M98" s="33" t="e">
        <f>VLOOKUP(A1,DIV_09Data!$A$1:$DZU$1000000,1663,FALSE)</f>
        <v>#N/A</v>
      </c>
      <c r="N98" s="34" t="e">
        <f>VLOOKUP(A1,DIV_09Data!$A$1:$DZU$1000000,1664,FALSE)</f>
        <v>#N/A</v>
      </c>
      <c r="O98" s="33" t="e">
        <f>VLOOKUP(A1,DIV_09Data!$A$1:$DZU$1000000,1665,FALSE)</f>
        <v>#N/A</v>
      </c>
      <c r="P98" s="46" t="e">
        <f>VLOOKUP(A1,DIV_09Data!$A$1:$DZU$1000000,1666,FALSE)</f>
        <v>#N/A</v>
      </c>
      <c r="Q98" s="33" t="e">
        <f>VLOOKUP(A1,DIV_09Data!$A$1:$DZU$1000000,1667,FALSE)</f>
        <v>#N/A</v>
      </c>
    </row>
    <row r="99" spans="1:17" x14ac:dyDescent="0.35">
      <c r="A99" s="22" t="e">
        <f>VLOOKUP(A1,DIV_09Data!$A$1:$DZU$1000000,1668,FALSE)</f>
        <v>#N/A</v>
      </c>
      <c r="B99" s="37" t="e">
        <f>VLOOKUP(A1,DIV_09Data!$A$1:$DZU$1000000,1669,FALSE)</f>
        <v>#N/A</v>
      </c>
      <c r="C99" s="38" t="e">
        <f>VLOOKUP(A1,DIV_09Data!$A$1:$DZU$1000000,1670,FALSE)</f>
        <v>#N/A</v>
      </c>
      <c r="D99" s="31" t="e">
        <f>VLOOKUP(A1,DIV_09Data!$A$1:$DZU$1000000,1671,FALSE)</f>
        <v>#N/A</v>
      </c>
      <c r="E99" s="32" t="e">
        <f>VLOOKUP(A1,DIV_09Data!$A$1:$DZU$1000000,1672,FALSE)</f>
        <v>#N/A</v>
      </c>
      <c r="F99" s="34" t="e">
        <f>VLOOKUP(A1,DIV_09Data!$A$1:$DZU$1000000,1673,FALSE)</f>
        <v>#N/A</v>
      </c>
      <c r="G99" s="33" t="e">
        <f>VLOOKUP(A1,DIV_09Data!$A$1:$DZU$1000000,1674,FALSE)</f>
        <v>#N/A</v>
      </c>
      <c r="H99" s="34" t="e">
        <f>VLOOKUP(A1,DIV_09Data!$A$1:$DZU$1000000,1675,FALSE)</f>
        <v>#N/A</v>
      </c>
      <c r="I99" s="33" t="e">
        <f>VLOOKUP(A1,DIV_09Data!$A$1:$DZU$1000000,1676,FALSE)</f>
        <v>#N/A</v>
      </c>
      <c r="J99" s="34" t="e">
        <f>VLOOKUP(A1,DIV_09Data!$A$1:$DZU$1000000,1677,FALSE)</f>
        <v>#N/A</v>
      </c>
      <c r="K99" s="34" t="e">
        <f>VLOOKUP(A1,DIV_09Data!$A$1:$DZU$1000000,1678,FALSE)</f>
        <v>#N/A</v>
      </c>
      <c r="L99" s="93" t="e">
        <f>VLOOKUP(A1,DIV_09Data!$A$1:$DZU$1000000,1679,FALSE)</f>
        <v>#N/A</v>
      </c>
      <c r="M99" s="33" t="e">
        <f>VLOOKUP(A1,DIV_09Data!$A$1:$DZU$1000000,1680,FALSE)</f>
        <v>#N/A</v>
      </c>
      <c r="N99" s="34" t="e">
        <f>VLOOKUP(A1,DIV_09Data!$A$1:$DZU$1000000,1681,FALSE)</f>
        <v>#N/A</v>
      </c>
      <c r="O99" s="33" t="e">
        <f>VLOOKUP(A1,DIV_09Data!$A$1:$DZU$1000000,1682,FALSE)</f>
        <v>#N/A</v>
      </c>
      <c r="P99" s="46" t="e">
        <f>VLOOKUP(A1,DIV_09Data!$A$1:$DZU$1000000,1683,FALSE)</f>
        <v>#N/A</v>
      </c>
      <c r="Q99" s="33" t="e">
        <f>VLOOKUP(A1,DIV_09Data!$A$1:$DZU$1000000,1684,FALSE)</f>
        <v>#N/A</v>
      </c>
    </row>
    <row r="100" spans="1:17" x14ac:dyDescent="0.35">
      <c r="A100" s="22" t="e">
        <f>VLOOKUP(A1,DIV_09Data!$A$1:$DZU$1000000,1685,FALSE)</f>
        <v>#N/A</v>
      </c>
      <c r="B100" s="37" t="e">
        <f>VLOOKUP(A1,DIV_09Data!$A$1:$DZU$1000000,1686,FALSE)</f>
        <v>#N/A</v>
      </c>
      <c r="C100" s="38" t="e">
        <f>VLOOKUP(A1,DIV_09Data!$A$1:$DZU$1000000,1687,FALSE)</f>
        <v>#N/A</v>
      </c>
      <c r="D100" s="31" t="e">
        <f>VLOOKUP(A1,DIV_09Data!$A$1:$DZU$1000000,1688,FALSE)</f>
        <v>#N/A</v>
      </c>
      <c r="E100" s="32" t="e">
        <f>VLOOKUP(A1,DIV_09Data!$A$1:$DZU$1000000,1689,FALSE)</f>
        <v>#N/A</v>
      </c>
      <c r="F100" s="34" t="e">
        <f>VLOOKUP(A1,DIV_09Data!$A$1:$DZU$1000000,1690,FALSE)</f>
        <v>#N/A</v>
      </c>
      <c r="G100" s="33" t="e">
        <f>VLOOKUP(A1,DIV_09Data!$A$1:$DZU$1000000,1691,FALSE)</f>
        <v>#N/A</v>
      </c>
      <c r="H100" s="34" t="e">
        <f>VLOOKUP(A1,DIV_09Data!$A$1:$DZU$1000000,1692,FALSE)</f>
        <v>#N/A</v>
      </c>
      <c r="I100" s="33" t="e">
        <f>VLOOKUP(A1,DIV_09Data!$A$1:$DZU$1000000,1693,FALSE)</f>
        <v>#N/A</v>
      </c>
      <c r="J100" s="34" t="e">
        <f>VLOOKUP(A1,DIV_09Data!$A$1:$DZU$1000000,1694,FALSE)</f>
        <v>#N/A</v>
      </c>
      <c r="K100" s="34" t="e">
        <f>VLOOKUP(A1,DIV_09Data!$A$1:$DZU$1000000,1695,FALSE)</f>
        <v>#N/A</v>
      </c>
      <c r="L100" s="93" t="e">
        <f>VLOOKUP(A1,DIV_09Data!$A$1:$DZU$1000000,1696,FALSE)</f>
        <v>#N/A</v>
      </c>
      <c r="M100" s="33" t="e">
        <f>VLOOKUP(A1,DIV_09Data!$A$1:$DZU$1000000,1697,FALSE)</f>
        <v>#N/A</v>
      </c>
      <c r="N100" s="34" t="e">
        <f>VLOOKUP(A1,DIV_09Data!$A$1:$DZU$1000000,1698,FALSE)</f>
        <v>#N/A</v>
      </c>
      <c r="O100" s="33" t="e">
        <f>VLOOKUP(A1,DIV_09Data!$A$1:$DZU$1000000,1699,FALSE)</f>
        <v>#N/A</v>
      </c>
      <c r="P100" s="46" t="e">
        <f>VLOOKUP(A1,DIV_09Data!$A$1:$DZU$1000000,1700,FALSE)</f>
        <v>#N/A</v>
      </c>
      <c r="Q100" s="33" t="e">
        <f>VLOOKUP(A1,DIV_09Data!$A$1:$DZU$1000000,1701,FALSE)</f>
        <v>#N/A</v>
      </c>
    </row>
    <row r="101" spans="1:17" x14ac:dyDescent="0.35">
      <c r="A101" s="22" t="e">
        <f>VLOOKUP(A1,DIV_09Data!$A$1:$DZU$1000000,1702,FALSE)</f>
        <v>#N/A</v>
      </c>
      <c r="B101" s="37" t="e">
        <f>VLOOKUP(A1,DIV_09Data!$A$1:$DZU$1000000,1703,FALSE)</f>
        <v>#N/A</v>
      </c>
      <c r="C101" s="38" t="e">
        <f>VLOOKUP(A1,DIV_09Data!$A$1:$DZU$1000000,1704,FALSE)</f>
        <v>#N/A</v>
      </c>
      <c r="D101" s="31" t="e">
        <f>VLOOKUP(A1,DIV_09Data!$A$1:$DZU$1000000,1705,FALSE)</f>
        <v>#N/A</v>
      </c>
      <c r="E101" s="32" t="e">
        <f>VLOOKUP(A1,DIV_09Data!$A$1:$DZU$1000000,1706,FALSE)</f>
        <v>#N/A</v>
      </c>
      <c r="F101" s="34" t="e">
        <f>VLOOKUP(A1,DIV_09Data!$A$1:$DZU$1000000,1707,FALSE)</f>
        <v>#N/A</v>
      </c>
      <c r="G101" s="33" t="e">
        <f>VLOOKUP(A1,DIV_09Data!$A$1:$DZU$1000000,1708,FALSE)</f>
        <v>#N/A</v>
      </c>
      <c r="H101" s="34" t="e">
        <f>VLOOKUP(A1,DIV_09Data!$A$1:$DZU$1000000,1709,FALSE)</f>
        <v>#N/A</v>
      </c>
      <c r="I101" s="33" t="e">
        <f>VLOOKUP(A1,DIV_09Data!$A$1:$DZU$1000000,1710,FALSE)</f>
        <v>#N/A</v>
      </c>
      <c r="J101" s="34" t="e">
        <f>VLOOKUP(A1,DIV_09Data!$A$1:$DZU$1000000,1711,FALSE)</f>
        <v>#N/A</v>
      </c>
      <c r="K101" s="34" t="e">
        <f>VLOOKUP(A1,DIV_09Data!$A$1:$DZU$1000000,1712,FALSE)</f>
        <v>#N/A</v>
      </c>
      <c r="L101" s="93" t="e">
        <f>VLOOKUP(A1,DIV_09Data!$A$1:$DZU$1000000,1713,FALSE)</f>
        <v>#N/A</v>
      </c>
      <c r="M101" s="33" t="e">
        <f>VLOOKUP(A1,DIV_09Data!$A$1:$DZU$1000000,1714,FALSE)</f>
        <v>#N/A</v>
      </c>
      <c r="N101" s="34" t="e">
        <f>VLOOKUP(A1,DIV_09Data!$A$1:$DZU$1000000,1715,FALSE)</f>
        <v>#N/A</v>
      </c>
      <c r="O101" s="33" t="e">
        <f>VLOOKUP(A1,DIV_09Data!$A$1:$DZU$1000000,1716,FALSE)</f>
        <v>#N/A</v>
      </c>
      <c r="P101" s="46" t="e">
        <f>VLOOKUP(A1,DIV_09Data!$A$1:$DZU$1000000,1717,FALSE)</f>
        <v>#N/A</v>
      </c>
      <c r="Q101" s="33" t="e">
        <f>VLOOKUP(A1,DIV_09Data!$A$1:$DZU$1000000,1718,FALSE)</f>
        <v>#N/A</v>
      </c>
    </row>
    <row r="102" spans="1:17" x14ac:dyDescent="0.35">
      <c r="A102" s="22" t="e">
        <f>VLOOKUP(A1,DIV_09Data!$A$1:$DZU$1000000,1719,FALSE)</f>
        <v>#N/A</v>
      </c>
      <c r="B102" s="37" t="e">
        <f>VLOOKUP(A1,DIV_09Data!$A$1:$DZU$1000000,1720,FALSE)</f>
        <v>#N/A</v>
      </c>
      <c r="C102" s="38" t="e">
        <f>VLOOKUP(A1,DIV_09Data!$A$1:$DZU$1000000,1721,FALSE)</f>
        <v>#N/A</v>
      </c>
      <c r="D102" s="31" t="e">
        <f>VLOOKUP(A1,DIV_09Data!$A$1:$DZU$1000000,1722,FALSE)</f>
        <v>#N/A</v>
      </c>
      <c r="E102" s="32" t="e">
        <f>VLOOKUP(A1,DIV_09Data!$A$1:$DZU$1000000,1723,FALSE)</f>
        <v>#N/A</v>
      </c>
      <c r="F102" s="34" t="e">
        <f>VLOOKUP(A1,DIV_09Data!$A$1:$DZU$1000000,1724,FALSE)</f>
        <v>#N/A</v>
      </c>
      <c r="G102" s="33" t="e">
        <f>VLOOKUP(A1,DIV_09Data!$A$1:$DZU$1000000,1725,FALSE)</f>
        <v>#N/A</v>
      </c>
      <c r="H102" s="34" t="e">
        <f>VLOOKUP(A1,DIV_09Data!$A$1:$DZU$1000000,1726,FALSE)</f>
        <v>#N/A</v>
      </c>
      <c r="I102" s="33" t="e">
        <f>VLOOKUP(A1,DIV_09Data!$A$1:$DZU$1000000,1727,FALSE)</f>
        <v>#N/A</v>
      </c>
      <c r="J102" s="34" t="e">
        <f>VLOOKUP(A1,DIV_09Data!$A$1:$DZU$1000000,1728,FALSE)</f>
        <v>#N/A</v>
      </c>
      <c r="K102" s="34" t="e">
        <f>VLOOKUP(A1,DIV_09Data!$A$1:$DZU$1000000,1729,FALSE)</f>
        <v>#N/A</v>
      </c>
      <c r="L102" s="93" t="e">
        <f>VLOOKUP(A1,DIV_09Data!$A$1:$DZU$1000000,1730,FALSE)</f>
        <v>#N/A</v>
      </c>
      <c r="M102" s="33" t="e">
        <f>VLOOKUP(A1,DIV_09Data!$A$1:$DZU$1000000,1731,FALSE)</f>
        <v>#N/A</v>
      </c>
      <c r="N102" s="34" t="e">
        <f>VLOOKUP(A1,DIV_09Data!$A$1:$DZU$1000000,1732,FALSE)</f>
        <v>#N/A</v>
      </c>
      <c r="O102" s="33" t="e">
        <f>VLOOKUP(A1,DIV_09Data!$A$1:$DZU$1000000,1733,FALSE)</f>
        <v>#N/A</v>
      </c>
      <c r="P102" s="46" t="e">
        <f>VLOOKUP(A1,DIV_09Data!$A$1:$DZU$1000000,1734,FALSE)</f>
        <v>#N/A</v>
      </c>
      <c r="Q102" s="33" t="e">
        <f>VLOOKUP(A1,DIV_09Data!$A$1:$DZU$1000000,1735,FALSE)</f>
        <v>#N/A</v>
      </c>
    </row>
    <row r="103" spans="1:17" x14ac:dyDescent="0.35">
      <c r="A103" s="22" t="e">
        <f>VLOOKUP(A1,DIV_09Data!$A$1:$DZU$1000000,1736,FALSE)</f>
        <v>#N/A</v>
      </c>
      <c r="B103" s="37" t="e">
        <f>VLOOKUP(A1,DIV_09Data!$A$1:$DZU$1000000,1737,FALSE)</f>
        <v>#N/A</v>
      </c>
      <c r="C103" s="38" t="e">
        <f>VLOOKUP(A1,DIV_09Data!$A$1:$DZU$1000000,1738,FALSE)</f>
        <v>#N/A</v>
      </c>
      <c r="D103" s="31" t="e">
        <f>VLOOKUP(A1,DIV_09Data!$A$1:$DZU$1000000,1739,FALSE)</f>
        <v>#N/A</v>
      </c>
      <c r="E103" s="32" t="e">
        <f>VLOOKUP(A1,DIV_09Data!$A$1:$DZU$1000000,1740,FALSE)</f>
        <v>#N/A</v>
      </c>
      <c r="F103" s="34" t="e">
        <f>VLOOKUP(A1,DIV_09Data!$A$1:$DZU$1000000,1741,FALSE)</f>
        <v>#N/A</v>
      </c>
      <c r="G103" s="33" t="e">
        <f>VLOOKUP(A1,DIV_09Data!$A$1:$DZU$1000000,1742,FALSE)</f>
        <v>#N/A</v>
      </c>
      <c r="H103" s="34" t="e">
        <f>VLOOKUP(A1,DIV_09Data!$A$1:$DZU$1000000,1743,FALSE)</f>
        <v>#N/A</v>
      </c>
      <c r="I103" s="33" t="e">
        <f>VLOOKUP(A1,DIV_09Data!$A$1:$DZU$1000000,1744,FALSE)</f>
        <v>#N/A</v>
      </c>
      <c r="J103" s="34" t="e">
        <f>VLOOKUP(A1,DIV_09Data!$A$1:$DZU$1000000,1745,FALSE)</f>
        <v>#N/A</v>
      </c>
      <c r="K103" s="34" t="e">
        <f>VLOOKUP(A1,DIV_09Data!$A$1:$DZU$1000000,1746,FALSE)</f>
        <v>#N/A</v>
      </c>
      <c r="L103" s="93" t="e">
        <f>VLOOKUP(A1,DIV_09Data!$A$1:$DZU$1000000,1747,FALSE)</f>
        <v>#N/A</v>
      </c>
      <c r="M103" s="33" t="e">
        <f>VLOOKUP(A1,DIV_09Data!$A$1:$DZU$1000000,1748,FALSE)</f>
        <v>#N/A</v>
      </c>
      <c r="N103" s="34" t="e">
        <f>VLOOKUP(A1,DIV_09Data!$A$1:$DZU$1000000,1749,FALSE)</f>
        <v>#N/A</v>
      </c>
      <c r="O103" s="33" t="e">
        <f>VLOOKUP(A1,DIV_09Data!$A$1:$DZU$1000000,1750,FALSE)</f>
        <v>#N/A</v>
      </c>
      <c r="P103" s="46" t="e">
        <f>VLOOKUP(A1,DIV_09Data!$A$1:$DZU$1000000,1751,FALSE)</f>
        <v>#N/A</v>
      </c>
      <c r="Q103" s="33" t="e">
        <f>VLOOKUP(A1,DIV_09Data!$A$1:$DZU$1000000,1752,FALSE)</f>
        <v>#N/A</v>
      </c>
    </row>
    <row r="104" spans="1:17" x14ac:dyDescent="0.35">
      <c r="A104" s="22" t="e">
        <f>VLOOKUP(A1,DIV_09Data!$A$1:$DZU$1000000,1753,FALSE)</f>
        <v>#N/A</v>
      </c>
      <c r="B104" s="37" t="e">
        <f>VLOOKUP(A1,DIV_09Data!$A$1:$DZU$1000000,1754,FALSE)</f>
        <v>#N/A</v>
      </c>
      <c r="C104" s="38" t="e">
        <f>VLOOKUP(A1,DIV_09Data!$A$1:$DZU$1000000,1755,FALSE)</f>
        <v>#N/A</v>
      </c>
      <c r="D104" s="31" t="e">
        <f>VLOOKUP(A1,DIV_09Data!$A$1:$DZU$1000000,1756,FALSE)</f>
        <v>#N/A</v>
      </c>
      <c r="E104" s="32" t="e">
        <f>VLOOKUP(A1,DIV_09Data!$A$1:$DZU$1000000,1757,FALSE)</f>
        <v>#N/A</v>
      </c>
      <c r="F104" s="34" t="e">
        <f>VLOOKUP(A1,DIV_09Data!$A$1:$DZU$1000000,1758,FALSE)</f>
        <v>#N/A</v>
      </c>
      <c r="G104" s="33" t="e">
        <f>VLOOKUP(A1,DIV_09Data!$A$1:$DZU$1000000,1759,FALSE)</f>
        <v>#N/A</v>
      </c>
      <c r="H104" s="34" t="e">
        <f>VLOOKUP(A1,DIV_09Data!$A$1:$DZU$1000000,1760,FALSE)</f>
        <v>#N/A</v>
      </c>
      <c r="I104" s="33" t="e">
        <f>VLOOKUP(A1,DIV_09Data!$A$1:$DZU$1000000,1761,FALSE)</f>
        <v>#N/A</v>
      </c>
      <c r="J104" s="34" t="e">
        <f>VLOOKUP(A1,DIV_09Data!$A$1:$DZU$1000000,1762,FALSE)</f>
        <v>#N/A</v>
      </c>
      <c r="K104" s="34" t="e">
        <f>VLOOKUP(A1,DIV_09Data!$A$1:$DZU$1000000,1763,FALSE)</f>
        <v>#N/A</v>
      </c>
      <c r="L104" s="93" t="e">
        <f>VLOOKUP(A1,DIV_09Data!$A$1:$DZU$1000000,1764,FALSE)</f>
        <v>#N/A</v>
      </c>
      <c r="M104" s="33" t="e">
        <f>VLOOKUP(A1,DIV_09Data!$A$1:$DZU$1000000,1765,FALSE)</f>
        <v>#N/A</v>
      </c>
      <c r="N104" s="34" t="e">
        <f>VLOOKUP(A1,DIV_09Data!$A$1:$DZU$1000000,1766,FALSE)</f>
        <v>#N/A</v>
      </c>
      <c r="O104" s="33" t="e">
        <f>VLOOKUP(A1,DIV_09Data!$A$1:$DZU$1000000,1767,FALSE)</f>
        <v>#N/A</v>
      </c>
      <c r="P104" s="46" t="e">
        <f>VLOOKUP(A1,DIV_09Data!$A$1:$DZU$1000000,1768,FALSE)</f>
        <v>#N/A</v>
      </c>
      <c r="Q104" s="33" t="e">
        <f>VLOOKUP(A1,DIV_09Data!$A$1:$DZU$1000000,1769,FALSE)</f>
        <v>#N/A</v>
      </c>
    </row>
    <row r="105" spans="1:17" x14ac:dyDescent="0.35">
      <c r="A105" s="22" t="e">
        <f>VLOOKUP(A1,DIV_09Data!$A$1:$DZU$1000000,1770,FALSE)</f>
        <v>#N/A</v>
      </c>
      <c r="B105" s="37" t="e">
        <f>VLOOKUP(A1,DIV_09Data!$A$1:$DZU$1000000,1771,FALSE)</f>
        <v>#N/A</v>
      </c>
      <c r="C105" s="38" t="e">
        <f>VLOOKUP(A1,DIV_09Data!$A$1:$DZU$1000000,1772,FALSE)</f>
        <v>#N/A</v>
      </c>
      <c r="D105" s="31" t="e">
        <f>VLOOKUP(A1,DIV_09Data!$A$1:$DZU$1000000,1773,FALSE)</f>
        <v>#N/A</v>
      </c>
      <c r="E105" s="32" t="e">
        <f>VLOOKUP(A1,DIV_09Data!$A$1:$DZU$1000000,1774,FALSE)</f>
        <v>#N/A</v>
      </c>
      <c r="F105" s="34" t="e">
        <f>VLOOKUP(A1,DIV_09Data!$A$1:$DZU$1000000,1775,FALSE)</f>
        <v>#N/A</v>
      </c>
      <c r="G105" s="33" t="e">
        <f>VLOOKUP(A1,DIV_09Data!$A$1:$DZU$1000000,1776,FALSE)</f>
        <v>#N/A</v>
      </c>
      <c r="H105" s="34" t="e">
        <f>VLOOKUP(A1,DIV_09Data!$A$1:$DZU$1000000,1777,FALSE)</f>
        <v>#N/A</v>
      </c>
      <c r="I105" s="33" t="e">
        <f>VLOOKUP(A1,DIV_09Data!$A$1:$DZU$1000000,1778,FALSE)</f>
        <v>#N/A</v>
      </c>
      <c r="J105" s="34" t="e">
        <f>VLOOKUP(A1,DIV_09Data!$A$1:$DZU$1000000,1779,FALSE)</f>
        <v>#N/A</v>
      </c>
      <c r="K105" s="34" t="e">
        <f>VLOOKUP(A1,DIV_09Data!$A$1:$DZU$1000000,1780,FALSE)</f>
        <v>#N/A</v>
      </c>
      <c r="L105" s="93" t="e">
        <f>VLOOKUP(A1,DIV_09Data!$A$1:$DZU$1000000,1781,FALSE)</f>
        <v>#N/A</v>
      </c>
      <c r="M105" s="33" t="e">
        <f>VLOOKUP(A1,DIV_09Data!$A$1:$DZU$1000000,1782,FALSE)</f>
        <v>#N/A</v>
      </c>
      <c r="N105" s="34" t="e">
        <f>VLOOKUP(A1,DIV_09Data!$A$1:$DZU$1000000,1783,FALSE)</f>
        <v>#N/A</v>
      </c>
      <c r="O105" s="33" t="e">
        <f>VLOOKUP(A1,DIV_09Data!$A$1:$DZU$1000000,1784,FALSE)</f>
        <v>#N/A</v>
      </c>
      <c r="P105" s="46" t="e">
        <f>VLOOKUP(A1,DIV_09Data!$A$1:$DZU$1000000,1785,FALSE)</f>
        <v>#N/A</v>
      </c>
      <c r="Q105" s="33" t="e">
        <f>VLOOKUP(A1,DIV_09Data!$A$1:$DZU$1000000,1786,FALSE)</f>
        <v>#N/A</v>
      </c>
    </row>
    <row r="106" spans="1:17" x14ac:dyDescent="0.35">
      <c r="A106" s="22" t="e">
        <f>VLOOKUP(A1,DIV_09Data!$A$1:$DZU$1000000,1787,FALSE)</f>
        <v>#N/A</v>
      </c>
      <c r="B106" s="37" t="e">
        <f>VLOOKUP(A1,DIV_09Data!$A$1:$DZU$1000000,1788,FALSE)</f>
        <v>#N/A</v>
      </c>
      <c r="C106" s="38" t="e">
        <f>VLOOKUP(A1,DIV_09Data!$A$1:$DZU$1000000,1789,FALSE)</f>
        <v>#N/A</v>
      </c>
      <c r="D106" s="31" t="e">
        <f>VLOOKUP(A1,DIV_09Data!$A$1:$DZU$1000000,1790,FALSE)</f>
        <v>#N/A</v>
      </c>
      <c r="E106" s="32" t="e">
        <f>VLOOKUP(A1,DIV_09Data!$A$1:$DZU$1000000,1791,FALSE)</f>
        <v>#N/A</v>
      </c>
      <c r="F106" s="34" t="e">
        <f>VLOOKUP(A1,DIV_09Data!$A$1:$DZU$1000000,1792,FALSE)</f>
        <v>#N/A</v>
      </c>
      <c r="G106" s="33" t="e">
        <f>VLOOKUP(A1,DIV_09Data!$A$1:$DZU$1000000,1793,FALSE)</f>
        <v>#N/A</v>
      </c>
      <c r="H106" s="34" t="e">
        <f>VLOOKUP(A1,DIV_09Data!$A$1:$DZU$1000000,1794,FALSE)</f>
        <v>#N/A</v>
      </c>
      <c r="I106" s="33" t="e">
        <f>VLOOKUP(A1,DIV_09Data!$A$1:$DZU$1000000,1795,FALSE)</f>
        <v>#N/A</v>
      </c>
      <c r="J106" s="34" t="e">
        <f>VLOOKUP(A1,DIV_09Data!$A$1:$DZU$1000000,1796,FALSE)</f>
        <v>#N/A</v>
      </c>
      <c r="K106" s="34" t="e">
        <f>VLOOKUP(A1,DIV_09Data!$A$1:$DZU$1000000,1797,FALSE)</f>
        <v>#N/A</v>
      </c>
      <c r="L106" s="93" t="e">
        <f>VLOOKUP(A1,DIV_09Data!$A$1:$DZU$1000000,1798,FALSE)</f>
        <v>#N/A</v>
      </c>
      <c r="M106" s="33" t="e">
        <f>VLOOKUP(A1,DIV_09Data!$A$1:$DZU$1000000,1799,FALSE)</f>
        <v>#N/A</v>
      </c>
      <c r="N106" s="34" t="e">
        <f>VLOOKUP(A1,DIV_09Data!$A$1:$DZU$1000000,1800,FALSE)</f>
        <v>#N/A</v>
      </c>
      <c r="O106" s="33" t="e">
        <f>VLOOKUP(A1,DIV_09Data!$A$1:$DZU$1000000,1801,FALSE)</f>
        <v>#N/A</v>
      </c>
      <c r="P106" s="46" t="e">
        <f>VLOOKUP(A1,DIV_09Data!$A$1:$DZU$1000000,1802,FALSE)</f>
        <v>#N/A</v>
      </c>
      <c r="Q106" s="33" t="e">
        <f>VLOOKUP(A1,DIV_09Data!$A$1:$DZU$1000000,1803,FALSE)</f>
        <v>#N/A</v>
      </c>
    </row>
    <row r="107" spans="1:17" x14ac:dyDescent="0.35">
      <c r="A107" s="22" t="e">
        <f>VLOOKUP(A1,DIV_09Data!$A$1:$DZU$1000000,1804,FALSE)</f>
        <v>#N/A</v>
      </c>
      <c r="B107" s="37" t="e">
        <f>VLOOKUP(A1,DIV_09Data!$A$1:$DZU$1000000,1805,FALSE)</f>
        <v>#N/A</v>
      </c>
      <c r="C107" s="38" t="e">
        <f>VLOOKUP(A1,DIV_09Data!$A$1:$DZU$1000000,1806,FALSE)</f>
        <v>#N/A</v>
      </c>
      <c r="D107" s="31" t="e">
        <f>VLOOKUP(A1,DIV_09Data!$A$1:$DZU$1000000,1807,FALSE)</f>
        <v>#N/A</v>
      </c>
      <c r="E107" s="32" t="e">
        <f>VLOOKUP(A1,DIV_09Data!$A$1:$DZU$1000000,1808,FALSE)</f>
        <v>#N/A</v>
      </c>
      <c r="F107" s="34" t="e">
        <f>VLOOKUP(A1,DIV_09Data!$A$1:$DZU$1000000,1809,FALSE)</f>
        <v>#N/A</v>
      </c>
      <c r="G107" s="33" t="e">
        <f>VLOOKUP(A1,DIV_09Data!$A$1:$DZU$1000000,1810,FALSE)</f>
        <v>#N/A</v>
      </c>
      <c r="H107" s="34" t="e">
        <f>VLOOKUP(A1,DIV_09Data!$A$1:$DZU$1000000,1811,FALSE)</f>
        <v>#N/A</v>
      </c>
      <c r="I107" s="33" t="e">
        <f>VLOOKUP(A1,DIV_09Data!$A$1:$DZU$1000000,1812,FALSE)</f>
        <v>#N/A</v>
      </c>
      <c r="J107" s="34" t="e">
        <f>VLOOKUP(A1,DIV_09Data!$A$1:$DZU$1000000,1813,FALSE)</f>
        <v>#N/A</v>
      </c>
      <c r="K107" s="34" t="e">
        <f>VLOOKUP(A1,DIV_09Data!$A$1:$DZU$1000000,1814,FALSE)</f>
        <v>#N/A</v>
      </c>
      <c r="L107" s="93" t="e">
        <f>VLOOKUP(A1,DIV_09Data!$A$1:$DZU$1000000,1815,FALSE)</f>
        <v>#N/A</v>
      </c>
      <c r="M107" s="33" t="e">
        <f>VLOOKUP(A1,DIV_09Data!$A$1:$DZU$1000000,1816,FALSE)</f>
        <v>#N/A</v>
      </c>
      <c r="N107" s="34" t="e">
        <f>VLOOKUP(A1,DIV_09Data!$A$1:$DZU$1000000,1817,FALSE)</f>
        <v>#N/A</v>
      </c>
      <c r="O107" s="33" t="e">
        <f>VLOOKUP(A1,DIV_09Data!$A$1:$DZU$1000000,1818,FALSE)</f>
        <v>#N/A</v>
      </c>
      <c r="P107" s="46" t="e">
        <f>VLOOKUP(A1,DIV_09Data!$A$1:$DZU$1000000,1819,FALSE)</f>
        <v>#N/A</v>
      </c>
      <c r="Q107" s="33" t="e">
        <f>VLOOKUP(A1,DIV_09Data!$A$1:$DZU$1000000,1820,FALSE)</f>
        <v>#N/A</v>
      </c>
    </row>
    <row r="108" spans="1:17" x14ac:dyDescent="0.35">
      <c r="A108" s="22" t="e">
        <f>VLOOKUP(A1,DIV_09Data!$A$1:$DZU$1000000,1821,FALSE)</f>
        <v>#N/A</v>
      </c>
      <c r="B108" s="37" t="e">
        <f>VLOOKUP(A1,DIV_09Data!$A$1:$DZU$1000000,1822,FALSE)</f>
        <v>#N/A</v>
      </c>
      <c r="C108" s="38" t="e">
        <f>VLOOKUP(A1,DIV_09Data!$A$1:$DZU$1000000,1823,FALSE)</f>
        <v>#N/A</v>
      </c>
      <c r="D108" s="31" t="e">
        <f>VLOOKUP(A1,DIV_09Data!$A$1:$DZU$1000000,1824,FALSE)</f>
        <v>#N/A</v>
      </c>
      <c r="E108" s="32" t="e">
        <f>VLOOKUP(A1,DIV_09Data!$A$1:$DZU$1000000,1825,FALSE)</f>
        <v>#N/A</v>
      </c>
      <c r="F108" s="34" t="e">
        <f>VLOOKUP(A1,DIV_09Data!$A$1:$DZU$1000000,1826,FALSE)</f>
        <v>#N/A</v>
      </c>
      <c r="G108" s="33" t="e">
        <f>VLOOKUP(A1,DIV_09Data!$A$1:$DZU$1000000,1827,FALSE)</f>
        <v>#N/A</v>
      </c>
      <c r="H108" s="34" t="e">
        <f>VLOOKUP(A1,DIV_09Data!$A$1:$DZU$1000000,1828,FALSE)</f>
        <v>#N/A</v>
      </c>
      <c r="I108" s="33" t="e">
        <f>VLOOKUP(A1,DIV_09Data!$A$1:$DZU$1000000,1829,FALSE)</f>
        <v>#N/A</v>
      </c>
      <c r="J108" s="34" t="e">
        <f>VLOOKUP(A1,DIV_09Data!$A$1:$DZU$1000000,1830,FALSE)</f>
        <v>#N/A</v>
      </c>
      <c r="K108" s="34" t="e">
        <f>VLOOKUP(A1,DIV_09Data!$A$1:$DZU$1000000,1831,FALSE)</f>
        <v>#N/A</v>
      </c>
      <c r="L108" s="93" t="e">
        <f>VLOOKUP(A1,DIV_09Data!$A$1:$DZU$1000000,1832,FALSE)</f>
        <v>#N/A</v>
      </c>
      <c r="M108" s="33" t="e">
        <f>VLOOKUP(A1,DIV_09Data!$A$1:$DZU$1000000,1833,FALSE)</f>
        <v>#N/A</v>
      </c>
      <c r="N108" s="34" t="e">
        <f>VLOOKUP(A1,DIV_09Data!$A$1:$DZU$1000000,1834,FALSE)</f>
        <v>#N/A</v>
      </c>
      <c r="O108" s="33" t="e">
        <f>VLOOKUP(A1,DIV_09Data!$A$1:$DZU$1000000,1835,FALSE)</f>
        <v>#N/A</v>
      </c>
      <c r="P108" s="46" t="e">
        <f>VLOOKUP(A1,DIV_09Data!$A$1:$DZU$1000000,1836,FALSE)</f>
        <v>#N/A</v>
      </c>
      <c r="Q108" s="33" t="e">
        <f>VLOOKUP(A1,DIV_09Data!$A$1:$DZU$1000000,1837,FALSE)</f>
        <v>#N/A</v>
      </c>
    </row>
    <row r="109" spans="1:17" x14ac:dyDescent="0.35">
      <c r="A109" s="22" t="e">
        <f>VLOOKUP(A1,DIV_09Data!$A$1:$DZU$1000000,1838,FALSE)</f>
        <v>#N/A</v>
      </c>
      <c r="B109" s="37" t="e">
        <f>VLOOKUP(A1,DIV_09Data!$A$1:$DZU$1000000,1839,FALSE)</f>
        <v>#N/A</v>
      </c>
      <c r="C109" s="38" t="e">
        <f>VLOOKUP(A1,DIV_09Data!$A$1:$DZU$1000000,1840,FALSE)</f>
        <v>#N/A</v>
      </c>
      <c r="D109" s="31" t="e">
        <f>VLOOKUP(A1,DIV_09Data!$A$1:$DZU$1000000,1841,FALSE)</f>
        <v>#N/A</v>
      </c>
      <c r="E109" s="32" t="e">
        <f>VLOOKUP(A1,DIV_09Data!$A$1:$DZU$1000000,1842,FALSE)</f>
        <v>#N/A</v>
      </c>
      <c r="F109" s="34" t="e">
        <f>VLOOKUP(A1,DIV_09Data!$A$1:$DZU$1000000,1843,FALSE)</f>
        <v>#N/A</v>
      </c>
      <c r="G109" s="33" t="e">
        <f>VLOOKUP(A1,DIV_09Data!$A$1:$DZU$1000000,1844,FALSE)</f>
        <v>#N/A</v>
      </c>
      <c r="H109" s="34" t="e">
        <f>VLOOKUP(A1,DIV_09Data!$A$1:$DZU$1000000,1845,FALSE)</f>
        <v>#N/A</v>
      </c>
      <c r="I109" s="33" t="e">
        <f>VLOOKUP(A1,DIV_09Data!$A$1:$DZU$1000000,1846,FALSE)</f>
        <v>#N/A</v>
      </c>
      <c r="J109" s="34" t="e">
        <f>VLOOKUP(A1,DIV_09Data!$A$1:$DZU$1000000,1847,FALSE)</f>
        <v>#N/A</v>
      </c>
      <c r="K109" s="34" t="e">
        <f>VLOOKUP(A1,DIV_09Data!$A$1:$DZU$1000000,1848,FALSE)</f>
        <v>#N/A</v>
      </c>
      <c r="L109" s="93" t="e">
        <f>VLOOKUP(A1,DIV_09Data!$A$1:$DZU$1000000,1849,FALSE)</f>
        <v>#N/A</v>
      </c>
      <c r="M109" s="33" t="e">
        <f>VLOOKUP(A1,DIV_09Data!$A$1:$DZU$1000000,1850,FALSE)</f>
        <v>#N/A</v>
      </c>
      <c r="N109" s="34" t="e">
        <f>VLOOKUP(A1,DIV_09Data!$A$1:$DZU$1000000,1851,FALSE)</f>
        <v>#N/A</v>
      </c>
      <c r="O109" s="33" t="e">
        <f>VLOOKUP(A1,DIV_09Data!$A$1:$DZU$1000000,1852,FALSE)</f>
        <v>#N/A</v>
      </c>
      <c r="P109" s="46" t="e">
        <f>VLOOKUP(A1,DIV_09Data!$A$1:$DZU$1000000,1853,FALSE)</f>
        <v>#N/A</v>
      </c>
      <c r="Q109" s="33" t="e">
        <f>VLOOKUP(A1,DIV_09Data!$A$1:$DZU$1000000,1854,FALSE)</f>
        <v>#N/A</v>
      </c>
    </row>
    <row r="110" spans="1:17" x14ac:dyDescent="0.35">
      <c r="A110" s="22" t="e">
        <f>VLOOKUP(A1,DIV_09Data!$A$1:$DZU$1000000,1855,FALSE)</f>
        <v>#N/A</v>
      </c>
      <c r="B110" s="37" t="e">
        <f>VLOOKUP(A1,DIV_09Data!$A$1:$DZU$1000000,1856,FALSE)</f>
        <v>#N/A</v>
      </c>
      <c r="C110" s="38" t="e">
        <f>VLOOKUP(A1,DIV_09Data!$A$1:$DZU$1000000,1857,FALSE)</f>
        <v>#N/A</v>
      </c>
      <c r="D110" s="31" t="e">
        <f>VLOOKUP(A1,DIV_09Data!$A$1:$DZU$1000000,1858,FALSE)</f>
        <v>#N/A</v>
      </c>
      <c r="E110" s="32" t="e">
        <f>VLOOKUP(A1,DIV_09Data!$A$1:$DZU$1000000,1859,FALSE)</f>
        <v>#N/A</v>
      </c>
      <c r="F110" s="34" t="e">
        <f>VLOOKUP(A1,DIV_09Data!$A$1:$DZU$1000000,1860,FALSE)</f>
        <v>#N/A</v>
      </c>
      <c r="G110" s="33" t="e">
        <f>VLOOKUP(A1,DIV_09Data!$A$1:$DZU$1000000,1861,FALSE)</f>
        <v>#N/A</v>
      </c>
      <c r="H110" s="34" t="e">
        <f>VLOOKUP(A1,DIV_09Data!$A$1:$DZU$1000000,1862,FALSE)</f>
        <v>#N/A</v>
      </c>
      <c r="I110" s="33" t="e">
        <f>VLOOKUP(A1,DIV_09Data!$A$1:$DZU$1000000,1863,FALSE)</f>
        <v>#N/A</v>
      </c>
      <c r="J110" s="34" t="e">
        <f>VLOOKUP(A1,DIV_09Data!$A$1:$DZU$1000000,1864,FALSE)</f>
        <v>#N/A</v>
      </c>
      <c r="K110" s="34" t="e">
        <f>VLOOKUP(A1,DIV_09Data!$A$1:$DZU$1000000,1865,FALSE)</f>
        <v>#N/A</v>
      </c>
      <c r="L110" s="93" t="e">
        <f>VLOOKUP(A1,DIV_09Data!$A$1:$DZU$1000000,1866,FALSE)</f>
        <v>#N/A</v>
      </c>
      <c r="M110" s="33" t="e">
        <f>VLOOKUP(A1,DIV_09Data!$A$1:$DZU$1000000,1867,FALSE)</f>
        <v>#N/A</v>
      </c>
      <c r="N110" s="34" t="e">
        <f>VLOOKUP(A1,DIV_09Data!$A$1:$DZU$1000000,1868,FALSE)</f>
        <v>#N/A</v>
      </c>
      <c r="O110" s="33" t="e">
        <f>VLOOKUP(A1,DIV_09Data!$A$1:$DZU$1000000,1869,FALSE)</f>
        <v>#N/A</v>
      </c>
      <c r="P110" s="46" t="e">
        <f>VLOOKUP(A1,DIV_09Data!$A$1:$DZU$1000000,1870,FALSE)</f>
        <v>#N/A</v>
      </c>
      <c r="Q110" s="33" t="e">
        <f>VLOOKUP(A1,DIV_09Data!$A$1:$DZU$1000000,1871,FALSE)</f>
        <v>#N/A</v>
      </c>
    </row>
    <row r="111" spans="1:17" x14ac:dyDescent="0.35">
      <c r="A111" s="22" t="e">
        <f>VLOOKUP(A1,DIV_09Data!$A$1:$DZU$1000000,1872,FALSE)</f>
        <v>#N/A</v>
      </c>
      <c r="B111" s="37" t="e">
        <f>VLOOKUP(A1,DIV_09Data!$A$1:$DZU$1000000,1873,FALSE)</f>
        <v>#N/A</v>
      </c>
      <c r="C111" s="38" t="e">
        <f>VLOOKUP(A1,DIV_09Data!$A$1:$DZU$1000000,1874,FALSE)</f>
        <v>#N/A</v>
      </c>
      <c r="D111" s="31" t="e">
        <f>VLOOKUP(A1,DIV_09Data!$A$1:$DZU$1000000,1875,FALSE)</f>
        <v>#N/A</v>
      </c>
      <c r="E111" s="32" t="e">
        <f>VLOOKUP(A1,DIV_09Data!$A$1:$DZU$1000000,1876,FALSE)</f>
        <v>#N/A</v>
      </c>
      <c r="F111" s="34" t="e">
        <f>VLOOKUP(A1,DIV_09Data!$A$1:$DZU$1000000,1877,FALSE)</f>
        <v>#N/A</v>
      </c>
      <c r="G111" s="33" t="e">
        <f>VLOOKUP(A1,DIV_09Data!$A$1:$DZU$1000000,1878,FALSE)</f>
        <v>#N/A</v>
      </c>
      <c r="H111" s="34" t="e">
        <f>VLOOKUP(A1,DIV_09Data!$A$1:$DZU$1000000,1879,FALSE)</f>
        <v>#N/A</v>
      </c>
      <c r="I111" s="33" t="e">
        <f>VLOOKUP(A1,DIV_09Data!$A$1:$DZU$1000000,1880,FALSE)</f>
        <v>#N/A</v>
      </c>
      <c r="J111" s="34" t="e">
        <f>VLOOKUP(A1,DIV_09Data!$A$1:$DZU$1000000,1881,FALSE)</f>
        <v>#N/A</v>
      </c>
      <c r="K111" s="34" t="e">
        <f>VLOOKUP(A1,DIV_09Data!$A$1:$DZU$1000000,1882,FALSE)</f>
        <v>#N/A</v>
      </c>
      <c r="L111" s="93" t="e">
        <f>VLOOKUP(A1,DIV_09Data!$A$1:$DZU$1000000,1883,FALSE)</f>
        <v>#N/A</v>
      </c>
      <c r="M111" s="33" t="e">
        <f>VLOOKUP(A1,DIV_09Data!$A$1:$DZU$1000000,1884,FALSE)</f>
        <v>#N/A</v>
      </c>
      <c r="N111" s="34" t="e">
        <f>VLOOKUP(A1,DIV_09Data!$A$1:$DZU$1000000,1885,FALSE)</f>
        <v>#N/A</v>
      </c>
      <c r="O111" s="33" t="e">
        <f>VLOOKUP(A1,DIV_09Data!$A$1:$DZU$1000000,1886,FALSE)</f>
        <v>#N/A</v>
      </c>
      <c r="P111" s="46" t="e">
        <f>VLOOKUP(A1,DIV_09Data!$A$1:$DZU$1000000,1887,FALSE)</f>
        <v>#N/A</v>
      </c>
      <c r="Q111" s="33" t="e">
        <f>VLOOKUP(A1,DIV_09Data!$A$1:$DZU$1000000,1888,FALSE)</f>
        <v>#N/A</v>
      </c>
    </row>
    <row r="112" spans="1:17" x14ac:dyDescent="0.35">
      <c r="A112" s="22" t="e">
        <f>VLOOKUP(A1,DIV_09Data!$A$1:$DZU$1000000,1889,FALSE)</f>
        <v>#N/A</v>
      </c>
      <c r="B112" s="37" t="e">
        <f>VLOOKUP(A1,DIV_09Data!$A$1:$DZU$1000000,1890,FALSE)</f>
        <v>#N/A</v>
      </c>
      <c r="C112" s="38" t="e">
        <f>VLOOKUP(A1,DIV_09Data!$A$1:$DZU$1000000,1891,FALSE)</f>
        <v>#N/A</v>
      </c>
      <c r="D112" s="31" t="e">
        <f>VLOOKUP(A1,DIV_09Data!$A$1:$DZU$1000000,1892,FALSE)</f>
        <v>#N/A</v>
      </c>
      <c r="E112" s="32" t="e">
        <f>VLOOKUP(A1,DIV_09Data!$A$1:$DZU$1000000,1893,FALSE)</f>
        <v>#N/A</v>
      </c>
      <c r="F112" s="34" t="e">
        <f>VLOOKUP(A1,DIV_09Data!$A$1:$DZU$1000000,1894,FALSE)</f>
        <v>#N/A</v>
      </c>
      <c r="G112" s="33" t="e">
        <f>VLOOKUP(A1,DIV_09Data!$A$1:$DZU$1000000,1895,FALSE)</f>
        <v>#N/A</v>
      </c>
      <c r="H112" s="34" t="e">
        <f>VLOOKUP(A1,DIV_09Data!$A$1:$DZU$1000000,1896,FALSE)</f>
        <v>#N/A</v>
      </c>
      <c r="I112" s="33" t="e">
        <f>VLOOKUP(A1,DIV_09Data!$A$1:$DZU$1000000,1897,FALSE)</f>
        <v>#N/A</v>
      </c>
      <c r="J112" s="34" t="e">
        <f>VLOOKUP(A1,DIV_09Data!$A$1:$DZU$1000000,1898,FALSE)</f>
        <v>#N/A</v>
      </c>
      <c r="K112" s="34" t="e">
        <f>VLOOKUP(A1,DIV_09Data!$A$1:$DZU$1000000,1899,FALSE)</f>
        <v>#N/A</v>
      </c>
      <c r="L112" s="93" t="e">
        <f>VLOOKUP(A1,DIV_09Data!$A$1:$DZU$1000000,1900,FALSE)</f>
        <v>#N/A</v>
      </c>
      <c r="M112" s="33" t="e">
        <f>VLOOKUP(A1,DIV_09Data!$A$1:$DZU$1000000,1901,FALSE)</f>
        <v>#N/A</v>
      </c>
      <c r="N112" s="34" t="e">
        <f>VLOOKUP(A1,DIV_09Data!$A$1:$DZU$1000000,1902,FALSE)</f>
        <v>#N/A</v>
      </c>
      <c r="O112" s="33" t="e">
        <f>VLOOKUP(A1,DIV_09Data!$A$1:$DZU$1000000,1903,FALSE)</f>
        <v>#N/A</v>
      </c>
      <c r="P112" s="46" t="e">
        <f>VLOOKUP(A1,DIV_09Data!$A$1:$DZU$1000000,1904,FALSE)</f>
        <v>#N/A</v>
      </c>
      <c r="Q112" s="33" t="e">
        <f>VLOOKUP(A1,DIV_09Data!$A$1:$DZU$1000000,1905,FALSE)</f>
        <v>#N/A</v>
      </c>
    </row>
    <row r="113" spans="1:17" x14ac:dyDescent="0.35">
      <c r="A113" s="22" t="e">
        <f>VLOOKUP(A1,DIV_09Data!$A$1:$DZU$1000000,1906,FALSE)</f>
        <v>#N/A</v>
      </c>
      <c r="B113" s="37" t="e">
        <f>VLOOKUP(A1,DIV_09Data!$A$1:$DZU$1000000,1907,FALSE)</f>
        <v>#N/A</v>
      </c>
      <c r="C113" s="38" t="e">
        <f>VLOOKUP(A1,DIV_09Data!$A$1:$DZU$1000000,1908,FALSE)</f>
        <v>#N/A</v>
      </c>
      <c r="D113" s="31" t="e">
        <f>VLOOKUP(A1,DIV_09Data!$A$1:$DZU$1000000,1909,FALSE)</f>
        <v>#N/A</v>
      </c>
      <c r="E113" s="32" t="e">
        <f>VLOOKUP(A1,DIV_09Data!$A$1:$DZU$1000000,1910,FALSE)</f>
        <v>#N/A</v>
      </c>
      <c r="F113" s="34" t="e">
        <f>VLOOKUP(A1,DIV_09Data!$A$1:$DZU$1000000,1911,FALSE)</f>
        <v>#N/A</v>
      </c>
      <c r="G113" s="33" t="e">
        <f>VLOOKUP(A1,DIV_09Data!$A$1:$DZU$1000000,1912,FALSE)</f>
        <v>#N/A</v>
      </c>
      <c r="H113" s="34" t="e">
        <f>VLOOKUP(A1,DIV_09Data!$A$1:$DZU$1000000,1913,FALSE)</f>
        <v>#N/A</v>
      </c>
      <c r="I113" s="33" t="e">
        <f>VLOOKUP(A1,DIV_09Data!$A$1:$DZU$1000000,1914,FALSE)</f>
        <v>#N/A</v>
      </c>
      <c r="J113" s="34" t="e">
        <f>VLOOKUP(A1,DIV_09Data!$A$1:$DZU$1000000,1915,FALSE)</f>
        <v>#N/A</v>
      </c>
      <c r="K113" s="34" t="e">
        <f>VLOOKUP(A1,DIV_09Data!$A$1:$DZU$1000000,1916,FALSE)</f>
        <v>#N/A</v>
      </c>
      <c r="L113" s="93" t="e">
        <f>VLOOKUP(A1,DIV_09Data!$A$1:$DZU$1000000,1917,FALSE)</f>
        <v>#N/A</v>
      </c>
      <c r="M113" s="33" t="e">
        <f>VLOOKUP(A1,DIV_09Data!$A$1:$DZU$1000000,1918,FALSE)</f>
        <v>#N/A</v>
      </c>
      <c r="N113" s="34" t="e">
        <f>VLOOKUP(A1,DIV_09Data!$A$1:$DZU$1000000,1919,FALSE)</f>
        <v>#N/A</v>
      </c>
      <c r="O113" s="33" t="e">
        <f>VLOOKUP(A1,DIV_09Data!$A$1:$DZU$1000000,1920,FALSE)</f>
        <v>#N/A</v>
      </c>
      <c r="P113" s="46" t="e">
        <f>VLOOKUP(A1,DIV_09Data!$A$1:$DZU$1000000,1921,FALSE)</f>
        <v>#N/A</v>
      </c>
      <c r="Q113" s="33" t="e">
        <f>VLOOKUP(A1,DIV_09Data!$A$1:$DZU$1000000,1922,FALSE)</f>
        <v>#N/A</v>
      </c>
    </row>
    <row r="114" spans="1:17" x14ac:dyDescent="0.35">
      <c r="A114" s="22" t="e">
        <f>VLOOKUP(A1,DIV_09Data!$A$1:$DZU$1000000,1923,FALSE)</f>
        <v>#N/A</v>
      </c>
      <c r="B114" s="37" t="e">
        <f>VLOOKUP(A1,DIV_09Data!$A$1:$DZU$1000000,1924,FALSE)</f>
        <v>#N/A</v>
      </c>
      <c r="C114" s="38" t="e">
        <f>VLOOKUP(A1,DIV_09Data!$A$1:$DZU$1000000,1925,FALSE)</f>
        <v>#N/A</v>
      </c>
      <c r="D114" s="31" t="e">
        <f>VLOOKUP(A1,DIV_09Data!$A$1:$DZU$1000000,1926,FALSE)</f>
        <v>#N/A</v>
      </c>
      <c r="E114" s="32" t="e">
        <f>VLOOKUP(A1,DIV_09Data!$A$1:$DZU$1000000,1927,FALSE)</f>
        <v>#N/A</v>
      </c>
      <c r="F114" s="34" t="e">
        <f>VLOOKUP(A1,DIV_09Data!$A$1:$DZU$1000000,1928,FALSE)</f>
        <v>#N/A</v>
      </c>
      <c r="G114" s="33" t="e">
        <f>VLOOKUP(A1,DIV_09Data!$A$1:$DZU$1000000,1929,FALSE)</f>
        <v>#N/A</v>
      </c>
      <c r="H114" s="34" t="e">
        <f>VLOOKUP(A1,DIV_09Data!$A$1:$DZU$1000000,1930,FALSE)</f>
        <v>#N/A</v>
      </c>
      <c r="I114" s="33" t="e">
        <f>VLOOKUP(A1,DIV_09Data!$A$1:$DZU$1000000,1931,FALSE)</f>
        <v>#N/A</v>
      </c>
      <c r="J114" s="34" t="e">
        <f>VLOOKUP(A1,DIV_09Data!$A$1:$DZU$1000000,1932,FALSE)</f>
        <v>#N/A</v>
      </c>
      <c r="K114" s="34" t="e">
        <f>VLOOKUP(A1,DIV_09Data!$A$1:$DZU$1000000,1933,FALSE)</f>
        <v>#N/A</v>
      </c>
      <c r="L114" s="93" t="e">
        <f>VLOOKUP(A1,DIV_09Data!$A$1:$DZU$1000000,1934,FALSE)</f>
        <v>#N/A</v>
      </c>
      <c r="M114" s="33" t="e">
        <f>VLOOKUP(A1,DIV_09Data!$A$1:$DZU$1000000,1935,FALSE)</f>
        <v>#N/A</v>
      </c>
      <c r="N114" s="34" t="e">
        <f>VLOOKUP(A1,DIV_09Data!$A$1:$DZU$1000000,1936,FALSE)</f>
        <v>#N/A</v>
      </c>
      <c r="O114" s="33" t="e">
        <f>VLOOKUP(A1,DIV_09Data!$A$1:$DZU$1000000,1937,FALSE)</f>
        <v>#N/A</v>
      </c>
      <c r="P114" s="46" t="e">
        <f>VLOOKUP(A1,DIV_09Data!$A$1:$DZU$1000000,1938,FALSE)</f>
        <v>#N/A</v>
      </c>
      <c r="Q114" s="33" t="e">
        <f>VLOOKUP(A1,DIV_09Data!$A$1:$DZU$1000000,1939,FALSE)</f>
        <v>#N/A</v>
      </c>
    </row>
    <row r="115" spans="1:17" x14ac:dyDescent="0.35">
      <c r="A115" s="22" t="e">
        <f>VLOOKUP(A1,DIV_09Data!$A$1:$DZU$1000000,1940,FALSE)</f>
        <v>#N/A</v>
      </c>
      <c r="B115" s="37" t="e">
        <f>VLOOKUP(A1,DIV_09Data!$A$1:$DZU$1000000,1941,FALSE)</f>
        <v>#N/A</v>
      </c>
      <c r="C115" s="38" t="e">
        <f>VLOOKUP(A1,DIV_09Data!$A$1:$DZU$1000000,1942,FALSE)</f>
        <v>#N/A</v>
      </c>
      <c r="D115" s="31" t="e">
        <f>VLOOKUP(A1,DIV_09Data!$A$1:$DZU$1000000,1943,FALSE)</f>
        <v>#N/A</v>
      </c>
      <c r="E115" s="32" t="e">
        <f>VLOOKUP(A1,DIV_09Data!$A$1:$DZU$1000000,1944,FALSE)</f>
        <v>#N/A</v>
      </c>
      <c r="F115" s="34" t="e">
        <f>VLOOKUP(A1,DIV_09Data!$A$1:$DZU$1000000,1945,FALSE)</f>
        <v>#N/A</v>
      </c>
      <c r="G115" s="33" t="e">
        <f>VLOOKUP(A1,DIV_09Data!$A$1:$DZU$1000000,1946,FALSE)</f>
        <v>#N/A</v>
      </c>
      <c r="H115" s="34" t="e">
        <f>VLOOKUP(A1,DIV_09Data!$A$1:$DZU$1000000,1947,FALSE)</f>
        <v>#N/A</v>
      </c>
      <c r="I115" s="33" t="e">
        <f>VLOOKUP(A1,DIV_09Data!$A$1:$DZU$1000000,1948,FALSE)</f>
        <v>#N/A</v>
      </c>
      <c r="J115" s="34" t="e">
        <f>VLOOKUP(A1,DIV_09Data!$A$1:$DZU$1000000,1949,FALSE)</f>
        <v>#N/A</v>
      </c>
      <c r="K115" s="34" t="e">
        <f>VLOOKUP(A1,DIV_09Data!$A$1:$DZU$1000000,1950,FALSE)</f>
        <v>#N/A</v>
      </c>
      <c r="L115" s="93" t="e">
        <f>VLOOKUP(A1,DIV_09Data!$A$1:$DZU$1000000,1951,FALSE)</f>
        <v>#N/A</v>
      </c>
      <c r="M115" s="33" t="e">
        <f>VLOOKUP(A1,DIV_09Data!$A$1:$DZU$1000000,1952,FALSE)</f>
        <v>#N/A</v>
      </c>
      <c r="N115" s="34" t="e">
        <f>VLOOKUP(A1,DIV_09Data!$A$1:$DZU$1000000,1953,FALSE)</f>
        <v>#N/A</v>
      </c>
      <c r="O115" s="33" t="e">
        <f>VLOOKUP(A1,DIV_09Data!$A$1:$DZU$1000000,1954,FALSE)</f>
        <v>#N/A</v>
      </c>
      <c r="P115" s="46" t="e">
        <f>VLOOKUP(A1,DIV_09Data!$A$1:$DZU$1000000,1955,FALSE)</f>
        <v>#N/A</v>
      </c>
      <c r="Q115" s="33" t="e">
        <f>VLOOKUP(A1,DIV_09Data!$A$1:$DZU$1000000,1956,FALSE)</f>
        <v>#N/A</v>
      </c>
    </row>
    <row r="116" spans="1:17" x14ac:dyDescent="0.35">
      <c r="A116" s="22" t="e">
        <f>VLOOKUP(A1,DIV_09Data!$A$1:$DZU$1000000,1957,FALSE)</f>
        <v>#N/A</v>
      </c>
      <c r="B116" s="37" t="e">
        <f>VLOOKUP(A1,DIV_09Data!$A$1:$DZU$1000000,1958,FALSE)</f>
        <v>#N/A</v>
      </c>
      <c r="C116" s="38" t="e">
        <f>VLOOKUP(A1,DIV_09Data!$A$1:$DZU$1000000,1959,FALSE)</f>
        <v>#N/A</v>
      </c>
      <c r="D116" s="31" t="e">
        <f>VLOOKUP(A1,DIV_09Data!$A$1:$DZU$1000000,1960,FALSE)</f>
        <v>#N/A</v>
      </c>
      <c r="E116" s="32" t="e">
        <f>VLOOKUP(A1,DIV_09Data!$A$1:$DZU$1000000,1961,FALSE)</f>
        <v>#N/A</v>
      </c>
      <c r="F116" s="34" t="e">
        <f>VLOOKUP(A1,DIV_09Data!$A$1:$DZU$1000000,1962,FALSE)</f>
        <v>#N/A</v>
      </c>
      <c r="G116" s="33" t="e">
        <f>VLOOKUP(A1,DIV_09Data!$A$1:$DZU$1000000,1963,FALSE)</f>
        <v>#N/A</v>
      </c>
      <c r="H116" s="34" t="e">
        <f>VLOOKUP(A1,DIV_09Data!$A$1:$DZU$1000000,1964,FALSE)</f>
        <v>#N/A</v>
      </c>
      <c r="I116" s="33" t="e">
        <f>VLOOKUP(A1,DIV_09Data!$A$1:$DZU$1000000,1965,FALSE)</f>
        <v>#N/A</v>
      </c>
      <c r="J116" s="34" t="e">
        <f>VLOOKUP(A1,DIV_09Data!$A$1:$DZU$1000000,1966,FALSE)</f>
        <v>#N/A</v>
      </c>
      <c r="K116" s="34" t="e">
        <f>VLOOKUP(A1,DIV_09Data!$A$1:$DZU$1000000,1967,FALSE)</f>
        <v>#N/A</v>
      </c>
      <c r="L116" s="93" t="e">
        <f>VLOOKUP(A1,DIV_09Data!$A$1:$DZU$1000000,1968,FALSE)</f>
        <v>#N/A</v>
      </c>
      <c r="M116" s="33" t="e">
        <f>VLOOKUP(A1,DIV_09Data!$A$1:$DZU$1000000,1969,FALSE)</f>
        <v>#N/A</v>
      </c>
      <c r="N116" s="34" t="e">
        <f>VLOOKUP(A1,DIV_09Data!$A$1:$DZU$1000000,1970,FALSE)</f>
        <v>#N/A</v>
      </c>
      <c r="O116" s="33" t="e">
        <f>VLOOKUP(A1,DIV_09Data!$A$1:$DZU$1000000,1971,FALSE)</f>
        <v>#N/A</v>
      </c>
      <c r="P116" s="46" t="e">
        <f>VLOOKUP(A1,DIV_09Data!$A$1:$DZU$1000000,1972,FALSE)</f>
        <v>#N/A</v>
      </c>
      <c r="Q116" s="33" t="e">
        <f>VLOOKUP(A1,DIV_09Data!$A$1:$DZU$1000000,1973,FALSE)</f>
        <v>#N/A</v>
      </c>
    </row>
    <row r="117" spans="1:17" x14ac:dyDescent="0.35">
      <c r="A117" s="22" t="e">
        <f>VLOOKUP(A1,DIV_09Data!$A$1:$DZU$1000000,1974,FALSE)</f>
        <v>#N/A</v>
      </c>
      <c r="B117" s="37" t="e">
        <f>VLOOKUP(A1,DIV_09Data!$A$1:$DZU$1000000,1975,FALSE)</f>
        <v>#N/A</v>
      </c>
      <c r="C117" s="38" t="e">
        <f>VLOOKUP(A1,DIV_09Data!$A$1:$DZU$1000000,1976,FALSE)</f>
        <v>#N/A</v>
      </c>
      <c r="D117" s="31" t="e">
        <f>VLOOKUP(A1,DIV_09Data!$A$1:$DZU$1000000,1977,FALSE)</f>
        <v>#N/A</v>
      </c>
      <c r="E117" s="32" t="e">
        <f>VLOOKUP(A1,DIV_09Data!$A$1:$DZU$1000000,1978,FALSE)</f>
        <v>#N/A</v>
      </c>
      <c r="F117" s="34" t="e">
        <f>VLOOKUP(A1,DIV_09Data!$A$1:$DZU$1000000,1979,FALSE)</f>
        <v>#N/A</v>
      </c>
      <c r="G117" s="33" t="e">
        <f>VLOOKUP(A1,DIV_09Data!$A$1:$DZU$1000000,1980,FALSE)</f>
        <v>#N/A</v>
      </c>
      <c r="H117" s="34" t="e">
        <f>VLOOKUP(A1,DIV_09Data!$A$1:$DZU$1000000,1981,FALSE)</f>
        <v>#N/A</v>
      </c>
      <c r="I117" s="33" t="e">
        <f>VLOOKUP(A1,DIV_09Data!$A$1:$DZU$1000000,1982,FALSE)</f>
        <v>#N/A</v>
      </c>
      <c r="J117" s="34" t="e">
        <f>VLOOKUP(A1,DIV_09Data!$A$1:$DZU$1000000,1983,FALSE)</f>
        <v>#N/A</v>
      </c>
      <c r="K117" s="34" t="e">
        <f>VLOOKUP(A1,DIV_09Data!$A$1:$DZU$1000000,1984,FALSE)</f>
        <v>#N/A</v>
      </c>
      <c r="L117" s="93" t="e">
        <f>VLOOKUP(A1,DIV_09Data!$A$1:$DZU$1000000,1985,FALSE)</f>
        <v>#N/A</v>
      </c>
      <c r="M117" s="33" t="e">
        <f>VLOOKUP(A1,DIV_09Data!$A$1:$DZU$1000000,1986,FALSE)</f>
        <v>#N/A</v>
      </c>
      <c r="N117" s="34" t="e">
        <f>VLOOKUP(A1,DIV_09Data!$A$1:$DZU$1000000,1987,FALSE)</f>
        <v>#N/A</v>
      </c>
      <c r="O117" s="33" t="e">
        <f>VLOOKUP(A1,DIV_09Data!$A$1:$DZU$1000000,1988,FALSE)</f>
        <v>#N/A</v>
      </c>
      <c r="P117" s="46" t="e">
        <f>VLOOKUP(A1,DIV_09Data!$A$1:$DZU$1000000,1989,FALSE)</f>
        <v>#N/A</v>
      </c>
      <c r="Q117" s="33" t="e">
        <f>VLOOKUP(A1,DIV_09Data!$A$1:$DZU$1000000,1990,FALSE)</f>
        <v>#N/A</v>
      </c>
    </row>
    <row r="118" spans="1:17" x14ac:dyDescent="0.35">
      <c r="A118" s="22" t="e">
        <f>VLOOKUP(A1,DIV_09Data!$A$1:$DZU$1000000,1991,FALSE)</f>
        <v>#N/A</v>
      </c>
      <c r="B118" s="37" t="e">
        <f>VLOOKUP(A1,DIV_09Data!$A$1:$DZU$1000000,1992,FALSE)</f>
        <v>#N/A</v>
      </c>
      <c r="C118" s="38" t="e">
        <f>VLOOKUP(A1,DIV_09Data!$A$1:$DZU$1000000,1993,FALSE)</f>
        <v>#N/A</v>
      </c>
      <c r="D118" s="31" t="e">
        <f>VLOOKUP(A1,DIV_09Data!$A$1:$DZU$1000000,1994,FALSE)</f>
        <v>#N/A</v>
      </c>
      <c r="E118" s="32" t="e">
        <f>VLOOKUP(A1,DIV_09Data!$A$1:$DZU$1000000,1995,FALSE)</f>
        <v>#N/A</v>
      </c>
      <c r="F118" s="34" t="e">
        <f>VLOOKUP(A1,DIV_09Data!$A$1:$DZU$1000000,1996,FALSE)</f>
        <v>#N/A</v>
      </c>
      <c r="G118" s="33" t="e">
        <f>VLOOKUP(A1,DIV_09Data!$A$1:$DZU$1000000,1997,FALSE)</f>
        <v>#N/A</v>
      </c>
      <c r="H118" s="34" t="e">
        <f>VLOOKUP(A1,DIV_09Data!$A$1:$DZU$1000000,1998,FALSE)</f>
        <v>#N/A</v>
      </c>
      <c r="I118" s="33" t="e">
        <f>VLOOKUP(A1,DIV_09Data!$A$1:$DZU$1000000,1999,FALSE)</f>
        <v>#N/A</v>
      </c>
      <c r="J118" s="34" t="e">
        <f>VLOOKUP(A1,DIV_09Data!$A$1:$DZU$1000000,2000,FALSE)</f>
        <v>#N/A</v>
      </c>
      <c r="K118" s="34" t="e">
        <f>VLOOKUP(A1,DIV_09Data!$A$1:$DZU$1000000,2001,FALSE)</f>
        <v>#N/A</v>
      </c>
      <c r="L118" s="93" t="e">
        <f>VLOOKUP(A1,DIV_09Data!$A$1:$DZU$1000000,2002,FALSE)</f>
        <v>#N/A</v>
      </c>
      <c r="M118" s="33" t="e">
        <f>VLOOKUP(A1,DIV_09Data!$A$1:$DZU$1000000,2003,FALSE)</f>
        <v>#N/A</v>
      </c>
      <c r="N118" s="34" t="e">
        <f>VLOOKUP(A1,DIV_09Data!$A$1:$DZU$1000000,2004,FALSE)</f>
        <v>#N/A</v>
      </c>
      <c r="O118" s="33" t="e">
        <f>VLOOKUP(A1,DIV_09Data!$A$1:$DZU$1000000,2005,FALSE)</f>
        <v>#N/A</v>
      </c>
      <c r="P118" s="46" t="e">
        <f>VLOOKUP(A1,DIV_09Data!$A$1:$DZU$1000000,2006,FALSE)</f>
        <v>#N/A</v>
      </c>
      <c r="Q118" s="33" t="e">
        <f>VLOOKUP(A1,DIV_09Data!$A$1:$DZU$1000000,2007,FALSE)</f>
        <v>#N/A</v>
      </c>
    </row>
    <row r="119" spans="1:17" x14ac:dyDescent="0.35">
      <c r="A119" s="22" t="e">
        <f>VLOOKUP(A1,DIV_09Data!$A$1:$DZU$1000000,2008,FALSE)</f>
        <v>#N/A</v>
      </c>
      <c r="B119" s="37" t="e">
        <f>VLOOKUP(A1,DIV_09Data!$A$1:$DZU$1000000,2009,FALSE)</f>
        <v>#N/A</v>
      </c>
      <c r="C119" s="38" t="e">
        <f>VLOOKUP(A1,DIV_09Data!$A$1:$DZU$1000000,2010,FALSE)</f>
        <v>#N/A</v>
      </c>
      <c r="D119" s="31" t="e">
        <f>VLOOKUP(A1,DIV_09Data!$A$1:$DZU$1000000,2011,FALSE)</f>
        <v>#N/A</v>
      </c>
      <c r="E119" s="32" t="e">
        <f>VLOOKUP(A1,DIV_09Data!$A$1:$DZU$1000000,2012,FALSE)</f>
        <v>#N/A</v>
      </c>
      <c r="F119" s="34" t="e">
        <f>VLOOKUP(A1,DIV_09Data!$A$1:$DZU$1000000,2013,FALSE)</f>
        <v>#N/A</v>
      </c>
      <c r="G119" s="33" t="e">
        <f>VLOOKUP(A1,DIV_09Data!$A$1:$DZU$1000000,2014,FALSE)</f>
        <v>#N/A</v>
      </c>
      <c r="H119" s="34" t="e">
        <f>VLOOKUP(A1,DIV_09Data!$A$1:$DZU$1000000,2015,FALSE)</f>
        <v>#N/A</v>
      </c>
      <c r="I119" s="33" t="e">
        <f>VLOOKUP(A1,DIV_09Data!$A$1:$DZU$1000000,2016,FALSE)</f>
        <v>#N/A</v>
      </c>
      <c r="J119" s="34" t="e">
        <f>VLOOKUP(A1,DIV_09Data!$A$1:$DZU$1000000,2017,FALSE)</f>
        <v>#N/A</v>
      </c>
      <c r="K119" s="34" t="e">
        <f>VLOOKUP(A1,DIV_09Data!$A$1:$DZU$1000000,2018,FALSE)</f>
        <v>#N/A</v>
      </c>
      <c r="L119" s="93" t="e">
        <f>VLOOKUP(A1,DIV_09Data!$A$1:$DZU$1000000,2019,FALSE)</f>
        <v>#N/A</v>
      </c>
      <c r="M119" s="33" t="e">
        <f>VLOOKUP(A1,DIV_09Data!$A$1:$DZU$1000000,2020,FALSE)</f>
        <v>#N/A</v>
      </c>
      <c r="N119" s="34" t="e">
        <f>VLOOKUP(A1,DIV_09Data!$A$1:$DZU$1000000,2021,FALSE)</f>
        <v>#N/A</v>
      </c>
      <c r="O119" s="33" t="e">
        <f>VLOOKUP(A1,DIV_09Data!$A$1:$DZU$1000000,2022,FALSE)</f>
        <v>#N/A</v>
      </c>
      <c r="P119" s="46" t="e">
        <f>VLOOKUP(A1,DIV_09Data!$A$1:$DZU$1000000,2023,FALSE)</f>
        <v>#N/A</v>
      </c>
      <c r="Q119" s="33" t="e">
        <f>VLOOKUP(A1,DIV_09Data!$A$1:$DZU$1000000,2024,FALSE)</f>
        <v>#N/A</v>
      </c>
    </row>
    <row r="120" spans="1:17" x14ac:dyDescent="0.35">
      <c r="A120" s="22" t="e">
        <f>VLOOKUP(A1,DIV_09Data!$A$1:$DZU$1000000,2025,FALSE)</f>
        <v>#N/A</v>
      </c>
      <c r="B120" s="37" t="e">
        <f>VLOOKUP(A1,DIV_09Data!$A$1:$DZU$1000000,2026,FALSE)</f>
        <v>#N/A</v>
      </c>
      <c r="C120" s="38" t="e">
        <f>VLOOKUP(A1,DIV_09Data!$A$1:$DZU$1000000,2027,FALSE)</f>
        <v>#N/A</v>
      </c>
      <c r="D120" s="31" t="e">
        <f>VLOOKUP(A1,DIV_09Data!$A$1:$DZU$1000000,2028,FALSE)</f>
        <v>#N/A</v>
      </c>
      <c r="E120" s="32" t="e">
        <f>VLOOKUP(A1,DIV_09Data!$A$1:$DZU$1000000,2029,FALSE)</f>
        <v>#N/A</v>
      </c>
      <c r="F120" s="34" t="e">
        <f>VLOOKUP(A1,DIV_09Data!$A$1:$DZU$1000000,2030,FALSE)</f>
        <v>#N/A</v>
      </c>
      <c r="G120" s="33" t="e">
        <f>VLOOKUP(A1,DIV_09Data!$A$1:$DZU$1000000,2031,FALSE)</f>
        <v>#N/A</v>
      </c>
      <c r="H120" s="34" t="e">
        <f>VLOOKUP(A1,DIV_09Data!$A$1:$DZU$1000000,2032,FALSE)</f>
        <v>#N/A</v>
      </c>
      <c r="I120" s="33" t="e">
        <f>VLOOKUP(A1,DIV_09Data!$A$1:$DZU$1000000,2033,FALSE)</f>
        <v>#N/A</v>
      </c>
      <c r="J120" s="34" t="e">
        <f>VLOOKUP(A1,DIV_09Data!$A$1:$DZU$1000000,2034,FALSE)</f>
        <v>#N/A</v>
      </c>
      <c r="K120" s="34" t="e">
        <f>VLOOKUP(A1,DIV_09Data!$A$1:$DZU$1000000,2035,FALSE)</f>
        <v>#N/A</v>
      </c>
      <c r="L120" s="93" t="e">
        <f>VLOOKUP(A1,DIV_09Data!$A$1:$DZU$1000000,2036,FALSE)</f>
        <v>#N/A</v>
      </c>
      <c r="M120" s="33" t="e">
        <f>VLOOKUP(A1,DIV_09Data!$A$1:$DZU$1000000,2037,FALSE)</f>
        <v>#N/A</v>
      </c>
      <c r="N120" s="34" t="e">
        <f>VLOOKUP(A1,DIV_09Data!$A$1:$DZU$1000000,2038,FALSE)</f>
        <v>#N/A</v>
      </c>
      <c r="O120" s="33" t="e">
        <f>VLOOKUP(A1,DIV_09Data!$A$1:$DZU$1000000,2039,FALSE)</f>
        <v>#N/A</v>
      </c>
      <c r="P120" s="46" t="e">
        <f>VLOOKUP(A1,DIV_09Data!$A$1:$DZU$1000000,2040,FALSE)</f>
        <v>#N/A</v>
      </c>
      <c r="Q120" s="33" t="e">
        <f>VLOOKUP(A1,DIV_09Data!$A$1:$DZU$1000000,2041,FALSE)</f>
        <v>#N/A</v>
      </c>
    </row>
    <row r="121" spans="1:17" x14ac:dyDescent="0.35">
      <c r="A121" s="22" t="e">
        <f>VLOOKUP(A1,DIV_09Data!$A$1:$DZU$1000000,2042,FALSE)</f>
        <v>#N/A</v>
      </c>
      <c r="B121" s="37" t="e">
        <f>VLOOKUP(A1,DIV_09Data!$A$1:$DZU$1000000,2043,FALSE)</f>
        <v>#N/A</v>
      </c>
      <c r="C121" s="38" t="e">
        <f>VLOOKUP(A1,DIV_09Data!$A$1:$DZU$1000000,2044,FALSE)</f>
        <v>#N/A</v>
      </c>
      <c r="D121" s="31" t="e">
        <f>VLOOKUP(A1,DIV_09Data!$A$1:$DZU$1000000,2045,FALSE)</f>
        <v>#N/A</v>
      </c>
      <c r="E121" s="32" t="e">
        <f>VLOOKUP(A1,DIV_09Data!$A$1:$DZU$1000000,2046,FALSE)</f>
        <v>#N/A</v>
      </c>
      <c r="F121" s="34" t="e">
        <f>VLOOKUP(A1,DIV_09Data!$A$1:$DZU$1000000,2047,FALSE)</f>
        <v>#N/A</v>
      </c>
      <c r="G121" s="33" t="e">
        <f>VLOOKUP(A1,DIV_09Data!$A$1:$DZU$1000000,2048,FALSE)</f>
        <v>#N/A</v>
      </c>
      <c r="H121" s="34" t="e">
        <f>VLOOKUP(A1,DIV_09Data!$A$1:$DZU$1000000,2049,FALSE)</f>
        <v>#N/A</v>
      </c>
      <c r="I121" s="33" t="e">
        <f>VLOOKUP(A1,DIV_09Data!$A$1:$DZU$1000000,2050,FALSE)</f>
        <v>#N/A</v>
      </c>
      <c r="J121" s="34" t="e">
        <f>VLOOKUP(A1,DIV_09Data!$A$1:$DZU$1000000,2051,FALSE)</f>
        <v>#N/A</v>
      </c>
      <c r="K121" s="34" t="e">
        <f>VLOOKUP(A1,DIV_09Data!$A$1:$DZU$1000000,2052,FALSE)</f>
        <v>#N/A</v>
      </c>
      <c r="L121" s="93" t="e">
        <f>VLOOKUP(A1,DIV_09Data!$A$1:$DZU$1000000,2053,FALSE)</f>
        <v>#N/A</v>
      </c>
      <c r="M121" s="33" t="e">
        <f>VLOOKUP(A1,DIV_09Data!$A$1:$DZU$1000000,2054,FALSE)</f>
        <v>#N/A</v>
      </c>
      <c r="N121" s="34" t="e">
        <f>VLOOKUP(A1,DIV_09Data!$A$1:$DZU$1000000,2055,FALSE)</f>
        <v>#N/A</v>
      </c>
      <c r="O121" s="33" t="e">
        <f>VLOOKUP(A1,DIV_09Data!$A$1:$DZU$1000000,2056,FALSE)</f>
        <v>#N/A</v>
      </c>
      <c r="P121" s="46" t="e">
        <f>VLOOKUP(A1,DIV_09Data!$A$1:$DZU$1000000,2057,FALSE)</f>
        <v>#N/A</v>
      </c>
      <c r="Q121" s="33" t="e">
        <f>VLOOKUP(A1,DIV_09Data!$A$1:$DZU$1000000,2058,FALSE)</f>
        <v>#N/A</v>
      </c>
    </row>
    <row r="122" spans="1:17" x14ac:dyDescent="0.35">
      <c r="A122" s="22" t="e">
        <f>VLOOKUP(A1,DIV_09Data!$A$1:$DZU$1000000,2059,FALSE)</f>
        <v>#N/A</v>
      </c>
      <c r="B122" s="37" t="e">
        <f>VLOOKUP(A1,DIV_09Data!$A$1:$DZU$1000000,2060,FALSE)</f>
        <v>#N/A</v>
      </c>
      <c r="C122" s="38" t="e">
        <f>VLOOKUP(A1,DIV_09Data!$A$1:$DZU$1000000,2061,FALSE)</f>
        <v>#N/A</v>
      </c>
      <c r="D122" s="31" t="e">
        <f>VLOOKUP(A1,DIV_09Data!$A$1:$DZU$1000000,2062,FALSE)</f>
        <v>#N/A</v>
      </c>
      <c r="E122" s="32" t="e">
        <f>VLOOKUP(A1,DIV_09Data!$A$1:$DZU$1000000,2063,FALSE)</f>
        <v>#N/A</v>
      </c>
      <c r="F122" s="34" t="e">
        <f>VLOOKUP(A1,DIV_09Data!$A$1:$DZU$1000000,2064,FALSE)</f>
        <v>#N/A</v>
      </c>
      <c r="G122" s="33" t="e">
        <f>VLOOKUP(A1,DIV_09Data!$A$1:$DZU$1000000,2065,FALSE)</f>
        <v>#N/A</v>
      </c>
      <c r="H122" s="34" t="e">
        <f>VLOOKUP(A1,DIV_09Data!$A$1:$DZU$1000000,2066,FALSE)</f>
        <v>#N/A</v>
      </c>
      <c r="I122" s="33" t="e">
        <f>VLOOKUP(A1,DIV_09Data!$A$1:$DZU$1000000,2067,FALSE)</f>
        <v>#N/A</v>
      </c>
      <c r="J122" s="34" t="e">
        <f>VLOOKUP(A1,DIV_09Data!$A$1:$DZU$1000000,2068,FALSE)</f>
        <v>#N/A</v>
      </c>
      <c r="K122" s="34" t="e">
        <f>VLOOKUP(A1,DIV_09Data!$A$1:$DZU$1000000,2069,FALSE)</f>
        <v>#N/A</v>
      </c>
      <c r="L122" s="93" t="e">
        <f>VLOOKUP(A1,DIV_09Data!$A$1:$DZU$1000000,2070,FALSE)</f>
        <v>#N/A</v>
      </c>
      <c r="M122" s="33" t="e">
        <f>VLOOKUP(A1,DIV_09Data!$A$1:$DZU$1000000,2071,FALSE)</f>
        <v>#N/A</v>
      </c>
      <c r="N122" s="34" t="e">
        <f>VLOOKUP(A1,DIV_09Data!$A$1:$DZU$1000000,2072,FALSE)</f>
        <v>#N/A</v>
      </c>
      <c r="O122" s="33" t="e">
        <f>VLOOKUP(A1,DIV_09Data!$A$1:$DZU$1000000,2073,FALSE)</f>
        <v>#N/A</v>
      </c>
      <c r="P122" s="46" t="e">
        <f>VLOOKUP(A1,DIV_09Data!$A$1:$DZU$1000000,2074,FALSE)</f>
        <v>#N/A</v>
      </c>
      <c r="Q122" s="33" t="e">
        <f>VLOOKUP(A1,DIV_09Data!$A$1:$DZU$1000000,2075,FALSE)</f>
        <v>#N/A</v>
      </c>
    </row>
    <row r="123" spans="1:17" x14ac:dyDescent="0.35">
      <c r="A123" s="22" t="e">
        <f>VLOOKUP(A1,DIV_09Data!$A$1:$DZU$1000000,2076,FALSE)</f>
        <v>#N/A</v>
      </c>
      <c r="B123" s="37" t="e">
        <f>VLOOKUP(A1,DIV_09Data!$A$1:$DZU$1000000,2077,FALSE)</f>
        <v>#N/A</v>
      </c>
      <c r="C123" s="38" t="e">
        <f>VLOOKUP(A1,DIV_09Data!$A$1:$DZU$1000000,2078,FALSE)</f>
        <v>#N/A</v>
      </c>
      <c r="D123" s="31" t="e">
        <f>VLOOKUP(A1,DIV_09Data!$A$1:$DZU$1000000,2079,FALSE)</f>
        <v>#N/A</v>
      </c>
      <c r="E123" s="32" t="e">
        <f>VLOOKUP(A1,DIV_09Data!$A$1:$DZU$1000000,2080,FALSE)</f>
        <v>#N/A</v>
      </c>
      <c r="F123" s="34" t="e">
        <f>VLOOKUP(A1,DIV_09Data!$A$1:$DZU$1000000,2081,FALSE)</f>
        <v>#N/A</v>
      </c>
      <c r="G123" s="33" t="e">
        <f>VLOOKUP(A1,DIV_09Data!$A$1:$DZU$1000000,2082,FALSE)</f>
        <v>#N/A</v>
      </c>
      <c r="H123" s="34" t="e">
        <f>VLOOKUP(A1,DIV_09Data!$A$1:$DZU$1000000,2083,FALSE)</f>
        <v>#N/A</v>
      </c>
      <c r="I123" s="33" t="e">
        <f>VLOOKUP(A1,DIV_09Data!$A$1:$DZU$1000000,2084,FALSE)</f>
        <v>#N/A</v>
      </c>
      <c r="J123" s="34" t="e">
        <f>VLOOKUP(A1,DIV_09Data!$A$1:$DZU$1000000,2085,FALSE)</f>
        <v>#N/A</v>
      </c>
      <c r="K123" s="34" t="e">
        <f>VLOOKUP(A1,DIV_09Data!$A$1:$DZU$1000000,2086,FALSE)</f>
        <v>#N/A</v>
      </c>
      <c r="L123" s="93" t="e">
        <f>VLOOKUP(A1,DIV_09Data!$A$1:$DZU$1000000,2087,FALSE)</f>
        <v>#N/A</v>
      </c>
      <c r="M123" s="33" t="e">
        <f>VLOOKUP(A1,DIV_09Data!$A$1:$DZU$1000000,2088,FALSE)</f>
        <v>#N/A</v>
      </c>
      <c r="N123" s="34" t="e">
        <f>VLOOKUP(A1,DIV_09Data!$A$1:$DZU$1000000,2089,FALSE)</f>
        <v>#N/A</v>
      </c>
      <c r="O123" s="33" t="e">
        <f>VLOOKUP(A1,DIV_09Data!$A$1:$DZU$1000000,2090,FALSE)</f>
        <v>#N/A</v>
      </c>
      <c r="P123" s="46" t="e">
        <f>VLOOKUP(A1,DIV_09Data!$A$1:$DZU$1000000,2091,FALSE)</f>
        <v>#N/A</v>
      </c>
      <c r="Q123" s="33" t="e">
        <f>VLOOKUP(A1,DIV_09Data!$A$1:$DZU$1000000,2092,FALSE)</f>
        <v>#N/A</v>
      </c>
    </row>
    <row r="124" spans="1:17" x14ac:dyDescent="0.35">
      <c r="A124" s="22" t="e">
        <f>VLOOKUP(A1,DIV_09Data!$A$1:$DZU$1000000,2093,FALSE)</f>
        <v>#N/A</v>
      </c>
      <c r="B124" s="37" t="e">
        <f>VLOOKUP(A1,DIV_09Data!$A$1:$DZU$1000000,2094,FALSE)</f>
        <v>#N/A</v>
      </c>
      <c r="C124" s="38" t="e">
        <f>VLOOKUP(A1,DIV_09Data!$A$1:$DZU$1000000,2095,FALSE)</f>
        <v>#N/A</v>
      </c>
      <c r="D124" s="31" t="e">
        <f>VLOOKUP(A1,DIV_09Data!$A$1:$DZU$1000000,2096,FALSE)</f>
        <v>#N/A</v>
      </c>
      <c r="E124" s="32" t="e">
        <f>VLOOKUP(A1,DIV_09Data!$A$1:$DZU$1000000,2097,FALSE)</f>
        <v>#N/A</v>
      </c>
      <c r="F124" s="34" t="e">
        <f>VLOOKUP(A1,DIV_09Data!$A$1:$DZU$1000000,2098,FALSE)</f>
        <v>#N/A</v>
      </c>
      <c r="G124" s="33" t="e">
        <f>VLOOKUP(A1,DIV_09Data!$A$1:$DZU$1000000,2099,FALSE)</f>
        <v>#N/A</v>
      </c>
      <c r="H124" s="34" t="e">
        <f>VLOOKUP(A1,DIV_09Data!$A$1:$DZU$1000000,2100,FALSE)</f>
        <v>#N/A</v>
      </c>
      <c r="I124" s="33" t="e">
        <f>VLOOKUP(A1,DIV_09Data!$A$1:$DZU$1000000,2101,FALSE)</f>
        <v>#N/A</v>
      </c>
      <c r="J124" s="34" t="e">
        <f>VLOOKUP(A1,DIV_09Data!$A$1:$DZU$1000000,2102,FALSE)</f>
        <v>#N/A</v>
      </c>
      <c r="K124" s="34" t="e">
        <f>VLOOKUP(A1,DIV_09Data!$A$1:$DZU$1000000,2103,FALSE)</f>
        <v>#N/A</v>
      </c>
      <c r="L124" s="93" t="e">
        <f>VLOOKUP(A1,DIV_09Data!$A$1:$DZU$1000000,2104,FALSE)</f>
        <v>#N/A</v>
      </c>
      <c r="M124" s="33" t="e">
        <f>VLOOKUP(A1,DIV_09Data!$A$1:$DZU$1000000,2105,FALSE)</f>
        <v>#N/A</v>
      </c>
      <c r="N124" s="34" t="e">
        <f>VLOOKUP(A1,DIV_09Data!$A$1:$DZU$1000000,2106,FALSE)</f>
        <v>#N/A</v>
      </c>
      <c r="O124" s="33" t="e">
        <f>VLOOKUP(A1,DIV_09Data!$A$1:$DZU$1000000,2107,FALSE)</f>
        <v>#N/A</v>
      </c>
      <c r="P124" s="46" t="e">
        <f>VLOOKUP(A1,DIV_09Data!$A$1:$DZU$1000000,2108,FALSE)</f>
        <v>#N/A</v>
      </c>
      <c r="Q124" s="33" t="e">
        <f>VLOOKUP(A1,DIV_09Data!$A$1:$DZU$1000000,2109,FALSE)</f>
        <v>#N/A</v>
      </c>
    </row>
    <row r="125" spans="1:17" x14ac:dyDescent="0.35">
      <c r="A125" s="22" t="e">
        <f>VLOOKUP(A1,DIV_09Data!$A$1:$DZU$1000000,2110,FALSE)</f>
        <v>#N/A</v>
      </c>
      <c r="B125" s="37" t="e">
        <f>VLOOKUP(A1,DIV_09Data!$A$1:$DZU$1000000,2111,FALSE)</f>
        <v>#N/A</v>
      </c>
      <c r="C125" s="38" t="e">
        <f>VLOOKUP(A1,DIV_09Data!$A$1:$DZU$1000000,2112,FALSE)</f>
        <v>#N/A</v>
      </c>
      <c r="D125" s="31" t="e">
        <f>VLOOKUP(A1,DIV_09Data!$A$1:$DZU$1000000,2113,FALSE)</f>
        <v>#N/A</v>
      </c>
      <c r="E125" s="32" t="e">
        <f>VLOOKUP(A1,DIV_09Data!$A$1:$DZU$1000000,2114,FALSE)</f>
        <v>#N/A</v>
      </c>
      <c r="F125" s="34" t="e">
        <f>VLOOKUP(A1,DIV_09Data!$A$1:$DZU$1000000,2115,FALSE)</f>
        <v>#N/A</v>
      </c>
      <c r="G125" s="33" t="e">
        <f>VLOOKUP(A1,DIV_09Data!$A$1:$DZU$1000000,2116,FALSE)</f>
        <v>#N/A</v>
      </c>
      <c r="H125" s="34" t="e">
        <f>VLOOKUP(A1,DIV_09Data!$A$1:$DZU$1000000,2117,FALSE)</f>
        <v>#N/A</v>
      </c>
      <c r="I125" s="33" t="e">
        <f>VLOOKUP(A1,DIV_09Data!$A$1:$DZU$1000000,2118,FALSE)</f>
        <v>#N/A</v>
      </c>
      <c r="J125" s="34" t="e">
        <f>VLOOKUP(A1,DIV_09Data!$A$1:$DZU$1000000,2119,FALSE)</f>
        <v>#N/A</v>
      </c>
      <c r="K125" s="34" t="e">
        <f>VLOOKUP(A1,DIV_09Data!$A$1:$DZU$1000000,2120,FALSE)</f>
        <v>#N/A</v>
      </c>
      <c r="L125" s="93" t="e">
        <f>VLOOKUP(A1,DIV_09Data!$A$1:$DZU$1000000,2121,FALSE)</f>
        <v>#N/A</v>
      </c>
      <c r="M125" s="33" t="e">
        <f>VLOOKUP(A1,DIV_09Data!$A$1:$DZU$1000000,2122,FALSE)</f>
        <v>#N/A</v>
      </c>
      <c r="N125" s="34" t="e">
        <f>VLOOKUP(A1,DIV_09Data!$A$1:$DZU$1000000,2123,FALSE)</f>
        <v>#N/A</v>
      </c>
      <c r="O125" s="33" t="e">
        <f>VLOOKUP(A1,DIV_09Data!$A$1:$DZU$1000000,2124,FALSE)</f>
        <v>#N/A</v>
      </c>
      <c r="P125" s="46" t="e">
        <f>VLOOKUP(A1,DIV_09Data!$A$1:$DZU$1000000,2125,FALSE)</f>
        <v>#N/A</v>
      </c>
      <c r="Q125" s="33" t="e">
        <f>VLOOKUP(A1,DIV_09Data!$A$1:$DZU$1000000,2126,FALSE)</f>
        <v>#N/A</v>
      </c>
    </row>
    <row r="126" spans="1:17" x14ac:dyDescent="0.35">
      <c r="A126" s="22" t="e">
        <f>VLOOKUP(A1,DIV_09Data!$A$1:$DZU$1000000,2127,FALSE)</f>
        <v>#N/A</v>
      </c>
      <c r="B126" s="37" t="e">
        <f>VLOOKUP(A1,DIV_09Data!$A$1:$DZU$1000000,2128,FALSE)</f>
        <v>#N/A</v>
      </c>
      <c r="C126" s="38" t="e">
        <f>VLOOKUP(A1,DIV_09Data!$A$1:$DZU$1000000,2129,FALSE)</f>
        <v>#N/A</v>
      </c>
      <c r="D126" s="31" t="e">
        <f>VLOOKUP(A1,DIV_09Data!$A$1:$DZU$1000000,2130,FALSE)</f>
        <v>#N/A</v>
      </c>
      <c r="E126" s="32" t="e">
        <f>VLOOKUP(A1,DIV_09Data!$A$1:$DZU$1000000,2131,FALSE)</f>
        <v>#N/A</v>
      </c>
      <c r="F126" s="34" t="e">
        <f>VLOOKUP(A1,DIV_09Data!$A$1:$DZU$1000000,2132,FALSE)</f>
        <v>#N/A</v>
      </c>
      <c r="G126" s="33" t="e">
        <f>VLOOKUP(A1,DIV_09Data!$A$1:$DZU$1000000,2133,FALSE)</f>
        <v>#N/A</v>
      </c>
      <c r="H126" s="34" t="e">
        <f>VLOOKUP(A1,DIV_09Data!$A$1:$DZU$1000000,2134,FALSE)</f>
        <v>#N/A</v>
      </c>
      <c r="I126" s="33" t="e">
        <f>VLOOKUP(A1,DIV_09Data!$A$1:$DZU$1000000,2135,FALSE)</f>
        <v>#N/A</v>
      </c>
      <c r="J126" s="34" t="e">
        <f>VLOOKUP(A1,DIV_09Data!$A$1:$DZU$1000000,2136,FALSE)</f>
        <v>#N/A</v>
      </c>
      <c r="K126" s="34" t="e">
        <f>VLOOKUP(A1,DIV_09Data!$A$1:$DZU$1000000,2137,FALSE)</f>
        <v>#N/A</v>
      </c>
      <c r="L126" s="93" t="e">
        <f>VLOOKUP(A1,DIV_09Data!$A$1:$DZU$1000000,2138,FALSE)</f>
        <v>#N/A</v>
      </c>
      <c r="M126" s="33" t="e">
        <f>VLOOKUP(A1,DIV_09Data!$A$1:$DZU$1000000,2139,FALSE)</f>
        <v>#N/A</v>
      </c>
      <c r="N126" s="34" t="e">
        <f>VLOOKUP(A1,DIV_09Data!$A$1:$DZU$1000000,2140,FALSE)</f>
        <v>#N/A</v>
      </c>
      <c r="O126" s="33" t="e">
        <f>VLOOKUP(A1,DIV_09Data!$A$1:$DZU$1000000,2141,FALSE)</f>
        <v>#N/A</v>
      </c>
      <c r="P126" s="46" t="e">
        <f>VLOOKUP(A1,DIV_09Data!$A$1:$DZU$1000000,2142,FALSE)</f>
        <v>#N/A</v>
      </c>
      <c r="Q126" s="33" t="e">
        <f>VLOOKUP(A1,DIV_09Data!$A$1:$DZU$1000000,2143,FALSE)</f>
        <v>#N/A</v>
      </c>
    </row>
    <row r="127" spans="1:17" x14ac:dyDescent="0.35">
      <c r="A127" s="22" t="e">
        <f>VLOOKUP(A1,DIV_09Data!$A$1:$DZU$1000000,2144,FALSE)</f>
        <v>#N/A</v>
      </c>
      <c r="B127" s="37" t="e">
        <f>VLOOKUP(A1,DIV_09Data!$A$1:$DZU$1000000,2145,FALSE)</f>
        <v>#N/A</v>
      </c>
      <c r="C127" s="38" t="e">
        <f>VLOOKUP(A1,DIV_09Data!$A$1:$DZU$1000000,2146,FALSE)</f>
        <v>#N/A</v>
      </c>
      <c r="D127" s="31" t="e">
        <f>VLOOKUP(A1,DIV_09Data!$A$1:$DZU$1000000,2147,FALSE)</f>
        <v>#N/A</v>
      </c>
      <c r="E127" s="32" t="e">
        <f>VLOOKUP(A1,DIV_09Data!$A$1:$DZU$1000000,2148,FALSE)</f>
        <v>#N/A</v>
      </c>
      <c r="F127" s="34" t="e">
        <f>VLOOKUP(A1,DIV_09Data!$A$1:$DZU$1000000,2149,FALSE)</f>
        <v>#N/A</v>
      </c>
      <c r="G127" s="33" t="e">
        <f>VLOOKUP(A1,DIV_09Data!$A$1:$DZU$1000000,2150,FALSE)</f>
        <v>#N/A</v>
      </c>
      <c r="H127" s="34" t="e">
        <f>VLOOKUP(A1,DIV_09Data!$A$1:$DZU$1000000,2151,FALSE)</f>
        <v>#N/A</v>
      </c>
      <c r="I127" s="33" t="e">
        <f>VLOOKUP(A1,DIV_09Data!$A$1:$DZU$1000000,2152,FALSE)</f>
        <v>#N/A</v>
      </c>
      <c r="J127" s="34" t="e">
        <f>VLOOKUP(A1,DIV_09Data!$A$1:$DZU$1000000,2153,FALSE)</f>
        <v>#N/A</v>
      </c>
      <c r="K127" s="34" t="e">
        <f>VLOOKUP(A1,DIV_09Data!$A$1:$DZU$1000000,2154,FALSE)</f>
        <v>#N/A</v>
      </c>
      <c r="L127" s="93" t="e">
        <f>VLOOKUP(A1,DIV_09Data!$A$1:$DZU$1000000,2155,FALSE)</f>
        <v>#N/A</v>
      </c>
      <c r="M127" s="33" t="e">
        <f>VLOOKUP(A1,DIV_09Data!$A$1:$DZU$1000000,2156,FALSE)</f>
        <v>#N/A</v>
      </c>
      <c r="N127" s="34" t="e">
        <f>VLOOKUP(A1,DIV_09Data!$A$1:$DZU$1000000,2157,FALSE)</f>
        <v>#N/A</v>
      </c>
      <c r="O127" s="33" t="e">
        <f>VLOOKUP(A1,DIV_09Data!$A$1:$DZU$1000000,2158,FALSE)</f>
        <v>#N/A</v>
      </c>
      <c r="P127" s="46" t="e">
        <f>VLOOKUP(A1,DIV_09Data!$A$1:$DZU$1000000,2159,FALSE)</f>
        <v>#N/A</v>
      </c>
      <c r="Q127" s="33" t="e">
        <f>VLOOKUP(A1,DIV_09Data!$A$1:$DZU$1000000,2160,FALSE)</f>
        <v>#N/A</v>
      </c>
    </row>
    <row r="128" spans="1:17" x14ac:dyDescent="0.35">
      <c r="A128" s="22" t="e">
        <f>VLOOKUP(A1,DIV_09Data!$A$1:$DZU$1000000,2161,FALSE)</f>
        <v>#N/A</v>
      </c>
      <c r="B128" s="37" t="e">
        <f>VLOOKUP(A1,DIV_09Data!$A$1:$DZU$1000000,2162,FALSE)</f>
        <v>#N/A</v>
      </c>
      <c r="C128" s="38" t="e">
        <f>VLOOKUP(A1,DIV_09Data!$A$1:$DZU$1000000,2163,FALSE)</f>
        <v>#N/A</v>
      </c>
      <c r="D128" s="31" t="e">
        <f>VLOOKUP(A1,DIV_09Data!$A$1:$DZU$1000000,2164,FALSE)</f>
        <v>#N/A</v>
      </c>
      <c r="E128" s="32" t="e">
        <f>VLOOKUP(A1,DIV_09Data!$A$1:$DZU$1000000,2165,FALSE)</f>
        <v>#N/A</v>
      </c>
      <c r="F128" s="34" t="e">
        <f>VLOOKUP(A1,DIV_09Data!$A$1:$DZU$1000000,2166,FALSE)</f>
        <v>#N/A</v>
      </c>
      <c r="G128" s="33" t="e">
        <f>VLOOKUP(A1,DIV_09Data!$A$1:$DZU$1000000,2167,FALSE)</f>
        <v>#N/A</v>
      </c>
      <c r="H128" s="34" t="e">
        <f>VLOOKUP(A1,DIV_09Data!$A$1:$DZU$1000000,2168,FALSE)</f>
        <v>#N/A</v>
      </c>
      <c r="I128" s="33" t="e">
        <f>VLOOKUP(A1,DIV_09Data!$A$1:$DZU$1000000,2169,FALSE)</f>
        <v>#N/A</v>
      </c>
      <c r="J128" s="34" t="e">
        <f>VLOOKUP(A1,DIV_09Data!$A$1:$DZU$1000000,2170,FALSE)</f>
        <v>#N/A</v>
      </c>
      <c r="K128" s="34" t="e">
        <f>VLOOKUP(A1,DIV_09Data!$A$1:$DZU$1000000,2171,FALSE)</f>
        <v>#N/A</v>
      </c>
      <c r="L128" s="93" t="e">
        <f>VLOOKUP(A1,DIV_09Data!$A$1:$DZU$1000000,2172,FALSE)</f>
        <v>#N/A</v>
      </c>
      <c r="M128" s="33" t="e">
        <f>VLOOKUP(A1,DIV_09Data!$A$1:$DZU$1000000,2173,FALSE)</f>
        <v>#N/A</v>
      </c>
      <c r="N128" s="34" t="e">
        <f>VLOOKUP(A1,DIV_09Data!$A$1:$DZU$1000000,2174,FALSE)</f>
        <v>#N/A</v>
      </c>
      <c r="O128" s="33" t="e">
        <f>VLOOKUP(A1,DIV_09Data!$A$1:$DZU$1000000,2175,FALSE)</f>
        <v>#N/A</v>
      </c>
      <c r="P128" s="46" t="e">
        <f>VLOOKUP(A1,DIV_09Data!$A$1:$DZU$1000000,2176,FALSE)</f>
        <v>#N/A</v>
      </c>
      <c r="Q128" s="33" t="e">
        <f>VLOOKUP(A1,DIV_09Data!$A$1:$DZU$1000000,2177,FALSE)</f>
        <v>#N/A</v>
      </c>
    </row>
    <row r="129" spans="1:17" x14ac:dyDescent="0.35">
      <c r="A129" s="22" t="e">
        <f>VLOOKUP(A1,DIV_09Data!$A$1:$DZU$1000000,2178,FALSE)</f>
        <v>#N/A</v>
      </c>
      <c r="B129" s="37" t="e">
        <f>VLOOKUP(A1,DIV_09Data!$A$1:$DZU$1000000,2179,FALSE)</f>
        <v>#N/A</v>
      </c>
      <c r="C129" s="38" t="e">
        <f>VLOOKUP(A1,DIV_09Data!$A$1:$DZU$1000000,2180,FALSE)</f>
        <v>#N/A</v>
      </c>
      <c r="D129" s="31" t="e">
        <f>VLOOKUP(A1,DIV_09Data!$A$1:$DZU$1000000,2181,FALSE)</f>
        <v>#N/A</v>
      </c>
      <c r="E129" s="32" t="e">
        <f>VLOOKUP(A1,DIV_09Data!$A$1:$DZU$1000000,2182,FALSE)</f>
        <v>#N/A</v>
      </c>
      <c r="F129" s="34" t="e">
        <f>VLOOKUP(A1,DIV_09Data!$A$1:$DZU$1000000,2183,FALSE)</f>
        <v>#N/A</v>
      </c>
      <c r="G129" s="33" t="e">
        <f>VLOOKUP(A1,DIV_09Data!$A$1:$DZU$1000000,2184,FALSE)</f>
        <v>#N/A</v>
      </c>
      <c r="H129" s="34" t="e">
        <f>VLOOKUP(A1,DIV_09Data!$A$1:$DZU$1000000,2185,FALSE)</f>
        <v>#N/A</v>
      </c>
      <c r="I129" s="33" t="e">
        <f>VLOOKUP(A1,DIV_09Data!$A$1:$DZU$1000000,2186,FALSE)</f>
        <v>#N/A</v>
      </c>
      <c r="J129" s="34" t="e">
        <f>VLOOKUP(A1,DIV_09Data!$A$1:$DZU$1000000,2187,FALSE)</f>
        <v>#N/A</v>
      </c>
      <c r="K129" s="34" t="e">
        <f>VLOOKUP(A1,DIV_09Data!$A$1:$DZU$1000000,2188,FALSE)</f>
        <v>#N/A</v>
      </c>
      <c r="L129" s="93" t="e">
        <f>VLOOKUP(A1,DIV_09Data!$A$1:$DZU$1000000,2189,FALSE)</f>
        <v>#N/A</v>
      </c>
      <c r="M129" s="33" t="e">
        <f>VLOOKUP(A1,DIV_09Data!$A$1:$DZU$1000000,2190,FALSE)</f>
        <v>#N/A</v>
      </c>
      <c r="N129" s="34" t="e">
        <f>VLOOKUP(A1,DIV_09Data!$A$1:$DZU$1000000,2191,FALSE)</f>
        <v>#N/A</v>
      </c>
      <c r="O129" s="33" t="e">
        <f>VLOOKUP(A1,DIV_09Data!$A$1:$DZU$1000000,2192,FALSE)</f>
        <v>#N/A</v>
      </c>
      <c r="P129" s="46" t="e">
        <f>VLOOKUP(A1,DIV_09Data!$A$1:$DZU$1000000,2193,FALSE)</f>
        <v>#N/A</v>
      </c>
      <c r="Q129" s="33" t="e">
        <f>VLOOKUP(A1,DIV_09Data!$A$1:$DZU$1000000,2194,FALSE)</f>
        <v>#N/A</v>
      </c>
    </row>
    <row r="130" spans="1:17" x14ac:dyDescent="0.35">
      <c r="A130" s="22" t="e">
        <f>VLOOKUP(A1,DIV_09Data!$A$1:$DZU$1000000,2195,FALSE)</f>
        <v>#N/A</v>
      </c>
      <c r="B130" s="37" t="e">
        <f>VLOOKUP(A1,DIV_09Data!$A$1:$DZU$1000000,2196,FALSE)</f>
        <v>#N/A</v>
      </c>
      <c r="C130" s="38" t="e">
        <f>VLOOKUP(A1,DIV_09Data!$A$1:$DZU$1000000,2197,FALSE)</f>
        <v>#N/A</v>
      </c>
      <c r="D130" s="31" t="e">
        <f>VLOOKUP(A1,DIV_09Data!$A$1:$DZU$1000000,2198,FALSE)</f>
        <v>#N/A</v>
      </c>
      <c r="E130" s="32" t="e">
        <f>VLOOKUP(A1,DIV_09Data!$A$1:$DZU$1000000,2199,FALSE)</f>
        <v>#N/A</v>
      </c>
      <c r="F130" s="34" t="e">
        <f>VLOOKUP(A1,DIV_09Data!$A$1:$DZU$1000000,2200,FALSE)</f>
        <v>#N/A</v>
      </c>
      <c r="G130" s="33" t="e">
        <f>VLOOKUP(A1,DIV_09Data!$A$1:$DZU$1000000,2201,FALSE)</f>
        <v>#N/A</v>
      </c>
      <c r="H130" s="34" t="e">
        <f>VLOOKUP(A1,DIV_09Data!$A$1:$DZU$1000000,2202,FALSE)</f>
        <v>#N/A</v>
      </c>
      <c r="I130" s="33" t="e">
        <f>VLOOKUP(A1,DIV_09Data!$A$1:$DZU$1000000,2203,FALSE)</f>
        <v>#N/A</v>
      </c>
      <c r="J130" s="34" t="e">
        <f>VLOOKUP(A1,DIV_09Data!$A$1:$DZU$1000000,2204,FALSE)</f>
        <v>#N/A</v>
      </c>
      <c r="K130" s="34" t="e">
        <f>VLOOKUP(A1,DIV_09Data!$A$1:$DZU$1000000,2205,FALSE)</f>
        <v>#N/A</v>
      </c>
      <c r="L130" s="93" t="e">
        <f>VLOOKUP(A1,DIV_09Data!$A$1:$DZU$1000000,2206,FALSE)</f>
        <v>#N/A</v>
      </c>
      <c r="M130" s="33" t="e">
        <f>VLOOKUP(A1,DIV_09Data!$A$1:$DZU$1000000,2207,FALSE)</f>
        <v>#N/A</v>
      </c>
      <c r="N130" s="34" t="e">
        <f>VLOOKUP(A1,DIV_09Data!$A$1:$DZU$1000000,2208,FALSE)</f>
        <v>#N/A</v>
      </c>
      <c r="O130" s="33" t="e">
        <f>VLOOKUP(A1,DIV_09Data!$A$1:$DZU$1000000,2209,FALSE)</f>
        <v>#N/A</v>
      </c>
      <c r="P130" s="46" t="e">
        <f>VLOOKUP(A1,DIV_09Data!$A$1:$DZU$1000000,2210,FALSE)</f>
        <v>#N/A</v>
      </c>
      <c r="Q130" s="33" t="e">
        <f>VLOOKUP(A1,DIV_09Data!$A$1:$DZU$1000000,2211,FALSE)</f>
        <v>#N/A</v>
      </c>
    </row>
    <row r="131" spans="1:17" x14ac:dyDescent="0.35">
      <c r="A131" s="22" t="e">
        <f>VLOOKUP(A1,DIV_09Data!$A$1:$DZU$1000000,2212,FALSE)</f>
        <v>#N/A</v>
      </c>
      <c r="B131" s="37" t="e">
        <f>VLOOKUP(A1,DIV_09Data!$A$1:$DZU$1000000,2213,FALSE)</f>
        <v>#N/A</v>
      </c>
      <c r="C131" s="38" t="e">
        <f>VLOOKUP(A1,DIV_09Data!$A$1:$DZU$1000000,2214,FALSE)</f>
        <v>#N/A</v>
      </c>
      <c r="D131" s="31" t="e">
        <f>VLOOKUP(A1,DIV_09Data!$A$1:$DZU$1000000,2215,FALSE)</f>
        <v>#N/A</v>
      </c>
      <c r="E131" s="32" t="e">
        <f>VLOOKUP(A1,DIV_09Data!$A$1:$DZU$1000000,2216,FALSE)</f>
        <v>#N/A</v>
      </c>
      <c r="F131" s="34" t="e">
        <f>VLOOKUP(A1,DIV_09Data!$A$1:$DZU$1000000,2217,FALSE)</f>
        <v>#N/A</v>
      </c>
      <c r="G131" s="33" t="e">
        <f>VLOOKUP(A1,DIV_09Data!$A$1:$DZU$1000000,2218,FALSE)</f>
        <v>#N/A</v>
      </c>
      <c r="H131" s="34" t="e">
        <f>VLOOKUP(A1,DIV_09Data!$A$1:$DZU$1000000,2219,FALSE)</f>
        <v>#N/A</v>
      </c>
      <c r="I131" s="33" t="e">
        <f>VLOOKUP(A1,DIV_09Data!$A$1:$DZU$1000000,2220,FALSE)</f>
        <v>#N/A</v>
      </c>
      <c r="J131" s="34" t="e">
        <f>VLOOKUP(A1,DIV_09Data!$A$1:$DZU$1000000,2221,FALSE)</f>
        <v>#N/A</v>
      </c>
      <c r="K131" s="34" t="e">
        <f>VLOOKUP(A1,DIV_09Data!$A$1:$DZU$1000000,2222,FALSE)</f>
        <v>#N/A</v>
      </c>
      <c r="L131" s="93" t="e">
        <f>VLOOKUP(A1,DIV_09Data!$A$1:$DZU$1000000,2223,FALSE)</f>
        <v>#N/A</v>
      </c>
      <c r="M131" s="33" t="e">
        <f>VLOOKUP(A1,DIV_09Data!$A$1:$DZU$1000000,2224,FALSE)</f>
        <v>#N/A</v>
      </c>
      <c r="N131" s="34" t="e">
        <f>VLOOKUP(A1,DIV_09Data!$A$1:$DZU$1000000,2225,FALSE)</f>
        <v>#N/A</v>
      </c>
      <c r="O131" s="33" t="e">
        <f>VLOOKUP(A1,DIV_09Data!$A$1:$DZU$1000000,2226,FALSE)</f>
        <v>#N/A</v>
      </c>
      <c r="P131" s="46" t="e">
        <f>VLOOKUP(A1,DIV_09Data!$A$1:$DZU$1000000,2227,FALSE)</f>
        <v>#N/A</v>
      </c>
      <c r="Q131" s="33" t="e">
        <f>VLOOKUP(A1,DIV_09Data!$A$1:$DZU$1000000,2228,FALSE)</f>
        <v>#N/A</v>
      </c>
    </row>
    <row r="132" spans="1:17" x14ac:dyDescent="0.35">
      <c r="A132" s="22" t="e">
        <f>VLOOKUP(A1,DIV_09Data!$A$1:$DZU$1000000,2229,FALSE)</f>
        <v>#N/A</v>
      </c>
      <c r="B132" s="37" t="e">
        <f>VLOOKUP(A1,DIV_09Data!$A$1:$DZU$1000000,2230,FALSE)</f>
        <v>#N/A</v>
      </c>
      <c r="C132" s="38" t="e">
        <f>VLOOKUP(A1,DIV_09Data!$A$1:$DZU$1000000,2231,FALSE)</f>
        <v>#N/A</v>
      </c>
      <c r="D132" s="31" t="e">
        <f>VLOOKUP(A1,DIV_09Data!$A$1:$DZU$1000000,2232,FALSE)</f>
        <v>#N/A</v>
      </c>
      <c r="E132" s="32" t="e">
        <f>VLOOKUP(A1,DIV_09Data!$A$1:$DZU$1000000,2233,FALSE)</f>
        <v>#N/A</v>
      </c>
      <c r="F132" s="34" t="e">
        <f>VLOOKUP(A1,DIV_09Data!$A$1:$DZU$1000000,2234,FALSE)</f>
        <v>#N/A</v>
      </c>
      <c r="G132" s="33" t="e">
        <f>VLOOKUP(A1,DIV_09Data!$A$1:$DZU$1000000,2235,FALSE)</f>
        <v>#N/A</v>
      </c>
      <c r="H132" s="34" t="e">
        <f>VLOOKUP(A1,DIV_09Data!$A$1:$DZU$1000000,2236,FALSE)</f>
        <v>#N/A</v>
      </c>
      <c r="I132" s="33" t="e">
        <f>VLOOKUP(A1,DIV_09Data!$A$1:$DZU$1000000,2237,FALSE)</f>
        <v>#N/A</v>
      </c>
      <c r="J132" s="34" t="e">
        <f>VLOOKUP(A1,DIV_09Data!$A$1:$DZU$1000000,2238,FALSE)</f>
        <v>#N/A</v>
      </c>
      <c r="K132" s="34" t="e">
        <f>VLOOKUP(A1,DIV_09Data!$A$1:$DZU$1000000,2239,FALSE)</f>
        <v>#N/A</v>
      </c>
      <c r="L132" s="93" t="e">
        <f>VLOOKUP(A1,DIV_09Data!$A$1:$DZU$1000000,2240,FALSE)</f>
        <v>#N/A</v>
      </c>
      <c r="M132" s="33" t="e">
        <f>VLOOKUP(A1,DIV_09Data!$A$1:$DZU$1000000,2241,FALSE)</f>
        <v>#N/A</v>
      </c>
      <c r="N132" s="34" t="e">
        <f>VLOOKUP(A1,DIV_09Data!$A$1:$DZU$1000000,2242,FALSE)</f>
        <v>#N/A</v>
      </c>
      <c r="O132" s="33" t="e">
        <f>VLOOKUP(A1,DIV_09Data!$A$1:$DZU$1000000,2243,FALSE)</f>
        <v>#N/A</v>
      </c>
      <c r="P132" s="46" t="e">
        <f>VLOOKUP(A1,DIV_09Data!$A$1:$DZU$1000000,2244,FALSE)</f>
        <v>#N/A</v>
      </c>
      <c r="Q132" s="33" t="e">
        <f>VLOOKUP(A1,DIV_09Data!$A$1:$DZU$1000000,2245,FALSE)</f>
        <v>#N/A</v>
      </c>
    </row>
    <row r="133" spans="1:17" x14ac:dyDescent="0.35">
      <c r="A133" s="22" t="e">
        <f>VLOOKUP(A1,DIV_09Data!$A$1:$DZU$1000000,2246,FALSE)</f>
        <v>#N/A</v>
      </c>
      <c r="B133" s="37" t="e">
        <f>VLOOKUP(A1,DIV_09Data!$A$1:$DZU$1000000,2247,FALSE)</f>
        <v>#N/A</v>
      </c>
      <c r="C133" s="38" t="e">
        <f>VLOOKUP(A1,DIV_09Data!$A$1:$DZU$1000000,2248,FALSE)</f>
        <v>#N/A</v>
      </c>
      <c r="D133" s="31" t="e">
        <f>VLOOKUP(A1,DIV_09Data!$A$1:$DZU$1000000,2249,FALSE)</f>
        <v>#N/A</v>
      </c>
      <c r="E133" s="32" t="e">
        <f>VLOOKUP(A1,DIV_09Data!$A$1:$DZU$1000000,2250,FALSE)</f>
        <v>#N/A</v>
      </c>
      <c r="F133" s="34" t="e">
        <f>VLOOKUP(A1,DIV_09Data!$A$1:$DZU$1000000,2251,FALSE)</f>
        <v>#N/A</v>
      </c>
      <c r="G133" s="33" t="e">
        <f>VLOOKUP(A1,DIV_09Data!$A$1:$DZU$1000000,2252,FALSE)</f>
        <v>#N/A</v>
      </c>
      <c r="H133" s="34" t="e">
        <f>VLOOKUP(A1,DIV_09Data!$A$1:$DZU$1000000,2253,FALSE)</f>
        <v>#N/A</v>
      </c>
      <c r="I133" s="33" t="e">
        <f>VLOOKUP(A1,DIV_09Data!$A$1:$DZU$1000000,2254,FALSE)</f>
        <v>#N/A</v>
      </c>
      <c r="J133" s="34" t="e">
        <f>VLOOKUP(A1,DIV_09Data!$A$1:$DZU$1000000,2255,FALSE)</f>
        <v>#N/A</v>
      </c>
      <c r="K133" s="34" t="e">
        <f>VLOOKUP(A1,DIV_09Data!$A$1:$DZU$1000000,2256,FALSE)</f>
        <v>#N/A</v>
      </c>
      <c r="L133" s="93" t="e">
        <f>VLOOKUP(A1,DIV_09Data!$A$1:$DZU$1000000,2257,FALSE)</f>
        <v>#N/A</v>
      </c>
      <c r="M133" s="33" t="e">
        <f>VLOOKUP(A1,DIV_09Data!$A$1:$DZU$1000000,2258,FALSE)</f>
        <v>#N/A</v>
      </c>
      <c r="N133" s="34" t="e">
        <f>VLOOKUP(A1,DIV_09Data!$A$1:$DZU$1000000,2259,FALSE)</f>
        <v>#N/A</v>
      </c>
      <c r="O133" s="33" t="e">
        <f>VLOOKUP(A1,DIV_09Data!$A$1:$DZU$1000000,2260,FALSE)</f>
        <v>#N/A</v>
      </c>
      <c r="P133" s="46" t="e">
        <f>VLOOKUP(A1,DIV_09Data!$A$1:$DZU$1000000,2261,FALSE)</f>
        <v>#N/A</v>
      </c>
      <c r="Q133" s="33" t="e">
        <f>VLOOKUP(A1,DIV_09Data!$A$1:$DZU$1000000,2262,FALSE)</f>
        <v>#N/A</v>
      </c>
    </row>
    <row r="134" spans="1:17" x14ac:dyDescent="0.35">
      <c r="A134" s="22" t="e">
        <f>VLOOKUP(A1,DIV_09Data!$A$1:$DZU$1000000,2263,FALSE)</f>
        <v>#N/A</v>
      </c>
      <c r="B134" s="37" t="e">
        <f>VLOOKUP(A1,DIV_09Data!$A$1:$DZU$1000000,2264,FALSE)</f>
        <v>#N/A</v>
      </c>
      <c r="C134" s="38" t="e">
        <f>VLOOKUP(A1,DIV_09Data!$A$1:$DZU$1000000,2265,FALSE)</f>
        <v>#N/A</v>
      </c>
      <c r="D134" s="31" t="e">
        <f>VLOOKUP(A1,DIV_09Data!$A$1:$DZU$1000000,2266,FALSE)</f>
        <v>#N/A</v>
      </c>
      <c r="E134" s="32" t="e">
        <f>VLOOKUP(A1,DIV_09Data!$A$1:$DZU$1000000,2267,FALSE)</f>
        <v>#N/A</v>
      </c>
      <c r="F134" s="34" t="e">
        <f>VLOOKUP(A1,DIV_09Data!$A$1:$DZU$1000000,2268,FALSE)</f>
        <v>#N/A</v>
      </c>
      <c r="G134" s="33" t="e">
        <f>VLOOKUP(A1,DIV_09Data!$A$1:$DZU$1000000,2269,FALSE)</f>
        <v>#N/A</v>
      </c>
      <c r="H134" s="34" t="e">
        <f>VLOOKUP(A1,DIV_09Data!$A$1:$DZU$1000000,2270,FALSE)</f>
        <v>#N/A</v>
      </c>
      <c r="I134" s="33" t="e">
        <f>VLOOKUP(A1,DIV_09Data!$A$1:$DZU$1000000,2271,FALSE)</f>
        <v>#N/A</v>
      </c>
      <c r="J134" s="34" t="e">
        <f>VLOOKUP(A1,DIV_09Data!$A$1:$DZU$1000000,2272,FALSE)</f>
        <v>#N/A</v>
      </c>
      <c r="K134" s="34" t="e">
        <f>VLOOKUP(A1,DIV_09Data!$A$1:$DZU$1000000,2273,FALSE)</f>
        <v>#N/A</v>
      </c>
      <c r="L134" s="93" t="e">
        <f>VLOOKUP(A1,DIV_09Data!$A$1:$DZU$1000000,2274,FALSE)</f>
        <v>#N/A</v>
      </c>
      <c r="M134" s="33" t="e">
        <f>VLOOKUP(A1,DIV_09Data!$A$1:$DZU$1000000,2275,FALSE)</f>
        <v>#N/A</v>
      </c>
      <c r="N134" s="34" t="e">
        <f>VLOOKUP(A1,DIV_09Data!$A$1:$DZU$1000000,2276,FALSE)</f>
        <v>#N/A</v>
      </c>
      <c r="O134" s="33" t="e">
        <f>VLOOKUP(A1,DIV_09Data!$A$1:$DZU$1000000,2277,FALSE)</f>
        <v>#N/A</v>
      </c>
      <c r="P134" s="46" t="e">
        <f>VLOOKUP(A1,DIV_09Data!$A$1:$DZU$1000000,2278,FALSE)</f>
        <v>#N/A</v>
      </c>
      <c r="Q134" s="33" t="e">
        <f>VLOOKUP(A1,DIV_09Data!$A$1:$DZU$1000000,2279,FALSE)</f>
        <v>#N/A</v>
      </c>
    </row>
    <row r="135" spans="1:17" x14ac:dyDescent="0.35">
      <c r="A135" s="22" t="e">
        <f>VLOOKUP(A1,DIV_09Data!$A$1:$DZU$1000000,2280,FALSE)</f>
        <v>#N/A</v>
      </c>
      <c r="B135" s="37" t="e">
        <f>VLOOKUP(A1,DIV_09Data!$A$1:$DZU$1000000,2281,FALSE)</f>
        <v>#N/A</v>
      </c>
      <c r="C135" s="38" t="e">
        <f>VLOOKUP(A1,DIV_09Data!$A$1:$DZU$1000000,2282,FALSE)</f>
        <v>#N/A</v>
      </c>
      <c r="D135" s="31" t="e">
        <f>VLOOKUP(A1,DIV_09Data!$A$1:$DZU$1000000,2283,FALSE)</f>
        <v>#N/A</v>
      </c>
      <c r="E135" s="32" t="e">
        <f>VLOOKUP(A1,DIV_09Data!$A$1:$DZU$1000000,2284,FALSE)</f>
        <v>#N/A</v>
      </c>
      <c r="F135" s="34" t="e">
        <f>VLOOKUP(A1,DIV_09Data!$A$1:$DZU$1000000,2285,FALSE)</f>
        <v>#N/A</v>
      </c>
      <c r="G135" s="33" t="e">
        <f>VLOOKUP(A1,DIV_09Data!$A$1:$DZU$1000000,2286,FALSE)</f>
        <v>#N/A</v>
      </c>
      <c r="H135" s="34" t="e">
        <f>VLOOKUP(A1,DIV_09Data!$A$1:$DZU$1000000,2287,FALSE)</f>
        <v>#N/A</v>
      </c>
      <c r="I135" s="33" t="e">
        <f>VLOOKUP(A1,DIV_09Data!$A$1:$DZU$1000000,2288,FALSE)</f>
        <v>#N/A</v>
      </c>
      <c r="J135" s="34" t="e">
        <f>VLOOKUP(A1,DIV_09Data!$A$1:$DZU$1000000,2289,FALSE)</f>
        <v>#N/A</v>
      </c>
      <c r="K135" s="34" t="e">
        <f>VLOOKUP(A1,DIV_09Data!$A$1:$DZU$1000000,2290,FALSE)</f>
        <v>#N/A</v>
      </c>
      <c r="L135" s="93" t="e">
        <f>VLOOKUP(A1,DIV_09Data!$A$1:$DZU$1000000,2291,FALSE)</f>
        <v>#N/A</v>
      </c>
      <c r="M135" s="33" t="e">
        <f>VLOOKUP(A1,DIV_09Data!$A$1:$DZU$1000000,2292,FALSE)</f>
        <v>#N/A</v>
      </c>
      <c r="N135" s="34" t="e">
        <f>VLOOKUP(A1,DIV_09Data!$A$1:$DZU$1000000,2293,FALSE)</f>
        <v>#N/A</v>
      </c>
      <c r="O135" s="33" t="e">
        <f>VLOOKUP(A1,DIV_09Data!$A$1:$DZU$1000000,2294,FALSE)</f>
        <v>#N/A</v>
      </c>
      <c r="P135" s="46" t="e">
        <f>VLOOKUP(A1,DIV_09Data!$A$1:$DZU$1000000,2295,FALSE)</f>
        <v>#N/A</v>
      </c>
      <c r="Q135" s="33" t="e">
        <f>VLOOKUP(A1,DIV_09Data!$A$1:$DZU$1000000,2296,FALSE)</f>
        <v>#N/A</v>
      </c>
    </row>
    <row r="136" spans="1:17" x14ac:dyDescent="0.35">
      <c r="A136" s="22" t="e">
        <f>VLOOKUP(A1,DIV_09Data!$A$1:$DZU$1000000,2297,FALSE)</f>
        <v>#N/A</v>
      </c>
      <c r="B136" s="37" t="e">
        <f>VLOOKUP(A1,DIV_09Data!$A$1:$DZU$1000000,2298,FALSE)</f>
        <v>#N/A</v>
      </c>
      <c r="C136" s="38" t="e">
        <f>VLOOKUP(A1,DIV_09Data!$A$1:$DZU$1000000,2299,FALSE)</f>
        <v>#N/A</v>
      </c>
      <c r="D136" s="31" t="e">
        <f>VLOOKUP(A1,DIV_09Data!$A$1:$DZU$1000000,2300,FALSE)</f>
        <v>#N/A</v>
      </c>
      <c r="E136" s="32" t="e">
        <f>VLOOKUP(A1,DIV_09Data!$A$1:$DZU$1000000,2301,FALSE)</f>
        <v>#N/A</v>
      </c>
      <c r="F136" s="34" t="e">
        <f>VLOOKUP(A1,DIV_09Data!$A$1:$DZU$1000000,2302,FALSE)</f>
        <v>#N/A</v>
      </c>
      <c r="G136" s="33" t="e">
        <f>VLOOKUP(A1,DIV_09Data!$A$1:$DZU$1000000,2303,FALSE)</f>
        <v>#N/A</v>
      </c>
      <c r="H136" s="34" t="e">
        <f>VLOOKUP(A1,DIV_09Data!$A$1:$DZU$1000000,2304,FALSE)</f>
        <v>#N/A</v>
      </c>
      <c r="I136" s="33" t="e">
        <f>VLOOKUP(A1,DIV_09Data!$A$1:$DZU$1000000,2305,FALSE)</f>
        <v>#N/A</v>
      </c>
      <c r="J136" s="34" t="e">
        <f>VLOOKUP(A1,DIV_09Data!$A$1:$DZU$1000000,2306,FALSE)</f>
        <v>#N/A</v>
      </c>
      <c r="K136" s="34" t="e">
        <f>VLOOKUP(A1,DIV_09Data!$A$1:$DZU$1000000,2307,FALSE)</f>
        <v>#N/A</v>
      </c>
      <c r="L136" s="93" t="e">
        <f>VLOOKUP(A1,DIV_09Data!$A$1:$DZU$1000000,2308,FALSE)</f>
        <v>#N/A</v>
      </c>
      <c r="M136" s="33" t="e">
        <f>VLOOKUP(A1,DIV_09Data!$A$1:$DZU$1000000,2309,FALSE)</f>
        <v>#N/A</v>
      </c>
      <c r="N136" s="34" t="e">
        <f>VLOOKUP(A1,DIV_09Data!$A$1:$DZU$1000000,2310,FALSE)</f>
        <v>#N/A</v>
      </c>
      <c r="O136" s="33" t="e">
        <f>VLOOKUP(A1,DIV_09Data!$A$1:$DZU$1000000,2311,FALSE)</f>
        <v>#N/A</v>
      </c>
      <c r="P136" s="46" t="e">
        <f>VLOOKUP(A1,DIV_09Data!$A$1:$DZU$1000000,2312,FALSE)</f>
        <v>#N/A</v>
      </c>
      <c r="Q136" s="33" t="e">
        <f>VLOOKUP(A1,DIV_09Data!$A$1:$DZU$1000000,2313,FALSE)</f>
        <v>#N/A</v>
      </c>
    </row>
    <row r="137" spans="1:17" x14ac:dyDescent="0.35">
      <c r="A137" s="22" t="e">
        <f>VLOOKUP(A1,DIV_09Data!$A$1:$DZU$1000000,2314,FALSE)</f>
        <v>#N/A</v>
      </c>
      <c r="B137" s="37" t="e">
        <f>VLOOKUP(A1,DIV_09Data!$A$1:$DZU$1000000,2315,FALSE)</f>
        <v>#N/A</v>
      </c>
      <c r="C137" s="38" t="e">
        <f>VLOOKUP(A1,DIV_09Data!$A$1:$DZU$1000000,2316,FALSE)</f>
        <v>#N/A</v>
      </c>
      <c r="D137" s="31" t="e">
        <f>VLOOKUP(A1,DIV_09Data!$A$1:$DZU$1000000,2317,FALSE)</f>
        <v>#N/A</v>
      </c>
      <c r="E137" s="32" t="e">
        <f>VLOOKUP(A1,DIV_09Data!$A$1:$DZU$1000000,2318,FALSE)</f>
        <v>#N/A</v>
      </c>
      <c r="F137" s="34" t="e">
        <f>VLOOKUP(A1,DIV_09Data!$A$1:$DZU$1000000,2319,FALSE)</f>
        <v>#N/A</v>
      </c>
      <c r="G137" s="33" t="e">
        <f>VLOOKUP(A1,DIV_09Data!$A$1:$DZU$1000000,2320,FALSE)</f>
        <v>#N/A</v>
      </c>
      <c r="H137" s="34" t="e">
        <f>VLOOKUP(A1,DIV_09Data!$A$1:$DZU$1000000,2321,FALSE)</f>
        <v>#N/A</v>
      </c>
      <c r="I137" s="33" t="e">
        <f>VLOOKUP(A1,DIV_09Data!$A$1:$DZU$1000000,2322,FALSE)</f>
        <v>#N/A</v>
      </c>
      <c r="J137" s="34" t="e">
        <f>VLOOKUP(A1,DIV_09Data!$A$1:$DZU$1000000,2323,FALSE)</f>
        <v>#N/A</v>
      </c>
      <c r="K137" s="34" t="e">
        <f>VLOOKUP(A1,DIV_09Data!$A$1:$DZU$1000000,2324,FALSE)</f>
        <v>#N/A</v>
      </c>
      <c r="L137" s="93" t="e">
        <f>VLOOKUP(A1,DIV_09Data!$A$1:$DZU$1000000,2325,FALSE)</f>
        <v>#N/A</v>
      </c>
      <c r="M137" s="33" t="e">
        <f>VLOOKUP(A1,DIV_09Data!$A$1:$DZU$1000000,2326,FALSE)</f>
        <v>#N/A</v>
      </c>
      <c r="N137" s="34" t="e">
        <f>VLOOKUP(A1,DIV_09Data!$A$1:$DZU$1000000,2327,FALSE)</f>
        <v>#N/A</v>
      </c>
      <c r="O137" s="33" t="e">
        <f>VLOOKUP(A1,DIV_09Data!$A$1:$DZU$1000000,2328,FALSE)</f>
        <v>#N/A</v>
      </c>
      <c r="P137" s="46" t="e">
        <f>VLOOKUP(A1,DIV_09Data!$A$1:$DZU$1000000,2329,FALSE)</f>
        <v>#N/A</v>
      </c>
      <c r="Q137" s="33" t="e">
        <f>VLOOKUP(A1,DIV_09Data!$A$1:$DZU$1000000,2330,FALSE)</f>
        <v>#N/A</v>
      </c>
    </row>
    <row r="138" spans="1:17" x14ac:dyDescent="0.35">
      <c r="A138" s="22" t="e">
        <f>VLOOKUP(A1,DIV_09Data!$A$1:$DZU$1000000,2331,FALSE)</f>
        <v>#N/A</v>
      </c>
      <c r="B138" s="37" t="e">
        <f>VLOOKUP(A1,DIV_09Data!$A$1:$DZU$1000000,2332,FALSE)</f>
        <v>#N/A</v>
      </c>
      <c r="C138" s="38" t="e">
        <f>VLOOKUP(A1,DIV_09Data!$A$1:$DZU$1000000,2333,FALSE)</f>
        <v>#N/A</v>
      </c>
      <c r="D138" s="31" t="e">
        <f>VLOOKUP(A1,DIV_09Data!$A$1:$DZU$1000000,2334,FALSE)</f>
        <v>#N/A</v>
      </c>
      <c r="E138" s="32" t="e">
        <f>VLOOKUP(A1,DIV_09Data!$A$1:$DZU$1000000,2335,FALSE)</f>
        <v>#N/A</v>
      </c>
      <c r="F138" s="34" t="e">
        <f>VLOOKUP(A1,DIV_09Data!$A$1:$DZU$1000000,2336,FALSE)</f>
        <v>#N/A</v>
      </c>
      <c r="G138" s="33" t="e">
        <f>VLOOKUP(A1,DIV_09Data!$A$1:$DZU$1000000,2337,FALSE)</f>
        <v>#N/A</v>
      </c>
      <c r="H138" s="34" t="e">
        <f>VLOOKUP(A1,DIV_09Data!$A$1:$DZU$1000000,2338,FALSE)</f>
        <v>#N/A</v>
      </c>
      <c r="I138" s="33" t="e">
        <f>VLOOKUP(A1,DIV_09Data!$A$1:$DZU$1000000,2339,FALSE)</f>
        <v>#N/A</v>
      </c>
      <c r="J138" s="34" t="e">
        <f>VLOOKUP(A1,DIV_09Data!$A$1:$DZU$1000000,2340,FALSE)</f>
        <v>#N/A</v>
      </c>
      <c r="K138" s="34" t="e">
        <f>VLOOKUP(A1,DIV_09Data!$A$1:$DZU$1000000,2341,FALSE)</f>
        <v>#N/A</v>
      </c>
      <c r="L138" s="93" t="e">
        <f>VLOOKUP(A1,DIV_09Data!$A$1:$DZU$1000000,2342,FALSE)</f>
        <v>#N/A</v>
      </c>
      <c r="M138" s="33" t="e">
        <f>VLOOKUP(A1,DIV_09Data!$A$1:$DZU$1000000,2343,FALSE)</f>
        <v>#N/A</v>
      </c>
      <c r="N138" s="34" t="e">
        <f>VLOOKUP(A1,DIV_09Data!$A$1:$DZU$1000000,2344,FALSE)</f>
        <v>#N/A</v>
      </c>
      <c r="O138" s="33" t="e">
        <f>VLOOKUP(A1,DIV_09Data!$A$1:$DZU$1000000,2345,FALSE)</f>
        <v>#N/A</v>
      </c>
      <c r="P138" s="46" t="e">
        <f>VLOOKUP(A1,DIV_09Data!$A$1:$DZU$1000000,2346,FALSE)</f>
        <v>#N/A</v>
      </c>
      <c r="Q138" s="33" t="e">
        <f>VLOOKUP(A1,DIV_09Data!$A$1:$DZU$1000000,2347,FALSE)</f>
        <v>#N/A</v>
      </c>
    </row>
    <row r="139" spans="1:17" x14ac:dyDescent="0.35">
      <c r="A139" s="22" t="e">
        <f>VLOOKUP(A1,DIV_09Data!$A$1:$DZU$1000000,2348,FALSE)</f>
        <v>#N/A</v>
      </c>
      <c r="B139" s="37" t="e">
        <f>VLOOKUP(A1,DIV_09Data!$A$1:$DZU$1000000,2349,FALSE)</f>
        <v>#N/A</v>
      </c>
      <c r="C139" s="38" t="e">
        <f>VLOOKUP(A1,DIV_09Data!$A$1:$DZU$1000000,2350,FALSE)</f>
        <v>#N/A</v>
      </c>
      <c r="D139" s="31" t="e">
        <f>VLOOKUP(A1,DIV_09Data!$A$1:$DZU$1000000,2351,FALSE)</f>
        <v>#N/A</v>
      </c>
      <c r="E139" s="32" t="e">
        <f>VLOOKUP(A1,DIV_09Data!$A$1:$DZU$1000000,2352,FALSE)</f>
        <v>#N/A</v>
      </c>
      <c r="F139" s="34" t="e">
        <f>VLOOKUP(A1,DIV_09Data!$A$1:$DZU$1000000,2353,FALSE)</f>
        <v>#N/A</v>
      </c>
      <c r="G139" s="33" t="e">
        <f>VLOOKUP(A1,DIV_09Data!$A$1:$DZU$1000000,2354,FALSE)</f>
        <v>#N/A</v>
      </c>
      <c r="H139" s="34" t="e">
        <f>VLOOKUP(A1,DIV_09Data!$A$1:$DZU$1000000,2355,FALSE)</f>
        <v>#N/A</v>
      </c>
      <c r="I139" s="33" t="e">
        <f>VLOOKUP(A1,DIV_09Data!$A$1:$DZU$1000000,2356,FALSE)</f>
        <v>#N/A</v>
      </c>
      <c r="J139" s="34" t="e">
        <f>VLOOKUP(A1,DIV_09Data!$A$1:$DZU$1000000,2357,FALSE)</f>
        <v>#N/A</v>
      </c>
      <c r="K139" s="34" t="e">
        <f>VLOOKUP(A1,DIV_09Data!$A$1:$DZU$1000000,2358,FALSE)</f>
        <v>#N/A</v>
      </c>
      <c r="L139" s="93" t="e">
        <f>VLOOKUP(A1,DIV_09Data!$A$1:$DZU$1000000,2359,FALSE)</f>
        <v>#N/A</v>
      </c>
      <c r="M139" s="33" t="e">
        <f>VLOOKUP(A1,DIV_09Data!$A$1:$DZU$1000000,2360,FALSE)</f>
        <v>#N/A</v>
      </c>
      <c r="N139" s="34" t="e">
        <f>VLOOKUP(A1,DIV_09Data!$A$1:$DZU$1000000,2361,FALSE)</f>
        <v>#N/A</v>
      </c>
      <c r="O139" s="33" t="e">
        <f>VLOOKUP(A1,DIV_09Data!$A$1:$DZU$1000000,2362,FALSE)</f>
        <v>#N/A</v>
      </c>
      <c r="P139" s="46" t="e">
        <f>VLOOKUP(A1,DIV_09Data!$A$1:$DZU$1000000,2363,FALSE)</f>
        <v>#N/A</v>
      </c>
      <c r="Q139" s="33" t="e">
        <f>VLOOKUP(A1,DIV_09Data!$A$1:$DZU$1000000,2364,FALSE)</f>
        <v>#N/A</v>
      </c>
    </row>
    <row r="140" spans="1:17" x14ac:dyDescent="0.35">
      <c r="A140" s="22" t="e">
        <f>VLOOKUP(A1,DIV_09Data!$A$1:$DZU$1000000,2365,FALSE)</f>
        <v>#N/A</v>
      </c>
      <c r="B140" s="37" t="e">
        <f>VLOOKUP(A1,DIV_09Data!$A$1:$DZU$1000000,2366,FALSE)</f>
        <v>#N/A</v>
      </c>
      <c r="C140" s="38" t="e">
        <f>VLOOKUP(A1,DIV_09Data!$A$1:$DZU$1000000,2367,FALSE)</f>
        <v>#N/A</v>
      </c>
      <c r="D140" s="31" t="e">
        <f>VLOOKUP(A1,DIV_09Data!$A$1:$DZU$1000000,2368,FALSE)</f>
        <v>#N/A</v>
      </c>
      <c r="E140" s="32" t="e">
        <f>VLOOKUP(A1,DIV_09Data!$A$1:$DZU$1000000,2369,FALSE)</f>
        <v>#N/A</v>
      </c>
      <c r="F140" s="34" t="e">
        <f>VLOOKUP(A1,DIV_09Data!$A$1:$DZU$1000000,2370,FALSE)</f>
        <v>#N/A</v>
      </c>
      <c r="G140" s="33" t="e">
        <f>VLOOKUP(A1,DIV_09Data!$A$1:$DZU$1000000,2371,FALSE)</f>
        <v>#N/A</v>
      </c>
      <c r="H140" s="34" t="e">
        <f>VLOOKUP(A1,DIV_09Data!$A$1:$DZU$1000000,2372,FALSE)</f>
        <v>#N/A</v>
      </c>
      <c r="I140" s="33" t="e">
        <f>VLOOKUP(A1,DIV_09Data!$A$1:$DZU$1000000,2373,FALSE)</f>
        <v>#N/A</v>
      </c>
      <c r="J140" s="34" t="e">
        <f>VLOOKUP(A1,DIV_09Data!$A$1:$DZU$1000000,2374,FALSE)</f>
        <v>#N/A</v>
      </c>
      <c r="K140" s="34" t="e">
        <f>VLOOKUP(A1,DIV_09Data!$A$1:$DZU$1000000,2375,FALSE)</f>
        <v>#N/A</v>
      </c>
      <c r="L140" s="93" t="e">
        <f>VLOOKUP(A1,DIV_09Data!$A$1:$DZU$1000000,2376,FALSE)</f>
        <v>#N/A</v>
      </c>
      <c r="M140" s="33" t="e">
        <f>VLOOKUP(A1,DIV_09Data!$A$1:$DZU$1000000,2377,FALSE)</f>
        <v>#N/A</v>
      </c>
      <c r="N140" s="34" t="e">
        <f>VLOOKUP(A1,DIV_09Data!$A$1:$DZU$1000000,2378,FALSE)</f>
        <v>#N/A</v>
      </c>
      <c r="O140" s="33" t="e">
        <f>VLOOKUP(A1,DIV_09Data!$A$1:$DZU$1000000,2379,FALSE)</f>
        <v>#N/A</v>
      </c>
      <c r="P140" s="46" t="e">
        <f>VLOOKUP(A1,DIV_09Data!$A$1:$DZU$1000000,2380,FALSE)</f>
        <v>#N/A</v>
      </c>
      <c r="Q140" s="33" t="e">
        <f>VLOOKUP(A1,DIV_09Data!$A$1:$DZU$1000000,2381,FALSE)</f>
        <v>#N/A</v>
      </c>
    </row>
    <row r="141" spans="1:17" x14ac:dyDescent="0.35">
      <c r="A141" s="22" t="e">
        <f>VLOOKUP(A1,DIV_09Data!$A$1:$DZU$1000000,2382,FALSE)</f>
        <v>#N/A</v>
      </c>
      <c r="B141" s="37" t="e">
        <f>VLOOKUP(A1,DIV_09Data!$A$1:$DZU$1000000,2383,FALSE)</f>
        <v>#N/A</v>
      </c>
      <c r="C141" s="38" t="e">
        <f>VLOOKUP(A1,DIV_09Data!$A$1:$DZU$1000000,2384,FALSE)</f>
        <v>#N/A</v>
      </c>
      <c r="D141" s="31" t="e">
        <f>VLOOKUP(A1,DIV_09Data!$A$1:$DZU$1000000,2385,FALSE)</f>
        <v>#N/A</v>
      </c>
      <c r="E141" s="32" t="e">
        <f>VLOOKUP(A1,DIV_09Data!$A$1:$DZU$1000000,2386,FALSE)</f>
        <v>#N/A</v>
      </c>
      <c r="F141" s="34" t="e">
        <f>VLOOKUP(A1,DIV_09Data!$A$1:$DZU$1000000,2387,FALSE)</f>
        <v>#N/A</v>
      </c>
      <c r="G141" s="33" t="e">
        <f>VLOOKUP(A1,DIV_09Data!$A$1:$DZU$1000000,2388,FALSE)</f>
        <v>#N/A</v>
      </c>
      <c r="H141" s="34" t="e">
        <f>VLOOKUP(A1,DIV_09Data!$A$1:$DZU$1000000,2389,FALSE)</f>
        <v>#N/A</v>
      </c>
      <c r="I141" s="33" t="e">
        <f>VLOOKUP(A1,DIV_09Data!$A$1:$DZU$1000000,2390,FALSE)</f>
        <v>#N/A</v>
      </c>
      <c r="J141" s="34" t="e">
        <f>VLOOKUP(A1,DIV_09Data!$A$1:$DZU$1000000,2391,FALSE)</f>
        <v>#N/A</v>
      </c>
      <c r="K141" s="34" t="e">
        <f>VLOOKUP(A1,DIV_09Data!$A$1:$DZU$1000000,2392,FALSE)</f>
        <v>#N/A</v>
      </c>
      <c r="L141" s="93" t="e">
        <f>VLOOKUP(A1,DIV_09Data!$A$1:$DZU$1000000,2393,FALSE)</f>
        <v>#N/A</v>
      </c>
      <c r="M141" s="33" t="e">
        <f>VLOOKUP(A1,DIV_09Data!$A$1:$DZU$1000000,2394,FALSE)</f>
        <v>#N/A</v>
      </c>
      <c r="N141" s="34" t="e">
        <f>VLOOKUP(A1,DIV_09Data!$A$1:$DZU$1000000,2395,FALSE)</f>
        <v>#N/A</v>
      </c>
      <c r="O141" s="33" t="e">
        <f>VLOOKUP(A1,DIV_09Data!$A$1:$DZU$1000000,2396,FALSE)</f>
        <v>#N/A</v>
      </c>
      <c r="P141" s="46" t="e">
        <f>VLOOKUP(A1,DIV_09Data!$A$1:$DZU$1000000,2397,FALSE)</f>
        <v>#N/A</v>
      </c>
      <c r="Q141" s="33" t="e">
        <f>VLOOKUP(A1,DIV_09Data!$A$1:$DZU$1000000,2398,FALSE)</f>
        <v>#N/A</v>
      </c>
    </row>
    <row r="142" spans="1:17" x14ac:dyDescent="0.35">
      <c r="A142" s="22" t="e">
        <f>VLOOKUP(A1,DIV_09Data!$A$1:$DZU$1000000,2399,FALSE)</f>
        <v>#N/A</v>
      </c>
      <c r="B142" s="37" t="e">
        <f>VLOOKUP(A1,DIV_09Data!$A$1:$DZU$1000000,2400,FALSE)</f>
        <v>#N/A</v>
      </c>
      <c r="C142" s="38" t="e">
        <f>VLOOKUP(A1,DIV_09Data!$A$1:$DZU$1000000,2401,FALSE)</f>
        <v>#N/A</v>
      </c>
      <c r="D142" s="31" t="e">
        <f>VLOOKUP(A1,DIV_09Data!$A$1:$DZU$1000000,2402,FALSE)</f>
        <v>#N/A</v>
      </c>
      <c r="E142" s="32" t="e">
        <f>VLOOKUP(A1,DIV_09Data!$A$1:$DZU$1000000,2403,FALSE)</f>
        <v>#N/A</v>
      </c>
      <c r="F142" s="34" t="e">
        <f>VLOOKUP(A1,DIV_09Data!$A$1:$DZU$1000000,2404,FALSE)</f>
        <v>#N/A</v>
      </c>
      <c r="G142" s="33" t="e">
        <f>VLOOKUP(A1,DIV_09Data!$A$1:$DZU$1000000,2405,FALSE)</f>
        <v>#N/A</v>
      </c>
      <c r="H142" s="34" t="e">
        <f>VLOOKUP(A1,DIV_09Data!$A$1:$DZU$1000000,2406,FALSE)</f>
        <v>#N/A</v>
      </c>
      <c r="I142" s="33" t="e">
        <f>VLOOKUP(A1,DIV_09Data!$A$1:$DZU$1000000,2407,FALSE)</f>
        <v>#N/A</v>
      </c>
      <c r="J142" s="34" t="e">
        <f>VLOOKUP(A1,DIV_09Data!$A$1:$DZU$1000000,2408,FALSE)</f>
        <v>#N/A</v>
      </c>
      <c r="K142" s="34" t="e">
        <f>VLOOKUP(A1,DIV_09Data!$A$1:$DZU$1000000,2409,FALSE)</f>
        <v>#N/A</v>
      </c>
      <c r="L142" s="93" t="e">
        <f>VLOOKUP(A1,DIV_09Data!$A$1:$DZU$1000000,2410,FALSE)</f>
        <v>#N/A</v>
      </c>
      <c r="M142" s="33" t="e">
        <f>VLOOKUP(A1,DIV_09Data!$A$1:$DZU$1000000,2411,FALSE)</f>
        <v>#N/A</v>
      </c>
      <c r="N142" s="34" t="e">
        <f>VLOOKUP(A1,DIV_09Data!$A$1:$DZU$1000000,2412,FALSE)</f>
        <v>#N/A</v>
      </c>
      <c r="O142" s="33" t="e">
        <f>VLOOKUP(A1,DIV_09Data!$A$1:$DZU$1000000,2413,FALSE)</f>
        <v>#N/A</v>
      </c>
      <c r="P142" s="46" t="e">
        <f>VLOOKUP(A1,DIV_09Data!$A$1:$DZU$1000000,2414,FALSE)</f>
        <v>#N/A</v>
      </c>
      <c r="Q142" s="33" t="e">
        <f>VLOOKUP(A1,DIV_09Data!$A$1:$DZU$1000000,2415,FALSE)</f>
        <v>#N/A</v>
      </c>
    </row>
    <row r="143" spans="1:17" x14ac:dyDescent="0.35">
      <c r="A143" s="22" t="e">
        <f>VLOOKUP(A1,DIV_09Data!$A$1:$DZU$1000000,2416,FALSE)</f>
        <v>#N/A</v>
      </c>
      <c r="B143" s="37" t="e">
        <f>VLOOKUP(A1,DIV_09Data!$A$1:$DZU$1000000,2417,FALSE)</f>
        <v>#N/A</v>
      </c>
      <c r="C143" s="38" t="e">
        <f>VLOOKUP(A1,DIV_09Data!$A$1:$DZU$1000000,2418,FALSE)</f>
        <v>#N/A</v>
      </c>
      <c r="D143" s="31" t="e">
        <f>VLOOKUP(A1,DIV_09Data!$A$1:$DZU$1000000,2419,FALSE)</f>
        <v>#N/A</v>
      </c>
      <c r="E143" s="32" t="e">
        <f>VLOOKUP(A1,DIV_09Data!$A$1:$DZU$1000000,2420,FALSE)</f>
        <v>#N/A</v>
      </c>
      <c r="F143" s="34" t="e">
        <f>VLOOKUP(A1,DIV_09Data!$A$1:$DZU$1000000,2421,FALSE)</f>
        <v>#N/A</v>
      </c>
      <c r="G143" s="33" t="e">
        <f>VLOOKUP(A1,DIV_09Data!$A$1:$DZU$1000000,2422,FALSE)</f>
        <v>#N/A</v>
      </c>
      <c r="H143" s="34" t="e">
        <f>VLOOKUP(A1,DIV_09Data!$A$1:$DZU$1000000,2423,FALSE)</f>
        <v>#N/A</v>
      </c>
      <c r="I143" s="33" t="e">
        <f>VLOOKUP(A1,DIV_09Data!$A$1:$DZU$1000000,2424,FALSE)</f>
        <v>#N/A</v>
      </c>
      <c r="J143" s="34" t="e">
        <f>VLOOKUP(A1,DIV_09Data!$A$1:$DZU$1000000,2425,FALSE)</f>
        <v>#N/A</v>
      </c>
      <c r="K143" s="34" t="e">
        <f>VLOOKUP(A1,DIV_09Data!$A$1:$DZU$1000000,2426,FALSE)</f>
        <v>#N/A</v>
      </c>
      <c r="L143" s="93" t="e">
        <f>VLOOKUP(A1,DIV_09Data!$A$1:$DZU$1000000,2427,FALSE)</f>
        <v>#N/A</v>
      </c>
      <c r="M143" s="33" t="e">
        <f>VLOOKUP(A1,DIV_09Data!$A$1:$DZU$1000000,2428,FALSE)</f>
        <v>#N/A</v>
      </c>
      <c r="N143" s="34" t="e">
        <f>VLOOKUP(A1,DIV_09Data!$A$1:$DZU$1000000,2429,FALSE)</f>
        <v>#N/A</v>
      </c>
      <c r="O143" s="33" t="e">
        <f>VLOOKUP(A1,DIV_09Data!$A$1:$DZU$1000000,2430,FALSE)</f>
        <v>#N/A</v>
      </c>
      <c r="P143" s="46" t="e">
        <f>VLOOKUP(A1,DIV_09Data!$A$1:$DZU$1000000,2431,FALSE)</f>
        <v>#N/A</v>
      </c>
      <c r="Q143" s="33" t="e">
        <f>VLOOKUP(A1,DIV_09Data!$A$1:$DZU$1000000,2432,FALSE)</f>
        <v>#N/A</v>
      </c>
    </row>
    <row r="144" spans="1:17" x14ac:dyDescent="0.35">
      <c r="A144" s="22" t="e">
        <f>VLOOKUP(A1,DIV_09Data!$A$1:$DZU$1000000,2433,FALSE)</f>
        <v>#N/A</v>
      </c>
      <c r="B144" s="37" t="e">
        <f>VLOOKUP(A1,DIV_09Data!$A$1:$DZU$1000000,2434,FALSE)</f>
        <v>#N/A</v>
      </c>
      <c r="C144" s="38" t="e">
        <f>VLOOKUP(A1,DIV_09Data!$A$1:$DZU$1000000,2435,FALSE)</f>
        <v>#N/A</v>
      </c>
      <c r="D144" s="31" t="e">
        <f>VLOOKUP(A1,DIV_09Data!$A$1:$DZU$1000000,2436,FALSE)</f>
        <v>#N/A</v>
      </c>
      <c r="E144" s="32" t="e">
        <f>VLOOKUP(A1,DIV_09Data!$A$1:$DZU$1000000,2437,FALSE)</f>
        <v>#N/A</v>
      </c>
      <c r="F144" s="34" t="e">
        <f>VLOOKUP(A1,DIV_09Data!$A$1:$DZU$1000000,2438,FALSE)</f>
        <v>#N/A</v>
      </c>
      <c r="G144" s="33" t="e">
        <f>VLOOKUP(A1,DIV_09Data!$A$1:$DZU$1000000,2439,FALSE)</f>
        <v>#N/A</v>
      </c>
      <c r="H144" s="34" t="e">
        <f>VLOOKUP(A1,DIV_09Data!$A$1:$DZU$1000000,2440,FALSE)</f>
        <v>#N/A</v>
      </c>
      <c r="I144" s="33" t="e">
        <f>VLOOKUP(A1,DIV_09Data!$A$1:$DZU$1000000,2441,FALSE)</f>
        <v>#N/A</v>
      </c>
      <c r="J144" s="34" t="e">
        <f>VLOOKUP(A1,DIV_09Data!$A$1:$DZU$1000000,2442,FALSE)</f>
        <v>#N/A</v>
      </c>
      <c r="K144" s="34" t="e">
        <f>VLOOKUP(A1,DIV_09Data!$A$1:$DZU$1000000,2443,FALSE)</f>
        <v>#N/A</v>
      </c>
      <c r="L144" s="93" t="e">
        <f>VLOOKUP(A1,DIV_09Data!$A$1:$DZU$1000000,2444,FALSE)</f>
        <v>#N/A</v>
      </c>
      <c r="M144" s="33" t="e">
        <f>VLOOKUP(A1,DIV_09Data!$A$1:$DZU$1000000,2445,FALSE)</f>
        <v>#N/A</v>
      </c>
      <c r="N144" s="34" t="e">
        <f>VLOOKUP(A1,DIV_09Data!$A$1:$DZU$1000000,2446,FALSE)</f>
        <v>#N/A</v>
      </c>
      <c r="O144" s="33" t="e">
        <f>VLOOKUP(A1,DIV_09Data!$A$1:$DZU$1000000,2447,FALSE)</f>
        <v>#N/A</v>
      </c>
      <c r="P144" s="46" t="e">
        <f>VLOOKUP(A1,DIV_09Data!$A$1:$DZU$1000000,2448,FALSE)</f>
        <v>#N/A</v>
      </c>
      <c r="Q144" s="33" t="e">
        <f>VLOOKUP(A1,DIV_09Data!$A$1:$DZU$1000000,2449,FALSE)</f>
        <v>#N/A</v>
      </c>
    </row>
    <row r="145" spans="1:17" x14ac:dyDescent="0.35">
      <c r="A145" s="22" t="e">
        <f>VLOOKUP(A1,DIV_09Data!$A$1:$DZU$1000000,2450,FALSE)</f>
        <v>#N/A</v>
      </c>
      <c r="B145" s="37" t="e">
        <f>VLOOKUP(A1,DIV_09Data!$A$1:$DZU$1000000,2451,FALSE)</f>
        <v>#N/A</v>
      </c>
      <c r="C145" s="38" t="e">
        <f>VLOOKUP(A1,DIV_09Data!$A$1:$DZU$1000000,2452,FALSE)</f>
        <v>#N/A</v>
      </c>
      <c r="D145" s="31" t="e">
        <f>VLOOKUP(A1,DIV_09Data!$A$1:$DZU$1000000,2453,FALSE)</f>
        <v>#N/A</v>
      </c>
      <c r="E145" s="32" t="e">
        <f>VLOOKUP(A1,DIV_09Data!$A$1:$DZU$1000000,2454,FALSE)</f>
        <v>#N/A</v>
      </c>
      <c r="F145" s="34" t="e">
        <f>VLOOKUP(A1,DIV_09Data!$A$1:$DZU$1000000,2455,FALSE)</f>
        <v>#N/A</v>
      </c>
      <c r="G145" s="33" t="e">
        <f>VLOOKUP(A1,DIV_09Data!$A$1:$DZU$1000000,2456,FALSE)</f>
        <v>#N/A</v>
      </c>
      <c r="H145" s="34" t="e">
        <f>VLOOKUP(A1,DIV_09Data!$A$1:$DZU$1000000,2457,FALSE)</f>
        <v>#N/A</v>
      </c>
      <c r="I145" s="33" t="e">
        <f>VLOOKUP(A1,DIV_09Data!$A$1:$DZU$1000000,2458,FALSE)</f>
        <v>#N/A</v>
      </c>
      <c r="J145" s="34" t="e">
        <f>VLOOKUP(A1,DIV_09Data!$A$1:$DZU$1000000,2459,FALSE)</f>
        <v>#N/A</v>
      </c>
      <c r="K145" s="34" t="e">
        <f>VLOOKUP(A1,DIV_09Data!$A$1:$DZU$1000000,2460,FALSE)</f>
        <v>#N/A</v>
      </c>
      <c r="L145" s="93" t="e">
        <f>VLOOKUP(A1,DIV_09Data!$A$1:$DZU$1000000,2461,FALSE)</f>
        <v>#N/A</v>
      </c>
      <c r="M145" s="33" t="e">
        <f>VLOOKUP(A1,DIV_09Data!$A$1:$DZU$1000000,2462,FALSE)</f>
        <v>#N/A</v>
      </c>
      <c r="N145" s="34" t="e">
        <f>VLOOKUP(A1,DIV_09Data!$A$1:$DZU$1000000,2463,FALSE)</f>
        <v>#N/A</v>
      </c>
      <c r="O145" s="33" t="e">
        <f>VLOOKUP(A1,DIV_09Data!$A$1:$DZU$1000000,2464,FALSE)</f>
        <v>#N/A</v>
      </c>
      <c r="P145" s="46" t="e">
        <f>VLOOKUP(A1,DIV_09Data!$A$1:$DZU$1000000,2465,FALSE)</f>
        <v>#N/A</v>
      </c>
      <c r="Q145" s="33" t="e">
        <f>VLOOKUP(A1,DIV_09Data!$A$1:$DZU$1000000,2466,FALSE)</f>
        <v>#N/A</v>
      </c>
    </row>
    <row r="146" spans="1:17" x14ac:dyDescent="0.35">
      <c r="A146" s="22" t="e">
        <f>VLOOKUP(A1,DIV_09Data!$A$1:$DZU$1000000,2467,FALSE)</f>
        <v>#N/A</v>
      </c>
      <c r="B146" s="37" t="e">
        <f>VLOOKUP(A1,DIV_09Data!$A$1:$DZU$1000000,2468,FALSE)</f>
        <v>#N/A</v>
      </c>
      <c r="C146" s="38" t="e">
        <f>VLOOKUP(A1,DIV_09Data!$A$1:$DZU$1000000,2469,FALSE)</f>
        <v>#N/A</v>
      </c>
      <c r="D146" s="31" t="e">
        <f>VLOOKUP(A1,DIV_09Data!$A$1:$DZU$1000000,2470,FALSE)</f>
        <v>#N/A</v>
      </c>
      <c r="E146" s="32" t="e">
        <f>VLOOKUP(A1,DIV_09Data!$A$1:$DZU$1000000,2471,FALSE)</f>
        <v>#N/A</v>
      </c>
      <c r="F146" s="34" t="e">
        <f>VLOOKUP(A1,DIV_09Data!$A$1:$DZU$1000000,2472,FALSE)</f>
        <v>#N/A</v>
      </c>
      <c r="G146" s="33" t="e">
        <f>VLOOKUP(A1,DIV_09Data!$A$1:$DZU$1000000,2473,FALSE)</f>
        <v>#N/A</v>
      </c>
      <c r="H146" s="34" t="e">
        <f>VLOOKUP(A1,DIV_09Data!$A$1:$DZU$1000000,2474,FALSE)</f>
        <v>#N/A</v>
      </c>
      <c r="I146" s="33" t="e">
        <f>VLOOKUP(A1,DIV_09Data!$A$1:$DZU$1000000,2475,FALSE)</f>
        <v>#N/A</v>
      </c>
      <c r="J146" s="34" t="e">
        <f>VLOOKUP(A1,DIV_09Data!$A$1:$DZU$1000000,2476,FALSE)</f>
        <v>#N/A</v>
      </c>
      <c r="K146" s="34" t="e">
        <f>VLOOKUP(A1,DIV_09Data!$A$1:$DZU$1000000,2477,FALSE)</f>
        <v>#N/A</v>
      </c>
      <c r="L146" s="93" t="e">
        <f>VLOOKUP(A1,DIV_09Data!$A$1:$DZU$1000000,2478,FALSE)</f>
        <v>#N/A</v>
      </c>
      <c r="M146" s="33" t="e">
        <f>VLOOKUP(A1,DIV_09Data!$A$1:$DZU$1000000,2479,FALSE)</f>
        <v>#N/A</v>
      </c>
      <c r="N146" s="34" t="e">
        <f>VLOOKUP(A1,DIV_09Data!$A$1:$DZU$1000000,2480,FALSE)</f>
        <v>#N/A</v>
      </c>
      <c r="O146" s="33" t="e">
        <f>VLOOKUP(A1,DIV_09Data!$A$1:$DZU$1000000,2481,FALSE)</f>
        <v>#N/A</v>
      </c>
      <c r="P146" s="46" t="e">
        <f>VLOOKUP(A1,DIV_09Data!$A$1:$DZU$1000000,2482,FALSE)</f>
        <v>#N/A</v>
      </c>
      <c r="Q146" s="33" t="e">
        <f>VLOOKUP(A1,DIV_09Data!$A$1:$DZU$1000000,2483,FALSE)</f>
        <v>#N/A</v>
      </c>
    </row>
    <row r="147" spans="1:17" x14ac:dyDescent="0.35">
      <c r="A147" s="22" t="e">
        <f>VLOOKUP(A1,DIV_09Data!$A$1:$DZU$1000000,2484,FALSE)</f>
        <v>#N/A</v>
      </c>
      <c r="B147" s="37" t="e">
        <f>VLOOKUP(A1,DIV_09Data!$A$1:$DZU$1000000,2485,FALSE)</f>
        <v>#N/A</v>
      </c>
      <c r="C147" s="38" t="e">
        <f>VLOOKUP(A1,DIV_09Data!$A$1:$DZU$1000000,2486,FALSE)</f>
        <v>#N/A</v>
      </c>
      <c r="D147" s="31" t="e">
        <f>VLOOKUP(A1,DIV_09Data!$A$1:$DZU$1000000,2487,FALSE)</f>
        <v>#N/A</v>
      </c>
      <c r="E147" s="32" t="e">
        <f>VLOOKUP(A1,DIV_09Data!$A$1:$DZU$1000000,2488,FALSE)</f>
        <v>#N/A</v>
      </c>
      <c r="F147" s="34" t="e">
        <f>VLOOKUP(A1,DIV_09Data!$A$1:$DZU$1000000,2489,FALSE)</f>
        <v>#N/A</v>
      </c>
      <c r="G147" s="33" t="e">
        <f>VLOOKUP(A1,DIV_09Data!$A$1:$DZU$1000000,2490,FALSE)</f>
        <v>#N/A</v>
      </c>
      <c r="H147" s="34" t="e">
        <f>VLOOKUP(A1,DIV_09Data!$A$1:$DZU$1000000,2491,FALSE)</f>
        <v>#N/A</v>
      </c>
      <c r="I147" s="33" t="e">
        <f>VLOOKUP(A1,DIV_09Data!$A$1:$DZU$1000000,2492,FALSE)</f>
        <v>#N/A</v>
      </c>
      <c r="J147" s="34" t="e">
        <f>VLOOKUP(A1,DIV_09Data!$A$1:$DZU$1000000,2493,FALSE)</f>
        <v>#N/A</v>
      </c>
      <c r="K147" s="34" t="e">
        <f>VLOOKUP(A1,DIV_09Data!$A$1:$DZU$1000000,2494,FALSE)</f>
        <v>#N/A</v>
      </c>
      <c r="L147" s="93" t="e">
        <f>VLOOKUP(A1,DIV_09Data!$A$1:$DZU$1000000,2495,FALSE)</f>
        <v>#N/A</v>
      </c>
      <c r="M147" s="33" t="e">
        <f>VLOOKUP(A1,DIV_09Data!$A$1:$DZU$1000000,2496,FALSE)</f>
        <v>#N/A</v>
      </c>
      <c r="N147" s="34" t="e">
        <f>VLOOKUP(A1,DIV_09Data!$A$1:$DZU$1000000,2497,FALSE)</f>
        <v>#N/A</v>
      </c>
      <c r="O147" s="33" t="e">
        <f>VLOOKUP(A1,DIV_09Data!$A$1:$DZU$1000000,2498,FALSE)</f>
        <v>#N/A</v>
      </c>
      <c r="P147" s="46" t="e">
        <f>VLOOKUP(A1,DIV_09Data!$A$1:$DZU$1000000,2499,FALSE)</f>
        <v>#N/A</v>
      </c>
      <c r="Q147" s="33" t="e">
        <f>VLOOKUP(A1,DIV_09Data!$A$1:$DZU$1000000,2500,FALSE)</f>
        <v>#N/A</v>
      </c>
    </row>
    <row r="148" spans="1:17" x14ac:dyDescent="0.35">
      <c r="A148" s="22" t="e">
        <f>VLOOKUP(A1,DIV_09Data!$A$1:$DZU$1000000,2501,FALSE)</f>
        <v>#N/A</v>
      </c>
      <c r="B148" s="37" t="e">
        <f>VLOOKUP(A1,DIV_09Data!$A$1:$DZU$1000000,2502,FALSE)</f>
        <v>#N/A</v>
      </c>
      <c r="C148" s="38" t="e">
        <f>VLOOKUP(A1,DIV_09Data!$A$1:$DZU$1000000,2503,FALSE)</f>
        <v>#N/A</v>
      </c>
      <c r="D148" s="31" t="e">
        <f>VLOOKUP(A1,DIV_09Data!$A$1:$DZU$1000000,2504,FALSE)</f>
        <v>#N/A</v>
      </c>
      <c r="E148" s="32" t="e">
        <f>VLOOKUP(A1,DIV_09Data!$A$1:$DZU$1000000,2505,FALSE)</f>
        <v>#N/A</v>
      </c>
      <c r="F148" s="34" t="e">
        <f>VLOOKUP(A1,DIV_09Data!$A$1:$DZU$1000000,2506,FALSE)</f>
        <v>#N/A</v>
      </c>
      <c r="G148" s="33" t="e">
        <f>VLOOKUP(A1,DIV_09Data!$A$1:$DZU$1000000,2507,FALSE)</f>
        <v>#N/A</v>
      </c>
      <c r="H148" s="34" t="e">
        <f>VLOOKUP(A1,DIV_09Data!$A$1:$DZU$1000000,2508,FALSE)</f>
        <v>#N/A</v>
      </c>
      <c r="I148" s="33" t="e">
        <f>VLOOKUP(A1,DIV_09Data!$A$1:$DZU$1000000,2509,FALSE)</f>
        <v>#N/A</v>
      </c>
      <c r="J148" s="34" t="e">
        <f>VLOOKUP(A1,DIV_09Data!$A$1:$DZU$1000000,2510,FALSE)</f>
        <v>#N/A</v>
      </c>
      <c r="K148" s="34" t="e">
        <f>VLOOKUP(A1,DIV_09Data!$A$1:$DZU$1000000,2511,FALSE)</f>
        <v>#N/A</v>
      </c>
      <c r="L148" s="93" t="e">
        <f>VLOOKUP(A1,DIV_09Data!$A$1:$DZU$1000000,2512,FALSE)</f>
        <v>#N/A</v>
      </c>
      <c r="M148" s="33" t="e">
        <f>VLOOKUP(A1,DIV_09Data!$A$1:$DZU$1000000,2513,FALSE)</f>
        <v>#N/A</v>
      </c>
      <c r="N148" s="34" t="e">
        <f>VLOOKUP(A1,DIV_09Data!$A$1:$DZU$1000000,2514,FALSE)</f>
        <v>#N/A</v>
      </c>
      <c r="O148" s="33" t="e">
        <f>VLOOKUP(A1,DIV_09Data!$A$1:$DZU$1000000,2515,FALSE)</f>
        <v>#N/A</v>
      </c>
      <c r="P148" s="46" t="e">
        <f>VLOOKUP(A1,DIV_09Data!$A$1:$DZU$1000000,2516,FALSE)</f>
        <v>#N/A</v>
      </c>
      <c r="Q148" s="33" t="e">
        <f>VLOOKUP(A1,DIV_09Data!$A$1:$DZU$1000000,2517,FALSE)</f>
        <v>#N/A</v>
      </c>
    </row>
    <row r="149" spans="1:17" x14ac:dyDescent="0.35">
      <c r="A149" s="22" t="e">
        <f>VLOOKUP(A1,DIV_09Data!$A$1:$DZU$1000000,2518,FALSE)</f>
        <v>#N/A</v>
      </c>
      <c r="B149" s="37" t="e">
        <f>VLOOKUP(A1,DIV_09Data!$A$1:$DZU$1000000,2519,FALSE)</f>
        <v>#N/A</v>
      </c>
      <c r="C149" s="38" t="e">
        <f>VLOOKUP(A1,DIV_09Data!$A$1:$DZU$1000000,2520,FALSE)</f>
        <v>#N/A</v>
      </c>
      <c r="D149" s="31" t="e">
        <f>VLOOKUP(A1,DIV_09Data!$A$1:$DZU$1000000,2521,FALSE)</f>
        <v>#N/A</v>
      </c>
      <c r="E149" s="32" t="e">
        <f>VLOOKUP(A1,DIV_09Data!$A$1:$DZU$1000000,2522,FALSE)</f>
        <v>#N/A</v>
      </c>
      <c r="F149" s="34" t="e">
        <f>VLOOKUP(A1,DIV_09Data!$A$1:$DZU$1000000,2523,FALSE)</f>
        <v>#N/A</v>
      </c>
      <c r="G149" s="33" t="e">
        <f>VLOOKUP(A1,DIV_09Data!$A$1:$DZU$1000000,2524,FALSE)</f>
        <v>#N/A</v>
      </c>
      <c r="H149" s="34" t="e">
        <f>VLOOKUP(A1,DIV_09Data!$A$1:$DZU$1000000,2525,FALSE)</f>
        <v>#N/A</v>
      </c>
      <c r="I149" s="33" t="e">
        <f>VLOOKUP(A1,DIV_09Data!$A$1:$DZU$1000000,2526,FALSE)</f>
        <v>#N/A</v>
      </c>
      <c r="J149" s="34" t="e">
        <f>VLOOKUP(A1,DIV_09Data!$A$1:$DZU$1000000,2527,FALSE)</f>
        <v>#N/A</v>
      </c>
      <c r="K149" s="34" t="e">
        <f>VLOOKUP(A1,DIV_09Data!$A$1:$DZU$1000000,2528,FALSE)</f>
        <v>#N/A</v>
      </c>
      <c r="L149" s="93" t="e">
        <f>VLOOKUP(A1,DIV_09Data!$A$1:$DZU$1000000,2529,FALSE)</f>
        <v>#N/A</v>
      </c>
      <c r="M149" s="33" t="e">
        <f>VLOOKUP(A1,DIV_09Data!$A$1:$DZU$1000000,2530,FALSE)</f>
        <v>#N/A</v>
      </c>
      <c r="N149" s="34" t="e">
        <f>VLOOKUP(A1,DIV_09Data!$A$1:$DZU$1000000,2531,FALSE)</f>
        <v>#N/A</v>
      </c>
      <c r="O149" s="33" t="e">
        <f>VLOOKUP(A1,DIV_09Data!$A$1:$DZU$1000000,2532,FALSE)</f>
        <v>#N/A</v>
      </c>
      <c r="P149" s="46" t="e">
        <f>VLOOKUP(A1,DIV_09Data!$A$1:$DZU$1000000,2533,FALSE)</f>
        <v>#N/A</v>
      </c>
      <c r="Q149" s="33" t="e">
        <f>VLOOKUP(A1,DIV_09Data!$A$1:$DZU$1000000,2534,FALSE)</f>
        <v>#N/A</v>
      </c>
    </row>
    <row r="150" spans="1:17" x14ac:dyDescent="0.35">
      <c r="A150" s="22" t="e">
        <f>VLOOKUP(A1,DIV_09Data!$A$1:$DZU$1000000,2535,FALSE)</f>
        <v>#N/A</v>
      </c>
      <c r="B150" s="37" t="e">
        <f>VLOOKUP(A1,DIV_09Data!$A$1:$DZU$1000000,2536,FALSE)</f>
        <v>#N/A</v>
      </c>
      <c r="C150" s="38" t="e">
        <f>VLOOKUP(A1,DIV_09Data!$A$1:$DZU$1000000,2537,FALSE)</f>
        <v>#N/A</v>
      </c>
      <c r="D150" s="31" t="e">
        <f>VLOOKUP(A1,DIV_09Data!$A$1:$DZU$1000000,2538,FALSE)</f>
        <v>#N/A</v>
      </c>
      <c r="E150" s="32" t="e">
        <f>VLOOKUP(A1,DIV_09Data!$A$1:$DZU$1000000,2539,FALSE)</f>
        <v>#N/A</v>
      </c>
      <c r="F150" s="34" t="e">
        <f>VLOOKUP(A1,DIV_09Data!$A$1:$DZU$1000000,2540,FALSE)</f>
        <v>#N/A</v>
      </c>
      <c r="G150" s="33" t="e">
        <f>VLOOKUP(A1,DIV_09Data!$A$1:$DZU$1000000,2541,FALSE)</f>
        <v>#N/A</v>
      </c>
      <c r="H150" s="34" t="e">
        <f>VLOOKUP(A1,DIV_09Data!$A$1:$DZU$1000000,2542,FALSE)</f>
        <v>#N/A</v>
      </c>
      <c r="I150" s="33" t="e">
        <f>VLOOKUP(A1,DIV_09Data!$A$1:$DZU$1000000,2543,FALSE)</f>
        <v>#N/A</v>
      </c>
      <c r="J150" s="34" t="e">
        <f>VLOOKUP(A1,DIV_09Data!$A$1:$DZU$1000000,2544,FALSE)</f>
        <v>#N/A</v>
      </c>
      <c r="K150" s="34" t="e">
        <f>VLOOKUP(A1,DIV_09Data!$A$1:$DZU$1000000,2545,FALSE)</f>
        <v>#N/A</v>
      </c>
      <c r="L150" s="93" t="e">
        <f>VLOOKUP(A1,DIV_09Data!$A$1:$DZU$1000000,2546,FALSE)</f>
        <v>#N/A</v>
      </c>
      <c r="M150" s="33" t="e">
        <f>VLOOKUP(A1,DIV_09Data!$A$1:$DZU$1000000,2547,FALSE)</f>
        <v>#N/A</v>
      </c>
      <c r="N150" s="34" t="e">
        <f>VLOOKUP(A1,DIV_09Data!$A$1:$DZU$1000000,2548,FALSE)</f>
        <v>#N/A</v>
      </c>
      <c r="O150" s="33" t="e">
        <f>VLOOKUP(A1,DIV_09Data!$A$1:$DZU$1000000,2549,FALSE)</f>
        <v>#N/A</v>
      </c>
      <c r="P150" s="46" t="e">
        <f>VLOOKUP(A1,DIV_09Data!$A$1:$DZU$1000000,2550,FALSE)</f>
        <v>#N/A</v>
      </c>
      <c r="Q150" s="33" t="e">
        <f>VLOOKUP(A1,DIV_09Data!$A$1:$DZU$1000000,2551,FALSE)</f>
        <v>#N/A</v>
      </c>
    </row>
    <row r="151" spans="1:17" x14ac:dyDescent="0.35">
      <c r="A151" s="22" t="e">
        <f>VLOOKUP(A1,DIV_09Data!$A$1:$DZU$1000000,2552,FALSE)</f>
        <v>#N/A</v>
      </c>
      <c r="B151" s="37" t="e">
        <f>VLOOKUP(A1,DIV_09Data!$A$1:$DZU$1000000,2553,FALSE)</f>
        <v>#N/A</v>
      </c>
      <c r="C151" s="38" t="e">
        <f>VLOOKUP(A1,DIV_09Data!$A$1:$DZU$1000000,2554,FALSE)</f>
        <v>#N/A</v>
      </c>
      <c r="D151" s="31" t="e">
        <f>VLOOKUP(A1,DIV_09Data!$A$1:$DZU$1000000,2555,FALSE)</f>
        <v>#N/A</v>
      </c>
      <c r="E151" s="32" t="e">
        <f>VLOOKUP(A1,DIV_09Data!$A$1:$DZU$1000000,2556,FALSE)</f>
        <v>#N/A</v>
      </c>
      <c r="F151" s="34" t="e">
        <f>VLOOKUP(A1,DIV_09Data!$A$1:$DZU$1000000,2557,FALSE)</f>
        <v>#N/A</v>
      </c>
      <c r="G151" s="33" t="e">
        <f>VLOOKUP(A1,DIV_09Data!$A$1:$DZU$1000000,2558,FALSE)</f>
        <v>#N/A</v>
      </c>
      <c r="H151" s="34" t="e">
        <f>VLOOKUP(A1,DIV_09Data!$A$1:$DZU$1000000,2559,FALSE)</f>
        <v>#N/A</v>
      </c>
      <c r="I151" s="33" t="e">
        <f>VLOOKUP(A1,DIV_09Data!$A$1:$DZU$1000000,2560,FALSE)</f>
        <v>#N/A</v>
      </c>
      <c r="J151" s="34" t="e">
        <f>VLOOKUP(A1,DIV_09Data!$A$1:$DZU$1000000,2561,FALSE)</f>
        <v>#N/A</v>
      </c>
      <c r="K151" s="34" t="e">
        <f>VLOOKUP(A1,DIV_09Data!$A$1:$DZU$1000000,2562,FALSE)</f>
        <v>#N/A</v>
      </c>
      <c r="L151" s="93" t="e">
        <f>VLOOKUP(A1,DIV_09Data!$A$1:$DZU$1000000,2563,FALSE)</f>
        <v>#N/A</v>
      </c>
      <c r="M151" s="33" t="e">
        <f>VLOOKUP(A1,DIV_09Data!$A$1:$DZU$1000000,2564,FALSE)</f>
        <v>#N/A</v>
      </c>
      <c r="N151" s="34" t="e">
        <f>VLOOKUP(A1,DIV_09Data!$A$1:$DZU$1000000,2565,FALSE)</f>
        <v>#N/A</v>
      </c>
      <c r="O151" s="33" t="e">
        <f>VLOOKUP(A1,DIV_09Data!$A$1:$DZU$1000000,2566,FALSE)</f>
        <v>#N/A</v>
      </c>
      <c r="P151" s="46" t="e">
        <f>VLOOKUP(A1,DIV_09Data!$A$1:$DZU$1000000,2567,FALSE)</f>
        <v>#N/A</v>
      </c>
      <c r="Q151" s="33" t="e">
        <f>VLOOKUP(A1,DIV_09Data!$A$1:$DZU$1000000,2568,FALSE)</f>
        <v>#N/A</v>
      </c>
    </row>
    <row r="152" spans="1:17" x14ac:dyDescent="0.35">
      <c r="A152" s="22" t="e">
        <f>VLOOKUP(A1,DIV_09Data!$A$1:$DZU$1000000,2569,FALSE)</f>
        <v>#N/A</v>
      </c>
      <c r="B152" s="37" t="e">
        <f>VLOOKUP(A1,DIV_09Data!$A$1:$DZU$1000000,2570,FALSE)</f>
        <v>#N/A</v>
      </c>
      <c r="C152" s="38" t="e">
        <f>VLOOKUP(A1,DIV_09Data!$A$1:$DZU$1000000,2571,FALSE)</f>
        <v>#N/A</v>
      </c>
      <c r="D152" s="31" t="e">
        <f>VLOOKUP(A1,DIV_09Data!$A$1:$DZU$1000000,2572,FALSE)</f>
        <v>#N/A</v>
      </c>
      <c r="E152" s="32" t="e">
        <f>VLOOKUP(A1,DIV_09Data!$A$1:$DZU$1000000,2573,FALSE)</f>
        <v>#N/A</v>
      </c>
      <c r="F152" s="34" t="e">
        <f>VLOOKUP(A1,DIV_09Data!$A$1:$DZU$1000000,2574,FALSE)</f>
        <v>#N/A</v>
      </c>
      <c r="G152" s="33" t="e">
        <f>VLOOKUP(A1,DIV_09Data!$A$1:$DZU$1000000,2575,FALSE)</f>
        <v>#N/A</v>
      </c>
      <c r="H152" s="34" t="e">
        <f>VLOOKUP(A1,DIV_09Data!$A$1:$DZU$1000000,2576,FALSE)</f>
        <v>#N/A</v>
      </c>
      <c r="I152" s="33" t="e">
        <f>VLOOKUP(A1,DIV_09Data!$A$1:$DZU$1000000,2577,FALSE)</f>
        <v>#N/A</v>
      </c>
      <c r="J152" s="34" t="e">
        <f>VLOOKUP(A1,DIV_09Data!$A$1:$DZU$1000000,2578,FALSE)</f>
        <v>#N/A</v>
      </c>
      <c r="K152" s="34" t="e">
        <f>VLOOKUP(A1,DIV_09Data!$A$1:$DZU$1000000,2579,FALSE)</f>
        <v>#N/A</v>
      </c>
      <c r="L152" s="93" t="e">
        <f>VLOOKUP(A1,DIV_09Data!$A$1:$DZU$1000000,2580,FALSE)</f>
        <v>#N/A</v>
      </c>
      <c r="M152" s="33" t="e">
        <f>VLOOKUP(A1,DIV_09Data!$A$1:$DZU$1000000,2581,FALSE)</f>
        <v>#N/A</v>
      </c>
      <c r="N152" s="34" t="e">
        <f>VLOOKUP(A1,DIV_09Data!$A$1:$DZU$1000000,2582,FALSE)</f>
        <v>#N/A</v>
      </c>
      <c r="O152" s="33" t="e">
        <f>VLOOKUP(A1,DIV_09Data!$A$1:$DZU$1000000,2583,FALSE)</f>
        <v>#N/A</v>
      </c>
      <c r="P152" s="46" t="e">
        <f>VLOOKUP(A1,DIV_09Data!$A$1:$DZU$1000000,2584,FALSE)</f>
        <v>#N/A</v>
      </c>
      <c r="Q152" s="33" t="e">
        <f>VLOOKUP(A1,DIV_09Data!$A$1:$DZU$1000000,2585,FALSE)</f>
        <v>#N/A</v>
      </c>
    </row>
    <row r="153" spans="1:17" x14ac:dyDescent="0.35">
      <c r="A153" s="22" t="e">
        <f>VLOOKUP(A1,DIV_09Data!$A$1:$DZU$1000000,2586,FALSE)</f>
        <v>#N/A</v>
      </c>
      <c r="B153" s="37" t="e">
        <f>VLOOKUP(A1,DIV_09Data!$A$1:$DZU$1000000,2587,FALSE)</f>
        <v>#N/A</v>
      </c>
      <c r="C153" s="38" t="e">
        <f>VLOOKUP(A1,DIV_09Data!$A$1:$DZU$1000000,2588,FALSE)</f>
        <v>#N/A</v>
      </c>
      <c r="D153" s="31" t="e">
        <f>VLOOKUP(A1,DIV_09Data!$A$1:$DZU$1000000,2589,FALSE)</f>
        <v>#N/A</v>
      </c>
      <c r="E153" s="32" t="e">
        <f>VLOOKUP(A1,DIV_09Data!$A$1:$DZU$1000000,2590,FALSE)</f>
        <v>#N/A</v>
      </c>
      <c r="F153" s="34" t="e">
        <f>VLOOKUP(A1,DIV_09Data!$A$1:$DZU$1000000,2591,FALSE)</f>
        <v>#N/A</v>
      </c>
      <c r="G153" s="33" t="e">
        <f>VLOOKUP(A1,DIV_09Data!$A$1:$DZU$1000000,2592,FALSE)</f>
        <v>#N/A</v>
      </c>
      <c r="H153" s="34" t="e">
        <f>VLOOKUP(A1,DIV_09Data!$A$1:$DZU$1000000,2593,FALSE)</f>
        <v>#N/A</v>
      </c>
      <c r="I153" s="33" t="e">
        <f>VLOOKUP(A1,DIV_09Data!$A$1:$DZU$1000000,2594,FALSE)</f>
        <v>#N/A</v>
      </c>
      <c r="J153" s="34" t="e">
        <f>VLOOKUP(A1,DIV_09Data!$A$1:$DZU$1000000,2595,FALSE)</f>
        <v>#N/A</v>
      </c>
      <c r="K153" s="34" t="e">
        <f>VLOOKUP(A1,DIV_09Data!$A$1:$DZU$1000000,2596,FALSE)</f>
        <v>#N/A</v>
      </c>
      <c r="L153" s="93" t="e">
        <f>VLOOKUP(A1,DIV_09Data!$A$1:$DZU$1000000,2597,FALSE)</f>
        <v>#N/A</v>
      </c>
      <c r="M153" s="33" t="e">
        <f>VLOOKUP(A1,DIV_09Data!$A$1:$DZU$1000000,2598,FALSE)</f>
        <v>#N/A</v>
      </c>
      <c r="N153" s="34" t="e">
        <f>VLOOKUP(A1,DIV_09Data!$A$1:$DZU$1000000,2599,FALSE)</f>
        <v>#N/A</v>
      </c>
      <c r="O153" s="33" t="e">
        <f>VLOOKUP(A1,DIV_09Data!$A$1:$DZU$1000000,2600,FALSE)</f>
        <v>#N/A</v>
      </c>
      <c r="P153" s="46" t="e">
        <f>VLOOKUP(A1,DIV_09Data!$A$1:$DZU$1000000,2601,FALSE)</f>
        <v>#N/A</v>
      </c>
      <c r="Q153" s="33" t="e">
        <f>VLOOKUP(A1,DIV_09Data!$A$1:$DZU$1000000,2602,FALSE)</f>
        <v>#N/A</v>
      </c>
    </row>
    <row r="154" spans="1:17" x14ac:dyDescent="0.35">
      <c r="A154" s="22" t="e">
        <f>VLOOKUP(A1,DIV_09Data!$A$1:$DZU$1000000,2603,FALSE)</f>
        <v>#N/A</v>
      </c>
      <c r="B154" s="37" t="e">
        <f>VLOOKUP(A1,DIV_09Data!$A$1:$DZU$1000000,2604,FALSE)</f>
        <v>#N/A</v>
      </c>
      <c r="C154" s="38" t="e">
        <f>VLOOKUP(A1,DIV_09Data!$A$1:$DZU$1000000,2605,FALSE)</f>
        <v>#N/A</v>
      </c>
      <c r="D154" s="31" t="e">
        <f>VLOOKUP(A1,DIV_09Data!$A$1:$DZU$1000000,2606,FALSE)</f>
        <v>#N/A</v>
      </c>
      <c r="E154" s="32" t="e">
        <f>VLOOKUP(A1,DIV_09Data!$A$1:$DZU$1000000,2607,FALSE)</f>
        <v>#N/A</v>
      </c>
      <c r="F154" s="34" t="e">
        <f>VLOOKUP(A1,DIV_09Data!$A$1:$DZU$1000000,2608,FALSE)</f>
        <v>#N/A</v>
      </c>
      <c r="G154" s="33" t="e">
        <f>VLOOKUP(A1,DIV_09Data!$A$1:$DZU$1000000,2609,FALSE)</f>
        <v>#N/A</v>
      </c>
      <c r="H154" s="34" t="e">
        <f>VLOOKUP(A1,DIV_09Data!$A$1:$DZU$1000000,2610,FALSE)</f>
        <v>#N/A</v>
      </c>
      <c r="I154" s="33" t="e">
        <f>VLOOKUP(A1,DIV_09Data!$A$1:$DZU$1000000,2611,FALSE)</f>
        <v>#N/A</v>
      </c>
      <c r="J154" s="34" t="e">
        <f>VLOOKUP(A1,DIV_09Data!$A$1:$DZU$1000000,2612,FALSE)</f>
        <v>#N/A</v>
      </c>
      <c r="K154" s="34" t="e">
        <f>VLOOKUP(A1,DIV_09Data!$A$1:$DZU$1000000,2613,FALSE)</f>
        <v>#N/A</v>
      </c>
      <c r="L154" s="93" t="e">
        <f>VLOOKUP(A1,DIV_09Data!$A$1:$DZU$1000000,2614,FALSE)</f>
        <v>#N/A</v>
      </c>
      <c r="M154" s="33" t="e">
        <f>VLOOKUP(A1,DIV_09Data!$A$1:$DZU$1000000,2615,FALSE)</f>
        <v>#N/A</v>
      </c>
      <c r="N154" s="34" t="e">
        <f>VLOOKUP(A1,DIV_09Data!$A$1:$DZU$1000000,2616,FALSE)</f>
        <v>#N/A</v>
      </c>
      <c r="O154" s="33" t="e">
        <f>VLOOKUP(A1,DIV_09Data!$A$1:$DZU$1000000,2617,FALSE)</f>
        <v>#N/A</v>
      </c>
      <c r="P154" s="46" t="e">
        <f>VLOOKUP(A1,DIV_09Data!$A$1:$DZU$1000000,2618,FALSE)</f>
        <v>#N/A</v>
      </c>
      <c r="Q154" s="33" t="e">
        <f>VLOOKUP(A1,DIV_09Data!$A$1:$DZU$1000000,2619,FALSE)</f>
        <v>#N/A</v>
      </c>
    </row>
    <row r="155" spans="1:17" x14ac:dyDescent="0.35">
      <c r="A155" s="22" t="e">
        <f>VLOOKUP(A1,DIV_09Data!$A$1:$DZU$1000000,2620,FALSE)</f>
        <v>#N/A</v>
      </c>
      <c r="B155" s="37" t="e">
        <f>VLOOKUP(A1,DIV_09Data!$A$1:$DZU$1000000,2621,FALSE)</f>
        <v>#N/A</v>
      </c>
      <c r="C155" s="38" t="e">
        <f>VLOOKUP(A1,DIV_09Data!$A$1:$DZU$1000000,2622,FALSE)</f>
        <v>#N/A</v>
      </c>
      <c r="D155" s="31" t="e">
        <f>VLOOKUP(A1,DIV_09Data!$A$1:$DZU$1000000,2623,FALSE)</f>
        <v>#N/A</v>
      </c>
      <c r="E155" s="32" t="e">
        <f>VLOOKUP(A1,DIV_09Data!$A$1:$DZU$1000000,2624,FALSE)</f>
        <v>#N/A</v>
      </c>
      <c r="F155" s="34" t="e">
        <f>VLOOKUP(A1,DIV_09Data!$A$1:$DZU$1000000,2625,FALSE)</f>
        <v>#N/A</v>
      </c>
      <c r="G155" s="33" t="e">
        <f>VLOOKUP(A1,DIV_09Data!$A$1:$DZU$1000000,2626,FALSE)</f>
        <v>#N/A</v>
      </c>
      <c r="H155" s="34" t="e">
        <f>VLOOKUP(A1,DIV_09Data!$A$1:$DZU$1000000,2627,FALSE)</f>
        <v>#N/A</v>
      </c>
      <c r="I155" s="33" t="e">
        <f>VLOOKUP(A1,DIV_09Data!$A$1:$DZU$1000000,2628,FALSE)</f>
        <v>#N/A</v>
      </c>
      <c r="J155" s="34" t="e">
        <f>VLOOKUP(A1,DIV_09Data!$A$1:$DZU$1000000,2629,FALSE)</f>
        <v>#N/A</v>
      </c>
      <c r="K155" s="34" t="e">
        <f>VLOOKUP(A1,DIV_09Data!$A$1:$DZU$1000000,2630,FALSE)</f>
        <v>#N/A</v>
      </c>
      <c r="L155" s="93" t="e">
        <f>VLOOKUP(A1,DIV_09Data!$A$1:$DZU$1000000,2631,FALSE)</f>
        <v>#N/A</v>
      </c>
      <c r="M155" s="33" t="e">
        <f>VLOOKUP(A1,DIV_09Data!$A$1:$DZU$1000000,2632,FALSE)</f>
        <v>#N/A</v>
      </c>
      <c r="N155" s="34" t="e">
        <f>VLOOKUP(A1,DIV_09Data!$A$1:$DZU$1000000,2633,FALSE)</f>
        <v>#N/A</v>
      </c>
      <c r="O155" s="33" t="e">
        <f>VLOOKUP(A1,DIV_09Data!$A$1:$DZU$1000000,2634,FALSE)</f>
        <v>#N/A</v>
      </c>
      <c r="P155" s="46" t="e">
        <f>VLOOKUP(A1,DIV_09Data!$A$1:$DZU$1000000,2635,FALSE)</f>
        <v>#N/A</v>
      </c>
      <c r="Q155" s="33" t="e">
        <f>VLOOKUP(A1,DIV_09Data!$A$1:$DZU$1000000,2636,FALSE)</f>
        <v>#N/A</v>
      </c>
    </row>
    <row r="156" spans="1:17" x14ac:dyDescent="0.35">
      <c r="A156" s="22" t="e">
        <f>VLOOKUP(A1,DIV_09Data!$A$1:$DZU$1000000,2637,FALSE)</f>
        <v>#N/A</v>
      </c>
      <c r="B156" s="37" t="e">
        <f>VLOOKUP(A1,DIV_09Data!$A$1:$DZU$1000000,2638,FALSE)</f>
        <v>#N/A</v>
      </c>
      <c r="C156" s="38" t="e">
        <f>VLOOKUP(A1,DIV_09Data!$A$1:$DZU$1000000,2639,FALSE)</f>
        <v>#N/A</v>
      </c>
      <c r="D156" s="31" t="e">
        <f>VLOOKUP(A1,DIV_09Data!$A$1:$DZU$1000000,2640,FALSE)</f>
        <v>#N/A</v>
      </c>
      <c r="E156" s="32" t="e">
        <f>VLOOKUP(A1,DIV_09Data!$A$1:$DZU$1000000,2641,FALSE)</f>
        <v>#N/A</v>
      </c>
      <c r="F156" s="34" t="e">
        <f>VLOOKUP(A1,DIV_09Data!$A$1:$DZU$1000000,2642,FALSE)</f>
        <v>#N/A</v>
      </c>
      <c r="G156" s="33" t="e">
        <f>VLOOKUP(A1,DIV_09Data!$A$1:$DZU$1000000,2643,FALSE)</f>
        <v>#N/A</v>
      </c>
      <c r="H156" s="34" t="e">
        <f>VLOOKUP(A1,DIV_09Data!$A$1:$DZU$1000000,2644,FALSE)</f>
        <v>#N/A</v>
      </c>
      <c r="I156" s="33" t="e">
        <f>VLOOKUP(A1,DIV_09Data!$A$1:$DZU$1000000,2645,FALSE)</f>
        <v>#N/A</v>
      </c>
      <c r="J156" s="34" t="e">
        <f>VLOOKUP(A1,DIV_09Data!$A$1:$DZU$1000000,2646,FALSE)</f>
        <v>#N/A</v>
      </c>
      <c r="K156" s="34" t="e">
        <f>VLOOKUP(A1,DIV_09Data!$A$1:$DZU$1000000,2647,FALSE)</f>
        <v>#N/A</v>
      </c>
      <c r="L156" s="93" t="e">
        <f>VLOOKUP(A1,DIV_09Data!$A$1:$DZU$1000000,2648,FALSE)</f>
        <v>#N/A</v>
      </c>
      <c r="M156" s="33" t="e">
        <f>VLOOKUP(A1,DIV_09Data!$A$1:$DZU$1000000,2649,FALSE)</f>
        <v>#N/A</v>
      </c>
      <c r="N156" s="34" t="e">
        <f>VLOOKUP(A1,DIV_09Data!$A$1:$DZU$1000000,2650,FALSE)</f>
        <v>#N/A</v>
      </c>
      <c r="O156" s="33" t="e">
        <f>VLOOKUP(A1,DIV_09Data!$A$1:$DZU$1000000,2651,FALSE)</f>
        <v>#N/A</v>
      </c>
      <c r="P156" s="46" t="e">
        <f>VLOOKUP(A1,DIV_09Data!$A$1:$DZU$1000000,2652,FALSE)</f>
        <v>#N/A</v>
      </c>
      <c r="Q156" s="33" t="e">
        <f>VLOOKUP(A1,DIV_09Data!$A$1:$DZU$1000000,2653,FALSE)</f>
        <v>#N/A</v>
      </c>
    </row>
    <row r="157" spans="1:17" x14ac:dyDescent="0.35">
      <c r="A157" s="22" t="e">
        <f>VLOOKUP(A1,DIV_09Data!$A$1:$DZU$1000000,2654,FALSE)</f>
        <v>#N/A</v>
      </c>
      <c r="B157" s="37" t="e">
        <f>VLOOKUP(A1,DIV_09Data!$A$1:$DZU$1000000,2655,FALSE)</f>
        <v>#N/A</v>
      </c>
      <c r="C157" s="38" t="e">
        <f>VLOOKUP(A1,DIV_09Data!$A$1:$DZU$1000000,2656,FALSE)</f>
        <v>#N/A</v>
      </c>
      <c r="D157" s="31" t="e">
        <f>VLOOKUP(A1,DIV_09Data!$A$1:$DZU$1000000,2657,FALSE)</f>
        <v>#N/A</v>
      </c>
      <c r="E157" s="32" t="e">
        <f>VLOOKUP(A1,DIV_09Data!$A$1:$DZU$1000000,2658,FALSE)</f>
        <v>#N/A</v>
      </c>
      <c r="F157" s="34" t="e">
        <f>VLOOKUP(A1,DIV_09Data!$A$1:$DZU$1000000,2659,FALSE)</f>
        <v>#N/A</v>
      </c>
      <c r="G157" s="33" t="e">
        <f>VLOOKUP(A1,DIV_09Data!$A$1:$DZU$1000000,2660,FALSE)</f>
        <v>#N/A</v>
      </c>
      <c r="H157" s="34" t="e">
        <f>VLOOKUP(A1,DIV_09Data!$A$1:$DZU$1000000,2661,FALSE)</f>
        <v>#N/A</v>
      </c>
      <c r="I157" s="33" t="e">
        <f>VLOOKUP(A1,DIV_09Data!$A$1:$DZU$1000000,2662,FALSE)</f>
        <v>#N/A</v>
      </c>
      <c r="J157" s="34" t="e">
        <f>VLOOKUP(A1,DIV_09Data!$A$1:$DZU$1000000,2663,FALSE)</f>
        <v>#N/A</v>
      </c>
      <c r="K157" s="34" t="e">
        <f>VLOOKUP(A1,DIV_09Data!$A$1:$DZU$1000000,2664,FALSE)</f>
        <v>#N/A</v>
      </c>
      <c r="L157" s="93" t="e">
        <f>VLOOKUP(A1,DIV_09Data!$A$1:$DZU$1000000,2665,FALSE)</f>
        <v>#N/A</v>
      </c>
      <c r="M157" s="33" t="e">
        <f>VLOOKUP(A1,DIV_09Data!$A$1:$DZU$1000000,2666,FALSE)</f>
        <v>#N/A</v>
      </c>
      <c r="N157" s="34" t="e">
        <f>VLOOKUP(A1,DIV_09Data!$A$1:$DZU$1000000,2667,FALSE)</f>
        <v>#N/A</v>
      </c>
      <c r="O157" s="33" t="e">
        <f>VLOOKUP(A1,DIV_09Data!$A$1:$DZU$1000000,2668,FALSE)</f>
        <v>#N/A</v>
      </c>
      <c r="P157" s="46" t="e">
        <f>VLOOKUP(A1,DIV_09Data!$A$1:$DZU$1000000,2669,FALSE)</f>
        <v>#N/A</v>
      </c>
      <c r="Q157" s="33" t="e">
        <f>VLOOKUP(A1,DIV_09Data!$A$1:$DZU$1000000,2670,FALSE)</f>
        <v>#N/A</v>
      </c>
    </row>
    <row r="158" spans="1:17" x14ac:dyDescent="0.35">
      <c r="A158" s="22" t="e">
        <f>VLOOKUP(A1,DIV_09Data!$A$1:$DZU$1000000,2671,FALSE)</f>
        <v>#N/A</v>
      </c>
      <c r="B158" s="37" t="e">
        <f>VLOOKUP(A1,DIV_09Data!$A$1:$DZU$1000000,2672,FALSE)</f>
        <v>#N/A</v>
      </c>
      <c r="C158" s="38" t="e">
        <f>VLOOKUP(A1,DIV_09Data!$A$1:$DZU$1000000,2673,FALSE)</f>
        <v>#N/A</v>
      </c>
      <c r="D158" s="31" t="e">
        <f>VLOOKUP(A1,DIV_09Data!$A$1:$DZU$1000000,2674,FALSE)</f>
        <v>#N/A</v>
      </c>
      <c r="E158" s="32" t="e">
        <f>VLOOKUP(A1,DIV_09Data!$A$1:$DZU$1000000,2675,FALSE)</f>
        <v>#N/A</v>
      </c>
      <c r="F158" s="34" t="e">
        <f>VLOOKUP(A1,DIV_09Data!$A$1:$DZU$1000000,2676,FALSE)</f>
        <v>#N/A</v>
      </c>
      <c r="G158" s="33" t="e">
        <f>VLOOKUP(A1,DIV_09Data!$A$1:$DZU$1000000,2677,FALSE)</f>
        <v>#N/A</v>
      </c>
      <c r="H158" s="34" t="e">
        <f>VLOOKUP(A1,DIV_09Data!$A$1:$DZU$1000000,2678,FALSE)</f>
        <v>#N/A</v>
      </c>
      <c r="I158" s="33" t="e">
        <f>VLOOKUP(A1,DIV_09Data!$A$1:$DZU$1000000,2679,FALSE)</f>
        <v>#N/A</v>
      </c>
      <c r="J158" s="34" t="e">
        <f>VLOOKUP(A1,DIV_09Data!$A$1:$DZU$1000000,2680,FALSE)</f>
        <v>#N/A</v>
      </c>
      <c r="K158" s="34" t="e">
        <f>VLOOKUP(A1,DIV_09Data!$A$1:$DZU$1000000,2681,FALSE)</f>
        <v>#N/A</v>
      </c>
      <c r="L158" s="93" t="e">
        <f>VLOOKUP(A1,DIV_09Data!$A$1:$DZU$1000000,2682,FALSE)</f>
        <v>#N/A</v>
      </c>
      <c r="M158" s="33" t="e">
        <f>VLOOKUP(A1,DIV_09Data!$A$1:$DZU$1000000,2683,FALSE)</f>
        <v>#N/A</v>
      </c>
      <c r="N158" s="34" t="e">
        <f>VLOOKUP(A1,DIV_09Data!$A$1:$DZU$1000000,2684,FALSE)</f>
        <v>#N/A</v>
      </c>
      <c r="O158" s="33" t="e">
        <f>VLOOKUP(A1,DIV_09Data!$A$1:$DZU$1000000,2685,FALSE)</f>
        <v>#N/A</v>
      </c>
      <c r="P158" s="46" t="e">
        <f>VLOOKUP(A1,DIV_09Data!$A$1:$DZU$1000000,2686,FALSE)</f>
        <v>#N/A</v>
      </c>
      <c r="Q158" s="33" t="e">
        <f>VLOOKUP(A1,DIV_09Data!$A$1:$DZU$1000000,2687,FALSE)</f>
        <v>#N/A</v>
      </c>
    </row>
    <row r="159" spans="1:17" x14ac:dyDescent="0.35">
      <c r="A159" s="22" t="e">
        <f>VLOOKUP(A1,DIV_09Data!$A$1:$DZU$1000000,2688,FALSE)</f>
        <v>#N/A</v>
      </c>
      <c r="B159" s="37" t="e">
        <f>VLOOKUP(A1,DIV_09Data!$A$1:$DZU$1000000,2689,FALSE)</f>
        <v>#N/A</v>
      </c>
      <c r="C159" s="38" t="e">
        <f>VLOOKUP(A1,DIV_09Data!$A$1:$DZU$1000000,2690,FALSE)</f>
        <v>#N/A</v>
      </c>
      <c r="D159" s="31" t="e">
        <f>VLOOKUP(A1,DIV_09Data!$A$1:$DZU$1000000,2691,FALSE)</f>
        <v>#N/A</v>
      </c>
      <c r="E159" s="32" t="e">
        <f>VLOOKUP(A1,DIV_09Data!$A$1:$DZU$1000000,2692,FALSE)</f>
        <v>#N/A</v>
      </c>
      <c r="F159" s="34" t="e">
        <f>VLOOKUP(A1,DIV_09Data!$A$1:$DZU$1000000,2693,FALSE)</f>
        <v>#N/A</v>
      </c>
      <c r="G159" s="33" t="e">
        <f>VLOOKUP(A1,DIV_09Data!$A$1:$DZU$1000000,2694,FALSE)</f>
        <v>#N/A</v>
      </c>
      <c r="H159" s="34" t="e">
        <f>VLOOKUP(A1,DIV_09Data!$A$1:$DZU$1000000,2695,FALSE)</f>
        <v>#N/A</v>
      </c>
      <c r="I159" s="33" t="e">
        <f>VLOOKUP(A1,DIV_09Data!$A$1:$DZU$1000000,2696,FALSE)</f>
        <v>#N/A</v>
      </c>
      <c r="J159" s="34" t="e">
        <f>VLOOKUP(A1,DIV_09Data!$A$1:$DZU$1000000,2697,FALSE)</f>
        <v>#N/A</v>
      </c>
      <c r="K159" s="34" t="e">
        <f>VLOOKUP(A1,DIV_09Data!$A$1:$DZU$1000000,2698,FALSE)</f>
        <v>#N/A</v>
      </c>
      <c r="L159" s="93" t="e">
        <f>VLOOKUP(A1,DIV_09Data!$A$1:$DZU$1000000,2699,FALSE)</f>
        <v>#N/A</v>
      </c>
      <c r="M159" s="33" t="e">
        <f>VLOOKUP(A1,DIV_09Data!$A$1:$DZU$1000000,2700,FALSE)</f>
        <v>#N/A</v>
      </c>
      <c r="N159" s="34" t="e">
        <f>VLOOKUP(A1,DIV_09Data!$A$1:$DZU$1000000,2701,FALSE)</f>
        <v>#N/A</v>
      </c>
      <c r="O159" s="33" t="e">
        <f>VLOOKUP(A1,DIV_09Data!$A$1:$DZU$1000000,2702,FALSE)</f>
        <v>#N/A</v>
      </c>
      <c r="P159" s="46" t="e">
        <f>VLOOKUP(A1,DIV_09Data!$A$1:$DZU$1000000,2703,FALSE)</f>
        <v>#N/A</v>
      </c>
      <c r="Q159" s="33" t="e">
        <f>VLOOKUP(A1,DIV_09Data!$A$1:$DZU$1000000,2704,FALSE)</f>
        <v>#N/A</v>
      </c>
    </row>
    <row r="160" spans="1:17" x14ac:dyDescent="0.35">
      <c r="A160" s="22" t="e">
        <f>VLOOKUP(A1,DIV_09Data!$A$1:$DZU$1000000,2705,FALSE)</f>
        <v>#N/A</v>
      </c>
      <c r="B160" s="37" t="e">
        <f>VLOOKUP(A1,DIV_09Data!$A$1:$DZU$1000000,2706,FALSE)</f>
        <v>#N/A</v>
      </c>
      <c r="C160" s="38" t="e">
        <f>VLOOKUP(A1,DIV_09Data!$A$1:$DZU$1000000,2707,FALSE)</f>
        <v>#N/A</v>
      </c>
      <c r="D160" s="31" t="e">
        <f>VLOOKUP(A1,DIV_09Data!$A$1:$DZU$1000000,2708,FALSE)</f>
        <v>#N/A</v>
      </c>
      <c r="E160" s="32" t="e">
        <f>VLOOKUP(A1,DIV_09Data!$A$1:$DZU$1000000,2709,FALSE)</f>
        <v>#N/A</v>
      </c>
      <c r="F160" s="34" t="e">
        <f>VLOOKUP(A1,DIV_09Data!$A$1:$DZU$1000000,2710,FALSE)</f>
        <v>#N/A</v>
      </c>
      <c r="G160" s="33" t="e">
        <f>VLOOKUP(A1,DIV_09Data!$A$1:$DZU$1000000,2711,FALSE)</f>
        <v>#N/A</v>
      </c>
      <c r="H160" s="34" t="e">
        <f>VLOOKUP(A1,DIV_09Data!$A$1:$DZU$1000000,2712,FALSE)</f>
        <v>#N/A</v>
      </c>
      <c r="I160" s="33" t="e">
        <f>VLOOKUP(A1,DIV_09Data!$A$1:$DZU$1000000,2713,FALSE)</f>
        <v>#N/A</v>
      </c>
      <c r="J160" s="34" t="e">
        <f>VLOOKUP(A1,DIV_09Data!$A$1:$DZU$1000000,2714,FALSE)</f>
        <v>#N/A</v>
      </c>
      <c r="K160" s="34" t="e">
        <f>VLOOKUP(A1,DIV_09Data!$A$1:$DZU$1000000,2715,FALSE)</f>
        <v>#N/A</v>
      </c>
      <c r="L160" s="93" t="e">
        <f>VLOOKUP(A1,DIV_09Data!$A$1:$DZU$1000000,2716,FALSE)</f>
        <v>#N/A</v>
      </c>
      <c r="M160" s="33" t="e">
        <f>VLOOKUP(A1,DIV_09Data!$A$1:$DZU$1000000,2717,FALSE)</f>
        <v>#N/A</v>
      </c>
      <c r="N160" s="34" t="e">
        <f>VLOOKUP(A1,DIV_09Data!$A$1:$DZU$1000000,2718,FALSE)</f>
        <v>#N/A</v>
      </c>
      <c r="O160" s="33" t="e">
        <f>VLOOKUP(A1,DIV_09Data!$A$1:$DZU$1000000,2719,FALSE)</f>
        <v>#N/A</v>
      </c>
      <c r="P160" s="46" t="e">
        <f>VLOOKUP(A1,DIV_09Data!$A$1:$DZU$1000000,2720,FALSE)</f>
        <v>#N/A</v>
      </c>
      <c r="Q160" s="33" t="e">
        <f>VLOOKUP(A1,DIV_09Data!$A$1:$DZU$1000000,2721,FALSE)</f>
        <v>#N/A</v>
      </c>
    </row>
    <row r="161" spans="1:17" x14ac:dyDescent="0.35">
      <c r="A161" s="22" t="e">
        <f>VLOOKUP(A1,DIV_09Data!$A$1:$DZU$1000000,2722,FALSE)</f>
        <v>#N/A</v>
      </c>
      <c r="B161" s="37" t="e">
        <f>VLOOKUP(A1,DIV_09Data!$A$1:$DZU$1000000,2723,FALSE)</f>
        <v>#N/A</v>
      </c>
      <c r="C161" s="38" t="e">
        <f>VLOOKUP(A1,DIV_09Data!$A$1:$DZU$1000000,2724,FALSE)</f>
        <v>#N/A</v>
      </c>
      <c r="D161" s="31" t="e">
        <f>VLOOKUP(A1,DIV_09Data!$A$1:$DZU$1000000,2725,FALSE)</f>
        <v>#N/A</v>
      </c>
      <c r="E161" s="32" t="e">
        <f>VLOOKUP(A1,DIV_09Data!$A$1:$DZU$1000000,2726,FALSE)</f>
        <v>#N/A</v>
      </c>
      <c r="F161" s="34" t="e">
        <f>VLOOKUP(A1,DIV_09Data!$A$1:$DZU$1000000,2727,FALSE)</f>
        <v>#N/A</v>
      </c>
      <c r="G161" s="33" t="e">
        <f>VLOOKUP(A1,DIV_09Data!$A$1:$DZU$1000000,2728,FALSE)</f>
        <v>#N/A</v>
      </c>
      <c r="H161" s="34" t="e">
        <f>VLOOKUP(A1,DIV_09Data!$A$1:$DZU$1000000,2729,FALSE)</f>
        <v>#N/A</v>
      </c>
      <c r="I161" s="33" t="e">
        <f>VLOOKUP(A1,DIV_09Data!$A$1:$DZU$1000000,2730,FALSE)</f>
        <v>#N/A</v>
      </c>
      <c r="J161" s="34" t="e">
        <f>VLOOKUP(A1,DIV_09Data!$A$1:$DZU$1000000,2731,FALSE)</f>
        <v>#N/A</v>
      </c>
      <c r="K161" s="34" t="e">
        <f>VLOOKUP(A1,DIV_09Data!$A$1:$DZU$1000000,2732,FALSE)</f>
        <v>#N/A</v>
      </c>
      <c r="L161" s="93" t="e">
        <f>VLOOKUP(A1,DIV_09Data!$A$1:$DZU$1000000,2733,FALSE)</f>
        <v>#N/A</v>
      </c>
      <c r="M161" s="33" t="e">
        <f>VLOOKUP(A1,DIV_09Data!$A$1:$DZU$1000000,2734,FALSE)</f>
        <v>#N/A</v>
      </c>
      <c r="N161" s="34" t="e">
        <f>VLOOKUP(A1,DIV_09Data!$A$1:$DZU$1000000,2735,FALSE)</f>
        <v>#N/A</v>
      </c>
      <c r="O161" s="33" t="e">
        <f>VLOOKUP(A1,DIV_09Data!$A$1:$DZU$1000000,2736,FALSE)</f>
        <v>#N/A</v>
      </c>
      <c r="P161" s="46" t="e">
        <f>VLOOKUP(A1,DIV_09Data!$A$1:$DZU$1000000,2737,FALSE)</f>
        <v>#N/A</v>
      </c>
      <c r="Q161" s="33" t="e">
        <f>VLOOKUP(A1,DIV_09Data!$A$1:$DZU$1000000,2738,FALSE)</f>
        <v>#N/A</v>
      </c>
    </row>
    <row r="162" spans="1:17" x14ac:dyDescent="0.35">
      <c r="A162" s="22" t="e">
        <f>VLOOKUP(A1,DIV_09Data!$A$1:$DZU$1000000,2739,FALSE)</f>
        <v>#N/A</v>
      </c>
      <c r="B162" s="37" t="e">
        <f>VLOOKUP(A1,DIV_09Data!$A$1:$DZU$1000000,2740,FALSE)</f>
        <v>#N/A</v>
      </c>
      <c r="C162" s="38" t="e">
        <f>VLOOKUP(A1,DIV_09Data!$A$1:$DZU$1000000,2741,FALSE)</f>
        <v>#N/A</v>
      </c>
      <c r="D162" s="31" t="e">
        <f>VLOOKUP(A1,DIV_09Data!$A$1:$DZU$1000000,2742,FALSE)</f>
        <v>#N/A</v>
      </c>
      <c r="E162" s="32" t="e">
        <f>VLOOKUP(A1,DIV_09Data!$A$1:$DZU$1000000,2743,FALSE)</f>
        <v>#N/A</v>
      </c>
      <c r="F162" s="34" t="e">
        <f>VLOOKUP(A1,DIV_09Data!$A$1:$DZU$1000000,2744,FALSE)</f>
        <v>#N/A</v>
      </c>
      <c r="G162" s="33" t="e">
        <f>VLOOKUP(A1,DIV_09Data!$A$1:$DZU$1000000,2745,FALSE)</f>
        <v>#N/A</v>
      </c>
      <c r="H162" s="34" t="e">
        <f>VLOOKUP(A1,DIV_09Data!$A$1:$DZU$1000000,2746,FALSE)</f>
        <v>#N/A</v>
      </c>
      <c r="I162" s="33" t="e">
        <f>VLOOKUP(A1,DIV_09Data!$A$1:$DZU$1000000,2747,FALSE)</f>
        <v>#N/A</v>
      </c>
      <c r="J162" s="34" t="e">
        <f>VLOOKUP(A1,DIV_09Data!$A$1:$DZU$1000000,2748,FALSE)</f>
        <v>#N/A</v>
      </c>
      <c r="K162" s="34" t="e">
        <f>VLOOKUP(A1,DIV_09Data!$A$1:$DZU$1000000,2749,FALSE)</f>
        <v>#N/A</v>
      </c>
      <c r="L162" s="93" t="e">
        <f>VLOOKUP(A1,DIV_09Data!$A$1:$DZU$1000000,2750,FALSE)</f>
        <v>#N/A</v>
      </c>
      <c r="M162" s="33" t="e">
        <f>VLOOKUP(A1,DIV_09Data!$A$1:$DZU$1000000,2751,FALSE)</f>
        <v>#N/A</v>
      </c>
      <c r="N162" s="34" t="e">
        <f>VLOOKUP(A1,DIV_09Data!$A$1:$DZU$1000000,2752,FALSE)</f>
        <v>#N/A</v>
      </c>
      <c r="O162" s="33" t="e">
        <f>VLOOKUP(A1,DIV_09Data!$A$1:$DZU$1000000,2753,FALSE)</f>
        <v>#N/A</v>
      </c>
      <c r="P162" s="46" t="e">
        <f>VLOOKUP(A1,DIV_09Data!$A$1:$DZU$1000000,2754,FALSE)</f>
        <v>#N/A</v>
      </c>
      <c r="Q162" s="33" t="e">
        <f>VLOOKUP(A1,DIV_09Data!$A$1:$DZU$1000000,2755,FALSE)</f>
        <v>#N/A</v>
      </c>
    </row>
    <row r="163" spans="1:17" x14ac:dyDescent="0.35">
      <c r="A163" s="22" t="e">
        <f>VLOOKUP(A1,DIV_09Data!$A$1:$DZU$1000000,2756,FALSE)</f>
        <v>#N/A</v>
      </c>
      <c r="B163" s="37" t="e">
        <f>VLOOKUP(A1,DIV_09Data!$A$1:$DZU$1000000,2757,FALSE)</f>
        <v>#N/A</v>
      </c>
      <c r="C163" s="38" t="e">
        <f>VLOOKUP(A1,DIV_09Data!$A$1:$DZU$1000000,2758,FALSE)</f>
        <v>#N/A</v>
      </c>
      <c r="D163" s="31" t="e">
        <f>VLOOKUP(A1,DIV_09Data!$A$1:$DZU$1000000,2759,FALSE)</f>
        <v>#N/A</v>
      </c>
      <c r="E163" s="32" t="e">
        <f>VLOOKUP(A1,DIV_09Data!$A$1:$DZU$1000000,2760,FALSE)</f>
        <v>#N/A</v>
      </c>
      <c r="F163" s="34" t="e">
        <f>VLOOKUP(A1,DIV_09Data!$A$1:$DZU$1000000,2761,FALSE)</f>
        <v>#N/A</v>
      </c>
      <c r="G163" s="33" t="e">
        <f>VLOOKUP(A1,DIV_09Data!$A$1:$DZU$1000000,2762,FALSE)</f>
        <v>#N/A</v>
      </c>
      <c r="H163" s="34" t="e">
        <f>VLOOKUP(A1,DIV_09Data!$A$1:$DZU$1000000,2763,FALSE)</f>
        <v>#N/A</v>
      </c>
      <c r="I163" s="33" t="e">
        <f>VLOOKUP(A1,DIV_09Data!$A$1:$DZU$1000000,2764,FALSE)</f>
        <v>#N/A</v>
      </c>
      <c r="J163" s="34" t="e">
        <f>VLOOKUP(A1,DIV_09Data!$A$1:$DZU$1000000,2765,FALSE)</f>
        <v>#N/A</v>
      </c>
      <c r="K163" s="34" t="e">
        <f>VLOOKUP(A1,DIV_09Data!$A$1:$DZU$1000000,2766,FALSE)</f>
        <v>#N/A</v>
      </c>
      <c r="L163" s="93" t="e">
        <f>VLOOKUP(A1,DIV_09Data!$A$1:$DZU$1000000,2767,FALSE)</f>
        <v>#N/A</v>
      </c>
      <c r="M163" s="33" t="e">
        <f>VLOOKUP(A1,DIV_09Data!$A$1:$DZU$1000000,2768,FALSE)</f>
        <v>#N/A</v>
      </c>
      <c r="N163" s="34" t="e">
        <f>VLOOKUP(A1,DIV_09Data!$A$1:$DZU$1000000,2769,FALSE)</f>
        <v>#N/A</v>
      </c>
      <c r="O163" s="33" t="e">
        <f>VLOOKUP(A1,DIV_09Data!$A$1:$DZU$1000000,2770,FALSE)</f>
        <v>#N/A</v>
      </c>
      <c r="P163" s="46" t="e">
        <f>VLOOKUP(A1,DIV_09Data!$A$1:$DZU$1000000,2771,FALSE)</f>
        <v>#N/A</v>
      </c>
      <c r="Q163" s="33" t="e">
        <f>VLOOKUP(A1,DIV_09Data!$A$1:$DZU$1000000,2772,FALSE)</f>
        <v>#N/A</v>
      </c>
    </row>
    <row r="164" spans="1:17" x14ac:dyDescent="0.35">
      <c r="A164" s="22" t="e">
        <f>VLOOKUP(A1,DIV_09Data!$A$1:$DZU$1000000,2773,FALSE)</f>
        <v>#N/A</v>
      </c>
      <c r="B164" s="37" t="e">
        <f>VLOOKUP(A1,DIV_09Data!$A$1:$DZU$1000000,2774,FALSE)</f>
        <v>#N/A</v>
      </c>
      <c r="C164" s="38" t="e">
        <f>VLOOKUP(A1,DIV_09Data!$A$1:$DZU$1000000,2775,FALSE)</f>
        <v>#N/A</v>
      </c>
      <c r="D164" s="31" t="e">
        <f>VLOOKUP(A1,DIV_09Data!$A$1:$DZU$1000000,2776,FALSE)</f>
        <v>#N/A</v>
      </c>
      <c r="E164" s="32" t="e">
        <f>VLOOKUP(A1,DIV_09Data!$A$1:$DZU$1000000,2777,FALSE)</f>
        <v>#N/A</v>
      </c>
      <c r="F164" s="34" t="e">
        <f>VLOOKUP(A1,DIV_09Data!$A$1:$DZU$1000000,2778,FALSE)</f>
        <v>#N/A</v>
      </c>
      <c r="G164" s="33" t="e">
        <f>VLOOKUP(A1,DIV_09Data!$A$1:$DZU$1000000,2779,FALSE)</f>
        <v>#N/A</v>
      </c>
      <c r="H164" s="34" t="e">
        <f>VLOOKUP(A1,DIV_09Data!$A$1:$DZU$1000000,2780,FALSE)</f>
        <v>#N/A</v>
      </c>
      <c r="I164" s="33" t="e">
        <f>VLOOKUP(A1,DIV_09Data!$A$1:$DZU$1000000,2781,FALSE)</f>
        <v>#N/A</v>
      </c>
      <c r="J164" s="34" t="e">
        <f>VLOOKUP(A1,DIV_09Data!$A$1:$DZU$1000000,2782,FALSE)</f>
        <v>#N/A</v>
      </c>
      <c r="K164" s="34" t="e">
        <f>VLOOKUP(A1,DIV_09Data!$A$1:$DZU$1000000,2783,FALSE)</f>
        <v>#N/A</v>
      </c>
      <c r="L164" s="93" t="e">
        <f>VLOOKUP(A1,DIV_09Data!$A$1:$DZU$1000000,2784,FALSE)</f>
        <v>#N/A</v>
      </c>
      <c r="M164" s="33" t="e">
        <f>VLOOKUP(A1,DIV_09Data!$A$1:$DZU$1000000,2785,FALSE)</f>
        <v>#N/A</v>
      </c>
      <c r="N164" s="34" t="e">
        <f>VLOOKUP(A1,DIV_09Data!$A$1:$DZU$1000000,2786,FALSE)</f>
        <v>#N/A</v>
      </c>
      <c r="O164" s="33" t="e">
        <f>VLOOKUP(A1,DIV_09Data!$A$1:$DZU$1000000,2787,FALSE)</f>
        <v>#N/A</v>
      </c>
      <c r="P164" s="46" t="e">
        <f>VLOOKUP(A1,DIV_09Data!$A$1:$DZU$1000000,2788,FALSE)</f>
        <v>#N/A</v>
      </c>
      <c r="Q164" s="33" t="e">
        <f>VLOOKUP(A1,DIV_09Data!$A$1:$DZU$1000000,2789,FALSE)</f>
        <v>#N/A</v>
      </c>
    </row>
    <row r="165" spans="1:17" x14ac:dyDescent="0.35">
      <c r="A165" s="22" t="e">
        <f>VLOOKUP(A1,DIV_09Data!$A$1:$DZU$1000000,2790,FALSE)</f>
        <v>#N/A</v>
      </c>
      <c r="B165" s="37" t="e">
        <f>VLOOKUP(A1,DIV_09Data!$A$1:$DZU$1000000,2791,FALSE)</f>
        <v>#N/A</v>
      </c>
      <c r="C165" s="38" t="e">
        <f>VLOOKUP(A1,DIV_09Data!$A$1:$DZU$1000000,2792,FALSE)</f>
        <v>#N/A</v>
      </c>
      <c r="D165" s="31" t="e">
        <f>VLOOKUP(A1,DIV_09Data!$A$1:$DZU$1000000,2793,FALSE)</f>
        <v>#N/A</v>
      </c>
      <c r="E165" s="32" t="e">
        <f>VLOOKUP(A1,DIV_09Data!$A$1:$DZU$1000000,2794,FALSE)</f>
        <v>#N/A</v>
      </c>
      <c r="F165" s="34" t="e">
        <f>VLOOKUP(A1,DIV_09Data!$A$1:$DZU$1000000,2795,FALSE)</f>
        <v>#N/A</v>
      </c>
      <c r="G165" s="33" t="e">
        <f>VLOOKUP(A1,DIV_09Data!$A$1:$DZU$1000000,2796,FALSE)</f>
        <v>#N/A</v>
      </c>
      <c r="H165" s="34" t="e">
        <f>VLOOKUP(A1,DIV_09Data!$A$1:$DZU$1000000,2797,FALSE)</f>
        <v>#N/A</v>
      </c>
      <c r="I165" s="33" t="e">
        <f>VLOOKUP(A1,DIV_09Data!$A$1:$DZU$1000000,2798,FALSE)</f>
        <v>#N/A</v>
      </c>
      <c r="J165" s="34" t="e">
        <f>VLOOKUP(A1,DIV_09Data!$A$1:$DZU$1000000,2799,FALSE)</f>
        <v>#N/A</v>
      </c>
      <c r="K165" s="34" t="e">
        <f>VLOOKUP(A1,DIV_09Data!$A$1:$DZU$1000000,2800,FALSE)</f>
        <v>#N/A</v>
      </c>
      <c r="L165" s="93" t="e">
        <f>VLOOKUP(A1,DIV_09Data!$A$1:$DZU$1000000,2801,FALSE)</f>
        <v>#N/A</v>
      </c>
      <c r="M165" s="33" t="e">
        <f>VLOOKUP(A1,DIV_09Data!$A$1:$DZU$1000000,2802,FALSE)</f>
        <v>#N/A</v>
      </c>
      <c r="N165" s="34" t="e">
        <f>VLOOKUP(A1,DIV_09Data!$A$1:$DZU$1000000,2803,FALSE)</f>
        <v>#N/A</v>
      </c>
      <c r="O165" s="33" t="e">
        <f>VLOOKUP(A1,DIV_09Data!$A$1:$DZU$1000000,2804,FALSE)</f>
        <v>#N/A</v>
      </c>
      <c r="P165" s="46" t="e">
        <f>VLOOKUP(A1,DIV_09Data!$A$1:$DZU$1000000,2805,FALSE)</f>
        <v>#N/A</v>
      </c>
      <c r="Q165" s="33" t="e">
        <f>VLOOKUP(A1,DIV_09Data!$A$1:$DZU$1000000,2806,FALSE)</f>
        <v>#N/A</v>
      </c>
    </row>
    <row r="166" spans="1:17" x14ac:dyDescent="0.35">
      <c r="A166" s="22" t="e">
        <f>VLOOKUP(A1,DIV_09Data!$A$1:$DZU$1000000,2807,FALSE)</f>
        <v>#N/A</v>
      </c>
      <c r="B166" s="37" t="e">
        <f>VLOOKUP(A1,DIV_09Data!$A$1:$DZU$1000000,2808,FALSE)</f>
        <v>#N/A</v>
      </c>
      <c r="C166" s="38" t="e">
        <f>VLOOKUP(A1,DIV_09Data!$A$1:$DZU$1000000,2809,FALSE)</f>
        <v>#N/A</v>
      </c>
      <c r="D166" s="31" t="e">
        <f>VLOOKUP(A1,DIV_09Data!$A$1:$DZU$1000000,2810,FALSE)</f>
        <v>#N/A</v>
      </c>
      <c r="E166" s="32" t="e">
        <f>VLOOKUP(A1,DIV_09Data!$A$1:$DZU$1000000,2811,FALSE)</f>
        <v>#N/A</v>
      </c>
      <c r="F166" s="34" t="e">
        <f>VLOOKUP(A1,DIV_09Data!$A$1:$DZU$1000000,2812,FALSE)</f>
        <v>#N/A</v>
      </c>
      <c r="G166" s="33" t="e">
        <f>VLOOKUP(A1,DIV_09Data!$A$1:$DZU$1000000,2813,FALSE)</f>
        <v>#N/A</v>
      </c>
      <c r="H166" s="34" t="e">
        <f>VLOOKUP(A1,DIV_09Data!$A$1:$DZU$1000000,2814,FALSE)</f>
        <v>#N/A</v>
      </c>
      <c r="I166" s="33" t="e">
        <f>VLOOKUP(A1,DIV_09Data!$A$1:$DZU$1000000,2815,FALSE)</f>
        <v>#N/A</v>
      </c>
      <c r="J166" s="34" t="e">
        <f>VLOOKUP(A1,DIV_09Data!$A$1:$DZU$1000000,2816,FALSE)</f>
        <v>#N/A</v>
      </c>
      <c r="K166" s="34" t="e">
        <f>VLOOKUP(A1,DIV_09Data!$A$1:$DZU$1000000,2817,FALSE)</f>
        <v>#N/A</v>
      </c>
      <c r="L166" s="93" t="e">
        <f>VLOOKUP(A1,DIV_09Data!$A$1:$DZU$1000000,2818,FALSE)</f>
        <v>#N/A</v>
      </c>
      <c r="M166" s="33" t="e">
        <f>VLOOKUP(A1,DIV_09Data!$A$1:$DZU$1000000,2819,FALSE)</f>
        <v>#N/A</v>
      </c>
      <c r="N166" s="34" t="e">
        <f>VLOOKUP(A1,DIV_09Data!$A$1:$DZU$1000000,2820,FALSE)</f>
        <v>#N/A</v>
      </c>
      <c r="O166" s="33" t="e">
        <f>VLOOKUP(A1,DIV_09Data!$A$1:$DZU$1000000,2821,FALSE)</f>
        <v>#N/A</v>
      </c>
      <c r="P166" s="46" t="e">
        <f>VLOOKUP(A1,DIV_09Data!$A$1:$DZU$1000000,2822,FALSE)</f>
        <v>#N/A</v>
      </c>
      <c r="Q166" s="33" t="e">
        <f>VLOOKUP(A1,DIV_09Data!$A$1:$DZU$1000000,2823,FALSE)</f>
        <v>#N/A</v>
      </c>
    </row>
    <row r="167" spans="1:17" x14ac:dyDescent="0.35">
      <c r="A167" s="22" t="e">
        <f>VLOOKUP(A1,DIV_09Data!$A$1:$DZU$1000000,2824,FALSE)</f>
        <v>#N/A</v>
      </c>
      <c r="B167" s="37" t="e">
        <f>VLOOKUP(A1,DIV_09Data!$A$1:$DZU$1000000,2825,FALSE)</f>
        <v>#N/A</v>
      </c>
      <c r="C167" s="38" t="e">
        <f>VLOOKUP(A1,DIV_09Data!$A$1:$DZU$1000000,2826,FALSE)</f>
        <v>#N/A</v>
      </c>
      <c r="D167" s="31" t="e">
        <f>VLOOKUP(A1,DIV_09Data!$A$1:$DZU$1000000,2827,FALSE)</f>
        <v>#N/A</v>
      </c>
      <c r="E167" s="32" t="e">
        <f>VLOOKUP(A1,DIV_09Data!$A$1:$DZU$1000000,2828,FALSE)</f>
        <v>#N/A</v>
      </c>
      <c r="F167" s="34" t="e">
        <f>VLOOKUP(A1,DIV_09Data!$A$1:$DZU$1000000,2829,FALSE)</f>
        <v>#N/A</v>
      </c>
      <c r="G167" s="33" t="e">
        <f>VLOOKUP(A1,DIV_09Data!$A$1:$DZU$1000000,2830,FALSE)</f>
        <v>#N/A</v>
      </c>
      <c r="H167" s="34" t="e">
        <f>VLOOKUP(A1,DIV_09Data!$A$1:$DZU$1000000,2831,FALSE)</f>
        <v>#N/A</v>
      </c>
      <c r="I167" s="33" t="e">
        <f>VLOOKUP(A1,DIV_09Data!$A$1:$DZU$1000000,2832,FALSE)</f>
        <v>#N/A</v>
      </c>
      <c r="J167" s="34" t="e">
        <f>VLOOKUP(A1,DIV_09Data!$A$1:$DZU$1000000,2833,FALSE)</f>
        <v>#N/A</v>
      </c>
      <c r="K167" s="34" t="e">
        <f>VLOOKUP(A1,DIV_09Data!$A$1:$DZU$1000000,2834,FALSE)</f>
        <v>#N/A</v>
      </c>
      <c r="L167" s="93" t="e">
        <f>VLOOKUP(A1,DIV_09Data!$A$1:$DZU$1000000,2835,FALSE)</f>
        <v>#N/A</v>
      </c>
      <c r="M167" s="33" t="e">
        <f>VLOOKUP(A1,DIV_09Data!$A$1:$DZU$1000000,2836,FALSE)</f>
        <v>#N/A</v>
      </c>
      <c r="N167" s="34" t="e">
        <f>VLOOKUP(A1,DIV_09Data!$A$1:$DZU$1000000,2837,FALSE)</f>
        <v>#N/A</v>
      </c>
      <c r="O167" s="33" t="e">
        <f>VLOOKUP(A1,DIV_09Data!$A$1:$DZU$1000000,2838,FALSE)</f>
        <v>#N/A</v>
      </c>
      <c r="P167" s="46" t="e">
        <f>VLOOKUP(A1,DIV_09Data!$A$1:$DZU$1000000,2839,FALSE)</f>
        <v>#N/A</v>
      </c>
      <c r="Q167" s="33" t="e">
        <f>VLOOKUP(A1,DIV_09Data!$A$1:$DZU$1000000,2840,FALSE)</f>
        <v>#N/A</v>
      </c>
    </row>
    <row r="168" spans="1:17" x14ac:dyDescent="0.35">
      <c r="A168" s="22" t="e">
        <f>VLOOKUP(A1,DIV_09Data!$A$1:$DZU$1000000,2841,FALSE)</f>
        <v>#N/A</v>
      </c>
      <c r="B168" s="37" t="e">
        <f>VLOOKUP(A1,DIV_09Data!$A$1:$DZU$1000000,2842,FALSE)</f>
        <v>#N/A</v>
      </c>
      <c r="C168" s="38" t="e">
        <f>VLOOKUP(A1,DIV_09Data!$A$1:$DZU$1000000,2843,FALSE)</f>
        <v>#N/A</v>
      </c>
      <c r="D168" s="31" t="e">
        <f>VLOOKUP(A1,DIV_09Data!$A$1:$DZU$1000000,2844,FALSE)</f>
        <v>#N/A</v>
      </c>
      <c r="E168" s="32" t="e">
        <f>VLOOKUP(A1,DIV_09Data!$A$1:$DZU$1000000,2845,FALSE)</f>
        <v>#N/A</v>
      </c>
      <c r="F168" s="34" t="e">
        <f>VLOOKUP(A1,DIV_09Data!$A$1:$DZU$1000000,2846,FALSE)</f>
        <v>#N/A</v>
      </c>
      <c r="G168" s="33" t="e">
        <f>VLOOKUP(A1,DIV_09Data!$A$1:$DZU$1000000,2847,FALSE)</f>
        <v>#N/A</v>
      </c>
      <c r="H168" s="34" t="e">
        <f>VLOOKUP(A1,DIV_09Data!$A$1:$DZU$1000000,2848,FALSE)</f>
        <v>#N/A</v>
      </c>
      <c r="I168" s="33" t="e">
        <f>VLOOKUP(A1,DIV_09Data!$A$1:$DZU$1000000,2849,FALSE)</f>
        <v>#N/A</v>
      </c>
      <c r="J168" s="34" t="e">
        <f>VLOOKUP(A1,DIV_09Data!$A$1:$DZU$1000000,2850,FALSE)</f>
        <v>#N/A</v>
      </c>
      <c r="K168" s="34" t="e">
        <f>VLOOKUP(A1,DIV_09Data!$A$1:$DZU$1000000,2851,FALSE)</f>
        <v>#N/A</v>
      </c>
      <c r="L168" s="93" t="e">
        <f>VLOOKUP(A1,DIV_09Data!$A$1:$DZU$1000000,2852,FALSE)</f>
        <v>#N/A</v>
      </c>
      <c r="M168" s="33" t="e">
        <f>VLOOKUP(A1,DIV_09Data!$A$1:$DZU$1000000,2853,FALSE)</f>
        <v>#N/A</v>
      </c>
      <c r="N168" s="34" t="e">
        <f>VLOOKUP(A1,DIV_09Data!$A$1:$DZU$1000000,2854,FALSE)</f>
        <v>#N/A</v>
      </c>
      <c r="O168" s="33" t="e">
        <f>VLOOKUP(A1,DIV_09Data!$A$1:$DZU$1000000,2855,FALSE)</f>
        <v>#N/A</v>
      </c>
      <c r="P168" s="46" t="e">
        <f>VLOOKUP(A1,DIV_09Data!$A$1:$DZU$1000000,2856,FALSE)</f>
        <v>#N/A</v>
      </c>
      <c r="Q168" s="33" t="e">
        <f>VLOOKUP(A1,DIV_09Data!$A$1:$DZU$1000000,2857,FALSE)</f>
        <v>#N/A</v>
      </c>
    </row>
    <row r="169" spans="1:17" x14ac:dyDescent="0.35">
      <c r="A169" s="22" t="e">
        <f>VLOOKUP(A1,DIV_09Data!$A$1:$DZU$1000000,2858,FALSE)</f>
        <v>#N/A</v>
      </c>
      <c r="B169" s="37" t="e">
        <f>VLOOKUP(A1,DIV_09Data!$A$1:$DZU$1000000,2859,FALSE)</f>
        <v>#N/A</v>
      </c>
      <c r="C169" s="38" t="e">
        <f>VLOOKUP(A1,DIV_09Data!$A$1:$DZU$1000000,2860,FALSE)</f>
        <v>#N/A</v>
      </c>
      <c r="D169" s="31" t="e">
        <f>VLOOKUP(A1,DIV_09Data!$A$1:$DZU$1000000,2861,FALSE)</f>
        <v>#N/A</v>
      </c>
      <c r="E169" s="32" t="e">
        <f>VLOOKUP(A1,DIV_09Data!$A$1:$DZU$1000000,2862,FALSE)</f>
        <v>#N/A</v>
      </c>
      <c r="F169" s="34" t="e">
        <f>VLOOKUP(A1,DIV_09Data!$A$1:$DZU$1000000,2863,FALSE)</f>
        <v>#N/A</v>
      </c>
      <c r="G169" s="33" t="e">
        <f>VLOOKUP(A1,DIV_09Data!$A$1:$DZU$1000000,2864,FALSE)</f>
        <v>#N/A</v>
      </c>
      <c r="H169" s="34" t="e">
        <f>VLOOKUP(A1,DIV_09Data!$A$1:$DZU$1000000,2865,FALSE)</f>
        <v>#N/A</v>
      </c>
      <c r="I169" s="33" t="e">
        <f>VLOOKUP(A1,DIV_09Data!$A$1:$DZU$1000000,2866,FALSE)</f>
        <v>#N/A</v>
      </c>
      <c r="J169" s="34" t="e">
        <f>VLOOKUP(A1,DIV_09Data!$A$1:$DZU$1000000,2867,FALSE)</f>
        <v>#N/A</v>
      </c>
      <c r="K169" s="34" t="e">
        <f>VLOOKUP(A1,DIV_09Data!$A$1:$DZU$1000000,2868,FALSE)</f>
        <v>#N/A</v>
      </c>
      <c r="L169" s="93" t="e">
        <f>VLOOKUP(A1,DIV_09Data!$A$1:$DZU$1000000,2869,FALSE)</f>
        <v>#N/A</v>
      </c>
      <c r="M169" s="33" t="e">
        <f>VLOOKUP(A1,DIV_09Data!$A$1:$DZU$1000000,2870,FALSE)</f>
        <v>#N/A</v>
      </c>
      <c r="N169" s="34" t="e">
        <f>VLOOKUP(A1,DIV_09Data!$A$1:$DZU$1000000,2871,FALSE)</f>
        <v>#N/A</v>
      </c>
      <c r="O169" s="33" t="e">
        <f>VLOOKUP(A1,DIV_09Data!$A$1:$DZU$1000000,2872,FALSE)</f>
        <v>#N/A</v>
      </c>
      <c r="P169" s="46" t="e">
        <f>VLOOKUP(A1,DIV_09Data!$A$1:$DZU$1000000,2873,FALSE)</f>
        <v>#N/A</v>
      </c>
      <c r="Q169" s="33" t="e">
        <f>VLOOKUP(A1,DIV_09Data!$A$1:$DZU$1000000,2874,FALSE)</f>
        <v>#N/A</v>
      </c>
    </row>
    <row r="170" spans="1:17" x14ac:dyDescent="0.35">
      <c r="A170" s="22" t="e">
        <f>VLOOKUP(A1,DIV_09Data!$A$1:$DZU$1000000,2875,FALSE)</f>
        <v>#N/A</v>
      </c>
      <c r="B170" s="37" t="e">
        <f>VLOOKUP(A1,DIV_09Data!$A$1:$DZU$1000000,2876,FALSE)</f>
        <v>#N/A</v>
      </c>
      <c r="C170" s="38" t="e">
        <f>VLOOKUP(A1,DIV_09Data!$A$1:$DZU$1000000,2877,FALSE)</f>
        <v>#N/A</v>
      </c>
      <c r="D170" s="31" t="e">
        <f>VLOOKUP(A1,DIV_09Data!$A$1:$DZU$1000000,2878,FALSE)</f>
        <v>#N/A</v>
      </c>
      <c r="E170" s="32" t="e">
        <f>VLOOKUP(A1,DIV_09Data!$A$1:$DZU$1000000,2879,FALSE)</f>
        <v>#N/A</v>
      </c>
      <c r="F170" s="34" t="e">
        <f>VLOOKUP(A1,DIV_09Data!$A$1:$DZU$1000000,2880,FALSE)</f>
        <v>#N/A</v>
      </c>
      <c r="G170" s="33" t="e">
        <f>VLOOKUP(A1,DIV_09Data!$A$1:$DZU$1000000,2881,FALSE)</f>
        <v>#N/A</v>
      </c>
      <c r="H170" s="34" t="e">
        <f>VLOOKUP(A1,DIV_09Data!$A$1:$DZU$1000000,2882,FALSE)</f>
        <v>#N/A</v>
      </c>
      <c r="I170" s="33" t="e">
        <f>VLOOKUP(A1,DIV_09Data!$A$1:$DZU$1000000,2883,FALSE)</f>
        <v>#N/A</v>
      </c>
      <c r="J170" s="34" t="e">
        <f>VLOOKUP(A1,DIV_09Data!$A$1:$DZU$1000000,2884,FALSE)</f>
        <v>#N/A</v>
      </c>
      <c r="K170" s="34" t="e">
        <f>VLOOKUP(A1,DIV_09Data!$A$1:$DZU$1000000,2885,FALSE)</f>
        <v>#N/A</v>
      </c>
      <c r="L170" s="93" t="e">
        <f>VLOOKUP(A1,DIV_09Data!$A$1:$DZU$1000000,2886,FALSE)</f>
        <v>#N/A</v>
      </c>
      <c r="M170" s="33" t="e">
        <f>VLOOKUP(A1,DIV_09Data!$A$1:$DZU$1000000,2887,FALSE)</f>
        <v>#N/A</v>
      </c>
      <c r="N170" s="34" t="e">
        <f>VLOOKUP(A1,DIV_09Data!$A$1:$DZU$1000000,2888,FALSE)</f>
        <v>#N/A</v>
      </c>
      <c r="O170" s="33" t="e">
        <f>VLOOKUP(A1,DIV_09Data!$A$1:$DZU$1000000,2889,FALSE)</f>
        <v>#N/A</v>
      </c>
      <c r="P170" s="46" t="e">
        <f>VLOOKUP(A1,DIV_09Data!$A$1:$DZU$1000000,2890,FALSE)</f>
        <v>#N/A</v>
      </c>
      <c r="Q170" s="33" t="e">
        <f>VLOOKUP(A1,DIV_09Data!$A$1:$DZU$1000000,2891,FALSE)</f>
        <v>#N/A</v>
      </c>
    </row>
    <row r="171" spans="1:17" x14ac:dyDescent="0.35">
      <c r="A171" s="22" t="e">
        <f>VLOOKUP(A1,DIV_09Data!$A$1:$DZU$1000000,2892,FALSE)</f>
        <v>#N/A</v>
      </c>
      <c r="B171" s="37" t="e">
        <f>VLOOKUP(A1,DIV_09Data!$A$1:$DZU$1000000,2893,FALSE)</f>
        <v>#N/A</v>
      </c>
      <c r="C171" s="38" t="e">
        <f>VLOOKUP(A1,DIV_09Data!$A$1:$DZU$1000000,2894,FALSE)</f>
        <v>#N/A</v>
      </c>
      <c r="D171" s="31" t="e">
        <f>VLOOKUP(A1,DIV_09Data!$A$1:$DZU$1000000,2895,FALSE)</f>
        <v>#N/A</v>
      </c>
      <c r="E171" s="32" t="e">
        <f>VLOOKUP(A1,DIV_09Data!$A$1:$DZU$1000000,2896,FALSE)</f>
        <v>#N/A</v>
      </c>
      <c r="F171" s="34" t="e">
        <f>VLOOKUP(A1,DIV_09Data!$A$1:$DZU$1000000,2897,FALSE)</f>
        <v>#N/A</v>
      </c>
      <c r="G171" s="33" t="e">
        <f>VLOOKUP(A1,DIV_09Data!$A$1:$DZU$1000000,2898,FALSE)</f>
        <v>#N/A</v>
      </c>
      <c r="H171" s="34" t="e">
        <f>VLOOKUP(A1,DIV_09Data!$A$1:$DZU$1000000,2899,FALSE)</f>
        <v>#N/A</v>
      </c>
      <c r="I171" s="33" t="e">
        <f>VLOOKUP(A1,DIV_09Data!$A$1:$DZU$1000000,2900,FALSE)</f>
        <v>#N/A</v>
      </c>
      <c r="J171" s="34" t="e">
        <f>VLOOKUP(A1,DIV_09Data!$A$1:$DZU$1000000,2901,FALSE)</f>
        <v>#N/A</v>
      </c>
      <c r="K171" s="34" t="e">
        <f>VLOOKUP(A1,DIV_09Data!$A$1:$DZU$1000000,2902,FALSE)</f>
        <v>#N/A</v>
      </c>
      <c r="L171" s="93" t="e">
        <f>VLOOKUP(A1,DIV_09Data!$A$1:$DZU$1000000,2903,FALSE)</f>
        <v>#N/A</v>
      </c>
      <c r="M171" s="33" t="e">
        <f>VLOOKUP(A1,DIV_09Data!$A$1:$DZU$1000000,2904,FALSE)</f>
        <v>#N/A</v>
      </c>
      <c r="N171" s="34" t="e">
        <f>VLOOKUP(A1,DIV_09Data!$A$1:$DZU$1000000,2905,FALSE)</f>
        <v>#N/A</v>
      </c>
      <c r="O171" s="33" t="e">
        <f>VLOOKUP(A1,DIV_09Data!$A$1:$DZU$1000000,2906,FALSE)</f>
        <v>#N/A</v>
      </c>
      <c r="P171" s="46" t="e">
        <f>VLOOKUP(A1,DIV_09Data!$A$1:$DZU$1000000,2907,FALSE)</f>
        <v>#N/A</v>
      </c>
      <c r="Q171" s="33" t="e">
        <f>VLOOKUP(A1,DIV_09Data!$A$1:$DZU$1000000,2908,FALSE)</f>
        <v>#N/A</v>
      </c>
    </row>
    <row r="172" spans="1:17" x14ac:dyDescent="0.35">
      <c r="A172" s="22" t="e">
        <f>VLOOKUP(A1,DIV_09Data!$A$1:$DZU$1000000,2909,FALSE)</f>
        <v>#N/A</v>
      </c>
      <c r="B172" s="37" t="e">
        <f>VLOOKUP(A1,DIV_09Data!$A$1:$DZU$1000000,2910,FALSE)</f>
        <v>#N/A</v>
      </c>
      <c r="C172" s="38" t="e">
        <f>VLOOKUP(A1,DIV_09Data!$A$1:$DZU$1000000,2911,FALSE)</f>
        <v>#N/A</v>
      </c>
      <c r="D172" s="31" t="e">
        <f>VLOOKUP(A1,DIV_09Data!$A$1:$DZU$1000000,2912,FALSE)</f>
        <v>#N/A</v>
      </c>
      <c r="E172" s="32" t="e">
        <f>VLOOKUP(A1,DIV_09Data!$A$1:$DZU$1000000,2913,FALSE)</f>
        <v>#N/A</v>
      </c>
      <c r="F172" s="34" t="e">
        <f>VLOOKUP(A1,DIV_09Data!$A$1:$DZU$1000000,2914,FALSE)</f>
        <v>#N/A</v>
      </c>
      <c r="G172" s="33" t="e">
        <f>VLOOKUP(A1,DIV_09Data!$A$1:$DZU$1000000,2915,FALSE)</f>
        <v>#N/A</v>
      </c>
      <c r="H172" s="34" t="e">
        <f>VLOOKUP(A1,DIV_09Data!$A$1:$DZU$1000000,2916,FALSE)</f>
        <v>#N/A</v>
      </c>
      <c r="I172" s="33" t="e">
        <f>VLOOKUP(A1,DIV_09Data!$A$1:$DZU$1000000,2917,FALSE)</f>
        <v>#N/A</v>
      </c>
      <c r="J172" s="34" t="e">
        <f>VLOOKUP(A1,DIV_09Data!$A$1:$DZU$1000000,2918,FALSE)</f>
        <v>#N/A</v>
      </c>
      <c r="K172" s="34" t="e">
        <f>VLOOKUP(A1,DIV_09Data!$A$1:$DZU$1000000,2919,FALSE)</f>
        <v>#N/A</v>
      </c>
      <c r="L172" s="93" t="e">
        <f>VLOOKUP(A1,DIV_09Data!$A$1:$DZU$1000000,2920,FALSE)</f>
        <v>#N/A</v>
      </c>
      <c r="M172" s="33" t="e">
        <f>VLOOKUP(A1,DIV_09Data!$A$1:$DZU$1000000,2921,FALSE)</f>
        <v>#N/A</v>
      </c>
      <c r="N172" s="34" t="e">
        <f>VLOOKUP(A1,DIV_09Data!$A$1:$DZU$1000000,2922,FALSE)</f>
        <v>#N/A</v>
      </c>
      <c r="O172" s="33" t="e">
        <f>VLOOKUP(A1,DIV_09Data!$A$1:$DZU$1000000,2923,FALSE)</f>
        <v>#N/A</v>
      </c>
      <c r="P172" s="46" t="e">
        <f>VLOOKUP(A1,DIV_09Data!$A$1:$DZU$1000000,2924,FALSE)</f>
        <v>#N/A</v>
      </c>
      <c r="Q172" s="33" t="e">
        <f>VLOOKUP(A1,DIV_09Data!$A$1:$DZU$1000000,2925,FALSE)</f>
        <v>#N/A</v>
      </c>
    </row>
    <row r="173" spans="1:17" x14ac:dyDescent="0.35">
      <c r="A173" s="22" t="e">
        <f>VLOOKUP(A1,DIV_09Data!$A$1:$DZU$1000000,2926,FALSE)</f>
        <v>#N/A</v>
      </c>
      <c r="B173" s="37" t="e">
        <f>VLOOKUP(A1,DIV_09Data!$A$1:$DZU$1000000,2927,FALSE)</f>
        <v>#N/A</v>
      </c>
      <c r="C173" s="38" t="e">
        <f>VLOOKUP(A1,DIV_09Data!$A$1:$DZU$1000000,2928,FALSE)</f>
        <v>#N/A</v>
      </c>
      <c r="D173" s="31" t="e">
        <f>VLOOKUP(A1,DIV_09Data!$A$1:$DZU$1000000,2929,FALSE)</f>
        <v>#N/A</v>
      </c>
      <c r="E173" s="32" t="e">
        <f>VLOOKUP(A1,DIV_09Data!$A$1:$DZU$1000000,2930,FALSE)</f>
        <v>#N/A</v>
      </c>
      <c r="F173" s="34" t="e">
        <f>VLOOKUP(A1,DIV_09Data!$A$1:$DZU$1000000,2931,FALSE)</f>
        <v>#N/A</v>
      </c>
      <c r="G173" s="33" t="e">
        <f>VLOOKUP(A1,DIV_09Data!$A$1:$DZU$1000000,2932,FALSE)</f>
        <v>#N/A</v>
      </c>
      <c r="H173" s="34" t="e">
        <f>VLOOKUP(A1,DIV_09Data!$A$1:$DZU$1000000,2933,FALSE)</f>
        <v>#N/A</v>
      </c>
      <c r="I173" s="33" t="e">
        <f>VLOOKUP(A1,DIV_09Data!$A$1:$DZU$1000000,2934,FALSE)</f>
        <v>#N/A</v>
      </c>
      <c r="J173" s="34" t="e">
        <f>VLOOKUP(A1,DIV_09Data!$A$1:$DZU$1000000,2935,FALSE)</f>
        <v>#N/A</v>
      </c>
      <c r="K173" s="34" t="e">
        <f>VLOOKUP(A1,DIV_09Data!$A$1:$DZU$1000000,2936,FALSE)</f>
        <v>#N/A</v>
      </c>
      <c r="L173" s="93" t="e">
        <f>VLOOKUP(A1,DIV_09Data!$A$1:$DZU$1000000,2937,FALSE)</f>
        <v>#N/A</v>
      </c>
      <c r="M173" s="33" t="e">
        <f>VLOOKUP(A1,DIV_09Data!$A$1:$DZU$1000000,2938,FALSE)</f>
        <v>#N/A</v>
      </c>
      <c r="N173" s="34" t="e">
        <f>VLOOKUP(A1,DIV_09Data!$A$1:$DZU$1000000,2939,FALSE)</f>
        <v>#N/A</v>
      </c>
      <c r="O173" s="33" t="e">
        <f>VLOOKUP(A1,DIV_09Data!$A$1:$DZU$1000000,2940,FALSE)</f>
        <v>#N/A</v>
      </c>
      <c r="P173" s="46" t="e">
        <f>VLOOKUP(A1,DIV_09Data!$A$1:$DZU$1000000,2941,FALSE)</f>
        <v>#N/A</v>
      </c>
      <c r="Q173" s="33" t="e">
        <f>VLOOKUP(A1,DIV_09Data!$A$1:$DZU$1000000,2942,FALSE)</f>
        <v>#N/A</v>
      </c>
    </row>
    <row r="174" spans="1:17" x14ac:dyDescent="0.35">
      <c r="A174" s="22" t="e">
        <f>VLOOKUP(A1,DIV_09Data!$A$1:$DZU$1000000,2943,FALSE)</f>
        <v>#N/A</v>
      </c>
      <c r="B174" s="37" t="e">
        <f>VLOOKUP(A1,DIV_09Data!$A$1:$DZU$1000000,2944,FALSE)</f>
        <v>#N/A</v>
      </c>
      <c r="C174" s="38" t="e">
        <f>VLOOKUP(A1,DIV_09Data!$A$1:$DZU$1000000,2945,FALSE)</f>
        <v>#N/A</v>
      </c>
      <c r="D174" s="31" t="e">
        <f>VLOOKUP(A1,DIV_09Data!$A$1:$DZU$1000000,2946,FALSE)</f>
        <v>#N/A</v>
      </c>
      <c r="E174" s="32" t="e">
        <f>VLOOKUP(A1,DIV_09Data!$A$1:$DZU$1000000,2947,FALSE)</f>
        <v>#N/A</v>
      </c>
      <c r="F174" s="34" t="e">
        <f>VLOOKUP(A1,DIV_09Data!$A$1:$DZU$1000000,2948,FALSE)</f>
        <v>#N/A</v>
      </c>
      <c r="G174" s="33" t="e">
        <f>VLOOKUP(A1,DIV_09Data!$A$1:$DZU$1000000,2949,FALSE)</f>
        <v>#N/A</v>
      </c>
      <c r="H174" s="34" t="e">
        <f>VLOOKUP(A1,DIV_09Data!$A$1:$DZU$1000000,2950,FALSE)</f>
        <v>#N/A</v>
      </c>
      <c r="I174" s="33" t="e">
        <f>VLOOKUP(A1,DIV_09Data!$A$1:$DZU$1000000,2951,FALSE)</f>
        <v>#N/A</v>
      </c>
      <c r="J174" s="34" t="e">
        <f>VLOOKUP(A1,DIV_09Data!$A$1:$DZU$1000000,2952,FALSE)</f>
        <v>#N/A</v>
      </c>
      <c r="K174" s="34" t="e">
        <f>VLOOKUP(A1,DIV_09Data!$A$1:$DZU$1000000,2953,FALSE)</f>
        <v>#N/A</v>
      </c>
      <c r="L174" s="93" t="e">
        <f>VLOOKUP(A1,DIV_09Data!$A$1:$DZU$1000000,2954,FALSE)</f>
        <v>#N/A</v>
      </c>
      <c r="M174" s="33" t="e">
        <f>VLOOKUP(A1,DIV_09Data!$A$1:$DZU$1000000,2955,FALSE)</f>
        <v>#N/A</v>
      </c>
      <c r="N174" s="34" t="e">
        <f>VLOOKUP(A1,DIV_09Data!$A$1:$DZU$1000000,2956,FALSE)</f>
        <v>#N/A</v>
      </c>
      <c r="O174" s="33" t="e">
        <f>VLOOKUP(A1,DIV_09Data!$A$1:$DZU$1000000,2957,FALSE)</f>
        <v>#N/A</v>
      </c>
      <c r="P174" s="46" t="e">
        <f>VLOOKUP(A1,DIV_09Data!$A$1:$DZU$1000000,2958,FALSE)</f>
        <v>#N/A</v>
      </c>
      <c r="Q174" s="33" t="e">
        <f>VLOOKUP(A1,DIV_09Data!$A$1:$DZU$1000000,2959,FALSE)</f>
        <v>#N/A</v>
      </c>
    </row>
    <row r="175" spans="1:17" x14ac:dyDescent="0.35">
      <c r="A175" s="22" t="e">
        <f>VLOOKUP(A1,DIV_09Data!$A$1:$DZU$1000000,2960,FALSE)</f>
        <v>#N/A</v>
      </c>
      <c r="B175" s="37" t="e">
        <f>VLOOKUP(A1,DIV_09Data!$A$1:$DZU$1000000,2961,FALSE)</f>
        <v>#N/A</v>
      </c>
      <c r="C175" s="38" t="e">
        <f>VLOOKUP(A1,DIV_09Data!$A$1:$DZU$1000000,2962,FALSE)</f>
        <v>#N/A</v>
      </c>
      <c r="D175" s="31" t="e">
        <f>VLOOKUP(A1,DIV_09Data!$A$1:$DZU$1000000,2963,FALSE)</f>
        <v>#N/A</v>
      </c>
      <c r="E175" s="32" t="e">
        <f>VLOOKUP(A1,DIV_09Data!$A$1:$DZU$1000000,2964,FALSE)</f>
        <v>#N/A</v>
      </c>
      <c r="F175" s="34" t="e">
        <f>VLOOKUP(A1,DIV_09Data!$A$1:$DZU$1000000,2965,FALSE)</f>
        <v>#N/A</v>
      </c>
      <c r="G175" s="33" t="e">
        <f>VLOOKUP(A1,DIV_09Data!$A$1:$DZU$1000000,2966,FALSE)</f>
        <v>#N/A</v>
      </c>
      <c r="H175" s="34" t="e">
        <f>VLOOKUP(A1,DIV_09Data!$A$1:$DZU$1000000,2967,FALSE)</f>
        <v>#N/A</v>
      </c>
      <c r="I175" s="33" t="e">
        <f>VLOOKUP(A1,DIV_09Data!$A$1:$DZU$1000000,2968,FALSE)</f>
        <v>#N/A</v>
      </c>
      <c r="J175" s="34" t="e">
        <f>VLOOKUP(A1,DIV_09Data!$A$1:$DZU$1000000,2969,FALSE)</f>
        <v>#N/A</v>
      </c>
      <c r="K175" s="34" t="e">
        <f>VLOOKUP(A1,DIV_09Data!$A$1:$DZU$1000000,2970,FALSE)</f>
        <v>#N/A</v>
      </c>
      <c r="L175" s="93" t="e">
        <f>VLOOKUP(A1,DIV_09Data!$A$1:$DZU$1000000,2971,FALSE)</f>
        <v>#N/A</v>
      </c>
      <c r="M175" s="33" t="e">
        <f>VLOOKUP(A1,DIV_09Data!$A$1:$DZU$1000000,2972,FALSE)</f>
        <v>#N/A</v>
      </c>
      <c r="N175" s="34" t="e">
        <f>VLOOKUP(A1,DIV_09Data!$A$1:$DZU$1000000,2973,FALSE)</f>
        <v>#N/A</v>
      </c>
      <c r="O175" s="33" t="e">
        <f>VLOOKUP(A1,DIV_09Data!$A$1:$DZU$1000000,2974,FALSE)</f>
        <v>#N/A</v>
      </c>
      <c r="P175" s="46" t="e">
        <f>VLOOKUP(A1,DIV_09Data!$A$1:$DZU$1000000,2975,FALSE)</f>
        <v>#N/A</v>
      </c>
      <c r="Q175" s="33" t="e">
        <f>VLOOKUP(A1,DIV_09Data!$A$1:$DZU$1000000,2976,FALSE)</f>
        <v>#N/A</v>
      </c>
    </row>
    <row r="176" spans="1:17" x14ac:dyDescent="0.35">
      <c r="A176" s="22" t="e">
        <f>VLOOKUP(A1,DIV_09Data!$A$1:$DZU$1000000,2977,FALSE)</f>
        <v>#N/A</v>
      </c>
      <c r="B176" s="37" t="e">
        <f>VLOOKUP(A1,DIV_09Data!$A$1:$DZU$1000000,2978,FALSE)</f>
        <v>#N/A</v>
      </c>
      <c r="C176" s="38" t="e">
        <f>VLOOKUP(A1,DIV_09Data!$A$1:$DZU$1000000,2979,FALSE)</f>
        <v>#N/A</v>
      </c>
      <c r="D176" s="31" t="e">
        <f>VLOOKUP(A1,DIV_09Data!$A$1:$DZU$1000000,2980,FALSE)</f>
        <v>#N/A</v>
      </c>
      <c r="E176" s="32" t="e">
        <f>VLOOKUP(A1,DIV_09Data!$A$1:$DZU$1000000,2981,FALSE)</f>
        <v>#N/A</v>
      </c>
      <c r="F176" s="34" t="e">
        <f>VLOOKUP(A1,DIV_09Data!$A$1:$DZU$1000000,2982,FALSE)</f>
        <v>#N/A</v>
      </c>
      <c r="G176" s="33" t="e">
        <f>VLOOKUP(A1,DIV_09Data!$A$1:$DZU$1000000,2983,FALSE)</f>
        <v>#N/A</v>
      </c>
      <c r="H176" s="34" t="e">
        <f>VLOOKUP(A1,DIV_09Data!$A$1:$DZU$1000000,2984,FALSE)</f>
        <v>#N/A</v>
      </c>
      <c r="I176" s="33" t="e">
        <f>VLOOKUP(A1,DIV_09Data!$A$1:$DZU$1000000,2985,FALSE)</f>
        <v>#N/A</v>
      </c>
      <c r="J176" s="34" t="e">
        <f>VLOOKUP(A1,DIV_09Data!$A$1:$DZU$1000000,2986,FALSE)</f>
        <v>#N/A</v>
      </c>
      <c r="K176" s="34" t="e">
        <f>VLOOKUP(A1,DIV_09Data!$A$1:$DZU$1000000,2987,FALSE)</f>
        <v>#N/A</v>
      </c>
      <c r="L176" s="93" t="e">
        <f>VLOOKUP(A1,DIV_09Data!$A$1:$DZU$1000000,2988,FALSE)</f>
        <v>#N/A</v>
      </c>
      <c r="M176" s="33" t="e">
        <f>VLOOKUP(A1,DIV_09Data!$A$1:$DZU$1000000,2989,FALSE)</f>
        <v>#N/A</v>
      </c>
      <c r="N176" s="34" t="e">
        <f>VLOOKUP(A1,DIV_09Data!$A$1:$DZU$1000000,2990,FALSE)</f>
        <v>#N/A</v>
      </c>
      <c r="O176" s="33" t="e">
        <f>VLOOKUP(A1,DIV_09Data!$A$1:$DZU$1000000,2991,FALSE)</f>
        <v>#N/A</v>
      </c>
      <c r="P176" s="46" t="e">
        <f>VLOOKUP(A1,DIV_09Data!$A$1:$DZU$1000000,2992,FALSE)</f>
        <v>#N/A</v>
      </c>
      <c r="Q176" s="33" t="e">
        <f>VLOOKUP(A1,DIV_09Data!$A$1:$DZU$1000000,2993,FALSE)</f>
        <v>#N/A</v>
      </c>
    </row>
    <row r="177" spans="1:17" x14ac:dyDescent="0.35">
      <c r="A177" s="22" t="e">
        <f>VLOOKUP(A1,DIV_09Data!$A$1:$DZU$1000000,2994,FALSE)</f>
        <v>#N/A</v>
      </c>
      <c r="B177" s="37" t="e">
        <f>VLOOKUP(A1,DIV_09Data!$A$1:$DZU$1000000,2995,FALSE)</f>
        <v>#N/A</v>
      </c>
      <c r="C177" s="38" t="e">
        <f>VLOOKUP(A1,DIV_09Data!$A$1:$DZU$1000000,2996,FALSE)</f>
        <v>#N/A</v>
      </c>
      <c r="D177" s="31" t="e">
        <f>VLOOKUP(A1,DIV_09Data!$A$1:$DZU$1000000,2997,FALSE)</f>
        <v>#N/A</v>
      </c>
      <c r="E177" s="32" t="e">
        <f>VLOOKUP(A1,DIV_09Data!$A$1:$DZU$1000000,2998,FALSE)</f>
        <v>#N/A</v>
      </c>
      <c r="F177" s="34" t="e">
        <f>VLOOKUP(A1,DIV_09Data!$A$1:$DZU$1000000,2999,FALSE)</f>
        <v>#N/A</v>
      </c>
      <c r="G177" s="33" t="e">
        <f>VLOOKUP(A1,DIV_09Data!$A$1:$DZU$1000000,3000,FALSE)</f>
        <v>#N/A</v>
      </c>
      <c r="H177" s="34" t="e">
        <f>VLOOKUP(A1,DIV_09Data!$A$1:$DZU$1000000,3001,FALSE)</f>
        <v>#N/A</v>
      </c>
      <c r="I177" s="33" t="e">
        <f>VLOOKUP(A1,DIV_09Data!$A$1:$DZU$1000000,3002,FALSE)</f>
        <v>#N/A</v>
      </c>
      <c r="J177" s="34" t="e">
        <f>VLOOKUP(A1,DIV_09Data!$A$1:$DZU$1000000,3003,FALSE)</f>
        <v>#N/A</v>
      </c>
      <c r="K177" s="34" t="e">
        <f>VLOOKUP(A1,DIV_09Data!$A$1:$DZU$1000000,3004,FALSE)</f>
        <v>#N/A</v>
      </c>
      <c r="L177" s="93" t="e">
        <f>VLOOKUP(A1,DIV_09Data!$A$1:$DZU$1000000,3005,FALSE)</f>
        <v>#N/A</v>
      </c>
      <c r="M177" s="33" t="e">
        <f>VLOOKUP(A1,DIV_09Data!$A$1:$DZU$1000000,3006,FALSE)</f>
        <v>#N/A</v>
      </c>
      <c r="N177" s="34" t="e">
        <f>VLOOKUP(A1,DIV_09Data!$A$1:$DZU$1000000,3007,FALSE)</f>
        <v>#N/A</v>
      </c>
      <c r="O177" s="33" t="e">
        <f>VLOOKUP(A1,DIV_09Data!$A$1:$DZU$1000000,3008,FALSE)</f>
        <v>#N/A</v>
      </c>
      <c r="P177" s="46" t="e">
        <f>VLOOKUP(A1,DIV_09Data!$A$1:$DZU$1000000,3009,FALSE)</f>
        <v>#N/A</v>
      </c>
      <c r="Q177" s="33" t="e">
        <f>VLOOKUP(A1,DIV_09Data!$A$1:$DZU$1000000,3010,FALSE)</f>
        <v>#N/A</v>
      </c>
    </row>
    <row r="178" spans="1:17" x14ac:dyDescent="0.35">
      <c r="A178" s="22" t="e">
        <f>VLOOKUP(A1,DIV_09Data!$A$1:$DZU$1000000,3011,FALSE)</f>
        <v>#N/A</v>
      </c>
      <c r="B178" s="37" t="e">
        <f>VLOOKUP(A1,DIV_09Data!$A$1:$DZU$1000000,3012,FALSE)</f>
        <v>#N/A</v>
      </c>
      <c r="C178" s="38" t="e">
        <f>VLOOKUP(A1,DIV_09Data!$A$1:$DZU$1000000,3013,FALSE)</f>
        <v>#N/A</v>
      </c>
      <c r="D178" s="31" t="e">
        <f>VLOOKUP(A1,DIV_09Data!$A$1:$DZU$1000000,3014,FALSE)</f>
        <v>#N/A</v>
      </c>
      <c r="E178" s="32" t="e">
        <f>VLOOKUP(A1,DIV_09Data!$A$1:$DZU$1000000,3015,FALSE)</f>
        <v>#N/A</v>
      </c>
      <c r="F178" s="34" t="e">
        <f>VLOOKUP(A1,DIV_09Data!$A$1:$DZU$1000000,3016,FALSE)</f>
        <v>#N/A</v>
      </c>
      <c r="G178" s="33" t="e">
        <f>VLOOKUP(A1,DIV_09Data!$A$1:$DZU$1000000,3017,FALSE)</f>
        <v>#N/A</v>
      </c>
      <c r="H178" s="34" t="e">
        <f>VLOOKUP(A1,DIV_09Data!$A$1:$DZU$1000000,3018,FALSE)</f>
        <v>#N/A</v>
      </c>
      <c r="I178" s="33" t="e">
        <f>VLOOKUP(A1,DIV_09Data!$A$1:$DZU$1000000,3019,FALSE)</f>
        <v>#N/A</v>
      </c>
      <c r="J178" s="34" t="e">
        <f>VLOOKUP(A1,DIV_09Data!$A$1:$DZU$1000000,3020,FALSE)</f>
        <v>#N/A</v>
      </c>
      <c r="K178" s="34" t="e">
        <f>VLOOKUP(A1,DIV_09Data!$A$1:$DZU$1000000,3021,FALSE)</f>
        <v>#N/A</v>
      </c>
      <c r="L178" s="93" t="e">
        <f>VLOOKUP(A1,DIV_09Data!$A$1:$DZU$1000000,3022,FALSE)</f>
        <v>#N/A</v>
      </c>
      <c r="M178" s="33" t="e">
        <f>VLOOKUP(A1,DIV_09Data!$A$1:$DZU$1000000,3023,FALSE)</f>
        <v>#N/A</v>
      </c>
      <c r="N178" s="34" t="e">
        <f>VLOOKUP(A1,DIV_09Data!$A$1:$DZU$1000000,3024,FALSE)</f>
        <v>#N/A</v>
      </c>
      <c r="O178" s="33" t="e">
        <f>VLOOKUP(A1,DIV_09Data!$A$1:$DZU$1000000,3025,FALSE)</f>
        <v>#N/A</v>
      </c>
      <c r="P178" s="46" t="e">
        <f>VLOOKUP(A1,DIV_09Data!$A$1:$DZU$1000000,3026,FALSE)</f>
        <v>#N/A</v>
      </c>
      <c r="Q178" s="33" t="e">
        <f>VLOOKUP(A1,DIV_09Data!$A$1:$DZU$1000000,3027,FALSE)</f>
        <v>#N/A</v>
      </c>
    </row>
    <row r="179" spans="1:17" x14ac:dyDescent="0.35">
      <c r="A179" s="22" t="e">
        <f>VLOOKUP(A1,DIV_09Data!$A$1:$DZU$1000000,3028,FALSE)</f>
        <v>#N/A</v>
      </c>
      <c r="B179" s="37" t="e">
        <f>VLOOKUP(A1,DIV_09Data!$A$1:$DZU$1000000,3029,FALSE)</f>
        <v>#N/A</v>
      </c>
      <c r="C179" s="38" t="e">
        <f>VLOOKUP(A1,DIV_09Data!$A$1:$DZU$1000000,3030,FALSE)</f>
        <v>#N/A</v>
      </c>
      <c r="D179" s="31" t="e">
        <f>VLOOKUP(A1,DIV_09Data!$A$1:$DZU$1000000,3031,FALSE)</f>
        <v>#N/A</v>
      </c>
      <c r="E179" s="32" t="e">
        <f>VLOOKUP(A1,DIV_09Data!$A$1:$DZU$1000000,3032,FALSE)</f>
        <v>#N/A</v>
      </c>
      <c r="F179" s="34" t="e">
        <f>VLOOKUP(A1,DIV_09Data!$A$1:$DZU$1000000,3033,FALSE)</f>
        <v>#N/A</v>
      </c>
      <c r="G179" s="33" t="e">
        <f>VLOOKUP(A1,DIV_09Data!$A$1:$DZU$1000000,3034,FALSE)</f>
        <v>#N/A</v>
      </c>
      <c r="H179" s="34" t="e">
        <f>VLOOKUP(A1,DIV_09Data!$A$1:$DZU$1000000,3035,FALSE)</f>
        <v>#N/A</v>
      </c>
      <c r="I179" s="33" t="e">
        <f>VLOOKUP(A1,DIV_09Data!$A$1:$DZU$1000000,3036,FALSE)</f>
        <v>#N/A</v>
      </c>
      <c r="J179" s="34" t="e">
        <f>VLOOKUP(A1,DIV_09Data!$A$1:$DZU$1000000,3037,FALSE)</f>
        <v>#N/A</v>
      </c>
      <c r="K179" s="34" t="e">
        <f>VLOOKUP(A1,DIV_09Data!$A$1:$DZU$1000000,3038,FALSE)</f>
        <v>#N/A</v>
      </c>
      <c r="L179" s="93" t="e">
        <f>VLOOKUP(A1,DIV_09Data!$A$1:$DZU$1000000,3039,FALSE)</f>
        <v>#N/A</v>
      </c>
      <c r="M179" s="33" t="e">
        <f>VLOOKUP(A1,DIV_09Data!$A$1:$DZU$1000000,3040,FALSE)</f>
        <v>#N/A</v>
      </c>
      <c r="N179" s="34" t="e">
        <f>VLOOKUP(A1,DIV_09Data!$A$1:$DZU$1000000,3041,FALSE)</f>
        <v>#N/A</v>
      </c>
      <c r="O179" s="33" t="e">
        <f>VLOOKUP(A1,DIV_09Data!$A$1:$DZU$1000000,3042,FALSE)</f>
        <v>#N/A</v>
      </c>
      <c r="P179" s="46" t="e">
        <f>VLOOKUP(A1,DIV_09Data!$A$1:$DZU$1000000,3043,FALSE)</f>
        <v>#N/A</v>
      </c>
      <c r="Q179" s="33" t="e">
        <f>VLOOKUP(A1,DIV_09Data!$A$1:$DZU$1000000,3044,FALSE)</f>
        <v>#N/A</v>
      </c>
    </row>
    <row r="180" spans="1:17" x14ac:dyDescent="0.35">
      <c r="A180" s="22" t="e">
        <f>VLOOKUP(A1,DIV_09Data!$A$1:$DZU$1000000,3045,FALSE)</f>
        <v>#N/A</v>
      </c>
      <c r="B180" s="37" t="e">
        <f>VLOOKUP(A1,DIV_09Data!$A$1:$DZU$1000000,3046,FALSE)</f>
        <v>#N/A</v>
      </c>
      <c r="C180" s="38" t="e">
        <f>VLOOKUP(A1,DIV_09Data!$A$1:$DZU$1000000,3047,FALSE)</f>
        <v>#N/A</v>
      </c>
      <c r="D180" s="31" t="e">
        <f>VLOOKUP(A1,DIV_09Data!$A$1:$DZU$1000000,3048,FALSE)</f>
        <v>#N/A</v>
      </c>
      <c r="E180" s="32" t="e">
        <f>VLOOKUP(A1,DIV_09Data!$A$1:$DZU$1000000,3049,FALSE)</f>
        <v>#N/A</v>
      </c>
      <c r="F180" s="34" t="e">
        <f>VLOOKUP(A1,DIV_09Data!$A$1:$DZU$1000000,3050,FALSE)</f>
        <v>#N/A</v>
      </c>
      <c r="G180" s="33" t="e">
        <f>VLOOKUP(A1,DIV_09Data!$A$1:$DZU$1000000,3051,FALSE)</f>
        <v>#N/A</v>
      </c>
      <c r="H180" s="34" t="e">
        <f>VLOOKUP(A1,DIV_09Data!$A$1:$DZU$1000000,3052,FALSE)</f>
        <v>#N/A</v>
      </c>
      <c r="I180" s="33" t="e">
        <f>VLOOKUP(A1,DIV_09Data!$A$1:$DZU$1000000,3053,FALSE)</f>
        <v>#N/A</v>
      </c>
      <c r="J180" s="34" t="e">
        <f>VLOOKUP(A1,DIV_09Data!$A$1:$DZU$1000000,3054,FALSE)</f>
        <v>#N/A</v>
      </c>
      <c r="K180" s="34" t="e">
        <f>VLOOKUP(A1,DIV_09Data!$A$1:$DZU$1000000,3055,FALSE)</f>
        <v>#N/A</v>
      </c>
      <c r="L180" s="93" t="e">
        <f>VLOOKUP(A1,DIV_09Data!$A$1:$DZU$1000000,3056,FALSE)</f>
        <v>#N/A</v>
      </c>
      <c r="M180" s="33" t="e">
        <f>VLOOKUP(A1,DIV_09Data!$A$1:$DZU$1000000,3057,FALSE)</f>
        <v>#N/A</v>
      </c>
      <c r="N180" s="34" t="e">
        <f>VLOOKUP(A1,DIV_09Data!$A$1:$DZU$1000000,3058,FALSE)</f>
        <v>#N/A</v>
      </c>
      <c r="O180" s="33" t="e">
        <f>VLOOKUP(A1,DIV_09Data!$A$1:$DZU$1000000,3059,FALSE)</f>
        <v>#N/A</v>
      </c>
      <c r="P180" s="46" t="e">
        <f>VLOOKUP(A1,DIV_09Data!$A$1:$DZU$1000000,3060,FALSE)</f>
        <v>#N/A</v>
      </c>
      <c r="Q180" s="33" t="e">
        <f>VLOOKUP(A1,DIV_09Data!$A$1:$DZU$1000000,3061,FALSE)</f>
        <v>#N/A</v>
      </c>
    </row>
    <row r="181" spans="1:17" x14ac:dyDescent="0.35">
      <c r="A181" s="22" t="e">
        <f>VLOOKUP(A1,DIV_09Data!$A$1:$DZU$1000000,3062,FALSE)</f>
        <v>#N/A</v>
      </c>
      <c r="B181" s="37" t="e">
        <f>VLOOKUP(A1,DIV_09Data!$A$1:$DZU$1000000,3063,FALSE)</f>
        <v>#N/A</v>
      </c>
      <c r="C181" s="38" t="e">
        <f>VLOOKUP(A1,DIV_09Data!$A$1:$DZU$1000000,3064,FALSE)</f>
        <v>#N/A</v>
      </c>
      <c r="D181" s="31" t="e">
        <f>VLOOKUP(A1,DIV_09Data!$A$1:$DZU$1000000,3065,FALSE)</f>
        <v>#N/A</v>
      </c>
      <c r="E181" s="32" t="e">
        <f>VLOOKUP(A1,DIV_09Data!$A$1:$DZU$1000000,3066,FALSE)</f>
        <v>#N/A</v>
      </c>
      <c r="F181" s="34" t="e">
        <f>VLOOKUP(A1,DIV_09Data!$A$1:$DZU$1000000,3067,FALSE)</f>
        <v>#N/A</v>
      </c>
      <c r="G181" s="33" t="e">
        <f>VLOOKUP(A1,DIV_09Data!$A$1:$DZU$1000000,3068,FALSE)</f>
        <v>#N/A</v>
      </c>
      <c r="H181" s="34" t="e">
        <f>VLOOKUP(A1,DIV_09Data!$A$1:$DZU$1000000,3069,FALSE)</f>
        <v>#N/A</v>
      </c>
      <c r="I181" s="33" t="e">
        <f>VLOOKUP(A1,DIV_09Data!$A$1:$DZU$1000000,3070,FALSE)</f>
        <v>#N/A</v>
      </c>
      <c r="J181" s="34" t="e">
        <f>VLOOKUP(A1,DIV_09Data!$A$1:$DZU$1000000,3071,FALSE)</f>
        <v>#N/A</v>
      </c>
      <c r="K181" s="34" t="e">
        <f>VLOOKUP(A1,DIV_09Data!$A$1:$DZU$1000000,3072,FALSE)</f>
        <v>#N/A</v>
      </c>
      <c r="L181" s="93" t="e">
        <f>VLOOKUP(A1,DIV_09Data!$A$1:$DZU$1000000,3073,FALSE)</f>
        <v>#N/A</v>
      </c>
      <c r="M181" s="33" t="e">
        <f>VLOOKUP(A1,DIV_09Data!$A$1:$DZU$1000000,3074,FALSE)</f>
        <v>#N/A</v>
      </c>
      <c r="N181" s="34" t="e">
        <f>VLOOKUP(A1,DIV_09Data!$A$1:$DZU$1000000,3075,FALSE)</f>
        <v>#N/A</v>
      </c>
      <c r="O181" s="33" t="e">
        <f>VLOOKUP(A1,DIV_09Data!$A$1:$DZU$1000000,3076,FALSE)</f>
        <v>#N/A</v>
      </c>
      <c r="P181" s="46" t="e">
        <f>VLOOKUP(A1,DIV_09Data!$A$1:$DZU$1000000,3077,FALSE)</f>
        <v>#N/A</v>
      </c>
      <c r="Q181" s="33" t="e">
        <f>VLOOKUP(A1,DIV_09Data!$A$1:$DZU$1000000,3078,FALSE)</f>
        <v>#N/A</v>
      </c>
    </row>
    <row r="182" spans="1:17" x14ac:dyDescent="0.35">
      <c r="A182" s="22" t="e">
        <f>VLOOKUP(A1,DIV_09Data!$A$1:$DZU$1000000,3079,FALSE)</f>
        <v>#N/A</v>
      </c>
      <c r="B182" s="37" t="e">
        <f>VLOOKUP(A1,DIV_09Data!$A$1:$DZU$1000000,3080,FALSE)</f>
        <v>#N/A</v>
      </c>
      <c r="C182" s="38" t="e">
        <f>VLOOKUP(A1,DIV_09Data!$A$1:$DZU$1000000,3081,FALSE)</f>
        <v>#N/A</v>
      </c>
      <c r="D182" s="31" t="e">
        <f>VLOOKUP(A1,DIV_09Data!$A$1:$DZU$1000000,3082,FALSE)</f>
        <v>#N/A</v>
      </c>
      <c r="E182" s="32" t="e">
        <f>VLOOKUP(A1,DIV_09Data!$A$1:$DZU$1000000,3083,FALSE)</f>
        <v>#N/A</v>
      </c>
      <c r="F182" s="34" t="e">
        <f>VLOOKUP(A1,DIV_09Data!$A$1:$DZU$1000000,3084,FALSE)</f>
        <v>#N/A</v>
      </c>
      <c r="G182" s="33" t="e">
        <f>VLOOKUP(A1,DIV_09Data!$A$1:$DZU$1000000,3085,FALSE)</f>
        <v>#N/A</v>
      </c>
      <c r="H182" s="34" t="e">
        <f>VLOOKUP(A1,DIV_09Data!$A$1:$DZU$1000000,3086,FALSE)</f>
        <v>#N/A</v>
      </c>
      <c r="I182" s="33" t="e">
        <f>VLOOKUP(A1,DIV_09Data!$A$1:$DZU$1000000,3087,FALSE)</f>
        <v>#N/A</v>
      </c>
      <c r="J182" s="34" t="e">
        <f>VLOOKUP(A1,DIV_09Data!$A$1:$DZU$1000000,3088,FALSE)</f>
        <v>#N/A</v>
      </c>
      <c r="K182" s="34" t="e">
        <f>VLOOKUP(A1,DIV_09Data!$A$1:$DZU$1000000,3089,FALSE)</f>
        <v>#N/A</v>
      </c>
      <c r="L182" s="93" t="e">
        <f>VLOOKUP(A1,DIV_09Data!$A$1:$DZU$1000000,3090,FALSE)</f>
        <v>#N/A</v>
      </c>
      <c r="M182" s="33" t="e">
        <f>VLOOKUP(A1,DIV_09Data!$A$1:$DZU$1000000,3091,FALSE)</f>
        <v>#N/A</v>
      </c>
      <c r="N182" s="34" t="e">
        <f>VLOOKUP(A1,DIV_09Data!$A$1:$DZU$1000000,3092,FALSE)</f>
        <v>#N/A</v>
      </c>
      <c r="O182" s="33" t="e">
        <f>VLOOKUP(A1,DIV_09Data!$A$1:$DZU$1000000,3093,FALSE)</f>
        <v>#N/A</v>
      </c>
      <c r="P182" s="46" t="e">
        <f>VLOOKUP(A1,DIV_09Data!$A$1:$DZU$1000000,3094,FALSE)</f>
        <v>#N/A</v>
      </c>
      <c r="Q182" s="33" t="e">
        <f>VLOOKUP(A1,DIV_09Data!$A$1:$DZU$1000000,3095,FALSE)</f>
        <v>#N/A</v>
      </c>
    </row>
    <row r="183" spans="1:17" x14ac:dyDescent="0.35">
      <c r="A183" s="22" t="e">
        <f>VLOOKUP(A1,DIV_09Data!$A$1:$DZU$1000000,3096,FALSE)</f>
        <v>#N/A</v>
      </c>
      <c r="B183" s="37" t="e">
        <f>VLOOKUP(A1,DIV_09Data!$A$1:$DZU$1000000,3097,FALSE)</f>
        <v>#N/A</v>
      </c>
      <c r="C183" s="38" t="e">
        <f>VLOOKUP(A1,DIV_09Data!$A$1:$DZU$1000000,3098,FALSE)</f>
        <v>#N/A</v>
      </c>
      <c r="D183" s="31" t="e">
        <f>VLOOKUP(A1,DIV_09Data!$A$1:$DZU$1000000,3099,FALSE)</f>
        <v>#N/A</v>
      </c>
      <c r="E183" s="32" t="e">
        <f>VLOOKUP(A1,DIV_09Data!$A$1:$DZU$1000000,3100,FALSE)</f>
        <v>#N/A</v>
      </c>
      <c r="F183" s="34" t="e">
        <f>VLOOKUP(A1,DIV_09Data!$A$1:$DZU$1000000,3101,FALSE)</f>
        <v>#N/A</v>
      </c>
      <c r="G183" s="33" t="e">
        <f>VLOOKUP(A1,DIV_09Data!$A$1:$DZU$1000000,3102,FALSE)</f>
        <v>#N/A</v>
      </c>
      <c r="H183" s="34" t="e">
        <f>VLOOKUP(A1,DIV_09Data!$A$1:$DZU$1000000,3103,FALSE)</f>
        <v>#N/A</v>
      </c>
      <c r="I183" s="33" t="e">
        <f>VLOOKUP(A1,DIV_09Data!$A$1:$DZU$1000000,3104,FALSE)</f>
        <v>#N/A</v>
      </c>
      <c r="J183" s="34" t="e">
        <f>VLOOKUP(A1,DIV_09Data!$A$1:$DZU$1000000,3105,FALSE)</f>
        <v>#N/A</v>
      </c>
      <c r="K183" s="34" t="e">
        <f>VLOOKUP(A1,DIV_09Data!$A$1:$DZU$1000000,3106,FALSE)</f>
        <v>#N/A</v>
      </c>
      <c r="L183" s="93" t="e">
        <f>VLOOKUP(A1,DIV_09Data!$A$1:$DZU$1000000,3107,FALSE)</f>
        <v>#N/A</v>
      </c>
      <c r="M183" s="33" t="e">
        <f>VLOOKUP(A1,DIV_09Data!$A$1:$DZU$1000000,3108,FALSE)</f>
        <v>#N/A</v>
      </c>
      <c r="N183" s="34" t="e">
        <f>VLOOKUP(A1,DIV_09Data!$A$1:$DZU$1000000,3109,FALSE)</f>
        <v>#N/A</v>
      </c>
      <c r="O183" s="33" t="e">
        <f>VLOOKUP(A1,DIV_09Data!$A$1:$DZU$1000000,3110,FALSE)</f>
        <v>#N/A</v>
      </c>
      <c r="P183" s="46" t="e">
        <f>VLOOKUP(A1,DIV_09Data!$A$1:$DZU$1000000,3111,FALSE)</f>
        <v>#N/A</v>
      </c>
      <c r="Q183" s="33" t="e">
        <f>VLOOKUP(A1,DIV_09Data!$A$1:$DZU$1000000,3112,FALSE)</f>
        <v>#N/A</v>
      </c>
    </row>
    <row r="184" spans="1:17" x14ac:dyDescent="0.35">
      <c r="A184" s="22" t="e">
        <f>VLOOKUP(A1,DIV_09Data!$A$1:$DZU$1000000,3113,FALSE)</f>
        <v>#N/A</v>
      </c>
      <c r="B184" s="37" t="e">
        <f>VLOOKUP(A1,DIV_09Data!$A$1:$DZU$1000000,3114,FALSE)</f>
        <v>#N/A</v>
      </c>
      <c r="C184" s="38" t="e">
        <f>VLOOKUP(A1,DIV_09Data!$A$1:$DZU$1000000,3115,FALSE)</f>
        <v>#N/A</v>
      </c>
      <c r="D184" s="31" t="e">
        <f>VLOOKUP(A1,DIV_09Data!$A$1:$DZU$1000000,3116,FALSE)</f>
        <v>#N/A</v>
      </c>
      <c r="E184" s="32" t="e">
        <f>VLOOKUP(A1,DIV_09Data!$A$1:$DZU$1000000,3117,FALSE)</f>
        <v>#N/A</v>
      </c>
      <c r="F184" s="34" t="e">
        <f>VLOOKUP(A1,DIV_09Data!$A$1:$DZU$1000000,3118,FALSE)</f>
        <v>#N/A</v>
      </c>
      <c r="G184" s="33" t="e">
        <f>VLOOKUP(A1,DIV_09Data!$A$1:$DZU$1000000,3119,FALSE)</f>
        <v>#N/A</v>
      </c>
      <c r="H184" s="34" t="e">
        <f>VLOOKUP(A1,DIV_09Data!$A$1:$DZU$1000000,3120,FALSE)</f>
        <v>#N/A</v>
      </c>
      <c r="I184" s="33" t="e">
        <f>VLOOKUP(A1,DIV_09Data!$A$1:$DZU$1000000,3121,FALSE)</f>
        <v>#N/A</v>
      </c>
      <c r="J184" s="34" t="e">
        <f>VLOOKUP(A1,DIV_09Data!$A$1:$DZU$1000000,3122,FALSE)</f>
        <v>#N/A</v>
      </c>
      <c r="K184" s="34" t="e">
        <f>VLOOKUP(A1,DIV_09Data!$A$1:$DZU$1000000,3123,FALSE)</f>
        <v>#N/A</v>
      </c>
      <c r="L184" s="93" t="e">
        <f>VLOOKUP(A1,DIV_09Data!$A$1:$DZU$1000000,3124,FALSE)</f>
        <v>#N/A</v>
      </c>
      <c r="M184" s="33" t="e">
        <f>VLOOKUP(A1,DIV_09Data!$A$1:$DZU$1000000,3125,FALSE)</f>
        <v>#N/A</v>
      </c>
      <c r="N184" s="34" t="e">
        <f>VLOOKUP(A1,DIV_09Data!$A$1:$DZU$1000000,3126,FALSE)</f>
        <v>#N/A</v>
      </c>
      <c r="O184" s="33" t="e">
        <f>VLOOKUP(A1,DIV_09Data!$A$1:$DZU$1000000,3127,FALSE)</f>
        <v>#N/A</v>
      </c>
      <c r="P184" s="46" t="e">
        <f>VLOOKUP(A1,DIV_09Data!$A$1:$DZU$1000000,3128,FALSE)</f>
        <v>#N/A</v>
      </c>
      <c r="Q184" s="33" t="e">
        <f>VLOOKUP(A1,DIV_09Data!$A$1:$DZU$1000000,3129,FALSE)</f>
        <v>#N/A</v>
      </c>
    </row>
    <row r="185" spans="1:17" x14ac:dyDescent="0.35">
      <c r="A185" s="22" t="e">
        <f>VLOOKUP(A1,DIV_09Data!$A$1:$DZU$1000000,3130,FALSE)</f>
        <v>#N/A</v>
      </c>
      <c r="B185" s="37" t="e">
        <f>VLOOKUP(A1,DIV_09Data!$A$1:$DZU$1000000,3131,FALSE)</f>
        <v>#N/A</v>
      </c>
      <c r="C185" s="38" t="e">
        <f>VLOOKUP(A1,DIV_09Data!$A$1:$DZU$1000000,3132,FALSE)</f>
        <v>#N/A</v>
      </c>
      <c r="D185" s="31" t="e">
        <f>VLOOKUP(A1,DIV_09Data!$A$1:$DZU$1000000,3133,FALSE)</f>
        <v>#N/A</v>
      </c>
      <c r="E185" s="32" t="e">
        <f>VLOOKUP(A1,DIV_09Data!$A$1:$DZU$1000000,3134,FALSE)</f>
        <v>#N/A</v>
      </c>
      <c r="F185" s="34" t="e">
        <f>VLOOKUP(A1,DIV_09Data!$A$1:$DZU$1000000,3135,FALSE)</f>
        <v>#N/A</v>
      </c>
      <c r="G185" s="33" t="e">
        <f>VLOOKUP(A1,DIV_09Data!$A$1:$DZU$1000000,3136,FALSE)</f>
        <v>#N/A</v>
      </c>
      <c r="H185" s="34" t="e">
        <f>VLOOKUP(A1,DIV_09Data!$A$1:$DZU$1000000,3137,FALSE)</f>
        <v>#N/A</v>
      </c>
      <c r="I185" s="33" t="e">
        <f>VLOOKUP(A1,DIV_09Data!$A$1:$DZU$1000000,3138,FALSE)</f>
        <v>#N/A</v>
      </c>
      <c r="J185" s="34" t="e">
        <f>VLOOKUP(A1,DIV_09Data!$A$1:$DZU$1000000,3139,FALSE)</f>
        <v>#N/A</v>
      </c>
      <c r="K185" s="34" t="e">
        <f>VLOOKUP(A1,DIV_09Data!$A$1:$DZU$1000000,3140,FALSE)</f>
        <v>#N/A</v>
      </c>
      <c r="L185" s="93" t="e">
        <f>VLOOKUP(A1,DIV_09Data!$A$1:$DZU$1000000,3141,FALSE)</f>
        <v>#N/A</v>
      </c>
      <c r="M185" s="33" t="e">
        <f>VLOOKUP(A1,DIV_09Data!$A$1:$DZU$1000000,3142,FALSE)</f>
        <v>#N/A</v>
      </c>
      <c r="N185" s="34" t="e">
        <f>VLOOKUP(A1,DIV_09Data!$A$1:$DZU$1000000,3143,FALSE)</f>
        <v>#N/A</v>
      </c>
      <c r="O185" s="33" t="e">
        <f>VLOOKUP(A1,DIV_09Data!$A$1:$DZU$1000000,3144,FALSE)</f>
        <v>#N/A</v>
      </c>
      <c r="P185" s="46" t="e">
        <f>VLOOKUP(A1,DIV_09Data!$A$1:$DZU$1000000,3145,FALSE)</f>
        <v>#N/A</v>
      </c>
      <c r="Q185" s="33" t="e">
        <f>VLOOKUP(A1,DIV_09Data!$A$1:$DZU$1000000,3146,FALSE)</f>
        <v>#N/A</v>
      </c>
    </row>
    <row r="186" spans="1:17" x14ac:dyDescent="0.35">
      <c r="A186" s="22" t="e">
        <f>VLOOKUP(A1,DIV_09Data!$A$1:$DZU$1000000,3147,FALSE)</f>
        <v>#N/A</v>
      </c>
      <c r="B186" s="37" t="e">
        <f>VLOOKUP(A1,DIV_09Data!$A$1:$DZU$1000000,3148,FALSE)</f>
        <v>#N/A</v>
      </c>
      <c r="C186" s="38" t="e">
        <f>VLOOKUP(A1,DIV_09Data!$A$1:$DZU$1000000,3149,FALSE)</f>
        <v>#N/A</v>
      </c>
      <c r="D186" s="31" t="e">
        <f>VLOOKUP(A1,DIV_09Data!$A$1:$DZU$1000000,3150,FALSE)</f>
        <v>#N/A</v>
      </c>
      <c r="E186" s="32" t="e">
        <f>VLOOKUP(A1,DIV_09Data!$A$1:$DZU$1000000,3151,FALSE)</f>
        <v>#N/A</v>
      </c>
      <c r="F186" s="34" t="e">
        <f>VLOOKUP(A1,DIV_09Data!$A$1:$DZU$1000000,3152,FALSE)</f>
        <v>#N/A</v>
      </c>
      <c r="G186" s="33" t="e">
        <f>VLOOKUP(A1,DIV_09Data!$A$1:$DZU$1000000,3153,FALSE)</f>
        <v>#N/A</v>
      </c>
      <c r="H186" s="34" t="e">
        <f>VLOOKUP(A1,DIV_09Data!$A$1:$DZU$1000000,3154,FALSE)</f>
        <v>#N/A</v>
      </c>
      <c r="I186" s="33" t="e">
        <f>VLOOKUP(A1,DIV_09Data!$A$1:$DZU$1000000,3155,FALSE)</f>
        <v>#N/A</v>
      </c>
      <c r="J186" s="34" t="e">
        <f>VLOOKUP(A1,DIV_09Data!$A$1:$DZU$1000000,3156,FALSE)</f>
        <v>#N/A</v>
      </c>
      <c r="K186" s="34" t="e">
        <f>VLOOKUP(A1,DIV_09Data!$A$1:$DZU$1000000,3157,FALSE)</f>
        <v>#N/A</v>
      </c>
      <c r="L186" s="93" t="e">
        <f>VLOOKUP(A1,DIV_09Data!$A$1:$DZU$1000000,3158,FALSE)</f>
        <v>#N/A</v>
      </c>
      <c r="M186" s="33" t="e">
        <f>VLOOKUP(A1,DIV_09Data!$A$1:$DZU$1000000,3159,FALSE)</f>
        <v>#N/A</v>
      </c>
      <c r="N186" s="34" t="e">
        <f>VLOOKUP(A1,DIV_09Data!$A$1:$DZU$1000000,3160,FALSE)</f>
        <v>#N/A</v>
      </c>
      <c r="O186" s="33" t="e">
        <f>VLOOKUP(A1,DIV_09Data!$A$1:$DZU$1000000,3161,FALSE)</f>
        <v>#N/A</v>
      </c>
      <c r="P186" s="46" t="e">
        <f>VLOOKUP(A1,DIV_09Data!$A$1:$DZU$1000000,3162,FALSE)</f>
        <v>#N/A</v>
      </c>
      <c r="Q186" s="33" t="e">
        <f>VLOOKUP(A1,DIV_09Data!$A$1:$DZU$1000000,3163,FALSE)</f>
        <v>#N/A</v>
      </c>
    </row>
    <row r="187" spans="1:17" x14ac:dyDescent="0.35">
      <c r="A187" s="22" t="e">
        <f>VLOOKUP(A1,DIV_09Data!$A$1:$DZU$1000000,3164,FALSE)</f>
        <v>#N/A</v>
      </c>
      <c r="B187" s="37" t="e">
        <f>VLOOKUP(A1,DIV_09Data!$A$1:$DZU$1000000,3165,FALSE)</f>
        <v>#N/A</v>
      </c>
      <c r="C187" s="38" t="e">
        <f>VLOOKUP(A1,DIV_09Data!$A$1:$DZU$1000000,3166,FALSE)</f>
        <v>#N/A</v>
      </c>
      <c r="D187" s="31" t="e">
        <f>VLOOKUP(A1,DIV_09Data!$A$1:$DZU$1000000,3167,FALSE)</f>
        <v>#N/A</v>
      </c>
      <c r="E187" s="32" t="e">
        <f>VLOOKUP(A1,DIV_09Data!$A$1:$DZU$1000000,3168,FALSE)</f>
        <v>#N/A</v>
      </c>
      <c r="F187" s="34" t="e">
        <f>VLOOKUP(A1,DIV_09Data!$A$1:$DZU$1000000,3169,FALSE)</f>
        <v>#N/A</v>
      </c>
      <c r="G187" s="33" t="e">
        <f>VLOOKUP(A1,DIV_09Data!$A$1:$DZU$1000000,3170,FALSE)</f>
        <v>#N/A</v>
      </c>
      <c r="H187" s="34" t="e">
        <f>VLOOKUP(A1,DIV_09Data!$A$1:$DZU$1000000,3171,FALSE)</f>
        <v>#N/A</v>
      </c>
      <c r="I187" s="33" t="e">
        <f>VLOOKUP(A1,DIV_09Data!$A$1:$DZU$1000000,3172,FALSE)</f>
        <v>#N/A</v>
      </c>
      <c r="J187" s="34" t="e">
        <f>VLOOKUP(A1,DIV_09Data!$A$1:$DZU$1000000,3173,FALSE)</f>
        <v>#N/A</v>
      </c>
      <c r="K187" s="34" t="e">
        <f>VLOOKUP(A1,DIV_09Data!$A$1:$DZU$1000000,3174,FALSE)</f>
        <v>#N/A</v>
      </c>
      <c r="L187" s="93" t="e">
        <f>VLOOKUP(A1,DIV_09Data!$A$1:$DZU$1000000,3175,FALSE)</f>
        <v>#N/A</v>
      </c>
      <c r="M187" s="33" t="e">
        <f>VLOOKUP(A1,DIV_09Data!$A$1:$DZU$1000000,3176,FALSE)</f>
        <v>#N/A</v>
      </c>
      <c r="N187" s="34" t="e">
        <f>VLOOKUP(A1,DIV_09Data!$A$1:$DZU$1000000,3177,FALSE)</f>
        <v>#N/A</v>
      </c>
      <c r="O187" s="33" t="e">
        <f>VLOOKUP(A1,DIV_09Data!$A$1:$DZU$1000000,3178,FALSE)</f>
        <v>#N/A</v>
      </c>
      <c r="P187" s="46" t="e">
        <f>VLOOKUP(A1,DIV_09Data!$A$1:$DZU$1000000,3179,FALSE)</f>
        <v>#N/A</v>
      </c>
      <c r="Q187" s="33" t="e">
        <f>VLOOKUP(A1,DIV_09Data!$A$1:$DZU$1000000,3180,FALSE)</f>
        <v>#N/A</v>
      </c>
    </row>
    <row r="188" spans="1:17" x14ac:dyDescent="0.35">
      <c r="A188" s="22" t="e">
        <f>VLOOKUP(A1,DIV_09Data!$A$1:$DZU$1000000,3181,FALSE)</f>
        <v>#N/A</v>
      </c>
      <c r="B188" s="37" t="e">
        <f>VLOOKUP(A1,DIV_09Data!$A$1:$DZU$1000000,3182,FALSE)</f>
        <v>#N/A</v>
      </c>
      <c r="C188" s="38" t="e">
        <f>VLOOKUP(A1,DIV_09Data!$A$1:$DZU$1000000,3183,FALSE)</f>
        <v>#N/A</v>
      </c>
      <c r="D188" s="31" t="e">
        <f>VLOOKUP(A1,DIV_09Data!$A$1:$DZU$1000000,3184,FALSE)</f>
        <v>#N/A</v>
      </c>
      <c r="E188" s="32" t="e">
        <f>VLOOKUP(A1,DIV_09Data!$A$1:$DZU$1000000,3185,FALSE)</f>
        <v>#N/A</v>
      </c>
      <c r="F188" s="34" t="e">
        <f>VLOOKUP(A1,DIV_09Data!$A$1:$DZU$1000000,3186,FALSE)</f>
        <v>#N/A</v>
      </c>
      <c r="G188" s="33" t="e">
        <f>VLOOKUP(A1,DIV_09Data!$A$1:$DZU$1000000,3187,FALSE)</f>
        <v>#N/A</v>
      </c>
      <c r="H188" s="34" t="e">
        <f>VLOOKUP(A1,DIV_09Data!$A$1:$DZU$1000000,3188,FALSE)</f>
        <v>#N/A</v>
      </c>
      <c r="I188" s="33" t="e">
        <f>VLOOKUP(A1,DIV_09Data!$A$1:$DZU$1000000,3189,FALSE)</f>
        <v>#N/A</v>
      </c>
      <c r="J188" s="34" t="e">
        <f>VLOOKUP(A1,DIV_09Data!$A$1:$DZU$1000000,3190,FALSE)</f>
        <v>#N/A</v>
      </c>
      <c r="K188" s="34" t="e">
        <f>VLOOKUP(A1,DIV_09Data!$A$1:$DZU$1000000,3191,FALSE)</f>
        <v>#N/A</v>
      </c>
      <c r="L188" s="93" t="e">
        <f>VLOOKUP(A1,DIV_09Data!$A$1:$DZU$1000000,3192,FALSE)</f>
        <v>#N/A</v>
      </c>
      <c r="M188" s="33" t="e">
        <f>VLOOKUP(A1,DIV_09Data!$A$1:$DZU$1000000,3193,FALSE)</f>
        <v>#N/A</v>
      </c>
      <c r="N188" s="34" t="e">
        <f>VLOOKUP(A1,DIV_09Data!$A$1:$DZU$1000000,3194,FALSE)</f>
        <v>#N/A</v>
      </c>
      <c r="O188" s="33" t="e">
        <f>VLOOKUP(A1,DIV_09Data!$A$1:$DZU$1000000,3195,FALSE)</f>
        <v>#N/A</v>
      </c>
      <c r="P188" s="46" t="e">
        <f>VLOOKUP(A1,DIV_09Data!$A$1:$DZU$1000000,3196,FALSE)</f>
        <v>#N/A</v>
      </c>
      <c r="Q188" s="33" t="e">
        <f>VLOOKUP(A1,DIV_09Data!$A$1:$DZU$1000000,3197,FALSE)</f>
        <v>#N/A</v>
      </c>
    </row>
    <row r="189" spans="1:17" x14ac:dyDescent="0.35">
      <c r="A189" s="22" t="e">
        <f>VLOOKUP(A1,DIV_09Data!$A$1:$DZU$1000000,3198,FALSE)</f>
        <v>#N/A</v>
      </c>
      <c r="B189" s="37" t="e">
        <f>VLOOKUP(A1,DIV_09Data!$A$1:$DZU$1000000,3199,FALSE)</f>
        <v>#N/A</v>
      </c>
      <c r="C189" s="38" t="e">
        <f>VLOOKUP(A1,DIV_09Data!$A$1:$DZU$1000000,3200,FALSE)</f>
        <v>#N/A</v>
      </c>
      <c r="D189" s="31" t="e">
        <f>VLOOKUP(A1,DIV_09Data!$A$1:$DZU$1000000,3201,FALSE)</f>
        <v>#N/A</v>
      </c>
      <c r="E189" s="32" t="e">
        <f>VLOOKUP(A1,DIV_09Data!$A$1:$DZU$1000000,3202,FALSE)</f>
        <v>#N/A</v>
      </c>
      <c r="F189" s="34" t="e">
        <f>VLOOKUP(A1,DIV_09Data!$A$1:$DZU$1000000,3203,FALSE)</f>
        <v>#N/A</v>
      </c>
      <c r="G189" s="33" t="e">
        <f>VLOOKUP(A1,DIV_09Data!$A$1:$DZU$1000000,3204,FALSE)</f>
        <v>#N/A</v>
      </c>
      <c r="H189" s="34" t="e">
        <f>VLOOKUP(A1,DIV_09Data!$A$1:$DZU$1000000,3205,FALSE)</f>
        <v>#N/A</v>
      </c>
      <c r="I189" s="33" t="e">
        <f>VLOOKUP(A1,DIV_09Data!$A$1:$DZU$1000000,3206,FALSE)</f>
        <v>#N/A</v>
      </c>
      <c r="J189" s="34" t="e">
        <f>VLOOKUP(A1,DIV_09Data!$A$1:$DZU$1000000,3207,FALSE)</f>
        <v>#N/A</v>
      </c>
      <c r="K189" s="34" t="e">
        <f>VLOOKUP(A1,DIV_09Data!$A$1:$DZU$1000000,3208,FALSE)</f>
        <v>#N/A</v>
      </c>
      <c r="L189" s="93" t="e">
        <f>VLOOKUP(A1,DIV_09Data!$A$1:$DZU$1000000,3209,FALSE)</f>
        <v>#N/A</v>
      </c>
      <c r="M189" s="33" t="e">
        <f>VLOOKUP(A1,DIV_09Data!$A$1:$DZU$1000000,3210,FALSE)</f>
        <v>#N/A</v>
      </c>
      <c r="N189" s="34" t="e">
        <f>VLOOKUP(A1,DIV_09Data!$A$1:$DZU$1000000,3211,FALSE)</f>
        <v>#N/A</v>
      </c>
      <c r="O189" s="33" t="e">
        <f>VLOOKUP(A1,DIV_09Data!$A$1:$DZU$1000000,3212,FALSE)</f>
        <v>#N/A</v>
      </c>
      <c r="P189" s="46" t="e">
        <f>VLOOKUP(A1,DIV_09Data!$A$1:$DZU$1000000,3213,FALSE)</f>
        <v>#N/A</v>
      </c>
      <c r="Q189" s="33" t="e">
        <f>VLOOKUP(A1,DIV_09Data!$A$1:$DZU$1000000,3214,FALSE)</f>
        <v>#N/A</v>
      </c>
    </row>
    <row r="190" spans="1:17" x14ac:dyDescent="0.35">
      <c r="A190" s="22" t="e">
        <f>VLOOKUP(A1,DIV_09Data!$A$1:$DZU$1000000,3215,FALSE)</f>
        <v>#N/A</v>
      </c>
      <c r="B190" s="37" t="e">
        <f>VLOOKUP(A1,DIV_09Data!$A$1:$DZU$1000000,3216,FALSE)</f>
        <v>#N/A</v>
      </c>
      <c r="C190" s="38" t="e">
        <f>VLOOKUP(A1,DIV_09Data!$A$1:$DZU$1000000,3217,FALSE)</f>
        <v>#N/A</v>
      </c>
      <c r="D190" s="31" t="e">
        <f>VLOOKUP(A1,DIV_09Data!$A$1:$DZU$1000000,3218,FALSE)</f>
        <v>#N/A</v>
      </c>
      <c r="E190" s="32" t="e">
        <f>VLOOKUP(A1,DIV_09Data!$A$1:$DZU$1000000,3219,FALSE)</f>
        <v>#N/A</v>
      </c>
      <c r="F190" s="34" t="e">
        <f>VLOOKUP(A1,DIV_09Data!$A$1:$DZU$1000000,3220,FALSE)</f>
        <v>#N/A</v>
      </c>
      <c r="G190" s="33" t="e">
        <f>VLOOKUP(A1,DIV_09Data!$A$1:$DZU$1000000,3221,FALSE)</f>
        <v>#N/A</v>
      </c>
      <c r="H190" s="34" t="e">
        <f>VLOOKUP(A1,DIV_09Data!$A$1:$DZU$1000000,3222,FALSE)</f>
        <v>#N/A</v>
      </c>
      <c r="I190" s="33" t="e">
        <f>VLOOKUP(A1,DIV_09Data!$A$1:$DZU$1000000,3223,FALSE)</f>
        <v>#N/A</v>
      </c>
      <c r="J190" s="34" t="e">
        <f>VLOOKUP(A1,DIV_09Data!$A$1:$DZU$1000000,3224,FALSE)</f>
        <v>#N/A</v>
      </c>
      <c r="K190" s="34" t="e">
        <f>VLOOKUP(A1,DIV_09Data!$A$1:$DZU$1000000,3225,FALSE)</f>
        <v>#N/A</v>
      </c>
      <c r="L190" s="93" t="e">
        <f>VLOOKUP(A1,DIV_09Data!$A$1:$DZU$1000000,3226,FALSE)</f>
        <v>#N/A</v>
      </c>
      <c r="M190" s="33" t="e">
        <f>VLOOKUP(A1,DIV_09Data!$A$1:$DZU$1000000,3227,FALSE)</f>
        <v>#N/A</v>
      </c>
      <c r="N190" s="34" t="e">
        <f>VLOOKUP(A1,DIV_09Data!$A$1:$DZU$1000000,3228,FALSE)</f>
        <v>#N/A</v>
      </c>
      <c r="O190" s="33" t="e">
        <f>VLOOKUP(A1,DIV_09Data!$A$1:$DZU$1000000,3229,FALSE)</f>
        <v>#N/A</v>
      </c>
      <c r="P190" s="46" t="e">
        <f>VLOOKUP(A1,DIV_09Data!$A$1:$DZU$1000000,3230,FALSE)</f>
        <v>#N/A</v>
      </c>
      <c r="Q190" s="33" t="e">
        <f>VLOOKUP(A1,DIV_09Data!$A$1:$DZU$1000000,3231,FALSE)</f>
        <v>#N/A</v>
      </c>
    </row>
    <row r="191" spans="1:17" x14ac:dyDescent="0.35">
      <c r="A191" s="22" t="e">
        <f>VLOOKUP(A1,DIV_09Data!$A$1:$DZU$1000000,3232,FALSE)</f>
        <v>#N/A</v>
      </c>
      <c r="B191" s="37" t="e">
        <f>VLOOKUP(A1,DIV_09Data!$A$1:$DZU$1000000,3233,FALSE)</f>
        <v>#N/A</v>
      </c>
      <c r="C191" s="43" t="e">
        <f>VLOOKUP(A1,DIV_09Data!$A$1:$DZU$1000000,3234,FALSE)</f>
        <v>#N/A</v>
      </c>
      <c r="D191" s="31" t="e">
        <f>VLOOKUP(A1,DIV_09Data!$A$1:$DZU$1000000,3235,FALSE)</f>
        <v>#N/A</v>
      </c>
      <c r="E191" s="32" t="e">
        <f>VLOOKUP(A1,DIV_09Data!$A$1:$DZU$1000000,3236,FALSE)</f>
        <v>#N/A</v>
      </c>
      <c r="F191" s="44" t="e">
        <f>VLOOKUP(A1,DIV_09Data!$A$1:$DZU$1000000,3237,FALSE)</f>
        <v>#N/A</v>
      </c>
      <c r="G191" s="45" t="e">
        <f>VLOOKUP(A1,DIV_09Data!$A$1:$DZU$1000000,3238,FALSE)</f>
        <v>#N/A</v>
      </c>
      <c r="H191" s="44" t="e">
        <f>VLOOKUP(A1,DIV_09Data!$A$1:$DZU$1000000,3239,FALSE)</f>
        <v>#N/A</v>
      </c>
      <c r="I191" s="45" t="e">
        <f>VLOOKUP(A1,DIV_09Data!$A$1:$DZU$1000000,3240,FALSE)</f>
        <v>#N/A</v>
      </c>
      <c r="J191" s="34" t="e">
        <f>VLOOKUP(A1,DIV_09Data!$A$1:$DZU$1000000,3241,FALSE)</f>
        <v>#N/A</v>
      </c>
      <c r="K191" s="43" t="e">
        <f>VLOOKUP(A1,DIV_09Data!$A$1:$DZU$1000000,3242,FALSE)</f>
        <v>#N/A</v>
      </c>
      <c r="L191" s="44" t="e">
        <f>VLOOKUP(A1,DIV_09Data!$A$1:$DZU$1000000,3243,FALSE)</f>
        <v>#N/A</v>
      </c>
      <c r="M191" s="45" t="e">
        <f>VLOOKUP(A1,DIV_09Data!$A$1:$DZU$1000000,3244,FALSE)</f>
        <v>#N/A</v>
      </c>
      <c r="N191" s="44" t="e">
        <f>VLOOKUP(A1,DIV_09Data!$A$1:$DZU$1000000,3245,FALSE)</f>
        <v>#N/A</v>
      </c>
      <c r="O191" s="45" t="e">
        <f>VLOOKUP(A1,DIV_09Data!$A$1:$DZU$1000000,3246,FALSE)</f>
        <v>#N/A</v>
      </c>
      <c r="P191" s="46" t="e">
        <f>VLOOKUP(A1,DIV_09Data!$A$1:$DZU$1000000,3247,FALSE)</f>
        <v>#N/A</v>
      </c>
      <c r="Q191" s="45" t="e">
        <f>VLOOKUP(A1,DIV_09Data!$A$1:$DZU$1000000,3248,FALSE)</f>
        <v>#N/A</v>
      </c>
    </row>
    <row r="192" spans="1:17" x14ac:dyDescent="0.35">
      <c r="A192" s="22" t="e">
        <f>VLOOKUP(A1,DIV_09Data!$A$1:$DZU$1000000,3249,FALSE)</f>
        <v>#N/A</v>
      </c>
      <c r="B192" s="37" t="e">
        <f>VLOOKUP(A1,DIV_09Data!$A$1:$DZU$1000000,3250,FALSE)</f>
        <v>#N/A</v>
      </c>
      <c r="C192" s="38" t="e">
        <f>VLOOKUP(A1,DIV_09Data!$A$1:$DZU$1000000,3251,FALSE)</f>
        <v>#N/A</v>
      </c>
      <c r="D192" s="31" t="e">
        <f>VLOOKUP(A1,DIV_09Data!$A$1:$DZU$1000000,3252,FALSE)</f>
        <v>#N/A</v>
      </c>
      <c r="E192" s="32" t="e">
        <f>VLOOKUP(A1,DIV_09Data!$A$1:$DZU$1000000,3253,FALSE)</f>
        <v>#N/A</v>
      </c>
      <c r="F192" s="34" t="e">
        <f>VLOOKUP(A1,DIV_09Data!$A$1:$DZU$1000000,3254,FALSE)</f>
        <v>#N/A</v>
      </c>
      <c r="G192" s="33" t="e">
        <f>VLOOKUP(A1,DIV_09Data!$A$1:$DZU$1000000,3255,FALSE)</f>
        <v>#N/A</v>
      </c>
      <c r="H192" s="34" t="e">
        <f>VLOOKUP(A1,DIV_09Data!$A$1:$DZU$1000000,3256,FALSE)</f>
        <v>#N/A</v>
      </c>
      <c r="I192" s="33" t="e">
        <f>VLOOKUP(A1,DIV_09Data!$A$1:$DZU$1000000,3257,FALSE)</f>
        <v>#N/A</v>
      </c>
      <c r="J192" s="34" t="e">
        <f>VLOOKUP(A1,DIV_09Data!$A$1:$DZU$1000000,3258,FALSE)</f>
        <v>#N/A</v>
      </c>
      <c r="K192" s="34" t="e">
        <f>VLOOKUP(A1,DIV_09Data!$A$1:$DZU$1000000,3259,FALSE)</f>
        <v>#N/A</v>
      </c>
      <c r="L192" s="34" t="e">
        <f>VLOOKUP(A1,DIV_09Data!$A$1:$DZU$1000000,3260,FALSE)</f>
        <v>#N/A</v>
      </c>
      <c r="M192" s="33" t="e">
        <f>VLOOKUP(A1,DIV_09Data!$A$1:$DZU$1000000,3261,FALSE)</f>
        <v>#N/A</v>
      </c>
      <c r="N192" s="34" t="e">
        <f>VLOOKUP(A1,DIV_09Data!$A$1:$DZU$1000000,3262,FALSE)</f>
        <v>#N/A</v>
      </c>
      <c r="O192" s="33" t="e">
        <f>VLOOKUP(A1,DIV_09Data!$A$1:$DZU$1000000,3263,FALSE)</f>
        <v>#N/A</v>
      </c>
      <c r="P192" s="46" t="e">
        <f>VLOOKUP(A1,DIV_09Data!$A$1:$DZU$1000000,3264,FALSE)</f>
        <v>#N/A</v>
      </c>
      <c r="Q192" s="33" t="e">
        <f>VLOOKUP(A1,DIV_09Data!$A$1:$DZU$1000000,3265,FALSE)</f>
        <v>#N/A</v>
      </c>
    </row>
    <row r="193" spans="1:17" x14ac:dyDescent="0.35">
      <c r="A193" s="22" t="e">
        <f>VLOOKUP(A1,DIV_09Data!$A$1:$DZU$1000000,3266,FALSE)</f>
        <v>#N/A</v>
      </c>
      <c r="B193" s="37" t="e">
        <f>VLOOKUP(A1,DIV_09Data!$A$1:$DZU$1000000,3267,FALSE)</f>
        <v>#N/A</v>
      </c>
      <c r="C193" s="30" t="e">
        <f>VLOOKUP(A1,DIV_09Data!$A$1:$DZU$1000000,3268,FALSE)</f>
        <v>#N/A</v>
      </c>
      <c r="D193" s="31" t="e">
        <f>VLOOKUP(A1,DIV_09Data!$A$1:$DZU$1000000,3269,FALSE)</f>
        <v>#N/A</v>
      </c>
      <c r="E193" s="32" t="e">
        <f>VLOOKUP(A1,DIV_09Data!$A$1:$DZU$1000000,3270,FALSE)</f>
        <v>#N/A</v>
      </c>
      <c r="F193" s="34" t="e">
        <f>VLOOKUP(A1,DIV_09Data!$A$1:$DZU$1000000,3271,FALSE)</f>
        <v>#N/A</v>
      </c>
      <c r="G193" s="33" t="e">
        <f>VLOOKUP(A1,DIV_09Data!$A$1:$DZU$1000000,3272,FALSE)</f>
        <v>#N/A</v>
      </c>
      <c r="H193" s="34" t="e">
        <f>VLOOKUP(A1,DIV_09Data!$A$1:$DZU$1000000,3273,FALSE)</f>
        <v>#N/A</v>
      </c>
      <c r="I193" s="33" t="e">
        <f>VLOOKUP(A1,DIV_09Data!$A$1:$DZU$1000000,3274,FALSE)</f>
        <v>#N/A</v>
      </c>
      <c r="J193" s="34" t="e">
        <f>VLOOKUP(A1,DIV_09Data!$A$1:$DZU$1000000,3275,FALSE)</f>
        <v>#N/A</v>
      </c>
      <c r="K193" s="34" t="e">
        <f>VLOOKUP(A1,DIV_09Data!$A$1:$DZU$1000000,3276,FALSE)</f>
        <v>#N/A</v>
      </c>
      <c r="L193" s="34" t="e">
        <f>VLOOKUP(A1,DIV_09Data!$A$1:$DZU$1000000,3277,FALSE)</f>
        <v>#N/A</v>
      </c>
      <c r="M193" s="33" t="e">
        <f>VLOOKUP(A1,DIV_09Data!$A$1:$DZU$1000000,3278,FALSE)</f>
        <v>#N/A</v>
      </c>
      <c r="N193" s="34" t="e">
        <f>VLOOKUP(A1,DIV_09Data!$A$1:$DZU$1000000,3279,FALSE)</f>
        <v>#N/A</v>
      </c>
      <c r="O193" s="33" t="e">
        <f>VLOOKUP(A1,DIV_09Data!$A$1:$DZU$1000000,3280,FALSE)</f>
        <v>#N/A</v>
      </c>
      <c r="P193" s="46" t="e">
        <f>VLOOKUP(A1,DIV_09Data!$A$1:$DZU$1000000,3281,FALSE)</f>
        <v>#N/A</v>
      </c>
      <c r="Q193" s="33" t="e">
        <f>VLOOKUP(A1,DIV_09Data!$A$1:$DZU$1000000,3282,FALSE)</f>
        <v>#N/A</v>
      </c>
    </row>
    <row r="194" spans="1:17" x14ac:dyDescent="0.35">
      <c r="A194" s="22" t="e">
        <f>VLOOKUP(A1,DIV_09Data!$A$1:$DZU$1000000,3283,FALSE)</f>
        <v>#N/A</v>
      </c>
      <c r="B194" s="37" t="e">
        <f>VLOOKUP(A1,DIV_09Data!$A$1:$DZU$1000000,3284,FALSE)</f>
        <v>#N/A</v>
      </c>
      <c r="C194" s="38" t="e">
        <f>VLOOKUP(A1,DIV_09Data!$A$1:$DZU$1000000,3285,FALSE)</f>
        <v>#N/A</v>
      </c>
      <c r="D194" s="31" t="e">
        <f>VLOOKUP(A1,DIV_09Data!$A$1:$DZU$1000000,3286,FALSE)</f>
        <v>#N/A</v>
      </c>
      <c r="E194" s="32" t="e">
        <f>VLOOKUP(A1,DIV_09Data!$A$1:$DZU$1000000,3287,FALSE)</f>
        <v>#N/A</v>
      </c>
      <c r="F194" s="34" t="e">
        <f>VLOOKUP(A1,DIV_09Data!$A$1:$DZU$1000000,3288,FALSE)</f>
        <v>#N/A</v>
      </c>
      <c r="G194" s="33" t="e">
        <f>VLOOKUP(A1,DIV_09Data!$A$1:$DZU$1000000,3289,FALSE)</f>
        <v>#N/A</v>
      </c>
      <c r="H194" s="34" t="e">
        <f>VLOOKUP(A1,DIV_09Data!$A$1:$DZU$1000000,3290,FALSE)</f>
        <v>#N/A</v>
      </c>
      <c r="I194" s="33" t="e">
        <f>VLOOKUP(A1,DIV_09Data!$A$1:$DZU$1000000,3291,FALSE)</f>
        <v>#N/A</v>
      </c>
      <c r="J194" s="34" t="e">
        <f>VLOOKUP(A1,DIV_09Data!$A$1:$DZU$1000000,3292,FALSE)</f>
        <v>#N/A</v>
      </c>
      <c r="K194" s="34" t="e">
        <f>VLOOKUP(A1,DIV_09Data!$A$1:$DZU$1000000,3293,FALSE)</f>
        <v>#N/A</v>
      </c>
      <c r="L194" s="93" t="e">
        <f>VLOOKUP(A1,DIV_09Data!$A$1:$DZU$1000000,3294,FALSE)</f>
        <v>#N/A</v>
      </c>
      <c r="M194" s="33" t="e">
        <f>VLOOKUP(A1,DIV_09Data!$A$1:$DZU$1000000,3295,FALSE)</f>
        <v>#N/A</v>
      </c>
      <c r="N194" s="34" t="e">
        <f>VLOOKUP(A1,DIV_09Data!$A$1:$DZU$1000000,3296,FALSE)</f>
        <v>#N/A</v>
      </c>
      <c r="O194" s="33" t="e">
        <f>VLOOKUP(A1,DIV_09Data!$A$1:$DZU$1000000,3297,FALSE)</f>
        <v>#N/A</v>
      </c>
      <c r="P194" s="46" t="e">
        <f>VLOOKUP(A1,DIV_09Data!$A$1:$DZU$1000000,3298,FALSE)</f>
        <v>#N/A</v>
      </c>
      <c r="Q194" s="33" t="e">
        <f>VLOOKUP(A1,DIV_09Data!$A$1:$DZU$1000000,3299,FALSE)</f>
        <v>#N/A</v>
      </c>
    </row>
    <row r="195" spans="1:17" x14ac:dyDescent="0.35">
      <c r="A195" s="22" t="e">
        <f>VLOOKUP(A1,DIV_09Data!$A$1:$DZU$1000000,3300,FALSE)</f>
        <v>#N/A</v>
      </c>
      <c r="B195" s="37" t="e">
        <f>VLOOKUP(A1,DIV_09Data!$A$1:$DZU$1000000,3301,FALSE)</f>
        <v>#N/A</v>
      </c>
      <c r="C195" s="38" t="e">
        <f>VLOOKUP(A1,DIV_09Data!$A$1:$DZU$1000000,3302,FALSE)</f>
        <v>#N/A</v>
      </c>
      <c r="D195" s="31" t="e">
        <f>VLOOKUP(A1,DIV_09Data!$A$1:$DZU$1000000,3303,FALSE)</f>
        <v>#N/A</v>
      </c>
      <c r="E195" s="32" t="e">
        <f>VLOOKUP(A1,DIV_09Data!$A$1:$DZU$1000000,3304,FALSE)</f>
        <v>#N/A</v>
      </c>
      <c r="F195" s="34" t="e">
        <f>VLOOKUP(A1,DIV_09Data!$A$1:$DZU$1000000,3305,FALSE)</f>
        <v>#N/A</v>
      </c>
      <c r="G195" s="33" t="e">
        <f>VLOOKUP(A1,DIV_09Data!$A$1:$DZU$1000000,3306,FALSE)</f>
        <v>#N/A</v>
      </c>
      <c r="H195" s="34" t="e">
        <f>VLOOKUP(A1,DIV_09Data!$A$1:$DZU$1000000,3307,FALSE)</f>
        <v>#N/A</v>
      </c>
      <c r="I195" s="33" t="e">
        <f>VLOOKUP(A1,DIV_09Data!$A$1:$DZU$1000000,3308,FALSE)</f>
        <v>#N/A</v>
      </c>
      <c r="J195" s="34" t="e">
        <f>VLOOKUP(A1,DIV_09Data!$A$1:$DZU$1000000,3309,FALSE)</f>
        <v>#N/A</v>
      </c>
      <c r="K195" s="34" t="e">
        <f>VLOOKUP(A1,DIV_09Data!$A$1:$DZU$1000000,3310,FALSE)</f>
        <v>#N/A</v>
      </c>
      <c r="L195" s="93" t="e">
        <f>VLOOKUP(A1,DIV_09Data!$A$1:$DZU$1000000,3311,FALSE)</f>
        <v>#N/A</v>
      </c>
      <c r="M195" s="33" t="e">
        <f>VLOOKUP(A1,DIV_09Data!$A$1:$DZU$1000000,3312,FALSE)</f>
        <v>#N/A</v>
      </c>
      <c r="N195" s="34" t="e">
        <f>VLOOKUP(A1,DIV_09Data!$A$1:$DZU$1000000,3313,FALSE)</f>
        <v>#N/A</v>
      </c>
      <c r="O195" s="33" t="e">
        <f>VLOOKUP(A1,DIV_09Data!$A$1:$DZU$1000000,3314,FALSE)</f>
        <v>#N/A</v>
      </c>
      <c r="P195" s="46" t="e">
        <f>VLOOKUP(A1,DIV_09Data!$A$1:$DZU$1000000,3315,FALSE)</f>
        <v>#N/A</v>
      </c>
      <c r="Q195" s="33" t="e">
        <f>VLOOKUP(A1,DIV_09Data!$A$1:$DZU$1000000,3316,FALSE)</f>
        <v>#N/A</v>
      </c>
    </row>
    <row r="196" spans="1:17" x14ac:dyDescent="0.35">
      <c r="A196" s="22" t="e">
        <f>VLOOKUP(A1,DIV_09Data!$A$1:$DZU$1000000,3317,FALSE)</f>
        <v>#N/A</v>
      </c>
      <c r="B196" s="37" t="e">
        <f>VLOOKUP(A1,DIV_09Data!$A$1:$DZU$1000000,3318,FALSE)</f>
        <v>#N/A</v>
      </c>
      <c r="C196" s="38" t="e">
        <f>VLOOKUP(A1,DIV_09Data!$A$1:$DZU$1000000,3319,FALSE)</f>
        <v>#N/A</v>
      </c>
      <c r="D196" s="31" t="e">
        <f>VLOOKUP(A1,DIV_09Data!$A$1:$DZU$1000000,3320,FALSE)</f>
        <v>#N/A</v>
      </c>
      <c r="E196" s="32" t="e">
        <f>VLOOKUP(A1,DIV_09Data!$A$1:$DZU$1000000,3321,FALSE)</f>
        <v>#N/A</v>
      </c>
      <c r="F196" s="34" t="e">
        <f>VLOOKUP(A1,DIV_09Data!$A$1:$DZU$1000000,3322,FALSE)</f>
        <v>#N/A</v>
      </c>
      <c r="G196" s="33" t="e">
        <f>VLOOKUP(A1,DIV_09Data!$A$1:$DZU$1000000,3323,FALSE)</f>
        <v>#N/A</v>
      </c>
      <c r="H196" s="34" t="e">
        <f>VLOOKUP(A1,DIV_09Data!$A$1:$DZU$1000000,3324,FALSE)</f>
        <v>#N/A</v>
      </c>
      <c r="I196" s="33" t="e">
        <f>VLOOKUP(A1,DIV_09Data!$A$1:$DZU$1000000,3325,FALSE)</f>
        <v>#N/A</v>
      </c>
      <c r="J196" s="34" t="e">
        <f>VLOOKUP(A1,DIV_09Data!$A$1:$DZU$1000000,3326,FALSE)</f>
        <v>#N/A</v>
      </c>
      <c r="K196" s="34" t="e">
        <f>VLOOKUP(A1,DIV_09Data!$A$1:$DZU$1000000,3327,FALSE)</f>
        <v>#N/A</v>
      </c>
      <c r="L196" s="93" t="e">
        <f>VLOOKUP(A1,DIV_09Data!$A$1:$DZU$1000000,3328,FALSE)</f>
        <v>#N/A</v>
      </c>
      <c r="M196" s="33" t="e">
        <f>VLOOKUP(A1,DIV_09Data!$A$1:$DZU$1000000,3329,FALSE)</f>
        <v>#N/A</v>
      </c>
      <c r="N196" s="34" t="e">
        <f>VLOOKUP(A1,DIV_09Data!$A$1:$DZU$1000000,3330,FALSE)</f>
        <v>#N/A</v>
      </c>
      <c r="O196" s="33" t="e">
        <f>VLOOKUP(A1,DIV_09Data!$A$1:$DZU$1000000,3331,FALSE)</f>
        <v>#N/A</v>
      </c>
      <c r="P196" s="46" t="e">
        <f>VLOOKUP(A1,DIV_09Data!$A$1:$DZU$1000000,3332,FALSE)</f>
        <v>#N/A</v>
      </c>
      <c r="Q196" s="33" t="e">
        <f>VLOOKUP(A1,DIV_09Data!$A$1:$DZU$1000000,3333,FALSE)</f>
        <v>#N/A</v>
      </c>
    </row>
    <row r="197" spans="1:17" x14ac:dyDescent="0.35">
      <c r="A197" s="22" t="e">
        <f>VLOOKUP(A1,DIV_09Data!$A$1:$DZU$1000000,3334,FALSE)</f>
        <v>#N/A</v>
      </c>
      <c r="B197" s="37" t="e">
        <f>VLOOKUP(A1,DIV_09Data!$A$1:$DZU$1000000,3335,FALSE)</f>
        <v>#N/A</v>
      </c>
      <c r="C197" s="43" t="e">
        <f>VLOOKUP(A1,DIV_09Data!$A$1:$DZU$1000000,3336,FALSE)</f>
        <v>#N/A</v>
      </c>
      <c r="D197" s="31" t="e">
        <f>VLOOKUP(A1,DIV_09Data!$A$1:$DZU$1000000,3337,FALSE)</f>
        <v>#N/A</v>
      </c>
      <c r="E197" s="32" t="e">
        <f>VLOOKUP(A1,DIV_09Data!$A$1:$DZU$1000000,3338,FALSE)</f>
        <v>#N/A</v>
      </c>
      <c r="F197" s="44" t="e">
        <f>VLOOKUP(A1,DIV_09Data!$A$1:$DZU$1000000,3339,FALSE)</f>
        <v>#N/A</v>
      </c>
      <c r="G197" s="45" t="e">
        <f>VLOOKUP(A1,DIV_09Data!$A$1:$DZU$1000000,3340,FALSE)</f>
        <v>#N/A</v>
      </c>
      <c r="H197" s="44" t="e">
        <f>VLOOKUP(A1,DIV_09Data!$A$1:$DZU$1000000,3341,FALSE)</f>
        <v>#N/A</v>
      </c>
      <c r="I197" s="45" t="e">
        <f>VLOOKUP(A1,DIV_09Data!$A$1:$DZU$1000000,3342,FALSE)</f>
        <v>#N/A</v>
      </c>
      <c r="J197" s="34" t="e">
        <f>VLOOKUP(A1,DIV_09Data!$A$1:$DZU$1000000,3343,FALSE)</f>
        <v>#N/A</v>
      </c>
      <c r="K197" s="43" t="e">
        <f>VLOOKUP(A1,DIV_09Data!$A$1:$DZU$1000000,3344,FALSE)</f>
        <v>#N/A</v>
      </c>
      <c r="L197" s="44" t="e">
        <f>VLOOKUP(A1,DIV_09Data!$A$1:$DZU$1000000,3345,FALSE)</f>
        <v>#N/A</v>
      </c>
      <c r="M197" s="45" t="e">
        <f>VLOOKUP(A1,DIV_09Data!$A$1:$DZU$1000000,3346,FALSE)</f>
        <v>#N/A</v>
      </c>
      <c r="N197" s="44" t="e">
        <f>VLOOKUP(A1,DIV_09Data!$A$1:$DZU$1000000,3347,FALSE)</f>
        <v>#N/A</v>
      </c>
      <c r="O197" s="45" t="e">
        <f>VLOOKUP(A1,DIV_09Data!$A$1:$DZU$1000000,3348,FALSE)</f>
        <v>#N/A</v>
      </c>
      <c r="P197" s="36" t="e">
        <f>VLOOKUP(A1,DIV_09Data!$A$1:$DZU$1000000,3349,FALSE)</f>
        <v>#N/A</v>
      </c>
      <c r="Q197" s="45" t="e">
        <f>VLOOKUP(A1,DIV_09Data!$A$1:$DZU$1000000,3350,FALSE)</f>
        <v>#N/A</v>
      </c>
    </row>
    <row r="198" spans="1:17" x14ac:dyDescent="0.35">
      <c r="A198" s="22" t="e">
        <f>VLOOKUP(A1,DIV_09Data!$A$1:$DZU$1000000,3351,FALSE)</f>
        <v>#N/A</v>
      </c>
      <c r="B198" s="37" t="e">
        <f>VLOOKUP(A1,DIV_09Data!$A$1:$DZU$1000000,3352,FALSE)</f>
        <v>#N/A</v>
      </c>
      <c r="C198" s="38" t="e">
        <f>VLOOKUP(A1,DIV_09Data!$A$1:$DZU$1000000,3353,FALSE)</f>
        <v>#N/A</v>
      </c>
      <c r="D198" s="31" t="e">
        <f>VLOOKUP(A1,DIV_09Data!$A$1:$DZU$1000000,3354,FALSE)</f>
        <v>#N/A</v>
      </c>
      <c r="E198" s="32" t="e">
        <f>VLOOKUP(A1,DIV_09Data!$A$1:$DZU$1000000,3355,FALSE)</f>
        <v>#N/A</v>
      </c>
      <c r="F198" s="34" t="e">
        <f>VLOOKUP(A1,DIV_09Data!$A$1:$DZU$1000000,3356,FALSE)</f>
        <v>#N/A</v>
      </c>
      <c r="G198" s="33" t="e">
        <f>VLOOKUP(A1,DIV_09Data!$A$1:$DZU$1000000,3357,FALSE)</f>
        <v>#N/A</v>
      </c>
      <c r="H198" s="34" t="e">
        <f>VLOOKUP(A1,DIV_09Data!$A$1:$DZU$1000000,3358,FALSE)</f>
        <v>#N/A</v>
      </c>
      <c r="I198" s="33" t="e">
        <f>VLOOKUP(A1,DIV_09Data!$A$1:$DZU$1000000,3359,FALSE)</f>
        <v>#N/A</v>
      </c>
      <c r="J198" s="34" t="e">
        <f>VLOOKUP(A1,DIV_09Data!$A$1:$DZU$1000000,3360,FALSE)</f>
        <v>#N/A</v>
      </c>
      <c r="K198" s="34" t="e">
        <f>VLOOKUP(A1,DIV_09Data!$A$1:$DZU$1000000,3361,FALSE)</f>
        <v>#N/A</v>
      </c>
      <c r="L198" s="34" t="e">
        <f>VLOOKUP(A1,DIV_09Data!$A$1:$DZU$1000000,3362,FALSE)</f>
        <v>#N/A</v>
      </c>
      <c r="M198" s="33" t="e">
        <f>VLOOKUP(A1,DIV_09Data!$A$1:$DZU$1000000,3363,FALSE)</f>
        <v>#N/A</v>
      </c>
      <c r="N198" s="34" t="e">
        <f>VLOOKUP(A1,DIV_09Data!$A$1:$DZU$1000000,3364,FALSE)</f>
        <v>#N/A</v>
      </c>
      <c r="O198" s="35" t="e">
        <f>VLOOKUP(A1,DIV_09Data!$A$1:$DZU$1000000,3365,FALSE)</f>
        <v>#N/A</v>
      </c>
      <c r="P198" s="36" t="e">
        <f>VLOOKUP(A1,DIV_09Data!$A$1:$DZU$1000000,3366,FALSE)</f>
        <v>#N/A</v>
      </c>
      <c r="Q198" s="35" t="e">
        <f>VLOOKUP(A1,DIV_09Data!$A$1:$DZU$1000000,3367,FALSE)</f>
        <v>#N/A</v>
      </c>
    </row>
    <row r="199" spans="1:17" x14ac:dyDescent="0.35">
      <c r="A199" s="62" t="e">
        <f>VLOOKUP(A1,DIV_09Data!$A$1:$DZU$1000000,3368,FALSE)</f>
        <v>#N/A</v>
      </c>
      <c r="B199" s="63" t="e">
        <f>VLOOKUP(A1,DIV_09Data!$A$1:$DZU$1000000,3369,FALSE)</f>
        <v>#N/A</v>
      </c>
      <c r="C199" s="64" t="e">
        <f>VLOOKUP(A1,DIV_09Data!$A$1:$DZU$1000000,3370,FALSE)</f>
        <v>#N/A</v>
      </c>
      <c r="D199" s="65" t="e">
        <f>VLOOKUP(A1,DIV_09Data!$A$1:$DZU$1000000,3371,FALSE)</f>
        <v>#N/A</v>
      </c>
      <c r="E199" s="66" t="e">
        <f>VLOOKUP(A1,DIV_09Data!$A$1:$DZU$1000000,3372,FALSE)</f>
        <v>#N/A</v>
      </c>
      <c r="F199" s="67" t="e">
        <f>VLOOKUP(A1,DIV_09Data!$A$1:$DZU$1000000,3373,FALSE)</f>
        <v>#N/A</v>
      </c>
      <c r="G199" s="68" t="e">
        <f>VLOOKUP(A1,DIV_09Data!$A$1:$DZU$1000000,3374,FALSE)</f>
        <v>#N/A</v>
      </c>
      <c r="H199" s="67" t="e">
        <f>VLOOKUP(A1,DIV_09Data!$A$1:$DZU$1000000,3375,FALSE)</f>
        <v>#N/A</v>
      </c>
      <c r="I199" s="68" t="e">
        <f>VLOOKUP(A1,DIV_09Data!$A$1:$DZU$1000000,3376,FALSE)</f>
        <v>#N/A</v>
      </c>
      <c r="J199" s="67" t="e">
        <f>VLOOKUP(A1,DIV_09Data!$A$1:$DZU$1000000,3377,FALSE)</f>
        <v>#N/A</v>
      </c>
      <c r="K199" s="69" t="e">
        <f>VLOOKUP(A1,DIV_09Data!$A$1:$DZU$1000000,3378,FALSE)</f>
        <v>#N/A</v>
      </c>
      <c r="L199" s="67" t="e">
        <f>VLOOKUP(A1,DIV_09Data!$A$1:$DZU$1000000,3379,FALSE)</f>
        <v>#N/A</v>
      </c>
      <c r="M199" s="68" t="e">
        <f>VLOOKUP(A1,DIV_09Data!$A$1:$DZU$1000000,3380,FALSE)</f>
        <v>#N/A</v>
      </c>
      <c r="N199" s="67" t="e">
        <f>VLOOKUP(A1,DIV_09Data!$A$1:$DZU$1000000,3381,FALSE)</f>
        <v>#N/A</v>
      </c>
      <c r="O199" s="68" t="e">
        <f>VLOOKUP(A1,DIV_09Data!$A$1:$DZU$1000000,3382,FALSE)</f>
        <v>#N/A</v>
      </c>
      <c r="P199" s="70" t="e">
        <f>VLOOKUP(A1,DIV_09Data!$A$1:$DZU$1000000,3383,FALSE)</f>
        <v>#N/A</v>
      </c>
      <c r="Q199" s="68" t="e">
        <f>VLOOKUP(A1,DIV_09Data!$A$1:$DZU$1000000,3384,FALSE)</f>
        <v>#N/A</v>
      </c>
    </row>
    <row r="200" spans="1:17" x14ac:dyDescent="0.35">
      <c r="A200" s="1" t="e">
        <f>VLOOKUP(A1,DIV_09Data!$A$1:$DZU$1000000,3385,FALSE)</f>
        <v>#N/A</v>
      </c>
      <c r="B200" s="1" t="e">
        <f>VLOOKUP(A1,DIV_09Data!$A$1:$DZU$1000000,3386,FALSE)</f>
        <v>#N/A</v>
      </c>
      <c r="C200" s="1" t="e">
        <f>VLOOKUP(A1,DIV_09Data!$A$1:$DZU$1000000,3387,FALSE)</f>
        <v>#N/A</v>
      </c>
      <c r="D200" s="1" t="e">
        <f>VLOOKUP(A1,DIV_09Data!$A$1:$DZU$1000000,3388,FALSE)</f>
        <v>#N/A</v>
      </c>
      <c r="E200" s="1" t="e">
        <f>VLOOKUP(A1,DIV_09Data!$A$1:$DZU$1000000,3389,FALSE)</f>
        <v>#N/A</v>
      </c>
      <c r="F200" s="1" t="e">
        <f>VLOOKUP(A1,DIV_09Data!$A$1:$DZU$1000000,3390,FALSE)</f>
        <v>#N/A</v>
      </c>
      <c r="G200" s="1" t="e">
        <f>VLOOKUP(A1,DIV_09Data!$A$1:$DZU$1000000,3391,FALSE)</f>
        <v>#N/A</v>
      </c>
      <c r="H200" s="1" t="e">
        <f>VLOOKUP(A1,DIV_09Data!$A$1:$DZU$1000000,3392,FALSE)</f>
        <v>#N/A</v>
      </c>
      <c r="I200" s="1" t="e">
        <f>VLOOKUP(A1,DIV_09Data!$A$1:$DZU$1000000,3393,FALSE)</f>
        <v>#N/A</v>
      </c>
      <c r="J200" s="1" t="e">
        <f>VLOOKUP(A1,DIV_09Data!$A$1:$DZU$1000000,3394,FALSE)</f>
        <v>#N/A</v>
      </c>
      <c r="K200" s="1" t="e">
        <f>VLOOKUP(A1,DIV_09Data!$A$1:$DZU$1000000,3395,FALSE)</f>
        <v>#N/A</v>
      </c>
      <c r="L200" s="1" t="e">
        <f>VLOOKUP(A1,DIV_09Data!$A$1:$DZU$1000000,3396,FALSE)</f>
        <v>#N/A</v>
      </c>
      <c r="M200" s="1" t="e">
        <f>VLOOKUP(A1,DIV_09Data!$A$1:$DZU$1000000,3397,FALSE)</f>
        <v>#N/A</v>
      </c>
      <c r="N200" s="1" t="e">
        <f>VLOOKUP(A1,DIV_09Data!$A$1:$DZU$1000000,3398,FALSE)</f>
        <v>#N/A</v>
      </c>
      <c r="O200" s="1" t="e">
        <f>VLOOKUP(A1,DIV_09Data!$A$1:$DZU$1000000,3399,FALSE)</f>
        <v>#N/A</v>
      </c>
      <c r="P200" s="1" t="e">
        <f>VLOOKUP(A1,DIV_09Data!$A$1:$DZU$1000000,3400,FALSE)</f>
        <v>#N/A</v>
      </c>
      <c r="Q200" s="78" t="e">
        <f>VLOOKUP(A1,DIV_09Data!$A$1:$DZU$1000000,3401,FALSE)</f>
        <v>#N/A</v>
      </c>
    </row>
  </sheetData>
  <mergeCells count="9">
    <mergeCell ref="J5:K5"/>
    <mergeCell ref="J6:K6"/>
    <mergeCell ref="J7:K7"/>
    <mergeCell ref="B2:L2"/>
    <mergeCell ref="A3:B3"/>
    <mergeCell ref="D3:G3"/>
    <mergeCell ref="J3:K3"/>
    <mergeCell ref="A4:B4"/>
    <mergeCell ref="J4:K4"/>
  </mergeCells>
  <dataValidations count="1">
    <dataValidation type="list" allowBlank="1" showInputMessage="1" showErrorMessage="1" sqref="C16:C190" xr:uid="{E855E8B7-A7BD-463C-A18B-03B586A07D49}">
      <formula1>$C$205:$C207</formula1>
    </dataValidation>
  </dataValidations>
  <hyperlinks>
    <hyperlink ref="D3" r:id="rId1" display="datamateapp@gmail.com" xr:uid="{9D23DE39-1155-4497-9F27-FED032EDD614}"/>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62177" r:id="rId4" name="Button 1">
              <controlPr defaultSize="0" print="0" autoFill="0" autoPict="0" macro="[0]!ViewInput">
                <anchor moveWithCells="1" sizeWithCells="1">
                  <from>
                    <xdr:col>17</xdr:col>
                    <xdr:colOff>0</xdr:colOff>
                    <xdr:row>2</xdr:row>
                    <xdr:rowOff>50800</xdr:rowOff>
                  </from>
                  <to>
                    <xdr:col>19</xdr:col>
                    <xdr:colOff>44450</xdr:colOff>
                    <xdr:row>4</xdr:row>
                    <xdr:rowOff>95250</xdr:rowOff>
                  </to>
                </anchor>
              </controlPr>
            </control>
          </mc:Choice>
        </mc:AlternateContent>
        <mc:AlternateContent xmlns:mc="http://schemas.openxmlformats.org/markup-compatibility/2006">
          <mc:Choice Requires="x14">
            <control shapeId="562178" r:id="rId5" name="Button 2">
              <controlPr defaultSize="0" print="0" autoFill="0" autoPict="0" macro="[0]!ViewLog">
                <anchor moveWithCells="1" sizeWithCells="1">
                  <from>
                    <xdr:col>17</xdr:col>
                    <xdr:colOff>0</xdr:colOff>
                    <xdr:row>5</xdr:row>
                    <xdr:rowOff>50800</xdr:rowOff>
                  </from>
                  <to>
                    <xdr:col>19</xdr:col>
                    <xdr:colOff>44450</xdr:colOff>
                    <xdr:row>7</xdr:row>
                    <xdr:rowOff>57150</xdr:rowOff>
                  </to>
                </anchor>
              </controlPr>
            </control>
          </mc:Choice>
        </mc:AlternateContent>
        <mc:AlternateContent xmlns:mc="http://schemas.openxmlformats.org/markup-compatibility/2006">
          <mc:Choice Requires="x14">
            <control shapeId="562179" r:id="rId6" name="Button 3">
              <controlPr defaultSize="0" print="0" autoFill="0" autoPict="0" macro="[0]!OpenDataMateAppPage">
                <anchor moveWithCells="1" sizeWithCells="1">
                  <from>
                    <xdr:col>17</xdr:col>
                    <xdr:colOff>0</xdr:colOff>
                    <xdr:row>7</xdr:row>
                    <xdr:rowOff>177800</xdr:rowOff>
                  </from>
                  <to>
                    <xdr:col>19</xdr:col>
                    <xdr:colOff>44450</xdr:colOff>
                    <xdr:row>9</xdr:row>
                    <xdr:rowOff>177800</xdr:rowOff>
                  </to>
                </anchor>
              </controlPr>
            </control>
          </mc:Choice>
        </mc:AlternateContent>
        <mc:AlternateContent xmlns:mc="http://schemas.openxmlformats.org/markup-compatibility/2006">
          <mc:Choice Requires="x14">
            <control shapeId="562180" r:id="rId7" name="Button 4">
              <controlPr defaultSize="0" print="0" autoFill="0" autoPict="0" macro="RefreshView">
                <anchor moveWithCells="1" sizeWithCells="1">
                  <from>
                    <xdr:col>17</xdr:col>
                    <xdr:colOff>0</xdr:colOff>
                    <xdr:row>0</xdr:row>
                    <xdr:rowOff>0</xdr:rowOff>
                  </from>
                  <to>
                    <xdr:col>19</xdr:col>
                    <xdr:colOff>44450</xdr:colOff>
                    <xdr:row>2</xdr:row>
                    <xdr:rowOff>6350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1966F31-2653-4A00-BC73-03E284D2AB0A}">
          <x14:formula1>
            <xm:f>DIV_02Data!$A:$A</xm:f>
          </x14:formula1>
          <xm:sqref>B2:L2</xm:sqref>
        </x14:dataValidation>
      </x14:dataValidations>
    </ext>
  </extLst>
</worksheet>
</file>

<file path=xl/worksheets/sheet1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1EE12-FB40-419D-A738-D4EB400AA9DF}">
  <sheetPr codeName="Sheet119"/>
  <dimension ref="A2:B3"/>
  <sheetViews>
    <sheetView zoomScale="75" zoomScaleNormal="75" workbookViewId="0">
      <selection activeCell="A3" sqref="A3"/>
    </sheetView>
  </sheetViews>
  <sheetFormatPr defaultRowHeight="14.5" x14ac:dyDescent="0.35"/>
  <cols>
    <col min="1" max="1" width="28.26953125" customWidth="1"/>
    <col min="2" max="8" width="13.36328125" customWidth="1"/>
    <col min="9" max="9" width="50.36328125" customWidth="1"/>
    <col min="13" max="15" width="10.26953125" customWidth="1"/>
  </cols>
  <sheetData>
    <row r="2" spans="1:2" ht="18.5" x14ac:dyDescent="0.45">
      <c r="A2" s="71" t="str">
        <f>DIV_09Input!A3</f>
        <v>DIV 09</v>
      </c>
      <c r="B2" s="1"/>
    </row>
    <row r="3" spans="1:2" x14ac:dyDescent="0.35">
      <c r="A3" s="1" t="s">
        <v>21395</v>
      </c>
      <c r="B3" s="246">
        <f ca="1">TODAY()</f>
        <v>45603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63204" r:id="rId3" name="Button 4">
              <controlPr defaultSize="0" print="0" autoFill="0" autoPict="0" macro="[0]!ViewInput">
                <anchor moveWithCells="1" sizeWithCells="1">
                  <from>
                    <xdr:col>16</xdr:col>
                    <xdr:colOff>603250</xdr:colOff>
                    <xdr:row>0</xdr:row>
                    <xdr:rowOff>0</xdr:rowOff>
                  </from>
                  <to>
                    <xdr:col>19</xdr:col>
                    <xdr:colOff>44450</xdr:colOff>
                    <xdr:row>2</xdr:row>
                    <xdr:rowOff>12700</xdr:rowOff>
                  </to>
                </anchor>
              </controlPr>
            </control>
          </mc:Choice>
        </mc:AlternateContent>
        <mc:AlternateContent xmlns:mc="http://schemas.openxmlformats.org/markup-compatibility/2006">
          <mc:Choice Requires="x14">
            <control shapeId="563205" r:id="rId4" name="Button 5">
              <controlPr defaultSize="0" print="0" autoFill="0" autoPict="0" macro="[0]!ViewView_Print">
                <anchor moveWithCells="1" sizeWithCells="1">
                  <from>
                    <xdr:col>16</xdr:col>
                    <xdr:colOff>603250</xdr:colOff>
                    <xdr:row>2</xdr:row>
                    <xdr:rowOff>38100</xdr:rowOff>
                  </from>
                  <to>
                    <xdr:col>19</xdr:col>
                    <xdr:colOff>44450</xdr:colOff>
                    <xdr:row>4</xdr:row>
                    <xdr:rowOff>50800</xdr:rowOff>
                  </to>
                </anchor>
              </controlPr>
            </control>
          </mc:Choice>
        </mc:AlternateContent>
        <mc:AlternateContent xmlns:mc="http://schemas.openxmlformats.org/markup-compatibility/2006">
          <mc:Choice Requires="x14">
            <control shapeId="563206" r:id="rId5" name="Button 6">
              <controlPr defaultSize="0" print="0" autoFill="0" autoPict="0" macro="[0]!ViewUpdate">
                <anchor moveWithCells="1" sizeWithCells="1">
                  <from>
                    <xdr:col>16</xdr:col>
                    <xdr:colOff>603250</xdr:colOff>
                    <xdr:row>4</xdr:row>
                    <xdr:rowOff>76200</xdr:rowOff>
                  </from>
                  <to>
                    <xdr:col>19</xdr:col>
                    <xdr:colOff>44450</xdr:colOff>
                    <xdr:row>6</xdr:row>
                    <xdr:rowOff>88900</xdr:rowOff>
                  </to>
                </anchor>
              </controlPr>
            </control>
          </mc:Choice>
        </mc:AlternateContent>
      </controls>
    </mc:Choice>
  </mc:AlternateContent>
</worksheet>
</file>

<file path=xl/worksheets/sheet1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F073B0-542B-4199-BC71-23CE1DEAC30A}">
  <sheetPr codeName="Sheet120"/>
  <dimension ref="A1:P1"/>
  <sheetViews>
    <sheetView workbookViewId="0">
      <selection activeCell="B2" sqref="B2"/>
    </sheetView>
  </sheetViews>
  <sheetFormatPr defaultRowHeight="14.5" x14ac:dyDescent="0.35"/>
  <cols>
    <col min="1" max="1" width="8.7265625" style="248"/>
    <col min="5" max="5" width="22.08984375" style="248" customWidth="1"/>
    <col min="6" max="6" width="8.7265625" style="248"/>
    <col min="7" max="11" width="11.6328125" style="248" customWidth="1"/>
    <col min="12" max="12" width="12.26953125" style="248" customWidth="1"/>
    <col min="13" max="13" width="34.54296875" style="248" customWidth="1"/>
    <col min="14" max="16" width="8.7265625" style="248"/>
  </cols>
  <sheetData>
    <row r="1" spans="2:16" x14ac:dyDescent="0.35">
      <c r="B1" s="73" t="str">
        <f>DIV_08View_Print!M1</f>
        <v>Update 1</v>
      </c>
      <c r="C1" s="73" t="str">
        <f>DIV_08View_Print!N1</f>
        <v>Update 2</v>
      </c>
      <c r="D1" s="73" t="str">
        <f>DIV_08View_Print!O1</f>
        <v>Update 3</v>
      </c>
      <c r="E1" s="74" t="str">
        <f>SEC_081000!A1</f>
        <v>AREA/FLOOR/ZONE</v>
      </c>
      <c r="F1" s="74" t="str">
        <f>SEC_081000!B1</f>
        <v>Page</v>
      </c>
      <c r="G1" s="74" t="str">
        <f>SEC_081000!C1</f>
        <v>SUB COST</v>
      </c>
      <c r="H1" s="74" t="str">
        <f>SEC_081000!D1</f>
        <v>MAT COST</v>
      </c>
      <c r="I1" s="74" t="str">
        <f>SEC_081000!E1</f>
        <v>LAB COST</v>
      </c>
      <c r="J1" s="74" t="str">
        <f>SEC_081000!F1</f>
        <v>EQUIP COST</v>
      </c>
      <c r="K1" s="74" t="str">
        <f>SEC_081000!G1</f>
        <v>Total Cost</v>
      </c>
      <c r="L1" s="74" t="str">
        <f>SEC_081000!H1</f>
        <v>Date</v>
      </c>
      <c r="M1" s="74" t="str">
        <f>SEC_081000!I1</f>
        <v>Description</v>
      </c>
      <c r="N1" s="74" t="str">
        <f>SEC_081000!J1</f>
        <v>Log 10</v>
      </c>
      <c r="O1" s="74" t="str">
        <f>SEC_081000!K1</f>
        <v>Log 11</v>
      </c>
      <c r="P1" s="75" t="str">
        <f>SEC_081000!L1</f>
        <v>Log 12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64225" r:id="rId3" name="Button 1">
              <controlPr defaultSize="0" print="0" autoFill="0" autoPict="0" macro="[0]!ViewLog">
                <anchor moveWithCells="1" sizeWithCells="1">
                  <from>
                    <xdr:col>17</xdr:col>
                    <xdr:colOff>0</xdr:colOff>
                    <xdr:row>0</xdr:row>
                    <xdr:rowOff>44450</xdr:rowOff>
                  </from>
                  <to>
                    <xdr:col>19</xdr:col>
                    <xdr:colOff>50800</xdr:colOff>
                    <xdr:row>2</xdr:row>
                    <xdr:rowOff>57150</xdr:rowOff>
                  </to>
                </anchor>
              </controlPr>
            </control>
          </mc:Choice>
        </mc:AlternateContent>
      </controls>
    </mc:Choice>
  </mc:AlternateConten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58745-669C-4F8E-9DEF-1ED595F76D13}">
  <sheetPr codeName="Sheet121"/>
  <dimension ref="S1:AG1"/>
  <sheetViews>
    <sheetView workbookViewId="0"/>
  </sheetViews>
  <sheetFormatPr defaultRowHeight="14.5" x14ac:dyDescent="0.35"/>
  <sheetData>
    <row r="1" spans="19:33" x14ac:dyDescent="0.35">
      <c r="S1" t="str">
        <f>DIV_09Input!A1</f>
        <v>AREA/FLOOR/ZONE</v>
      </c>
      <c r="T1" t="str">
        <f>DIV_09Input!B1</f>
        <v>Page</v>
      </c>
      <c r="U1" t="str">
        <f>DIV_09Input!C1</f>
        <v>SUB COST</v>
      </c>
      <c r="V1" t="str">
        <f>DIV_09Input!D1</f>
        <v>MAT COST</v>
      </c>
      <c r="W1" t="str">
        <f>DIV_09Input!E1</f>
        <v>LAB COST</v>
      </c>
      <c r="X1" t="str">
        <f>DIV_09Input!F1</f>
        <v>EQUIP COST</v>
      </c>
      <c r="Y1" t="str">
        <f>DIV_09Input!G1</f>
        <v>Total Cost</v>
      </c>
      <c r="Z1" t="str">
        <f>DIV_09Input!H1</f>
        <v>Date</v>
      </c>
      <c r="AA1" t="str">
        <f>DIV_09Input!I1</f>
        <v>Description</v>
      </c>
      <c r="AB1" t="str">
        <f>DIV_09Input!J1</f>
        <v>Log 10</v>
      </c>
      <c r="AC1" t="str">
        <f>DIV_09Input!K1</f>
        <v>Log 11</v>
      </c>
      <c r="AD1" t="str">
        <f>DIV_09Input!L1</f>
        <v>Log 12</v>
      </c>
      <c r="AE1" t="str">
        <f>DIV_09Input!M1</f>
        <v>Update 1</v>
      </c>
      <c r="AF1" t="str">
        <f>DIV_09Input!N1</f>
        <v>Update 2</v>
      </c>
      <c r="AG1" t="str">
        <f>DIV_09Input!O1</f>
        <v>Update 3</v>
      </c>
    </row>
  </sheetData>
  <pageMargins left="0.7" right="0.7" top="0.75" bottom="0.75" header="0.3" footer="0.3"/>
</worksheet>
</file>

<file path=xl/worksheets/sheet1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AE993-F405-4FA4-9DA1-8E24716E943A}">
  <sheetPr codeName="Sheet122"/>
  <dimension ref="A1:Q424"/>
  <sheetViews>
    <sheetView zoomScale="75" zoomScaleNormal="75" workbookViewId="0">
      <selection activeCell="P3" sqref="P3:Q3"/>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PLASTER AND GYPSUM BOARD</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09 20 00</v>
      </c>
      <c r="C10" s="24" t="str">
        <f>C206</f>
        <v>PLASTER AND GYPSUM BOARD</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PLASTER AND GYPSUM BOARD</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14576</v>
      </c>
      <c r="C206" s="251" t="s">
        <v>14577</v>
      </c>
      <c r="D206" s="1"/>
      <c r="E206" s="1"/>
      <c r="F206" s="1"/>
      <c r="G206" s="1"/>
      <c r="H206" s="1"/>
      <c r="I206" s="1"/>
      <c r="J206" s="1"/>
      <c r="K206" s="1"/>
      <c r="L206" s="1"/>
      <c r="M206" s="1"/>
      <c r="N206" s="1"/>
      <c r="O206" s="1"/>
      <c r="P206" s="1"/>
      <c r="Q206" s="1"/>
    </row>
    <row r="207" spans="2:17" x14ac:dyDescent="0.35">
      <c r="B207" s="49" t="s">
        <v>14578</v>
      </c>
      <c r="C207" s="53" t="s">
        <v>14579</v>
      </c>
      <c r="D207" s="1"/>
      <c r="E207" s="1"/>
      <c r="F207" s="1"/>
      <c r="G207" s="1"/>
      <c r="H207" s="1"/>
      <c r="I207" s="1"/>
      <c r="J207" s="1"/>
      <c r="K207" s="1"/>
      <c r="L207" s="1"/>
      <c r="M207" s="1"/>
      <c r="N207" s="1"/>
      <c r="O207" s="1"/>
      <c r="P207" s="1"/>
      <c r="Q207" s="1"/>
    </row>
    <row r="208" spans="2:17" x14ac:dyDescent="0.35">
      <c r="B208" s="49" t="s">
        <v>14580</v>
      </c>
      <c r="C208" s="53" t="s">
        <v>14581</v>
      </c>
    </row>
    <row r="209" spans="2:5" x14ac:dyDescent="0.35">
      <c r="B209" s="49" t="s">
        <v>14582</v>
      </c>
      <c r="C209" s="53" t="s">
        <v>14583</v>
      </c>
    </row>
    <row r="210" spans="2:5" x14ac:dyDescent="0.35">
      <c r="B210" s="49" t="s">
        <v>14584</v>
      </c>
      <c r="C210" s="53" t="s">
        <v>14585</v>
      </c>
    </row>
    <row r="211" spans="2:5" x14ac:dyDescent="0.35">
      <c r="B211" s="49" t="s">
        <v>14586</v>
      </c>
      <c r="C211" s="53" t="s">
        <v>14587</v>
      </c>
    </row>
    <row r="212" spans="2:5" x14ac:dyDescent="0.35">
      <c r="B212" s="49" t="s">
        <v>14588</v>
      </c>
      <c r="C212" s="53" t="s">
        <v>14589</v>
      </c>
    </row>
    <row r="213" spans="2:5" x14ac:dyDescent="0.35">
      <c r="B213" s="49" t="s">
        <v>14590</v>
      </c>
      <c r="C213" s="53" t="s">
        <v>14591</v>
      </c>
    </row>
    <row r="214" spans="2:5" x14ac:dyDescent="0.35">
      <c r="B214" s="49" t="s">
        <v>14592</v>
      </c>
      <c r="C214" s="53" t="s">
        <v>14593</v>
      </c>
    </row>
    <row r="215" spans="2:5" x14ac:dyDescent="0.35">
      <c r="B215" s="49" t="s">
        <v>14594</v>
      </c>
      <c r="C215" s="53" t="s">
        <v>14595</v>
      </c>
    </row>
    <row r="216" spans="2:5" x14ac:dyDescent="0.35">
      <c r="C216" s="1" t="s">
        <v>1939</v>
      </c>
      <c r="D216" s="1" t="s">
        <v>20</v>
      </c>
      <c r="E216" s="250">
        <v>9204.9110000000001</v>
      </c>
    </row>
    <row r="217" spans="2:5" x14ac:dyDescent="0.35">
      <c r="C217" s="1" t="s">
        <v>1938</v>
      </c>
      <c r="D217" s="1" t="s">
        <v>19</v>
      </c>
      <c r="E217" s="250">
        <v>9204.9120000000003</v>
      </c>
    </row>
    <row r="218" spans="2:5" x14ac:dyDescent="0.35">
      <c r="C218" s="1" t="s">
        <v>1937</v>
      </c>
      <c r="D218" s="1" t="s">
        <v>21</v>
      </c>
      <c r="E218" s="250">
        <v>9205.01</v>
      </c>
    </row>
    <row r="219" spans="2:5" x14ac:dyDescent="0.35">
      <c r="C219" s="1" t="s">
        <v>1936</v>
      </c>
      <c r="D219" s="1" t="s">
        <v>21</v>
      </c>
      <c r="E219" s="250">
        <v>9205.0110000000004</v>
      </c>
    </row>
    <row r="220" spans="2:5" x14ac:dyDescent="0.35">
      <c r="C220" s="1" t="s">
        <v>1935</v>
      </c>
      <c r="D220" s="1" t="s">
        <v>21</v>
      </c>
      <c r="E220" s="250">
        <v>9205.0120000000006</v>
      </c>
    </row>
    <row r="221" spans="2:5" x14ac:dyDescent="0.35">
      <c r="C221" s="1" t="s">
        <v>1934</v>
      </c>
      <c r="D221" s="1" t="s">
        <v>21</v>
      </c>
      <c r="E221" s="250">
        <v>9205.0130000000008</v>
      </c>
    </row>
    <row r="222" spans="2:5" x14ac:dyDescent="0.35">
      <c r="C222" s="1" t="s">
        <v>1933</v>
      </c>
      <c r="D222" s="1" t="s">
        <v>21</v>
      </c>
      <c r="E222" s="250">
        <v>9205.0139999999992</v>
      </c>
    </row>
    <row r="223" spans="2:5" x14ac:dyDescent="0.35">
      <c r="C223" s="1" t="s">
        <v>1932</v>
      </c>
      <c r="D223" s="1" t="s">
        <v>18</v>
      </c>
      <c r="E223" s="250">
        <v>9205.0300000000007</v>
      </c>
    </row>
    <row r="224" spans="2:5" x14ac:dyDescent="0.35">
      <c r="C224" s="1" t="s">
        <v>1931</v>
      </c>
      <c r="D224" s="1" t="s">
        <v>21</v>
      </c>
      <c r="E224" s="250">
        <v>9205.0400000000009</v>
      </c>
    </row>
    <row r="225" spans="3:5" x14ac:dyDescent="0.35">
      <c r="C225" s="1" t="s">
        <v>1844</v>
      </c>
      <c r="D225" s="1" t="s">
        <v>21</v>
      </c>
      <c r="E225" s="250">
        <v>9205.0409999999993</v>
      </c>
    </row>
    <row r="226" spans="3:5" x14ac:dyDescent="0.35">
      <c r="C226" s="1" t="s">
        <v>1928</v>
      </c>
      <c r="D226" s="1" t="s">
        <v>21</v>
      </c>
      <c r="E226" s="250">
        <v>9205.0419999999995</v>
      </c>
    </row>
    <row r="227" spans="3:5" x14ac:dyDescent="0.35">
      <c r="C227" s="1" t="s">
        <v>1930</v>
      </c>
      <c r="D227" s="1" t="s">
        <v>21</v>
      </c>
      <c r="E227" s="250">
        <v>9205.0429999999997</v>
      </c>
    </row>
    <row r="228" spans="3:5" x14ac:dyDescent="0.35">
      <c r="C228" s="1" t="s">
        <v>1929</v>
      </c>
      <c r="D228" s="1" t="s">
        <v>21</v>
      </c>
      <c r="E228" s="250">
        <v>9205.0439999999999</v>
      </c>
    </row>
    <row r="229" spans="3:5" x14ac:dyDescent="0.35">
      <c r="C229" s="1" t="s">
        <v>1928</v>
      </c>
      <c r="D229" s="1" t="s">
        <v>20</v>
      </c>
      <c r="E229" s="250">
        <v>9205.0499999999993</v>
      </c>
    </row>
    <row r="230" spans="3:5" x14ac:dyDescent="0.35">
      <c r="C230" s="1" t="s">
        <v>1928</v>
      </c>
      <c r="D230" s="1" t="s">
        <v>20</v>
      </c>
      <c r="E230" s="250">
        <v>9205.0509999999995</v>
      </c>
    </row>
    <row r="231" spans="3:5" x14ac:dyDescent="0.35">
      <c r="C231" s="1" t="s">
        <v>1927</v>
      </c>
      <c r="D231" s="1" t="s">
        <v>20</v>
      </c>
      <c r="E231" s="250">
        <v>9205.06</v>
      </c>
    </row>
    <row r="232" spans="3:5" x14ac:dyDescent="0.35">
      <c r="C232" s="1" t="s">
        <v>1927</v>
      </c>
      <c r="D232" s="1" t="s">
        <v>20</v>
      </c>
      <c r="E232" s="250">
        <v>9205.0650000000005</v>
      </c>
    </row>
    <row r="233" spans="3:5" x14ac:dyDescent="0.35">
      <c r="C233" s="1" t="s">
        <v>1926</v>
      </c>
      <c r="D233" s="1" t="s">
        <v>20</v>
      </c>
      <c r="E233" s="250">
        <v>9205.0720000000001</v>
      </c>
    </row>
    <row r="234" spans="3:5" x14ac:dyDescent="0.35">
      <c r="C234" s="1" t="s">
        <v>1925</v>
      </c>
      <c r="D234" s="1" t="s">
        <v>20</v>
      </c>
      <c r="E234" s="250">
        <v>9205.0730000000003</v>
      </c>
    </row>
    <row r="235" spans="3:5" x14ac:dyDescent="0.35">
      <c r="C235" s="1" t="s">
        <v>1924</v>
      </c>
      <c r="D235" s="1" t="s">
        <v>20</v>
      </c>
      <c r="E235" s="250">
        <v>9205.0740000000005</v>
      </c>
    </row>
    <row r="236" spans="3:5" x14ac:dyDescent="0.35">
      <c r="C236" s="1" t="s">
        <v>1923</v>
      </c>
      <c r="D236" s="1" t="s">
        <v>20</v>
      </c>
      <c r="E236" s="250">
        <v>9205.0750000000007</v>
      </c>
    </row>
    <row r="237" spans="3:5" x14ac:dyDescent="0.35">
      <c r="C237" s="1" t="s">
        <v>1922</v>
      </c>
      <c r="D237" s="1" t="s">
        <v>20</v>
      </c>
      <c r="E237" s="250">
        <v>9205.0759999999991</v>
      </c>
    </row>
    <row r="238" spans="3:5" x14ac:dyDescent="0.35">
      <c r="C238" s="1" t="s">
        <v>1921</v>
      </c>
      <c r="D238" s="1" t="s">
        <v>19</v>
      </c>
      <c r="E238" s="250">
        <v>9205.1</v>
      </c>
    </row>
    <row r="239" spans="3:5" x14ac:dyDescent="0.35">
      <c r="C239" s="1" t="s">
        <v>1920</v>
      </c>
      <c r="D239" s="1" t="s">
        <v>19</v>
      </c>
      <c r="E239" s="250">
        <v>9205.1010000000006</v>
      </c>
    </row>
    <row r="240" spans="3:5" x14ac:dyDescent="0.35">
      <c r="C240" s="1" t="s">
        <v>1919</v>
      </c>
      <c r="D240" s="1" t="s">
        <v>19</v>
      </c>
      <c r="E240" s="250">
        <v>9205.1020000000008</v>
      </c>
    </row>
    <row r="241" spans="3:5" x14ac:dyDescent="0.35">
      <c r="C241" s="1" t="s">
        <v>1918</v>
      </c>
      <c r="D241" s="1" t="s">
        <v>19</v>
      </c>
      <c r="E241" s="250">
        <v>9205.1029999999992</v>
      </c>
    </row>
    <row r="242" spans="3:5" x14ac:dyDescent="0.35">
      <c r="C242" s="1" t="s">
        <v>1917</v>
      </c>
      <c r="D242" s="1" t="s">
        <v>19</v>
      </c>
      <c r="E242" s="250">
        <v>9205.1039999999994</v>
      </c>
    </row>
    <row r="243" spans="3:5" x14ac:dyDescent="0.35">
      <c r="C243" s="1" t="s">
        <v>1916</v>
      </c>
      <c r="D243" s="1" t="s">
        <v>19</v>
      </c>
      <c r="E243" s="250">
        <v>9205.1059999999998</v>
      </c>
    </row>
    <row r="244" spans="3:5" x14ac:dyDescent="0.35">
      <c r="C244" s="1" t="s">
        <v>1915</v>
      </c>
      <c r="D244" s="1" t="s">
        <v>19</v>
      </c>
      <c r="E244" s="250">
        <v>9205.11</v>
      </c>
    </row>
    <row r="245" spans="3:5" x14ac:dyDescent="0.35">
      <c r="C245" s="1" t="s">
        <v>1914</v>
      </c>
      <c r="D245" s="1" t="s">
        <v>19</v>
      </c>
      <c r="E245" s="250">
        <v>9205.1110000000008</v>
      </c>
    </row>
    <row r="246" spans="3:5" x14ac:dyDescent="0.35">
      <c r="C246" s="1" t="s">
        <v>1913</v>
      </c>
      <c r="D246" s="1" t="s">
        <v>19</v>
      </c>
      <c r="E246" s="250">
        <v>9205.1119999999992</v>
      </c>
    </row>
    <row r="247" spans="3:5" x14ac:dyDescent="0.35">
      <c r="C247" s="1" t="s">
        <v>1912</v>
      </c>
      <c r="D247" s="1" t="s">
        <v>19</v>
      </c>
      <c r="E247" s="250">
        <v>9205.1129999999994</v>
      </c>
    </row>
    <row r="248" spans="3:5" x14ac:dyDescent="0.35">
      <c r="C248" s="1" t="s">
        <v>1911</v>
      </c>
      <c r="D248" s="1" t="s">
        <v>19</v>
      </c>
      <c r="E248" s="250">
        <v>9205.1139999999996</v>
      </c>
    </row>
    <row r="249" spans="3:5" x14ac:dyDescent="0.35">
      <c r="C249" s="1" t="s">
        <v>1910</v>
      </c>
      <c r="D249" s="1" t="s">
        <v>19</v>
      </c>
      <c r="E249" s="250">
        <v>9205.1149999999998</v>
      </c>
    </row>
    <row r="250" spans="3:5" x14ac:dyDescent="0.35">
      <c r="C250" s="1" t="s">
        <v>1909</v>
      </c>
      <c r="D250" s="1" t="s">
        <v>19</v>
      </c>
      <c r="E250" s="250">
        <v>9205.1180000000004</v>
      </c>
    </row>
    <row r="251" spans="3:5" x14ac:dyDescent="0.35">
      <c r="C251" s="1" t="s">
        <v>1908</v>
      </c>
      <c r="D251" s="1" t="s">
        <v>20</v>
      </c>
      <c r="E251" s="250">
        <v>9205.1190000000006</v>
      </c>
    </row>
    <row r="252" spans="3:5" x14ac:dyDescent="0.35">
      <c r="C252" s="1" t="s">
        <v>1907</v>
      </c>
      <c r="D252" s="1" t="s">
        <v>19</v>
      </c>
      <c r="E252" s="250">
        <v>9205.1209999999992</v>
      </c>
    </row>
    <row r="253" spans="3:5" x14ac:dyDescent="0.35">
      <c r="C253" s="1" t="s">
        <v>1906</v>
      </c>
      <c r="D253" s="1" t="s">
        <v>19</v>
      </c>
      <c r="E253" s="250">
        <v>9205.1219999999994</v>
      </c>
    </row>
    <row r="254" spans="3:5" x14ac:dyDescent="0.35">
      <c r="C254" s="1" t="s">
        <v>1905</v>
      </c>
      <c r="D254" s="1" t="s">
        <v>19</v>
      </c>
      <c r="E254" s="250">
        <v>9205.1229999999996</v>
      </c>
    </row>
    <row r="255" spans="3:5" x14ac:dyDescent="0.35">
      <c r="C255" s="1" t="s">
        <v>1904</v>
      </c>
      <c r="D255" s="1" t="s">
        <v>19</v>
      </c>
      <c r="E255" s="250">
        <v>9205.1239999999998</v>
      </c>
    </row>
    <row r="256" spans="3:5" x14ac:dyDescent="0.35">
      <c r="C256" s="1" t="s">
        <v>1903</v>
      </c>
      <c r="D256" s="1" t="s">
        <v>19</v>
      </c>
      <c r="E256" s="250">
        <v>9205.125</v>
      </c>
    </row>
    <row r="257" spans="3:5" x14ac:dyDescent="0.35">
      <c r="C257" s="1" t="s">
        <v>1902</v>
      </c>
      <c r="D257" s="1" t="s">
        <v>19</v>
      </c>
      <c r="E257" s="250">
        <v>9205.1260000000002</v>
      </c>
    </row>
    <row r="258" spans="3:5" x14ac:dyDescent="0.35">
      <c r="C258" s="1" t="s">
        <v>1901</v>
      </c>
      <c r="D258" s="1" t="s">
        <v>19</v>
      </c>
      <c r="E258" s="250">
        <v>9205.1270000000004</v>
      </c>
    </row>
    <row r="259" spans="3:5" x14ac:dyDescent="0.35">
      <c r="C259" s="1" t="s">
        <v>1900</v>
      </c>
      <c r="D259" s="1" t="s">
        <v>19</v>
      </c>
      <c r="E259" s="250">
        <v>9205.1280000000006</v>
      </c>
    </row>
    <row r="260" spans="3:5" x14ac:dyDescent="0.35">
      <c r="C260" s="1" t="s">
        <v>1899</v>
      </c>
      <c r="D260" s="1" t="s">
        <v>19</v>
      </c>
      <c r="E260" s="250">
        <v>9205.1290000000008</v>
      </c>
    </row>
    <row r="261" spans="3:5" x14ac:dyDescent="0.35">
      <c r="C261" s="1" t="s">
        <v>1898</v>
      </c>
      <c r="D261" s="1" t="s">
        <v>19</v>
      </c>
      <c r="E261" s="250">
        <v>9205.1299999999992</v>
      </c>
    </row>
    <row r="262" spans="3:5" x14ac:dyDescent="0.35">
      <c r="C262" s="1" t="s">
        <v>1897</v>
      </c>
      <c r="D262" s="1" t="s">
        <v>19</v>
      </c>
      <c r="E262" s="250">
        <v>9205.1409999999996</v>
      </c>
    </row>
    <row r="263" spans="3:5" x14ac:dyDescent="0.35">
      <c r="C263" s="1" t="s">
        <v>1896</v>
      </c>
      <c r="D263" s="1" t="s">
        <v>20</v>
      </c>
      <c r="E263" s="250">
        <v>9209.9</v>
      </c>
    </row>
    <row r="264" spans="3:5" x14ac:dyDescent="0.35">
      <c r="C264" s="1" t="s">
        <v>1895</v>
      </c>
      <c r="D264" s="1" t="s">
        <v>21</v>
      </c>
      <c r="E264" s="250">
        <v>9210.01</v>
      </c>
    </row>
    <row r="265" spans="3:5" x14ac:dyDescent="0.35">
      <c r="C265" s="1" t="s">
        <v>1894</v>
      </c>
      <c r="D265" s="1" t="s">
        <v>21</v>
      </c>
      <c r="E265" s="250">
        <v>9210.0110000000004</v>
      </c>
    </row>
    <row r="266" spans="3:5" x14ac:dyDescent="0.35">
      <c r="C266" s="1" t="s">
        <v>1893</v>
      </c>
      <c r="D266" s="1" t="s">
        <v>21</v>
      </c>
      <c r="E266" s="250">
        <v>9210.0120000000006</v>
      </c>
    </row>
    <row r="267" spans="3:5" x14ac:dyDescent="0.35">
      <c r="C267" s="1" t="s">
        <v>1892</v>
      </c>
      <c r="D267" s="1" t="s">
        <v>20</v>
      </c>
      <c r="E267" s="250">
        <v>9210.0130000000008</v>
      </c>
    </row>
    <row r="268" spans="3:5" x14ac:dyDescent="0.35">
      <c r="C268" s="1" t="s">
        <v>1891</v>
      </c>
      <c r="D268" s="1" t="s">
        <v>21</v>
      </c>
      <c r="E268" s="250">
        <v>9210.1</v>
      </c>
    </row>
    <row r="269" spans="3:5" x14ac:dyDescent="0.35">
      <c r="C269" s="1" t="s">
        <v>1890</v>
      </c>
      <c r="D269" s="1" t="s">
        <v>21</v>
      </c>
      <c r="E269" s="250">
        <v>9210.1010000000006</v>
      </c>
    </row>
    <row r="270" spans="3:5" x14ac:dyDescent="0.35">
      <c r="C270" s="1" t="s">
        <v>1889</v>
      </c>
      <c r="D270" s="1" t="s">
        <v>21</v>
      </c>
      <c r="E270" s="250">
        <v>9210.1020000000008</v>
      </c>
    </row>
    <row r="271" spans="3:5" x14ac:dyDescent="0.35">
      <c r="C271" s="1" t="s">
        <v>1888</v>
      </c>
      <c r="D271" s="1" t="s">
        <v>21</v>
      </c>
      <c r="E271" s="250">
        <v>9210.1029999999992</v>
      </c>
    </row>
    <row r="272" spans="3:5" x14ac:dyDescent="0.35">
      <c r="C272" s="1" t="s">
        <v>1887</v>
      </c>
      <c r="D272" s="1" t="s">
        <v>21</v>
      </c>
      <c r="E272" s="250">
        <v>9210.1039999999994</v>
      </c>
    </row>
    <row r="273" spans="3:5" x14ac:dyDescent="0.35">
      <c r="C273" s="1" t="s">
        <v>1886</v>
      </c>
      <c r="D273" s="1" t="s">
        <v>21</v>
      </c>
      <c r="E273" s="250">
        <v>9210.1049999999996</v>
      </c>
    </row>
    <row r="274" spans="3:5" x14ac:dyDescent="0.35">
      <c r="C274" s="1" t="s">
        <v>1885</v>
      </c>
      <c r="D274" s="1" t="s">
        <v>21</v>
      </c>
      <c r="E274" s="250">
        <v>9210.1059999999998</v>
      </c>
    </row>
    <row r="275" spans="3:5" x14ac:dyDescent="0.35">
      <c r="C275" s="1" t="s">
        <v>1884</v>
      </c>
      <c r="D275" s="1" t="s">
        <v>21</v>
      </c>
      <c r="E275" s="250">
        <v>9210.107</v>
      </c>
    </row>
    <row r="276" spans="3:5" x14ac:dyDescent="0.35">
      <c r="C276" s="1" t="s">
        <v>1883</v>
      </c>
      <c r="D276" s="1" t="s">
        <v>21</v>
      </c>
      <c r="E276" s="250">
        <v>9210.1080000000002</v>
      </c>
    </row>
    <row r="277" spans="3:5" x14ac:dyDescent="0.35">
      <c r="C277" s="1" t="s">
        <v>1882</v>
      </c>
      <c r="D277" s="1" t="s">
        <v>21</v>
      </c>
      <c r="E277" s="250">
        <v>9210.1090000000004</v>
      </c>
    </row>
    <row r="278" spans="3:5" x14ac:dyDescent="0.35">
      <c r="C278" s="1" t="s">
        <v>1881</v>
      </c>
      <c r="D278" s="1" t="s">
        <v>21</v>
      </c>
      <c r="E278" s="250">
        <v>9210.1129999999994</v>
      </c>
    </row>
    <row r="279" spans="3:5" x14ac:dyDescent="0.35">
      <c r="C279" s="1" t="s">
        <v>1880</v>
      </c>
      <c r="D279" s="1" t="s">
        <v>21</v>
      </c>
      <c r="E279" s="250">
        <v>9210.1200000000008</v>
      </c>
    </row>
    <row r="280" spans="3:5" x14ac:dyDescent="0.35">
      <c r="C280" s="1" t="s">
        <v>1879</v>
      </c>
      <c r="D280" s="1" t="s">
        <v>21</v>
      </c>
      <c r="E280" s="250">
        <v>9210.1299999999992</v>
      </c>
    </row>
    <row r="281" spans="3:5" x14ac:dyDescent="0.35">
      <c r="C281" s="1" t="s">
        <v>1878</v>
      </c>
      <c r="D281" s="1" t="s">
        <v>20</v>
      </c>
      <c r="E281" s="250">
        <v>9219.99</v>
      </c>
    </row>
    <row r="282" spans="3:5" x14ac:dyDescent="0.35">
      <c r="C282" s="1" t="s">
        <v>1877</v>
      </c>
      <c r="D282" s="1" t="s">
        <v>20</v>
      </c>
      <c r="E282" s="250">
        <v>9219.991</v>
      </c>
    </row>
    <row r="283" spans="3:5" x14ac:dyDescent="0.35">
      <c r="C283" s="1" t="s">
        <v>1876</v>
      </c>
      <c r="D283" s="1" t="s">
        <v>19</v>
      </c>
      <c r="E283" s="250">
        <v>9219.9920000000002</v>
      </c>
    </row>
    <row r="284" spans="3:5" x14ac:dyDescent="0.35">
      <c r="C284" s="1" t="s">
        <v>1876</v>
      </c>
      <c r="D284" s="1" t="s">
        <v>62</v>
      </c>
      <c r="E284" s="250">
        <v>9219.9930000000004</v>
      </c>
    </row>
    <row r="285" spans="3:5" x14ac:dyDescent="0.35">
      <c r="C285" s="1" t="s">
        <v>1875</v>
      </c>
      <c r="D285" s="1" t="s">
        <v>21</v>
      </c>
      <c r="E285" s="250">
        <v>9220.0110000000004</v>
      </c>
    </row>
    <row r="286" spans="3:5" x14ac:dyDescent="0.35">
      <c r="C286" s="1" t="s">
        <v>1874</v>
      </c>
      <c r="D286" s="1" t="s">
        <v>21</v>
      </c>
      <c r="E286" s="250">
        <v>9220.02</v>
      </c>
    </row>
    <row r="287" spans="3:5" x14ac:dyDescent="0.35">
      <c r="C287" s="1" t="s">
        <v>1873</v>
      </c>
      <c r="D287" s="1" t="s">
        <v>21</v>
      </c>
      <c r="E287" s="250">
        <v>9220.0300000000007</v>
      </c>
    </row>
    <row r="288" spans="3:5" x14ac:dyDescent="0.35">
      <c r="C288" s="1" t="s">
        <v>1862</v>
      </c>
      <c r="D288" s="1" t="s">
        <v>20</v>
      </c>
      <c r="E288" s="250">
        <v>9250.01</v>
      </c>
    </row>
    <row r="289" spans="3:5" x14ac:dyDescent="0.35">
      <c r="C289" s="1" t="s">
        <v>1861</v>
      </c>
      <c r="D289" s="1" t="s">
        <v>20</v>
      </c>
      <c r="E289" s="250">
        <v>9250.0110000000004</v>
      </c>
    </row>
    <row r="290" spans="3:5" x14ac:dyDescent="0.35">
      <c r="C290" s="1" t="s">
        <v>1860</v>
      </c>
      <c r="D290" s="1" t="s">
        <v>20</v>
      </c>
      <c r="E290" s="250">
        <v>9250.0120000000006</v>
      </c>
    </row>
    <row r="291" spans="3:5" x14ac:dyDescent="0.35">
      <c r="C291" s="1" t="s">
        <v>1859</v>
      </c>
      <c r="D291" s="1" t="s">
        <v>20</v>
      </c>
      <c r="E291" s="250">
        <v>9250.0130000000008</v>
      </c>
    </row>
    <row r="292" spans="3:5" x14ac:dyDescent="0.35">
      <c r="C292" s="1" t="s">
        <v>1841</v>
      </c>
      <c r="D292" s="1" t="s">
        <v>20</v>
      </c>
      <c r="E292" s="250">
        <v>9250.0139999999992</v>
      </c>
    </row>
    <row r="293" spans="3:5" x14ac:dyDescent="0.35">
      <c r="C293" s="1" t="s">
        <v>1849</v>
      </c>
      <c r="D293" s="1" t="s">
        <v>20</v>
      </c>
      <c r="E293" s="250">
        <v>9250.0149999999994</v>
      </c>
    </row>
    <row r="294" spans="3:5" x14ac:dyDescent="0.35">
      <c r="C294" s="1" t="s">
        <v>1858</v>
      </c>
      <c r="D294" s="1" t="s">
        <v>20</v>
      </c>
      <c r="E294" s="250">
        <v>9250.0159999999996</v>
      </c>
    </row>
    <row r="295" spans="3:5" x14ac:dyDescent="0.35">
      <c r="C295" s="1" t="s">
        <v>1872</v>
      </c>
      <c r="D295" s="1" t="s">
        <v>20</v>
      </c>
      <c r="E295" s="250">
        <v>9250.0169999999998</v>
      </c>
    </row>
    <row r="296" spans="3:5" x14ac:dyDescent="0.35">
      <c r="C296" s="1" t="s">
        <v>1871</v>
      </c>
      <c r="D296" s="1" t="s">
        <v>20</v>
      </c>
      <c r="E296" s="250">
        <v>9250.018</v>
      </c>
    </row>
    <row r="297" spans="3:5" x14ac:dyDescent="0.35">
      <c r="C297" s="1" t="s">
        <v>1870</v>
      </c>
      <c r="D297" s="1" t="s">
        <v>20</v>
      </c>
      <c r="E297" s="250">
        <v>9250.0190000000002</v>
      </c>
    </row>
    <row r="298" spans="3:5" x14ac:dyDescent="0.35">
      <c r="C298" s="1" t="s">
        <v>1869</v>
      </c>
      <c r="D298" s="1" t="s">
        <v>20</v>
      </c>
      <c r="E298" s="250">
        <v>9250.0210000000006</v>
      </c>
    </row>
    <row r="299" spans="3:5" x14ac:dyDescent="0.35">
      <c r="C299" s="1" t="s">
        <v>1846</v>
      </c>
      <c r="D299" s="1" t="s">
        <v>20</v>
      </c>
      <c r="E299" s="250">
        <v>9250.0220000000008</v>
      </c>
    </row>
    <row r="300" spans="3:5" x14ac:dyDescent="0.35">
      <c r="C300" s="1" t="s">
        <v>1838</v>
      </c>
      <c r="D300" s="1" t="s">
        <v>20</v>
      </c>
      <c r="E300" s="250">
        <v>9250.0229999999992</v>
      </c>
    </row>
    <row r="301" spans="3:5" x14ac:dyDescent="0.35">
      <c r="C301" s="1" t="s">
        <v>1854</v>
      </c>
      <c r="D301" s="1" t="s">
        <v>20</v>
      </c>
      <c r="E301" s="250">
        <v>9250.0239999999994</v>
      </c>
    </row>
    <row r="302" spans="3:5" x14ac:dyDescent="0.35">
      <c r="C302" s="1" t="s">
        <v>1868</v>
      </c>
      <c r="D302" s="1" t="s">
        <v>20</v>
      </c>
      <c r="E302" s="250">
        <v>9250.0249999999996</v>
      </c>
    </row>
    <row r="303" spans="3:5" x14ac:dyDescent="0.35">
      <c r="C303" s="1" t="s">
        <v>1867</v>
      </c>
      <c r="D303" s="1" t="s">
        <v>20</v>
      </c>
      <c r="E303" s="250">
        <v>9250.0259999999998</v>
      </c>
    </row>
    <row r="304" spans="3:5" x14ac:dyDescent="0.35">
      <c r="C304" s="1" t="s">
        <v>1866</v>
      </c>
      <c r="D304" s="1" t="s">
        <v>20</v>
      </c>
      <c r="E304" s="250">
        <v>9250.0300000000007</v>
      </c>
    </row>
    <row r="305" spans="3:5" x14ac:dyDescent="0.35">
      <c r="C305" s="1" t="s">
        <v>1865</v>
      </c>
      <c r="D305" s="1" t="s">
        <v>20</v>
      </c>
      <c r="E305" s="250">
        <v>9250.0310000000009</v>
      </c>
    </row>
    <row r="306" spans="3:5" x14ac:dyDescent="0.35">
      <c r="C306" s="1" t="s">
        <v>1864</v>
      </c>
      <c r="D306" s="1" t="s">
        <v>20</v>
      </c>
      <c r="E306" s="250">
        <v>9250.0319999999992</v>
      </c>
    </row>
    <row r="307" spans="3:5" x14ac:dyDescent="0.35">
      <c r="C307" s="1" t="s">
        <v>1863</v>
      </c>
      <c r="D307" s="1" t="s">
        <v>20</v>
      </c>
      <c r="E307" s="250">
        <v>9250.0400000000009</v>
      </c>
    </row>
    <row r="308" spans="3:5" x14ac:dyDescent="0.35">
      <c r="C308" s="1" t="s">
        <v>1862</v>
      </c>
      <c r="D308" s="1" t="s">
        <v>20</v>
      </c>
      <c r="E308" s="250">
        <v>9250.0409999999993</v>
      </c>
    </row>
    <row r="309" spans="3:5" x14ac:dyDescent="0.35">
      <c r="C309" s="1" t="s">
        <v>1861</v>
      </c>
      <c r="D309" s="1" t="s">
        <v>20</v>
      </c>
      <c r="E309" s="250">
        <v>9250.1110000000008</v>
      </c>
    </row>
    <row r="310" spans="3:5" x14ac:dyDescent="0.35">
      <c r="C310" s="1" t="s">
        <v>1860</v>
      </c>
      <c r="D310" s="1" t="s">
        <v>20</v>
      </c>
      <c r="E310" s="250">
        <v>9250.1119999999992</v>
      </c>
    </row>
    <row r="311" spans="3:5" x14ac:dyDescent="0.35">
      <c r="C311" s="1" t="s">
        <v>1859</v>
      </c>
      <c r="D311" s="1" t="s">
        <v>20</v>
      </c>
      <c r="E311" s="250">
        <v>9250.1129999999994</v>
      </c>
    </row>
    <row r="312" spans="3:5" x14ac:dyDescent="0.35">
      <c r="C312" s="1" t="s">
        <v>1858</v>
      </c>
      <c r="D312" s="1" t="s">
        <v>20</v>
      </c>
      <c r="E312" s="250">
        <v>9250.1139999999996</v>
      </c>
    </row>
    <row r="313" spans="3:5" x14ac:dyDescent="0.35">
      <c r="C313" s="1" t="s">
        <v>1857</v>
      </c>
      <c r="D313" s="1" t="s">
        <v>20</v>
      </c>
      <c r="E313" s="250">
        <v>9250.1149999999998</v>
      </c>
    </row>
    <row r="314" spans="3:5" x14ac:dyDescent="0.35">
      <c r="C314" s="1" t="s">
        <v>1856</v>
      </c>
      <c r="D314" s="1" t="s">
        <v>20</v>
      </c>
      <c r="E314" s="250">
        <v>9250.116</v>
      </c>
    </row>
    <row r="315" spans="3:5" x14ac:dyDescent="0.35">
      <c r="C315" s="1" t="s">
        <v>1855</v>
      </c>
      <c r="D315" s="1" t="s">
        <v>20</v>
      </c>
      <c r="E315" s="250">
        <v>9250.1170000000002</v>
      </c>
    </row>
    <row r="316" spans="3:5" x14ac:dyDescent="0.35">
      <c r="C316" s="1" t="s">
        <v>1854</v>
      </c>
      <c r="D316" s="1" t="s">
        <v>20</v>
      </c>
      <c r="E316" s="250">
        <v>9250.1180000000004</v>
      </c>
    </row>
    <row r="317" spans="3:5" x14ac:dyDescent="0.35">
      <c r="C317" s="1" t="s">
        <v>1853</v>
      </c>
      <c r="D317" s="1" t="s">
        <v>20</v>
      </c>
      <c r="E317" s="250">
        <v>9250.1190000000006</v>
      </c>
    </row>
    <row r="318" spans="3:5" x14ac:dyDescent="0.35">
      <c r="C318" s="1" t="s">
        <v>1852</v>
      </c>
      <c r="D318" s="1" t="s">
        <v>20</v>
      </c>
      <c r="E318" s="250">
        <v>9250.1200000000008</v>
      </c>
    </row>
    <row r="319" spans="3:5" x14ac:dyDescent="0.35">
      <c r="C319" s="1" t="s">
        <v>1851</v>
      </c>
      <c r="D319" s="1" t="s">
        <v>20</v>
      </c>
      <c r="E319" s="250">
        <v>9250.1209999999992</v>
      </c>
    </row>
    <row r="320" spans="3:5" x14ac:dyDescent="0.35">
      <c r="C320" s="1" t="s">
        <v>1850</v>
      </c>
      <c r="D320" s="1" t="s">
        <v>20</v>
      </c>
      <c r="E320" s="250">
        <v>9250.1219999999994</v>
      </c>
    </row>
    <row r="321" spans="3:5" x14ac:dyDescent="0.35">
      <c r="C321" s="1" t="s">
        <v>1849</v>
      </c>
      <c r="D321" s="1" t="s">
        <v>20</v>
      </c>
      <c r="E321" s="250">
        <v>9250.1229999999996</v>
      </c>
    </row>
    <row r="322" spans="3:5" x14ac:dyDescent="0.35">
      <c r="C322" s="1" t="s">
        <v>1848</v>
      </c>
      <c r="D322" s="1" t="s">
        <v>20</v>
      </c>
      <c r="E322" s="250">
        <v>9250.1280000000006</v>
      </c>
    </row>
    <row r="323" spans="3:5" x14ac:dyDescent="0.35">
      <c r="C323" s="1" t="s">
        <v>1841</v>
      </c>
      <c r="D323" s="1" t="s">
        <v>20</v>
      </c>
      <c r="E323" s="250">
        <v>9250.1290000000008</v>
      </c>
    </row>
    <row r="324" spans="3:5" x14ac:dyDescent="0.35">
      <c r="C324" s="1" t="s">
        <v>1847</v>
      </c>
      <c r="D324" s="1" t="s">
        <v>20</v>
      </c>
      <c r="E324" s="250">
        <v>9250.1299999999992</v>
      </c>
    </row>
    <row r="325" spans="3:5" x14ac:dyDescent="0.35">
      <c r="C325" s="1" t="s">
        <v>1839</v>
      </c>
      <c r="D325" s="1" t="s">
        <v>20</v>
      </c>
      <c r="E325" s="250">
        <v>9250.1309999999994</v>
      </c>
    </row>
    <row r="326" spans="3:5" x14ac:dyDescent="0.35">
      <c r="C326" s="1" t="s">
        <v>1843</v>
      </c>
      <c r="D326" s="1" t="s">
        <v>20</v>
      </c>
      <c r="E326" s="250">
        <v>9250.1319999999996</v>
      </c>
    </row>
    <row r="327" spans="3:5" x14ac:dyDescent="0.35">
      <c r="C327" s="1" t="s">
        <v>1847</v>
      </c>
      <c r="D327" s="1" t="s">
        <v>20</v>
      </c>
      <c r="E327" s="250">
        <v>9250.1329999999998</v>
      </c>
    </row>
    <row r="328" spans="3:5" x14ac:dyDescent="0.35">
      <c r="C328" s="1" t="s">
        <v>1846</v>
      </c>
      <c r="D328" s="1" t="s">
        <v>20</v>
      </c>
      <c r="E328" s="250">
        <v>9250.134</v>
      </c>
    </row>
    <row r="329" spans="3:5" x14ac:dyDescent="0.35">
      <c r="C329" s="1" t="s">
        <v>1845</v>
      </c>
      <c r="D329" s="1" t="s">
        <v>20</v>
      </c>
      <c r="E329" s="250">
        <v>9250.1350000000002</v>
      </c>
    </row>
    <row r="330" spans="3:5" x14ac:dyDescent="0.35">
      <c r="C330" s="1" t="s">
        <v>1844</v>
      </c>
      <c r="D330" s="1" t="s">
        <v>20</v>
      </c>
      <c r="E330" s="250">
        <v>9250.1360000000004</v>
      </c>
    </row>
    <row r="331" spans="3:5" x14ac:dyDescent="0.35">
      <c r="C331" s="1" t="s">
        <v>1843</v>
      </c>
      <c r="D331" s="1" t="s">
        <v>20</v>
      </c>
      <c r="E331" s="250">
        <v>9250.15</v>
      </c>
    </row>
    <row r="332" spans="3:5" x14ac:dyDescent="0.35">
      <c r="C332" s="1" t="s">
        <v>1842</v>
      </c>
      <c r="D332" s="1" t="s">
        <v>20</v>
      </c>
      <c r="E332" s="250">
        <v>9250.1509999999998</v>
      </c>
    </row>
    <row r="333" spans="3:5" x14ac:dyDescent="0.35">
      <c r="C333" s="1" t="s">
        <v>1841</v>
      </c>
      <c r="D333" s="1" t="s">
        <v>20</v>
      </c>
      <c r="E333" s="250">
        <v>9250.1550000000007</v>
      </c>
    </row>
    <row r="334" spans="3:5" x14ac:dyDescent="0.35">
      <c r="C334" s="1" t="s">
        <v>1840</v>
      </c>
      <c r="D334" s="1" t="s">
        <v>20</v>
      </c>
      <c r="E334" s="250">
        <v>9250.16</v>
      </c>
    </row>
    <row r="335" spans="3:5" x14ac:dyDescent="0.35">
      <c r="C335" s="1" t="s">
        <v>1839</v>
      </c>
      <c r="D335" s="1" t="s">
        <v>20</v>
      </c>
      <c r="E335" s="250">
        <v>9250.17</v>
      </c>
    </row>
    <row r="336" spans="3:5" x14ac:dyDescent="0.35">
      <c r="C336" s="1" t="s">
        <v>1838</v>
      </c>
      <c r="D336" s="1" t="s">
        <v>20</v>
      </c>
      <c r="E336" s="250">
        <v>9250.1749999999993</v>
      </c>
    </row>
    <row r="337" spans="3:5" x14ac:dyDescent="0.35">
      <c r="C337" s="1" t="s">
        <v>1837</v>
      </c>
      <c r="D337" s="1" t="s">
        <v>20</v>
      </c>
      <c r="E337" s="250">
        <v>9250.1769999999997</v>
      </c>
    </row>
    <row r="338" spans="3:5" x14ac:dyDescent="0.35">
      <c r="C338" s="1" t="s">
        <v>1828</v>
      </c>
      <c r="D338" s="1" t="s">
        <v>20</v>
      </c>
      <c r="E338" s="250">
        <v>9250.2009999999991</v>
      </c>
    </row>
    <row r="339" spans="3:5" x14ac:dyDescent="0.35">
      <c r="C339" s="1" t="s">
        <v>1836</v>
      </c>
      <c r="D339" s="1" t="s">
        <v>20</v>
      </c>
      <c r="E339" s="250">
        <v>9250.2019999999993</v>
      </c>
    </row>
    <row r="340" spans="3:5" x14ac:dyDescent="0.35">
      <c r="C340" s="1" t="s">
        <v>1835</v>
      </c>
      <c r="D340" s="1" t="s">
        <v>19</v>
      </c>
      <c r="E340" s="250">
        <v>9250.2029999999995</v>
      </c>
    </row>
    <row r="341" spans="3:5" x14ac:dyDescent="0.35">
      <c r="C341" s="1" t="s">
        <v>1834</v>
      </c>
      <c r="D341" s="1" t="s">
        <v>20</v>
      </c>
      <c r="E341" s="250">
        <v>9250.2999999999993</v>
      </c>
    </row>
    <row r="342" spans="3:5" x14ac:dyDescent="0.35">
      <c r="C342" s="1" t="s">
        <v>1833</v>
      </c>
      <c r="D342" s="1" t="s">
        <v>20</v>
      </c>
      <c r="E342" s="250">
        <v>9250.31</v>
      </c>
    </row>
    <row r="343" spans="3:5" x14ac:dyDescent="0.35">
      <c r="C343" s="1" t="s">
        <v>1832</v>
      </c>
      <c r="D343" s="1" t="s">
        <v>20</v>
      </c>
      <c r="E343" s="250">
        <v>9250.3109999999997</v>
      </c>
    </row>
    <row r="344" spans="3:5" x14ac:dyDescent="0.35">
      <c r="C344" s="1" t="s">
        <v>1831</v>
      </c>
      <c r="D344" s="1" t="s">
        <v>20</v>
      </c>
      <c r="E344" s="250">
        <v>9250.3119999999999</v>
      </c>
    </row>
    <row r="345" spans="3:5" x14ac:dyDescent="0.35">
      <c r="C345" s="1" t="s">
        <v>1830</v>
      </c>
      <c r="D345" s="1" t="s">
        <v>20</v>
      </c>
      <c r="E345" s="250">
        <v>9250.3150000000005</v>
      </c>
    </row>
    <row r="346" spans="3:5" x14ac:dyDescent="0.35">
      <c r="C346" s="1" t="s">
        <v>1829</v>
      </c>
      <c r="D346" s="1" t="s">
        <v>20</v>
      </c>
      <c r="E346" s="250">
        <v>9250.35</v>
      </c>
    </row>
    <row r="347" spans="3:5" x14ac:dyDescent="0.35">
      <c r="C347" s="1" t="s">
        <v>1828</v>
      </c>
      <c r="D347" s="1" t="s">
        <v>20</v>
      </c>
      <c r="E347" s="250">
        <v>9250.36</v>
      </c>
    </row>
    <row r="348" spans="3:5" x14ac:dyDescent="0.35">
      <c r="C348" s="1" t="s">
        <v>1827</v>
      </c>
      <c r="D348" s="1" t="s">
        <v>20</v>
      </c>
      <c r="E348" s="250">
        <v>9250.3610000000008</v>
      </c>
    </row>
    <row r="349" spans="3:5" x14ac:dyDescent="0.35">
      <c r="C349" s="1" t="s">
        <v>1826</v>
      </c>
      <c r="D349" s="1" t="s">
        <v>67</v>
      </c>
      <c r="E349" s="250">
        <v>9250.4009999999998</v>
      </c>
    </row>
    <row r="350" spans="3:5" x14ac:dyDescent="0.35">
      <c r="C350" s="1" t="s">
        <v>1825</v>
      </c>
      <c r="D350" s="1" t="s">
        <v>67</v>
      </c>
      <c r="E350" s="250">
        <v>9250.402</v>
      </c>
    </row>
    <row r="351" spans="3:5" x14ac:dyDescent="0.35">
      <c r="C351" s="1" t="s">
        <v>1824</v>
      </c>
      <c r="D351" s="1" t="s">
        <v>67</v>
      </c>
      <c r="E351" s="250">
        <v>9250.4030000000002</v>
      </c>
    </row>
    <row r="352" spans="3:5" x14ac:dyDescent="0.35">
      <c r="C352" s="1" t="s">
        <v>1823</v>
      </c>
      <c r="D352" s="1" t="s">
        <v>67</v>
      </c>
      <c r="E352" s="250">
        <v>9250.4040000000005</v>
      </c>
    </row>
    <row r="353" spans="3:5" x14ac:dyDescent="0.35">
      <c r="C353" s="1" t="s">
        <v>1822</v>
      </c>
      <c r="D353" s="1" t="s">
        <v>67</v>
      </c>
      <c r="E353" s="250">
        <v>9250.4050000000007</v>
      </c>
    </row>
    <row r="354" spans="3:5" x14ac:dyDescent="0.35">
      <c r="C354" s="1" t="s">
        <v>1821</v>
      </c>
      <c r="D354" s="1" t="s">
        <v>67</v>
      </c>
      <c r="E354" s="250">
        <v>9250.4060000000009</v>
      </c>
    </row>
    <row r="355" spans="3:5" x14ac:dyDescent="0.35">
      <c r="C355" s="1" t="s">
        <v>1820</v>
      </c>
      <c r="D355" s="1" t="s">
        <v>67</v>
      </c>
      <c r="E355" s="250">
        <v>9250.41</v>
      </c>
    </row>
    <row r="356" spans="3:5" x14ac:dyDescent="0.35">
      <c r="C356" s="1" t="s">
        <v>1819</v>
      </c>
      <c r="D356" s="1" t="s">
        <v>67</v>
      </c>
      <c r="E356" s="250">
        <v>9250.4110000000001</v>
      </c>
    </row>
    <row r="357" spans="3:5" x14ac:dyDescent="0.35">
      <c r="C357" s="1" t="s">
        <v>1818</v>
      </c>
      <c r="D357" s="1" t="s">
        <v>67</v>
      </c>
      <c r="E357" s="250">
        <v>9250.4120000000003</v>
      </c>
    </row>
    <row r="358" spans="3:5" x14ac:dyDescent="0.35">
      <c r="C358" s="1" t="s">
        <v>1817</v>
      </c>
      <c r="D358" s="1" t="s">
        <v>67</v>
      </c>
      <c r="E358" s="250">
        <v>9250.4130000000005</v>
      </c>
    </row>
    <row r="359" spans="3:5" x14ac:dyDescent="0.35">
      <c r="C359" s="1" t="s">
        <v>1816</v>
      </c>
      <c r="D359" s="1" t="s">
        <v>67</v>
      </c>
      <c r="E359" s="250">
        <v>9250.4140000000007</v>
      </c>
    </row>
    <row r="360" spans="3:5" x14ac:dyDescent="0.35">
      <c r="C360" s="1" t="s">
        <v>1815</v>
      </c>
      <c r="D360" s="1" t="s">
        <v>67</v>
      </c>
      <c r="E360" s="250">
        <v>9250.4150000000009</v>
      </c>
    </row>
    <row r="361" spans="3:5" x14ac:dyDescent="0.35">
      <c r="C361" s="1" t="s">
        <v>1814</v>
      </c>
      <c r="D361" s="1" t="s">
        <v>20</v>
      </c>
      <c r="E361" s="250">
        <v>9250.4159999999993</v>
      </c>
    </row>
    <row r="362" spans="3:5" x14ac:dyDescent="0.35">
      <c r="C362" s="1" t="s">
        <v>1813</v>
      </c>
      <c r="D362" s="1" t="s">
        <v>20</v>
      </c>
      <c r="E362" s="250">
        <v>9250.4169999999995</v>
      </c>
    </row>
    <row r="363" spans="3:5" x14ac:dyDescent="0.35">
      <c r="C363" s="1" t="s">
        <v>1812</v>
      </c>
      <c r="D363" s="1" t="s">
        <v>20</v>
      </c>
      <c r="E363" s="250">
        <v>9250.4179999999997</v>
      </c>
    </row>
    <row r="364" spans="3:5" x14ac:dyDescent="0.35">
      <c r="C364" s="1" t="s">
        <v>1811</v>
      </c>
      <c r="D364" s="1" t="s">
        <v>20</v>
      </c>
      <c r="E364" s="250">
        <v>9250.42</v>
      </c>
    </row>
    <row r="365" spans="3:5" x14ac:dyDescent="0.35">
      <c r="C365" s="1" t="s">
        <v>1810</v>
      </c>
      <c r="D365" s="1" t="s">
        <v>20</v>
      </c>
      <c r="E365" s="250">
        <v>9250.4220000000005</v>
      </c>
    </row>
    <row r="366" spans="3:5" x14ac:dyDescent="0.35">
      <c r="C366" s="1" t="s">
        <v>1809</v>
      </c>
      <c r="D366" s="1" t="s">
        <v>20</v>
      </c>
      <c r="E366" s="250">
        <v>9250.4240000000009</v>
      </c>
    </row>
    <row r="367" spans="3:5" x14ac:dyDescent="0.35">
      <c r="C367" s="1" t="s">
        <v>1808</v>
      </c>
      <c r="D367" s="1" t="s">
        <v>20</v>
      </c>
      <c r="E367" s="250">
        <v>9250.43</v>
      </c>
    </row>
    <row r="368" spans="3:5" x14ac:dyDescent="0.35">
      <c r="C368" s="1" t="s">
        <v>1807</v>
      </c>
      <c r="D368" s="1" t="s">
        <v>20</v>
      </c>
      <c r="E368" s="250">
        <v>9250.4320000000007</v>
      </c>
    </row>
    <row r="369" spans="3:5" x14ac:dyDescent="0.35">
      <c r="C369" s="1" t="s">
        <v>1806</v>
      </c>
      <c r="D369" s="1" t="s">
        <v>20</v>
      </c>
      <c r="E369" s="250">
        <v>9250.4339999999993</v>
      </c>
    </row>
    <row r="370" spans="3:5" x14ac:dyDescent="0.35">
      <c r="C370" s="1" t="s">
        <v>1805</v>
      </c>
      <c r="D370" s="1" t="s">
        <v>20</v>
      </c>
      <c r="E370" s="250">
        <v>9250.4359999999997</v>
      </c>
    </row>
    <row r="371" spans="3:5" x14ac:dyDescent="0.35">
      <c r="C371" s="1" t="s">
        <v>1804</v>
      </c>
      <c r="D371" s="1" t="s">
        <v>20</v>
      </c>
      <c r="E371" s="250">
        <v>9250.4380000000001</v>
      </c>
    </row>
    <row r="372" spans="3:5" x14ac:dyDescent="0.35">
      <c r="C372" s="1" t="s">
        <v>1803</v>
      </c>
      <c r="D372" s="1" t="s">
        <v>66</v>
      </c>
      <c r="E372" s="250">
        <v>9250.5</v>
      </c>
    </row>
    <row r="373" spans="3:5" x14ac:dyDescent="0.35">
      <c r="C373" s="1" t="s">
        <v>1802</v>
      </c>
      <c r="D373" s="1" t="s">
        <v>20</v>
      </c>
      <c r="E373" s="250">
        <v>9250.52</v>
      </c>
    </row>
    <row r="374" spans="3:5" x14ac:dyDescent="0.35">
      <c r="C374" s="1" t="s">
        <v>1801</v>
      </c>
      <c r="D374" s="1" t="s">
        <v>20</v>
      </c>
      <c r="E374" s="250">
        <v>9250.5249999999996</v>
      </c>
    </row>
    <row r="375" spans="3:5" x14ac:dyDescent="0.35">
      <c r="C375" s="1" t="s">
        <v>1800</v>
      </c>
      <c r="D375" s="1" t="s">
        <v>20</v>
      </c>
      <c r="E375" s="250">
        <v>9250.5499999999993</v>
      </c>
    </row>
    <row r="376" spans="3:5" x14ac:dyDescent="0.35">
      <c r="C376" s="1" t="s">
        <v>1799</v>
      </c>
      <c r="D376" s="1" t="s">
        <v>20</v>
      </c>
      <c r="E376" s="250">
        <v>9250.5509999999995</v>
      </c>
    </row>
    <row r="377" spans="3:5" x14ac:dyDescent="0.35">
      <c r="C377" s="1" t="s">
        <v>1798</v>
      </c>
      <c r="D377" s="1" t="s">
        <v>18</v>
      </c>
      <c r="E377" s="250">
        <v>9250.6010000000006</v>
      </c>
    </row>
    <row r="378" spans="3:5" x14ac:dyDescent="0.35">
      <c r="C378" s="1" t="s">
        <v>1797</v>
      </c>
      <c r="D378" s="1" t="s">
        <v>18</v>
      </c>
      <c r="E378" s="250">
        <v>9250.61</v>
      </c>
    </row>
    <row r="379" spans="3:5" x14ac:dyDescent="0.35">
      <c r="C379" s="1" t="s">
        <v>1796</v>
      </c>
      <c r="D379" s="1" t="s">
        <v>18</v>
      </c>
      <c r="E379" s="250">
        <v>9250.6209999999992</v>
      </c>
    </row>
    <row r="380" spans="3:5" x14ac:dyDescent="0.35">
      <c r="C380" s="1" t="s">
        <v>1795</v>
      </c>
      <c r="D380" s="1" t="s">
        <v>18</v>
      </c>
      <c r="E380" s="250">
        <v>9250.6219999999994</v>
      </c>
    </row>
    <row r="381" spans="3:5" x14ac:dyDescent="0.35">
      <c r="C381" s="1" t="s">
        <v>1794</v>
      </c>
      <c r="D381" s="1" t="s">
        <v>18</v>
      </c>
      <c r="E381" s="250">
        <v>9250.6290000000008</v>
      </c>
    </row>
    <row r="382" spans="3:5" x14ac:dyDescent="0.35">
      <c r="C382" s="1" t="s">
        <v>1793</v>
      </c>
      <c r="D382" s="1" t="s">
        <v>18</v>
      </c>
      <c r="E382" s="250">
        <v>9250.6299999999992</v>
      </c>
    </row>
    <row r="383" spans="3:5" x14ac:dyDescent="0.35">
      <c r="C383" s="1" t="s">
        <v>1792</v>
      </c>
      <c r="D383" s="1" t="s">
        <v>18</v>
      </c>
      <c r="E383" s="250">
        <v>9250.6319999999996</v>
      </c>
    </row>
    <row r="384" spans="3:5" x14ac:dyDescent="0.35">
      <c r="C384" s="1" t="s">
        <v>1791</v>
      </c>
      <c r="D384" s="1" t="s">
        <v>18</v>
      </c>
      <c r="E384" s="250">
        <v>9250.634</v>
      </c>
    </row>
    <row r="385" spans="3:5" x14ac:dyDescent="0.35">
      <c r="C385" s="1" t="s">
        <v>1790</v>
      </c>
      <c r="D385" s="1" t="s">
        <v>20</v>
      </c>
      <c r="E385" s="250">
        <v>9250.64</v>
      </c>
    </row>
    <row r="386" spans="3:5" x14ac:dyDescent="0.35">
      <c r="C386" s="1" t="s">
        <v>1789</v>
      </c>
      <c r="D386" s="1" t="s">
        <v>20</v>
      </c>
      <c r="E386" s="250">
        <v>9250.65</v>
      </c>
    </row>
    <row r="387" spans="3:5" x14ac:dyDescent="0.35">
      <c r="C387" s="1" t="s">
        <v>1788</v>
      </c>
      <c r="D387" s="1" t="s">
        <v>20</v>
      </c>
      <c r="E387" s="250">
        <v>9250.6550000000007</v>
      </c>
    </row>
    <row r="388" spans="3:5" x14ac:dyDescent="0.35">
      <c r="C388" s="1" t="s">
        <v>1787</v>
      </c>
      <c r="D388" s="1" t="s">
        <v>20</v>
      </c>
      <c r="E388" s="250">
        <v>9250.66</v>
      </c>
    </row>
    <row r="389" spans="3:5" x14ac:dyDescent="0.35">
      <c r="C389" s="1" t="s">
        <v>1786</v>
      </c>
      <c r="D389" s="1" t="s">
        <v>19</v>
      </c>
      <c r="E389" s="250">
        <v>9250.6610000000001</v>
      </c>
    </row>
    <row r="390" spans="3:5" x14ac:dyDescent="0.35">
      <c r="C390" s="1" t="s">
        <v>1785</v>
      </c>
      <c r="D390" s="1" t="s">
        <v>19</v>
      </c>
      <c r="E390" s="250">
        <v>9250.6620000000003</v>
      </c>
    </row>
    <row r="391" spans="3:5" x14ac:dyDescent="0.35">
      <c r="C391" s="1" t="s">
        <v>1784</v>
      </c>
      <c r="D391" s="1" t="s">
        <v>19</v>
      </c>
      <c r="E391" s="250">
        <v>9250.67</v>
      </c>
    </row>
    <row r="392" spans="3:5" x14ac:dyDescent="0.35">
      <c r="C392" s="1" t="s">
        <v>1783</v>
      </c>
      <c r="D392" s="1" t="s">
        <v>20</v>
      </c>
      <c r="E392" s="250">
        <v>9250.6749999999993</v>
      </c>
    </row>
    <row r="393" spans="3:5" x14ac:dyDescent="0.35">
      <c r="C393" s="1" t="s">
        <v>1782</v>
      </c>
      <c r="D393" s="1" t="s">
        <v>20</v>
      </c>
      <c r="E393" s="250">
        <v>9250.68</v>
      </c>
    </row>
    <row r="394" spans="3:5" x14ac:dyDescent="0.35">
      <c r="C394" s="1" t="s">
        <v>1781</v>
      </c>
      <c r="D394" s="1" t="s">
        <v>20</v>
      </c>
      <c r="E394" s="250">
        <v>9250.69</v>
      </c>
    </row>
    <row r="395" spans="3:5" x14ac:dyDescent="0.35">
      <c r="C395" s="1" t="s">
        <v>1780</v>
      </c>
      <c r="D395" s="1" t="s">
        <v>20</v>
      </c>
      <c r="E395" s="250">
        <v>9250.6949999999997</v>
      </c>
    </row>
    <row r="396" spans="3:5" x14ac:dyDescent="0.35">
      <c r="C396" s="1" t="s">
        <v>1779</v>
      </c>
      <c r="D396" s="1" t="s">
        <v>20</v>
      </c>
      <c r="E396" s="250">
        <v>9250.7009999999991</v>
      </c>
    </row>
    <row r="397" spans="3:5" x14ac:dyDescent="0.35">
      <c r="C397" s="1" t="s">
        <v>1778</v>
      </c>
      <c r="D397" s="1" t="s">
        <v>20</v>
      </c>
      <c r="E397" s="250">
        <v>9250.7049999999999</v>
      </c>
    </row>
    <row r="398" spans="3:5" x14ac:dyDescent="0.35">
      <c r="C398" s="1" t="s">
        <v>1777</v>
      </c>
      <c r="D398" s="1" t="s">
        <v>20</v>
      </c>
      <c r="E398" s="250">
        <v>9250.7099999999991</v>
      </c>
    </row>
    <row r="399" spans="3:5" x14ac:dyDescent="0.35">
      <c r="C399" s="1" t="s">
        <v>1776</v>
      </c>
      <c r="D399" s="1" t="s">
        <v>62</v>
      </c>
      <c r="E399" s="250">
        <v>9250.7990000000009</v>
      </c>
    </row>
    <row r="400" spans="3:5" x14ac:dyDescent="0.35">
      <c r="C400" s="1" t="s">
        <v>1776</v>
      </c>
      <c r="D400" s="1" t="s">
        <v>19</v>
      </c>
      <c r="E400" s="250">
        <v>9250.7999999999993</v>
      </c>
    </row>
    <row r="401" spans="3:5" x14ac:dyDescent="0.35">
      <c r="C401" s="1" t="s">
        <v>1775</v>
      </c>
      <c r="D401" s="1" t="s">
        <v>621</v>
      </c>
      <c r="E401" s="250">
        <v>9250.8009999999995</v>
      </c>
    </row>
    <row r="402" spans="3:5" x14ac:dyDescent="0.35">
      <c r="C402" s="1" t="s">
        <v>1774</v>
      </c>
      <c r="D402" s="1" t="s">
        <v>20</v>
      </c>
      <c r="E402" s="250">
        <v>9250.9009999999998</v>
      </c>
    </row>
    <row r="403" spans="3:5" x14ac:dyDescent="0.35">
      <c r="C403" s="1" t="s">
        <v>1773</v>
      </c>
      <c r="D403" s="1" t="s">
        <v>20</v>
      </c>
      <c r="E403" s="250">
        <v>9250.902</v>
      </c>
    </row>
    <row r="404" spans="3:5" x14ac:dyDescent="0.35">
      <c r="C404" s="1" t="s">
        <v>1772</v>
      </c>
      <c r="D404" s="1" t="s">
        <v>20</v>
      </c>
      <c r="E404" s="250">
        <v>9250.9030000000002</v>
      </c>
    </row>
    <row r="405" spans="3:5" x14ac:dyDescent="0.35">
      <c r="C405" s="1" t="s">
        <v>1771</v>
      </c>
      <c r="D405" s="1" t="s">
        <v>20</v>
      </c>
      <c r="E405" s="250">
        <v>9260.0110000000004</v>
      </c>
    </row>
    <row r="406" spans="3:5" x14ac:dyDescent="0.35">
      <c r="C406" s="1" t="s">
        <v>1770</v>
      </c>
      <c r="D406" s="1" t="s">
        <v>20</v>
      </c>
      <c r="E406" s="250">
        <v>9260.0120000000006</v>
      </c>
    </row>
    <row r="407" spans="3:5" x14ac:dyDescent="0.35">
      <c r="C407" s="1" t="s">
        <v>1769</v>
      </c>
      <c r="D407" s="1" t="s">
        <v>20</v>
      </c>
      <c r="E407" s="250">
        <v>9260.0300000000007</v>
      </c>
    </row>
    <row r="408" spans="3:5" x14ac:dyDescent="0.35">
      <c r="C408" s="1" t="s">
        <v>1768</v>
      </c>
      <c r="D408" s="1" t="s">
        <v>20</v>
      </c>
      <c r="E408" s="250">
        <v>9260.0310000000009</v>
      </c>
    </row>
    <row r="409" spans="3:5" x14ac:dyDescent="0.35">
      <c r="C409" s="1" t="s">
        <v>1767</v>
      </c>
      <c r="D409" s="1" t="s">
        <v>20</v>
      </c>
      <c r="E409" s="250">
        <v>9260.0319999999992</v>
      </c>
    </row>
    <row r="410" spans="3:5" x14ac:dyDescent="0.35">
      <c r="C410" s="1" t="s">
        <v>1766</v>
      </c>
      <c r="D410" s="1" t="s">
        <v>20</v>
      </c>
      <c r="E410" s="250">
        <v>9260.0329999999994</v>
      </c>
    </row>
    <row r="411" spans="3:5" x14ac:dyDescent="0.35">
      <c r="C411" s="1" t="s">
        <v>1765</v>
      </c>
      <c r="D411" s="1" t="s">
        <v>20</v>
      </c>
      <c r="E411" s="250">
        <v>9260.0339999999997</v>
      </c>
    </row>
    <row r="412" spans="3:5" x14ac:dyDescent="0.35">
      <c r="C412" s="1" t="s">
        <v>1764</v>
      </c>
      <c r="D412" s="1" t="s">
        <v>20</v>
      </c>
      <c r="E412" s="250">
        <v>9260.0400000000009</v>
      </c>
    </row>
    <row r="413" spans="3:5" x14ac:dyDescent="0.35">
      <c r="C413" s="1" t="s">
        <v>1763</v>
      </c>
      <c r="D413" s="1" t="s">
        <v>20</v>
      </c>
      <c r="E413" s="250">
        <v>9260.0450000000001</v>
      </c>
    </row>
    <row r="414" spans="3:5" x14ac:dyDescent="0.35">
      <c r="C414" s="1" t="s">
        <v>1762</v>
      </c>
      <c r="D414" s="1" t="s">
        <v>19</v>
      </c>
      <c r="E414" s="250">
        <v>9260.0499999999993</v>
      </c>
    </row>
    <row r="415" spans="3:5" x14ac:dyDescent="0.35">
      <c r="C415" s="1" t="s">
        <v>1761</v>
      </c>
      <c r="D415" s="1" t="s">
        <v>20</v>
      </c>
      <c r="E415" s="250">
        <v>9260.0609999999997</v>
      </c>
    </row>
    <row r="416" spans="3:5" x14ac:dyDescent="0.35">
      <c r="C416" s="1" t="s">
        <v>1760</v>
      </c>
      <c r="D416" s="1" t="s">
        <v>20</v>
      </c>
      <c r="E416" s="250">
        <v>9260.9</v>
      </c>
    </row>
    <row r="417" spans="3:5" x14ac:dyDescent="0.35">
      <c r="C417" s="1" t="s">
        <v>1759</v>
      </c>
      <c r="D417" s="1" t="s">
        <v>20</v>
      </c>
      <c r="E417" s="250">
        <v>9260.9009999999998</v>
      </c>
    </row>
    <row r="418" spans="3:5" x14ac:dyDescent="0.35">
      <c r="C418" s="1" t="s">
        <v>1758</v>
      </c>
      <c r="D418" s="1" t="s">
        <v>19</v>
      </c>
      <c r="E418" s="250">
        <v>9270.0110000000004</v>
      </c>
    </row>
    <row r="419" spans="3:5" x14ac:dyDescent="0.35">
      <c r="C419" s="1" t="s">
        <v>1758</v>
      </c>
      <c r="D419" s="1" t="s">
        <v>19</v>
      </c>
      <c r="E419" s="250">
        <v>9270.0149999999994</v>
      </c>
    </row>
    <row r="420" spans="3:5" x14ac:dyDescent="0.35">
      <c r="C420" s="1" t="s">
        <v>1757</v>
      </c>
      <c r="D420" s="1" t="s">
        <v>18</v>
      </c>
      <c r="E420" s="250">
        <v>9270.02</v>
      </c>
    </row>
    <row r="421" spans="3:5" x14ac:dyDescent="0.35">
      <c r="C421" s="1" t="s">
        <v>1756</v>
      </c>
      <c r="D421" s="1" t="s">
        <v>18</v>
      </c>
      <c r="E421" s="250">
        <v>9270.0210000000006</v>
      </c>
    </row>
    <row r="422" spans="3:5" x14ac:dyDescent="0.35">
      <c r="C422" s="1" t="s">
        <v>1755</v>
      </c>
      <c r="D422" s="1" t="s">
        <v>18</v>
      </c>
      <c r="E422" s="250">
        <v>9270.0220000000008</v>
      </c>
    </row>
    <row r="423" spans="3:5" x14ac:dyDescent="0.35">
      <c r="C423" s="1" t="s">
        <v>1754</v>
      </c>
      <c r="D423" s="1" t="s">
        <v>18</v>
      </c>
      <c r="E423" s="250">
        <v>9270.0229999999992</v>
      </c>
    </row>
    <row r="424" spans="3:5" x14ac:dyDescent="0.35">
      <c r="C424" s="1" t="s">
        <v>1753</v>
      </c>
      <c r="D424" s="1" t="s">
        <v>18</v>
      </c>
      <c r="E424" s="250">
        <v>9270.0239999999994</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AED8EEA8-BEBE-4719-A882-F55A1D747B0C}">
      <formula1>$C$205:$C207</formula1>
    </dataValidation>
  </dataValidations>
  <hyperlinks>
    <hyperlink ref="D3" r:id="rId1" display="datamateapp@gmail.com" xr:uid="{6A31F1E8-6170-48CB-BBAB-FBC946F9C0D0}"/>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66286" r:id="rId4" name="Button 14">
              <controlPr defaultSize="0" print="0" autoFill="0" autoPict="0" macro="[0]!ExitSEC_092000">
                <anchor moveWithCells="1" sizeWithCells="1">
                  <from>
                    <xdr:col>16</xdr:col>
                    <xdr:colOff>209550</xdr:colOff>
                    <xdr:row>0</xdr:row>
                    <xdr:rowOff>0</xdr:rowOff>
                  </from>
                  <to>
                    <xdr:col>16</xdr:col>
                    <xdr:colOff>1479550</xdr:colOff>
                    <xdr:row>2</xdr:row>
                    <xdr:rowOff>12700</xdr:rowOff>
                  </to>
                </anchor>
              </controlPr>
            </control>
          </mc:Choice>
        </mc:AlternateContent>
        <mc:AlternateContent xmlns:mc="http://schemas.openxmlformats.org/markup-compatibility/2006">
          <mc:Choice Requires="x14">
            <control shapeId="566296" r:id="rId5" name="Button 24">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566297" r:id="rId6" name="Button 25">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566298" r:id="rId7" name="Button 26">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566299" r:id="rId8" name="Button 27">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566300" r:id="rId9" name="Button 28">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566301" r:id="rId10" name="Button 29">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566302" r:id="rId11" name="Button 30">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566303" r:id="rId12" name="Button 31">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1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6E8E5-268C-49B9-A084-5346757F0DBE}">
  <sheetPr codeName="Sheet123"/>
  <dimension ref="A1:Q247"/>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TILING</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09 30 00</v>
      </c>
      <c r="C10" s="24" t="str">
        <f>C206</f>
        <v>TILING</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TILING</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14596</v>
      </c>
      <c r="C206" s="251" t="s">
        <v>14597</v>
      </c>
      <c r="D206" s="1"/>
      <c r="E206" s="1"/>
      <c r="F206" s="1"/>
      <c r="G206" s="1"/>
      <c r="H206" s="1"/>
      <c r="I206" s="1"/>
      <c r="J206" s="1"/>
      <c r="K206" s="1"/>
      <c r="L206" s="1"/>
      <c r="M206" s="1"/>
      <c r="N206" s="1"/>
      <c r="O206" s="1"/>
      <c r="P206" s="1"/>
      <c r="Q206" s="1"/>
    </row>
    <row r="207" spans="2:17" x14ac:dyDescent="0.35">
      <c r="B207" s="49" t="s">
        <v>14598</v>
      </c>
      <c r="C207" s="53" t="s">
        <v>14599</v>
      </c>
      <c r="D207" s="1"/>
      <c r="E207" s="1"/>
      <c r="F207" s="1"/>
      <c r="G207" s="1"/>
      <c r="H207" s="1"/>
      <c r="I207" s="1"/>
      <c r="J207" s="1"/>
      <c r="K207" s="1"/>
      <c r="L207" s="1"/>
      <c r="M207" s="1"/>
      <c r="N207" s="1"/>
      <c r="O207" s="1"/>
      <c r="P207" s="1"/>
      <c r="Q207" s="1"/>
    </row>
    <row r="208" spans="2:17" x14ac:dyDescent="0.35">
      <c r="B208" s="49" t="s">
        <v>14600</v>
      </c>
      <c r="C208" s="53" t="s">
        <v>14601</v>
      </c>
    </row>
    <row r="209" spans="2:5" x14ac:dyDescent="0.35">
      <c r="B209" s="49" t="s">
        <v>14602</v>
      </c>
      <c r="C209" s="53" t="s">
        <v>14603</v>
      </c>
    </row>
    <row r="210" spans="2:5" x14ac:dyDescent="0.35">
      <c r="B210" s="49" t="s">
        <v>14604</v>
      </c>
      <c r="C210" s="53" t="s">
        <v>14605</v>
      </c>
    </row>
    <row r="211" spans="2:5" x14ac:dyDescent="0.35">
      <c r="B211" s="49" t="s">
        <v>14606</v>
      </c>
      <c r="C211" s="53" t="s">
        <v>14607</v>
      </c>
    </row>
    <row r="212" spans="2:5" x14ac:dyDescent="0.35">
      <c r="C212" s="1" t="s">
        <v>1752</v>
      </c>
      <c r="D212" s="1" t="s">
        <v>621</v>
      </c>
      <c r="E212" s="250">
        <v>9304.9110000000001</v>
      </c>
    </row>
    <row r="213" spans="2:5" x14ac:dyDescent="0.35">
      <c r="C213" s="1" t="s">
        <v>1751</v>
      </c>
      <c r="D213" s="1" t="s">
        <v>18</v>
      </c>
      <c r="E213" s="250">
        <v>9305.1</v>
      </c>
    </row>
    <row r="214" spans="2:5" x14ac:dyDescent="0.35">
      <c r="C214" s="1" t="s">
        <v>1750</v>
      </c>
      <c r="D214" s="1" t="s">
        <v>18</v>
      </c>
      <c r="E214" s="250">
        <v>9305.1010000000006</v>
      </c>
    </row>
    <row r="215" spans="2:5" x14ac:dyDescent="0.35">
      <c r="C215" s="1" t="s">
        <v>1749</v>
      </c>
      <c r="D215" s="1" t="s">
        <v>18</v>
      </c>
      <c r="E215" s="250">
        <v>9305.1020000000008</v>
      </c>
    </row>
    <row r="216" spans="2:5" x14ac:dyDescent="0.35">
      <c r="C216" s="1" t="s">
        <v>1748</v>
      </c>
      <c r="D216" s="1" t="s">
        <v>18</v>
      </c>
      <c r="E216" s="250">
        <v>9305.1029999999992</v>
      </c>
    </row>
    <row r="217" spans="2:5" x14ac:dyDescent="0.35">
      <c r="C217" s="1" t="s">
        <v>1747</v>
      </c>
      <c r="D217" s="1" t="s">
        <v>18</v>
      </c>
      <c r="E217" s="250">
        <v>9305.1039999999994</v>
      </c>
    </row>
    <row r="218" spans="2:5" x14ac:dyDescent="0.35">
      <c r="C218" s="1" t="s">
        <v>1746</v>
      </c>
      <c r="D218" s="1" t="s">
        <v>18</v>
      </c>
      <c r="E218" s="250">
        <v>9305.11</v>
      </c>
    </row>
    <row r="219" spans="2:5" x14ac:dyDescent="0.35">
      <c r="C219" s="1" t="s">
        <v>1745</v>
      </c>
      <c r="D219" s="1" t="s">
        <v>18</v>
      </c>
      <c r="E219" s="250">
        <v>9305.1110000000008</v>
      </c>
    </row>
    <row r="220" spans="2:5" x14ac:dyDescent="0.35">
      <c r="C220" s="1" t="s">
        <v>1744</v>
      </c>
      <c r="D220" s="1" t="s">
        <v>18</v>
      </c>
      <c r="E220" s="250">
        <v>9305.1119999999992</v>
      </c>
    </row>
    <row r="221" spans="2:5" x14ac:dyDescent="0.35">
      <c r="C221" s="1" t="s">
        <v>1743</v>
      </c>
      <c r="D221" s="1" t="s">
        <v>18</v>
      </c>
      <c r="E221" s="250">
        <v>9305.1129999999994</v>
      </c>
    </row>
    <row r="222" spans="2:5" x14ac:dyDescent="0.35">
      <c r="C222" s="1" t="s">
        <v>1738</v>
      </c>
      <c r="D222" s="1" t="s">
        <v>18</v>
      </c>
      <c r="E222" s="250">
        <v>9305.1139999999996</v>
      </c>
    </row>
    <row r="223" spans="2:5" x14ac:dyDescent="0.35">
      <c r="C223" s="1" t="s">
        <v>1742</v>
      </c>
      <c r="D223" s="1" t="s">
        <v>18</v>
      </c>
      <c r="E223" s="250">
        <v>9305.1149999999998</v>
      </c>
    </row>
    <row r="224" spans="2:5" x14ac:dyDescent="0.35">
      <c r="C224" s="1" t="s">
        <v>1739</v>
      </c>
      <c r="D224" s="1" t="s">
        <v>18</v>
      </c>
      <c r="E224" s="250">
        <v>9305.116</v>
      </c>
    </row>
    <row r="225" spans="3:5" x14ac:dyDescent="0.35">
      <c r="C225" s="1" t="s">
        <v>1741</v>
      </c>
      <c r="D225" s="1" t="s">
        <v>18</v>
      </c>
      <c r="E225" s="250">
        <v>9305.1170000000002</v>
      </c>
    </row>
    <row r="226" spans="3:5" x14ac:dyDescent="0.35">
      <c r="C226" s="1" t="s">
        <v>1740</v>
      </c>
      <c r="D226" s="1" t="s">
        <v>18</v>
      </c>
      <c r="E226" s="250">
        <v>9305.1200000000008</v>
      </c>
    </row>
    <row r="227" spans="3:5" x14ac:dyDescent="0.35">
      <c r="C227" s="1" t="s">
        <v>1739</v>
      </c>
      <c r="D227" s="1" t="s">
        <v>18</v>
      </c>
      <c r="E227" s="250">
        <v>9305.1209999999992</v>
      </c>
    </row>
    <row r="228" spans="3:5" x14ac:dyDescent="0.35">
      <c r="C228" s="1" t="s">
        <v>1738</v>
      </c>
      <c r="D228" s="1" t="s">
        <v>18</v>
      </c>
      <c r="E228" s="250">
        <v>9305.1219999999994</v>
      </c>
    </row>
    <row r="229" spans="3:5" x14ac:dyDescent="0.35">
      <c r="C229" s="1" t="s">
        <v>1737</v>
      </c>
      <c r="D229" s="1" t="s">
        <v>20</v>
      </c>
      <c r="E229" s="250">
        <v>9310.1</v>
      </c>
    </row>
    <row r="230" spans="3:5" x14ac:dyDescent="0.35">
      <c r="C230" s="1" t="s">
        <v>1736</v>
      </c>
      <c r="D230" s="1" t="s">
        <v>20</v>
      </c>
      <c r="E230" s="250">
        <v>9310.1010000000006</v>
      </c>
    </row>
    <row r="231" spans="3:5" x14ac:dyDescent="0.35">
      <c r="C231" s="1" t="s">
        <v>1735</v>
      </c>
      <c r="D231" s="1" t="s">
        <v>19</v>
      </c>
      <c r="E231" s="250">
        <v>9310.11</v>
      </c>
    </row>
    <row r="232" spans="3:5" x14ac:dyDescent="0.35">
      <c r="C232" s="1" t="s">
        <v>1731</v>
      </c>
      <c r="D232" s="1" t="s">
        <v>20</v>
      </c>
      <c r="E232" s="250">
        <v>9310.1200000000008</v>
      </c>
    </row>
    <row r="233" spans="3:5" x14ac:dyDescent="0.35">
      <c r="C233" s="1" t="s">
        <v>1730</v>
      </c>
      <c r="D233" s="1" t="s">
        <v>20</v>
      </c>
      <c r="E233" s="250">
        <v>9310.1209999999992</v>
      </c>
    </row>
    <row r="234" spans="3:5" x14ac:dyDescent="0.35">
      <c r="C234" s="1" t="s">
        <v>1734</v>
      </c>
      <c r="D234" s="1" t="s">
        <v>20</v>
      </c>
      <c r="E234" s="250">
        <v>9310.1299999999992</v>
      </c>
    </row>
    <row r="235" spans="3:5" x14ac:dyDescent="0.35">
      <c r="C235" s="1" t="s">
        <v>1733</v>
      </c>
      <c r="D235" s="1" t="s">
        <v>20</v>
      </c>
      <c r="E235" s="250">
        <v>9310.1309999999994</v>
      </c>
    </row>
    <row r="236" spans="3:5" x14ac:dyDescent="0.35">
      <c r="C236" s="1" t="s">
        <v>1732</v>
      </c>
      <c r="D236" s="1" t="s">
        <v>19</v>
      </c>
      <c r="E236" s="250">
        <v>9310.1319999999996</v>
      </c>
    </row>
    <row r="237" spans="3:5" x14ac:dyDescent="0.35">
      <c r="C237" s="1" t="s">
        <v>1731</v>
      </c>
      <c r="D237" s="1" t="s">
        <v>20</v>
      </c>
      <c r="E237" s="250">
        <v>9310.1329999999998</v>
      </c>
    </row>
    <row r="238" spans="3:5" x14ac:dyDescent="0.35">
      <c r="C238" s="1" t="s">
        <v>1730</v>
      </c>
      <c r="D238" s="1" t="s">
        <v>20</v>
      </c>
      <c r="E238" s="250">
        <v>9310.134</v>
      </c>
    </row>
    <row r="239" spans="3:5" x14ac:dyDescent="0.35">
      <c r="C239" s="1" t="s">
        <v>1729</v>
      </c>
      <c r="D239" s="1" t="s">
        <v>20</v>
      </c>
      <c r="E239" s="250">
        <v>9310.14</v>
      </c>
    </row>
    <row r="240" spans="3:5" x14ac:dyDescent="0.35">
      <c r="C240" s="1" t="s">
        <v>1728</v>
      </c>
      <c r="D240" s="1" t="s">
        <v>20</v>
      </c>
      <c r="E240" s="250">
        <v>9310.1409999999996</v>
      </c>
    </row>
    <row r="241" spans="3:5" x14ac:dyDescent="0.35">
      <c r="C241" s="1" t="s">
        <v>1727</v>
      </c>
      <c r="D241" s="1" t="s">
        <v>20</v>
      </c>
      <c r="E241" s="250">
        <v>9310.15</v>
      </c>
    </row>
    <row r="242" spans="3:5" x14ac:dyDescent="0.35">
      <c r="C242" s="1" t="s">
        <v>1726</v>
      </c>
      <c r="D242" s="1" t="s">
        <v>19</v>
      </c>
      <c r="E242" s="250">
        <v>9310.1509999999998</v>
      </c>
    </row>
    <row r="243" spans="3:5" x14ac:dyDescent="0.35">
      <c r="C243" s="1" t="s">
        <v>1725</v>
      </c>
      <c r="D243" s="1" t="s">
        <v>20</v>
      </c>
      <c r="E243" s="250">
        <v>9330.01</v>
      </c>
    </row>
    <row r="244" spans="3:5" x14ac:dyDescent="0.35">
      <c r="C244" s="1" t="s">
        <v>1724</v>
      </c>
      <c r="D244" s="1" t="s">
        <v>19</v>
      </c>
      <c r="E244" s="250">
        <v>9330.0110000000004</v>
      </c>
    </row>
    <row r="245" spans="3:5" x14ac:dyDescent="0.35">
      <c r="C245" s="1" t="s">
        <v>1723</v>
      </c>
      <c r="D245" s="1" t="s">
        <v>20</v>
      </c>
      <c r="E245" s="250">
        <v>9330.11</v>
      </c>
    </row>
    <row r="246" spans="3:5" x14ac:dyDescent="0.35">
      <c r="C246" s="1" t="s">
        <v>1722</v>
      </c>
      <c r="D246" s="1" t="s">
        <v>19</v>
      </c>
      <c r="E246" s="250">
        <v>9330.1200000000008</v>
      </c>
    </row>
    <row r="247" spans="3:5" x14ac:dyDescent="0.35">
      <c r="C247" s="1" t="s">
        <v>1721</v>
      </c>
      <c r="D247" s="1" t="s">
        <v>20</v>
      </c>
      <c r="E247" s="250">
        <v>9380.01</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E1D366CC-50E8-4531-935D-E83E4CCD9AE6}">
      <formula1>$C$205:$C207</formula1>
    </dataValidation>
  </dataValidations>
  <hyperlinks>
    <hyperlink ref="D3" r:id="rId1" display="datamateapp@gmail.com" xr:uid="{020F3A68-A8C2-47DD-9B02-8AAF09EEC7E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67310" r:id="rId4" name="Button 14">
              <controlPr defaultSize="0" print="0" autoFill="0" autoPict="0" macro="[0]!ExitSEC_093000">
                <anchor moveWithCells="1" sizeWithCells="1">
                  <from>
                    <xdr:col>16</xdr:col>
                    <xdr:colOff>203200</xdr:colOff>
                    <xdr:row>0</xdr:row>
                    <xdr:rowOff>0</xdr:rowOff>
                  </from>
                  <to>
                    <xdr:col>16</xdr:col>
                    <xdr:colOff>1473200</xdr:colOff>
                    <xdr:row>2</xdr:row>
                    <xdr:rowOff>12700</xdr:rowOff>
                  </to>
                </anchor>
              </controlPr>
            </control>
          </mc:Choice>
        </mc:AlternateContent>
        <mc:AlternateContent xmlns:mc="http://schemas.openxmlformats.org/markup-compatibility/2006">
          <mc:Choice Requires="x14">
            <control shapeId="567320" r:id="rId5" name="Button 24">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567321" r:id="rId6" name="Button 25">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567322" r:id="rId7" name="Button 26">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567323" r:id="rId8" name="Button 27">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567324" r:id="rId9" name="Button 28">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567325" r:id="rId10" name="Button 29">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567326" r:id="rId11" name="Button 30">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567327" r:id="rId12" name="Button 31">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1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51161-FFF9-4009-AEF6-F8A9F44E6FCC}">
  <sheetPr codeName="Sheet124"/>
  <dimension ref="A1:Q239"/>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CEILINGS</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09 50 00</v>
      </c>
      <c r="C10" s="24" t="str">
        <f>C206</f>
        <v>CEILINGS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CEILINGS</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14608</v>
      </c>
      <c r="C206" s="82" t="s">
        <v>14609</v>
      </c>
      <c r="D206" s="1"/>
      <c r="E206" s="1"/>
      <c r="F206" s="1"/>
      <c r="G206" s="1"/>
      <c r="H206" s="1"/>
      <c r="I206" s="1"/>
      <c r="J206" s="1"/>
      <c r="K206" s="1"/>
      <c r="L206" s="1"/>
      <c r="M206" s="1"/>
      <c r="N206" s="1"/>
      <c r="O206" s="1"/>
      <c r="P206" s="1"/>
      <c r="Q206" s="1"/>
    </row>
    <row r="207" spans="2:17" x14ac:dyDescent="0.35">
      <c r="B207" s="49" t="s">
        <v>14610</v>
      </c>
      <c r="C207" s="53" t="s">
        <v>14611</v>
      </c>
      <c r="D207" s="1"/>
      <c r="E207" s="1"/>
      <c r="F207" s="1"/>
      <c r="G207" s="1"/>
      <c r="H207" s="1"/>
      <c r="I207" s="1"/>
      <c r="J207" s="1"/>
      <c r="K207" s="1"/>
      <c r="L207" s="1"/>
      <c r="M207" s="1"/>
      <c r="N207" s="1"/>
      <c r="O207" s="1"/>
      <c r="P207" s="1"/>
      <c r="Q207" s="1"/>
    </row>
    <row r="208" spans="2:17" x14ac:dyDescent="0.35">
      <c r="B208" s="49" t="s">
        <v>14612</v>
      </c>
      <c r="C208" s="53" t="s">
        <v>14613</v>
      </c>
    </row>
    <row r="209" spans="2:8" x14ac:dyDescent="0.35">
      <c r="B209" s="49" t="s">
        <v>14614</v>
      </c>
      <c r="C209" s="53" t="s">
        <v>14615</v>
      </c>
    </row>
    <row r="210" spans="2:8" x14ac:dyDescent="0.35">
      <c r="B210" s="49" t="s">
        <v>14616</v>
      </c>
      <c r="C210" s="53" t="s">
        <v>14617</v>
      </c>
    </row>
    <row r="211" spans="2:8" x14ac:dyDescent="0.35">
      <c r="B211" s="49" t="s">
        <v>14618</v>
      </c>
      <c r="C211" s="53" t="s">
        <v>14619</v>
      </c>
    </row>
    <row r="212" spans="2:8" x14ac:dyDescent="0.35">
      <c r="B212" s="49" t="s">
        <v>14620</v>
      </c>
      <c r="C212" s="53" t="s">
        <v>14621</v>
      </c>
    </row>
    <row r="213" spans="2:8" ht="58" x14ac:dyDescent="0.35">
      <c r="C213" s="390" t="s">
        <v>22094</v>
      </c>
      <c r="D213" s="388" t="s">
        <v>20</v>
      </c>
      <c r="E213" s="388">
        <v>9509.9</v>
      </c>
      <c r="F213" s="388" t="s">
        <v>22032</v>
      </c>
      <c r="G213" s="388" t="s">
        <v>21996</v>
      </c>
      <c r="H213" s="388" t="s">
        <v>22095</v>
      </c>
    </row>
    <row r="214" spans="2:8" ht="58" x14ac:dyDescent="0.35">
      <c r="C214" s="389" t="s">
        <v>22096</v>
      </c>
      <c r="D214" s="388" t="s">
        <v>20</v>
      </c>
      <c r="E214" s="388">
        <v>9509.9</v>
      </c>
      <c r="F214" s="388" t="s">
        <v>22032</v>
      </c>
      <c r="G214" s="388" t="s">
        <v>21996</v>
      </c>
      <c r="H214" s="388" t="s">
        <v>22097</v>
      </c>
    </row>
    <row r="215" spans="2:8" ht="72.5" x14ac:dyDescent="0.35">
      <c r="C215" s="388" t="s">
        <v>22098</v>
      </c>
      <c r="D215" s="388" t="s">
        <v>20</v>
      </c>
      <c r="E215" s="388">
        <v>9510.01</v>
      </c>
      <c r="F215" s="388" t="s">
        <v>22073</v>
      </c>
      <c r="G215" s="388" t="s">
        <v>21873</v>
      </c>
      <c r="H215" s="388" t="s">
        <v>22099</v>
      </c>
    </row>
    <row r="216" spans="2:8" ht="58" x14ac:dyDescent="0.35">
      <c r="C216" s="388" t="s">
        <v>22100</v>
      </c>
      <c r="D216" s="388" t="s">
        <v>20</v>
      </c>
      <c r="E216" s="388">
        <v>9510.01</v>
      </c>
      <c r="F216" s="388" t="s">
        <v>22073</v>
      </c>
      <c r="G216" s="388" t="s">
        <v>21905</v>
      </c>
      <c r="H216" s="388" t="s">
        <v>22101</v>
      </c>
    </row>
    <row r="217" spans="2:8" ht="72.5" x14ac:dyDescent="0.35">
      <c r="C217" s="388" t="s">
        <v>22102</v>
      </c>
      <c r="D217" s="388" t="s">
        <v>20</v>
      </c>
      <c r="E217" s="388">
        <v>9510.02</v>
      </c>
      <c r="F217" s="388" t="s">
        <v>22073</v>
      </c>
      <c r="G217" s="388" t="s">
        <v>22103</v>
      </c>
      <c r="H217" s="388" t="s">
        <v>22104</v>
      </c>
    </row>
    <row r="218" spans="2:8" ht="87" x14ac:dyDescent="0.35">
      <c r="C218" s="388" t="s">
        <v>22105</v>
      </c>
      <c r="D218" s="388" t="s">
        <v>20</v>
      </c>
      <c r="E218" s="388">
        <v>9510.02</v>
      </c>
      <c r="F218" s="388" t="s">
        <v>22073</v>
      </c>
      <c r="G218" s="388" t="s">
        <v>21905</v>
      </c>
      <c r="H218" s="388" t="s">
        <v>22106</v>
      </c>
    </row>
    <row r="219" spans="2:8" ht="72.5" x14ac:dyDescent="0.35">
      <c r="C219" s="388" t="s">
        <v>22107</v>
      </c>
      <c r="D219" s="388" t="s">
        <v>20</v>
      </c>
      <c r="E219" s="388">
        <v>9510.02</v>
      </c>
      <c r="F219" s="388" t="s">
        <v>22073</v>
      </c>
      <c r="G219" s="388" t="s">
        <v>22108</v>
      </c>
      <c r="H219" s="388" t="s">
        <v>22109</v>
      </c>
    </row>
    <row r="220" spans="2:8" ht="58" x14ac:dyDescent="0.35">
      <c r="C220" s="388" t="s">
        <v>22110</v>
      </c>
      <c r="D220" s="388" t="s">
        <v>20</v>
      </c>
      <c r="E220" s="388">
        <v>9510.02</v>
      </c>
      <c r="F220" s="388" t="s">
        <v>22073</v>
      </c>
      <c r="G220" s="388" t="s">
        <v>21905</v>
      </c>
      <c r="H220" s="388" t="s">
        <v>22111</v>
      </c>
    </row>
    <row r="221" spans="2:8" ht="87" x14ac:dyDescent="0.35">
      <c r="C221" s="388" t="s">
        <v>22112</v>
      </c>
      <c r="D221" s="388" t="s">
        <v>20</v>
      </c>
      <c r="E221" s="388">
        <v>9510.0400000000009</v>
      </c>
      <c r="F221" s="388" t="s">
        <v>22073</v>
      </c>
      <c r="G221" s="388" t="s">
        <v>22113</v>
      </c>
      <c r="H221" s="388" t="s">
        <v>22114</v>
      </c>
    </row>
    <row r="222" spans="2:8" ht="72.5" x14ac:dyDescent="0.35">
      <c r="C222" s="388" t="s">
        <v>22115</v>
      </c>
      <c r="D222" s="388" t="s">
        <v>20</v>
      </c>
      <c r="E222" s="388">
        <v>9510.0499999999993</v>
      </c>
      <c r="F222" s="388" t="s">
        <v>22073</v>
      </c>
      <c r="G222" s="388" t="s">
        <v>22116</v>
      </c>
      <c r="H222" s="388" t="s">
        <v>22117</v>
      </c>
    </row>
    <row r="223" spans="2:8" ht="87" x14ac:dyDescent="0.35">
      <c r="C223" s="388" t="s">
        <v>22118</v>
      </c>
      <c r="D223" s="388" t="s">
        <v>20</v>
      </c>
      <c r="E223" s="388">
        <v>9510.06</v>
      </c>
      <c r="F223" s="388" t="s">
        <v>21931</v>
      </c>
      <c r="G223" s="388" t="s">
        <v>22108</v>
      </c>
      <c r="H223" s="388" t="s">
        <v>22119</v>
      </c>
    </row>
    <row r="224" spans="2:8" ht="72.5" x14ac:dyDescent="0.35">
      <c r="C224" s="388" t="s">
        <v>22120</v>
      </c>
      <c r="D224" s="388" t="s">
        <v>20</v>
      </c>
      <c r="E224" s="388">
        <v>9510.07</v>
      </c>
      <c r="F224" s="388" t="s">
        <v>22073</v>
      </c>
      <c r="G224" s="388" t="s">
        <v>22121</v>
      </c>
      <c r="H224" s="388" t="s">
        <v>22122</v>
      </c>
    </row>
    <row r="225" spans="3:8" ht="87" x14ac:dyDescent="0.35">
      <c r="C225" s="388" t="s">
        <v>22123</v>
      </c>
      <c r="D225" s="388" t="s">
        <v>20</v>
      </c>
      <c r="E225" s="388">
        <v>9510.1</v>
      </c>
      <c r="F225" s="388" t="s">
        <v>22124</v>
      </c>
      <c r="G225" s="388" t="s">
        <v>22125</v>
      </c>
      <c r="H225" s="388" t="s">
        <v>22126</v>
      </c>
    </row>
    <row r="226" spans="3:8" ht="72.5" x14ac:dyDescent="0.35">
      <c r="C226" s="388" t="s">
        <v>22127</v>
      </c>
      <c r="D226" s="388" t="s">
        <v>20</v>
      </c>
      <c r="E226" s="388">
        <v>9510.11</v>
      </c>
      <c r="F226" s="388" t="s">
        <v>22124</v>
      </c>
      <c r="G226" s="388" t="s">
        <v>22128</v>
      </c>
      <c r="H226" s="388" t="s">
        <v>22129</v>
      </c>
    </row>
    <row r="227" spans="3:8" ht="72.5" x14ac:dyDescent="0.35">
      <c r="C227" s="388" t="s">
        <v>22130</v>
      </c>
      <c r="D227" s="388" t="s">
        <v>20</v>
      </c>
      <c r="E227" s="388">
        <v>9510.1200000000008</v>
      </c>
      <c r="F227" s="388" t="s">
        <v>22131</v>
      </c>
      <c r="G227" s="388" t="s">
        <v>22017</v>
      </c>
      <c r="H227" s="388" t="s">
        <v>22132</v>
      </c>
    </row>
    <row r="228" spans="3:8" ht="72.5" x14ac:dyDescent="0.35">
      <c r="C228" s="388" t="s">
        <v>22133</v>
      </c>
      <c r="D228" s="388" t="s">
        <v>20</v>
      </c>
      <c r="E228" s="388">
        <v>9510.1299999999992</v>
      </c>
      <c r="F228" s="388" t="s">
        <v>22134</v>
      </c>
      <c r="G228" s="388" t="s">
        <v>22128</v>
      </c>
      <c r="H228" s="388" t="s">
        <v>22135</v>
      </c>
    </row>
    <row r="229" spans="3:8" ht="72.5" x14ac:dyDescent="0.35">
      <c r="C229" s="388" t="s">
        <v>22136</v>
      </c>
      <c r="D229" s="388" t="s">
        <v>20</v>
      </c>
      <c r="E229" s="388">
        <v>9510.15</v>
      </c>
      <c r="F229" s="388" t="s">
        <v>22073</v>
      </c>
      <c r="G229" s="388" t="s">
        <v>22108</v>
      </c>
      <c r="H229" s="388" t="s">
        <v>22137</v>
      </c>
    </row>
    <row r="230" spans="3:8" ht="87" x14ac:dyDescent="0.35">
      <c r="C230" s="388" t="s">
        <v>22138</v>
      </c>
      <c r="D230" s="388" t="s">
        <v>20</v>
      </c>
      <c r="E230" s="388">
        <v>9510.16</v>
      </c>
      <c r="F230" s="388" t="s">
        <v>22073</v>
      </c>
      <c r="G230" s="388" t="s">
        <v>22113</v>
      </c>
      <c r="H230" s="388" t="s">
        <v>22139</v>
      </c>
    </row>
    <row r="231" spans="3:8" ht="87" x14ac:dyDescent="0.35">
      <c r="C231" s="390" t="s">
        <v>22140</v>
      </c>
      <c r="D231" s="388" t="s">
        <v>20</v>
      </c>
      <c r="E231" s="388">
        <v>9510.2000000000007</v>
      </c>
      <c r="F231" s="388" t="s">
        <v>22124</v>
      </c>
      <c r="G231" s="388" t="s">
        <v>21905</v>
      </c>
      <c r="H231" s="388" t="s">
        <v>22141</v>
      </c>
    </row>
    <row r="232" spans="3:8" ht="58" x14ac:dyDescent="0.35">
      <c r="C232" s="390" t="s">
        <v>22142</v>
      </c>
      <c r="D232" s="388" t="s">
        <v>20</v>
      </c>
      <c r="E232" s="388">
        <v>9510.2000000000007</v>
      </c>
      <c r="F232" s="388" t="s">
        <v>22073</v>
      </c>
      <c r="G232" s="388" t="s">
        <v>22121</v>
      </c>
      <c r="H232" s="388" t="s">
        <v>22143</v>
      </c>
    </row>
    <row r="233" spans="3:8" ht="72.5" x14ac:dyDescent="0.35">
      <c r="C233" s="388" t="s">
        <v>22144</v>
      </c>
      <c r="D233" s="388" t="s">
        <v>20</v>
      </c>
      <c r="E233" s="388">
        <v>9510.2000000000007</v>
      </c>
      <c r="F233" s="388" t="s">
        <v>22145</v>
      </c>
      <c r="G233" s="388" t="s">
        <v>22108</v>
      </c>
      <c r="H233" s="388" t="s">
        <v>22146</v>
      </c>
    </row>
    <row r="234" spans="3:8" ht="72.5" x14ac:dyDescent="0.35">
      <c r="C234" s="388" t="s">
        <v>22147</v>
      </c>
      <c r="D234" s="388" t="s">
        <v>18</v>
      </c>
      <c r="E234" s="388">
        <v>9510.2000000000007</v>
      </c>
      <c r="F234" s="388" t="s">
        <v>22148</v>
      </c>
      <c r="G234" s="388" t="s">
        <v>21715</v>
      </c>
      <c r="H234" s="388" t="s">
        <v>22149</v>
      </c>
    </row>
    <row r="235" spans="3:8" ht="58" x14ac:dyDescent="0.35">
      <c r="C235" s="390" t="s">
        <v>22150</v>
      </c>
      <c r="D235" s="388" t="s">
        <v>1712</v>
      </c>
      <c r="E235" s="388">
        <v>9544.7999999999993</v>
      </c>
      <c r="F235" s="388" t="s">
        <v>22151</v>
      </c>
      <c r="G235" s="388" t="s">
        <v>21996</v>
      </c>
      <c r="H235" s="388" t="s">
        <v>22152</v>
      </c>
    </row>
    <row r="236" spans="3:8" ht="72.5" x14ac:dyDescent="0.35">
      <c r="C236" s="390" t="s">
        <v>22153</v>
      </c>
      <c r="D236" s="388" t="s">
        <v>1711</v>
      </c>
      <c r="E236" s="388">
        <v>9544.81</v>
      </c>
      <c r="F236" s="388" t="s">
        <v>22154</v>
      </c>
      <c r="G236" s="388" t="s">
        <v>21996</v>
      </c>
      <c r="H236" s="388" t="s">
        <v>22155</v>
      </c>
    </row>
    <row r="237" spans="3:8" ht="87" x14ac:dyDescent="0.35">
      <c r="C237" s="388" t="s">
        <v>22156</v>
      </c>
      <c r="D237" s="388" t="s">
        <v>20</v>
      </c>
      <c r="E237" s="388">
        <v>9545.01</v>
      </c>
      <c r="F237" s="388" t="s">
        <v>22131</v>
      </c>
      <c r="G237" s="388" t="s">
        <v>22017</v>
      </c>
      <c r="H237" s="388" t="s">
        <v>22157</v>
      </c>
    </row>
    <row r="238" spans="3:8" ht="72.5" x14ac:dyDescent="0.35">
      <c r="C238" s="388" t="s">
        <v>22158</v>
      </c>
      <c r="D238" s="388" t="s">
        <v>1692</v>
      </c>
      <c r="E238" s="388">
        <v>9560.01</v>
      </c>
      <c r="F238" s="388" t="s">
        <v>21927</v>
      </c>
      <c r="G238" s="388" t="s">
        <v>22159</v>
      </c>
      <c r="H238" s="388" t="s">
        <v>22160</v>
      </c>
    </row>
    <row r="239" spans="3:8" ht="87" x14ac:dyDescent="0.35">
      <c r="C239" s="388" t="s">
        <v>22161</v>
      </c>
      <c r="D239" s="388" t="s">
        <v>20</v>
      </c>
      <c r="E239" s="388">
        <v>9560.02</v>
      </c>
      <c r="F239" s="388" t="s">
        <v>22162</v>
      </c>
      <c r="G239" s="388" t="s">
        <v>22125</v>
      </c>
      <c r="H239" s="388" t="s">
        <v>22163</v>
      </c>
    </row>
  </sheetData>
  <mergeCells count="9">
    <mergeCell ref="P3:Q3"/>
    <mergeCell ref="J6:K6"/>
    <mergeCell ref="J7:K7"/>
    <mergeCell ref="A3:B3"/>
    <mergeCell ref="D3:G3"/>
    <mergeCell ref="J3:K3"/>
    <mergeCell ref="A4:B4"/>
    <mergeCell ref="J4:K4"/>
    <mergeCell ref="J5:K5"/>
  </mergeCells>
  <dataValidations count="4">
    <dataValidation type="list" allowBlank="1" showInputMessage="1" showErrorMessage="1" sqref="C16:C48" xr:uid="{58C8B8BC-841B-4452-8CCA-8EE868C9A0D3}">
      <formula1>$C$205:$C207</formula1>
    </dataValidation>
    <dataValidation type="list" allowBlank="1" showInputMessage="1" showErrorMessage="1" sqref="C90:C190" xr:uid="{30D1F458-0CF3-434F-8D2E-7333B8A1E6E5}">
      <formula1>$C$205:$C239</formula1>
    </dataValidation>
    <dataValidation type="list" allowBlank="1" showInputMessage="1" showErrorMessage="1" sqref="C49" xr:uid="{5E35ADAF-7589-4C01-A3BE-56BB7746EC13}">
      <formula1>$C$205:$C239</formula1>
    </dataValidation>
    <dataValidation type="list" allowBlank="1" showInputMessage="1" showErrorMessage="1" sqref="C50:C89" xr:uid="{6BBF6528-7BDF-4100-9B4C-64CD3CC2239B}">
      <formula1>$C$205:$C239</formula1>
    </dataValidation>
  </dataValidations>
  <hyperlinks>
    <hyperlink ref="D3" r:id="rId1" display="datamateapp@gmail.com" xr:uid="{B15DA456-7E5B-4166-8044-8433607EE680}"/>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68334" r:id="rId4" name="Button 14">
              <controlPr defaultSize="0" print="0" autoFill="0" autoPict="0" macro="[0]!ExitSEC_095000">
                <anchor moveWithCells="1" sizeWithCells="1">
                  <from>
                    <xdr:col>16</xdr:col>
                    <xdr:colOff>209550</xdr:colOff>
                    <xdr:row>0</xdr:row>
                    <xdr:rowOff>0</xdr:rowOff>
                  </from>
                  <to>
                    <xdr:col>16</xdr:col>
                    <xdr:colOff>1479550</xdr:colOff>
                    <xdr:row>2</xdr:row>
                    <xdr:rowOff>12700</xdr:rowOff>
                  </to>
                </anchor>
              </controlPr>
            </control>
          </mc:Choice>
        </mc:AlternateContent>
        <mc:AlternateContent xmlns:mc="http://schemas.openxmlformats.org/markup-compatibility/2006">
          <mc:Choice Requires="x14">
            <control shapeId="568344" r:id="rId5" name="Button 24">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568345" r:id="rId6" name="Button 25">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568346" r:id="rId7" name="Button 26">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568347" r:id="rId8" name="Button 27">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568348" r:id="rId9" name="Button 28">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568349" r:id="rId10" name="Button 29">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568350" r:id="rId11" name="Button 30">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568351" r:id="rId12" name="Button 31">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1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C2CF5C-8FAB-4AE3-8A87-8B9DF1A6F62B}">
  <sheetPr codeName="Sheet125"/>
  <dimension ref="A1:Q236"/>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FLOORING</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09 60 00</v>
      </c>
      <c r="C10" s="24" t="str">
        <f>C206</f>
        <v>FLOORING</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FLOORING</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14622</v>
      </c>
      <c r="C206" s="251" t="s">
        <v>14623</v>
      </c>
      <c r="D206" s="1"/>
      <c r="E206" s="1"/>
      <c r="F206" s="1"/>
      <c r="G206" s="1"/>
      <c r="H206" s="1"/>
      <c r="I206" s="1"/>
      <c r="J206" s="1"/>
      <c r="K206" s="1"/>
      <c r="L206" s="1"/>
      <c r="M206" s="1"/>
      <c r="N206" s="1"/>
      <c r="O206" s="1"/>
      <c r="P206" s="1"/>
      <c r="Q206" s="1"/>
    </row>
    <row r="207" spans="2:17" x14ac:dyDescent="0.35">
      <c r="B207" s="49" t="s">
        <v>14624</v>
      </c>
      <c r="C207" s="53" t="s">
        <v>14625</v>
      </c>
      <c r="D207" s="1"/>
      <c r="E207" s="1"/>
      <c r="F207" s="1"/>
      <c r="G207" s="1"/>
      <c r="H207" s="1"/>
      <c r="I207" s="1"/>
      <c r="J207" s="1"/>
      <c r="K207" s="1"/>
      <c r="L207" s="1"/>
      <c r="M207" s="1"/>
      <c r="N207" s="1"/>
      <c r="O207" s="1"/>
      <c r="P207" s="1"/>
      <c r="Q207" s="1"/>
    </row>
    <row r="208" spans="2:17" x14ac:dyDescent="0.35">
      <c r="B208" s="49" t="s">
        <v>14626</v>
      </c>
      <c r="C208" s="53" t="s">
        <v>14627</v>
      </c>
    </row>
    <row r="209" spans="2:8" x14ac:dyDescent="0.35">
      <c r="B209" s="49" t="s">
        <v>14628</v>
      </c>
      <c r="C209" s="53" t="s">
        <v>14629</v>
      </c>
    </row>
    <row r="210" spans="2:8" x14ac:dyDescent="0.35">
      <c r="B210" s="49" t="s">
        <v>14630</v>
      </c>
      <c r="C210" s="53" t="s">
        <v>14631</v>
      </c>
    </row>
    <row r="211" spans="2:8" x14ac:dyDescent="0.35">
      <c r="B211" s="49" t="s">
        <v>14632</v>
      </c>
      <c r="C211" s="53" t="s">
        <v>14633</v>
      </c>
    </row>
    <row r="212" spans="2:8" x14ac:dyDescent="0.35">
      <c r="B212" s="49" t="s">
        <v>14634</v>
      </c>
      <c r="C212" s="53" t="s">
        <v>14635</v>
      </c>
    </row>
    <row r="213" spans="2:8" x14ac:dyDescent="0.35">
      <c r="B213" s="49" t="s">
        <v>14636</v>
      </c>
      <c r="C213" s="53" t="s">
        <v>14637</v>
      </c>
    </row>
    <row r="214" spans="2:8" x14ac:dyDescent="0.35">
      <c r="B214" s="49" t="s">
        <v>14638</v>
      </c>
      <c r="C214" s="53" t="s">
        <v>34</v>
      </c>
    </row>
    <row r="215" spans="2:8" x14ac:dyDescent="0.35">
      <c r="B215" s="49" t="s">
        <v>14639</v>
      </c>
      <c r="C215" s="53" t="s">
        <v>33</v>
      </c>
    </row>
    <row r="216" spans="2:8" ht="58" x14ac:dyDescent="0.35">
      <c r="C216" s="390" t="s">
        <v>22031</v>
      </c>
      <c r="D216" s="388" t="s">
        <v>20</v>
      </c>
      <c r="E216" s="388">
        <v>9609.7999999999993</v>
      </c>
      <c r="F216" s="388" t="s">
        <v>22032</v>
      </c>
      <c r="G216" s="388" t="s">
        <v>21996</v>
      </c>
      <c r="H216" s="388" t="s">
        <v>22033</v>
      </c>
    </row>
    <row r="217" spans="2:8" ht="58" x14ac:dyDescent="0.35">
      <c r="C217" s="389" t="s">
        <v>22034</v>
      </c>
      <c r="D217" s="388" t="s">
        <v>20</v>
      </c>
      <c r="E217" s="388">
        <v>9609.9</v>
      </c>
      <c r="F217" s="388" t="s">
        <v>22032</v>
      </c>
      <c r="G217" s="388" t="s">
        <v>21996</v>
      </c>
      <c r="H217" s="388" t="s">
        <v>22035</v>
      </c>
    </row>
    <row r="218" spans="2:8" ht="72.5" x14ac:dyDescent="0.35">
      <c r="C218" s="388" t="s">
        <v>22036</v>
      </c>
      <c r="D218" s="388" t="s">
        <v>20</v>
      </c>
      <c r="E218" s="388">
        <v>9610.11</v>
      </c>
      <c r="F218" s="388" t="s">
        <v>22032</v>
      </c>
      <c r="G218" s="388" t="s">
        <v>21898</v>
      </c>
      <c r="H218" s="388" t="s">
        <v>22037</v>
      </c>
    </row>
    <row r="219" spans="2:8" ht="87" x14ac:dyDescent="0.35">
      <c r="C219" s="388" t="s">
        <v>22038</v>
      </c>
      <c r="D219" s="388" t="s">
        <v>19</v>
      </c>
      <c r="E219" s="388">
        <v>9630.11</v>
      </c>
      <c r="F219" s="388" t="s">
        <v>22039</v>
      </c>
      <c r="G219" s="388" t="s">
        <v>22040</v>
      </c>
      <c r="H219" s="388" t="s">
        <v>22041</v>
      </c>
    </row>
    <row r="220" spans="2:8" ht="72.5" x14ac:dyDescent="0.35">
      <c r="C220" s="388" t="s">
        <v>22042</v>
      </c>
      <c r="D220" s="388" t="s">
        <v>19</v>
      </c>
      <c r="E220" s="388">
        <v>9630.11</v>
      </c>
      <c r="F220" s="388" t="s">
        <v>22043</v>
      </c>
      <c r="G220" s="388" t="s">
        <v>22040</v>
      </c>
      <c r="H220" s="388" t="s">
        <v>22044</v>
      </c>
    </row>
    <row r="221" spans="2:8" ht="72.5" x14ac:dyDescent="0.35">
      <c r="C221" s="388" t="s">
        <v>22045</v>
      </c>
      <c r="D221" s="388" t="s">
        <v>20</v>
      </c>
      <c r="E221" s="388">
        <v>9630.11</v>
      </c>
      <c r="F221" s="388" t="s">
        <v>22046</v>
      </c>
      <c r="G221" s="388" t="s">
        <v>22024</v>
      </c>
      <c r="H221" s="388" t="s">
        <v>22047</v>
      </c>
    </row>
    <row r="222" spans="2:8" ht="58" x14ac:dyDescent="0.35">
      <c r="C222" s="388" t="s">
        <v>22048</v>
      </c>
      <c r="D222" s="388" t="s">
        <v>18</v>
      </c>
      <c r="E222" s="388">
        <v>9630.1200000000008</v>
      </c>
      <c r="F222" s="388" t="s">
        <v>22049</v>
      </c>
      <c r="G222" s="388" t="s">
        <v>22050</v>
      </c>
      <c r="H222" s="388" t="s">
        <v>22051</v>
      </c>
    </row>
    <row r="223" spans="2:8" ht="72.5" x14ac:dyDescent="0.35">
      <c r="C223" s="388" t="s">
        <v>22052</v>
      </c>
      <c r="D223" s="388" t="s">
        <v>20</v>
      </c>
      <c r="E223" s="388">
        <v>9630.1299999999992</v>
      </c>
      <c r="F223" s="388" t="s">
        <v>22053</v>
      </c>
      <c r="G223" s="388" t="s">
        <v>22054</v>
      </c>
      <c r="H223" s="388" t="s">
        <v>22055</v>
      </c>
    </row>
    <row r="224" spans="2:8" ht="72.5" x14ac:dyDescent="0.35">
      <c r="C224" s="388" t="s">
        <v>22056</v>
      </c>
      <c r="D224" s="388" t="s">
        <v>19</v>
      </c>
      <c r="E224" s="388">
        <v>9630.1299999999992</v>
      </c>
      <c r="F224" s="388" t="s">
        <v>22057</v>
      </c>
      <c r="G224" s="388" t="s">
        <v>22058</v>
      </c>
      <c r="H224" s="388" t="s">
        <v>22059</v>
      </c>
    </row>
    <row r="225" spans="3:8" ht="58" x14ac:dyDescent="0.35">
      <c r="C225" s="388" t="s">
        <v>22060</v>
      </c>
      <c r="D225" s="388" t="s">
        <v>19</v>
      </c>
      <c r="E225" s="388">
        <v>9630.15</v>
      </c>
      <c r="F225" s="388" t="s">
        <v>22039</v>
      </c>
      <c r="G225" s="388" t="s">
        <v>22040</v>
      </c>
      <c r="H225" s="388" t="s">
        <v>22061</v>
      </c>
    </row>
    <row r="226" spans="3:8" ht="72.5" x14ac:dyDescent="0.35">
      <c r="C226" s="388" t="s">
        <v>22062</v>
      </c>
      <c r="D226" s="388" t="s">
        <v>20</v>
      </c>
      <c r="E226" s="388">
        <v>9630.16</v>
      </c>
      <c r="F226" s="388" t="s">
        <v>22053</v>
      </c>
      <c r="G226" s="388" t="s">
        <v>22054</v>
      </c>
      <c r="H226" s="388" t="s">
        <v>22063</v>
      </c>
    </row>
    <row r="227" spans="3:8" ht="72.5" x14ac:dyDescent="0.35">
      <c r="C227" s="388" t="s">
        <v>22064</v>
      </c>
      <c r="D227" s="388" t="s">
        <v>20</v>
      </c>
      <c r="E227" s="388">
        <v>9630.17</v>
      </c>
      <c r="F227" s="388" t="s">
        <v>22053</v>
      </c>
      <c r="G227" s="388" t="s">
        <v>22065</v>
      </c>
      <c r="H227" s="388" t="s">
        <v>22066</v>
      </c>
    </row>
    <row r="228" spans="3:8" ht="72.5" x14ac:dyDescent="0.35">
      <c r="C228" s="388" t="s">
        <v>22067</v>
      </c>
      <c r="D228" s="388" t="s">
        <v>20</v>
      </c>
      <c r="E228" s="388">
        <v>9630.2000000000007</v>
      </c>
      <c r="F228" s="388" t="s">
        <v>22053</v>
      </c>
      <c r="G228" s="388" t="s">
        <v>22054</v>
      </c>
      <c r="H228" s="388" t="s">
        <v>22068</v>
      </c>
    </row>
    <row r="229" spans="3:8" ht="72.5" x14ac:dyDescent="0.35">
      <c r="C229" s="388" t="s">
        <v>22069</v>
      </c>
      <c r="D229" s="388" t="s">
        <v>20</v>
      </c>
      <c r="E229" s="388">
        <v>9640.01</v>
      </c>
      <c r="F229" s="388" t="s">
        <v>22070</v>
      </c>
      <c r="G229" s="388" t="s">
        <v>22017</v>
      </c>
      <c r="H229" s="388" t="s">
        <v>22071</v>
      </c>
    </row>
    <row r="230" spans="3:8" ht="72.5" x14ac:dyDescent="0.35">
      <c r="C230" s="388" t="s">
        <v>22072</v>
      </c>
      <c r="D230" s="388" t="s">
        <v>20</v>
      </c>
      <c r="E230" s="388">
        <v>9650.01</v>
      </c>
      <c r="F230" s="388" t="s">
        <v>22073</v>
      </c>
      <c r="G230" s="388" t="s">
        <v>21873</v>
      </c>
      <c r="H230" s="388" t="s">
        <v>22074</v>
      </c>
    </row>
    <row r="231" spans="3:8" ht="58" x14ac:dyDescent="0.35">
      <c r="C231" s="388" t="s">
        <v>22075</v>
      </c>
      <c r="D231" s="388" t="s">
        <v>20</v>
      </c>
      <c r="E231" s="388">
        <v>9650.02</v>
      </c>
      <c r="F231" s="388" t="s">
        <v>22073</v>
      </c>
      <c r="G231" s="388" t="s">
        <v>22076</v>
      </c>
      <c r="H231" s="388" t="s">
        <v>22077</v>
      </c>
    </row>
    <row r="232" spans="3:8" ht="72.5" x14ac:dyDescent="0.35">
      <c r="C232" s="388" t="s">
        <v>22078</v>
      </c>
      <c r="D232" s="388" t="s">
        <v>20</v>
      </c>
      <c r="E232" s="388">
        <v>9650.0300000000007</v>
      </c>
      <c r="F232" s="388" t="s">
        <v>22073</v>
      </c>
      <c r="G232" s="388" t="s">
        <v>21905</v>
      </c>
      <c r="H232" s="388" t="s">
        <v>22079</v>
      </c>
    </row>
    <row r="233" spans="3:8" ht="58" x14ac:dyDescent="0.35">
      <c r="C233" s="388" t="s">
        <v>22080</v>
      </c>
      <c r="D233" s="388" t="s">
        <v>19</v>
      </c>
      <c r="E233" s="388">
        <v>9650.0300000000007</v>
      </c>
      <c r="F233" s="388" t="s">
        <v>22057</v>
      </c>
      <c r="G233" s="388" t="s">
        <v>22081</v>
      </c>
      <c r="H233" s="388" t="s">
        <v>22082</v>
      </c>
    </row>
    <row r="234" spans="3:8" ht="58" x14ac:dyDescent="0.35">
      <c r="C234" s="388" t="s">
        <v>22083</v>
      </c>
      <c r="D234" s="388" t="s">
        <v>20</v>
      </c>
      <c r="E234" s="388">
        <v>9640.0499999999993</v>
      </c>
      <c r="F234" s="388" t="s">
        <v>22084</v>
      </c>
      <c r="G234" s="388" t="s">
        <v>22017</v>
      </c>
      <c r="H234" s="388" t="s">
        <v>22085</v>
      </c>
    </row>
    <row r="235" spans="3:8" ht="58" x14ac:dyDescent="0.35">
      <c r="C235" s="388" t="s">
        <v>22086</v>
      </c>
      <c r="D235" s="388" t="s">
        <v>21</v>
      </c>
      <c r="E235" s="388">
        <v>9680.01</v>
      </c>
      <c r="F235" s="388" t="s">
        <v>22087</v>
      </c>
      <c r="G235" s="388" t="s">
        <v>22088</v>
      </c>
      <c r="H235" s="388" t="s">
        <v>22089</v>
      </c>
    </row>
    <row r="236" spans="3:8" ht="87" x14ac:dyDescent="0.35">
      <c r="C236" s="388" t="s">
        <v>22090</v>
      </c>
      <c r="D236" s="388" t="s">
        <v>21</v>
      </c>
      <c r="E236" s="388">
        <v>9680.2199999999993</v>
      </c>
      <c r="F236" s="388" t="s">
        <v>22091</v>
      </c>
      <c r="G236" s="388" t="s">
        <v>22092</v>
      </c>
      <c r="H236" s="388" t="s">
        <v>22093</v>
      </c>
    </row>
  </sheetData>
  <mergeCells count="9">
    <mergeCell ref="P3:Q3"/>
    <mergeCell ref="J6:K6"/>
    <mergeCell ref="J7:K7"/>
    <mergeCell ref="A3:B3"/>
    <mergeCell ref="D3:G3"/>
    <mergeCell ref="J3:K3"/>
    <mergeCell ref="A4:B4"/>
    <mergeCell ref="J4:K4"/>
    <mergeCell ref="J5:K5"/>
  </mergeCells>
  <dataValidations count="3">
    <dataValidation type="list" allowBlank="1" showInputMessage="1" showErrorMessage="1" sqref="C16:C45" xr:uid="{FA50ED20-361F-45DE-93EE-9AB83F0CB518}">
      <formula1>$C$205:$C207</formula1>
    </dataValidation>
    <dataValidation type="list" allowBlank="1" showInputMessage="1" showErrorMessage="1" sqref="C86:C190" xr:uid="{CA8B892A-1B28-4789-8C53-3F4871FDE86A}">
      <formula1>$C$205:$C237</formula1>
    </dataValidation>
    <dataValidation type="list" allowBlank="1" showInputMessage="1" showErrorMessage="1" sqref="C46:C85" xr:uid="{B0C8D485-9C84-4108-AA3E-CEB227827760}">
      <formula1>$C$205:$C236</formula1>
    </dataValidation>
  </dataValidations>
  <hyperlinks>
    <hyperlink ref="D3" r:id="rId1" display="datamateapp@gmail.com" xr:uid="{31DF0940-2D48-465B-8F93-B5CEA02FFABC}"/>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69358" r:id="rId4" name="Button 14">
              <controlPr defaultSize="0" print="0" autoFill="0" autoPict="0" macro="[0]!ExitSEC_096000">
                <anchor moveWithCells="1" sizeWithCells="1">
                  <from>
                    <xdr:col>16</xdr:col>
                    <xdr:colOff>203200</xdr:colOff>
                    <xdr:row>0</xdr:row>
                    <xdr:rowOff>0</xdr:rowOff>
                  </from>
                  <to>
                    <xdr:col>16</xdr:col>
                    <xdr:colOff>1473200</xdr:colOff>
                    <xdr:row>2</xdr:row>
                    <xdr:rowOff>12700</xdr:rowOff>
                  </to>
                </anchor>
              </controlPr>
            </control>
          </mc:Choice>
        </mc:AlternateContent>
        <mc:AlternateContent xmlns:mc="http://schemas.openxmlformats.org/markup-compatibility/2006">
          <mc:Choice Requires="x14">
            <control shapeId="569368" r:id="rId5" name="Button 24">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569369" r:id="rId6" name="Button 25">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569370" r:id="rId7" name="Button 26">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569371" r:id="rId8" name="Button 27">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569372" r:id="rId9" name="Button 28">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569373" r:id="rId10" name="Button 29">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569374" r:id="rId11" name="Button 30">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569375" r:id="rId12" name="Button 31">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1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CA1F8-3CBB-4861-A9F2-44808EF3ED14}">
  <sheetPr codeName="Sheet126"/>
  <dimension ref="A1:Q227"/>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WALL FINISHES</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09 70 00</v>
      </c>
      <c r="C10" s="24" t="str">
        <f>C206</f>
        <v>WALL FINISHES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WALL FINISHES</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14640</v>
      </c>
      <c r="C206" s="251" t="s">
        <v>14641</v>
      </c>
      <c r="D206" s="1"/>
      <c r="E206" s="1"/>
      <c r="F206" s="1"/>
      <c r="G206" s="1"/>
      <c r="H206" s="1"/>
      <c r="I206" s="1"/>
      <c r="J206" s="1"/>
      <c r="K206" s="1"/>
      <c r="L206" s="1"/>
      <c r="M206" s="1"/>
      <c r="N206" s="1"/>
      <c r="O206" s="1"/>
      <c r="P206" s="1"/>
      <c r="Q206" s="1"/>
    </row>
    <row r="207" spans="2:17" x14ac:dyDescent="0.35">
      <c r="B207" s="49" t="s">
        <v>14642</v>
      </c>
      <c r="C207" s="53" t="s">
        <v>14643</v>
      </c>
      <c r="D207" s="1"/>
      <c r="E207" s="1"/>
      <c r="F207" s="1"/>
      <c r="G207" s="1"/>
      <c r="H207" s="1"/>
      <c r="I207" s="1"/>
      <c r="J207" s="1"/>
      <c r="K207" s="1"/>
      <c r="L207" s="1"/>
      <c r="M207" s="1"/>
      <c r="N207" s="1"/>
      <c r="O207" s="1"/>
      <c r="P207" s="1"/>
      <c r="Q207" s="1"/>
    </row>
    <row r="208" spans="2:17" x14ac:dyDescent="0.35">
      <c r="B208" s="49" t="s">
        <v>14644</v>
      </c>
      <c r="C208" s="53" t="s">
        <v>14645</v>
      </c>
    </row>
    <row r="209" spans="2:8" x14ac:dyDescent="0.35">
      <c r="B209" s="49" t="s">
        <v>14646</v>
      </c>
      <c r="C209" s="53" t="s">
        <v>14647</v>
      </c>
    </row>
    <row r="210" spans="2:8" x14ac:dyDescent="0.35">
      <c r="B210" s="49" t="s">
        <v>14648</v>
      </c>
      <c r="C210" s="53" t="s">
        <v>14649</v>
      </c>
    </row>
    <row r="211" spans="2:8" x14ac:dyDescent="0.35">
      <c r="B211" s="49" t="s">
        <v>14650</v>
      </c>
      <c r="C211" s="53" t="s">
        <v>14651</v>
      </c>
    </row>
    <row r="212" spans="2:8" x14ac:dyDescent="0.35">
      <c r="B212" s="49" t="s">
        <v>14652</v>
      </c>
      <c r="C212" s="53" t="s">
        <v>14653</v>
      </c>
    </row>
    <row r="213" spans="2:8" x14ac:dyDescent="0.35">
      <c r="B213" s="49" t="s">
        <v>14654</v>
      </c>
      <c r="C213" s="53" t="s">
        <v>14655</v>
      </c>
    </row>
    <row r="214" spans="2:8" ht="58" x14ac:dyDescent="0.35">
      <c r="C214" s="389" t="s">
        <v>21994</v>
      </c>
      <c r="D214" s="388" t="s">
        <v>20</v>
      </c>
      <c r="E214" s="388">
        <v>9709.9</v>
      </c>
      <c r="F214" s="388" t="s">
        <v>21995</v>
      </c>
      <c r="G214" s="388" t="s">
        <v>21996</v>
      </c>
      <c r="H214" s="388" t="s">
        <v>21997</v>
      </c>
    </row>
    <row r="215" spans="2:8" ht="72.5" x14ac:dyDescent="0.35">
      <c r="C215" s="388" t="s">
        <v>21998</v>
      </c>
      <c r="D215" s="388" t="s">
        <v>20</v>
      </c>
      <c r="E215" s="388">
        <v>9720.01</v>
      </c>
      <c r="F215" s="388" t="s">
        <v>21999</v>
      </c>
      <c r="G215" s="388" t="s">
        <v>21898</v>
      </c>
      <c r="H215" s="388" t="s">
        <v>22000</v>
      </c>
    </row>
    <row r="216" spans="2:8" ht="72.5" x14ac:dyDescent="0.35">
      <c r="C216" s="388" t="s">
        <v>22001</v>
      </c>
      <c r="D216" s="388" t="s">
        <v>20</v>
      </c>
      <c r="E216" s="388">
        <v>9720.01</v>
      </c>
      <c r="F216" s="388" t="s">
        <v>21999</v>
      </c>
      <c r="G216" s="388" t="s">
        <v>21901</v>
      </c>
      <c r="H216" s="388" t="s">
        <v>22002</v>
      </c>
    </row>
    <row r="217" spans="2:8" ht="72.5" x14ac:dyDescent="0.35">
      <c r="C217" s="388" t="s">
        <v>22003</v>
      </c>
      <c r="D217" s="388" t="s">
        <v>20</v>
      </c>
      <c r="E217" s="388">
        <v>9720.01</v>
      </c>
      <c r="F217" s="388" t="s">
        <v>21999</v>
      </c>
      <c r="G217" s="388" t="s">
        <v>21901</v>
      </c>
      <c r="H217" s="388" t="s">
        <v>22004</v>
      </c>
    </row>
    <row r="218" spans="2:8" ht="72.5" x14ac:dyDescent="0.35">
      <c r="C218" s="388" t="s">
        <v>22005</v>
      </c>
      <c r="D218" s="388" t="s">
        <v>20</v>
      </c>
      <c r="E218" s="388">
        <v>9720.02</v>
      </c>
      <c r="F218" s="388" t="s">
        <v>21999</v>
      </c>
      <c r="G218" s="388" t="s">
        <v>21898</v>
      </c>
      <c r="H218" s="388" t="s">
        <v>22006</v>
      </c>
    </row>
    <row r="219" spans="2:8" ht="72.5" x14ac:dyDescent="0.35">
      <c r="C219" s="388" t="s">
        <v>22007</v>
      </c>
      <c r="D219" s="388" t="s">
        <v>20</v>
      </c>
      <c r="E219" s="388">
        <v>9720.02</v>
      </c>
      <c r="F219" s="388" t="s">
        <v>21999</v>
      </c>
      <c r="G219" s="388" t="s">
        <v>21901</v>
      </c>
      <c r="H219" s="388" t="s">
        <v>22008</v>
      </c>
    </row>
    <row r="220" spans="2:8" ht="58" x14ac:dyDescent="0.35">
      <c r="C220" s="388" t="s">
        <v>22009</v>
      </c>
      <c r="D220" s="388" t="s">
        <v>20</v>
      </c>
      <c r="E220" s="388">
        <v>9720.0300000000007</v>
      </c>
      <c r="F220" s="388" t="s">
        <v>21999</v>
      </c>
      <c r="G220" s="388" t="s">
        <v>21898</v>
      </c>
      <c r="H220" s="388" t="s">
        <v>22010</v>
      </c>
    </row>
    <row r="221" spans="2:8" ht="72.5" x14ac:dyDescent="0.35">
      <c r="C221" s="388" t="s">
        <v>22011</v>
      </c>
      <c r="D221" s="388" t="s">
        <v>20</v>
      </c>
      <c r="E221" s="388">
        <v>9720.0300000000007</v>
      </c>
      <c r="F221" s="388" t="s">
        <v>21999</v>
      </c>
      <c r="G221" s="388" t="s">
        <v>21898</v>
      </c>
      <c r="H221" s="388" t="s">
        <v>22012</v>
      </c>
    </row>
    <row r="222" spans="2:8" ht="87" x14ac:dyDescent="0.35">
      <c r="C222" s="388" t="s">
        <v>22013</v>
      </c>
      <c r="D222" s="388" t="s">
        <v>20</v>
      </c>
      <c r="E222" s="388">
        <v>9750.01</v>
      </c>
      <c r="F222" s="388" t="s">
        <v>21991</v>
      </c>
      <c r="G222" s="388" t="s">
        <v>22014</v>
      </c>
      <c r="H222" s="388" t="s">
        <v>22015</v>
      </c>
    </row>
    <row r="223" spans="2:8" ht="72.5" x14ac:dyDescent="0.35">
      <c r="C223" s="388" t="s">
        <v>22016</v>
      </c>
      <c r="D223" s="388" t="s">
        <v>20</v>
      </c>
      <c r="E223" s="388">
        <v>9750.01</v>
      </c>
      <c r="F223" s="388" t="s">
        <v>21991</v>
      </c>
      <c r="G223" s="388" t="s">
        <v>22017</v>
      </c>
      <c r="H223" s="388" t="s">
        <v>22018</v>
      </c>
    </row>
    <row r="224" spans="2:8" ht="72.5" x14ac:dyDescent="0.35">
      <c r="C224" s="388" t="s">
        <v>22019</v>
      </c>
      <c r="D224" s="388" t="s">
        <v>19</v>
      </c>
      <c r="E224" s="388">
        <v>9750.01</v>
      </c>
      <c r="F224" s="388" t="s">
        <v>22020</v>
      </c>
      <c r="G224" s="388" t="s">
        <v>22021</v>
      </c>
      <c r="H224" s="388" t="s">
        <v>22022</v>
      </c>
    </row>
    <row r="225" spans="3:8" ht="72.5" x14ac:dyDescent="0.35">
      <c r="C225" s="388" t="s">
        <v>22023</v>
      </c>
      <c r="D225" s="388" t="s">
        <v>20</v>
      </c>
      <c r="E225" s="388">
        <v>9750.02</v>
      </c>
      <c r="F225" s="388" t="s">
        <v>21991</v>
      </c>
      <c r="G225" s="388" t="s">
        <v>22024</v>
      </c>
      <c r="H225" s="388" t="s">
        <v>22025</v>
      </c>
    </row>
    <row r="226" spans="3:8" ht="72.5" x14ac:dyDescent="0.35">
      <c r="C226" s="388" t="s">
        <v>22026</v>
      </c>
      <c r="D226" s="388" t="s">
        <v>20</v>
      </c>
      <c r="E226" s="388">
        <v>9750.02</v>
      </c>
      <c r="F226" s="388" t="s">
        <v>21991</v>
      </c>
      <c r="G226" s="388" t="s">
        <v>22017</v>
      </c>
      <c r="H226" s="388" t="s">
        <v>22027</v>
      </c>
    </row>
    <row r="227" spans="3:8" ht="72.5" x14ac:dyDescent="0.35">
      <c r="C227" s="388" t="s">
        <v>22028</v>
      </c>
      <c r="D227" s="388" t="s">
        <v>19</v>
      </c>
      <c r="E227" s="388">
        <v>9750.0300000000007</v>
      </c>
      <c r="F227" s="388" t="s">
        <v>22020</v>
      </c>
      <c r="G227" s="388" t="s">
        <v>22029</v>
      </c>
      <c r="H227" s="388" t="s">
        <v>22030</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8CE8BFC8-BD5C-430A-8C16-B92AD7040B99}">
      <formula1>$C$205:$C207</formula1>
    </dataValidation>
  </dataValidations>
  <hyperlinks>
    <hyperlink ref="D3" r:id="rId1" display="datamateapp@gmail.com" xr:uid="{5F356E3E-B35F-494D-AC33-C6FC922D5B50}"/>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70382" r:id="rId4" name="Button 14">
              <controlPr defaultSize="0" print="0" autoFill="0" autoPict="0" macro="[0]!ExitSEC_097000">
                <anchor moveWithCells="1" sizeWithCells="1">
                  <from>
                    <xdr:col>16</xdr:col>
                    <xdr:colOff>203200</xdr:colOff>
                    <xdr:row>0</xdr:row>
                    <xdr:rowOff>0</xdr:rowOff>
                  </from>
                  <to>
                    <xdr:col>16</xdr:col>
                    <xdr:colOff>1473200</xdr:colOff>
                    <xdr:row>2</xdr:row>
                    <xdr:rowOff>12700</xdr:rowOff>
                  </to>
                </anchor>
              </controlPr>
            </control>
          </mc:Choice>
        </mc:AlternateContent>
        <mc:AlternateContent xmlns:mc="http://schemas.openxmlformats.org/markup-compatibility/2006">
          <mc:Choice Requires="x14">
            <control shapeId="570410" r:id="rId5" name="Button 42">
              <controlPr defaultSize="0" print="0" autoFill="0" autoPict="0" macro="SaveData">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570411" r:id="rId6" name="Button 43">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570412" r:id="rId7" name="Button 44">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570413" r:id="rId8" name="Button 45">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570414" r:id="rId9" name="Button 46">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570415" r:id="rId10" name="Button 47">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570416" r:id="rId11" name="Button 48">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570417" r:id="rId12" name="Button 49">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1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90907-DF6C-4B68-93B9-2EFB176D843D}">
  <sheetPr codeName="Sheet127"/>
  <dimension ref="A1:Q235"/>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ACOUSTIC TREATMENT</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09 80 00</v>
      </c>
      <c r="C10" s="24" t="str">
        <f>C206</f>
        <v>ACOUSTIC TREATMENT</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ACOUSTIC TREATMENT</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14656</v>
      </c>
      <c r="C206" s="251" t="s">
        <v>14657</v>
      </c>
      <c r="D206" s="1"/>
      <c r="E206" s="1"/>
      <c r="F206" s="1"/>
      <c r="G206" s="1"/>
      <c r="H206" s="1"/>
      <c r="I206" s="1"/>
      <c r="J206" s="1"/>
      <c r="K206" s="1"/>
      <c r="L206" s="1"/>
      <c r="M206" s="1"/>
      <c r="N206" s="1"/>
      <c r="O206" s="1"/>
      <c r="P206" s="1"/>
      <c r="Q206" s="1"/>
    </row>
    <row r="207" spans="2:17" x14ac:dyDescent="0.35">
      <c r="B207" s="49" t="s">
        <v>14658</v>
      </c>
      <c r="C207" s="53" t="s">
        <v>14659</v>
      </c>
      <c r="D207" s="1"/>
      <c r="E207" s="1"/>
      <c r="F207" s="1"/>
      <c r="G207" s="1"/>
      <c r="H207" s="1"/>
      <c r="I207" s="1"/>
      <c r="J207" s="1"/>
      <c r="K207" s="1"/>
      <c r="L207" s="1"/>
      <c r="M207" s="1"/>
      <c r="N207" s="1"/>
      <c r="O207" s="1"/>
      <c r="P207" s="1"/>
      <c r="Q207" s="1"/>
    </row>
    <row r="208" spans="2:17" x14ac:dyDescent="0.35">
      <c r="B208" s="49" t="s">
        <v>14660</v>
      </c>
      <c r="C208" s="53" t="s">
        <v>14661</v>
      </c>
    </row>
    <row r="209" spans="2:8" x14ac:dyDescent="0.35">
      <c r="B209" s="49" t="s">
        <v>14662</v>
      </c>
      <c r="C209" s="53" t="s">
        <v>14663</v>
      </c>
    </row>
    <row r="210" spans="2:8" ht="58" x14ac:dyDescent="0.35">
      <c r="C210" s="388" t="s">
        <v>21930</v>
      </c>
      <c r="D210" s="388" t="s">
        <v>20</v>
      </c>
      <c r="E210" s="388">
        <v>9820.1</v>
      </c>
      <c r="F210" s="388" t="s">
        <v>21931</v>
      </c>
      <c r="G210" s="388" t="s">
        <v>21932</v>
      </c>
      <c r="H210" s="388" t="s">
        <v>21933</v>
      </c>
    </row>
    <row r="211" spans="2:8" ht="58" x14ac:dyDescent="0.35">
      <c r="C211" s="388" t="s">
        <v>21934</v>
      </c>
      <c r="D211" s="388" t="s">
        <v>20</v>
      </c>
      <c r="E211" s="388">
        <v>9820.1</v>
      </c>
      <c r="F211" s="388" t="s">
        <v>21931</v>
      </c>
      <c r="G211" s="388" t="s">
        <v>21935</v>
      </c>
      <c r="H211" s="388" t="s">
        <v>21936</v>
      </c>
    </row>
    <row r="212" spans="2:8" ht="43.5" x14ac:dyDescent="0.35">
      <c r="C212" s="388" t="s">
        <v>21937</v>
      </c>
      <c r="D212" s="388" t="s">
        <v>20</v>
      </c>
      <c r="E212" s="388">
        <v>9820.1</v>
      </c>
      <c r="F212" s="388" t="s">
        <v>21931</v>
      </c>
      <c r="G212" s="388" t="s">
        <v>21938</v>
      </c>
      <c r="H212" s="388" t="s">
        <v>21939</v>
      </c>
    </row>
    <row r="213" spans="2:8" ht="72.5" x14ac:dyDescent="0.35">
      <c r="C213" s="388" t="s">
        <v>21940</v>
      </c>
      <c r="D213" s="388" t="s">
        <v>20</v>
      </c>
      <c r="E213" s="388">
        <v>9820.1</v>
      </c>
      <c r="F213" s="388" t="s">
        <v>21931</v>
      </c>
      <c r="G213" s="388" t="s">
        <v>21935</v>
      </c>
      <c r="H213" s="388" t="s">
        <v>21941</v>
      </c>
    </row>
    <row r="214" spans="2:8" ht="43.5" x14ac:dyDescent="0.35">
      <c r="C214" s="388" t="s">
        <v>21942</v>
      </c>
      <c r="D214" s="388" t="s">
        <v>20</v>
      </c>
      <c r="E214" s="388">
        <v>9820.11</v>
      </c>
      <c r="F214" s="388" t="s">
        <v>21931</v>
      </c>
      <c r="G214" s="388" t="s">
        <v>21935</v>
      </c>
      <c r="H214" s="388" t="s">
        <v>21943</v>
      </c>
    </row>
    <row r="215" spans="2:8" ht="72.5" x14ac:dyDescent="0.35">
      <c r="C215" s="388" t="s">
        <v>21944</v>
      </c>
      <c r="D215" s="388" t="s">
        <v>20</v>
      </c>
      <c r="E215" s="388">
        <v>9820.11</v>
      </c>
      <c r="F215" s="388" t="s">
        <v>21931</v>
      </c>
      <c r="G215" s="388" t="s">
        <v>21938</v>
      </c>
      <c r="H215" s="388" t="s">
        <v>21945</v>
      </c>
    </row>
    <row r="216" spans="2:8" ht="58" x14ac:dyDescent="0.35">
      <c r="C216" s="388" t="s">
        <v>21946</v>
      </c>
      <c r="D216" s="388" t="s">
        <v>20</v>
      </c>
      <c r="E216" s="388">
        <v>9820.11</v>
      </c>
      <c r="F216" s="388" t="s">
        <v>21931</v>
      </c>
      <c r="G216" s="388" t="s">
        <v>21935</v>
      </c>
      <c r="H216" s="388" t="s">
        <v>21947</v>
      </c>
    </row>
    <row r="217" spans="2:8" ht="72.5" x14ac:dyDescent="0.35">
      <c r="C217" s="388" t="s">
        <v>21948</v>
      </c>
      <c r="D217" s="388" t="s">
        <v>20</v>
      </c>
      <c r="E217" s="388">
        <v>9820.11</v>
      </c>
      <c r="F217" s="388" t="s">
        <v>21931</v>
      </c>
      <c r="G217" s="388" t="s">
        <v>21938</v>
      </c>
      <c r="H217" s="388" t="s">
        <v>21949</v>
      </c>
    </row>
    <row r="218" spans="2:8" ht="43.5" x14ac:dyDescent="0.35">
      <c r="C218" s="388" t="s">
        <v>21950</v>
      </c>
      <c r="D218" s="388" t="s">
        <v>20</v>
      </c>
      <c r="E218" s="388">
        <v>9820.11</v>
      </c>
      <c r="F218" s="388" t="s">
        <v>21931</v>
      </c>
      <c r="G218" s="388" t="s">
        <v>21951</v>
      </c>
      <c r="H218" s="388" t="s">
        <v>21952</v>
      </c>
    </row>
    <row r="219" spans="2:8" ht="58" x14ac:dyDescent="0.35">
      <c r="C219" s="388" t="s">
        <v>21953</v>
      </c>
      <c r="D219" s="388" t="s">
        <v>20</v>
      </c>
      <c r="E219" s="388">
        <v>9820.11</v>
      </c>
      <c r="F219" s="388" t="s">
        <v>21931</v>
      </c>
      <c r="G219" s="388" t="s">
        <v>21935</v>
      </c>
      <c r="H219" s="388" t="s">
        <v>21954</v>
      </c>
    </row>
    <row r="220" spans="2:8" ht="58" x14ac:dyDescent="0.35">
      <c r="C220" s="388" t="s">
        <v>21955</v>
      </c>
      <c r="D220" s="388" t="s">
        <v>20</v>
      </c>
      <c r="E220" s="388">
        <v>9820.11</v>
      </c>
      <c r="F220" s="388" t="s">
        <v>21931</v>
      </c>
      <c r="G220" s="388" t="s">
        <v>21938</v>
      </c>
      <c r="H220" s="388" t="s">
        <v>21956</v>
      </c>
    </row>
    <row r="221" spans="2:8" ht="87" x14ac:dyDescent="0.35">
      <c r="C221" s="388" t="s">
        <v>21957</v>
      </c>
      <c r="D221" s="388" t="s">
        <v>20</v>
      </c>
      <c r="E221" s="388">
        <v>9820.11</v>
      </c>
      <c r="F221" s="388" t="s">
        <v>21931</v>
      </c>
      <c r="G221" s="388" t="s">
        <v>21932</v>
      </c>
      <c r="H221" s="388" t="s">
        <v>21958</v>
      </c>
    </row>
    <row r="222" spans="2:8" ht="72.5" x14ac:dyDescent="0.35">
      <c r="C222" s="388" t="s">
        <v>21959</v>
      </c>
      <c r="D222" s="388" t="s">
        <v>20</v>
      </c>
      <c r="E222" s="388">
        <v>9820.11</v>
      </c>
      <c r="F222" s="388" t="s">
        <v>21931</v>
      </c>
      <c r="G222" s="388" t="s">
        <v>21935</v>
      </c>
      <c r="H222" s="388" t="s">
        <v>21960</v>
      </c>
    </row>
    <row r="223" spans="2:8" ht="58" x14ac:dyDescent="0.35">
      <c r="C223" s="388" t="s">
        <v>21961</v>
      </c>
      <c r="D223" s="388" t="s">
        <v>20</v>
      </c>
      <c r="E223" s="388">
        <v>9820.1200000000008</v>
      </c>
      <c r="F223" s="388" t="s">
        <v>21931</v>
      </c>
      <c r="G223" s="388" t="s">
        <v>21938</v>
      </c>
      <c r="H223" s="388" t="s">
        <v>21962</v>
      </c>
    </row>
    <row r="224" spans="2:8" ht="58" x14ac:dyDescent="0.35">
      <c r="C224" s="388" t="s">
        <v>21963</v>
      </c>
      <c r="D224" s="388" t="s">
        <v>20</v>
      </c>
      <c r="E224" s="388">
        <v>9820.1200000000008</v>
      </c>
      <c r="F224" s="388" t="s">
        <v>21931</v>
      </c>
      <c r="G224" s="388" t="s">
        <v>21964</v>
      </c>
      <c r="H224" s="388" t="s">
        <v>21965</v>
      </c>
    </row>
    <row r="225" spans="3:8" ht="72.5" x14ac:dyDescent="0.35">
      <c r="C225" s="388" t="s">
        <v>21966</v>
      </c>
      <c r="D225" s="388" t="s">
        <v>20</v>
      </c>
      <c r="E225" s="388">
        <v>9820.1200000000008</v>
      </c>
      <c r="F225" s="388" t="s">
        <v>21931</v>
      </c>
      <c r="G225" s="388" t="s">
        <v>21951</v>
      </c>
      <c r="H225" s="388" t="s">
        <v>21967</v>
      </c>
    </row>
    <row r="226" spans="3:8" ht="72.5" x14ac:dyDescent="0.35">
      <c r="C226" s="388" t="s">
        <v>21968</v>
      </c>
      <c r="D226" s="388" t="s">
        <v>20</v>
      </c>
      <c r="E226" s="388">
        <v>9820.1200000000008</v>
      </c>
      <c r="F226" s="388" t="s">
        <v>21931</v>
      </c>
      <c r="G226" s="388" t="s">
        <v>21932</v>
      </c>
      <c r="H226" s="388" t="s">
        <v>21969</v>
      </c>
    </row>
    <row r="227" spans="3:8" ht="43.5" x14ac:dyDescent="0.35">
      <c r="C227" s="388" t="s">
        <v>21970</v>
      </c>
      <c r="D227" s="388" t="s">
        <v>20</v>
      </c>
      <c r="E227" s="388">
        <v>9820.1200000000008</v>
      </c>
      <c r="F227" s="388" t="s">
        <v>21931</v>
      </c>
      <c r="G227" s="388" t="s">
        <v>21935</v>
      </c>
      <c r="H227" s="388" t="s">
        <v>21971</v>
      </c>
    </row>
    <row r="228" spans="3:8" ht="58" x14ac:dyDescent="0.35">
      <c r="C228" s="388" t="s">
        <v>21972</v>
      </c>
      <c r="D228" s="388" t="s">
        <v>20</v>
      </c>
      <c r="E228" s="388">
        <v>9820.1200000000008</v>
      </c>
      <c r="F228" s="388" t="s">
        <v>21931</v>
      </c>
      <c r="G228" s="388" t="s">
        <v>21938</v>
      </c>
      <c r="H228" s="388" t="s">
        <v>21973</v>
      </c>
    </row>
    <row r="229" spans="3:8" ht="43.5" x14ac:dyDescent="0.35">
      <c r="C229" s="388" t="s">
        <v>21974</v>
      </c>
      <c r="D229" s="388" t="s">
        <v>20</v>
      </c>
      <c r="E229" s="388">
        <v>9820.1200000000008</v>
      </c>
      <c r="F229" s="388" t="s">
        <v>21931</v>
      </c>
      <c r="G229" s="388" t="s">
        <v>21964</v>
      </c>
      <c r="H229" s="388" t="s">
        <v>21975</v>
      </c>
    </row>
    <row r="230" spans="3:8" ht="72.5" x14ac:dyDescent="0.35">
      <c r="C230" s="388" t="s">
        <v>21976</v>
      </c>
      <c r="D230" s="388" t="s">
        <v>20</v>
      </c>
      <c r="E230" s="388">
        <v>9820.1200000000008</v>
      </c>
      <c r="F230" s="388" t="s">
        <v>21931</v>
      </c>
      <c r="G230" s="388" t="s">
        <v>21951</v>
      </c>
      <c r="H230" s="388" t="s">
        <v>21977</v>
      </c>
    </row>
    <row r="231" spans="3:8" ht="43.5" x14ac:dyDescent="0.35">
      <c r="C231" s="390" t="s">
        <v>21978</v>
      </c>
      <c r="D231" s="388" t="s">
        <v>20</v>
      </c>
      <c r="E231" s="388">
        <v>9820.7999999999993</v>
      </c>
      <c r="F231" s="388" t="s">
        <v>21979</v>
      </c>
      <c r="G231" s="388" t="s">
        <v>21980</v>
      </c>
      <c r="H231" s="388" t="s">
        <v>21981</v>
      </c>
    </row>
    <row r="232" spans="3:8" ht="43.5" x14ac:dyDescent="0.35">
      <c r="C232" s="388" t="s">
        <v>21982</v>
      </c>
      <c r="D232" s="388" t="s">
        <v>20</v>
      </c>
      <c r="E232" s="388">
        <v>9830.01</v>
      </c>
      <c r="F232" s="388" t="s">
        <v>21793</v>
      </c>
      <c r="G232" s="388" t="s">
        <v>21935</v>
      </c>
      <c r="H232" s="388" t="s">
        <v>21983</v>
      </c>
    </row>
    <row r="233" spans="3:8" ht="58" x14ac:dyDescent="0.35">
      <c r="C233" s="388" t="s">
        <v>21984</v>
      </c>
      <c r="D233" s="388" t="s">
        <v>20</v>
      </c>
      <c r="E233" s="388">
        <v>9830.01</v>
      </c>
      <c r="F233" s="388" t="s">
        <v>21793</v>
      </c>
      <c r="G233" s="388" t="s">
        <v>21938</v>
      </c>
      <c r="H233" s="388" t="s">
        <v>21985</v>
      </c>
    </row>
    <row r="234" spans="3:8" ht="58" x14ac:dyDescent="0.35">
      <c r="C234" s="388" t="s">
        <v>21986</v>
      </c>
      <c r="D234" s="388" t="s">
        <v>20</v>
      </c>
      <c r="E234" s="388">
        <v>9830.2099999999991</v>
      </c>
      <c r="F234" s="388" t="s">
        <v>21987</v>
      </c>
      <c r="G234" s="388" t="s">
        <v>21988</v>
      </c>
      <c r="H234" s="388" t="s">
        <v>21989</v>
      </c>
    </row>
    <row r="235" spans="3:8" ht="58" x14ac:dyDescent="0.35">
      <c r="C235" s="388" t="s">
        <v>21990</v>
      </c>
      <c r="D235" s="388" t="s">
        <v>20</v>
      </c>
      <c r="E235" s="388">
        <v>9840.01</v>
      </c>
      <c r="F235" s="388" t="s">
        <v>21991</v>
      </c>
      <c r="G235" s="388" t="s">
        <v>21992</v>
      </c>
      <c r="H235" s="388" t="s">
        <v>21993</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D46B42CA-ABAB-428F-A3E0-F3C19BC089A5}">
      <formula1>$C$205:$C207</formula1>
    </dataValidation>
  </dataValidations>
  <hyperlinks>
    <hyperlink ref="D3" r:id="rId1" display="datamateapp@gmail.com" xr:uid="{3A3303CB-98EA-4AA9-B9F9-EF809C56311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71405" r:id="rId4" name="Button 13">
              <controlPr defaultSize="0" print="0" autoFill="0" autoPict="0" macro="[0]!ExitSEC_098000">
                <anchor moveWithCells="1" sizeWithCells="1">
                  <from>
                    <xdr:col>16</xdr:col>
                    <xdr:colOff>203200</xdr:colOff>
                    <xdr:row>0</xdr:row>
                    <xdr:rowOff>19050</xdr:rowOff>
                  </from>
                  <to>
                    <xdr:col>16</xdr:col>
                    <xdr:colOff>1473200</xdr:colOff>
                    <xdr:row>2</xdr:row>
                    <xdr:rowOff>31750</xdr:rowOff>
                  </to>
                </anchor>
              </controlPr>
            </control>
          </mc:Choice>
        </mc:AlternateContent>
        <mc:AlternateContent xmlns:mc="http://schemas.openxmlformats.org/markup-compatibility/2006">
          <mc:Choice Requires="x14">
            <control shapeId="571415" r:id="rId5" name="Button 23">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571416" r:id="rId6" name="Button 24">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571417" r:id="rId7" name="Button 25">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571418" r:id="rId8" name="Button 26">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571419" r:id="rId9" name="Button 27">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571420" r:id="rId10" name="Button 28">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571421" r:id="rId11" name="Button 29">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571422" r:id="rId12" name="Button 30">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1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62591-0CAB-4E3B-9272-2736E06600BC}">
  <sheetPr codeName="Sheet128"/>
  <dimension ref="A1:Q235"/>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PAINTING AND COATING</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09 90 00</v>
      </c>
      <c r="C10" s="24" t="str">
        <f>C206</f>
        <v>PAINTING AND COATING</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PAINTING AND COATING</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14664</v>
      </c>
      <c r="C206" s="251" t="s">
        <v>14665</v>
      </c>
      <c r="D206" s="1"/>
      <c r="E206" s="1"/>
      <c r="F206" s="1"/>
      <c r="G206" s="1"/>
      <c r="H206" s="1"/>
      <c r="I206" s="1"/>
      <c r="J206" s="1"/>
      <c r="K206" s="1"/>
      <c r="L206" s="1"/>
      <c r="M206" s="1"/>
      <c r="N206" s="1"/>
      <c r="O206" s="1"/>
      <c r="P206" s="1"/>
      <c r="Q206" s="1"/>
    </row>
    <row r="207" spans="2:17" x14ac:dyDescent="0.35">
      <c r="B207" s="49" t="s">
        <v>14666</v>
      </c>
      <c r="C207" s="53" t="s">
        <v>1700</v>
      </c>
      <c r="D207" s="1"/>
      <c r="E207" s="1"/>
      <c r="F207" s="1"/>
      <c r="G207" s="1"/>
      <c r="H207" s="1"/>
      <c r="I207" s="1"/>
      <c r="J207" s="1"/>
      <c r="K207" s="1"/>
      <c r="L207" s="1"/>
      <c r="M207" s="1"/>
      <c r="N207" s="1"/>
      <c r="O207" s="1"/>
      <c r="P207" s="1"/>
      <c r="Q207" s="1"/>
    </row>
    <row r="208" spans="2:17" x14ac:dyDescent="0.35">
      <c r="B208" s="49" t="s">
        <v>14667</v>
      </c>
      <c r="C208" s="53" t="s">
        <v>14668</v>
      </c>
    </row>
    <row r="209" spans="2:8" x14ac:dyDescent="0.35">
      <c r="B209" s="49" t="s">
        <v>14669</v>
      </c>
      <c r="C209" s="53" t="s">
        <v>14670</v>
      </c>
    </row>
    <row r="210" spans="2:8" x14ac:dyDescent="0.35">
      <c r="B210" s="49" t="s">
        <v>14671</v>
      </c>
      <c r="C210" s="53" t="s">
        <v>14672</v>
      </c>
    </row>
    <row r="211" spans="2:8" x14ac:dyDescent="0.35">
      <c r="B211" s="49" t="s">
        <v>14673</v>
      </c>
      <c r="C211" s="53" t="s">
        <v>14674</v>
      </c>
    </row>
    <row r="212" spans="2:8" ht="43.5" x14ac:dyDescent="0.35">
      <c r="C212" s="388" t="s">
        <v>21852</v>
      </c>
      <c r="D212" s="388" t="s">
        <v>20</v>
      </c>
      <c r="E212" s="388">
        <v>9909.9</v>
      </c>
      <c r="F212" s="388" t="s">
        <v>21853</v>
      </c>
      <c r="G212" s="388" t="s">
        <v>21854</v>
      </c>
      <c r="H212" s="388" t="s">
        <v>21855</v>
      </c>
    </row>
    <row r="213" spans="2:8" ht="58" x14ac:dyDescent="0.35">
      <c r="C213" s="388" t="s">
        <v>21856</v>
      </c>
      <c r="D213" s="388" t="s">
        <v>1701</v>
      </c>
      <c r="E213" s="388">
        <v>9910.01</v>
      </c>
      <c r="F213" s="388" t="s">
        <v>21857</v>
      </c>
      <c r="G213" s="388" t="s">
        <v>21858</v>
      </c>
      <c r="H213" s="388" t="s">
        <v>21859</v>
      </c>
    </row>
    <row r="214" spans="2:8" ht="72.5" x14ac:dyDescent="0.35">
      <c r="C214" s="388" t="s">
        <v>21860</v>
      </c>
      <c r="D214" s="388" t="s">
        <v>1692</v>
      </c>
      <c r="E214" s="388">
        <v>9910.02</v>
      </c>
      <c r="F214" s="388" t="s">
        <v>21861</v>
      </c>
      <c r="G214" s="388" t="s">
        <v>21862</v>
      </c>
      <c r="H214" s="388" t="s">
        <v>21863</v>
      </c>
    </row>
    <row r="215" spans="2:8" ht="43.5" x14ac:dyDescent="0.35">
      <c r="C215" s="388" t="s">
        <v>21864</v>
      </c>
      <c r="D215" s="388" t="s">
        <v>1692</v>
      </c>
      <c r="E215" s="388">
        <v>9910.0300000000007</v>
      </c>
      <c r="F215" s="388" t="s">
        <v>21865</v>
      </c>
      <c r="G215" s="388" t="s">
        <v>21862</v>
      </c>
      <c r="H215" s="388" t="s">
        <v>21866</v>
      </c>
    </row>
    <row r="216" spans="2:8" ht="58" x14ac:dyDescent="0.35">
      <c r="C216" s="388" t="s">
        <v>21867</v>
      </c>
      <c r="D216" s="388" t="s">
        <v>19</v>
      </c>
      <c r="E216" s="388">
        <v>9910.0300000000007</v>
      </c>
      <c r="F216" s="388" t="s">
        <v>21868</v>
      </c>
      <c r="G216" s="388" t="s">
        <v>21869</v>
      </c>
      <c r="H216" s="388" t="s">
        <v>21870</v>
      </c>
    </row>
    <row r="217" spans="2:8" ht="43.5" x14ac:dyDescent="0.35">
      <c r="C217" s="388" t="s">
        <v>21871</v>
      </c>
      <c r="D217" s="388" t="s">
        <v>20</v>
      </c>
      <c r="E217" s="388">
        <v>9910.0300000000007</v>
      </c>
      <c r="F217" s="388" t="s">
        <v>21872</v>
      </c>
      <c r="G217" s="388" t="s">
        <v>21873</v>
      </c>
      <c r="H217" s="388" t="s">
        <v>21874</v>
      </c>
    </row>
    <row r="218" spans="2:8" ht="72.5" x14ac:dyDescent="0.35">
      <c r="C218" s="388" t="s">
        <v>21875</v>
      </c>
      <c r="D218" s="388" t="s">
        <v>1701</v>
      </c>
      <c r="E218" s="388">
        <v>9910.0300000000007</v>
      </c>
      <c r="F218" s="388" t="s">
        <v>21857</v>
      </c>
      <c r="G218" s="388" t="s">
        <v>21858</v>
      </c>
      <c r="H218" s="388" t="s">
        <v>21876</v>
      </c>
    </row>
    <row r="219" spans="2:8" ht="58" x14ac:dyDescent="0.35">
      <c r="C219" s="388" t="s">
        <v>21877</v>
      </c>
      <c r="D219" s="388" t="s">
        <v>18</v>
      </c>
      <c r="E219" s="388">
        <v>9910.0300000000007</v>
      </c>
      <c r="F219" s="388" t="s">
        <v>21878</v>
      </c>
      <c r="G219" s="388" t="s">
        <v>21663</v>
      </c>
      <c r="H219" s="388" t="s">
        <v>21879</v>
      </c>
    </row>
    <row r="220" spans="2:8" ht="43.5" x14ac:dyDescent="0.35">
      <c r="C220" s="388" t="s">
        <v>21880</v>
      </c>
      <c r="D220" s="388" t="s">
        <v>1692</v>
      </c>
      <c r="E220" s="388">
        <v>9910.0499999999993</v>
      </c>
      <c r="F220" s="388" t="s">
        <v>21881</v>
      </c>
      <c r="G220" s="388" t="s">
        <v>21862</v>
      </c>
      <c r="H220" s="388" t="s">
        <v>21882</v>
      </c>
    </row>
    <row r="221" spans="2:8" ht="43.5" x14ac:dyDescent="0.35">
      <c r="C221" s="388" t="s">
        <v>21883</v>
      </c>
      <c r="D221" s="388" t="s">
        <v>1692</v>
      </c>
      <c r="E221" s="388">
        <v>9910.0499999999993</v>
      </c>
      <c r="F221" s="388" t="s">
        <v>21881</v>
      </c>
      <c r="G221" s="388" t="s">
        <v>21884</v>
      </c>
      <c r="H221" s="388" t="s">
        <v>21885</v>
      </c>
    </row>
    <row r="222" spans="2:8" ht="29" x14ac:dyDescent="0.35">
      <c r="C222" s="388" t="s">
        <v>21886</v>
      </c>
      <c r="D222" s="388" t="s">
        <v>1692</v>
      </c>
      <c r="E222" s="388">
        <v>9910.0499999999993</v>
      </c>
      <c r="F222" s="388" t="s">
        <v>21887</v>
      </c>
      <c r="G222" s="388" t="s">
        <v>21888</v>
      </c>
      <c r="H222" s="388" t="s">
        <v>21889</v>
      </c>
    </row>
    <row r="223" spans="2:8" ht="43.5" x14ac:dyDescent="0.35">
      <c r="C223" s="388" t="s">
        <v>21890</v>
      </c>
      <c r="D223" s="388" t="s">
        <v>1692</v>
      </c>
      <c r="E223" s="388">
        <v>9910.06</v>
      </c>
      <c r="F223" s="388" t="s">
        <v>21881</v>
      </c>
      <c r="G223" s="388" t="s">
        <v>21884</v>
      </c>
      <c r="H223" s="388" t="s">
        <v>21891</v>
      </c>
    </row>
    <row r="224" spans="2:8" ht="29" x14ac:dyDescent="0.35">
      <c r="C224" s="388" t="s">
        <v>21860</v>
      </c>
      <c r="D224" s="388" t="s">
        <v>1692</v>
      </c>
      <c r="E224" s="388">
        <v>9910.07</v>
      </c>
      <c r="F224" s="388" t="s">
        <v>21892</v>
      </c>
      <c r="G224" s="388" t="s">
        <v>21862</v>
      </c>
      <c r="H224" s="388" t="s">
        <v>21893</v>
      </c>
    </row>
    <row r="225" spans="3:8" ht="43.5" x14ac:dyDescent="0.35">
      <c r="C225" s="388" t="s">
        <v>21894</v>
      </c>
      <c r="D225" s="388" t="s">
        <v>1692</v>
      </c>
      <c r="E225" s="388">
        <v>9910.07</v>
      </c>
      <c r="F225" s="388" t="s">
        <v>21881</v>
      </c>
      <c r="G225" s="388" t="s">
        <v>21862</v>
      </c>
      <c r="H225" s="388" t="s">
        <v>21895</v>
      </c>
    </row>
    <row r="226" spans="3:8" ht="29" x14ac:dyDescent="0.35">
      <c r="C226" s="388" t="s">
        <v>21896</v>
      </c>
      <c r="D226" s="388" t="s">
        <v>20</v>
      </c>
      <c r="E226" s="388">
        <v>9910.1</v>
      </c>
      <c r="F226" s="388" t="s">
        <v>21897</v>
      </c>
      <c r="G226" s="388" t="s">
        <v>21898</v>
      </c>
      <c r="H226" s="388" t="s">
        <v>21899</v>
      </c>
    </row>
    <row r="227" spans="3:8" ht="43.5" x14ac:dyDescent="0.35">
      <c r="C227" s="388" t="s">
        <v>21900</v>
      </c>
      <c r="D227" s="388" t="s">
        <v>20</v>
      </c>
      <c r="E227" s="388">
        <v>9910.1</v>
      </c>
      <c r="F227" s="388" t="s">
        <v>21897</v>
      </c>
      <c r="G227" s="388" t="s">
        <v>21901</v>
      </c>
      <c r="H227" s="388" t="s">
        <v>21902</v>
      </c>
    </row>
    <row r="228" spans="3:8" ht="43.5" x14ac:dyDescent="0.35">
      <c r="C228" s="388" t="s">
        <v>21903</v>
      </c>
      <c r="D228" s="388" t="s">
        <v>20</v>
      </c>
      <c r="E228" s="388">
        <v>9910.11</v>
      </c>
      <c r="F228" s="388" t="s">
        <v>21904</v>
      </c>
      <c r="G228" s="388" t="s">
        <v>21905</v>
      </c>
      <c r="H228" s="388" t="s">
        <v>21906</v>
      </c>
    </row>
    <row r="229" spans="3:8" ht="58" x14ac:dyDescent="0.35">
      <c r="C229" s="388" t="s">
        <v>21907</v>
      </c>
      <c r="D229" s="388" t="s">
        <v>20</v>
      </c>
      <c r="E229" s="388">
        <v>9910.1200000000008</v>
      </c>
      <c r="F229" s="388" t="s">
        <v>21908</v>
      </c>
      <c r="G229" s="388" t="s">
        <v>21901</v>
      </c>
      <c r="H229" s="388" t="s">
        <v>21909</v>
      </c>
    </row>
    <row r="230" spans="3:8" ht="43.5" x14ac:dyDescent="0.35">
      <c r="C230" s="388" t="s">
        <v>21910</v>
      </c>
      <c r="D230" s="388" t="s">
        <v>20</v>
      </c>
      <c r="E230" s="388">
        <v>9910.1200000000008</v>
      </c>
      <c r="F230" s="388" t="s">
        <v>21911</v>
      </c>
      <c r="G230" s="388" t="s">
        <v>21912</v>
      </c>
      <c r="H230" s="388" t="s">
        <v>21913</v>
      </c>
    </row>
    <row r="231" spans="3:8" ht="43.5" x14ac:dyDescent="0.35">
      <c r="C231" s="388" t="s">
        <v>21914</v>
      </c>
      <c r="D231" s="388" t="s">
        <v>19</v>
      </c>
      <c r="E231" s="388">
        <v>9910.1200000000008</v>
      </c>
      <c r="F231" s="388" t="s">
        <v>21868</v>
      </c>
      <c r="G231" s="388" t="s">
        <v>21915</v>
      </c>
      <c r="H231" s="388" t="s">
        <v>21916</v>
      </c>
    </row>
    <row r="232" spans="3:8" ht="43.5" x14ac:dyDescent="0.35">
      <c r="C232" s="388" t="s">
        <v>21917</v>
      </c>
      <c r="D232" s="388" t="s">
        <v>1692</v>
      </c>
      <c r="E232" s="388">
        <v>9970.01</v>
      </c>
      <c r="F232" s="388" t="s">
        <v>21918</v>
      </c>
      <c r="G232" s="388" t="s">
        <v>21919</v>
      </c>
      <c r="H232" s="388" t="s">
        <v>21920</v>
      </c>
    </row>
    <row r="233" spans="3:8" ht="58" x14ac:dyDescent="0.35">
      <c r="C233" s="388" t="s">
        <v>21921</v>
      </c>
      <c r="D233" s="388" t="s">
        <v>1692</v>
      </c>
      <c r="E233" s="388">
        <v>9970.0300000000007</v>
      </c>
      <c r="F233" s="388" t="s">
        <v>21922</v>
      </c>
      <c r="G233" s="388" t="s">
        <v>21862</v>
      </c>
      <c r="H233" s="388" t="s">
        <v>21923</v>
      </c>
    </row>
    <row r="234" spans="3:8" ht="58" x14ac:dyDescent="0.35">
      <c r="C234" s="388" t="s">
        <v>21924</v>
      </c>
      <c r="D234" s="388" t="s">
        <v>1692</v>
      </c>
      <c r="E234" s="388">
        <v>9980.02</v>
      </c>
      <c r="F234" s="388" t="s">
        <v>21918</v>
      </c>
      <c r="G234" s="388" t="s">
        <v>21884</v>
      </c>
      <c r="H234" s="388" t="s">
        <v>21925</v>
      </c>
    </row>
    <row r="235" spans="3:8" ht="58" x14ac:dyDescent="0.35">
      <c r="C235" s="388" t="s">
        <v>21926</v>
      </c>
      <c r="D235" s="388" t="s">
        <v>1692</v>
      </c>
      <c r="E235" s="388">
        <v>9980.02</v>
      </c>
      <c r="F235" s="388" t="s">
        <v>21927</v>
      </c>
      <c r="G235" s="388" t="s">
        <v>21928</v>
      </c>
      <c r="H235" s="388" t="s">
        <v>21929</v>
      </c>
    </row>
  </sheetData>
  <mergeCells count="9">
    <mergeCell ref="P3:Q3"/>
    <mergeCell ref="J6:K6"/>
    <mergeCell ref="J7:K7"/>
    <mergeCell ref="A3:B3"/>
    <mergeCell ref="D3:G3"/>
    <mergeCell ref="J3:K3"/>
    <mergeCell ref="A4:B4"/>
    <mergeCell ref="J4:K4"/>
    <mergeCell ref="J5:K5"/>
  </mergeCells>
  <dataValidations count="3">
    <dataValidation type="list" allowBlank="1" showInputMessage="1" showErrorMessage="1" sqref="C16:C44" xr:uid="{780271B5-A61F-47E8-B72A-AF6E635B1325}">
      <formula1>$C$205:$C207</formula1>
    </dataValidation>
    <dataValidation type="list" allowBlank="1" showInputMessage="1" showErrorMessage="1" sqref="C158:C190" xr:uid="{A6CB2F07-DC1B-4C0C-91DE-869BF1C8D8DB}">
      <formula1>$C$205:$C236</formula1>
    </dataValidation>
    <dataValidation type="list" allowBlank="1" showInputMessage="1" showErrorMessage="1" sqref="C45:C157" xr:uid="{53C8454C-DB85-4219-BCC8-1C44709FD513}">
      <formula1>$C$205:$C235</formula1>
    </dataValidation>
  </dataValidations>
  <hyperlinks>
    <hyperlink ref="D3" r:id="rId1" display="datamateapp@gmail.com" xr:uid="{3C7636EC-3A0D-4423-920F-F7CDE0D8CDFD}"/>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72429" r:id="rId4" name="Button 13">
              <controlPr defaultSize="0" print="0" autoFill="0" autoPict="0" macro="[0]!ExitSEC_099000">
                <anchor moveWithCells="1" sizeWithCells="1">
                  <from>
                    <xdr:col>16</xdr:col>
                    <xdr:colOff>222250</xdr:colOff>
                    <xdr:row>0</xdr:row>
                    <xdr:rowOff>6350</xdr:rowOff>
                  </from>
                  <to>
                    <xdr:col>17</xdr:col>
                    <xdr:colOff>0</xdr:colOff>
                    <xdr:row>2</xdr:row>
                    <xdr:rowOff>19050</xdr:rowOff>
                  </to>
                </anchor>
              </controlPr>
            </control>
          </mc:Choice>
        </mc:AlternateContent>
        <mc:AlternateContent xmlns:mc="http://schemas.openxmlformats.org/markup-compatibility/2006">
          <mc:Choice Requires="x14">
            <control shapeId="572439" r:id="rId5" name="Button 23">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572440" r:id="rId6" name="Button 24">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572441" r:id="rId7" name="Button 25">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572442" r:id="rId8" name="Button 26">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572443" r:id="rId9" name="Button 27">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572444" r:id="rId10" name="Button 28">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572445" r:id="rId11" name="Button 29">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572446" r:id="rId12" name="Button 30">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1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85028-F070-4BDF-84D0-137283537FDC}">
  <sheetPr codeName="Sheet144"/>
  <dimension ref="A1:Q206"/>
  <sheetViews>
    <sheetView zoomScale="75" zoomScaleNormal="75" workbookViewId="0">
      <selection activeCell="B13" sqref="B13"/>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f>C10</f>
        <v>0</v>
      </c>
      <c r="J2" s="59"/>
      <c r="K2" s="59"/>
      <c r="L2" s="1"/>
      <c r="M2" s="59"/>
      <c r="N2" s="59"/>
      <c r="O2" s="60"/>
      <c r="P2" s="57"/>
      <c r="Q2" s="57"/>
    </row>
    <row r="3" spans="1:17" ht="15" thickBot="1" x14ac:dyDescent="0.4">
      <c r="A3" s="446" t="s">
        <v>21549</v>
      </c>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7"/>
      <c r="Q3" s="8"/>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40" customHeight="1"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f>B208</f>
        <v>0</v>
      </c>
      <c r="C10" s="24">
        <f>C208</f>
        <v>0</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f>C10</f>
        <v>0</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21402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21432</v>
      </c>
      <c r="C206" s="106" t="s">
        <v>21400</v>
      </c>
      <c r="D206" s="1"/>
      <c r="E206" s="1"/>
      <c r="F206" s="1"/>
      <c r="G206" s="1"/>
      <c r="H206" s="1"/>
      <c r="I206" s="1"/>
      <c r="J206" s="1"/>
      <c r="K206" s="1"/>
      <c r="L206" s="1"/>
      <c r="M206" s="1"/>
      <c r="N206" s="1"/>
      <c r="O206" s="1"/>
      <c r="P206" s="1"/>
      <c r="Q206" s="1"/>
    </row>
  </sheetData>
  <mergeCells count="8">
    <mergeCell ref="J6:K6"/>
    <mergeCell ref="J7:K7"/>
    <mergeCell ref="A3:B3"/>
    <mergeCell ref="D3:G3"/>
    <mergeCell ref="J3:K3"/>
    <mergeCell ref="A4:B4"/>
    <mergeCell ref="J4:K4"/>
    <mergeCell ref="J5:K5"/>
  </mergeCells>
  <dataValidations count="1">
    <dataValidation type="list" allowBlank="1" showInputMessage="1" showErrorMessage="1" sqref="C16:C190" xr:uid="{64FE2DDF-0555-4454-96EF-753DB0295F78}">
      <formula1>$C$205:$C207</formula1>
    </dataValidation>
  </dataValidations>
  <hyperlinks>
    <hyperlink ref="D3" r:id="rId1" display="datamateapp@gmail.com" xr:uid="{39E6C11A-FAE5-4BB3-895B-893A36670B77}"/>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02129" r:id="rId4" name="Button 17">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602130" r:id="rId5" name="Button 18">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602131" r:id="rId6" name="Button 19">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602132" r:id="rId7" name="Button 20">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602133" r:id="rId8" name="Button 21">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602134" r:id="rId9" name="Button 22">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602135" r:id="rId10" name="Button 23">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602136" r:id="rId11" name="Button 24">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controls>
    </mc:Choice>
  </mc:AlternateContent>
</worksheet>
</file>

<file path=xl/worksheets/sheet1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B2657-4DC6-48B2-8183-C30CA6784946}">
  <sheetPr codeName="Sheet145"/>
  <dimension ref="A1:Q200"/>
  <sheetViews>
    <sheetView zoomScale="75" zoomScaleNormal="75" workbookViewId="0">
      <selection activeCell="B2" sqref="B2:L2"/>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7" t="str">
        <f>DIV_10View_Print!B2</f>
        <v>AREA/FLOOR/ZONE- Page- SUB COST- MAT COST- LAB COST- EQUIP COST- Total Cost- Date- Description- Log 10- Log 11- Log 12</v>
      </c>
      <c r="B1" s="57"/>
      <c r="C1" s="57"/>
      <c r="D1" s="57"/>
      <c r="E1" s="57"/>
      <c r="F1" s="57"/>
      <c r="G1" s="57"/>
      <c r="H1" s="57"/>
      <c r="I1" s="57"/>
      <c r="J1" s="57"/>
      <c r="K1" s="57"/>
      <c r="L1" s="57"/>
      <c r="M1" s="57" t="str">
        <f>DIV_02Input!M1</f>
        <v>Update 1</v>
      </c>
      <c r="N1" s="57" t="str">
        <f>DIV_02Input!N1</f>
        <v>Update 2</v>
      </c>
      <c r="O1" s="57" t="str">
        <f>DIV_02Input!O1</f>
        <v>Update 3</v>
      </c>
      <c r="P1" s="57"/>
      <c r="Q1" s="57"/>
    </row>
    <row r="2" spans="1:17" x14ac:dyDescent="0.35">
      <c r="A2" s="57"/>
      <c r="B2" s="436" t="s">
        <v>21420</v>
      </c>
      <c r="C2" s="436"/>
      <c r="D2" s="436"/>
      <c r="E2" s="436"/>
      <c r="F2" s="436"/>
      <c r="G2" s="436"/>
      <c r="H2" s="436"/>
      <c r="I2" s="436"/>
      <c r="J2" s="436"/>
      <c r="K2" s="436"/>
      <c r="L2" s="436"/>
      <c r="M2" s="1"/>
      <c r="N2" s="1"/>
      <c r="O2" s="1"/>
      <c r="P2" s="57"/>
      <c r="Q2" s="57"/>
    </row>
    <row r="3" spans="1:17" ht="15" thickBot="1" x14ac:dyDescent="0.4">
      <c r="A3" s="446" t="e">
        <f>VLOOKUP(A1,DIV_10Data!$A$1:$DZU$1000000,36,FALSE)</f>
        <v>#N/A</v>
      </c>
      <c r="B3" s="425"/>
      <c r="C3" s="103" t="e">
        <f>VLOOKUP(A1,DIV_10Data!$A$1:$DZU$1000000,38,FALSE)</f>
        <v>#N/A</v>
      </c>
      <c r="D3" s="447" t="e">
        <f>VLOOKUP(A1,DIV_10Data!$A$1:$DZU$1000000,39,FALSE)</f>
        <v>#N/A</v>
      </c>
      <c r="E3" s="448"/>
      <c r="F3" s="448"/>
      <c r="G3" s="448"/>
      <c r="H3" s="6" t="e">
        <f>VLOOKUP(A1,DIV_10Data!$A$1:$DZU$1000000,43,FALSE)</f>
        <v>#N/A</v>
      </c>
      <c r="I3" s="6" t="e">
        <f>VLOOKUP(A1,DIV_10Data!$A$1:$DZU$1000000,44,FALSE)</f>
        <v>#N/A</v>
      </c>
      <c r="J3" s="449" t="e">
        <f>VLOOKUP(A1,DIV_10Data!$A$1:$DZU$1000000,45,FALSE)</f>
        <v>#N/A</v>
      </c>
      <c r="K3" s="450"/>
      <c r="L3" s="100" t="e">
        <f>VLOOKUP(A1,DIV_10Data!$A$1:$DZU$1000000,47,FALSE)</f>
        <v>#N/A</v>
      </c>
      <c r="M3" s="8" t="e">
        <f>VLOOKUP(A1,DIV_10Data!$A$1:$DZU$1000000,48,FALSE)</f>
        <v>#N/A</v>
      </c>
      <c r="N3" s="6" t="e">
        <f>VLOOKUP(A1,DIV_10Data!$A$1:$DZU$1000000,49,FALSE)</f>
        <v>#N/A</v>
      </c>
      <c r="O3" s="8" t="e">
        <f>VLOOKUP(A1,DIV_10Data!$A$1:$DZU$1000000,50,FALSE)</f>
        <v>#N/A</v>
      </c>
      <c r="P3" s="7" t="e">
        <f>VLOOKUP(A1,DIV_10Data!$A$1:$DZU$1000000,51,FALSE)</f>
        <v>#N/A</v>
      </c>
      <c r="Q3" s="8" t="e">
        <f>VLOOKUP(A1,DIV_10Data!$A$1:$DZU$1000000,52,FALSE)</f>
        <v>#N/A</v>
      </c>
    </row>
    <row r="4" spans="1:17" ht="15" thickBot="1" x14ac:dyDescent="0.4">
      <c r="A4" s="451" t="e">
        <f>VLOOKUP(A1,DIV_10Data!$A$1:$DZU$1000000,53,FALSE)</f>
        <v>#N/A</v>
      </c>
      <c r="B4" s="452"/>
      <c r="C4" s="79" t="e">
        <f>VLOOKUP(A1,DIV_10Data!$A$1:$DZU$1000000,55,FALSE)</f>
        <v>#N/A</v>
      </c>
      <c r="D4" s="6" t="e">
        <f>VLOOKUP(A1,DIV_10Data!$A$1:$DZU$1000000,56,FALSE)</f>
        <v>#N/A</v>
      </c>
      <c r="E4" s="5" t="e">
        <f>VLOOKUP(A1,DIV_10Data!$A$1:$DZU$1000000,57,FALSE)</f>
        <v>#N/A</v>
      </c>
      <c r="F4" s="61" t="e">
        <f>VLOOKUP(A1,DIV_10Data!$A$1:$DZU$1000000,58,FALSE)</f>
        <v>#N/A</v>
      </c>
      <c r="G4" s="8" t="e">
        <f>VLOOKUP(A1,DIV_10Data!$A$1:$DZU$1000000,59,FALSE)</f>
        <v>#N/A</v>
      </c>
      <c r="H4" s="6" t="e">
        <f>VLOOKUP(A1,DIV_10Data!$A$1:$DZU$1000000,60,FALSE)</f>
        <v>#N/A</v>
      </c>
      <c r="I4" s="6" t="e">
        <f>VLOOKUP(A1,DIV_10Data!$A$1:$DZU$1000000,61,FALSE)</f>
        <v>#N/A</v>
      </c>
      <c r="J4" s="443" t="e">
        <f>VLOOKUP(A1,DIV_10Data!$A$1:$DZU$1000000,62,FALSE)</f>
        <v>#N/A</v>
      </c>
      <c r="K4" s="444"/>
      <c r="L4" s="102" t="e">
        <f>VLOOKUP(A1,DIV_10Data!$A$1:$DZU$1000000,64,FALSE)</f>
        <v>#N/A</v>
      </c>
      <c r="M4" s="9" t="e">
        <f>VLOOKUP(A1,DIV_10Data!$A$1:$DZU$1000000,65,FALSE)</f>
        <v>#N/A</v>
      </c>
      <c r="N4" s="31" t="e">
        <f>VLOOKUP(A1,DIV_10Data!$A$1:$DZU$1000000,66,FALSE)</f>
        <v>#N/A</v>
      </c>
      <c r="O4" s="98" t="e">
        <f>VLOOKUP(A1,DIV_10Data!$A$1:$DZU$1000000,67,FALSE)</f>
        <v>#N/A</v>
      </c>
      <c r="P4" s="7" t="e">
        <f>VLOOKUP(A1,DIV_10Data!$A$1:$DZU$1000000,68,FALSE)</f>
        <v>#N/A</v>
      </c>
      <c r="Q4" s="10" t="e">
        <f>VLOOKUP(A1,DIV_10Data!$A$1:$DZU$1000000,69,FALSE)</f>
        <v>#N/A</v>
      </c>
    </row>
    <row r="5" spans="1:17" ht="15" thickBot="1" x14ac:dyDescent="0.4">
      <c r="A5" s="3" t="e">
        <f>VLOOKUP(A1,DIV_10Data!$A$1:$DZU$1000000,70,FALSE)</f>
        <v>#N/A</v>
      </c>
      <c r="B5" s="4" t="e">
        <f>VLOOKUP(A1,DIV_10Data!$A$1:$DZU$1000000,71,FALSE)</f>
        <v>#N/A</v>
      </c>
      <c r="C5" s="5" t="e">
        <f>VLOOKUP(A1,DIV_10Data!$A$1:$DZU$1000000,72,FALSE)</f>
        <v>#N/A</v>
      </c>
      <c r="D5" s="6" t="e">
        <f>VLOOKUP(A1,DIV_10Data!$A$1:$DZU$1000000,73,FALSE)</f>
        <v>#N/A</v>
      </c>
      <c r="E5" s="7" t="e">
        <f>VLOOKUP(A1,DIV_10Data!$A$1:$DZU$1000000,74,FALSE)</f>
        <v>#N/A</v>
      </c>
      <c r="F5" s="6" t="e">
        <f>VLOOKUP(A1,DIV_10Data!$A$1:$DZU$1000000,75,FALSE)</f>
        <v>#N/A</v>
      </c>
      <c r="G5" s="8" t="e">
        <f>VLOOKUP(A1,DIV_10Data!$A$1:$DZU$1000000,76,FALSE)</f>
        <v>#N/A</v>
      </c>
      <c r="H5" s="6" t="e">
        <f>VLOOKUP(A1,DIV_10Data!$A$1:$DZU$1000000,77,FALSE)</f>
        <v>#N/A</v>
      </c>
      <c r="I5" s="6" t="e">
        <f>VLOOKUP(A1,DIV_10Data!$A$1:$DZU$1000000,78,FALSE)</f>
        <v>#N/A</v>
      </c>
      <c r="J5" s="443" t="e">
        <f>VLOOKUP(A1,DIV_10Data!$A$1:$DZU$1000000,79,FALSE)</f>
        <v>#N/A</v>
      </c>
      <c r="K5" s="444"/>
      <c r="L5" s="11" t="e">
        <f>VLOOKUP(A1,DIV_10Data!$A$1:$DZU$1000000,81,FALSE)</f>
        <v>#N/A</v>
      </c>
      <c r="M5" s="91" t="e">
        <f>VLOOKUP(A1,DIV_10Data!$A$1:$DZU$1000000,82,FALSE)</f>
        <v>#N/A</v>
      </c>
      <c r="N5" s="31" t="e">
        <f>VLOOKUP(A1,DIV_10Data!$A$1:$DZU$1000000,83,FALSE)</f>
        <v>#N/A</v>
      </c>
      <c r="O5" s="96" t="e">
        <f>VLOOKUP(A1,DIV_10Data!$A$1:$DZU$1000000,84,FALSE)</f>
        <v>#N/A</v>
      </c>
      <c r="P5" s="86" t="e">
        <f>VLOOKUP(A1,DIV_10Data!$A$1:$DZU$1000000,85,FALSE)</f>
        <v>#N/A</v>
      </c>
      <c r="Q5" s="8" t="e">
        <f>VLOOKUP(A1,DIV_10Data!$A$1:$DZU$1000000,86,FALSE)</f>
        <v>#N/A</v>
      </c>
    </row>
    <row r="6" spans="1:17" ht="15" thickBot="1" x14ac:dyDescent="0.4">
      <c r="A6" s="3" t="e">
        <f>VLOOKUP(A1,DIV_10Data!$A$1:$DZU$1000000,87,FALSE)</f>
        <v>#N/A</v>
      </c>
      <c r="B6" s="4" t="e">
        <f>VLOOKUP(A1,DIV_10Data!$A$1:$DZU$1000000,88,FALSE)</f>
        <v>#N/A</v>
      </c>
      <c r="C6" s="5" t="e">
        <f>VLOOKUP(A1,DIV_10Data!$A$1:$DZU$1000000,89,FALSE)</f>
        <v>#N/A</v>
      </c>
      <c r="D6" s="6" t="e">
        <f>VLOOKUP(A1,DIV_10Data!$A$1:$DZU$1000000,90,FALSE)</f>
        <v>#N/A</v>
      </c>
      <c r="E6" s="7" t="e">
        <f>VLOOKUP(A1,DIV_10Data!$A$1:$DZU$1000000,91,FALSE)</f>
        <v>#N/A</v>
      </c>
      <c r="F6" s="6" t="e">
        <f>VLOOKUP(A1,DIV_10Data!$A$1:$DZU$1000000,92,FALSE)</f>
        <v>#N/A</v>
      </c>
      <c r="G6" s="10" t="e">
        <f>VLOOKUP(A1,DIV_10Data!$A$1:$DZU$1000000,93,FALSE)</f>
        <v>#N/A</v>
      </c>
      <c r="H6" s="12" t="e">
        <f>VLOOKUP(A1,DIV_10Data!$A$1:$DZU$1000000,94,FALSE)</f>
        <v>#N/A</v>
      </c>
      <c r="I6" s="13" t="e">
        <f>VLOOKUP(A1,DIV_10Data!$A$1:$DZU$1000000,95,FALSE)</f>
        <v>#N/A</v>
      </c>
      <c r="J6" s="445" t="e">
        <f>VLOOKUP(A1,DIV_10Data!$A$1:$DZU$1000000,96,FALSE)</f>
        <v>#N/A</v>
      </c>
      <c r="K6" s="444"/>
      <c r="L6" s="11" t="e">
        <f>VLOOKUP(A1,DIV_10Data!$A$1:$DZU$1000000,98,FALSE)</f>
        <v>#N/A</v>
      </c>
      <c r="M6" s="9" t="e">
        <f>VLOOKUP(A1,DIV_10Data!$A$1:$DZU$1000000,99,FALSE)</f>
        <v>#N/A</v>
      </c>
      <c r="N6" s="31" t="e">
        <f>VLOOKUP(A1,DIV_10Data!$A$1:$DZU$1000000,100,FALSE)</f>
        <v>#N/A</v>
      </c>
      <c r="O6" s="97" t="e">
        <f>VLOOKUP(A1,DIV_10Data!$A$1:$DZU$1000000,101,FALSE)</f>
        <v>#N/A</v>
      </c>
      <c r="P6" s="7" t="e">
        <f>VLOOKUP(A1,DIV_10Data!$A$1:$DZU$1000000,102,FALSE)</f>
        <v>#N/A</v>
      </c>
      <c r="Q6" s="8" t="e">
        <f>VLOOKUP(A1,DIV_10Data!$A$1:$DZU$1000000,103,FALSE)</f>
        <v>#N/A</v>
      </c>
    </row>
    <row r="7" spans="1:17" x14ac:dyDescent="0.35">
      <c r="A7" s="3" t="e">
        <f>VLOOKUP(A1,DIV_10Data!$A$1:$DZU$1000000,104,FALSE)</f>
        <v>#N/A</v>
      </c>
      <c r="B7" s="4" t="e">
        <f>VLOOKUP(A1,DIV_10Data!$A$1:$DZU$1000000,105,FALSE)</f>
        <v>#N/A</v>
      </c>
      <c r="C7" s="84" t="e">
        <f>VLOOKUP(A1,DIV_10Data!$A$1:$DZU$1000000,106,FALSE)</f>
        <v>#N/A</v>
      </c>
      <c r="D7" s="6" t="e">
        <f>VLOOKUP(A1,DIV_10Data!$A$1:$DZU$1000000,107,FALSE)</f>
        <v>#N/A</v>
      </c>
      <c r="E7" s="7" t="e">
        <f>VLOOKUP(A1,DIV_10Data!$A$1:$DZU$1000000,108,FALSE)</f>
        <v>#N/A</v>
      </c>
      <c r="F7" s="6" t="e">
        <f>VLOOKUP(A1,DIV_10Data!$A$1:$DZU$1000000,109,FALSE)</f>
        <v>#N/A</v>
      </c>
      <c r="G7" s="7" t="e">
        <f>VLOOKUP(A1,DIV_10Data!$A$1:$DZU$1000000,110,FALSE)</f>
        <v>#N/A</v>
      </c>
      <c r="H7" s="14" t="e">
        <f>VLOOKUP(A1,DIV_10Data!$A$1:$DZU$1000000,111,FALSE)</f>
        <v>#N/A</v>
      </c>
      <c r="I7" s="6" t="e">
        <f>VLOOKUP(A1,DIV_10Data!$A$1:$DZU$1000000,112,FALSE)</f>
        <v>#N/A</v>
      </c>
      <c r="J7" s="443" t="e">
        <f>VLOOKUP(A1,DIV_10Data!$A$1:$DZU$1000000,113,FALSE)</f>
        <v>#N/A</v>
      </c>
      <c r="K7" s="444"/>
      <c r="L7" s="11" t="e">
        <f>VLOOKUP(A1,DIV_10Data!$A$1:$DZU$1000000,115,FALSE)</f>
        <v>#N/A</v>
      </c>
      <c r="M7" s="6" t="e">
        <f>VLOOKUP(A1,DIV_10Data!$A$1:$DZU$1000000,116,FALSE)</f>
        <v>#N/A</v>
      </c>
      <c r="N7" s="31" t="e">
        <f>VLOOKUP(A1,DIV_10Data!$A$1:$DZU$1000000,117,FALSE)</f>
        <v>#N/A</v>
      </c>
      <c r="O7" s="96" t="e">
        <f>VLOOKUP(A1,DIV_10Data!$A$1:$DZU$1000000,118,FALSE)</f>
        <v>#N/A</v>
      </c>
      <c r="P7" s="90" t="e">
        <f>VLOOKUP(A1,DIV_10Data!$A$1:$DZU$1000000,119,FALSE)</f>
        <v>#N/A</v>
      </c>
      <c r="Q7" s="90" t="e">
        <f>VLOOKUP(A1,DIV_10Data!$A$1:$DZU$1000000,120,FALSE)</f>
        <v>#N/A</v>
      </c>
    </row>
    <row r="8" spans="1:17" ht="15" thickBot="1" x14ac:dyDescent="0.4">
      <c r="A8" s="3" t="e">
        <f>VLOOKUP(A1,DIV_10Data!$A$1:$DZU$1000000,121,FALSE)</f>
        <v>#N/A</v>
      </c>
      <c r="B8" s="4" t="e">
        <f>VLOOKUP(A1,DIV_10Data!$A$1:$DZU$1000000,122,FALSE)</f>
        <v>#N/A</v>
      </c>
      <c r="C8" s="86" t="e">
        <f>VLOOKUP(A1,DIV_10Data!$A$1:$DZU$1000000,123,FALSE)</f>
        <v>#N/A</v>
      </c>
      <c r="D8" s="6" t="e">
        <f>VLOOKUP(A1,DIV_10Data!$A$1:$DZU$1000000,124,FALSE)</f>
        <v>#N/A</v>
      </c>
      <c r="E8" s="7" t="e">
        <f>VLOOKUP(A1,DIV_10Data!$A$1:$DZU$1000000,125,FALSE)</f>
        <v>#N/A</v>
      </c>
      <c r="F8" s="6" t="e">
        <f>VLOOKUP(A1,DIV_10Data!$A$1:$DZU$1000000,126,FALSE)</f>
        <v>#N/A</v>
      </c>
      <c r="G8" s="6" t="e">
        <f>VLOOKUP(A1,DIV_10Data!$A$1:$DZU$1000000,127,FALSE)</f>
        <v>#N/A</v>
      </c>
      <c r="H8" s="6" t="e">
        <f>VLOOKUP(A1,DIV_10Data!$A$1:$DZU$1000000,128,FALSE)</f>
        <v>#N/A</v>
      </c>
      <c r="I8" s="6" t="e">
        <f>VLOOKUP(A1,DIV_10Data!$A$1:$DZU$1000000,129,FALSE)</f>
        <v>#N/A</v>
      </c>
      <c r="J8" s="6" t="e">
        <f>VLOOKUP(A1,DIV_10Data!$A$1:$DZU$1000000,130,FALSE)</f>
        <v>#N/A</v>
      </c>
      <c r="K8" s="6" t="e">
        <f>VLOOKUP(A1,DIV_10Data!$A$1:$DZU$1000000,131,FALSE)</f>
        <v>#N/A</v>
      </c>
      <c r="L8" s="83" t="e">
        <f>VLOOKUP(A1,DIV_10Data!$A$1:$DZU$1000000,132,FALSE)</f>
        <v>#N/A</v>
      </c>
      <c r="M8" s="6" t="e">
        <f>VLOOKUP(A1,DIV_10Data!$A$1:$DZU$1000000,133,FALSE)</f>
        <v>#N/A</v>
      </c>
      <c r="N8" s="6" t="e">
        <f>VLOOKUP(A1,DIV_10Data!$A$1:$DZU$1000000,134,FALSE)</f>
        <v>#N/A</v>
      </c>
      <c r="O8" s="95" t="e">
        <f>VLOOKUP(A1,DIV_10Data!$A$1:$DZU$1000000,135,FALSE)</f>
        <v>#N/A</v>
      </c>
      <c r="P8" s="6" t="e">
        <f>VLOOKUP(A1,DIV_10Data!$A$1:$DZU$1000000,136,FALSE)</f>
        <v>#N/A</v>
      </c>
      <c r="Q8" s="6" t="e">
        <f>VLOOKUP(A1,DIV_10Data!$A$1:$DZU$1000000,137,FALSE)</f>
        <v>#N/A</v>
      </c>
    </row>
    <row r="9" spans="1:17" ht="15" thickBot="1" x14ac:dyDescent="0.4">
      <c r="A9" s="15" t="e">
        <f>VLOOKUP(A1,DIV_10Data!$A$1:$DZU$1000000,138,FALSE)</f>
        <v>#N/A</v>
      </c>
      <c r="B9" s="16" t="e">
        <f>VLOOKUP(A1,DIV_10Data!$A$1:$DZU$1000000,139,FALSE)</f>
        <v>#N/A</v>
      </c>
      <c r="C9" s="17" t="e">
        <f>VLOOKUP(A1,DIV_10Data!$A$1:$DZU$1000000,140,FALSE)</f>
        <v>#N/A</v>
      </c>
      <c r="D9" s="18" t="e">
        <f>VLOOKUP(A1,DIV_10Data!$A$1:$DZU$1000000,141,FALSE)</f>
        <v>#N/A</v>
      </c>
      <c r="E9" s="19" t="e">
        <f>VLOOKUP(A1,DIV_10Data!$A$1:$DZU$1000000,142,FALSE)</f>
        <v>#N/A</v>
      </c>
      <c r="F9" s="16" t="e">
        <f>VLOOKUP(A1,DIV_10Data!$A$1:$DZU$1000000,143,FALSE)</f>
        <v>#N/A</v>
      </c>
      <c r="G9" s="20" t="e">
        <f>VLOOKUP(A1,DIV_10Data!$A$1:$DZU$1000000,144,FALSE)</f>
        <v>#N/A</v>
      </c>
      <c r="H9" s="16" t="e">
        <f>VLOOKUP(A1,DIV_10Data!$A$1:$DZU$1000000,145,FALSE)</f>
        <v>#N/A</v>
      </c>
      <c r="I9" s="20" t="e">
        <f>VLOOKUP(A1,DIV_10Data!$A$1:$DZU$1000000,146,FALSE)</f>
        <v>#N/A</v>
      </c>
      <c r="J9" s="21" t="e">
        <f>VLOOKUP(A1,DIV_10Data!$A$1:$DZU$1000000,147,FALSE)</f>
        <v>#N/A</v>
      </c>
      <c r="K9" s="16" t="e">
        <f>VLOOKUP(A1,DIV_10Data!$A$1:$DZU$1000000,148,FALSE)</f>
        <v>#N/A</v>
      </c>
      <c r="L9" s="21" t="e">
        <f>VLOOKUP(A1,DIV_10Data!$A$1:$DZU$1000000,149,FALSE)</f>
        <v>#N/A</v>
      </c>
      <c r="M9" s="20" t="e">
        <f>VLOOKUP(A1,DIV_10Data!$A$1:$DZU$1000000,150,FALSE)</f>
        <v>#N/A</v>
      </c>
      <c r="N9" s="16" t="e">
        <f>VLOOKUP(A1,DIV_10Data!$A$1:$DZU$1000000,151,FALSE)</f>
        <v>#N/A</v>
      </c>
      <c r="O9" s="20" t="e">
        <f>VLOOKUP(A1,DIV_10Data!$A$1:$DZU$1000000,152,FALSE)</f>
        <v>#N/A</v>
      </c>
      <c r="P9" s="18" t="e">
        <f>VLOOKUP(A1,DIV_10Data!$A$1:$DZU$1000000,153,FALSE)</f>
        <v>#N/A</v>
      </c>
      <c r="Q9" s="20" t="e">
        <f>VLOOKUP(A1,DIV_10Data!$A$1:$DZU$1000000,154,FALSE)</f>
        <v>#N/A</v>
      </c>
    </row>
    <row r="10" spans="1:17" ht="15" thickBot="1" x14ac:dyDescent="0.4">
      <c r="A10" s="22" t="e">
        <f>VLOOKUP(A1,DIV_10Data!$A$1:$DZU$1000000,155,FALSE)</f>
        <v>#N/A</v>
      </c>
      <c r="B10" s="23" t="e">
        <f>VLOOKUP(A1,DIV_10Data!$A$1:$DZU$1000000,156,FALSE)</f>
        <v>#N/A</v>
      </c>
      <c r="C10" s="24" t="e">
        <f>VLOOKUP(A1,DIV_10Data!$A$1:$DZU$1000000,157,FALSE)</f>
        <v>#N/A</v>
      </c>
      <c r="D10" s="25" t="e">
        <f>VLOOKUP(A1,DIV_10Data!$A$1:$DZU$1000000,158,FALSE)</f>
        <v>#N/A</v>
      </c>
      <c r="E10" s="26" t="e">
        <f>VLOOKUP(A1,DIV_10Data!$A$1:$DZU$1000000,159,FALSE)</f>
        <v>#N/A</v>
      </c>
      <c r="F10" s="27" t="e">
        <f>VLOOKUP(A1,DIV_10Data!$A$1:$DZU$1000000,160,FALSE)</f>
        <v>#N/A</v>
      </c>
      <c r="G10" s="28" t="e">
        <f>VLOOKUP(A1,DIV_10Data!$A$1:$DZU$1000000,161,FALSE)</f>
        <v>#N/A</v>
      </c>
      <c r="H10" s="27" t="e">
        <f>VLOOKUP(A1,DIV_10Data!$A$1:$DZU$1000000,162,FALSE)</f>
        <v>#N/A</v>
      </c>
      <c r="I10" s="28" t="e">
        <f>VLOOKUP(A1,DIV_10Data!$A$1:$DZU$1000000,163,FALSE)</f>
        <v>#N/A</v>
      </c>
      <c r="J10" s="27" t="e">
        <f>VLOOKUP(A1,DIV_10Data!$A$1:$DZU$1000000,164,FALSE)</f>
        <v>#N/A</v>
      </c>
      <c r="K10" s="27" t="e">
        <f>VLOOKUP(A1,DIV_10Data!$A$1:$DZU$1000000,165,FALSE)</f>
        <v>#N/A</v>
      </c>
      <c r="L10" s="27" t="e">
        <f>VLOOKUP(A1,DIV_10Data!$A$1:$DZU$1000000,166,FALSE)</f>
        <v>#N/A</v>
      </c>
      <c r="M10" s="28" t="e">
        <f>VLOOKUP(A1,DIV_10Data!$A$1:$DZU$1000000,167,FALSE)</f>
        <v>#N/A</v>
      </c>
      <c r="N10" s="27" t="e">
        <f>VLOOKUP(A1,DIV_10Data!$A$1:$DZU$1000000,168,FALSE)</f>
        <v>#N/A</v>
      </c>
      <c r="O10" s="28" t="e">
        <f>VLOOKUP(A1,DIV_10Data!$A$1:$DZU$1000000,169,FALSE)</f>
        <v>#N/A</v>
      </c>
      <c r="P10" s="25" t="e">
        <f>VLOOKUP(A1,DIV_10Data!$A$1:$DZU$1000000,170,FALSE)</f>
        <v>#N/A</v>
      </c>
      <c r="Q10" s="28" t="e">
        <f>VLOOKUP(A1,DIV_10Data!$A$1:$DZU$1000000,171,FALSE)</f>
        <v>#N/A</v>
      </c>
    </row>
    <row r="11" spans="1:17" x14ac:dyDescent="0.35">
      <c r="A11" s="22" t="e">
        <f>VLOOKUP(A1,DIV_10Data!$A$1:$DZU$1000000,172,FALSE)</f>
        <v>#N/A</v>
      </c>
      <c r="B11" s="29" t="e">
        <f>VLOOKUP(A1,DIV_10Data!$A$1:$DZU$1000000,173,FALSE)</f>
        <v>#N/A</v>
      </c>
      <c r="C11" s="30" t="e">
        <f>VLOOKUP(A1,DIV_10Data!$A$1:$DZU$1000000,174,FALSE)</f>
        <v>#N/A</v>
      </c>
      <c r="D11" s="31" t="e">
        <f>VLOOKUP(A1,DIV_10Data!$A$1:$DZU$1000000,175,FALSE)</f>
        <v>#N/A</v>
      </c>
      <c r="E11" s="32" t="e">
        <f>VLOOKUP(A1,DIV_10Data!$A$1:$DZU$1000000,176,FALSE)</f>
        <v>#N/A</v>
      </c>
      <c r="F11" s="34" t="e">
        <f>VLOOKUP(A1,DIV_10Data!$A$1:$DZU$1000000,177,FALSE)</f>
        <v>#N/A</v>
      </c>
      <c r="G11" s="33" t="e">
        <f>VLOOKUP(A1,DIV_10Data!$A$1:$DZU$1000000,178,FALSE)</f>
        <v>#N/A</v>
      </c>
      <c r="H11" s="34" t="e">
        <f>VLOOKUP(A1,DIV_10Data!$A$1:$DZU$1000000,179,FALSE)</f>
        <v>#N/A</v>
      </c>
      <c r="I11" s="33" t="e">
        <f>VLOOKUP(A1,DIV_10Data!$A$1:$DZU$1000000,180,FALSE)</f>
        <v>#N/A</v>
      </c>
      <c r="J11" s="34" t="e">
        <f>VLOOKUP(A1,DIV_10Data!$A$1:$DZU$1000000,181,FALSE)</f>
        <v>#N/A</v>
      </c>
      <c r="K11" s="34" t="e">
        <f>VLOOKUP(A1,DIV_10Data!$A$1:$DZU$1000000,182,FALSE)</f>
        <v>#N/A</v>
      </c>
      <c r="L11" s="34" t="e">
        <f>VLOOKUP(A1,DIV_10Data!$A$1:$DZU$1000000,183,FALSE)</f>
        <v>#N/A</v>
      </c>
      <c r="M11" s="33" t="e">
        <f>VLOOKUP(A1,DIV_10Data!$A$1:$DZU$1000000,184,FALSE)</f>
        <v>#N/A</v>
      </c>
      <c r="N11" s="34" t="e">
        <f>VLOOKUP(A1,DIV_10Data!$A$1:$DZU$1000000,185,FALSE)</f>
        <v>#N/A</v>
      </c>
      <c r="O11" s="35" t="e">
        <f>VLOOKUP(A1,DIV_10Data!$A$1:$DZU$1000000,186,FALSE)</f>
        <v>#N/A</v>
      </c>
      <c r="P11" s="31" t="e">
        <f>VLOOKUP(A1,DIV_10Data!$A$1:$DZU$1000000,187,FALSE)</f>
        <v>#N/A</v>
      </c>
      <c r="Q11" s="35" t="e">
        <f>VLOOKUP(A1,DIV_10Data!$A$1:$DZU$1000000,188,FALSE)</f>
        <v>#N/A</v>
      </c>
    </row>
    <row r="12" spans="1:17" x14ac:dyDescent="0.35">
      <c r="A12" s="22" t="e">
        <f>VLOOKUP(A1,DIV_10Data!$A$1:$DZU$1000000,189,FALSE)</f>
        <v>#N/A</v>
      </c>
      <c r="B12" s="29" t="e">
        <f>VLOOKUP(A1,DIV_10Data!$A$1:$DZU$1000000,190,FALSE)</f>
        <v>#N/A</v>
      </c>
      <c r="C12" s="30" t="e">
        <f>VLOOKUP(A1,DIV_10Data!$A$1:$DZU$1000000,191,FALSE)</f>
        <v>#N/A</v>
      </c>
      <c r="D12" s="31" t="e">
        <f>VLOOKUP(A1,DIV_10Data!$A$1:$DZU$1000000,192,FALSE)</f>
        <v>#N/A</v>
      </c>
      <c r="E12" s="32" t="e">
        <f>VLOOKUP(A1,DIV_10Data!$A$1:$DZU$1000000,193,FALSE)</f>
        <v>#N/A</v>
      </c>
      <c r="F12" s="34" t="e">
        <f>VLOOKUP(A1,DIV_10Data!$A$1:$DZU$1000000,194,FALSE)</f>
        <v>#N/A</v>
      </c>
      <c r="G12" s="33" t="e">
        <f>VLOOKUP(A1,DIV_10Data!$A$1:$DZU$1000000,195,FALSE)</f>
        <v>#N/A</v>
      </c>
      <c r="H12" s="34" t="e">
        <f>VLOOKUP(A1,DIV_10Data!$A$1:$DZU$1000000,196,FALSE)</f>
        <v>#N/A</v>
      </c>
      <c r="I12" s="33" t="e">
        <f>VLOOKUP(A1,DIV_10Data!$A$1:$DZU$1000000,197,FALSE)</f>
        <v>#N/A</v>
      </c>
      <c r="J12" s="34" t="e">
        <f>VLOOKUP(A1,DIV_10Data!$A$1:$DZU$1000000,198,FALSE)</f>
        <v>#N/A</v>
      </c>
      <c r="K12" s="34" t="e">
        <f>VLOOKUP(A1,DIV_10Data!$A$1:$DZU$1000000,199,FALSE)</f>
        <v>#N/A</v>
      </c>
      <c r="L12" s="34" t="e">
        <f>VLOOKUP(A1,DIV_10Data!$A$1:$DZU$1000000,200,FALSE)</f>
        <v>#N/A</v>
      </c>
      <c r="M12" s="33" t="e">
        <f>VLOOKUP(A1,DIV_10Data!$A$1:$DZU$1000000,201,FALSE)</f>
        <v>#N/A</v>
      </c>
      <c r="N12" s="34" t="e">
        <f>VLOOKUP(A1,DIV_10Data!$A$1:$DZU$1000000,202,FALSE)</f>
        <v>#N/A</v>
      </c>
      <c r="O12" s="35" t="e">
        <f>VLOOKUP(A1,DIV_10Data!$A$1:$DZU$1000000,203,FALSE)</f>
        <v>#N/A</v>
      </c>
      <c r="P12" s="31" t="e">
        <f>VLOOKUP(A1,DIV_10Data!$A$1:$DZU$1000000,204,FALSE)</f>
        <v>#N/A</v>
      </c>
      <c r="Q12" s="35" t="e">
        <f>VLOOKUP(A1,DIV_10Data!$A$1:$DZU$1000000,205,FALSE)</f>
        <v>#N/A</v>
      </c>
    </row>
    <row r="13" spans="1:17" x14ac:dyDescent="0.35">
      <c r="A13" s="22" t="e">
        <f>VLOOKUP(A1,DIV_10Data!$A$1:$DZU$1000000,206,FALSE)</f>
        <v>#N/A</v>
      </c>
      <c r="B13" s="37" t="e">
        <f>VLOOKUP(A1,DIV_10Data!$A$1:$DZU$1000000,207,FALSE)</f>
        <v>#N/A</v>
      </c>
      <c r="C13" s="38" t="e">
        <f>VLOOKUP(A1,DIV_10Data!$A$1:$DZU$1000000,208,FALSE)</f>
        <v>#N/A</v>
      </c>
      <c r="D13" s="31" t="e">
        <f>VLOOKUP(A1,DIV_10Data!$A$1:$DZU$1000000,209,FALSE)</f>
        <v>#N/A</v>
      </c>
      <c r="E13" s="32" t="e">
        <f>VLOOKUP(A1,DIV_10Data!$A$1:$DZU$1000000,210,FALSE)</f>
        <v>#N/A</v>
      </c>
      <c r="F13" s="93" t="e">
        <f>VLOOKUP(A1,DIV_10Data!$A$1:$DZU$1000000,211,FALSE)</f>
        <v>#N/A</v>
      </c>
      <c r="G13" s="33" t="e">
        <f>VLOOKUP(A1,DIV_10Data!$A$1:$DZU$1000000,212,FALSE)</f>
        <v>#N/A</v>
      </c>
      <c r="H13" s="93" t="e">
        <f>VLOOKUP(A1,DIV_10Data!$A$1:$DZU$1000000,213,FALSE)</f>
        <v>#N/A</v>
      </c>
      <c r="I13" s="33" t="e">
        <f>VLOOKUP(A1,DIV_10Data!$A$1:$DZU$1000000,214,FALSE)</f>
        <v>#N/A</v>
      </c>
      <c r="J13" s="34" t="e">
        <f>VLOOKUP(A1,DIV_10Data!$A$1:$DZU$1000000,215,FALSE)</f>
        <v>#N/A</v>
      </c>
      <c r="K13" s="34" t="e">
        <f>VLOOKUP(A1,DIV_10Data!$A$1:$DZU$1000000,216,FALSE)</f>
        <v>#N/A</v>
      </c>
      <c r="L13" s="93" t="e">
        <f>VLOOKUP(A1,DIV_10Data!$A$1:$DZU$1000000,217,FALSE)</f>
        <v>#N/A</v>
      </c>
      <c r="M13" s="33" t="e">
        <f>VLOOKUP(A1,DIV_10Data!$A$1:$DZU$1000000,218,FALSE)</f>
        <v>#N/A</v>
      </c>
      <c r="N13" s="93" t="e">
        <f>VLOOKUP(A1,DIV_10Data!$A$1:$DZU$1000000,219,FALSE)</f>
        <v>#N/A</v>
      </c>
      <c r="O13" s="33" t="e">
        <f>VLOOKUP(A1,DIV_10Data!$A$1:$DZU$1000000,220,FALSE)</f>
        <v>#N/A</v>
      </c>
      <c r="P13" s="46" t="e">
        <f>VLOOKUP(A1,DIV_10Data!$A$1:$DZU$1000000,221,FALSE)</f>
        <v>#N/A</v>
      </c>
      <c r="Q13" s="33" t="e">
        <f>VLOOKUP(A1,DIV_10Data!$A$1:$DZU$1000000,222,FALSE)</f>
        <v>#N/A</v>
      </c>
    </row>
    <row r="14" spans="1:17" x14ac:dyDescent="0.35">
      <c r="A14" s="22" t="e">
        <f>VLOOKUP(A1,DIV_10Data!$A$1:$DZU$1000000,223,FALSE)</f>
        <v>#N/A</v>
      </c>
      <c r="B14" s="37" t="e">
        <f>VLOOKUP(A1,DIV_10Data!$A$1:$DZU$1000000,224,FALSE)</f>
        <v>#N/A</v>
      </c>
      <c r="C14" s="38" t="e">
        <f>VLOOKUP(A1,DIV_10Data!$A$1:$DZU$1000000,225,FALSE)</f>
        <v>#N/A</v>
      </c>
      <c r="D14" s="31" t="e">
        <f>VLOOKUP(A1,DIV_10Data!$A$1:$DZU$1000000,226,FALSE)</f>
        <v>#N/A</v>
      </c>
      <c r="E14" s="32" t="e">
        <f>VLOOKUP(A1,DIV_10Data!$A$1:$DZU$1000000,227,FALSE)</f>
        <v>#N/A</v>
      </c>
      <c r="F14" s="34" t="e">
        <f>VLOOKUP(A1,DIV_10Data!$A$1:$DZU$1000000,228,FALSE)</f>
        <v>#N/A</v>
      </c>
      <c r="G14" s="33" t="e">
        <f>VLOOKUP(A1,DIV_10Data!$A$1:$DZU$1000000,229,FALSE)</f>
        <v>#N/A</v>
      </c>
      <c r="H14" s="34" t="e">
        <f>VLOOKUP(A1,DIV_10Data!$A$1:$DZU$1000000,230,FALSE)</f>
        <v>#N/A</v>
      </c>
      <c r="I14" s="33" t="e">
        <f>VLOOKUP(A1,DIV_10Data!$A$1:$DZU$1000000,231,FALSE)</f>
        <v>#N/A</v>
      </c>
      <c r="J14" s="34" t="e">
        <f>VLOOKUP(A1,DIV_10Data!$A$1:$DZU$1000000,232,FALSE)</f>
        <v>#N/A</v>
      </c>
      <c r="K14" s="34" t="e">
        <f>VLOOKUP(A1,DIV_10Data!$A$1:$DZU$1000000,233,FALSE)</f>
        <v>#N/A</v>
      </c>
      <c r="L14" s="34" t="e">
        <f>VLOOKUP(A1,DIV_10Data!$A$1:$DZU$1000000,234,FALSE)</f>
        <v>#N/A</v>
      </c>
      <c r="M14" s="33" t="e">
        <f>VLOOKUP(A1,DIV_10Data!$A$1:$DZU$1000000,235,FALSE)</f>
        <v>#N/A</v>
      </c>
      <c r="N14" s="34" t="e">
        <f>VLOOKUP(A1,DIV_10Data!$A$1:$DZU$1000000,236,FALSE)</f>
        <v>#N/A</v>
      </c>
      <c r="O14" s="33" t="e">
        <f>VLOOKUP(A1,DIV_10Data!$A$1:$DZU$1000000,237,FALSE)</f>
        <v>#N/A</v>
      </c>
      <c r="P14" s="46" t="e">
        <f>VLOOKUP(A1,DIV_10Data!$A$1:$DZU$1000000,238,FALSE)</f>
        <v>#N/A</v>
      </c>
      <c r="Q14" s="33" t="e">
        <f>VLOOKUP(A1,DIV_10Data!$A$1:$DZU$1000000,239,FALSE)</f>
        <v>#N/A</v>
      </c>
    </row>
    <row r="15" spans="1:17" x14ac:dyDescent="0.35">
      <c r="A15" s="22" t="e">
        <f>VLOOKUP(A1,DIV_10Data!$A$1:$DZU$1000000,240,FALSE)</f>
        <v>#N/A</v>
      </c>
      <c r="B15" s="37" t="e">
        <f>VLOOKUP(A1,DIV_10Data!$A$1:$DZU$1000000,241,FALSE)</f>
        <v>#N/A</v>
      </c>
      <c r="C15" s="38" t="e">
        <f>VLOOKUP(A1,DIV_10Data!$A$1:$DZU$1000000,242,FALSE)</f>
        <v>#N/A</v>
      </c>
      <c r="D15" s="31" t="e">
        <f>VLOOKUP(A1,DIV_10Data!$A$1:$DZU$1000000,243,FALSE)</f>
        <v>#N/A</v>
      </c>
      <c r="E15" s="32" t="e">
        <f>VLOOKUP(A1,DIV_10Data!$A$1:$DZU$1000000,244,FALSE)</f>
        <v>#N/A</v>
      </c>
      <c r="F15" s="34" t="e">
        <f>VLOOKUP(A1,DIV_10Data!$A$1:$DZU$1000000,245,FALSE)</f>
        <v>#N/A</v>
      </c>
      <c r="G15" s="33" t="e">
        <f>VLOOKUP(A1,DIV_10Data!$A$1:$DZU$1000000,246,FALSE)</f>
        <v>#N/A</v>
      </c>
      <c r="H15" s="34" t="e">
        <f>VLOOKUP(A1,DIV_10Data!$A$1:$DZU$1000000,247,FALSE)</f>
        <v>#N/A</v>
      </c>
      <c r="I15" s="33" t="e">
        <f>VLOOKUP(A1,DIV_10Data!$A$1:$DZU$1000000,248,FALSE)</f>
        <v>#N/A</v>
      </c>
      <c r="J15" s="34" t="e">
        <f>VLOOKUP(A1,DIV_10Data!$A$1:$DZU$1000000,249,FALSE)</f>
        <v>#N/A</v>
      </c>
      <c r="K15" s="34" t="e">
        <f>VLOOKUP(A1,DIV_10Data!$A$1:$DZU$1000000,250,FALSE)</f>
        <v>#N/A</v>
      </c>
      <c r="L15" s="34" t="e">
        <f>VLOOKUP(A1,DIV_10Data!$A$1:$DZU$1000000,251,FALSE)</f>
        <v>#N/A</v>
      </c>
      <c r="M15" s="33" t="e">
        <f>VLOOKUP(A1,DIV_10Data!$A$1:$DZU$1000000,252,FALSE)</f>
        <v>#N/A</v>
      </c>
      <c r="N15" s="34" t="e">
        <f>VLOOKUP(A1,DIV_10Data!$A$1:$DZU$1000000,253,FALSE)</f>
        <v>#N/A</v>
      </c>
      <c r="O15" s="33" t="e">
        <f>VLOOKUP(A1,DIV_10Data!$A$1:$DZU$1000000,254,FALSE)</f>
        <v>#N/A</v>
      </c>
      <c r="P15" s="31" t="e">
        <f>VLOOKUP(A1,DIV_10Data!$A$1:$DZU$1000000,255,FALSE)</f>
        <v>#N/A</v>
      </c>
      <c r="Q15" s="33" t="e">
        <f>VLOOKUP(A1,DIV_10Data!$A$1:$DZU$1000000,256,FALSE)</f>
        <v>#N/A</v>
      </c>
    </row>
    <row r="16" spans="1:17" x14ac:dyDescent="0.35">
      <c r="A16" s="22" t="e">
        <f>VLOOKUP(A1,DIV_10Data!$A$1:$DZU$1000000,257,FALSE)</f>
        <v>#N/A</v>
      </c>
      <c r="B16" s="37" t="e">
        <f>VLOOKUP(A1,DIV_10Data!$A$1:$DZU$1000000,258,FALSE)</f>
        <v>#N/A</v>
      </c>
      <c r="C16" s="38" t="e">
        <f>VLOOKUP(A1,DIV_10Data!$A$1:$DZU$1000000,259,FALSE)</f>
        <v>#N/A</v>
      </c>
      <c r="D16" s="31" t="e">
        <f>VLOOKUP(A1,DIV_10Data!$A$1:$DZU$1000000,260,FALSE)</f>
        <v>#N/A</v>
      </c>
      <c r="E16" s="32" t="e">
        <f>VLOOKUP(A1,DIV_10Data!$A$1:$DZU$1000000,261,FALSE)</f>
        <v>#N/A</v>
      </c>
      <c r="F16" s="34" t="e">
        <f>VLOOKUP(A1,DIV_10Data!$A$1:$DZU$1000000,262,FALSE)</f>
        <v>#N/A</v>
      </c>
      <c r="G16" s="33" t="e">
        <f>VLOOKUP(A1,DIV_10Data!$A$1:$DZU$1000000,263,FALSE)</f>
        <v>#N/A</v>
      </c>
      <c r="H16" s="34" t="e">
        <f>VLOOKUP(A1,DIV_10Data!$A$1:$DZU$1000000,264,FALSE)</f>
        <v>#N/A</v>
      </c>
      <c r="I16" s="33" t="e">
        <f>VLOOKUP(A1,DIV_10Data!$A$1:$DZU$1000000,265,FALSE)</f>
        <v>#N/A</v>
      </c>
      <c r="J16" s="34" t="e">
        <f>VLOOKUP(A1,DIV_10Data!$A$1:$DZU$1000000,266,FALSE)</f>
        <v>#N/A</v>
      </c>
      <c r="K16" s="34" t="e">
        <f>VLOOKUP(A1,DIV_10Data!$A$1:$DZU$1000000,267,FALSE)</f>
        <v>#N/A</v>
      </c>
      <c r="L16" s="93" t="e">
        <f>VLOOKUP(A1,DIV_10Data!$A$1:$DZU$1000000,268,FALSE)</f>
        <v>#N/A</v>
      </c>
      <c r="M16" s="33" t="e">
        <f>VLOOKUP(A1,DIV_10Data!$A$1:$DZU$1000000,269,FALSE)</f>
        <v>#N/A</v>
      </c>
      <c r="N16" s="34" t="e">
        <f>VLOOKUP(A1,DIV_10Data!$A$1:$DZU$1000000,270,FALSE)</f>
        <v>#N/A</v>
      </c>
      <c r="O16" s="33" t="e">
        <f>VLOOKUP(A1,DIV_10Data!$A$1:$DZU$1000000,271,FALSE)</f>
        <v>#N/A</v>
      </c>
      <c r="P16" s="46" t="e">
        <f>VLOOKUP(A1,DIV_10Data!$A$1:$DZU$1000000,272,FALSE)</f>
        <v>#N/A</v>
      </c>
      <c r="Q16" s="33" t="e">
        <f>VLOOKUP(A1,DIV_10Data!$A$1:$DZU$1000000,273,FALSE)</f>
        <v>#N/A</v>
      </c>
    </row>
    <row r="17" spans="1:17" x14ac:dyDescent="0.35">
      <c r="A17" s="22" t="e">
        <f>VLOOKUP(A1,DIV_10Data!$A$1:$DZU$1000000,274,FALSE)</f>
        <v>#N/A</v>
      </c>
      <c r="B17" s="37" t="e">
        <f>VLOOKUP(A1,DIV_10Data!$A$1:$DZU$1000000,275,FALSE)</f>
        <v>#N/A</v>
      </c>
      <c r="C17" s="38" t="e">
        <f>VLOOKUP(A1,DIV_10Data!$A$1:$DZU$1000000,276,FALSE)</f>
        <v>#N/A</v>
      </c>
      <c r="D17" s="31" t="e">
        <f>VLOOKUP(A1,DIV_10Data!$A$1:$DZU$1000000,277,FALSE)</f>
        <v>#N/A</v>
      </c>
      <c r="E17" s="32" t="e">
        <f>VLOOKUP(A1,DIV_10Data!$A$1:$DZU$1000000,278,FALSE)</f>
        <v>#N/A</v>
      </c>
      <c r="F17" s="34" t="e">
        <f>VLOOKUP(A1,DIV_10Data!$A$1:$DZU$1000000,279,FALSE)</f>
        <v>#N/A</v>
      </c>
      <c r="G17" s="33" t="e">
        <f>VLOOKUP(A1,DIV_10Data!$A$1:$DZU$1000000,280,FALSE)</f>
        <v>#N/A</v>
      </c>
      <c r="H17" s="34" t="e">
        <f>VLOOKUP(A1,DIV_10Data!$A$1:$DZU$1000000,281,FALSE)</f>
        <v>#N/A</v>
      </c>
      <c r="I17" s="33" t="e">
        <f>VLOOKUP(A1,DIV_10Data!$A$1:$DZU$1000000,282,FALSE)</f>
        <v>#N/A</v>
      </c>
      <c r="J17" s="34" t="e">
        <f>VLOOKUP(A1,DIV_10Data!$A$1:$DZU$1000000,283,FALSE)</f>
        <v>#N/A</v>
      </c>
      <c r="K17" s="34" t="e">
        <f>VLOOKUP(A1,DIV_10Data!$A$1:$DZU$1000000,284,FALSE)</f>
        <v>#N/A</v>
      </c>
      <c r="L17" s="93" t="e">
        <f>VLOOKUP(A1,DIV_10Data!$A$1:$DZU$1000000,285,FALSE)</f>
        <v>#N/A</v>
      </c>
      <c r="M17" s="33" t="e">
        <f>VLOOKUP(A1,DIV_10Data!$A$1:$DZU$1000000,286,FALSE)</f>
        <v>#N/A</v>
      </c>
      <c r="N17" s="34" t="e">
        <f>VLOOKUP(A1,DIV_10Data!$A$1:$DZU$1000000,287,FALSE)</f>
        <v>#N/A</v>
      </c>
      <c r="O17" s="33" t="e">
        <f>VLOOKUP(A1,DIV_10Data!$A$1:$DZU$1000000,288,FALSE)</f>
        <v>#N/A</v>
      </c>
      <c r="P17" s="46" t="e">
        <f>VLOOKUP(A1,DIV_10Data!$A$1:$DZU$1000000,289,FALSE)</f>
        <v>#N/A</v>
      </c>
      <c r="Q17" s="33" t="e">
        <f>VLOOKUP(A1,DIV_10Data!$A$1:$DZU$1000000,290,FALSE)</f>
        <v>#N/A</v>
      </c>
    </row>
    <row r="18" spans="1:17" x14ac:dyDescent="0.35">
      <c r="A18" s="22" t="e">
        <f>VLOOKUP(A1,DIV_10Data!$A$1:$DZU$1000000,291,FALSE)</f>
        <v>#N/A</v>
      </c>
      <c r="B18" s="37" t="e">
        <f>VLOOKUP(A1,DIV_10Data!$A$1:$DZU$1000000,292,FALSE)</f>
        <v>#N/A</v>
      </c>
      <c r="C18" s="38" t="e">
        <f>VLOOKUP(A1,DIV_10Data!$A$1:$DZU$1000000,293,FALSE)</f>
        <v>#N/A</v>
      </c>
      <c r="D18" s="31" t="e">
        <f>VLOOKUP(A1,DIV_10Data!$A$1:$DZU$1000000,294,FALSE)</f>
        <v>#N/A</v>
      </c>
      <c r="E18" s="32" t="e">
        <f>VLOOKUP(A1,DIV_10Data!$A$1:$DZU$1000000,295,FALSE)</f>
        <v>#N/A</v>
      </c>
      <c r="F18" s="34" t="e">
        <f>VLOOKUP(A1,DIV_10Data!$A$1:$DZU$1000000,296,FALSE)</f>
        <v>#N/A</v>
      </c>
      <c r="G18" s="33" t="e">
        <f>VLOOKUP(A1,DIV_10Data!$A$1:$DZU$1000000,297,FALSE)</f>
        <v>#N/A</v>
      </c>
      <c r="H18" s="34" t="e">
        <f>VLOOKUP(A1,DIV_10Data!$A$1:$DZU$1000000,298,FALSE)</f>
        <v>#N/A</v>
      </c>
      <c r="I18" s="33" t="e">
        <f>VLOOKUP(A1,DIV_10Data!$A$1:$DZU$1000000,299,FALSE)</f>
        <v>#N/A</v>
      </c>
      <c r="J18" s="34" t="e">
        <f>VLOOKUP(A1,DIV_10Data!$A$1:$DZU$1000000,300,FALSE)</f>
        <v>#N/A</v>
      </c>
      <c r="K18" s="34" t="e">
        <f>VLOOKUP(A1,DIV_10Data!$A$1:$DZU$1000000,301,FALSE)</f>
        <v>#N/A</v>
      </c>
      <c r="L18" s="93" t="e">
        <f>VLOOKUP(A1,DIV_10Data!$A$1:$DZU$1000000,302,FALSE)</f>
        <v>#N/A</v>
      </c>
      <c r="M18" s="33" t="e">
        <f>VLOOKUP(A1,DIV_10Data!$A$1:$DZU$1000000,303,FALSE)</f>
        <v>#N/A</v>
      </c>
      <c r="N18" s="34" t="e">
        <f>VLOOKUP(A1,DIV_10Data!$A$1:$DZU$1000000,304,FALSE)</f>
        <v>#N/A</v>
      </c>
      <c r="O18" s="33" t="e">
        <f>VLOOKUP(A1,DIV_10Data!$A$1:$DZU$1000000,305,FALSE)</f>
        <v>#N/A</v>
      </c>
      <c r="P18" s="46" t="e">
        <f>VLOOKUP(A1,DIV_10Data!$A$1:$DZU$1000000,306,FALSE)</f>
        <v>#N/A</v>
      </c>
      <c r="Q18" s="33" t="e">
        <f>VLOOKUP(A1,DIV_10Data!$A$1:$DZU$1000000,307,FALSE)</f>
        <v>#N/A</v>
      </c>
    </row>
    <row r="19" spans="1:17" x14ac:dyDescent="0.35">
      <c r="A19" s="22" t="e">
        <f>VLOOKUP(A1,DIV_10Data!$A$1:$DZU$1000000,308,FALSE)</f>
        <v>#N/A</v>
      </c>
      <c r="B19" s="37" t="e">
        <f>VLOOKUP(A1,DIV_10Data!$A$1:$DZU$1000000,309,FALSE)</f>
        <v>#N/A</v>
      </c>
      <c r="C19" s="38" t="e">
        <f>VLOOKUP(A1,DIV_10Data!$A$1:$DZU$1000000,310,FALSE)</f>
        <v>#N/A</v>
      </c>
      <c r="D19" s="31" t="e">
        <f>VLOOKUP(A1,DIV_10Data!$A$1:$DZU$1000000,311,FALSE)</f>
        <v>#N/A</v>
      </c>
      <c r="E19" s="32" t="e">
        <f>VLOOKUP(A1,DIV_10Data!$A$1:$DZU$1000000,312,FALSE)</f>
        <v>#N/A</v>
      </c>
      <c r="F19" s="34" t="e">
        <f>VLOOKUP(A1,DIV_10Data!$A$1:$DZU$1000000,313,FALSE)</f>
        <v>#N/A</v>
      </c>
      <c r="G19" s="33" t="e">
        <f>VLOOKUP(A1,DIV_10Data!$A$1:$DZU$1000000,314,FALSE)</f>
        <v>#N/A</v>
      </c>
      <c r="H19" s="34" t="e">
        <f>VLOOKUP(A1,DIV_10Data!$A$1:$DZU$1000000,315,FALSE)</f>
        <v>#N/A</v>
      </c>
      <c r="I19" s="33" t="e">
        <f>VLOOKUP(A1,DIV_10Data!$A$1:$DZU$1000000,316,FALSE)</f>
        <v>#N/A</v>
      </c>
      <c r="J19" s="34" t="e">
        <f>VLOOKUP(A1,DIV_10Data!$A$1:$DZU$1000000,317,FALSE)</f>
        <v>#N/A</v>
      </c>
      <c r="K19" s="34" t="e">
        <f>VLOOKUP(A1,DIV_10Data!$A$1:$DZU$1000000,318,FALSE)</f>
        <v>#N/A</v>
      </c>
      <c r="L19" s="93" t="e">
        <f>VLOOKUP(A1,DIV_10Data!$A$1:$DZU$1000000,319,FALSE)</f>
        <v>#N/A</v>
      </c>
      <c r="M19" s="33" t="e">
        <f>VLOOKUP(A1,DIV_10Data!$A$1:$DZU$1000000,320,FALSE)</f>
        <v>#N/A</v>
      </c>
      <c r="N19" s="34" t="e">
        <f>VLOOKUP(A1,DIV_10Data!$A$1:$DZU$1000000,321,FALSE)</f>
        <v>#N/A</v>
      </c>
      <c r="O19" s="33" t="e">
        <f>VLOOKUP(A1,DIV_10Data!$A$1:$DZU$1000000,322,FALSE)</f>
        <v>#N/A</v>
      </c>
      <c r="P19" s="46" t="e">
        <f>VLOOKUP(A1,DIV_10Data!$A$1:$DZU$1000000,323,FALSE)</f>
        <v>#N/A</v>
      </c>
      <c r="Q19" s="33" t="e">
        <f>VLOOKUP(A1,DIV_10Data!$A$1:$DZU$1000000,324,FALSE)</f>
        <v>#N/A</v>
      </c>
    </row>
    <row r="20" spans="1:17" x14ac:dyDescent="0.35">
      <c r="A20" s="22" t="e">
        <f>VLOOKUP(A1,DIV_10Data!$A$1:$DZU$1000000,325,FALSE)</f>
        <v>#N/A</v>
      </c>
      <c r="B20" s="37" t="e">
        <f>VLOOKUP(A1,DIV_10Data!$A$1:$DZU$1000000,326,FALSE)</f>
        <v>#N/A</v>
      </c>
      <c r="C20" s="38" t="e">
        <f>VLOOKUP(A1,DIV_10Data!$A$1:$DZU$1000000,327,FALSE)</f>
        <v>#N/A</v>
      </c>
      <c r="D20" s="31" t="e">
        <f>VLOOKUP(A1,DIV_10Data!$A$1:$DZU$1000000,328,FALSE)</f>
        <v>#N/A</v>
      </c>
      <c r="E20" s="32" t="e">
        <f>VLOOKUP(A1,DIV_10Data!$A$1:$DZU$1000000,329,FALSE)</f>
        <v>#N/A</v>
      </c>
      <c r="F20" s="34" t="e">
        <f>VLOOKUP(A1,DIV_10Data!$A$1:$DZU$1000000,330,FALSE)</f>
        <v>#N/A</v>
      </c>
      <c r="G20" s="33" t="e">
        <f>VLOOKUP(A1,DIV_10Data!$A$1:$DZU$1000000,331,FALSE)</f>
        <v>#N/A</v>
      </c>
      <c r="H20" s="34" t="e">
        <f>VLOOKUP(A1,DIV_10Data!$A$1:$DZU$1000000,332,FALSE)</f>
        <v>#N/A</v>
      </c>
      <c r="I20" s="33" t="e">
        <f>VLOOKUP(A1,DIV_10Data!$A$1:$DZU$1000000,333,FALSE)</f>
        <v>#N/A</v>
      </c>
      <c r="J20" s="34" t="e">
        <f>VLOOKUP(A1,DIV_10Data!$A$1:$DZU$1000000,334,FALSE)</f>
        <v>#N/A</v>
      </c>
      <c r="K20" s="34" t="e">
        <f>VLOOKUP(A1,DIV_10Data!$A$1:$DZU$1000000,335,FALSE)</f>
        <v>#N/A</v>
      </c>
      <c r="L20" s="93" t="e">
        <f>VLOOKUP(A1,DIV_10Data!$A$1:$DZU$1000000,336,FALSE)</f>
        <v>#N/A</v>
      </c>
      <c r="M20" s="33" t="e">
        <f>VLOOKUP(A1,DIV_10Data!$A$1:$DZU$1000000,337,FALSE)</f>
        <v>#N/A</v>
      </c>
      <c r="N20" s="34" t="e">
        <f>VLOOKUP(A1,DIV_10Data!$A$1:$DZU$1000000,338,FALSE)</f>
        <v>#N/A</v>
      </c>
      <c r="O20" s="33" t="e">
        <f>VLOOKUP(A1,DIV_10Data!$A$1:$DZU$1000000,339,FALSE)</f>
        <v>#N/A</v>
      </c>
      <c r="P20" s="46" t="e">
        <f>VLOOKUP(A1,DIV_10Data!$A$1:$DZU$1000000,340,FALSE)</f>
        <v>#N/A</v>
      </c>
      <c r="Q20" s="33" t="e">
        <f>VLOOKUP(A1,DIV_10Data!$A$1:$DZU$1000000,341,FALSE)</f>
        <v>#N/A</v>
      </c>
    </row>
    <row r="21" spans="1:17" x14ac:dyDescent="0.35">
      <c r="A21" s="22" t="e">
        <f>VLOOKUP(A1,DIV_10Data!$A$1:$DZU$1000000,342,FALSE)</f>
        <v>#N/A</v>
      </c>
      <c r="B21" s="37" t="e">
        <f>VLOOKUP(A1,DIV_10Data!$A$1:$DZU$1000000,343,FALSE)</f>
        <v>#N/A</v>
      </c>
      <c r="C21" s="38" t="e">
        <f>VLOOKUP(A1,DIV_10Data!$A$1:$DZU$1000000,344,FALSE)</f>
        <v>#N/A</v>
      </c>
      <c r="D21" s="31" t="e">
        <f>VLOOKUP(A1,DIV_10Data!$A$1:$DZU$1000000,345,FALSE)</f>
        <v>#N/A</v>
      </c>
      <c r="E21" s="32" t="e">
        <f>VLOOKUP(A1,DIV_10Data!$A$1:$DZU$1000000,346,FALSE)</f>
        <v>#N/A</v>
      </c>
      <c r="F21" s="34" t="e">
        <f>VLOOKUP(A1,DIV_10Data!$A$1:$DZU$1000000,347,FALSE)</f>
        <v>#N/A</v>
      </c>
      <c r="G21" s="33" t="e">
        <f>VLOOKUP(A1,DIV_10Data!$A$1:$DZU$1000000,348,FALSE)</f>
        <v>#N/A</v>
      </c>
      <c r="H21" s="34" t="e">
        <f>VLOOKUP(A1,DIV_10Data!$A$1:$DZU$1000000,349,FALSE)</f>
        <v>#N/A</v>
      </c>
      <c r="I21" s="33" t="e">
        <f>VLOOKUP(A1,DIV_10Data!$A$1:$DZU$1000000,350,FALSE)</f>
        <v>#N/A</v>
      </c>
      <c r="J21" s="34" t="e">
        <f>VLOOKUP(A1,DIV_10Data!$A$1:$DZU$1000000,351,FALSE)</f>
        <v>#N/A</v>
      </c>
      <c r="K21" s="34" t="e">
        <f>VLOOKUP(A1,DIV_10Data!$A$1:$DZU$1000000,352,FALSE)</f>
        <v>#N/A</v>
      </c>
      <c r="L21" s="93" t="e">
        <f>VLOOKUP(A1,DIV_10Data!$A$1:$DZU$1000000,353,FALSE)</f>
        <v>#N/A</v>
      </c>
      <c r="M21" s="33" t="e">
        <f>VLOOKUP(A1,DIV_10Data!$A$1:$DZU$1000000,354,FALSE)</f>
        <v>#N/A</v>
      </c>
      <c r="N21" s="34" t="e">
        <f>VLOOKUP(A1,DIV_10Data!$A$1:$DZU$1000000,355,FALSE)</f>
        <v>#N/A</v>
      </c>
      <c r="O21" s="33" t="e">
        <f>VLOOKUP(A1,DIV_10Data!$A$1:$DZU$1000000,356,FALSE)</f>
        <v>#N/A</v>
      </c>
      <c r="P21" s="46" t="e">
        <f>VLOOKUP(A1,DIV_10Data!$A$1:$DZU$1000000,357,FALSE)</f>
        <v>#N/A</v>
      </c>
      <c r="Q21" s="33" t="e">
        <f>VLOOKUP(A1,DIV_10Data!$A$1:$DZU$1000000,358,FALSE)</f>
        <v>#N/A</v>
      </c>
    </row>
    <row r="22" spans="1:17" x14ac:dyDescent="0.35">
      <c r="A22" s="22" t="e">
        <f>VLOOKUP(A1,DIV_10Data!$A$1:$DZU$1000000,359,FALSE)</f>
        <v>#N/A</v>
      </c>
      <c r="B22" s="37" t="e">
        <f>VLOOKUP(A1,DIV_10Data!$A$1:$DZU$1000000,360,FALSE)</f>
        <v>#N/A</v>
      </c>
      <c r="C22" s="38" t="e">
        <f>VLOOKUP(A1,DIV_10Data!$A$1:$DZU$1000000,361,FALSE)</f>
        <v>#N/A</v>
      </c>
      <c r="D22" s="31" t="e">
        <f>VLOOKUP(A1,DIV_10Data!$A$1:$DZU$1000000,362,FALSE)</f>
        <v>#N/A</v>
      </c>
      <c r="E22" s="32" t="e">
        <f>VLOOKUP(A1,DIV_10Data!$A$1:$DZU$1000000,363,FALSE)</f>
        <v>#N/A</v>
      </c>
      <c r="F22" s="34" t="e">
        <f>VLOOKUP(A1,DIV_10Data!$A$1:$DZU$1000000,364,FALSE)</f>
        <v>#N/A</v>
      </c>
      <c r="G22" s="33" t="e">
        <f>VLOOKUP(A1,DIV_10Data!$A$1:$DZU$1000000,365,FALSE)</f>
        <v>#N/A</v>
      </c>
      <c r="H22" s="34" t="e">
        <f>VLOOKUP(A1,DIV_10Data!$A$1:$DZU$1000000,366,FALSE)</f>
        <v>#N/A</v>
      </c>
      <c r="I22" s="33" t="e">
        <f>VLOOKUP(A1,DIV_10Data!$A$1:$DZU$1000000,367,FALSE)</f>
        <v>#N/A</v>
      </c>
      <c r="J22" s="34" t="e">
        <f>VLOOKUP(A1,DIV_10Data!$A$1:$DZU$1000000,368,FALSE)</f>
        <v>#N/A</v>
      </c>
      <c r="K22" s="34" t="e">
        <f>VLOOKUP(A1,DIV_10Data!$A$1:$DZU$1000000,369,FALSE)</f>
        <v>#N/A</v>
      </c>
      <c r="L22" s="93" t="e">
        <f>VLOOKUP(A1,DIV_10Data!$A$1:$DZU$1000000,370,FALSE)</f>
        <v>#N/A</v>
      </c>
      <c r="M22" s="33" t="e">
        <f>VLOOKUP(A1,DIV_10Data!$A$1:$DZU$1000000,371,FALSE)</f>
        <v>#N/A</v>
      </c>
      <c r="N22" s="34" t="e">
        <f>VLOOKUP(A1,DIV_10Data!$A$1:$DZU$1000000,372,FALSE)</f>
        <v>#N/A</v>
      </c>
      <c r="O22" s="33" t="e">
        <f>VLOOKUP(A1,DIV_10Data!$A$1:$DZU$1000000,373,FALSE)</f>
        <v>#N/A</v>
      </c>
      <c r="P22" s="46" t="e">
        <f>VLOOKUP(A1,DIV_10Data!$A$1:$DZU$1000000,374,FALSE)</f>
        <v>#N/A</v>
      </c>
      <c r="Q22" s="33" t="e">
        <f>VLOOKUP(A1,DIV_10Data!$A$1:$DZU$1000000,375,FALSE)</f>
        <v>#N/A</v>
      </c>
    </row>
    <row r="23" spans="1:17" x14ac:dyDescent="0.35">
      <c r="A23" s="22" t="e">
        <f>VLOOKUP(A1,DIV_10Data!$A$1:$DZU$1000000,376,FALSE)</f>
        <v>#N/A</v>
      </c>
      <c r="B23" s="37" t="e">
        <f>VLOOKUP(A1,DIV_10Data!$A$1:$DZU$1000000,377,FALSE)</f>
        <v>#N/A</v>
      </c>
      <c r="C23" s="38" t="e">
        <f>VLOOKUP(A1,DIV_10Data!$A$1:$DZU$1000000,378,FALSE)</f>
        <v>#N/A</v>
      </c>
      <c r="D23" s="31" t="e">
        <f>VLOOKUP(A1,DIV_10Data!$A$1:$DZU$1000000,379,FALSE)</f>
        <v>#N/A</v>
      </c>
      <c r="E23" s="32" t="e">
        <f>VLOOKUP(A1,DIV_10Data!$A$1:$DZU$1000000,380,FALSE)</f>
        <v>#N/A</v>
      </c>
      <c r="F23" s="34" t="e">
        <f>VLOOKUP(A1,DIV_10Data!$A$1:$DZU$1000000,381,FALSE)</f>
        <v>#N/A</v>
      </c>
      <c r="G23" s="33" t="e">
        <f>VLOOKUP(A1,DIV_10Data!$A$1:$DZU$1000000,382,FALSE)</f>
        <v>#N/A</v>
      </c>
      <c r="H23" s="34" t="e">
        <f>VLOOKUP(A1,DIV_10Data!$A$1:$DZU$1000000,383,FALSE)</f>
        <v>#N/A</v>
      </c>
      <c r="I23" s="33" t="e">
        <f>VLOOKUP(A1,DIV_10Data!$A$1:$DZU$1000000,384,FALSE)</f>
        <v>#N/A</v>
      </c>
      <c r="J23" s="34" t="e">
        <f>VLOOKUP(A1,DIV_10Data!$A$1:$DZU$1000000,385,FALSE)</f>
        <v>#N/A</v>
      </c>
      <c r="K23" s="34" t="e">
        <f>VLOOKUP(A1,DIV_10Data!$A$1:$DZU$1000000,386,FALSE)</f>
        <v>#N/A</v>
      </c>
      <c r="L23" s="93" t="e">
        <f>VLOOKUP(A1,DIV_10Data!$A$1:$DZU$1000000,387,FALSE)</f>
        <v>#N/A</v>
      </c>
      <c r="M23" s="33" t="e">
        <f>VLOOKUP(A1,DIV_10Data!$A$1:$DZU$1000000,388,FALSE)</f>
        <v>#N/A</v>
      </c>
      <c r="N23" s="34" t="e">
        <f>VLOOKUP(A1,DIV_10Data!$A$1:$DZU$1000000,389,FALSE)</f>
        <v>#N/A</v>
      </c>
      <c r="O23" s="33" t="e">
        <f>VLOOKUP(A1,DIV_10Data!$A$1:$DZU$1000000,390,FALSE)</f>
        <v>#N/A</v>
      </c>
      <c r="P23" s="46" t="e">
        <f>VLOOKUP(A1,DIV_10Data!$A$1:$DZU$1000000,391,FALSE)</f>
        <v>#N/A</v>
      </c>
      <c r="Q23" s="33" t="e">
        <f>VLOOKUP(A1,DIV_10Data!$A$1:$DZU$1000000,392,FALSE)</f>
        <v>#N/A</v>
      </c>
    </row>
    <row r="24" spans="1:17" x14ac:dyDescent="0.35">
      <c r="A24" s="22" t="e">
        <f>VLOOKUP(A1,DIV_10Data!$A$1:$DZU$1000000,393,FALSE)</f>
        <v>#N/A</v>
      </c>
      <c r="B24" s="37" t="e">
        <f>VLOOKUP(A1,DIV_10Data!$A$1:$DZU$1000000,394,FALSE)</f>
        <v>#N/A</v>
      </c>
      <c r="C24" s="38" t="e">
        <f>VLOOKUP(A1,DIV_10Data!$A$1:$DZU$1000000,395,FALSE)</f>
        <v>#N/A</v>
      </c>
      <c r="D24" s="31" t="e">
        <f>VLOOKUP(A1,DIV_10Data!$A$1:$DZU$1000000,396,FALSE)</f>
        <v>#N/A</v>
      </c>
      <c r="E24" s="32" t="e">
        <f>VLOOKUP(A1,DIV_10Data!$A$1:$DZU$1000000,397,FALSE)</f>
        <v>#N/A</v>
      </c>
      <c r="F24" s="34" t="e">
        <f>VLOOKUP(A1,DIV_10Data!$A$1:$DZU$1000000,398,FALSE)</f>
        <v>#N/A</v>
      </c>
      <c r="G24" s="33" t="e">
        <f>VLOOKUP(A1,DIV_10Data!$A$1:$DZU$1000000,399,FALSE)</f>
        <v>#N/A</v>
      </c>
      <c r="H24" s="34" t="e">
        <f>VLOOKUP(A1,DIV_10Data!$A$1:$DZU$1000000,400,FALSE)</f>
        <v>#N/A</v>
      </c>
      <c r="I24" s="33" t="e">
        <f>VLOOKUP(A1,DIV_10Data!$A$1:$DZU$1000000,401,FALSE)</f>
        <v>#N/A</v>
      </c>
      <c r="J24" s="34" t="e">
        <f>VLOOKUP(A1,DIV_10Data!$A$1:$DZU$1000000,402,FALSE)</f>
        <v>#N/A</v>
      </c>
      <c r="K24" s="34" t="e">
        <f>VLOOKUP(A1,DIV_10Data!$A$1:$DZU$1000000,403,FALSE)</f>
        <v>#N/A</v>
      </c>
      <c r="L24" s="93" t="e">
        <f>VLOOKUP(A1,DIV_10Data!$A$1:$DZU$1000000,404,FALSE)</f>
        <v>#N/A</v>
      </c>
      <c r="M24" s="33" t="e">
        <f>VLOOKUP(A1,DIV_10Data!$A$1:$DZU$1000000,405,FALSE)</f>
        <v>#N/A</v>
      </c>
      <c r="N24" s="34" t="e">
        <f>VLOOKUP(A1,DIV_10Data!$A$1:$DZU$1000000,406,FALSE)</f>
        <v>#N/A</v>
      </c>
      <c r="O24" s="33" t="e">
        <f>VLOOKUP(A1,DIV_10Data!$A$1:$DZU$1000000,407,FALSE)</f>
        <v>#N/A</v>
      </c>
      <c r="P24" s="46" t="e">
        <f>VLOOKUP(A1,DIV_10Data!$A$1:$DZU$1000000,408,FALSE)</f>
        <v>#N/A</v>
      </c>
      <c r="Q24" s="33" t="e">
        <f>VLOOKUP(A1,DIV_10Data!$A$1:$DZU$1000000,409,FALSE)</f>
        <v>#N/A</v>
      </c>
    </row>
    <row r="25" spans="1:17" x14ac:dyDescent="0.35">
      <c r="A25" s="22" t="e">
        <f>VLOOKUP(A1,DIV_10Data!$A$1:$DZU$1000000,410,FALSE)</f>
        <v>#N/A</v>
      </c>
      <c r="B25" s="37" t="e">
        <f>VLOOKUP(A1,DIV_10Data!$A$1:$DZU$1000000,411,FALSE)</f>
        <v>#N/A</v>
      </c>
      <c r="C25" s="38" t="e">
        <f>VLOOKUP(A1,DIV_10Data!$A$1:$DZU$1000000,412,FALSE)</f>
        <v>#N/A</v>
      </c>
      <c r="D25" s="31" t="e">
        <f>VLOOKUP(A1,DIV_10Data!$A$1:$DZU$1000000,413,FALSE)</f>
        <v>#N/A</v>
      </c>
      <c r="E25" s="32" t="e">
        <f>VLOOKUP(A1,DIV_10Data!$A$1:$DZU$1000000,414,FALSE)</f>
        <v>#N/A</v>
      </c>
      <c r="F25" s="34" t="e">
        <f>VLOOKUP(A1,DIV_10Data!$A$1:$DZU$1000000,415,FALSE)</f>
        <v>#N/A</v>
      </c>
      <c r="G25" s="33" t="e">
        <f>VLOOKUP(A1,DIV_10Data!$A$1:$DZU$1000000,416,FALSE)</f>
        <v>#N/A</v>
      </c>
      <c r="H25" s="34" t="e">
        <f>VLOOKUP(A1,DIV_10Data!$A$1:$DZU$1000000,417,FALSE)</f>
        <v>#N/A</v>
      </c>
      <c r="I25" s="33" t="e">
        <f>VLOOKUP(A1,DIV_10Data!$A$1:$DZU$1000000,418,FALSE)</f>
        <v>#N/A</v>
      </c>
      <c r="J25" s="34" t="e">
        <f>VLOOKUP(A1,DIV_10Data!$A$1:$DZU$1000000,419,FALSE)</f>
        <v>#N/A</v>
      </c>
      <c r="K25" s="34" t="e">
        <f>VLOOKUP(A1,DIV_10Data!$A$1:$DZU$1000000,420,FALSE)</f>
        <v>#N/A</v>
      </c>
      <c r="L25" s="93" t="e">
        <f>VLOOKUP(A1,DIV_10Data!$A$1:$DZU$1000000,421,FALSE)</f>
        <v>#N/A</v>
      </c>
      <c r="M25" s="33" t="e">
        <f>VLOOKUP(A1,DIV_10Data!$A$1:$DZU$1000000,422,FALSE)</f>
        <v>#N/A</v>
      </c>
      <c r="N25" s="34" t="e">
        <f>VLOOKUP(A1,DIV_10Data!$A$1:$DZU$1000000,423,FALSE)</f>
        <v>#N/A</v>
      </c>
      <c r="O25" s="33" t="e">
        <f>VLOOKUP(A1,DIV_10Data!$A$1:$DZU$1000000,424,FALSE)</f>
        <v>#N/A</v>
      </c>
      <c r="P25" s="46" t="e">
        <f>VLOOKUP(A1,DIV_10Data!$A$1:$DZU$1000000,425,FALSE)</f>
        <v>#N/A</v>
      </c>
      <c r="Q25" s="33" t="e">
        <f>VLOOKUP(A1,DIV_10Data!$A$1:$DZU$1000000,426,FALSE)</f>
        <v>#N/A</v>
      </c>
    </row>
    <row r="26" spans="1:17" x14ac:dyDescent="0.35">
      <c r="A26" s="22" t="e">
        <f>VLOOKUP(A1,DIV_10Data!$A$1:$DZU$1000000,427,FALSE)</f>
        <v>#N/A</v>
      </c>
      <c r="B26" s="37" t="e">
        <f>VLOOKUP(A1,DIV_10Data!$A$1:$DZU$1000000,428,FALSE)</f>
        <v>#N/A</v>
      </c>
      <c r="C26" s="38" t="e">
        <f>VLOOKUP(A1,DIV_10Data!$A$1:$DZU$1000000,429,FALSE)</f>
        <v>#N/A</v>
      </c>
      <c r="D26" s="31" t="e">
        <f>VLOOKUP(A1,DIV_10Data!$A$1:$DZU$1000000,430,FALSE)</f>
        <v>#N/A</v>
      </c>
      <c r="E26" s="32" t="e">
        <f>VLOOKUP(A1,DIV_10Data!$A$1:$DZU$1000000,431,FALSE)</f>
        <v>#N/A</v>
      </c>
      <c r="F26" s="34" t="e">
        <f>VLOOKUP(A1,DIV_10Data!$A$1:$DZU$1000000,432,FALSE)</f>
        <v>#N/A</v>
      </c>
      <c r="G26" s="33" t="e">
        <f>VLOOKUP(A1,DIV_10Data!$A$1:$DZU$1000000,433,FALSE)</f>
        <v>#N/A</v>
      </c>
      <c r="H26" s="34" t="e">
        <f>VLOOKUP(A1,DIV_10Data!$A$1:$DZU$1000000,434,FALSE)</f>
        <v>#N/A</v>
      </c>
      <c r="I26" s="33" t="e">
        <f>VLOOKUP(A1,DIV_10Data!$A$1:$DZU$1000000,435,FALSE)</f>
        <v>#N/A</v>
      </c>
      <c r="J26" s="34" t="e">
        <f>VLOOKUP(A1,DIV_10Data!$A$1:$DZU$1000000,436,FALSE)</f>
        <v>#N/A</v>
      </c>
      <c r="K26" s="34" t="e">
        <f>VLOOKUP(A1,DIV_10Data!$A$1:$DZU$1000000,437,FALSE)</f>
        <v>#N/A</v>
      </c>
      <c r="L26" s="93" t="e">
        <f>VLOOKUP(A1,DIV_10Data!$A$1:$DZU$1000000,438,FALSE)</f>
        <v>#N/A</v>
      </c>
      <c r="M26" s="33" t="e">
        <f>VLOOKUP(A1,DIV_10Data!$A$1:$DZU$1000000,439,FALSE)</f>
        <v>#N/A</v>
      </c>
      <c r="N26" s="34" t="e">
        <f>VLOOKUP(A1,DIV_10Data!$A$1:$DZU$1000000,440,FALSE)</f>
        <v>#N/A</v>
      </c>
      <c r="O26" s="33" t="e">
        <f>VLOOKUP(A1,DIV_10Data!$A$1:$DZU$1000000,441,FALSE)</f>
        <v>#N/A</v>
      </c>
      <c r="P26" s="46" t="e">
        <f>VLOOKUP(A1,DIV_10Data!$A$1:$DZU$1000000,442,FALSE)</f>
        <v>#N/A</v>
      </c>
      <c r="Q26" s="33" t="e">
        <f>VLOOKUP(A1,DIV_10Data!$A$1:$DZU$1000000,443,FALSE)</f>
        <v>#N/A</v>
      </c>
    </row>
    <row r="27" spans="1:17" x14ac:dyDescent="0.35">
      <c r="A27" s="22" t="e">
        <f>VLOOKUP(A1,DIV_10Data!$A$1:$DZU$1000000,444,FALSE)</f>
        <v>#N/A</v>
      </c>
      <c r="B27" s="37" t="e">
        <f>VLOOKUP(A1,DIV_10Data!$A$1:$DZU$1000000,445,FALSE)</f>
        <v>#N/A</v>
      </c>
      <c r="C27" s="38" t="e">
        <f>VLOOKUP(A1,DIV_10Data!$A$1:$DZU$1000000,446,FALSE)</f>
        <v>#N/A</v>
      </c>
      <c r="D27" s="31" t="e">
        <f>VLOOKUP(A1,DIV_10Data!$A$1:$DZU$1000000,447,FALSE)</f>
        <v>#N/A</v>
      </c>
      <c r="E27" s="32" t="e">
        <f>VLOOKUP(A1,DIV_10Data!$A$1:$DZU$1000000,448,FALSE)</f>
        <v>#N/A</v>
      </c>
      <c r="F27" s="34" t="e">
        <f>VLOOKUP(A1,DIV_10Data!$A$1:$DZU$1000000,449,FALSE)</f>
        <v>#N/A</v>
      </c>
      <c r="G27" s="33" t="e">
        <f>VLOOKUP(A1,DIV_10Data!$A$1:$DZU$1000000,450,FALSE)</f>
        <v>#N/A</v>
      </c>
      <c r="H27" s="34" t="e">
        <f>VLOOKUP(A1,DIV_10Data!$A$1:$DZU$1000000,451,FALSE)</f>
        <v>#N/A</v>
      </c>
      <c r="I27" s="33" t="e">
        <f>VLOOKUP(A1,DIV_10Data!$A$1:$DZU$1000000,452,FALSE)</f>
        <v>#N/A</v>
      </c>
      <c r="J27" s="34" t="e">
        <f>VLOOKUP(A1,DIV_10Data!$A$1:$DZU$1000000,453,FALSE)</f>
        <v>#N/A</v>
      </c>
      <c r="K27" s="34" t="e">
        <f>VLOOKUP(A1,DIV_10Data!$A$1:$DZU$1000000,454,FALSE)</f>
        <v>#N/A</v>
      </c>
      <c r="L27" s="93" t="e">
        <f>VLOOKUP(A1,DIV_10Data!$A$1:$DZU$1000000,455,FALSE)</f>
        <v>#N/A</v>
      </c>
      <c r="M27" s="33" t="e">
        <f>VLOOKUP(A1,DIV_10Data!$A$1:$DZU$1000000,456,FALSE)</f>
        <v>#N/A</v>
      </c>
      <c r="N27" s="34" t="e">
        <f>VLOOKUP(A1,DIV_10Data!$A$1:$DZU$1000000,457,FALSE)</f>
        <v>#N/A</v>
      </c>
      <c r="O27" s="33" t="e">
        <f>VLOOKUP(A1,DIV_10Data!$A$1:$DZU$1000000,458,FALSE)</f>
        <v>#N/A</v>
      </c>
      <c r="P27" s="46" t="e">
        <f>VLOOKUP(A1,DIV_10Data!$A$1:$DZU$1000000,459,FALSE)</f>
        <v>#N/A</v>
      </c>
      <c r="Q27" s="33" t="e">
        <f>VLOOKUP(A1,DIV_10Data!$A$1:$DZU$1000000,460,FALSE)</f>
        <v>#N/A</v>
      </c>
    </row>
    <row r="28" spans="1:17" x14ac:dyDescent="0.35">
      <c r="A28" s="22" t="e">
        <f>VLOOKUP(A1,DIV_10Data!$A$1:$DZU$1000000,461,FALSE)</f>
        <v>#N/A</v>
      </c>
      <c r="B28" s="37" t="e">
        <f>VLOOKUP(A1,DIV_10Data!$A$1:$DZU$1000000,462,FALSE)</f>
        <v>#N/A</v>
      </c>
      <c r="C28" s="38" t="e">
        <f>VLOOKUP(A1,DIV_10Data!$A$1:$DZU$1000000,463,FALSE)</f>
        <v>#N/A</v>
      </c>
      <c r="D28" s="31" t="e">
        <f>VLOOKUP(A1,DIV_10Data!$A$1:$DZU$1000000,464,FALSE)</f>
        <v>#N/A</v>
      </c>
      <c r="E28" s="32" t="e">
        <f>VLOOKUP(A1,DIV_10Data!$A$1:$DZU$1000000,465,FALSE)</f>
        <v>#N/A</v>
      </c>
      <c r="F28" s="34" t="e">
        <f>VLOOKUP(A1,DIV_10Data!$A$1:$DZU$1000000,466,FALSE)</f>
        <v>#N/A</v>
      </c>
      <c r="G28" s="33" t="e">
        <f>VLOOKUP(A1,DIV_10Data!$A$1:$DZU$1000000,467,FALSE)</f>
        <v>#N/A</v>
      </c>
      <c r="H28" s="34" t="e">
        <f>VLOOKUP(A1,DIV_10Data!$A$1:$DZU$1000000,468,FALSE)</f>
        <v>#N/A</v>
      </c>
      <c r="I28" s="33" t="e">
        <f>VLOOKUP(A1,DIV_10Data!$A$1:$DZU$1000000,469,FALSE)</f>
        <v>#N/A</v>
      </c>
      <c r="J28" s="34" t="e">
        <f>VLOOKUP(A1,DIV_10Data!$A$1:$DZU$1000000,470,FALSE)</f>
        <v>#N/A</v>
      </c>
      <c r="K28" s="34" t="e">
        <f>VLOOKUP(A1,DIV_10Data!$A$1:$DZU$1000000,471,FALSE)</f>
        <v>#N/A</v>
      </c>
      <c r="L28" s="93" t="e">
        <f>VLOOKUP(A1,DIV_10Data!$A$1:$DZU$1000000,472,FALSE)</f>
        <v>#N/A</v>
      </c>
      <c r="M28" s="33" t="e">
        <f>VLOOKUP(A1,DIV_10Data!$A$1:$DZU$1000000,473,FALSE)</f>
        <v>#N/A</v>
      </c>
      <c r="N28" s="34" t="e">
        <f>VLOOKUP(A1,DIV_10Data!$A$1:$DZU$1000000,474,FALSE)</f>
        <v>#N/A</v>
      </c>
      <c r="O28" s="33" t="e">
        <f>VLOOKUP(A1,DIV_10Data!$A$1:$DZU$1000000,475,FALSE)</f>
        <v>#N/A</v>
      </c>
      <c r="P28" s="46" t="e">
        <f>VLOOKUP(A1,DIV_10Data!$A$1:$DZU$1000000,476,FALSE)</f>
        <v>#N/A</v>
      </c>
      <c r="Q28" s="33" t="e">
        <f>VLOOKUP(A1,DIV_10Data!$A$1:$DZU$1000000,477,FALSE)</f>
        <v>#N/A</v>
      </c>
    </row>
    <row r="29" spans="1:17" x14ac:dyDescent="0.35">
      <c r="A29" s="22" t="e">
        <f>VLOOKUP(A1,DIV_10Data!$A$1:$DZU$1000000,478,FALSE)</f>
        <v>#N/A</v>
      </c>
      <c r="B29" s="37" t="e">
        <f>VLOOKUP(A1,DIV_10Data!$A$1:$DZU$1000000,479,FALSE)</f>
        <v>#N/A</v>
      </c>
      <c r="C29" s="38" t="e">
        <f>VLOOKUP(A1,DIV_10Data!$A$1:$DZU$1000000,480,FALSE)</f>
        <v>#N/A</v>
      </c>
      <c r="D29" s="31" t="e">
        <f>VLOOKUP(A1,DIV_10Data!$A$1:$DZU$1000000,481,FALSE)</f>
        <v>#N/A</v>
      </c>
      <c r="E29" s="32" t="e">
        <f>VLOOKUP(A1,DIV_10Data!$A$1:$DZU$1000000,482,FALSE)</f>
        <v>#N/A</v>
      </c>
      <c r="F29" s="34" t="e">
        <f>VLOOKUP(A1,DIV_10Data!$A$1:$DZU$1000000,483,FALSE)</f>
        <v>#N/A</v>
      </c>
      <c r="G29" s="33" t="e">
        <f>VLOOKUP(A1,DIV_10Data!$A$1:$DZU$1000000,484,FALSE)</f>
        <v>#N/A</v>
      </c>
      <c r="H29" s="34" t="e">
        <f>VLOOKUP(A1,DIV_10Data!$A$1:$DZU$1000000,485,FALSE)</f>
        <v>#N/A</v>
      </c>
      <c r="I29" s="33" t="e">
        <f>VLOOKUP(A1,DIV_10Data!$A$1:$DZU$1000000,486,FALSE)</f>
        <v>#N/A</v>
      </c>
      <c r="J29" s="34" t="e">
        <f>VLOOKUP(A1,DIV_10Data!$A$1:$DZU$1000000,487,FALSE)</f>
        <v>#N/A</v>
      </c>
      <c r="K29" s="34" t="e">
        <f>VLOOKUP(A1,DIV_10Data!$A$1:$DZU$1000000,488,FALSE)</f>
        <v>#N/A</v>
      </c>
      <c r="L29" s="93" t="e">
        <f>VLOOKUP(A1,DIV_10Data!$A$1:$DZU$1000000,489,FALSE)</f>
        <v>#N/A</v>
      </c>
      <c r="M29" s="33" t="e">
        <f>VLOOKUP(A1,DIV_10Data!$A$1:$DZU$1000000,490,FALSE)</f>
        <v>#N/A</v>
      </c>
      <c r="N29" s="34" t="e">
        <f>VLOOKUP(A1,DIV_10Data!$A$1:$DZU$1000000,491,FALSE)</f>
        <v>#N/A</v>
      </c>
      <c r="O29" s="33" t="e">
        <f>VLOOKUP(A1,DIV_10Data!$A$1:$DZU$1000000,492,FALSE)</f>
        <v>#N/A</v>
      </c>
      <c r="P29" s="46" t="e">
        <f>VLOOKUP(A1,DIV_10Data!$A$1:$DZU$1000000,493,FALSE)</f>
        <v>#N/A</v>
      </c>
      <c r="Q29" s="33" t="e">
        <f>VLOOKUP(A1,DIV_10Data!$A$1:$DZU$1000000,494,FALSE)</f>
        <v>#N/A</v>
      </c>
    </row>
    <row r="30" spans="1:17" x14ac:dyDescent="0.35">
      <c r="A30" s="22" t="e">
        <f>VLOOKUP(A1,DIV_10Data!$A$1:$DZU$1000000,495,FALSE)</f>
        <v>#N/A</v>
      </c>
      <c r="B30" s="37" t="e">
        <f>VLOOKUP(A1,DIV_10Data!$A$1:$DZU$1000000,496,FALSE)</f>
        <v>#N/A</v>
      </c>
      <c r="C30" s="38" t="e">
        <f>VLOOKUP(A1,DIV_10Data!$A$1:$DZU$1000000,497,FALSE)</f>
        <v>#N/A</v>
      </c>
      <c r="D30" s="31" t="e">
        <f>VLOOKUP(A1,DIV_10Data!$A$1:$DZU$1000000,498,FALSE)</f>
        <v>#N/A</v>
      </c>
      <c r="E30" s="32" t="e">
        <f>VLOOKUP(A1,DIV_10Data!$A$1:$DZU$1000000,499,FALSE)</f>
        <v>#N/A</v>
      </c>
      <c r="F30" s="34" t="e">
        <f>VLOOKUP(A1,DIV_10Data!$A$1:$DZU$1000000,500,FALSE)</f>
        <v>#N/A</v>
      </c>
      <c r="G30" s="33" t="e">
        <f>VLOOKUP(A1,DIV_10Data!$A$1:$DZU$1000000,501,FALSE)</f>
        <v>#N/A</v>
      </c>
      <c r="H30" s="34" t="e">
        <f>VLOOKUP(A1,DIV_10Data!$A$1:$DZU$1000000,502,FALSE)</f>
        <v>#N/A</v>
      </c>
      <c r="I30" s="33" t="e">
        <f>VLOOKUP(A1,DIV_10Data!$A$1:$DZU$1000000,503,FALSE)</f>
        <v>#N/A</v>
      </c>
      <c r="J30" s="34" t="e">
        <f>VLOOKUP(A1,DIV_10Data!$A$1:$DZU$1000000,504,FALSE)</f>
        <v>#N/A</v>
      </c>
      <c r="K30" s="34" t="e">
        <f>VLOOKUP(A1,DIV_10Data!$A$1:$DZU$1000000,505,FALSE)</f>
        <v>#N/A</v>
      </c>
      <c r="L30" s="93" t="e">
        <f>VLOOKUP(A1,DIV_10Data!$A$1:$DZU$1000000,506,FALSE)</f>
        <v>#N/A</v>
      </c>
      <c r="M30" s="33" t="e">
        <f>VLOOKUP(A1,DIV_10Data!$A$1:$DZU$1000000,507,FALSE)</f>
        <v>#N/A</v>
      </c>
      <c r="N30" s="34" t="e">
        <f>VLOOKUP(A1,DIV_10Data!$A$1:$DZU$1000000,508,FALSE)</f>
        <v>#N/A</v>
      </c>
      <c r="O30" s="33" t="e">
        <f>VLOOKUP(A1,DIV_10Data!$A$1:$DZU$1000000,509,FALSE)</f>
        <v>#N/A</v>
      </c>
      <c r="P30" s="46" t="e">
        <f>VLOOKUP(A1,DIV_10Data!$A$1:$DZU$1000000,510,FALSE)</f>
        <v>#N/A</v>
      </c>
      <c r="Q30" s="33" t="e">
        <f>VLOOKUP(A1,DIV_10Data!$A$1:$DZU$1000000,511,FALSE)</f>
        <v>#N/A</v>
      </c>
    </row>
    <row r="31" spans="1:17" x14ac:dyDescent="0.35">
      <c r="A31" s="22" t="e">
        <f>VLOOKUP(A1,DIV_10Data!$A$1:$DZU$1000000,512,FALSE)</f>
        <v>#N/A</v>
      </c>
      <c r="B31" s="37" t="e">
        <f>VLOOKUP(A1,DIV_10Data!$A$1:$DZU$1000000,513,FALSE)</f>
        <v>#N/A</v>
      </c>
      <c r="C31" s="38" t="e">
        <f>VLOOKUP(A1,DIV_10Data!$A$1:$DZU$1000000,514,FALSE)</f>
        <v>#N/A</v>
      </c>
      <c r="D31" s="31" t="e">
        <f>VLOOKUP(A1,DIV_10Data!$A$1:$DZU$1000000,515,FALSE)</f>
        <v>#N/A</v>
      </c>
      <c r="E31" s="32" t="e">
        <f>VLOOKUP(A1,DIV_10Data!$A$1:$DZU$1000000,516,FALSE)</f>
        <v>#N/A</v>
      </c>
      <c r="F31" s="34" t="e">
        <f>VLOOKUP(A1,DIV_10Data!$A$1:$DZU$1000000,517,FALSE)</f>
        <v>#N/A</v>
      </c>
      <c r="G31" s="33" t="e">
        <f>VLOOKUP(A1,DIV_10Data!$A$1:$DZU$1000000,518,FALSE)</f>
        <v>#N/A</v>
      </c>
      <c r="H31" s="34" t="e">
        <f>VLOOKUP(A1,DIV_10Data!$A$1:$DZU$1000000,519,FALSE)</f>
        <v>#N/A</v>
      </c>
      <c r="I31" s="33" t="e">
        <f>VLOOKUP(A1,DIV_10Data!$A$1:$DZU$1000000,520,FALSE)</f>
        <v>#N/A</v>
      </c>
      <c r="J31" s="34" t="e">
        <f>VLOOKUP(A1,DIV_10Data!$A$1:$DZU$1000000,521,FALSE)</f>
        <v>#N/A</v>
      </c>
      <c r="K31" s="34" t="e">
        <f>VLOOKUP(A1,DIV_10Data!$A$1:$DZU$1000000,522,FALSE)</f>
        <v>#N/A</v>
      </c>
      <c r="L31" s="93" t="e">
        <f>VLOOKUP(A1,DIV_10Data!$A$1:$DZU$1000000,523,FALSE)</f>
        <v>#N/A</v>
      </c>
      <c r="M31" s="33" t="e">
        <f>VLOOKUP(A1,DIV_10Data!$A$1:$DZU$1000000,524,FALSE)</f>
        <v>#N/A</v>
      </c>
      <c r="N31" s="34" t="e">
        <f>VLOOKUP(A1,DIV_10Data!$A$1:$DZU$1000000,525,FALSE)</f>
        <v>#N/A</v>
      </c>
      <c r="O31" s="33" t="e">
        <f>VLOOKUP(A1,DIV_10Data!$A$1:$DZU$1000000,526,FALSE)</f>
        <v>#N/A</v>
      </c>
      <c r="P31" s="46" t="e">
        <f>VLOOKUP(A1,DIV_10Data!$A$1:$DZU$1000000,527,FALSE)</f>
        <v>#N/A</v>
      </c>
      <c r="Q31" s="33" t="e">
        <f>VLOOKUP(A1,DIV_10Data!$A$1:$DZU$1000000,528,FALSE)</f>
        <v>#N/A</v>
      </c>
    </row>
    <row r="32" spans="1:17" x14ac:dyDescent="0.35">
      <c r="A32" s="22" t="e">
        <f>VLOOKUP(A1,DIV_10Data!$A$1:$DZU$1000000,529,FALSE)</f>
        <v>#N/A</v>
      </c>
      <c r="B32" s="37" t="e">
        <f>VLOOKUP(A1,DIV_10Data!$A$1:$DZU$1000000,530,FALSE)</f>
        <v>#N/A</v>
      </c>
      <c r="C32" s="38" t="e">
        <f>VLOOKUP(A1,DIV_10Data!$A$1:$DZU$1000000,531,FALSE)</f>
        <v>#N/A</v>
      </c>
      <c r="D32" s="31" t="e">
        <f>VLOOKUP(A1,DIV_10Data!$A$1:$DZU$1000000,532,FALSE)</f>
        <v>#N/A</v>
      </c>
      <c r="E32" s="32" t="e">
        <f>VLOOKUP(A1,DIV_10Data!$A$1:$DZU$1000000,533,FALSE)</f>
        <v>#N/A</v>
      </c>
      <c r="F32" s="34" t="e">
        <f>VLOOKUP(A1,DIV_10Data!$A$1:$DZU$1000000,534,FALSE)</f>
        <v>#N/A</v>
      </c>
      <c r="G32" s="33" t="e">
        <f>VLOOKUP(A1,DIV_10Data!$A$1:$DZU$1000000,535,FALSE)</f>
        <v>#N/A</v>
      </c>
      <c r="H32" s="34" t="e">
        <f>VLOOKUP(A1,DIV_10Data!$A$1:$DZU$1000000,536,FALSE)</f>
        <v>#N/A</v>
      </c>
      <c r="I32" s="33" t="e">
        <f>VLOOKUP(A1,DIV_10Data!$A$1:$DZU$1000000,537,FALSE)</f>
        <v>#N/A</v>
      </c>
      <c r="J32" s="34" t="e">
        <f>VLOOKUP(A1,DIV_10Data!$A$1:$DZU$1000000,538,FALSE)</f>
        <v>#N/A</v>
      </c>
      <c r="K32" s="34" t="e">
        <f>VLOOKUP(A1,DIV_10Data!$A$1:$DZU$1000000,539,FALSE)</f>
        <v>#N/A</v>
      </c>
      <c r="L32" s="93" t="e">
        <f>VLOOKUP(A1,DIV_10Data!$A$1:$DZU$1000000,540,FALSE)</f>
        <v>#N/A</v>
      </c>
      <c r="M32" s="33" t="e">
        <f>VLOOKUP(A1,DIV_10Data!$A$1:$DZU$1000000,541,FALSE)</f>
        <v>#N/A</v>
      </c>
      <c r="N32" s="34" t="e">
        <f>VLOOKUP(A1,DIV_10Data!$A$1:$DZU$1000000,542,FALSE)</f>
        <v>#N/A</v>
      </c>
      <c r="O32" s="33" t="e">
        <f>VLOOKUP(A1,DIV_10Data!$A$1:$DZU$1000000,543,FALSE)</f>
        <v>#N/A</v>
      </c>
      <c r="P32" s="46" t="e">
        <f>VLOOKUP(A1,DIV_10Data!$A$1:$DZU$1000000,544,FALSE)</f>
        <v>#N/A</v>
      </c>
      <c r="Q32" s="33" t="e">
        <f>VLOOKUP(A1,DIV_10Data!$A$1:$DZU$1000000,545,FALSE)</f>
        <v>#N/A</v>
      </c>
    </row>
    <row r="33" spans="1:17" x14ac:dyDescent="0.35">
      <c r="A33" s="22" t="e">
        <f>VLOOKUP(A1,DIV_10Data!$A$1:$DZU$1000000,546,FALSE)</f>
        <v>#N/A</v>
      </c>
      <c r="B33" s="37" t="e">
        <f>VLOOKUP(A1,DIV_10Data!$A$1:$DZU$1000000,547,FALSE)</f>
        <v>#N/A</v>
      </c>
      <c r="C33" s="38" t="e">
        <f>VLOOKUP(A1,DIV_10Data!$A$1:$DZU$1000000,548,FALSE)</f>
        <v>#N/A</v>
      </c>
      <c r="D33" s="31" t="e">
        <f>VLOOKUP(A1,DIV_10Data!$A$1:$DZU$1000000,549,FALSE)</f>
        <v>#N/A</v>
      </c>
      <c r="E33" s="32" t="e">
        <f>VLOOKUP(A1,DIV_10Data!$A$1:$DZU$1000000,550,FALSE)</f>
        <v>#N/A</v>
      </c>
      <c r="F33" s="34" t="e">
        <f>VLOOKUP(A1,DIV_10Data!$A$1:$DZU$1000000,551,FALSE)</f>
        <v>#N/A</v>
      </c>
      <c r="G33" s="33" t="e">
        <f>VLOOKUP(A1,DIV_10Data!$A$1:$DZU$1000000,552,FALSE)</f>
        <v>#N/A</v>
      </c>
      <c r="H33" s="34" t="e">
        <f>VLOOKUP(A1,DIV_10Data!$A$1:$DZU$1000000,553,FALSE)</f>
        <v>#N/A</v>
      </c>
      <c r="I33" s="33" t="e">
        <f>VLOOKUP(A1,DIV_10Data!$A$1:$DZU$1000000,554,FALSE)</f>
        <v>#N/A</v>
      </c>
      <c r="J33" s="34" t="e">
        <f>VLOOKUP(A1,DIV_10Data!$A$1:$DZU$1000000,555,FALSE)</f>
        <v>#N/A</v>
      </c>
      <c r="K33" s="34" t="e">
        <f>VLOOKUP(A1,DIV_10Data!$A$1:$DZU$1000000,556,FALSE)</f>
        <v>#N/A</v>
      </c>
      <c r="L33" s="93" t="e">
        <f>VLOOKUP(A1,DIV_10Data!$A$1:$DZU$1000000,557,FALSE)</f>
        <v>#N/A</v>
      </c>
      <c r="M33" s="33" t="e">
        <f>VLOOKUP(A1,DIV_10Data!$A$1:$DZU$1000000,558,FALSE)</f>
        <v>#N/A</v>
      </c>
      <c r="N33" s="34" t="e">
        <f>VLOOKUP(A1,DIV_10Data!$A$1:$DZU$1000000,559,FALSE)</f>
        <v>#N/A</v>
      </c>
      <c r="O33" s="33" t="e">
        <f>VLOOKUP(A1,DIV_10Data!$A$1:$DZU$1000000,560,FALSE)</f>
        <v>#N/A</v>
      </c>
      <c r="P33" s="46" t="e">
        <f>VLOOKUP(A1,DIV_10Data!$A$1:$DZU$1000000,561,FALSE)</f>
        <v>#N/A</v>
      </c>
      <c r="Q33" s="33" t="e">
        <f>VLOOKUP(A1,DIV_10Data!$A$1:$DZU$1000000,562,FALSE)</f>
        <v>#N/A</v>
      </c>
    </row>
    <row r="34" spans="1:17" x14ac:dyDescent="0.35">
      <c r="A34" s="22" t="e">
        <f>VLOOKUP(A1,DIV_10Data!$A$1:$DZU$1000000,563,FALSE)</f>
        <v>#N/A</v>
      </c>
      <c r="B34" s="37" t="e">
        <f>VLOOKUP(A1,DIV_10Data!$A$1:$DZU$1000000,564,FALSE)</f>
        <v>#N/A</v>
      </c>
      <c r="C34" s="38" t="e">
        <f>VLOOKUP(A1,DIV_10Data!$A$1:$DZU$1000000,565,FALSE)</f>
        <v>#N/A</v>
      </c>
      <c r="D34" s="31" t="e">
        <f>VLOOKUP(A1,DIV_10Data!$A$1:$DZU$1000000,566,FALSE)</f>
        <v>#N/A</v>
      </c>
      <c r="E34" s="32" t="e">
        <f>VLOOKUP(A1,DIV_10Data!$A$1:$DZU$1000000,567,FALSE)</f>
        <v>#N/A</v>
      </c>
      <c r="F34" s="34" t="e">
        <f>VLOOKUP(A1,DIV_10Data!$A$1:$DZU$1000000,568,FALSE)</f>
        <v>#N/A</v>
      </c>
      <c r="G34" s="33" t="e">
        <f>VLOOKUP(A1,DIV_10Data!$A$1:$DZU$1000000,569,FALSE)</f>
        <v>#N/A</v>
      </c>
      <c r="H34" s="34" t="e">
        <f>VLOOKUP(A1,DIV_10Data!$A$1:$DZU$1000000,570,FALSE)</f>
        <v>#N/A</v>
      </c>
      <c r="I34" s="33" t="e">
        <f>VLOOKUP(A1,DIV_10Data!$A$1:$DZU$1000000,571,FALSE)</f>
        <v>#N/A</v>
      </c>
      <c r="J34" s="34" t="e">
        <f>VLOOKUP(A1,DIV_10Data!$A$1:$DZU$1000000,572,FALSE)</f>
        <v>#N/A</v>
      </c>
      <c r="K34" s="34" t="e">
        <f>VLOOKUP(A1,DIV_10Data!$A$1:$DZU$1000000,573,FALSE)</f>
        <v>#N/A</v>
      </c>
      <c r="L34" s="93" t="e">
        <f>VLOOKUP(A1,DIV_10Data!$A$1:$DZU$1000000,574,FALSE)</f>
        <v>#N/A</v>
      </c>
      <c r="M34" s="33" t="e">
        <f>VLOOKUP(A1,DIV_10Data!$A$1:$DZU$1000000,575,FALSE)</f>
        <v>#N/A</v>
      </c>
      <c r="N34" s="34" t="e">
        <f>VLOOKUP(A1,DIV_10Data!$A$1:$DZU$1000000,576,FALSE)</f>
        <v>#N/A</v>
      </c>
      <c r="O34" s="33" t="e">
        <f>VLOOKUP(A1,DIV_10Data!$A$1:$DZU$1000000,577,FALSE)</f>
        <v>#N/A</v>
      </c>
      <c r="P34" s="46" t="e">
        <f>VLOOKUP(A1,DIV_10Data!$A$1:$DZU$1000000,578,FALSE)</f>
        <v>#N/A</v>
      </c>
      <c r="Q34" s="33" t="e">
        <f>VLOOKUP(A1,DIV_10Data!$A$1:$DZU$1000000,579,FALSE)</f>
        <v>#N/A</v>
      </c>
    </row>
    <row r="35" spans="1:17" x14ac:dyDescent="0.35">
      <c r="A35" s="22" t="e">
        <f>VLOOKUP(A1,DIV_10Data!$A$1:$DZU$1000000,580,FALSE)</f>
        <v>#N/A</v>
      </c>
      <c r="B35" s="37" t="e">
        <f>VLOOKUP(A1,DIV_10Data!$A$1:$DZU$1000000,581,FALSE)</f>
        <v>#N/A</v>
      </c>
      <c r="C35" s="38" t="e">
        <f>VLOOKUP(A1,DIV_10Data!$A$1:$DZU$1000000,582,FALSE)</f>
        <v>#N/A</v>
      </c>
      <c r="D35" s="31" t="e">
        <f>VLOOKUP(A1,DIV_10Data!$A$1:$DZU$1000000,583,FALSE)</f>
        <v>#N/A</v>
      </c>
      <c r="E35" s="32" t="e">
        <f>VLOOKUP(A1,DIV_10Data!$A$1:$DZU$1000000,584,FALSE)</f>
        <v>#N/A</v>
      </c>
      <c r="F35" s="34" t="e">
        <f>VLOOKUP(A1,DIV_10Data!$A$1:$DZU$1000000,585,FALSE)</f>
        <v>#N/A</v>
      </c>
      <c r="G35" s="33" t="e">
        <f>VLOOKUP(A1,DIV_10Data!$A$1:$DZU$1000000,586,FALSE)</f>
        <v>#N/A</v>
      </c>
      <c r="H35" s="34" t="e">
        <f>VLOOKUP(A1,DIV_10Data!$A$1:$DZU$1000000,587,FALSE)</f>
        <v>#N/A</v>
      </c>
      <c r="I35" s="33" t="e">
        <f>VLOOKUP(A1,DIV_10Data!$A$1:$DZU$1000000,588,FALSE)</f>
        <v>#N/A</v>
      </c>
      <c r="J35" s="34" t="e">
        <f>VLOOKUP(A1,DIV_10Data!$A$1:$DZU$1000000,589,FALSE)</f>
        <v>#N/A</v>
      </c>
      <c r="K35" s="34" t="e">
        <f>VLOOKUP(A1,DIV_10Data!$A$1:$DZU$1000000,590,FALSE)</f>
        <v>#N/A</v>
      </c>
      <c r="L35" s="93" t="e">
        <f>VLOOKUP(A1,DIV_10Data!$A$1:$DZU$1000000,591,FALSE)</f>
        <v>#N/A</v>
      </c>
      <c r="M35" s="33" t="e">
        <f>VLOOKUP(A1,DIV_10Data!$A$1:$DZU$1000000,592,FALSE)</f>
        <v>#N/A</v>
      </c>
      <c r="N35" s="34" t="e">
        <f>VLOOKUP(A1,DIV_10Data!$A$1:$DZU$1000000,593,FALSE)</f>
        <v>#N/A</v>
      </c>
      <c r="O35" s="33" t="e">
        <f>VLOOKUP(A1,DIV_10Data!$A$1:$DZU$1000000,594,FALSE)</f>
        <v>#N/A</v>
      </c>
      <c r="P35" s="46" t="e">
        <f>VLOOKUP(A1,DIV_10Data!$A$1:$DZU$1000000,595,FALSE)</f>
        <v>#N/A</v>
      </c>
      <c r="Q35" s="33" t="e">
        <f>VLOOKUP(A1,DIV_10Data!$A$1:$DZU$1000000,596,FALSE)</f>
        <v>#N/A</v>
      </c>
    </row>
    <row r="36" spans="1:17" x14ac:dyDescent="0.35">
      <c r="A36" s="22" t="e">
        <f>VLOOKUP(A1,DIV_10Data!$A$1:$DZU$1000000,597,FALSE)</f>
        <v>#N/A</v>
      </c>
      <c r="B36" s="37" t="e">
        <f>VLOOKUP(A1,DIV_10Data!$A$1:$DZU$1000000,598,FALSE)</f>
        <v>#N/A</v>
      </c>
      <c r="C36" s="38" t="e">
        <f>VLOOKUP(A1,DIV_10Data!$A$1:$DZU$1000000,599,FALSE)</f>
        <v>#N/A</v>
      </c>
      <c r="D36" s="31" t="e">
        <f>VLOOKUP(A1,DIV_10Data!$A$1:$DZU$1000000,600,FALSE)</f>
        <v>#N/A</v>
      </c>
      <c r="E36" s="32" t="e">
        <f>VLOOKUP(A1,DIV_10Data!$A$1:$DZU$1000000,601,FALSE)</f>
        <v>#N/A</v>
      </c>
      <c r="F36" s="34" t="e">
        <f>VLOOKUP(A1,DIV_10Data!$A$1:$DZU$1000000,602,FALSE)</f>
        <v>#N/A</v>
      </c>
      <c r="G36" s="33" t="e">
        <f>VLOOKUP(A1,DIV_10Data!$A$1:$DZU$1000000,603,FALSE)</f>
        <v>#N/A</v>
      </c>
      <c r="H36" s="34" t="e">
        <f>VLOOKUP(A1,DIV_10Data!$A$1:$DZU$1000000,604,FALSE)</f>
        <v>#N/A</v>
      </c>
      <c r="I36" s="33" t="e">
        <f>VLOOKUP(A1,DIV_10Data!$A$1:$DZU$1000000,605,FALSE)</f>
        <v>#N/A</v>
      </c>
      <c r="J36" s="34" t="e">
        <f>VLOOKUP(A1,DIV_10Data!$A$1:$DZU$1000000,606,FALSE)</f>
        <v>#N/A</v>
      </c>
      <c r="K36" s="34" t="e">
        <f>VLOOKUP(A1,DIV_10Data!$A$1:$DZU$1000000,607,FALSE)</f>
        <v>#N/A</v>
      </c>
      <c r="L36" s="93" t="e">
        <f>VLOOKUP(A1,DIV_10Data!$A$1:$DZU$1000000,608,FALSE)</f>
        <v>#N/A</v>
      </c>
      <c r="M36" s="33" t="e">
        <f>VLOOKUP(A1,DIV_10Data!$A$1:$DZU$1000000,609,FALSE)</f>
        <v>#N/A</v>
      </c>
      <c r="N36" s="34" t="e">
        <f>VLOOKUP(A1,DIV_10Data!$A$1:$DZU$1000000,610,FALSE)</f>
        <v>#N/A</v>
      </c>
      <c r="O36" s="33" t="e">
        <f>VLOOKUP(A1,DIV_10Data!$A$1:$DZU$1000000,611,FALSE)</f>
        <v>#N/A</v>
      </c>
      <c r="P36" s="46" t="e">
        <f>VLOOKUP(A1,DIV_10Data!$A$1:$DZU$1000000,612,FALSE)</f>
        <v>#N/A</v>
      </c>
      <c r="Q36" s="33" t="e">
        <f>VLOOKUP(A1,DIV_10Data!$A$1:$DZU$1000000,613,FALSE)</f>
        <v>#N/A</v>
      </c>
    </row>
    <row r="37" spans="1:17" x14ac:dyDescent="0.35">
      <c r="A37" s="22" t="e">
        <f>VLOOKUP(A1,DIV_10Data!$A$1:$DZU$1000000,614,FALSE)</f>
        <v>#N/A</v>
      </c>
      <c r="B37" s="37" t="e">
        <f>VLOOKUP(A1,DIV_10Data!$A$1:$DZU$1000000,615,FALSE)</f>
        <v>#N/A</v>
      </c>
      <c r="C37" s="38" t="e">
        <f>VLOOKUP(A1,DIV_10Data!$A$1:$DZU$1000000,616,FALSE)</f>
        <v>#N/A</v>
      </c>
      <c r="D37" s="31" t="e">
        <f>VLOOKUP(A1,DIV_10Data!$A$1:$DZU$1000000,617,FALSE)</f>
        <v>#N/A</v>
      </c>
      <c r="E37" s="32" t="e">
        <f>VLOOKUP(A1,DIV_10Data!$A$1:$DZU$1000000,618,FALSE)</f>
        <v>#N/A</v>
      </c>
      <c r="F37" s="34" t="e">
        <f>VLOOKUP(A1,DIV_10Data!$A$1:$DZU$1000000,619,FALSE)</f>
        <v>#N/A</v>
      </c>
      <c r="G37" s="33" t="e">
        <f>VLOOKUP(A1,DIV_10Data!$A$1:$DZU$1000000,620,FALSE)</f>
        <v>#N/A</v>
      </c>
      <c r="H37" s="34" t="e">
        <f>VLOOKUP(A1,DIV_10Data!$A$1:$DZU$1000000,621,FALSE)</f>
        <v>#N/A</v>
      </c>
      <c r="I37" s="33" t="e">
        <f>VLOOKUP(A1,DIV_10Data!$A$1:$DZU$1000000,622,FALSE)</f>
        <v>#N/A</v>
      </c>
      <c r="J37" s="34" t="e">
        <f>VLOOKUP(A1,DIV_10Data!$A$1:$DZU$1000000,623,FALSE)</f>
        <v>#N/A</v>
      </c>
      <c r="K37" s="34" t="e">
        <f>VLOOKUP(A1,DIV_10Data!$A$1:$DZU$1000000,624,FALSE)</f>
        <v>#N/A</v>
      </c>
      <c r="L37" s="93" t="e">
        <f>VLOOKUP(A1,DIV_10Data!$A$1:$DZU$1000000,625,FALSE)</f>
        <v>#N/A</v>
      </c>
      <c r="M37" s="33" t="e">
        <f>VLOOKUP(A1,DIV_10Data!$A$1:$DZU$1000000,626,FALSE)</f>
        <v>#N/A</v>
      </c>
      <c r="N37" s="34" t="e">
        <f>VLOOKUP(A1,DIV_10Data!$A$1:$DZU$1000000,627,FALSE)</f>
        <v>#N/A</v>
      </c>
      <c r="O37" s="33" t="e">
        <f>VLOOKUP(A1,DIV_10Data!$A$1:$DZU$1000000,628,FALSE)</f>
        <v>#N/A</v>
      </c>
      <c r="P37" s="46" t="e">
        <f>VLOOKUP(A1,DIV_10Data!$A$1:$DZU$1000000,629,FALSE)</f>
        <v>#N/A</v>
      </c>
      <c r="Q37" s="33" t="e">
        <f>VLOOKUP(A1,DIV_10Data!$A$1:$DZU$1000000,630,FALSE)</f>
        <v>#N/A</v>
      </c>
    </row>
    <row r="38" spans="1:17" x14ac:dyDescent="0.35">
      <c r="A38" s="22" t="e">
        <f>VLOOKUP(A1,DIV_10Data!$A$1:$DZU$1000000,631,FALSE)</f>
        <v>#N/A</v>
      </c>
      <c r="B38" s="37" t="e">
        <f>VLOOKUP(A1,DIV_10Data!$A$1:$DZU$1000000,632,FALSE)</f>
        <v>#N/A</v>
      </c>
      <c r="C38" s="38" t="e">
        <f>VLOOKUP(A1,DIV_10Data!$A$1:$DZU$1000000,633,FALSE)</f>
        <v>#N/A</v>
      </c>
      <c r="D38" s="31" t="e">
        <f>VLOOKUP(A1,DIV_10Data!$A$1:$DZU$1000000,634,FALSE)</f>
        <v>#N/A</v>
      </c>
      <c r="E38" s="32" t="e">
        <f>VLOOKUP(A1,DIV_10Data!$A$1:$DZU$1000000,635,FALSE)</f>
        <v>#N/A</v>
      </c>
      <c r="F38" s="34" t="e">
        <f>VLOOKUP(A1,DIV_10Data!$A$1:$DZU$1000000,636,FALSE)</f>
        <v>#N/A</v>
      </c>
      <c r="G38" s="33" t="e">
        <f>VLOOKUP(A1,DIV_10Data!$A$1:$DZU$1000000,637,FALSE)</f>
        <v>#N/A</v>
      </c>
      <c r="H38" s="34" t="e">
        <f>VLOOKUP(A1,DIV_10Data!$A$1:$DZU$1000000,638,FALSE)</f>
        <v>#N/A</v>
      </c>
      <c r="I38" s="33" t="e">
        <f>VLOOKUP(A1,DIV_10Data!$A$1:$DZU$1000000,639,FALSE)</f>
        <v>#N/A</v>
      </c>
      <c r="J38" s="34" t="e">
        <f>VLOOKUP(A1,DIV_10Data!$A$1:$DZU$1000000,640,FALSE)</f>
        <v>#N/A</v>
      </c>
      <c r="K38" s="34" t="e">
        <f>VLOOKUP(A1,DIV_10Data!$A$1:$DZU$1000000,641,FALSE)</f>
        <v>#N/A</v>
      </c>
      <c r="L38" s="93" t="e">
        <f>VLOOKUP(A1,DIV_10Data!$A$1:$DZU$1000000,642,FALSE)</f>
        <v>#N/A</v>
      </c>
      <c r="M38" s="33" t="e">
        <f>VLOOKUP(A1,DIV_10Data!$A$1:$DZU$1000000,643,FALSE)</f>
        <v>#N/A</v>
      </c>
      <c r="N38" s="34" t="e">
        <f>VLOOKUP(A1,DIV_10Data!$A$1:$DZU$1000000,644,FALSE)</f>
        <v>#N/A</v>
      </c>
      <c r="O38" s="33" t="e">
        <f>VLOOKUP(A1,DIV_10Data!$A$1:$DZU$1000000,645,FALSE)</f>
        <v>#N/A</v>
      </c>
      <c r="P38" s="46" t="e">
        <f>VLOOKUP(A1,DIV_10Data!$A$1:$DZU$1000000,646,FALSE)</f>
        <v>#N/A</v>
      </c>
      <c r="Q38" s="33" t="e">
        <f>VLOOKUP(A1,DIV_10Data!$A$1:$DZU$1000000,647,FALSE)</f>
        <v>#N/A</v>
      </c>
    </row>
    <row r="39" spans="1:17" x14ac:dyDescent="0.35">
      <c r="A39" s="22" t="e">
        <f>VLOOKUP(A1,DIV_10Data!$A$1:$DZU$1000000,648,FALSE)</f>
        <v>#N/A</v>
      </c>
      <c r="B39" s="37" t="e">
        <f>VLOOKUP(A1,DIV_10Data!$A$1:$DZU$1000000,649,FALSE)</f>
        <v>#N/A</v>
      </c>
      <c r="C39" s="38" t="e">
        <f>VLOOKUP(A1,DIV_10Data!$A$1:$DZU$1000000,650,FALSE)</f>
        <v>#N/A</v>
      </c>
      <c r="D39" s="31" t="e">
        <f>VLOOKUP(A1,DIV_10Data!$A$1:$DZU$1000000,651,FALSE)</f>
        <v>#N/A</v>
      </c>
      <c r="E39" s="32" t="e">
        <f>VLOOKUP(A1,DIV_10Data!$A$1:$DZU$1000000,652,FALSE)</f>
        <v>#N/A</v>
      </c>
      <c r="F39" s="34" t="e">
        <f>VLOOKUP(A1,DIV_10Data!$A$1:$DZU$1000000,653,FALSE)</f>
        <v>#N/A</v>
      </c>
      <c r="G39" s="33" t="e">
        <f>VLOOKUP(A1,DIV_10Data!$A$1:$DZU$1000000,654,FALSE)</f>
        <v>#N/A</v>
      </c>
      <c r="H39" s="34" t="e">
        <f>VLOOKUP(A1,DIV_10Data!$A$1:$DZU$1000000,655,FALSE)</f>
        <v>#N/A</v>
      </c>
      <c r="I39" s="33" t="e">
        <f>VLOOKUP(A1,DIV_10Data!$A$1:$DZU$1000000,656,FALSE)</f>
        <v>#N/A</v>
      </c>
      <c r="J39" s="34" t="e">
        <f>VLOOKUP(A1,DIV_10Data!$A$1:$DZU$1000000,657,FALSE)</f>
        <v>#N/A</v>
      </c>
      <c r="K39" s="34" t="e">
        <f>VLOOKUP(A1,DIV_10Data!$A$1:$DZU$1000000,658,FALSE)</f>
        <v>#N/A</v>
      </c>
      <c r="L39" s="93" t="e">
        <f>VLOOKUP(A1,DIV_10Data!$A$1:$DZU$1000000,659,FALSE)</f>
        <v>#N/A</v>
      </c>
      <c r="M39" s="33" t="e">
        <f>VLOOKUP(A1,DIV_10Data!$A$1:$DZU$1000000,660,FALSE)</f>
        <v>#N/A</v>
      </c>
      <c r="N39" s="34" t="e">
        <f>VLOOKUP(A1,DIV_10Data!$A$1:$DZU$1000000,661,FALSE)</f>
        <v>#N/A</v>
      </c>
      <c r="O39" s="33" t="e">
        <f>VLOOKUP(A1,DIV_10Data!$A$1:$DZU$1000000,662,FALSE)</f>
        <v>#N/A</v>
      </c>
      <c r="P39" s="46" t="e">
        <f>VLOOKUP(A1,DIV_10Data!$A$1:$DZU$1000000,663,FALSE)</f>
        <v>#N/A</v>
      </c>
      <c r="Q39" s="33" t="e">
        <f>VLOOKUP(A1,DIV_10Data!$A$1:$DZU$1000000,664,FALSE)</f>
        <v>#N/A</v>
      </c>
    </row>
    <row r="40" spans="1:17" x14ac:dyDescent="0.35">
      <c r="A40" s="22" t="e">
        <f>VLOOKUP(A1,DIV_10Data!$A$1:$DZU$1000000,665,FALSE)</f>
        <v>#N/A</v>
      </c>
      <c r="B40" s="37" t="e">
        <f>VLOOKUP(A1,DIV_10Data!$A$1:$DZU$1000000,666,FALSE)</f>
        <v>#N/A</v>
      </c>
      <c r="C40" s="38" t="e">
        <f>VLOOKUP(A1,DIV_10Data!$A$1:$DZU$1000000,667,FALSE)</f>
        <v>#N/A</v>
      </c>
      <c r="D40" s="31" t="e">
        <f>VLOOKUP(A1,DIV_10Data!$A$1:$DZU$1000000,668,FALSE)</f>
        <v>#N/A</v>
      </c>
      <c r="E40" s="32" t="e">
        <f>VLOOKUP(A1,DIV_10Data!$A$1:$DZU$1000000,669,FALSE)</f>
        <v>#N/A</v>
      </c>
      <c r="F40" s="34" t="e">
        <f>VLOOKUP(A1,DIV_10Data!$A$1:$DZU$1000000,670,FALSE)</f>
        <v>#N/A</v>
      </c>
      <c r="G40" s="33" t="e">
        <f>VLOOKUP(A1,DIV_10Data!$A$1:$DZU$1000000,671,FALSE)</f>
        <v>#N/A</v>
      </c>
      <c r="H40" s="34" t="e">
        <f>VLOOKUP(A1,DIV_10Data!$A$1:$DZU$1000000,672,FALSE)</f>
        <v>#N/A</v>
      </c>
      <c r="I40" s="33" t="e">
        <f>VLOOKUP(A1,DIV_10Data!$A$1:$DZU$1000000,673,FALSE)</f>
        <v>#N/A</v>
      </c>
      <c r="J40" s="34" t="e">
        <f>VLOOKUP(A1,DIV_10Data!$A$1:$DZU$1000000,674,FALSE)</f>
        <v>#N/A</v>
      </c>
      <c r="K40" s="34" t="e">
        <f>VLOOKUP(A1,DIV_10Data!$A$1:$DZU$1000000,675,FALSE)</f>
        <v>#N/A</v>
      </c>
      <c r="L40" s="93" t="e">
        <f>VLOOKUP(A1,DIV_10Data!$A$1:$DZU$1000000,676,FALSE)</f>
        <v>#N/A</v>
      </c>
      <c r="M40" s="33" t="e">
        <f>VLOOKUP(A1,DIV_10Data!$A$1:$DZU$1000000,677,FALSE)</f>
        <v>#N/A</v>
      </c>
      <c r="N40" s="34" t="e">
        <f>VLOOKUP(A1,DIV_10Data!$A$1:$DZU$1000000,678,FALSE)</f>
        <v>#N/A</v>
      </c>
      <c r="O40" s="33" t="e">
        <f>VLOOKUP(A1,DIV_10Data!$A$1:$DZU$1000000,679,FALSE)</f>
        <v>#N/A</v>
      </c>
      <c r="P40" s="46" t="e">
        <f>VLOOKUP(A1,DIV_10Data!$A$1:$DZU$1000000,680,FALSE)</f>
        <v>#N/A</v>
      </c>
      <c r="Q40" s="33" t="e">
        <f>VLOOKUP(A1,DIV_10Data!$A$1:$DZU$1000000,681,FALSE)</f>
        <v>#N/A</v>
      </c>
    </row>
    <row r="41" spans="1:17" x14ac:dyDescent="0.35">
      <c r="A41" s="22" t="e">
        <f>VLOOKUP(A1,DIV_10Data!$A$1:$DZU$1000000,682,FALSE)</f>
        <v>#N/A</v>
      </c>
      <c r="B41" s="37" t="e">
        <f>VLOOKUP(A1,DIV_10Data!$A$1:$DZU$1000000,683,FALSE)</f>
        <v>#N/A</v>
      </c>
      <c r="C41" s="38" t="e">
        <f>VLOOKUP(A1,DIV_10Data!$A$1:$DZU$1000000,684,FALSE)</f>
        <v>#N/A</v>
      </c>
      <c r="D41" s="31" t="e">
        <f>VLOOKUP(A1,DIV_10Data!$A$1:$DZU$1000000,685,FALSE)</f>
        <v>#N/A</v>
      </c>
      <c r="E41" s="32" t="e">
        <f>VLOOKUP(A1,DIV_10Data!$A$1:$DZU$1000000,686,FALSE)</f>
        <v>#N/A</v>
      </c>
      <c r="F41" s="34" t="e">
        <f>VLOOKUP(A1,DIV_10Data!$A$1:$DZU$1000000,687,FALSE)</f>
        <v>#N/A</v>
      </c>
      <c r="G41" s="33" t="e">
        <f>VLOOKUP(A1,DIV_10Data!$A$1:$DZU$1000000,688,FALSE)</f>
        <v>#N/A</v>
      </c>
      <c r="H41" s="34" t="e">
        <f>VLOOKUP(A1,DIV_10Data!$A$1:$DZU$1000000,689,FALSE)</f>
        <v>#N/A</v>
      </c>
      <c r="I41" s="33" t="e">
        <f>VLOOKUP(A1,DIV_10Data!$A$1:$DZU$1000000,690,FALSE)</f>
        <v>#N/A</v>
      </c>
      <c r="J41" s="34" t="e">
        <f>VLOOKUP(A1,DIV_10Data!$A$1:$DZU$1000000,691,FALSE)</f>
        <v>#N/A</v>
      </c>
      <c r="K41" s="34" t="e">
        <f>VLOOKUP(A1,DIV_10Data!$A$1:$DZU$1000000,692,FALSE)</f>
        <v>#N/A</v>
      </c>
      <c r="L41" s="93" t="e">
        <f>VLOOKUP(A1,DIV_10Data!$A$1:$DZU$1000000,693,FALSE)</f>
        <v>#N/A</v>
      </c>
      <c r="M41" s="33" t="e">
        <f>VLOOKUP(A1,DIV_10Data!$A$1:$DZU$1000000,694,FALSE)</f>
        <v>#N/A</v>
      </c>
      <c r="N41" s="34" t="e">
        <f>VLOOKUP(A1,DIV_10Data!$A$1:$DZU$1000000,695,FALSE)</f>
        <v>#N/A</v>
      </c>
      <c r="O41" s="33" t="e">
        <f>VLOOKUP(A1,DIV_10Data!$A$1:$DZU$1000000,696,FALSE)</f>
        <v>#N/A</v>
      </c>
      <c r="P41" s="46" t="e">
        <f>VLOOKUP(A1,DIV_10Data!$A$1:$DZU$1000000,697,FALSE)</f>
        <v>#N/A</v>
      </c>
      <c r="Q41" s="33" t="e">
        <f>VLOOKUP(A1,DIV_10Data!$A$1:$DZU$1000000,698,FALSE)</f>
        <v>#N/A</v>
      </c>
    </row>
    <row r="42" spans="1:17" x14ac:dyDescent="0.35">
      <c r="A42" s="22" t="e">
        <f>VLOOKUP(A1,DIV_10Data!$A$1:$DZU$1000000,699,FALSE)</f>
        <v>#N/A</v>
      </c>
      <c r="B42" s="37" t="e">
        <f>VLOOKUP(A1,DIV_10Data!$A$1:$DZU$1000000,700,FALSE)</f>
        <v>#N/A</v>
      </c>
      <c r="C42" s="38" t="e">
        <f>VLOOKUP(A1,DIV_10Data!$A$1:$DZU$1000000,701,FALSE)</f>
        <v>#N/A</v>
      </c>
      <c r="D42" s="31" t="e">
        <f>VLOOKUP(A1,DIV_10Data!$A$1:$DZU$1000000,702,FALSE)</f>
        <v>#N/A</v>
      </c>
      <c r="E42" s="32" t="e">
        <f>VLOOKUP(A1,DIV_10Data!$A$1:$DZU$1000000,703,FALSE)</f>
        <v>#N/A</v>
      </c>
      <c r="F42" s="34" t="e">
        <f>VLOOKUP(A1,DIV_10Data!$A$1:$DZU$1000000,704,FALSE)</f>
        <v>#N/A</v>
      </c>
      <c r="G42" s="33" t="e">
        <f>VLOOKUP(A1,DIV_10Data!$A$1:$DZU$1000000,705,FALSE)</f>
        <v>#N/A</v>
      </c>
      <c r="H42" s="34" t="e">
        <f>VLOOKUP(A1,DIV_10Data!$A$1:$DZU$1000000,706,FALSE)</f>
        <v>#N/A</v>
      </c>
      <c r="I42" s="33" t="e">
        <f>VLOOKUP(A1,DIV_10Data!$A$1:$DZU$1000000,707,FALSE)</f>
        <v>#N/A</v>
      </c>
      <c r="J42" s="34" t="e">
        <f>VLOOKUP(A1,DIV_10Data!$A$1:$DZU$1000000,708,FALSE)</f>
        <v>#N/A</v>
      </c>
      <c r="K42" s="34" t="e">
        <f>VLOOKUP(A1,DIV_10Data!$A$1:$DZU$1000000,709,FALSE)</f>
        <v>#N/A</v>
      </c>
      <c r="L42" s="93" t="e">
        <f>VLOOKUP(A1,DIV_10Data!$A$1:$DZU$1000000,710,FALSE)</f>
        <v>#N/A</v>
      </c>
      <c r="M42" s="33" t="e">
        <f>VLOOKUP(A1,DIV_10Data!$A$1:$DZU$1000000,711,FALSE)</f>
        <v>#N/A</v>
      </c>
      <c r="N42" s="34" t="e">
        <f>VLOOKUP(A1,DIV_10Data!$A$1:$DZU$1000000,712,FALSE)</f>
        <v>#N/A</v>
      </c>
      <c r="O42" s="33" t="e">
        <f>VLOOKUP(A1,DIV_10Data!$A$1:$DZU$1000000,713,FALSE)</f>
        <v>#N/A</v>
      </c>
      <c r="P42" s="46" t="e">
        <f>VLOOKUP(A1,DIV_10Data!$A$1:$DZU$1000000,714,FALSE)</f>
        <v>#N/A</v>
      </c>
      <c r="Q42" s="33" t="e">
        <f>VLOOKUP(A1,DIV_10Data!$A$1:$DZU$1000000,715,FALSE)</f>
        <v>#N/A</v>
      </c>
    </row>
    <row r="43" spans="1:17" x14ac:dyDescent="0.35">
      <c r="A43" s="22" t="e">
        <f>VLOOKUP(A1,DIV_10Data!$A$1:$DZU$1000000,716,FALSE)</f>
        <v>#N/A</v>
      </c>
      <c r="B43" s="37" t="e">
        <f>VLOOKUP(A1,DIV_10Data!$A$1:$DZU$1000000,717,FALSE)</f>
        <v>#N/A</v>
      </c>
      <c r="C43" s="38" t="e">
        <f>VLOOKUP(A1,DIV_10Data!$A$1:$DZU$1000000,718,FALSE)</f>
        <v>#N/A</v>
      </c>
      <c r="D43" s="31" t="e">
        <f>VLOOKUP(A1,DIV_10Data!$A$1:$DZU$1000000,719,FALSE)</f>
        <v>#N/A</v>
      </c>
      <c r="E43" s="32" t="e">
        <f>VLOOKUP(A1,DIV_10Data!$A$1:$DZU$1000000,720,FALSE)</f>
        <v>#N/A</v>
      </c>
      <c r="F43" s="34" t="e">
        <f>VLOOKUP(A1,DIV_10Data!$A$1:$DZU$1000000,721,FALSE)</f>
        <v>#N/A</v>
      </c>
      <c r="G43" s="33" t="e">
        <f>VLOOKUP(A1,DIV_10Data!$A$1:$DZU$1000000,722,FALSE)</f>
        <v>#N/A</v>
      </c>
      <c r="H43" s="34" t="e">
        <f>VLOOKUP(A1,DIV_10Data!$A$1:$DZU$1000000,723,FALSE)</f>
        <v>#N/A</v>
      </c>
      <c r="I43" s="33" t="e">
        <f>VLOOKUP(A1,DIV_10Data!$A$1:$DZU$1000000,724,FALSE)</f>
        <v>#N/A</v>
      </c>
      <c r="J43" s="34" t="e">
        <f>VLOOKUP(A1,DIV_10Data!$A$1:$DZU$1000000,725,FALSE)</f>
        <v>#N/A</v>
      </c>
      <c r="K43" s="34" t="e">
        <f>VLOOKUP(A1,DIV_10Data!$A$1:$DZU$1000000,726,FALSE)</f>
        <v>#N/A</v>
      </c>
      <c r="L43" s="93" t="e">
        <f>VLOOKUP(A1,DIV_10Data!$A$1:$DZU$1000000,727,FALSE)</f>
        <v>#N/A</v>
      </c>
      <c r="M43" s="33" t="e">
        <f>VLOOKUP(A1,DIV_10Data!$A$1:$DZU$1000000,728,FALSE)</f>
        <v>#N/A</v>
      </c>
      <c r="N43" s="34" t="e">
        <f>VLOOKUP(A1,DIV_10Data!$A$1:$DZU$1000000,729,FALSE)</f>
        <v>#N/A</v>
      </c>
      <c r="O43" s="33" t="e">
        <f>VLOOKUP(A1,DIV_10Data!$A$1:$DZU$1000000,730,FALSE)</f>
        <v>#N/A</v>
      </c>
      <c r="P43" s="46" t="e">
        <f>VLOOKUP(A1,DIV_10Data!$A$1:$DZU$1000000,731,FALSE)</f>
        <v>#N/A</v>
      </c>
      <c r="Q43" s="33" t="e">
        <f>VLOOKUP(A1,DIV_10Data!$A$1:$DZU$1000000,732,FALSE)</f>
        <v>#N/A</v>
      </c>
    </row>
    <row r="44" spans="1:17" x14ac:dyDescent="0.35">
      <c r="A44" s="22" t="e">
        <f>VLOOKUP(A1,DIV_10Data!$A$1:$DZU$1000000,733,FALSE)</f>
        <v>#N/A</v>
      </c>
      <c r="B44" s="37" t="e">
        <f>VLOOKUP(A1,DIV_10Data!$A$1:$DZU$1000000,734,FALSE)</f>
        <v>#N/A</v>
      </c>
      <c r="C44" s="38" t="e">
        <f>VLOOKUP(A1,DIV_10Data!$A$1:$DZU$1000000,735,FALSE)</f>
        <v>#N/A</v>
      </c>
      <c r="D44" s="31" t="e">
        <f>VLOOKUP(A1,DIV_10Data!$A$1:$DZU$1000000,736,FALSE)</f>
        <v>#N/A</v>
      </c>
      <c r="E44" s="32" t="e">
        <f>VLOOKUP(A1,DIV_10Data!$A$1:$DZU$1000000,737,FALSE)</f>
        <v>#N/A</v>
      </c>
      <c r="F44" s="34" t="e">
        <f>VLOOKUP(A1,DIV_10Data!$A$1:$DZU$1000000,738,FALSE)</f>
        <v>#N/A</v>
      </c>
      <c r="G44" s="33" t="e">
        <f>VLOOKUP(A1,DIV_10Data!$A$1:$DZU$1000000,739,FALSE)</f>
        <v>#N/A</v>
      </c>
      <c r="H44" s="34" t="e">
        <f>VLOOKUP(A1,DIV_10Data!$A$1:$DZU$1000000,740,FALSE)</f>
        <v>#N/A</v>
      </c>
      <c r="I44" s="33" t="e">
        <f>VLOOKUP(A1,DIV_10Data!$A$1:$DZU$1000000,741,FALSE)</f>
        <v>#N/A</v>
      </c>
      <c r="J44" s="34" t="e">
        <f>VLOOKUP(A1,DIV_10Data!$A$1:$DZU$1000000,742,FALSE)</f>
        <v>#N/A</v>
      </c>
      <c r="K44" s="34" t="e">
        <f>VLOOKUP(A1,DIV_10Data!$A$1:$DZU$1000000,743,FALSE)</f>
        <v>#N/A</v>
      </c>
      <c r="L44" s="93" t="e">
        <f>VLOOKUP(A1,DIV_10Data!$A$1:$DZU$1000000,744,FALSE)</f>
        <v>#N/A</v>
      </c>
      <c r="M44" s="33" t="e">
        <f>VLOOKUP(A1,DIV_10Data!$A$1:$DZU$1000000,745,FALSE)</f>
        <v>#N/A</v>
      </c>
      <c r="N44" s="34" t="e">
        <f>VLOOKUP(A1,DIV_10Data!$A$1:$DZU$1000000,746,FALSE)</f>
        <v>#N/A</v>
      </c>
      <c r="O44" s="33" t="e">
        <f>VLOOKUP(A1,DIV_10Data!$A$1:$DZU$1000000,747,FALSE)</f>
        <v>#N/A</v>
      </c>
      <c r="P44" s="46" t="e">
        <f>VLOOKUP(A1,DIV_10Data!$A$1:$DZU$1000000,748,FALSE)</f>
        <v>#N/A</v>
      </c>
      <c r="Q44" s="33" t="e">
        <f>VLOOKUP(A1,DIV_10Data!$A$1:$DZU$1000000,749,FALSE)</f>
        <v>#N/A</v>
      </c>
    </row>
    <row r="45" spans="1:17" x14ac:dyDescent="0.35">
      <c r="A45" s="22" t="e">
        <f>VLOOKUP(A1,DIV_10Data!$A$1:$DZU$1000000,750,FALSE)</f>
        <v>#N/A</v>
      </c>
      <c r="B45" s="37" t="e">
        <f>VLOOKUP(A1,DIV_10Data!$A$1:$DZU$1000000,751,FALSE)</f>
        <v>#N/A</v>
      </c>
      <c r="C45" s="38" t="e">
        <f>VLOOKUP(A1,DIV_10Data!$A$1:$DZU$1000000,752,FALSE)</f>
        <v>#N/A</v>
      </c>
      <c r="D45" s="31" t="e">
        <f>VLOOKUP(A1,DIV_10Data!$A$1:$DZU$1000000,753,FALSE)</f>
        <v>#N/A</v>
      </c>
      <c r="E45" s="32" t="e">
        <f>VLOOKUP(A1,DIV_10Data!$A$1:$DZU$1000000,754,FALSE)</f>
        <v>#N/A</v>
      </c>
      <c r="F45" s="34" t="e">
        <f>VLOOKUP(A1,DIV_10Data!$A$1:$DZU$1000000,755,FALSE)</f>
        <v>#N/A</v>
      </c>
      <c r="G45" s="33" t="e">
        <f>VLOOKUP(A1,DIV_10Data!$A$1:$DZU$1000000,756,FALSE)</f>
        <v>#N/A</v>
      </c>
      <c r="H45" s="34" t="e">
        <f>VLOOKUP(A1,DIV_10Data!$A$1:$DZU$1000000,757,FALSE)</f>
        <v>#N/A</v>
      </c>
      <c r="I45" s="33" t="e">
        <f>VLOOKUP(A1,DIV_10Data!$A$1:$DZU$1000000,758,FALSE)</f>
        <v>#N/A</v>
      </c>
      <c r="J45" s="34" t="e">
        <f>VLOOKUP(A1,DIV_10Data!$A$1:$DZU$1000000,759,FALSE)</f>
        <v>#N/A</v>
      </c>
      <c r="K45" s="34" t="e">
        <f>VLOOKUP(A1,DIV_10Data!$A$1:$DZU$1000000,760,FALSE)</f>
        <v>#N/A</v>
      </c>
      <c r="L45" s="93" t="e">
        <f>VLOOKUP(A1,DIV_10Data!$A$1:$DZU$1000000,761,FALSE)</f>
        <v>#N/A</v>
      </c>
      <c r="M45" s="33" t="e">
        <f>VLOOKUP(A1,DIV_10Data!$A$1:$DZU$1000000,762,FALSE)</f>
        <v>#N/A</v>
      </c>
      <c r="N45" s="34" t="e">
        <f>VLOOKUP(A1,DIV_10Data!$A$1:$DZU$1000000,763,FALSE)</f>
        <v>#N/A</v>
      </c>
      <c r="O45" s="33" t="e">
        <f>VLOOKUP(A1,DIV_10Data!$A$1:$DZU$1000000,764,FALSE)</f>
        <v>#N/A</v>
      </c>
      <c r="P45" s="46" t="e">
        <f>VLOOKUP(A1,DIV_10Data!$A$1:$DZU$1000000,765,FALSE)</f>
        <v>#N/A</v>
      </c>
      <c r="Q45" s="33" t="e">
        <f>VLOOKUP(A1,DIV_10Data!$A$1:$DZU$1000000,766,FALSE)</f>
        <v>#N/A</v>
      </c>
    </row>
    <row r="46" spans="1:17" x14ac:dyDescent="0.35">
      <c r="A46" s="22" t="e">
        <f>VLOOKUP(A1,DIV_10Data!$A$1:$DZU$1000000,767,FALSE)</f>
        <v>#N/A</v>
      </c>
      <c r="B46" s="37" t="e">
        <f>VLOOKUP(A1,DIV_10Data!$A$1:$DZU$1000000,768,FALSE)</f>
        <v>#N/A</v>
      </c>
      <c r="C46" s="38" t="e">
        <f>VLOOKUP(A1,DIV_10Data!$A$1:$DZU$1000000,769,FALSE)</f>
        <v>#N/A</v>
      </c>
      <c r="D46" s="31" t="e">
        <f>VLOOKUP(A1,DIV_10Data!$A$1:$DZU$1000000,770,FALSE)</f>
        <v>#N/A</v>
      </c>
      <c r="E46" s="32" t="e">
        <f>VLOOKUP(A1,DIV_10Data!$A$1:$DZU$1000000,771,FALSE)</f>
        <v>#N/A</v>
      </c>
      <c r="F46" s="34" t="e">
        <f>VLOOKUP(A1,DIV_10Data!$A$1:$DZU$1000000,772,FALSE)</f>
        <v>#N/A</v>
      </c>
      <c r="G46" s="33" t="e">
        <f>VLOOKUP(A1,DIV_10Data!$A$1:$DZU$1000000,773,FALSE)</f>
        <v>#N/A</v>
      </c>
      <c r="H46" s="34" t="e">
        <f>VLOOKUP(A1,DIV_10Data!$A$1:$DZU$1000000,774,FALSE)</f>
        <v>#N/A</v>
      </c>
      <c r="I46" s="33" t="e">
        <f>VLOOKUP(A1,DIV_10Data!$A$1:$DZU$1000000,775,FALSE)</f>
        <v>#N/A</v>
      </c>
      <c r="J46" s="34" t="e">
        <f>VLOOKUP(A1,DIV_10Data!$A$1:$DZU$1000000,776,FALSE)</f>
        <v>#N/A</v>
      </c>
      <c r="K46" s="34" t="e">
        <f>VLOOKUP(A1,DIV_10Data!$A$1:$DZU$1000000,777,FALSE)</f>
        <v>#N/A</v>
      </c>
      <c r="L46" s="93" t="e">
        <f>VLOOKUP(A1,DIV_10Data!$A$1:$DZU$1000000,778,FALSE)</f>
        <v>#N/A</v>
      </c>
      <c r="M46" s="33" t="e">
        <f>VLOOKUP(A1,DIV_10Data!$A$1:$DZU$1000000,779,FALSE)</f>
        <v>#N/A</v>
      </c>
      <c r="N46" s="34" t="e">
        <f>VLOOKUP(A1,DIV_10Data!$A$1:$DZU$1000000,780,FALSE)</f>
        <v>#N/A</v>
      </c>
      <c r="O46" s="33" t="e">
        <f>VLOOKUP(A1,DIV_10Data!$A$1:$DZU$1000000,781,FALSE)</f>
        <v>#N/A</v>
      </c>
      <c r="P46" s="46" t="e">
        <f>VLOOKUP(A1,DIV_10Data!$A$1:$DZU$1000000,782,FALSE)</f>
        <v>#N/A</v>
      </c>
      <c r="Q46" s="33" t="e">
        <f>VLOOKUP(A1,DIV_10Data!$A$1:$DZU$1000000,783,FALSE)</f>
        <v>#N/A</v>
      </c>
    </row>
    <row r="47" spans="1:17" x14ac:dyDescent="0.35">
      <c r="A47" s="22" t="e">
        <f>VLOOKUP(A1,DIV_10Data!$A$1:$DZU$1000000,784,FALSE)</f>
        <v>#N/A</v>
      </c>
      <c r="B47" s="37" t="e">
        <f>VLOOKUP(A1,DIV_10Data!$A$1:$DZU$1000000,785,FALSE)</f>
        <v>#N/A</v>
      </c>
      <c r="C47" s="38" t="e">
        <f>VLOOKUP(A1,DIV_10Data!$A$1:$DZU$1000000,786,FALSE)</f>
        <v>#N/A</v>
      </c>
      <c r="D47" s="31" t="e">
        <f>VLOOKUP(A1,DIV_10Data!$A$1:$DZU$1000000,787,FALSE)</f>
        <v>#N/A</v>
      </c>
      <c r="E47" s="32" t="e">
        <f>VLOOKUP(A1,DIV_10Data!$A$1:$DZU$1000000,788,FALSE)</f>
        <v>#N/A</v>
      </c>
      <c r="F47" s="34" t="e">
        <f>VLOOKUP(A1,DIV_10Data!$A$1:$DZU$1000000,789,FALSE)</f>
        <v>#N/A</v>
      </c>
      <c r="G47" s="33" t="e">
        <f>VLOOKUP(A1,DIV_10Data!$A$1:$DZU$1000000,790,FALSE)</f>
        <v>#N/A</v>
      </c>
      <c r="H47" s="34" t="e">
        <f>VLOOKUP(A1,DIV_10Data!$A$1:$DZU$1000000,791,FALSE)</f>
        <v>#N/A</v>
      </c>
      <c r="I47" s="33" t="e">
        <f>VLOOKUP(A1,DIV_10Data!$A$1:$DZU$1000000,792,FALSE)</f>
        <v>#N/A</v>
      </c>
      <c r="J47" s="34" t="e">
        <f>VLOOKUP(A1,DIV_10Data!$A$1:$DZU$1000000,793,FALSE)</f>
        <v>#N/A</v>
      </c>
      <c r="K47" s="34" t="e">
        <f>VLOOKUP(A1,DIV_10Data!$A$1:$DZU$1000000,794,FALSE)</f>
        <v>#N/A</v>
      </c>
      <c r="L47" s="93" t="e">
        <f>VLOOKUP(A1,DIV_10Data!$A$1:$DZU$1000000,795,FALSE)</f>
        <v>#N/A</v>
      </c>
      <c r="M47" s="33" t="e">
        <f>VLOOKUP(A1,DIV_10Data!$A$1:$DZU$1000000,796,FALSE)</f>
        <v>#N/A</v>
      </c>
      <c r="N47" s="34" t="e">
        <f>VLOOKUP(A1,DIV_10Data!$A$1:$DZU$1000000,797,FALSE)</f>
        <v>#N/A</v>
      </c>
      <c r="O47" s="33" t="e">
        <f>VLOOKUP(A1,DIV_10Data!$A$1:$DZU$1000000,798,FALSE)</f>
        <v>#N/A</v>
      </c>
      <c r="P47" s="46" t="e">
        <f>VLOOKUP(A1,DIV_10Data!$A$1:$DZU$1000000,799,FALSE)</f>
        <v>#N/A</v>
      </c>
      <c r="Q47" s="33" t="e">
        <f>VLOOKUP(A1,DIV_10Data!$A$1:$DZU$1000000,800,FALSE)</f>
        <v>#N/A</v>
      </c>
    </row>
    <row r="48" spans="1:17" x14ac:dyDescent="0.35">
      <c r="A48" s="22" t="e">
        <f>VLOOKUP(A1,DIV_10Data!$A$1:$DZU$1000000,801,FALSE)</f>
        <v>#N/A</v>
      </c>
      <c r="B48" s="37" t="e">
        <f>VLOOKUP(A1,DIV_10Data!$A$1:$DZU$1000000,802,FALSE)</f>
        <v>#N/A</v>
      </c>
      <c r="C48" s="38" t="e">
        <f>VLOOKUP(A1,DIV_10Data!$A$1:$DZU$1000000,803,FALSE)</f>
        <v>#N/A</v>
      </c>
      <c r="D48" s="31" t="e">
        <f>VLOOKUP(A1,DIV_10Data!$A$1:$DZU$1000000,804,FALSE)</f>
        <v>#N/A</v>
      </c>
      <c r="E48" s="32" t="e">
        <f>VLOOKUP(A1,DIV_10Data!$A$1:$DZU$1000000,805,FALSE)</f>
        <v>#N/A</v>
      </c>
      <c r="F48" s="34" t="e">
        <f>VLOOKUP(A1,DIV_10Data!$A$1:$DZU$1000000,806,FALSE)</f>
        <v>#N/A</v>
      </c>
      <c r="G48" s="33" t="e">
        <f>VLOOKUP(A1,DIV_10Data!$A$1:$DZU$1000000,807,FALSE)</f>
        <v>#N/A</v>
      </c>
      <c r="H48" s="34" t="e">
        <f>VLOOKUP(A1,DIV_10Data!$A$1:$DZU$1000000,808,FALSE)</f>
        <v>#N/A</v>
      </c>
      <c r="I48" s="33" t="e">
        <f>VLOOKUP(A1,DIV_10Data!$A$1:$DZU$1000000,809,FALSE)</f>
        <v>#N/A</v>
      </c>
      <c r="J48" s="34" t="e">
        <f>VLOOKUP(A1,DIV_10Data!$A$1:$DZU$1000000,810,FALSE)</f>
        <v>#N/A</v>
      </c>
      <c r="K48" s="34" t="e">
        <f>VLOOKUP(A1,DIV_10Data!$A$1:$DZU$1000000,811,FALSE)</f>
        <v>#N/A</v>
      </c>
      <c r="L48" s="93" t="e">
        <f>VLOOKUP(A1,DIV_10Data!$A$1:$DZU$1000000,812,FALSE)</f>
        <v>#N/A</v>
      </c>
      <c r="M48" s="33" t="e">
        <f>VLOOKUP(A1,DIV_10Data!$A$1:$DZU$1000000,813,FALSE)</f>
        <v>#N/A</v>
      </c>
      <c r="N48" s="34" t="e">
        <f>VLOOKUP(A1,DIV_10Data!$A$1:$DZU$1000000,814,FALSE)</f>
        <v>#N/A</v>
      </c>
      <c r="O48" s="33" t="e">
        <f>VLOOKUP(A1,DIV_10Data!$A$1:$DZU$1000000,815,FALSE)</f>
        <v>#N/A</v>
      </c>
      <c r="P48" s="46" t="e">
        <f>VLOOKUP(A1,DIV_10Data!$A$1:$DZU$1000000,816,FALSE)</f>
        <v>#N/A</v>
      </c>
      <c r="Q48" s="33" t="e">
        <f>VLOOKUP(A1,DIV_10Data!$A$1:$DZU$1000000,817,FALSE)</f>
        <v>#N/A</v>
      </c>
    </row>
    <row r="49" spans="1:17" x14ac:dyDescent="0.35">
      <c r="A49" s="22" t="e">
        <f>VLOOKUP(A1,DIV_10Data!$A$1:$DZU$1000000,818,FALSE)</f>
        <v>#N/A</v>
      </c>
      <c r="B49" s="37" t="e">
        <f>VLOOKUP(A1,DIV_10Data!$A$1:$DZU$1000000,819,FALSE)</f>
        <v>#N/A</v>
      </c>
      <c r="C49" s="38" t="e">
        <f>VLOOKUP(A1,DIV_10Data!$A$1:$DZU$1000000,820,FALSE)</f>
        <v>#N/A</v>
      </c>
      <c r="D49" s="31" t="e">
        <f>VLOOKUP(A1,DIV_10Data!$A$1:$DZU$1000000,821,FALSE)</f>
        <v>#N/A</v>
      </c>
      <c r="E49" s="32" t="e">
        <f>VLOOKUP(A1,DIV_10Data!$A$1:$DZU$1000000,822,FALSE)</f>
        <v>#N/A</v>
      </c>
      <c r="F49" s="34" t="e">
        <f>VLOOKUP(A1,DIV_10Data!$A$1:$DZU$1000000,823,FALSE)</f>
        <v>#N/A</v>
      </c>
      <c r="G49" s="33" t="e">
        <f>VLOOKUP(A1,DIV_10Data!$A$1:$DZU$1000000,824,FALSE)</f>
        <v>#N/A</v>
      </c>
      <c r="H49" s="34" t="e">
        <f>VLOOKUP(A1,DIV_10Data!$A$1:$DZU$1000000,825,FALSE)</f>
        <v>#N/A</v>
      </c>
      <c r="I49" s="33" t="e">
        <f>VLOOKUP(A1,DIV_10Data!$A$1:$DZU$1000000,826,FALSE)</f>
        <v>#N/A</v>
      </c>
      <c r="J49" s="34" t="e">
        <f>VLOOKUP(A1,DIV_10Data!$A$1:$DZU$1000000,827,FALSE)</f>
        <v>#N/A</v>
      </c>
      <c r="K49" s="34" t="e">
        <f>VLOOKUP(A1,DIV_10Data!$A$1:$DZU$1000000,828,FALSE)</f>
        <v>#N/A</v>
      </c>
      <c r="L49" s="93" t="e">
        <f>VLOOKUP(A1,DIV_10Data!$A$1:$DZU$1000000,829,FALSE)</f>
        <v>#N/A</v>
      </c>
      <c r="M49" s="33" t="e">
        <f>VLOOKUP(A1,DIV_10Data!$A$1:$DZU$1000000,830,FALSE)</f>
        <v>#N/A</v>
      </c>
      <c r="N49" s="34" t="e">
        <f>VLOOKUP(A1,DIV_10Data!$A$1:$DZU$1000000,831,FALSE)</f>
        <v>#N/A</v>
      </c>
      <c r="O49" s="33" t="e">
        <f>VLOOKUP(A1,DIV_10Data!$A$1:$DZU$1000000,832,FALSE)</f>
        <v>#N/A</v>
      </c>
      <c r="P49" s="46" t="e">
        <f>VLOOKUP(A1,DIV_10Data!$A$1:$DZU$1000000,833,FALSE)</f>
        <v>#N/A</v>
      </c>
      <c r="Q49" s="33" t="e">
        <f>VLOOKUP(A1,DIV_10Data!$A$1:$DZU$1000000,834,FALSE)</f>
        <v>#N/A</v>
      </c>
    </row>
    <row r="50" spans="1:17" x14ac:dyDescent="0.35">
      <c r="A50" s="22" t="e">
        <f>VLOOKUP(A1,DIV_10Data!$A$1:$DZU$1000000,835,FALSE)</f>
        <v>#N/A</v>
      </c>
      <c r="B50" s="37" t="e">
        <f>VLOOKUP(A1,DIV_10Data!$A$1:$DZU$1000000,836,FALSE)</f>
        <v>#N/A</v>
      </c>
      <c r="C50" s="38" t="e">
        <f>VLOOKUP(A1,DIV_10Data!$A$1:$DZU$1000000,837,FALSE)</f>
        <v>#N/A</v>
      </c>
      <c r="D50" s="31" t="e">
        <f>VLOOKUP(A1,DIV_10Data!$A$1:$DZU$1000000,838,FALSE)</f>
        <v>#N/A</v>
      </c>
      <c r="E50" s="32" t="e">
        <f>VLOOKUP(A1,DIV_10Data!$A$1:$DZU$1000000,839,FALSE)</f>
        <v>#N/A</v>
      </c>
      <c r="F50" s="34" t="e">
        <f>VLOOKUP(A1,DIV_10Data!$A$1:$DZU$1000000,840,FALSE)</f>
        <v>#N/A</v>
      </c>
      <c r="G50" s="33" t="e">
        <f>VLOOKUP(A1,DIV_10Data!$A$1:$DZU$1000000,841,FALSE)</f>
        <v>#N/A</v>
      </c>
      <c r="H50" s="34" t="e">
        <f>VLOOKUP(A1,DIV_10Data!$A$1:$DZU$1000000,842,FALSE)</f>
        <v>#N/A</v>
      </c>
      <c r="I50" s="33" t="e">
        <f>VLOOKUP(A1,DIV_10Data!$A$1:$DZU$1000000,843,FALSE)</f>
        <v>#N/A</v>
      </c>
      <c r="J50" s="34" t="e">
        <f>VLOOKUP(A1,DIV_10Data!$A$1:$DZU$1000000,844,FALSE)</f>
        <v>#N/A</v>
      </c>
      <c r="K50" s="34" t="e">
        <f>VLOOKUP(A1,DIV_10Data!$A$1:$DZU$1000000,845,FALSE)</f>
        <v>#N/A</v>
      </c>
      <c r="L50" s="93" t="e">
        <f>VLOOKUP(A1,DIV_10Data!$A$1:$DZU$1000000,846,FALSE)</f>
        <v>#N/A</v>
      </c>
      <c r="M50" s="33" t="e">
        <f>VLOOKUP(A1,DIV_10Data!$A$1:$DZU$1000000,847,FALSE)</f>
        <v>#N/A</v>
      </c>
      <c r="N50" s="34" t="e">
        <f>VLOOKUP(A1,DIV_10Data!$A$1:$DZU$1000000,848,FALSE)</f>
        <v>#N/A</v>
      </c>
      <c r="O50" s="33" t="e">
        <f>VLOOKUP(A1,DIV_10Data!$A$1:$DZU$1000000,849,FALSE)</f>
        <v>#N/A</v>
      </c>
      <c r="P50" s="46" t="e">
        <f>VLOOKUP(A1,DIV_10Data!$A$1:$DZU$1000000,850,FALSE)</f>
        <v>#N/A</v>
      </c>
      <c r="Q50" s="33" t="e">
        <f>VLOOKUP(A1,DIV_10Data!$A$1:$DZU$1000000,851,FALSE)</f>
        <v>#N/A</v>
      </c>
    </row>
    <row r="51" spans="1:17" x14ac:dyDescent="0.35">
      <c r="A51" s="22" t="e">
        <f>VLOOKUP(A1,DIV_10Data!$A$1:$DZU$1000000,852,FALSE)</f>
        <v>#N/A</v>
      </c>
      <c r="B51" s="37" t="e">
        <f>VLOOKUP(A1,DIV_10Data!$A$1:$DZU$1000000,853,FALSE)</f>
        <v>#N/A</v>
      </c>
      <c r="C51" s="38" t="e">
        <f>VLOOKUP(A1,DIV_10Data!$A$1:$DZU$1000000,854,FALSE)</f>
        <v>#N/A</v>
      </c>
      <c r="D51" s="31" t="e">
        <f>VLOOKUP(A1,DIV_10Data!$A$1:$DZU$1000000,855,FALSE)</f>
        <v>#N/A</v>
      </c>
      <c r="E51" s="32" t="e">
        <f>VLOOKUP(A1,DIV_10Data!$A$1:$DZU$1000000,856,FALSE)</f>
        <v>#N/A</v>
      </c>
      <c r="F51" s="34" t="e">
        <f>VLOOKUP(A1,DIV_10Data!$A$1:$DZU$1000000,857,FALSE)</f>
        <v>#N/A</v>
      </c>
      <c r="G51" s="33" t="e">
        <f>VLOOKUP(A1,DIV_10Data!$A$1:$DZU$1000000,858,FALSE)</f>
        <v>#N/A</v>
      </c>
      <c r="H51" s="34" t="e">
        <f>VLOOKUP(A1,DIV_10Data!$A$1:$DZU$1000000,859,FALSE)</f>
        <v>#N/A</v>
      </c>
      <c r="I51" s="33" t="e">
        <f>VLOOKUP(A1,DIV_10Data!$A$1:$DZU$1000000,860,FALSE)</f>
        <v>#N/A</v>
      </c>
      <c r="J51" s="34" t="e">
        <f>VLOOKUP(A1,DIV_10Data!$A$1:$DZU$1000000,861,FALSE)</f>
        <v>#N/A</v>
      </c>
      <c r="K51" s="34" t="e">
        <f>VLOOKUP(A1,DIV_10Data!$A$1:$DZU$1000000,862,FALSE)</f>
        <v>#N/A</v>
      </c>
      <c r="L51" s="93" t="e">
        <f>VLOOKUP(A1,DIV_10Data!$A$1:$DZU$1000000,863,FALSE)</f>
        <v>#N/A</v>
      </c>
      <c r="M51" s="33" t="e">
        <f>VLOOKUP(A1,DIV_10Data!$A$1:$DZU$1000000,864,FALSE)</f>
        <v>#N/A</v>
      </c>
      <c r="N51" s="34" t="e">
        <f>VLOOKUP(A1,DIV_10Data!$A$1:$DZU$1000000,865,FALSE)</f>
        <v>#N/A</v>
      </c>
      <c r="O51" s="33" t="e">
        <f>VLOOKUP(A1,DIV_10Data!$A$1:$DZU$1000000,866,FALSE)</f>
        <v>#N/A</v>
      </c>
      <c r="P51" s="46" t="e">
        <f>VLOOKUP(A1,DIV_10Data!$A$1:$DZU$1000000,867,FALSE)</f>
        <v>#N/A</v>
      </c>
      <c r="Q51" s="33" t="e">
        <f>VLOOKUP(A1,DIV_10Data!$A$1:$DZU$1000000,868,FALSE)</f>
        <v>#N/A</v>
      </c>
    </row>
    <row r="52" spans="1:17" x14ac:dyDescent="0.35">
      <c r="A52" s="22" t="e">
        <f>VLOOKUP(A1,DIV_10Data!$A$1:$DZU$1000000,869,FALSE)</f>
        <v>#N/A</v>
      </c>
      <c r="B52" s="37" t="e">
        <f>VLOOKUP(A1,DIV_10Data!$A$1:$DZU$1000000,870,FALSE)</f>
        <v>#N/A</v>
      </c>
      <c r="C52" s="38" t="e">
        <f>VLOOKUP(A1,DIV_10Data!$A$1:$DZU$1000000,871,FALSE)</f>
        <v>#N/A</v>
      </c>
      <c r="D52" s="31" t="e">
        <f>VLOOKUP(A1,DIV_10Data!$A$1:$DZU$1000000,872,FALSE)</f>
        <v>#N/A</v>
      </c>
      <c r="E52" s="32" t="e">
        <f>VLOOKUP(A1,DIV_10Data!$A$1:$DZU$1000000,873,FALSE)</f>
        <v>#N/A</v>
      </c>
      <c r="F52" s="34" t="e">
        <f>VLOOKUP(A1,DIV_10Data!$A$1:$DZU$1000000,874,FALSE)</f>
        <v>#N/A</v>
      </c>
      <c r="G52" s="33" t="e">
        <f>VLOOKUP(A1,DIV_10Data!$A$1:$DZU$1000000,875,FALSE)</f>
        <v>#N/A</v>
      </c>
      <c r="H52" s="34" t="e">
        <f>VLOOKUP(A1,DIV_10Data!$A$1:$DZU$1000000,876,FALSE)</f>
        <v>#N/A</v>
      </c>
      <c r="I52" s="33" t="e">
        <f>VLOOKUP(A1,DIV_10Data!$A$1:$DZU$1000000,877,FALSE)</f>
        <v>#N/A</v>
      </c>
      <c r="J52" s="34" t="e">
        <f>VLOOKUP(A1,DIV_10Data!$A$1:$DZU$1000000,878,FALSE)</f>
        <v>#N/A</v>
      </c>
      <c r="K52" s="34" t="e">
        <f>VLOOKUP(A1,DIV_10Data!$A$1:$DZU$1000000,879,FALSE)</f>
        <v>#N/A</v>
      </c>
      <c r="L52" s="93" t="e">
        <f>VLOOKUP(A1,DIV_10Data!$A$1:$DZU$1000000,880,FALSE)</f>
        <v>#N/A</v>
      </c>
      <c r="M52" s="33" t="e">
        <f>VLOOKUP(A1,DIV_10Data!$A$1:$DZU$1000000,881,FALSE)</f>
        <v>#N/A</v>
      </c>
      <c r="N52" s="34" t="e">
        <f>VLOOKUP(A1,DIV_10Data!$A$1:$DZU$1000000,882,FALSE)</f>
        <v>#N/A</v>
      </c>
      <c r="O52" s="33" t="e">
        <f>VLOOKUP(A1,DIV_10Data!$A$1:$DZU$1000000,883,FALSE)</f>
        <v>#N/A</v>
      </c>
      <c r="P52" s="46" t="e">
        <f>VLOOKUP(A1,DIV_10Data!$A$1:$DZU$1000000,884,FALSE)</f>
        <v>#N/A</v>
      </c>
      <c r="Q52" s="33" t="e">
        <f>VLOOKUP(A1,DIV_10Data!$A$1:$DZU$1000000,885,FALSE)</f>
        <v>#N/A</v>
      </c>
    </row>
    <row r="53" spans="1:17" x14ac:dyDescent="0.35">
      <c r="A53" s="22" t="e">
        <f>VLOOKUP(A1,DIV_10Data!$A$1:$DZU$1000000,886,FALSE)</f>
        <v>#N/A</v>
      </c>
      <c r="B53" s="37" t="e">
        <f>VLOOKUP(A1,DIV_10Data!$A$1:$DZU$1000000,887,FALSE)</f>
        <v>#N/A</v>
      </c>
      <c r="C53" s="38" t="e">
        <f>VLOOKUP(A1,DIV_10Data!$A$1:$DZU$1000000,888,FALSE)</f>
        <v>#N/A</v>
      </c>
      <c r="D53" s="31" t="e">
        <f>VLOOKUP(A1,DIV_10Data!$A$1:$DZU$1000000,889,FALSE)</f>
        <v>#N/A</v>
      </c>
      <c r="E53" s="32" t="e">
        <f>VLOOKUP(A1,DIV_10Data!$A$1:$DZU$1000000,890,FALSE)</f>
        <v>#N/A</v>
      </c>
      <c r="F53" s="34" t="e">
        <f>VLOOKUP(A1,DIV_10Data!$A$1:$DZU$1000000,891,FALSE)</f>
        <v>#N/A</v>
      </c>
      <c r="G53" s="33" t="e">
        <f>VLOOKUP(A1,DIV_10Data!$A$1:$DZU$1000000,892,FALSE)</f>
        <v>#N/A</v>
      </c>
      <c r="H53" s="34" t="e">
        <f>VLOOKUP(A1,DIV_10Data!$A$1:$DZU$1000000,893,FALSE)</f>
        <v>#N/A</v>
      </c>
      <c r="I53" s="33" t="e">
        <f>VLOOKUP(A1,DIV_10Data!$A$1:$DZU$1000000,894,FALSE)</f>
        <v>#N/A</v>
      </c>
      <c r="J53" s="34" t="e">
        <f>VLOOKUP(A1,DIV_10Data!$A$1:$DZU$1000000,895,FALSE)</f>
        <v>#N/A</v>
      </c>
      <c r="K53" s="34" t="e">
        <f>VLOOKUP(A1,DIV_10Data!$A$1:$DZU$1000000,896,FALSE)</f>
        <v>#N/A</v>
      </c>
      <c r="L53" s="93" t="e">
        <f>VLOOKUP(A1,DIV_10Data!$A$1:$DZU$1000000,897,FALSE)</f>
        <v>#N/A</v>
      </c>
      <c r="M53" s="33" t="e">
        <f>VLOOKUP(A1,DIV_10Data!$A$1:$DZU$1000000,898,FALSE)</f>
        <v>#N/A</v>
      </c>
      <c r="N53" s="34" t="e">
        <f>VLOOKUP(A1,DIV_10Data!$A$1:$DZU$1000000,899,FALSE)</f>
        <v>#N/A</v>
      </c>
      <c r="O53" s="33" t="e">
        <f>VLOOKUP(A1,DIV_10Data!$A$1:$DZU$1000000,900,FALSE)</f>
        <v>#N/A</v>
      </c>
      <c r="P53" s="46" t="e">
        <f>VLOOKUP(A1,DIV_10Data!$A$1:$DZU$1000000,901,FALSE)</f>
        <v>#N/A</v>
      </c>
      <c r="Q53" s="33" t="e">
        <f>VLOOKUP(A1,DIV_10Data!$A$1:$DZU$1000000,902,FALSE)</f>
        <v>#N/A</v>
      </c>
    </row>
    <row r="54" spans="1:17" x14ac:dyDescent="0.35">
      <c r="A54" s="22" t="e">
        <f>VLOOKUP(A1,DIV_10Data!$A$1:$DZU$1000000,903,FALSE)</f>
        <v>#N/A</v>
      </c>
      <c r="B54" s="37" t="e">
        <f>VLOOKUP(A1,DIV_10Data!$A$1:$DZU$1000000,904,FALSE)</f>
        <v>#N/A</v>
      </c>
      <c r="C54" s="38" t="e">
        <f>VLOOKUP(A1,DIV_10Data!$A$1:$DZU$1000000,905,FALSE)</f>
        <v>#N/A</v>
      </c>
      <c r="D54" s="31" t="e">
        <f>VLOOKUP(A1,DIV_10Data!$A$1:$DZU$1000000,906,FALSE)</f>
        <v>#N/A</v>
      </c>
      <c r="E54" s="32" t="e">
        <f>VLOOKUP(A1,DIV_10Data!$A$1:$DZU$1000000,907,FALSE)</f>
        <v>#N/A</v>
      </c>
      <c r="F54" s="34" t="e">
        <f>VLOOKUP(A1,DIV_10Data!$A$1:$DZU$1000000,908,FALSE)</f>
        <v>#N/A</v>
      </c>
      <c r="G54" s="33" t="e">
        <f>VLOOKUP(A1,DIV_10Data!$A$1:$DZU$1000000,909,FALSE)</f>
        <v>#N/A</v>
      </c>
      <c r="H54" s="34" t="e">
        <f>VLOOKUP(A1,DIV_10Data!$A$1:$DZU$1000000,910,FALSE)</f>
        <v>#N/A</v>
      </c>
      <c r="I54" s="33" t="e">
        <f>VLOOKUP(A1,DIV_10Data!$A$1:$DZU$1000000,911,FALSE)</f>
        <v>#N/A</v>
      </c>
      <c r="J54" s="34" t="e">
        <f>VLOOKUP(A1,DIV_10Data!$A$1:$DZU$1000000,912,FALSE)</f>
        <v>#N/A</v>
      </c>
      <c r="K54" s="34" t="e">
        <f>VLOOKUP(A1,DIV_10Data!$A$1:$DZU$1000000,913,FALSE)</f>
        <v>#N/A</v>
      </c>
      <c r="L54" s="93" t="e">
        <f>VLOOKUP(A1,DIV_10Data!$A$1:$DZU$1000000,914,FALSE)</f>
        <v>#N/A</v>
      </c>
      <c r="M54" s="33" t="e">
        <f>VLOOKUP(A1,DIV_10Data!$A$1:$DZU$1000000,915,FALSE)</f>
        <v>#N/A</v>
      </c>
      <c r="N54" s="34" t="e">
        <f>VLOOKUP(A1,DIV_10Data!$A$1:$DZU$1000000,916,FALSE)</f>
        <v>#N/A</v>
      </c>
      <c r="O54" s="33" t="e">
        <f>VLOOKUP(A1,DIV_10Data!$A$1:$DZU$1000000,917,FALSE)</f>
        <v>#N/A</v>
      </c>
      <c r="P54" s="46" t="e">
        <f>VLOOKUP(A1,DIV_10Data!$A$1:$DZU$1000000,918,FALSE)</f>
        <v>#N/A</v>
      </c>
      <c r="Q54" s="33" t="e">
        <f>VLOOKUP(A1,DIV_10Data!$A$1:$DZU$1000000,919,FALSE)</f>
        <v>#N/A</v>
      </c>
    </row>
    <row r="55" spans="1:17" x14ac:dyDescent="0.35">
      <c r="A55" s="22" t="e">
        <f>VLOOKUP(A1,DIV_10Data!$A$1:$DZU$1000000,920,FALSE)</f>
        <v>#N/A</v>
      </c>
      <c r="B55" s="37" t="e">
        <f>VLOOKUP(A1,DIV_10Data!$A$1:$DZU$1000000,921,FALSE)</f>
        <v>#N/A</v>
      </c>
      <c r="C55" s="38" t="e">
        <f>VLOOKUP(A1,DIV_10Data!$A$1:$DZU$1000000,922,FALSE)</f>
        <v>#N/A</v>
      </c>
      <c r="D55" s="31" t="e">
        <f>VLOOKUP(A1,DIV_10Data!$A$1:$DZU$1000000,923,FALSE)</f>
        <v>#N/A</v>
      </c>
      <c r="E55" s="32" t="e">
        <f>VLOOKUP(A1,DIV_10Data!$A$1:$DZU$1000000,924,FALSE)</f>
        <v>#N/A</v>
      </c>
      <c r="F55" s="34" t="e">
        <f>VLOOKUP(A1,DIV_10Data!$A$1:$DZU$1000000,925,FALSE)</f>
        <v>#N/A</v>
      </c>
      <c r="G55" s="33" t="e">
        <f>VLOOKUP(A1,DIV_10Data!$A$1:$DZU$1000000,926,FALSE)</f>
        <v>#N/A</v>
      </c>
      <c r="H55" s="34" t="e">
        <f>VLOOKUP(A1,DIV_10Data!$A$1:$DZU$1000000,927,FALSE)</f>
        <v>#N/A</v>
      </c>
      <c r="I55" s="33" t="e">
        <f>VLOOKUP(A1,DIV_10Data!$A$1:$DZU$1000000,928,FALSE)</f>
        <v>#N/A</v>
      </c>
      <c r="J55" s="34" t="e">
        <f>VLOOKUP(A1,DIV_10Data!$A$1:$DZU$1000000,929,FALSE)</f>
        <v>#N/A</v>
      </c>
      <c r="K55" s="34" t="e">
        <f>VLOOKUP(A1,DIV_10Data!$A$1:$DZU$1000000,930,FALSE)</f>
        <v>#N/A</v>
      </c>
      <c r="L55" s="93" t="e">
        <f>VLOOKUP(A1,DIV_10Data!$A$1:$DZU$1000000,931,FALSE)</f>
        <v>#N/A</v>
      </c>
      <c r="M55" s="33" t="e">
        <f>VLOOKUP(A1,DIV_10Data!$A$1:$DZU$1000000,932,FALSE)</f>
        <v>#N/A</v>
      </c>
      <c r="N55" s="34" t="e">
        <f>VLOOKUP(A1,DIV_10Data!$A$1:$DZU$1000000,933,FALSE)</f>
        <v>#N/A</v>
      </c>
      <c r="O55" s="33" t="e">
        <f>VLOOKUP(A1,DIV_10Data!$A$1:$DZU$1000000,934,FALSE)</f>
        <v>#N/A</v>
      </c>
      <c r="P55" s="46" t="e">
        <f>VLOOKUP(A1,DIV_10Data!$A$1:$DZU$1000000,935,FALSE)</f>
        <v>#N/A</v>
      </c>
      <c r="Q55" s="33" t="e">
        <f>VLOOKUP(A1,DIV_10Data!$A$1:$DZU$1000000,936,FALSE)</f>
        <v>#N/A</v>
      </c>
    </row>
    <row r="56" spans="1:17" x14ac:dyDescent="0.35">
      <c r="A56" s="22" t="e">
        <f>VLOOKUP(A1,DIV_10Data!$A$1:$DZU$1000000,937,FALSE)</f>
        <v>#N/A</v>
      </c>
      <c r="B56" s="37" t="e">
        <f>VLOOKUP(A1,DIV_10Data!$A$1:$DZU$1000000,938,FALSE)</f>
        <v>#N/A</v>
      </c>
      <c r="C56" s="38" t="e">
        <f>VLOOKUP(A1,DIV_10Data!$A$1:$DZU$1000000,939,FALSE)</f>
        <v>#N/A</v>
      </c>
      <c r="D56" s="31" t="e">
        <f>VLOOKUP(A1,DIV_10Data!$A$1:$DZU$1000000,940,FALSE)</f>
        <v>#N/A</v>
      </c>
      <c r="E56" s="32" t="e">
        <f>VLOOKUP(A1,DIV_10Data!$A$1:$DZU$1000000,941,FALSE)</f>
        <v>#N/A</v>
      </c>
      <c r="F56" s="34" t="e">
        <f>VLOOKUP(A1,DIV_10Data!$A$1:$DZU$1000000,942,FALSE)</f>
        <v>#N/A</v>
      </c>
      <c r="G56" s="33" t="e">
        <f>VLOOKUP(A1,DIV_10Data!$A$1:$DZU$1000000,943,FALSE)</f>
        <v>#N/A</v>
      </c>
      <c r="H56" s="34" t="e">
        <f>VLOOKUP(A1,DIV_10Data!$A$1:$DZU$1000000,944,FALSE)</f>
        <v>#N/A</v>
      </c>
      <c r="I56" s="33" t="e">
        <f>VLOOKUP(A1,DIV_10Data!$A$1:$DZU$1000000,945,FALSE)</f>
        <v>#N/A</v>
      </c>
      <c r="J56" s="34" t="e">
        <f>VLOOKUP(A1,DIV_10Data!$A$1:$DZU$1000000,946,FALSE)</f>
        <v>#N/A</v>
      </c>
      <c r="K56" s="34" t="e">
        <f>VLOOKUP(A1,DIV_10Data!$A$1:$DZU$1000000,947,FALSE)</f>
        <v>#N/A</v>
      </c>
      <c r="L56" s="93" t="e">
        <f>VLOOKUP(A1,DIV_10Data!$A$1:$DZU$1000000,948,FALSE)</f>
        <v>#N/A</v>
      </c>
      <c r="M56" s="33" t="e">
        <f>VLOOKUP(A1,DIV_10Data!$A$1:$DZU$1000000,949,FALSE)</f>
        <v>#N/A</v>
      </c>
      <c r="N56" s="34" t="e">
        <f>VLOOKUP(A1,DIV_10Data!$A$1:$DZU$1000000,950,FALSE)</f>
        <v>#N/A</v>
      </c>
      <c r="O56" s="33" t="e">
        <f>VLOOKUP(A1,DIV_10Data!$A$1:$DZU$1000000,951,FALSE)</f>
        <v>#N/A</v>
      </c>
      <c r="P56" s="46" t="e">
        <f>VLOOKUP(A1,DIV_10Data!$A$1:$DZU$1000000,952,FALSE)</f>
        <v>#N/A</v>
      </c>
      <c r="Q56" s="33" t="e">
        <f>VLOOKUP(A1,DIV_10Data!$A$1:$DZU$1000000,953,FALSE)</f>
        <v>#N/A</v>
      </c>
    </row>
    <row r="57" spans="1:17" x14ac:dyDescent="0.35">
      <c r="A57" s="22" t="e">
        <f>VLOOKUP(A1,DIV_10Data!$A$1:$DZU$1000000,954,FALSE)</f>
        <v>#N/A</v>
      </c>
      <c r="B57" s="37" t="e">
        <f>VLOOKUP(A1,DIV_10Data!$A$1:$DZU$1000000,955,FALSE)</f>
        <v>#N/A</v>
      </c>
      <c r="C57" s="38" t="e">
        <f>VLOOKUP(A1,DIV_10Data!$A$1:$DZU$1000000,956,FALSE)</f>
        <v>#N/A</v>
      </c>
      <c r="D57" s="31" t="e">
        <f>VLOOKUP(A1,DIV_10Data!$A$1:$DZU$1000000,957,FALSE)</f>
        <v>#N/A</v>
      </c>
      <c r="E57" s="32" t="e">
        <f>VLOOKUP(A1,DIV_10Data!$A$1:$DZU$1000000,958,FALSE)</f>
        <v>#N/A</v>
      </c>
      <c r="F57" s="34" t="e">
        <f>VLOOKUP(A1,DIV_10Data!$A$1:$DZU$1000000,959,FALSE)</f>
        <v>#N/A</v>
      </c>
      <c r="G57" s="33" t="e">
        <f>VLOOKUP(A1,DIV_10Data!$A$1:$DZU$1000000,960,FALSE)</f>
        <v>#N/A</v>
      </c>
      <c r="H57" s="34" t="e">
        <f>VLOOKUP(A1,DIV_10Data!$A$1:$DZU$1000000,961,FALSE)</f>
        <v>#N/A</v>
      </c>
      <c r="I57" s="33" t="e">
        <f>VLOOKUP(A1,DIV_10Data!$A$1:$DZU$1000000,962,FALSE)</f>
        <v>#N/A</v>
      </c>
      <c r="J57" s="34" t="e">
        <f>VLOOKUP(A1,DIV_10Data!$A$1:$DZU$1000000,963,FALSE)</f>
        <v>#N/A</v>
      </c>
      <c r="K57" s="34" t="e">
        <f>VLOOKUP(A1,DIV_10Data!$A$1:$DZU$1000000,964,FALSE)</f>
        <v>#N/A</v>
      </c>
      <c r="L57" s="93" t="e">
        <f>VLOOKUP(A1,DIV_10Data!$A$1:$DZU$1000000,965,FALSE)</f>
        <v>#N/A</v>
      </c>
      <c r="M57" s="33" t="e">
        <f>VLOOKUP(A1,DIV_10Data!$A$1:$DZU$1000000,966,FALSE)</f>
        <v>#N/A</v>
      </c>
      <c r="N57" s="34" t="e">
        <f>VLOOKUP(A1,DIV_10Data!$A$1:$DZU$1000000,967,FALSE)</f>
        <v>#N/A</v>
      </c>
      <c r="O57" s="33" t="e">
        <f>VLOOKUP(A1,DIV_10Data!$A$1:$DZU$1000000,968,FALSE)</f>
        <v>#N/A</v>
      </c>
      <c r="P57" s="46" t="e">
        <f>VLOOKUP(A1,DIV_10Data!$A$1:$DZU$1000000,969,FALSE)</f>
        <v>#N/A</v>
      </c>
      <c r="Q57" s="33" t="e">
        <f>VLOOKUP(A1,DIV_10Data!$A$1:$DZU$1000000,970,FALSE)</f>
        <v>#N/A</v>
      </c>
    </row>
    <row r="58" spans="1:17" x14ac:dyDescent="0.35">
      <c r="A58" s="22" t="e">
        <f>VLOOKUP(A1,DIV_10Data!$A$1:$DZU$1000000,971,FALSE)</f>
        <v>#N/A</v>
      </c>
      <c r="B58" s="37" t="e">
        <f>VLOOKUP(A1,DIV_10Data!$A$1:$DZU$1000000,972,FALSE)</f>
        <v>#N/A</v>
      </c>
      <c r="C58" s="38" t="e">
        <f>VLOOKUP(A1,DIV_10Data!$A$1:$DZU$1000000,973,FALSE)</f>
        <v>#N/A</v>
      </c>
      <c r="D58" s="31" t="e">
        <f>VLOOKUP(A1,DIV_10Data!$A$1:$DZU$1000000,974,FALSE)</f>
        <v>#N/A</v>
      </c>
      <c r="E58" s="32" t="e">
        <f>VLOOKUP(A1,DIV_10Data!$A$1:$DZU$1000000,975,FALSE)</f>
        <v>#N/A</v>
      </c>
      <c r="F58" s="34" t="e">
        <f>VLOOKUP(A1,DIV_10Data!$A$1:$DZU$1000000,976,FALSE)</f>
        <v>#N/A</v>
      </c>
      <c r="G58" s="33" t="e">
        <f>VLOOKUP(A1,DIV_10Data!$A$1:$DZU$1000000,977,FALSE)</f>
        <v>#N/A</v>
      </c>
      <c r="H58" s="34" t="e">
        <f>VLOOKUP(A1,DIV_10Data!$A$1:$DZU$1000000,978,FALSE)</f>
        <v>#N/A</v>
      </c>
      <c r="I58" s="33" t="e">
        <f>VLOOKUP(A1,DIV_10Data!$A$1:$DZU$1000000,979,FALSE)</f>
        <v>#N/A</v>
      </c>
      <c r="J58" s="34" t="e">
        <f>VLOOKUP(A1,DIV_10Data!$A$1:$DZU$1000000,980,FALSE)</f>
        <v>#N/A</v>
      </c>
      <c r="K58" s="34" t="e">
        <f>VLOOKUP(A1,DIV_10Data!$A$1:$DZU$1000000,981,FALSE)</f>
        <v>#N/A</v>
      </c>
      <c r="L58" s="93" t="e">
        <f>VLOOKUP(A1,DIV_10Data!$A$1:$DZU$1000000,982,FALSE)</f>
        <v>#N/A</v>
      </c>
      <c r="M58" s="33" t="e">
        <f>VLOOKUP(A1,DIV_10Data!$A$1:$DZU$1000000,983,FALSE)</f>
        <v>#N/A</v>
      </c>
      <c r="N58" s="34" t="e">
        <f>VLOOKUP(A1,DIV_10Data!$A$1:$DZU$1000000,984,FALSE)</f>
        <v>#N/A</v>
      </c>
      <c r="O58" s="33" t="e">
        <f>VLOOKUP(A1,DIV_10Data!$A$1:$DZU$1000000,985,FALSE)</f>
        <v>#N/A</v>
      </c>
      <c r="P58" s="46" t="e">
        <f>VLOOKUP(A1,DIV_10Data!$A$1:$DZU$1000000,986,FALSE)</f>
        <v>#N/A</v>
      </c>
      <c r="Q58" s="33" t="e">
        <f>VLOOKUP(A1,DIV_10Data!$A$1:$DZU$1000000,987,FALSE)</f>
        <v>#N/A</v>
      </c>
    </row>
    <row r="59" spans="1:17" x14ac:dyDescent="0.35">
      <c r="A59" s="22" t="e">
        <f>VLOOKUP(A1,DIV_10Data!$A$1:$DZU$1000000,988,FALSE)</f>
        <v>#N/A</v>
      </c>
      <c r="B59" s="37" t="e">
        <f>VLOOKUP(A1,DIV_10Data!$A$1:$DZU$1000000,989,FALSE)</f>
        <v>#N/A</v>
      </c>
      <c r="C59" s="38" t="e">
        <f>VLOOKUP(A1,DIV_10Data!$A$1:$DZU$1000000,990,FALSE)</f>
        <v>#N/A</v>
      </c>
      <c r="D59" s="31" t="e">
        <f>VLOOKUP(A1,DIV_10Data!$A$1:$DZU$1000000,991,FALSE)</f>
        <v>#N/A</v>
      </c>
      <c r="E59" s="32" t="e">
        <f>VLOOKUP(A1,DIV_10Data!$A$1:$DZU$1000000,992,FALSE)</f>
        <v>#N/A</v>
      </c>
      <c r="F59" s="34" t="e">
        <f>VLOOKUP(A1,DIV_10Data!$A$1:$DZU$1000000,993,FALSE)</f>
        <v>#N/A</v>
      </c>
      <c r="G59" s="33" t="e">
        <f>VLOOKUP(A1,DIV_10Data!$A$1:$DZU$1000000,994,FALSE)</f>
        <v>#N/A</v>
      </c>
      <c r="H59" s="34" t="e">
        <f>VLOOKUP(A1,DIV_10Data!$A$1:$DZU$1000000,995,FALSE)</f>
        <v>#N/A</v>
      </c>
      <c r="I59" s="33" t="e">
        <f>VLOOKUP(A1,DIV_10Data!$A$1:$DZU$1000000,996,FALSE)</f>
        <v>#N/A</v>
      </c>
      <c r="J59" s="34" t="e">
        <f>VLOOKUP(A1,DIV_10Data!$A$1:$DZU$1000000,997,FALSE)</f>
        <v>#N/A</v>
      </c>
      <c r="K59" s="34" t="e">
        <f>VLOOKUP(A1,DIV_10Data!$A$1:$DZU$1000000,998,FALSE)</f>
        <v>#N/A</v>
      </c>
      <c r="L59" s="93" t="e">
        <f>VLOOKUP(A1,DIV_10Data!$A$1:$DZU$1000000,999,FALSE)</f>
        <v>#N/A</v>
      </c>
      <c r="M59" s="33" t="e">
        <f>VLOOKUP(A1,DIV_10Data!$A$1:$DZU$1000000,1000,FALSE)</f>
        <v>#N/A</v>
      </c>
      <c r="N59" s="34" t="e">
        <f>VLOOKUP(A1,DIV_10Data!$A$1:$DZU$1000000,1001,FALSE)</f>
        <v>#N/A</v>
      </c>
      <c r="O59" s="33" t="e">
        <f>VLOOKUP(A1,DIV_10Data!$A$1:$DZU$1000000,1002,FALSE)</f>
        <v>#N/A</v>
      </c>
      <c r="P59" s="46" t="e">
        <f>VLOOKUP(A1,DIV_10Data!$A$1:$DZU$1000000,1003,FALSE)</f>
        <v>#N/A</v>
      </c>
      <c r="Q59" s="33" t="e">
        <f>VLOOKUP(A1,DIV_10Data!$A$1:$DZU$1000000,1004,FALSE)</f>
        <v>#N/A</v>
      </c>
    </row>
    <row r="60" spans="1:17" x14ac:dyDescent="0.35">
      <c r="A60" s="22" t="e">
        <f>VLOOKUP(A1,DIV_10Data!$A$1:$DZU$1000000,1005,FALSE)</f>
        <v>#N/A</v>
      </c>
      <c r="B60" s="37" t="e">
        <f>VLOOKUP(A1,DIV_10Data!$A$1:$DZU$1000000,1006,FALSE)</f>
        <v>#N/A</v>
      </c>
      <c r="C60" s="38" t="e">
        <f>VLOOKUP(A1,DIV_10Data!$A$1:$DZU$1000000,1007,FALSE)</f>
        <v>#N/A</v>
      </c>
      <c r="D60" s="31" t="e">
        <f>VLOOKUP(A1,DIV_10Data!$A$1:$DZU$1000000,1008,FALSE)</f>
        <v>#N/A</v>
      </c>
      <c r="E60" s="32" t="e">
        <f>VLOOKUP(A1,DIV_10Data!$A$1:$DZU$1000000,1009,FALSE)</f>
        <v>#N/A</v>
      </c>
      <c r="F60" s="34" t="e">
        <f>VLOOKUP(A1,DIV_10Data!$A$1:$DZU$1000000,1010,FALSE)</f>
        <v>#N/A</v>
      </c>
      <c r="G60" s="33" t="e">
        <f>VLOOKUP(A1,DIV_10Data!$A$1:$DZU$1000000,1011,FALSE)</f>
        <v>#N/A</v>
      </c>
      <c r="H60" s="34" t="e">
        <f>VLOOKUP(A1,DIV_10Data!$A$1:$DZU$1000000,1012,FALSE)</f>
        <v>#N/A</v>
      </c>
      <c r="I60" s="33" t="e">
        <f>VLOOKUP(A1,DIV_10Data!$A$1:$DZU$1000000,1013,FALSE)</f>
        <v>#N/A</v>
      </c>
      <c r="J60" s="34" t="e">
        <f>VLOOKUP(A1,DIV_10Data!$A$1:$DZU$1000000,1014,FALSE)</f>
        <v>#N/A</v>
      </c>
      <c r="K60" s="34" t="e">
        <f>VLOOKUP(A1,DIV_10Data!$A$1:$DZU$1000000,1015,FALSE)</f>
        <v>#N/A</v>
      </c>
      <c r="L60" s="93" t="e">
        <f>VLOOKUP(A1,DIV_10Data!$A$1:$DZU$1000000,1016,FALSE)</f>
        <v>#N/A</v>
      </c>
      <c r="M60" s="33" t="e">
        <f>VLOOKUP(A1,DIV_10Data!$A$1:$DZU$1000000,1017,FALSE)</f>
        <v>#N/A</v>
      </c>
      <c r="N60" s="34" t="e">
        <f>VLOOKUP(A1,DIV_10Data!$A$1:$DZU$1000000,1018,FALSE)</f>
        <v>#N/A</v>
      </c>
      <c r="O60" s="33" t="e">
        <f>VLOOKUP(A1,DIV_10Data!$A$1:$DZU$1000000,1019,FALSE)</f>
        <v>#N/A</v>
      </c>
      <c r="P60" s="46" t="e">
        <f>VLOOKUP(A1,DIV_10Data!$A$1:$DZU$1000000,1020,FALSE)</f>
        <v>#N/A</v>
      </c>
      <c r="Q60" s="33" t="e">
        <f>VLOOKUP(A1,DIV_10Data!$A$1:$DZU$1000000,1021,FALSE)</f>
        <v>#N/A</v>
      </c>
    </row>
    <row r="61" spans="1:17" x14ac:dyDescent="0.35">
      <c r="A61" s="22" t="e">
        <f>VLOOKUP(A1,DIV_10Data!$A$1:$DZU$1000000,1022,FALSE)</f>
        <v>#N/A</v>
      </c>
      <c r="B61" s="37" t="e">
        <f>VLOOKUP(A1,DIV_10Data!$A$1:$DZU$1000000,1023,FALSE)</f>
        <v>#N/A</v>
      </c>
      <c r="C61" s="38" t="e">
        <f>VLOOKUP(A1,DIV_10Data!$A$1:$DZU$1000000,1024,FALSE)</f>
        <v>#N/A</v>
      </c>
      <c r="D61" s="31" t="e">
        <f>VLOOKUP(A1,DIV_10Data!$A$1:$DZU$1000000,1025,FALSE)</f>
        <v>#N/A</v>
      </c>
      <c r="E61" s="32" t="e">
        <f>VLOOKUP(A1,DIV_10Data!$A$1:$DZU$1000000,1026,FALSE)</f>
        <v>#N/A</v>
      </c>
      <c r="F61" s="34" t="e">
        <f>VLOOKUP(A1,DIV_10Data!$A$1:$DZU$1000000,1027,FALSE)</f>
        <v>#N/A</v>
      </c>
      <c r="G61" s="33" t="e">
        <f>VLOOKUP(A1,DIV_10Data!$A$1:$DZU$1000000,1028,FALSE)</f>
        <v>#N/A</v>
      </c>
      <c r="H61" s="34" t="e">
        <f>VLOOKUP(A1,DIV_10Data!$A$1:$DZU$1000000,1029,FALSE)</f>
        <v>#N/A</v>
      </c>
      <c r="I61" s="33" t="e">
        <f>VLOOKUP(A1,DIV_10Data!$A$1:$DZU$1000000,1030,FALSE)</f>
        <v>#N/A</v>
      </c>
      <c r="J61" s="34" t="e">
        <f>VLOOKUP(A1,DIV_10Data!$A$1:$DZU$1000000,1031,FALSE)</f>
        <v>#N/A</v>
      </c>
      <c r="K61" s="34" t="e">
        <f>VLOOKUP(A1,DIV_10Data!$A$1:$DZU$1000000,1032,FALSE)</f>
        <v>#N/A</v>
      </c>
      <c r="L61" s="93" t="e">
        <f>VLOOKUP(A1,DIV_10Data!$A$1:$DZU$1000000,1033,FALSE)</f>
        <v>#N/A</v>
      </c>
      <c r="M61" s="33" t="e">
        <f>VLOOKUP(A1,DIV_10Data!$A$1:$DZU$1000000,1034,FALSE)</f>
        <v>#N/A</v>
      </c>
      <c r="N61" s="34" t="e">
        <f>VLOOKUP(A1,DIV_10Data!$A$1:$DZU$1000000,1035,FALSE)</f>
        <v>#N/A</v>
      </c>
      <c r="O61" s="33" t="e">
        <f>VLOOKUP(A1,DIV_10Data!$A$1:$DZU$1000000,1036,FALSE)</f>
        <v>#N/A</v>
      </c>
      <c r="P61" s="46" t="e">
        <f>VLOOKUP(A1,DIV_10Data!$A$1:$DZU$1000000,1037,FALSE)</f>
        <v>#N/A</v>
      </c>
      <c r="Q61" s="33" t="e">
        <f>VLOOKUP(A1,DIV_10Data!$A$1:$DZU$1000000,1038,FALSE)</f>
        <v>#N/A</v>
      </c>
    </row>
    <row r="62" spans="1:17" x14ac:dyDescent="0.35">
      <c r="A62" s="22" t="e">
        <f>VLOOKUP(A1,DIV_10Data!$A$1:$DZU$1000000,1039,FALSE)</f>
        <v>#N/A</v>
      </c>
      <c r="B62" s="37" t="e">
        <f>VLOOKUP(A1,DIV_10Data!$A$1:$DZU$1000000,1040,FALSE)</f>
        <v>#N/A</v>
      </c>
      <c r="C62" s="38" t="e">
        <f>VLOOKUP(A1,DIV_10Data!$A$1:$DZU$1000000,1041,FALSE)</f>
        <v>#N/A</v>
      </c>
      <c r="D62" s="31" t="e">
        <f>VLOOKUP(A1,DIV_10Data!$A$1:$DZU$1000000,1042,FALSE)</f>
        <v>#N/A</v>
      </c>
      <c r="E62" s="32" t="e">
        <f>VLOOKUP(A1,DIV_10Data!$A$1:$DZU$1000000,1043,FALSE)</f>
        <v>#N/A</v>
      </c>
      <c r="F62" s="34" t="e">
        <f>VLOOKUP(A1,DIV_10Data!$A$1:$DZU$1000000,1044,FALSE)</f>
        <v>#N/A</v>
      </c>
      <c r="G62" s="33" t="e">
        <f>VLOOKUP(A1,DIV_10Data!$A$1:$DZU$1000000,1045,FALSE)</f>
        <v>#N/A</v>
      </c>
      <c r="H62" s="34" t="e">
        <f>VLOOKUP(A1,DIV_10Data!$A$1:$DZU$1000000,1046,FALSE)</f>
        <v>#N/A</v>
      </c>
      <c r="I62" s="33" t="e">
        <f>VLOOKUP(A1,DIV_10Data!$A$1:$DZU$1000000,1047,FALSE)</f>
        <v>#N/A</v>
      </c>
      <c r="J62" s="34" t="e">
        <f>VLOOKUP(A1,DIV_10Data!$A$1:$DZU$1000000,1048,FALSE)</f>
        <v>#N/A</v>
      </c>
      <c r="K62" s="34" t="e">
        <f>VLOOKUP(A1,DIV_10Data!$A$1:$DZU$1000000,1049,FALSE)</f>
        <v>#N/A</v>
      </c>
      <c r="L62" s="93" t="e">
        <f>VLOOKUP(A1,DIV_10Data!$A$1:$DZU$1000000,1050,FALSE)</f>
        <v>#N/A</v>
      </c>
      <c r="M62" s="33" t="e">
        <f>VLOOKUP(A1,DIV_10Data!$A$1:$DZU$1000000,1051,FALSE)</f>
        <v>#N/A</v>
      </c>
      <c r="N62" s="34" t="e">
        <f>VLOOKUP(A1,DIV_10Data!$A$1:$DZU$1000000,1052,FALSE)</f>
        <v>#N/A</v>
      </c>
      <c r="O62" s="33" t="e">
        <f>VLOOKUP(A1,DIV_10Data!$A$1:$DZU$1000000,1053,FALSE)</f>
        <v>#N/A</v>
      </c>
      <c r="P62" s="46" t="e">
        <f>VLOOKUP(A1,DIV_10Data!$A$1:$DZU$1000000,1054,FALSE)</f>
        <v>#N/A</v>
      </c>
      <c r="Q62" s="33" t="e">
        <f>VLOOKUP(A1,DIV_10Data!$A$1:$DZU$1000000,1055,FALSE)</f>
        <v>#N/A</v>
      </c>
    </row>
    <row r="63" spans="1:17" x14ac:dyDescent="0.35">
      <c r="A63" s="22" t="e">
        <f>VLOOKUP(A1,DIV_10Data!$A$1:$DZU$1000000,1056,FALSE)</f>
        <v>#N/A</v>
      </c>
      <c r="B63" s="37" t="e">
        <f>VLOOKUP(A1,DIV_10Data!$A$1:$DZU$1000000,1057,FALSE)</f>
        <v>#N/A</v>
      </c>
      <c r="C63" s="38" t="e">
        <f>VLOOKUP(A1,DIV_10Data!$A$1:$DZU$1000000,1058,FALSE)</f>
        <v>#N/A</v>
      </c>
      <c r="D63" s="31" t="e">
        <f>VLOOKUP(A1,DIV_10Data!$A$1:$DZU$1000000,1059,FALSE)</f>
        <v>#N/A</v>
      </c>
      <c r="E63" s="32" t="e">
        <f>VLOOKUP(A1,DIV_10Data!$A$1:$DZU$1000000,1060,FALSE)</f>
        <v>#N/A</v>
      </c>
      <c r="F63" s="34" t="e">
        <f>VLOOKUP(A1,DIV_10Data!$A$1:$DZU$1000000,1061,FALSE)</f>
        <v>#N/A</v>
      </c>
      <c r="G63" s="33" t="e">
        <f>VLOOKUP(A1,DIV_10Data!$A$1:$DZU$1000000,1062,FALSE)</f>
        <v>#N/A</v>
      </c>
      <c r="H63" s="34" t="e">
        <f>VLOOKUP(A1,DIV_10Data!$A$1:$DZU$1000000,1063,FALSE)</f>
        <v>#N/A</v>
      </c>
      <c r="I63" s="33" t="e">
        <f>VLOOKUP(A1,DIV_10Data!$A$1:$DZU$1000000,1064,FALSE)</f>
        <v>#N/A</v>
      </c>
      <c r="J63" s="34" t="e">
        <f>VLOOKUP(A1,DIV_10Data!$A$1:$DZU$1000000,1065,FALSE)</f>
        <v>#N/A</v>
      </c>
      <c r="K63" s="34" t="e">
        <f>VLOOKUP(A1,DIV_10Data!$A$1:$DZU$1000000,1066,FALSE)</f>
        <v>#N/A</v>
      </c>
      <c r="L63" s="93" t="e">
        <f>VLOOKUP(A1,DIV_10Data!$A$1:$DZU$1000000,1067,FALSE)</f>
        <v>#N/A</v>
      </c>
      <c r="M63" s="33" t="e">
        <f>VLOOKUP(A1,DIV_10Data!$A$1:$DZU$1000000,1068,FALSE)</f>
        <v>#N/A</v>
      </c>
      <c r="N63" s="34" t="e">
        <f>VLOOKUP(A1,DIV_10Data!$A$1:$DZU$1000000,1069,FALSE)</f>
        <v>#N/A</v>
      </c>
      <c r="O63" s="33" t="e">
        <f>VLOOKUP(A1,DIV_10Data!$A$1:$DZU$1000000,1070,FALSE)</f>
        <v>#N/A</v>
      </c>
      <c r="P63" s="46" t="e">
        <f>VLOOKUP(A1,DIV_10Data!$A$1:$DZU$1000000,1071,FALSE)</f>
        <v>#N/A</v>
      </c>
      <c r="Q63" s="33" t="e">
        <f>VLOOKUP(A1,DIV_10Data!$A$1:$DZU$1000000,1072,FALSE)</f>
        <v>#N/A</v>
      </c>
    </row>
    <row r="64" spans="1:17" x14ac:dyDescent="0.35">
      <c r="A64" s="22" t="e">
        <f>VLOOKUP(A1,DIV_10Data!$A$1:$DZU$1000000,1073,FALSE)</f>
        <v>#N/A</v>
      </c>
      <c r="B64" s="37" t="e">
        <f>VLOOKUP(A1,DIV_10Data!$A$1:$DZU$1000000,1074,FALSE)</f>
        <v>#N/A</v>
      </c>
      <c r="C64" s="38" t="e">
        <f>VLOOKUP(A1,DIV_10Data!$A$1:$DZU$1000000,1075,FALSE)</f>
        <v>#N/A</v>
      </c>
      <c r="D64" s="31" t="e">
        <f>VLOOKUP(A1,DIV_10Data!$A$1:$DZU$1000000,1076,FALSE)</f>
        <v>#N/A</v>
      </c>
      <c r="E64" s="32" t="e">
        <f>VLOOKUP(A1,DIV_10Data!$A$1:$DZU$1000000,1077,FALSE)</f>
        <v>#N/A</v>
      </c>
      <c r="F64" s="34" t="e">
        <f>VLOOKUP(A1,DIV_10Data!$A$1:$DZU$1000000,1078,FALSE)</f>
        <v>#N/A</v>
      </c>
      <c r="G64" s="33" t="e">
        <f>VLOOKUP(A1,DIV_10Data!$A$1:$DZU$1000000,1079,FALSE)</f>
        <v>#N/A</v>
      </c>
      <c r="H64" s="34" t="e">
        <f>VLOOKUP(A1,DIV_10Data!$A$1:$DZU$1000000,1080,FALSE)</f>
        <v>#N/A</v>
      </c>
      <c r="I64" s="33" t="e">
        <f>VLOOKUP(A1,DIV_10Data!$A$1:$DZU$1000000,1081,FALSE)</f>
        <v>#N/A</v>
      </c>
      <c r="J64" s="34" t="e">
        <f>VLOOKUP(A1,DIV_10Data!$A$1:$DZU$1000000,1082,FALSE)</f>
        <v>#N/A</v>
      </c>
      <c r="K64" s="34" t="e">
        <f>VLOOKUP(A1,DIV_10Data!$A$1:$DZU$1000000,1083,FALSE)</f>
        <v>#N/A</v>
      </c>
      <c r="L64" s="93" t="e">
        <f>VLOOKUP(A1,DIV_10Data!$A$1:$DZU$1000000,1084,FALSE)</f>
        <v>#N/A</v>
      </c>
      <c r="M64" s="33" t="e">
        <f>VLOOKUP(A1,DIV_10Data!$A$1:$DZU$1000000,1085,FALSE)</f>
        <v>#N/A</v>
      </c>
      <c r="N64" s="34" t="e">
        <f>VLOOKUP(A1,DIV_10Data!$A$1:$DZU$1000000,1086,FALSE)</f>
        <v>#N/A</v>
      </c>
      <c r="O64" s="33" t="e">
        <f>VLOOKUP(A1,DIV_10Data!$A$1:$DZU$1000000,1087,FALSE)</f>
        <v>#N/A</v>
      </c>
      <c r="P64" s="46" t="e">
        <f>VLOOKUP(A1,DIV_10Data!$A$1:$DZU$1000000,1088,FALSE)</f>
        <v>#N/A</v>
      </c>
      <c r="Q64" s="33" t="e">
        <f>VLOOKUP(A1,DIV_10Data!$A$1:$DZU$1000000,1089,FALSE)</f>
        <v>#N/A</v>
      </c>
    </row>
    <row r="65" spans="1:17" x14ac:dyDescent="0.35">
      <c r="A65" s="22" t="e">
        <f>VLOOKUP(A1,DIV_10Data!$A$1:$DZU$1000000,1090,FALSE)</f>
        <v>#N/A</v>
      </c>
      <c r="B65" s="37" t="e">
        <f>VLOOKUP(A1,DIV_10Data!$A$1:$DZU$1000000,1091,FALSE)</f>
        <v>#N/A</v>
      </c>
      <c r="C65" s="38" t="e">
        <f>VLOOKUP(A1,DIV_10Data!$A$1:$DZU$1000000,1092,FALSE)</f>
        <v>#N/A</v>
      </c>
      <c r="D65" s="31" t="e">
        <f>VLOOKUP(A1,DIV_10Data!$A$1:$DZU$1000000,1093,FALSE)</f>
        <v>#N/A</v>
      </c>
      <c r="E65" s="32" t="e">
        <f>VLOOKUP(A1,DIV_10Data!$A$1:$DZU$1000000,1094,FALSE)</f>
        <v>#N/A</v>
      </c>
      <c r="F65" s="34" t="e">
        <f>VLOOKUP(A1,DIV_10Data!$A$1:$DZU$1000000,1095,FALSE)</f>
        <v>#N/A</v>
      </c>
      <c r="G65" s="33" t="e">
        <f>VLOOKUP(A1,DIV_10Data!$A$1:$DZU$1000000,1096,FALSE)</f>
        <v>#N/A</v>
      </c>
      <c r="H65" s="34" t="e">
        <f>VLOOKUP(A1,DIV_10Data!$A$1:$DZU$1000000,1097,FALSE)</f>
        <v>#N/A</v>
      </c>
      <c r="I65" s="33" t="e">
        <f>VLOOKUP(A1,DIV_10Data!$A$1:$DZU$1000000,1098,FALSE)</f>
        <v>#N/A</v>
      </c>
      <c r="J65" s="34" t="e">
        <f>VLOOKUP(A1,DIV_10Data!$A$1:$DZU$1000000,1099,FALSE)</f>
        <v>#N/A</v>
      </c>
      <c r="K65" s="34" t="e">
        <f>VLOOKUP(A1,DIV_10Data!$A$1:$DZU$1000000,1100,FALSE)</f>
        <v>#N/A</v>
      </c>
      <c r="L65" s="93" t="e">
        <f>VLOOKUP(A1,DIV_10Data!$A$1:$DZU$1000000,1101,FALSE)</f>
        <v>#N/A</v>
      </c>
      <c r="M65" s="33" t="e">
        <f>VLOOKUP(A1,DIV_10Data!$A$1:$DZU$1000000,1102,FALSE)</f>
        <v>#N/A</v>
      </c>
      <c r="N65" s="34" t="e">
        <f>VLOOKUP(A1,DIV_10Data!$A$1:$DZU$1000000,1103,FALSE)</f>
        <v>#N/A</v>
      </c>
      <c r="O65" s="33" t="e">
        <f>VLOOKUP(A1,DIV_10Data!$A$1:$DZU$1000000,1104,FALSE)</f>
        <v>#N/A</v>
      </c>
      <c r="P65" s="46" t="e">
        <f>VLOOKUP(A1,DIV_10Data!$A$1:$DZU$1000000,1105,FALSE)</f>
        <v>#N/A</v>
      </c>
      <c r="Q65" s="33" t="e">
        <f>VLOOKUP(A1,DIV_10Data!$A$1:$DZU$1000000,1106,FALSE)</f>
        <v>#N/A</v>
      </c>
    </row>
    <row r="66" spans="1:17" x14ac:dyDescent="0.35">
      <c r="A66" s="22" t="e">
        <f>VLOOKUP(A1,DIV_10Data!$A$1:$DZU$1000000,1107,FALSE)</f>
        <v>#N/A</v>
      </c>
      <c r="B66" s="37" t="e">
        <f>VLOOKUP(A1,DIV_10Data!$A$1:$DZU$1000000,1108,FALSE)</f>
        <v>#N/A</v>
      </c>
      <c r="C66" s="38" t="e">
        <f>VLOOKUP(A1,DIV_10Data!$A$1:$DZU$1000000,1109,FALSE)</f>
        <v>#N/A</v>
      </c>
      <c r="D66" s="31" t="e">
        <f>VLOOKUP(A1,DIV_10Data!$A$1:$DZU$1000000,1110,FALSE)</f>
        <v>#N/A</v>
      </c>
      <c r="E66" s="32" t="e">
        <f>VLOOKUP(A1,DIV_10Data!$A$1:$DZU$1000000,1111,FALSE)</f>
        <v>#N/A</v>
      </c>
      <c r="F66" s="34" t="e">
        <f>VLOOKUP(A1,DIV_10Data!$A$1:$DZU$1000000,1112,FALSE)</f>
        <v>#N/A</v>
      </c>
      <c r="G66" s="33" t="e">
        <f>VLOOKUP(A1,DIV_10Data!$A$1:$DZU$1000000,1113,FALSE)</f>
        <v>#N/A</v>
      </c>
      <c r="H66" s="34" t="e">
        <f>VLOOKUP(A1,DIV_10Data!$A$1:$DZU$1000000,1114,FALSE)</f>
        <v>#N/A</v>
      </c>
      <c r="I66" s="33" t="e">
        <f>VLOOKUP(A1,DIV_10Data!$A$1:$DZU$1000000,1115,FALSE)</f>
        <v>#N/A</v>
      </c>
      <c r="J66" s="34" t="e">
        <f>VLOOKUP(A1,DIV_10Data!$A$1:$DZU$1000000,1116,FALSE)</f>
        <v>#N/A</v>
      </c>
      <c r="K66" s="34" t="e">
        <f>VLOOKUP(A1,DIV_10Data!$A$1:$DZU$1000000,1117,FALSE)</f>
        <v>#N/A</v>
      </c>
      <c r="L66" s="93" t="e">
        <f>VLOOKUP(A1,DIV_10Data!$A$1:$DZU$1000000,1118,FALSE)</f>
        <v>#N/A</v>
      </c>
      <c r="M66" s="33" t="e">
        <f>VLOOKUP(A1,DIV_10Data!$A$1:$DZU$1000000,1119,FALSE)</f>
        <v>#N/A</v>
      </c>
      <c r="N66" s="34" t="e">
        <f>VLOOKUP(A1,DIV_10Data!$A$1:$DZU$1000000,1120,FALSE)</f>
        <v>#N/A</v>
      </c>
      <c r="O66" s="33" t="e">
        <f>VLOOKUP(A1,DIV_10Data!$A$1:$DZU$1000000,1121,FALSE)</f>
        <v>#N/A</v>
      </c>
      <c r="P66" s="46" t="e">
        <f>VLOOKUP(A1,DIV_10Data!$A$1:$DZU$1000000,1122,FALSE)</f>
        <v>#N/A</v>
      </c>
      <c r="Q66" s="33" t="e">
        <f>VLOOKUP(A1,DIV_10Data!$A$1:$DZU$1000000,1123,FALSE)</f>
        <v>#N/A</v>
      </c>
    </row>
    <row r="67" spans="1:17" x14ac:dyDescent="0.35">
      <c r="A67" s="22" t="e">
        <f>VLOOKUP(A1,DIV_10Data!$A$1:$DZU$1000000,1124,FALSE)</f>
        <v>#N/A</v>
      </c>
      <c r="B67" s="37" t="e">
        <f>VLOOKUP(A1,DIV_10Data!$A$1:$DZU$1000000,1125,FALSE)</f>
        <v>#N/A</v>
      </c>
      <c r="C67" s="38" t="e">
        <f>VLOOKUP(A1,DIV_10Data!$A$1:$DZU$1000000,1126,FALSE)</f>
        <v>#N/A</v>
      </c>
      <c r="D67" s="31" t="e">
        <f>VLOOKUP(A1,DIV_10Data!$A$1:$DZU$1000000,1127,FALSE)</f>
        <v>#N/A</v>
      </c>
      <c r="E67" s="32" t="e">
        <f>VLOOKUP(A1,DIV_10Data!$A$1:$DZU$1000000,1128,FALSE)</f>
        <v>#N/A</v>
      </c>
      <c r="F67" s="34" t="e">
        <f>VLOOKUP(A1,DIV_10Data!$A$1:$DZU$1000000,1129,FALSE)</f>
        <v>#N/A</v>
      </c>
      <c r="G67" s="33" t="e">
        <f>VLOOKUP(A1,DIV_10Data!$A$1:$DZU$1000000,1130,FALSE)</f>
        <v>#N/A</v>
      </c>
      <c r="H67" s="34" t="e">
        <f>VLOOKUP(A1,DIV_10Data!$A$1:$DZU$1000000,1131,FALSE)</f>
        <v>#N/A</v>
      </c>
      <c r="I67" s="33" t="e">
        <f>VLOOKUP(A1,DIV_10Data!$A$1:$DZU$1000000,1132,FALSE)</f>
        <v>#N/A</v>
      </c>
      <c r="J67" s="34" t="e">
        <f>VLOOKUP(A1,DIV_10Data!$A$1:$DZU$1000000,1133,FALSE)</f>
        <v>#N/A</v>
      </c>
      <c r="K67" s="34" t="e">
        <f>VLOOKUP(A1,DIV_10Data!$A$1:$DZU$1000000,1134,FALSE)</f>
        <v>#N/A</v>
      </c>
      <c r="L67" s="93" t="e">
        <f>VLOOKUP(A1,DIV_10Data!$A$1:$DZU$1000000,1135,FALSE)</f>
        <v>#N/A</v>
      </c>
      <c r="M67" s="33" t="e">
        <f>VLOOKUP(A1,DIV_10Data!$A$1:$DZU$1000000,1136,FALSE)</f>
        <v>#N/A</v>
      </c>
      <c r="N67" s="34" t="e">
        <f>VLOOKUP(A1,DIV_10Data!$A$1:$DZU$1000000,1137,FALSE)</f>
        <v>#N/A</v>
      </c>
      <c r="O67" s="33" t="e">
        <f>VLOOKUP(A1,DIV_10Data!$A$1:$DZU$1000000,1138,FALSE)</f>
        <v>#N/A</v>
      </c>
      <c r="P67" s="46" t="e">
        <f>VLOOKUP(A1,DIV_10Data!$A$1:$DZU$1000000,1139,FALSE)</f>
        <v>#N/A</v>
      </c>
      <c r="Q67" s="33" t="e">
        <f>VLOOKUP(A1,DIV_10Data!$A$1:$DZU$1000000,1140,FALSE)</f>
        <v>#N/A</v>
      </c>
    </row>
    <row r="68" spans="1:17" x14ac:dyDescent="0.35">
      <c r="A68" s="22" t="e">
        <f>VLOOKUP(A1,DIV_10Data!$A$1:$DZU$1000000,1141,FALSE)</f>
        <v>#N/A</v>
      </c>
      <c r="B68" s="37" t="e">
        <f>VLOOKUP(A1,DIV_10Data!$A$1:$DZU$1000000,1142,FALSE)</f>
        <v>#N/A</v>
      </c>
      <c r="C68" s="38" t="e">
        <f>VLOOKUP(A1,DIV_10Data!$A$1:$DZU$1000000,1143,FALSE)</f>
        <v>#N/A</v>
      </c>
      <c r="D68" s="31" t="e">
        <f>VLOOKUP(A1,DIV_10Data!$A$1:$DZU$1000000,1144,FALSE)</f>
        <v>#N/A</v>
      </c>
      <c r="E68" s="32" t="e">
        <f>VLOOKUP(A1,DIV_10Data!$A$1:$DZU$1000000,1145,FALSE)</f>
        <v>#N/A</v>
      </c>
      <c r="F68" s="34" t="e">
        <f>VLOOKUP(A1,DIV_10Data!$A$1:$DZU$1000000,1146,FALSE)</f>
        <v>#N/A</v>
      </c>
      <c r="G68" s="33" t="e">
        <f>VLOOKUP(A1,DIV_10Data!$A$1:$DZU$1000000,1147,FALSE)</f>
        <v>#N/A</v>
      </c>
      <c r="H68" s="34" t="e">
        <f>VLOOKUP(A1,DIV_10Data!$A$1:$DZU$1000000,1148,FALSE)</f>
        <v>#N/A</v>
      </c>
      <c r="I68" s="33" t="e">
        <f>VLOOKUP(A1,DIV_10Data!$A$1:$DZU$1000000,1149,FALSE)</f>
        <v>#N/A</v>
      </c>
      <c r="J68" s="34" t="e">
        <f>VLOOKUP(A1,DIV_10Data!$A$1:$DZU$1000000,1150,FALSE)</f>
        <v>#N/A</v>
      </c>
      <c r="K68" s="34" t="e">
        <f>VLOOKUP(A1,DIV_10Data!$A$1:$DZU$1000000,1151,FALSE)</f>
        <v>#N/A</v>
      </c>
      <c r="L68" s="93" t="e">
        <f>VLOOKUP(A1,DIV_10Data!$A$1:$DZU$1000000,1152,FALSE)</f>
        <v>#N/A</v>
      </c>
      <c r="M68" s="33" t="e">
        <f>VLOOKUP(A1,DIV_10Data!$A$1:$DZU$1000000,1153,FALSE)</f>
        <v>#N/A</v>
      </c>
      <c r="N68" s="34" t="e">
        <f>VLOOKUP(A1,DIV_10Data!$A$1:$DZU$1000000,1154,FALSE)</f>
        <v>#N/A</v>
      </c>
      <c r="O68" s="33" t="e">
        <f>VLOOKUP(A1,DIV_10Data!$A$1:$DZU$1000000,1155,FALSE)</f>
        <v>#N/A</v>
      </c>
      <c r="P68" s="46" t="e">
        <f>VLOOKUP(A1,DIV_10Data!$A$1:$DZU$1000000,1156,FALSE)</f>
        <v>#N/A</v>
      </c>
      <c r="Q68" s="33" t="e">
        <f>VLOOKUP(A1,DIV_10Data!$A$1:$DZU$1000000,1157,FALSE)</f>
        <v>#N/A</v>
      </c>
    </row>
    <row r="69" spans="1:17" x14ac:dyDescent="0.35">
      <c r="A69" s="22" t="e">
        <f>VLOOKUP(A1,DIV_10Data!$A$1:$DZU$1000000,1158,FALSE)</f>
        <v>#N/A</v>
      </c>
      <c r="B69" s="37" t="e">
        <f>VLOOKUP(A1,DIV_10Data!$A$1:$DZU$1000000,1159,FALSE)</f>
        <v>#N/A</v>
      </c>
      <c r="C69" s="38" t="e">
        <f>VLOOKUP(A1,DIV_10Data!$A$1:$DZU$1000000,1160,FALSE)</f>
        <v>#N/A</v>
      </c>
      <c r="D69" s="31" t="e">
        <f>VLOOKUP(A1,DIV_10Data!$A$1:$DZU$1000000,1161,FALSE)</f>
        <v>#N/A</v>
      </c>
      <c r="E69" s="32" t="e">
        <f>VLOOKUP(A1,DIV_10Data!$A$1:$DZU$1000000,1162,FALSE)</f>
        <v>#N/A</v>
      </c>
      <c r="F69" s="34" t="e">
        <f>VLOOKUP(A1,DIV_10Data!$A$1:$DZU$1000000,1163,FALSE)</f>
        <v>#N/A</v>
      </c>
      <c r="G69" s="33" t="e">
        <f>VLOOKUP(A1,DIV_10Data!$A$1:$DZU$1000000,1164,FALSE)</f>
        <v>#N/A</v>
      </c>
      <c r="H69" s="34" t="e">
        <f>VLOOKUP(A1,DIV_10Data!$A$1:$DZU$1000000,1165,FALSE)</f>
        <v>#N/A</v>
      </c>
      <c r="I69" s="33" t="e">
        <f>VLOOKUP(A1,DIV_10Data!$A$1:$DZU$1000000,1166,FALSE)</f>
        <v>#N/A</v>
      </c>
      <c r="J69" s="34" t="e">
        <f>VLOOKUP(A1,DIV_10Data!$A$1:$DZU$1000000,1167,FALSE)</f>
        <v>#N/A</v>
      </c>
      <c r="K69" s="34" t="e">
        <f>VLOOKUP(A1,DIV_10Data!$A$1:$DZU$1000000,1168,FALSE)</f>
        <v>#N/A</v>
      </c>
      <c r="L69" s="93" t="e">
        <f>VLOOKUP(A1,DIV_10Data!$A$1:$DZU$1000000,1169,FALSE)</f>
        <v>#N/A</v>
      </c>
      <c r="M69" s="33" t="e">
        <f>VLOOKUP(A1,DIV_10Data!$A$1:$DZU$1000000,1170,FALSE)</f>
        <v>#N/A</v>
      </c>
      <c r="N69" s="34" t="e">
        <f>VLOOKUP(A1,DIV_10Data!$A$1:$DZU$1000000,1171,FALSE)</f>
        <v>#N/A</v>
      </c>
      <c r="O69" s="33" t="e">
        <f>VLOOKUP(A1,DIV_10Data!$A$1:$DZU$1000000,1172,FALSE)</f>
        <v>#N/A</v>
      </c>
      <c r="P69" s="46" t="e">
        <f>VLOOKUP(A1,DIV_10Data!$A$1:$DZU$1000000,1173,FALSE)</f>
        <v>#N/A</v>
      </c>
      <c r="Q69" s="33" t="e">
        <f>VLOOKUP(A1,DIV_10Data!$A$1:$DZU$1000000,1174,FALSE)</f>
        <v>#N/A</v>
      </c>
    </row>
    <row r="70" spans="1:17" x14ac:dyDescent="0.35">
      <c r="A70" s="22" t="e">
        <f>VLOOKUP(A1,DIV_10Data!$A$1:$DZU$1000000,1175,FALSE)</f>
        <v>#N/A</v>
      </c>
      <c r="B70" s="37" t="e">
        <f>VLOOKUP(A1,DIV_10Data!$A$1:$DZU$1000000,1176,FALSE)</f>
        <v>#N/A</v>
      </c>
      <c r="C70" s="38" t="e">
        <f>VLOOKUP(A1,DIV_10Data!$A$1:$DZU$1000000,1177,FALSE)</f>
        <v>#N/A</v>
      </c>
      <c r="D70" s="31" t="e">
        <f>VLOOKUP(A1,DIV_10Data!$A$1:$DZU$1000000,1178,FALSE)</f>
        <v>#N/A</v>
      </c>
      <c r="E70" s="32" t="e">
        <f>VLOOKUP(A1,DIV_10Data!$A$1:$DZU$1000000,1179,FALSE)</f>
        <v>#N/A</v>
      </c>
      <c r="F70" s="34" t="e">
        <f>VLOOKUP(A1,DIV_10Data!$A$1:$DZU$1000000,1180,FALSE)</f>
        <v>#N/A</v>
      </c>
      <c r="G70" s="33" t="e">
        <f>VLOOKUP(A1,DIV_10Data!$A$1:$DZU$1000000,1181,FALSE)</f>
        <v>#N/A</v>
      </c>
      <c r="H70" s="34" t="e">
        <f>VLOOKUP(A1,DIV_10Data!$A$1:$DZU$1000000,1182,FALSE)</f>
        <v>#N/A</v>
      </c>
      <c r="I70" s="33" t="e">
        <f>VLOOKUP(A1,DIV_10Data!$A$1:$DZU$1000000,1183,FALSE)</f>
        <v>#N/A</v>
      </c>
      <c r="J70" s="34" t="e">
        <f>VLOOKUP(A1,DIV_10Data!$A$1:$DZU$1000000,1184,FALSE)</f>
        <v>#N/A</v>
      </c>
      <c r="K70" s="34" t="e">
        <f>VLOOKUP(A1,DIV_10Data!$A$1:$DZU$1000000,1185,FALSE)</f>
        <v>#N/A</v>
      </c>
      <c r="L70" s="93" t="e">
        <f>VLOOKUP(A1,DIV_10Data!$A$1:$DZU$1000000,1186,FALSE)</f>
        <v>#N/A</v>
      </c>
      <c r="M70" s="33" t="e">
        <f>VLOOKUP(A1,DIV_10Data!$A$1:$DZU$1000000,1187,FALSE)</f>
        <v>#N/A</v>
      </c>
      <c r="N70" s="34" t="e">
        <f>VLOOKUP(A1,DIV_10Data!$A$1:$DZU$1000000,1188,FALSE)</f>
        <v>#N/A</v>
      </c>
      <c r="O70" s="33" t="e">
        <f>VLOOKUP(A1,DIV_10Data!$A$1:$DZU$1000000,1189,FALSE)</f>
        <v>#N/A</v>
      </c>
      <c r="P70" s="46" t="e">
        <f>VLOOKUP(A1,DIV_10Data!$A$1:$DZU$1000000,1190,FALSE)</f>
        <v>#N/A</v>
      </c>
      <c r="Q70" s="33" t="e">
        <f>VLOOKUP(A1,DIV_10Data!$A$1:$DZU$1000000,1191,FALSE)</f>
        <v>#N/A</v>
      </c>
    </row>
    <row r="71" spans="1:17" x14ac:dyDescent="0.35">
      <c r="A71" s="22" t="e">
        <f>VLOOKUP(A1,DIV_10Data!$A$1:$DZU$1000000,1192,FALSE)</f>
        <v>#N/A</v>
      </c>
      <c r="B71" s="37" t="e">
        <f>VLOOKUP(A1,DIV_10Data!$A$1:$DZU$1000000,1193,FALSE)</f>
        <v>#N/A</v>
      </c>
      <c r="C71" s="38" t="e">
        <f>VLOOKUP(A1,DIV_10Data!$A$1:$DZU$1000000,1194,FALSE)</f>
        <v>#N/A</v>
      </c>
      <c r="D71" s="31" t="e">
        <f>VLOOKUP(A1,DIV_10Data!$A$1:$DZU$1000000,1195,FALSE)</f>
        <v>#N/A</v>
      </c>
      <c r="E71" s="32" t="e">
        <f>VLOOKUP(A1,DIV_10Data!$A$1:$DZU$1000000,1196,FALSE)</f>
        <v>#N/A</v>
      </c>
      <c r="F71" s="34" t="e">
        <f>VLOOKUP(A1,DIV_10Data!$A$1:$DZU$1000000,1197,FALSE)</f>
        <v>#N/A</v>
      </c>
      <c r="G71" s="33" t="e">
        <f>VLOOKUP(A1,DIV_10Data!$A$1:$DZU$1000000,1198,FALSE)</f>
        <v>#N/A</v>
      </c>
      <c r="H71" s="34" t="e">
        <f>VLOOKUP(A1,DIV_10Data!$A$1:$DZU$1000000,1199,FALSE)</f>
        <v>#N/A</v>
      </c>
      <c r="I71" s="33" t="e">
        <f>VLOOKUP(A1,DIV_10Data!$A$1:$DZU$1000000,1200,FALSE)</f>
        <v>#N/A</v>
      </c>
      <c r="J71" s="34" t="e">
        <f>VLOOKUP(A1,DIV_10Data!$A$1:$DZU$1000000,1201,FALSE)</f>
        <v>#N/A</v>
      </c>
      <c r="K71" s="34" t="e">
        <f>VLOOKUP(A1,DIV_10Data!$A$1:$DZU$1000000,1202,FALSE)</f>
        <v>#N/A</v>
      </c>
      <c r="L71" s="93" t="e">
        <f>VLOOKUP(A1,DIV_10Data!$A$1:$DZU$1000000,1203,FALSE)</f>
        <v>#N/A</v>
      </c>
      <c r="M71" s="33" t="e">
        <f>VLOOKUP(A1,DIV_10Data!$A$1:$DZU$1000000,1204,FALSE)</f>
        <v>#N/A</v>
      </c>
      <c r="N71" s="34" t="e">
        <f>VLOOKUP(A1,DIV_10Data!$A$1:$DZU$1000000,1205,FALSE)</f>
        <v>#N/A</v>
      </c>
      <c r="O71" s="33" t="e">
        <f>VLOOKUP(A1,DIV_10Data!$A$1:$DZU$1000000,1206,FALSE)</f>
        <v>#N/A</v>
      </c>
      <c r="P71" s="46" t="e">
        <f>VLOOKUP(A1,DIV_10Data!$A$1:$DZU$1000000,1207,FALSE)</f>
        <v>#N/A</v>
      </c>
      <c r="Q71" s="33" t="e">
        <f>VLOOKUP(A1,DIV_10Data!$A$1:$DZU$1000000,1208,FALSE)</f>
        <v>#N/A</v>
      </c>
    </row>
    <row r="72" spans="1:17" x14ac:dyDescent="0.35">
      <c r="A72" s="22" t="e">
        <f>VLOOKUP(A1,DIV_10Data!$A$1:$DZU$1000000,1209,FALSE)</f>
        <v>#N/A</v>
      </c>
      <c r="B72" s="37" t="e">
        <f>VLOOKUP(A1,DIV_10Data!$A$1:$DZU$1000000,1210,FALSE)</f>
        <v>#N/A</v>
      </c>
      <c r="C72" s="38" t="e">
        <f>VLOOKUP(A1,DIV_10Data!$A$1:$DZU$1000000,1211,FALSE)</f>
        <v>#N/A</v>
      </c>
      <c r="D72" s="31" t="e">
        <f>VLOOKUP(A1,DIV_10Data!$A$1:$DZU$1000000,1212,FALSE)</f>
        <v>#N/A</v>
      </c>
      <c r="E72" s="32" t="e">
        <f>VLOOKUP(A1,DIV_10Data!$A$1:$DZU$1000000,1213,FALSE)</f>
        <v>#N/A</v>
      </c>
      <c r="F72" s="34" t="e">
        <f>VLOOKUP(A1,DIV_10Data!$A$1:$DZU$1000000,1214,FALSE)</f>
        <v>#N/A</v>
      </c>
      <c r="G72" s="33" t="e">
        <f>VLOOKUP(A1,DIV_10Data!$A$1:$DZU$1000000,1215,FALSE)</f>
        <v>#N/A</v>
      </c>
      <c r="H72" s="34" t="e">
        <f>VLOOKUP(A1,DIV_10Data!$A$1:$DZU$1000000,1216,FALSE)</f>
        <v>#N/A</v>
      </c>
      <c r="I72" s="33" t="e">
        <f>VLOOKUP(A1,DIV_10Data!$A$1:$DZU$1000000,1217,FALSE)</f>
        <v>#N/A</v>
      </c>
      <c r="J72" s="34" t="e">
        <f>VLOOKUP(A1,DIV_10Data!$A$1:$DZU$1000000,1218,FALSE)</f>
        <v>#N/A</v>
      </c>
      <c r="K72" s="34" t="e">
        <f>VLOOKUP(A1,DIV_10Data!$A$1:$DZU$1000000,1219,FALSE)</f>
        <v>#N/A</v>
      </c>
      <c r="L72" s="93" t="e">
        <f>VLOOKUP(A1,DIV_10Data!$A$1:$DZU$1000000,1220,FALSE)</f>
        <v>#N/A</v>
      </c>
      <c r="M72" s="33" t="e">
        <f>VLOOKUP(A1,DIV_10Data!$A$1:$DZU$1000000,1221,FALSE)</f>
        <v>#N/A</v>
      </c>
      <c r="N72" s="34" t="e">
        <f>VLOOKUP(A1,DIV_10Data!$A$1:$DZU$1000000,1222,FALSE)</f>
        <v>#N/A</v>
      </c>
      <c r="O72" s="33" t="e">
        <f>VLOOKUP(A1,DIV_10Data!$A$1:$DZU$1000000,1223,FALSE)</f>
        <v>#N/A</v>
      </c>
      <c r="P72" s="46" t="e">
        <f>VLOOKUP(A1,DIV_10Data!$A$1:$DZU$1000000,1224,FALSE)</f>
        <v>#N/A</v>
      </c>
      <c r="Q72" s="33" t="e">
        <f>VLOOKUP(A1,DIV_10Data!$A$1:$DZU$1000000,1225,FALSE)</f>
        <v>#N/A</v>
      </c>
    </row>
    <row r="73" spans="1:17" x14ac:dyDescent="0.35">
      <c r="A73" s="22" t="e">
        <f>VLOOKUP(A1,DIV_10Data!$A$1:$DZU$1000000,1226,FALSE)</f>
        <v>#N/A</v>
      </c>
      <c r="B73" s="37" t="e">
        <f>VLOOKUP(A1,DIV_10Data!$A$1:$DZU$1000000,1227,FALSE)</f>
        <v>#N/A</v>
      </c>
      <c r="C73" s="38" t="e">
        <f>VLOOKUP(A1,DIV_10Data!$A$1:$DZU$1000000,1228,FALSE)</f>
        <v>#N/A</v>
      </c>
      <c r="D73" s="31" t="e">
        <f>VLOOKUP(A1,DIV_10Data!$A$1:$DZU$1000000,1229,FALSE)</f>
        <v>#N/A</v>
      </c>
      <c r="E73" s="32" t="e">
        <f>VLOOKUP(A1,DIV_10Data!$A$1:$DZU$1000000,1230,FALSE)</f>
        <v>#N/A</v>
      </c>
      <c r="F73" s="34" t="e">
        <f>VLOOKUP(A1,DIV_10Data!$A$1:$DZU$1000000,1231,FALSE)</f>
        <v>#N/A</v>
      </c>
      <c r="G73" s="33" t="e">
        <f>VLOOKUP(A1,DIV_10Data!$A$1:$DZU$1000000,1232,FALSE)</f>
        <v>#N/A</v>
      </c>
      <c r="H73" s="34" t="e">
        <f>VLOOKUP(A1,DIV_10Data!$A$1:$DZU$1000000,1233,FALSE)</f>
        <v>#N/A</v>
      </c>
      <c r="I73" s="33" t="e">
        <f>VLOOKUP(A1,DIV_10Data!$A$1:$DZU$1000000,1234,FALSE)</f>
        <v>#N/A</v>
      </c>
      <c r="J73" s="34" t="e">
        <f>VLOOKUP(A1,DIV_10Data!$A$1:$DZU$1000000,1235,FALSE)</f>
        <v>#N/A</v>
      </c>
      <c r="K73" s="34" t="e">
        <f>VLOOKUP(A1,DIV_10Data!$A$1:$DZU$1000000,1236,FALSE)</f>
        <v>#N/A</v>
      </c>
      <c r="L73" s="93" t="e">
        <f>VLOOKUP(A1,DIV_10Data!$A$1:$DZU$1000000,1237,FALSE)</f>
        <v>#N/A</v>
      </c>
      <c r="M73" s="33" t="e">
        <f>VLOOKUP(A1,DIV_10Data!$A$1:$DZU$1000000,1238,FALSE)</f>
        <v>#N/A</v>
      </c>
      <c r="N73" s="34" t="e">
        <f>VLOOKUP(A1,DIV_10Data!$A$1:$DZU$1000000,1239,FALSE)</f>
        <v>#N/A</v>
      </c>
      <c r="O73" s="33" t="e">
        <f>VLOOKUP(A1,DIV_10Data!$A$1:$DZU$1000000,1240,FALSE)</f>
        <v>#N/A</v>
      </c>
      <c r="P73" s="46" t="e">
        <f>VLOOKUP(A1,DIV_10Data!$A$1:$DZU$1000000,1241,FALSE)</f>
        <v>#N/A</v>
      </c>
      <c r="Q73" s="33" t="e">
        <f>VLOOKUP(A1,DIV_10Data!$A$1:$DZU$1000000,1242,FALSE)</f>
        <v>#N/A</v>
      </c>
    </row>
    <row r="74" spans="1:17" x14ac:dyDescent="0.35">
      <c r="A74" s="22" t="e">
        <f>VLOOKUP(A1,DIV_10Data!$A$1:$DZU$1000000,1243,FALSE)</f>
        <v>#N/A</v>
      </c>
      <c r="B74" s="37" t="e">
        <f>VLOOKUP(A1,DIV_10Data!$A$1:$DZU$1000000,1244,FALSE)</f>
        <v>#N/A</v>
      </c>
      <c r="C74" s="38" t="e">
        <f>VLOOKUP(A1,DIV_10Data!$A$1:$DZU$1000000,1245,FALSE)</f>
        <v>#N/A</v>
      </c>
      <c r="D74" s="31" t="e">
        <f>VLOOKUP(A1,DIV_10Data!$A$1:$DZU$1000000,1246,FALSE)</f>
        <v>#N/A</v>
      </c>
      <c r="E74" s="32" t="e">
        <f>VLOOKUP(A1,DIV_10Data!$A$1:$DZU$1000000,1247,FALSE)</f>
        <v>#N/A</v>
      </c>
      <c r="F74" s="34" t="e">
        <f>VLOOKUP(A1,DIV_10Data!$A$1:$DZU$1000000,1248,FALSE)</f>
        <v>#N/A</v>
      </c>
      <c r="G74" s="33" t="e">
        <f>VLOOKUP(A1,DIV_10Data!$A$1:$DZU$1000000,1249,FALSE)</f>
        <v>#N/A</v>
      </c>
      <c r="H74" s="34" t="e">
        <f>VLOOKUP(A1,DIV_10Data!$A$1:$DZU$1000000,1250,FALSE)</f>
        <v>#N/A</v>
      </c>
      <c r="I74" s="33" t="e">
        <f>VLOOKUP(A1,DIV_10Data!$A$1:$DZU$1000000,1251,FALSE)</f>
        <v>#N/A</v>
      </c>
      <c r="J74" s="34" t="e">
        <f>VLOOKUP(A1,DIV_10Data!$A$1:$DZU$1000000,1252,FALSE)</f>
        <v>#N/A</v>
      </c>
      <c r="K74" s="34" t="e">
        <f>VLOOKUP(A1,DIV_10Data!$A$1:$DZU$1000000,1253,FALSE)</f>
        <v>#N/A</v>
      </c>
      <c r="L74" s="93" t="e">
        <f>VLOOKUP(A1,DIV_10Data!$A$1:$DZU$1000000,1254,FALSE)</f>
        <v>#N/A</v>
      </c>
      <c r="M74" s="33" t="e">
        <f>VLOOKUP(A1,DIV_10Data!$A$1:$DZU$1000000,1255,FALSE)</f>
        <v>#N/A</v>
      </c>
      <c r="N74" s="34" t="e">
        <f>VLOOKUP(A1,DIV_10Data!$A$1:$DZU$1000000,1256,FALSE)</f>
        <v>#N/A</v>
      </c>
      <c r="O74" s="33" t="e">
        <f>VLOOKUP(A1,DIV_10Data!$A$1:$DZU$1000000,1257,FALSE)</f>
        <v>#N/A</v>
      </c>
      <c r="P74" s="46" t="e">
        <f>VLOOKUP(A1,DIV_10Data!$A$1:$DZU$1000000,1258,FALSE)</f>
        <v>#N/A</v>
      </c>
      <c r="Q74" s="33" t="e">
        <f>VLOOKUP(A1,DIV_10Data!$A$1:$DZU$1000000,1259,FALSE)</f>
        <v>#N/A</v>
      </c>
    </row>
    <row r="75" spans="1:17" x14ac:dyDescent="0.35">
      <c r="A75" s="22" t="e">
        <f>VLOOKUP(A1,DIV_10Data!$A$1:$DZU$1000000,1260,FALSE)</f>
        <v>#N/A</v>
      </c>
      <c r="B75" s="37" t="e">
        <f>VLOOKUP(A1,DIV_10Data!$A$1:$DZU$1000000,1261,FALSE)</f>
        <v>#N/A</v>
      </c>
      <c r="C75" s="38" t="e">
        <f>VLOOKUP(A1,DIV_10Data!$A$1:$DZU$1000000,1262,FALSE)</f>
        <v>#N/A</v>
      </c>
      <c r="D75" s="31" t="e">
        <f>VLOOKUP(A1,DIV_10Data!$A$1:$DZU$1000000,1263,FALSE)</f>
        <v>#N/A</v>
      </c>
      <c r="E75" s="32" t="e">
        <f>VLOOKUP(A1,DIV_10Data!$A$1:$DZU$1000000,1264,FALSE)</f>
        <v>#N/A</v>
      </c>
      <c r="F75" s="34" t="e">
        <f>VLOOKUP(A1,DIV_10Data!$A$1:$DZU$1000000,1265,FALSE)</f>
        <v>#N/A</v>
      </c>
      <c r="G75" s="33" t="e">
        <f>VLOOKUP(A1,DIV_10Data!$A$1:$DZU$1000000,1266,FALSE)</f>
        <v>#N/A</v>
      </c>
      <c r="H75" s="34" t="e">
        <f>VLOOKUP(A1,DIV_10Data!$A$1:$DZU$1000000,1267,FALSE)</f>
        <v>#N/A</v>
      </c>
      <c r="I75" s="33" t="e">
        <f>VLOOKUP(A1,DIV_10Data!$A$1:$DZU$1000000,1268,FALSE)</f>
        <v>#N/A</v>
      </c>
      <c r="J75" s="34" t="e">
        <f>VLOOKUP(A1,DIV_10Data!$A$1:$DZU$1000000,1269,FALSE)</f>
        <v>#N/A</v>
      </c>
      <c r="K75" s="34" t="e">
        <f>VLOOKUP(A1,DIV_10Data!$A$1:$DZU$1000000,1270,FALSE)</f>
        <v>#N/A</v>
      </c>
      <c r="L75" s="93" t="e">
        <f>VLOOKUP(A1,DIV_10Data!$A$1:$DZU$1000000,1271,FALSE)</f>
        <v>#N/A</v>
      </c>
      <c r="M75" s="33" t="e">
        <f>VLOOKUP(A1,DIV_10Data!$A$1:$DZU$1000000,1272,FALSE)</f>
        <v>#N/A</v>
      </c>
      <c r="N75" s="34" t="e">
        <f>VLOOKUP(A1,DIV_10Data!$A$1:$DZU$1000000,1273,FALSE)</f>
        <v>#N/A</v>
      </c>
      <c r="O75" s="33" t="e">
        <f>VLOOKUP(A1,DIV_10Data!$A$1:$DZU$1000000,1274,FALSE)</f>
        <v>#N/A</v>
      </c>
      <c r="P75" s="46" t="e">
        <f>VLOOKUP(A1,DIV_10Data!$A$1:$DZU$1000000,1275,FALSE)</f>
        <v>#N/A</v>
      </c>
      <c r="Q75" s="33" t="e">
        <f>VLOOKUP(A1,DIV_10Data!$A$1:$DZU$1000000,1276,FALSE)</f>
        <v>#N/A</v>
      </c>
    </row>
    <row r="76" spans="1:17" x14ac:dyDescent="0.35">
      <c r="A76" s="22" t="e">
        <f>VLOOKUP(A1,DIV_10Data!$A$1:$DZU$1000000,1277,FALSE)</f>
        <v>#N/A</v>
      </c>
      <c r="B76" s="37" t="e">
        <f>VLOOKUP(A1,DIV_10Data!$A$1:$DZU$1000000,1278,FALSE)</f>
        <v>#N/A</v>
      </c>
      <c r="C76" s="38" t="e">
        <f>VLOOKUP(A1,DIV_10Data!$A$1:$DZU$1000000,1279,FALSE)</f>
        <v>#N/A</v>
      </c>
      <c r="D76" s="31" t="e">
        <f>VLOOKUP(A1,DIV_10Data!$A$1:$DZU$1000000,1280,FALSE)</f>
        <v>#N/A</v>
      </c>
      <c r="E76" s="32" t="e">
        <f>VLOOKUP(A1,DIV_10Data!$A$1:$DZU$1000000,1281,FALSE)</f>
        <v>#N/A</v>
      </c>
      <c r="F76" s="34" t="e">
        <f>VLOOKUP(A1,DIV_10Data!$A$1:$DZU$1000000,1282,FALSE)</f>
        <v>#N/A</v>
      </c>
      <c r="G76" s="33" t="e">
        <f>VLOOKUP(A1,DIV_10Data!$A$1:$DZU$1000000,1283,FALSE)</f>
        <v>#N/A</v>
      </c>
      <c r="H76" s="34" t="e">
        <f>VLOOKUP(A1,DIV_10Data!$A$1:$DZU$1000000,1284,FALSE)</f>
        <v>#N/A</v>
      </c>
      <c r="I76" s="33" t="e">
        <f>VLOOKUP(A1,DIV_10Data!$A$1:$DZU$1000000,1285,FALSE)</f>
        <v>#N/A</v>
      </c>
      <c r="J76" s="34" t="e">
        <f>VLOOKUP(A1,DIV_10Data!$A$1:$DZU$1000000,1286,FALSE)</f>
        <v>#N/A</v>
      </c>
      <c r="K76" s="34" t="e">
        <f>VLOOKUP(A1,DIV_10Data!$A$1:$DZU$1000000,1287,FALSE)</f>
        <v>#N/A</v>
      </c>
      <c r="L76" s="93" t="e">
        <f>VLOOKUP(A1,DIV_10Data!$A$1:$DZU$1000000,1288,FALSE)</f>
        <v>#N/A</v>
      </c>
      <c r="M76" s="33" t="e">
        <f>VLOOKUP(A1,DIV_10Data!$A$1:$DZU$1000000,1289,FALSE)</f>
        <v>#N/A</v>
      </c>
      <c r="N76" s="34" t="e">
        <f>VLOOKUP(A1,DIV_10Data!$A$1:$DZU$1000000,1290,FALSE)</f>
        <v>#N/A</v>
      </c>
      <c r="O76" s="33" t="e">
        <f>VLOOKUP(A1,DIV_10Data!$A$1:$DZU$1000000,1291,FALSE)</f>
        <v>#N/A</v>
      </c>
      <c r="P76" s="46" t="e">
        <f>VLOOKUP(A1,DIV_10Data!$A$1:$DZU$1000000,1292,FALSE)</f>
        <v>#N/A</v>
      </c>
      <c r="Q76" s="33" t="e">
        <f>VLOOKUP(A1,DIV_10Data!$A$1:$DZU$1000000,1293,FALSE)</f>
        <v>#N/A</v>
      </c>
    </row>
    <row r="77" spans="1:17" x14ac:dyDescent="0.35">
      <c r="A77" s="22" t="e">
        <f>VLOOKUP(A1,DIV_10Data!$A$1:$DZU$1000000,1294,FALSE)</f>
        <v>#N/A</v>
      </c>
      <c r="B77" s="37" t="e">
        <f>VLOOKUP(A1,DIV_10Data!$A$1:$DZU$1000000,1295,FALSE)</f>
        <v>#N/A</v>
      </c>
      <c r="C77" s="38" t="e">
        <f>VLOOKUP(A1,DIV_10Data!$A$1:$DZU$1000000,1296,FALSE)</f>
        <v>#N/A</v>
      </c>
      <c r="D77" s="31" t="e">
        <f>VLOOKUP(A1,DIV_10Data!$A$1:$DZU$1000000,1297,FALSE)</f>
        <v>#N/A</v>
      </c>
      <c r="E77" s="32" t="e">
        <f>VLOOKUP(A1,DIV_10Data!$A$1:$DZU$1000000,1298,FALSE)</f>
        <v>#N/A</v>
      </c>
      <c r="F77" s="34" t="e">
        <f>VLOOKUP(A1,DIV_10Data!$A$1:$DZU$1000000,1299,FALSE)</f>
        <v>#N/A</v>
      </c>
      <c r="G77" s="33" t="e">
        <f>VLOOKUP(A1,DIV_10Data!$A$1:$DZU$1000000,1300,FALSE)</f>
        <v>#N/A</v>
      </c>
      <c r="H77" s="34" t="e">
        <f>VLOOKUP(A1,DIV_10Data!$A$1:$DZU$1000000,1301,FALSE)</f>
        <v>#N/A</v>
      </c>
      <c r="I77" s="33" t="e">
        <f>VLOOKUP(A1,DIV_10Data!$A$1:$DZU$1000000,1302,FALSE)</f>
        <v>#N/A</v>
      </c>
      <c r="J77" s="34" t="e">
        <f>VLOOKUP(A1,DIV_10Data!$A$1:$DZU$1000000,1303,FALSE)</f>
        <v>#N/A</v>
      </c>
      <c r="K77" s="34" t="e">
        <f>VLOOKUP(A1,DIV_10Data!$A$1:$DZU$1000000,1304,FALSE)</f>
        <v>#N/A</v>
      </c>
      <c r="L77" s="93" t="e">
        <f>VLOOKUP(A1,DIV_10Data!$A$1:$DZU$1000000,1305,FALSE)</f>
        <v>#N/A</v>
      </c>
      <c r="M77" s="33" t="e">
        <f>VLOOKUP(A1,DIV_10Data!$A$1:$DZU$1000000,1306,FALSE)</f>
        <v>#N/A</v>
      </c>
      <c r="N77" s="34" t="e">
        <f>VLOOKUP(A1,DIV_10Data!$A$1:$DZU$1000000,1307,FALSE)</f>
        <v>#N/A</v>
      </c>
      <c r="O77" s="33" t="e">
        <f>VLOOKUP(A1,DIV_10Data!$A$1:$DZU$1000000,1308,FALSE)</f>
        <v>#N/A</v>
      </c>
      <c r="P77" s="46" t="e">
        <f>VLOOKUP(A1,DIV_10Data!$A$1:$DZU$1000000,1309,FALSE)</f>
        <v>#N/A</v>
      </c>
      <c r="Q77" s="33" t="e">
        <f>VLOOKUP(A1,DIV_10Data!$A$1:$DZU$1000000,1310,FALSE)</f>
        <v>#N/A</v>
      </c>
    </row>
    <row r="78" spans="1:17" x14ac:dyDescent="0.35">
      <c r="A78" s="22" t="e">
        <f>VLOOKUP(A1,DIV_10Data!$A$1:$DZU$1000000,1311,FALSE)</f>
        <v>#N/A</v>
      </c>
      <c r="B78" s="37" t="e">
        <f>VLOOKUP(A1,DIV_10Data!$A$1:$DZU$1000000,1312,FALSE)</f>
        <v>#N/A</v>
      </c>
      <c r="C78" s="38" t="e">
        <f>VLOOKUP(A1,DIV_10Data!$A$1:$DZU$1000000,1313,FALSE)</f>
        <v>#N/A</v>
      </c>
      <c r="D78" s="31" t="e">
        <f>VLOOKUP(A1,DIV_10Data!$A$1:$DZU$1000000,1314,FALSE)</f>
        <v>#N/A</v>
      </c>
      <c r="E78" s="32" t="e">
        <f>VLOOKUP(A1,DIV_10Data!$A$1:$DZU$1000000,1315,FALSE)</f>
        <v>#N/A</v>
      </c>
      <c r="F78" s="34" t="e">
        <f>VLOOKUP(A1,DIV_10Data!$A$1:$DZU$1000000,1316,FALSE)</f>
        <v>#N/A</v>
      </c>
      <c r="G78" s="33" t="e">
        <f>VLOOKUP(A1,DIV_10Data!$A$1:$DZU$1000000,1317,FALSE)</f>
        <v>#N/A</v>
      </c>
      <c r="H78" s="34" t="e">
        <f>VLOOKUP(A1,DIV_10Data!$A$1:$DZU$1000000,1318,FALSE)</f>
        <v>#N/A</v>
      </c>
      <c r="I78" s="33" t="e">
        <f>VLOOKUP(A1,DIV_10Data!$A$1:$DZU$1000000,1319,FALSE)</f>
        <v>#N/A</v>
      </c>
      <c r="J78" s="34" t="e">
        <f>VLOOKUP(A1,DIV_10Data!$A$1:$DZU$1000000,1320,FALSE)</f>
        <v>#N/A</v>
      </c>
      <c r="K78" s="34" t="e">
        <f>VLOOKUP(A1,DIV_10Data!$A$1:$DZU$1000000,1321,FALSE)</f>
        <v>#N/A</v>
      </c>
      <c r="L78" s="93" t="e">
        <f>VLOOKUP(A1,DIV_10Data!$A$1:$DZU$1000000,1322,FALSE)</f>
        <v>#N/A</v>
      </c>
      <c r="M78" s="33" t="e">
        <f>VLOOKUP(A1,DIV_10Data!$A$1:$DZU$1000000,1323,FALSE)</f>
        <v>#N/A</v>
      </c>
      <c r="N78" s="34" t="e">
        <f>VLOOKUP(A1,DIV_10Data!$A$1:$DZU$1000000,1324,FALSE)</f>
        <v>#N/A</v>
      </c>
      <c r="O78" s="33" t="e">
        <f>VLOOKUP(A1,DIV_10Data!$A$1:$DZU$1000000,1325,FALSE)</f>
        <v>#N/A</v>
      </c>
      <c r="P78" s="46" t="e">
        <f>VLOOKUP(A1,DIV_10Data!$A$1:$DZU$1000000,1326,FALSE)</f>
        <v>#N/A</v>
      </c>
      <c r="Q78" s="33" t="e">
        <f>VLOOKUP(A1,DIV_10Data!$A$1:$DZU$1000000,1327,FALSE)</f>
        <v>#N/A</v>
      </c>
    </row>
    <row r="79" spans="1:17" x14ac:dyDescent="0.35">
      <c r="A79" s="22" t="e">
        <f>VLOOKUP(A1,DIV_10Data!$A$1:$DZU$1000000,1328,FALSE)</f>
        <v>#N/A</v>
      </c>
      <c r="B79" s="37" t="e">
        <f>VLOOKUP(A1,DIV_10Data!$A$1:$DZU$1000000,1329,FALSE)</f>
        <v>#N/A</v>
      </c>
      <c r="C79" s="38" t="e">
        <f>VLOOKUP(A1,DIV_10Data!$A$1:$DZU$1000000,1330,FALSE)</f>
        <v>#N/A</v>
      </c>
      <c r="D79" s="31" t="e">
        <f>VLOOKUP(A1,DIV_10Data!$A$1:$DZU$1000000,1331,FALSE)</f>
        <v>#N/A</v>
      </c>
      <c r="E79" s="32" t="e">
        <f>VLOOKUP(A1,DIV_10Data!$A$1:$DZU$1000000,1332,FALSE)</f>
        <v>#N/A</v>
      </c>
      <c r="F79" s="34" t="e">
        <f>VLOOKUP(A1,DIV_10Data!$A$1:$DZU$1000000,1333,FALSE)</f>
        <v>#N/A</v>
      </c>
      <c r="G79" s="33" t="e">
        <f>VLOOKUP(A1,DIV_10Data!$A$1:$DZU$1000000,1334,FALSE)</f>
        <v>#N/A</v>
      </c>
      <c r="H79" s="34" t="e">
        <f>VLOOKUP(A1,DIV_10Data!$A$1:$DZU$1000000,1335,FALSE)</f>
        <v>#N/A</v>
      </c>
      <c r="I79" s="33" t="e">
        <f>VLOOKUP(A1,DIV_10Data!$A$1:$DZU$1000000,1336,FALSE)</f>
        <v>#N/A</v>
      </c>
      <c r="J79" s="34" t="e">
        <f>VLOOKUP(A1,DIV_10Data!$A$1:$DZU$1000000,1337,FALSE)</f>
        <v>#N/A</v>
      </c>
      <c r="K79" s="34" t="e">
        <f>VLOOKUP(A1,DIV_10Data!$A$1:$DZU$1000000,1338,FALSE)</f>
        <v>#N/A</v>
      </c>
      <c r="L79" s="93" t="e">
        <f>VLOOKUP(A1,DIV_10Data!$A$1:$DZU$1000000,1339,FALSE)</f>
        <v>#N/A</v>
      </c>
      <c r="M79" s="33" t="e">
        <f>VLOOKUP(A1,DIV_10Data!$A$1:$DZU$1000000,1340,FALSE)</f>
        <v>#N/A</v>
      </c>
      <c r="N79" s="34" t="e">
        <f>VLOOKUP(A1,DIV_10Data!$A$1:$DZU$1000000,1341,FALSE)</f>
        <v>#N/A</v>
      </c>
      <c r="O79" s="33" t="e">
        <f>VLOOKUP(A1,DIV_10Data!$A$1:$DZU$1000000,1342,FALSE)</f>
        <v>#N/A</v>
      </c>
      <c r="P79" s="46" t="e">
        <f>VLOOKUP(A1,DIV_10Data!$A$1:$DZU$1000000,1343,FALSE)</f>
        <v>#N/A</v>
      </c>
      <c r="Q79" s="33" t="e">
        <f>VLOOKUP(A1,DIV_10Data!$A$1:$DZU$1000000,1344,FALSE)</f>
        <v>#N/A</v>
      </c>
    </row>
    <row r="80" spans="1:17" x14ac:dyDescent="0.35">
      <c r="A80" s="22" t="e">
        <f>VLOOKUP(A1,DIV_10Data!$A$1:$DZU$1000000,1345,FALSE)</f>
        <v>#N/A</v>
      </c>
      <c r="B80" s="37" t="e">
        <f>VLOOKUP(A1,DIV_10Data!$A$1:$DZU$1000000,1346,FALSE)</f>
        <v>#N/A</v>
      </c>
      <c r="C80" s="38" t="e">
        <f>VLOOKUP(A1,DIV_10Data!$A$1:$DZU$1000000,1347,FALSE)</f>
        <v>#N/A</v>
      </c>
      <c r="D80" s="31" t="e">
        <f>VLOOKUP(A1,DIV_10Data!$A$1:$DZU$1000000,1348,FALSE)</f>
        <v>#N/A</v>
      </c>
      <c r="E80" s="32" t="e">
        <f>VLOOKUP(A1,DIV_10Data!$A$1:$DZU$1000000,1349,FALSE)</f>
        <v>#N/A</v>
      </c>
      <c r="F80" s="34" t="e">
        <f>VLOOKUP(A1,DIV_10Data!$A$1:$DZU$1000000,1350,FALSE)</f>
        <v>#N/A</v>
      </c>
      <c r="G80" s="33" t="e">
        <f>VLOOKUP(A1,DIV_10Data!$A$1:$DZU$1000000,1351,FALSE)</f>
        <v>#N/A</v>
      </c>
      <c r="H80" s="34" t="e">
        <f>VLOOKUP(A1,DIV_10Data!$A$1:$DZU$1000000,1352,FALSE)</f>
        <v>#N/A</v>
      </c>
      <c r="I80" s="33" t="e">
        <f>VLOOKUP(A1,DIV_10Data!$A$1:$DZU$1000000,1353,FALSE)</f>
        <v>#N/A</v>
      </c>
      <c r="J80" s="34" t="e">
        <f>VLOOKUP(A1,DIV_10Data!$A$1:$DZU$1000000,1354,FALSE)</f>
        <v>#N/A</v>
      </c>
      <c r="K80" s="34" t="e">
        <f>VLOOKUP(A1,DIV_10Data!$A$1:$DZU$1000000,1355,FALSE)</f>
        <v>#N/A</v>
      </c>
      <c r="L80" s="93" t="e">
        <f>VLOOKUP(A1,DIV_10Data!$A$1:$DZU$1000000,1356,FALSE)</f>
        <v>#N/A</v>
      </c>
      <c r="M80" s="33" t="e">
        <f>VLOOKUP(A1,DIV_10Data!$A$1:$DZU$1000000,1357,FALSE)</f>
        <v>#N/A</v>
      </c>
      <c r="N80" s="34" t="e">
        <f>VLOOKUP(A1,DIV_10Data!$A$1:$DZU$1000000,1358,FALSE)</f>
        <v>#N/A</v>
      </c>
      <c r="O80" s="33" t="e">
        <f>VLOOKUP(A1,DIV_10Data!$A$1:$DZU$1000000,1359,FALSE)</f>
        <v>#N/A</v>
      </c>
      <c r="P80" s="46" t="e">
        <f>VLOOKUP(A1,DIV_10Data!$A$1:$DZU$1000000,1360,FALSE)</f>
        <v>#N/A</v>
      </c>
      <c r="Q80" s="33" t="e">
        <f>VLOOKUP(A1,DIV_10Data!$A$1:$DZU$1000000,1361,FALSE)</f>
        <v>#N/A</v>
      </c>
    </row>
    <row r="81" spans="1:17" x14ac:dyDescent="0.35">
      <c r="A81" s="22" t="e">
        <f>VLOOKUP(A1,DIV_10Data!$A$1:$DZU$1000000,1362,FALSE)</f>
        <v>#N/A</v>
      </c>
      <c r="B81" s="37" t="e">
        <f>VLOOKUP(A1,DIV_10Data!$A$1:$DZU$1000000,1363,FALSE)</f>
        <v>#N/A</v>
      </c>
      <c r="C81" s="38" t="e">
        <f>VLOOKUP(A1,DIV_10Data!$A$1:$DZU$1000000,1364,FALSE)</f>
        <v>#N/A</v>
      </c>
      <c r="D81" s="31" t="e">
        <f>VLOOKUP(A1,DIV_10Data!$A$1:$DZU$1000000,1365,FALSE)</f>
        <v>#N/A</v>
      </c>
      <c r="E81" s="32" t="e">
        <f>VLOOKUP(A1,DIV_10Data!$A$1:$DZU$1000000,1366,FALSE)</f>
        <v>#N/A</v>
      </c>
      <c r="F81" s="34" t="e">
        <f>VLOOKUP(A1,DIV_10Data!$A$1:$DZU$1000000,1367,FALSE)</f>
        <v>#N/A</v>
      </c>
      <c r="G81" s="33" t="e">
        <f>VLOOKUP(A1,DIV_10Data!$A$1:$DZU$1000000,1368,FALSE)</f>
        <v>#N/A</v>
      </c>
      <c r="H81" s="34" t="e">
        <f>VLOOKUP(A1,DIV_10Data!$A$1:$DZU$1000000,1369,FALSE)</f>
        <v>#N/A</v>
      </c>
      <c r="I81" s="33" t="e">
        <f>VLOOKUP(A1,DIV_10Data!$A$1:$DZU$1000000,1370,FALSE)</f>
        <v>#N/A</v>
      </c>
      <c r="J81" s="34" t="e">
        <f>VLOOKUP(A1,DIV_10Data!$A$1:$DZU$1000000,1371,FALSE)</f>
        <v>#N/A</v>
      </c>
      <c r="K81" s="34" t="e">
        <f>VLOOKUP(A1,DIV_10Data!$A$1:$DZU$1000000,1372,FALSE)</f>
        <v>#N/A</v>
      </c>
      <c r="L81" s="93" t="e">
        <f>VLOOKUP(A1,DIV_10Data!$A$1:$DZU$1000000,1373,FALSE)</f>
        <v>#N/A</v>
      </c>
      <c r="M81" s="33" t="e">
        <f>VLOOKUP(A1,DIV_10Data!$A$1:$DZU$1000000,1374,FALSE)</f>
        <v>#N/A</v>
      </c>
      <c r="N81" s="34" t="e">
        <f>VLOOKUP(A1,DIV_10Data!$A$1:$DZU$1000000,1375,FALSE)</f>
        <v>#N/A</v>
      </c>
      <c r="O81" s="33" t="e">
        <f>VLOOKUP(A1,DIV_10Data!$A$1:$DZU$1000000,1376,FALSE)</f>
        <v>#N/A</v>
      </c>
      <c r="P81" s="46" t="e">
        <f>VLOOKUP(A1,DIV_10Data!$A$1:$DZU$1000000,1377,FALSE)</f>
        <v>#N/A</v>
      </c>
      <c r="Q81" s="33" t="e">
        <f>VLOOKUP(A1,DIV_10Data!$A$1:$DZU$1000000,1378,FALSE)</f>
        <v>#N/A</v>
      </c>
    </row>
    <row r="82" spans="1:17" x14ac:dyDescent="0.35">
      <c r="A82" s="22" t="e">
        <f>VLOOKUP(A1,DIV_10Data!$A$1:$DZU$1000000,1379,FALSE)</f>
        <v>#N/A</v>
      </c>
      <c r="B82" s="37" t="e">
        <f>VLOOKUP(A1,DIV_10Data!$A$1:$DZU$1000000,1380,FALSE)</f>
        <v>#N/A</v>
      </c>
      <c r="C82" s="38" t="e">
        <f>VLOOKUP(A1,DIV_10Data!$A$1:$DZU$1000000,1381,FALSE)</f>
        <v>#N/A</v>
      </c>
      <c r="D82" s="31" t="e">
        <f>VLOOKUP(A1,DIV_10Data!$A$1:$DZU$1000000,1382,FALSE)</f>
        <v>#N/A</v>
      </c>
      <c r="E82" s="32" t="e">
        <f>VLOOKUP(A1,DIV_10Data!$A$1:$DZU$1000000,1383,FALSE)</f>
        <v>#N/A</v>
      </c>
      <c r="F82" s="34" t="e">
        <f>VLOOKUP(A1,DIV_10Data!$A$1:$DZU$1000000,1384,FALSE)</f>
        <v>#N/A</v>
      </c>
      <c r="G82" s="33" t="e">
        <f>VLOOKUP(A1,DIV_10Data!$A$1:$DZU$1000000,1385,FALSE)</f>
        <v>#N/A</v>
      </c>
      <c r="H82" s="34" t="e">
        <f>VLOOKUP(A1,DIV_10Data!$A$1:$DZU$1000000,1386,FALSE)</f>
        <v>#N/A</v>
      </c>
      <c r="I82" s="33" t="e">
        <f>VLOOKUP(A1,DIV_10Data!$A$1:$DZU$1000000,1387,FALSE)</f>
        <v>#N/A</v>
      </c>
      <c r="J82" s="34" t="e">
        <f>VLOOKUP(A1,DIV_10Data!$A$1:$DZU$1000000,1388,FALSE)</f>
        <v>#N/A</v>
      </c>
      <c r="K82" s="34" t="e">
        <f>VLOOKUP(A1,DIV_10Data!$A$1:$DZU$1000000,1389,FALSE)</f>
        <v>#N/A</v>
      </c>
      <c r="L82" s="93" t="e">
        <f>VLOOKUP(A1,DIV_10Data!$A$1:$DZU$1000000,1390,FALSE)</f>
        <v>#N/A</v>
      </c>
      <c r="M82" s="33" t="e">
        <f>VLOOKUP(A1,DIV_10Data!$A$1:$DZU$1000000,1391,FALSE)</f>
        <v>#N/A</v>
      </c>
      <c r="N82" s="34" t="e">
        <f>VLOOKUP(A1,DIV_10Data!$A$1:$DZU$1000000,1392,FALSE)</f>
        <v>#N/A</v>
      </c>
      <c r="O82" s="33" t="e">
        <f>VLOOKUP(A1,DIV_10Data!$A$1:$DZU$1000000,1393,FALSE)</f>
        <v>#N/A</v>
      </c>
      <c r="P82" s="46" t="e">
        <f>VLOOKUP(A1,DIV_10Data!$A$1:$DZU$1000000,1394,FALSE)</f>
        <v>#N/A</v>
      </c>
      <c r="Q82" s="33" t="e">
        <f>VLOOKUP(A1,DIV_10Data!$A$1:$DZU$1000000,1395,FALSE)</f>
        <v>#N/A</v>
      </c>
    </row>
    <row r="83" spans="1:17" x14ac:dyDescent="0.35">
      <c r="A83" s="22" t="e">
        <f>VLOOKUP(A1,DIV_10Data!$A$1:$DZU$1000000,1396,FALSE)</f>
        <v>#N/A</v>
      </c>
      <c r="B83" s="37" t="e">
        <f>VLOOKUP(A1,DIV_10Data!$A$1:$DZU$1000000,1397,FALSE)</f>
        <v>#N/A</v>
      </c>
      <c r="C83" s="38" t="e">
        <f>VLOOKUP(A1,DIV_10Data!$A$1:$DZU$1000000,1398,FALSE)</f>
        <v>#N/A</v>
      </c>
      <c r="D83" s="31" t="e">
        <f>VLOOKUP(A1,DIV_10Data!$A$1:$DZU$1000000,1399,FALSE)</f>
        <v>#N/A</v>
      </c>
      <c r="E83" s="32" t="e">
        <f>VLOOKUP(A1,DIV_10Data!$A$1:$DZU$1000000,1400,FALSE)</f>
        <v>#N/A</v>
      </c>
      <c r="F83" s="34" t="e">
        <f>VLOOKUP(A1,DIV_10Data!$A$1:$DZU$1000000,1401,FALSE)</f>
        <v>#N/A</v>
      </c>
      <c r="G83" s="33" t="e">
        <f>VLOOKUP(A1,DIV_10Data!$A$1:$DZU$1000000,1402,FALSE)</f>
        <v>#N/A</v>
      </c>
      <c r="H83" s="34" t="e">
        <f>VLOOKUP(A1,DIV_10Data!$A$1:$DZU$1000000,1403,FALSE)</f>
        <v>#N/A</v>
      </c>
      <c r="I83" s="33" t="e">
        <f>VLOOKUP(A1,DIV_10Data!$A$1:$DZU$1000000,1404,FALSE)</f>
        <v>#N/A</v>
      </c>
      <c r="J83" s="34" t="e">
        <f>VLOOKUP(A1,DIV_10Data!$A$1:$DZU$1000000,1405,FALSE)</f>
        <v>#N/A</v>
      </c>
      <c r="K83" s="34" t="e">
        <f>VLOOKUP(A1,DIV_10Data!$A$1:$DZU$1000000,1406,FALSE)</f>
        <v>#N/A</v>
      </c>
      <c r="L83" s="93" t="e">
        <f>VLOOKUP(A1,DIV_10Data!$A$1:$DZU$1000000,1407,FALSE)</f>
        <v>#N/A</v>
      </c>
      <c r="M83" s="33" t="e">
        <f>VLOOKUP(A1,DIV_10Data!$A$1:$DZU$1000000,1408,FALSE)</f>
        <v>#N/A</v>
      </c>
      <c r="N83" s="34" t="e">
        <f>VLOOKUP(A1,DIV_10Data!$A$1:$DZU$1000000,1409,FALSE)</f>
        <v>#N/A</v>
      </c>
      <c r="O83" s="33" t="e">
        <f>VLOOKUP(A1,DIV_10Data!$A$1:$DZU$1000000,1410,FALSE)</f>
        <v>#N/A</v>
      </c>
      <c r="P83" s="46" t="e">
        <f>VLOOKUP(A1,DIV_10Data!$A$1:$DZU$1000000,1411,FALSE)</f>
        <v>#N/A</v>
      </c>
      <c r="Q83" s="33" t="e">
        <f>VLOOKUP(A1,DIV_10Data!$A$1:$DZU$1000000,1412,FALSE)</f>
        <v>#N/A</v>
      </c>
    </row>
    <row r="84" spans="1:17" x14ac:dyDescent="0.35">
      <c r="A84" s="22" t="e">
        <f>VLOOKUP(A1,DIV_10Data!$A$1:$DZU$1000000,1413,FALSE)</f>
        <v>#N/A</v>
      </c>
      <c r="B84" s="37" t="e">
        <f>VLOOKUP(A1,DIV_10Data!$A$1:$DZU$1000000,1414,FALSE)</f>
        <v>#N/A</v>
      </c>
      <c r="C84" s="38" t="e">
        <f>VLOOKUP(A1,DIV_10Data!$A$1:$DZU$1000000,1415,FALSE)</f>
        <v>#N/A</v>
      </c>
      <c r="D84" s="31" t="e">
        <f>VLOOKUP(A1,DIV_10Data!$A$1:$DZU$1000000,1416,FALSE)</f>
        <v>#N/A</v>
      </c>
      <c r="E84" s="32" t="e">
        <f>VLOOKUP(A1,DIV_10Data!$A$1:$DZU$1000000,1417,FALSE)</f>
        <v>#N/A</v>
      </c>
      <c r="F84" s="34" t="e">
        <f>VLOOKUP(A1,DIV_10Data!$A$1:$DZU$1000000,1418,FALSE)</f>
        <v>#N/A</v>
      </c>
      <c r="G84" s="33" t="e">
        <f>VLOOKUP(A1,DIV_10Data!$A$1:$DZU$1000000,1419,FALSE)</f>
        <v>#N/A</v>
      </c>
      <c r="H84" s="34" t="e">
        <f>VLOOKUP(A1,DIV_10Data!$A$1:$DZU$1000000,1420,FALSE)</f>
        <v>#N/A</v>
      </c>
      <c r="I84" s="33" t="e">
        <f>VLOOKUP(A1,DIV_10Data!$A$1:$DZU$1000000,1421,FALSE)</f>
        <v>#N/A</v>
      </c>
      <c r="J84" s="34" t="e">
        <f>VLOOKUP(A1,DIV_10Data!$A$1:$DZU$1000000,1422,FALSE)</f>
        <v>#N/A</v>
      </c>
      <c r="K84" s="34" t="e">
        <f>VLOOKUP(A1,DIV_10Data!$A$1:$DZU$1000000,1423,FALSE)</f>
        <v>#N/A</v>
      </c>
      <c r="L84" s="93" t="e">
        <f>VLOOKUP(A1,DIV_10Data!$A$1:$DZU$1000000,1424,FALSE)</f>
        <v>#N/A</v>
      </c>
      <c r="M84" s="33" t="e">
        <f>VLOOKUP(A1,DIV_10Data!$A$1:$DZU$1000000,1425,FALSE)</f>
        <v>#N/A</v>
      </c>
      <c r="N84" s="34" t="e">
        <f>VLOOKUP(A1,DIV_10Data!$A$1:$DZU$1000000,1426,FALSE)</f>
        <v>#N/A</v>
      </c>
      <c r="O84" s="33" t="e">
        <f>VLOOKUP(A1,DIV_10Data!$A$1:$DZU$1000000,1427,FALSE)</f>
        <v>#N/A</v>
      </c>
      <c r="P84" s="46" t="e">
        <f>VLOOKUP(A1,DIV_10Data!$A$1:$DZU$1000000,1428,FALSE)</f>
        <v>#N/A</v>
      </c>
      <c r="Q84" s="33" t="e">
        <f>VLOOKUP(A1,DIV_10Data!$A$1:$DZU$1000000,1429,FALSE)</f>
        <v>#N/A</v>
      </c>
    </row>
    <row r="85" spans="1:17" x14ac:dyDescent="0.35">
      <c r="A85" s="22" t="e">
        <f>VLOOKUP(A1,DIV_10Data!$A$1:$DZU$1000000,1430,FALSE)</f>
        <v>#N/A</v>
      </c>
      <c r="B85" s="37" t="e">
        <f>VLOOKUP(A1,DIV_10Data!$A$1:$DZU$1000000,1431,FALSE)</f>
        <v>#N/A</v>
      </c>
      <c r="C85" s="38" t="e">
        <f>VLOOKUP(A1,DIV_10Data!$A$1:$DZU$1000000,1432,FALSE)</f>
        <v>#N/A</v>
      </c>
      <c r="D85" s="31" t="e">
        <f>VLOOKUP(A1,DIV_10Data!$A$1:$DZU$1000000,1433,FALSE)</f>
        <v>#N/A</v>
      </c>
      <c r="E85" s="32" t="e">
        <f>VLOOKUP(A1,DIV_10Data!$A$1:$DZU$1000000,1434,FALSE)</f>
        <v>#N/A</v>
      </c>
      <c r="F85" s="34" t="e">
        <f>VLOOKUP(A1,DIV_10Data!$A$1:$DZU$1000000,1435,FALSE)</f>
        <v>#N/A</v>
      </c>
      <c r="G85" s="33" t="e">
        <f>VLOOKUP(A1,DIV_10Data!$A$1:$DZU$1000000,1436,FALSE)</f>
        <v>#N/A</v>
      </c>
      <c r="H85" s="34" t="e">
        <f>VLOOKUP(A1,DIV_10Data!$A$1:$DZU$1000000,1437,FALSE)</f>
        <v>#N/A</v>
      </c>
      <c r="I85" s="33" t="e">
        <f>VLOOKUP(A1,DIV_10Data!$A$1:$DZU$1000000,1438,FALSE)</f>
        <v>#N/A</v>
      </c>
      <c r="J85" s="34" t="e">
        <f>VLOOKUP(A1,DIV_10Data!$A$1:$DZU$1000000,1439,FALSE)</f>
        <v>#N/A</v>
      </c>
      <c r="K85" s="34" t="e">
        <f>VLOOKUP(A1,DIV_10Data!$A$1:$DZU$1000000,1440,FALSE)</f>
        <v>#N/A</v>
      </c>
      <c r="L85" s="93" t="e">
        <f>VLOOKUP(A1,DIV_10Data!$A$1:$DZU$1000000,1441,FALSE)</f>
        <v>#N/A</v>
      </c>
      <c r="M85" s="33" t="e">
        <f>VLOOKUP(A1,DIV_10Data!$A$1:$DZU$1000000,1442,FALSE)</f>
        <v>#N/A</v>
      </c>
      <c r="N85" s="34" t="e">
        <f>VLOOKUP(A1,DIV_10Data!$A$1:$DZU$1000000,1443,FALSE)</f>
        <v>#N/A</v>
      </c>
      <c r="O85" s="33" t="e">
        <f>VLOOKUP(A1,DIV_10Data!$A$1:$DZU$1000000,1444,FALSE)</f>
        <v>#N/A</v>
      </c>
      <c r="P85" s="46" t="e">
        <f>VLOOKUP(A1,DIV_10Data!$A$1:$DZU$1000000,1445,FALSE)</f>
        <v>#N/A</v>
      </c>
      <c r="Q85" s="33" t="e">
        <f>VLOOKUP(A1,DIV_10Data!$A$1:$DZU$1000000,1446,FALSE)</f>
        <v>#N/A</v>
      </c>
    </row>
    <row r="86" spans="1:17" x14ac:dyDescent="0.35">
      <c r="A86" s="22" t="e">
        <f>VLOOKUP(A1,DIV_10Data!$A$1:$DZU$1000000,1447,FALSE)</f>
        <v>#N/A</v>
      </c>
      <c r="B86" s="37" t="e">
        <f>VLOOKUP(A1,DIV_10Data!$A$1:$DZU$1000000,1448,FALSE)</f>
        <v>#N/A</v>
      </c>
      <c r="C86" s="38" t="e">
        <f>VLOOKUP(A1,DIV_10Data!$A$1:$DZU$1000000,1449,FALSE)</f>
        <v>#N/A</v>
      </c>
      <c r="D86" s="31" t="e">
        <f>VLOOKUP(A1,DIV_10Data!$A$1:$DZU$1000000,1450,FALSE)</f>
        <v>#N/A</v>
      </c>
      <c r="E86" s="32" t="e">
        <f>VLOOKUP(A1,DIV_10Data!$A$1:$DZU$1000000,1451,FALSE)</f>
        <v>#N/A</v>
      </c>
      <c r="F86" s="34" t="e">
        <f>VLOOKUP(A1,DIV_10Data!$A$1:$DZU$1000000,1452,FALSE)</f>
        <v>#N/A</v>
      </c>
      <c r="G86" s="33" t="e">
        <f>VLOOKUP(A1,DIV_10Data!$A$1:$DZU$1000000,1453,FALSE)</f>
        <v>#N/A</v>
      </c>
      <c r="H86" s="34" t="e">
        <f>VLOOKUP(A1,DIV_10Data!$A$1:$DZU$1000000,1454,FALSE)</f>
        <v>#N/A</v>
      </c>
      <c r="I86" s="33" t="e">
        <f>VLOOKUP(A1,DIV_10Data!$A$1:$DZU$1000000,1455,FALSE)</f>
        <v>#N/A</v>
      </c>
      <c r="J86" s="34" t="e">
        <f>VLOOKUP(A1,DIV_10Data!$A$1:$DZU$1000000,1456,FALSE)</f>
        <v>#N/A</v>
      </c>
      <c r="K86" s="34" t="e">
        <f>VLOOKUP(A1,DIV_10Data!$A$1:$DZU$1000000,1457,FALSE)</f>
        <v>#N/A</v>
      </c>
      <c r="L86" s="93" t="e">
        <f>VLOOKUP(A1,DIV_10Data!$A$1:$DZU$1000000,1458,FALSE)</f>
        <v>#N/A</v>
      </c>
      <c r="M86" s="33" t="e">
        <f>VLOOKUP(A1,DIV_10Data!$A$1:$DZU$1000000,1459,FALSE)</f>
        <v>#N/A</v>
      </c>
      <c r="N86" s="34" t="e">
        <f>VLOOKUP(A1,DIV_10Data!$A$1:$DZU$1000000,1460,FALSE)</f>
        <v>#N/A</v>
      </c>
      <c r="O86" s="33" t="e">
        <f>VLOOKUP(A1,DIV_10Data!$A$1:$DZU$1000000,1461,FALSE)</f>
        <v>#N/A</v>
      </c>
      <c r="P86" s="46" t="e">
        <f>VLOOKUP(A1,DIV_10Data!$A$1:$DZU$1000000,1462,FALSE)</f>
        <v>#N/A</v>
      </c>
      <c r="Q86" s="33" t="e">
        <f>VLOOKUP(A1,DIV_10Data!$A$1:$DZU$1000000,1463,FALSE)</f>
        <v>#N/A</v>
      </c>
    </row>
    <row r="87" spans="1:17" x14ac:dyDescent="0.35">
      <c r="A87" s="22" t="e">
        <f>VLOOKUP(A1,DIV_10Data!$A$1:$DZU$1000000,1464,FALSE)</f>
        <v>#N/A</v>
      </c>
      <c r="B87" s="37" t="e">
        <f>VLOOKUP(A1,DIV_10Data!$A$1:$DZU$1000000,1465,FALSE)</f>
        <v>#N/A</v>
      </c>
      <c r="C87" s="38" t="e">
        <f>VLOOKUP(A1,DIV_10Data!$A$1:$DZU$1000000,1466,FALSE)</f>
        <v>#N/A</v>
      </c>
      <c r="D87" s="31" t="e">
        <f>VLOOKUP(A1,DIV_10Data!$A$1:$DZU$1000000,1467,FALSE)</f>
        <v>#N/A</v>
      </c>
      <c r="E87" s="32" t="e">
        <f>VLOOKUP(A1,DIV_10Data!$A$1:$DZU$1000000,1468,FALSE)</f>
        <v>#N/A</v>
      </c>
      <c r="F87" s="34" t="e">
        <f>VLOOKUP(A1,DIV_10Data!$A$1:$DZU$1000000,1469,FALSE)</f>
        <v>#N/A</v>
      </c>
      <c r="G87" s="33" t="e">
        <f>VLOOKUP(A1,DIV_10Data!$A$1:$DZU$1000000,1470,FALSE)</f>
        <v>#N/A</v>
      </c>
      <c r="H87" s="34" t="e">
        <f>VLOOKUP(A1,DIV_10Data!$A$1:$DZU$1000000,1471,FALSE)</f>
        <v>#N/A</v>
      </c>
      <c r="I87" s="33" t="e">
        <f>VLOOKUP(A1,DIV_10Data!$A$1:$DZU$1000000,1472,FALSE)</f>
        <v>#N/A</v>
      </c>
      <c r="J87" s="34" t="e">
        <f>VLOOKUP(A1,DIV_10Data!$A$1:$DZU$1000000,1473,FALSE)</f>
        <v>#N/A</v>
      </c>
      <c r="K87" s="34" t="e">
        <f>VLOOKUP(A1,DIV_10Data!$A$1:$DZU$1000000,1474,FALSE)</f>
        <v>#N/A</v>
      </c>
      <c r="L87" s="93" t="e">
        <f>VLOOKUP(A1,DIV_10Data!$A$1:$DZU$1000000,1475,FALSE)</f>
        <v>#N/A</v>
      </c>
      <c r="M87" s="33" t="e">
        <f>VLOOKUP(A1,DIV_10Data!$A$1:$DZU$1000000,1476,FALSE)</f>
        <v>#N/A</v>
      </c>
      <c r="N87" s="34" t="e">
        <f>VLOOKUP(A1,DIV_10Data!$A$1:$DZU$1000000,1477,FALSE)</f>
        <v>#N/A</v>
      </c>
      <c r="O87" s="33" t="e">
        <f>VLOOKUP(A1,DIV_10Data!$A$1:$DZU$1000000,1478,FALSE)</f>
        <v>#N/A</v>
      </c>
      <c r="P87" s="46" t="e">
        <f>VLOOKUP(A1,DIV_10Data!$A$1:$DZU$1000000,1479,FALSE)</f>
        <v>#N/A</v>
      </c>
      <c r="Q87" s="33" t="e">
        <f>VLOOKUP(A1,DIV_10Data!$A$1:$DZU$1000000,1480,FALSE)</f>
        <v>#N/A</v>
      </c>
    </row>
    <row r="88" spans="1:17" x14ac:dyDescent="0.35">
      <c r="A88" s="22" t="e">
        <f>VLOOKUP(A1,DIV_10Data!$A$1:$DZU$1000000,1481,FALSE)</f>
        <v>#N/A</v>
      </c>
      <c r="B88" s="37" t="e">
        <f>VLOOKUP(A1,DIV_10Data!$A$1:$DZU$1000000,1482,FALSE)</f>
        <v>#N/A</v>
      </c>
      <c r="C88" s="38" t="e">
        <f>VLOOKUP(A1,DIV_10Data!$A$1:$DZU$1000000,1483,FALSE)</f>
        <v>#N/A</v>
      </c>
      <c r="D88" s="31" t="e">
        <f>VLOOKUP(A1,DIV_10Data!$A$1:$DZU$1000000,1484,FALSE)</f>
        <v>#N/A</v>
      </c>
      <c r="E88" s="32" t="e">
        <f>VLOOKUP(A1,DIV_10Data!$A$1:$DZU$1000000,1485,FALSE)</f>
        <v>#N/A</v>
      </c>
      <c r="F88" s="34" t="e">
        <f>VLOOKUP(A1,DIV_10Data!$A$1:$DZU$1000000,1486,FALSE)</f>
        <v>#N/A</v>
      </c>
      <c r="G88" s="33" t="e">
        <f>VLOOKUP(A1,DIV_10Data!$A$1:$DZU$1000000,1487,FALSE)</f>
        <v>#N/A</v>
      </c>
      <c r="H88" s="34" t="e">
        <f>VLOOKUP(A1,DIV_10Data!$A$1:$DZU$1000000,1488,FALSE)</f>
        <v>#N/A</v>
      </c>
      <c r="I88" s="33" t="e">
        <f>VLOOKUP(A1,DIV_10Data!$A$1:$DZU$1000000,1489,FALSE)</f>
        <v>#N/A</v>
      </c>
      <c r="J88" s="34" t="e">
        <f>VLOOKUP(A1,DIV_10Data!$A$1:$DZU$1000000,1490,FALSE)</f>
        <v>#N/A</v>
      </c>
      <c r="K88" s="34" t="e">
        <f>VLOOKUP(A1,DIV_10Data!$A$1:$DZU$1000000,1491,FALSE)</f>
        <v>#N/A</v>
      </c>
      <c r="L88" s="93" t="e">
        <f>VLOOKUP(A1,DIV_10Data!$A$1:$DZU$1000000,1492,FALSE)</f>
        <v>#N/A</v>
      </c>
      <c r="M88" s="33" t="e">
        <f>VLOOKUP(A1,DIV_10Data!$A$1:$DZU$1000000,1493,FALSE)</f>
        <v>#N/A</v>
      </c>
      <c r="N88" s="34" t="e">
        <f>VLOOKUP(A1,DIV_10Data!$A$1:$DZU$1000000,1494,FALSE)</f>
        <v>#N/A</v>
      </c>
      <c r="O88" s="33" t="e">
        <f>VLOOKUP(A1,DIV_10Data!$A$1:$DZU$1000000,1495,FALSE)</f>
        <v>#N/A</v>
      </c>
      <c r="P88" s="46" t="e">
        <f>VLOOKUP(A1,DIV_10Data!$A$1:$DZU$1000000,1496,FALSE)</f>
        <v>#N/A</v>
      </c>
      <c r="Q88" s="33" t="e">
        <f>VLOOKUP(A1,DIV_10Data!$A$1:$DZU$1000000,1497,FALSE)</f>
        <v>#N/A</v>
      </c>
    </row>
    <row r="89" spans="1:17" x14ac:dyDescent="0.35">
      <c r="A89" s="22" t="e">
        <f>VLOOKUP(A1,DIV_10Data!$A$1:$DZU$1000000,1498,FALSE)</f>
        <v>#N/A</v>
      </c>
      <c r="B89" s="37" t="e">
        <f>VLOOKUP(A1,DIV_10Data!$A$1:$DZU$1000000,1499,FALSE)</f>
        <v>#N/A</v>
      </c>
      <c r="C89" s="38" t="e">
        <f>VLOOKUP(A1,DIV_10Data!$A$1:$DZU$1000000,1500,FALSE)</f>
        <v>#N/A</v>
      </c>
      <c r="D89" s="31" t="e">
        <f>VLOOKUP(A1,DIV_10Data!$A$1:$DZU$1000000,1501,FALSE)</f>
        <v>#N/A</v>
      </c>
      <c r="E89" s="32" t="e">
        <f>VLOOKUP(A1,DIV_10Data!$A$1:$DZU$1000000,1502,FALSE)</f>
        <v>#N/A</v>
      </c>
      <c r="F89" s="34" t="e">
        <f>VLOOKUP(A1,DIV_10Data!$A$1:$DZU$1000000,1503,FALSE)</f>
        <v>#N/A</v>
      </c>
      <c r="G89" s="33" t="e">
        <f>VLOOKUP(A1,DIV_10Data!$A$1:$DZU$1000000,1504,FALSE)</f>
        <v>#N/A</v>
      </c>
      <c r="H89" s="34" t="e">
        <f>VLOOKUP(A1,DIV_10Data!$A$1:$DZU$1000000,1505,FALSE)</f>
        <v>#N/A</v>
      </c>
      <c r="I89" s="33" t="e">
        <f>VLOOKUP(A1,DIV_10Data!$A$1:$DZU$1000000,1506,FALSE)</f>
        <v>#N/A</v>
      </c>
      <c r="J89" s="34" t="e">
        <f>VLOOKUP(A1,DIV_10Data!$A$1:$DZU$1000000,1507,FALSE)</f>
        <v>#N/A</v>
      </c>
      <c r="K89" s="34" t="e">
        <f>VLOOKUP(A1,DIV_10Data!$A$1:$DZU$1000000,1508,FALSE)</f>
        <v>#N/A</v>
      </c>
      <c r="L89" s="93" t="e">
        <f>VLOOKUP(A1,DIV_10Data!$A$1:$DZU$1000000,1509,FALSE)</f>
        <v>#N/A</v>
      </c>
      <c r="M89" s="33" t="e">
        <f>VLOOKUP(A1,DIV_10Data!$A$1:$DZU$1000000,1510,FALSE)</f>
        <v>#N/A</v>
      </c>
      <c r="N89" s="34" t="e">
        <f>VLOOKUP(A1,DIV_10Data!$A$1:$DZU$1000000,1511,FALSE)</f>
        <v>#N/A</v>
      </c>
      <c r="O89" s="33" t="e">
        <f>VLOOKUP(A1,DIV_10Data!$A$1:$DZU$1000000,1512,FALSE)</f>
        <v>#N/A</v>
      </c>
      <c r="P89" s="46" t="e">
        <f>VLOOKUP(A1,DIV_10Data!$A$1:$DZU$1000000,1513,FALSE)</f>
        <v>#N/A</v>
      </c>
      <c r="Q89" s="33" t="e">
        <f>VLOOKUP(A1,DIV_10Data!$A$1:$DZU$1000000,1514,FALSE)</f>
        <v>#N/A</v>
      </c>
    </row>
    <row r="90" spans="1:17" x14ac:dyDescent="0.35">
      <c r="A90" s="22" t="e">
        <f>VLOOKUP(A1,DIV_10Data!$A$1:$DZU$1000000,1515,FALSE)</f>
        <v>#N/A</v>
      </c>
      <c r="B90" s="37" t="e">
        <f>VLOOKUP(A1,DIV_10Data!$A$1:$DZU$1000000,1516,FALSE)</f>
        <v>#N/A</v>
      </c>
      <c r="C90" s="38" t="e">
        <f>VLOOKUP(A1,DIV_10Data!$A$1:$DZU$1000000,1517,FALSE)</f>
        <v>#N/A</v>
      </c>
      <c r="D90" s="31" t="e">
        <f>VLOOKUP(A1,DIV_10Data!$A$1:$DZU$1000000,1518,FALSE)</f>
        <v>#N/A</v>
      </c>
      <c r="E90" s="32" t="e">
        <f>VLOOKUP(A1,DIV_10Data!$A$1:$DZU$1000000,1519,FALSE)</f>
        <v>#N/A</v>
      </c>
      <c r="F90" s="34" t="e">
        <f>VLOOKUP(A1,DIV_10Data!$A$1:$DZU$1000000,1520,FALSE)</f>
        <v>#N/A</v>
      </c>
      <c r="G90" s="33" t="e">
        <f>VLOOKUP(A1,DIV_10Data!$A$1:$DZU$1000000,1521,FALSE)</f>
        <v>#N/A</v>
      </c>
      <c r="H90" s="34" t="e">
        <f>VLOOKUP(A1,DIV_10Data!$A$1:$DZU$1000000,1522,FALSE)</f>
        <v>#N/A</v>
      </c>
      <c r="I90" s="33" t="e">
        <f>VLOOKUP(A1,DIV_10Data!$A$1:$DZU$1000000,1523,FALSE)</f>
        <v>#N/A</v>
      </c>
      <c r="J90" s="34" t="e">
        <f>VLOOKUP(A1,DIV_10Data!$A$1:$DZU$1000000,1524,FALSE)</f>
        <v>#N/A</v>
      </c>
      <c r="K90" s="34" t="e">
        <f>VLOOKUP(A1,DIV_10Data!$A$1:$DZU$1000000,1525,FALSE)</f>
        <v>#N/A</v>
      </c>
      <c r="L90" s="93" t="e">
        <f>VLOOKUP(A1,DIV_10Data!$A$1:$DZU$1000000,1526,FALSE)</f>
        <v>#N/A</v>
      </c>
      <c r="M90" s="33" t="e">
        <f>VLOOKUP(A1,DIV_10Data!$A$1:$DZU$1000000,1527,FALSE)</f>
        <v>#N/A</v>
      </c>
      <c r="N90" s="34" t="e">
        <f>VLOOKUP(A1,DIV_10Data!$A$1:$DZU$1000000,1528,FALSE)</f>
        <v>#N/A</v>
      </c>
      <c r="O90" s="33" t="e">
        <f>VLOOKUP(A1,DIV_10Data!$A$1:$DZU$1000000,1529,FALSE)</f>
        <v>#N/A</v>
      </c>
      <c r="P90" s="46" t="e">
        <f>VLOOKUP(A1,DIV_10Data!$A$1:$DZU$1000000,1530,FALSE)</f>
        <v>#N/A</v>
      </c>
      <c r="Q90" s="33" t="e">
        <f>VLOOKUP(A1,DIV_10Data!$A$1:$DZU$1000000,1531,FALSE)</f>
        <v>#N/A</v>
      </c>
    </row>
    <row r="91" spans="1:17" x14ac:dyDescent="0.35">
      <c r="A91" s="22" t="e">
        <f>VLOOKUP(A1,DIV_10Data!$A$1:$DZU$1000000,1532,FALSE)</f>
        <v>#N/A</v>
      </c>
      <c r="B91" s="37" t="e">
        <f>VLOOKUP(A1,DIV_10Data!$A$1:$DZU$1000000,1533,FALSE)</f>
        <v>#N/A</v>
      </c>
      <c r="C91" s="38" t="e">
        <f>VLOOKUP(A1,DIV_10Data!$A$1:$DZU$1000000,1534,FALSE)</f>
        <v>#N/A</v>
      </c>
      <c r="D91" s="31" t="e">
        <f>VLOOKUP(A1,DIV_10Data!$A$1:$DZU$1000000,1535,FALSE)</f>
        <v>#N/A</v>
      </c>
      <c r="E91" s="32" t="e">
        <f>VLOOKUP(A1,DIV_10Data!$A$1:$DZU$1000000,1536,FALSE)</f>
        <v>#N/A</v>
      </c>
      <c r="F91" s="34" t="e">
        <f>VLOOKUP(A1,DIV_10Data!$A$1:$DZU$1000000,1537,FALSE)</f>
        <v>#N/A</v>
      </c>
      <c r="G91" s="33" t="e">
        <f>VLOOKUP(A1,DIV_10Data!$A$1:$DZU$1000000,1538,FALSE)</f>
        <v>#N/A</v>
      </c>
      <c r="H91" s="34" t="e">
        <f>VLOOKUP(A1,DIV_10Data!$A$1:$DZU$1000000,1539,FALSE)</f>
        <v>#N/A</v>
      </c>
      <c r="I91" s="33" t="e">
        <f>VLOOKUP(A1,DIV_10Data!$A$1:$DZU$1000000,1540,FALSE)</f>
        <v>#N/A</v>
      </c>
      <c r="J91" s="34" t="e">
        <f>VLOOKUP(A1,DIV_10Data!$A$1:$DZU$1000000,1541,FALSE)</f>
        <v>#N/A</v>
      </c>
      <c r="K91" s="34" t="e">
        <f>VLOOKUP(A1,DIV_10Data!$A$1:$DZU$1000000,1542,FALSE)</f>
        <v>#N/A</v>
      </c>
      <c r="L91" s="93" t="e">
        <f>VLOOKUP(A1,DIV_10Data!$A$1:$DZU$1000000,1543,FALSE)</f>
        <v>#N/A</v>
      </c>
      <c r="M91" s="33" t="e">
        <f>VLOOKUP(A1,DIV_10Data!$A$1:$DZU$1000000,1544,FALSE)</f>
        <v>#N/A</v>
      </c>
      <c r="N91" s="34" t="e">
        <f>VLOOKUP(A1,DIV_10Data!$A$1:$DZU$1000000,1545,FALSE)</f>
        <v>#N/A</v>
      </c>
      <c r="O91" s="33" t="e">
        <f>VLOOKUP(A1,DIV_10Data!$A$1:$DZU$1000000,1546,FALSE)</f>
        <v>#N/A</v>
      </c>
      <c r="P91" s="46" t="e">
        <f>VLOOKUP(A1,DIV_10Data!$A$1:$DZU$1000000,1547,FALSE)</f>
        <v>#N/A</v>
      </c>
      <c r="Q91" s="33" t="e">
        <f>VLOOKUP(A1,DIV_10Data!$A$1:$DZU$1000000,1548,FALSE)</f>
        <v>#N/A</v>
      </c>
    </row>
    <row r="92" spans="1:17" x14ac:dyDescent="0.35">
      <c r="A92" s="22" t="e">
        <f>VLOOKUP(A1,DIV_10Data!$A$1:$DZU$1000000,1549,FALSE)</f>
        <v>#N/A</v>
      </c>
      <c r="B92" s="37" t="e">
        <f>VLOOKUP(A1,DIV_10Data!$A$1:$DZU$1000000,1550,FALSE)</f>
        <v>#N/A</v>
      </c>
      <c r="C92" s="38" t="e">
        <f>VLOOKUP(A1,DIV_10Data!$A$1:$DZU$1000000,1551,FALSE)</f>
        <v>#N/A</v>
      </c>
      <c r="D92" s="31" t="e">
        <f>VLOOKUP(A1,DIV_10Data!$A$1:$DZU$1000000,1552,FALSE)</f>
        <v>#N/A</v>
      </c>
      <c r="E92" s="32" t="e">
        <f>VLOOKUP(A1,DIV_10Data!$A$1:$DZU$1000000,1553,FALSE)</f>
        <v>#N/A</v>
      </c>
      <c r="F92" s="34" t="e">
        <f>VLOOKUP(A1,DIV_10Data!$A$1:$DZU$1000000,1554,FALSE)</f>
        <v>#N/A</v>
      </c>
      <c r="G92" s="33" t="e">
        <f>VLOOKUP(A1,DIV_10Data!$A$1:$DZU$1000000,1555,FALSE)</f>
        <v>#N/A</v>
      </c>
      <c r="H92" s="34" t="e">
        <f>VLOOKUP(A1,DIV_10Data!$A$1:$DZU$1000000,1556,FALSE)</f>
        <v>#N/A</v>
      </c>
      <c r="I92" s="33" t="e">
        <f>VLOOKUP(A1,DIV_10Data!$A$1:$DZU$1000000,1557,FALSE)</f>
        <v>#N/A</v>
      </c>
      <c r="J92" s="34" t="e">
        <f>VLOOKUP(A1,DIV_10Data!$A$1:$DZU$1000000,1558,FALSE)</f>
        <v>#N/A</v>
      </c>
      <c r="K92" s="34" t="e">
        <f>VLOOKUP(A1,DIV_10Data!$A$1:$DZU$1000000,1559,FALSE)</f>
        <v>#N/A</v>
      </c>
      <c r="L92" s="93" t="e">
        <f>VLOOKUP(A1,DIV_10Data!$A$1:$DZU$1000000,1560,FALSE)</f>
        <v>#N/A</v>
      </c>
      <c r="M92" s="33" t="e">
        <f>VLOOKUP(A1,DIV_10Data!$A$1:$DZU$1000000,1561,FALSE)</f>
        <v>#N/A</v>
      </c>
      <c r="N92" s="34" t="e">
        <f>VLOOKUP(A1,DIV_10Data!$A$1:$DZU$1000000,1562,FALSE)</f>
        <v>#N/A</v>
      </c>
      <c r="O92" s="33" t="e">
        <f>VLOOKUP(A1,DIV_10Data!$A$1:$DZU$1000000,1563,FALSE)</f>
        <v>#N/A</v>
      </c>
      <c r="P92" s="46" t="e">
        <f>VLOOKUP(A1,DIV_10Data!$A$1:$DZU$1000000,1564,FALSE)</f>
        <v>#N/A</v>
      </c>
      <c r="Q92" s="33" t="e">
        <f>VLOOKUP(A1,DIV_10Data!$A$1:$DZU$1000000,1565,FALSE)</f>
        <v>#N/A</v>
      </c>
    </row>
    <row r="93" spans="1:17" x14ac:dyDescent="0.35">
      <c r="A93" s="22" t="e">
        <f>VLOOKUP(A1,DIV_10Data!$A$1:$DZU$1000000,1566,FALSE)</f>
        <v>#N/A</v>
      </c>
      <c r="B93" s="37" t="e">
        <f>VLOOKUP(A1,DIV_10Data!$A$1:$DZU$1000000,1567,FALSE)</f>
        <v>#N/A</v>
      </c>
      <c r="C93" s="38" t="e">
        <f>VLOOKUP(A1,DIV_10Data!$A$1:$DZU$1000000,1568,FALSE)</f>
        <v>#N/A</v>
      </c>
      <c r="D93" s="31" t="e">
        <f>VLOOKUP(A1,DIV_10Data!$A$1:$DZU$1000000,1569,FALSE)</f>
        <v>#N/A</v>
      </c>
      <c r="E93" s="32" t="e">
        <f>VLOOKUP(A1,DIV_10Data!$A$1:$DZU$1000000,1570,FALSE)</f>
        <v>#N/A</v>
      </c>
      <c r="F93" s="34" t="e">
        <f>VLOOKUP(A1,DIV_10Data!$A$1:$DZU$1000000,1571,FALSE)</f>
        <v>#N/A</v>
      </c>
      <c r="G93" s="33" t="e">
        <f>VLOOKUP(A1,DIV_10Data!$A$1:$DZU$1000000,1572,FALSE)</f>
        <v>#N/A</v>
      </c>
      <c r="H93" s="34" t="e">
        <f>VLOOKUP(A1,DIV_10Data!$A$1:$DZU$1000000,1573,FALSE)</f>
        <v>#N/A</v>
      </c>
      <c r="I93" s="33" t="e">
        <f>VLOOKUP(A1,DIV_10Data!$A$1:$DZU$1000000,1574,FALSE)</f>
        <v>#N/A</v>
      </c>
      <c r="J93" s="34" t="e">
        <f>VLOOKUP(A1,DIV_10Data!$A$1:$DZU$1000000,1575,FALSE)</f>
        <v>#N/A</v>
      </c>
      <c r="K93" s="34" t="e">
        <f>VLOOKUP(A1,DIV_10Data!$A$1:$DZU$1000000,1576,FALSE)</f>
        <v>#N/A</v>
      </c>
      <c r="L93" s="93" t="e">
        <f>VLOOKUP(A1,DIV_10Data!$A$1:$DZU$1000000,1577,FALSE)</f>
        <v>#N/A</v>
      </c>
      <c r="M93" s="33" t="e">
        <f>VLOOKUP(A1,DIV_10Data!$A$1:$DZU$1000000,1578,FALSE)</f>
        <v>#N/A</v>
      </c>
      <c r="N93" s="34" t="e">
        <f>VLOOKUP(A1,DIV_10Data!$A$1:$DZU$1000000,1579,FALSE)</f>
        <v>#N/A</v>
      </c>
      <c r="O93" s="33" t="e">
        <f>VLOOKUP(A1,DIV_10Data!$A$1:$DZU$1000000,1580,FALSE)</f>
        <v>#N/A</v>
      </c>
      <c r="P93" s="46" t="e">
        <f>VLOOKUP(A1,DIV_10Data!$A$1:$DZU$1000000,1581,FALSE)</f>
        <v>#N/A</v>
      </c>
      <c r="Q93" s="33" t="e">
        <f>VLOOKUP(A1,DIV_10Data!$A$1:$DZU$1000000,1582,FALSE)</f>
        <v>#N/A</v>
      </c>
    </row>
    <row r="94" spans="1:17" x14ac:dyDescent="0.35">
      <c r="A94" s="22" t="e">
        <f>VLOOKUP(A1,DIV_10Data!$A$1:$DZU$1000000,1583,FALSE)</f>
        <v>#N/A</v>
      </c>
      <c r="B94" s="37" t="e">
        <f>VLOOKUP(A1,DIV_10Data!$A$1:$DZU$1000000,1584,FALSE)</f>
        <v>#N/A</v>
      </c>
      <c r="C94" s="38" t="e">
        <f>VLOOKUP(A1,DIV_10Data!$A$1:$DZU$1000000,1585,FALSE)</f>
        <v>#N/A</v>
      </c>
      <c r="D94" s="31" t="e">
        <f>VLOOKUP(A1,DIV_10Data!$A$1:$DZU$1000000,1586,FALSE)</f>
        <v>#N/A</v>
      </c>
      <c r="E94" s="32" t="e">
        <f>VLOOKUP(A1,DIV_10Data!$A$1:$DZU$1000000,1587,FALSE)</f>
        <v>#N/A</v>
      </c>
      <c r="F94" s="34" t="e">
        <f>VLOOKUP(A1,DIV_10Data!$A$1:$DZU$1000000,1588,FALSE)</f>
        <v>#N/A</v>
      </c>
      <c r="G94" s="33" t="e">
        <f>VLOOKUP(A1,DIV_10Data!$A$1:$DZU$1000000,1589,FALSE)</f>
        <v>#N/A</v>
      </c>
      <c r="H94" s="34" t="e">
        <f>VLOOKUP(A1,DIV_10Data!$A$1:$DZU$1000000,1590,FALSE)</f>
        <v>#N/A</v>
      </c>
      <c r="I94" s="33" t="e">
        <f>VLOOKUP(A1,DIV_10Data!$A$1:$DZU$1000000,1591,FALSE)</f>
        <v>#N/A</v>
      </c>
      <c r="J94" s="34" t="e">
        <f>VLOOKUP(A1,DIV_10Data!$A$1:$DZU$1000000,1592,FALSE)</f>
        <v>#N/A</v>
      </c>
      <c r="K94" s="34" t="e">
        <f>VLOOKUP(A1,DIV_10Data!$A$1:$DZU$1000000,1593,FALSE)</f>
        <v>#N/A</v>
      </c>
      <c r="L94" s="93" t="e">
        <f>VLOOKUP(A1,DIV_10Data!$A$1:$DZU$1000000,1594,FALSE)</f>
        <v>#N/A</v>
      </c>
      <c r="M94" s="33" t="e">
        <f>VLOOKUP(A1,DIV_10Data!$A$1:$DZU$1000000,1595,FALSE)</f>
        <v>#N/A</v>
      </c>
      <c r="N94" s="34" t="e">
        <f>VLOOKUP(A1,DIV_10Data!$A$1:$DZU$1000000,1596,FALSE)</f>
        <v>#N/A</v>
      </c>
      <c r="O94" s="33" t="e">
        <f>VLOOKUP(A1,DIV_10Data!$A$1:$DZU$1000000,1597,FALSE)</f>
        <v>#N/A</v>
      </c>
      <c r="P94" s="46" t="e">
        <f>VLOOKUP(A1,DIV_10Data!$A$1:$DZU$1000000,1598,FALSE)</f>
        <v>#N/A</v>
      </c>
      <c r="Q94" s="33" t="e">
        <f>VLOOKUP(A1,DIV_10Data!$A$1:$DZU$1000000,1599,FALSE)</f>
        <v>#N/A</v>
      </c>
    </row>
    <row r="95" spans="1:17" x14ac:dyDescent="0.35">
      <c r="A95" s="22" t="e">
        <f>VLOOKUP(A1,DIV_10Data!$A$1:$DZU$1000000,1600,FALSE)</f>
        <v>#N/A</v>
      </c>
      <c r="B95" s="37" t="e">
        <f>VLOOKUP(A1,DIV_10Data!$A$1:$DZU$1000000,1601,FALSE)</f>
        <v>#N/A</v>
      </c>
      <c r="C95" s="38" t="e">
        <f>VLOOKUP(A1,DIV_10Data!$A$1:$DZU$1000000,1602,FALSE)</f>
        <v>#N/A</v>
      </c>
      <c r="D95" s="31" t="e">
        <f>VLOOKUP(A1,DIV_10Data!$A$1:$DZU$1000000,1603,FALSE)</f>
        <v>#N/A</v>
      </c>
      <c r="E95" s="32" t="e">
        <f>VLOOKUP(A1,DIV_10Data!$A$1:$DZU$1000000,1604,FALSE)</f>
        <v>#N/A</v>
      </c>
      <c r="F95" s="34" t="e">
        <f>VLOOKUP(A1,DIV_10Data!$A$1:$DZU$1000000,1605,FALSE)</f>
        <v>#N/A</v>
      </c>
      <c r="G95" s="33" t="e">
        <f>VLOOKUP(A1,DIV_10Data!$A$1:$DZU$1000000,1606,FALSE)</f>
        <v>#N/A</v>
      </c>
      <c r="H95" s="34" t="e">
        <f>VLOOKUP(A1,DIV_10Data!$A$1:$DZU$1000000,1607,FALSE)</f>
        <v>#N/A</v>
      </c>
      <c r="I95" s="33" t="e">
        <f>VLOOKUP(A1,DIV_10Data!$A$1:$DZU$1000000,1608,FALSE)</f>
        <v>#N/A</v>
      </c>
      <c r="J95" s="34" t="e">
        <f>VLOOKUP(A1,DIV_10Data!$A$1:$DZU$1000000,1609,FALSE)</f>
        <v>#N/A</v>
      </c>
      <c r="K95" s="34" t="e">
        <f>VLOOKUP(A1,DIV_10Data!$A$1:$DZU$1000000,1610,FALSE)</f>
        <v>#N/A</v>
      </c>
      <c r="L95" s="93" t="e">
        <f>VLOOKUP(A1,DIV_10Data!$A$1:$DZU$1000000,1611,FALSE)</f>
        <v>#N/A</v>
      </c>
      <c r="M95" s="33" t="e">
        <f>VLOOKUP(A1,DIV_10Data!$A$1:$DZU$1000000,1612,FALSE)</f>
        <v>#N/A</v>
      </c>
      <c r="N95" s="34" t="e">
        <f>VLOOKUP(A1,DIV_10Data!$A$1:$DZU$1000000,1613,FALSE)</f>
        <v>#N/A</v>
      </c>
      <c r="O95" s="33" t="e">
        <f>VLOOKUP(A1,DIV_10Data!$A$1:$DZU$1000000,1614,FALSE)</f>
        <v>#N/A</v>
      </c>
      <c r="P95" s="46" t="e">
        <f>VLOOKUP(A1,DIV_10Data!$A$1:$DZU$1000000,1615,FALSE)</f>
        <v>#N/A</v>
      </c>
      <c r="Q95" s="33" t="e">
        <f>VLOOKUP(A1,DIV_10Data!$A$1:$DZU$1000000,1616,FALSE)</f>
        <v>#N/A</v>
      </c>
    </row>
    <row r="96" spans="1:17" x14ac:dyDescent="0.35">
      <c r="A96" s="22" t="e">
        <f>VLOOKUP(A1,DIV_10Data!$A$1:$DZU$1000000,1617,FALSE)</f>
        <v>#N/A</v>
      </c>
      <c r="B96" s="37" t="e">
        <f>VLOOKUP(A1,DIV_10Data!$A$1:$DZU$1000000,1618,FALSE)</f>
        <v>#N/A</v>
      </c>
      <c r="C96" s="38" t="e">
        <f>VLOOKUP(A1,DIV_10Data!$A$1:$DZU$1000000,1619,FALSE)</f>
        <v>#N/A</v>
      </c>
      <c r="D96" s="31" t="e">
        <f>VLOOKUP(A1,DIV_10Data!$A$1:$DZU$1000000,1620,FALSE)</f>
        <v>#N/A</v>
      </c>
      <c r="E96" s="32" t="e">
        <f>VLOOKUP(A1,DIV_10Data!$A$1:$DZU$1000000,1621,FALSE)</f>
        <v>#N/A</v>
      </c>
      <c r="F96" s="34" t="e">
        <f>VLOOKUP(A1,DIV_10Data!$A$1:$DZU$1000000,1622,FALSE)</f>
        <v>#N/A</v>
      </c>
      <c r="G96" s="33" t="e">
        <f>VLOOKUP(A1,DIV_10Data!$A$1:$DZU$1000000,1623,FALSE)</f>
        <v>#N/A</v>
      </c>
      <c r="H96" s="34" t="e">
        <f>VLOOKUP(A1,DIV_10Data!$A$1:$DZU$1000000,1624,FALSE)</f>
        <v>#N/A</v>
      </c>
      <c r="I96" s="33" t="e">
        <f>VLOOKUP(A1,DIV_10Data!$A$1:$DZU$1000000,1625,FALSE)</f>
        <v>#N/A</v>
      </c>
      <c r="J96" s="34" t="e">
        <f>VLOOKUP(A1,DIV_10Data!$A$1:$DZU$1000000,1626,FALSE)</f>
        <v>#N/A</v>
      </c>
      <c r="K96" s="34" t="e">
        <f>VLOOKUP(A1,DIV_10Data!$A$1:$DZU$1000000,1627,FALSE)</f>
        <v>#N/A</v>
      </c>
      <c r="L96" s="93" t="e">
        <f>VLOOKUP(A1,DIV_10Data!$A$1:$DZU$1000000,1628,FALSE)</f>
        <v>#N/A</v>
      </c>
      <c r="M96" s="33" t="e">
        <f>VLOOKUP(A1,DIV_10Data!$A$1:$DZU$1000000,1629,FALSE)</f>
        <v>#N/A</v>
      </c>
      <c r="N96" s="34" t="e">
        <f>VLOOKUP(A1,DIV_10Data!$A$1:$DZU$1000000,1630,FALSE)</f>
        <v>#N/A</v>
      </c>
      <c r="O96" s="33" t="e">
        <f>VLOOKUP(A1,DIV_10Data!$A$1:$DZU$1000000,1631,FALSE)</f>
        <v>#N/A</v>
      </c>
      <c r="P96" s="46" t="e">
        <f>VLOOKUP(A1,DIV_10Data!$A$1:$DZU$1000000,1632,FALSE)</f>
        <v>#N/A</v>
      </c>
      <c r="Q96" s="33" t="e">
        <f>VLOOKUP(A1,DIV_10Data!$A$1:$DZU$1000000,1633,FALSE)</f>
        <v>#N/A</v>
      </c>
    </row>
    <row r="97" spans="1:17" x14ac:dyDescent="0.35">
      <c r="A97" s="22" t="e">
        <f>VLOOKUP(A1,DIV_10Data!$A$1:$DZU$1000000,1634,FALSE)</f>
        <v>#N/A</v>
      </c>
      <c r="B97" s="37" t="e">
        <f>VLOOKUP(A1,DIV_10Data!$A$1:$DZU$1000000,1635,FALSE)</f>
        <v>#N/A</v>
      </c>
      <c r="C97" s="38" t="e">
        <f>VLOOKUP(A1,DIV_10Data!$A$1:$DZU$1000000,1636,FALSE)</f>
        <v>#N/A</v>
      </c>
      <c r="D97" s="31" t="e">
        <f>VLOOKUP(A1,DIV_10Data!$A$1:$DZU$1000000,1637,FALSE)</f>
        <v>#N/A</v>
      </c>
      <c r="E97" s="32" t="e">
        <f>VLOOKUP(A1,DIV_10Data!$A$1:$DZU$1000000,1638,FALSE)</f>
        <v>#N/A</v>
      </c>
      <c r="F97" s="34" t="e">
        <f>VLOOKUP(A1,DIV_10Data!$A$1:$DZU$1000000,1639,FALSE)</f>
        <v>#N/A</v>
      </c>
      <c r="G97" s="33" t="e">
        <f>VLOOKUP(A1,DIV_10Data!$A$1:$DZU$1000000,1640,FALSE)</f>
        <v>#N/A</v>
      </c>
      <c r="H97" s="34" t="e">
        <f>VLOOKUP(A1,DIV_10Data!$A$1:$DZU$1000000,1641,FALSE)</f>
        <v>#N/A</v>
      </c>
      <c r="I97" s="33" t="e">
        <f>VLOOKUP(A1,DIV_10Data!$A$1:$DZU$1000000,1642,FALSE)</f>
        <v>#N/A</v>
      </c>
      <c r="J97" s="34" t="e">
        <f>VLOOKUP(A1,DIV_10Data!$A$1:$DZU$1000000,1643,FALSE)</f>
        <v>#N/A</v>
      </c>
      <c r="K97" s="34" t="e">
        <f>VLOOKUP(A1,DIV_10Data!$A$1:$DZU$1000000,1644,FALSE)</f>
        <v>#N/A</v>
      </c>
      <c r="L97" s="93" t="e">
        <f>VLOOKUP(A1,DIV_10Data!$A$1:$DZU$1000000,1645,FALSE)</f>
        <v>#N/A</v>
      </c>
      <c r="M97" s="33" t="e">
        <f>VLOOKUP(A1,DIV_10Data!$A$1:$DZU$1000000,1646,FALSE)</f>
        <v>#N/A</v>
      </c>
      <c r="N97" s="34" t="e">
        <f>VLOOKUP(A1,DIV_10Data!$A$1:$DZU$1000000,1647,FALSE)</f>
        <v>#N/A</v>
      </c>
      <c r="O97" s="33" t="e">
        <f>VLOOKUP(A1,DIV_10Data!$A$1:$DZU$1000000,1648,FALSE)</f>
        <v>#N/A</v>
      </c>
      <c r="P97" s="46" t="e">
        <f>VLOOKUP(A1,DIV_10Data!$A$1:$DZU$1000000,1649,FALSE)</f>
        <v>#N/A</v>
      </c>
      <c r="Q97" s="33" t="e">
        <f>VLOOKUP(A1,DIV_10Data!$A$1:$DZU$1000000,1650,FALSE)</f>
        <v>#N/A</v>
      </c>
    </row>
    <row r="98" spans="1:17" x14ac:dyDescent="0.35">
      <c r="A98" s="22" t="e">
        <f>VLOOKUP(A1,DIV_10Data!$A$1:$DZU$1000000,1651,FALSE)</f>
        <v>#N/A</v>
      </c>
      <c r="B98" s="37" t="e">
        <f>VLOOKUP(A1,DIV_10Data!$A$1:$DZU$1000000,1652,FALSE)</f>
        <v>#N/A</v>
      </c>
      <c r="C98" s="38" t="e">
        <f>VLOOKUP(A1,DIV_10Data!$A$1:$DZU$1000000,1653,FALSE)</f>
        <v>#N/A</v>
      </c>
      <c r="D98" s="31" t="e">
        <f>VLOOKUP(A1,DIV_10Data!$A$1:$DZU$1000000,1654,FALSE)</f>
        <v>#N/A</v>
      </c>
      <c r="E98" s="32" t="e">
        <f>VLOOKUP(A1,DIV_10Data!$A$1:$DZU$1000000,1655,FALSE)</f>
        <v>#N/A</v>
      </c>
      <c r="F98" s="34" t="e">
        <f>VLOOKUP(A1,DIV_10Data!$A$1:$DZU$1000000,1656,FALSE)</f>
        <v>#N/A</v>
      </c>
      <c r="G98" s="33" t="e">
        <f>VLOOKUP(A1,DIV_10Data!$A$1:$DZU$1000000,1657,FALSE)</f>
        <v>#N/A</v>
      </c>
      <c r="H98" s="34" t="e">
        <f>VLOOKUP(A1,DIV_10Data!$A$1:$DZU$1000000,1658,FALSE)</f>
        <v>#N/A</v>
      </c>
      <c r="I98" s="33" t="e">
        <f>VLOOKUP(A1,DIV_10Data!$A$1:$DZU$1000000,1659,FALSE)</f>
        <v>#N/A</v>
      </c>
      <c r="J98" s="34" t="e">
        <f>VLOOKUP(A1,DIV_10Data!$A$1:$DZU$1000000,1660,FALSE)</f>
        <v>#N/A</v>
      </c>
      <c r="K98" s="34" t="e">
        <f>VLOOKUP(A1,DIV_10Data!$A$1:$DZU$1000000,1661,FALSE)</f>
        <v>#N/A</v>
      </c>
      <c r="L98" s="93" t="e">
        <f>VLOOKUP(A1,DIV_10Data!$A$1:$DZU$1000000,1662,FALSE)</f>
        <v>#N/A</v>
      </c>
      <c r="M98" s="33" t="e">
        <f>VLOOKUP(A1,DIV_10Data!$A$1:$DZU$1000000,1663,FALSE)</f>
        <v>#N/A</v>
      </c>
      <c r="N98" s="34" t="e">
        <f>VLOOKUP(A1,DIV_10Data!$A$1:$DZU$1000000,1664,FALSE)</f>
        <v>#N/A</v>
      </c>
      <c r="O98" s="33" t="e">
        <f>VLOOKUP(A1,DIV_10Data!$A$1:$DZU$1000000,1665,FALSE)</f>
        <v>#N/A</v>
      </c>
      <c r="P98" s="46" t="e">
        <f>VLOOKUP(A1,DIV_10Data!$A$1:$DZU$1000000,1666,FALSE)</f>
        <v>#N/A</v>
      </c>
      <c r="Q98" s="33" t="e">
        <f>VLOOKUP(A1,DIV_10Data!$A$1:$DZU$1000000,1667,FALSE)</f>
        <v>#N/A</v>
      </c>
    </row>
    <row r="99" spans="1:17" x14ac:dyDescent="0.35">
      <c r="A99" s="22" t="e">
        <f>VLOOKUP(A1,DIV_10Data!$A$1:$DZU$1000000,1668,FALSE)</f>
        <v>#N/A</v>
      </c>
      <c r="B99" s="37" t="e">
        <f>VLOOKUP(A1,DIV_10Data!$A$1:$DZU$1000000,1669,FALSE)</f>
        <v>#N/A</v>
      </c>
      <c r="C99" s="38" t="e">
        <f>VLOOKUP(A1,DIV_10Data!$A$1:$DZU$1000000,1670,FALSE)</f>
        <v>#N/A</v>
      </c>
      <c r="D99" s="31" t="e">
        <f>VLOOKUP(A1,DIV_10Data!$A$1:$DZU$1000000,1671,FALSE)</f>
        <v>#N/A</v>
      </c>
      <c r="E99" s="32" t="e">
        <f>VLOOKUP(A1,DIV_10Data!$A$1:$DZU$1000000,1672,FALSE)</f>
        <v>#N/A</v>
      </c>
      <c r="F99" s="34" t="e">
        <f>VLOOKUP(A1,DIV_10Data!$A$1:$DZU$1000000,1673,FALSE)</f>
        <v>#N/A</v>
      </c>
      <c r="G99" s="33" t="e">
        <f>VLOOKUP(A1,DIV_10Data!$A$1:$DZU$1000000,1674,FALSE)</f>
        <v>#N/A</v>
      </c>
      <c r="H99" s="34" t="e">
        <f>VLOOKUP(A1,DIV_10Data!$A$1:$DZU$1000000,1675,FALSE)</f>
        <v>#N/A</v>
      </c>
      <c r="I99" s="33" t="e">
        <f>VLOOKUP(A1,DIV_10Data!$A$1:$DZU$1000000,1676,FALSE)</f>
        <v>#N/A</v>
      </c>
      <c r="J99" s="34" t="e">
        <f>VLOOKUP(A1,DIV_10Data!$A$1:$DZU$1000000,1677,FALSE)</f>
        <v>#N/A</v>
      </c>
      <c r="K99" s="34" t="e">
        <f>VLOOKUP(A1,DIV_10Data!$A$1:$DZU$1000000,1678,FALSE)</f>
        <v>#N/A</v>
      </c>
      <c r="L99" s="93" t="e">
        <f>VLOOKUP(A1,DIV_10Data!$A$1:$DZU$1000000,1679,FALSE)</f>
        <v>#N/A</v>
      </c>
      <c r="M99" s="33" t="e">
        <f>VLOOKUP(A1,DIV_10Data!$A$1:$DZU$1000000,1680,FALSE)</f>
        <v>#N/A</v>
      </c>
      <c r="N99" s="34" t="e">
        <f>VLOOKUP(A1,DIV_10Data!$A$1:$DZU$1000000,1681,FALSE)</f>
        <v>#N/A</v>
      </c>
      <c r="O99" s="33" t="e">
        <f>VLOOKUP(A1,DIV_10Data!$A$1:$DZU$1000000,1682,FALSE)</f>
        <v>#N/A</v>
      </c>
      <c r="P99" s="46" t="e">
        <f>VLOOKUP(A1,DIV_10Data!$A$1:$DZU$1000000,1683,FALSE)</f>
        <v>#N/A</v>
      </c>
      <c r="Q99" s="33" t="e">
        <f>VLOOKUP(A1,DIV_10Data!$A$1:$DZU$1000000,1684,FALSE)</f>
        <v>#N/A</v>
      </c>
    </row>
    <row r="100" spans="1:17" x14ac:dyDescent="0.35">
      <c r="A100" s="22" t="e">
        <f>VLOOKUP(A1,DIV_10Data!$A$1:$DZU$1000000,1685,FALSE)</f>
        <v>#N/A</v>
      </c>
      <c r="B100" s="37" t="e">
        <f>VLOOKUP(A1,DIV_10Data!$A$1:$DZU$1000000,1686,FALSE)</f>
        <v>#N/A</v>
      </c>
      <c r="C100" s="38" t="e">
        <f>VLOOKUP(A1,DIV_10Data!$A$1:$DZU$1000000,1687,FALSE)</f>
        <v>#N/A</v>
      </c>
      <c r="D100" s="31" t="e">
        <f>VLOOKUP(A1,DIV_10Data!$A$1:$DZU$1000000,1688,FALSE)</f>
        <v>#N/A</v>
      </c>
      <c r="E100" s="32" t="e">
        <f>VLOOKUP(A1,DIV_10Data!$A$1:$DZU$1000000,1689,FALSE)</f>
        <v>#N/A</v>
      </c>
      <c r="F100" s="34" t="e">
        <f>VLOOKUP(A1,DIV_10Data!$A$1:$DZU$1000000,1690,FALSE)</f>
        <v>#N/A</v>
      </c>
      <c r="G100" s="33" t="e">
        <f>VLOOKUP(A1,DIV_10Data!$A$1:$DZU$1000000,1691,FALSE)</f>
        <v>#N/A</v>
      </c>
      <c r="H100" s="34" t="e">
        <f>VLOOKUP(A1,DIV_10Data!$A$1:$DZU$1000000,1692,FALSE)</f>
        <v>#N/A</v>
      </c>
      <c r="I100" s="33" t="e">
        <f>VLOOKUP(A1,DIV_10Data!$A$1:$DZU$1000000,1693,FALSE)</f>
        <v>#N/A</v>
      </c>
      <c r="J100" s="34" t="e">
        <f>VLOOKUP(A1,DIV_10Data!$A$1:$DZU$1000000,1694,FALSE)</f>
        <v>#N/A</v>
      </c>
      <c r="K100" s="34" t="e">
        <f>VLOOKUP(A1,DIV_10Data!$A$1:$DZU$1000000,1695,FALSE)</f>
        <v>#N/A</v>
      </c>
      <c r="L100" s="93" t="e">
        <f>VLOOKUP(A1,DIV_10Data!$A$1:$DZU$1000000,1696,FALSE)</f>
        <v>#N/A</v>
      </c>
      <c r="M100" s="33" t="e">
        <f>VLOOKUP(A1,DIV_10Data!$A$1:$DZU$1000000,1697,FALSE)</f>
        <v>#N/A</v>
      </c>
      <c r="N100" s="34" t="e">
        <f>VLOOKUP(A1,DIV_10Data!$A$1:$DZU$1000000,1698,FALSE)</f>
        <v>#N/A</v>
      </c>
      <c r="O100" s="33" t="e">
        <f>VLOOKUP(A1,DIV_10Data!$A$1:$DZU$1000000,1699,FALSE)</f>
        <v>#N/A</v>
      </c>
      <c r="P100" s="46" t="e">
        <f>VLOOKUP(A1,DIV_10Data!$A$1:$DZU$1000000,1700,FALSE)</f>
        <v>#N/A</v>
      </c>
      <c r="Q100" s="33" t="e">
        <f>VLOOKUP(A1,DIV_10Data!$A$1:$DZU$1000000,1701,FALSE)</f>
        <v>#N/A</v>
      </c>
    </row>
    <row r="101" spans="1:17" x14ac:dyDescent="0.35">
      <c r="A101" s="22" t="e">
        <f>VLOOKUP(A1,DIV_10Data!$A$1:$DZU$1000000,1702,FALSE)</f>
        <v>#N/A</v>
      </c>
      <c r="B101" s="37" t="e">
        <f>VLOOKUP(A1,DIV_10Data!$A$1:$DZU$1000000,1703,FALSE)</f>
        <v>#N/A</v>
      </c>
      <c r="C101" s="38" t="e">
        <f>VLOOKUP(A1,DIV_10Data!$A$1:$DZU$1000000,1704,FALSE)</f>
        <v>#N/A</v>
      </c>
      <c r="D101" s="31" t="e">
        <f>VLOOKUP(A1,DIV_10Data!$A$1:$DZU$1000000,1705,FALSE)</f>
        <v>#N/A</v>
      </c>
      <c r="E101" s="32" t="e">
        <f>VLOOKUP(A1,DIV_10Data!$A$1:$DZU$1000000,1706,FALSE)</f>
        <v>#N/A</v>
      </c>
      <c r="F101" s="34" t="e">
        <f>VLOOKUP(A1,DIV_10Data!$A$1:$DZU$1000000,1707,FALSE)</f>
        <v>#N/A</v>
      </c>
      <c r="G101" s="33" t="e">
        <f>VLOOKUP(A1,DIV_10Data!$A$1:$DZU$1000000,1708,FALSE)</f>
        <v>#N/A</v>
      </c>
      <c r="H101" s="34" t="e">
        <f>VLOOKUP(A1,DIV_10Data!$A$1:$DZU$1000000,1709,FALSE)</f>
        <v>#N/A</v>
      </c>
      <c r="I101" s="33" t="e">
        <f>VLOOKUP(A1,DIV_10Data!$A$1:$DZU$1000000,1710,FALSE)</f>
        <v>#N/A</v>
      </c>
      <c r="J101" s="34" t="e">
        <f>VLOOKUP(A1,DIV_10Data!$A$1:$DZU$1000000,1711,FALSE)</f>
        <v>#N/A</v>
      </c>
      <c r="K101" s="34" t="e">
        <f>VLOOKUP(A1,DIV_10Data!$A$1:$DZU$1000000,1712,FALSE)</f>
        <v>#N/A</v>
      </c>
      <c r="L101" s="93" t="e">
        <f>VLOOKUP(A1,DIV_10Data!$A$1:$DZU$1000000,1713,FALSE)</f>
        <v>#N/A</v>
      </c>
      <c r="M101" s="33" t="e">
        <f>VLOOKUP(A1,DIV_10Data!$A$1:$DZU$1000000,1714,FALSE)</f>
        <v>#N/A</v>
      </c>
      <c r="N101" s="34" t="e">
        <f>VLOOKUP(A1,DIV_10Data!$A$1:$DZU$1000000,1715,FALSE)</f>
        <v>#N/A</v>
      </c>
      <c r="O101" s="33" t="e">
        <f>VLOOKUP(A1,DIV_10Data!$A$1:$DZU$1000000,1716,FALSE)</f>
        <v>#N/A</v>
      </c>
      <c r="P101" s="46" t="e">
        <f>VLOOKUP(A1,DIV_10Data!$A$1:$DZU$1000000,1717,FALSE)</f>
        <v>#N/A</v>
      </c>
      <c r="Q101" s="33" t="e">
        <f>VLOOKUP(A1,DIV_10Data!$A$1:$DZU$1000000,1718,FALSE)</f>
        <v>#N/A</v>
      </c>
    </row>
    <row r="102" spans="1:17" x14ac:dyDescent="0.35">
      <c r="A102" s="22" t="e">
        <f>VLOOKUP(A1,DIV_10Data!$A$1:$DZU$1000000,1719,FALSE)</f>
        <v>#N/A</v>
      </c>
      <c r="B102" s="37" t="e">
        <f>VLOOKUP(A1,DIV_10Data!$A$1:$DZU$1000000,1720,FALSE)</f>
        <v>#N/A</v>
      </c>
      <c r="C102" s="38" t="e">
        <f>VLOOKUP(A1,DIV_10Data!$A$1:$DZU$1000000,1721,FALSE)</f>
        <v>#N/A</v>
      </c>
      <c r="D102" s="31" t="e">
        <f>VLOOKUP(A1,DIV_10Data!$A$1:$DZU$1000000,1722,FALSE)</f>
        <v>#N/A</v>
      </c>
      <c r="E102" s="32" t="e">
        <f>VLOOKUP(A1,DIV_10Data!$A$1:$DZU$1000000,1723,FALSE)</f>
        <v>#N/A</v>
      </c>
      <c r="F102" s="34" t="e">
        <f>VLOOKUP(A1,DIV_10Data!$A$1:$DZU$1000000,1724,FALSE)</f>
        <v>#N/A</v>
      </c>
      <c r="G102" s="33" t="e">
        <f>VLOOKUP(A1,DIV_10Data!$A$1:$DZU$1000000,1725,FALSE)</f>
        <v>#N/A</v>
      </c>
      <c r="H102" s="34" t="e">
        <f>VLOOKUP(A1,DIV_10Data!$A$1:$DZU$1000000,1726,FALSE)</f>
        <v>#N/A</v>
      </c>
      <c r="I102" s="33" t="e">
        <f>VLOOKUP(A1,DIV_10Data!$A$1:$DZU$1000000,1727,FALSE)</f>
        <v>#N/A</v>
      </c>
      <c r="J102" s="34" t="e">
        <f>VLOOKUP(A1,DIV_10Data!$A$1:$DZU$1000000,1728,FALSE)</f>
        <v>#N/A</v>
      </c>
      <c r="K102" s="34" t="e">
        <f>VLOOKUP(A1,DIV_10Data!$A$1:$DZU$1000000,1729,FALSE)</f>
        <v>#N/A</v>
      </c>
      <c r="L102" s="93" t="e">
        <f>VLOOKUP(A1,DIV_10Data!$A$1:$DZU$1000000,1730,FALSE)</f>
        <v>#N/A</v>
      </c>
      <c r="M102" s="33" t="e">
        <f>VLOOKUP(A1,DIV_10Data!$A$1:$DZU$1000000,1731,FALSE)</f>
        <v>#N/A</v>
      </c>
      <c r="N102" s="34" t="e">
        <f>VLOOKUP(A1,DIV_10Data!$A$1:$DZU$1000000,1732,FALSE)</f>
        <v>#N/A</v>
      </c>
      <c r="O102" s="33" t="e">
        <f>VLOOKUP(A1,DIV_10Data!$A$1:$DZU$1000000,1733,FALSE)</f>
        <v>#N/A</v>
      </c>
      <c r="P102" s="46" t="e">
        <f>VLOOKUP(A1,DIV_10Data!$A$1:$DZU$1000000,1734,FALSE)</f>
        <v>#N/A</v>
      </c>
      <c r="Q102" s="33" t="e">
        <f>VLOOKUP(A1,DIV_10Data!$A$1:$DZU$1000000,1735,FALSE)</f>
        <v>#N/A</v>
      </c>
    </row>
    <row r="103" spans="1:17" x14ac:dyDescent="0.35">
      <c r="A103" s="22" t="e">
        <f>VLOOKUP(A1,DIV_10Data!$A$1:$DZU$1000000,1736,FALSE)</f>
        <v>#N/A</v>
      </c>
      <c r="B103" s="37" t="e">
        <f>VLOOKUP(A1,DIV_10Data!$A$1:$DZU$1000000,1737,FALSE)</f>
        <v>#N/A</v>
      </c>
      <c r="C103" s="38" t="e">
        <f>VLOOKUP(A1,DIV_10Data!$A$1:$DZU$1000000,1738,FALSE)</f>
        <v>#N/A</v>
      </c>
      <c r="D103" s="31" t="e">
        <f>VLOOKUP(A1,DIV_10Data!$A$1:$DZU$1000000,1739,FALSE)</f>
        <v>#N/A</v>
      </c>
      <c r="E103" s="32" t="e">
        <f>VLOOKUP(A1,DIV_10Data!$A$1:$DZU$1000000,1740,FALSE)</f>
        <v>#N/A</v>
      </c>
      <c r="F103" s="34" t="e">
        <f>VLOOKUP(A1,DIV_10Data!$A$1:$DZU$1000000,1741,FALSE)</f>
        <v>#N/A</v>
      </c>
      <c r="G103" s="33" t="e">
        <f>VLOOKUP(A1,DIV_10Data!$A$1:$DZU$1000000,1742,FALSE)</f>
        <v>#N/A</v>
      </c>
      <c r="H103" s="34" t="e">
        <f>VLOOKUP(A1,DIV_10Data!$A$1:$DZU$1000000,1743,FALSE)</f>
        <v>#N/A</v>
      </c>
      <c r="I103" s="33" t="e">
        <f>VLOOKUP(A1,DIV_10Data!$A$1:$DZU$1000000,1744,FALSE)</f>
        <v>#N/A</v>
      </c>
      <c r="J103" s="34" t="e">
        <f>VLOOKUP(A1,DIV_10Data!$A$1:$DZU$1000000,1745,FALSE)</f>
        <v>#N/A</v>
      </c>
      <c r="K103" s="34" t="e">
        <f>VLOOKUP(A1,DIV_10Data!$A$1:$DZU$1000000,1746,FALSE)</f>
        <v>#N/A</v>
      </c>
      <c r="L103" s="93" t="e">
        <f>VLOOKUP(A1,DIV_10Data!$A$1:$DZU$1000000,1747,FALSE)</f>
        <v>#N/A</v>
      </c>
      <c r="M103" s="33" t="e">
        <f>VLOOKUP(A1,DIV_10Data!$A$1:$DZU$1000000,1748,FALSE)</f>
        <v>#N/A</v>
      </c>
      <c r="N103" s="34" t="e">
        <f>VLOOKUP(A1,DIV_10Data!$A$1:$DZU$1000000,1749,FALSE)</f>
        <v>#N/A</v>
      </c>
      <c r="O103" s="33" t="e">
        <f>VLOOKUP(A1,DIV_10Data!$A$1:$DZU$1000000,1750,FALSE)</f>
        <v>#N/A</v>
      </c>
      <c r="P103" s="46" t="e">
        <f>VLOOKUP(A1,DIV_10Data!$A$1:$DZU$1000000,1751,FALSE)</f>
        <v>#N/A</v>
      </c>
      <c r="Q103" s="33" t="e">
        <f>VLOOKUP(A1,DIV_10Data!$A$1:$DZU$1000000,1752,FALSE)</f>
        <v>#N/A</v>
      </c>
    </row>
    <row r="104" spans="1:17" x14ac:dyDescent="0.35">
      <c r="A104" s="22" t="e">
        <f>VLOOKUP(A1,DIV_10Data!$A$1:$DZU$1000000,1753,FALSE)</f>
        <v>#N/A</v>
      </c>
      <c r="B104" s="37" t="e">
        <f>VLOOKUP(A1,DIV_10Data!$A$1:$DZU$1000000,1754,FALSE)</f>
        <v>#N/A</v>
      </c>
      <c r="C104" s="38" t="e">
        <f>VLOOKUP(A1,DIV_10Data!$A$1:$DZU$1000000,1755,FALSE)</f>
        <v>#N/A</v>
      </c>
      <c r="D104" s="31" t="e">
        <f>VLOOKUP(A1,DIV_10Data!$A$1:$DZU$1000000,1756,FALSE)</f>
        <v>#N/A</v>
      </c>
      <c r="E104" s="32" t="e">
        <f>VLOOKUP(A1,DIV_10Data!$A$1:$DZU$1000000,1757,FALSE)</f>
        <v>#N/A</v>
      </c>
      <c r="F104" s="34" t="e">
        <f>VLOOKUP(A1,DIV_10Data!$A$1:$DZU$1000000,1758,FALSE)</f>
        <v>#N/A</v>
      </c>
      <c r="G104" s="33" t="e">
        <f>VLOOKUP(A1,DIV_10Data!$A$1:$DZU$1000000,1759,FALSE)</f>
        <v>#N/A</v>
      </c>
      <c r="H104" s="34" t="e">
        <f>VLOOKUP(A1,DIV_10Data!$A$1:$DZU$1000000,1760,FALSE)</f>
        <v>#N/A</v>
      </c>
      <c r="I104" s="33" t="e">
        <f>VLOOKUP(A1,DIV_10Data!$A$1:$DZU$1000000,1761,FALSE)</f>
        <v>#N/A</v>
      </c>
      <c r="J104" s="34" t="e">
        <f>VLOOKUP(A1,DIV_10Data!$A$1:$DZU$1000000,1762,FALSE)</f>
        <v>#N/A</v>
      </c>
      <c r="K104" s="34" t="e">
        <f>VLOOKUP(A1,DIV_10Data!$A$1:$DZU$1000000,1763,FALSE)</f>
        <v>#N/A</v>
      </c>
      <c r="L104" s="93" t="e">
        <f>VLOOKUP(A1,DIV_10Data!$A$1:$DZU$1000000,1764,FALSE)</f>
        <v>#N/A</v>
      </c>
      <c r="M104" s="33" t="e">
        <f>VLOOKUP(A1,DIV_10Data!$A$1:$DZU$1000000,1765,FALSE)</f>
        <v>#N/A</v>
      </c>
      <c r="N104" s="34" t="e">
        <f>VLOOKUP(A1,DIV_10Data!$A$1:$DZU$1000000,1766,FALSE)</f>
        <v>#N/A</v>
      </c>
      <c r="O104" s="33" t="e">
        <f>VLOOKUP(A1,DIV_10Data!$A$1:$DZU$1000000,1767,FALSE)</f>
        <v>#N/A</v>
      </c>
      <c r="P104" s="46" t="e">
        <f>VLOOKUP(A1,DIV_10Data!$A$1:$DZU$1000000,1768,FALSE)</f>
        <v>#N/A</v>
      </c>
      <c r="Q104" s="33" t="e">
        <f>VLOOKUP(A1,DIV_10Data!$A$1:$DZU$1000000,1769,FALSE)</f>
        <v>#N/A</v>
      </c>
    </row>
    <row r="105" spans="1:17" x14ac:dyDescent="0.35">
      <c r="A105" s="22" t="e">
        <f>VLOOKUP(A1,DIV_10Data!$A$1:$DZU$1000000,1770,FALSE)</f>
        <v>#N/A</v>
      </c>
      <c r="B105" s="37" t="e">
        <f>VLOOKUP(A1,DIV_10Data!$A$1:$DZU$1000000,1771,FALSE)</f>
        <v>#N/A</v>
      </c>
      <c r="C105" s="38" t="e">
        <f>VLOOKUP(A1,DIV_10Data!$A$1:$DZU$1000000,1772,FALSE)</f>
        <v>#N/A</v>
      </c>
      <c r="D105" s="31" t="e">
        <f>VLOOKUP(A1,DIV_10Data!$A$1:$DZU$1000000,1773,FALSE)</f>
        <v>#N/A</v>
      </c>
      <c r="E105" s="32" t="e">
        <f>VLOOKUP(A1,DIV_10Data!$A$1:$DZU$1000000,1774,FALSE)</f>
        <v>#N/A</v>
      </c>
      <c r="F105" s="34" t="e">
        <f>VLOOKUP(A1,DIV_10Data!$A$1:$DZU$1000000,1775,FALSE)</f>
        <v>#N/A</v>
      </c>
      <c r="G105" s="33" t="e">
        <f>VLOOKUP(A1,DIV_10Data!$A$1:$DZU$1000000,1776,FALSE)</f>
        <v>#N/A</v>
      </c>
      <c r="H105" s="34" t="e">
        <f>VLOOKUP(A1,DIV_10Data!$A$1:$DZU$1000000,1777,FALSE)</f>
        <v>#N/A</v>
      </c>
      <c r="I105" s="33" t="e">
        <f>VLOOKUP(A1,DIV_10Data!$A$1:$DZU$1000000,1778,FALSE)</f>
        <v>#N/A</v>
      </c>
      <c r="J105" s="34" t="e">
        <f>VLOOKUP(A1,DIV_10Data!$A$1:$DZU$1000000,1779,FALSE)</f>
        <v>#N/A</v>
      </c>
      <c r="K105" s="34" t="e">
        <f>VLOOKUP(A1,DIV_10Data!$A$1:$DZU$1000000,1780,FALSE)</f>
        <v>#N/A</v>
      </c>
      <c r="L105" s="93" t="e">
        <f>VLOOKUP(A1,DIV_10Data!$A$1:$DZU$1000000,1781,FALSE)</f>
        <v>#N/A</v>
      </c>
      <c r="M105" s="33" t="e">
        <f>VLOOKUP(A1,DIV_10Data!$A$1:$DZU$1000000,1782,FALSE)</f>
        <v>#N/A</v>
      </c>
      <c r="N105" s="34" t="e">
        <f>VLOOKUP(A1,DIV_10Data!$A$1:$DZU$1000000,1783,FALSE)</f>
        <v>#N/A</v>
      </c>
      <c r="O105" s="33" t="e">
        <f>VLOOKUP(A1,DIV_10Data!$A$1:$DZU$1000000,1784,FALSE)</f>
        <v>#N/A</v>
      </c>
      <c r="P105" s="46" t="e">
        <f>VLOOKUP(A1,DIV_10Data!$A$1:$DZU$1000000,1785,FALSE)</f>
        <v>#N/A</v>
      </c>
      <c r="Q105" s="33" t="e">
        <f>VLOOKUP(A1,DIV_10Data!$A$1:$DZU$1000000,1786,FALSE)</f>
        <v>#N/A</v>
      </c>
    </row>
    <row r="106" spans="1:17" x14ac:dyDescent="0.35">
      <c r="A106" s="22" t="e">
        <f>VLOOKUP(A1,DIV_10Data!$A$1:$DZU$1000000,1787,FALSE)</f>
        <v>#N/A</v>
      </c>
      <c r="B106" s="37" t="e">
        <f>VLOOKUP(A1,DIV_10Data!$A$1:$DZU$1000000,1788,FALSE)</f>
        <v>#N/A</v>
      </c>
      <c r="C106" s="38" t="e">
        <f>VLOOKUP(A1,DIV_10Data!$A$1:$DZU$1000000,1789,FALSE)</f>
        <v>#N/A</v>
      </c>
      <c r="D106" s="31" t="e">
        <f>VLOOKUP(A1,DIV_10Data!$A$1:$DZU$1000000,1790,FALSE)</f>
        <v>#N/A</v>
      </c>
      <c r="E106" s="32" t="e">
        <f>VLOOKUP(A1,DIV_10Data!$A$1:$DZU$1000000,1791,FALSE)</f>
        <v>#N/A</v>
      </c>
      <c r="F106" s="34" t="e">
        <f>VLOOKUP(A1,DIV_10Data!$A$1:$DZU$1000000,1792,FALSE)</f>
        <v>#N/A</v>
      </c>
      <c r="G106" s="33" t="e">
        <f>VLOOKUP(A1,DIV_10Data!$A$1:$DZU$1000000,1793,FALSE)</f>
        <v>#N/A</v>
      </c>
      <c r="H106" s="34" t="e">
        <f>VLOOKUP(A1,DIV_10Data!$A$1:$DZU$1000000,1794,FALSE)</f>
        <v>#N/A</v>
      </c>
      <c r="I106" s="33" t="e">
        <f>VLOOKUP(A1,DIV_10Data!$A$1:$DZU$1000000,1795,FALSE)</f>
        <v>#N/A</v>
      </c>
      <c r="J106" s="34" t="e">
        <f>VLOOKUP(A1,DIV_10Data!$A$1:$DZU$1000000,1796,FALSE)</f>
        <v>#N/A</v>
      </c>
      <c r="K106" s="34" t="e">
        <f>VLOOKUP(A1,DIV_10Data!$A$1:$DZU$1000000,1797,FALSE)</f>
        <v>#N/A</v>
      </c>
      <c r="L106" s="93" t="e">
        <f>VLOOKUP(A1,DIV_10Data!$A$1:$DZU$1000000,1798,FALSE)</f>
        <v>#N/A</v>
      </c>
      <c r="M106" s="33" t="e">
        <f>VLOOKUP(A1,DIV_10Data!$A$1:$DZU$1000000,1799,FALSE)</f>
        <v>#N/A</v>
      </c>
      <c r="N106" s="34" t="e">
        <f>VLOOKUP(A1,DIV_10Data!$A$1:$DZU$1000000,1800,FALSE)</f>
        <v>#N/A</v>
      </c>
      <c r="O106" s="33" t="e">
        <f>VLOOKUP(A1,DIV_10Data!$A$1:$DZU$1000000,1801,FALSE)</f>
        <v>#N/A</v>
      </c>
      <c r="P106" s="46" t="e">
        <f>VLOOKUP(A1,DIV_10Data!$A$1:$DZU$1000000,1802,FALSE)</f>
        <v>#N/A</v>
      </c>
      <c r="Q106" s="33" t="e">
        <f>VLOOKUP(A1,DIV_10Data!$A$1:$DZU$1000000,1803,FALSE)</f>
        <v>#N/A</v>
      </c>
    </row>
    <row r="107" spans="1:17" x14ac:dyDescent="0.35">
      <c r="A107" s="22" t="e">
        <f>VLOOKUP(A1,DIV_10Data!$A$1:$DZU$1000000,1804,FALSE)</f>
        <v>#N/A</v>
      </c>
      <c r="B107" s="37" t="e">
        <f>VLOOKUP(A1,DIV_10Data!$A$1:$DZU$1000000,1805,FALSE)</f>
        <v>#N/A</v>
      </c>
      <c r="C107" s="38" t="e">
        <f>VLOOKUP(A1,DIV_10Data!$A$1:$DZU$1000000,1806,FALSE)</f>
        <v>#N/A</v>
      </c>
      <c r="D107" s="31" t="e">
        <f>VLOOKUP(A1,DIV_10Data!$A$1:$DZU$1000000,1807,FALSE)</f>
        <v>#N/A</v>
      </c>
      <c r="E107" s="32" t="e">
        <f>VLOOKUP(A1,DIV_10Data!$A$1:$DZU$1000000,1808,FALSE)</f>
        <v>#N/A</v>
      </c>
      <c r="F107" s="34" t="e">
        <f>VLOOKUP(A1,DIV_10Data!$A$1:$DZU$1000000,1809,FALSE)</f>
        <v>#N/A</v>
      </c>
      <c r="G107" s="33" t="e">
        <f>VLOOKUP(A1,DIV_10Data!$A$1:$DZU$1000000,1810,FALSE)</f>
        <v>#N/A</v>
      </c>
      <c r="H107" s="34" t="e">
        <f>VLOOKUP(A1,DIV_10Data!$A$1:$DZU$1000000,1811,FALSE)</f>
        <v>#N/A</v>
      </c>
      <c r="I107" s="33" t="e">
        <f>VLOOKUP(A1,DIV_10Data!$A$1:$DZU$1000000,1812,FALSE)</f>
        <v>#N/A</v>
      </c>
      <c r="J107" s="34" t="e">
        <f>VLOOKUP(A1,DIV_10Data!$A$1:$DZU$1000000,1813,FALSE)</f>
        <v>#N/A</v>
      </c>
      <c r="K107" s="34" t="e">
        <f>VLOOKUP(A1,DIV_10Data!$A$1:$DZU$1000000,1814,FALSE)</f>
        <v>#N/A</v>
      </c>
      <c r="L107" s="93" t="e">
        <f>VLOOKUP(A1,DIV_10Data!$A$1:$DZU$1000000,1815,FALSE)</f>
        <v>#N/A</v>
      </c>
      <c r="M107" s="33" t="e">
        <f>VLOOKUP(A1,DIV_10Data!$A$1:$DZU$1000000,1816,FALSE)</f>
        <v>#N/A</v>
      </c>
      <c r="N107" s="34" t="e">
        <f>VLOOKUP(A1,DIV_10Data!$A$1:$DZU$1000000,1817,FALSE)</f>
        <v>#N/A</v>
      </c>
      <c r="O107" s="33" t="e">
        <f>VLOOKUP(A1,DIV_10Data!$A$1:$DZU$1000000,1818,FALSE)</f>
        <v>#N/A</v>
      </c>
      <c r="P107" s="46" t="e">
        <f>VLOOKUP(A1,DIV_10Data!$A$1:$DZU$1000000,1819,FALSE)</f>
        <v>#N/A</v>
      </c>
      <c r="Q107" s="33" t="e">
        <f>VLOOKUP(A1,DIV_10Data!$A$1:$DZU$1000000,1820,FALSE)</f>
        <v>#N/A</v>
      </c>
    </row>
    <row r="108" spans="1:17" x14ac:dyDescent="0.35">
      <c r="A108" s="22" t="e">
        <f>VLOOKUP(A1,DIV_10Data!$A$1:$DZU$1000000,1821,FALSE)</f>
        <v>#N/A</v>
      </c>
      <c r="B108" s="37" t="e">
        <f>VLOOKUP(A1,DIV_10Data!$A$1:$DZU$1000000,1822,FALSE)</f>
        <v>#N/A</v>
      </c>
      <c r="C108" s="38" t="e">
        <f>VLOOKUP(A1,DIV_10Data!$A$1:$DZU$1000000,1823,FALSE)</f>
        <v>#N/A</v>
      </c>
      <c r="D108" s="31" t="e">
        <f>VLOOKUP(A1,DIV_10Data!$A$1:$DZU$1000000,1824,FALSE)</f>
        <v>#N/A</v>
      </c>
      <c r="E108" s="32" t="e">
        <f>VLOOKUP(A1,DIV_10Data!$A$1:$DZU$1000000,1825,FALSE)</f>
        <v>#N/A</v>
      </c>
      <c r="F108" s="34" t="e">
        <f>VLOOKUP(A1,DIV_10Data!$A$1:$DZU$1000000,1826,FALSE)</f>
        <v>#N/A</v>
      </c>
      <c r="G108" s="33" t="e">
        <f>VLOOKUP(A1,DIV_10Data!$A$1:$DZU$1000000,1827,FALSE)</f>
        <v>#N/A</v>
      </c>
      <c r="H108" s="34" t="e">
        <f>VLOOKUP(A1,DIV_10Data!$A$1:$DZU$1000000,1828,FALSE)</f>
        <v>#N/A</v>
      </c>
      <c r="I108" s="33" t="e">
        <f>VLOOKUP(A1,DIV_10Data!$A$1:$DZU$1000000,1829,FALSE)</f>
        <v>#N/A</v>
      </c>
      <c r="J108" s="34" t="e">
        <f>VLOOKUP(A1,DIV_10Data!$A$1:$DZU$1000000,1830,FALSE)</f>
        <v>#N/A</v>
      </c>
      <c r="K108" s="34" t="e">
        <f>VLOOKUP(A1,DIV_10Data!$A$1:$DZU$1000000,1831,FALSE)</f>
        <v>#N/A</v>
      </c>
      <c r="L108" s="93" t="e">
        <f>VLOOKUP(A1,DIV_10Data!$A$1:$DZU$1000000,1832,FALSE)</f>
        <v>#N/A</v>
      </c>
      <c r="M108" s="33" t="e">
        <f>VLOOKUP(A1,DIV_10Data!$A$1:$DZU$1000000,1833,FALSE)</f>
        <v>#N/A</v>
      </c>
      <c r="N108" s="34" t="e">
        <f>VLOOKUP(A1,DIV_10Data!$A$1:$DZU$1000000,1834,FALSE)</f>
        <v>#N/A</v>
      </c>
      <c r="O108" s="33" t="e">
        <f>VLOOKUP(A1,DIV_10Data!$A$1:$DZU$1000000,1835,FALSE)</f>
        <v>#N/A</v>
      </c>
      <c r="P108" s="46" t="e">
        <f>VLOOKUP(A1,DIV_10Data!$A$1:$DZU$1000000,1836,FALSE)</f>
        <v>#N/A</v>
      </c>
      <c r="Q108" s="33" t="e">
        <f>VLOOKUP(A1,DIV_10Data!$A$1:$DZU$1000000,1837,FALSE)</f>
        <v>#N/A</v>
      </c>
    </row>
    <row r="109" spans="1:17" x14ac:dyDescent="0.35">
      <c r="A109" s="22" t="e">
        <f>VLOOKUP(A1,DIV_10Data!$A$1:$DZU$1000000,1838,FALSE)</f>
        <v>#N/A</v>
      </c>
      <c r="B109" s="37" t="e">
        <f>VLOOKUP(A1,DIV_10Data!$A$1:$DZU$1000000,1839,FALSE)</f>
        <v>#N/A</v>
      </c>
      <c r="C109" s="38" t="e">
        <f>VLOOKUP(A1,DIV_10Data!$A$1:$DZU$1000000,1840,FALSE)</f>
        <v>#N/A</v>
      </c>
      <c r="D109" s="31" t="e">
        <f>VLOOKUP(A1,DIV_10Data!$A$1:$DZU$1000000,1841,FALSE)</f>
        <v>#N/A</v>
      </c>
      <c r="E109" s="32" t="e">
        <f>VLOOKUP(A1,DIV_10Data!$A$1:$DZU$1000000,1842,FALSE)</f>
        <v>#N/A</v>
      </c>
      <c r="F109" s="34" t="e">
        <f>VLOOKUP(A1,DIV_10Data!$A$1:$DZU$1000000,1843,FALSE)</f>
        <v>#N/A</v>
      </c>
      <c r="G109" s="33" t="e">
        <f>VLOOKUP(A1,DIV_10Data!$A$1:$DZU$1000000,1844,FALSE)</f>
        <v>#N/A</v>
      </c>
      <c r="H109" s="34" t="e">
        <f>VLOOKUP(A1,DIV_10Data!$A$1:$DZU$1000000,1845,FALSE)</f>
        <v>#N/A</v>
      </c>
      <c r="I109" s="33" t="e">
        <f>VLOOKUP(A1,DIV_10Data!$A$1:$DZU$1000000,1846,FALSE)</f>
        <v>#N/A</v>
      </c>
      <c r="J109" s="34" t="e">
        <f>VLOOKUP(A1,DIV_10Data!$A$1:$DZU$1000000,1847,FALSE)</f>
        <v>#N/A</v>
      </c>
      <c r="K109" s="34" t="e">
        <f>VLOOKUP(A1,DIV_10Data!$A$1:$DZU$1000000,1848,FALSE)</f>
        <v>#N/A</v>
      </c>
      <c r="L109" s="93" t="e">
        <f>VLOOKUP(A1,DIV_10Data!$A$1:$DZU$1000000,1849,FALSE)</f>
        <v>#N/A</v>
      </c>
      <c r="M109" s="33" t="e">
        <f>VLOOKUP(A1,DIV_10Data!$A$1:$DZU$1000000,1850,FALSE)</f>
        <v>#N/A</v>
      </c>
      <c r="N109" s="34" t="e">
        <f>VLOOKUP(A1,DIV_10Data!$A$1:$DZU$1000000,1851,FALSE)</f>
        <v>#N/A</v>
      </c>
      <c r="O109" s="33" t="e">
        <f>VLOOKUP(A1,DIV_10Data!$A$1:$DZU$1000000,1852,FALSE)</f>
        <v>#N/A</v>
      </c>
      <c r="P109" s="46" t="e">
        <f>VLOOKUP(A1,DIV_10Data!$A$1:$DZU$1000000,1853,FALSE)</f>
        <v>#N/A</v>
      </c>
      <c r="Q109" s="33" t="e">
        <f>VLOOKUP(A1,DIV_10Data!$A$1:$DZU$1000000,1854,FALSE)</f>
        <v>#N/A</v>
      </c>
    </row>
    <row r="110" spans="1:17" x14ac:dyDescent="0.35">
      <c r="A110" s="22" t="e">
        <f>VLOOKUP(A1,DIV_10Data!$A$1:$DZU$1000000,1855,FALSE)</f>
        <v>#N/A</v>
      </c>
      <c r="B110" s="37" t="e">
        <f>VLOOKUP(A1,DIV_10Data!$A$1:$DZU$1000000,1856,FALSE)</f>
        <v>#N/A</v>
      </c>
      <c r="C110" s="38" t="e">
        <f>VLOOKUP(A1,DIV_10Data!$A$1:$DZU$1000000,1857,FALSE)</f>
        <v>#N/A</v>
      </c>
      <c r="D110" s="31" t="e">
        <f>VLOOKUP(A1,DIV_10Data!$A$1:$DZU$1000000,1858,FALSE)</f>
        <v>#N/A</v>
      </c>
      <c r="E110" s="32" t="e">
        <f>VLOOKUP(A1,DIV_10Data!$A$1:$DZU$1000000,1859,FALSE)</f>
        <v>#N/A</v>
      </c>
      <c r="F110" s="34" t="e">
        <f>VLOOKUP(A1,DIV_10Data!$A$1:$DZU$1000000,1860,FALSE)</f>
        <v>#N/A</v>
      </c>
      <c r="G110" s="33" t="e">
        <f>VLOOKUP(A1,DIV_10Data!$A$1:$DZU$1000000,1861,FALSE)</f>
        <v>#N/A</v>
      </c>
      <c r="H110" s="34" t="e">
        <f>VLOOKUP(A1,DIV_10Data!$A$1:$DZU$1000000,1862,FALSE)</f>
        <v>#N/A</v>
      </c>
      <c r="I110" s="33" t="e">
        <f>VLOOKUP(A1,DIV_10Data!$A$1:$DZU$1000000,1863,FALSE)</f>
        <v>#N/A</v>
      </c>
      <c r="J110" s="34" t="e">
        <f>VLOOKUP(A1,DIV_10Data!$A$1:$DZU$1000000,1864,FALSE)</f>
        <v>#N/A</v>
      </c>
      <c r="K110" s="34" t="e">
        <f>VLOOKUP(A1,DIV_10Data!$A$1:$DZU$1000000,1865,FALSE)</f>
        <v>#N/A</v>
      </c>
      <c r="L110" s="93" t="e">
        <f>VLOOKUP(A1,DIV_10Data!$A$1:$DZU$1000000,1866,FALSE)</f>
        <v>#N/A</v>
      </c>
      <c r="M110" s="33" t="e">
        <f>VLOOKUP(A1,DIV_10Data!$A$1:$DZU$1000000,1867,FALSE)</f>
        <v>#N/A</v>
      </c>
      <c r="N110" s="34" t="e">
        <f>VLOOKUP(A1,DIV_10Data!$A$1:$DZU$1000000,1868,FALSE)</f>
        <v>#N/A</v>
      </c>
      <c r="O110" s="33" t="e">
        <f>VLOOKUP(A1,DIV_10Data!$A$1:$DZU$1000000,1869,FALSE)</f>
        <v>#N/A</v>
      </c>
      <c r="P110" s="46" t="e">
        <f>VLOOKUP(A1,DIV_10Data!$A$1:$DZU$1000000,1870,FALSE)</f>
        <v>#N/A</v>
      </c>
      <c r="Q110" s="33" t="e">
        <f>VLOOKUP(A1,DIV_10Data!$A$1:$DZU$1000000,1871,FALSE)</f>
        <v>#N/A</v>
      </c>
    </row>
    <row r="111" spans="1:17" x14ac:dyDescent="0.35">
      <c r="A111" s="22" t="e">
        <f>VLOOKUP(A1,DIV_10Data!$A$1:$DZU$1000000,1872,FALSE)</f>
        <v>#N/A</v>
      </c>
      <c r="B111" s="37" t="e">
        <f>VLOOKUP(A1,DIV_10Data!$A$1:$DZU$1000000,1873,FALSE)</f>
        <v>#N/A</v>
      </c>
      <c r="C111" s="38" t="e">
        <f>VLOOKUP(A1,DIV_10Data!$A$1:$DZU$1000000,1874,FALSE)</f>
        <v>#N/A</v>
      </c>
      <c r="D111" s="31" t="e">
        <f>VLOOKUP(A1,DIV_10Data!$A$1:$DZU$1000000,1875,FALSE)</f>
        <v>#N/A</v>
      </c>
      <c r="E111" s="32" t="e">
        <f>VLOOKUP(A1,DIV_10Data!$A$1:$DZU$1000000,1876,FALSE)</f>
        <v>#N/A</v>
      </c>
      <c r="F111" s="34" t="e">
        <f>VLOOKUP(A1,DIV_10Data!$A$1:$DZU$1000000,1877,FALSE)</f>
        <v>#N/A</v>
      </c>
      <c r="G111" s="33" t="e">
        <f>VLOOKUP(A1,DIV_10Data!$A$1:$DZU$1000000,1878,FALSE)</f>
        <v>#N/A</v>
      </c>
      <c r="H111" s="34" t="e">
        <f>VLOOKUP(A1,DIV_10Data!$A$1:$DZU$1000000,1879,FALSE)</f>
        <v>#N/A</v>
      </c>
      <c r="I111" s="33" t="e">
        <f>VLOOKUP(A1,DIV_10Data!$A$1:$DZU$1000000,1880,FALSE)</f>
        <v>#N/A</v>
      </c>
      <c r="J111" s="34" t="e">
        <f>VLOOKUP(A1,DIV_10Data!$A$1:$DZU$1000000,1881,FALSE)</f>
        <v>#N/A</v>
      </c>
      <c r="K111" s="34" t="e">
        <f>VLOOKUP(A1,DIV_10Data!$A$1:$DZU$1000000,1882,FALSE)</f>
        <v>#N/A</v>
      </c>
      <c r="L111" s="93" t="e">
        <f>VLOOKUP(A1,DIV_10Data!$A$1:$DZU$1000000,1883,FALSE)</f>
        <v>#N/A</v>
      </c>
      <c r="M111" s="33" t="e">
        <f>VLOOKUP(A1,DIV_10Data!$A$1:$DZU$1000000,1884,FALSE)</f>
        <v>#N/A</v>
      </c>
      <c r="N111" s="34" t="e">
        <f>VLOOKUP(A1,DIV_10Data!$A$1:$DZU$1000000,1885,FALSE)</f>
        <v>#N/A</v>
      </c>
      <c r="O111" s="33" t="e">
        <f>VLOOKUP(A1,DIV_10Data!$A$1:$DZU$1000000,1886,FALSE)</f>
        <v>#N/A</v>
      </c>
      <c r="P111" s="46" t="e">
        <f>VLOOKUP(A1,DIV_10Data!$A$1:$DZU$1000000,1887,FALSE)</f>
        <v>#N/A</v>
      </c>
      <c r="Q111" s="33" t="e">
        <f>VLOOKUP(A1,DIV_10Data!$A$1:$DZU$1000000,1888,FALSE)</f>
        <v>#N/A</v>
      </c>
    </row>
    <row r="112" spans="1:17" x14ac:dyDescent="0.35">
      <c r="A112" s="22" t="e">
        <f>VLOOKUP(A1,DIV_10Data!$A$1:$DZU$1000000,1889,FALSE)</f>
        <v>#N/A</v>
      </c>
      <c r="B112" s="37" t="e">
        <f>VLOOKUP(A1,DIV_10Data!$A$1:$DZU$1000000,1890,FALSE)</f>
        <v>#N/A</v>
      </c>
      <c r="C112" s="38" t="e">
        <f>VLOOKUP(A1,DIV_10Data!$A$1:$DZU$1000000,1891,FALSE)</f>
        <v>#N/A</v>
      </c>
      <c r="D112" s="31" t="e">
        <f>VLOOKUP(A1,DIV_10Data!$A$1:$DZU$1000000,1892,FALSE)</f>
        <v>#N/A</v>
      </c>
      <c r="E112" s="32" t="e">
        <f>VLOOKUP(A1,DIV_10Data!$A$1:$DZU$1000000,1893,FALSE)</f>
        <v>#N/A</v>
      </c>
      <c r="F112" s="34" t="e">
        <f>VLOOKUP(A1,DIV_10Data!$A$1:$DZU$1000000,1894,FALSE)</f>
        <v>#N/A</v>
      </c>
      <c r="G112" s="33" t="e">
        <f>VLOOKUP(A1,DIV_10Data!$A$1:$DZU$1000000,1895,FALSE)</f>
        <v>#N/A</v>
      </c>
      <c r="H112" s="34" t="e">
        <f>VLOOKUP(A1,DIV_10Data!$A$1:$DZU$1000000,1896,FALSE)</f>
        <v>#N/A</v>
      </c>
      <c r="I112" s="33" t="e">
        <f>VLOOKUP(A1,DIV_10Data!$A$1:$DZU$1000000,1897,FALSE)</f>
        <v>#N/A</v>
      </c>
      <c r="J112" s="34" t="e">
        <f>VLOOKUP(A1,DIV_10Data!$A$1:$DZU$1000000,1898,FALSE)</f>
        <v>#N/A</v>
      </c>
      <c r="K112" s="34" t="e">
        <f>VLOOKUP(A1,DIV_10Data!$A$1:$DZU$1000000,1899,FALSE)</f>
        <v>#N/A</v>
      </c>
      <c r="L112" s="93" t="e">
        <f>VLOOKUP(A1,DIV_10Data!$A$1:$DZU$1000000,1900,FALSE)</f>
        <v>#N/A</v>
      </c>
      <c r="M112" s="33" t="e">
        <f>VLOOKUP(A1,DIV_10Data!$A$1:$DZU$1000000,1901,FALSE)</f>
        <v>#N/A</v>
      </c>
      <c r="N112" s="34" t="e">
        <f>VLOOKUP(A1,DIV_10Data!$A$1:$DZU$1000000,1902,FALSE)</f>
        <v>#N/A</v>
      </c>
      <c r="O112" s="33" t="e">
        <f>VLOOKUP(A1,DIV_10Data!$A$1:$DZU$1000000,1903,FALSE)</f>
        <v>#N/A</v>
      </c>
      <c r="P112" s="46" t="e">
        <f>VLOOKUP(A1,DIV_10Data!$A$1:$DZU$1000000,1904,FALSE)</f>
        <v>#N/A</v>
      </c>
      <c r="Q112" s="33" t="e">
        <f>VLOOKUP(A1,DIV_10Data!$A$1:$DZU$1000000,1905,FALSE)</f>
        <v>#N/A</v>
      </c>
    </row>
    <row r="113" spans="1:17" x14ac:dyDescent="0.35">
      <c r="A113" s="22" t="e">
        <f>VLOOKUP(A1,DIV_10Data!$A$1:$DZU$1000000,1906,FALSE)</f>
        <v>#N/A</v>
      </c>
      <c r="B113" s="37" t="e">
        <f>VLOOKUP(A1,DIV_10Data!$A$1:$DZU$1000000,1907,FALSE)</f>
        <v>#N/A</v>
      </c>
      <c r="C113" s="38" t="e">
        <f>VLOOKUP(A1,DIV_10Data!$A$1:$DZU$1000000,1908,FALSE)</f>
        <v>#N/A</v>
      </c>
      <c r="D113" s="31" t="e">
        <f>VLOOKUP(A1,DIV_10Data!$A$1:$DZU$1000000,1909,FALSE)</f>
        <v>#N/A</v>
      </c>
      <c r="E113" s="32" t="e">
        <f>VLOOKUP(A1,DIV_10Data!$A$1:$DZU$1000000,1910,FALSE)</f>
        <v>#N/A</v>
      </c>
      <c r="F113" s="34" t="e">
        <f>VLOOKUP(A1,DIV_10Data!$A$1:$DZU$1000000,1911,FALSE)</f>
        <v>#N/A</v>
      </c>
      <c r="G113" s="33" t="e">
        <f>VLOOKUP(A1,DIV_10Data!$A$1:$DZU$1000000,1912,FALSE)</f>
        <v>#N/A</v>
      </c>
      <c r="H113" s="34" t="e">
        <f>VLOOKUP(A1,DIV_10Data!$A$1:$DZU$1000000,1913,FALSE)</f>
        <v>#N/A</v>
      </c>
      <c r="I113" s="33" t="e">
        <f>VLOOKUP(A1,DIV_10Data!$A$1:$DZU$1000000,1914,FALSE)</f>
        <v>#N/A</v>
      </c>
      <c r="J113" s="34" t="e">
        <f>VLOOKUP(A1,DIV_10Data!$A$1:$DZU$1000000,1915,FALSE)</f>
        <v>#N/A</v>
      </c>
      <c r="K113" s="34" t="e">
        <f>VLOOKUP(A1,DIV_10Data!$A$1:$DZU$1000000,1916,FALSE)</f>
        <v>#N/A</v>
      </c>
      <c r="L113" s="93" t="e">
        <f>VLOOKUP(A1,DIV_10Data!$A$1:$DZU$1000000,1917,FALSE)</f>
        <v>#N/A</v>
      </c>
      <c r="M113" s="33" t="e">
        <f>VLOOKUP(A1,DIV_10Data!$A$1:$DZU$1000000,1918,FALSE)</f>
        <v>#N/A</v>
      </c>
      <c r="N113" s="34" t="e">
        <f>VLOOKUP(A1,DIV_10Data!$A$1:$DZU$1000000,1919,FALSE)</f>
        <v>#N/A</v>
      </c>
      <c r="O113" s="33" t="e">
        <f>VLOOKUP(A1,DIV_10Data!$A$1:$DZU$1000000,1920,FALSE)</f>
        <v>#N/A</v>
      </c>
      <c r="P113" s="46" t="e">
        <f>VLOOKUP(A1,DIV_10Data!$A$1:$DZU$1000000,1921,FALSE)</f>
        <v>#N/A</v>
      </c>
      <c r="Q113" s="33" t="e">
        <f>VLOOKUP(A1,DIV_10Data!$A$1:$DZU$1000000,1922,FALSE)</f>
        <v>#N/A</v>
      </c>
    </row>
    <row r="114" spans="1:17" x14ac:dyDescent="0.35">
      <c r="A114" s="22" t="e">
        <f>VLOOKUP(A1,DIV_10Data!$A$1:$DZU$1000000,1923,FALSE)</f>
        <v>#N/A</v>
      </c>
      <c r="B114" s="37" t="e">
        <f>VLOOKUP(A1,DIV_10Data!$A$1:$DZU$1000000,1924,FALSE)</f>
        <v>#N/A</v>
      </c>
      <c r="C114" s="38" t="e">
        <f>VLOOKUP(A1,DIV_10Data!$A$1:$DZU$1000000,1925,FALSE)</f>
        <v>#N/A</v>
      </c>
      <c r="D114" s="31" t="e">
        <f>VLOOKUP(A1,DIV_10Data!$A$1:$DZU$1000000,1926,FALSE)</f>
        <v>#N/A</v>
      </c>
      <c r="E114" s="32" t="e">
        <f>VLOOKUP(A1,DIV_10Data!$A$1:$DZU$1000000,1927,FALSE)</f>
        <v>#N/A</v>
      </c>
      <c r="F114" s="34" t="e">
        <f>VLOOKUP(A1,DIV_10Data!$A$1:$DZU$1000000,1928,FALSE)</f>
        <v>#N/A</v>
      </c>
      <c r="G114" s="33" t="e">
        <f>VLOOKUP(A1,DIV_10Data!$A$1:$DZU$1000000,1929,FALSE)</f>
        <v>#N/A</v>
      </c>
      <c r="H114" s="34" t="e">
        <f>VLOOKUP(A1,DIV_10Data!$A$1:$DZU$1000000,1930,FALSE)</f>
        <v>#N/A</v>
      </c>
      <c r="I114" s="33" t="e">
        <f>VLOOKUP(A1,DIV_10Data!$A$1:$DZU$1000000,1931,FALSE)</f>
        <v>#N/A</v>
      </c>
      <c r="J114" s="34" t="e">
        <f>VLOOKUP(A1,DIV_10Data!$A$1:$DZU$1000000,1932,FALSE)</f>
        <v>#N/A</v>
      </c>
      <c r="K114" s="34" t="e">
        <f>VLOOKUP(A1,DIV_10Data!$A$1:$DZU$1000000,1933,FALSE)</f>
        <v>#N/A</v>
      </c>
      <c r="L114" s="93" t="e">
        <f>VLOOKUP(A1,DIV_10Data!$A$1:$DZU$1000000,1934,FALSE)</f>
        <v>#N/A</v>
      </c>
      <c r="M114" s="33" t="e">
        <f>VLOOKUP(A1,DIV_10Data!$A$1:$DZU$1000000,1935,FALSE)</f>
        <v>#N/A</v>
      </c>
      <c r="N114" s="34" t="e">
        <f>VLOOKUP(A1,DIV_10Data!$A$1:$DZU$1000000,1936,FALSE)</f>
        <v>#N/A</v>
      </c>
      <c r="O114" s="33" t="e">
        <f>VLOOKUP(A1,DIV_10Data!$A$1:$DZU$1000000,1937,FALSE)</f>
        <v>#N/A</v>
      </c>
      <c r="P114" s="46" t="e">
        <f>VLOOKUP(A1,DIV_10Data!$A$1:$DZU$1000000,1938,FALSE)</f>
        <v>#N/A</v>
      </c>
      <c r="Q114" s="33" t="e">
        <f>VLOOKUP(A1,DIV_10Data!$A$1:$DZU$1000000,1939,FALSE)</f>
        <v>#N/A</v>
      </c>
    </row>
    <row r="115" spans="1:17" x14ac:dyDescent="0.35">
      <c r="A115" s="22" t="e">
        <f>VLOOKUP(A1,DIV_10Data!$A$1:$DZU$1000000,1940,FALSE)</f>
        <v>#N/A</v>
      </c>
      <c r="B115" s="37" t="e">
        <f>VLOOKUP(A1,DIV_10Data!$A$1:$DZU$1000000,1941,FALSE)</f>
        <v>#N/A</v>
      </c>
      <c r="C115" s="38" t="e">
        <f>VLOOKUP(A1,DIV_10Data!$A$1:$DZU$1000000,1942,FALSE)</f>
        <v>#N/A</v>
      </c>
      <c r="D115" s="31" t="e">
        <f>VLOOKUP(A1,DIV_10Data!$A$1:$DZU$1000000,1943,FALSE)</f>
        <v>#N/A</v>
      </c>
      <c r="E115" s="32" t="e">
        <f>VLOOKUP(A1,DIV_10Data!$A$1:$DZU$1000000,1944,FALSE)</f>
        <v>#N/A</v>
      </c>
      <c r="F115" s="34" t="e">
        <f>VLOOKUP(A1,DIV_10Data!$A$1:$DZU$1000000,1945,FALSE)</f>
        <v>#N/A</v>
      </c>
      <c r="G115" s="33" t="e">
        <f>VLOOKUP(A1,DIV_10Data!$A$1:$DZU$1000000,1946,FALSE)</f>
        <v>#N/A</v>
      </c>
      <c r="H115" s="34" t="e">
        <f>VLOOKUP(A1,DIV_10Data!$A$1:$DZU$1000000,1947,FALSE)</f>
        <v>#N/A</v>
      </c>
      <c r="I115" s="33" t="e">
        <f>VLOOKUP(A1,DIV_10Data!$A$1:$DZU$1000000,1948,FALSE)</f>
        <v>#N/A</v>
      </c>
      <c r="J115" s="34" t="e">
        <f>VLOOKUP(A1,DIV_10Data!$A$1:$DZU$1000000,1949,FALSE)</f>
        <v>#N/A</v>
      </c>
      <c r="K115" s="34" t="e">
        <f>VLOOKUP(A1,DIV_10Data!$A$1:$DZU$1000000,1950,FALSE)</f>
        <v>#N/A</v>
      </c>
      <c r="L115" s="93" t="e">
        <f>VLOOKUP(A1,DIV_10Data!$A$1:$DZU$1000000,1951,FALSE)</f>
        <v>#N/A</v>
      </c>
      <c r="M115" s="33" t="e">
        <f>VLOOKUP(A1,DIV_10Data!$A$1:$DZU$1000000,1952,FALSE)</f>
        <v>#N/A</v>
      </c>
      <c r="N115" s="34" t="e">
        <f>VLOOKUP(A1,DIV_10Data!$A$1:$DZU$1000000,1953,FALSE)</f>
        <v>#N/A</v>
      </c>
      <c r="O115" s="33" t="e">
        <f>VLOOKUP(A1,DIV_10Data!$A$1:$DZU$1000000,1954,FALSE)</f>
        <v>#N/A</v>
      </c>
      <c r="P115" s="46" t="e">
        <f>VLOOKUP(A1,DIV_10Data!$A$1:$DZU$1000000,1955,FALSE)</f>
        <v>#N/A</v>
      </c>
      <c r="Q115" s="33" t="e">
        <f>VLOOKUP(A1,DIV_10Data!$A$1:$DZU$1000000,1956,FALSE)</f>
        <v>#N/A</v>
      </c>
    </row>
    <row r="116" spans="1:17" x14ac:dyDescent="0.35">
      <c r="A116" s="22" t="e">
        <f>VLOOKUP(A1,DIV_10Data!$A$1:$DZU$1000000,1957,FALSE)</f>
        <v>#N/A</v>
      </c>
      <c r="B116" s="37" t="e">
        <f>VLOOKUP(A1,DIV_10Data!$A$1:$DZU$1000000,1958,FALSE)</f>
        <v>#N/A</v>
      </c>
      <c r="C116" s="38" t="e">
        <f>VLOOKUP(A1,DIV_10Data!$A$1:$DZU$1000000,1959,FALSE)</f>
        <v>#N/A</v>
      </c>
      <c r="D116" s="31" t="e">
        <f>VLOOKUP(A1,DIV_10Data!$A$1:$DZU$1000000,1960,FALSE)</f>
        <v>#N/A</v>
      </c>
      <c r="E116" s="32" t="e">
        <f>VLOOKUP(A1,DIV_10Data!$A$1:$DZU$1000000,1961,FALSE)</f>
        <v>#N/A</v>
      </c>
      <c r="F116" s="34" t="e">
        <f>VLOOKUP(A1,DIV_10Data!$A$1:$DZU$1000000,1962,FALSE)</f>
        <v>#N/A</v>
      </c>
      <c r="G116" s="33" t="e">
        <f>VLOOKUP(A1,DIV_10Data!$A$1:$DZU$1000000,1963,FALSE)</f>
        <v>#N/A</v>
      </c>
      <c r="H116" s="34" t="e">
        <f>VLOOKUP(A1,DIV_10Data!$A$1:$DZU$1000000,1964,FALSE)</f>
        <v>#N/A</v>
      </c>
      <c r="I116" s="33" t="e">
        <f>VLOOKUP(A1,DIV_10Data!$A$1:$DZU$1000000,1965,FALSE)</f>
        <v>#N/A</v>
      </c>
      <c r="J116" s="34" t="e">
        <f>VLOOKUP(A1,DIV_10Data!$A$1:$DZU$1000000,1966,FALSE)</f>
        <v>#N/A</v>
      </c>
      <c r="K116" s="34" t="e">
        <f>VLOOKUP(A1,DIV_10Data!$A$1:$DZU$1000000,1967,FALSE)</f>
        <v>#N/A</v>
      </c>
      <c r="L116" s="93" t="e">
        <f>VLOOKUP(A1,DIV_10Data!$A$1:$DZU$1000000,1968,FALSE)</f>
        <v>#N/A</v>
      </c>
      <c r="M116" s="33" t="e">
        <f>VLOOKUP(A1,DIV_10Data!$A$1:$DZU$1000000,1969,FALSE)</f>
        <v>#N/A</v>
      </c>
      <c r="N116" s="34" t="e">
        <f>VLOOKUP(A1,DIV_10Data!$A$1:$DZU$1000000,1970,FALSE)</f>
        <v>#N/A</v>
      </c>
      <c r="O116" s="33" t="e">
        <f>VLOOKUP(A1,DIV_10Data!$A$1:$DZU$1000000,1971,FALSE)</f>
        <v>#N/A</v>
      </c>
      <c r="P116" s="46" t="e">
        <f>VLOOKUP(A1,DIV_10Data!$A$1:$DZU$1000000,1972,FALSE)</f>
        <v>#N/A</v>
      </c>
      <c r="Q116" s="33" t="e">
        <f>VLOOKUP(A1,DIV_10Data!$A$1:$DZU$1000000,1973,FALSE)</f>
        <v>#N/A</v>
      </c>
    </row>
    <row r="117" spans="1:17" x14ac:dyDescent="0.35">
      <c r="A117" s="22" t="e">
        <f>VLOOKUP(A1,DIV_10Data!$A$1:$DZU$1000000,1974,FALSE)</f>
        <v>#N/A</v>
      </c>
      <c r="B117" s="37" t="e">
        <f>VLOOKUP(A1,DIV_10Data!$A$1:$DZU$1000000,1975,FALSE)</f>
        <v>#N/A</v>
      </c>
      <c r="C117" s="38" t="e">
        <f>VLOOKUP(A1,DIV_10Data!$A$1:$DZU$1000000,1976,FALSE)</f>
        <v>#N/A</v>
      </c>
      <c r="D117" s="31" t="e">
        <f>VLOOKUP(A1,DIV_10Data!$A$1:$DZU$1000000,1977,FALSE)</f>
        <v>#N/A</v>
      </c>
      <c r="E117" s="32" t="e">
        <f>VLOOKUP(A1,DIV_10Data!$A$1:$DZU$1000000,1978,FALSE)</f>
        <v>#N/A</v>
      </c>
      <c r="F117" s="34" t="e">
        <f>VLOOKUP(A1,DIV_10Data!$A$1:$DZU$1000000,1979,FALSE)</f>
        <v>#N/A</v>
      </c>
      <c r="G117" s="33" t="e">
        <f>VLOOKUP(A1,DIV_10Data!$A$1:$DZU$1000000,1980,FALSE)</f>
        <v>#N/A</v>
      </c>
      <c r="H117" s="34" t="e">
        <f>VLOOKUP(A1,DIV_10Data!$A$1:$DZU$1000000,1981,FALSE)</f>
        <v>#N/A</v>
      </c>
      <c r="I117" s="33" t="e">
        <f>VLOOKUP(A1,DIV_10Data!$A$1:$DZU$1000000,1982,FALSE)</f>
        <v>#N/A</v>
      </c>
      <c r="J117" s="34" t="e">
        <f>VLOOKUP(A1,DIV_10Data!$A$1:$DZU$1000000,1983,FALSE)</f>
        <v>#N/A</v>
      </c>
      <c r="K117" s="34" t="e">
        <f>VLOOKUP(A1,DIV_10Data!$A$1:$DZU$1000000,1984,FALSE)</f>
        <v>#N/A</v>
      </c>
      <c r="L117" s="93" t="e">
        <f>VLOOKUP(A1,DIV_10Data!$A$1:$DZU$1000000,1985,FALSE)</f>
        <v>#N/A</v>
      </c>
      <c r="M117" s="33" t="e">
        <f>VLOOKUP(A1,DIV_10Data!$A$1:$DZU$1000000,1986,FALSE)</f>
        <v>#N/A</v>
      </c>
      <c r="N117" s="34" t="e">
        <f>VLOOKUP(A1,DIV_10Data!$A$1:$DZU$1000000,1987,FALSE)</f>
        <v>#N/A</v>
      </c>
      <c r="O117" s="33" t="e">
        <f>VLOOKUP(A1,DIV_10Data!$A$1:$DZU$1000000,1988,FALSE)</f>
        <v>#N/A</v>
      </c>
      <c r="P117" s="46" t="e">
        <f>VLOOKUP(A1,DIV_10Data!$A$1:$DZU$1000000,1989,FALSE)</f>
        <v>#N/A</v>
      </c>
      <c r="Q117" s="33" t="e">
        <f>VLOOKUP(A1,DIV_10Data!$A$1:$DZU$1000000,1990,FALSE)</f>
        <v>#N/A</v>
      </c>
    </row>
    <row r="118" spans="1:17" x14ac:dyDescent="0.35">
      <c r="A118" s="22" t="e">
        <f>VLOOKUP(A1,DIV_10Data!$A$1:$DZU$1000000,1991,FALSE)</f>
        <v>#N/A</v>
      </c>
      <c r="B118" s="37" t="e">
        <f>VLOOKUP(A1,DIV_10Data!$A$1:$DZU$1000000,1992,FALSE)</f>
        <v>#N/A</v>
      </c>
      <c r="C118" s="38" t="e">
        <f>VLOOKUP(A1,DIV_10Data!$A$1:$DZU$1000000,1993,FALSE)</f>
        <v>#N/A</v>
      </c>
      <c r="D118" s="31" t="e">
        <f>VLOOKUP(A1,DIV_10Data!$A$1:$DZU$1000000,1994,FALSE)</f>
        <v>#N/A</v>
      </c>
      <c r="E118" s="32" t="e">
        <f>VLOOKUP(A1,DIV_10Data!$A$1:$DZU$1000000,1995,FALSE)</f>
        <v>#N/A</v>
      </c>
      <c r="F118" s="34" t="e">
        <f>VLOOKUP(A1,DIV_10Data!$A$1:$DZU$1000000,1996,FALSE)</f>
        <v>#N/A</v>
      </c>
      <c r="G118" s="33" t="e">
        <f>VLOOKUP(A1,DIV_10Data!$A$1:$DZU$1000000,1997,FALSE)</f>
        <v>#N/A</v>
      </c>
      <c r="H118" s="34" t="e">
        <f>VLOOKUP(A1,DIV_10Data!$A$1:$DZU$1000000,1998,FALSE)</f>
        <v>#N/A</v>
      </c>
      <c r="I118" s="33" t="e">
        <f>VLOOKUP(A1,DIV_10Data!$A$1:$DZU$1000000,1999,FALSE)</f>
        <v>#N/A</v>
      </c>
      <c r="J118" s="34" t="e">
        <f>VLOOKUP(A1,DIV_10Data!$A$1:$DZU$1000000,2000,FALSE)</f>
        <v>#N/A</v>
      </c>
      <c r="K118" s="34" t="e">
        <f>VLOOKUP(A1,DIV_10Data!$A$1:$DZU$1000000,2001,FALSE)</f>
        <v>#N/A</v>
      </c>
      <c r="L118" s="93" t="e">
        <f>VLOOKUP(A1,DIV_10Data!$A$1:$DZU$1000000,2002,FALSE)</f>
        <v>#N/A</v>
      </c>
      <c r="M118" s="33" t="e">
        <f>VLOOKUP(A1,DIV_10Data!$A$1:$DZU$1000000,2003,FALSE)</f>
        <v>#N/A</v>
      </c>
      <c r="N118" s="34" t="e">
        <f>VLOOKUP(A1,DIV_10Data!$A$1:$DZU$1000000,2004,FALSE)</f>
        <v>#N/A</v>
      </c>
      <c r="O118" s="33" t="e">
        <f>VLOOKUP(A1,DIV_10Data!$A$1:$DZU$1000000,2005,FALSE)</f>
        <v>#N/A</v>
      </c>
      <c r="P118" s="46" t="e">
        <f>VLOOKUP(A1,DIV_10Data!$A$1:$DZU$1000000,2006,FALSE)</f>
        <v>#N/A</v>
      </c>
      <c r="Q118" s="33" t="e">
        <f>VLOOKUP(A1,DIV_10Data!$A$1:$DZU$1000000,2007,FALSE)</f>
        <v>#N/A</v>
      </c>
    </row>
    <row r="119" spans="1:17" x14ac:dyDescent="0.35">
      <c r="A119" s="22" t="e">
        <f>VLOOKUP(A1,DIV_10Data!$A$1:$DZU$1000000,2008,FALSE)</f>
        <v>#N/A</v>
      </c>
      <c r="B119" s="37" t="e">
        <f>VLOOKUP(A1,DIV_10Data!$A$1:$DZU$1000000,2009,FALSE)</f>
        <v>#N/A</v>
      </c>
      <c r="C119" s="38" t="e">
        <f>VLOOKUP(A1,DIV_10Data!$A$1:$DZU$1000000,2010,FALSE)</f>
        <v>#N/A</v>
      </c>
      <c r="D119" s="31" t="e">
        <f>VLOOKUP(A1,DIV_10Data!$A$1:$DZU$1000000,2011,FALSE)</f>
        <v>#N/A</v>
      </c>
      <c r="E119" s="32" t="e">
        <f>VLOOKUP(A1,DIV_10Data!$A$1:$DZU$1000000,2012,FALSE)</f>
        <v>#N/A</v>
      </c>
      <c r="F119" s="34" t="e">
        <f>VLOOKUP(A1,DIV_10Data!$A$1:$DZU$1000000,2013,FALSE)</f>
        <v>#N/A</v>
      </c>
      <c r="G119" s="33" t="e">
        <f>VLOOKUP(A1,DIV_10Data!$A$1:$DZU$1000000,2014,FALSE)</f>
        <v>#N/A</v>
      </c>
      <c r="H119" s="34" t="e">
        <f>VLOOKUP(A1,DIV_10Data!$A$1:$DZU$1000000,2015,FALSE)</f>
        <v>#N/A</v>
      </c>
      <c r="I119" s="33" t="e">
        <f>VLOOKUP(A1,DIV_10Data!$A$1:$DZU$1000000,2016,FALSE)</f>
        <v>#N/A</v>
      </c>
      <c r="J119" s="34" t="e">
        <f>VLOOKUP(A1,DIV_10Data!$A$1:$DZU$1000000,2017,FALSE)</f>
        <v>#N/A</v>
      </c>
      <c r="K119" s="34" t="e">
        <f>VLOOKUP(A1,DIV_10Data!$A$1:$DZU$1000000,2018,FALSE)</f>
        <v>#N/A</v>
      </c>
      <c r="L119" s="93" t="e">
        <f>VLOOKUP(A1,DIV_10Data!$A$1:$DZU$1000000,2019,FALSE)</f>
        <v>#N/A</v>
      </c>
      <c r="M119" s="33" t="e">
        <f>VLOOKUP(A1,DIV_10Data!$A$1:$DZU$1000000,2020,FALSE)</f>
        <v>#N/A</v>
      </c>
      <c r="N119" s="34" t="e">
        <f>VLOOKUP(A1,DIV_10Data!$A$1:$DZU$1000000,2021,FALSE)</f>
        <v>#N/A</v>
      </c>
      <c r="O119" s="33" t="e">
        <f>VLOOKUP(A1,DIV_10Data!$A$1:$DZU$1000000,2022,FALSE)</f>
        <v>#N/A</v>
      </c>
      <c r="P119" s="46" t="e">
        <f>VLOOKUP(A1,DIV_10Data!$A$1:$DZU$1000000,2023,FALSE)</f>
        <v>#N/A</v>
      </c>
      <c r="Q119" s="33" t="e">
        <f>VLOOKUP(A1,DIV_10Data!$A$1:$DZU$1000000,2024,FALSE)</f>
        <v>#N/A</v>
      </c>
    </row>
    <row r="120" spans="1:17" x14ac:dyDescent="0.35">
      <c r="A120" s="22" t="e">
        <f>VLOOKUP(A1,DIV_10Data!$A$1:$DZU$1000000,2025,FALSE)</f>
        <v>#N/A</v>
      </c>
      <c r="B120" s="37" t="e">
        <f>VLOOKUP(A1,DIV_10Data!$A$1:$DZU$1000000,2026,FALSE)</f>
        <v>#N/A</v>
      </c>
      <c r="C120" s="38" t="e">
        <f>VLOOKUP(A1,DIV_10Data!$A$1:$DZU$1000000,2027,FALSE)</f>
        <v>#N/A</v>
      </c>
      <c r="D120" s="31" t="e">
        <f>VLOOKUP(A1,DIV_10Data!$A$1:$DZU$1000000,2028,FALSE)</f>
        <v>#N/A</v>
      </c>
      <c r="E120" s="32" t="e">
        <f>VLOOKUP(A1,DIV_10Data!$A$1:$DZU$1000000,2029,FALSE)</f>
        <v>#N/A</v>
      </c>
      <c r="F120" s="34" t="e">
        <f>VLOOKUP(A1,DIV_10Data!$A$1:$DZU$1000000,2030,FALSE)</f>
        <v>#N/A</v>
      </c>
      <c r="G120" s="33" t="e">
        <f>VLOOKUP(A1,DIV_10Data!$A$1:$DZU$1000000,2031,FALSE)</f>
        <v>#N/A</v>
      </c>
      <c r="H120" s="34" t="e">
        <f>VLOOKUP(A1,DIV_10Data!$A$1:$DZU$1000000,2032,FALSE)</f>
        <v>#N/A</v>
      </c>
      <c r="I120" s="33" t="e">
        <f>VLOOKUP(A1,DIV_10Data!$A$1:$DZU$1000000,2033,FALSE)</f>
        <v>#N/A</v>
      </c>
      <c r="J120" s="34" t="e">
        <f>VLOOKUP(A1,DIV_10Data!$A$1:$DZU$1000000,2034,FALSE)</f>
        <v>#N/A</v>
      </c>
      <c r="K120" s="34" t="e">
        <f>VLOOKUP(A1,DIV_10Data!$A$1:$DZU$1000000,2035,FALSE)</f>
        <v>#N/A</v>
      </c>
      <c r="L120" s="93" t="e">
        <f>VLOOKUP(A1,DIV_10Data!$A$1:$DZU$1000000,2036,FALSE)</f>
        <v>#N/A</v>
      </c>
      <c r="M120" s="33" t="e">
        <f>VLOOKUP(A1,DIV_10Data!$A$1:$DZU$1000000,2037,FALSE)</f>
        <v>#N/A</v>
      </c>
      <c r="N120" s="34" t="e">
        <f>VLOOKUP(A1,DIV_10Data!$A$1:$DZU$1000000,2038,FALSE)</f>
        <v>#N/A</v>
      </c>
      <c r="O120" s="33" t="e">
        <f>VLOOKUP(A1,DIV_10Data!$A$1:$DZU$1000000,2039,FALSE)</f>
        <v>#N/A</v>
      </c>
      <c r="P120" s="46" t="e">
        <f>VLOOKUP(A1,DIV_10Data!$A$1:$DZU$1000000,2040,FALSE)</f>
        <v>#N/A</v>
      </c>
      <c r="Q120" s="33" t="e">
        <f>VLOOKUP(A1,DIV_10Data!$A$1:$DZU$1000000,2041,FALSE)</f>
        <v>#N/A</v>
      </c>
    </row>
    <row r="121" spans="1:17" x14ac:dyDescent="0.35">
      <c r="A121" s="22" t="e">
        <f>VLOOKUP(A1,DIV_10Data!$A$1:$DZU$1000000,2042,FALSE)</f>
        <v>#N/A</v>
      </c>
      <c r="B121" s="37" t="e">
        <f>VLOOKUP(A1,DIV_10Data!$A$1:$DZU$1000000,2043,FALSE)</f>
        <v>#N/A</v>
      </c>
      <c r="C121" s="38" t="e">
        <f>VLOOKUP(A1,DIV_10Data!$A$1:$DZU$1000000,2044,FALSE)</f>
        <v>#N/A</v>
      </c>
      <c r="D121" s="31" t="e">
        <f>VLOOKUP(A1,DIV_10Data!$A$1:$DZU$1000000,2045,FALSE)</f>
        <v>#N/A</v>
      </c>
      <c r="E121" s="32" t="e">
        <f>VLOOKUP(A1,DIV_10Data!$A$1:$DZU$1000000,2046,FALSE)</f>
        <v>#N/A</v>
      </c>
      <c r="F121" s="34" t="e">
        <f>VLOOKUP(A1,DIV_10Data!$A$1:$DZU$1000000,2047,FALSE)</f>
        <v>#N/A</v>
      </c>
      <c r="G121" s="33" t="e">
        <f>VLOOKUP(A1,DIV_10Data!$A$1:$DZU$1000000,2048,FALSE)</f>
        <v>#N/A</v>
      </c>
      <c r="H121" s="34" t="e">
        <f>VLOOKUP(A1,DIV_10Data!$A$1:$DZU$1000000,2049,FALSE)</f>
        <v>#N/A</v>
      </c>
      <c r="I121" s="33" t="e">
        <f>VLOOKUP(A1,DIV_10Data!$A$1:$DZU$1000000,2050,FALSE)</f>
        <v>#N/A</v>
      </c>
      <c r="J121" s="34" t="e">
        <f>VLOOKUP(A1,DIV_10Data!$A$1:$DZU$1000000,2051,FALSE)</f>
        <v>#N/A</v>
      </c>
      <c r="K121" s="34" t="e">
        <f>VLOOKUP(A1,DIV_10Data!$A$1:$DZU$1000000,2052,FALSE)</f>
        <v>#N/A</v>
      </c>
      <c r="L121" s="93" t="e">
        <f>VLOOKUP(A1,DIV_10Data!$A$1:$DZU$1000000,2053,FALSE)</f>
        <v>#N/A</v>
      </c>
      <c r="M121" s="33" t="e">
        <f>VLOOKUP(A1,DIV_10Data!$A$1:$DZU$1000000,2054,FALSE)</f>
        <v>#N/A</v>
      </c>
      <c r="N121" s="34" t="e">
        <f>VLOOKUP(A1,DIV_10Data!$A$1:$DZU$1000000,2055,FALSE)</f>
        <v>#N/A</v>
      </c>
      <c r="O121" s="33" t="e">
        <f>VLOOKUP(A1,DIV_10Data!$A$1:$DZU$1000000,2056,FALSE)</f>
        <v>#N/A</v>
      </c>
      <c r="P121" s="46" t="e">
        <f>VLOOKUP(A1,DIV_10Data!$A$1:$DZU$1000000,2057,FALSE)</f>
        <v>#N/A</v>
      </c>
      <c r="Q121" s="33" t="e">
        <f>VLOOKUP(A1,DIV_10Data!$A$1:$DZU$1000000,2058,FALSE)</f>
        <v>#N/A</v>
      </c>
    </row>
    <row r="122" spans="1:17" x14ac:dyDescent="0.35">
      <c r="A122" s="22" t="e">
        <f>VLOOKUP(A1,DIV_10Data!$A$1:$DZU$1000000,2059,FALSE)</f>
        <v>#N/A</v>
      </c>
      <c r="B122" s="37" t="e">
        <f>VLOOKUP(A1,DIV_10Data!$A$1:$DZU$1000000,2060,FALSE)</f>
        <v>#N/A</v>
      </c>
      <c r="C122" s="38" t="e">
        <f>VLOOKUP(A1,DIV_10Data!$A$1:$DZU$1000000,2061,FALSE)</f>
        <v>#N/A</v>
      </c>
      <c r="D122" s="31" t="e">
        <f>VLOOKUP(A1,DIV_10Data!$A$1:$DZU$1000000,2062,FALSE)</f>
        <v>#N/A</v>
      </c>
      <c r="E122" s="32" t="e">
        <f>VLOOKUP(A1,DIV_10Data!$A$1:$DZU$1000000,2063,FALSE)</f>
        <v>#N/A</v>
      </c>
      <c r="F122" s="34" t="e">
        <f>VLOOKUP(A1,DIV_10Data!$A$1:$DZU$1000000,2064,FALSE)</f>
        <v>#N/A</v>
      </c>
      <c r="G122" s="33" t="e">
        <f>VLOOKUP(A1,DIV_10Data!$A$1:$DZU$1000000,2065,FALSE)</f>
        <v>#N/A</v>
      </c>
      <c r="H122" s="34" t="e">
        <f>VLOOKUP(A1,DIV_10Data!$A$1:$DZU$1000000,2066,FALSE)</f>
        <v>#N/A</v>
      </c>
      <c r="I122" s="33" t="e">
        <f>VLOOKUP(A1,DIV_10Data!$A$1:$DZU$1000000,2067,FALSE)</f>
        <v>#N/A</v>
      </c>
      <c r="J122" s="34" t="e">
        <f>VLOOKUP(A1,DIV_10Data!$A$1:$DZU$1000000,2068,FALSE)</f>
        <v>#N/A</v>
      </c>
      <c r="K122" s="34" t="e">
        <f>VLOOKUP(A1,DIV_10Data!$A$1:$DZU$1000000,2069,FALSE)</f>
        <v>#N/A</v>
      </c>
      <c r="L122" s="93" t="e">
        <f>VLOOKUP(A1,DIV_10Data!$A$1:$DZU$1000000,2070,FALSE)</f>
        <v>#N/A</v>
      </c>
      <c r="M122" s="33" t="e">
        <f>VLOOKUP(A1,DIV_10Data!$A$1:$DZU$1000000,2071,FALSE)</f>
        <v>#N/A</v>
      </c>
      <c r="N122" s="34" t="e">
        <f>VLOOKUP(A1,DIV_10Data!$A$1:$DZU$1000000,2072,FALSE)</f>
        <v>#N/A</v>
      </c>
      <c r="O122" s="33" t="e">
        <f>VLOOKUP(A1,DIV_10Data!$A$1:$DZU$1000000,2073,FALSE)</f>
        <v>#N/A</v>
      </c>
      <c r="P122" s="46" t="e">
        <f>VLOOKUP(A1,DIV_10Data!$A$1:$DZU$1000000,2074,FALSE)</f>
        <v>#N/A</v>
      </c>
      <c r="Q122" s="33" t="e">
        <f>VLOOKUP(A1,DIV_10Data!$A$1:$DZU$1000000,2075,FALSE)</f>
        <v>#N/A</v>
      </c>
    </row>
    <row r="123" spans="1:17" x14ac:dyDescent="0.35">
      <c r="A123" s="22" t="e">
        <f>VLOOKUP(A1,DIV_10Data!$A$1:$DZU$1000000,2076,FALSE)</f>
        <v>#N/A</v>
      </c>
      <c r="B123" s="37" t="e">
        <f>VLOOKUP(A1,DIV_10Data!$A$1:$DZU$1000000,2077,FALSE)</f>
        <v>#N/A</v>
      </c>
      <c r="C123" s="38" t="e">
        <f>VLOOKUP(A1,DIV_10Data!$A$1:$DZU$1000000,2078,FALSE)</f>
        <v>#N/A</v>
      </c>
      <c r="D123" s="31" t="e">
        <f>VLOOKUP(A1,DIV_10Data!$A$1:$DZU$1000000,2079,FALSE)</f>
        <v>#N/A</v>
      </c>
      <c r="E123" s="32" t="e">
        <f>VLOOKUP(A1,DIV_10Data!$A$1:$DZU$1000000,2080,FALSE)</f>
        <v>#N/A</v>
      </c>
      <c r="F123" s="34" t="e">
        <f>VLOOKUP(A1,DIV_10Data!$A$1:$DZU$1000000,2081,FALSE)</f>
        <v>#N/A</v>
      </c>
      <c r="G123" s="33" t="e">
        <f>VLOOKUP(A1,DIV_10Data!$A$1:$DZU$1000000,2082,FALSE)</f>
        <v>#N/A</v>
      </c>
      <c r="H123" s="34" t="e">
        <f>VLOOKUP(A1,DIV_10Data!$A$1:$DZU$1000000,2083,FALSE)</f>
        <v>#N/A</v>
      </c>
      <c r="I123" s="33" t="e">
        <f>VLOOKUP(A1,DIV_10Data!$A$1:$DZU$1000000,2084,FALSE)</f>
        <v>#N/A</v>
      </c>
      <c r="J123" s="34" t="e">
        <f>VLOOKUP(A1,DIV_10Data!$A$1:$DZU$1000000,2085,FALSE)</f>
        <v>#N/A</v>
      </c>
      <c r="K123" s="34" t="e">
        <f>VLOOKUP(A1,DIV_10Data!$A$1:$DZU$1000000,2086,FALSE)</f>
        <v>#N/A</v>
      </c>
      <c r="L123" s="93" t="e">
        <f>VLOOKUP(A1,DIV_10Data!$A$1:$DZU$1000000,2087,FALSE)</f>
        <v>#N/A</v>
      </c>
      <c r="M123" s="33" t="e">
        <f>VLOOKUP(A1,DIV_10Data!$A$1:$DZU$1000000,2088,FALSE)</f>
        <v>#N/A</v>
      </c>
      <c r="N123" s="34" t="e">
        <f>VLOOKUP(A1,DIV_10Data!$A$1:$DZU$1000000,2089,FALSE)</f>
        <v>#N/A</v>
      </c>
      <c r="O123" s="33" t="e">
        <f>VLOOKUP(A1,DIV_10Data!$A$1:$DZU$1000000,2090,FALSE)</f>
        <v>#N/A</v>
      </c>
      <c r="P123" s="46" t="e">
        <f>VLOOKUP(A1,DIV_10Data!$A$1:$DZU$1000000,2091,FALSE)</f>
        <v>#N/A</v>
      </c>
      <c r="Q123" s="33" t="e">
        <f>VLOOKUP(A1,DIV_10Data!$A$1:$DZU$1000000,2092,FALSE)</f>
        <v>#N/A</v>
      </c>
    </row>
    <row r="124" spans="1:17" x14ac:dyDescent="0.35">
      <c r="A124" s="22" t="e">
        <f>VLOOKUP(A1,DIV_10Data!$A$1:$DZU$1000000,2093,FALSE)</f>
        <v>#N/A</v>
      </c>
      <c r="B124" s="37" t="e">
        <f>VLOOKUP(A1,DIV_10Data!$A$1:$DZU$1000000,2094,FALSE)</f>
        <v>#N/A</v>
      </c>
      <c r="C124" s="38" t="e">
        <f>VLOOKUP(A1,DIV_10Data!$A$1:$DZU$1000000,2095,FALSE)</f>
        <v>#N/A</v>
      </c>
      <c r="D124" s="31" t="e">
        <f>VLOOKUP(A1,DIV_10Data!$A$1:$DZU$1000000,2096,FALSE)</f>
        <v>#N/A</v>
      </c>
      <c r="E124" s="32" t="e">
        <f>VLOOKUP(A1,DIV_10Data!$A$1:$DZU$1000000,2097,FALSE)</f>
        <v>#N/A</v>
      </c>
      <c r="F124" s="34" t="e">
        <f>VLOOKUP(A1,DIV_10Data!$A$1:$DZU$1000000,2098,FALSE)</f>
        <v>#N/A</v>
      </c>
      <c r="G124" s="33" t="e">
        <f>VLOOKUP(A1,DIV_10Data!$A$1:$DZU$1000000,2099,FALSE)</f>
        <v>#N/A</v>
      </c>
      <c r="H124" s="34" t="e">
        <f>VLOOKUP(A1,DIV_10Data!$A$1:$DZU$1000000,2100,FALSE)</f>
        <v>#N/A</v>
      </c>
      <c r="I124" s="33" t="e">
        <f>VLOOKUP(A1,DIV_10Data!$A$1:$DZU$1000000,2101,FALSE)</f>
        <v>#N/A</v>
      </c>
      <c r="J124" s="34" t="e">
        <f>VLOOKUP(A1,DIV_10Data!$A$1:$DZU$1000000,2102,FALSE)</f>
        <v>#N/A</v>
      </c>
      <c r="K124" s="34" t="e">
        <f>VLOOKUP(A1,DIV_10Data!$A$1:$DZU$1000000,2103,FALSE)</f>
        <v>#N/A</v>
      </c>
      <c r="L124" s="93" t="e">
        <f>VLOOKUP(A1,DIV_10Data!$A$1:$DZU$1000000,2104,FALSE)</f>
        <v>#N/A</v>
      </c>
      <c r="M124" s="33" t="e">
        <f>VLOOKUP(A1,DIV_10Data!$A$1:$DZU$1000000,2105,FALSE)</f>
        <v>#N/A</v>
      </c>
      <c r="N124" s="34" t="e">
        <f>VLOOKUP(A1,DIV_10Data!$A$1:$DZU$1000000,2106,FALSE)</f>
        <v>#N/A</v>
      </c>
      <c r="O124" s="33" t="e">
        <f>VLOOKUP(A1,DIV_10Data!$A$1:$DZU$1000000,2107,FALSE)</f>
        <v>#N/A</v>
      </c>
      <c r="P124" s="46" t="e">
        <f>VLOOKUP(A1,DIV_10Data!$A$1:$DZU$1000000,2108,FALSE)</f>
        <v>#N/A</v>
      </c>
      <c r="Q124" s="33" t="e">
        <f>VLOOKUP(A1,DIV_10Data!$A$1:$DZU$1000000,2109,FALSE)</f>
        <v>#N/A</v>
      </c>
    </row>
    <row r="125" spans="1:17" x14ac:dyDescent="0.35">
      <c r="A125" s="22" t="e">
        <f>VLOOKUP(A1,DIV_10Data!$A$1:$DZU$1000000,2110,FALSE)</f>
        <v>#N/A</v>
      </c>
      <c r="B125" s="37" t="e">
        <f>VLOOKUP(A1,DIV_10Data!$A$1:$DZU$1000000,2111,FALSE)</f>
        <v>#N/A</v>
      </c>
      <c r="C125" s="38" t="e">
        <f>VLOOKUP(A1,DIV_10Data!$A$1:$DZU$1000000,2112,FALSE)</f>
        <v>#N/A</v>
      </c>
      <c r="D125" s="31" t="e">
        <f>VLOOKUP(A1,DIV_10Data!$A$1:$DZU$1000000,2113,FALSE)</f>
        <v>#N/A</v>
      </c>
      <c r="E125" s="32" t="e">
        <f>VLOOKUP(A1,DIV_10Data!$A$1:$DZU$1000000,2114,FALSE)</f>
        <v>#N/A</v>
      </c>
      <c r="F125" s="34" t="e">
        <f>VLOOKUP(A1,DIV_10Data!$A$1:$DZU$1000000,2115,FALSE)</f>
        <v>#N/A</v>
      </c>
      <c r="G125" s="33" t="e">
        <f>VLOOKUP(A1,DIV_10Data!$A$1:$DZU$1000000,2116,FALSE)</f>
        <v>#N/A</v>
      </c>
      <c r="H125" s="34" t="e">
        <f>VLOOKUP(A1,DIV_10Data!$A$1:$DZU$1000000,2117,FALSE)</f>
        <v>#N/A</v>
      </c>
      <c r="I125" s="33" t="e">
        <f>VLOOKUP(A1,DIV_10Data!$A$1:$DZU$1000000,2118,FALSE)</f>
        <v>#N/A</v>
      </c>
      <c r="J125" s="34" t="e">
        <f>VLOOKUP(A1,DIV_10Data!$A$1:$DZU$1000000,2119,FALSE)</f>
        <v>#N/A</v>
      </c>
      <c r="K125" s="34" t="e">
        <f>VLOOKUP(A1,DIV_10Data!$A$1:$DZU$1000000,2120,FALSE)</f>
        <v>#N/A</v>
      </c>
      <c r="L125" s="93" t="e">
        <f>VLOOKUP(A1,DIV_10Data!$A$1:$DZU$1000000,2121,FALSE)</f>
        <v>#N/A</v>
      </c>
      <c r="M125" s="33" t="e">
        <f>VLOOKUP(A1,DIV_10Data!$A$1:$DZU$1000000,2122,FALSE)</f>
        <v>#N/A</v>
      </c>
      <c r="N125" s="34" t="e">
        <f>VLOOKUP(A1,DIV_10Data!$A$1:$DZU$1000000,2123,FALSE)</f>
        <v>#N/A</v>
      </c>
      <c r="O125" s="33" t="e">
        <f>VLOOKUP(A1,DIV_10Data!$A$1:$DZU$1000000,2124,FALSE)</f>
        <v>#N/A</v>
      </c>
      <c r="P125" s="46" t="e">
        <f>VLOOKUP(A1,DIV_10Data!$A$1:$DZU$1000000,2125,FALSE)</f>
        <v>#N/A</v>
      </c>
      <c r="Q125" s="33" t="e">
        <f>VLOOKUP(A1,DIV_10Data!$A$1:$DZU$1000000,2126,FALSE)</f>
        <v>#N/A</v>
      </c>
    </row>
    <row r="126" spans="1:17" x14ac:dyDescent="0.35">
      <c r="A126" s="22" t="e">
        <f>VLOOKUP(A1,DIV_10Data!$A$1:$DZU$1000000,2127,FALSE)</f>
        <v>#N/A</v>
      </c>
      <c r="B126" s="37" t="e">
        <f>VLOOKUP(A1,DIV_10Data!$A$1:$DZU$1000000,2128,FALSE)</f>
        <v>#N/A</v>
      </c>
      <c r="C126" s="38" t="e">
        <f>VLOOKUP(A1,DIV_10Data!$A$1:$DZU$1000000,2129,FALSE)</f>
        <v>#N/A</v>
      </c>
      <c r="D126" s="31" t="e">
        <f>VLOOKUP(A1,DIV_10Data!$A$1:$DZU$1000000,2130,FALSE)</f>
        <v>#N/A</v>
      </c>
      <c r="E126" s="32" t="e">
        <f>VLOOKUP(A1,DIV_10Data!$A$1:$DZU$1000000,2131,FALSE)</f>
        <v>#N/A</v>
      </c>
      <c r="F126" s="34" t="e">
        <f>VLOOKUP(A1,DIV_10Data!$A$1:$DZU$1000000,2132,FALSE)</f>
        <v>#N/A</v>
      </c>
      <c r="G126" s="33" t="e">
        <f>VLOOKUP(A1,DIV_10Data!$A$1:$DZU$1000000,2133,FALSE)</f>
        <v>#N/A</v>
      </c>
      <c r="H126" s="34" t="e">
        <f>VLOOKUP(A1,DIV_10Data!$A$1:$DZU$1000000,2134,FALSE)</f>
        <v>#N/A</v>
      </c>
      <c r="I126" s="33" t="e">
        <f>VLOOKUP(A1,DIV_10Data!$A$1:$DZU$1000000,2135,FALSE)</f>
        <v>#N/A</v>
      </c>
      <c r="J126" s="34" t="e">
        <f>VLOOKUP(A1,DIV_10Data!$A$1:$DZU$1000000,2136,FALSE)</f>
        <v>#N/A</v>
      </c>
      <c r="K126" s="34" t="e">
        <f>VLOOKUP(A1,DIV_10Data!$A$1:$DZU$1000000,2137,FALSE)</f>
        <v>#N/A</v>
      </c>
      <c r="L126" s="93" t="e">
        <f>VLOOKUP(A1,DIV_10Data!$A$1:$DZU$1000000,2138,FALSE)</f>
        <v>#N/A</v>
      </c>
      <c r="M126" s="33" t="e">
        <f>VLOOKUP(A1,DIV_10Data!$A$1:$DZU$1000000,2139,FALSE)</f>
        <v>#N/A</v>
      </c>
      <c r="N126" s="34" t="e">
        <f>VLOOKUP(A1,DIV_10Data!$A$1:$DZU$1000000,2140,FALSE)</f>
        <v>#N/A</v>
      </c>
      <c r="O126" s="33" t="e">
        <f>VLOOKUP(A1,DIV_10Data!$A$1:$DZU$1000000,2141,FALSE)</f>
        <v>#N/A</v>
      </c>
      <c r="P126" s="46" t="e">
        <f>VLOOKUP(A1,DIV_10Data!$A$1:$DZU$1000000,2142,FALSE)</f>
        <v>#N/A</v>
      </c>
      <c r="Q126" s="33" t="e">
        <f>VLOOKUP(A1,DIV_10Data!$A$1:$DZU$1000000,2143,FALSE)</f>
        <v>#N/A</v>
      </c>
    </row>
    <row r="127" spans="1:17" x14ac:dyDescent="0.35">
      <c r="A127" s="22" t="e">
        <f>VLOOKUP(A1,DIV_10Data!$A$1:$DZU$1000000,2144,FALSE)</f>
        <v>#N/A</v>
      </c>
      <c r="B127" s="37" t="e">
        <f>VLOOKUP(A1,DIV_10Data!$A$1:$DZU$1000000,2145,FALSE)</f>
        <v>#N/A</v>
      </c>
      <c r="C127" s="38" t="e">
        <f>VLOOKUP(A1,DIV_10Data!$A$1:$DZU$1000000,2146,FALSE)</f>
        <v>#N/A</v>
      </c>
      <c r="D127" s="31" t="e">
        <f>VLOOKUP(A1,DIV_10Data!$A$1:$DZU$1000000,2147,FALSE)</f>
        <v>#N/A</v>
      </c>
      <c r="E127" s="32" t="e">
        <f>VLOOKUP(A1,DIV_10Data!$A$1:$DZU$1000000,2148,FALSE)</f>
        <v>#N/A</v>
      </c>
      <c r="F127" s="34" t="e">
        <f>VLOOKUP(A1,DIV_10Data!$A$1:$DZU$1000000,2149,FALSE)</f>
        <v>#N/A</v>
      </c>
      <c r="G127" s="33" t="e">
        <f>VLOOKUP(A1,DIV_10Data!$A$1:$DZU$1000000,2150,FALSE)</f>
        <v>#N/A</v>
      </c>
      <c r="H127" s="34" t="e">
        <f>VLOOKUP(A1,DIV_10Data!$A$1:$DZU$1000000,2151,FALSE)</f>
        <v>#N/A</v>
      </c>
      <c r="I127" s="33" t="e">
        <f>VLOOKUP(A1,DIV_10Data!$A$1:$DZU$1000000,2152,FALSE)</f>
        <v>#N/A</v>
      </c>
      <c r="J127" s="34" t="e">
        <f>VLOOKUP(A1,DIV_10Data!$A$1:$DZU$1000000,2153,FALSE)</f>
        <v>#N/A</v>
      </c>
      <c r="K127" s="34" t="e">
        <f>VLOOKUP(A1,DIV_10Data!$A$1:$DZU$1000000,2154,FALSE)</f>
        <v>#N/A</v>
      </c>
      <c r="L127" s="93" t="e">
        <f>VLOOKUP(A1,DIV_10Data!$A$1:$DZU$1000000,2155,FALSE)</f>
        <v>#N/A</v>
      </c>
      <c r="M127" s="33" t="e">
        <f>VLOOKUP(A1,DIV_10Data!$A$1:$DZU$1000000,2156,FALSE)</f>
        <v>#N/A</v>
      </c>
      <c r="N127" s="34" t="e">
        <f>VLOOKUP(A1,DIV_10Data!$A$1:$DZU$1000000,2157,FALSE)</f>
        <v>#N/A</v>
      </c>
      <c r="O127" s="33" t="e">
        <f>VLOOKUP(A1,DIV_10Data!$A$1:$DZU$1000000,2158,FALSE)</f>
        <v>#N/A</v>
      </c>
      <c r="P127" s="46" t="e">
        <f>VLOOKUP(A1,DIV_10Data!$A$1:$DZU$1000000,2159,FALSE)</f>
        <v>#N/A</v>
      </c>
      <c r="Q127" s="33" t="e">
        <f>VLOOKUP(A1,DIV_10Data!$A$1:$DZU$1000000,2160,FALSE)</f>
        <v>#N/A</v>
      </c>
    </row>
    <row r="128" spans="1:17" x14ac:dyDescent="0.35">
      <c r="A128" s="22" t="e">
        <f>VLOOKUP(A1,DIV_10Data!$A$1:$DZU$1000000,2161,FALSE)</f>
        <v>#N/A</v>
      </c>
      <c r="B128" s="37" t="e">
        <f>VLOOKUP(A1,DIV_10Data!$A$1:$DZU$1000000,2162,FALSE)</f>
        <v>#N/A</v>
      </c>
      <c r="C128" s="38" t="e">
        <f>VLOOKUP(A1,DIV_10Data!$A$1:$DZU$1000000,2163,FALSE)</f>
        <v>#N/A</v>
      </c>
      <c r="D128" s="31" t="e">
        <f>VLOOKUP(A1,DIV_10Data!$A$1:$DZU$1000000,2164,FALSE)</f>
        <v>#N/A</v>
      </c>
      <c r="E128" s="32" t="e">
        <f>VLOOKUP(A1,DIV_10Data!$A$1:$DZU$1000000,2165,FALSE)</f>
        <v>#N/A</v>
      </c>
      <c r="F128" s="34" t="e">
        <f>VLOOKUP(A1,DIV_10Data!$A$1:$DZU$1000000,2166,FALSE)</f>
        <v>#N/A</v>
      </c>
      <c r="G128" s="33" t="e">
        <f>VLOOKUP(A1,DIV_10Data!$A$1:$DZU$1000000,2167,FALSE)</f>
        <v>#N/A</v>
      </c>
      <c r="H128" s="34" t="e">
        <f>VLOOKUP(A1,DIV_10Data!$A$1:$DZU$1000000,2168,FALSE)</f>
        <v>#N/A</v>
      </c>
      <c r="I128" s="33" t="e">
        <f>VLOOKUP(A1,DIV_10Data!$A$1:$DZU$1000000,2169,FALSE)</f>
        <v>#N/A</v>
      </c>
      <c r="J128" s="34" t="e">
        <f>VLOOKUP(A1,DIV_10Data!$A$1:$DZU$1000000,2170,FALSE)</f>
        <v>#N/A</v>
      </c>
      <c r="K128" s="34" t="e">
        <f>VLOOKUP(A1,DIV_10Data!$A$1:$DZU$1000000,2171,FALSE)</f>
        <v>#N/A</v>
      </c>
      <c r="L128" s="93" t="e">
        <f>VLOOKUP(A1,DIV_10Data!$A$1:$DZU$1000000,2172,FALSE)</f>
        <v>#N/A</v>
      </c>
      <c r="M128" s="33" t="e">
        <f>VLOOKUP(A1,DIV_10Data!$A$1:$DZU$1000000,2173,FALSE)</f>
        <v>#N/A</v>
      </c>
      <c r="N128" s="34" t="e">
        <f>VLOOKUP(A1,DIV_10Data!$A$1:$DZU$1000000,2174,FALSE)</f>
        <v>#N/A</v>
      </c>
      <c r="O128" s="33" t="e">
        <f>VLOOKUP(A1,DIV_10Data!$A$1:$DZU$1000000,2175,FALSE)</f>
        <v>#N/A</v>
      </c>
      <c r="P128" s="46" t="e">
        <f>VLOOKUP(A1,DIV_10Data!$A$1:$DZU$1000000,2176,FALSE)</f>
        <v>#N/A</v>
      </c>
      <c r="Q128" s="33" t="e">
        <f>VLOOKUP(A1,DIV_10Data!$A$1:$DZU$1000000,2177,FALSE)</f>
        <v>#N/A</v>
      </c>
    </row>
    <row r="129" spans="1:17" x14ac:dyDescent="0.35">
      <c r="A129" s="22" t="e">
        <f>VLOOKUP(A1,DIV_10Data!$A$1:$DZU$1000000,2178,FALSE)</f>
        <v>#N/A</v>
      </c>
      <c r="B129" s="37" t="e">
        <f>VLOOKUP(A1,DIV_10Data!$A$1:$DZU$1000000,2179,FALSE)</f>
        <v>#N/A</v>
      </c>
      <c r="C129" s="38" t="e">
        <f>VLOOKUP(A1,DIV_10Data!$A$1:$DZU$1000000,2180,FALSE)</f>
        <v>#N/A</v>
      </c>
      <c r="D129" s="31" t="e">
        <f>VLOOKUP(A1,DIV_10Data!$A$1:$DZU$1000000,2181,FALSE)</f>
        <v>#N/A</v>
      </c>
      <c r="E129" s="32" t="e">
        <f>VLOOKUP(A1,DIV_10Data!$A$1:$DZU$1000000,2182,FALSE)</f>
        <v>#N/A</v>
      </c>
      <c r="F129" s="34" t="e">
        <f>VLOOKUP(A1,DIV_10Data!$A$1:$DZU$1000000,2183,FALSE)</f>
        <v>#N/A</v>
      </c>
      <c r="G129" s="33" t="e">
        <f>VLOOKUP(A1,DIV_10Data!$A$1:$DZU$1000000,2184,FALSE)</f>
        <v>#N/A</v>
      </c>
      <c r="H129" s="34" t="e">
        <f>VLOOKUP(A1,DIV_10Data!$A$1:$DZU$1000000,2185,FALSE)</f>
        <v>#N/A</v>
      </c>
      <c r="I129" s="33" t="e">
        <f>VLOOKUP(A1,DIV_10Data!$A$1:$DZU$1000000,2186,FALSE)</f>
        <v>#N/A</v>
      </c>
      <c r="J129" s="34" t="e">
        <f>VLOOKUP(A1,DIV_10Data!$A$1:$DZU$1000000,2187,FALSE)</f>
        <v>#N/A</v>
      </c>
      <c r="K129" s="34" t="e">
        <f>VLOOKUP(A1,DIV_10Data!$A$1:$DZU$1000000,2188,FALSE)</f>
        <v>#N/A</v>
      </c>
      <c r="L129" s="93" t="e">
        <f>VLOOKUP(A1,DIV_10Data!$A$1:$DZU$1000000,2189,FALSE)</f>
        <v>#N/A</v>
      </c>
      <c r="M129" s="33" t="e">
        <f>VLOOKUP(A1,DIV_10Data!$A$1:$DZU$1000000,2190,FALSE)</f>
        <v>#N/A</v>
      </c>
      <c r="N129" s="34" t="e">
        <f>VLOOKUP(A1,DIV_10Data!$A$1:$DZU$1000000,2191,FALSE)</f>
        <v>#N/A</v>
      </c>
      <c r="O129" s="33" t="e">
        <f>VLOOKUP(A1,DIV_10Data!$A$1:$DZU$1000000,2192,FALSE)</f>
        <v>#N/A</v>
      </c>
      <c r="P129" s="46" t="e">
        <f>VLOOKUP(A1,DIV_10Data!$A$1:$DZU$1000000,2193,FALSE)</f>
        <v>#N/A</v>
      </c>
      <c r="Q129" s="33" t="e">
        <f>VLOOKUP(A1,DIV_10Data!$A$1:$DZU$1000000,2194,FALSE)</f>
        <v>#N/A</v>
      </c>
    </row>
    <row r="130" spans="1:17" x14ac:dyDescent="0.35">
      <c r="A130" s="22" t="e">
        <f>VLOOKUP(A1,DIV_10Data!$A$1:$DZU$1000000,2195,FALSE)</f>
        <v>#N/A</v>
      </c>
      <c r="B130" s="37" t="e">
        <f>VLOOKUP(A1,DIV_10Data!$A$1:$DZU$1000000,2196,FALSE)</f>
        <v>#N/A</v>
      </c>
      <c r="C130" s="38" t="e">
        <f>VLOOKUP(A1,DIV_10Data!$A$1:$DZU$1000000,2197,FALSE)</f>
        <v>#N/A</v>
      </c>
      <c r="D130" s="31" t="e">
        <f>VLOOKUP(A1,DIV_10Data!$A$1:$DZU$1000000,2198,FALSE)</f>
        <v>#N/A</v>
      </c>
      <c r="E130" s="32" t="e">
        <f>VLOOKUP(A1,DIV_10Data!$A$1:$DZU$1000000,2199,FALSE)</f>
        <v>#N/A</v>
      </c>
      <c r="F130" s="34" t="e">
        <f>VLOOKUP(A1,DIV_10Data!$A$1:$DZU$1000000,2200,FALSE)</f>
        <v>#N/A</v>
      </c>
      <c r="G130" s="33" t="e">
        <f>VLOOKUP(A1,DIV_10Data!$A$1:$DZU$1000000,2201,FALSE)</f>
        <v>#N/A</v>
      </c>
      <c r="H130" s="34" t="e">
        <f>VLOOKUP(A1,DIV_10Data!$A$1:$DZU$1000000,2202,FALSE)</f>
        <v>#N/A</v>
      </c>
      <c r="I130" s="33" t="e">
        <f>VLOOKUP(A1,DIV_10Data!$A$1:$DZU$1000000,2203,FALSE)</f>
        <v>#N/A</v>
      </c>
      <c r="J130" s="34" t="e">
        <f>VLOOKUP(A1,DIV_10Data!$A$1:$DZU$1000000,2204,FALSE)</f>
        <v>#N/A</v>
      </c>
      <c r="K130" s="34" t="e">
        <f>VLOOKUP(A1,DIV_10Data!$A$1:$DZU$1000000,2205,FALSE)</f>
        <v>#N/A</v>
      </c>
      <c r="L130" s="93" t="e">
        <f>VLOOKUP(A1,DIV_10Data!$A$1:$DZU$1000000,2206,FALSE)</f>
        <v>#N/A</v>
      </c>
      <c r="M130" s="33" t="e">
        <f>VLOOKUP(A1,DIV_10Data!$A$1:$DZU$1000000,2207,FALSE)</f>
        <v>#N/A</v>
      </c>
      <c r="N130" s="34" t="e">
        <f>VLOOKUP(A1,DIV_10Data!$A$1:$DZU$1000000,2208,FALSE)</f>
        <v>#N/A</v>
      </c>
      <c r="O130" s="33" t="e">
        <f>VLOOKUP(A1,DIV_10Data!$A$1:$DZU$1000000,2209,FALSE)</f>
        <v>#N/A</v>
      </c>
      <c r="P130" s="46" t="e">
        <f>VLOOKUP(A1,DIV_10Data!$A$1:$DZU$1000000,2210,FALSE)</f>
        <v>#N/A</v>
      </c>
      <c r="Q130" s="33" t="e">
        <f>VLOOKUP(A1,DIV_10Data!$A$1:$DZU$1000000,2211,FALSE)</f>
        <v>#N/A</v>
      </c>
    </row>
    <row r="131" spans="1:17" x14ac:dyDescent="0.35">
      <c r="A131" s="22" t="e">
        <f>VLOOKUP(A1,DIV_10Data!$A$1:$DZU$1000000,2212,FALSE)</f>
        <v>#N/A</v>
      </c>
      <c r="B131" s="37" t="e">
        <f>VLOOKUP(A1,DIV_10Data!$A$1:$DZU$1000000,2213,FALSE)</f>
        <v>#N/A</v>
      </c>
      <c r="C131" s="38" t="e">
        <f>VLOOKUP(A1,DIV_10Data!$A$1:$DZU$1000000,2214,FALSE)</f>
        <v>#N/A</v>
      </c>
      <c r="D131" s="31" t="e">
        <f>VLOOKUP(A1,DIV_10Data!$A$1:$DZU$1000000,2215,FALSE)</f>
        <v>#N/A</v>
      </c>
      <c r="E131" s="32" t="e">
        <f>VLOOKUP(A1,DIV_10Data!$A$1:$DZU$1000000,2216,FALSE)</f>
        <v>#N/A</v>
      </c>
      <c r="F131" s="34" t="e">
        <f>VLOOKUP(A1,DIV_10Data!$A$1:$DZU$1000000,2217,FALSE)</f>
        <v>#N/A</v>
      </c>
      <c r="G131" s="33" t="e">
        <f>VLOOKUP(A1,DIV_10Data!$A$1:$DZU$1000000,2218,FALSE)</f>
        <v>#N/A</v>
      </c>
      <c r="H131" s="34" t="e">
        <f>VLOOKUP(A1,DIV_10Data!$A$1:$DZU$1000000,2219,FALSE)</f>
        <v>#N/A</v>
      </c>
      <c r="I131" s="33" t="e">
        <f>VLOOKUP(A1,DIV_10Data!$A$1:$DZU$1000000,2220,FALSE)</f>
        <v>#N/A</v>
      </c>
      <c r="J131" s="34" t="e">
        <f>VLOOKUP(A1,DIV_10Data!$A$1:$DZU$1000000,2221,FALSE)</f>
        <v>#N/A</v>
      </c>
      <c r="K131" s="34" t="e">
        <f>VLOOKUP(A1,DIV_10Data!$A$1:$DZU$1000000,2222,FALSE)</f>
        <v>#N/A</v>
      </c>
      <c r="L131" s="93" t="e">
        <f>VLOOKUP(A1,DIV_10Data!$A$1:$DZU$1000000,2223,FALSE)</f>
        <v>#N/A</v>
      </c>
      <c r="M131" s="33" t="e">
        <f>VLOOKUP(A1,DIV_10Data!$A$1:$DZU$1000000,2224,FALSE)</f>
        <v>#N/A</v>
      </c>
      <c r="N131" s="34" t="e">
        <f>VLOOKUP(A1,DIV_10Data!$A$1:$DZU$1000000,2225,FALSE)</f>
        <v>#N/A</v>
      </c>
      <c r="O131" s="33" t="e">
        <f>VLOOKUP(A1,DIV_10Data!$A$1:$DZU$1000000,2226,FALSE)</f>
        <v>#N/A</v>
      </c>
      <c r="P131" s="46" t="e">
        <f>VLOOKUP(A1,DIV_10Data!$A$1:$DZU$1000000,2227,FALSE)</f>
        <v>#N/A</v>
      </c>
      <c r="Q131" s="33" t="e">
        <f>VLOOKUP(A1,DIV_10Data!$A$1:$DZU$1000000,2228,FALSE)</f>
        <v>#N/A</v>
      </c>
    </row>
    <row r="132" spans="1:17" x14ac:dyDescent="0.35">
      <c r="A132" s="22" t="e">
        <f>VLOOKUP(A1,DIV_10Data!$A$1:$DZU$1000000,2229,FALSE)</f>
        <v>#N/A</v>
      </c>
      <c r="B132" s="37" t="e">
        <f>VLOOKUP(A1,DIV_10Data!$A$1:$DZU$1000000,2230,FALSE)</f>
        <v>#N/A</v>
      </c>
      <c r="C132" s="38" t="e">
        <f>VLOOKUP(A1,DIV_10Data!$A$1:$DZU$1000000,2231,FALSE)</f>
        <v>#N/A</v>
      </c>
      <c r="D132" s="31" t="e">
        <f>VLOOKUP(A1,DIV_10Data!$A$1:$DZU$1000000,2232,FALSE)</f>
        <v>#N/A</v>
      </c>
      <c r="E132" s="32" t="e">
        <f>VLOOKUP(A1,DIV_10Data!$A$1:$DZU$1000000,2233,FALSE)</f>
        <v>#N/A</v>
      </c>
      <c r="F132" s="34" t="e">
        <f>VLOOKUP(A1,DIV_10Data!$A$1:$DZU$1000000,2234,FALSE)</f>
        <v>#N/A</v>
      </c>
      <c r="G132" s="33" t="e">
        <f>VLOOKUP(A1,DIV_10Data!$A$1:$DZU$1000000,2235,FALSE)</f>
        <v>#N/A</v>
      </c>
      <c r="H132" s="34" t="e">
        <f>VLOOKUP(A1,DIV_10Data!$A$1:$DZU$1000000,2236,FALSE)</f>
        <v>#N/A</v>
      </c>
      <c r="I132" s="33" t="e">
        <f>VLOOKUP(A1,DIV_10Data!$A$1:$DZU$1000000,2237,FALSE)</f>
        <v>#N/A</v>
      </c>
      <c r="J132" s="34" t="e">
        <f>VLOOKUP(A1,DIV_10Data!$A$1:$DZU$1000000,2238,FALSE)</f>
        <v>#N/A</v>
      </c>
      <c r="K132" s="34" t="e">
        <f>VLOOKUP(A1,DIV_10Data!$A$1:$DZU$1000000,2239,FALSE)</f>
        <v>#N/A</v>
      </c>
      <c r="L132" s="93" t="e">
        <f>VLOOKUP(A1,DIV_10Data!$A$1:$DZU$1000000,2240,FALSE)</f>
        <v>#N/A</v>
      </c>
      <c r="M132" s="33" t="e">
        <f>VLOOKUP(A1,DIV_10Data!$A$1:$DZU$1000000,2241,FALSE)</f>
        <v>#N/A</v>
      </c>
      <c r="N132" s="34" t="e">
        <f>VLOOKUP(A1,DIV_10Data!$A$1:$DZU$1000000,2242,FALSE)</f>
        <v>#N/A</v>
      </c>
      <c r="O132" s="33" t="e">
        <f>VLOOKUP(A1,DIV_10Data!$A$1:$DZU$1000000,2243,FALSE)</f>
        <v>#N/A</v>
      </c>
      <c r="P132" s="46" t="e">
        <f>VLOOKUP(A1,DIV_10Data!$A$1:$DZU$1000000,2244,FALSE)</f>
        <v>#N/A</v>
      </c>
      <c r="Q132" s="33" t="e">
        <f>VLOOKUP(A1,DIV_10Data!$A$1:$DZU$1000000,2245,FALSE)</f>
        <v>#N/A</v>
      </c>
    </row>
    <row r="133" spans="1:17" x14ac:dyDescent="0.35">
      <c r="A133" s="22" t="e">
        <f>VLOOKUP(A1,DIV_10Data!$A$1:$DZU$1000000,2246,FALSE)</f>
        <v>#N/A</v>
      </c>
      <c r="B133" s="37" t="e">
        <f>VLOOKUP(A1,DIV_10Data!$A$1:$DZU$1000000,2247,FALSE)</f>
        <v>#N/A</v>
      </c>
      <c r="C133" s="38" t="e">
        <f>VLOOKUP(A1,DIV_10Data!$A$1:$DZU$1000000,2248,FALSE)</f>
        <v>#N/A</v>
      </c>
      <c r="D133" s="31" t="e">
        <f>VLOOKUP(A1,DIV_10Data!$A$1:$DZU$1000000,2249,FALSE)</f>
        <v>#N/A</v>
      </c>
      <c r="E133" s="32" t="e">
        <f>VLOOKUP(A1,DIV_10Data!$A$1:$DZU$1000000,2250,FALSE)</f>
        <v>#N/A</v>
      </c>
      <c r="F133" s="34" t="e">
        <f>VLOOKUP(A1,DIV_10Data!$A$1:$DZU$1000000,2251,FALSE)</f>
        <v>#N/A</v>
      </c>
      <c r="G133" s="33" t="e">
        <f>VLOOKUP(A1,DIV_10Data!$A$1:$DZU$1000000,2252,FALSE)</f>
        <v>#N/A</v>
      </c>
      <c r="H133" s="34" t="e">
        <f>VLOOKUP(A1,DIV_10Data!$A$1:$DZU$1000000,2253,FALSE)</f>
        <v>#N/A</v>
      </c>
      <c r="I133" s="33" t="e">
        <f>VLOOKUP(A1,DIV_10Data!$A$1:$DZU$1000000,2254,FALSE)</f>
        <v>#N/A</v>
      </c>
      <c r="J133" s="34" t="e">
        <f>VLOOKUP(A1,DIV_10Data!$A$1:$DZU$1000000,2255,FALSE)</f>
        <v>#N/A</v>
      </c>
      <c r="K133" s="34" t="e">
        <f>VLOOKUP(A1,DIV_10Data!$A$1:$DZU$1000000,2256,FALSE)</f>
        <v>#N/A</v>
      </c>
      <c r="L133" s="93" t="e">
        <f>VLOOKUP(A1,DIV_10Data!$A$1:$DZU$1000000,2257,FALSE)</f>
        <v>#N/A</v>
      </c>
      <c r="M133" s="33" t="e">
        <f>VLOOKUP(A1,DIV_10Data!$A$1:$DZU$1000000,2258,FALSE)</f>
        <v>#N/A</v>
      </c>
      <c r="N133" s="34" t="e">
        <f>VLOOKUP(A1,DIV_10Data!$A$1:$DZU$1000000,2259,FALSE)</f>
        <v>#N/A</v>
      </c>
      <c r="O133" s="33" t="e">
        <f>VLOOKUP(A1,DIV_10Data!$A$1:$DZU$1000000,2260,FALSE)</f>
        <v>#N/A</v>
      </c>
      <c r="P133" s="46" t="e">
        <f>VLOOKUP(A1,DIV_10Data!$A$1:$DZU$1000000,2261,FALSE)</f>
        <v>#N/A</v>
      </c>
      <c r="Q133" s="33" t="e">
        <f>VLOOKUP(A1,DIV_10Data!$A$1:$DZU$1000000,2262,FALSE)</f>
        <v>#N/A</v>
      </c>
    </row>
    <row r="134" spans="1:17" x14ac:dyDescent="0.35">
      <c r="A134" s="22" t="e">
        <f>VLOOKUP(A1,DIV_10Data!$A$1:$DZU$1000000,2263,FALSE)</f>
        <v>#N/A</v>
      </c>
      <c r="B134" s="37" t="e">
        <f>VLOOKUP(A1,DIV_10Data!$A$1:$DZU$1000000,2264,FALSE)</f>
        <v>#N/A</v>
      </c>
      <c r="C134" s="38" t="e">
        <f>VLOOKUP(A1,DIV_10Data!$A$1:$DZU$1000000,2265,FALSE)</f>
        <v>#N/A</v>
      </c>
      <c r="D134" s="31" t="e">
        <f>VLOOKUP(A1,DIV_10Data!$A$1:$DZU$1000000,2266,FALSE)</f>
        <v>#N/A</v>
      </c>
      <c r="E134" s="32" t="e">
        <f>VLOOKUP(A1,DIV_10Data!$A$1:$DZU$1000000,2267,FALSE)</f>
        <v>#N/A</v>
      </c>
      <c r="F134" s="34" t="e">
        <f>VLOOKUP(A1,DIV_10Data!$A$1:$DZU$1000000,2268,FALSE)</f>
        <v>#N/A</v>
      </c>
      <c r="G134" s="33" t="e">
        <f>VLOOKUP(A1,DIV_10Data!$A$1:$DZU$1000000,2269,FALSE)</f>
        <v>#N/A</v>
      </c>
      <c r="H134" s="34" t="e">
        <f>VLOOKUP(A1,DIV_10Data!$A$1:$DZU$1000000,2270,FALSE)</f>
        <v>#N/A</v>
      </c>
      <c r="I134" s="33" t="e">
        <f>VLOOKUP(A1,DIV_10Data!$A$1:$DZU$1000000,2271,FALSE)</f>
        <v>#N/A</v>
      </c>
      <c r="J134" s="34" t="e">
        <f>VLOOKUP(A1,DIV_10Data!$A$1:$DZU$1000000,2272,FALSE)</f>
        <v>#N/A</v>
      </c>
      <c r="K134" s="34" t="e">
        <f>VLOOKUP(A1,DIV_10Data!$A$1:$DZU$1000000,2273,FALSE)</f>
        <v>#N/A</v>
      </c>
      <c r="L134" s="93" t="e">
        <f>VLOOKUP(A1,DIV_10Data!$A$1:$DZU$1000000,2274,FALSE)</f>
        <v>#N/A</v>
      </c>
      <c r="M134" s="33" t="e">
        <f>VLOOKUP(A1,DIV_10Data!$A$1:$DZU$1000000,2275,FALSE)</f>
        <v>#N/A</v>
      </c>
      <c r="N134" s="34" t="e">
        <f>VLOOKUP(A1,DIV_10Data!$A$1:$DZU$1000000,2276,FALSE)</f>
        <v>#N/A</v>
      </c>
      <c r="O134" s="33" t="e">
        <f>VLOOKUP(A1,DIV_10Data!$A$1:$DZU$1000000,2277,FALSE)</f>
        <v>#N/A</v>
      </c>
      <c r="P134" s="46" t="e">
        <f>VLOOKUP(A1,DIV_10Data!$A$1:$DZU$1000000,2278,FALSE)</f>
        <v>#N/A</v>
      </c>
      <c r="Q134" s="33" t="e">
        <f>VLOOKUP(A1,DIV_10Data!$A$1:$DZU$1000000,2279,FALSE)</f>
        <v>#N/A</v>
      </c>
    </row>
    <row r="135" spans="1:17" x14ac:dyDescent="0.35">
      <c r="A135" s="22" t="e">
        <f>VLOOKUP(A1,DIV_10Data!$A$1:$DZU$1000000,2280,FALSE)</f>
        <v>#N/A</v>
      </c>
      <c r="B135" s="37" t="e">
        <f>VLOOKUP(A1,DIV_10Data!$A$1:$DZU$1000000,2281,FALSE)</f>
        <v>#N/A</v>
      </c>
      <c r="C135" s="38" t="e">
        <f>VLOOKUP(A1,DIV_10Data!$A$1:$DZU$1000000,2282,FALSE)</f>
        <v>#N/A</v>
      </c>
      <c r="D135" s="31" t="e">
        <f>VLOOKUP(A1,DIV_10Data!$A$1:$DZU$1000000,2283,FALSE)</f>
        <v>#N/A</v>
      </c>
      <c r="E135" s="32" t="e">
        <f>VLOOKUP(A1,DIV_10Data!$A$1:$DZU$1000000,2284,FALSE)</f>
        <v>#N/A</v>
      </c>
      <c r="F135" s="34" t="e">
        <f>VLOOKUP(A1,DIV_10Data!$A$1:$DZU$1000000,2285,FALSE)</f>
        <v>#N/A</v>
      </c>
      <c r="G135" s="33" t="e">
        <f>VLOOKUP(A1,DIV_10Data!$A$1:$DZU$1000000,2286,FALSE)</f>
        <v>#N/A</v>
      </c>
      <c r="H135" s="34" t="e">
        <f>VLOOKUP(A1,DIV_10Data!$A$1:$DZU$1000000,2287,FALSE)</f>
        <v>#N/A</v>
      </c>
      <c r="I135" s="33" t="e">
        <f>VLOOKUP(A1,DIV_10Data!$A$1:$DZU$1000000,2288,FALSE)</f>
        <v>#N/A</v>
      </c>
      <c r="J135" s="34" t="e">
        <f>VLOOKUP(A1,DIV_10Data!$A$1:$DZU$1000000,2289,FALSE)</f>
        <v>#N/A</v>
      </c>
      <c r="K135" s="34" t="e">
        <f>VLOOKUP(A1,DIV_10Data!$A$1:$DZU$1000000,2290,FALSE)</f>
        <v>#N/A</v>
      </c>
      <c r="L135" s="93" t="e">
        <f>VLOOKUP(A1,DIV_10Data!$A$1:$DZU$1000000,2291,FALSE)</f>
        <v>#N/A</v>
      </c>
      <c r="M135" s="33" t="e">
        <f>VLOOKUP(A1,DIV_10Data!$A$1:$DZU$1000000,2292,FALSE)</f>
        <v>#N/A</v>
      </c>
      <c r="N135" s="34" t="e">
        <f>VLOOKUP(A1,DIV_10Data!$A$1:$DZU$1000000,2293,FALSE)</f>
        <v>#N/A</v>
      </c>
      <c r="O135" s="33" t="e">
        <f>VLOOKUP(A1,DIV_10Data!$A$1:$DZU$1000000,2294,FALSE)</f>
        <v>#N/A</v>
      </c>
      <c r="P135" s="46" t="e">
        <f>VLOOKUP(A1,DIV_10Data!$A$1:$DZU$1000000,2295,FALSE)</f>
        <v>#N/A</v>
      </c>
      <c r="Q135" s="33" t="e">
        <f>VLOOKUP(A1,DIV_10Data!$A$1:$DZU$1000000,2296,FALSE)</f>
        <v>#N/A</v>
      </c>
    </row>
    <row r="136" spans="1:17" x14ac:dyDescent="0.35">
      <c r="A136" s="22" t="e">
        <f>VLOOKUP(A1,DIV_10Data!$A$1:$DZU$1000000,2297,FALSE)</f>
        <v>#N/A</v>
      </c>
      <c r="B136" s="37" t="e">
        <f>VLOOKUP(A1,DIV_10Data!$A$1:$DZU$1000000,2298,FALSE)</f>
        <v>#N/A</v>
      </c>
      <c r="C136" s="38" t="e">
        <f>VLOOKUP(A1,DIV_10Data!$A$1:$DZU$1000000,2299,FALSE)</f>
        <v>#N/A</v>
      </c>
      <c r="D136" s="31" t="e">
        <f>VLOOKUP(A1,DIV_10Data!$A$1:$DZU$1000000,2300,FALSE)</f>
        <v>#N/A</v>
      </c>
      <c r="E136" s="32" t="e">
        <f>VLOOKUP(A1,DIV_10Data!$A$1:$DZU$1000000,2301,FALSE)</f>
        <v>#N/A</v>
      </c>
      <c r="F136" s="34" t="e">
        <f>VLOOKUP(A1,DIV_10Data!$A$1:$DZU$1000000,2302,FALSE)</f>
        <v>#N/A</v>
      </c>
      <c r="G136" s="33" t="e">
        <f>VLOOKUP(A1,DIV_10Data!$A$1:$DZU$1000000,2303,FALSE)</f>
        <v>#N/A</v>
      </c>
      <c r="H136" s="34" t="e">
        <f>VLOOKUP(A1,DIV_10Data!$A$1:$DZU$1000000,2304,FALSE)</f>
        <v>#N/A</v>
      </c>
      <c r="I136" s="33" t="e">
        <f>VLOOKUP(A1,DIV_10Data!$A$1:$DZU$1000000,2305,FALSE)</f>
        <v>#N/A</v>
      </c>
      <c r="J136" s="34" t="e">
        <f>VLOOKUP(A1,DIV_10Data!$A$1:$DZU$1000000,2306,FALSE)</f>
        <v>#N/A</v>
      </c>
      <c r="K136" s="34" t="e">
        <f>VLOOKUP(A1,DIV_10Data!$A$1:$DZU$1000000,2307,FALSE)</f>
        <v>#N/A</v>
      </c>
      <c r="L136" s="93" t="e">
        <f>VLOOKUP(A1,DIV_10Data!$A$1:$DZU$1000000,2308,FALSE)</f>
        <v>#N/A</v>
      </c>
      <c r="M136" s="33" t="e">
        <f>VLOOKUP(A1,DIV_10Data!$A$1:$DZU$1000000,2309,FALSE)</f>
        <v>#N/A</v>
      </c>
      <c r="N136" s="34" t="e">
        <f>VLOOKUP(A1,DIV_10Data!$A$1:$DZU$1000000,2310,FALSE)</f>
        <v>#N/A</v>
      </c>
      <c r="O136" s="33" t="e">
        <f>VLOOKUP(A1,DIV_10Data!$A$1:$DZU$1000000,2311,FALSE)</f>
        <v>#N/A</v>
      </c>
      <c r="P136" s="46" t="e">
        <f>VLOOKUP(A1,DIV_10Data!$A$1:$DZU$1000000,2312,FALSE)</f>
        <v>#N/A</v>
      </c>
      <c r="Q136" s="33" t="e">
        <f>VLOOKUP(A1,DIV_10Data!$A$1:$DZU$1000000,2313,FALSE)</f>
        <v>#N/A</v>
      </c>
    </row>
    <row r="137" spans="1:17" x14ac:dyDescent="0.35">
      <c r="A137" s="22" t="e">
        <f>VLOOKUP(A1,DIV_10Data!$A$1:$DZU$1000000,2314,FALSE)</f>
        <v>#N/A</v>
      </c>
      <c r="B137" s="37" t="e">
        <f>VLOOKUP(A1,DIV_10Data!$A$1:$DZU$1000000,2315,FALSE)</f>
        <v>#N/A</v>
      </c>
      <c r="C137" s="38" t="e">
        <f>VLOOKUP(A1,DIV_10Data!$A$1:$DZU$1000000,2316,FALSE)</f>
        <v>#N/A</v>
      </c>
      <c r="D137" s="31" t="e">
        <f>VLOOKUP(A1,DIV_10Data!$A$1:$DZU$1000000,2317,FALSE)</f>
        <v>#N/A</v>
      </c>
      <c r="E137" s="32" t="e">
        <f>VLOOKUP(A1,DIV_10Data!$A$1:$DZU$1000000,2318,FALSE)</f>
        <v>#N/A</v>
      </c>
      <c r="F137" s="34" t="e">
        <f>VLOOKUP(A1,DIV_10Data!$A$1:$DZU$1000000,2319,FALSE)</f>
        <v>#N/A</v>
      </c>
      <c r="G137" s="33" t="e">
        <f>VLOOKUP(A1,DIV_10Data!$A$1:$DZU$1000000,2320,FALSE)</f>
        <v>#N/A</v>
      </c>
      <c r="H137" s="34" t="e">
        <f>VLOOKUP(A1,DIV_10Data!$A$1:$DZU$1000000,2321,FALSE)</f>
        <v>#N/A</v>
      </c>
      <c r="I137" s="33" t="e">
        <f>VLOOKUP(A1,DIV_10Data!$A$1:$DZU$1000000,2322,FALSE)</f>
        <v>#N/A</v>
      </c>
      <c r="J137" s="34" t="e">
        <f>VLOOKUP(A1,DIV_10Data!$A$1:$DZU$1000000,2323,FALSE)</f>
        <v>#N/A</v>
      </c>
      <c r="K137" s="34" t="e">
        <f>VLOOKUP(A1,DIV_10Data!$A$1:$DZU$1000000,2324,FALSE)</f>
        <v>#N/A</v>
      </c>
      <c r="L137" s="93" t="e">
        <f>VLOOKUP(A1,DIV_10Data!$A$1:$DZU$1000000,2325,FALSE)</f>
        <v>#N/A</v>
      </c>
      <c r="M137" s="33" t="e">
        <f>VLOOKUP(A1,DIV_10Data!$A$1:$DZU$1000000,2326,FALSE)</f>
        <v>#N/A</v>
      </c>
      <c r="N137" s="34" t="e">
        <f>VLOOKUP(A1,DIV_10Data!$A$1:$DZU$1000000,2327,FALSE)</f>
        <v>#N/A</v>
      </c>
      <c r="O137" s="33" t="e">
        <f>VLOOKUP(A1,DIV_10Data!$A$1:$DZU$1000000,2328,FALSE)</f>
        <v>#N/A</v>
      </c>
      <c r="P137" s="46" t="e">
        <f>VLOOKUP(A1,DIV_10Data!$A$1:$DZU$1000000,2329,FALSE)</f>
        <v>#N/A</v>
      </c>
      <c r="Q137" s="33" t="e">
        <f>VLOOKUP(A1,DIV_10Data!$A$1:$DZU$1000000,2330,FALSE)</f>
        <v>#N/A</v>
      </c>
    </row>
    <row r="138" spans="1:17" x14ac:dyDescent="0.35">
      <c r="A138" s="22" t="e">
        <f>VLOOKUP(A1,DIV_10Data!$A$1:$DZU$1000000,2331,FALSE)</f>
        <v>#N/A</v>
      </c>
      <c r="B138" s="37" t="e">
        <f>VLOOKUP(A1,DIV_10Data!$A$1:$DZU$1000000,2332,FALSE)</f>
        <v>#N/A</v>
      </c>
      <c r="C138" s="38" t="e">
        <f>VLOOKUP(A1,DIV_10Data!$A$1:$DZU$1000000,2333,FALSE)</f>
        <v>#N/A</v>
      </c>
      <c r="D138" s="31" t="e">
        <f>VLOOKUP(A1,DIV_10Data!$A$1:$DZU$1000000,2334,FALSE)</f>
        <v>#N/A</v>
      </c>
      <c r="E138" s="32" t="e">
        <f>VLOOKUP(A1,DIV_10Data!$A$1:$DZU$1000000,2335,FALSE)</f>
        <v>#N/A</v>
      </c>
      <c r="F138" s="34" t="e">
        <f>VLOOKUP(A1,DIV_10Data!$A$1:$DZU$1000000,2336,FALSE)</f>
        <v>#N/A</v>
      </c>
      <c r="G138" s="33" t="e">
        <f>VLOOKUP(A1,DIV_10Data!$A$1:$DZU$1000000,2337,FALSE)</f>
        <v>#N/A</v>
      </c>
      <c r="H138" s="34" t="e">
        <f>VLOOKUP(A1,DIV_10Data!$A$1:$DZU$1000000,2338,FALSE)</f>
        <v>#N/A</v>
      </c>
      <c r="I138" s="33" t="e">
        <f>VLOOKUP(A1,DIV_10Data!$A$1:$DZU$1000000,2339,FALSE)</f>
        <v>#N/A</v>
      </c>
      <c r="J138" s="34" t="e">
        <f>VLOOKUP(A1,DIV_10Data!$A$1:$DZU$1000000,2340,FALSE)</f>
        <v>#N/A</v>
      </c>
      <c r="K138" s="34" t="e">
        <f>VLOOKUP(A1,DIV_10Data!$A$1:$DZU$1000000,2341,FALSE)</f>
        <v>#N/A</v>
      </c>
      <c r="L138" s="93" t="e">
        <f>VLOOKUP(A1,DIV_10Data!$A$1:$DZU$1000000,2342,FALSE)</f>
        <v>#N/A</v>
      </c>
      <c r="M138" s="33" t="e">
        <f>VLOOKUP(A1,DIV_10Data!$A$1:$DZU$1000000,2343,FALSE)</f>
        <v>#N/A</v>
      </c>
      <c r="N138" s="34" t="e">
        <f>VLOOKUP(A1,DIV_10Data!$A$1:$DZU$1000000,2344,FALSE)</f>
        <v>#N/A</v>
      </c>
      <c r="O138" s="33" t="e">
        <f>VLOOKUP(A1,DIV_10Data!$A$1:$DZU$1000000,2345,FALSE)</f>
        <v>#N/A</v>
      </c>
      <c r="P138" s="46" t="e">
        <f>VLOOKUP(A1,DIV_10Data!$A$1:$DZU$1000000,2346,FALSE)</f>
        <v>#N/A</v>
      </c>
      <c r="Q138" s="33" t="e">
        <f>VLOOKUP(A1,DIV_10Data!$A$1:$DZU$1000000,2347,FALSE)</f>
        <v>#N/A</v>
      </c>
    </row>
    <row r="139" spans="1:17" x14ac:dyDescent="0.35">
      <c r="A139" s="22" t="e">
        <f>VLOOKUP(A1,DIV_10Data!$A$1:$DZU$1000000,2348,FALSE)</f>
        <v>#N/A</v>
      </c>
      <c r="B139" s="37" t="e">
        <f>VLOOKUP(A1,DIV_10Data!$A$1:$DZU$1000000,2349,FALSE)</f>
        <v>#N/A</v>
      </c>
      <c r="C139" s="38" t="e">
        <f>VLOOKUP(A1,DIV_10Data!$A$1:$DZU$1000000,2350,FALSE)</f>
        <v>#N/A</v>
      </c>
      <c r="D139" s="31" t="e">
        <f>VLOOKUP(A1,DIV_10Data!$A$1:$DZU$1000000,2351,FALSE)</f>
        <v>#N/A</v>
      </c>
      <c r="E139" s="32" t="e">
        <f>VLOOKUP(A1,DIV_10Data!$A$1:$DZU$1000000,2352,FALSE)</f>
        <v>#N/A</v>
      </c>
      <c r="F139" s="34" t="e">
        <f>VLOOKUP(A1,DIV_10Data!$A$1:$DZU$1000000,2353,FALSE)</f>
        <v>#N/A</v>
      </c>
      <c r="G139" s="33" t="e">
        <f>VLOOKUP(A1,DIV_10Data!$A$1:$DZU$1000000,2354,FALSE)</f>
        <v>#N/A</v>
      </c>
      <c r="H139" s="34" t="e">
        <f>VLOOKUP(A1,DIV_10Data!$A$1:$DZU$1000000,2355,FALSE)</f>
        <v>#N/A</v>
      </c>
      <c r="I139" s="33" t="e">
        <f>VLOOKUP(A1,DIV_10Data!$A$1:$DZU$1000000,2356,FALSE)</f>
        <v>#N/A</v>
      </c>
      <c r="J139" s="34" t="e">
        <f>VLOOKUP(A1,DIV_10Data!$A$1:$DZU$1000000,2357,FALSE)</f>
        <v>#N/A</v>
      </c>
      <c r="K139" s="34" t="e">
        <f>VLOOKUP(A1,DIV_10Data!$A$1:$DZU$1000000,2358,FALSE)</f>
        <v>#N/A</v>
      </c>
      <c r="L139" s="93" t="e">
        <f>VLOOKUP(A1,DIV_10Data!$A$1:$DZU$1000000,2359,FALSE)</f>
        <v>#N/A</v>
      </c>
      <c r="M139" s="33" t="e">
        <f>VLOOKUP(A1,DIV_10Data!$A$1:$DZU$1000000,2360,FALSE)</f>
        <v>#N/A</v>
      </c>
      <c r="N139" s="34" t="e">
        <f>VLOOKUP(A1,DIV_10Data!$A$1:$DZU$1000000,2361,FALSE)</f>
        <v>#N/A</v>
      </c>
      <c r="O139" s="33" t="e">
        <f>VLOOKUP(A1,DIV_10Data!$A$1:$DZU$1000000,2362,FALSE)</f>
        <v>#N/A</v>
      </c>
      <c r="P139" s="46" t="e">
        <f>VLOOKUP(A1,DIV_10Data!$A$1:$DZU$1000000,2363,FALSE)</f>
        <v>#N/A</v>
      </c>
      <c r="Q139" s="33" t="e">
        <f>VLOOKUP(A1,DIV_10Data!$A$1:$DZU$1000000,2364,FALSE)</f>
        <v>#N/A</v>
      </c>
    </row>
    <row r="140" spans="1:17" x14ac:dyDescent="0.35">
      <c r="A140" s="22" t="e">
        <f>VLOOKUP(A1,DIV_10Data!$A$1:$DZU$1000000,2365,FALSE)</f>
        <v>#N/A</v>
      </c>
      <c r="B140" s="37" t="e">
        <f>VLOOKUP(A1,DIV_10Data!$A$1:$DZU$1000000,2366,FALSE)</f>
        <v>#N/A</v>
      </c>
      <c r="C140" s="38" t="e">
        <f>VLOOKUP(A1,DIV_10Data!$A$1:$DZU$1000000,2367,FALSE)</f>
        <v>#N/A</v>
      </c>
      <c r="D140" s="31" t="e">
        <f>VLOOKUP(A1,DIV_10Data!$A$1:$DZU$1000000,2368,FALSE)</f>
        <v>#N/A</v>
      </c>
      <c r="E140" s="32" t="e">
        <f>VLOOKUP(A1,DIV_10Data!$A$1:$DZU$1000000,2369,FALSE)</f>
        <v>#N/A</v>
      </c>
      <c r="F140" s="34" t="e">
        <f>VLOOKUP(A1,DIV_10Data!$A$1:$DZU$1000000,2370,FALSE)</f>
        <v>#N/A</v>
      </c>
      <c r="G140" s="33" t="e">
        <f>VLOOKUP(A1,DIV_10Data!$A$1:$DZU$1000000,2371,FALSE)</f>
        <v>#N/A</v>
      </c>
      <c r="H140" s="34" t="e">
        <f>VLOOKUP(A1,DIV_10Data!$A$1:$DZU$1000000,2372,FALSE)</f>
        <v>#N/A</v>
      </c>
      <c r="I140" s="33" t="e">
        <f>VLOOKUP(A1,DIV_10Data!$A$1:$DZU$1000000,2373,FALSE)</f>
        <v>#N/A</v>
      </c>
      <c r="J140" s="34" t="e">
        <f>VLOOKUP(A1,DIV_10Data!$A$1:$DZU$1000000,2374,FALSE)</f>
        <v>#N/A</v>
      </c>
      <c r="K140" s="34" t="e">
        <f>VLOOKUP(A1,DIV_10Data!$A$1:$DZU$1000000,2375,FALSE)</f>
        <v>#N/A</v>
      </c>
      <c r="L140" s="93" t="e">
        <f>VLOOKUP(A1,DIV_10Data!$A$1:$DZU$1000000,2376,FALSE)</f>
        <v>#N/A</v>
      </c>
      <c r="M140" s="33" t="e">
        <f>VLOOKUP(A1,DIV_10Data!$A$1:$DZU$1000000,2377,FALSE)</f>
        <v>#N/A</v>
      </c>
      <c r="N140" s="34" t="e">
        <f>VLOOKUP(A1,DIV_10Data!$A$1:$DZU$1000000,2378,FALSE)</f>
        <v>#N/A</v>
      </c>
      <c r="O140" s="33" t="e">
        <f>VLOOKUP(A1,DIV_10Data!$A$1:$DZU$1000000,2379,FALSE)</f>
        <v>#N/A</v>
      </c>
      <c r="P140" s="46" t="e">
        <f>VLOOKUP(A1,DIV_10Data!$A$1:$DZU$1000000,2380,FALSE)</f>
        <v>#N/A</v>
      </c>
      <c r="Q140" s="33" t="e">
        <f>VLOOKUP(A1,DIV_10Data!$A$1:$DZU$1000000,2381,FALSE)</f>
        <v>#N/A</v>
      </c>
    </row>
    <row r="141" spans="1:17" x14ac:dyDescent="0.35">
      <c r="A141" s="22" t="e">
        <f>VLOOKUP(A1,DIV_10Data!$A$1:$DZU$1000000,2382,FALSE)</f>
        <v>#N/A</v>
      </c>
      <c r="B141" s="37" t="e">
        <f>VLOOKUP(A1,DIV_10Data!$A$1:$DZU$1000000,2383,FALSE)</f>
        <v>#N/A</v>
      </c>
      <c r="C141" s="38" t="e">
        <f>VLOOKUP(A1,DIV_10Data!$A$1:$DZU$1000000,2384,FALSE)</f>
        <v>#N/A</v>
      </c>
      <c r="D141" s="31" t="e">
        <f>VLOOKUP(A1,DIV_10Data!$A$1:$DZU$1000000,2385,FALSE)</f>
        <v>#N/A</v>
      </c>
      <c r="E141" s="32" t="e">
        <f>VLOOKUP(A1,DIV_10Data!$A$1:$DZU$1000000,2386,FALSE)</f>
        <v>#N/A</v>
      </c>
      <c r="F141" s="34" t="e">
        <f>VLOOKUP(A1,DIV_10Data!$A$1:$DZU$1000000,2387,FALSE)</f>
        <v>#N/A</v>
      </c>
      <c r="G141" s="33" t="e">
        <f>VLOOKUP(A1,DIV_10Data!$A$1:$DZU$1000000,2388,FALSE)</f>
        <v>#N/A</v>
      </c>
      <c r="H141" s="34" t="e">
        <f>VLOOKUP(A1,DIV_10Data!$A$1:$DZU$1000000,2389,FALSE)</f>
        <v>#N/A</v>
      </c>
      <c r="I141" s="33" t="e">
        <f>VLOOKUP(A1,DIV_10Data!$A$1:$DZU$1000000,2390,FALSE)</f>
        <v>#N/A</v>
      </c>
      <c r="J141" s="34" t="e">
        <f>VLOOKUP(A1,DIV_10Data!$A$1:$DZU$1000000,2391,FALSE)</f>
        <v>#N/A</v>
      </c>
      <c r="K141" s="34" t="e">
        <f>VLOOKUP(A1,DIV_10Data!$A$1:$DZU$1000000,2392,FALSE)</f>
        <v>#N/A</v>
      </c>
      <c r="L141" s="93" t="e">
        <f>VLOOKUP(A1,DIV_10Data!$A$1:$DZU$1000000,2393,FALSE)</f>
        <v>#N/A</v>
      </c>
      <c r="M141" s="33" t="e">
        <f>VLOOKUP(A1,DIV_10Data!$A$1:$DZU$1000000,2394,FALSE)</f>
        <v>#N/A</v>
      </c>
      <c r="N141" s="34" t="e">
        <f>VLOOKUP(A1,DIV_10Data!$A$1:$DZU$1000000,2395,FALSE)</f>
        <v>#N/A</v>
      </c>
      <c r="O141" s="33" t="e">
        <f>VLOOKUP(A1,DIV_10Data!$A$1:$DZU$1000000,2396,FALSE)</f>
        <v>#N/A</v>
      </c>
      <c r="P141" s="46" t="e">
        <f>VLOOKUP(A1,DIV_10Data!$A$1:$DZU$1000000,2397,FALSE)</f>
        <v>#N/A</v>
      </c>
      <c r="Q141" s="33" t="e">
        <f>VLOOKUP(A1,DIV_10Data!$A$1:$DZU$1000000,2398,FALSE)</f>
        <v>#N/A</v>
      </c>
    </row>
    <row r="142" spans="1:17" x14ac:dyDescent="0.35">
      <c r="A142" s="22" t="e">
        <f>VLOOKUP(A1,DIV_10Data!$A$1:$DZU$1000000,2399,FALSE)</f>
        <v>#N/A</v>
      </c>
      <c r="B142" s="37" t="e">
        <f>VLOOKUP(A1,DIV_10Data!$A$1:$DZU$1000000,2400,FALSE)</f>
        <v>#N/A</v>
      </c>
      <c r="C142" s="38" t="e">
        <f>VLOOKUP(A1,DIV_10Data!$A$1:$DZU$1000000,2401,FALSE)</f>
        <v>#N/A</v>
      </c>
      <c r="D142" s="31" t="e">
        <f>VLOOKUP(A1,DIV_10Data!$A$1:$DZU$1000000,2402,FALSE)</f>
        <v>#N/A</v>
      </c>
      <c r="E142" s="32" t="e">
        <f>VLOOKUP(A1,DIV_10Data!$A$1:$DZU$1000000,2403,FALSE)</f>
        <v>#N/A</v>
      </c>
      <c r="F142" s="34" t="e">
        <f>VLOOKUP(A1,DIV_10Data!$A$1:$DZU$1000000,2404,FALSE)</f>
        <v>#N/A</v>
      </c>
      <c r="G142" s="33" t="e">
        <f>VLOOKUP(A1,DIV_10Data!$A$1:$DZU$1000000,2405,FALSE)</f>
        <v>#N/A</v>
      </c>
      <c r="H142" s="34" t="e">
        <f>VLOOKUP(A1,DIV_10Data!$A$1:$DZU$1000000,2406,FALSE)</f>
        <v>#N/A</v>
      </c>
      <c r="I142" s="33" t="e">
        <f>VLOOKUP(A1,DIV_10Data!$A$1:$DZU$1000000,2407,FALSE)</f>
        <v>#N/A</v>
      </c>
      <c r="J142" s="34" t="e">
        <f>VLOOKUP(A1,DIV_10Data!$A$1:$DZU$1000000,2408,FALSE)</f>
        <v>#N/A</v>
      </c>
      <c r="K142" s="34" t="e">
        <f>VLOOKUP(A1,DIV_10Data!$A$1:$DZU$1000000,2409,FALSE)</f>
        <v>#N/A</v>
      </c>
      <c r="L142" s="93" t="e">
        <f>VLOOKUP(A1,DIV_10Data!$A$1:$DZU$1000000,2410,FALSE)</f>
        <v>#N/A</v>
      </c>
      <c r="M142" s="33" t="e">
        <f>VLOOKUP(A1,DIV_10Data!$A$1:$DZU$1000000,2411,FALSE)</f>
        <v>#N/A</v>
      </c>
      <c r="N142" s="34" t="e">
        <f>VLOOKUP(A1,DIV_10Data!$A$1:$DZU$1000000,2412,FALSE)</f>
        <v>#N/A</v>
      </c>
      <c r="O142" s="33" t="e">
        <f>VLOOKUP(A1,DIV_10Data!$A$1:$DZU$1000000,2413,FALSE)</f>
        <v>#N/A</v>
      </c>
      <c r="P142" s="46" t="e">
        <f>VLOOKUP(A1,DIV_10Data!$A$1:$DZU$1000000,2414,FALSE)</f>
        <v>#N/A</v>
      </c>
      <c r="Q142" s="33" t="e">
        <f>VLOOKUP(A1,DIV_10Data!$A$1:$DZU$1000000,2415,FALSE)</f>
        <v>#N/A</v>
      </c>
    </row>
    <row r="143" spans="1:17" x14ac:dyDescent="0.35">
      <c r="A143" s="22" t="e">
        <f>VLOOKUP(A1,DIV_10Data!$A$1:$DZU$1000000,2416,FALSE)</f>
        <v>#N/A</v>
      </c>
      <c r="B143" s="37" t="e">
        <f>VLOOKUP(A1,DIV_10Data!$A$1:$DZU$1000000,2417,FALSE)</f>
        <v>#N/A</v>
      </c>
      <c r="C143" s="38" t="e">
        <f>VLOOKUP(A1,DIV_10Data!$A$1:$DZU$1000000,2418,FALSE)</f>
        <v>#N/A</v>
      </c>
      <c r="D143" s="31" t="e">
        <f>VLOOKUP(A1,DIV_10Data!$A$1:$DZU$1000000,2419,FALSE)</f>
        <v>#N/A</v>
      </c>
      <c r="E143" s="32" t="e">
        <f>VLOOKUP(A1,DIV_10Data!$A$1:$DZU$1000000,2420,FALSE)</f>
        <v>#N/A</v>
      </c>
      <c r="F143" s="34" t="e">
        <f>VLOOKUP(A1,DIV_10Data!$A$1:$DZU$1000000,2421,FALSE)</f>
        <v>#N/A</v>
      </c>
      <c r="G143" s="33" t="e">
        <f>VLOOKUP(A1,DIV_10Data!$A$1:$DZU$1000000,2422,FALSE)</f>
        <v>#N/A</v>
      </c>
      <c r="H143" s="34" t="e">
        <f>VLOOKUP(A1,DIV_10Data!$A$1:$DZU$1000000,2423,FALSE)</f>
        <v>#N/A</v>
      </c>
      <c r="I143" s="33" t="e">
        <f>VLOOKUP(A1,DIV_10Data!$A$1:$DZU$1000000,2424,FALSE)</f>
        <v>#N/A</v>
      </c>
      <c r="J143" s="34" t="e">
        <f>VLOOKUP(A1,DIV_10Data!$A$1:$DZU$1000000,2425,FALSE)</f>
        <v>#N/A</v>
      </c>
      <c r="K143" s="34" t="e">
        <f>VLOOKUP(A1,DIV_10Data!$A$1:$DZU$1000000,2426,FALSE)</f>
        <v>#N/A</v>
      </c>
      <c r="L143" s="93" t="e">
        <f>VLOOKUP(A1,DIV_10Data!$A$1:$DZU$1000000,2427,FALSE)</f>
        <v>#N/A</v>
      </c>
      <c r="M143" s="33" t="e">
        <f>VLOOKUP(A1,DIV_10Data!$A$1:$DZU$1000000,2428,FALSE)</f>
        <v>#N/A</v>
      </c>
      <c r="N143" s="34" t="e">
        <f>VLOOKUP(A1,DIV_10Data!$A$1:$DZU$1000000,2429,FALSE)</f>
        <v>#N/A</v>
      </c>
      <c r="O143" s="33" t="e">
        <f>VLOOKUP(A1,DIV_10Data!$A$1:$DZU$1000000,2430,FALSE)</f>
        <v>#N/A</v>
      </c>
      <c r="P143" s="46" t="e">
        <f>VLOOKUP(A1,DIV_10Data!$A$1:$DZU$1000000,2431,FALSE)</f>
        <v>#N/A</v>
      </c>
      <c r="Q143" s="33" t="e">
        <f>VLOOKUP(A1,DIV_10Data!$A$1:$DZU$1000000,2432,FALSE)</f>
        <v>#N/A</v>
      </c>
    </row>
    <row r="144" spans="1:17" x14ac:dyDescent="0.35">
      <c r="A144" s="22" t="e">
        <f>VLOOKUP(A1,DIV_10Data!$A$1:$DZU$1000000,2433,FALSE)</f>
        <v>#N/A</v>
      </c>
      <c r="B144" s="37" t="e">
        <f>VLOOKUP(A1,DIV_10Data!$A$1:$DZU$1000000,2434,FALSE)</f>
        <v>#N/A</v>
      </c>
      <c r="C144" s="38" t="e">
        <f>VLOOKUP(A1,DIV_10Data!$A$1:$DZU$1000000,2435,FALSE)</f>
        <v>#N/A</v>
      </c>
      <c r="D144" s="31" t="e">
        <f>VLOOKUP(A1,DIV_10Data!$A$1:$DZU$1000000,2436,FALSE)</f>
        <v>#N/A</v>
      </c>
      <c r="E144" s="32" t="e">
        <f>VLOOKUP(A1,DIV_10Data!$A$1:$DZU$1000000,2437,FALSE)</f>
        <v>#N/A</v>
      </c>
      <c r="F144" s="34" t="e">
        <f>VLOOKUP(A1,DIV_10Data!$A$1:$DZU$1000000,2438,FALSE)</f>
        <v>#N/A</v>
      </c>
      <c r="G144" s="33" t="e">
        <f>VLOOKUP(A1,DIV_10Data!$A$1:$DZU$1000000,2439,FALSE)</f>
        <v>#N/A</v>
      </c>
      <c r="H144" s="34" t="e">
        <f>VLOOKUP(A1,DIV_10Data!$A$1:$DZU$1000000,2440,FALSE)</f>
        <v>#N/A</v>
      </c>
      <c r="I144" s="33" t="e">
        <f>VLOOKUP(A1,DIV_10Data!$A$1:$DZU$1000000,2441,FALSE)</f>
        <v>#N/A</v>
      </c>
      <c r="J144" s="34" t="e">
        <f>VLOOKUP(A1,DIV_10Data!$A$1:$DZU$1000000,2442,FALSE)</f>
        <v>#N/A</v>
      </c>
      <c r="K144" s="34" t="e">
        <f>VLOOKUP(A1,DIV_10Data!$A$1:$DZU$1000000,2443,FALSE)</f>
        <v>#N/A</v>
      </c>
      <c r="L144" s="93" t="e">
        <f>VLOOKUP(A1,DIV_10Data!$A$1:$DZU$1000000,2444,FALSE)</f>
        <v>#N/A</v>
      </c>
      <c r="M144" s="33" t="e">
        <f>VLOOKUP(A1,DIV_10Data!$A$1:$DZU$1000000,2445,FALSE)</f>
        <v>#N/A</v>
      </c>
      <c r="N144" s="34" t="e">
        <f>VLOOKUP(A1,DIV_10Data!$A$1:$DZU$1000000,2446,FALSE)</f>
        <v>#N/A</v>
      </c>
      <c r="O144" s="33" t="e">
        <f>VLOOKUP(A1,DIV_10Data!$A$1:$DZU$1000000,2447,FALSE)</f>
        <v>#N/A</v>
      </c>
      <c r="P144" s="46" t="e">
        <f>VLOOKUP(A1,DIV_10Data!$A$1:$DZU$1000000,2448,FALSE)</f>
        <v>#N/A</v>
      </c>
      <c r="Q144" s="33" t="e">
        <f>VLOOKUP(A1,DIV_10Data!$A$1:$DZU$1000000,2449,FALSE)</f>
        <v>#N/A</v>
      </c>
    </row>
    <row r="145" spans="1:17" x14ac:dyDescent="0.35">
      <c r="A145" s="22" t="e">
        <f>VLOOKUP(A1,DIV_10Data!$A$1:$DZU$1000000,2450,FALSE)</f>
        <v>#N/A</v>
      </c>
      <c r="B145" s="37" t="e">
        <f>VLOOKUP(A1,DIV_10Data!$A$1:$DZU$1000000,2451,FALSE)</f>
        <v>#N/A</v>
      </c>
      <c r="C145" s="38" t="e">
        <f>VLOOKUP(A1,DIV_10Data!$A$1:$DZU$1000000,2452,FALSE)</f>
        <v>#N/A</v>
      </c>
      <c r="D145" s="31" t="e">
        <f>VLOOKUP(A1,DIV_10Data!$A$1:$DZU$1000000,2453,FALSE)</f>
        <v>#N/A</v>
      </c>
      <c r="E145" s="32" t="e">
        <f>VLOOKUP(A1,DIV_10Data!$A$1:$DZU$1000000,2454,FALSE)</f>
        <v>#N/A</v>
      </c>
      <c r="F145" s="34" t="e">
        <f>VLOOKUP(A1,DIV_10Data!$A$1:$DZU$1000000,2455,FALSE)</f>
        <v>#N/A</v>
      </c>
      <c r="G145" s="33" t="e">
        <f>VLOOKUP(A1,DIV_10Data!$A$1:$DZU$1000000,2456,FALSE)</f>
        <v>#N/A</v>
      </c>
      <c r="H145" s="34" t="e">
        <f>VLOOKUP(A1,DIV_10Data!$A$1:$DZU$1000000,2457,FALSE)</f>
        <v>#N/A</v>
      </c>
      <c r="I145" s="33" t="e">
        <f>VLOOKUP(A1,DIV_10Data!$A$1:$DZU$1000000,2458,FALSE)</f>
        <v>#N/A</v>
      </c>
      <c r="J145" s="34" t="e">
        <f>VLOOKUP(A1,DIV_10Data!$A$1:$DZU$1000000,2459,FALSE)</f>
        <v>#N/A</v>
      </c>
      <c r="K145" s="34" t="e">
        <f>VLOOKUP(A1,DIV_10Data!$A$1:$DZU$1000000,2460,FALSE)</f>
        <v>#N/A</v>
      </c>
      <c r="L145" s="93" t="e">
        <f>VLOOKUP(A1,DIV_10Data!$A$1:$DZU$1000000,2461,FALSE)</f>
        <v>#N/A</v>
      </c>
      <c r="M145" s="33" t="e">
        <f>VLOOKUP(A1,DIV_10Data!$A$1:$DZU$1000000,2462,FALSE)</f>
        <v>#N/A</v>
      </c>
      <c r="N145" s="34" t="e">
        <f>VLOOKUP(A1,DIV_10Data!$A$1:$DZU$1000000,2463,FALSE)</f>
        <v>#N/A</v>
      </c>
      <c r="O145" s="33" t="e">
        <f>VLOOKUP(A1,DIV_10Data!$A$1:$DZU$1000000,2464,FALSE)</f>
        <v>#N/A</v>
      </c>
      <c r="P145" s="46" t="e">
        <f>VLOOKUP(A1,DIV_10Data!$A$1:$DZU$1000000,2465,FALSE)</f>
        <v>#N/A</v>
      </c>
      <c r="Q145" s="33" t="e">
        <f>VLOOKUP(A1,DIV_10Data!$A$1:$DZU$1000000,2466,FALSE)</f>
        <v>#N/A</v>
      </c>
    </row>
    <row r="146" spans="1:17" x14ac:dyDescent="0.35">
      <c r="A146" s="22" t="e">
        <f>VLOOKUP(A1,DIV_10Data!$A$1:$DZU$1000000,2467,FALSE)</f>
        <v>#N/A</v>
      </c>
      <c r="B146" s="37" t="e">
        <f>VLOOKUP(A1,DIV_10Data!$A$1:$DZU$1000000,2468,FALSE)</f>
        <v>#N/A</v>
      </c>
      <c r="C146" s="38" t="e">
        <f>VLOOKUP(A1,DIV_10Data!$A$1:$DZU$1000000,2469,FALSE)</f>
        <v>#N/A</v>
      </c>
      <c r="D146" s="31" t="e">
        <f>VLOOKUP(A1,DIV_10Data!$A$1:$DZU$1000000,2470,FALSE)</f>
        <v>#N/A</v>
      </c>
      <c r="E146" s="32" t="e">
        <f>VLOOKUP(A1,DIV_10Data!$A$1:$DZU$1000000,2471,FALSE)</f>
        <v>#N/A</v>
      </c>
      <c r="F146" s="34" t="e">
        <f>VLOOKUP(A1,DIV_10Data!$A$1:$DZU$1000000,2472,FALSE)</f>
        <v>#N/A</v>
      </c>
      <c r="G146" s="33" t="e">
        <f>VLOOKUP(A1,DIV_10Data!$A$1:$DZU$1000000,2473,FALSE)</f>
        <v>#N/A</v>
      </c>
      <c r="H146" s="34" t="e">
        <f>VLOOKUP(A1,DIV_10Data!$A$1:$DZU$1000000,2474,FALSE)</f>
        <v>#N/A</v>
      </c>
      <c r="I146" s="33" t="e">
        <f>VLOOKUP(A1,DIV_10Data!$A$1:$DZU$1000000,2475,FALSE)</f>
        <v>#N/A</v>
      </c>
      <c r="J146" s="34" t="e">
        <f>VLOOKUP(A1,DIV_10Data!$A$1:$DZU$1000000,2476,FALSE)</f>
        <v>#N/A</v>
      </c>
      <c r="K146" s="34" t="e">
        <f>VLOOKUP(A1,DIV_10Data!$A$1:$DZU$1000000,2477,FALSE)</f>
        <v>#N/A</v>
      </c>
      <c r="L146" s="93" t="e">
        <f>VLOOKUP(A1,DIV_10Data!$A$1:$DZU$1000000,2478,FALSE)</f>
        <v>#N/A</v>
      </c>
      <c r="M146" s="33" t="e">
        <f>VLOOKUP(A1,DIV_10Data!$A$1:$DZU$1000000,2479,FALSE)</f>
        <v>#N/A</v>
      </c>
      <c r="N146" s="34" t="e">
        <f>VLOOKUP(A1,DIV_10Data!$A$1:$DZU$1000000,2480,FALSE)</f>
        <v>#N/A</v>
      </c>
      <c r="O146" s="33" t="e">
        <f>VLOOKUP(A1,DIV_10Data!$A$1:$DZU$1000000,2481,FALSE)</f>
        <v>#N/A</v>
      </c>
      <c r="P146" s="46" t="e">
        <f>VLOOKUP(A1,DIV_10Data!$A$1:$DZU$1000000,2482,FALSE)</f>
        <v>#N/A</v>
      </c>
      <c r="Q146" s="33" t="e">
        <f>VLOOKUP(A1,DIV_10Data!$A$1:$DZU$1000000,2483,FALSE)</f>
        <v>#N/A</v>
      </c>
    </row>
    <row r="147" spans="1:17" x14ac:dyDescent="0.35">
      <c r="A147" s="22" t="e">
        <f>VLOOKUP(A1,DIV_10Data!$A$1:$DZU$1000000,2484,FALSE)</f>
        <v>#N/A</v>
      </c>
      <c r="B147" s="37" t="e">
        <f>VLOOKUP(A1,DIV_10Data!$A$1:$DZU$1000000,2485,FALSE)</f>
        <v>#N/A</v>
      </c>
      <c r="C147" s="38" t="e">
        <f>VLOOKUP(A1,DIV_10Data!$A$1:$DZU$1000000,2486,FALSE)</f>
        <v>#N/A</v>
      </c>
      <c r="D147" s="31" t="e">
        <f>VLOOKUP(A1,DIV_10Data!$A$1:$DZU$1000000,2487,FALSE)</f>
        <v>#N/A</v>
      </c>
      <c r="E147" s="32" t="e">
        <f>VLOOKUP(A1,DIV_10Data!$A$1:$DZU$1000000,2488,FALSE)</f>
        <v>#N/A</v>
      </c>
      <c r="F147" s="34" t="e">
        <f>VLOOKUP(A1,DIV_10Data!$A$1:$DZU$1000000,2489,FALSE)</f>
        <v>#N/A</v>
      </c>
      <c r="G147" s="33" t="e">
        <f>VLOOKUP(A1,DIV_10Data!$A$1:$DZU$1000000,2490,FALSE)</f>
        <v>#N/A</v>
      </c>
      <c r="H147" s="34" t="e">
        <f>VLOOKUP(A1,DIV_10Data!$A$1:$DZU$1000000,2491,FALSE)</f>
        <v>#N/A</v>
      </c>
      <c r="I147" s="33" t="e">
        <f>VLOOKUP(A1,DIV_10Data!$A$1:$DZU$1000000,2492,FALSE)</f>
        <v>#N/A</v>
      </c>
      <c r="J147" s="34" t="e">
        <f>VLOOKUP(A1,DIV_10Data!$A$1:$DZU$1000000,2493,FALSE)</f>
        <v>#N/A</v>
      </c>
      <c r="K147" s="34" t="e">
        <f>VLOOKUP(A1,DIV_10Data!$A$1:$DZU$1000000,2494,FALSE)</f>
        <v>#N/A</v>
      </c>
      <c r="L147" s="93" t="e">
        <f>VLOOKUP(A1,DIV_10Data!$A$1:$DZU$1000000,2495,FALSE)</f>
        <v>#N/A</v>
      </c>
      <c r="M147" s="33" t="e">
        <f>VLOOKUP(A1,DIV_10Data!$A$1:$DZU$1000000,2496,FALSE)</f>
        <v>#N/A</v>
      </c>
      <c r="N147" s="34" t="e">
        <f>VLOOKUP(A1,DIV_10Data!$A$1:$DZU$1000000,2497,FALSE)</f>
        <v>#N/A</v>
      </c>
      <c r="O147" s="33" t="e">
        <f>VLOOKUP(A1,DIV_10Data!$A$1:$DZU$1000000,2498,FALSE)</f>
        <v>#N/A</v>
      </c>
      <c r="P147" s="46" t="e">
        <f>VLOOKUP(A1,DIV_10Data!$A$1:$DZU$1000000,2499,FALSE)</f>
        <v>#N/A</v>
      </c>
      <c r="Q147" s="33" t="e">
        <f>VLOOKUP(A1,DIV_10Data!$A$1:$DZU$1000000,2500,FALSE)</f>
        <v>#N/A</v>
      </c>
    </row>
    <row r="148" spans="1:17" x14ac:dyDescent="0.35">
      <c r="A148" s="22" t="e">
        <f>VLOOKUP(A1,DIV_10Data!$A$1:$DZU$1000000,2501,FALSE)</f>
        <v>#N/A</v>
      </c>
      <c r="B148" s="37" t="e">
        <f>VLOOKUP(A1,DIV_10Data!$A$1:$DZU$1000000,2502,FALSE)</f>
        <v>#N/A</v>
      </c>
      <c r="C148" s="38" t="e">
        <f>VLOOKUP(A1,DIV_10Data!$A$1:$DZU$1000000,2503,FALSE)</f>
        <v>#N/A</v>
      </c>
      <c r="D148" s="31" t="e">
        <f>VLOOKUP(A1,DIV_10Data!$A$1:$DZU$1000000,2504,FALSE)</f>
        <v>#N/A</v>
      </c>
      <c r="E148" s="32" t="e">
        <f>VLOOKUP(A1,DIV_10Data!$A$1:$DZU$1000000,2505,FALSE)</f>
        <v>#N/A</v>
      </c>
      <c r="F148" s="34" t="e">
        <f>VLOOKUP(A1,DIV_10Data!$A$1:$DZU$1000000,2506,FALSE)</f>
        <v>#N/A</v>
      </c>
      <c r="G148" s="33" t="e">
        <f>VLOOKUP(A1,DIV_10Data!$A$1:$DZU$1000000,2507,FALSE)</f>
        <v>#N/A</v>
      </c>
      <c r="H148" s="34" t="e">
        <f>VLOOKUP(A1,DIV_10Data!$A$1:$DZU$1000000,2508,FALSE)</f>
        <v>#N/A</v>
      </c>
      <c r="I148" s="33" t="e">
        <f>VLOOKUP(A1,DIV_10Data!$A$1:$DZU$1000000,2509,FALSE)</f>
        <v>#N/A</v>
      </c>
      <c r="J148" s="34" t="e">
        <f>VLOOKUP(A1,DIV_10Data!$A$1:$DZU$1000000,2510,FALSE)</f>
        <v>#N/A</v>
      </c>
      <c r="K148" s="34" t="e">
        <f>VLOOKUP(A1,DIV_10Data!$A$1:$DZU$1000000,2511,FALSE)</f>
        <v>#N/A</v>
      </c>
      <c r="L148" s="93" t="e">
        <f>VLOOKUP(A1,DIV_10Data!$A$1:$DZU$1000000,2512,FALSE)</f>
        <v>#N/A</v>
      </c>
      <c r="M148" s="33" t="e">
        <f>VLOOKUP(A1,DIV_10Data!$A$1:$DZU$1000000,2513,FALSE)</f>
        <v>#N/A</v>
      </c>
      <c r="N148" s="34" t="e">
        <f>VLOOKUP(A1,DIV_10Data!$A$1:$DZU$1000000,2514,FALSE)</f>
        <v>#N/A</v>
      </c>
      <c r="O148" s="33" t="e">
        <f>VLOOKUP(A1,DIV_10Data!$A$1:$DZU$1000000,2515,FALSE)</f>
        <v>#N/A</v>
      </c>
      <c r="P148" s="46" t="e">
        <f>VLOOKUP(A1,DIV_10Data!$A$1:$DZU$1000000,2516,FALSE)</f>
        <v>#N/A</v>
      </c>
      <c r="Q148" s="33" t="e">
        <f>VLOOKUP(A1,DIV_10Data!$A$1:$DZU$1000000,2517,FALSE)</f>
        <v>#N/A</v>
      </c>
    </row>
    <row r="149" spans="1:17" x14ac:dyDescent="0.35">
      <c r="A149" s="22" t="e">
        <f>VLOOKUP(A1,DIV_10Data!$A$1:$DZU$1000000,2518,FALSE)</f>
        <v>#N/A</v>
      </c>
      <c r="B149" s="37" t="e">
        <f>VLOOKUP(A1,DIV_10Data!$A$1:$DZU$1000000,2519,FALSE)</f>
        <v>#N/A</v>
      </c>
      <c r="C149" s="38" t="e">
        <f>VLOOKUP(A1,DIV_10Data!$A$1:$DZU$1000000,2520,FALSE)</f>
        <v>#N/A</v>
      </c>
      <c r="D149" s="31" t="e">
        <f>VLOOKUP(A1,DIV_10Data!$A$1:$DZU$1000000,2521,FALSE)</f>
        <v>#N/A</v>
      </c>
      <c r="E149" s="32" t="e">
        <f>VLOOKUP(A1,DIV_10Data!$A$1:$DZU$1000000,2522,FALSE)</f>
        <v>#N/A</v>
      </c>
      <c r="F149" s="34" t="e">
        <f>VLOOKUP(A1,DIV_10Data!$A$1:$DZU$1000000,2523,FALSE)</f>
        <v>#N/A</v>
      </c>
      <c r="G149" s="33" t="e">
        <f>VLOOKUP(A1,DIV_10Data!$A$1:$DZU$1000000,2524,FALSE)</f>
        <v>#N/A</v>
      </c>
      <c r="H149" s="34" t="e">
        <f>VLOOKUP(A1,DIV_10Data!$A$1:$DZU$1000000,2525,FALSE)</f>
        <v>#N/A</v>
      </c>
      <c r="I149" s="33" t="e">
        <f>VLOOKUP(A1,DIV_10Data!$A$1:$DZU$1000000,2526,FALSE)</f>
        <v>#N/A</v>
      </c>
      <c r="J149" s="34" t="e">
        <f>VLOOKUP(A1,DIV_10Data!$A$1:$DZU$1000000,2527,FALSE)</f>
        <v>#N/A</v>
      </c>
      <c r="K149" s="34" t="e">
        <f>VLOOKUP(A1,DIV_10Data!$A$1:$DZU$1000000,2528,FALSE)</f>
        <v>#N/A</v>
      </c>
      <c r="L149" s="93" t="e">
        <f>VLOOKUP(A1,DIV_10Data!$A$1:$DZU$1000000,2529,FALSE)</f>
        <v>#N/A</v>
      </c>
      <c r="M149" s="33" t="e">
        <f>VLOOKUP(A1,DIV_10Data!$A$1:$DZU$1000000,2530,FALSE)</f>
        <v>#N/A</v>
      </c>
      <c r="N149" s="34" t="e">
        <f>VLOOKUP(A1,DIV_10Data!$A$1:$DZU$1000000,2531,FALSE)</f>
        <v>#N/A</v>
      </c>
      <c r="O149" s="33" t="e">
        <f>VLOOKUP(A1,DIV_10Data!$A$1:$DZU$1000000,2532,FALSE)</f>
        <v>#N/A</v>
      </c>
      <c r="P149" s="46" t="e">
        <f>VLOOKUP(A1,DIV_10Data!$A$1:$DZU$1000000,2533,FALSE)</f>
        <v>#N/A</v>
      </c>
      <c r="Q149" s="33" t="e">
        <f>VLOOKUP(A1,DIV_10Data!$A$1:$DZU$1000000,2534,FALSE)</f>
        <v>#N/A</v>
      </c>
    </row>
    <row r="150" spans="1:17" x14ac:dyDescent="0.35">
      <c r="A150" s="22" t="e">
        <f>VLOOKUP(A1,DIV_10Data!$A$1:$DZU$1000000,2535,FALSE)</f>
        <v>#N/A</v>
      </c>
      <c r="B150" s="37" t="e">
        <f>VLOOKUP(A1,DIV_10Data!$A$1:$DZU$1000000,2536,FALSE)</f>
        <v>#N/A</v>
      </c>
      <c r="C150" s="38" t="e">
        <f>VLOOKUP(A1,DIV_10Data!$A$1:$DZU$1000000,2537,FALSE)</f>
        <v>#N/A</v>
      </c>
      <c r="D150" s="31" t="e">
        <f>VLOOKUP(A1,DIV_10Data!$A$1:$DZU$1000000,2538,FALSE)</f>
        <v>#N/A</v>
      </c>
      <c r="E150" s="32" t="e">
        <f>VLOOKUP(A1,DIV_10Data!$A$1:$DZU$1000000,2539,FALSE)</f>
        <v>#N/A</v>
      </c>
      <c r="F150" s="34" t="e">
        <f>VLOOKUP(A1,DIV_10Data!$A$1:$DZU$1000000,2540,FALSE)</f>
        <v>#N/A</v>
      </c>
      <c r="G150" s="33" t="e">
        <f>VLOOKUP(A1,DIV_10Data!$A$1:$DZU$1000000,2541,FALSE)</f>
        <v>#N/A</v>
      </c>
      <c r="H150" s="34" t="e">
        <f>VLOOKUP(A1,DIV_10Data!$A$1:$DZU$1000000,2542,FALSE)</f>
        <v>#N/A</v>
      </c>
      <c r="I150" s="33" t="e">
        <f>VLOOKUP(A1,DIV_10Data!$A$1:$DZU$1000000,2543,FALSE)</f>
        <v>#N/A</v>
      </c>
      <c r="J150" s="34" t="e">
        <f>VLOOKUP(A1,DIV_10Data!$A$1:$DZU$1000000,2544,FALSE)</f>
        <v>#N/A</v>
      </c>
      <c r="K150" s="34" t="e">
        <f>VLOOKUP(A1,DIV_10Data!$A$1:$DZU$1000000,2545,FALSE)</f>
        <v>#N/A</v>
      </c>
      <c r="L150" s="93" t="e">
        <f>VLOOKUP(A1,DIV_10Data!$A$1:$DZU$1000000,2546,FALSE)</f>
        <v>#N/A</v>
      </c>
      <c r="M150" s="33" t="e">
        <f>VLOOKUP(A1,DIV_10Data!$A$1:$DZU$1000000,2547,FALSE)</f>
        <v>#N/A</v>
      </c>
      <c r="N150" s="34" t="e">
        <f>VLOOKUP(A1,DIV_10Data!$A$1:$DZU$1000000,2548,FALSE)</f>
        <v>#N/A</v>
      </c>
      <c r="O150" s="33" t="e">
        <f>VLOOKUP(A1,DIV_10Data!$A$1:$DZU$1000000,2549,FALSE)</f>
        <v>#N/A</v>
      </c>
      <c r="P150" s="46" t="e">
        <f>VLOOKUP(A1,DIV_10Data!$A$1:$DZU$1000000,2550,FALSE)</f>
        <v>#N/A</v>
      </c>
      <c r="Q150" s="33" t="e">
        <f>VLOOKUP(A1,DIV_10Data!$A$1:$DZU$1000000,2551,FALSE)</f>
        <v>#N/A</v>
      </c>
    </row>
    <row r="151" spans="1:17" x14ac:dyDescent="0.35">
      <c r="A151" s="22" t="e">
        <f>VLOOKUP(A1,DIV_10Data!$A$1:$DZU$1000000,2552,FALSE)</f>
        <v>#N/A</v>
      </c>
      <c r="B151" s="37" t="e">
        <f>VLOOKUP(A1,DIV_10Data!$A$1:$DZU$1000000,2553,FALSE)</f>
        <v>#N/A</v>
      </c>
      <c r="C151" s="38" t="e">
        <f>VLOOKUP(A1,DIV_10Data!$A$1:$DZU$1000000,2554,FALSE)</f>
        <v>#N/A</v>
      </c>
      <c r="D151" s="31" t="e">
        <f>VLOOKUP(A1,DIV_10Data!$A$1:$DZU$1000000,2555,FALSE)</f>
        <v>#N/A</v>
      </c>
      <c r="E151" s="32" t="e">
        <f>VLOOKUP(A1,DIV_10Data!$A$1:$DZU$1000000,2556,FALSE)</f>
        <v>#N/A</v>
      </c>
      <c r="F151" s="34" t="e">
        <f>VLOOKUP(A1,DIV_10Data!$A$1:$DZU$1000000,2557,FALSE)</f>
        <v>#N/A</v>
      </c>
      <c r="G151" s="33" t="e">
        <f>VLOOKUP(A1,DIV_10Data!$A$1:$DZU$1000000,2558,FALSE)</f>
        <v>#N/A</v>
      </c>
      <c r="H151" s="34" t="e">
        <f>VLOOKUP(A1,DIV_10Data!$A$1:$DZU$1000000,2559,FALSE)</f>
        <v>#N/A</v>
      </c>
      <c r="I151" s="33" t="e">
        <f>VLOOKUP(A1,DIV_10Data!$A$1:$DZU$1000000,2560,FALSE)</f>
        <v>#N/A</v>
      </c>
      <c r="J151" s="34" t="e">
        <f>VLOOKUP(A1,DIV_10Data!$A$1:$DZU$1000000,2561,FALSE)</f>
        <v>#N/A</v>
      </c>
      <c r="K151" s="34" t="e">
        <f>VLOOKUP(A1,DIV_10Data!$A$1:$DZU$1000000,2562,FALSE)</f>
        <v>#N/A</v>
      </c>
      <c r="L151" s="93" t="e">
        <f>VLOOKUP(A1,DIV_10Data!$A$1:$DZU$1000000,2563,FALSE)</f>
        <v>#N/A</v>
      </c>
      <c r="M151" s="33" t="e">
        <f>VLOOKUP(A1,DIV_10Data!$A$1:$DZU$1000000,2564,FALSE)</f>
        <v>#N/A</v>
      </c>
      <c r="N151" s="34" t="e">
        <f>VLOOKUP(A1,DIV_10Data!$A$1:$DZU$1000000,2565,FALSE)</f>
        <v>#N/A</v>
      </c>
      <c r="O151" s="33" t="e">
        <f>VLOOKUP(A1,DIV_10Data!$A$1:$DZU$1000000,2566,FALSE)</f>
        <v>#N/A</v>
      </c>
      <c r="P151" s="46" t="e">
        <f>VLOOKUP(A1,DIV_10Data!$A$1:$DZU$1000000,2567,FALSE)</f>
        <v>#N/A</v>
      </c>
      <c r="Q151" s="33" t="e">
        <f>VLOOKUP(A1,DIV_10Data!$A$1:$DZU$1000000,2568,FALSE)</f>
        <v>#N/A</v>
      </c>
    </row>
    <row r="152" spans="1:17" x14ac:dyDescent="0.35">
      <c r="A152" s="22" t="e">
        <f>VLOOKUP(A1,DIV_10Data!$A$1:$DZU$1000000,2569,FALSE)</f>
        <v>#N/A</v>
      </c>
      <c r="B152" s="37" t="e">
        <f>VLOOKUP(A1,DIV_10Data!$A$1:$DZU$1000000,2570,FALSE)</f>
        <v>#N/A</v>
      </c>
      <c r="C152" s="38" t="e">
        <f>VLOOKUP(A1,DIV_10Data!$A$1:$DZU$1000000,2571,FALSE)</f>
        <v>#N/A</v>
      </c>
      <c r="D152" s="31" t="e">
        <f>VLOOKUP(A1,DIV_10Data!$A$1:$DZU$1000000,2572,FALSE)</f>
        <v>#N/A</v>
      </c>
      <c r="E152" s="32" t="e">
        <f>VLOOKUP(A1,DIV_10Data!$A$1:$DZU$1000000,2573,FALSE)</f>
        <v>#N/A</v>
      </c>
      <c r="F152" s="34" t="e">
        <f>VLOOKUP(A1,DIV_10Data!$A$1:$DZU$1000000,2574,FALSE)</f>
        <v>#N/A</v>
      </c>
      <c r="G152" s="33" t="e">
        <f>VLOOKUP(A1,DIV_10Data!$A$1:$DZU$1000000,2575,FALSE)</f>
        <v>#N/A</v>
      </c>
      <c r="H152" s="34" t="e">
        <f>VLOOKUP(A1,DIV_10Data!$A$1:$DZU$1000000,2576,FALSE)</f>
        <v>#N/A</v>
      </c>
      <c r="I152" s="33" t="e">
        <f>VLOOKUP(A1,DIV_10Data!$A$1:$DZU$1000000,2577,FALSE)</f>
        <v>#N/A</v>
      </c>
      <c r="J152" s="34" t="e">
        <f>VLOOKUP(A1,DIV_10Data!$A$1:$DZU$1000000,2578,FALSE)</f>
        <v>#N/A</v>
      </c>
      <c r="K152" s="34" t="e">
        <f>VLOOKUP(A1,DIV_10Data!$A$1:$DZU$1000000,2579,FALSE)</f>
        <v>#N/A</v>
      </c>
      <c r="L152" s="93" t="e">
        <f>VLOOKUP(A1,DIV_10Data!$A$1:$DZU$1000000,2580,FALSE)</f>
        <v>#N/A</v>
      </c>
      <c r="M152" s="33" t="e">
        <f>VLOOKUP(A1,DIV_10Data!$A$1:$DZU$1000000,2581,FALSE)</f>
        <v>#N/A</v>
      </c>
      <c r="N152" s="34" t="e">
        <f>VLOOKUP(A1,DIV_10Data!$A$1:$DZU$1000000,2582,FALSE)</f>
        <v>#N/A</v>
      </c>
      <c r="O152" s="33" t="e">
        <f>VLOOKUP(A1,DIV_10Data!$A$1:$DZU$1000000,2583,FALSE)</f>
        <v>#N/A</v>
      </c>
      <c r="P152" s="46" t="e">
        <f>VLOOKUP(A1,DIV_10Data!$A$1:$DZU$1000000,2584,FALSE)</f>
        <v>#N/A</v>
      </c>
      <c r="Q152" s="33" t="e">
        <f>VLOOKUP(A1,DIV_10Data!$A$1:$DZU$1000000,2585,FALSE)</f>
        <v>#N/A</v>
      </c>
    </row>
    <row r="153" spans="1:17" x14ac:dyDescent="0.35">
      <c r="A153" s="22" t="e">
        <f>VLOOKUP(A1,DIV_10Data!$A$1:$DZU$1000000,2586,FALSE)</f>
        <v>#N/A</v>
      </c>
      <c r="B153" s="37" t="e">
        <f>VLOOKUP(A1,DIV_10Data!$A$1:$DZU$1000000,2587,FALSE)</f>
        <v>#N/A</v>
      </c>
      <c r="C153" s="38" t="e">
        <f>VLOOKUP(A1,DIV_10Data!$A$1:$DZU$1000000,2588,FALSE)</f>
        <v>#N/A</v>
      </c>
      <c r="D153" s="31" t="e">
        <f>VLOOKUP(A1,DIV_10Data!$A$1:$DZU$1000000,2589,FALSE)</f>
        <v>#N/A</v>
      </c>
      <c r="E153" s="32" t="e">
        <f>VLOOKUP(A1,DIV_10Data!$A$1:$DZU$1000000,2590,FALSE)</f>
        <v>#N/A</v>
      </c>
      <c r="F153" s="34" t="e">
        <f>VLOOKUP(A1,DIV_10Data!$A$1:$DZU$1000000,2591,FALSE)</f>
        <v>#N/A</v>
      </c>
      <c r="G153" s="33" t="e">
        <f>VLOOKUP(A1,DIV_10Data!$A$1:$DZU$1000000,2592,FALSE)</f>
        <v>#N/A</v>
      </c>
      <c r="H153" s="34" t="e">
        <f>VLOOKUP(A1,DIV_10Data!$A$1:$DZU$1000000,2593,FALSE)</f>
        <v>#N/A</v>
      </c>
      <c r="I153" s="33" t="e">
        <f>VLOOKUP(A1,DIV_10Data!$A$1:$DZU$1000000,2594,FALSE)</f>
        <v>#N/A</v>
      </c>
      <c r="J153" s="34" t="e">
        <f>VLOOKUP(A1,DIV_10Data!$A$1:$DZU$1000000,2595,FALSE)</f>
        <v>#N/A</v>
      </c>
      <c r="K153" s="34" t="e">
        <f>VLOOKUP(A1,DIV_10Data!$A$1:$DZU$1000000,2596,FALSE)</f>
        <v>#N/A</v>
      </c>
      <c r="L153" s="93" t="e">
        <f>VLOOKUP(A1,DIV_10Data!$A$1:$DZU$1000000,2597,FALSE)</f>
        <v>#N/A</v>
      </c>
      <c r="M153" s="33" t="e">
        <f>VLOOKUP(A1,DIV_10Data!$A$1:$DZU$1000000,2598,FALSE)</f>
        <v>#N/A</v>
      </c>
      <c r="N153" s="34" t="e">
        <f>VLOOKUP(A1,DIV_10Data!$A$1:$DZU$1000000,2599,FALSE)</f>
        <v>#N/A</v>
      </c>
      <c r="O153" s="33" t="e">
        <f>VLOOKUP(A1,DIV_10Data!$A$1:$DZU$1000000,2600,FALSE)</f>
        <v>#N/A</v>
      </c>
      <c r="P153" s="46" t="e">
        <f>VLOOKUP(A1,DIV_10Data!$A$1:$DZU$1000000,2601,FALSE)</f>
        <v>#N/A</v>
      </c>
      <c r="Q153" s="33" t="e">
        <f>VLOOKUP(A1,DIV_10Data!$A$1:$DZU$1000000,2602,FALSE)</f>
        <v>#N/A</v>
      </c>
    </row>
    <row r="154" spans="1:17" x14ac:dyDescent="0.35">
      <c r="A154" s="22" t="e">
        <f>VLOOKUP(A1,DIV_10Data!$A$1:$DZU$1000000,2603,FALSE)</f>
        <v>#N/A</v>
      </c>
      <c r="B154" s="37" t="e">
        <f>VLOOKUP(A1,DIV_10Data!$A$1:$DZU$1000000,2604,FALSE)</f>
        <v>#N/A</v>
      </c>
      <c r="C154" s="38" t="e">
        <f>VLOOKUP(A1,DIV_10Data!$A$1:$DZU$1000000,2605,FALSE)</f>
        <v>#N/A</v>
      </c>
      <c r="D154" s="31" t="e">
        <f>VLOOKUP(A1,DIV_10Data!$A$1:$DZU$1000000,2606,FALSE)</f>
        <v>#N/A</v>
      </c>
      <c r="E154" s="32" t="e">
        <f>VLOOKUP(A1,DIV_10Data!$A$1:$DZU$1000000,2607,FALSE)</f>
        <v>#N/A</v>
      </c>
      <c r="F154" s="34" t="e">
        <f>VLOOKUP(A1,DIV_10Data!$A$1:$DZU$1000000,2608,FALSE)</f>
        <v>#N/A</v>
      </c>
      <c r="G154" s="33" t="e">
        <f>VLOOKUP(A1,DIV_10Data!$A$1:$DZU$1000000,2609,FALSE)</f>
        <v>#N/A</v>
      </c>
      <c r="H154" s="34" t="e">
        <f>VLOOKUP(A1,DIV_10Data!$A$1:$DZU$1000000,2610,FALSE)</f>
        <v>#N/A</v>
      </c>
      <c r="I154" s="33" t="e">
        <f>VLOOKUP(A1,DIV_10Data!$A$1:$DZU$1000000,2611,FALSE)</f>
        <v>#N/A</v>
      </c>
      <c r="J154" s="34" t="e">
        <f>VLOOKUP(A1,DIV_10Data!$A$1:$DZU$1000000,2612,FALSE)</f>
        <v>#N/A</v>
      </c>
      <c r="K154" s="34" t="e">
        <f>VLOOKUP(A1,DIV_10Data!$A$1:$DZU$1000000,2613,FALSE)</f>
        <v>#N/A</v>
      </c>
      <c r="L154" s="93" t="e">
        <f>VLOOKUP(A1,DIV_10Data!$A$1:$DZU$1000000,2614,FALSE)</f>
        <v>#N/A</v>
      </c>
      <c r="M154" s="33" t="e">
        <f>VLOOKUP(A1,DIV_10Data!$A$1:$DZU$1000000,2615,FALSE)</f>
        <v>#N/A</v>
      </c>
      <c r="N154" s="34" t="e">
        <f>VLOOKUP(A1,DIV_10Data!$A$1:$DZU$1000000,2616,FALSE)</f>
        <v>#N/A</v>
      </c>
      <c r="O154" s="33" t="e">
        <f>VLOOKUP(A1,DIV_10Data!$A$1:$DZU$1000000,2617,FALSE)</f>
        <v>#N/A</v>
      </c>
      <c r="P154" s="46" t="e">
        <f>VLOOKUP(A1,DIV_10Data!$A$1:$DZU$1000000,2618,FALSE)</f>
        <v>#N/A</v>
      </c>
      <c r="Q154" s="33" t="e">
        <f>VLOOKUP(A1,DIV_10Data!$A$1:$DZU$1000000,2619,FALSE)</f>
        <v>#N/A</v>
      </c>
    </row>
    <row r="155" spans="1:17" x14ac:dyDescent="0.35">
      <c r="A155" s="22" t="e">
        <f>VLOOKUP(A1,DIV_10Data!$A$1:$DZU$1000000,2620,FALSE)</f>
        <v>#N/A</v>
      </c>
      <c r="B155" s="37" t="e">
        <f>VLOOKUP(A1,DIV_10Data!$A$1:$DZU$1000000,2621,FALSE)</f>
        <v>#N/A</v>
      </c>
      <c r="C155" s="38" t="e">
        <f>VLOOKUP(A1,DIV_10Data!$A$1:$DZU$1000000,2622,FALSE)</f>
        <v>#N/A</v>
      </c>
      <c r="D155" s="31" t="e">
        <f>VLOOKUP(A1,DIV_10Data!$A$1:$DZU$1000000,2623,FALSE)</f>
        <v>#N/A</v>
      </c>
      <c r="E155" s="32" t="e">
        <f>VLOOKUP(A1,DIV_10Data!$A$1:$DZU$1000000,2624,FALSE)</f>
        <v>#N/A</v>
      </c>
      <c r="F155" s="34" t="e">
        <f>VLOOKUP(A1,DIV_10Data!$A$1:$DZU$1000000,2625,FALSE)</f>
        <v>#N/A</v>
      </c>
      <c r="G155" s="33" t="e">
        <f>VLOOKUP(A1,DIV_10Data!$A$1:$DZU$1000000,2626,FALSE)</f>
        <v>#N/A</v>
      </c>
      <c r="H155" s="34" t="e">
        <f>VLOOKUP(A1,DIV_10Data!$A$1:$DZU$1000000,2627,FALSE)</f>
        <v>#N/A</v>
      </c>
      <c r="I155" s="33" t="e">
        <f>VLOOKUP(A1,DIV_10Data!$A$1:$DZU$1000000,2628,FALSE)</f>
        <v>#N/A</v>
      </c>
      <c r="J155" s="34" t="e">
        <f>VLOOKUP(A1,DIV_10Data!$A$1:$DZU$1000000,2629,FALSE)</f>
        <v>#N/A</v>
      </c>
      <c r="K155" s="34" t="e">
        <f>VLOOKUP(A1,DIV_10Data!$A$1:$DZU$1000000,2630,FALSE)</f>
        <v>#N/A</v>
      </c>
      <c r="L155" s="93" t="e">
        <f>VLOOKUP(A1,DIV_10Data!$A$1:$DZU$1000000,2631,FALSE)</f>
        <v>#N/A</v>
      </c>
      <c r="M155" s="33" t="e">
        <f>VLOOKUP(A1,DIV_10Data!$A$1:$DZU$1000000,2632,FALSE)</f>
        <v>#N/A</v>
      </c>
      <c r="N155" s="34" t="e">
        <f>VLOOKUP(A1,DIV_10Data!$A$1:$DZU$1000000,2633,FALSE)</f>
        <v>#N/A</v>
      </c>
      <c r="O155" s="33" t="e">
        <f>VLOOKUP(A1,DIV_10Data!$A$1:$DZU$1000000,2634,FALSE)</f>
        <v>#N/A</v>
      </c>
      <c r="P155" s="46" t="e">
        <f>VLOOKUP(A1,DIV_10Data!$A$1:$DZU$1000000,2635,FALSE)</f>
        <v>#N/A</v>
      </c>
      <c r="Q155" s="33" t="e">
        <f>VLOOKUP(A1,DIV_10Data!$A$1:$DZU$1000000,2636,FALSE)</f>
        <v>#N/A</v>
      </c>
    </row>
    <row r="156" spans="1:17" x14ac:dyDescent="0.35">
      <c r="A156" s="22" t="e">
        <f>VLOOKUP(A1,DIV_10Data!$A$1:$DZU$1000000,2637,FALSE)</f>
        <v>#N/A</v>
      </c>
      <c r="B156" s="37" t="e">
        <f>VLOOKUP(A1,DIV_10Data!$A$1:$DZU$1000000,2638,FALSE)</f>
        <v>#N/A</v>
      </c>
      <c r="C156" s="38" t="e">
        <f>VLOOKUP(A1,DIV_10Data!$A$1:$DZU$1000000,2639,FALSE)</f>
        <v>#N/A</v>
      </c>
      <c r="D156" s="31" t="e">
        <f>VLOOKUP(A1,DIV_10Data!$A$1:$DZU$1000000,2640,FALSE)</f>
        <v>#N/A</v>
      </c>
      <c r="E156" s="32" t="e">
        <f>VLOOKUP(A1,DIV_10Data!$A$1:$DZU$1000000,2641,FALSE)</f>
        <v>#N/A</v>
      </c>
      <c r="F156" s="34" t="e">
        <f>VLOOKUP(A1,DIV_10Data!$A$1:$DZU$1000000,2642,FALSE)</f>
        <v>#N/A</v>
      </c>
      <c r="G156" s="33" t="e">
        <f>VLOOKUP(A1,DIV_10Data!$A$1:$DZU$1000000,2643,FALSE)</f>
        <v>#N/A</v>
      </c>
      <c r="H156" s="34" t="e">
        <f>VLOOKUP(A1,DIV_10Data!$A$1:$DZU$1000000,2644,FALSE)</f>
        <v>#N/A</v>
      </c>
      <c r="I156" s="33" t="e">
        <f>VLOOKUP(A1,DIV_10Data!$A$1:$DZU$1000000,2645,FALSE)</f>
        <v>#N/A</v>
      </c>
      <c r="J156" s="34" t="e">
        <f>VLOOKUP(A1,DIV_10Data!$A$1:$DZU$1000000,2646,FALSE)</f>
        <v>#N/A</v>
      </c>
      <c r="K156" s="34" t="e">
        <f>VLOOKUP(A1,DIV_10Data!$A$1:$DZU$1000000,2647,FALSE)</f>
        <v>#N/A</v>
      </c>
      <c r="L156" s="93" t="e">
        <f>VLOOKUP(A1,DIV_10Data!$A$1:$DZU$1000000,2648,FALSE)</f>
        <v>#N/A</v>
      </c>
      <c r="M156" s="33" t="e">
        <f>VLOOKUP(A1,DIV_10Data!$A$1:$DZU$1000000,2649,FALSE)</f>
        <v>#N/A</v>
      </c>
      <c r="N156" s="34" t="e">
        <f>VLOOKUP(A1,DIV_10Data!$A$1:$DZU$1000000,2650,FALSE)</f>
        <v>#N/A</v>
      </c>
      <c r="O156" s="33" t="e">
        <f>VLOOKUP(A1,DIV_10Data!$A$1:$DZU$1000000,2651,FALSE)</f>
        <v>#N/A</v>
      </c>
      <c r="P156" s="46" t="e">
        <f>VLOOKUP(A1,DIV_10Data!$A$1:$DZU$1000000,2652,FALSE)</f>
        <v>#N/A</v>
      </c>
      <c r="Q156" s="33" t="e">
        <f>VLOOKUP(A1,DIV_10Data!$A$1:$DZU$1000000,2653,FALSE)</f>
        <v>#N/A</v>
      </c>
    </row>
    <row r="157" spans="1:17" x14ac:dyDescent="0.35">
      <c r="A157" s="22" t="e">
        <f>VLOOKUP(A1,DIV_10Data!$A$1:$DZU$1000000,2654,FALSE)</f>
        <v>#N/A</v>
      </c>
      <c r="B157" s="37" t="e">
        <f>VLOOKUP(A1,DIV_10Data!$A$1:$DZU$1000000,2655,FALSE)</f>
        <v>#N/A</v>
      </c>
      <c r="C157" s="38" t="e">
        <f>VLOOKUP(A1,DIV_10Data!$A$1:$DZU$1000000,2656,FALSE)</f>
        <v>#N/A</v>
      </c>
      <c r="D157" s="31" t="e">
        <f>VLOOKUP(A1,DIV_10Data!$A$1:$DZU$1000000,2657,FALSE)</f>
        <v>#N/A</v>
      </c>
      <c r="E157" s="32" t="e">
        <f>VLOOKUP(A1,DIV_10Data!$A$1:$DZU$1000000,2658,FALSE)</f>
        <v>#N/A</v>
      </c>
      <c r="F157" s="34" t="e">
        <f>VLOOKUP(A1,DIV_10Data!$A$1:$DZU$1000000,2659,FALSE)</f>
        <v>#N/A</v>
      </c>
      <c r="G157" s="33" t="e">
        <f>VLOOKUP(A1,DIV_10Data!$A$1:$DZU$1000000,2660,FALSE)</f>
        <v>#N/A</v>
      </c>
      <c r="H157" s="34" t="e">
        <f>VLOOKUP(A1,DIV_10Data!$A$1:$DZU$1000000,2661,FALSE)</f>
        <v>#N/A</v>
      </c>
      <c r="I157" s="33" t="e">
        <f>VLOOKUP(A1,DIV_10Data!$A$1:$DZU$1000000,2662,FALSE)</f>
        <v>#N/A</v>
      </c>
      <c r="J157" s="34" t="e">
        <f>VLOOKUP(A1,DIV_10Data!$A$1:$DZU$1000000,2663,FALSE)</f>
        <v>#N/A</v>
      </c>
      <c r="K157" s="34" t="e">
        <f>VLOOKUP(A1,DIV_10Data!$A$1:$DZU$1000000,2664,FALSE)</f>
        <v>#N/A</v>
      </c>
      <c r="L157" s="93" t="e">
        <f>VLOOKUP(A1,DIV_10Data!$A$1:$DZU$1000000,2665,FALSE)</f>
        <v>#N/A</v>
      </c>
      <c r="M157" s="33" t="e">
        <f>VLOOKUP(A1,DIV_10Data!$A$1:$DZU$1000000,2666,FALSE)</f>
        <v>#N/A</v>
      </c>
      <c r="N157" s="34" t="e">
        <f>VLOOKUP(A1,DIV_10Data!$A$1:$DZU$1000000,2667,FALSE)</f>
        <v>#N/A</v>
      </c>
      <c r="O157" s="33" t="e">
        <f>VLOOKUP(A1,DIV_10Data!$A$1:$DZU$1000000,2668,FALSE)</f>
        <v>#N/A</v>
      </c>
      <c r="P157" s="46" t="e">
        <f>VLOOKUP(A1,DIV_10Data!$A$1:$DZU$1000000,2669,FALSE)</f>
        <v>#N/A</v>
      </c>
      <c r="Q157" s="33" t="e">
        <f>VLOOKUP(A1,DIV_10Data!$A$1:$DZU$1000000,2670,FALSE)</f>
        <v>#N/A</v>
      </c>
    </row>
    <row r="158" spans="1:17" x14ac:dyDescent="0.35">
      <c r="A158" s="22" t="e">
        <f>VLOOKUP(A1,DIV_10Data!$A$1:$DZU$1000000,2671,FALSE)</f>
        <v>#N/A</v>
      </c>
      <c r="B158" s="37" t="e">
        <f>VLOOKUP(A1,DIV_10Data!$A$1:$DZU$1000000,2672,FALSE)</f>
        <v>#N/A</v>
      </c>
      <c r="C158" s="38" t="e">
        <f>VLOOKUP(A1,DIV_10Data!$A$1:$DZU$1000000,2673,FALSE)</f>
        <v>#N/A</v>
      </c>
      <c r="D158" s="31" t="e">
        <f>VLOOKUP(A1,DIV_10Data!$A$1:$DZU$1000000,2674,FALSE)</f>
        <v>#N/A</v>
      </c>
      <c r="E158" s="32" t="e">
        <f>VLOOKUP(A1,DIV_10Data!$A$1:$DZU$1000000,2675,FALSE)</f>
        <v>#N/A</v>
      </c>
      <c r="F158" s="34" t="e">
        <f>VLOOKUP(A1,DIV_10Data!$A$1:$DZU$1000000,2676,FALSE)</f>
        <v>#N/A</v>
      </c>
      <c r="G158" s="33" t="e">
        <f>VLOOKUP(A1,DIV_10Data!$A$1:$DZU$1000000,2677,FALSE)</f>
        <v>#N/A</v>
      </c>
      <c r="H158" s="34" t="e">
        <f>VLOOKUP(A1,DIV_10Data!$A$1:$DZU$1000000,2678,FALSE)</f>
        <v>#N/A</v>
      </c>
      <c r="I158" s="33" t="e">
        <f>VLOOKUP(A1,DIV_10Data!$A$1:$DZU$1000000,2679,FALSE)</f>
        <v>#N/A</v>
      </c>
      <c r="J158" s="34" t="e">
        <f>VLOOKUP(A1,DIV_10Data!$A$1:$DZU$1000000,2680,FALSE)</f>
        <v>#N/A</v>
      </c>
      <c r="K158" s="34" t="e">
        <f>VLOOKUP(A1,DIV_10Data!$A$1:$DZU$1000000,2681,FALSE)</f>
        <v>#N/A</v>
      </c>
      <c r="L158" s="93" t="e">
        <f>VLOOKUP(A1,DIV_10Data!$A$1:$DZU$1000000,2682,FALSE)</f>
        <v>#N/A</v>
      </c>
      <c r="M158" s="33" t="e">
        <f>VLOOKUP(A1,DIV_10Data!$A$1:$DZU$1000000,2683,FALSE)</f>
        <v>#N/A</v>
      </c>
      <c r="N158" s="34" t="e">
        <f>VLOOKUP(A1,DIV_10Data!$A$1:$DZU$1000000,2684,FALSE)</f>
        <v>#N/A</v>
      </c>
      <c r="O158" s="33" t="e">
        <f>VLOOKUP(A1,DIV_10Data!$A$1:$DZU$1000000,2685,FALSE)</f>
        <v>#N/A</v>
      </c>
      <c r="P158" s="46" t="e">
        <f>VLOOKUP(A1,DIV_10Data!$A$1:$DZU$1000000,2686,FALSE)</f>
        <v>#N/A</v>
      </c>
      <c r="Q158" s="33" t="e">
        <f>VLOOKUP(A1,DIV_10Data!$A$1:$DZU$1000000,2687,FALSE)</f>
        <v>#N/A</v>
      </c>
    </row>
    <row r="159" spans="1:17" x14ac:dyDescent="0.35">
      <c r="A159" s="22" t="e">
        <f>VLOOKUP(A1,DIV_10Data!$A$1:$DZU$1000000,2688,FALSE)</f>
        <v>#N/A</v>
      </c>
      <c r="B159" s="37" t="e">
        <f>VLOOKUP(A1,DIV_10Data!$A$1:$DZU$1000000,2689,FALSE)</f>
        <v>#N/A</v>
      </c>
      <c r="C159" s="38" t="e">
        <f>VLOOKUP(A1,DIV_10Data!$A$1:$DZU$1000000,2690,FALSE)</f>
        <v>#N/A</v>
      </c>
      <c r="D159" s="31" t="e">
        <f>VLOOKUP(A1,DIV_10Data!$A$1:$DZU$1000000,2691,FALSE)</f>
        <v>#N/A</v>
      </c>
      <c r="E159" s="32" t="e">
        <f>VLOOKUP(A1,DIV_10Data!$A$1:$DZU$1000000,2692,FALSE)</f>
        <v>#N/A</v>
      </c>
      <c r="F159" s="34" t="e">
        <f>VLOOKUP(A1,DIV_10Data!$A$1:$DZU$1000000,2693,FALSE)</f>
        <v>#N/A</v>
      </c>
      <c r="G159" s="33" t="e">
        <f>VLOOKUP(A1,DIV_10Data!$A$1:$DZU$1000000,2694,FALSE)</f>
        <v>#N/A</v>
      </c>
      <c r="H159" s="34" t="e">
        <f>VLOOKUP(A1,DIV_10Data!$A$1:$DZU$1000000,2695,FALSE)</f>
        <v>#N/A</v>
      </c>
      <c r="I159" s="33" t="e">
        <f>VLOOKUP(A1,DIV_10Data!$A$1:$DZU$1000000,2696,FALSE)</f>
        <v>#N/A</v>
      </c>
      <c r="J159" s="34" t="e">
        <f>VLOOKUP(A1,DIV_10Data!$A$1:$DZU$1000000,2697,FALSE)</f>
        <v>#N/A</v>
      </c>
      <c r="K159" s="34" t="e">
        <f>VLOOKUP(A1,DIV_10Data!$A$1:$DZU$1000000,2698,FALSE)</f>
        <v>#N/A</v>
      </c>
      <c r="L159" s="93" t="e">
        <f>VLOOKUP(A1,DIV_10Data!$A$1:$DZU$1000000,2699,FALSE)</f>
        <v>#N/A</v>
      </c>
      <c r="M159" s="33" t="e">
        <f>VLOOKUP(A1,DIV_10Data!$A$1:$DZU$1000000,2700,FALSE)</f>
        <v>#N/A</v>
      </c>
      <c r="N159" s="34" t="e">
        <f>VLOOKUP(A1,DIV_10Data!$A$1:$DZU$1000000,2701,FALSE)</f>
        <v>#N/A</v>
      </c>
      <c r="O159" s="33" t="e">
        <f>VLOOKUP(A1,DIV_10Data!$A$1:$DZU$1000000,2702,FALSE)</f>
        <v>#N/A</v>
      </c>
      <c r="P159" s="46" t="e">
        <f>VLOOKUP(A1,DIV_10Data!$A$1:$DZU$1000000,2703,FALSE)</f>
        <v>#N/A</v>
      </c>
      <c r="Q159" s="33" t="e">
        <f>VLOOKUP(A1,DIV_10Data!$A$1:$DZU$1000000,2704,FALSE)</f>
        <v>#N/A</v>
      </c>
    </row>
    <row r="160" spans="1:17" x14ac:dyDescent="0.35">
      <c r="A160" s="22" t="e">
        <f>VLOOKUP(A1,DIV_10Data!$A$1:$DZU$1000000,2705,FALSE)</f>
        <v>#N/A</v>
      </c>
      <c r="B160" s="37" t="e">
        <f>VLOOKUP(A1,DIV_10Data!$A$1:$DZU$1000000,2706,FALSE)</f>
        <v>#N/A</v>
      </c>
      <c r="C160" s="38" t="e">
        <f>VLOOKUP(A1,DIV_10Data!$A$1:$DZU$1000000,2707,FALSE)</f>
        <v>#N/A</v>
      </c>
      <c r="D160" s="31" t="e">
        <f>VLOOKUP(A1,DIV_10Data!$A$1:$DZU$1000000,2708,FALSE)</f>
        <v>#N/A</v>
      </c>
      <c r="E160" s="32" t="e">
        <f>VLOOKUP(A1,DIV_10Data!$A$1:$DZU$1000000,2709,FALSE)</f>
        <v>#N/A</v>
      </c>
      <c r="F160" s="34" t="e">
        <f>VLOOKUP(A1,DIV_10Data!$A$1:$DZU$1000000,2710,FALSE)</f>
        <v>#N/A</v>
      </c>
      <c r="G160" s="33" t="e">
        <f>VLOOKUP(A1,DIV_10Data!$A$1:$DZU$1000000,2711,FALSE)</f>
        <v>#N/A</v>
      </c>
      <c r="H160" s="34" t="e">
        <f>VLOOKUP(A1,DIV_10Data!$A$1:$DZU$1000000,2712,FALSE)</f>
        <v>#N/A</v>
      </c>
      <c r="I160" s="33" t="e">
        <f>VLOOKUP(A1,DIV_10Data!$A$1:$DZU$1000000,2713,FALSE)</f>
        <v>#N/A</v>
      </c>
      <c r="J160" s="34" t="e">
        <f>VLOOKUP(A1,DIV_10Data!$A$1:$DZU$1000000,2714,FALSE)</f>
        <v>#N/A</v>
      </c>
      <c r="K160" s="34" t="e">
        <f>VLOOKUP(A1,DIV_10Data!$A$1:$DZU$1000000,2715,FALSE)</f>
        <v>#N/A</v>
      </c>
      <c r="L160" s="93" t="e">
        <f>VLOOKUP(A1,DIV_10Data!$A$1:$DZU$1000000,2716,FALSE)</f>
        <v>#N/A</v>
      </c>
      <c r="M160" s="33" t="e">
        <f>VLOOKUP(A1,DIV_10Data!$A$1:$DZU$1000000,2717,FALSE)</f>
        <v>#N/A</v>
      </c>
      <c r="N160" s="34" t="e">
        <f>VLOOKUP(A1,DIV_10Data!$A$1:$DZU$1000000,2718,FALSE)</f>
        <v>#N/A</v>
      </c>
      <c r="O160" s="33" t="e">
        <f>VLOOKUP(A1,DIV_10Data!$A$1:$DZU$1000000,2719,FALSE)</f>
        <v>#N/A</v>
      </c>
      <c r="P160" s="46" t="e">
        <f>VLOOKUP(A1,DIV_10Data!$A$1:$DZU$1000000,2720,FALSE)</f>
        <v>#N/A</v>
      </c>
      <c r="Q160" s="33" t="e">
        <f>VLOOKUP(A1,DIV_10Data!$A$1:$DZU$1000000,2721,FALSE)</f>
        <v>#N/A</v>
      </c>
    </row>
    <row r="161" spans="1:17" x14ac:dyDescent="0.35">
      <c r="A161" s="22" t="e">
        <f>VLOOKUP(A1,DIV_10Data!$A$1:$DZU$1000000,2722,FALSE)</f>
        <v>#N/A</v>
      </c>
      <c r="B161" s="37" t="e">
        <f>VLOOKUP(A1,DIV_10Data!$A$1:$DZU$1000000,2723,FALSE)</f>
        <v>#N/A</v>
      </c>
      <c r="C161" s="38" t="e">
        <f>VLOOKUP(A1,DIV_10Data!$A$1:$DZU$1000000,2724,FALSE)</f>
        <v>#N/A</v>
      </c>
      <c r="D161" s="31" t="e">
        <f>VLOOKUP(A1,DIV_10Data!$A$1:$DZU$1000000,2725,FALSE)</f>
        <v>#N/A</v>
      </c>
      <c r="E161" s="32" t="e">
        <f>VLOOKUP(A1,DIV_10Data!$A$1:$DZU$1000000,2726,FALSE)</f>
        <v>#N/A</v>
      </c>
      <c r="F161" s="34" t="e">
        <f>VLOOKUP(A1,DIV_10Data!$A$1:$DZU$1000000,2727,FALSE)</f>
        <v>#N/A</v>
      </c>
      <c r="G161" s="33" t="e">
        <f>VLOOKUP(A1,DIV_10Data!$A$1:$DZU$1000000,2728,FALSE)</f>
        <v>#N/A</v>
      </c>
      <c r="H161" s="34" t="e">
        <f>VLOOKUP(A1,DIV_10Data!$A$1:$DZU$1000000,2729,FALSE)</f>
        <v>#N/A</v>
      </c>
      <c r="I161" s="33" t="e">
        <f>VLOOKUP(A1,DIV_10Data!$A$1:$DZU$1000000,2730,FALSE)</f>
        <v>#N/A</v>
      </c>
      <c r="J161" s="34" t="e">
        <f>VLOOKUP(A1,DIV_10Data!$A$1:$DZU$1000000,2731,FALSE)</f>
        <v>#N/A</v>
      </c>
      <c r="K161" s="34" t="e">
        <f>VLOOKUP(A1,DIV_10Data!$A$1:$DZU$1000000,2732,FALSE)</f>
        <v>#N/A</v>
      </c>
      <c r="L161" s="93" t="e">
        <f>VLOOKUP(A1,DIV_10Data!$A$1:$DZU$1000000,2733,FALSE)</f>
        <v>#N/A</v>
      </c>
      <c r="M161" s="33" t="e">
        <f>VLOOKUP(A1,DIV_10Data!$A$1:$DZU$1000000,2734,FALSE)</f>
        <v>#N/A</v>
      </c>
      <c r="N161" s="34" t="e">
        <f>VLOOKUP(A1,DIV_10Data!$A$1:$DZU$1000000,2735,FALSE)</f>
        <v>#N/A</v>
      </c>
      <c r="O161" s="33" t="e">
        <f>VLOOKUP(A1,DIV_10Data!$A$1:$DZU$1000000,2736,FALSE)</f>
        <v>#N/A</v>
      </c>
      <c r="P161" s="46" t="e">
        <f>VLOOKUP(A1,DIV_10Data!$A$1:$DZU$1000000,2737,FALSE)</f>
        <v>#N/A</v>
      </c>
      <c r="Q161" s="33" t="e">
        <f>VLOOKUP(A1,DIV_10Data!$A$1:$DZU$1000000,2738,FALSE)</f>
        <v>#N/A</v>
      </c>
    </row>
    <row r="162" spans="1:17" x14ac:dyDescent="0.35">
      <c r="A162" s="22" t="e">
        <f>VLOOKUP(A1,DIV_10Data!$A$1:$DZU$1000000,2739,FALSE)</f>
        <v>#N/A</v>
      </c>
      <c r="B162" s="37" t="e">
        <f>VLOOKUP(A1,DIV_10Data!$A$1:$DZU$1000000,2740,FALSE)</f>
        <v>#N/A</v>
      </c>
      <c r="C162" s="38" t="e">
        <f>VLOOKUP(A1,DIV_10Data!$A$1:$DZU$1000000,2741,FALSE)</f>
        <v>#N/A</v>
      </c>
      <c r="D162" s="31" t="e">
        <f>VLOOKUP(A1,DIV_10Data!$A$1:$DZU$1000000,2742,FALSE)</f>
        <v>#N/A</v>
      </c>
      <c r="E162" s="32" t="e">
        <f>VLOOKUP(A1,DIV_10Data!$A$1:$DZU$1000000,2743,FALSE)</f>
        <v>#N/A</v>
      </c>
      <c r="F162" s="34" t="e">
        <f>VLOOKUP(A1,DIV_10Data!$A$1:$DZU$1000000,2744,FALSE)</f>
        <v>#N/A</v>
      </c>
      <c r="G162" s="33" t="e">
        <f>VLOOKUP(A1,DIV_10Data!$A$1:$DZU$1000000,2745,FALSE)</f>
        <v>#N/A</v>
      </c>
      <c r="H162" s="34" t="e">
        <f>VLOOKUP(A1,DIV_10Data!$A$1:$DZU$1000000,2746,FALSE)</f>
        <v>#N/A</v>
      </c>
      <c r="I162" s="33" t="e">
        <f>VLOOKUP(A1,DIV_10Data!$A$1:$DZU$1000000,2747,FALSE)</f>
        <v>#N/A</v>
      </c>
      <c r="J162" s="34" t="e">
        <f>VLOOKUP(A1,DIV_10Data!$A$1:$DZU$1000000,2748,FALSE)</f>
        <v>#N/A</v>
      </c>
      <c r="K162" s="34" t="e">
        <f>VLOOKUP(A1,DIV_10Data!$A$1:$DZU$1000000,2749,FALSE)</f>
        <v>#N/A</v>
      </c>
      <c r="L162" s="93" t="e">
        <f>VLOOKUP(A1,DIV_10Data!$A$1:$DZU$1000000,2750,FALSE)</f>
        <v>#N/A</v>
      </c>
      <c r="M162" s="33" t="e">
        <f>VLOOKUP(A1,DIV_10Data!$A$1:$DZU$1000000,2751,FALSE)</f>
        <v>#N/A</v>
      </c>
      <c r="N162" s="34" t="e">
        <f>VLOOKUP(A1,DIV_10Data!$A$1:$DZU$1000000,2752,FALSE)</f>
        <v>#N/A</v>
      </c>
      <c r="O162" s="33" t="e">
        <f>VLOOKUP(A1,DIV_10Data!$A$1:$DZU$1000000,2753,FALSE)</f>
        <v>#N/A</v>
      </c>
      <c r="P162" s="46" t="e">
        <f>VLOOKUP(A1,DIV_10Data!$A$1:$DZU$1000000,2754,FALSE)</f>
        <v>#N/A</v>
      </c>
      <c r="Q162" s="33" t="e">
        <f>VLOOKUP(A1,DIV_10Data!$A$1:$DZU$1000000,2755,FALSE)</f>
        <v>#N/A</v>
      </c>
    </row>
    <row r="163" spans="1:17" x14ac:dyDescent="0.35">
      <c r="A163" s="22" t="e">
        <f>VLOOKUP(A1,DIV_10Data!$A$1:$DZU$1000000,2756,FALSE)</f>
        <v>#N/A</v>
      </c>
      <c r="B163" s="37" t="e">
        <f>VLOOKUP(A1,DIV_10Data!$A$1:$DZU$1000000,2757,FALSE)</f>
        <v>#N/A</v>
      </c>
      <c r="C163" s="38" t="e">
        <f>VLOOKUP(A1,DIV_10Data!$A$1:$DZU$1000000,2758,FALSE)</f>
        <v>#N/A</v>
      </c>
      <c r="D163" s="31" t="e">
        <f>VLOOKUP(A1,DIV_10Data!$A$1:$DZU$1000000,2759,FALSE)</f>
        <v>#N/A</v>
      </c>
      <c r="E163" s="32" t="e">
        <f>VLOOKUP(A1,DIV_10Data!$A$1:$DZU$1000000,2760,FALSE)</f>
        <v>#N/A</v>
      </c>
      <c r="F163" s="34" t="e">
        <f>VLOOKUP(A1,DIV_10Data!$A$1:$DZU$1000000,2761,FALSE)</f>
        <v>#N/A</v>
      </c>
      <c r="G163" s="33" t="e">
        <f>VLOOKUP(A1,DIV_10Data!$A$1:$DZU$1000000,2762,FALSE)</f>
        <v>#N/A</v>
      </c>
      <c r="H163" s="34" t="e">
        <f>VLOOKUP(A1,DIV_10Data!$A$1:$DZU$1000000,2763,FALSE)</f>
        <v>#N/A</v>
      </c>
      <c r="I163" s="33" t="e">
        <f>VLOOKUP(A1,DIV_10Data!$A$1:$DZU$1000000,2764,FALSE)</f>
        <v>#N/A</v>
      </c>
      <c r="J163" s="34" t="e">
        <f>VLOOKUP(A1,DIV_10Data!$A$1:$DZU$1000000,2765,FALSE)</f>
        <v>#N/A</v>
      </c>
      <c r="K163" s="34" t="e">
        <f>VLOOKUP(A1,DIV_10Data!$A$1:$DZU$1000000,2766,FALSE)</f>
        <v>#N/A</v>
      </c>
      <c r="L163" s="93" t="e">
        <f>VLOOKUP(A1,DIV_10Data!$A$1:$DZU$1000000,2767,FALSE)</f>
        <v>#N/A</v>
      </c>
      <c r="M163" s="33" t="e">
        <f>VLOOKUP(A1,DIV_10Data!$A$1:$DZU$1000000,2768,FALSE)</f>
        <v>#N/A</v>
      </c>
      <c r="N163" s="34" t="e">
        <f>VLOOKUP(A1,DIV_10Data!$A$1:$DZU$1000000,2769,FALSE)</f>
        <v>#N/A</v>
      </c>
      <c r="O163" s="33" t="e">
        <f>VLOOKUP(A1,DIV_10Data!$A$1:$DZU$1000000,2770,FALSE)</f>
        <v>#N/A</v>
      </c>
      <c r="P163" s="46" t="e">
        <f>VLOOKUP(A1,DIV_10Data!$A$1:$DZU$1000000,2771,FALSE)</f>
        <v>#N/A</v>
      </c>
      <c r="Q163" s="33" t="e">
        <f>VLOOKUP(A1,DIV_10Data!$A$1:$DZU$1000000,2772,FALSE)</f>
        <v>#N/A</v>
      </c>
    </row>
    <row r="164" spans="1:17" x14ac:dyDescent="0.35">
      <c r="A164" s="22" t="e">
        <f>VLOOKUP(A1,DIV_10Data!$A$1:$DZU$1000000,2773,FALSE)</f>
        <v>#N/A</v>
      </c>
      <c r="B164" s="37" t="e">
        <f>VLOOKUP(A1,DIV_10Data!$A$1:$DZU$1000000,2774,FALSE)</f>
        <v>#N/A</v>
      </c>
      <c r="C164" s="38" t="e">
        <f>VLOOKUP(A1,DIV_10Data!$A$1:$DZU$1000000,2775,FALSE)</f>
        <v>#N/A</v>
      </c>
      <c r="D164" s="31" t="e">
        <f>VLOOKUP(A1,DIV_10Data!$A$1:$DZU$1000000,2776,FALSE)</f>
        <v>#N/A</v>
      </c>
      <c r="E164" s="32" t="e">
        <f>VLOOKUP(A1,DIV_10Data!$A$1:$DZU$1000000,2777,FALSE)</f>
        <v>#N/A</v>
      </c>
      <c r="F164" s="34" t="e">
        <f>VLOOKUP(A1,DIV_10Data!$A$1:$DZU$1000000,2778,FALSE)</f>
        <v>#N/A</v>
      </c>
      <c r="G164" s="33" t="e">
        <f>VLOOKUP(A1,DIV_10Data!$A$1:$DZU$1000000,2779,FALSE)</f>
        <v>#N/A</v>
      </c>
      <c r="H164" s="34" t="e">
        <f>VLOOKUP(A1,DIV_10Data!$A$1:$DZU$1000000,2780,FALSE)</f>
        <v>#N/A</v>
      </c>
      <c r="I164" s="33" t="e">
        <f>VLOOKUP(A1,DIV_10Data!$A$1:$DZU$1000000,2781,FALSE)</f>
        <v>#N/A</v>
      </c>
      <c r="J164" s="34" t="e">
        <f>VLOOKUP(A1,DIV_10Data!$A$1:$DZU$1000000,2782,FALSE)</f>
        <v>#N/A</v>
      </c>
      <c r="K164" s="34" t="e">
        <f>VLOOKUP(A1,DIV_10Data!$A$1:$DZU$1000000,2783,FALSE)</f>
        <v>#N/A</v>
      </c>
      <c r="L164" s="93" t="e">
        <f>VLOOKUP(A1,DIV_10Data!$A$1:$DZU$1000000,2784,FALSE)</f>
        <v>#N/A</v>
      </c>
      <c r="M164" s="33" t="e">
        <f>VLOOKUP(A1,DIV_10Data!$A$1:$DZU$1000000,2785,FALSE)</f>
        <v>#N/A</v>
      </c>
      <c r="N164" s="34" t="e">
        <f>VLOOKUP(A1,DIV_10Data!$A$1:$DZU$1000000,2786,FALSE)</f>
        <v>#N/A</v>
      </c>
      <c r="O164" s="33" t="e">
        <f>VLOOKUP(A1,DIV_10Data!$A$1:$DZU$1000000,2787,FALSE)</f>
        <v>#N/A</v>
      </c>
      <c r="P164" s="46" t="e">
        <f>VLOOKUP(A1,DIV_10Data!$A$1:$DZU$1000000,2788,FALSE)</f>
        <v>#N/A</v>
      </c>
      <c r="Q164" s="33" t="e">
        <f>VLOOKUP(A1,DIV_10Data!$A$1:$DZU$1000000,2789,FALSE)</f>
        <v>#N/A</v>
      </c>
    </row>
    <row r="165" spans="1:17" x14ac:dyDescent="0.35">
      <c r="A165" s="22" t="e">
        <f>VLOOKUP(A1,DIV_10Data!$A$1:$DZU$1000000,2790,FALSE)</f>
        <v>#N/A</v>
      </c>
      <c r="B165" s="37" t="e">
        <f>VLOOKUP(A1,DIV_10Data!$A$1:$DZU$1000000,2791,FALSE)</f>
        <v>#N/A</v>
      </c>
      <c r="C165" s="38" t="e">
        <f>VLOOKUP(A1,DIV_10Data!$A$1:$DZU$1000000,2792,FALSE)</f>
        <v>#N/A</v>
      </c>
      <c r="D165" s="31" t="e">
        <f>VLOOKUP(A1,DIV_10Data!$A$1:$DZU$1000000,2793,FALSE)</f>
        <v>#N/A</v>
      </c>
      <c r="E165" s="32" t="e">
        <f>VLOOKUP(A1,DIV_10Data!$A$1:$DZU$1000000,2794,FALSE)</f>
        <v>#N/A</v>
      </c>
      <c r="F165" s="34" t="e">
        <f>VLOOKUP(A1,DIV_10Data!$A$1:$DZU$1000000,2795,FALSE)</f>
        <v>#N/A</v>
      </c>
      <c r="G165" s="33" t="e">
        <f>VLOOKUP(A1,DIV_10Data!$A$1:$DZU$1000000,2796,FALSE)</f>
        <v>#N/A</v>
      </c>
      <c r="H165" s="34" t="e">
        <f>VLOOKUP(A1,DIV_10Data!$A$1:$DZU$1000000,2797,FALSE)</f>
        <v>#N/A</v>
      </c>
      <c r="I165" s="33" t="e">
        <f>VLOOKUP(A1,DIV_10Data!$A$1:$DZU$1000000,2798,FALSE)</f>
        <v>#N/A</v>
      </c>
      <c r="J165" s="34" t="e">
        <f>VLOOKUP(A1,DIV_10Data!$A$1:$DZU$1000000,2799,FALSE)</f>
        <v>#N/A</v>
      </c>
      <c r="K165" s="34" t="e">
        <f>VLOOKUP(A1,DIV_10Data!$A$1:$DZU$1000000,2800,FALSE)</f>
        <v>#N/A</v>
      </c>
      <c r="L165" s="93" t="e">
        <f>VLOOKUP(A1,DIV_10Data!$A$1:$DZU$1000000,2801,FALSE)</f>
        <v>#N/A</v>
      </c>
      <c r="M165" s="33" t="e">
        <f>VLOOKUP(A1,DIV_10Data!$A$1:$DZU$1000000,2802,FALSE)</f>
        <v>#N/A</v>
      </c>
      <c r="N165" s="34" t="e">
        <f>VLOOKUP(A1,DIV_10Data!$A$1:$DZU$1000000,2803,FALSE)</f>
        <v>#N/A</v>
      </c>
      <c r="O165" s="33" t="e">
        <f>VLOOKUP(A1,DIV_10Data!$A$1:$DZU$1000000,2804,FALSE)</f>
        <v>#N/A</v>
      </c>
      <c r="P165" s="46" t="e">
        <f>VLOOKUP(A1,DIV_10Data!$A$1:$DZU$1000000,2805,FALSE)</f>
        <v>#N/A</v>
      </c>
      <c r="Q165" s="33" t="e">
        <f>VLOOKUP(A1,DIV_10Data!$A$1:$DZU$1000000,2806,FALSE)</f>
        <v>#N/A</v>
      </c>
    </row>
    <row r="166" spans="1:17" x14ac:dyDescent="0.35">
      <c r="A166" s="22" t="e">
        <f>VLOOKUP(A1,DIV_10Data!$A$1:$DZU$1000000,2807,FALSE)</f>
        <v>#N/A</v>
      </c>
      <c r="B166" s="37" t="e">
        <f>VLOOKUP(A1,DIV_10Data!$A$1:$DZU$1000000,2808,FALSE)</f>
        <v>#N/A</v>
      </c>
      <c r="C166" s="38" t="e">
        <f>VLOOKUP(A1,DIV_10Data!$A$1:$DZU$1000000,2809,FALSE)</f>
        <v>#N/A</v>
      </c>
      <c r="D166" s="31" t="e">
        <f>VLOOKUP(A1,DIV_10Data!$A$1:$DZU$1000000,2810,FALSE)</f>
        <v>#N/A</v>
      </c>
      <c r="E166" s="32" t="e">
        <f>VLOOKUP(A1,DIV_10Data!$A$1:$DZU$1000000,2811,FALSE)</f>
        <v>#N/A</v>
      </c>
      <c r="F166" s="34" t="e">
        <f>VLOOKUP(A1,DIV_10Data!$A$1:$DZU$1000000,2812,FALSE)</f>
        <v>#N/A</v>
      </c>
      <c r="G166" s="33" t="e">
        <f>VLOOKUP(A1,DIV_10Data!$A$1:$DZU$1000000,2813,FALSE)</f>
        <v>#N/A</v>
      </c>
      <c r="H166" s="34" t="e">
        <f>VLOOKUP(A1,DIV_10Data!$A$1:$DZU$1000000,2814,FALSE)</f>
        <v>#N/A</v>
      </c>
      <c r="I166" s="33" t="e">
        <f>VLOOKUP(A1,DIV_10Data!$A$1:$DZU$1000000,2815,FALSE)</f>
        <v>#N/A</v>
      </c>
      <c r="J166" s="34" t="e">
        <f>VLOOKUP(A1,DIV_10Data!$A$1:$DZU$1000000,2816,FALSE)</f>
        <v>#N/A</v>
      </c>
      <c r="K166" s="34" t="e">
        <f>VLOOKUP(A1,DIV_10Data!$A$1:$DZU$1000000,2817,FALSE)</f>
        <v>#N/A</v>
      </c>
      <c r="L166" s="93" t="e">
        <f>VLOOKUP(A1,DIV_10Data!$A$1:$DZU$1000000,2818,FALSE)</f>
        <v>#N/A</v>
      </c>
      <c r="M166" s="33" t="e">
        <f>VLOOKUP(A1,DIV_10Data!$A$1:$DZU$1000000,2819,FALSE)</f>
        <v>#N/A</v>
      </c>
      <c r="N166" s="34" t="e">
        <f>VLOOKUP(A1,DIV_10Data!$A$1:$DZU$1000000,2820,FALSE)</f>
        <v>#N/A</v>
      </c>
      <c r="O166" s="33" t="e">
        <f>VLOOKUP(A1,DIV_10Data!$A$1:$DZU$1000000,2821,FALSE)</f>
        <v>#N/A</v>
      </c>
      <c r="P166" s="46" t="e">
        <f>VLOOKUP(A1,DIV_10Data!$A$1:$DZU$1000000,2822,FALSE)</f>
        <v>#N/A</v>
      </c>
      <c r="Q166" s="33" t="e">
        <f>VLOOKUP(A1,DIV_10Data!$A$1:$DZU$1000000,2823,FALSE)</f>
        <v>#N/A</v>
      </c>
    </row>
    <row r="167" spans="1:17" x14ac:dyDescent="0.35">
      <c r="A167" s="22" t="e">
        <f>VLOOKUP(A1,DIV_10Data!$A$1:$DZU$1000000,2824,FALSE)</f>
        <v>#N/A</v>
      </c>
      <c r="B167" s="37" t="e">
        <f>VLOOKUP(A1,DIV_10Data!$A$1:$DZU$1000000,2825,FALSE)</f>
        <v>#N/A</v>
      </c>
      <c r="C167" s="38" t="e">
        <f>VLOOKUP(A1,DIV_10Data!$A$1:$DZU$1000000,2826,FALSE)</f>
        <v>#N/A</v>
      </c>
      <c r="D167" s="31" t="e">
        <f>VLOOKUP(A1,DIV_10Data!$A$1:$DZU$1000000,2827,FALSE)</f>
        <v>#N/A</v>
      </c>
      <c r="E167" s="32" t="e">
        <f>VLOOKUP(A1,DIV_10Data!$A$1:$DZU$1000000,2828,FALSE)</f>
        <v>#N/A</v>
      </c>
      <c r="F167" s="34" t="e">
        <f>VLOOKUP(A1,DIV_10Data!$A$1:$DZU$1000000,2829,FALSE)</f>
        <v>#N/A</v>
      </c>
      <c r="G167" s="33" t="e">
        <f>VLOOKUP(A1,DIV_10Data!$A$1:$DZU$1000000,2830,FALSE)</f>
        <v>#N/A</v>
      </c>
      <c r="H167" s="34" t="e">
        <f>VLOOKUP(A1,DIV_10Data!$A$1:$DZU$1000000,2831,FALSE)</f>
        <v>#N/A</v>
      </c>
      <c r="I167" s="33" t="e">
        <f>VLOOKUP(A1,DIV_10Data!$A$1:$DZU$1000000,2832,FALSE)</f>
        <v>#N/A</v>
      </c>
      <c r="J167" s="34" t="e">
        <f>VLOOKUP(A1,DIV_10Data!$A$1:$DZU$1000000,2833,FALSE)</f>
        <v>#N/A</v>
      </c>
      <c r="K167" s="34" t="e">
        <f>VLOOKUP(A1,DIV_10Data!$A$1:$DZU$1000000,2834,FALSE)</f>
        <v>#N/A</v>
      </c>
      <c r="L167" s="93" t="e">
        <f>VLOOKUP(A1,DIV_10Data!$A$1:$DZU$1000000,2835,FALSE)</f>
        <v>#N/A</v>
      </c>
      <c r="M167" s="33" t="e">
        <f>VLOOKUP(A1,DIV_10Data!$A$1:$DZU$1000000,2836,FALSE)</f>
        <v>#N/A</v>
      </c>
      <c r="N167" s="34" t="e">
        <f>VLOOKUP(A1,DIV_10Data!$A$1:$DZU$1000000,2837,FALSE)</f>
        <v>#N/A</v>
      </c>
      <c r="O167" s="33" t="e">
        <f>VLOOKUP(A1,DIV_10Data!$A$1:$DZU$1000000,2838,FALSE)</f>
        <v>#N/A</v>
      </c>
      <c r="P167" s="46" t="e">
        <f>VLOOKUP(A1,DIV_10Data!$A$1:$DZU$1000000,2839,FALSE)</f>
        <v>#N/A</v>
      </c>
      <c r="Q167" s="33" t="e">
        <f>VLOOKUP(A1,DIV_10Data!$A$1:$DZU$1000000,2840,FALSE)</f>
        <v>#N/A</v>
      </c>
    </row>
    <row r="168" spans="1:17" x14ac:dyDescent="0.35">
      <c r="A168" s="22" t="e">
        <f>VLOOKUP(A1,DIV_10Data!$A$1:$DZU$1000000,2841,FALSE)</f>
        <v>#N/A</v>
      </c>
      <c r="B168" s="37" t="e">
        <f>VLOOKUP(A1,DIV_10Data!$A$1:$DZU$1000000,2842,FALSE)</f>
        <v>#N/A</v>
      </c>
      <c r="C168" s="38" t="e">
        <f>VLOOKUP(A1,DIV_10Data!$A$1:$DZU$1000000,2843,FALSE)</f>
        <v>#N/A</v>
      </c>
      <c r="D168" s="31" t="e">
        <f>VLOOKUP(A1,DIV_10Data!$A$1:$DZU$1000000,2844,FALSE)</f>
        <v>#N/A</v>
      </c>
      <c r="E168" s="32" t="e">
        <f>VLOOKUP(A1,DIV_10Data!$A$1:$DZU$1000000,2845,FALSE)</f>
        <v>#N/A</v>
      </c>
      <c r="F168" s="34" t="e">
        <f>VLOOKUP(A1,DIV_10Data!$A$1:$DZU$1000000,2846,FALSE)</f>
        <v>#N/A</v>
      </c>
      <c r="G168" s="33" t="e">
        <f>VLOOKUP(A1,DIV_10Data!$A$1:$DZU$1000000,2847,FALSE)</f>
        <v>#N/A</v>
      </c>
      <c r="H168" s="34" t="e">
        <f>VLOOKUP(A1,DIV_10Data!$A$1:$DZU$1000000,2848,FALSE)</f>
        <v>#N/A</v>
      </c>
      <c r="I168" s="33" t="e">
        <f>VLOOKUP(A1,DIV_10Data!$A$1:$DZU$1000000,2849,FALSE)</f>
        <v>#N/A</v>
      </c>
      <c r="J168" s="34" t="e">
        <f>VLOOKUP(A1,DIV_10Data!$A$1:$DZU$1000000,2850,FALSE)</f>
        <v>#N/A</v>
      </c>
      <c r="K168" s="34" t="e">
        <f>VLOOKUP(A1,DIV_10Data!$A$1:$DZU$1000000,2851,FALSE)</f>
        <v>#N/A</v>
      </c>
      <c r="L168" s="93" t="e">
        <f>VLOOKUP(A1,DIV_10Data!$A$1:$DZU$1000000,2852,FALSE)</f>
        <v>#N/A</v>
      </c>
      <c r="M168" s="33" t="e">
        <f>VLOOKUP(A1,DIV_10Data!$A$1:$DZU$1000000,2853,FALSE)</f>
        <v>#N/A</v>
      </c>
      <c r="N168" s="34" t="e">
        <f>VLOOKUP(A1,DIV_10Data!$A$1:$DZU$1000000,2854,FALSE)</f>
        <v>#N/A</v>
      </c>
      <c r="O168" s="33" t="e">
        <f>VLOOKUP(A1,DIV_10Data!$A$1:$DZU$1000000,2855,FALSE)</f>
        <v>#N/A</v>
      </c>
      <c r="P168" s="46" t="e">
        <f>VLOOKUP(A1,DIV_10Data!$A$1:$DZU$1000000,2856,FALSE)</f>
        <v>#N/A</v>
      </c>
      <c r="Q168" s="33" t="e">
        <f>VLOOKUP(A1,DIV_10Data!$A$1:$DZU$1000000,2857,FALSE)</f>
        <v>#N/A</v>
      </c>
    </row>
    <row r="169" spans="1:17" x14ac:dyDescent="0.35">
      <c r="A169" s="22" t="e">
        <f>VLOOKUP(A1,DIV_10Data!$A$1:$DZU$1000000,2858,FALSE)</f>
        <v>#N/A</v>
      </c>
      <c r="B169" s="37" t="e">
        <f>VLOOKUP(A1,DIV_10Data!$A$1:$DZU$1000000,2859,FALSE)</f>
        <v>#N/A</v>
      </c>
      <c r="C169" s="38" t="e">
        <f>VLOOKUP(A1,DIV_10Data!$A$1:$DZU$1000000,2860,FALSE)</f>
        <v>#N/A</v>
      </c>
      <c r="D169" s="31" t="e">
        <f>VLOOKUP(A1,DIV_10Data!$A$1:$DZU$1000000,2861,FALSE)</f>
        <v>#N/A</v>
      </c>
      <c r="E169" s="32" t="e">
        <f>VLOOKUP(A1,DIV_10Data!$A$1:$DZU$1000000,2862,FALSE)</f>
        <v>#N/A</v>
      </c>
      <c r="F169" s="34" t="e">
        <f>VLOOKUP(A1,DIV_10Data!$A$1:$DZU$1000000,2863,FALSE)</f>
        <v>#N/A</v>
      </c>
      <c r="G169" s="33" t="e">
        <f>VLOOKUP(A1,DIV_10Data!$A$1:$DZU$1000000,2864,FALSE)</f>
        <v>#N/A</v>
      </c>
      <c r="H169" s="34" t="e">
        <f>VLOOKUP(A1,DIV_10Data!$A$1:$DZU$1000000,2865,FALSE)</f>
        <v>#N/A</v>
      </c>
      <c r="I169" s="33" t="e">
        <f>VLOOKUP(A1,DIV_10Data!$A$1:$DZU$1000000,2866,FALSE)</f>
        <v>#N/A</v>
      </c>
      <c r="J169" s="34" t="e">
        <f>VLOOKUP(A1,DIV_10Data!$A$1:$DZU$1000000,2867,FALSE)</f>
        <v>#N/A</v>
      </c>
      <c r="K169" s="34" t="e">
        <f>VLOOKUP(A1,DIV_10Data!$A$1:$DZU$1000000,2868,FALSE)</f>
        <v>#N/A</v>
      </c>
      <c r="L169" s="93" t="e">
        <f>VLOOKUP(A1,DIV_10Data!$A$1:$DZU$1000000,2869,FALSE)</f>
        <v>#N/A</v>
      </c>
      <c r="M169" s="33" t="e">
        <f>VLOOKUP(A1,DIV_10Data!$A$1:$DZU$1000000,2870,FALSE)</f>
        <v>#N/A</v>
      </c>
      <c r="N169" s="34" t="e">
        <f>VLOOKUP(A1,DIV_10Data!$A$1:$DZU$1000000,2871,FALSE)</f>
        <v>#N/A</v>
      </c>
      <c r="O169" s="33" t="e">
        <f>VLOOKUP(A1,DIV_10Data!$A$1:$DZU$1000000,2872,FALSE)</f>
        <v>#N/A</v>
      </c>
      <c r="P169" s="46" t="e">
        <f>VLOOKUP(A1,DIV_10Data!$A$1:$DZU$1000000,2873,FALSE)</f>
        <v>#N/A</v>
      </c>
      <c r="Q169" s="33" t="e">
        <f>VLOOKUP(A1,DIV_10Data!$A$1:$DZU$1000000,2874,FALSE)</f>
        <v>#N/A</v>
      </c>
    </row>
    <row r="170" spans="1:17" x14ac:dyDescent="0.35">
      <c r="A170" s="22" t="e">
        <f>VLOOKUP(A1,DIV_10Data!$A$1:$DZU$1000000,2875,FALSE)</f>
        <v>#N/A</v>
      </c>
      <c r="B170" s="37" t="e">
        <f>VLOOKUP(A1,DIV_10Data!$A$1:$DZU$1000000,2876,FALSE)</f>
        <v>#N/A</v>
      </c>
      <c r="C170" s="38" t="e">
        <f>VLOOKUP(A1,DIV_10Data!$A$1:$DZU$1000000,2877,FALSE)</f>
        <v>#N/A</v>
      </c>
      <c r="D170" s="31" t="e">
        <f>VLOOKUP(A1,DIV_10Data!$A$1:$DZU$1000000,2878,FALSE)</f>
        <v>#N/A</v>
      </c>
      <c r="E170" s="32" t="e">
        <f>VLOOKUP(A1,DIV_10Data!$A$1:$DZU$1000000,2879,FALSE)</f>
        <v>#N/A</v>
      </c>
      <c r="F170" s="34" t="e">
        <f>VLOOKUP(A1,DIV_10Data!$A$1:$DZU$1000000,2880,FALSE)</f>
        <v>#N/A</v>
      </c>
      <c r="G170" s="33" t="e">
        <f>VLOOKUP(A1,DIV_10Data!$A$1:$DZU$1000000,2881,FALSE)</f>
        <v>#N/A</v>
      </c>
      <c r="H170" s="34" t="e">
        <f>VLOOKUP(A1,DIV_10Data!$A$1:$DZU$1000000,2882,FALSE)</f>
        <v>#N/A</v>
      </c>
      <c r="I170" s="33" t="e">
        <f>VLOOKUP(A1,DIV_10Data!$A$1:$DZU$1000000,2883,FALSE)</f>
        <v>#N/A</v>
      </c>
      <c r="J170" s="34" t="e">
        <f>VLOOKUP(A1,DIV_10Data!$A$1:$DZU$1000000,2884,FALSE)</f>
        <v>#N/A</v>
      </c>
      <c r="K170" s="34" t="e">
        <f>VLOOKUP(A1,DIV_10Data!$A$1:$DZU$1000000,2885,FALSE)</f>
        <v>#N/A</v>
      </c>
      <c r="L170" s="93" t="e">
        <f>VLOOKUP(A1,DIV_10Data!$A$1:$DZU$1000000,2886,FALSE)</f>
        <v>#N/A</v>
      </c>
      <c r="M170" s="33" t="e">
        <f>VLOOKUP(A1,DIV_10Data!$A$1:$DZU$1000000,2887,FALSE)</f>
        <v>#N/A</v>
      </c>
      <c r="N170" s="34" t="e">
        <f>VLOOKUP(A1,DIV_10Data!$A$1:$DZU$1000000,2888,FALSE)</f>
        <v>#N/A</v>
      </c>
      <c r="O170" s="33" t="e">
        <f>VLOOKUP(A1,DIV_10Data!$A$1:$DZU$1000000,2889,FALSE)</f>
        <v>#N/A</v>
      </c>
      <c r="P170" s="46" t="e">
        <f>VLOOKUP(A1,DIV_10Data!$A$1:$DZU$1000000,2890,FALSE)</f>
        <v>#N/A</v>
      </c>
      <c r="Q170" s="33" t="e">
        <f>VLOOKUP(A1,DIV_10Data!$A$1:$DZU$1000000,2891,FALSE)</f>
        <v>#N/A</v>
      </c>
    </row>
    <row r="171" spans="1:17" x14ac:dyDescent="0.35">
      <c r="A171" s="22" t="e">
        <f>VLOOKUP(A1,DIV_10Data!$A$1:$DZU$1000000,2892,FALSE)</f>
        <v>#N/A</v>
      </c>
      <c r="B171" s="37" t="e">
        <f>VLOOKUP(A1,DIV_10Data!$A$1:$DZU$1000000,2893,FALSE)</f>
        <v>#N/A</v>
      </c>
      <c r="C171" s="38" t="e">
        <f>VLOOKUP(A1,DIV_10Data!$A$1:$DZU$1000000,2894,FALSE)</f>
        <v>#N/A</v>
      </c>
      <c r="D171" s="31" t="e">
        <f>VLOOKUP(A1,DIV_10Data!$A$1:$DZU$1000000,2895,FALSE)</f>
        <v>#N/A</v>
      </c>
      <c r="E171" s="32" t="e">
        <f>VLOOKUP(A1,DIV_10Data!$A$1:$DZU$1000000,2896,FALSE)</f>
        <v>#N/A</v>
      </c>
      <c r="F171" s="34" t="e">
        <f>VLOOKUP(A1,DIV_10Data!$A$1:$DZU$1000000,2897,FALSE)</f>
        <v>#N/A</v>
      </c>
      <c r="G171" s="33" t="e">
        <f>VLOOKUP(A1,DIV_10Data!$A$1:$DZU$1000000,2898,FALSE)</f>
        <v>#N/A</v>
      </c>
      <c r="H171" s="34" t="e">
        <f>VLOOKUP(A1,DIV_10Data!$A$1:$DZU$1000000,2899,FALSE)</f>
        <v>#N/A</v>
      </c>
      <c r="I171" s="33" t="e">
        <f>VLOOKUP(A1,DIV_10Data!$A$1:$DZU$1000000,2900,FALSE)</f>
        <v>#N/A</v>
      </c>
      <c r="J171" s="34" t="e">
        <f>VLOOKUP(A1,DIV_10Data!$A$1:$DZU$1000000,2901,FALSE)</f>
        <v>#N/A</v>
      </c>
      <c r="K171" s="34" t="e">
        <f>VLOOKUP(A1,DIV_10Data!$A$1:$DZU$1000000,2902,FALSE)</f>
        <v>#N/A</v>
      </c>
      <c r="L171" s="93" t="e">
        <f>VLOOKUP(A1,DIV_10Data!$A$1:$DZU$1000000,2903,FALSE)</f>
        <v>#N/A</v>
      </c>
      <c r="M171" s="33" t="e">
        <f>VLOOKUP(A1,DIV_10Data!$A$1:$DZU$1000000,2904,FALSE)</f>
        <v>#N/A</v>
      </c>
      <c r="N171" s="34" t="e">
        <f>VLOOKUP(A1,DIV_10Data!$A$1:$DZU$1000000,2905,FALSE)</f>
        <v>#N/A</v>
      </c>
      <c r="O171" s="33" t="e">
        <f>VLOOKUP(A1,DIV_10Data!$A$1:$DZU$1000000,2906,FALSE)</f>
        <v>#N/A</v>
      </c>
      <c r="P171" s="46" t="e">
        <f>VLOOKUP(A1,DIV_10Data!$A$1:$DZU$1000000,2907,FALSE)</f>
        <v>#N/A</v>
      </c>
      <c r="Q171" s="33" t="e">
        <f>VLOOKUP(A1,DIV_10Data!$A$1:$DZU$1000000,2908,FALSE)</f>
        <v>#N/A</v>
      </c>
    </row>
    <row r="172" spans="1:17" x14ac:dyDescent="0.35">
      <c r="A172" s="22" t="e">
        <f>VLOOKUP(A1,DIV_10Data!$A$1:$DZU$1000000,2909,FALSE)</f>
        <v>#N/A</v>
      </c>
      <c r="B172" s="37" t="e">
        <f>VLOOKUP(A1,DIV_10Data!$A$1:$DZU$1000000,2910,FALSE)</f>
        <v>#N/A</v>
      </c>
      <c r="C172" s="38" t="e">
        <f>VLOOKUP(A1,DIV_10Data!$A$1:$DZU$1000000,2911,FALSE)</f>
        <v>#N/A</v>
      </c>
      <c r="D172" s="31" t="e">
        <f>VLOOKUP(A1,DIV_10Data!$A$1:$DZU$1000000,2912,FALSE)</f>
        <v>#N/A</v>
      </c>
      <c r="E172" s="32" t="e">
        <f>VLOOKUP(A1,DIV_10Data!$A$1:$DZU$1000000,2913,FALSE)</f>
        <v>#N/A</v>
      </c>
      <c r="F172" s="34" t="e">
        <f>VLOOKUP(A1,DIV_10Data!$A$1:$DZU$1000000,2914,FALSE)</f>
        <v>#N/A</v>
      </c>
      <c r="G172" s="33" t="e">
        <f>VLOOKUP(A1,DIV_10Data!$A$1:$DZU$1000000,2915,FALSE)</f>
        <v>#N/A</v>
      </c>
      <c r="H172" s="34" t="e">
        <f>VLOOKUP(A1,DIV_10Data!$A$1:$DZU$1000000,2916,FALSE)</f>
        <v>#N/A</v>
      </c>
      <c r="I172" s="33" t="e">
        <f>VLOOKUP(A1,DIV_10Data!$A$1:$DZU$1000000,2917,FALSE)</f>
        <v>#N/A</v>
      </c>
      <c r="J172" s="34" t="e">
        <f>VLOOKUP(A1,DIV_10Data!$A$1:$DZU$1000000,2918,FALSE)</f>
        <v>#N/A</v>
      </c>
      <c r="K172" s="34" t="e">
        <f>VLOOKUP(A1,DIV_10Data!$A$1:$DZU$1000000,2919,FALSE)</f>
        <v>#N/A</v>
      </c>
      <c r="L172" s="93" t="e">
        <f>VLOOKUP(A1,DIV_10Data!$A$1:$DZU$1000000,2920,FALSE)</f>
        <v>#N/A</v>
      </c>
      <c r="M172" s="33" t="e">
        <f>VLOOKUP(A1,DIV_10Data!$A$1:$DZU$1000000,2921,FALSE)</f>
        <v>#N/A</v>
      </c>
      <c r="N172" s="34" t="e">
        <f>VLOOKUP(A1,DIV_10Data!$A$1:$DZU$1000000,2922,FALSE)</f>
        <v>#N/A</v>
      </c>
      <c r="O172" s="33" t="e">
        <f>VLOOKUP(A1,DIV_10Data!$A$1:$DZU$1000000,2923,FALSE)</f>
        <v>#N/A</v>
      </c>
      <c r="P172" s="46" t="e">
        <f>VLOOKUP(A1,DIV_10Data!$A$1:$DZU$1000000,2924,FALSE)</f>
        <v>#N/A</v>
      </c>
      <c r="Q172" s="33" t="e">
        <f>VLOOKUP(A1,DIV_10Data!$A$1:$DZU$1000000,2925,FALSE)</f>
        <v>#N/A</v>
      </c>
    </row>
    <row r="173" spans="1:17" x14ac:dyDescent="0.35">
      <c r="A173" s="22" t="e">
        <f>VLOOKUP(A1,DIV_10Data!$A$1:$DZU$1000000,2926,FALSE)</f>
        <v>#N/A</v>
      </c>
      <c r="B173" s="37" t="e">
        <f>VLOOKUP(A1,DIV_10Data!$A$1:$DZU$1000000,2927,FALSE)</f>
        <v>#N/A</v>
      </c>
      <c r="C173" s="38" t="e">
        <f>VLOOKUP(A1,DIV_10Data!$A$1:$DZU$1000000,2928,FALSE)</f>
        <v>#N/A</v>
      </c>
      <c r="D173" s="31" t="e">
        <f>VLOOKUP(A1,DIV_10Data!$A$1:$DZU$1000000,2929,FALSE)</f>
        <v>#N/A</v>
      </c>
      <c r="E173" s="32" t="e">
        <f>VLOOKUP(A1,DIV_10Data!$A$1:$DZU$1000000,2930,FALSE)</f>
        <v>#N/A</v>
      </c>
      <c r="F173" s="34" t="e">
        <f>VLOOKUP(A1,DIV_10Data!$A$1:$DZU$1000000,2931,FALSE)</f>
        <v>#N/A</v>
      </c>
      <c r="G173" s="33" t="e">
        <f>VLOOKUP(A1,DIV_10Data!$A$1:$DZU$1000000,2932,FALSE)</f>
        <v>#N/A</v>
      </c>
      <c r="H173" s="34" t="e">
        <f>VLOOKUP(A1,DIV_10Data!$A$1:$DZU$1000000,2933,FALSE)</f>
        <v>#N/A</v>
      </c>
      <c r="I173" s="33" t="e">
        <f>VLOOKUP(A1,DIV_10Data!$A$1:$DZU$1000000,2934,FALSE)</f>
        <v>#N/A</v>
      </c>
      <c r="J173" s="34" t="e">
        <f>VLOOKUP(A1,DIV_10Data!$A$1:$DZU$1000000,2935,FALSE)</f>
        <v>#N/A</v>
      </c>
      <c r="K173" s="34" t="e">
        <f>VLOOKUP(A1,DIV_10Data!$A$1:$DZU$1000000,2936,FALSE)</f>
        <v>#N/A</v>
      </c>
      <c r="L173" s="93" t="e">
        <f>VLOOKUP(A1,DIV_10Data!$A$1:$DZU$1000000,2937,FALSE)</f>
        <v>#N/A</v>
      </c>
      <c r="M173" s="33" t="e">
        <f>VLOOKUP(A1,DIV_10Data!$A$1:$DZU$1000000,2938,FALSE)</f>
        <v>#N/A</v>
      </c>
      <c r="N173" s="34" t="e">
        <f>VLOOKUP(A1,DIV_10Data!$A$1:$DZU$1000000,2939,FALSE)</f>
        <v>#N/A</v>
      </c>
      <c r="O173" s="33" t="e">
        <f>VLOOKUP(A1,DIV_10Data!$A$1:$DZU$1000000,2940,FALSE)</f>
        <v>#N/A</v>
      </c>
      <c r="P173" s="46" t="e">
        <f>VLOOKUP(A1,DIV_10Data!$A$1:$DZU$1000000,2941,FALSE)</f>
        <v>#N/A</v>
      </c>
      <c r="Q173" s="33" t="e">
        <f>VLOOKUP(A1,DIV_10Data!$A$1:$DZU$1000000,2942,FALSE)</f>
        <v>#N/A</v>
      </c>
    </row>
    <row r="174" spans="1:17" x14ac:dyDescent="0.35">
      <c r="A174" s="22" t="e">
        <f>VLOOKUP(A1,DIV_10Data!$A$1:$DZU$1000000,2943,FALSE)</f>
        <v>#N/A</v>
      </c>
      <c r="B174" s="37" t="e">
        <f>VLOOKUP(A1,DIV_10Data!$A$1:$DZU$1000000,2944,FALSE)</f>
        <v>#N/A</v>
      </c>
      <c r="C174" s="38" t="e">
        <f>VLOOKUP(A1,DIV_10Data!$A$1:$DZU$1000000,2945,FALSE)</f>
        <v>#N/A</v>
      </c>
      <c r="D174" s="31" t="e">
        <f>VLOOKUP(A1,DIV_10Data!$A$1:$DZU$1000000,2946,FALSE)</f>
        <v>#N/A</v>
      </c>
      <c r="E174" s="32" t="e">
        <f>VLOOKUP(A1,DIV_10Data!$A$1:$DZU$1000000,2947,FALSE)</f>
        <v>#N/A</v>
      </c>
      <c r="F174" s="34" t="e">
        <f>VLOOKUP(A1,DIV_10Data!$A$1:$DZU$1000000,2948,FALSE)</f>
        <v>#N/A</v>
      </c>
      <c r="G174" s="33" t="e">
        <f>VLOOKUP(A1,DIV_10Data!$A$1:$DZU$1000000,2949,FALSE)</f>
        <v>#N/A</v>
      </c>
      <c r="H174" s="34" t="e">
        <f>VLOOKUP(A1,DIV_10Data!$A$1:$DZU$1000000,2950,FALSE)</f>
        <v>#N/A</v>
      </c>
      <c r="I174" s="33" t="e">
        <f>VLOOKUP(A1,DIV_10Data!$A$1:$DZU$1000000,2951,FALSE)</f>
        <v>#N/A</v>
      </c>
      <c r="J174" s="34" t="e">
        <f>VLOOKUP(A1,DIV_10Data!$A$1:$DZU$1000000,2952,FALSE)</f>
        <v>#N/A</v>
      </c>
      <c r="K174" s="34" t="e">
        <f>VLOOKUP(A1,DIV_10Data!$A$1:$DZU$1000000,2953,FALSE)</f>
        <v>#N/A</v>
      </c>
      <c r="L174" s="93" t="e">
        <f>VLOOKUP(A1,DIV_10Data!$A$1:$DZU$1000000,2954,FALSE)</f>
        <v>#N/A</v>
      </c>
      <c r="M174" s="33" t="e">
        <f>VLOOKUP(A1,DIV_10Data!$A$1:$DZU$1000000,2955,FALSE)</f>
        <v>#N/A</v>
      </c>
      <c r="N174" s="34" t="e">
        <f>VLOOKUP(A1,DIV_10Data!$A$1:$DZU$1000000,2956,FALSE)</f>
        <v>#N/A</v>
      </c>
      <c r="O174" s="33" t="e">
        <f>VLOOKUP(A1,DIV_10Data!$A$1:$DZU$1000000,2957,FALSE)</f>
        <v>#N/A</v>
      </c>
      <c r="P174" s="46" t="e">
        <f>VLOOKUP(A1,DIV_10Data!$A$1:$DZU$1000000,2958,FALSE)</f>
        <v>#N/A</v>
      </c>
      <c r="Q174" s="33" t="e">
        <f>VLOOKUP(A1,DIV_10Data!$A$1:$DZU$1000000,2959,FALSE)</f>
        <v>#N/A</v>
      </c>
    </row>
    <row r="175" spans="1:17" x14ac:dyDescent="0.35">
      <c r="A175" s="22" t="e">
        <f>VLOOKUP(A1,DIV_10Data!$A$1:$DZU$1000000,2960,FALSE)</f>
        <v>#N/A</v>
      </c>
      <c r="B175" s="37" t="e">
        <f>VLOOKUP(A1,DIV_10Data!$A$1:$DZU$1000000,2961,FALSE)</f>
        <v>#N/A</v>
      </c>
      <c r="C175" s="38" t="e">
        <f>VLOOKUP(A1,DIV_10Data!$A$1:$DZU$1000000,2962,FALSE)</f>
        <v>#N/A</v>
      </c>
      <c r="D175" s="31" t="e">
        <f>VLOOKUP(A1,DIV_10Data!$A$1:$DZU$1000000,2963,FALSE)</f>
        <v>#N/A</v>
      </c>
      <c r="E175" s="32" t="e">
        <f>VLOOKUP(A1,DIV_10Data!$A$1:$DZU$1000000,2964,FALSE)</f>
        <v>#N/A</v>
      </c>
      <c r="F175" s="34" t="e">
        <f>VLOOKUP(A1,DIV_10Data!$A$1:$DZU$1000000,2965,FALSE)</f>
        <v>#N/A</v>
      </c>
      <c r="G175" s="33" t="e">
        <f>VLOOKUP(A1,DIV_10Data!$A$1:$DZU$1000000,2966,FALSE)</f>
        <v>#N/A</v>
      </c>
      <c r="H175" s="34" t="e">
        <f>VLOOKUP(A1,DIV_10Data!$A$1:$DZU$1000000,2967,FALSE)</f>
        <v>#N/A</v>
      </c>
      <c r="I175" s="33" t="e">
        <f>VLOOKUP(A1,DIV_10Data!$A$1:$DZU$1000000,2968,FALSE)</f>
        <v>#N/A</v>
      </c>
      <c r="J175" s="34" t="e">
        <f>VLOOKUP(A1,DIV_10Data!$A$1:$DZU$1000000,2969,FALSE)</f>
        <v>#N/A</v>
      </c>
      <c r="K175" s="34" t="e">
        <f>VLOOKUP(A1,DIV_10Data!$A$1:$DZU$1000000,2970,FALSE)</f>
        <v>#N/A</v>
      </c>
      <c r="L175" s="93" t="e">
        <f>VLOOKUP(A1,DIV_10Data!$A$1:$DZU$1000000,2971,FALSE)</f>
        <v>#N/A</v>
      </c>
      <c r="M175" s="33" t="e">
        <f>VLOOKUP(A1,DIV_10Data!$A$1:$DZU$1000000,2972,FALSE)</f>
        <v>#N/A</v>
      </c>
      <c r="N175" s="34" t="e">
        <f>VLOOKUP(A1,DIV_10Data!$A$1:$DZU$1000000,2973,FALSE)</f>
        <v>#N/A</v>
      </c>
      <c r="O175" s="33" t="e">
        <f>VLOOKUP(A1,DIV_10Data!$A$1:$DZU$1000000,2974,FALSE)</f>
        <v>#N/A</v>
      </c>
      <c r="P175" s="46" t="e">
        <f>VLOOKUP(A1,DIV_10Data!$A$1:$DZU$1000000,2975,FALSE)</f>
        <v>#N/A</v>
      </c>
      <c r="Q175" s="33" t="e">
        <f>VLOOKUP(A1,DIV_10Data!$A$1:$DZU$1000000,2976,FALSE)</f>
        <v>#N/A</v>
      </c>
    </row>
    <row r="176" spans="1:17" x14ac:dyDescent="0.35">
      <c r="A176" s="22" t="e">
        <f>VLOOKUP(A1,DIV_10Data!$A$1:$DZU$1000000,2977,FALSE)</f>
        <v>#N/A</v>
      </c>
      <c r="B176" s="37" t="e">
        <f>VLOOKUP(A1,DIV_10Data!$A$1:$DZU$1000000,2978,FALSE)</f>
        <v>#N/A</v>
      </c>
      <c r="C176" s="38" t="e">
        <f>VLOOKUP(A1,DIV_10Data!$A$1:$DZU$1000000,2979,FALSE)</f>
        <v>#N/A</v>
      </c>
      <c r="D176" s="31" t="e">
        <f>VLOOKUP(A1,DIV_10Data!$A$1:$DZU$1000000,2980,FALSE)</f>
        <v>#N/A</v>
      </c>
      <c r="E176" s="32" t="e">
        <f>VLOOKUP(A1,DIV_10Data!$A$1:$DZU$1000000,2981,FALSE)</f>
        <v>#N/A</v>
      </c>
      <c r="F176" s="34" t="e">
        <f>VLOOKUP(A1,DIV_10Data!$A$1:$DZU$1000000,2982,FALSE)</f>
        <v>#N/A</v>
      </c>
      <c r="G176" s="33" t="e">
        <f>VLOOKUP(A1,DIV_10Data!$A$1:$DZU$1000000,2983,FALSE)</f>
        <v>#N/A</v>
      </c>
      <c r="H176" s="34" t="e">
        <f>VLOOKUP(A1,DIV_10Data!$A$1:$DZU$1000000,2984,FALSE)</f>
        <v>#N/A</v>
      </c>
      <c r="I176" s="33" t="e">
        <f>VLOOKUP(A1,DIV_10Data!$A$1:$DZU$1000000,2985,FALSE)</f>
        <v>#N/A</v>
      </c>
      <c r="J176" s="34" t="e">
        <f>VLOOKUP(A1,DIV_10Data!$A$1:$DZU$1000000,2986,FALSE)</f>
        <v>#N/A</v>
      </c>
      <c r="K176" s="34" t="e">
        <f>VLOOKUP(A1,DIV_10Data!$A$1:$DZU$1000000,2987,FALSE)</f>
        <v>#N/A</v>
      </c>
      <c r="L176" s="93" t="e">
        <f>VLOOKUP(A1,DIV_10Data!$A$1:$DZU$1000000,2988,FALSE)</f>
        <v>#N/A</v>
      </c>
      <c r="M176" s="33" t="e">
        <f>VLOOKUP(A1,DIV_10Data!$A$1:$DZU$1000000,2989,FALSE)</f>
        <v>#N/A</v>
      </c>
      <c r="N176" s="34" t="e">
        <f>VLOOKUP(A1,DIV_10Data!$A$1:$DZU$1000000,2990,FALSE)</f>
        <v>#N/A</v>
      </c>
      <c r="O176" s="33" t="e">
        <f>VLOOKUP(A1,DIV_10Data!$A$1:$DZU$1000000,2991,FALSE)</f>
        <v>#N/A</v>
      </c>
      <c r="P176" s="46" t="e">
        <f>VLOOKUP(A1,DIV_10Data!$A$1:$DZU$1000000,2992,FALSE)</f>
        <v>#N/A</v>
      </c>
      <c r="Q176" s="33" t="e">
        <f>VLOOKUP(A1,DIV_10Data!$A$1:$DZU$1000000,2993,FALSE)</f>
        <v>#N/A</v>
      </c>
    </row>
    <row r="177" spans="1:17" x14ac:dyDescent="0.35">
      <c r="A177" s="22" t="e">
        <f>VLOOKUP(A1,DIV_10Data!$A$1:$DZU$1000000,2994,FALSE)</f>
        <v>#N/A</v>
      </c>
      <c r="B177" s="37" t="e">
        <f>VLOOKUP(A1,DIV_10Data!$A$1:$DZU$1000000,2995,FALSE)</f>
        <v>#N/A</v>
      </c>
      <c r="C177" s="38" t="e">
        <f>VLOOKUP(A1,DIV_10Data!$A$1:$DZU$1000000,2996,FALSE)</f>
        <v>#N/A</v>
      </c>
      <c r="D177" s="31" t="e">
        <f>VLOOKUP(A1,DIV_10Data!$A$1:$DZU$1000000,2997,FALSE)</f>
        <v>#N/A</v>
      </c>
      <c r="E177" s="32" t="e">
        <f>VLOOKUP(A1,DIV_10Data!$A$1:$DZU$1000000,2998,FALSE)</f>
        <v>#N/A</v>
      </c>
      <c r="F177" s="34" t="e">
        <f>VLOOKUP(A1,DIV_10Data!$A$1:$DZU$1000000,2999,FALSE)</f>
        <v>#N/A</v>
      </c>
      <c r="G177" s="33" t="e">
        <f>VLOOKUP(A1,DIV_10Data!$A$1:$DZU$1000000,3000,FALSE)</f>
        <v>#N/A</v>
      </c>
      <c r="H177" s="34" t="e">
        <f>VLOOKUP(A1,DIV_10Data!$A$1:$DZU$1000000,3001,FALSE)</f>
        <v>#N/A</v>
      </c>
      <c r="I177" s="33" t="e">
        <f>VLOOKUP(A1,DIV_10Data!$A$1:$DZU$1000000,3002,FALSE)</f>
        <v>#N/A</v>
      </c>
      <c r="J177" s="34" t="e">
        <f>VLOOKUP(A1,DIV_10Data!$A$1:$DZU$1000000,3003,FALSE)</f>
        <v>#N/A</v>
      </c>
      <c r="K177" s="34" t="e">
        <f>VLOOKUP(A1,DIV_10Data!$A$1:$DZU$1000000,3004,FALSE)</f>
        <v>#N/A</v>
      </c>
      <c r="L177" s="93" t="e">
        <f>VLOOKUP(A1,DIV_10Data!$A$1:$DZU$1000000,3005,FALSE)</f>
        <v>#N/A</v>
      </c>
      <c r="M177" s="33" t="e">
        <f>VLOOKUP(A1,DIV_10Data!$A$1:$DZU$1000000,3006,FALSE)</f>
        <v>#N/A</v>
      </c>
      <c r="N177" s="34" t="e">
        <f>VLOOKUP(A1,DIV_10Data!$A$1:$DZU$1000000,3007,FALSE)</f>
        <v>#N/A</v>
      </c>
      <c r="O177" s="33" t="e">
        <f>VLOOKUP(A1,DIV_10Data!$A$1:$DZU$1000000,3008,FALSE)</f>
        <v>#N/A</v>
      </c>
      <c r="P177" s="46" t="e">
        <f>VLOOKUP(A1,DIV_10Data!$A$1:$DZU$1000000,3009,FALSE)</f>
        <v>#N/A</v>
      </c>
      <c r="Q177" s="33" t="e">
        <f>VLOOKUP(A1,DIV_10Data!$A$1:$DZU$1000000,3010,FALSE)</f>
        <v>#N/A</v>
      </c>
    </row>
    <row r="178" spans="1:17" x14ac:dyDescent="0.35">
      <c r="A178" s="22" t="e">
        <f>VLOOKUP(A1,DIV_10Data!$A$1:$DZU$1000000,3011,FALSE)</f>
        <v>#N/A</v>
      </c>
      <c r="B178" s="37" t="e">
        <f>VLOOKUP(A1,DIV_10Data!$A$1:$DZU$1000000,3012,FALSE)</f>
        <v>#N/A</v>
      </c>
      <c r="C178" s="38" t="e">
        <f>VLOOKUP(A1,DIV_10Data!$A$1:$DZU$1000000,3013,FALSE)</f>
        <v>#N/A</v>
      </c>
      <c r="D178" s="31" t="e">
        <f>VLOOKUP(A1,DIV_10Data!$A$1:$DZU$1000000,3014,FALSE)</f>
        <v>#N/A</v>
      </c>
      <c r="E178" s="32" t="e">
        <f>VLOOKUP(A1,DIV_10Data!$A$1:$DZU$1000000,3015,FALSE)</f>
        <v>#N/A</v>
      </c>
      <c r="F178" s="34" t="e">
        <f>VLOOKUP(A1,DIV_10Data!$A$1:$DZU$1000000,3016,FALSE)</f>
        <v>#N/A</v>
      </c>
      <c r="G178" s="33" t="e">
        <f>VLOOKUP(A1,DIV_10Data!$A$1:$DZU$1000000,3017,FALSE)</f>
        <v>#N/A</v>
      </c>
      <c r="H178" s="34" t="e">
        <f>VLOOKUP(A1,DIV_10Data!$A$1:$DZU$1000000,3018,FALSE)</f>
        <v>#N/A</v>
      </c>
      <c r="I178" s="33" t="e">
        <f>VLOOKUP(A1,DIV_10Data!$A$1:$DZU$1000000,3019,FALSE)</f>
        <v>#N/A</v>
      </c>
      <c r="J178" s="34" t="e">
        <f>VLOOKUP(A1,DIV_10Data!$A$1:$DZU$1000000,3020,FALSE)</f>
        <v>#N/A</v>
      </c>
      <c r="K178" s="34" t="e">
        <f>VLOOKUP(A1,DIV_10Data!$A$1:$DZU$1000000,3021,FALSE)</f>
        <v>#N/A</v>
      </c>
      <c r="L178" s="93" t="e">
        <f>VLOOKUP(A1,DIV_10Data!$A$1:$DZU$1000000,3022,FALSE)</f>
        <v>#N/A</v>
      </c>
      <c r="M178" s="33" t="e">
        <f>VLOOKUP(A1,DIV_10Data!$A$1:$DZU$1000000,3023,FALSE)</f>
        <v>#N/A</v>
      </c>
      <c r="N178" s="34" t="e">
        <f>VLOOKUP(A1,DIV_10Data!$A$1:$DZU$1000000,3024,FALSE)</f>
        <v>#N/A</v>
      </c>
      <c r="O178" s="33" t="e">
        <f>VLOOKUP(A1,DIV_10Data!$A$1:$DZU$1000000,3025,FALSE)</f>
        <v>#N/A</v>
      </c>
      <c r="P178" s="46" t="e">
        <f>VLOOKUP(A1,DIV_10Data!$A$1:$DZU$1000000,3026,FALSE)</f>
        <v>#N/A</v>
      </c>
      <c r="Q178" s="33" t="e">
        <f>VLOOKUP(A1,DIV_10Data!$A$1:$DZU$1000000,3027,FALSE)</f>
        <v>#N/A</v>
      </c>
    </row>
    <row r="179" spans="1:17" x14ac:dyDescent="0.35">
      <c r="A179" s="22" t="e">
        <f>VLOOKUP(A1,DIV_10Data!$A$1:$DZU$1000000,3028,FALSE)</f>
        <v>#N/A</v>
      </c>
      <c r="B179" s="37" t="e">
        <f>VLOOKUP(A1,DIV_10Data!$A$1:$DZU$1000000,3029,FALSE)</f>
        <v>#N/A</v>
      </c>
      <c r="C179" s="38" t="e">
        <f>VLOOKUP(A1,DIV_10Data!$A$1:$DZU$1000000,3030,FALSE)</f>
        <v>#N/A</v>
      </c>
      <c r="D179" s="31" t="e">
        <f>VLOOKUP(A1,DIV_10Data!$A$1:$DZU$1000000,3031,FALSE)</f>
        <v>#N/A</v>
      </c>
      <c r="E179" s="32" t="e">
        <f>VLOOKUP(A1,DIV_10Data!$A$1:$DZU$1000000,3032,FALSE)</f>
        <v>#N/A</v>
      </c>
      <c r="F179" s="34" t="e">
        <f>VLOOKUP(A1,DIV_10Data!$A$1:$DZU$1000000,3033,FALSE)</f>
        <v>#N/A</v>
      </c>
      <c r="G179" s="33" t="e">
        <f>VLOOKUP(A1,DIV_10Data!$A$1:$DZU$1000000,3034,FALSE)</f>
        <v>#N/A</v>
      </c>
      <c r="H179" s="34" t="e">
        <f>VLOOKUP(A1,DIV_10Data!$A$1:$DZU$1000000,3035,FALSE)</f>
        <v>#N/A</v>
      </c>
      <c r="I179" s="33" t="e">
        <f>VLOOKUP(A1,DIV_10Data!$A$1:$DZU$1000000,3036,FALSE)</f>
        <v>#N/A</v>
      </c>
      <c r="J179" s="34" t="e">
        <f>VLOOKUP(A1,DIV_10Data!$A$1:$DZU$1000000,3037,FALSE)</f>
        <v>#N/A</v>
      </c>
      <c r="K179" s="34" t="e">
        <f>VLOOKUP(A1,DIV_10Data!$A$1:$DZU$1000000,3038,FALSE)</f>
        <v>#N/A</v>
      </c>
      <c r="L179" s="93" t="e">
        <f>VLOOKUP(A1,DIV_10Data!$A$1:$DZU$1000000,3039,FALSE)</f>
        <v>#N/A</v>
      </c>
      <c r="M179" s="33" t="e">
        <f>VLOOKUP(A1,DIV_10Data!$A$1:$DZU$1000000,3040,FALSE)</f>
        <v>#N/A</v>
      </c>
      <c r="N179" s="34" t="e">
        <f>VLOOKUP(A1,DIV_10Data!$A$1:$DZU$1000000,3041,FALSE)</f>
        <v>#N/A</v>
      </c>
      <c r="O179" s="33" t="e">
        <f>VLOOKUP(A1,DIV_10Data!$A$1:$DZU$1000000,3042,FALSE)</f>
        <v>#N/A</v>
      </c>
      <c r="P179" s="46" t="e">
        <f>VLOOKUP(A1,DIV_10Data!$A$1:$DZU$1000000,3043,FALSE)</f>
        <v>#N/A</v>
      </c>
      <c r="Q179" s="33" t="e">
        <f>VLOOKUP(A1,DIV_10Data!$A$1:$DZU$1000000,3044,FALSE)</f>
        <v>#N/A</v>
      </c>
    </row>
    <row r="180" spans="1:17" x14ac:dyDescent="0.35">
      <c r="A180" s="22" t="e">
        <f>VLOOKUP(A1,DIV_10Data!$A$1:$DZU$1000000,3045,FALSE)</f>
        <v>#N/A</v>
      </c>
      <c r="B180" s="37" t="e">
        <f>VLOOKUP(A1,DIV_10Data!$A$1:$DZU$1000000,3046,FALSE)</f>
        <v>#N/A</v>
      </c>
      <c r="C180" s="38" t="e">
        <f>VLOOKUP(A1,DIV_10Data!$A$1:$DZU$1000000,3047,FALSE)</f>
        <v>#N/A</v>
      </c>
      <c r="D180" s="31" t="e">
        <f>VLOOKUP(A1,DIV_10Data!$A$1:$DZU$1000000,3048,FALSE)</f>
        <v>#N/A</v>
      </c>
      <c r="E180" s="32" t="e">
        <f>VLOOKUP(A1,DIV_10Data!$A$1:$DZU$1000000,3049,FALSE)</f>
        <v>#N/A</v>
      </c>
      <c r="F180" s="34" t="e">
        <f>VLOOKUP(A1,DIV_10Data!$A$1:$DZU$1000000,3050,FALSE)</f>
        <v>#N/A</v>
      </c>
      <c r="G180" s="33" t="e">
        <f>VLOOKUP(A1,DIV_10Data!$A$1:$DZU$1000000,3051,FALSE)</f>
        <v>#N/A</v>
      </c>
      <c r="H180" s="34" t="e">
        <f>VLOOKUP(A1,DIV_10Data!$A$1:$DZU$1000000,3052,FALSE)</f>
        <v>#N/A</v>
      </c>
      <c r="I180" s="33" t="e">
        <f>VLOOKUP(A1,DIV_10Data!$A$1:$DZU$1000000,3053,FALSE)</f>
        <v>#N/A</v>
      </c>
      <c r="J180" s="34" t="e">
        <f>VLOOKUP(A1,DIV_10Data!$A$1:$DZU$1000000,3054,FALSE)</f>
        <v>#N/A</v>
      </c>
      <c r="K180" s="34" t="e">
        <f>VLOOKUP(A1,DIV_10Data!$A$1:$DZU$1000000,3055,FALSE)</f>
        <v>#N/A</v>
      </c>
      <c r="L180" s="93" t="e">
        <f>VLOOKUP(A1,DIV_10Data!$A$1:$DZU$1000000,3056,FALSE)</f>
        <v>#N/A</v>
      </c>
      <c r="M180" s="33" t="e">
        <f>VLOOKUP(A1,DIV_10Data!$A$1:$DZU$1000000,3057,FALSE)</f>
        <v>#N/A</v>
      </c>
      <c r="N180" s="34" t="e">
        <f>VLOOKUP(A1,DIV_10Data!$A$1:$DZU$1000000,3058,FALSE)</f>
        <v>#N/A</v>
      </c>
      <c r="O180" s="33" t="e">
        <f>VLOOKUP(A1,DIV_10Data!$A$1:$DZU$1000000,3059,FALSE)</f>
        <v>#N/A</v>
      </c>
      <c r="P180" s="46" t="e">
        <f>VLOOKUP(A1,DIV_10Data!$A$1:$DZU$1000000,3060,FALSE)</f>
        <v>#N/A</v>
      </c>
      <c r="Q180" s="33" t="e">
        <f>VLOOKUP(A1,DIV_10Data!$A$1:$DZU$1000000,3061,FALSE)</f>
        <v>#N/A</v>
      </c>
    </row>
    <row r="181" spans="1:17" x14ac:dyDescent="0.35">
      <c r="A181" s="22" t="e">
        <f>VLOOKUP(A1,DIV_10Data!$A$1:$DZU$1000000,3062,FALSE)</f>
        <v>#N/A</v>
      </c>
      <c r="B181" s="37" t="e">
        <f>VLOOKUP(A1,DIV_10Data!$A$1:$DZU$1000000,3063,FALSE)</f>
        <v>#N/A</v>
      </c>
      <c r="C181" s="38" t="e">
        <f>VLOOKUP(A1,DIV_10Data!$A$1:$DZU$1000000,3064,FALSE)</f>
        <v>#N/A</v>
      </c>
      <c r="D181" s="31" t="e">
        <f>VLOOKUP(A1,DIV_10Data!$A$1:$DZU$1000000,3065,FALSE)</f>
        <v>#N/A</v>
      </c>
      <c r="E181" s="32" t="e">
        <f>VLOOKUP(A1,DIV_10Data!$A$1:$DZU$1000000,3066,FALSE)</f>
        <v>#N/A</v>
      </c>
      <c r="F181" s="34" t="e">
        <f>VLOOKUP(A1,DIV_10Data!$A$1:$DZU$1000000,3067,FALSE)</f>
        <v>#N/A</v>
      </c>
      <c r="G181" s="33" t="e">
        <f>VLOOKUP(A1,DIV_10Data!$A$1:$DZU$1000000,3068,FALSE)</f>
        <v>#N/A</v>
      </c>
      <c r="H181" s="34" t="e">
        <f>VLOOKUP(A1,DIV_10Data!$A$1:$DZU$1000000,3069,FALSE)</f>
        <v>#N/A</v>
      </c>
      <c r="I181" s="33" t="e">
        <f>VLOOKUP(A1,DIV_10Data!$A$1:$DZU$1000000,3070,FALSE)</f>
        <v>#N/A</v>
      </c>
      <c r="J181" s="34" t="e">
        <f>VLOOKUP(A1,DIV_10Data!$A$1:$DZU$1000000,3071,FALSE)</f>
        <v>#N/A</v>
      </c>
      <c r="K181" s="34" t="e">
        <f>VLOOKUP(A1,DIV_10Data!$A$1:$DZU$1000000,3072,FALSE)</f>
        <v>#N/A</v>
      </c>
      <c r="L181" s="93" t="e">
        <f>VLOOKUP(A1,DIV_10Data!$A$1:$DZU$1000000,3073,FALSE)</f>
        <v>#N/A</v>
      </c>
      <c r="M181" s="33" t="e">
        <f>VLOOKUP(A1,DIV_10Data!$A$1:$DZU$1000000,3074,FALSE)</f>
        <v>#N/A</v>
      </c>
      <c r="N181" s="34" t="e">
        <f>VLOOKUP(A1,DIV_10Data!$A$1:$DZU$1000000,3075,FALSE)</f>
        <v>#N/A</v>
      </c>
      <c r="O181" s="33" t="e">
        <f>VLOOKUP(A1,DIV_10Data!$A$1:$DZU$1000000,3076,FALSE)</f>
        <v>#N/A</v>
      </c>
      <c r="P181" s="46" t="e">
        <f>VLOOKUP(A1,DIV_10Data!$A$1:$DZU$1000000,3077,FALSE)</f>
        <v>#N/A</v>
      </c>
      <c r="Q181" s="33" t="e">
        <f>VLOOKUP(A1,DIV_10Data!$A$1:$DZU$1000000,3078,FALSE)</f>
        <v>#N/A</v>
      </c>
    </row>
    <row r="182" spans="1:17" x14ac:dyDescent="0.35">
      <c r="A182" s="22" t="e">
        <f>VLOOKUP(A1,DIV_10Data!$A$1:$DZU$1000000,3079,FALSE)</f>
        <v>#N/A</v>
      </c>
      <c r="B182" s="37" t="e">
        <f>VLOOKUP(A1,DIV_10Data!$A$1:$DZU$1000000,3080,FALSE)</f>
        <v>#N/A</v>
      </c>
      <c r="C182" s="38" t="e">
        <f>VLOOKUP(A1,DIV_10Data!$A$1:$DZU$1000000,3081,FALSE)</f>
        <v>#N/A</v>
      </c>
      <c r="D182" s="31" t="e">
        <f>VLOOKUP(A1,DIV_10Data!$A$1:$DZU$1000000,3082,FALSE)</f>
        <v>#N/A</v>
      </c>
      <c r="E182" s="32" t="e">
        <f>VLOOKUP(A1,DIV_10Data!$A$1:$DZU$1000000,3083,FALSE)</f>
        <v>#N/A</v>
      </c>
      <c r="F182" s="34" t="e">
        <f>VLOOKUP(A1,DIV_10Data!$A$1:$DZU$1000000,3084,FALSE)</f>
        <v>#N/A</v>
      </c>
      <c r="G182" s="33" t="e">
        <f>VLOOKUP(A1,DIV_10Data!$A$1:$DZU$1000000,3085,FALSE)</f>
        <v>#N/A</v>
      </c>
      <c r="H182" s="34" t="e">
        <f>VLOOKUP(A1,DIV_10Data!$A$1:$DZU$1000000,3086,FALSE)</f>
        <v>#N/A</v>
      </c>
      <c r="I182" s="33" t="e">
        <f>VLOOKUP(A1,DIV_10Data!$A$1:$DZU$1000000,3087,FALSE)</f>
        <v>#N/A</v>
      </c>
      <c r="J182" s="34" t="e">
        <f>VLOOKUP(A1,DIV_10Data!$A$1:$DZU$1000000,3088,FALSE)</f>
        <v>#N/A</v>
      </c>
      <c r="K182" s="34" t="e">
        <f>VLOOKUP(A1,DIV_10Data!$A$1:$DZU$1000000,3089,FALSE)</f>
        <v>#N/A</v>
      </c>
      <c r="L182" s="93" t="e">
        <f>VLOOKUP(A1,DIV_10Data!$A$1:$DZU$1000000,3090,FALSE)</f>
        <v>#N/A</v>
      </c>
      <c r="M182" s="33" t="e">
        <f>VLOOKUP(A1,DIV_10Data!$A$1:$DZU$1000000,3091,FALSE)</f>
        <v>#N/A</v>
      </c>
      <c r="N182" s="34" t="e">
        <f>VLOOKUP(A1,DIV_10Data!$A$1:$DZU$1000000,3092,FALSE)</f>
        <v>#N/A</v>
      </c>
      <c r="O182" s="33" t="e">
        <f>VLOOKUP(A1,DIV_10Data!$A$1:$DZU$1000000,3093,FALSE)</f>
        <v>#N/A</v>
      </c>
      <c r="P182" s="46" t="e">
        <f>VLOOKUP(A1,DIV_10Data!$A$1:$DZU$1000000,3094,FALSE)</f>
        <v>#N/A</v>
      </c>
      <c r="Q182" s="33" t="e">
        <f>VLOOKUP(A1,DIV_10Data!$A$1:$DZU$1000000,3095,FALSE)</f>
        <v>#N/A</v>
      </c>
    </row>
    <row r="183" spans="1:17" x14ac:dyDescent="0.35">
      <c r="A183" s="22" t="e">
        <f>VLOOKUP(A1,DIV_10Data!$A$1:$DZU$1000000,3096,FALSE)</f>
        <v>#N/A</v>
      </c>
      <c r="B183" s="37" t="e">
        <f>VLOOKUP(A1,DIV_10Data!$A$1:$DZU$1000000,3097,FALSE)</f>
        <v>#N/A</v>
      </c>
      <c r="C183" s="38" t="e">
        <f>VLOOKUP(A1,DIV_10Data!$A$1:$DZU$1000000,3098,FALSE)</f>
        <v>#N/A</v>
      </c>
      <c r="D183" s="31" t="e">
        <f>VLOOKUP(A1,DIV_10Data!$A$1:$DZU$1000000,3099,FALSE)</f>
        <v>#N/A</v>
      </c>
      <c r="E183" s="32" t="e">
        <f>VLOOKUP(A1,DIV_10Data!$A$1:$DZU$1000000,3100,FALSE)</f>
        <v>#N/A</v>
      </c>
      <c r="F183" s="34" t="e">
        <f>VLOOKUP(A1,DIV_10Data!$A$1:$DZU$1000000,3101,FALSE)</f>
        <v>#N/A</v>
      </c>
      <c r="G183" s="33" t="e">
        <f>VLOOKUP(A1,DIV_10Data!$A$1:$DZU$1000000,3102,FALSE)</f>
        <v>#N/A</v>
      </c>
      <c r="H183" s="34" t="e">
        <f>VLOOKUP(A1,DIV_10Data!$A$1:$DZU$1000000,3103,FALSE)</f>
        <v>#N/A</v>
      </c>
      <c r="I183" s="33" t="e">
        <f>VLOOKUP(A1,DIV_10Data!$A$1:$DZU$1000000,3104,FALSE)</f>
        <v>#N/A</v>
      </c>
      <c r="J183" s="34" t="e">
        <f>VLOOKUP(A1,DIV_10Data!$A$1:$DZU$1000000,3105,FALSE)</f>
        <v>#N/A</v>
      </c>
      <c r="K183" s="34" t="e">
        <f>VLOOKUP(A1,DIV_10Data!$A$1:$DZU$1000000,3106,FALSE)</f>
        <v>#N/A</v>
      </c>
      <c r="L183" s="93" t="e">
        <f>VLOOKUP(A1,DIV_10Data!$A$1:$DZU$1000000,3107,FALSE)</f>
        <v>#N/A</v>
      </c>
      <c r="M183" s="33" t="e">
        <f>VLOOKUP(A1,DIV_10Data!$A$1:$DZU$1000000,3108,FALSE)</f>
        <v>#N/A</v>
      </c>
      <c r="N183" s="34" t="e">
        <f>VLOOKUP(A1,DIV_10Data!$A$1:$DZU$1000000,3109,FALSE)</f>
        <v>#N/A</v>
      </c>
      <c r="O183" s="33" t="e">
        <f>VLOOKUP(A1,DIV_10Data!$A$1:$DZU$1000000,3110,FALSE)</f>
        <v>#N/A</v>
      </c>
      <c r="P183" s="46" t="e">
        <f>VLOOKUP(A1,DIV_10Data!$A$1:$DZU$1000000,3111,FALSE)</f>
        <v>#N/A</v>
      </c>
      <c r="Q183" s="33" t="e">
        <f>VLOOKUP(A1,DIV_10Data!$A$1:$DZU$1000000,3112,FALSE)</f>
        <v>#N/A</v>
      </c>
    </row>
    <row r="184" spans="1:17" x14ac:dyDescent="0.35">
      <c r="A184" s="22" t="e">
        <f>VLOOKUP(A1,DIV_10Data!$A$1:$DZU$1000000,3113,FALSE)</f>
        <v>#N/A</v>
      </c>
      <c r="B184" s="37" t="e">
        <f>VLOOKUP(A1,DIV_10Data!$A$1:$DZU$1000000,3114,FALSE)</f>
        <v>#N/A</v>
      </c>
      <c r="C184" s="38" t="e">
        <f>VLOOKUP(A1,DIV_10Data!$A$1:$DZU$1000000,3115,FALSE)</f>
        <v>#N/A</v>
      </c>
      <c r="D184" s="31" t="e">
        <f>VLOOKUP(A1,DIV_10Data!$A$1:$DZU$1000000,3116,FALSE)</f>
        <v>#N/A</v>
      </c>
      <c r="E184" s="32" t="e">
        <f>VLOOKUP(A1,DIV_10Data!$A$1:$DZU$1000000,3117,FALSE)</f>
        <v>#N/A</v>
      </c>
      <c r="F184" s="34" t="e">
        <f>VLOOKUP(A1,DIV_10Data!$A$1:$DZU$1000000,3118,FALSE)</f>
        <v>#N/A</v>
      </c>
      <c r="G184" s="33" t="e">
        <f>VLOOKUP(A1,DIV_10Data!$A$1:$DZU$1000000,3119,FALSE)</f>
        <v>#N/A</v>
      </c>
      <c r="H184" s="34" t="e">
        <f>VLOOKUP(A1,DIV_10Data!$A$1:$DZU$1000000,3120,FALSE)</f>
        <v>#N/A</v>
      </c>
      <c r="I184" s="33" t="e">
        <f>VLOOKUP(A1,DIV_10Data!$A$1:$DZU$1000000,3121,FALSE)</f>
        <v>#N/A</v>
      </c>
      <c r="J184" s="34" t="e">
        <f>VLOOKUP(A1,DIV_10Data!$A$1:$DZU$1000000,3122,FALSE)</f>
        <v>#N/A</v>
      </c>
      <c r="K184" s="34" t="e">
        <f>VLOOKUP(A1,DIV_10Data!$A$1:$DZU$1000000,3123,FALSE)</f>
        <v>#N/A</v>
      </c>
      <c r="L184" s="93" t="e">
        <f>VLOOKUP(A1,DIV_10Data!$A$1:$DZU$1000000,3124,FALSE)</f>
        <v>#N/A</v>
      </c>
      <c r="M184" s="33" t="e">
        <f>VLOOKUP(A1,DIV_10Data!$A$1:$DZU$1000000,3125,FALSE)</f>
        <v>#N/A</v>
      </c>
      <c r="N184" s="34" t="e">
        <f>VLOOKUP(A1,DIV_10Data!$A$1:$DZU$1000000,3126,FALSE)</f>
        <v>#N/A</v>
      </c>
      <c r="O184" s="33" t="e">
        <f>VLOOKUP(A1,DIV_10Data!$A$1:$DZU$1000000,3127,FALSE)</f>
        <v>#N/A</v>
      </c>
      <c r="P184" s="46" t="e">
        <f>VLOOKUP(A1,DIV_10Data!$A$1:$DZU$1000000,3128,FALSE)</f>
        <v>#N/A</v>
      </c>
      <c r="Q184" s="33" t="e">
        <f>VLOOKUP(A1,DIV_10Data!$A$1:$DZU$1000000,3129,FALSE)</f>
        <v>#N/A</v>
      </c>
    </row>
    <row r="185" spans="1:17" x14ac:dyDescent="0.35">
      <c r="A185" s="22" t="e">
        <f>VLOOKUP(A1,DIV_10Data!$A$1:$DZU$1000000,3130,FALSE)</f>
        <v>#N/A</v>
      </c>
      <c r="B185" s="37" t="e">
        <f>VLOOKUP(A1,DIV_10Data!$A$1:$DZU$1000000,3131,FALSE)</f>
        <v>#N/A</v>
      </c>
      <c r="C185" s="38" t="e">
        <f>VLOOKUP(A1,DIV_10Data!$A$1:$DZU$1000000,3132,FALSE)</f>
        <v>#N/A</v>
      </c>
      <c r="D185" s="31" t="e">
        <f>VLOOKUP(A1,DIV_10Data!$A$1:$DZU$1000000,3133,FALSE)</f>
        <v>#N/A</v>
      </c>
      <c r="E185" s="32" t="e">
        <f>VLOOKUP(A1,DIV_10Data!$A$1:$DZU$1000000,3134,FALSE)</f>
        <v>#N/A</v>
      </c>
      <c r="F185" s="34" t="e">
        <f>VLOOKUP(A1,DIV_10Data!$A$1:$DZU$1000000,3135,FALSE)</f>
        <v>#N/A</v>
      </c>
      <c r="G185" s="33" t="e">
        <f>VLOOKUP(A1,DIV_10Data!$A$1:$DZU$1000000,3136,FALSE)</f>
        <v>#N/A</v>
      </c>
      <c r="H185" s="34" t="e">
        <f>VLOOKUP(A1,DIV_10Data!$A$1:$DZU$1000000,3137,FALSE)</f>
        <v>#N/A</v>
      </c>
      <c r="I185" s="33" t="e">
        <f>VLOOKUP(A1,DIV_10Data!$A$1:$DZU$1000000,3138,FALSE)</f>
        <v>#N/A</v>
      </c>
      <c r="J185" s="34" t="e">
        <f>VLOOKUP(A1,DIV_10Data!$A$1:$DZU$1000000,3139,FALSE)</f>
        <v>#N/A</v>
      </c>
      <c r="K185" s="34" t="e">
        <f>VLOOKUP(A1,DIV_10Data!$A$1:$DZU$1000000,3140,FALSE)</f>
        <v>#N/A</v>
      </c>
      <c r="L185" s="93" t="e">
        <f>VLOOKUP(A1,DIV_10Data!$A$1:$DZU$1000000,3141,FALSE)</f>
        <v>#N/A</v>
      </c>
      <c r="M185" s="33" t="e">
        <f>VLOOKUP(A1,DIV_10Data!$A$1:$DZU$1000000,3142,FALSE)</f>
        <v>#N/A</v>
      </c>
      <c r="N185" s="34" t="e">
        <f>VLOOKUP(A1,DIV_10Data!$A$1:$DZU$1000000,3143,FALSE)</f>
        <v>#N/A</v>
      </c>
      <c r="O185" s="33" t="e">
        <f>VLOOKUP(A1,DIV_10Data!$A$1:$DZU$1000000,3144,FALSE)</f>
        <v>#N/A</v>
      </c>
      <c r="P185" s="46" t="e">
        <f>VLOOKUP(A1,DIV_10Data!$A$1:$DZU$1000000,3145,FALSE)</f>
        <v>#N/A</v>
      </c>
      <c r="Q185" s="33" t="e">
        <f>VLOOKUP(A1,DIV_10Data!$A$1:$DZU$1000000,3146,FALSE)</f>
        <v>#N/A</v>
      </c>
    </row>
    <row r="186" spans="1:17" x14ac:dyDescent="0.35">
      <c r="A186" s="22" t="e">
        <f>VLOOKUP(A1,DIV_10Data!$A$1:$DZU$1000000,3147,FALSE)</f>
        <v>#N/A</v>
      </c>
      <c r="B186" s="37" t="e">
        <f>VLOOKUP(A1,DIV_10Data!$A$1:$DZU$1000000,3148,FALSE)</f>
        <v>#N/A</v>
      </c>
      <c r="C186" s="38" t="e">
        <f>VLOOKUP(A1,DIV_10Data!$A$1:$DZU$1000000,3149,FALSE)</f>
        <v>#N/A</v>
      </c>
      <c r="D186" s="31" t="e">
        <f>VLOOKUP(A1,DIV_10Data!$A$1:$DZU$1000000,3150,FALSE)</f>
        <v>#N/A</v>
      </c>
      <c r="E186" s="32" t="e">
        <f>VLOOKUP(A1,DIV_10Data!$A$1:$DZU$1000000,3151,FALSE)</f>
        <v>#N/A</v>
      </c>
      <c r="F186" s="34" t="e">
        <f>VLOOKUP(A1,DIV_10Data!$A$1:$DZU$1000000,3152,FALSE)</f>
        <v>#N/A</v>
      </c>
      <c r="G186" s="33" t="e">
        <f>VLOOKUP(A1,DIV_10Data!$A$1:$DZU$1000000,3153,FALSE)</f>
        <v>#N/A</v>
      </c>
      <c r="H186" s="34" t="e">
        <f>VLOOKUP(A1,DIV_10Data!$A$1:$DZU$1000000,3154,FALSE)</f>
        <v>#N/A</v>
      </c>
      <c r="I186" s="33" t="e">
        <f>VLOOKUP(A1,DIV_10Data!$A$1:$DZU$1000000,3155,FALSE)</f>
        <v>#N/A</v>
      </c>
      <c r="J186" s="34" t="e">
        <f>VLOOKUP(A1,DIV_10Data!$A$1:$DZU$1000000,3156,FALSE)</f>
        <v>#N/A</v>
      </c>
      <c r="K186" s="34" t="e">
        <f>VLOOKUP(A1,DIV_10Data!$A$1:$DZU$1000000,3157,FALSE)</f>
        <v>#N/A</v>
      </c>
      <c r="L186" s="93" t="e">
        <f>VLOOKUP(A1,DIV_10Data!$A$1:$DZU$1000000,3158,FALSE)</f>
        <v>#N/A</v>
      </c>
      <c r="M186" s="33" t="e">
        <f>VLOOKUP(A1,DIV_10Data!$A$1:$DZU$1000000,3159,FALSE)</f>
        <v>#N/A</v>
      </c>
      <c r="N186" s="34" t="e">
        <f>VLOOKUP(A1,DIV_10Data!$A$1:$DZU$1000000,3160,FALSE)</f>
        <v>#N/A</v>
      </c>
      <c r="O186" s="33" t="e">
        <f>VLOOKUP(A1,DIV_10Data!$A$1:$DZU$1000000,3161,FALSE)</f>
        <v>#N/A</v>
      </c>
      <c r="P186" s="46" t="e">
        <f>VLOOKUP(A1,DIV_10Data!$A$1:$DZU$1000000,3162,FALSE)</f>
        <v>#N/A</v>
      </c>
      <c r="Q186" s="33" t="e">
        <f>VLOOKUP(A1,DIV_10Data!$A$1:$DZU$1000000,3163,FALSE)</f>
        <v>#N/A</v>
      </c>
    </row>
    <row r="187" spans="1:17" x14ac:dyDescent="0.35">
      <c r="A187" s="22" t="e">
        <f>VLOOKUP(A1,DIV_10Data!$A$1:$DZU$1000000,3164,FALSE)</f>
        <v>#N/A</v>
      </c>
      <c r="B187" s="37" t="e">
        <f>VLOOKUP(A1,DIV_10Data!$A$1:$DZU$1000000,3165,FALSE)</f>
        <v>#N/A</v>
      </c>
      <c r="C187" s="38" t="e">
        <f>VLOOKUP(A1,DIV_10Data!$A$1:$DZU$1000000,3166,FALSE)</f>
        <v>#N/A</v>
      </c>
      <c r="D187" s="31" t="e">
        <f>VLOOKUP(A1,DIV_10Data!$A$1:$DZU$1000000,3167,FALSE)</f>
        <v>#N/A</v>
      </c>
      <c r="E187" s="32" t="e">
        <f>VLOOKUP(A1,DIV_10Data!$A$1:$DZU$1000000,3168,FALSE)</f>
        <v>#N/A</v>
      </c>
      <c r="F187" s="34" t="e">
        <f>VLOOKUP(A1,DIV_10Data!$A$1:$DZU$1000000,3169,FALSE)</f>
        <v>#N/A</v>
      </c>
      <c r="G187" s="33" t="e">
        <f>VLOOKUP(A1,DIV_10Data!$A$1:$DZU$1000000,3170,FALSE)</f>
        <v>#N/A</v>
      </c>
      <c r="H187" s="34" t="e">
        <f>VLOOKUP(A1,DIV_10Data!$A$1:$DZU$1000000,3171,FALSE)</f>
        <v>#N/A</v>
      </c>
      <c r="I187" s="33" t="e">
        <f>VLOOKUP(A1,DIV_10Data!$A$1:$DZU$1000000,3172,FALSE)</f>
        <v>#N/A</v>
      </c>
      <c r="J187" s="34" t="e">
        <f>VLOOKUP(A1,DIV_10Data!$A$1:$DZU$1000000,3173,FALSE)</f>
        <v>#N/A</v>
      </c>
      <c r="K187" s="34" t="e">
        <f>VLOOKUP(A1,DIV_10Data!$A$1:$DZU$1000000,3174,FALSE)</f>
        <v>#N/A</v>
      </c>
      <c r="L187" s="93" t="e">
        <f>VLOOKUP(A1,DIV_10Data!$A$1:$DZU$1000000,3175,FALSE)</f>
        <v>#N/A</v>
      </c>
      <c r="M187" s="33" t="e">
        <f>VLOOKUP(A1,DIV_10Data!$A$1:$DZU$1000000,3176,FALSE)</f>
        <v>#N/A</v>
      </c>
      <c r="N187" s="34" t="e">
        <f>VLOOKUP(A1,DIV_10Data!$A$1:$DZU$1000000,3177,FALSE)</f>
        <v>#N/A</v>
      </c>
      <c r="O187" s="33" t="e">
        <f>VLOOKUP(A1,DIV_10Data!$A$1:$DZU$1000000,3178,FALSE)</f>
        <v>#N/A</v>
      </c>
      <c r="P187" s="46" t="e">
        <f>VLOOKUP(A1,DIV_10Data!$A$1:$DZU$1000000,3179,FALSE)</f>
        <v>#N/A</v>
      </c>
      <c r="Q187" s="33" t="e">
        <f>VLOOKUP(A1,DIV_10Data!$A$1:$DZU$1000000,3180,FALSE)</f>
        <v>#N/A</v>
      </c>
    </row>
    <row r="188" spans="1:17" x14ac:dyDescent="0.35">
      <c r="A188" s="22" t="e">
        <f>VLOOKUP(A1,DIV_10Data!$A$1:$DZU$1000000,3181,FALSE)</f>
        <v>#N/A</v>
      </c>
      <c r="B188" s="37" t="e">
        <f>VLOOKUP(A1,DIV_10Data!$A$1:$DZU$1000000,3182,FALSE)</f>
        <v>#N/A</v>
      </c>
      <c r="C188" s="38" t="e">
        <f>VLOOKUP(A1,DIV_10Data!$A$1:$DZU$1000000,3183,FALSE)</f>
        <v>#N/A</v>
      </c>
      <c r="D188" s="31" t="e">
        <f>VLOOKUP(A1,DIV_10Data!$A$1:$DZU$1000000,3184,FALSE)</f>
        <v>#N/A</v>
      </c>
      <c r="E188" s="32" t="e">
        <f>VLOOKUP(A1,DIV_10Data!$A$1:$DZU$1000000,3185,FALSE)</f>
        <v>#N/A</v>
      </c>
      <c r="F188" s="34" t="e">
        <f>VLOOKUP(A1,DIV_10Data!$A$1:$DZU$1000000,3186,FALSE)</f>
        <v>#N/A</v>
      </c>
      <c r="G188" s="33" t="e">
        <f>VLOOKUP(A1,DIV_10Data!$A$1:$DZU$1000000,3187,FALSE)</f>
        <v>#N/A</v>
      </c>
      <c r="H188" s="34" t="e">
        <f>VLOOKUP(A1,DIV_10Data!$A$1:$DZU$1000000,3188,FALSE)</f>
        <v>#N/A</v>
      </c>
      <c r="I188" s="33" t="e">
        <f>VLOOKUP(A1,DIV_10Data!$A$1:$DZU$1000000,3189,FALSE)</f>
        <v>#N/A</v>
      </c>
      <c r="J188" s="34" t="e">
        <f>VLOOKUP(A1,DIV_10Data!$A$1:$DZU$1000000,3190,FALSE)</f>
        <v>#N/A</v>
      </c>
      <c r="K188" s="34" t="e">
        <f>VLOOKUP(A1,DIV_10Data!$A$1:$DZU$1000000,3191,FALSE)</f>
        <v>#N/A</v>
      </c>
      <c r="L188" s="93" t="e">
        <f>VLOOKUP(A1,DIV_10Data!$A$1:$DZU$1000000,3192,FALSE)</f>
        <v>#N/A</v>
      </c>
      <c r="M188" s="33" t="e">
        <f>VLOOKUP(A1,DIV_10Data!$A$1:$DZU$1000000,3193,FALSE)</f>
        <v>#N/A</v>
      </c>
      <c r="N188" s="34" t="e">
        <f>VLOOKUP(A1,DIV_10Data!$A$1:$DZU$1000000,3194,FALSE)</f>
        <v>#N/A</v>
      </c>
      <c r="O188" s="33" t="e">
        <f>VLOOKUP(A1,DIV_10Data!$A$1:$DZU$1000000,3195,FALSE)</f>
        <v>#N/A</v>
      </c>
      <c r="P188" s="46" t="e">
        <f>VLOOKUP(A1,DIV_10Data!$A$1:$DZU$1000000,3196,FALSE)</f>
        <v>#N/A</v>
      </c>
      <c r="Q188" s="33" t="e">
        <f>VLOOKUP(A1,DIV_10Data!$A$1:$DZU$1000000,3197,FALSE)</f>
        <v>#N/A</v>
      </c>
    </row>
    <row r="189" spans="1:17" x14ac:dyDescent="0.35">
      <c r="A189" s="22" t="e">
        <f>VLOOKUP(A1,DIV_10Data!$A$1:$DZU$1000000,3198,FALSE)</f>
        <v>#N/A</v>
      </c>
      <c r="B189" s="37" t="e">
        <f>VLOOKUP(A1,DIV_10Data!$A$1:$DZU$1000000,3199,FALSE)</f>
        <v>#N/A</v>
      </c>
      <c r="C189" s="38" t="e">
        <f>VLOOKUP(A1,DIV_10Data!$A$1:$DZU$1000000,3200,FALSE)</f>
        <v>#N/A</v>
      </c>
      <c r="D189" s="31" t="e">
        <f>VLOOKUP(A1,DIV_10Data!$A$1:$DZU$1000000,3201,FALSE)</f>
        <v>#N/A</v>
      </c>
      <c r="E189" s="32" t="e">
        <f>VLOOKUP(A1,DIV_10Data!$A$1:$DZU$1000000,3202,FALSE)</f>
        <v>#N/A</v>
      </c>
      <c r="F189" s="34" t="e">
        <f>VLOOKUP(A1,DIV_10Data!$A$1:$DZU$1000000,3203,FALSE)</f>
        <v>#N/A</v>
      </c>
      <c r="G189" s="33" t="e">
        <f>VLOOKUP(A1,DIV_10Data!$A$1:$DZU$1000000,3204,FALSE)</f>
        <v>#N/A</v>
      </c>
      <c r="H189" s="34" t="e">
        <f>VLOOKUP(A1,DIV_10Data!$A$1:$DZU$1000000,3205,FALSE)</f>
        <v>#N/A</v>
      </c>
      <c r="I189" s="33" t="e">
        <f>VLOOKUP(A1,DIV_10Data!$A$1:$DZU$1000000,3206,FALSE)</f>
        <v>#N/A</v>
      </c>
      <c r="J189" s="34" t="e">
        <f>VLOOKUP(A1,DIV_10Data!$A$1:$DZU$1000000,3207,FALSE)</f>
        <v>#N/A</v>
      </c>
      <c r="K189" s="34" t="e">
        <f>VLOOKUP(A1,DIV_10Data!$A$1:$DZU$1000000,3208,FALSE)</f>
        <v>#N/A</v>
      </c>
      <c r="L189" s="93" t="e">
        <f>VLOOKUP(A1,DIV_10Data!$A$1:$DZU$1000000,3209,FALSE)</f>
        <v>#N/A</v>
      </c>
      <c r="M189" s="33" t="e">
        <f>VLOOKUP(A1,DIV_10Data!$A$1:$DZU$1000000,3210,FALSE)</f>
        <v>#N/A</v>
      </c>
      <c r="N189" s="34" t="e">
        <f>VLOOKUP(A1,DIV_10Data!$A$1:$DZU$1000000,3211,FALSE)</f>
        <v>#N/A</v>
      </c>
      <c r="O189" s="33" t="e">
        <f>VLOOKUP(A1,DIV_10Data!$A$1:$DZU$1000000,3212,FALSE)</f>
        <v>#N/A</v>
      </c>
      <c r="P189" s="46" t="e">
        <f>VLOOKUP(A1,DIV_10Data!$A$1:$DZU$1000000,3213,FALSE)</f>
        <v>#N/A</v>
      </c>
      <c r="Q189" s="33" t="e">
        <f>VLOOKUP(A1,DIV_10Data!$A$1:$DZU$1000000,3214,FALSE)</f>
        <v>#N/A</v>
      </c>
    </row>
    <row r="190" spans="1:17" x14ac:dyDescent="0.35">
      <c r="A190" s="22" t="e">
        <f>VLOOKUP(A1,DIV_10Data!$A$1:$DZU$1000000,3215,FALSE)</f>
        <v>#N/A</v>
      </c>
      <c r="B190" s="37" t="e">
        <f>VLOOKUP(A1,DIV_10Data!$A$1:$DZU$1000000,3216,FALSE)</f>
        <v>#N/A</v>
      </c>
      <c r="C190" s="38" t="e">
        <f>VLOOKUP(A1,DIV_10Data!$A$1:$DZU$1000000,3217,FALSE)</f>
        <v>#N/A</v>
      </c>
      <c r="D190" s="31" t="e">
        <f>VLOOKUP(A1,DIV_10Data!$A$1:$DZU$1000000,3218,FALSE)</f>
        <v>#N/A</v>
      </c>
      <c r="E190" s="32" t="e">
        <f>VLOOKUP(A1,DIV_10Data!$A$1:$DZU$1000000,3219,FALSE)</f>
        <v>#N/A</v>
      </c>
      <c r="F190" s="34" t="e">
        <f>VLOOKUP(A1,DIV_10Data!$A$1:$DZU$1000000,3220,FALSE)</f>
        <v>#N/A</v>
      </c>
      <c r="G190" s="33" t="e">
        <f>VLOOKUP(A1,DIV_10Data!$A$1:$DZU$1000000,3221,FALSE)</f>
        <v>#N/A</v>
      </c>
      <c r="H190" s="34" t="e">
        <f>VLOOKUP(A1,DIV_10Data!$A$1:$DZU$1000000,3222,FALSE)</f>
        <v>#N/A</v>
      </c>
      <c r="I190" s="33" t="e">
        <f>VLOOKUP(A1,DIV_10Data!$A$1:$DZU$1000000,3223,FALSE)</f>
        <v>#N/A</v>
      </c>
      <c r="J190" s="34" t="e">
        <f>VLOOKUP(A1,DIV_10Data!$A$1:$DZU$1000000,3224,FALSE)</f>
        <v>#N/A</v>
      </c>
      <c r="K190" s="34" t="e">
        <f>VLOOKUP(A1,DIV_10Data!$A$1:$DZU$1000000,3225,FALSE)</f>
        <v>#N/A</v>
      </c>
      <c r="L190" s="93" t="e">
        <f>VLOOKUP(A1,DIV_10Data!$A$1:$DZU$1000000,3226,FALSE)</f>
        <v>#N/A</v>
      </c>
      <c r="M190" s="33" t="e">
        <f>VLOOKUP(A1,DIV_10Data!$A$1:$DZU$1000000,3227,FALSE)</f>
        <v>#N/A</v>
      </c>
      <c r="N190" s="34" t="e">
        <f>VLOOKUP(A1,DIV_10Data!$A$1:$DZU$1000000,3228,FALSE)</f>
        <v>#N/A</v>
      </c>
      <c r="O190" s="33" t="e">
        <f>VLOOKUP(A1,DIV_10Data!$A$1:$DZU$1000000,3229,FALSE)</f>
        <v>#N/A</v>
      </c>
      <c r="P190" s="46" t="e">
        <f>VLOOKUP(A1,DIV_10Data!$A$1:$DZU$1000000,3230,FALSE)</f>
        <v>#N/A</v>
      </c>
      <c r="Q190" s="33" t="e">
        <f>VLOOKUP(A1,DIV_10Data!$A$1:$DZU$1000000,3231,FALSE)</f>
        <v>#N/A</v>
      </c>
    </row>
    <row r="191" spans="1:17" x14ac:dyDescent="0.35">
      <c r="A191" s="22" t="e">
        <f>VLOOKUP(A1,DIV_10Data!$A$1:$DZU$1000000,3232,FALSE)</f>
        <v>#N/A</v>
      </c>
      <c r="B191" s="37" t="e">
        <f>VLOOKUP(A1,DIV_10Data!$A$1:$DZU$1000000,3233,FALSE)</f>
        <v>#N/A</v>
      </c>
      <c r="C191" s="43" t="e">
        <f>VLOOKUP(A1,DIV_10Data!$A$1:$DZU$1000000,3234,FALSE)</f>
        <v>#N/A</v>
      </c>
      <c r="D191" s="31" t="e">
        <f>VLOOKUP(A1,DIV_10Data!$A$1:$DZU$1000000,3235,FALSE)</f>
        <v>#N/A</v>
      </c>
      <c r="E191" s="32" t="e">
        <f>VLOOKUP(A1,DIV_10Data!$A$1:$DZU$1000000,3236,FALSE)</f>
        <v>#N/A</v>
      </c>
      <c r="F191" s="44" t="e">
        <f>VLOOKUP(A1,DIV_10Data!$A$1:$DZU$1000000,3237,FALSE)</f>
        <v>#N/A</v>
      </c>
      <c r="G191" s="45" t="e">
        <f>VLOOKUP(A1,DIV_10Data!$A$1:$DZU$1000000,3238,FALSE)</f>
        <v>#N/A</v>
      </c>
      <c r="H191" s="44" t="e">
        <f>VLOOKUP(A1,DIV_10Data!$A$1:$DZU$1000000,3239,FALSE)</f>
        <v>#N/A</v>
      </c>
      <c r="I191" s="45" t="e">
        <f>VLOOKUP(A1,DIV_10Data!$A$1:$DZU$1000000,3240,FALSE)</f>
        <v>#N/A</v>
      </c>
      <c r="J191" s="34" t="e">
        <f>VLOOKUP(A1,DIV_10Data!$A$1:$DZU$1000000,3241,FALSE)</f>
        <v>#N/A</v>
      </c>
      <c r="K191" s="43" t="e">
        <f>VLOOKUP(A1,DIV_10Data!$A$1:$DZU$1000000,3242,FALSE)</f>
        <v>#N/A</v>
      </c>
      <c r="L191" s="44" t="e">
        <f>VLOOKUP(A1,DIV_10Data!$A$1:$DZU$1000000,3243,FALSE)</f>
        <v>#N/A</v>
      </c>
      <c r="M191" s="45" t="e">
        <f>VLOOKUP(A1,DIV_10Data!$A$1:$DZU$1000000,3244,FALSE)</f>
        <v>#N/A</v>
      </c>
      <c r="N191" s="44" t="e">
        <f>VLOOKUP(A1,DIV_10Data!$A$1:$DZU$1000000,3245,FALSE)</f>
        <v>#N/A</v>
      </c>
      <c r="O191" s="45" t="e">
        <f>VLOOKUP(A1,DIV_10Data!$A$1:$DZU$1000000,3246,FALSE)</f>
        <v>#N/A</v>
      </c>
      <c r="P191" s="46" t="e">
        <f>VLOOKUP(A1,DIV_10Data!$A$1:$DZU$1000000,3247,FALSE)</f>
        <v>#N/A</v>
      </c>
      <c r="Q191" s="45" t="e">
        <f>VLOOKUP(A1,DIV_10Data!$A$1:$DZU$1000000,3248,FALSE)</f>
        <v>#N/A</v>
      </c>
    </row>
    <row r="192" spans="1:17" x14ac:dyDescent="0.35">
      <c r="A192" s="22" t="e">
        <f>VLOOKUP(A1,DIV_10Data!$A$1:$DZU$1000000,3249,FALSE)</f>
        <v>#N/A</v>
      </c>
      <c r="B192" s="37" t="e">
        <f>VLOOKUP(A1,DIV_10Data!$A$1:$DZU$1000000,3250,FALSE)</f>
        <v>#N/A</v>
      </c>
      <c r="C192" s="38" t="e">
        <f>VLOOKUP(A1,DIV_10Data!$A$1:$DZU$1000000,3251,FALSE)</f>
        <v>#N/A</v>
      </c>
      <c r="D192" s="31" t="e">
        <f>VLOOKUP(A1,DIV_10Data!$A$1:$DZU$1000000,3252,FALSE)</f>
        <v>#N/A</v>
      </c>
      <c r="E192" s="32" t="e">
        <f>VLOOKUP(A1,DIV_10Data!$A$1:$DZU$1000000,3253,FALSE)</f>
        <v>#N/A</v>
      </c>
      <c r="F192" s="34" t="e">
        <f>VLOOKUP(A1,DIV_10Data!$A$1:$DZU$1000000,3254,FALSE)</f>
        <v>#N/A</v>
      </c>
      <c r="G192" s="33" t="e">
        <f>VLOOKUP(A1,DIV_10Data!$A$1:$DZU$1000000,3255,FALSE)</f>
        <v>#N/A</v>
      </c>
      <c r="H192" s="34" t="e">
        <f>VLOOKUP(A1,DIV_10Data!$A$1:$DZU$1000000,3256,FALSE)</f>
        <v>#N/A</v>
      </c>
      <c r="I192" s="33" t="e">
        <f>VLOOKUP(A1,DIV_10Data!$A$1:$DZU$1000000,3257,FALSE)</f>
        <v>#N/A</v>
      </c>
      <c r="J192" s="34" t="e">
        <f>VLOOKUP(A1,DIV_10Data!$A$1:$DZU$1000000,3258,FALSE)</f>
        <v>#N/A</v>
      </c>
      <c r="K192" s="34" t="e">
        <f>VLOOKUP(A1,DIV_10Data!$A$1:$DZU$1000000,3259,FALSE)</f>
        <v>#N/A</v>
      </c>
      <c r="L192" s="34" t="e">
        <f>VLOOKUP(A1,DIV_10Data!$A$1:$DZU$1000000,3260,FALSE)</f>
        <v>#N/A</v>
      </c>
      <c r="M192" s="33" t="e">
        <f>VLOOKUP(A1,DIV_10Data!$A$1:$DZU$1000000,3261,FALSE)</f>
        <v>#N/A</v>
      </c>
      <c r="N192" s="34" t="e">
        <f>VLOOKUP(A1,DIV_10Data!$A$1:$DZU$1000000,3262,FALSE)</f>
        <v>#N/A</v>
      </c>
      <c r="O192" s="33" t="e">
        <f>VLOOKUP(A1,DIV_10Data!$A$1:$DZU$1000000,3263,FALSE)</f>
        <v>#N/A</v>
      </c>
      <c r="P192" s="46" t="e">
        <f>VLOOKUP(A1,DIV_10Data!$A$1:$DZU$1000000,3264,FALSE)</f>
        <v>#N/A</v>
      </c>
      <c r="Q192" s="33" t="e">
        <f>VLOOKUP(A1,DIV_10Data!$A$1:$DZU$1000000,3265,FALSE)</f>
        <v>#N/A</v>
      </c>
    </row>
    <row r="193" spans="1:17" x14ac:dyDescent="0.35">
      <c r="A193" s="22" t="e">
        <f>VLOOKUP(A1,DIV_10Data!$A$1:$DZU$1000000,3266,FALSE)</f>
        <v>#N/A</v>
      </c>
      <c r="B193" s="37" t="e">
        <f>VLOOKUP(A1,DIV_10Data!$A$1:$DZU$1000000,3267,FALSE)</f>
        <v>#N/A</v>
      </c>
      <c r="C193" s="30" t="e">
        <f>VLOOKUP(A1,DIV_10Data!$A$1:$DZU$1000000,3268,FALSE)</f>
        <v>#N/A</v>
      </c>
      <c r="D193" s="31" t="e">
        <f>VLOOKUP(A1,DIV_10Data!$A$1:$DZU$1000000,3269,FALSE)</f>
        <v>#N/A</v>
      </c>
      <c r="E193" s="32" t="e">
        <f>VLOOKUP(A1,DIV_10Data!$A$1:$DZU$1000000,3270,FALSE)</f>
        <v>#N/A</v>
      </c>
      <c r="F193" s="34" t="e">
        <f>VLOOKUP(A1,DIV_10Data!$A$1:$DZU$1000000,3271,FALSE)</f>
        <v>#N/A</v>
      </c>
      <c r="G193" s="33" t="e">
        <f>VLOOKUP(A1,DIV_10Data!$A$1:$DZU$1000000,3272,FALSE)</f>
        <v>#N/A</v>
      </c>
      <c r="H193" s="34" t="e">
        <f>VLOOKUP(A1,DIV_10Data!$A$1:$DZU$1000000,3273,FALSE)</f>
        <v>#N/A</v>
      </c>
      <c r="I193" s="33" t="e">
        <f>VLOOKUP(A1,DIV_10Data!$A$1:$DZU$1000000,3274,FALSE)</f>
        <v>#N/A</v>
      </c>
      <c r="J193" s="34" t="e">
        <f>VLOOKUP(A1,DIV_10Data!$A$1:$DZU$1000000,3275,FALSE)</f>
        <v>#N/A</v>
      </c>
      <c r="K193" s="34" t="e">
        <f>VLOOKUP(A1,DIV_10Data!$A$1:$DZU$1000000,3276,FALSE)</f>
        <v>#N/A</v>
      </c>
      <c r="L193" s="34" t="e">
        <f>VLOOKUP(A1,DIV_10Data!$A$1:$DZU$1000000,3277,FALSE)</f>
        <v>#N/A</v>
      </c>
      <c r="M193" s="33" t="e">
        <f>VLOOKUP(A1,DIV_10Data!$A$1:$DZU$1000000,3278,FALSE)</f>
        <v>#N/A</v>
      </c>
      <c r="N193" s="34" t="e">
        <f>VLOOKUP(A1,DIV_10Data!$A$1:$DZU$1000000,3279,FALSE)</f>
        <v>#N/A</v>
      </c>
      <c r="O193" s="33" t="e">
        <f>VLOOKUP(A1,DIV_10Data!$A$1:$DZU$1000000,3280,FALSE)</f>
        <v>#N/A</v>
      </c>
      <c r="P193" s="46" t="e">
        <f>VLOOKUP(A1,DIV_10Data!$A$1:$DZU$1000000,3281,FALSE)</f>
        <v>#N/A</v>
      </c>
      <c r="Q193" s="33" t="e">
        <f>VLOOKUP(A1,DIV_10Data!$A$1:$DZU$1000000,3282,FALSE)</f>
        <v>#N/A</v>
      </c>
    </row>
    <row r="194" spans="1:17" x14ac:dyDescent="0.35">
      <c r="A194" s="22" t="e">
        <f>VLOOKUP(A1,DIV_10Data!$A$1:$DZU$1000000,3283,FALSE)</f>
        <v>#N/A</v>
      </c>
      <c r="B194" s="37" t="e">
        <f>VLOOKUP(A1,DIV_10Data!$A$1:$DZU$1000000,3284,FALSE)</f>
        <v>#N/A</v>
      </c>
      <c r="C194" s="38" t="e">
        <f>VLOOKUP(A1,DIV_10Data!$A$1:$DZU$1000000,3285,FALSE)</f>
        <v>#N/A</v>
      </c>
      <c r="D194" s="31" t="e">
        <f>VLOOKUP(A1,DIV_10Data!$A$1:$DZU$1000000,3286,FALSE)</f>
        <v>#N/A</v>
      </c>
      <c r="E194" s="32" t="e">
        <f>VLOOKUP(A1,DIV_10Data!$A$1:$DZU$1000000,3287,FALSE)</f>
        <v>#N/A</v>
      </c>
      <c r="F194" s="34" t="e">
        <f>VLOOKUP(A1,DIV_10Data!$A$1:$DZU$1000000,3288,FALSE)</f>
        <v>#N/A</v>
      </c>
      <c r="G194" s="33" t="e">
        <f>VLOOKUP(A1,DIV_10Data!$A$1:$DZU$1000000,3289,FALSE)</f>
        <v>#N/A</v>
      </c>
      <c r="H194" s="34" t="e">
        <f>VLOOKUP(A1,DIV_10Data!$A$1:$DZU$1000000,3290,FALSE)</f>
        <v>#N/A</v>
      </c>
      <c r="I194" s="33" t="e">
        <f>VLOOKUP(A1,DIV_10Data!$A$1:$DZU$1000000,3291,FALSE)</f>
        <v>#N/A</v>
      </c>
      <c r="J194" s="34" t="e">
        <f>VLOOKUP(A1,DIV_10Data!$A$1:$DZU$1000000,3292,FALSE)</f>
        <v>#N/A</v>
      </c>
      <c r="K194" s="34" t="e">
        <f>VLOOKUP(A1,DIV_10Data!$A$1:$DZU$1000000,3293,FALSE)</f>
        <v>#N/A</v>
      </c>
      <c r="L194" s="93" t="e">
        <f>VLOOKUP(A1,DIV_10Data!$A$1:$DZU$1000000,3294,FALSE)</f>
        <v>#N/A</v>
      </c>
      <c r="M194" s="33" t="e">
        <f>VLOOKUP(A1,DIV_10Data!$A$1:$DZU$1000000,3295,FALSE)</f>
        <v>#N/A</v>
      </c>
      <c r="N194" s="34" t="e">
        <f>VLOOKUP(A1,DIV_10Data!$A$1:$DZU$1000000,3296,FALSE)</f>
        <v>#N/A</v>
      </c>
      <c r="O194" s="33" t="e">
        <f>VLOOKUP(A1,DIV_10Data!$A$1:$DZU$1000000,3297,FALSE)</f>
        <v>#N/A</v>
      </c>
      <c r="P194" s="46" t="e">
        <f>VLOOKUP(A1,DIV_10Data!$A$1:$DZU$1000000,3298,FALSE)</f>
        <v>#N/A</v>
      </c>
      <c r="Q194" s="33" t="e">
        <f>VLOOKUP(A1,DIV_10Data!$A$1:$DZU$1000000,3299,FALSE)</f>
        <v>#N/A</v>
      </c>
    </row>
    <row r="195" spans="1:17" x14ac:dyDescent="0.35">
      <c r="A195" s="22" t="e">
        <f>VLOOKUP(A1,DIV_10Data!$A$1:$DZU$1000000,3300,FALSE)</f>
        <v>#N/A</v>
      </c>
      <c r="B195" s="37" t="e">
        <f>VLOOKUP(A1,DIV_10Data!$A$1:$DZU$1000000,3301,FALSE)</f>
        <v>#N/A</v>
      </c>
      <c r="C195" s="38" t="e">
        <f>VLOOKUP(A1,DIV_10Data!$A$1:$DZU$1000000,3302,FALSE)</f>
        <v>#N/A</v>
      </c>
      <c r="D195" s="31" t="e">
        <f>VLOOKUP(A1,DIV_10Data!$A$1:$DZU$1000000,3303,FALSE)</f>
        <v>#N/A</v>
      </c>
      <c r="E195" s="32" t="e">
        <f>VLOOKUP(A1,DIV_10Data!$A$1:$DZU$1000000,3304,FALSE)</f>
        <v>#N/A</v>
      </c>
      <c r="F195" s="34" t="e">
        <f>VLOOKUP(A1,DIV_10Data!$A$1:$DZU$1000000,3305,FALSE)</f>
        <v>#N/A</v>
      </c>
      <c r="G195" s="33" t="e">
        <f>VLOOKUP(A1,DIV_10Data!$A$1:$DZU$1000000,3306,FALSE)</f>
        <v>#N/A</v>
      </c>
      <c r="H195" s="34" t="e">
        <f>VLOOKUP(A1,DIV_10Data!$A$1:$DZU$1000000,3307,FALSE)</f>
        <v>#N/A</v>
      </c>
      <c r="I195" s="33" t="e">
        <f>VLOOKUP(A1,DIV_10Data!$A$1:$DZU$1000000,3308,FALSE)</f>
        <v>#N/A</v>
      </c>
      <c r="J195" s="34" t="e">
        <f>VLOOKUP(A1,DIV_10Data!$A$1:$DZU$1000000,3309,FALSE)</f>
        <v>#N/A</v>
      </c>
      <c r="K195" s="34" t="e">
        <f>VLOOKUP(A1,DIV_10Data!$A$1:$DZU$1000000,3310,FALSE)</f>
        <v>#N/A</v>
      </c>
      <c r="L195" s="93" t="e">
        <f>VLOOKUP(A1,DIV_10Data!$A$1:$DZU$1000000,3311,FALSE)</f>
        <v>#N/A</v>
      </c>
      <c r="M195" s="33" t="e">
        <f>VLOOKUP(A1,DIV_10Data!$A$1:$DZU$1000000,3312,FALSE)</f>
        <v>#N/A</v>
      </c>
      <c r="N195" s="34" t="e">
        <f>VLOOKUP(A1,DIV_10Data!$A$1:$DZU$1000000,3313,FALSE)</f>
        <v>#N/A</v>
      </c>
      <c r="O195" s="33" t="e">
        <f>VLOOKUP(A1,DIV_10Data!$A$1:$DZU$1000000,3314,FALSE)</f>
        <v>#N/A</v>
      </c>
      <c r="P195" s="46" t="e">
        <f>VLOOKUP(A1,DIV_10Data!$A$1:$DZU$1000000,3315,FALSE)</f>
        <v>#N/A</v>
      </c>
      <c r="Q195" s="33" t="e">
        <f>VLOOKUP(A1,DIV_10Data!$A$1:$DZU$1000000,3316,FALSE)</f>
        <v>#N/A</v>
      </c>
    </row>
    <row r="196" spans="1:17" x14ac:dyDescent="0.35">
      <c r="A196" s="22" t="e">
        <f>VLOOKUP(A1,DIV_10Data!$A$1:$DZU$1000000,3317,FALSE)</f>
        <v>#N/A</v>
      </c>
      <c r="B196" s="37" t="e">
        <f>VLOOKUP(A1,DIV_10Data!$A$1:$DZU$1000000,3318,FALSE)</f>
        <v>#N/A</v>
      </c>
      <c r="C196" s="38" t="e">
        <f>VLOOKUP(A1,DIV_10Data!$A$1:$DZU$1000000,3319,FALSE)</f>
        <v>#N/A</v>
      </c>
      <c r="D196" s="31" t="e">
        <f>VLOOKUP(A1,DIV_10Data!$A$1:$DZU$1000000,3320,FALSE)</f>
        <v>#N/A</v>
      </c>
      <c r="E196" s="32" t="e">
        <f>VLOOKUP(A1,DIV_10Data!$A$1:$DZU$1000000,3321,FALSE)</f>
        <v>#N/A</v>
      </c>
      <c r="F196" s="34" t="e">
        <f>VLOOKUP(A1,DIV_10Data!$A$1:$DZU$1000000,3322,FALSE)</f>
        <v>#N/A</v>
      </c>
      <c r="G196" s="33" t="e">
        <f>VLOOKUP(A1,DIV_10Data!$A$1:$DZU$1000000,3323,FALSE)</f>
        <v>#N/A</v>
      </c>
      <c r="H196" s="34" t="e">
        <f>VLOOKUP(A1,DIV_10Data!$A$1:$DZU$1000000,3324,FALSE)</f>
        <v>#N/A</v>
      </c>
      <c r="I196" s="33" t="e">
        <f>VLOOKUP(A1,DIV_10Data!$A$1:$DZU$1000000,3325,FALSE)</f>
        <v>#N/A</v>
      </c>
      <c r="J196" s="34" t="e">
        <f>VLOOKUP(A1,DIV_10Data!$A$1:$DZU$1000000,3326,FALSE)</f>
        <v>#N/A</v>
      </c>
      <c r="K196" s="34" t="e">
        <f>VLOOKUP(A1,DIV_10Data!$A$1:$DZU$1000000,3327,FALSE)</f>
        <v>#N/A</v>
      </c>
      <c r="L196" s="93" t="e">
        <f>VLOOKUP(A1,DIV_10Data!$A$1:$DZU$1000000,3328,FALSE)</f>
        <v>#N/A</v>
      </c>
      <c r="M196" s="33" t="e">
        <f>VLOOKUP(A1,DIV_10Data!$A$1:$DZU$1000000,3329,FALSE)</f>
        <v>#N/A</v>
      </c>
      <c r="N196" s="34" t="e">
        <f>VLOOKUP(A1,DIV_10Data!$A$1:$DZU$1000000,3330,FALSE)</f>
        <v>#N/A</v>
      </c>
      <c r="O196" s="33" t="e">
        <f>VLOOKUP(A1,DIV_10Data!$A$1:$DZU$1000000,3331,FALSE)</f>
        <v>#N/A</v>
      </c>
      <c r="P196" s="46" t="e">
        <f>VLOOKUP(A1,DIV_10Data!$A$1:$DZU$1000000,3332,FALSE)</f>
        <v>#N/A</v>
      </c>
      <c r="Q196" s="33" t="e">
        <f>VLOOKUP(A1,DIV_10Data!$A$1:$DZU$1000000,3333,FALSE)</f>
        <v>#N/A</v>
      </c>
    </row>
    <row r="197" spans="1:17" x14ac:dyDescent="0.35">
      <c r="A197" s="22" t="e">
        <f>VLOOKUP(A1,DIV_10Data!$A$1:$DZU$1000000,3334,FALSE)</f>
        <v>#N/A</v>
      </c>
      <c r="B197" s="37" t="e">
        <f>VLOOKUP(A1,DIV_10Data!$A$1:$DZU$1000000,3335,FALSE)</f>
        <v>#N/A</v>
      </c>
      <c r="C197" s="43" t="e">
        <f>VLOOKUP(A1,DIV_10Data!$A$1:$DZU$1000000,3336,FALSE)</f>
        <v>#N/A</v>
      </c>
      <c r="D197" s="31" t="e">
        <f>VLOOKUP(A1,DIV_10Data!$A$1:$DZU$1000000,3337,FALSE)</f>
        <v>#N/A</v>
      </c>
      <c r="E197" s="32" t="e">
        <f>VLOOKUP(A1,DIV_10Data!$A$1:$DZU$1000000,3338,FALSE)</f>
        <v>#N/A</v>
      </c>
      <c r="F197" s="44" t="e">
        <f>VLOOKUP(A1,DIV_10Data!$A$1:$DZU$1000000,3339,FALSE)</f>
        <v>#N/A</v>
      </c>
      <c r="G197" s="45" t="e">
        <f>VLOOKUP(A1,DIV_10Data!$A$1:$DZU$1000000,3340,FALSE)</f>
        <v>#N/A</v>
      </c>
      <c r="H197" s="44" t="e">
        <f>VLOOKUP(A1,DIV_10Data!$A$1:$DZU$1000000,3341,FALSE)</f>
        <v>#N/A</v>
      </c>
      <c r="I197" s="45" t="e">
        <f>VLOOKUP(A1,DIV_10Data!$A$1:$DZU$1000000,3342,FALSE)</f>
        <v>#N/A</v>
      </c>
      <c r="J197" s="34" t="e">
        <f>VLOOKUP(A1,DIV_10Data!$A$1:$DZU$1000000,3343,FALSE)</f>
        <v>#N/A</v>
      </c>
      <c r="K197" s="43" t="e">
        <f>VLOOKUP(A1,DIV_10Data!$A$1:$DZU$1000000,3344,FALSE)</f>
        <v>#N/A</v>
      </c>
      <c r="L197" s="44" t="e">
        <f>VLOOKUP(A1,DIV_10Data!$A$1:$DZU$1000000,3345,FALSE)</f>
        <v>#N/A</v>
      </c>
      <c r="M197" s="45" t="e">
        <f>VLOOKUP(A1,DIV_10Data!$A$1:$DZU$1000000,3346,FALSE)</f>
        <v>#N/A</v>
      </c>
      <c r="N197" s="44" t="e">
        <f>VLOOKUP(A1,DIV_10Data!$A$1:$DZU$1000000,3347,FALSE)</f>
        <v>#N/A</v>
      </c>
      <c r="O197" s="45" t="e">
        <f>VLOOKUP(A1,DIV_10Data!$A$1:$DZU$1000000,3348,FALSE)</f>
        <v>#N/A</v>
      </c>
      <c r="P197" s="36" t="e">
        <f>VLOOKUP(A1,DIV_10Data!$A$1:$DZU$1000000,3349,FALSE)</f>
        <v>#N/A</v>
      </c>
      <c r="Q197" s="45" t="e">
        <f>VLOOKUP(A1,DIV_10Data!$A$1:$DZU$1000000,3350,FALSE)</f>
        <v>#N/A</v>
      </c>
    </row>
    <row r="198" spans="1:17" x14ac:dyDescent="0.35">
      <c r="A198" s="22" t="e">
        <f>VLOOKUP(A1,DIV_10Data!$A$1:$DZU$1000000,3351,FALSE)</f>
        <v>#N/A</v>
      </c>
      <c r="B198" s="37" t="e">
        <f>VLOOKUP(A1,DIV_10Data!$A$1:$DZU$1000000,3352,FALSE)</f>
        <v>#N/A</v>
      </c>
      <c r="C198" s="38" t="e">
        <f>VLOOKUP(A1,DIV_10Data!$A$1:$DZU$1000000,3353,FALSE)</f>
        <v>#N/A</v>
      </c>
      <c r="D198" s="31" t="e">
        <f>VLOOKUP(A1,DIV_10Data!$A$1:$DZU$1000000,3354,FALSE)</f>
        <v>#N/A</v>
      </c>
      <c r="E198" s="32" t="e">
        <f>VLOOKUP(A1,DIV_10Data!$A$1:$DZU$1000000,3355,FALSE)</f>
        <v>#N/A</v>
      </c>
      <c r="F198" s="34" t="e">
        <f>VLOOKUP(A1,DIV_10Data!$A$1:$DZU$1000000,3356,FALSE)</f>
        <v>#N/A</v>
      </c>
      <c r="G198" s="33" t="e">
        <f>VLOOKUP(A1,DIV_10Data!$A$1:$DZU$1000000,3357,FALSE)</f>
        <v>#N/A</v>
      </c>
      <c r="H198" s="34" t="e">
        <f>VLOOKUP(A1,DIV_10Data!$A$1:$DZU$1000000,3358,FALSE)</f>
        <v>#N/A</v>
      </c>
      <c r="I198" s="33" t="e">
        <f>VLOOKUP(A1,DIV_10Data!$A$1:$DZU$1000000,3359,FALSE)</f>
        <v>#N/A</v>
      </c>
      <c r="J198" s="34" t="e">
        <f>VLOOKUP(A1,DIV_10Data!$A$1:$DZU$1000000,3360,FALSE)</f>
        <v>#N/A</v>
      </c>
      <c r="K198" s="34" t="e">
        <f>VLOOKUP(A1,DIV_10Data!$A$1:$DZU$1000000,3361,FALSE)</f>
        <v>#N/A</v>
      </c>
      <c r="L198" s="34" t="e">
        <f>VLOOKUP(A1,DIV_10Data!$A$1:$DZU$1000000,3362,FALSE)</f>
        <v>#N/A</v>
      </c>
      <c r="M198" s="33" t="e">
        <f>VLOOKUP(A1,DIV_10Data!$A$1:$DZU$1000000,3363,FALSE)</f>
        <v>#N/A</v>
      </c>
      <c r="N198" s="34" t="e">
        <f>VLOOKUP(A1,DIV_10Data!$A$1:$DZU$1000000,3364,FALSE)</f>
        <v>#N/A</v>
      </c>
      <c r="O198" s="35" t="e">
        <f>VLOOKUP(A1,DIV_10Data!$A$1:$DZU$1000000,3365,FALSE)</f>
        <v>#N/A</v>
      </c>
      <c r="P198" s="36" t="e">
        <f>VLOOKUP(A1,DIV_10Data!$A$1:$DZU$1000000,3366,FALSE)</f>
        <v>#N/A</v>
      </c>
      <c r="Q198" s="35" t="e">
        <f>VLOOKUP(A1,DIV_10Data!$A$1:$DZU$1000000,3367,FALSE)</f>
        <v>#N/A</v>
      </c>
    </row>
    <row r="199" spans="1:17" x14ac:dyDescent="0.35">
      <c r="A199" s="62" t="e">
        <f>VLOOKUP(A1,DIV_10Data!$A$1:$DZU$1000000,3368,FALSE)</f>
        <v>#N/A</v>
      </c>
      <c r="B199" s="63" t="e">
        <f>VLOOKUP(A1,DIV_10Data!$A$1:$DZU$1000000,3369,FALSE)</f>
        <v>#N/A</v>
      </c>
      <c r="C199" s="64" t="e">
        <f>VLOOKUP(A1,DIV_10Data!$A$1:$DZU$1000000,3370,FALSE)</f>
        <v>#N/A</v>
      </c>
      <c r="D199" s="65" t="e">
        <f>VLOOKUP(A1,DIV_10Data!$A$1:$DZU$1000000,3371,FALSE)</f>
        <v>#N/A</v>
      </c>
      <c r="E199" s="66" t="e">
        <f>VLOOKUP(A1,DIV_10Data!$A$1:$DZU$1000000,3372,FALSE)</f>
        <v>#N/A</v>
      </c>
      <c r="F199" s="67" t="e">
        <f>VLOOKUP(A1,DIV_10Data!$A$1:$DZU$1000000,3373,FALSE)</f>
        <v>#N/A</v>
      </c>
      <c r="G199" s="68" t="e">
        <f>VLOOKUP(A1,DIV_10Data!$A$1:$DZU$1000000,3374,FALSE)</f>
        <v>#N/A</v>
      </c>
      <c r="H199" s="67" t="e">
        <f>VLOOKUP(A1,DIV_10Data!$A$1:$DZU$1000000,3375,FALSE)</f>
        <v>#N/A</v>
      </c>
      <c r="I199" s="68" t="e">
        <f>VLOOKUP(A1,DIV_10Data!$A$1:$DZU$1000000,3376,FALSE)</f>
        <v>#N/A</v>
      </c>
      <c r="J199" s="67" t="e">
        <f>VLOOKUP(A1,DIV_10Data!$A$1:$DZU$1000000,3377,FALSE)</f>
        <v>#N/A</v>
      </c>
      <c r="K199" s="69" t="e">
        <f>VLOOKUP(A1,DIV_10Data!$A$1:$DZU$1000000,3378,FALSE)</f>
        <v>#N/A</v>
      </c>
      <c r="L199" s="67" t="e">
        <f>VLOOKUP(A1,DIV_10Data!$A$1:$DZU$1000000,3379,FALSE)</f>
        <v>#N/A</v>
      </c>
      <c r="M199" s="68" t="e">
        <f>VLOOKUP(A1,DIV_10Data!$A$1:$DZU$1000000,3380,FALSE)</f>
        <v>#N/A</v>
      </c>
      <c r="N199" s="67" t="e">
        <f>VLOOKUP(A1,DIV_10Data!$A$1:$DZU$1000000,3381,FALSE)</f>
        <v>#N/A</v>
      </c>
      <c r="O199" s="68" t="e">
        <f>VLOOKUP(A1,DIV_10Data!$A$1:$DZU$1000000,3382,FALSE)</f>
        <v>#N/A</v>
      </c>
      <c r="P199" s="70" t="e">
        <f>VLOOKUP(A1,DIV_10Data!$A$1:$DZU$1000000,3383,FALSE)</f>
        <v>#N/A</v>
      </c>
      <c r="Q199" s="68" t="e">
        <f>VLOOKUP(A1,DIV_10Data!$A$1:$DZU$1000000,3384,FALSE)</f>
        <v>#N/A</v>
      </c>
    </row>
    <row r="200" spans="1:17" x14ac:dyDescent="0.35">
      <c r="A200" s="1" t="e">
        <f>VLOOKUP(A1,DIV_10Data!$A$1:$DZU$1000000,3385,FALSE)</f>
        <v>#N/A</v>
      </c>
      <c r="B200" s="1" t="e">
        <f>VLOOKUP(A1,DIV_10Data!$A$1:$DZU$1000000,3386,FALSE)</f>
        <v>#N/A</v>
      </c>
      <c r="C200" s="1" t="e">
        <f>VLOOKUP(A1,DIV_10Data!$A$1:$DZU$1000000,3387,FALSE)</f>
        <v>#N/A</v>
      </c>
      <c r="D200" s="1" t="e">
        <f>VLOOKUP(A1,DIV_10Data!$A$1:$DZU$1000000,3388,FALSE)</f>
        <v>#N/A</v>
      </c>
      <c r="E200" s="1" t="e">
        <f>VLOOKUP(A1,DIV_10Data!$A$1:$DZU$1000000,3389,FALSE)</f>
        <v>#N/A</v>
      </c>
      <c r="F200" s="1" t="e">
        <f>VLOOKUP(A1,DIV_10Data!$A$1:$DZU$1000000,3390,FALSE)</f>
        <v>#N/A</v>
      </c>
      <c r="G200" s="1" t="e">
        <f>VLOOKUP(A1,DIV_10Data!$A$1:$DZU$1000000,3391,FALSE)</f>
        <v>#N/A</v>
      </c>
      <c r="H200" s="1" t="e">
        <f>VLOOKUP(A1,DIV_10Data!$A$1:$DZU$1000000,3392,FALSE)</f>
        <v>#N/A</v>
      </c>
      <c r="I200" s="1" t="e">
        <f>VLOOKUP(A1,DIV_10Data!$A$1:$DZU$1000000,3393,FALSE)</f>
        <v>#N/A</v>
      </c>
      <c r="J200" s="1" t="e">
        <f>VLOOKUP(A1,DIV_10Data!$A$1:$DZU$1000000,3394,FALSE)</f>
        <v>#N/A</v>
      </c>
      <c r="K200" s="1" t="e">
        <f>VLOOKUP(A1,DIV_10Data!$A$1:$DZU$1000000,3395,FALSE)</f>
        <v>#N/A</v>
      </c>
      <c r="L200" s="1" t="e">
        <f>VLOOKUP(A1,DIV_10Data!$A$1:$DZU$1000000,3396,FALSE)</f>
        <v>#N/A</v>
      </c>
      <c r="M200" s="1" t="e">
        <f>VLOOKUP(A1,DIV_10Data!$A$1:$DZU$1000000,3397,FALSE)</f>
        <v>#N/A</v>
      </c>
      <c r="N200" s="1" t="e">
        <f>VLOOKUP(A1,DIV_10Data!$A$1:$DZU$1000000,3398,FALSE)</f>
        <v>#N/A</v>
      </c>
      <c r="O200" s="1" t="e">
        <f>VLOOKUP(A1,DIV_10Data!$A$1:$DZU$1000000,3399,FALSE)</f>
        <v>#N/A</v>
      </c>
      <c r="P200" s="1" t="e">
        <f>VLOOKUP(A1,DIV_10Data!$A$1:$DZU$1000000,3400,FALSE)</f>
        <v>#N/A</v>
      </c>
      <c r="Q200" s="78" t="e">
        <f>VLOOKUP(A1,DIV_10Data!$A$1:$DZU$1000000,3401,FALSE)</f>
        <v>#N/A</v>
      </c>
    </row>
  </sheetData>
  <mergeCells count="9">
    <mergeCell ref="J5:K5"/>
    <mergeCell ref="J6:K6"/>
    <mergeCell ref="J7:K7"/>
    <mergeCell ref="B2:L2"/>
    <mergeCell ref="A3:B3"/>
    <mergeCell ref="D3:G3"/>
    <mergeCell ref="J3:K3"/>
    <mergeCell ref="A4:B4"/>
    <mergeCell ref="J4:K4"/>
  </mergeCells>
  <dataValidations count="1">
    <dataValidation type="list" allowBlank="1" showInputMessage="1" showErrorMessage="1" sqref="C16:C190" xr:uid="{62832520-CC7F-4E64-9475-F238AE3DE895}">
      <formula1>$C$205:$C207</formula1>
    </dataValidation>
  </dataValidations>
  <hyperlinks>
    <hyperlink ref="D3" r:id="rId1" display="datamateapp@gmail.com" xr:uid="{10482925-6EA8-4D77-9251-CEC703482CF4}"/>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03137" r:id="rId4" name="Button 1">
              <controlPr defaultSize="0" print="0" autoFill="0" autoPict="0" macro="[0]!ViewInput">
                <anchor moveWithCells="1" sizeWithCells="1">
                  <from>
                    <xdr:col>17</xdr:col>
                    <xdr:colOff>0</xdr:colOff>
                    <xdr:row>2</xdr:row>
                    <xdr:rowOff>50800</xdr:rowOff>
                  </from>
                  <to>
                    <xdr:col>19</xdr:col>
                    <xdr:colOff>44450</xdr:colOff>
                    <xdr:row>4</xdr:row>
                    <xdr:rowOff>95250</xdr:rowOff>
                  </to>
                </anchor>
              </controlPr>
            </control>
          </mc:Choice>
        </mc:AlternateContent>
        <mc:AlternateContent xmlns:mc="http://schemas.openxmlformats.org/markup-compatibility/2006">
          <mc:Choice Requires="x14">
            <control shapeId="603138" r:id="rId5" name="Button 2">
              <controlPr defaultSize="0" print="0" autoFill="0" autoPict="0" macro="[0]!ViewLog">
                <anchor moveWithCells="1" sizeWithCells="1">
                  <from>
                    <xdr:col>17</xdr:col>
                    <xdr:colOff>0</xdr:colOff>
                    <xdr:row>5</xdr:row>
                    <xdr:rowOff>50800</xdr:rowOff>
                  </from>
                  <to>
                    <xdr:col>19</xdr:col>
                    <xdr:colOff>44450</xdr:colOff>
                    <xdr:row>7</xdr:row>
                    <xdr:rowOff>57150</xdr:rowOff>
                  </to>
                </anchor>
              </controlPr>
            </control>
          </mc:Choice>
        </mc:AlternateContent>
        <mc:AlternateContent xmlns:mc="http://schemas.openxmlformats.org/markup-compatibility/2006">
          <mc:Choice Requires="x14">
            <control shapeId="603139" r:id="rId6" name="Button 3">
              <controlPr defaultSize="0" print="0" autoFill="0" autoPict="0" macro="[0]!OpenDataMateAppPage">
                <anchor moveWithCells="1" sizeWithCells="1">
                  <from>
                    <xdr:col>17</xdr:col>
                    <xdr:colOff>0</xdr:colOff>
                    <xdr:row>7</xdr:row>
                    <xdr:rowOff>177800</xdr:rowOff>
                  </from>
                  <to>
                    <xdr:col>19</xdr:col>
                    <xdr:colOff>44450</xdr:colOff>
                    <xdr:row>9</xdr:row>
                    <xdr:rowOff>177800</xdr:rowOff>
                  </to>
                </anchor>
              </controlPr>
            </control>
          </mc:Choice>
        </mc:AlternateContent>
        <mc:AlternateContent xmlns:mc="http://schemas.openxmlformats.org/markup-compatibility/2006">
          <mc:Choice Requires="x14">
            <control shapeId="603140" r:id="rId7" name="Button 4">
              <controlPr defaultSize="0" print="0" autoFill="0" autoPict="0" macro="RefreshView">
                <anchor moveWithCells="1" sizeWithCells="1">
                  <from>
                    <xdr:col>17</xdr:col>
                    <xdr:colOff>0</xdr:colOff>
                    <xdr:row>0</xdr:row>
                    <xdr:rowOff>0</xdr:rowOff>
                  </from>
                  <to>
                    <xdr:col>19</xdr:col>
                    <xdr:colOff>44450</xdr:colOff>
                    <xdr:row>2</xdr:row>
                    <xdr:rowOff>6350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8CBAB0-C716-4F16-BF0A-27E9634AA05C}">
          <x14:formula1>
            <xm:f>DIV_02Data!$A:$A</xm:f>
          </x14:formula1>
          <xm:sqref>B2:L2</xm:sqref>
        </x14:dataValidation>
      </x14:dataValidations>
    </ext>
  </extLst>
</worksheet>
</file>

<file path=xl/worksheets/sheet1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EECC8F-880A-45DB-B3B7-6C8AEB432D47}">
  <sheetPr codeName="Sheet146"/>
  <dimension ref="A2:B3"/>
  <sheetViews>
    <sheetView zoomScale="75" zoomScaleNormal="75" workbookViewId="0">
      <selection activeCell="A2" sqref="A2"/>
    </sheetView>
  </sheetViews>
  <sheetFormatPr defaultRowHeight="14.5" x14ac:dyDescent="0.35"/>
  <cols>
    <col min="1" max="1" width="28.26953125" customWidth="1"/>
    <col min="2" max="8" width="13.36328125" customWidth="1"/>
    <col min="9" max="9" width="50.36328125" customWidth="1"/>
    <col min="13" max="15" width="10.26953125" customWidth="1"/>
  </cols>
  <sheetData>
    <row r="2" spans="1:2" ht="18.5" x14ac:dyDescent="0.45">
      <c r="A2" s="71" t="str">
        <f>DIV_10Input!A3</f>
        <v>DIV 10</v>
      </c>
      <c r="B2" s="1"/>
    </row>
    <row r="3" spans="1:2" x14ac:dyDescent="0.35">
      <c r="A3" s="1" t="s">
        <v>21395</v>
      </c>
      <c r="B3" s="246">
        <f ca="1">TODAY()</f>
        <v>45603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04164" r:id="rId3" name="Button 4">
              <controlPr defaultSize="0" print="0" autoFill="0" autoPict="0" macro="[0]!ViewInput">
                <anchor moveWithCells="1" sizeWithCells="1">
                  <from>
                    <xdr:col>16</xdr:col>
                    <xdr:colOff>603250</xdr:colOff>
                    <xdr:row>0</xdr:row>
                    <xdr:rowOff>0</xdr:rowOff>
                  </from>
                  <to>
                    <xdr:col>19</xdr:col>
                    <xdr:colOff>44450</xdr:colOff>
                    <xdr:row>2</xdr:row>
                    <xdr:rowOff>12700</xdr:rowOff>
                  </to>
                </anchor>
              </controlPr>
            </control>
          </mc:Choice>
        </mc:AlternateContent>
        <mc:AlternateContent xmlns:mc="http://schemas.openxmlformats.org/markup-compatibility/2006">
          <mc:Choice Requires="x14">
            <control shapeId="604165" r:id="rId4" name="Button 5">
              <controlPr defaultSize="0" print="0" autoFill="0" autoPict="0" macro="[0]!ViewView_Print">
                <anchor moveWithCells="1" sizeWithCells="1">
                  <from>
                    <xdr:col>16</xdr:col>
                    <xdr:colOff>603250</xdr:colOff>
                    <xdr:row>2</xdr:row>
                    <xdr:rowOff>38100</xdr:rowOff>
                  </from>
                  <to>
                    <xdr:col>19</xdr:col>
                    <xdr:colOff>44450</xdr:colOff>
                    <xdr:row>4</xdr:row>
                    <xdr:rowOff>50800</xdr:rowOff>
                  </to>
                </anchor>
              </controlPr>
            </control>
          </mc:Choice>
        </mc:AlternateContent>
        <mc:AlternateContent xmlns:mc="http://schemas.openxmlformats.org/markup-compatibility/2006">
          <mc:Choice Requires="x14">
            <control shapeId="604166" r:id="rId5" name="Button 6">
              <controlPr defaultSize="0" print="0" autoFill="0" autoPict="0" macro="[0]!ViewUpdate">
                <anchor moveWithCells="1" sizeWithCells="1">
                  <from>
                    <xdr:col>16</xdr:col>
                    <xdr:colOff>603250</xdr:colOff>
                    <xdr:row>4</xdr:row>
                    <xdr:rowOff>76200</xdr:rowOff>
                  </from>
                  <to>
                    <xdr:col>19</xdr:col>
                    <xdr:colOff>44450</xdr:colOff>
                    <xdr:row>6</xdr:row>
                    <xdr:rowOff>88900</xdr:rowOff>
                  </to>
                </anchor>
              </controlPr>
            </control>
          </mc:Choice>
        </mc:AlternateContent>
      </controls>
    </mc:Choice>
  </mc:AlternateContent>
</worksheet>
</file>

<file path=xl/worksheets/sheet1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47A64-E88B-408F-A45C-F102CA082B8A}">
  <sheetPr codeName="Sheet147"/>
  <dimension ref="A1:P1"/>
  <sheetViews>
    <sheetView workbookViewId="0">
      <selection activeCell="B2" sqref="B2"/>
    </sheetView>
  </sheetViews>
  <sheetFormatPr defaultRowHeight="14.5" x14ac:dyDescent="0.35"/>
  <cols>
    <col min="1" max="1" width="8.7265625" style="248"/>
    <col min="5" max="5" width="22.08984375" style="248" customWidth="1"/>
    <col min="6" max="6" width="8.7265625" style="248"/>
    <col min="7" max="11" width="11.6328125" style="248" customWidth="1"/>
    <col min="12" max="12" width="12.26953125" style="248" customWidth="1"/>
    <col min="13" max="13" width="34.54296875" style="248" customWidth="1"/>
    <col min="14" max="16" width="8.7265625" style="248"/>
  </cols>
  <sheetData>
    <row r="1" spans="2:16" x14ac:dyDescent="0.35">
      <c r="B1" s="73" t="str">
        <f>DIV_08View_Print!M1</f>
        <v>Update 1</v>
      </c>
      <c r="C1" s="73" t="str">
        <f>DIV_08View_Print!N1</f>
        <v>Update 2</v>
      </c>
      <c r="D1" s="73" t="str">
        <f>DIV_08View_Print!O1</f>
        <v>Update 3</v>
      </c>
      <c r="E1" s="74" t="str">
        <f>SEC_081000!A1</f>
        <v>AREA/FLOOR/ZONE</v>
      </c>
      <c r="F1" s="74" t="str">
        <f>SEC_081000!B1</f>
        <v>Page</v>
      </c>
      <c r="G1" s="74" t="str">
        <f>SEC_081000!C1</f>
        <v>SUB COST</v>
      </c>
      <c r="H1" s="74" t="str">
        <f>SEC_081000!D1</f>
        <v>MAT COST</v>
      </c>
      <c r="I1" s="74" t="str">
        <f>SEC_081000!E1</f>
        <v>LAB COST</v>
      </c>
      <c r="J1" s="74" t="str">
        <f>SEC_081000!F1</f>
        <v>EQUIP COST</v>
      </c>
      <c r="K1" s="74" t="str">
        <f>SEC_081000!G1</f>
        <v>Total Cost</v>
      </c>
      <c r="L1" s="74" t="str">
        <f>SEC_081000!H1</f>
        <v>Date</v>
      </c>
      <c r="M1" s="74" t="str">
        <f>SEC_081000!I1</f>
        <v>Description</v>
      </c>
      <c r="N1" s="74" t="str">
        <f>SEC_081000!J1</f>
        <v>Log 10</v>
      </c>
      <c r="O1" s="74" t="str">
        <f>SEC_081000!K1</f>
        <v>Log 11</v>
      </c>
      <c r="P1" s="75" t="str">
        <f>SEC_081000!L1</f>
        <v>Log 12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05185" r:id="rId3" name="Button 1">
              <controlPr defaultSize="0" print="0" autoFill="0" autoPict="0" macro="[0]!ViewLog">
                <anchor moveWithCells="1" sizeWithCells="1">
                  <from>
                    <xdr:col>17</xdr:col>
                    <xdr:colOff>0</xdr:colOff>
                    <xdr:row>0</xdr:row>
                    <xdr:rowOff>44450</xdr:rowOff>
                  </from>
                  <to>
                    <xdr:col>19</xdr:col>
                    <xdr:colOff>50800</xdr:colOff>
                    <xdr:row>2</xdr:row>
                    <xdr:rowOff>57150</xdr:rowOff>
                  </to>
                </anchor>
              </controlPr>
            </control>
          </mc:Choice>
        </mc:AlternateContent>
      </controls>
    </mc:Choice>
  </mc:AlternateContent>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58A71-DAA2-4797-AF99-73BC2299D171}">
  <sheetPr codeName="Sheet148"/>
  <dimension ref="S1:AG1"/>
  <sheetViews>
    <sheetView workbookViewId="0"/>
  </sheetViews>
  <sheetFormatPr defaultRowHeight="14.5" x14ac:dyDescent="0.35"/>
  <sheetData>
    <row r="1" spans="19:33" x14ac:dyDescent="0.35">
      <c r="S1" t="str">
        <f>DIV_10Input!A1</f>
        <v>AREA/FLOOR/ZONE</v>
      </c>
      <c r="T1" t="str">
        <f>DIV_10Input!B1</f>
        <v>Page</v>
      </c>
      <c r="U1" t="str">
        <f>DIV_10Input!C1</f>
        <v>SUB COST</v>
      </c>
      <c r="V1" t="str">
        <f>DIV_10Input!D1</f>
        <v>MAT COST</v>
      </c>
      <c r="W1" t="str">
        <f>DIV_10Input!E1</f>
        <v>LAB COST</v>
      </c>
      <c r="X1" t="str">
        <f>DIV_10Input!F1</f>
        <v>EQUIP COST</v>
      </c>
      <c r="Y1" t="str">
        <f>DIV_10Input!G1</f>
        <v>Total Cost</v>
      </c>
      <c r="Z1" t="str">
        <f>DIV_10Input!H1</f>
        <v>Date</v>
      </c>
      <c r="AA1" t="str">
        <f>DIV_10Input!I1</f>
        <v>Description</v>
      </c>
      <c r="AB1" t="str">
        <f>DIV_10Input!J1</f>
        <v>Log 10</v>
      </c>
      <c r="AC1" t="str">
        <f>DIV_10Input!K1</f>
        <v>Log 11</v>
      </c>
      <c r="AD1" t="str">
        <f>DIV_10Input!L1</f>
        <v>Log 12</v>
      </c>
      <c r="AE1" t="str">
        <f>DIV_10Input!M1</f>
        <v>Update 1</v>
      </c>
      <c r="AF1" t="str">
        <f>DIV_10Input!N1</f>
        <v>Update 2</v>
      </c>
      <c r="AG1" t="str">
        <f>DIV_10Input!O1</f>
        <v>Update 3</v>
      </c>
    </row>
  </sheetData>
  <pageMargins left="0.7" right="0.7" top="0.75" bottom="0.75" header="0.3" footer="0.3"/>
</worksheet>
</file>

<file path=xl/worksheets/sheet1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66DEAC-CDBA-411A-8A74-43B44A0F709B}">
  <sheetPr codeName="Sheet149"/>
  <dimension ref="A1:Q240"/>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INFORMATION SPECIALTIES</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10 10 00</v>
      </c>
      <c r="C10" s="24" t="str">
        <f>C206</f>
        <v>INFORMATION SPECIALTIES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INFORMATION SPECIALTIES</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14678</v>
      </c>
      <c r="C206" s="252" t="s">
        <v>14679</v>
      </c>
      <c r="D206" s="1"/>
      <c r="E206" s="1"/>
      <c r="F206" s="1"/>
      <c r="G206" s="1"/>
      <c r="H206" s="1"/>
      <c r="I206" s="1"/>
      <c r="J206" s="1"/>
      <c r="K206" s="1"/>
      <c r="L206" s="1"/>
      <c r="M206" s="1"/>
      <c r="N206" s="1"/>
      <c r="O206" s="1"/>
      <c r="P206" s="1"/>
      <c r="Q206" s="1"/>
    </row>
    <row r="207" spans="2:17" x14ac:dyDescent="0.35">
      <c r="B207" s="49" t="s">
        <v>14680</v>
      </c>
      <c r="C207" s="53" t="s">
        <v>14681</v>
      </c>
      <c r="D207" s="1"/>
      <c r="E207" s="1"/>
      <c r="F207" s="1"/>
      <c r="G207" s="1"/>
      <c r="H207" s="1"/>
      <c r="I207" s="1"/>
      <c r="J207" s="1"/>
      <c r="K207" s="1"/>
      <c r="L207" s="1"/>
      <c r="M207" s="1"/>
      <c r="N207" s="1"/>
      <c r="O207" s="1"/>
      <c r="P207" s="1"/>
      <c r="Q207" s="1"/>
    </row>
    <row r="208" spans="2:17" x14ac:dyDescent="0.35">
      <c r="B208" s="49" t="s">
        <v>14682</v>
      </c>
      <c r="C208" s="53" t="s">
        <v>14683</v>
      </c>
    </row>
    <row r="209" spans="2:8" x14ac:dyDescent="0.35">
      <c r="B209" s="49" t="s">
        <v>14684</v>
      </c>
      <c r="C209" s="53" t="s">
        <v>1686</v>
      </c>
    </row>
    <row r="210" spans="2:8" x14ac:dyDescent="0.35">
      <c r="B210" s="49" t="s">
        <v>14685</v>
      </c>
      <c r="C210" s="53" t="s">
        <v>14686</v>
      </c>
    </row>
    <row r="211" spans="2:8" x14ac:dyDescent="0.35">
      <c r="B211" s="49" t="s">
        <v>14687</v>
      </c>
      <c r="C211" s="53" t="s">
        <v>14688</v>
      </c>
    </row>
    <row r="212" spans="2:8" x14ac:dyDescent="0.35">
      <c r="B212" s="49" t="s">
        <v>14689</v>
      </c>
      <c r="C212" s="53" t="s">
        <v>14690</v>
      </c>
    </row>
    <row r="213" spans="2:8" ht="87" x14ac:dyDescent="0.35">
      <c r="C213" s="389" t="s">
        <v>21787</v>
      </c>
      <c r="D213" s="388" t="s">
        <v>18</v>
      </c>
      <c r="E213" s="388">
        <v>10109.01</v>
      </c>
      <c r="F213" s="388" t="s">
        <v>21788</v>
      </c>
      <c r="G213" s="388" t="s">
        <v>21789</v>
      </c>
      <c r="H213" s="388" t="s">
        <v>21790</v>
      </c>
    </row>
    <row r="214" spans="2:8" ht="72.5" x14ac:dyDescent="0.35">
      <c r="C214" s="388" t="s">
        <v>21791</v>
      </c>
      <c r="D214" s="388" t="s">
        <v>1391</v>
      </c>
      <c r="E214" s="388">
        <v>10109.01</v>
      </c>
      <c r="F214" s="388" t="s">
        <v>21704</v>
      </c>
      <c r="G214" s="388" t="s">
        <v>21704</v>
      </c>
      <c r="H214" s="388" t="s">
        <v>21792</v>
      </c>
    </row>
    <row r="215" spans="2:8" ht="72.5" x14ac:dyDescent="0.35">
      <c r="C215" s="388" t="s">
        <v>1691</v>
      </c>
      <c r="D215" s="388" t="s">
        <v>20</v>
      </c>
      <c r="E215" s="388">
        <v>10110.01</v>
      </c>
      <c r="F215" s="388" t="s">
        <v>21793</v>
      </c>
      <c r="G215" s="388" t="s">
        <v>21794</v>
      </c>
      <c r="H215" s="388" t="s">
        <v>21795</v>
      </c>
    </row>
    <row r="216" spans="2:8" ht="72.5" x14ac:dyDescent="0.35">
      <c r="C216" s="388" t="s">
        <v>21796</v>
      </c>
      <c r="D216" s="388" t="s">
        <v>20</v>
      </c>
      <c r="E216" s="388">
        <v>10110.01</v>
      </c>
      <c r="F216" s="388" t="s">
        <v>21793</v>
      </c>
      <c r="G216" s="388" t="s">
        <v>21797</v>
      </c>
      <c r="H216" s="388" t="s">
        <v>21798</v>
      </c>
    </row>
    <row r="217" spans="2:8" ht="58" x14ac:dyDescent="0.35">
      <c r="C217" s="388" t="s">
        <v>1691</v>
      </c>
      <c r="D217" s="388" t="s">
        <v>18</v>
      </c>
      <c r="E217" s="388">
        <v>10110.01</v>
      </c>
      <c r="F217" s="388" t="s">
        <v>21799</v>
      </c>
      <c r="G217" s="388" t="s">
        <v>21712</v>
      </c>
      <c r="H217" s="388" t="s">
        <v>21800</v>
      </c>
    </row>
    <row r="218" spans="2:8" ht="58" x14ac:dyDescent="0.35">
      <c r="C218" s="388" t="s">
        <v>21801</v>
      </c>
      <c r="D218" s="388" t="s">
        <v>19</v>
      </c>
      <c r="E218" s="388">
        <v>10110.1</v>
      </c>
      <c r="F218" s="388" t="s">
        <v>21802</v>
      </c>
      <c r="G218" s="388" t="s">
        <v>21775</v>
      </c>
      <c r="H218" s="388" t="s">
        <v>21803</v>
      </c>
    </row>
    <row r="219" spans="2:8" ht="58" x14ac:dyDescent="0.35">
      <c r="C219" s="388" t="s">
        <v>1690</v>
      </c>
      <c r="D219" s="388" t="s">
        <v>20</v>
      </c>
      <c r="E219" s="388">
        <v>10115.01</v>
      </c>
      <c r="F219" s="388" t="s">
        <v>21793</v>
      </c>
      <c r="G219" s="388" t="s">
        <v>21794</v>
      </c>
      <c r="H219" s="388" t="s">
        <v>21804</v>
      </c>
    </row>
    <row r="220" spans="2:8" ht="72.5" x14ac:dyDescent="0.35">
      <c r="C220" s="388" t="s">
        <v>1690</v>
      </c>
      <c r="D220" s="388" t="s">
        <v>18</v>
      </c>
      <c r="E220" s="388">
        <v>10115.01</v>
      </c>
      <c r="F220" s="388" t="s">
        <v>21799</v>
      </c>
      <c r="G220" s="388" t="s">
        <v>21712</v>
      </c>
      <c r="H220" s="388" t="s">
        <v>21805</v>
      </c>
    </row>
    <row r="221" spans="2:8" ht="58" x14ac:dyDescent="0.35">
      <c r="C221" s="388" t="s">
        <v>1689</v>
      </c>
      <c r="D221" s="388" t="s">
        <v>20</v>
      </c>
      <c r="E221" s="388">
        <v>10120.01</v>
      </c>
      <c r="F221" s="388" t="s">
        <v>21793</v>
      </c>
      <c r="G221" s="388" t="s">
        <v>21797</v>
      </c>
      <c r="H221" s="388" t="s">
        <v>21806</v>
      </c>
    </row>
    <row r="222" spans="2:8" ht="43.5" x14ac:dyDescent="0.35">
      <c r="C222" s="388" t="s">
        <v>1689</v>
      </c>
      <c r="D222" s="388" t="s">
        <v>18</v>
      </c>
      <c r="E222" s="388">
        <v>10120.01</v>
      </c>
      <c r="F222" s="388" t="s">
        <v>21799</v>
      </c>
      <c r="G222" s="388" t="s">
        <v>21712</v>
      </c>
      <c r="H222" s="388" t="s">
        <v>21807</v>
      </c>
    </row>
    <row r="223" spans="2:8" ht="58" x14ac:dyDescent="0.35">
      <c r="C223" s="388" t="s">
        <v>21808</v>
      </c>
      <c r="D223" s="388" t="s">
        <v>18</v>
      </c>
      <c r="E223" s="388">
        <v>10120.01</v>
      </c>
      <c r="F223" s="388" t="s">
        <v>21799</v>
      </c>
      <c r="G223" s="388" t="s">
        <v>21712</v>
      </c>
      <c r="H223" s="388" t="s">
        <v>21809</v>
      </c>
    </row>
    <row r="224" spans="2:8" ht="72.5" x14ac:dyDescent="0.35">
      <c r="C224" s="388" t="s">
        <v>21810</v>
      </c>
      <c r="D224" s="388" t="s">
        <v>18</v>
      </c>
      <c r="E224" s="388">
        <v>10145.01</v>
      </c>
      <c r="F224" s="388" t="s">
        <v>21799</v>
      </c>
      <c r="G224" s="388" t="s">
        <v>21712</v>
      </c>
      <c r="H224" s="388" t="s">
        <v>21811</v>
      </c>
    </row>
    <row r="225" spans="3:8" ht="58" x14ac:dyDescent="0.35">
      <c r="C225" s="388" t="s">
        <v>21812</v>
      </c>
      <c r="D225" s="388" t="s">
        <v>18</v>
      </c>
      <c r="E225" s="388">
        <v>10160.01</v>
      </c>
      <c r="F225" s="388" t="s">
        <v>21813</v>
      </c>
      <c r="G225" s="388" t="s">
        <v>21699</v>
      </c>
      <c r="H225" s="388" t="s">
        <v>21814</v>
      </c>
    </row>
    <row r="226" spans="3:8" ht="72.5" x14ac:dyDescent="0.35">
      <c r="C226" s="388" t="s">
        <v>21815</v>
      </c>
      <c r="D226" s="388" t="s">
        <v>18</v>
      </c>
      <c r="E226" s="388">
        <v>10160.01</v>
      </c>
      <c r="F226" s="388" t="s">
        <v>21816</v>
      </c>
      <c r="G226" s="388" t="s">
        <v>21699</v>
      </c>
      <c r="H226" s="388" t="s">
        <v>21817</v>
      </c>
    </row>
    <row r="227" spans="3:8" ht="87" x14ac:dyDescent="0.35">
      <c r="C227" s="388" t="s">
        <v>21818</v>
      </c>
      <c r="D227" s="388" t="s">
        <v>18</v>
      </c>
      <c r="E227" s="388">
        <v>10160.02</v>
      </c>
      <c r="F227" s="388" t="s">
        <v>21813</v>
      </c>
      <c r="G227" s="388" t="s">
        <v>21819</v>
      </c>
      <c r="H227" s="388" t="s">
        <v>21820</v>
      </c>
    </row>
    <row r="228" spans="3:8" ht="72.5" x14ac:dyDescent="0.35">
      <c r="C228" s="388" t="s">
        <v>21821</v>
      </c>
      <c r="D228" s="388" t="s">
        <v>18</v>
      </c>
      <c r="E228" s="388">
        <v>10160.02</v>
      </c>
      <c r="F228" s="388" t="s">
        <v>21813</v>
      </c>
      <c r="G228" s="388" t="s">
        <v>21670</v>
      </c>
      <c r="H228" s="388" t="s">
        <v>21822</v>
      </c>
    </row>
    <row r="229" spans="3:8" ht="72.5" x14ac:dyDescent="0.35">
      <c r="C229" s="388" t="s">
        <v>21823</v>
      </c>
      <c r="D229" s="388" t="s">
        <v>18</v>
      </c>
      <c r="E229" s="388">
        <v>10160.02</v>
      </c>
      <c r="F229" s="388" t="s">
        <v>21824</v>
      </c>
      <c r="G229" s="388" t="s">
        <v>21663</v>
      </c>
      <c r="H229" s="388" t="s">
        <v>21825</v>
      </c>
    </row>
    <row r="230" spans="3:8" ht="58" x14ac:dyDescent="0.35">
      <c r="C230" s="388" t="s">
        <v>21826</v>
      </c>
      <c r="D230" s="388" t="s">
        <v>18</v>
      </c>
      <c r="E230" s="388">
        <v>10185.01</v>
      </c>
      <c r="F230" s="388" t="s">
        <v>21813</v>
      </c>
      <c r="G230" s="388" t="s">
        <v>21670</v>
      </c>
      <c r="H230" s="388" t="s">
        <v>21827</v>
      </c>
    </row>
    <row r="231" spans="3:8" ht="72.5" x14ac:dyDescent="0.35">
      <c r="C231" s="388" t="s">
        <v>21828</v>
      </c>
      <c r="D231" s="388" t="s">
        <v>18</v>
      </c>
      <c r="E231" s="388">
        <v>10185.02</v>
      </c>
      <c r="F231" s="388" t="s">
        <v>21813</v>
      </c>
      <c r="G231" s="388" t="s">
        <v>21819</v>
      </c>
      <c r="H231" s="388" t="s">
        <v>21829</v>
      </c>
    </row>
    <row r="232" spans="3:8" ht="58" x14ac:dyDescent="0.35">
      <c r="C232" s="388" t="s">
        <v>21830</v>
      </c>
      <c r="D232" s="388" t="s">
        <v>18</v>
      </c>
      <c r="E232" s="388">
        <v>10185.030000000001</v>
      </c>
      <c r="F232" s="388" t="s">
        <v>21831</v>
      </c>
      <c r="G232" s="388" t="s">
        <v>21699</v>
      </c>
      <c r="H232" s="388" t="s">
        <v>21832</v>
      </c>
    </row>
    <row r="233" spans="3:8" ht="72.5" x14ac:dyDescent="0.35">
      <c r="C233" s="388" t="s">
        <v>21833</v>
      </c>
      <c r="D233" s="388" t="s">
        <v>18</v>
      </c>
      <c r="E233" s="388">
        <v>10185.040000000001</v>
      </c>
      <c r="F233" s="388" t="s">
        <v>21813</v>
      </c>
      <c r="G233" s="388" t="s">
        <v>21670</v>
      </c>
      <c r="H233" s="388" t="s">
        <v>21834</v>
      </c>
    </row>
    <row r="234" spans="3:8" ht="58" x14ac:dyDescent="0.35">
      <c r="C234" s="388" t="s">
        <v>21835</v>
      </c>
      <c r="D234" s="388" t="s">
        <v>18</v>
      </c>
      <c r="E234" s="388">
        <v>10185.040000000001</v>
      </c>
      <c r="F234" s="388" t="s">
        <v>21813</v>
      </c>
      <c r="G234" s="388" t="s">
        <v>21670</v>
      </c>
      <c r="H234" s="388" t="s">
        <v>21836</v>
      </c>
    </row>
    <row r="235" spans="3:8" ht="72.5" x14ac:dyDescent="0.35">
      <c r="C235" s="388" t="s">
        <v>21837</v>
      </c>
      <c r="D235" s="388" t="s">
        <v>18</v>
      </c>
      <c r="E235" s="388">
        <v>10185.040000000001</v>
      </c>
      <c r="F235" s="388" t="s">
        <v>21813</v>
      </c>
      <c r="G235" s="388" t="s">
        <v>21670</v>
      </c>
      <c r="H235" s="388" t="s">
        <v>21838</v>
      </c>
    </row>
    <row r="236" spans="3:8" ht="72.5" x14ac:dyDescent="0.35">
      <c r="C236" s="388" t="s">
        <v>21839</v>
      </c>
      <c r="D236" s="388" t="s">
        <v>18</v>
      </c>
      <c r="E236" s="388">
        <v>10185.040000000001</v>
      </c>
      <c r="F236" s="388" t="s">
        <v>21840</v>
      </c>
      <c r="G236" s="388" t="s">
        <v>21819</v>
      </c>
      <c r="H236" s="388" t="s">
        <v>21841</v>
      </c>
    </row>
    <row r="237" spans="3:8" ht="72.5" x14ac:dyDescent="0.35">
      <c r="C237" s="388" t="s">
        <v>21842</v>
      </c>
      <c r="D237" s="388" t="s">
        <v>18</v>
      </c>
      <c r="E237" s="388">
        <v>10185.040000000001</v>
      </c>
      <c r="F237" s="388" t="s">
        <v>21840</v>
      </c>
      <c r="G237" s="388" t="s">
        <v>21819</v>
      </c>
      <c r="H237" s="388" t="s">
        <v>21843</v>
      </c>
    </row>
    <row r="238" spans="3:8" ht="72.5" x14ac:dyDescent="0.35">
      <c r="C238" s="388" t="s">
        <v>21844</v>
      </c>
      <c r="D238" s="388" t="s">
        <v>19</v>
      </c>
      <c r="E238" s="388">
        <v>10190.01</v>
      </c>
      <c r="F238" s="388" t="s">
        <v>21845</v>
      </c>
      <c r="G238" s="388" t="s">
        <v>21771</v>
      </c>
      <c r="H238" s="388" t="s">
        <v>21846</v>
      </c>
    </row>
    <row r="239" spans="3:8" ht="72.5" x14ac:dyDescent="0.35">
      <c r="C239" s="388" t="s">
        <v>21847</v>
      </c>
      <c r="D239" s="388" t="s">
        <v>19</v>
      </c>
      <c r="E239" s="388">
        <v>10190.01</v>
      </c>
      <c r="F239" s="388" t="s">
        <v>21845</v>
      </c>
      <c r="G239" s="388" t="s">
        <v>21775</v>
      </c>
      <c r="H239" s="388" t="s">
        <v>21848</v>
      </c>
    </row>
    <row r="240" spans="3:8" ht="58" x14ac:dyDescent="0.35">
      <c r="C240" s="388" t="s">
        <v>21849</v>
      </c>
      <c r="D240" s="388" t="s">
        <v>19</v>
      </c>
      <c r="E240" s="388">
        <v>10190.02</v>
      </c>
      <c r="F240" s="388" t="s">
        <v>21850</v>
      </c>
      <c r="G240" s="388" t="s">
        <v>21775</v>
      </c>
      <c r="H240" s="388" t="s">
        <v>21851</v>
      </c>
    </row>
  </sheetData>
  <mergeCells count="9">
    <mergeCell ref="P3:Q3"/>
    <mergeCell ref="J6:K6"/>
    <mergeCell ref="J7:K7"/>
    <mergeCell ref="A3:B3"/>
    <mergeCell ref="D3:G3"/>
    <mergeCell ref="J3:K3"/>
    <mergeCell ref="A4:B4"/>
    <mergeCell ref="J4:K4"/>
    <mergeCell ref="J5:K5"/>
  </mergeCells>
  <dataValidations count="3">
    <dataValidation type="list" allowBlank="1" showInputMessage="1" showErrorMessage="1" sqref="C16:C49" xr:uid="{B7E8D297-123B-4A44-B913-92EAA00B6585}">
      <formula1>$C$205:$C207</formula1>
    </dataValidation>
    <dataValidation type="list" allowBlank="1" showInputMessage="1" showErrorMessage="1" sqref="C54:C190" xr:uid="{8550A3D1-BF73-4704-93CD-A5A1A08BD718}">
      <formula1>$C$205:$C241</formula1>
    </dataValidation>
    <dataValidation type="list" allowBlank="1" showInputMessage="1" showErrorMessage="1" sqref="C50:C53" xr:uid="{BA438FEF-4F82-4179-84F3-BE8E329029E6}">
      <formula1>$C$205:$C240</formula1>
    </dataValidation>
  </dataValidations>
  <hyperlinks>
    <hyperlink ref="D3" r:id="rId1" display="datamateapp@gmail.com" xr:uid="{771FEDA2-516E-4FF7-8BE0-FE7507FF1AAB}"/>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06215" r:id="rId4" name="Button 7">
              <controlPr defaultSize="0" print="0" autoFill="0" autoPict="0" macro="[0]!ExitSEC_101000">
                <anchor moveWithCells="1" sizeWithCells="1">
                  <from>
                    <xdr:col>16</xdr:col>
                    <xdr:colOff>203200</xdr:colOff>
                    <xdr:row>0</xdr:row>
                    <xdr:rowOff>6350</xdr:rowOff>
                  </from>
                  <to>
                    <xdr:col>16</xdr:col>
                    <xdr:colOff>1473200</xdr:colOff>
                    <xdr:row>2</xdr:row>
                    <xdr:rowOff>19050</xdr:rowOff>
                  </to>
                </anchor>
              </controlPr>
            </control>
          </mc:Choice>
        </mc:AlternateContent>
        <mc:AlternateContent xmlns:mc="http://schemas.openxmlformats.org/markup-compatibility/2006">
          <mc:Choice Requires="x14">
            <control shapeId="606406" r:id="rId5" name="Button 198">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606407" r:id="rId6" name="Button 199">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606408" r:id="rId7" name="Button 200">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606409" r:id="rId8" name="Button 201">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606410" r:id="rId9" name="Button 202">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606411" r:id="rId10" name="Button 203">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606412" r:id="rId11" name="Button 204">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606413" r:id="rId12" name="Button 205">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1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3EA77-7650-45EC-AFA3-BD644510D7EB}">
  <sheetPr codeName="Sheet150"/>
  <dimension ref="A1:Q226"/>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INTERIOR SPECIALTIES</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10 20 00</v>
      </c>
      <c r="C10" s="24" t="str">
        <f>C206</f>
        <v>INTERIOR SPECIALTIES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INTERIOR SPECIALTIES</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14691</v>
      </c>
      <c r="C206" s="252" t="s">
        <v>14692</v>
      </c>
      <c r="D206" s="1"/>
      <c r="E206" s="1"/>
      <c r="F206" s="1"/>
      <c r="G206" s="1"/>
      <c r="H206" s="1"/>
      <c r="I206" s="1"/>
      <c r="J206" s="1"/>
      <c r="K206" s="1"/>
      <c r="L206" s="1"/>
      <c r="M206" s="1"/>
      <c r="N206" s="1"/>
      <c r="O206" s="1"/>
      <c r="P206" s="1"/>
      <c r="Q206" s="1"/>
    </row>
    <row r="207" spans="2:17" x14ac:dyDescent="0.35">
      <c r="B207" s="49" t="s">
        <v>14693</v>
      </c>
      <c r="C207" s="53" t="s">
        <v>14694</v>
      </c>
      <c r="D207" s="1"/>
      <c r="E207" s="1"/>
      <c r="F207" s="1"/>
      <c r="G207" s="1"/>
      <c r="H207" s="1"/>
      <c r="I207" s="1"/>
      <c r="J207" s="1"/>
      <c r="K207" s="1"/>
      <c r="L207" s="1"/>
      <c r="M207" s="1"/>
      <c r="N207" s="1"/>
      <c r="O207" s="1"/>
      <c r="P207" s="1"/>
      <c r="Q207" s="1"/>
    </row>
    <row r="208" spans="2:17" x14ac:dyDescent="0.35">
      <c r="B208" s="49" t="s">
        <v>14695</v>
      </c>
      <c r="C208" s="53" t="s">
        <v>14696</v>
      </c>
    </row>
    <row r="209" spans="2:8" x14ac:dyDescent="0.35">
      <c r="B209" s="49" t="s">
        <v>14697</v>
      </c>
      <c r="C209" s="53" t="s">
        <v>14698</v>
      </c>
    </row>
    <row r="210" spans="2:8" x14ac:dyDescent="0.35">
      <c r="B210" s="49" t="s">
        <v>14699</v>
      </c>
      <c r="C210" s="53" t="s">
        <v>14700</v>
      </c>
    </row>
    <row r="211" spans="2:8" x14ac:dyDescent="0.35">
      <c r="B211" s="49" t="s">
        <v>14701</v>
      </c>
      <c r="C211" s="53" t="s">
        <v>14702</v>
      </c>
    </row>
    <row r="212" spans="2:8" ht="72.5" x14ac:dyDescent="0.35">
      <c r="C212" s="388" t="s">
        <v>21743</v>
      </c>
      <c r="D212" s="388" t="s">
        <v>20</v>
      </c>
      <c r="E212" s="388">
        <v>10225.01</v>
      </c>
      <c r="F212" s="388" t="s">
        <v>21744</v>
      </c>
      <c r="G212" s="388" t="s">
        <v>21745</v>
      </c>
      <c r="H212" s="388" t="s">
        <v>21746</v>
      </c>
    </row>
    <row r="213" spans="2:8" ht="58" x14ac:dyDescent="0.35">
      <c r="C213" s="388" t="s">
        <v>21747</v>
      </c>
      <c r="D213" s="388" t="s">
        <v>20</v>
      </c>
      <c r="E213" s="388">
        <v>10225.01</v>
      </c>
      <c r="F213" s="388" t="s">
        <v>21744</v>
      </c>
      <c r="G213" s="388" t="s">
        <v>21745</v>
      </c>
      <c r="H213" s="388" t="s">
        <v>21748</v>
      </c>
    </row>
    <row r="214" spans="2:8" ht="87" x14ac:dyDescent="0.35">
      <c r="C214" s="388" t="s">
        <v>21749</v>
      </c>
      <c r="D214" s="388" t="s">
        <v>19</v>
      </c>
      <c r="E214" s="388">
        <v>10230.01</v>
      </c>
      <c r="F214" s="388" t="s">
        <v>21750</v>
      </c>
      <c r="G214" s="388" t="s">
        <v>21751</v>
      </c>
      <c r="H214" s="388" t="s">
        <v>21752</v>
      </c>
    </row>
    <row r="215" spans="2:8" ht="87" x14ac:dyDescent="0.35">
      <c r="C215" s="388" t="s">
        <v>21753</v>
      </c>
      <c r="D215" s="388" t="s">
        <v>18</v>
      </c>
      <c r="E215" s="388">
        <v>10230.01</v>
      </c>
      <c r="F215" s="388" t="s">
        <v>21754</v>
      </c>
      <c r="G215" s="388" t="s">
        <v>21712</v>
      </c>
      <c r="H215" s="388" t="s">
        <v>21755</v>
      </c>
    </row>
    <row r="216" spans="2:8" ht="87" x14ac:dyDescent="0.35">
      <c r="C216" s="388" t="s">
        <v>21756</v>
      </c>
      <c r="D216" s="388" t="s">
        <v>18</v>
      </c>
      <c r="E216" s="388">
        <v>10230.01</v>
      </c>
      <c r="F216" s="388" t="s">
        <v>21754</v>
      </c>
      <c r="G216" s="388" t="s">
        <v>21712</v>
      </c>
      <c r="H216" s="388" t="s">
        <v>21757</v>
      </c>
    </row>
    <row r="217" spans="2:8" ht="43.5" x14ac:dyDescent="0.35">
      <c r="C217" s="388" t="s">
        <v>14744</v>
      </c>
      <c r="D217" s="388" t="s">
        <v>18</v>
      </c>
      <c r="E217" s="388">
        <v>10240.01</v>
      </c>
      <c r="F217" s="388" t="s">
        <v>21758</v>
      </c>
      <c r="G217" s="388" t="s">
        <v>21715</v>
      </c>
      <c r="H217" s="388" t="s">
        <v>21759</v>
      </c>
    </row>
    <row r="218" spans="2:8" ht="87" x14ac:dyDescent="0.35">
      <c r="C218" s="388" t="s">
        <v>21760</v>
      </c>
      <c r="D218" s="388" t="s">
        <v>18</v>
      </c>
      <c r="E218" s="388">
        <v>10250.01</v>
      </c>
      <c r="F218" s="388" t="s">
        <v>21761</v>
      </c>
      <c r="G218" s="388" t="s">
        <v>21670</v>
      </c>
      <c r="H218" s="388" t="s">
        <v>21762</v>
      </c>
    </row>
    <row r="219" spans="2:8" ht="72.5" x14ac:dyDescent="0.35">
      <c r="C219" s="388" t="s">
        <v>21763</v>
      </c>
      <c r="D219" s="388" t="s">
        <v>18</v>
      </c>
      <c r="E219" s="388">
        <v>10260.01</v>
      </c>
      <c r="F219" s="388" t="s">
        <v>21764</v>
      </c>
      <c r="G219" s="388" t="s">
        <v>21765</v>
      </c>
      <c r="H219" s="388" t="s">
        <v>21766</v>
      </c>
    </row>
    <row r="220" spans="2:8" ht="87" x14ac:dyDescent="0.35">
      <c r="C220" s="388" t="s">
        <v>21767</v>
      </c>
      <c r="D220" s="388" t="s">
        <v>18</v>
      </c>
      <c r="E220" s="388">
        <v>10260.01</v>
      </c>
      <c r="F220" s="388" t="s">
        <v>21764</v>
      </c>
      <c r="G220" s="388" t="s">
        <v>21715</v>
      </c>
      <c r="H220" s="388" t="s">
        <v>21768</v>
      </c>
    </row>
    <row r="221" spans="2:8" ht="72.5" x14ac:dyDescent="0.35">
      <c r="C221" s="388" t="s">
        <v>21769</v>
      </c>
      <c r="D221" s="388" t="s">
        <v>19</v>
      </c>
      <c r="E221" s="388">
        <v>10260.02</v>
      </c>
      <c r="F221" s="388" t="s">
        <v>21770</v>
      </c>
      <c r="G221" s="388" t="s">
        <v>21771</v>
      </c>
      <c r="H221" s="388" t="s">
        <v>21772</v>
      </c>
    </row>
    <row r="222" spans="2:8" ht="101.5" x14ac:dyDescent="0.35">
      <c r="C222" s="388" t="s">
        <v>21773</v>
      </c>
      <c r="D222" s="388" t="s">
        <v>19</v>
      </c>
      <c r="E222" s="388">
        <v>10260.02</v>
      </c>
      <c r="F222" s="388" t="s">
        <v>21774</v>
      </c>
      <c r="G222" s="388" t="s">
        <v>21775</v>
      </c>
      <c r="H222" s="388" t="s">
        <v>21776</v>
      </c>
    </row>
    <row r="223" spans="2:8" ht="101.5" x14ac:dyDescent="0.35">
      <c r="C223" s="388" t="s">
        <v>21777</v>
      </c>
      <c r="D223" s="388" t="s">
        <v>18</v>
      </c>
      <c r="E223" s="388">
        <v>10260.030000000001</v>
      </c>
      <c r="F223" s="388" t="s">
        <v>21764</v>
      </c>
      <c r="G223" s="388" t="s">
        <v>21765</v>
      </c>
      <c r="H223" s="388" t="s">
        <v>21778</v>
      </c>
    </row>
    <row r="224" spans="2:8" ht="72.5" x14ac:dyDescent="0.35">
      <c r="C224" s="388" t="s">
        <v>33</v>
      </c>
      <c r="D224" s="388" t="s">
        <v>20</v>
      </c>
      <c r="E224" s="388">
        <v>10270.01</v>
      </c>
      <c r="F224" s="388" t="s">
        <v>21779</v>
      </c>
      <c r="G224" s="388" t="s">
        <v>21643</v>
      </c>
      <c r="H224" s="388" t="s">
        <v>21780</v>
      </c>
    </row>
    <row r="225" spans="3:8" ht="87" x14ac:dyDescent="0.35">
      <c r="C225" s="388" t="s">
        <v>21781</v>
      </c>
      <c r="D225" s="388" t="s">
        <v>18</v>
      </c>
      <c r="E225" s="388">
        <v>10270.02</v>
      </c>
      <c r="F225" s="388" t="s">
        <v>21782</v>
      </c>
      <c r="G225" s="388" t="s">
        <v>21715</v>
      </c>
      <c r="H225" s="388" t="s">
        <v>21783</v>
      </c>
    </row>
    <row r="226" spans="3:8" ht="72.5" x14ac:dyDescent="0.35">
      <c r="C226" s="388" t="s">
        <v>21784</v>
      </c>
      <c r="D226" s="388" t="s">
        <v>18</v>
      </c>
      <c r="E226" s="388">
        <v>10290.01</v>
      </c>
      <c r="F226" s="388" t="s">
        <v>21785</v>
      </c>
      <c r="G226" s="388" t="s">
        <v>21709</v>
      </c>
      <c r="H226" s="388" t="s">
        <v>21786</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968EE4C3-40ED-4674-A2B1-EE65AD6B459E}">
      <formula1>$C$205:$C207</formula1>
    </dataValidation>
  </dataValidations>
  <hyperlinks>
    <hyperlink ref="D3" r:id="rId1" display="datamateapp@gmail.com" xr:uid="{44E6DCE9-0206-432E-BE2E-BA3520B7E85E}"/>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08263" r:id="rId4" name="Button 7">
              <controlPr defaultSize="0" print="0" autoFill="0" autoPict="0" macro="[0]!ExitSEC_102000">
                <anchor moveWithCells="1" sizeWithCells="1">
                  <from>
                    <xdr:col>16</xdr:col>
                    <xdr:colOff>196850</xdr:colOff>
                    <xdr:row>0</xdr:row>
                    <xdr:rowOff>0</xdr:rowOff>
                  </from>
                  <to>
                    <xdr:col>16</xdr:col>
                    <xdr:colOff>1466850</xdr:colOff>
                    <xdr:row>2</xdr:row>
                    <xdr:rowOff>12700</xdr:rowOff>
                  </to>
                </anchor>
              </controlPr>
            </control>
          </mc:Choice>
        </mc:AlternateContent>
        <mc:AlternateContent xmlns:mc="http://schemas.openxmlformats.org/markup-compatibility/2006">
          <mc:Choice Requires="x14">
            <control shapeId="608290" r:id="rId5" name="Button 34">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608291" r:id="rId6" name="Button 35">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608292" r:id="rId7" name="Button 36">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608293" r:id="rId8" name="Button 37">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608294" r:id="rId9" name="Button 38">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608295" r:id="rId10" name="Button 39">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608296" r:id="rId11" name="Button 40">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608297" r:id="rId12" name="Button 41">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1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BA261-F6D2-4C63-8C10-870DDBF04F65}">
  <sheetPr codeName="Sheet151"/>
  <dimension ref="A1:Q220"/>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FIREPLACES AND STOVES</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40" customHeight="1"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10 30 00</v>
      </c>
      <c r="C10" s="24" t="str">
        <f>C206</f>
        <v>FIREPLACES AND STOVES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FIREPLACES AND STOVES</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14703</v>
      </c>
      <c r="C206" s="352" t="s">
        <v>14704</v>
      </c>
      <c r="D206" s="1"/>
      <c r="E206" s="1"/>
      <c r="F206" s="1"/>
      <c r="G206" s="1"/>
      <c r="H206" s="1"/>
      <c r="I206" s="1"/>
      <c r="J206" s="1"/>
      <c r="K206" s="1"/>
      <c r="L206" s="1"/>
      <c r="M206" s="1"/>
      <c r="N206" s="1"/>
      <c r="O206" s="1"/>
      <c r="P206" s="1"/>
      <c r="Q206" s="1"/>
    </row>
    <row r="207" spans="2:17" x14ac:dyDescent="0.35">
      <c r="B207" s="49" t="s">
        <v>14705</v>
      </c>
      <c r="C207" s="53" t="s">
        <v>14706</v>
      </c>
      <c r="D207" s="1"/>
      <c r="E207" s="1"/>
      <c r="F207" s="1"/>
      <c r="G207" s="1"/>
      <c r="H207" s="1"/>
      <c r="I207" s="1"/>
      <c r="J207" s="1"/>
      <c r="K207" s="1"/>
      <c r="L207" s="1"/>
      <c r="M207" s="1"/>
      <c r="N207" s="1"/>
      <c r="O207" s="1"/>
      <c r="P207" s="1"/>
      <c r="Q207" s="1"/>
    </row>
    <row r="208" spans="2:17" x14ac:dyDescent="0.35">
      <c r="B208" s="49" t="s">
        <v>14707</v>
      </c>
      <c r="C208" s="53" t="s">
        <v>14708</v>
      </c>
    </row>
    <row r="209" spans="2:8" x14ac:dyDescent="0.35">
      <c r="B209" s="49" t="s">
        <v>14709</v>
      </c>
      <c r="C209" s="53" t="s">
        <v>14710</v>
      </c>
    </row>
    <row r="210" spans="2:8" ht="58" x14ac:dyDescent="0.35">
      <c r="C210" s="388" t="s">
        <v>21721</v>
      </c>
      <c r="D210" s="388" t="s">
        <v>18</v>
      </c>
      <c r="E210" s="388">
        <v>10305.01</v>
      </c>
      <c r="F210" s="388" t="s">
        <v>21683</v>
      </c>
      <c r="G210" s="388" t="s">
        <v>21671</v>
      </c>
      <c r="H210" s="388" t="s">
        <v>21722</v>
      </c>
    </row>
    <row r="211" spans="2:8" ht="72.5" x14ac:dyDescent="0.35">
      <c r="C211" s="388" t="s">
        <v>21723</v>
      </c>
      <c r="D211" s="388" t="s">
        <v>18</v>
      </c>
      <c r="E211" s="388">
        <v>10305.01</v>
      </c>
      <c r="F211" s="388" t="s">
        <v>21683</v>
      </c>
      <c r="G211" s="388" t="s">
        <v>21671</v>
      </c>
      <c r="H211" s="388" t="s">
        <v>21724</v>
      </c>
    </row>
    <row r="212" spans="2:8" ht="43.5" x14ac:dyDescent="0.35">
      <c r="C212" s="388" t="s">
        <v>21725</v>
      </c>
      <c r="D212" s="388" t="s">
        <v>18</v>
      </c>
      <c r="E212" s="388">
        <v>10305.01</v>
      </c>
      <c r="F212" s="388" t="s">
        <v>21683</v>
      </c>
      <c r="G212" s="388" t="s">
        <v>21726</v>
      </c>
      <c r="H212" s="388" t="s">
        <v>21727</v>
      </c>
    </row>
    <row r="213" spans="2:8" ht="87" x14ac:dyDescent="0.35">
      <c r="C213" s="388" t="s">
        <v>21728</v>
      </c>
      <c r="D213" s="388" t="s">
        <v>18</v>
      </c>
      <c r="E213" s="388">
        <v>10305.01</v>
      </c>
      <c r="F213" s="388" t="s">
        <v>21683</v>
      </c>
      <c r="G213" s="388" t="s">
        <v>21671</v>
      </c>
      <c r="H213" s="388" t="s">
        <v>21729</v>
      </c>
    </row>
    <row r="214" spans="2:8" ht="72.5" x14ac:dyDescent="0.35">
      <c r="C214" s="388" t="s">
        <v>21730</v>
      </c>
      <c r="D214" s="388" t="s">
        <v>18</v>
      </c>
      <c r="E214" s="388">
        <v>10305.01</v>
      </c>
      <c r="F214" s="388" t="s">
        <v>21683</v>
      </c>
      <c r="G214" s="388" t="s">
        <v>21671</v>
      </c>
      <c r="H214" s="388" t="s">
        <v>21731</v>
      </c>
    </row>
    <row r="215" spans="2:8" ht="58" x14ac:dyDescent="0.35">
      <c r="C215" s="388" t="s">
        <v>21732</v>
      </c>
      <c r="D215" s="388" t="s">
        <v>18</v>
      </c>
      <c r="E215" s="388">
        <v>10305.02</v>
      </c>
      <c r="F215" s="388" t="s">
        <v>21683</v>
      </c>
      <c r="G215" s="388" t="s">
        <v>21726</v>
      </c>
      <c r="H215" s="388" t="s">
        <v>21733</v>
      </c>
    </row>
    <row r="216" spans="2:8" ht="58" x14ac:dyDescent="0.35">
      <c r="C216" s="388" t="s">
        <v>21734</v>
      </c>
      <c r="D216" s="388" t="s">
        <v>18</v>
      </c>
      <c r="E216" s="388">
        <v>10305.02</v>
      </c>
      <c r="F216" s="388" t="s">
        <v>21683</v>
      </c>
      <c r="G216" s="388" t="s">
        <v>21671</v>
      </c>
      <c r="H216" s="388" t="s">
        <v>21735</v>
      </c>
    </row>
    <row r="217" spans="2:8" ht="72.5" x14ac:dyDescent="0.35">
      <c r="C217" s="388" t="s">
        <v>1688</v>
      </c>
      <c r="D217" s="388" t="s">
        <v>18</v>
      </c>
      <c r="E217" s="388">
        <v>10340.01</v>
      </c>
      <c r="F217" s="388" t="s">
        <v>21683</v>
      </c>
      <c r="G217" s="388" t="s">
        <v>21670</v>
      </c>
      <c r="H217" s="388" t="s">
        <v>21736</v>
      </c>
    </row>
    <row r="218" spans="2:8" ht="43.5" x14ac:dyDescent="0.35">
      <c r="C218" s="388" t="s">
        <v>21737</v>
      </c>
      <c r="D218" s="388" t="s">
        <v>18</v>
      </c>
      <c r="E218" s="388">
        <v>10340.02</v>
      </c>
      <c r="F218" s="388" t="s">
        <v>21683</v>
      </c>
      <c r="G218" s="388" t="s">
        <v>21699</v>
      </c>
      <c r="H218" s="388" t="s">
        <v>21738</v>
      </c>
    </row>
    <row r="219" spans="2:8" ht="58" x14ac:dyDescent="0.35">
      <c r="C219" s="388" t="s">
        <v>1687</v>
      </c>
      <c r="D219" s="388" t="s">
        <v>18</v>
      </c>
      <c r="E219" s="388">
        <v>10350.01</v>
      </c>
      <c r="F219" s="388" t="s">
        <v>21683</v>
      </c>
      <c r="G219" s="388" t="s">
        <v>21739</v>
      </c>
      <c r="H219" s="388" t="s">
        <v>21740</v>
      </c>
    </row>
    <row r="220" spans="2:8" ht="58" x14ac:dyDescent="0.35">
      <c r="C220" s="388" t="s">
        <v>21741</v>
      </c>
      <c r="D220" s="388" t="s">
        <v>18</v>
      </c>
      <c r="E220" s="388">
        <v>10399.9</v>
      </c>
      <c r="F220" s="388" t="s">
        <v>21683</v>
      </c>
      <c r="G220" s="388" t="s">
        <v>21704</v>
      </c>
      <c r="H220" s="388" t="s">
        <v>21742</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A35155C2-7B73-4FDE-8755-5FDAA6FC67A0}">
      <formula1>$C$205:$C207</formula1>
    </dataValidation>
  </dataValidations>
  <hyperlinks>
    <hyperlink ref="D3" r:id="rId1" display="datamateapp@gmail.com" xr:uid="{3AF43E1F-4E6C-4CC7-BA8E-A07E93339D1C}"/>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09289" r:id="rId4" name="Button 9">
              <controlPr defaultSize="0" print="0" autoFill="0" autoPict="0" macro="[0]!ExitSEC_103000">
                <anchor moveWithCells="1" sizeWithCells="1">
                  <from>
                    <xdr:col>16</xdr:col>
                    <xdr:colOff>203200</xdr:colOff>
                    <xdr:row>0</xdr:row>
                    <xdr:rowOff>6350</xdr:rowOff>
                  </from>
                  <to>
                    <xdr:col>16</xdr:col>
                    <xdr:colOff>1473200</xdr:colOff>
                    <xdr:row>2</xdr:row>
                    <xdr:rowOff>19050</xdr:rowOff>
                  </to>
                </anchor>
              </controlPr>
            </control>
          </mc:Choice>
        </mc:AlternateContent>
        <mc:AlternateContent xmlns:mc="http://schemas.openxmlformats.org/markup-compatibility/2006">
          <mc:Choice Requires="x14">
            <control shapeId="609299" r:id="rId5" name="Button 19">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609300" r:id="rId6" name="Button 20">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609301" r:id="rId7" name="Button 21">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609302" r:id="rId8" name="Button 22">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609303" r:id="rId9" name="Button 23">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609304" r:id="rId10" name="Button 24">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609305" r:id="rId11" name="Button 25">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609306" r:id="rId12" name="Button 26">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controls>
    </mc:Choice>
  </mc:AlternateContent>
</worksheet>
</file>

<file path=xl/worksheets/sheet1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4302C-4D9D-4BAA-865F-2BE38446007D}">
  <sheetPr codeName="Sheet152"/>
  <dimension ref="A1:Q219"/>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SAFETY SPECIALTIES</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40" customHeight="1"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10 40 00</v>
      </c>
      <c r="C10" s="24" t="str">
        <f>C206</f>
        <v>SAFETY SPECIALTIES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SAFETY SPECIALTIES</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14711</v>
      </c>
      <c r="C206" s="352" t="s">
        <v>14712</v>
      </c>
      <c r="D206" s="1"/>
      <c r="E206" s="1"/>
      <c r="F206" s="1"/>
      <c r="G206" s="1"/>
      <c r="H206" s="1"/>
      <c r="I206" s="1"/>
      <c r="J206" s="1"/>
      <c r="K206" s="1"/>
      <c r="L206" s="1"/>
      <c r="M206" s="1"/>
      <c r="N206" s="1"/>
      <c r="O206" s="1"/>
      <c r="P206" s="1"/>
      <c r="Q206" s="1"/>
    </row>
    <row r="207" spans="2:17" x14ac:dyDescent="0.35">
      <c r="B207" s="49" t="s">
        <v>14713</v>
      </c>
      <c r="C207" s="53" t="s">
        <v>14714</v>
      </c>
      <c r="D207" s="1"/>
      <c r="E207" s="1"/>
      <c r="F207" s="1"/>
      <c r="G207" s="1"/>
      <c r="H207" s="1"/>
      <c r="I207" s="1"/>
      <c r="J207" s="1"/>
      <c r="K207" s="1"/>
      <c r="L207" s="1"/>
      <c r="M207" s="1"/>
      <c r="N207" s="1"/>
      <c r="O207" s="1"/>
      <c r="P207" s="1"/>
      <c r="Q207" s="1"/>
    </row>
    <row r="208" spans="2:17" x14ac:dyDescent="0.35">
      <c r="B208" s="49" t="s">
        <v>14715</v>
      </c>
      <c r="C208" s="53" t="s">
        <v>14716</v>
      </c>
    </row>
    <row r="209" spans="2:8" x14ac:dyDescent="0.35">
      <c r="B209" s="49" t="s">
        <v>14717</v>
      </c>
      <c r="C209" s="53" t="s">
        <v>14718</v>
      </c>
    </row>
    <row r="210" spans="2:8" x14ac:dyDescent="0.35">
      <c r="B210" s="49" t="s">
        <v>14719</v>
      </c>
      <c r="C210" s="53" t="s">
        <v>14720</v>
      </c>
    </row>
    <row r="211" spans="2:8" ht="72.5" x14ac:dyDescent="0.35">
      <c r="C211" s="388" t="s">
        <v>1686</v>
      </c>
      <c r="D211" s="388" t="s">
        <v>18</v>
      </c>
      <c r="E211" s="388">
        <v>10410.01</v>
      </c>
      <c r="F211" s="388" t="s">
        <v>21683</v>
      </c>
      <c r="G211" s="388" t="s">
        <v>21699</v>
      </c>
      <c r="H211" s="388" t="s">
        <v>21700</v>
      </c>
    </row>
    <row r="212" spans="2:8" ht="72.5" x14ac:dyDescent="0.35">
      <c r="C212" s="388" t="s">
        <v>1685</v>
      </c>
      <c r="D212" s="388" t="s">
        <v>18</v>
      </c>
      <c r="E212" s="388">
        <v>10420.01</v>
      </c>
      <c r="F212" s="388" t="s">
        <v>21683</v>
      </c>
      <c r="G212" s="388" t="s">
        <v>21660</v>
      </c>
      <c r="H212" s="388" t="s">
        <v>21701</v>
      </c>
    </row>
    <row r="213" spans="2:8" ht="72.5" x14ac:dyDescent="0.35">
      <c r="C213" s="388" t="s">
        <v>21702</v>
      </c>
      <c r="D213" s="388" t="s">
        <v>1391</v>
      </c>
      <c r="E213" s="388">
        <v>10430.01</v>
      </c>
      <c r="F213" s="388" t="s">
        <v>21703</v>
      </c>
      <c r="G213" s="388" t="s">
        <v>21704</v>
      </c>
      <c r="H213" s="388" t="s">
        <v>21705</v>
      </c>
    </row>
    <row r="214" spans="2:8" ht="72.5" x14ac:dyDescent="0.35">
      <c r="C214" s="388" t="s">
        <v>21706</v>
      </c>
      <c r="D214" s="388" t="s">
        <v>18</v>
      </c>
      <c r="E214" s="388">
        <v>10430.040000000001</v>
      </c>
      <c r="F214" s="388" t="s">
        <v>21683</v>
      </c>
      <c r="G214" s="388" t="s">
        <v>21670</v>
      </c>
      <c r="H214" s="388" t="s">
        <v>21707</v>
      </c>
    </row>
    <row r="215" spans="2:8" ht="87" x14ac:dyDescent="0.35">
      <c r="C215" s="388" t="s">
        <v>21708</v>
      </c>
      <c r="D215" s="388" t="s">
        <v>18</v>
      </c>
      <c r="E215" s="388">
        <v>10430.040000000001</v>
      </c>
      <c r="F215" s="388" t="s">
        <v>21683</v>
      </c>
      <c r="G215" s="388" t="s">
        <v>21709</v>
      </c>
      <c r="H215" s="388" t="s">
        <v>21710</v>
      </c>
    </row>
    <row r="216" spans="2:8" ht="72.5" x14ac:dyDescent="0.35">
      <c r="C216" s="388" t="s">
        <v>21711</v>
      </c>
      <c r="D216" s="388" t="s">
        <v>18</v>
      </c>
      <c r="E216" s="388">
        <v>10440.01</v>
      </c>
      <c r="F216" s="388" t="s">
        <v>21683</v>
      </c>
      <c r="G216" s="388" t="s">
        <v>21712</v>
      </c>
      <c r="H216" s="388" t="s">
        <v>21713</v>
      </c>
    </row>
    <row r="217" spans="2:8" ht="72.5" x14ac:dyDescent="0.35">
      <c r="C217" s="388" t="s">
        <v>21714</v>
      </c>
      <c r="D217" s="388" t="s">
        <v>18</v>
      </c>
      <c r="E217" s="388">
        <v>10440.01</v>
      </c>
      <c r="F217" s="388" t="s">
        <v>21683</v>
      </c>
      <c r="G217" s="388" t="s">
        <v>21715</v>
      </c>
      <c r="H217" s="388" t="s">
        <v>21716</v>
      </c>
    </row>
    <row r="218" spans="2:8" ht="87" x14ac:dyDescent="0.35">
      <c r="C218" s="388" t="s">
        <v>21717</v>
      </c>
      <c r="D218" s="388" t="s">
        <v>18</v>
      </c>
      <c r="E218" s="388">
        <v>10440.01</v>
      </c>
      <c r="F218" s="388" t="s">
        <v>21683</v>
      </c>
      <c r="G218" s="388" t="s">
        <v>21709</v>
      </c>
      <c r="H218" s="388" t="s">
        <v>21718</v>
      </c>
    </row>
    <row r="219" spans="2:8" ht="87" x14ac:dyDescent="0.35">
      <c r="C219" s="388" t="s">
        <v>21719</v>
      </c>
      <c r="D219" s="388" t="s">
        <v>18</v>
      </c>
      <c r="E219" s="388">
        <v>10440.02</v>
      </c>
      <c r="F219" s="388" t="s">
        <v>21683</v>
      </c>
      <c r="G219" s="388" t="s">
        <v>21662</v>
      </c>
      <c r="H219" s="388" t="s">
        <v>21720</v>
      </c>
    </row>
  </sheetData>
  <mergeCells count="9">
    <mergeCell ref="P3:Q3"/>
    <mergeCell ref="J6:K6"/>
    <mergeCell ref="J7:K7"/>
    <mergeCell ref="A3:B3"/>
    <mergeCell ref="D3:G3"/>
    <mergeCell ref="J3:K3"/>
    <mergeCell ref="A4:B4"/>
    <mergeCell ref="J4:K4"/>
    <mergeCell ref="J5:K5"/>
  </mergeCells>
  <dataValidations count="1">
    <dataValidation type="list" allowBlank="1" showInputMessage="1" showErrorMessage="1" sqref="C16:C190" xr:uid="{6E9AD975-88F5-4691-BD73-A8AC61F60F27}">
      <formula1>$C$205:$C207</formula1>
    </dataValidation>
  </dataValidations>
  <hyperlinks>
    <hyperlink ref="D3" r:id="rId1" display="datamateapp@gmail.com" xr:uid="{09F7065F-8D5D-41E1-A439-0964943187CD}"/>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10314" r:id="rId4" name="Button 10">
              <controlPr defaultSize="0" print="0" autoFill="0" autoPict="0" macro="[0]!ExitSEC_104000">
                <anchor moveWithCells="1" sizeWithCells="1">
                  <from>
                    <xdr:col>16</xdr:col>
                    <xdr:colOff>0</xdr:colOff>
                    <xdr:row>0</xdr:row>
                    <xdr:rowOff>0</xdr:rowOff>
                  </from>
                  <to>
                    <xdr:col>16</xdr:col>
                    <xdr:colOff>1270000</xdr:colOff>
                    <xdr:row>2</xdr:row>
                    <xdr:rowOff>12700</xdr:rowOff>
                  </to>
                </anchor>
              </controlPr>
            </control>
          </mc:Choice>
        </mc:AlternateContent>
        <mc:AlternateContent xmlns:mc="http://schemas.openxmlformats.org/markup-compatibility/2006">
          <mc:Choice Requires="x14">
            <control shapeId="610324" r:id="rId5" name="Button 20">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610325" r:id="rId6" name="Button 21">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610326" r:id="rId7" name="Button 22">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610327" r:id="rId8" name="Button 23">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610328" r:id="rId9" name="Button 24">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610329" r:id="rId10" name="Button 25">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610330" r:id="rId11" name="Button 26">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610331" r:id="rId12" name="Button 27">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controls>
    </mc:Choice>
  </mc:AlternateContent>
</worksheet>
</file>

<file path=xl/worksheets/sheet1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4791A8-B034-469A-A615-6CDD8A21BDF2}">
  <sheetPr codeName="Sheet153"/>
  <dimension ref="A1:Q230"/>
  <sheetViews>
    <sheetView zoomScale="70" zoomScaleNormal="70"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STORAGE SPECIALTIES</v>
      </c>
      <c r="J2" s="59"/>
      <c r="K2" s="59"/>
      <c r="L2" s="1"/>
      <c r="M2" s="59"/>
      <c r="N2" s="59"/>
      <c r="O2" s="101"/>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104"/>
      <c r="K3" s="111"/>
      <c r="L3" s="100"/>
      <c r="M3" s="8"/>
      <c r="N3" s="32"/>
      <c r="O3" s="99"/>
      <c r="P3" s="441" t="s">
        <v>21594</v>
      </c>
      <c r="Q3" s="442"/>
    </row>
    <row r="4" spans="1:17" ht="15" thickBot="1" x14ac:dyDescent="0.4">
      <c r="A4" s="451" t="s">
        <v>21409</v>
      </c>
      <c r="B4" s="452"/>
      <c r="C4" s="79" t="s">
        <v>21410</v>
      </c>
      <c r="D4" s="6"/>
      <c r="E4" s="5" t="s">
        <v>21396</v>
      </c>
      <c r="F4" s="61">
        <v>1</v>
      </c>
      <c r="G4" s="8"/>
      <c r="H4" s="6"/>
      <c r="I4" s="6"/>
      <c r="J4" s="6"/>
      <c r="K4" s="6" t="s">
        <v>21406</v>
      </c>
      <c r="L4" s="11"/>
      <c r="M4" s="9"/>
      <c r="N4" s="31" t="s">
        <v>21430</v>
      </c>
      <c r="O4" s="98"/>
      <c r="P4" s="7"/>
      <c r="Q4" s="10"/>
    </row>
    <row r="5" spans="1:17" ht="15" thickBot="1" x14ac:dyDescent="0.4">
      <c r="A5" s="3"/>
      <c r="B5" s="4"/>
      <c r="C5" s="5"/>
      <c r="D5" s="6"/>
      <c r="E5" s="7"/>
      <c r="F5" s="6"/>
      <c r="G5" s="8"/>
      <c r="H5" s="6"/>
      <c r="I5" s="6"/>
      <c r="J5" s="6"/>
      <c r="K5" s="6" t="s">
        <v>21407</v>
      </c>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109"/>
      <c r="K6" s="109" t="s">
        <v>21405</v>
      </c>
      <c r="L6" s="11"/>
      <c r="M6" s="9"/>
      <c r="N6" s="31" t="s">
        <v>21428</v>
      </c>
      <c r="O6" s="97"/>
      <c r="P6" s="7"/>
      <c r="Q6" s="8"/>
    </row>
    <row r="7" spans="1:17" x14ac:dyDescent="0.35">
      <c r="A7" s="3"/>
      <c r="B7" s="4"/>
      <c r="C7" s="84" t="s">
        <v>21433</v>
      </c>
      <c r="D7" s="6"/>
      <c r="E7" s="7"/>
      <c r="F7" s="6"/>
      <c r="G7" s="7"/>
      <c r="H7" s="14"/>
      <c r="I7" s="6"/>
      <c r="J7" s="6"/>
      <c r="K7" s="6" t="s">
        <v>21408</v>
      </c>
      <c r="L7" s="11"/>
      <c r="M7" s="6"/>
      <c r="N7" s="31" t="s">
        <v>21427</v>
      </c>
      <c r="O7" s="96"/>
      <c r="P7" s="90"/>
      <c r="Q7" s="90"/>
    </row>
    <row r="8" spans="1:17" ht="15" thickBot="1" x14ac:dyDescent="0.4">
      <c r="A8" s="3"/>
      <c r="B8" s="4"/>
      <c r="C8" s="86" t="s">
        <v>21403</v>
      </c>
      <c r="D8" s="6"/>
      <c r="E8" s="7"/>
      <c r="F8" s="6"/>
      <c r="G8" s="6"/>
      <c r="H8" s="6"/>
      <c r="I8" s="6"/>
      <c r="J8" s="6"/>
      <c r="K8" s="6" t="s">
        <v>21426</v>
      </c>
      <c r="L8" s="83" t="s">
        <v>1</v>
      </c>
      <c r="M8" s="6"/>
      <c r="N8" s="6" t="s">
        <v>21422</v>
      </c>
      <c r="O8" s="95" t="s">
        <v>21425</v>
      </c>
      <c r="P8" s="6"/>
      <c r="Q8" s="6"/>
    </row>
    <row r="9" spans="1:17" ht="40" customHeight="1" thickBot="1" x14ac:dyDescent="0.4">
      <c r="A9" s="15"/>
      <c r="B9" s="16"/>
      <c r="C9" s="17" t="s">
        <v>2</v>
      </c>
      <c r="D9" s="18" t="s">
        <v>3</v>
      </c>
      <c r="E9" s="19" t="s">
        <v>4</v>
      </c>
      <c r="F9" s="16" t="s">
        <v>5</v>
      </c>
      <c r="G9" s="20" t="s">
        <v>6</v>
      </c>
      <c r="H9" s="16" t="s">
        <v>7</v>
      </c>
      <c r="I9" s="20" t="s">
        <v>8</v>
      </c>
      <c r="J9" s="21" t="s">
        <v>9</v>
      </c>
      <c r="K9" s="16" t="s">
        <v>10</v>
      </c>
      <c r="L9" s="21" t="s">
        <v>11</v>
      </c>
      <c r="M9" s="20" t="s">
        <v>12</v>
      </c>
      <c r="N9" s="16" t="s">
        <v>21425</v>
      </c>
      <c r="O9" s="94" t="s">
        <v>14</v>
      </c>
      <c r="P9" s="18" t="s">
        <v>15</v>
      </c>
      <c r="Q9" s="20" t="s">
        <v>16</v>
      </c>
    </row>
    <row r="10" spans="1:17" ht="15" thickBot="1" x14ac:dyDescent="0.4">
      <c r="A10" s="22"/>
      <c r="B10" s="23" t="str">
        <f>B206</f>
        <v>10 50 00</v>
      </c>
      <c r="C10" s="24" t="str">
        <f>C206</f>
        <v>STORAGE SPECIALTIES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STORAGE SPECIALTIES</v>
      </c>
      <c r="D12" s="31"/>
      <c r="E12" s="32"/>
      <c r="F12" s="34"/>
      <c r="G12" s="33"/>
      <c r="H12" s="34"/>
      <c r="I12" s="33"/>
      <c r="J12" s="34"/>
      <c r="K12" s="34"/>
      <c r="L12" s="34"/>
      <c r="M12" s="33"/>
      <c r="N12" s="34"/>
      <c r="O12" s="35"/>
      <c r="P12" s="31"/>
      <c r="Q12" s="35"/>
    </row>
    <row r="13" spans="1:17" x14ac:dyDescent="0.35">
      <c r="A13" s="22"/>
      <c r="B13" s="37"/>
      <c r="C13" s="38" t="s">
        <v>27</v>
      </c>
      <c r="D13" s="39"/>
      <c r="E13" s="32" t="s">
        <v>28</v>
      </c>
      <c r="F13" s="40"/>
      <c r="G13" s="35">
        <f>$D13*F13</f>
        <v>0</v>
      </c>
      <c r="H13" s="40"/>
      <c r="I13" s="35">
        <f>$D13*H13</f>
        <v>0</v>
      </c>
      <c r="J13" s="41"/>
      <c r="K13" s="34">
        <f>IFERROR($D13/$J13,0)</f>
        <v>0</v>
      </c>
      <c r="L13" s="42"/>
      <c r="M13" s="35">
        <f>IFERROR(K13*L13,0)</f>
        <v>0</v>
      </c>
      <c r="N13" s="40"/>
      <c r="O13" s="35">
        <f>$D13*N13</f>
        <v>0</v>
      </c>
      <c r="P13" s="36">
        <f>F13+(H13*(1+$I$4))+IFERROR(L13/J13,0)+N13</f>
        <v>0</v>
      </c>
      <c r="Q13" s="35">
        <f>SUM(O13,M13,I13*(1+$I$4),G13)</f>
        <v>0</v>
      </c>
    </row>
    <row r="14" spans="1:17" x14ac:dyDescent="0.35">
      <c r="A14" s="22"/>
      <c r="B14" s="37"/>
      <c r="C14" s="47" t="str">
        <f>C203</f>
        <v>Material Prices Current Q4 2024 from (Suppier Name)</v>
      </c>
      <c r="D14" s="31"/>
      <c r="E14" s="32"/>
      <c r="F14" s="34"/>
      <c r="G14" s="33"/>
      <c r="H14" s="34"/>
      <c r="I14" s="33"/>
      <c r="J14" s="34"/>
      <c r="K14" s="34"/>
      <c r="L14" s="34"/>
      <c r="M14" s="33"/>
      <c r="N14" s="34"/>
      <c r="O14" s="33"/>
      <c r="P14" s="46"/>
      <c r="Q14" s="33"/>
    </row>
    <row r="15" spans="1:17" ht="15.5" x14ac:dyDescent="0.35">
      <c r="A15" s="22"/>
      <c r="B15" s="37"/>
      <c r="C15" s="105" t="s">
        <v>21431</v>
      </c>
      <c r="D15" s="39"/>
      <c r="E15" s="32"/>
      <c r="F15" s="41"/>
      <c r="G15" s="35"/>
      <c r="H15" s="34"/>
      <c r="I15" s="35"/>
      <c r="J15" s="41"/>
      <c r="K15" s="34"/>
      <c r="L15" s="34"/>
      <c r="M15" s="35"/>
      <c r="N15" s="41"/>
      <c r="O15" s="35"/>
      <c r="P15" s="31"/>
      <c r="Q15" s="35"/>
    </row>
    <row r="16" spans="1:17" x14ac:dyDescent="0.35">
      <c r="A16" s="22"/>
      <c r="B16" s="37"/>
      <c r="C16" s="30" t="s">
        <v>21424</v>
      </c>
      <c r="D16" s="39"/>
      <c r="E16" s="32"/>
      <c r="F16" s="41">
        <v>0</v>
      </c>
      <c r="G16" s="35">
        <f t="shared" ref="G16:G29" si="0">$D16*F16</f>
        <v>0</v>
      </c>
      <c r="H16" s="48"/>
      <c r="I16" s="35">
        <f>$D16*H16</f>
        <v>0</v>
      </c>
      <c r="J16" s="41"/>
      <c r="K16" s="34">
        <f t="shared" ref="K16:K24" si="1">IFERROR($D16/$J16,0)</f>
        <v>0</v>
      </c>
      <c r="L16" s="42"/>
      <c r="M16" s="35">
        <f t="shared" ref="M16:M29" si="2">IFERROR(K16*L16,0)</f>
        <v>0</v>
      </c>
      <c r="N16" s="41">
        <v>0</v>
      </c>
      <c r="O16" s="35">
        <f t="shared" ref="O16:O30" si="3">$D16*N16</f>
        <v>0</v>
      </c>
      <c r="P16" s="36">
        <f>F16+(H16*(1+$I$4))+IFERROR(L16/J16,0)+N16</f>
        <v>0</v>
      </c>
      <c r="Q16" s="35">
        <f>SUM(O16,M16,I16*(1+$I$4),G16)</f>
        <v>0</v>
      </c>
    </row>
    <row r="17" spans="2:17" x14ac:dyDescent="0.35">
      <c r="B17" s="37" t="str">
        <f>IFERROR(VLOOKUP(C17, SEC_105000!$C$206:$G$207, 3, FALSE), "")</f>
        <v/>
      </c>
      <c r="C17" s="38"/>
      <c r="D17" s="39"/>
      <c r="E17" s="32" t="str">
        <f>IFERROR(VLOOKUP(C17, SEC_105000!$C$204:$G$1962, 2, FALSE), "")</f>
        <v/>
      </c>
      <c r="F17" s="41">
        <v>0</v>
      </c>
      <c r="G17" s="35">
        <f t="shared" si="0"/>
        <v>0</v>
      </c>
      <c r="H17" s="48" t="str">
        <f>IFERROR(VLOOKUP(C17, SEC_105000!$C$204:$G$1962, 4, FALSE), "")</f>
        <v/>
      </c>
      <c r="I17" s="35" t="str">
        <f t="shared" ref="I17:I24" si="4">IF(AND(ISNUMBER(D17), ISNUMBER(H17)), D17 * H17, "")</f>
        <v/>
      </c>
      <c r="J17" s="41" t="str">
        <f>IFERROR(VLOOKUP(C17, SEC_105000!$C$204:$G$1962, 5, FALSE), "")</f>
        <v/>
      </c>
      <c r="K17" s="34">
        <f t="shared" si="1"/>
        <v>0</v>
      </c>
      <c r="L17" s="42"/>
      <c r="M17" s="35">
        <f t="shared" si="2"/>
        <v>0</v>
      </c>
      <c r="N17" s="41">
        <v>0</v>
      </c>
      <c r="O17" s="35">
        <f t="shared" si="3"/>
        <v>0</v>
      </c>
      <c r="P17" s="36">
        <f t="shared" ref="P17:P24" si="5">IF(ISNUMBER(F17), F17, 0) + IF(ISNUMBER(H17), H17 * (1 + $I$4), 0) + IF(AND(ISNUMBER(L17), ISNUMBER(J17), J17 &lt;&gt; 0), L17 / J17, 0) + IF(ISNUMBER(N17), N17, 0)</f>
        <v>0</v>
      </c>
      <c r="Q17" s="35">
        <f t="shared" ref="Q17:Q24" si="6">SUM(IF(ISNUMBER(O17), O17, 0), IF(ISNUMBER(M17), M17, 0), IF(ISNUMBER(I17), I17 * (1 + $I$4), 0), IF(ISNUMBER(G17), G17, 0))</f>
        <v>0</v>
      </c>
    </row>
    <row r="18" spans="2:17" x14ac:dyDescent="0.35">
      <c r="B18" s="37" t="str">
        <f>IFERROR(VLOOKUP(C18, SEC_105000!$C$206:$G$207, 3, FALSE), "")</f>
        <v/>
      </c>
      <c r="C18" s="38"/>
      <c r="D18" s="39"/>
      <c r="E18" s="32" t="str">
        <f>IFERROR(VLOOKUP(C18, SEC_105000!$C$204:$G$1962, 2, FALSE), "")</f>
        <v/>
      </c>
      <c r="F18" s="41">
        <v>0</v>
      </c>
      <c r="G18" s="35">
        <f t="shared" si="0"/>
        <v>0</v>
      </c>
      <c r="H18" s="48" t="str">
        <f>IFERROR(VLOOKUP(C18, SEC_105000!$C$204:$G$1962, 4, FALSE), "")</f>
        <v/>
      </c>
      <c r="I18" s="35" t="str">
        <f t="shared" si="4"/>
        <v/>
      </c>
      <c r="J18" s="41" t="str">
        <f>IFERROR(VLOOKUP(C18, SEC_105000!$C$204:$G$1962, 5, FALSE), "")</f>
        <v/>
      </c>
      <c r="K18" s="34">
        <f t="shared" si="1"/>
        <v>0</v>
      </c>
      <c r="L18" s="42"/>
      <c r="M18" s="35">
        <f t="shared" si="2"/>
        <v>0</v>
      </c>
      <c r="N18" s="41">
        <v>0</v>
      </c>
      <c r="O18" s="35">
        <f t="shared" si="3"/>
        <v>0</v>
      </c>
      <c r="P18" s="36">
        <f t="shared" si="5"/>
        <v>0</v>
      </c>
      <c r="Q18" s="35">
        <f t="shared" si="6"/>
        <v>0</v>
      </c>
    </row>
    <row r="19" spans="2:17" x14ac:dyDescent="0.35">
      <c r="B19" s="37" t="str">
        <f>IFERROR(VLOOKUP(C19, SEC_105000!$C$206:$G$207, 3, FALSE), "")</f>
        <v/>
      </c>
      <c r="C19" s="38"/>
      <c r="D19" s="39"/>
      <c r="E19" s="32" t="str">
        <f>IFERROR(VLOOKUP(C19, SEC_105000!$C$204:$G$1962, 2, FALSE), "")</f>
        <v/>
      </c>
      <c r="F19" s="41">
        <v>0</v>
      </c>
      <c r="G19" s="35">
        <f t="shared" si="0"/>
        <v>0</v>
      </c>
      <c r="H19" s="48" t="str">
        <f>IFERROR(VLOOKUP(C19, SEC_105000!$C$204:$G$1962, 4, FALSE), "")</f>
        <v/>
      </c>
      <c r="I19" s="35" t="str">
        <f t="shared" si="4"/>
        <v/>
      </c>
      <c r="J19" s="41" t="str">
        <f>IFERROR(VLOOKUP(C19, SEC_105000!$C$204:$G$1962, 5, FALSE), "")</f>
        <v/>
      </c>
      <c r="K19" s="34">
        <f t="shared" si="1"/>
        <v>0</v>
      </c>
      <c r="L19" s="42"/>
      <c r="M19" s="35">
        <f t="shared" si="2"/>
        <v>0</v>
      </c>
      <c r="N19" s="41">
        <v>0</v>
      </c>
      <c r="O19" s="35">
        <f t="shared" si="3"/>
        <v>0</v>
      </c>
      <c r="P19" s="36">
        <f t="shared" si="5"/>
        <v>0</v>
      </c>
      <c r="Q19" s="35">
        <f t="shared" si="6"/>
        <v>0</v>
      </c>
    </row>
    <row r="20" spans="2:17" x14ac:dyDescent="0.35">
      <c r="B20" s="37" t="str">
        <f>IFERROR(VLOOKUP(C20, SEC_105000!$C$206:$G$207, 3, FALSE), "")</f>
        <v/>
      </c>
      <c r="C20" s="38"/>
      <c r="D20" s="39"/>
      <c r="E20" s="32" t="str">
        <f>IFERROR(VLOOKUP(C20, SEC_105000!$C$204:$G$1962, 2, FALSE), "")</f>
        <v/>
      </c>
      <c r="F20" s="41">
        <v>0</v>
      </c>
      <c r="G20" s="35">
        <f t="shared" si="0"/>
        <v>0</v>
      </c>
      <c r="H20" s="48" t="str">
        <f>IFERROR(VLOOKUP(C20, SEC_105000!$C$204:$G$1962, 4, FALSE), "")</f>
        <v/>
      </c>
      <c r="I20" s="35" t="str">
        <f t="shared" si="4"/>
        <v/>
      </c>
      <c r="J20" s="41" t="str">
        <f>IFERROR(VLOOKUP(C20, SEC_105000!$C$204:$G$1962, 5, FALSE), "")</f>
        <v/>
      </c>
      <c r="K20" s="34">
        <f t="shared" si="1"/>
        <v>0</v>
      </c>
      <c r="L20" s="42"/>
      <c r="M20" s="35">
        <f t="shared" si="2"/>
        <v>0</v>
      </c>
      <c r="N20" s="41">
        <v>0</v>
      </c>
      <c r="O20" s="35">
        <f t="shared" si="3"/>
        <v>0</v>
      </c>
      <c r="P20" s="36">
        <f t="shared" si="5"/>
        <v>0</v>
      </c>
      <c r="Q20" s="35">
        <f t="shared" si="6"/>
        <v>0</v>
      </c>
    </row>
    <row r="21" spans="2:17" x14ac:dyDescent="0.35">
      <c r="B21" s="37" t="str">
        <f>IFERROR(VLOOKUP(C21, SEC_105000!$C$206:$G$207, 3, FALSE), "")</f>
        <v/>
      </c>
      <c r="C21" s="38"/>
      <c r="D21" s="39"/>
      <c r="E21" s="32" t="str">
        <f>IFERROR(VLOOKUP(C21, SEC_105000!$C$204:$G$1962, 2, FALSE), "")</f>
        <v/>
      </c>
      <c r="F21" s="41">
        <v>0</v>
      </c>
      <c r="G21" s="35">
        <f t="shared" si="0"/>
        <v>0</v>
      </c>
      <c r="H21" s="48" t="str">
        <f>IFERROR(VLOOKUP(C21, SEC_105000!$C$204:$G$1962, 4, FALSE), "")</f>
        <v/>
      </c>
      <c r="I21" s="35" t="str">
        <f t="shared" si="4"/>
        <v/>
      </c>
      <c r="J21" s="41" t="str">
        <f>IFERROR(VLOOKUP(C21, SEC_105000!$C$204:$G$1962, 5, FALSE), "")</f>
        <v/>
      </c>
      <c r="K21" s="34">
        <f t="shared" si="1"/>
        <v>0</v>
      </c>
      <c r="L21" s="42"/>
      <c r="M21" s="35">
        <f t="shared" si="2"/>
        <v>0</v>
      </c>
      <c r="N21" s="41">
        <v>0</v>
      </c>
      <c r="O21" s="35">
        <f t="shared" si="3"/>
        <v>0</v>
      </c>
      <c r="P21" s="36">
        <f t="shared" si="5"/>
        <v>0</v>
      </c>
      <c r="Q21" s="35">
        <f t="shared" si="6"/>
        <v>0</v>
      </c>
    </row>
    <row r="22" spans="2:17" x14ac:dyDescent="0.35">
      <c r="B22" s="37" t="str">
        <f>IFERROR(VLOOKUP(C22, SEC_105000!$C$206:$G$207, 3, FALSE), "")</f>
        <v/>
      </c>
      <c r="C22" s="38"/>
      <c r="D22" s="39"/>
      <c r="E22" s="32" t="str">
        <f>IFERROR(VLOOKUP(C22, SEC_105000!$C$204:$G$1962, 2, FALSE), "")</f>
        <v/>
      </c>
      <c r="F22" s="41">
        <v>0</v>
      </c>
      <c r="G22" s="35">
        <f t="shared" si="0"/>
        <v>0</v>
      </c>
      <c r="H22" s="48" t="str">
        <f>IFERROR(VLOOKUP(C22, SEC_105000!$C$204:$G$1962, 4, FALSE), "")</f>
        <v/>
      </c>
      <c r="I22" s="35" t="str">
        <f t="shared" si="4"/>
        <v/>
      </c>
      <c r="J22" s="41" t="str">
        <f>IFERROR(VLOOKUP(C22, SEC_105000!$C$204:$G$1962, 5, FALSE), "")</f>
        <v/>
      </c>
      <c r="K22" s="34">
        <f t="shared" si="1"/>
        <v>0</v>
      </c>
      <c r="L22" s="42"/>
      <c r="M22" s="35">
        <f t="shared" si="2"/>
        <v>0</v>
      </c>
      <c r="N22" s="41">
        <v>0</v>
      </c>
      <c r="O22" s="35">
        <f t="shared" si="3"/>
        <v>0</v>
      </c>
      <c r="P22" s="36">
        <f t="shared" si="5"/>
        <v>0</v>
      </c>
      <c r="Q22" s="35">
        <f t="shared" si="6"/>
        <v>0</v>
      </c>
    </row>
    <row r="23" spans="2:17" x14ac:dyDescent="0.35">
      <c r="B23" s="37" t="str">
        <f>IFERROR(VLOOKUP(C23, SEC_105000!$C$206:$G$207, 3, FALSE), "")</f>
        <v/>
      </c>
      <c r="C23" s="38"/>
      <c r="D23" s="39"/>
      <c r="E23" s="32" t="str">
        <f>IFERROR(VLOOKUP(C23, SEC_105000!$C$204:$G$1962, 2, FALSE), "")</f>
        <v/>
      </c>
      <c r="F23" s="41">
        <v>0</v>
      </c>
      <c r="G23" s="35">
        <f t="shared" si="0"/>
        <v>0</v>
      </c>
      <c r="H23" s="48" t="str">
        <f>IFERROR(VLOOKUP(C23, SEC_105000!$C$204:$G$1962, 4, FALSE), "")</f>
        <v/>
      </c>
      <c r="I23" s="35" t="str">
        <f t="shared" si="4"/>
        <v/>
      </c>
      <c r="J23" s="41" t="str">
        <f>IFERROR(VLOOKUP(C23, SEC_105000!$C$204:$G$1962, 5, FALSE), "")</f>
        <v/>
      </c>
      <c r="K23" s="34">
        <f t="shared" si="1"/>
        <v>0</v>
      </c>
      <c r="L23" s="42"/>
      <c r="M23" s="35">
        <f t="shared" si="2"/>
        <v>0</v>
      </c>
      <c r="N23" s="41">
        <v>0</v>
      </c>
      <c r="O23" s="35">
        <f t="shared" si="3"/>
        <v>0</v>
      </c>
      <c r="P23" s="36">
        <f t="shared" si="5"/>
        <v>0</v>
      </c>
      <c r="Q23" s="35">
        <f t="shared" si="6"/>
        <v>0</v>
      </c>
    </row>
    <row r="24" spans="2:17" x14ac:dyDescent="0.35">
      <c r="B24" s="37" t="str">
        <f>IFERROR(VLOOKUP(C24, SEC_105000!$C$206:$G$207, 3, FALSE), "")</f>
        <v/>
      </c>
      <c r="C24" s="38"/>
      <c r="D24" s="39"/>
      <c r="E24" s="32" t="str">
        <f>IFERROR(VLOOKUP(C24, SEC_105000!$C$204:$G$1962, 2, FALSE), "")</f>
        <v/>
      </c>
      <c r="F24" s="41">
        <v>0</v>
      </c>
      <c r="G24" s="35">
        <f t="shared" si="0"/>
        <v>0</v>
      </c>
      <c r="H24" s="48" t="str">
        <f>IFERROR(VLOOKUP(C24, SEC_105000!$C$204:$G$1962, 4, FALSE), "")</f>
        <v/>
      </c>
      <c r="I24" s="35" t="str">
        <f t="shared" si="4"/>
        <v/>
      </c>
      <c r="J24" s="41" t="str">
        <f>IFERROR(VLOOKUP(C24, SEC_105000!$C$204:$G$1962, 5, FALSE), "")</f>
        <v/>
      </c>
      <c r="K24" s="34">
        <f t="shared" si="1"/>
        <v>0</v>
      </c>
      <c r="L24" s="42"/>
      <c r="M24" s="35">
        <f t="shared" si="2"/>
        <v>0</v>
      </c>
      <c r="N24" s="41">
        <v>0</v>
      </c>
      <c r="O24" s="35">
        <f t="shared" si="3"/>
        <v>0</v>
      </c>
      <c r="P24" s="36">
        <f t="shared" si="5"/>
        <v>0</v>
      </c>
      <c r="Q24" s="35">
        <f t="shared" si="6"/>
        <v>0</v>
      </c>
    </row>
    <row r="25" spans="2:17" x14ac:dyDescent="0.35">
      <c r="B25" s="37"/>
      <c r="C25" s="30" t="s">
        <v>21423</v>
      </c>
      <c r="D25" s="39"/>
      <c r="E25" s="32"/>
      <c r="F25" s="41">
        <v>0</v>
      </c>
      <c r="G25" s="35">
        <f t="shared" si="0"/>
        <v>0</v>
      </c>
      <c r="H25" s="48"/>
      <c r="I25" s="35">
        <f>$D25*H25</f>
        <v>0</v>
      </c>
      <c r="J25" s="41"/>
      <c r="K25" s="34"/>
      <c r="L25" s="42"/>
      <c r="M25" s="35">
        <f t="shared" si="2"/>
        <v>0</v>
      </c>
      <c r="N25" s="41">
        <v>0</v>
      </c>
      <c r="O25" s="35">
        <f t="shared" si="3"/>
        <v>0</v>
      </c>
      <c r="P25" s="36">
        <f t="shared" ref="P25:P30" si="7">F25+(H25*(1+$I$4))+IFERROR(L25/J25,0)+N25</f>
        <v>0</v>
      </c>
      <c r="Q25" s="35">
        <f t="shared" ref="Q25:Q36" si="8">SUM(O25,M25,I25*(1+$I$4),G25)</f>
        <v>0</v>
      </c>
    </row>
    <row r="26" spans="2:17" x14ac:dyDescent="0.35">
      <c r="B26" s="37"/>
      <c r="C26" s="38"/>
      <c r="D26" s="39"/>
      <c r="E26" s="32" t="s">
        <v>24</v>
      </c>
      <c r="F26" s="41">
        <v>0</v>
      </c>
      <c r="G26" s="35">
        <f t="shared" si="0"/>
        <v>0</v>
      </c>
      <c r="H26" s="48"/>
      <c r="I26" s="35">
        <f>$D26*H26</f>
        <v>0</v>
      </c>
      <c r="J26" s="41"/>
      <c r="K26" s="34"/>
      <c r="L26" s="42" t="str">
        <f>IFERROR(VLOOKUP(C26, SEC_105000!K4:M9, 2, FALSE), "")</f>
        <v/>
      </c>
      <c r="M26" s="35">
        <f t="shared" si="2"/>
        <v>0</v>
      </c>
      <c r="N26" s="41">
        <v>0</v>
      </c>
      <c r="O26" s="35">
        <f t="shared" si="3"/>
        <v>0</v>
      </c>
      <c r="P26" s="36">
        <f t="shared" si="7"/>
        <v>0</v>
      </c>
      <c r="Q26" s="35">
        <f t="shared" si="8"/>
        <v>0</v>
      </c>
    </row>
    <row r="27" spans="2:17" x14ac:dyDescent="0.35">
      <c r="B27" s="37"/>
      <c r="C27" s="38"/>
      <c r="D27" s="39"/>
      <c r="E27" s="32" t="s">
        <v>24</v>
      </c>
      <c r="F27" s="41">
        <v>0</v>
      </c>
      <c r="G27" s="35">
        <f t="shared" si="0"/>
        <v>0</v>
      </c>
      <c r="H27" s="48"/>
      <c r="I27" s="35">
        <f>$D27*H27</f>
        <v>0</v>
      </c>
      <c r="J27" s="41"/>
      <c r="K27" s="34"/>
      <c r="L27" s="42">
        <f>IFERROR(VLOOKUP(C27, SEC_105000!K5:M10, 2, FALSE), "")</f>
        <v>0</v>
      </c>
      <c r="M27" s="35">
        <f t="shared" si="2"/>
        <v>0</v>
      </c>
      <c r="N27" s="41">
        <v>0</v>
      </c>
      <c r="O27" s="35">
        <f t="shared" si="3"/>
        <v>0</v>
      </c>
      <c r="P27" s="36">
        <f t="shared" si="7"/>
        <v>0</v>
      </c>
      <c r="Q27" s="35">
        <f t="shared" si="8"/>
        <v>0</v>
      </c>
    </row>
    <row r="28" spans="2:17" x14ac:dyDescent="0.35">
      <c r="B28" s="37"/>
      <c r="C28" s="38"/>
      <c r="D28" s="39"/>
      <c r="E28" s="32" t="s">
        <v>24</v>
      </c>
      <c r="F28" s="41">
        <v>0</v>
      </c>
      <c r="G28" s="35">
        <f t="shared" si="0"/>
        <v>0</v>
      </c>
      <c r="H28" s="48"/>
      <c r="I28" s="35">
        <f>$D28*H28</f>
        <v>0</v>
      </c>
      <c r="J28" s="41"/>
      <c r="K28" s="34"/>
      <c r="L28" s="42">
        <f>IFERROR(VLOOKUP(C28, SEC_105000!K6:M11, 2, FALSE), "")</f>
        <v>0</v>
      </c>
      <c r="M28" s="35">
        <f t="shared" si="2"/>
        <v>0</v>
      </c>
      <c r="N28" s="41">
        <v>0</v>
      </c>
      <c r="O28" s="35">
        <f t="shared" si="3"/>
        <v>0</v>
      </c>
      <c r="P28" s="36">
        <f t="shared" si="7"/>
        <v>0</v>
      </c>
      <c r="Q28" s="35">
        <f t="shared" si="8"/>
        <v>0</v>
      </c>
    </row>
    <row r="29" spans="2:17" x14ac:dyDescent="0.35">
      <c r="B29" s="37"/>
      <c r="C29" s="38"/>
      <c r="D29" s="39"/>
      <c r="E29" s="32" t="s">
        <v>24</v>
      </c>
      <c r="F29" s="41">
        <v>0</v>
      </c>
      <c r="G29" s="35">
        <f t="shared" si="0"/>
        <v>0</v>
      </c>
      <c r="H29" s="48"/>
      <c r="I29" s="35">
        <f>$D29*H29</f>
        <v>0</v>
      </c>
      <c r="J29" s="41"/>
      <c r="K29" s="34"/>
      <c r="L29" s="42">
        <f>IFERROR(VLOOKUP(C29, SEC_105000!K7:M12, 2, FALSE), "")</f>
        <v>0</v>
      </c>
      <c r="M29" s="35">
        <f t="shared" si="2"/>
        <v>0</v>
      </c>
      <c r="N29" s="41">
        <v>0</v>
      </c>
      <c r="O29" s="35">
        <f t="shared" si="3"/>
        <v>0</v>
      </c>
      <c r="P29" s="36">
        <f t="shared" si="7"/>
        <v>0</v>
      </c>
      <c r="Q29" s="35">
        <f t="shared" si="8"/>
        <v>0</v>
      </c>
    </row>
    <row r="30" spans="2:17" x14ac:dyDescent="0.35">
      <c r="B30" s="37"/>
      <c r="C30" s="30" t="s">
        <v>21422</v>
      </c>
      <c r="D30" s="39"/>
      <c r="E30" s="32"/>
      <c r="F30" s="41"/>
      <c r="G30" s="35"/>
      <c r="H30" s="48"/>
      <c r="I30" s="35"/>
      <c r="J30" s="41"/>
      <c r="K30" s="34"/>
      <c r="L30" s="42"/>
      <c r="M30" s="35"/>
      <c r="N30" s="41">
        <v>0</v>
      </c>
      <c r="O30" s="35">
        <f t="shared" si="3"/>
        <v>0</v>
      </c>
      <c r="P30" s="36">
        <f t="shared" si="7"/>
        <v>0</v>
      </c>
      <c r="Q30" s="35">
        <f t="shared" si="8"/>
        <v>0</v>
      </c>
    </row>
    <row r="31" spans="2:17" x14ac:dyDescent="0.35">
      <c r="B31" s="37"/>
      <c r="C31" s="38"/>
      <c r="D31" s="39"/>
      <c r="E31" s="32" t="s">
        <v>24</v>
      </c>
      <c r="F31" s="41"/>
      <c r="G31" s="35"/>
      <c r="H31" s="48"/>
      <c r="I31" s="35"/>
      <c r="J31" s="41"/>
      <c r="K31" s="34"/>
      <c r="L31" s="42"/>
      <c r="M31" s="35"/>
      <c r="N31" s="41" t="str">
        <f>IFERROR(VLOOKUP(C31, SEC_105000!N3:O8, 2, FALSE), "")</f>
        <v/>
      </c>
      <c r="O31" s="35" t="str">
        <f>IF(AND(ISNUMBER(D31), ISNUMBER(N31)), D31 * N31, "")</f>
        <v/>
      </c>
      <c r="P31" s="36">
        <f>IF(ISNUMBER(F31), F31, 0) + IF(ISNUMBER(H31), H31 * (1 + $I$4), 0) + IF(AND(ISNUMBER(L31), ISNUMBER(J31), J31&lt;&gt;0), L31 / J31, 0) + IF(ISNUMBER(N31), N31, 0)</f>
        <v>0</v>
      </c>
      <c r="Q31" s="35">
        <f t="shared" si="8"/>
        <v>0</v>
      </c>
    </row>
    <row r="32" spans="2:17" x14ac:dyDescent="0.35">
      <c r="B32" s="37"/>
      <c r="C32" s="38"/>
      <c r="D32" s="39"/>
      <c r="E32" s="32" t="s">
        <v>24</v>
      </c>
      <c r="F32" s="41"/>
      <c r="G32" s="35"/>
      <c r="H32" s="48"/>
      <c r="I32" s="35"/>
      <c r="J32" s="41"/>
      <c r="K32" s="34"/>
      <c r="L32" s="42"/>
      <c r="M32" s="35"/>
      <c r="N32" s="41" t="str">
        <f>IFERROR(VLOOKUP(C32, SEC_105000!N4:O9, 2, FALSE), "")</f>
        <v/>
      </c>
      <c r="O32" s="35" t="str">
        <f>IF(AND(ISNUMBER(D32), ISNUMBER(N32)), D32 * N32, "")</f>
        <v/>
      </c>
      <c r="P32" s="36">
        <f>IF(ISNUMBER(F32), F32, 0) + IF(ISNUMBER(H32), H32 * (1 + $I$4), 0) + IF(AND(ISNUMBER(L32), ISNUMBER(J32), J32&lt;&gt;0), L32 / J32, 0) + IF(ISNUMBER(N32), N32, 0)</f>
        <v>0</v>
      </c>
      <c r="Q32" s="35">
        <f t="shared" si="8"/>
        <v>0</v>
      </c>
    </row>
    <row r="33" spans="2:17" x14ac:dyDescent="0.35">
      <c r="B33" s="37"/>
      <c r="C33" s="38"/>
      <c r="D33" s="39"/>
      <c r="E33" s="32" t="s">
        <v>24</v>
      </c>
      <c r="F33" s="41"/>
      <c r="G33" s="35"/>
      <c r="H33" s="48"/>
      <c r="I33" s="35"/>
      <c r="J33" s="41"/>
      <c r="K33" s="34"/>
      <c r="L33" s="42"/>
      <c r="M33" s="35"/>
      <c r="N33" s="41" t="str">
        <f>IFERROR(VLOOKUP(C33, SEC_105000!N5:O10, 2, FALSE), "")</f>
        <v/>
      </c>
      <c r="O33" s="35" t="str">
        <f>IF(AND(ISNUMBER(D33), ISNUMBER(N33)), D33 * N33, "")</f>
        <v/>
      </c>
      <c r="P33" s="36">
        <f>IF(ISNUMBER(F33), F33, 0) + IF(ISNUMBER(H33), H33 * (1 + $I$4), 0) + IF(AND(ISNUMBER(L33), ISNUMBER(J33), J33&lt;&gt;0), L33 / J33, 0) + IF(ISNUMBER(N33), N33, 0)</f>
        <v>0</v>
      </c>
      <c r="Q33" s="35">
        <f t="shared" si="8"/>
        <v>0</v>
      </c>
    </row>
    <row r="34" spans="2:17" x14ac:dyDescent="0.35">
      <c r="B34" s="37"/>
      <c r="C34" s="38"/>
      <c r="D34" s="39"/>
      <c r="E34" s="32" t="s">
        <v>24</v>
      </c>
      <c r="F34" s="41"/>
      <c r="G34" s="35"/>
      <c r="H34" s="48"/>
      <c r="I34" s="35"/>
      <c r="J34" s="41"/>
      <c r="K34" s="34"/>
      <c r="L34" s="42"/>
      <c r="M34" s="35"/>
      <c r="N34" s="41" t="str">
        <f>IFERROR(VLOOKUP(C34, SEC_105000!N6:O11, 2, FALSE), "")</f>
        <v/>
      </c>
      <c r="O34" s="35" t="str">
        <f>IF(AND(ISNUMBER(D34), ISNUMBER(N34)), D34 * N34, "")</f>
        <v/>
      </c>
      <c r="P34" s="36">
        <f>IF(ISNUMBER(F34), F34, 0) + IF(ISNUMBER(H34), H34 * (1 + $I$4), 0) + IF(AND(ISNUMBER(L34), ISNUMBER(J34), J34&lt;&gt;0), L34 / J34, 0) + IF(ISNUMBER(N34), N34, 0)</f>
        <v>0</v>
      </c>
      <c r="Q34" s="35">
        <f t="shared" si="8"/>
        <v>0</v>
      </c>
    </row>
    <row r="35" spans="2:17" x14ac:dyDescent="0.35">
      <c r="B35" s="37"/>
      <c r="C35" s="38"/>
      <c r="D35" s="39"/>
      <c r="E35" s="32"/>
      <c r="F35" s="41"/>
      <c r="G35" s="35"/>
      <c r="H35" s="48"/>
      <c r="I35" s="35"/>
      <c r="J35" s="41"/>
      <c r="K35" s="34"/>
      <c r="L35" s="42"/>
      <c r="M35" s="35"/>
      <c r="N35" s="41">
        <v>0</v>
      </c>
      <c r="O35" s="35">
        <f>$D35*N35</f>
        <v>0</v>
      </c>
      <c r="P35" s="36">
        <f>F35+(H35*(1+$I$4))+IFERROR(L35/J35,0)+N35</f>
        <v>0</v>
      </c>
      <c r="Q35" s="35">
        <f t="shared" si="8"/>
        <v>0</v>
      </c>
    </row>
    <row r="36" spans="2:17" x14ac:dyDescent="0.35">
      <c r="B36" s="37"/>
      <c r="C36" s="38"/>
      <c r="D36" s="39"/>
      <c r="E36" s="32"/>
      <c r="F36" s="41"/>
      <c r="G36" s="35"/>
      <c r="H36" s="48"/>
      <c r="I36" s="35"/>
      <c r="J36" s="41"/>
      <c r="K36" s="34"/>
      <c r="L36" s="42"/>
      <c r="M36" s="35"/>
      <c r="N36" s="41">
        <v>0</v>
      </c>
      <c r="O36" s="35">
        <f>$D36*N36</f>
        <v>0</v>
      </c>
      <c r="P36" s="36">
        <f>F36+(H36*(1+$I$4))+IFERROR(L36/J36,0)+N36</f>
        <v>0</v>
      </c>
      <c r="Q36" s="35">
        <f t="shared" si="8"/>
        <v>0</v>
      </c>
    </row>
    <row r="37" spans="2:17" ht="15.5" x14ac:dyDescent="0.35">
      <c r="B37" s="37"/>
      <c r="C37" s="105" t="s">
        <v>21431</v>
      </c>
      <c r="D37" s="39"/>
      <c r="E37" s="32"/>
      <c r="F37" s="41"/>
      <c r="G37" s="35"/>
      <c r="H37" s="34"/>
      <c r="I37" s="35"/>
      <c r="J37" s="41"/>
      <c r="K37" s="34"/>
      <c r="L37" s="34"/>
      <c r="M37" s="35"/>
      <c r="N37" s="41"/>
      <c r="O37" s="35"/>
      <c r="P37" s="31"/>
      <c r="Q37" s="35"/>
    </row>
    <row r="38" spans="2:17" x14ac:dyDescent="0.35">
      <c r="B38" s="37"/>
      <c r="C38" s="30" t="s">
        <v>21424</v>
      </c>
      <c r="D38" s="39"/>
      <c r="E38" s="32"/>
      <c r="F38" s="41">
        <v>0</v>
      </c>
      <c r="G38" s="35">
        <f t="shared" ref="G38:G51" si="9">$D38*F38</f>
        <v>0</v>
      </c>
      <c r="H38" s="48"/>
      <c r="I38" s="35">
        <f>$D38*H38</f>
        <v>0</v>
      </c>
      <c r="J38" s="41"/>
      <c r="K38" s="34">
        <f t="shared" ref="K38:K46" si="10">IFERROR($D38/$J38,0)</f>
        <v>0</v>
      </c>
      <c r="L38" s="42"/>
      <c r="M38" s="35">
        <f t="shared" ref="M38:M51" si="11">IFERROR(K38*L38,0)</f>
        <v>0</v>
      </c>
      <c r="N38" s="41">
        <v>0</v>
      </c>
      <c r="O38" s="35">
        <f t="shared" ref="O38:O52" si="12">$D38*N38</f>
        <v>0</v>
      </c>
      <c r="P38" s="36">
        <f>F38+(H38*(1+$I$4))+IFERROR(L38/J38,0)+N38</f>
        <v>0</v>
      </c>
      <c r="Q38" s="35">
        <f>SUM(O38,M38,I38*(1+$I$4),G38)</f>
        <v>0</v>
      </c>
    </row>
    <row r="39" spans="2:17" x14ac:dyDescent="0.35">
      <c r="B39" s="37" t="str">
        <f>IFERROR(VLOOKUP(C39, SEC_105000!$C$206:$G$207, 3, FALSE), "")</f>
        <v/>
      </c>
      <c r="C39" s="38"/>
      <c r="D39" s="39"/>
      <c r="E39" s="32" t="str">
        <f>IFERROR(VLOOKUP(C39, SEC_105000!$C$204:$G$1962, 2, FALSE), "")</f>
        <v/>
      </c>
      <c r="F39" s="41">
        <v>0</v>
      </c>
      <c r="G39" s="35">
        <f t="shared" si="9"/>
        <v>0</v>
      </c>
      <c r="H39" s="48" t="str">
        <f>IFERROR(VLOOKUP(C39, SEC_105000!$C$204:$G$1962, 4, FALSE), "")</f>
        <v/>
      </c>
      <c r="I39" s="35" t="str">
        <f t="shared" ref="I39:I46" si="13">IF(AND(ISNUMBER(D39), ISNUMBER(H39)), D39 * H39, "")</f>
        <v/>
      </c>
      <c r="J39" s="41" t="str">
        <f>IFERROR(VLOOKUP(C39, SEC_105000!$C$204:$G$1962, 5, FALSE), "")</f>
        <v/>
      </c>
      <c r="K39" s="34">
        <f t="shared" si="10"/>
        <v>0</v>
      </c>
      <c r="L39" s="42"/>
      <c r="M39" s="35">
        <f t="shared" si="11"/>
        <v>0</v>
      </c>
      <c r="N39" s="41">
        <v>0</v>
      </c>
      <c r="O39" s="35">
        <f t="shared" si="12"/>
        <v>0</v>
      </c>
      <c r="P39" s="36">
        <f t="shared" ref="P39:P46" si="14">IF(ISNUMBER(F39), F39, 0) + IF(ISNUMBER(H39), H39 * (1 + $I$4), 0) + IF(AND(ISNUMBER(L39), ISNUMBER(J39), J39 &lt;&gt; 0), L39 / J39, 0) + IF(ISNUMBER(N39), N39, 0)</f>
        <v>0</v>
      </c>
      <c r="Q39" s="35">
        <f t="shared" ref="Q39:Q46" si="15">SUM(IF(ISNUMBER(O39), O39, 0), IF(ISNUMBER(M39), M39, 0), IF(ISNUMBER(I39), I39 * (1 + $I$4), 0), IF(ISNUMBER(G39), G39, 0))</f>
        <v>0</v>
      </c>
    </row>
    <row r="40" spans="2:17" x14ac:dyDescent="0.35">
      <c r="B40" s="37" t="str">
        <f>IFERROR(VLOOKUP(C40, SEC_105000!$C$206:$G$207, 3, FALSE), "")</f>
        <v/>
      </c>
      <c r="C40" s="38"/>
      <c r="D40" s="39"/>
      <c r="E40" s="32" t="str">
        <f>IFERROR(VLOOKUP(C40, SEC_105000!$C$204:$G$1962, 2, FALSE), "")</f>
        <v/>
      </c>
      <c r="F40" s="41">
        <v>0</v>
      </c>
      <c r="G40" s="35">
        <f t="shared" si="9"/>
        <v>0</v>
      </c>
      <c r="H40" s="48" t="str">
        <f>IFERROR(VLOOKUP(C40, SEC_105000!$C$204:$G$1962, 4, FALSE), "")</f>
        <v/>
      </c>
      <c r="I40" s="35" t="str">
        <f t="shared" si="13"/>
        <v/>
      </c>
      <c r="J40" s="41" t="str">
        <f>IFERROR(VLOOKUP(C40, SEC_105000!$C$204:$G$1962, 5, FALSE), "")</f>
        <v/>
      </c>
      <c r="K40" s="34">
        <f t="shared" si="10"/>
        <v>0</v>
      </c>
      <c r="L40" s="42"/>
      <c r="M40" s="35">
        <f t="shared" si="11"/>
        <v>0</v>
      </c>
      <c r="N40" s="41">
        <v>0</v>
      </c>
      <c r="O40" s="35">
        <f t="shared" si="12"/>
        <v>0</v>
      </c>
      <c r="P40" s="36">
        <f t="shared" si="14"/>
        <v>0</v>
      </c>
      <c r="Q40" s="35">
        <f t="shared" si="15"/>
        <v>0</v>
      </c>
    </row>
    <row r="41" spans="2:17" x14ac:dyDescent="0.35">
      <c r="B41" s="37" t="str">
        <f>IFERROR(VLOOKUP(C41, SEC_105000!$C$206:$G$207, 3, FALSE), "")</f>
        <v/>
      </c>
      <c r="C41" s="38"/>
      <c r="D41" s="39"/>
      <c r="E41" s="32" t="str">
        <f>IFERROR(VLOOKUP(C41, SEC_105000!$C$204:$G$1962, 2, FALSE), "")</f>
        <v/>
      </c>
      <c r="F41" s="41">
        <v>0</v>
      </c>
      <c r="G41" s="35">
        <f t="shared" si="9"/>
        <v>0</v>
      </c>
      <c r="H41" s="48" t="str">
        <f>IFERROR(VLOOKUP(C41, SEC_105000!$C$204:$G$1962, 4, FALSE), "")</f>
        <v/>
      </c>
      <c r="I41" s="35" t="str">
        <f t="shared" si="13"/>
        <v/>
      </c>
      <c r="J41" s="41" t="str">
        <f>IFERROR(VLOOKUP(C41, SEC_105000!$C$204:$G$1962, 5, FALSE), "")</f>
        <v/>
      </c>
      <c r="K41" s="34">
        <f t="shared" si="10"/>
        <v>0</v>
      </c>
      <c r="L41" s="42"/>
      <c r="M41" s="35">
        <f t="shared" si="11"/>
        <v>0</v>
      </c>
      <c r="N41" s="41">
        <v>0</v>
      </c>
      <c r="O41" s="35">
        <f t="shared" si="12"/>
        <v>0</v>
      </c>
      <c r="P41" s="36">
        <f t="shared" si="14"/>
        <v>0</v>
      </c>
      <c r="Q41" s="35">
        <f t="shared" si="15"/>
        <v>0</v>
      </c>
    </row>
    <row r="42" spans="2:17" x14ac:dyDescent="0.35">
      <c r="B42" s="37" t="str">
        <f>IFERROR(VLOOKUP(C42, SEC_105000!$C$206:$G$207, 3, FALSE), "")</f>
        <v/>
      </c>
      <c r="C42" s="38"/>
      <c r="D42" s="39"/>
      <c r="E42" s="32" t="str">
        <f>IFERROR(VLOOKUP(C42, SEC_105000!$C$204:$G$1962, 2, FALSE), "")</f>
        <v/>
      </c>
      <c r="F42" s="41">
        <v>0</v>
      </c>
      <c r="G42" s="35">
        <f t="shared" si="9"/>
        <v>0</v>
      </c>
      <c r="H42" s="48" t="str">
        <f>IFERROR(VLOOKUP(C42, SEC_105000!$C$204:$G$1962, 4, FALSE), "")</f>
        <v/>
      </c>
      <c r="I42" s="35" t="str">
        <f t="shared" si="13"/>
        <v/>
      </c>
      <c r="J42" s="41" t="str">
        <f>IFERROR(VLOOKUP(C42, SEC_105000!$C$204:$G$1962, 5, FALSE), "")</f>
        <v/>
      </c>
      <c r="K42" s="34">
        <f t="shared" si="10"/>
        <v>0</v>
      </c>
      <c r="L42" s="42"/>
      <c r="M42" s="35">
        <f t="shared" si="11"/>
        <v>0</v>
      </c>
      <c r="N42" s="41">
        <v>0</v>
      </c>
      <c r="O42" s="35">
        <f t="shared" si="12"/>
        <v>0</v>
      </c>
      <c r="P42" s="36">
        <f t="shared" si="14"/>
        <v>0</v>
      </c>
      <c r="Q42" s="35">
        <f t="shared" si="15"/>
        <v>0</v>
      </c>
    </row>
    <row r="43" spans="2:17" x14ac:dyDescent="0.35">
      <c r="B43" s="37" t="str">
        <f>IFERROR(VLOOKUP(C43, SEC_105000!$C$206:$G$207, 3, FALSE), "")</f>
        <v/>
      </c>
      <c r="C43" s="38"/>
      <c r="D43" s="39"/>
      <c r="E43" s="32" t="str">
        <f>IFERROR(VLOOKUP(C43, SEC_105000!$C$204:$G$1962, 2, FALSE), "")</f>
        <v/>
      </c>
      <c r="F43" s="41">
        <v>0</v>
      </c>
      <c r="G43" s="35">
        <f t="shared" si="9"/>
        <v>0</v>
      </c>
      <c r="H43" s="48" t="str">
        <f>IFERROR(VLOOKUP(C43, SEC_105000!$C$204:$G$1962, 4, FALSE), "")</f>
        <v/>
      </c>
      <c r="I43" s="35" t="str">
        <f t="shared" si="13"/>
        <v/>
      </c>
      <c r="J43" s="41" t="str">
        <f>IFERROR(VLOOKUP(C43, SEC_105000!$C$204:$G$1962, 5, FALSE), "")</f>
        <v/>
      </c>
      <c r="K43" s="34">
        <f t="shared" si="10"/>
        <v>0</v>
      </c>
      <c r="L43" s="42"/>
      <c r="M43" s="35">
        <f t="shared" si="11"/>
        <v>0</v>
      </c>
      <c r="N43" s="41">
        <v>0</v>
      </c>
      <c r="O43" s="35">
        <f t="shared" si="12"/>
        <v>0</v>
      </c>
      <c r="P43" s="36">
        <f t="shared" si="14"/>
        <v>0</v>
      </c>
      <c r="Q43" s="35">
        <f t="shared" si="15"/>
        <v>0</v>
      </c>
    </row>
    <row r="44" spans="2:17" x14ac:dyDescent="0.35">
      <c r="B44" s="37" t="str">
        <f>IFERROR(VLOOKUP(C44, SEC_105000!$C$206:$G$207, 3, FALSE), "")</f>
        <v/>
      </c>
      <c r="C44" s="38"/>
      <c r="D44" s="39"/>
      <c r="E44" s="32" t="str">
        <f>IFERROR(VLOOKUP(C44, SEC_105000!$C$204:$G$1962, 2, FALSE), "")</f>
        <v/>
      </c>
      <c r="F44" s="41">
        <v>0</v>
      </c>
      <c r="G44" s="35">
        <f t="shared" si="9"/>
        <v>0</v>
      </c>
      <c r="H44" s="48" t="str">
        <f>IFERROR(VLOOKUP(C44, SEC_105000!$C$204:$G$1962, 4, FALSE), "")</f>
        <v/>
      </c>
      <c r="I44" s="35" t="str">
        <f t="shared" si="13"/>
        <v/>
      </c>
      <c r="J44" s="41" t="str">
        <f>IFERROR(VLOOKUP(C44, SEC_105000!$C$204:$G$1962, 5, FALSE), "")</f>
        <v/>
      </c>
      <c r="K44" s="34">
        <f t="shared" si="10"/>
        <v>0</v>
      </c>
      <c r="L44" s="42"/>
      <c r="M44" s="35">
        <f t="shared" si="11"/>
        <v>0</v>
      </c>
      <c r="N44" s="41">
        <v>0</v>
      </c>
      <c r="O44" s="35">
        <f t="shared" si="12"/>
        <v>0</v>
      </c>
      <c r="P44" s="36">
        <f t="shared" si="14"/>
        <v>0</v>
      </c>
      <c r="Q44" s="35">
        <f t="shared" si="15"/>
        <v>0</v>
      </c>
    </row>
    <row r="45" spans="2:17" x14ac:dyDescent="0.35">
      <c r="B45" s="37" t="str">
        <f>IFERROR(VLOOKUP(C45, SEC_105000!$C$206:$G$207, 3, FALSE), "")</f>
        <v/>
      </c>
      <c r="C45" s="38"/>
      <c r="D45" s="39"/>
      <c r="E45" s="32" t="str">
        <f>IFERROR(VLOOKUP(C45, SEC_105000!$C$204:$G$1962, 2, FALSE), "")</f>
        <v/>
      </c>
      <c r="F45" s="41">
        <v>0</v>
      </c>
      <c r="G45" s="35">
        <f t="shared" si="9"/>
        <v>0</v>
      </c>
      <c r="H45" s="48" t="str">
        <f>IFERROR(VLOOKUP(C45, SEC_105000!$C$204:$G$1962, 4, FALSE), "")</f>
        <v/>
      </c>
      <c r="I45" s="35" t="str">
        <f t="shared" si="13"/>
        <v/>
      </c>
      <c r="J45" s="41" t="str">
        <f>IFERROR(VLOOKUP(C45, SEC_105000!$C$204:$G$1962, 5, FALSE), "")</f>
        <v/>
      </c>
      <c r="K45" s="34">
        <f t="shared" si="10"/>
        <v>0</v>
      </c>
      <c r="L45" s="42"/>
      <c r="M45" s="35">
        <f t="shared" si="11"/>
        <v>0</v>
      </c>
      <c r="N45" s="41">
        <v>0</v>
      </c>
      <c r="O45" s="35">
        <f t="shared" si="12"/>
        <v>0</v>
      </c>
      <c r="P45" s="36">
        <f t="shared" si="14"/>
        <v>0</v>
      </c>
      <c r="Q45" s="35">
        <f t="shared" si="15"/>
        <v>0</v>
      </c>
    </row>
    <row r="46" spans="2:17" x14ac:dyDescent="0.35">
      <c r="B46" s="37" t="str">
        <f>IFERROR(VLOOKUP(C46, SEC_105000!$C$206:$G$207, 3, FALSE), "")</f>
        <v/>
      </c>
      <c r="C46" s="38"/>
      <c r="D46" s="39"/>
      <c r="E46" s="32" t="str">
        <f>IFERROR(VLOOKUP(C46, SEC_105000!$C$204:$G$1962, 2, FALSE), "")</f>
        <v/>
      </c>
      <c r="F46" s="41">
        <v>0</v>
      </c>
      <c r="G46" s="35">
        <f t="shared" si="9"/>
        <v>0</v>
      </c>
      <c r="H46" s="48" t="str">
        <f>IFERROR(VLOOKUP(C46, SEC_105000!$C$204:$G$1962, 4, FALSE), "")</f>
        <v/>
      </c>
      <c r="I46" s="35" t="str">
        <f t="shared" si="13"/>
        <v/>
      </c>
      <c r="J46" s="41" t="str">
        <f>IFERROR(VLOOKUP(C46, SEC_105000!$C$204:$G$1962, 5, FALSE), "")</f>
        <v/>
      </c>
      <c r="K46" s="34">
        <f t="shared" si="10"/>
        <v>0</v>
      </c>
      <c r="L46" s="42"/>
      <c r="M46" s="35">
        <f t="shared" si="11"/>
        <v>0</v>
      </c>
      <c r="N46" s="41">
        <v>0</v>
      </c>
      <c r="O46" s="35">
        <f t="shared" si="12"/>
        <v>0</v>
      </c>
      <c r="P46" s="36">
        <f t="shared" si="14"/>
        <v>0</v>
      </c>
      <c r="Q46" s="35">
        <f t="shared" si="15"/>
        <v>0</v>
      </c>
    </row>
    <row r="47" spans="2:17" x14ac:dyDescent="0.35">
      <c r="B47" s="37"/>
      <c r="C47" s="30" t="s">
        <v>21423</v>
      </c>
      <c r="D47" s="39"/>
      <c r="E47" s="32"/>
      <c r="F47" s="41">
        <v>0</v>
      </c>
      <c r="G47" s="35">
        <f t="shared" si="9"/>
        <v>0</v>
      </c>
      <c r="H47" s="48"/>
      <c r="I47" s="35">
        <f>$D47*H47</f>
        <v>0</v>
      </c>
      <c r="J47" s="41"/>
      <c r="K47" s="34"/>
      <c r="L47" s="42"/>
      <c r="M47" s="35">
        <f t="shared" si="11"/>
        <v>0</v>
      </c>
      <c r="N47" s="41">
        <v>0</v>
      </c>
      <c r="O47" s="35">
        <f t="shared" si="12"/>
        <v>0</v>
      </c>
      <c r="P47" s="36">
        <f t="shared" ref="P47:P52" si="16">F47+(H47*(1+$I$4))+IFERROR(L47/J47,0)+N47</f>
        <v>0</v>
      </c>
      <c r="Q47" s="35">
        <f t="shared" ref="Q47:Q58" si="17">SUM(O47,M47,I47*(1+$I$4),G47)</f>
        <v>0</v>
      </c>
    </row>
    <row r="48" spans="2:17" x14ac:dyDescent="0.35">
      <c r="B48" s="37"/>
      <c r="C48" s="38"/>
      <c r="D48" s="39"/>
      <c r="E48" s="32" t="s">
        <v>24</v>
      </c>
      <c r="F48" s="41">
        <v>0</v>
      </c>
      <c r="G48" s="35">
        <f t="shared" si="9"/>
        <v>0</v>
      </c>
      <c r="H48" s="48"/>
      <c r="I48" s="35">
        <f>$D48*H48</f>
        <v>0</v>
      </c>
      <c r="J48" s="41"/>
      <c r="K48" s="34"/>
      <c r="L48" s="42" t="str">
        <f>IFERROR(VLOOKUP(C48, SEC_105000!K26:M31, 2, FALSE), "")</f>
        <v/>
      </c>
      <c r="M48" s="35">
        <f t="shared" si="11"/>
        <v>0</v>
      </c>
      <c r="N48" s="41">
        <v>0</v>
      </c>
      <c r="O48" s="35">
        <f t="shared" si="12"/>
        <v>0</v>
      </c>
      <c r="P48" s="36">
        <f t="shared" si="16"/>
        <v>0</v>
      </c>
      <c r="Q48" s="35">
        <f t="shared" si="17"/>
        <v>0</v>
      </c>
    </row>
    <row r="49" spans="2:17" x14ac:dyDescent="0.35">
      <c r="B49" s="37"/>
      <c r="C49" s="38"/>
      <c r="D49" s="39"/>
      <c r="E49" s="32" t="s">
        <v>24</v>
      </c>
      <c r="F49" s="41">
        <v>0</v>
      </c>
      <c r="G49" s="35">
        <f t="shared" si="9"/>
        <v>0</v>
      </c>
      <c r="H49" s="48"/>
      <c r="I49" s="35">
        <f>$D49*H49</f>
        <v>0</v>
      </c>
      <c r="J49" s="41"/>
      <c r="K49" s="34"/>
      <c r="L49" s="42" t="str">
        <f>IFERROR(VLOOKUP(C49, SEC_105000!K27:M32, 2, FALSE), "")</f>
        <v/>
      </c>
      <c r="M49" s="35">
        <f t="shared" si="11"/>
        <v>0</v>
      </c>
      <c r="N49" s="41">
        <v>0</v>
      </c>
      <c r="O49" s="35">
        <f t="shared" si="12"/>
        <v>0</v>
      </c>
      <c r="P49" s="36">
        <f t="shared" si="16"/>
        <v>0</v>
      </c>
      <c r="Q49" s="35">
        <f t="shared" si="17"/>
        <v>0</v>
      </c>
    </row>
    <row r="50" spans="2:17" x14ac:dyDescent="0.35">
      <c r="B50" s="37"/>
      <c r="C50" s="38"/>
      <c r="D50" s="39"/>
      <c r="E50" s="32" t="s">
        <v>24</v>
      </c>
      <c r="F50" s="41">
        <v>0</v>
      </c>
      <c r="G50" s="35">
        <f t="shared" si="9"/>
        <v>0</v>
      </c>
      <c r="H50" s="48"/>
      <c r="I50" s="35">
        <f>$D50*H50</f>
        <v>0</v>
      </c>
      <c r="J50" s="41"/>
      <c r="K50" s="34"/>
      <c r="L50" s="42" t="str">
        <f>IFERROR(VLOOKUP(C50, SEC_105000!K28:M33, 2, FALSE), "")</f>
        <v/>
      </c>
      <c r="M50" s="35">
        <f t="shared" si="11"/>
        <v>0</v>
      </c>
      <c r="N50" s="41">
        <v>0</v>
      </c>
      <c r="O50" s="35">
        <f t="shared" si="12"/>
        <v>0</v>
      </c>
      <c r="P50" s="36">
        <f t="shared" si="16"/>
        <v>0</v>
      </c>
      <c r="Q50" s="35">
        <f t="shared" si="17"/>
        <v>0</v>
      </c>
    </row>
    <row r="51" spans="2:17" x14ac:dyDescent="0.35">
      <c r="B51" s="37"/>
      <c r="C51" s="38"/>
      <c r="D51" s="39"/>
      <c r="E51" s="32" t="s">
        <v>24</v>
      </c>
      <c r="F51" s="41">
        <v>0</v>
      </c>
      <c r="G51" s="35">
        <f t="shared" si="9"/>
        <v>0</v>
      </c>
      <c r="H51" s="48"/>
      <c r="I51" s="35">
        <f>$D51*H51</f>
        <v>0</v>
      </c>
      <c r="J51" s="41"/>
      <c r="K51" s="34"/>
      <c r="L51" s="42" t="str">
        <f>IFERROR(VLOOKUP(C51, SEC_105000!K29:M34, 2, FALSE), "")</f>
        <v/>
      </c>
      <c r="M51" s="35">
        <f t="shared" si="11"/>
        <v>0</v>
      </c>
      <c r="N51" s="41">
        <v>0</v>
      </c>
      <c r="O51" s="35">
        <f t="shared" si="12"/>
        <v>0</v>
      </c>
      <c r="P51" s="36">
        <f t="shared" si="16"/>
        <v>0</v>
      </c>
      <c r="Q51" s="35">
        <f t="shared" si="17"/>
        <v>0</v>
      </c>
    </row>
    <row r="52" spans="2:17" x14ac:dyDescent="0.35">
      <c r="B52" s="37"/>
      <c r="C52" s="30" t="s">
        <v>21422</v>
      </c>
      <c r="D52" s="39"/>
      <c r="E52" s="32"/>
      <c r="F52" s="41"/>
      <c r="G52" s="35"/>
      <c r="H52" s="48"/>
      <c r="I52" s="35"/>
      <c r="J52" s="41"/>
      <c r="K52" s="34"/>
      <c r="L52" s="42"/>
      <c r="M52" s="35"/>
      <c r="N52" s="41">
        <v>0</v>
      </c>
      <c r="O52" s="35">
        <f t="shared" si="12"/>
        <v>0</v>
      </c>
      <c r="P52" s="36">
        <f t="shared" si="16"/>
        <v>0</v>
      </c>
      <c r="Q52" s="35">
        <f t="shared" si="17"/>
        <v>0</v>
      </c>
    </row>
    <row r="53" spans="2:17" x14ac:dyDescent="0.35">
      <c r="B53" s="37"/>
      <c r="C53" s="38"/>
      <c r="D53" s="39"/>
      <c r="E53" s="32" t="s">
        <v>24</v>
      </c>
      <c r="F53" s="41"/>
      <c r="G53" s="35"/>
      <c r="H53" s="48"/>
      <c r="I53" s="35"/>
      <c r="J53" s="41"/>
      <c r="K53" s="34"/>
      <c r="L53" s="42"/>
      <c r="M53" s="35"/>
      <c r="N53" s="41">
        <f>IFERROR(VLOOKUP(C53, SEC_105000!N25:O30, 2, FALSE), "")</f>
        <v>0</v>
      </c>
      <c r="O53" s="35" t="str">
        <f>IF(AND(ISNUMBER(D53), ISNUMBER(N53)), D53 * N53, "")</f>
        <v/>
      </c>
      <c r="P53" s="36">
        <f>IF(ISNUMBER(F53), F53, 0) + IF(ISNUMBER(H53), H53 * (1 + $I$4), 0) + IF(AND(ISNUMBER(L53), ISNUMBER(J53), J53&lt;&gt;0), L53 / J53, 0) + IF(ISNUMBER(N53), N53, 0)</f>
        <v>0</v>
      </c>
      <c r="Q53" s="35">
        <f t="shared" si="17"/>
        <v>0</v>
      </c>
    </row>
    <row r="54" spans="2:17" x14ac:dyDescent="0.35">
      <c r="B54" s="37"/>
      <c r="C54" s="38"/>
      <c r="D54" s="39"/>
      <c r="E54" s="32" t="s">
        <v>24</v>
      </c>
      <c r="F54" s="41"/>
      <c r="G54" s="35"/>
      <c r="H54" s="48"/>
      <c r="I54" s="35"/>
      <c r="J54" s="41"/>
      <c r="K54" s="34"/>
      <c r="L54" s="42"/>
      <c r="M54" s="35"/>
      <c r="N54" s="41">
        <f>IFERROR(VLOOKUP(C54, SEC_105000!N26:O31, 2, FALSE), "")</f>
        <v>0</v>
      </c>
      <c r="O54" s="35" t="str">
        <f>IF(AND(ISNUMBER(D54), ISNUMBER(N54)), D54 * N54, "")</f>
        <v/>
      </c>
      <c r="P54" s="36">
        <f>IF(ISNUMBER(F54), F54, 0) + IF(ISNUMBER(H54), H54 * (1 + $I$4), 0) + IF(AND(ISNUMBER(L54), ISNUMBER(J54), J54&lt;&gt;0), L54 / J54, 0) + IF(ISNUMBER(N54), N54, 0)</f>
        <v>0</v>
      </c>
      <c r="Q54" s="35">
        <f t="shared" si="17"/>
        <v>0</v>
      </c>
    </row>
    <row r="55" spans="2:17" x14ac:dyDescent="0.35">
      <c r="B55" s="37"/>
      <c r="C55" s="38"/>
      <c r="D55" s="39"/>
      <c r="E55" s="32" t="s">
        <v>24</v>
      </c>
      <c r="F55" s="41"/>
      <c r="G55" s="35"/>
      <c r="H55" s="48"/>
      <c r="I55" s="35"/>
      <c r="J55" s="41"/>
      <c r="K55" s="34"/>
      <c r="L55" s="42"/>
      <c r="M55" s="35"/>
      <c r="N55" s="41">
        <f>IFERROR(VLOOKUP(C55, SEC_105000!N27:O32, 2, FALSE), "")</f>
        <v>0</v>
      </c>
      <c r="O55" s="35" t="str">
        <f>IF(AND(ISNUMBER(D55), ISNUMBER(N55)), D55 * N55, "")</f>
        <v/>
      </c>
      <c r="P55" s="36">
        <f>IF(ISNUMBER(F55), F55, 0) + IF(ISNUMBER(H55), H55 * (1 + $I$4), 0) + IF(AND(ISNUMBER(L55), ISNUMBER(J55), J55&lt;&gt;0), L55 / J55, 0) + IF(ISNUMBER(N55), N55, 0)</f>
        <v>0</v>
      </c>
      <c r="Q55" s="35">
        <f t="shared" si="17"/>
        <v>0</v>
      </c>
    </row>
    <row r="56" spans="2:17" x14ac:dyDescent="0.35">
      <c r="B56" s="37"/>
      <c r="C56" s="38"/>
      <c r="D56" s="39"/>
      <c r="E56" s="32" t="s">
        <v>24</v>
      </c>
      <c r="F56" s="41"/>
      <c r="G56" s="35"/>
      <c r="H56" s="48"/>
      <c r="I56" s="35"/>
      <c r="J56" s="41"/>
      <c r="K56" s="34"/>
      <c r="L56" s="42"/>
      <c r="M56" s="35"/>
      <c r="N56" s="41">
        <f>IFERROR(VLOOKUP(C56, SEC_105000!N28:O33, 2, FALSE), "")</f>
        <v>0</v>
      </c>
      <c r="O56" s="35" t="str">
        <f>IF(AND(ISNUMBER(D56), ISNUMBER(N56)), D56 * N56, "")</f>
        <v/>
      </c>
      <c r="P56" s="36">
        <f>IF(ISNUMBER(F56), F56, 0) + IF(ISNUMBER(H56), H56 * (1 + $I$4), 0) + IF(AND(ISNUMBER(L56), ISNUMBER(J56), J56&lt;&gt;0), L56 / J56, 0) + IF(ISNUMBER(N56), N56, 0)</f>
        <v>0</v>
      </c>
      <c r="Q56" s="35">
        <f t="shared" si="17"/>
        <v>0</v>
      </c>
    </row>
    <row r="57" spans="2:17" x14ac:dyDescent="0.35">
      <c r="B57" s="37"/>
      <c r="C57" s="38"/>
      <c r="D57" s="39"/>
      <c r="E57" s="32"/>
      <c r="F57" s="41"/>
      <c r="G57" s="35"/>
      <c r="H57" s="48"/>
      <c r="I57" s="35"/>
      <c r="J57" s="41"/>
      <c r="K57" s="34"/>
      <c r="L57" s="42"/>
      <c r="M57" s="35"/>
      <c r="N57" s="41">
        <v>0</v>
      </c>
      <c r="O57" s="35">
        <f>$D57*N57</f>
        <v>0</v>
      </c>
      <c r="P57" s="36">
        <f>F57+(H57*(1+$I$4))+IFERROR(L57/J57,0)+N57</f>
        <v>0</v>
      </c>
      <c r="Q57" s="35">
        <f t="shared" si="17"/>
        <v>0</v>
      </c>
    </row>
    <row r="58" spans="2:17" x14ac:dyDescent="0.35">
      <c r="B58" s="37"/>
      <c r="C58" s="38"/>
      <c r="D58" s="39"/>
      <c r="E58" s="32"/>
      <c r="F58" s="41"/>
      <c r="G58" s="35"/>
      <c r="H58" s="48"/>
      <c r="I58" s="35"/>
      <c r="J58" s="41"/>
      <c r="K58" s="34"/>
      <c r="L58" s="42"/>
      <c r="M58" s="35"/>
      <c r="N58" s="41">
        <v>0</v>
      </c>
      <c r="O58" s="35">
        <f>$D58*N58</f>
        <v>0</v>
      </c>
      <c r="P58" s="36">
        <f>F58+(H58*(1+$I$4))+IFERROR(L58/J58,0)+N58</f>
        <v>0</v>
      </c>
      <c r="Q58" s="35">
        <f t="shared" si="17"/>
        <v>0</v>
      </c>
    </row>
    <row r="59" spans="2:17" ht="15.5" x14ac:dyDescent="0.35">
      <c r="B59" s="37"/>
      <c r="C59" s="105" t="s">
        <v>21431</v>
      </c>
      <c r="D59" s="39"/>
      <c r="E59" s="32"/>
      <c r="F59" s="41"/>
      <c r="G59" s="35"/>
      <c r="H59" s="34"/>
      <c r="I59" s="35"/>
      <c r="J59" s="41"/>
      <c r="K59" s="34"/>
      <c r="L59" s="34"/>
      <c r="M59" s="35"/>
      <c r="N59" s="41"/>
      <c r="O59" s="35"/>
      <c r="P59" s="31"/>
      <c r="Q59" s="35"/>
    </row>
    <row r="60" spans="2:17" x14ac:dyDescent="0.35">
      <c r="B60" s="37" t="str">
        <f>IFERROR(VLOOKUP(C60, SEC_105000!$C$206:$G$207, 3, FALSE), "")</f>
        <v/>
      </c>
      <c r="C60" s="30" t="s">
        <v>21424</v>
      </c>
      <c r="D60" s="39"/>
      <c r="E60" s="32"/>
      <c r="F60" s="41">
        <v>0</v>
      </c>
      <c r="G60" s="35">
        <f t="shared" ref="G60:G73" si="18">$D60*F60</f>
        <v>0</v>
      </c>
      <c r="H60" s="48"/>
      <c r="I60" s="35">
        <f>$D60*H60</f>
        <v>0</v>
      </c>
      <c r="J60" s="41"/>
      <c r="K60" s="34">
        <f t="shared" ref="K60:K68" si="19">IFERROR($D60/$J60,0)</f>
        <v>0</v>
      </c>
      <c r="L60" s="42"/>
      <c r="M60" s="35">
        <f t="shared" ref="M60:M73" si="20">IFERROR(K60*L60,0)</f>
        <v>0</v>
      </c>
      <c r="N60" s="41">
        <v>0</v>
      </c>
      <c r="O60" s="35">
        <f t="shared" ref="O60:O74" si="21">$D60*N60</f>
        <v>0</v>
      </c>
      <c r="P60" s="36">
        <f>F60+(H60*(1+$I$4))+IFERROR(L60/J60,0)+N60</f>
        <v>0</v>
      </c>
      <c r="Q60" s="35">
        <f>SUM(O60,M60,I60*(1+$I$4),G60)</f>
        <v>0</v>
      </c>
    </row>
    <row r="61" spans="2:17" x14ac:dyDescent="0.35">
      <c r="B61" s="37" t="str">
        <f>IFERROR(VLOOKUP(C61, SEC_105000!$C$206:$G$207, 3, FALSE), "")</f>
        <v/>
      </c>
      <c r="C61" s="38"/>
      <c r="D61" s="39"/>
      <c r="E61" s="32" t="str">
        <f>IFERROR(VLOOKUP(C61, SEC_105000!$C$204:$G$1962, 2, FALSE), "")</f>
        <v/>
      </c>
      <c r="F61" s="41">
        <v>0</v>
      </c>
      <c r="G61" s="35">
        <f t="shared" si="18"/>
        <v>0</v>
      </c>
      <c r="H61" s="48" t="str">
        <f>IFERROR(VLOOKUP(C61, SEC_105000!$C$204:$G$1962, 4, FALSE), "")</f>
        <v/>
      </c>
      <c r="I61" s="35" t="str">
        <f t="shared" ref="I61:I68" si="22">IF(AND(ISNUMBER(D61), ISNUMBER(H61)), D61 * H61, "")</f>
        <v/>
      </c>
      <c r="J61" s="41" t="str">
        <f>IFERROR(VLOOKUP(C61, SEC_105000!$C$204:$G$1962, 5, FALSE), "")</f>
        <v/>
      </c>
      <c r="K61" s="34">
        <f t="shared" si="19"/>
        <v>0</v>
      </c>
      <c r="L61" s="42"/>
      <c r="M61" s="35">
        <f t="shared" si="20"/>
        <v>0</v>
      </c>
      <c r="N61" s="41">
        <v>0</v>
      </c>
      <c r="O61" s="35">
        <f t="shared" si="21"/>
        <v>0</v>
      </c>
      <c r="P61" s="36">
        <f t="shared" ref="P61:P68" si="23">IF(ISNUMBER(F61), F61, 0) + IF(ISNUMBER(H61), H61 * (1 + $I$4), 0) + IF(AND(ISNUMBER(L61), ISNUMBER(J61), J61 &lt;&gt; 0), L61 / J61, 0) + IF(ISNUMBER(N61), N61, 0)</f>
        <v>0</v>
      </c>
      <c r="Q61" s="35">
        <f t="shared" ref="Q61:Q68" si="24">SUM(IF(ISNUMBER(O61), O61, 0), IF(ISNUMBER(M61), M61, 0), IF(ISNUMBER(I61), I61 * (1 + $I$4), 0), IF(ISNUMBER(G61), G61, 0))</f>
        <v>0</v>
      </c>
    </row>
    <row r="62" spans="2:17" x14ac:dyDescent="0.35">
      <c r="B62" s="37" t="str">
        <f>IFERROR(VLOOKUP(C62, SEC_105000!$C$206:$G$207, 3, FALSE), "")</f>
        <v/>
      </c>
      <c r="C62" s="38"/>
      <c r="D62" s="39"/>
      <c r="E62" s="32" t="str">
        <f>IFERROR(VLOOKUP(C62, SEC_105000!$C$204:$G$1962, 2, FALSE), "")</f>
        <v/>
      </c>
      <c r="F62" s="41">
        <v>0</v>
      </c>
      <c r="G62" s="35">
        <f t="shared" si="18"/>
        <v>0</v>
      </c>
      <c r="H62" s="48" t="str">
        <f>IFERROR(VLOOKUP(C62, SEC_105000!$C$204:$G$1962, 4, FALSE), "")</f>
        <v/>
      </c>
      <c r="I62" s="35" t="str">
        <f t="shared" si="22"/>
        <v/>
      </c>
      <c r="J62" s="41" t="str">
        <f>IFERROR(VLOOKUP(C62, SEC_105000!$C$204:$G$1962, 5, FALSE), "")</f>
        <v/>
      </c>
      <c r="K62" s="34">
        <f t="shared" si="19"/>
        <v>0</v>
      </c>
      <c r="L62" s="42"/>
      <c r="M62" s="35">
        <f t="shared" si="20"/>
        <v>0</v>
      </c>
      <c r="N62" s="41">
        <v>0</v>
      </c>
      <c r="O62" s="35">
        <f t="shared" si="21"/>
        <v>0</v>
      </c>
      <c r="P62" s="36">
        <f t="shared" si="23"/>
        <v>0</v>
      </c>
      <c r="Q62" s="35">
        <f t="shared" si="24"/>
        <v>0</v>
      </c>
    </row>
    <row r="63" spans="2:17" x14ac:dyDescent="0.35">
      <c r="B63" s="37" t="str">
        <f>IFERROR(VLOOKUP(C63, SEC_105000!$C$206:$G$207, 3, FALSE), "")</f>
        <v/>
      </c>
      <c r="C63" s="38"/>
      <c r="D63" s="39"/>
      <c r="E63" s="32" t="str">
        <f>IFERROR(VLOOKUP(C63, SEC_105000!$C$204:$G$1962, 2, FALSE), "")</f>
        <v/>
      </c>
      <c r="F63" s="41">
        <v>0</v>
      </c>
      <c r="G63" s="35">
        <f t="shared" si="18"/>
        <v>0</v>
      </c>
      <c r="H63" s="48" t="str">
        <f>IFERROR(VLOOKUP(C63, SEC_105000!$C$204:$G$1962, 4, FALSE), "")</f>
        <v/>
      </c>
      <c r="I63" s="35" t="str">
        <f t="shared" si="22"/>
        <v/>
      </c>
      <c r="J63" s="41" t="str">
        <f>IFERROR(VLOOKUP(C63, SEC_105000!$C$204:$G$1962, 5, FALSE), "")</f>
        <v/>
      </c>
      <c r="K63" s="34">
        <f t="shared" si="19"/>
        <v>0</v>
      </c>
      <c r="L63" s="42"/>
      <c r="M63" s="35">
        <f t="shared" si="20"/>
        <v>0</v>
      </c>
      <c r="N63" s="41">
        <v>0</v>
      </c>
      <c r="O63" s="35">
        <f t="shared" si="21"/>
        <v>0</v>
      </c>
      <c r="P63" s="36">
        <f t="shared" si="23"/>
        <v>0</v>
      </c>
      <c r="Q63" s="35">
        <f t="shared" si="24"/>
        <v>0</v>
      </c>
    </row>
    <row r="64" spans="2:17" x14ac:dyDescent="0.35">
      <c r="B64" s="37" t="str">
        <f>IFERROR(VLOOKUP(C64, SEC_105000!$C$206:$G$207, 3, FALSE), "")</f>
        <v/>
      </c>
      <c r="C64" s="38"/>
      <c r="D64" s="39"/>
      <c r="E64" s="32" t="str">
        <f>IFERROR(VLOOKUP(C64, SEC_105000!$C$204:$G$1962, 2, FALSE), "")</f>
        <v/>
      </c>
      <c r="F64" s="41">
        <v>0</v>
      </c>
      <c r="G64" s="35">
        <f t="shared" si="18"/>
        <v>0</v>
      </c>
      <c r="H64" s="48" t="str">
        <f>IFERROR(VLOOKUP(C64, SEC_105000!$C$204:$G$1962, 4, FALSE), "")</f>
        <v/>
      </c>
      <c r="I64" s="35" t="str">
        <f t="shared" si="22"/>
        <v/>
      </c>
      <c r="J64" s="41" t="str">
        <f>IFERROR(VLOOKUP(C64, SEC_105000!$C$204:$G$1962, 5, FALSE), "")</f>
        <v/>
      </c>
      <c r="K64" s="34">
        <f t="shared" si="19"/>
        <v>0</v>
      </c>
      <c r="L64" s="42"/>
      <c r="M64" s="35">
        <f t="shared" si="20"/>
        <v>0</v>
      </c>
      <c r="N64" s="41">
        <v>0</v>
      </c>
      <c r="O64" s="35">
        <f t="shared" si="21"/>
        <v>0</v>
      </c>
      <c r="P64" s="36">
        <f t="shared" si="23"/>
        <v>0</v>
      </c>
      <c r="Q64" s="35">
        <f t="shared" si="24"/>
        <v>0</v>
      </c>
    </row>
    <row r="65" spans="2:17" x14ac:dyDescent="0.35">
      <c r="B65" s="37" t="str">
        <f>IFERROR(VLOOKUP(C65, SEC_105000!$C$206:$G$207, 3, FALSE), "")</f>
        <v/>
      </c>
      <c r="C65" s="38"/>
      <c r="D65" s="39"/>
      <c r="E65" s="32" t="str">
        <f>IFERROR(VLOOKUP(C65, SEC_105000!$C$204:$G$1962, 2, FALSE), "")</f>
        <v/>
      </c>
      <c r="F65" s="41">
        <v>0</v>
      </c>
      <c r="G65" s="35">
        <f t="shared" si="18"/>
        <v>0</v>
      </c>
      <c r="H65" s="48" t="str">
        <f>IFERROR(VLOOKUP(C65, SEC_105000!$C$204:$G$1962, 4, FALSE), "")</f>
        <v/>
      </c>
      <c r="I65" s="35" t="str">
        <f t="shared" si="22"/>
        <v/>
      </c>
      <c r="J65" s="41" t="str">
        <f>IFERROR(VLOOKUP(C65, SEC_105000!$C$204:$G$1962, 5, FALSE), "")</f>
        <v/>
      </c>
      <c r="K65" s="34">
        <f t="shared" si="19"/>
        <v>0</v>
      </c>
      <c r="L65" s="42"/>
      <c r="M65" s="35">
        <f t="shared" si="20"/>
        <v>0</v>
      </c>
      <c r="N65" s="41">
        <v>0</v>
      </c>
      <c r="O65" s="35">
        <f t="shared" si="21"/>
        <v>0</v>
      </c>
      <c r="P65" s="36">
        <f t="shared" si="23"/>
        <v>0</v>
      </c>
      <c r="Q65" s="35">
        <f t="shared" si="24"/>
        <v>0</v>
      </c>
    </row>
    <row r="66" spans="2:17" x14ac:dyDescent="0.35">
      <c r="B66" s="37" t="str">
        <f>IFERROR(VLOOKUP(C66, SEC_105000!$C$206:$G$207, 3, FALSE), "")</f>
        <v/>
      </c>
      <c r="C66" s="38"/>
      <c r="D66" s="39"/>
      <c r="E66" s="32" t="str">
        <f>IFERROR(VLOOKUP(C66, SEC_105000!$C$204:$G$1962, 2, FALSE), "")</f>
        <v/>
      </c>
      <c r="F66" s="41">
        <v>0</v>
      </c>
      <c r="G66" s="35">
        <f t="shared" si="18"/>
        <v>0</v>
      </c>
      <c r="H66" s="48" t="str">
        <f>IFERROR(VLOOKUP(C66, SEC_105000!$C$204:$G$1962, 4, FALSE), "")</f>
        <v/>
      </c>
      <c r="I66" s="35" t="str">
        <f t="shared" si="22"/>
        <v/>
      </c>
      <c r="J66" s="41" t="str">
        <f>IFERROR(VLOOKUP(C66, SEC_105000!$C$204:$G$1962, 5, FALSE), "")</f>
        <v/>
      </c>
      <c r="K66" s="34">
        <f t="shared" si="19"/>
        <v>0</v>
      </c>
      <c r="L66" s="42"/>
      <c r="M66" s="35">
        <f t="shared" si="20"/>
        <v>0</v>
      </c>
      <c r="N66" s="41">
        <v>0</v>
      </c>
      <c r="O66" s="35">
        <f t="shared" si="21"/>
        <v>0</v>
      </c>
      <c r="P66" s="36">
        <f t="shared" si="23"/>
        <v>0</v>
      </c>
      <c r="Q66" s="35">
        <f t="shared" si="24"/>
        <v>0</v>
      </c>
    </row>
    <row r="67" spans="2:17" x14ac:dyDescent="0.35">
      <c r="B67" s="37" t="str">
        <f>IFERROR(VLOOKUP(C67, SEC_105000!$C$206:$G$207, 3, FALSE), "")</f>
        <v/>
      </c>
      <c r="C67" s="38"/>
      <c r="D67" s="39"/>
      <c r="E67" s="32" t="str">
        <f>IFERROR(VLOOKUP(C67, SEC_105000!$C$204:$G$1962, 2, FALSE), "")</f>
        <v/>
      </c>
      <c r="F67" s="41">
        <v>0</v>
      </c>
      <c r="G67" s="35">
        <f t="shared" si="18"/>
        <v>0</v>
      </c>
      <c r="H67" s="48" t="str">
        <f>IFERROR(VLOOKUP(C67, SEC_105000!$C$204:$G$1962, 4, FALSE), "")</f>
        <v/>
      </c>
      <c r="I67" s="35" t="str">
        <f t="shared" si="22"/>
        <v/>
      </c>
      <c r="J67" s="41" t="str">
        <f>IFERROR(VLOOKUP(C67, SEC_105000!$C$204:$G$1962, 5, FALSE), "")</f>
        <v/>
      </c>
      <c r="K67" s="34">
        <f t="shared" si="19"/>
        <v>0</v>
      </c>
      <c r="L67" s="42"/>
      <c r="M67" s="35">
        <f t="shared" si="20"/>
        <v>0</v>
      </c>
      <c r="N67" s="41">
        <v>0</v>
      </c>
      <c r="O67" s="35">
        <f t="shared" si="21"/>
        <v>0</v>
      </c>
      <c r="P67" s="36">
        <f t="shared" si="23"/>
        <v>0</v>
      </c>
      <c r="Q67" s="35">
        <f t="shared" si="24"/>
        <v>0</v>
      </c>
    </row>
    <row r="68" spans="2:17" x14ac:dyDescent="0.35">
      <c r="B68" s="37"/>
      <c r="C68" s="38"/>
      <c r="D68" s="39"/>
      <c r="E68" s="32" t="str">
        <f>IFERROR(VLOOKUP(C68, SEC_105000!$C$204:$G$1962, 2, FALSE), "")</f>
        <v/>
      </c>
      <c r="F68" s="41">
        <v>0</v>
      </c>
      <c r="G68" s="35">
        <f t="shared" si="18"/>
        <v>0</v>
      </c>
      <c r="H68" s="48" t="str">
        <f>IFERROR(VLOOKUP(C68, SEC_105000!$C$204:$G$1962, 4, FALSE), "")</f>
        <v/>
      </c>
      <c r="I68" s="35" t="str">
        <f t="shared" si="22"/>
        <v/>
      </c>
      <c r="J68" s="41" t="str">
        <f>IFERROR(VLOOKUP(C68, SEC_105000!$C$204:$G$1962, 5, FALSE), "")</f>
        <v/>
      </c>
      <c r="K68" s="34">
        <f t="shared" si="19"/>
        <v>0</v>
      </c>
      <c r="L68" s="42"/>
      <c r="M68" s="35">
        <f t="shared" si="20"/>
        <v>0</v>
      </c>
      <c r="N68" s="41">
        <v>0</v>
      </c>
      <c r="O68" s="35">
        <f t="shared" si="21"/>
        <v>0</v>
      </c>
      <c r="P68" s="36">
        <f t="shared" si="23"/>
        <v>0</v>
      </c>
      <c r="Q68" s="35">
        <f t="shared" si="24"/>
        <v>0</v>
      </c>
    </row>
    <row r="69" spans="2:17" x14ac:dyDescent="0.35">
      <c r="B69" s="37"/>
      <c r="C69" s="30" t="s">
        <v>21423</v>
      </c>
      <c r="D69" s="39"/>
      <c r="E69" s="32"/>
      <c r="F69" s="41">
        <v>0</v>
      </c>
      <c r="G69" s="35">
        <f t="shared" si="18"/>
        <v>0</v>
      </c>
      <c r="H69" s="48"/>
      <c r="I69" s="35">
        <f>$D69*H69</f>
        <v>0</v>
      </c>
      <c r="J69" s="41"/>
      <c r="K69" s="34"/>
      <c r="L69" s="42"/>
      <c r="M69" s="35">
        <f t="shared" si="20"/>
        <v>0</v>
      </c>
      <c r="N69" s="41">
        <v>0</v>
      </c>
      <c r="O69" s="35">
        <f t="shared" si="21"/>
        <v>0</v>
      </c>
      <c r="P69" s="36">
        <f t="shared" ref="P69:P74" si="25">F69+(H69*(1+$I$4))+IFERROR(L69/J69,0)+N69</f>
        <v>0</v>
      </c>
      <c r="Q69" s="35">
        <f t="shared" ref="Q69:Q80" si="26">SUM(O69,M69,I69*(1+$I$4),G69)</f>
        <v>0</v>
      </c>
    </row>
    <row r="70" spans="2:17" x14ac:dyDescent="0.35">
      <c r="B70" s="37"/>
      <c r="C70" s="38"/>
      <c r="D70" s="39"/>
      <c r="E70" s="32" t="s">
        <v>24</v>
      </c>
      <c r="F70" s="41">
        <v>0</v>
      </c>
      <c r="G70" s="35">
        <f t="shared" si="18"/>
        <v>0</v>
      </c>
      <c r="H70" s="48"/>
      <c r="I70" s="35">
        <f>$D70*H70</f>
        <v>0</v>
      </c>
      <c r="J70" s="41"/>
      <c r="K70" s="34"/>
      <c r="L70" s="42" t="str">
        <f>IFERROR(VLOOKUP(C70, SEC_105000!K48:M53, 2, FALSE), "")</f>
        <v/>
      </c>
      <c r="M70" s="35">
        <f t="shared" si="20"/>
        <v>0</v>
      </c>
      <c r="N70" s="41">
        <v>0</v>
      </c>
      <c r="O70" s="35">
        <f t="shared" si="21"/>
        <v>0</v>
      </c>
      <c r="P70" s="36">
        <f t="shared" si="25"/>
        <v>0</v>
      </c>
      <c r="Q70" s="35">
        <f t="shared" si="26"/>
        <v>0</v>
      </c>
    </row>
    <row r="71" spans="2:17" x14ac:dyDescent="0.35">
      <c r="B71" s="37"/>
      <c r="C71" s="38"/>
      <c r="D71" s="39"/>
      <c r="E71" s="32" t="s">
        <v>24</v>
      </c>
      <c r="F71" s="41">
        <v>0</v>
      </c>
      <c r="G71" s="35">
        <f t="shared" si="18"/>
        <v>0</v>
      </c>
      <c r="H71" s="48"/>
      <c r="I71" s="35">
        <f>$D71*H71</f>
        <v>0</v>
      </c>
      <c r="J71" s="41"/>
      <c r="K71" s="34"/>
      <c r="L71" s="42" t="str">
        <f>IFERROR(VLOOKUP(C71, SEC_105000!K49:M54, 2, FALSE), "")</f>
        <v/>
      </c>
      <c r="M71" s="35">
        <f t="shared" si="20"/>
        <v>0</v>
      </c>
      <c r="N71" s="41">
        <v>0</v>
      </c>
      <c r="O71" s="35">
        <f t="shared" si="21"/>
        <v>0</v>
      </c>
      <c r="P71" s="36">
        <f t="shared" si="25"/>
        <v>0</v>
      </c>
      <c r="Q71" s="35">
        <f t="shared" si="26"/>
        <v>0</v>
      </c>
    </row>
    <row r="72" spans="2:17" x14ac:dyDescent="0.35">
      <c r="B72" s="37"/>
      <c r="C72" s="38"/>
      <c r="D72" s="39"/>
      <c r="E72" s="32" t="s">
        <v>24</v>
      </c>
      <c r="F72" s="41">
        <v>0</v>
      </c>
      <c r="G72" s="35">
        <f t="shared" si="18"/>
        <v>0</v>
      </c>
      <c r="H72" s="48"/>
      <c r="I72" s="35">
        <f>$D72*H72</f>
        <v>0</v>
      </c>
      <c r="J72" s="41"/>
      <c r="K72" s="34"/>
      <c r="L72" s="42" t="str">
        <f>IFERROR(VLOOKUP(C72, SEC_105000!K50:M55, 2, FALSE), "")</f>
        <v/>
      </c>
      <c r="M72" s="35">
        <f t="shared" si="20"/>
        <v>0</v>
      </c>
      <c r="N72" s="41">
        <v>0</v>
      </c>
      <c r="O72" s="35">
        <f t="shared" si="21"/>
        <v>0</v>
      </c>
      <c r="P72" s="36">
        <f t="shared" si="25"/>
        <v>0</v>
      </c>
      <c r="Q72" s="35">
        <f t="shared" si="26"/>
        <v>0</v>
      </c>
    </row>
    <row r="73" spans="2:17" x14ac:dyDescent="0.35">
      <c r="B73" s="37"/>
      <c r="C73" s="38"/>
      <c r="D73" s="39"/>
      <c r="E73" s="32" t="s">
        <v>24</v>
      </c>
      <c r="F73" s="41">
        <v>0</v>
      </c>
      <c r="G73" s="35">
        <f t="shared" si="18"/>
        <v>0</v>
      </c>
      <c r="H73" s="48"/>
      <c r="I73" s="35">
        <f>$D73*H73</f>
        <v>0</v>
      </c>
      <c r="J73" s="41"/>
      <c r="K73" s="34"/>
      <c r="L73" s="42" t="str">
        <f>IFERROR(VLOOKUP(C73, SEC_105000!K51:M56, 2, FALSE), "")</f>
        <v/>
      </c>
      <c r="M73" s="35">
        <f t="shared" si="20"/>
        <v>0</v>
      </c>
      <c r="N73" s="41">
        <v>0</v>
      </c>
      <c r="O73" s="35">
        <f t="shared" si="21"/>
        <v>0</v>
      </c>
      <c r="P73" s="36">
        <f t="shared" si="25"/>
        <v>0</v>
      </c>
      <c r="Q73" s="35">
        <f t="shared" si="26"/>
        <v>0</v>
      </c>
    </row>
    <row r="74" spans="2:17" x14ac:dyDescent="0.35">
      <c r="B74" s="37"/>
      <c r="C74" s="30" t="s">
        <v>21422</v>
      </c>
      <c r="D74" s="39"/>
      <c r="E74" s="32"/>
      <c r="F74" s="41"/>
      <c r="G74" s="35"/>
      <c r="H74" s="48"/>
      <c r="I74" s="35"/>
      <c r="J74" s="41"/>
      <c r="K74" s="34"/>
      <c r="L74" s="42"/>
      <c r="M74" s="35"/>
      <c r="N74" s="41">
        <v>0</v>
      </c>
      <c r="O74" s="35">
        <f t="shared" si="21"/>
        <v>0</v>
      </c>
      <c r="P74" s="36">
        <f t="shared" si="25"/>
        <v>0</v>
      </c>
      <c r="Q74" s="35">
        <f t="shared" si="26"/>
        <v>0</v>
      </c>
    </row>
    <row r="75" spans="2:17" x14ac:dyDescent="0.35">
      <c r="B75" s="37"/>
      <c r="C75" s="38"/>
      <c r="D75" s="39"/>
      <c r="E75" s="32" t="s">
        <v>24</v>
      </c>
      <c r="F75" s="41"/>
      <c r="G75" s="35"/>
      <c r="H75" s="48"/>
      <c r="I75" s="35"/>
      <c r="J75" s="41"/>
      <c r="K75" s="34"/>
      <c r="L75" s="42"/>
      <c r="M75" s="35"/>
      <c r="N75" s="41">
        <f>IFERROR(VLOOKUP(C75, SEC_105000!N47:O52, 2, FALSE), "")</f>
        <v>0</v>
      </c>
      <c r="O75" s="35" t="str">
        <f>IF(AND(ISNUMBER(D75), ISNUMBER(N75)), D75 * N75, "")</f>
        <v/>
      </c>
      <c r="P75" s="36">
        <f>IF(ISNUMBER(F75), F75, 0) + IF(ISNUMBER(H75), H75 * (1 + $I$4), 0) + IF(AND(ISNUMBER(L75), ISNUMBER(J75), J75&lt;&gt;0), L75 / J75, 0) + IF(ISNUMBER(N75), N75, 0)</f>
        <v>0</v>
      </c>
      <c r="Q75" s="35">
        <f t="shared" si="26"/>
        <v>0</v>
      </c>
    </row>
    <row r="76" spans="2:17" x14ac:dyDescent="0.35">
      <c r="B76" s="37"/>
      <c r="C76" s="38"/>
      <c r="D76" s="39"/>
      <c r="E76" s="32" t="s">
        <v>24</v>
      </c>
      <c r="F76" s="41"/>
      <c r="G76" s="35"/>
      <c r="H76" s="48"/>
      <c r="I76" s="35"/>
      <c r="J76" s="41"/>
      <c r="K76" s="34"/>
      <c r="L76" s="42"/>
      <c r="M76" s="35"/>
      <c r="N76" s="41">
        <f>IFERROR(VLOOKUP(C76, SEC_105000!N48:O53, 2, FALSE), "")</f>
        <v>0</v>
      </c>
      <c r="O76" s="35" t="str">
        <f>IF(AND(ISNUMBER(D76), ISNUMBER(N76)), D76 * N76, "")</f>
        <v/>
      </c>
      <c r="P76" s="36">
        <f>IF(ISNUMBER(F76), F76, 0) + IF(ISNUMBER(H76), H76 * (1 + $I$4), 0) + IF(AND(ISNUMBER(L76), ISNUMBER(J76), J76&lt;&gt;0), L76 / J76, 0) + IF(ISNUMBER(N76), N76, 0)</f>
        <v>0</v>
      </c>
      <c r="Q76" s="35">
        <f t="shared" si="26"/>
        <v>0</v>
      </c>
    </row>
    <row r="77" spans="2:17" x14ac:dyDescent="0.35">
      <c r="B77" s="37"/>
      <c r="C77" s="38"/>
      <c r="D77" s="39"/>
      <c r="E77" s="32" t="s">
        <v>24</v>
      </c>
      <c r="F77" s="41"/>
      <c r="G77" s="35"/>
      <c r="H77" s="48"/>
      <c r="I77" s="35"/>
      <c r="J77" s="41"/>
      <c r="K77" s="34"/>
      <c r="L77" s="42"/>
      <c r="M77" s="35"/>
      <c r="N77" s="41">
        <f>IFERROR(VLOOKUP(C77, SEC_105000!N49:O54, 2, FALSE), "")</f>
        <v>0</v>
      </c>
      <c r="O77" s="35" t="str">
        <f>IF(AND(ISNUMBER(D77), ISNUMBER(N77)), D77 * N77, "")</f>
        <v/>
      </c>
      <c r="P77" s="36">
        <f>IF(ISNUMBER(F77), F77, 0) + IF(ISNUMBER(H77), H77 * (1 + $I$4), 0) + IF(AND(ISNUMBER(L77), ISNUMBER(J77), J77&lt;&gt;0), L77 / J77, 0) + IF(ISNUMBER(N77), N77, 0)</f>
        <v>0</v>
      </c>
      <c r="Q77" s="35">
        <f t="shared" si="26"/>
        <v>0</v>
      </c>
    </row>
    <row r="78" spans="2:17" x14ac:dyDescent="0.35">
      <c r="B78" s="37"/>
      <c r="C78" s="38"/>
      <c r="D78" s="39"/>
      <c r="E78" s="32" t="s">
        <v>24</v>
      </c>
      <c r="F78" s="41"/>
      <c r="G78" s="35"/>
      <c r="H78" s="48"/>
      <c r="I78" s="35"/>
      <c r="J78" s="41"/>
      <c r="K78" s="34"/>
      <c r="L78" s="42"/>
      <c r="M78" s="35"/>
      <c r="N78" s="41">
        <f>IFERROR(VLOOKUP(C78, SEC_105000!N50:O55, 2, FALSE), "")</f>
        <v>0</v>
      </c>
      <c r="O78" s="35" t="str">
        <f>IF(AND(ISNUMBER(D78), ISNUMBER(N78)), D78 * N78, "")</f>
        <v/>
      </c>
      <c r="P78" s="36">
        <f>IF(ISNUMBER(F78), F78, 0) + IF(ISNUMBER(H78), H78 * (1 + $I$4), 0) + IF(AND(ISNUMBER(L78), ISNUMBER(J78), J78&lt;&gt;0), L78 / J78, 0) + IF(ISNUMBER(N78), N78, 0)</f>
        <v>0</v>
      </c>
      <c r="Q78" s="35">
        <f t="shared" si="26"/>
        <v>0</v>
      </c>
    </row>
    <row r="79" spans="2:17" x14ac:dyDescent="0.35">
      <c r="B79" s="37"/>
      <c r="C79" s="38"/>
      <c r="D79" s="39"/>
      <c r="E79" s="32"/>
      <c r="F79" s="41"/>
      <c r="G79" s="35"/>
      <c r="H79" s="48"/>
      <c r="I79" s="35"/>
      <c r="J79" s="41"/>
      <c r="K79" s="34"/>
      <c r="L79" s="42"/>
      <c r="M79" s="35"/>
      <c r="N79" s="41">
        <v>0</v>
      </c>
      <c r="O79" s="35">
        <f>$D79*N79</f>
        <v>0</v>
      </c>
      <c r="P79" s="36">
        <f>F79+(H79*(1+$I$4))+IFERROR(L79/J79,0)+N79</f>
        <v>0</v>
      </c>
      <c r="Q79" s="35">
        <f t="shared" si="26"/>
        <v>0</v>
      </c>
    </row>
    <row r="80" spans="2:17" x14ac:dyDescent="0.35">
      <c r="B80" s="37"/>
      <c r="C80" s="38"/>
      <c r="D80" s="39"/>
      <c r="E80" s="32"/>
      <c r="F80" s="41"/>
      <c r="G80" s="35"/>
      <c r="H80" s="48"/>
      <c r="I80" s="35"/>
      <c r="J80" s="41"/>
      <c r="K80" s="34"/>
      <c r="L80" s="42"/>
      <c r="M80" s="35"/>
      <c r="N80" s="41">
        <v>0</v>
      </c>
      <c r="O80" s="35">
        <f>$D80*N80</f>
        <v>0</v>
      </c>
      <c r="P80" s="36">
        <f>F80+(H80*(1+$I$4))+IFERROR(L80/J80,0)+N80</f>
        <v>0</v>
      </c>
      <c r="Q80" s="35">
        <f t="shared" si="26"/>
        <v>0</v>
      </c>
    </row>
    <row r="81" spans="2:17" ht="15.5" x14ac:dyDescent="0.35">
      <c r="B81" s="37" t="str">
        <f>IFERROR(VLOOKUP(C81, SEC_105000!$C$206:$G$207, 3, FALSE), "")</f>
        <v/>
      </c>
      <c r="C81" s="105" t="s">
        <v>21431</v>
      </c>
      <c r="D81" s="39"/>
      <c r="E81" s="32"/>
      <c r="F81" s="41"/>
      <c r="G81" s="35"/>
      <c r="H81" s="34"/>
      <c r="I81" s="35"/>
      <c r="J81" s="41"/>
      <c r="K81" s="34"/>
      <c r="L81" s="34"/>
      <c r="M81" s="35"/>
      <c r="N81" s="41"/>
      <c r="O81" s="35"/>
      <c r="P81" s="31"/>
      <c r="Q81" s="35"/>
    </row>
    <row r="82" spans="2:17" x14ac:dyDescent="0.35">
      <c r="B82" s="37" t="str">
        <f>IFERROR(VLOOKUP(C82, SEC_105000!$C$206:$G$207, 3, FALSE), "")</f>
        <v/>
      </c>
      <c r="C82" s="30" t="s">
        <v>21424</v>
      </c>
      <c r="D82" s="39"/>
      <c r="E82" s="32"/>
      <c r="F82" s="41">
        <v>0</v>
      </c>
      <c r="G82" s="35">
        <f t="shared" ref="G82:G95" si="27">$D82*F82</f>
        <v>0</v>
      </c>
      <c r="H82" s="48"/>
      <c r="I82" s="35">
        <f>$D82*H82</f>
        <v>0</v>
      </c>
      <c r="J82" s="41"/>
      <c r="K82" s="34">
        <f t="shared" ref="K82:K90" si="28">IFERROR($D82/$J82,0)</f>
        <v>0</v>
      </c>
      <c r="L82" s="42"/>
      <c r="M82" s="35">
        <f t="shared" ref="M82:M95" si="29">IFERROR(K82*L82,0)</f>
        <v>0</v>
      </c>
      <c r="N82" s="41">
        <v>0</v>
      </c>
      <c r="O82" s="35">
        <f t="shared" ref="O82:O96" si="30">$D82*N82</f>
        <v>0</v>
      </c>
      <c r="P82" s="36">
        <f>F82+(H82*(1+$I$4))+IFERROR(L82/J82,0)+N82</f>
        <v>0</v>
      </c>
      <c r="Q82" s="35">
        <f>SUM(O82,M82,I82*(1+$I$4),G82)</f>
        <v>0</v>
      </c>
    </row>
    <row r="83" spans="2:17" x14ac:dyDescent="0.35">
      <c r="B83" s="37" t="str">
        <f>IFERROR(VLOOKUP(C83, SEC_105000!$C$206:$G$207, 3, FALSE), "")</f>
        <v/>
      </c>
      <c r="C83" s="38"/>
      <c r="D83" s="39"/>
      <c r="E83" s="32" t="str">
        <f>IFERROR(VLOOKUP(C83, SEC_105000!$C$204:$G$1962, 2, FALSE), "")</f>
        <v/>
      </c>
      <c r="F83" s="41">
        <v>0</v>
      </c>
      <c r="G83" s="35">
        <f t="shared" si="27"/>
        <v>0</v>
      </c>
      <c r="H83" s="48" t="str">
        <f>IFERROR(VLOOKUP(C83, SEC_105000!$C$204:$G$1962, 4, FALSE), "")</f>
        <v/>
      </c>
      <c r="I83" s="35" t="str">
        <f t="shared" ref="I83:I90" si="31">IF(AND(ISNUMBER(D83), ISNUMBER(H83)), D83 * H83, "")</f>
        <v/>
      </c>
      <c r="J83" s="41" t="str">
        <f>IFERROR(VLOOKUP(C83, SEC_105000!$C$204:$G$1962, 5, FALSE), "")</f>
        <v/>
      </c>
      <c r="K83" s="34">
        <f t="shared" si="28"/>
        <v>0</v>
      </c>
      <c r="L83" s="42"/>
      <c r="M83" s="35">
        <f t="shared" si="29"/>
        <v>0</v>
      </c>
      <c r="N83" s="41">
        <v>0</v>
      </c>
      <c r="O83" s="35">
        <f t="shared" si="30"/>
        <v>0</v>
      </c>
      <c r="P83" s="36">
        <f t="shared" ref="P83:P90" si="32">IF(ISNUMBER(F83), F83, 0) + IF(ISNUMBER(H83), H83 * (1 + $I$4), 0) + IF(AND(ISNUMBER(L83), ISNUMBER(J83), J83 &lt;&gt; 0), L83 / J83, 0) + IF(ISNUMBER(N83), N83, 0)</f>
        <v>0</v>
      </c>
      <c r="Q83" s="35">
        <f t="shared" ref="Q83:Q90" si="33">SUM(IF(ISNUMBER(O83), O83, 0), IF(ISNUMBER(M83), M83, 0), IF(ISNUMBER(I83), I83 * (1 + $I$4), 0), IF(ISNUMBER(G83), G83, 0))</f>
        <v>0</v>
      </c>
    </row>
    <row r="84" spans="2:17" x14ac:dyDescent="0.35">
      <c r="B84" s="37" t="str">
        <f>IFERROR(VLOOKUP(C84, SEC_105000!$C$206:$G$207, 3, FALSE), "")</f>
        <v/>
      </c>
      <c r="C84" s="38"/>
      <c r="D84" s="39"/>
      <c r="E84" s="32" t="str">
        <f>IFERROR(VLOOKUP(C84, SEC_105000!$C$204:$G$1962, 2, FALSE), "")</f>
        <v/>
      </c>
      <c r="F84" s="41">
        <v>0</v>
      </c>
      <c r="G84" s="35">
        <f t="shared" si="27"/>
        <v>0</v>
      </c>
      <c r="H84" s="48" t="str">
        <f>IFERROR(VLOOKUP(C84, SEC_105000!$C$204:$G$1962, 4, FALSE), "")</f>
        <v/>
      </c>
      <c r="I84" s="35" t="str">
        <f t="shared" si="31"/>
        <v/>
      </c>
      <c r="J84" s="41" t="str">
        <f>IFERROR(VLOOKUP(C84, SEC_105000!$C$204:$G$1962, 5, FALSE), "")</f>
        <v/>
      </c>
      <c r="K84" s="34">
        <f t="shared" si="28"/>
        <v>0</v>
      </c>
      <c r="L84" s="42"/>
      <c r="M84" s="35">
        <f t="shared" si="29"/>
        <v>0</v>
      </c>
      <c r="N84" s="41">
        <v>0</v>
      </c>
      <c r="O84" s="35">
        <f t="shared" si="30"/>
        <v>0</v>
      </c>
      <c r="P84" s="36">
        <f t="shared" si="32"/>
        <v>0</v>
      </c>
      <c r="Q84" s="35">
        <f t="shared" si="33"/>
        <v>0</v>
      </c>
    </row>
    <row r="85" spans="2:17" x14ac:dyDescent="0.35">
      <c r="B85" s="37" t="str">
        <f>IFERROR(VLOOKUP(C85, SEC_105000!$C$206:$G$207, 3, FALSE), "")</f>
        <v/>
      </c>
      <c r="C85" s="38"/>
      <c r="D85" s="39"/>
      <c r="E85" s="32" t="str">
        <f>IFERROR(VLOOKUP(C85, SEC_105000!$C$204:$G$1962, 2, FALSE), "")</f>
        <v/>
      </c>
      <c r="F85" s="41">
        <v>0</v>
      </c>
      <c r="G85" s="35">
        <f t="shared" si="27"/>
        <v>0</v>
      </c>
      <c r="H85" s="48" t="str">
        <f>IFERROR(VLOOKUP(C85, SEC_105000!$C$204:$G$1962, 4, FALSE), "")</f>
        <v/>
      </c>
      <c r="I85" s="35" t="str">
        <f t="shared" si="31"/>
        <v/>
      </c>
      <c r="J85" s="41" t="str">
        <f>IFERROR(VLOOKUP(C85, SEC_105000!$C$204:$G$1962, 5, FALSE), "")</f>
        <v/>
      </c>
      <c r="K85" s="34">
        <f t="shared" si="28"/>
        <v>0</v>
      </c>
      <c r="L85" s="42"/>
      <c r="M85" s="35">
        <f t="shared" si="29"/>
        <v>0</v>
      </c>
      <c r="N85" s="41">
        <v>0</v>
      </c>
      <c r="O85" s="35">
        <f t="shared" si="30"/>
        <v>0</v>
      </c>
      <c r="P85" s="36">
        <f t="shared" si="32"/>
        <v>0</v>
      </c>
      <c r="Q85" s="35">
        <f t="shared" si="33"/>
        <v>0</v>
      </c>
    </row>
    <row r="86" spans="2:17" x14ac:dyDescent="0.35">
      <c r="B86" s="37" t="str">
        <f>IFERROR(VLOOKUP(C86, SEC_105000!$C$206:$G$207, 3, FALSE), "")</f>
        <v/>
      </c>
      <c r="C86" s="38"/>
      <c r="D86" s="39"/>
      <c r="E86" s="32" t="str">
        <f>IFERROR(VLOOKUP(C86, SEC_105000!$C$204:$G$1962, 2, FALSE), "")</f>
        <v/>
      </c>
      <c r="F86" s="41">
        <v>0</v>
      </c>
      <c r="G86" s="35">
        <f t="shared" si="27"/>
        <v>0</v>
      </c>
      <c r="H86" s="48" t="str">
        <f>IFERROR(VLOOKUP(C86, SEC_105000!$C$204:$G$1962, 4, FALSE), "")</f>
        <v/>
      </c>
      <c r="I86" s="35" t="str">
        <f t="shared" si="31"/>
        <v/>
      </c>
      <c r="J86" s="41" t="str">
        <f>IFERROR(VLOOKUP(C86, SEC_105000!$C$204:$G$1962, 5, FALSE), "")</f>
        <v/>
      </c>
      <c r="K86" s="34">
        <f t="shared" si="28"/>
        <v>0</v>
      </c>
      <c r="L86" s="42"/>
      <c r="M86" s="35">
        <f t="shared" si="29"/>
        <v>0</v>
      </c>
      <c r="N86" s="41">
        <v>0</v>
      </c>
      <c r="O86" s="35">
        <f t="shared" si="30"/>
        <v>0</v>
      </c>
      <c r="P86" s="36">
        <f t="shared" si="32"/>
        <v>0</v>
      </c>
      <c r="Q86" s="35">
        <f t="shared" si="33"/>
        <v>0</v>
      </c>
    </row>
    <row r="87" spans="2:17" x14ac:dyDescent="0.35">
      <c r="B87" s="37" t="str">
        <f>IFERROR(VLOOKUP(C87, SEC_105000!$C$206:$G$207, 3, FALSE), "")</f>
        <v/>
      </c>
      <c r="C87" s="38"/>
      <c r="D87" s="39"/>
      <c r="E87" s="32" t="str">
        <f>IFERROR(VLOOKUP(C87, SEC_105000!$C$204:$G$1962, 2, FALSE), "")</f>
        <v/>
      </c>
      <c r="F87" s="41">
        <v>0</v>
      </c>
      <c r="G87" s="35">
        <f t="shared" si="27"/>
        <v>0</v>
      </c>
      <c r="H87" s="48" t="str">
        <f>IFERROR(VLOOKUP(C87, SEC_105000!$C$204:$G$1962, 4, FALSE), "")</f>
        <v/>
      </c>
      <c r="I87" s="35" t="str">
        <f t="shared" si="31"/>
        <v/>
      </c>
      <c r="J87" s="41" t="str">
        <f>IFERROR(VLOOKUP(C87, SEC_105000!$C$204:$G$1962, 5, FALSE), "")</f>
        <v/>
      </c>
      <c r="K87" s="34">
        <f t="shared" si="28"/>
        <v>0</v>
      </c>
      <c r="L87" s="42"/>
      <c r="M87" s="35">
        <f t="shared" si="29"/>
        <v>0</v>
      </c>
      <c r="N87" s="41">
        <v>0</v>
      </c>
      <c r="O87" s="35">
        <f t="shared" si="30"/>
        <v>0</v>
      </c>
      <c r="P87" s="36">
        <f t="shared" si="32"/>
        <v>0</v>
      </c>
      <c r="Q87" s="35">
        <f t="shared" si="33"/>
        <v>0</v>
      </c>
    </row>
    <row r="88" spans="2:17" x14ac:dyDescent="0.35">
      <c r="B88" s="37" t="str">
        <f>IFERROR(VLOOKUP(C88, SEC_105000!$C$206:$G$207, 3, FALSE), "")</f>
        <v/>
      </c>
      <c r="C88" s="38"/>
      <c r="D88" s="39"/>
      <c r="E88" s="32" t="str">
        <f>IFERROR(VLOOKUP(C88, SEC_105000!$C$204:$G$1962, 2, FALSE), "")</f>
        <v/>
      </c>
      <c r="F88" s="41">
        <v>0</v>
      </c>
      <c r="G88" s="35">
        <f t="shared" si="27"/>
        <v>0</v>
      </c>
      <c r="H88" s="48" t="str">
        <f>IFERROR(VLOOKUP(C88, SEC_105000!$C$204:$G$1962, 4, FALSE), "")</f>
        <v/>
      </c>
      <c r="I88" s="35" t="str">
        <f t="shared" si="31"/>
        <v/>
      </c>
      <c r="J88" s="41" t="str">
        <f>IFERROR(VLOOKUP(C88, SEC_105000!$C$204:$G$1962, 5, FALSE), "")</f>
        <v/>
      </c>
      <c r="K88" s="34">
        <f t="shared" si="28"/>
        <v>0</v>
      </c>
      <c r="L88" s="42"/>
      <c r="M88" s="35">
        <f t="shared" si="29"/>
        <v>0</v>
      </c>
      <c r="N88" s="41">
        <v>0</v>
      </c>
      <c r="O88" s="35">
        <f t="shared" si="30"/>
        <v>0</v>
      </c>
      <c r="P88" s="36">
        <f t="shared" si="32"/>
        <v>0</v>
      </c>
      <c r="Q88" s="35">
        <f t="shared" si="33"/>
        <v>0</v>
      </c>
    </row>
    <row r="89" spans="2:17" x14ac:dyDescent="0.35">
      <c r="B89" s="37"/>
      <c r="C89" s="38"/>
      <c r="D89" s="39"/>
      <c r="E89" s="32" t="str">
        <f>IFERROR(VLOOKUP(C89, SEC_105000!$C$204:$G$1962, 2, FALSE), "")</f>
        <v/>
      </c>
      <c r="F89" s="41">
        <v>0</v>
      </c>
      <c r="G89" s="35">
        <f t="shared" si="27"/>
        <v>0</v>
      </c>
      <c r="H89" s="48" t="str">
        <f>IFERROR(VLOOKUP(C89, SEC_105000!$C$204:$G$1962, 4, FALSE), "")</f>
        <v/>
      </c>
      <c r="I89" s="35" t="str">
        <f t="shared" si="31"/>
        <v/>
      </c>
      <c r="J89" s="41" t="str">
        <f>IFERROR(VLOOKUP(C89, SEC_105000!$C$204:$G$1962, 5, FALSE), "")</f>
        <v/>
      </c>
      <c r="K89" s="34">
        <f t="shared" si="28"/>
        <v>0</v>
      </c>
      <c r="L89" s="42"/>
      <c r="M89" s="35">
        <f t="shared" si="29"/>
        <v>0</v>
      </c>
      <c r="N89" s="41">
        <v>0</v>
      </c>
      <c r="O89" s="35">
        <f t="shared" si="30"/>
        <v>0</v>
      </c>
      <c r="P89" s="36">
        <f t="shared" si="32"/>
        <v>0</v>
      </c>
      <c r="Q89" s="35">
        <f t="shared" si="33"/>
        <v>0</v>
      </c>
    </row>
    <row r="90" spans="2:17" x14ac:dyDescent="0.35">
      <c r="B90" s="37"/>
      <c r="C90" s="38"/>
      <c r="D90" s="39"/>
      <c r="E90" s="32" t="str">
        <f>IFERROR(VLOOKUP(C90, SEC_105000!$C$204:$G$1962, 2, FALSE), "")</f>
        <v/>
      </c>
      <c r="F90" s="41">
        <v>0</v>
      </c>
      <c r="G90" s="35">
        <f t="shared" si="27"/>
        <v>0</v>
      </c>
      <c r="H90" s="48" t="str">
        <f>IFERROR(VLOOKUP(C90, SEC_105000!$C$204:$G$1962, 4, FALSE), "")</f>
        <v/>
      </c>
      <c r="I90" s="35" t="str">
        <f t="shared" si="31"/>
        <v/>
      </c>
      <c r="J90" s="41" t="str">
        <f>IFERROR(VLOOKUP(C90, SEC_105000!$C$204:$G$1962, 5, FALSE), "")</f>
        <v/>
      </c>
      <c r="K90" s="34">
        <f t="shared" si="28"/>
        <v>0</v>
      </c>
      <c r="L90" s="42"/>
      <c r="M90" s="35">
        <f t="shared" si="29"/>
        <v>0</v>
      </c>
      <c r="N90" s="41">
        <v>0</v>
      </c>
      <c r="O90" s="35">
        <f t="shared" si="30"/>
        <v>0</v>
      </c>
      <c r="P90" s="36">
        <f t="shared" si="32"/>
        <v>0</v>
      </c>
      <c r="Q90" s="35">
        <f t="shared" si="33"/>
        <v>0</v>
      </c>
    </row>
    <row r="91" spans="2:17" x14ac:dyDescent="0.35">
      <c r="B91" s="37"/>
      <c r="C91" s="30" t="s">
        <v>21423</v>
      </c>
      <c r="D91" s="39"/>
      <c r="E91" s="32"/>
      <c r="F91" s="41">
        <v>0</v>
      </c>
      <c r="G91" s="35">
        <f t="shared" si="27"/>
        <v>0</v>
      </c>
      <c r="H91" s="48"/>
      <c r="I91" s="35">
        <f>$D91*H91</f>
        <v>0</v>
      </c>
      <c r="J91" s="41"/>
      <c r="K91" s="34"/>
      <c r="L91" s="42"/>
      <c r="M91" s="35">
        <f t="shared" si="29"/>
        <v>0</v>
      </c>
      <c r="N91" s="41">
        <v>0</v>
      </c>
      <c r="O91" s="35">
        <f t="shared" si="30"/>
        <v>0</v>
      </c>
      <c r="P91" s="36">
        <f t="shared" ref="P91:P96" si="34">F91+(H91*(1+$I$4))+IFERROR(L91/J91,0)+N91</f>
        <v>0</v>
      </c>
      <c r="Q91" s="35">
        <f t="shared" ref="Q91:Q102" si="35">SUM(O91,M91,I91*(1+$I$4),G91)</f>
        <v>0</v>
      </c>
    </row>
    <row r="92" spans="2:17" x14ac:dyDescent="0.35">
      <c r="B92" s="37"/>
      <c r="C92" s="38"/>
      <c r="D92" s="39"/>
      <c r="E92" s="32" t="s">
        <v>24</v>
      </c>
      <c r="F92" s="41">
        <v>0</v>
      </c>
      <c r="G92" s="35">
        <f t="shared" si="27"/>
        <v>0</v>
      </c>
      <c r="H92" s="48"/>
      <c r="I92" s="35">
        <f>$D92*H92</f>
        <v>0</v>
      </c>
      <c r="J92" s="41"/>
      <c r="K92" s="34"/>
      <c r="L92" s="42" t="str">
        <f>IFERROR(VLOOKUP(C92, SEC_105000!K70:M75, 2, FALSE), "")</f>
        <v/>
      </c>
      <c r="M92" s="35">
        <f t="shared" si="29"/>
        <v>0</v>
      </c>
      <c r="N92" s="41">
        <v>0</v>
      </c>
      <c r="O92" s="35">
        <f t="shared" si="30"/>
        <v>0</v>
      </c>
      <c r="P92" s="36">
        <f t="shared" si="34"/>
        <v>0</v>
      </c>
      <c r="Q92" s="35">
        <f t="shared" si="35"/>
        <v>0</v>
      </c>
    </row>
    <row r="93" spans="2:17" x14ac:dyDescent="0.35">
      <c r="B93" s="37"/>
      <c r="C93" s="38"/>
      <c r="D93" s="39"/>
      <c r="E93" s="32" t="s">
        <v>24</v>
      </c>
      <c r="F93" s="41">
        <v>0</v>
      </c>
      <c r="G93" s="35">
        <f t="shared" si="27"/>
        <v>0</v>
      </c>
      <c r="H93" s="48"/>
      <c r="I93" s="35">
        <f>$D93*H93</f>
        <v>0</v>
      </c>
      <c r="J93" s="41"/>
      <c r="K93" s="34"/>
      <c r="L93" s="42" t="str">
        <f>IFERROR(VLOOKUP(C93, SEC_105000!K71:M76, 2, FALSE), "")</f>
        <v/>
      </c>
      <c r="M93" s="35">
        <f t="shared" si="29"/>
        <v>0</v>
      </c>
      <c r="N93" s="41">
        <v>0</v>
      </c>
      <c r="O93" s="35">
        <f t="shared" si="30"/>
        <v>0</v>
      </c>
      <c r="P93" s="36">
        <f t="shared" si="34"/>
        <v>0</v>
      </c>
      <c r="Q93" s="35">
        <f t="shared" si="35"/>
        <v>0</v>
      </c>
    </row>
    <row r="94" spans="2:17" x14ac:dyDescent="0.35">
      <c r="B94" s="37"/>
      <c r="C94" s="38"/>
      <c r="D94" s="39"/>
      <c r="E94" s="32" t="s">
        <v>24</v>
      </c>
      <c r="F94" s="41">
        <v>0</v>
      </c>
      <c r="G94" s="35">
        <f t="shared" si="27"/>
        <v>0</v>
      </c>
      <c r="H94" s="48"/>
      <c r="I94" s="35">
        <f>$D94*H94</f>
        <v>0</v>
      </c>
      <c r="J94" s="41"/>
      <c r="K94" s="34"/>
      <c r="L94" s="42" t="str">
        <f>IFERROR(VLOOKUP(C94, SEC_105000!K72:M77, 2, FALSE), "")</f>
        <v/>
      </c>
      <c r="M94" s="35">
        <f t="shared" si="29"/>
        <v>0</v>
      </c>
      <c r="N94" s="41">
        <v>0</v>
      </c>
      <c r="O94" s="35">
        <f t="shared" si="30"/>
        <v>0</v>
      </c>
      <c r="P94" s="36">
        <f t="shared" si="34"/>
        <v>0</v>
      </c>
      <c r="Q94" s="35">
        <f t="shared" si="35"/>
        <v>0</v>
      </c>
    </row>
    <row r="95" spans="2:17" x14ac:dyDescent="0.35">
      <c r="B95" s="37"/>
      <c r="C95" s="38"/>
      <c r="D95" s="39"/>
      <c r="E95" s="32" t="s">
        <v>24</v>
      </c>
      <c r="F95" s="41">
        <v>0</v>
      </c>
      <c r="G95" s="35">
        <f t="shared" si="27"/>
        <v>0</v>
      </c>
      <c r="H95" s="48"/>
      <c r="I95" s="35">
        <f>$D95*H95</f>
        <v>0</v>
      </c>
      <c r="J95" s="41"/>
      <c r="K95" s="34"/>
      <c r="L95" s="42" t="str">
        <f>IFERROR(VLOOKUP(C95, SEC_105000!K73:M78, 2, FALSE), "")</f>
        <v/>
      </c>
      <c r="M95" s="35">
        <f t="shared" si="29"/>
        <v>0</v>
      </c>
      <c r="N95" s="41">
        <v>0</v>
      </c>
      <c r="O95" s="35">
        <f t="shared" si="30"/>
        <v>0</v>
      </c>
      <c r="P95" s="36">
        <f t="shared" si="34"/>
        <v>0</v>
      </c>
      <c r="Q95" s="35">
        <f t="shared" si="35"/>
        <v>0</v>
      </c>
    </row>
    <row r="96" spans="2:17" x14ac:dyDescent="0.35">
      <c r="B96" s="37"/>
      <c r="C96" s="30" t="s">
        <v>21422</v>
      </c>
      <c r="D96" s="39"/>
      <c r="E96" s="32"/>
      <c r="F96" s="41"/>
      <c r="G96" s="35"/>
      <c r="H96" s="48"/>
      <c r="I96" s="35"/>
      <c r="J96" s="41"/>
      <c r="K96" s="34"/>
      <c r="L96" s="42"/>
      <c r="M96" s="35"/>
      <c r="N96" s="41">
        <v>0</v>
      </c>
      <c r="O96" s="35">
        <f t="shared" si="30"/>
        <v>0</v>
      </c>
      <c r="P96" s="36">
        <f t="shared" si="34"/>
        <v>0</v>
      </c>
      <c r="Q96" s="35">
        <f t="shared" si="35"/>
        <v>0</v>
      </c>
    </row>
    <row r="97" spans="2:17" x14ac:dyDescent="0.35">
      <c r="B97" s="37"/>
      <c r="C97" s="38"/>
      <c r="D97" s="39"/>
      <c r="E97" s="32" t="s">
        <v>24</v>
      </c>
      <c r="F97" s="41"/>
      <c r="G97" s="35"/>
      <c r="H97" s="48"/>
      <c r="I97" s="35"/>
      <c r="J97" s="41"/>
      <c r="K97" s="34"/>
      <c r="L97" s="42"/>
      <c r="M97" s="35"/>
      <c r="N97" s="41">
        <f>IFERROR(VLOOKUP(C97, SEC_105000!N69:O74, 2, FALSE), "")</f>
        <v>0</v>
      </c>
      <c r="O97" s="35" t="str">
        <f>IF(AND(ISNUMBER(D97), ISNUMBER(N97)), D97 * N97, "")</f>
        <v/>
      </c>
      <c r="P97" s="36">
        <f>IF(ISNUMBER(F97), F97, 0) + IF(ISNUMBER(H97), H97 * (1 + $I$4), 0) + IF(AND(ISNUMBER(L97), ISNUMBER(J97), J97&lt;&gt;0), L97 / J97, 0) + IF(ISNUMBER(N97), N97, 0)</f>
        <v>0</v>
      </c>
      <c r="Q97" s="35">
        <f t="shared" si="35"/>
        <v>0</v>
      </c>
    </row>
    <row r="98" spans="2:17" x14ac:dyDescent="0.35">
      <c r="B98" s="37"/>
      <c r="C98" s="38"/>
      <c r="D98" s="39"/>
      <c r="E98" s="32" t="s">
        <v>24</v>
      </c>
      <c r="F98" s="41"/>
      <c r="G98" s="35"/>
      <c r="H98" s="48"/>
      <c r="I98" s="35"/>
      <c r="J98" s="41"/>
      <c r="K98" s="34"/>
      <c r="L98" s="42"/>
      <c r="M98" s="35"/>
      <c r="N98" s="41">
        <f>IFERROR(VLOOKUP(C98, SEC_105000!N70:O75, 2, FALSE), "")</f>
        <v>0</v>
      </c>
      <c r="O98" s="35" t="str">
        <f>IF(AND(ISNUMBER(D98), ISNUMBER(N98)), D98 * N98, "")</f>
        <v/>
      </c>
      <c r="P98" s="36">
        <f>IF(ISNUMBER(F98), F98, 0) + IF(ISNUMBER(H98), H98 * (1 + $I$4), 0) + IF(AND(ISNUMBER(L98), ISNUMBER(J98), J98&lt;&gt;0), L98 / J98, 0) + IF(ISNUMBER(N98), N98, 0)</f>
        <v>0</v>
      </c>
      <c r="Q98" s="35">
        <f t="shared" si="35"/>
        <v>0</v>
      </c>
    </row>
    <row r="99" spans="2:17" x14ac:dyDescent="0.35">
      <c r="B99" s="37"/>
      <c r="C99" s="38"/>
      <c r="D99" s="39"/>
      <c r="E99" s="32" t="s">
        <v>24</v>
      </c>
      <c r="F99" s="41"/>
      <c r="G99" s="35"/>
      <c r="H99" s="48"/>
      <c r="I99" s="35"/>
      <c r="J99" s="41"/>
      <c r="K99" s="34"/>
      <c r="L99" s="42"/>
      <c r="M99" s="35"/>
      <c r="N99" s="41">
        <f>IFERROR(VLOOKUP(C99, SEC_105000!N71:O76, 2, FALSE), "")</f>
        <v>0</v>
      </c>
      <c r="O99" s="35" t="str">
        <f>IF(AND(ISNUMBER(D99), ISNUMBER(N99)), D99 * N99, "")</f>
        <v/>
      </c>
      <c r="P99" s="36">
        <f>IF(ISNUMBER(F99), F99, 0) + IF(ISNUMBER(H99), H99 * (1 + $I$4), 0) + IF(AND(ISNUMBER(L99), ISNUMBER(J99), J99&lt;&gt;0), L99 / J99, 0) + IF(ISNUMBER(N99), N99, 0)</f>
        <v>0</v>
      </c>
      <c r="Q99" s="35">
        <f t="shared" si="35"/>
        <v>0</v>
      </c>
    </row>
    <row r="100" spans="2:17" x14ac:dyDescent="0.35">
      <c r="B100" s="37"/>
      <c r="C100" s="38"/>
      <c r="D100" s="39"/>
      <c r="E100" s="32" t="s">
        <v>24</v>
      </c>
      <c r="F100" s="41"/>
      <c r="G100" s="35"/>
      <c r="H100" s="48"/>
      <c r="I100" s="35"/>
      <c r="J100" s="41"/>
      <c r="K100" s="34"/>
      <c r="L100" s="42"/>
      <c r="M100" s="35"/>
      <c r="N100" s="41">
        <f>IFERROR(VLOOKUP(C100, SEC_105000!N72:O77, 2, FALSE), "")</f>
        <v>0</v>
      </c>
      <c r="O100" s="35" t="str">
        <f>IF(AND(ISNUMBER(D100), ISNUMBER(N100)), D100 * N100, "")</f>
        <v/>
      </c>
      <c r="P100" s="36">
        <f>IF(ISNUMBER(F100), F100, 0) + IF(ISNUMBER(H100), H100 * (1 + $I$4), 0) + IF(AND(ISNUMBER(L100), ISNUMBER(J100), J100&lt;&gt;0), L100 / J100, 0) + IF(ISNUMBER(N100), N100, 0)</f>
        <v>0</v>
      </c>
      <c r="Q100" s="35">
        <f t="shared" si="35"/>
        <v>0</v>
      </c>
    </row>
    <row r="101" spans="2:17" x14ac:dyDescent="0.35">
      <c r="B101" s="37"/>
      <c r="C101" s="38"/>
      <c r="D101" s="39"/>
      <c r="E101" s="32"/>
      <c r="F101" s="41"/>
      <c r="G101" s="35"/>
      <c r="H101" s="48"/>
      <c r="I101" s="35"/>
      <c r="J101" s="41"/>
      <c r="K101" s="34"/>
      <c r="L101" s="42"/>
      <c r="M101" s="35"/>
      <c r="N101" s="41">
        <v>0</v>
      </c>
      <c r="O101" s="35">
        <f>$D101*N101</f>
        <v>0</v>
      </c>
      <c r="P101" s="36">
        <f>F101+(H101*(1+$I$4))+IFERROR(L101/J101,0)+N101</f>
        <v>0</v>
      </c>
      <c r="Q101" s="35">
        <f t="shared" si="35"/>
        <v>0</v>
      </c>
    </row>
    <row r="102" spans="2:17" x14ac:dyDescent="0.35">
      <c r="B102" s="37" t="str">
        <f>IFERROR(VLOOKUP(C102, SEC_105000!$C$206:$G$207, 3, FALSE), "")</f>
        <v/>
      </c>
      <c r="C102" s="38"/>
      <c r="D102" s="39"/>
      <c r="E102" s="32"/>
      <c r="F102" s="41"/>
      <c r="G102" s="35"/>
      <c r="H102" s="48"/>
      <c r="I102" s="35"/>
      <c r="J102" s="41"/>
      <c r="K102" s="34"/>
      <c r="L102" s="42"/>
      <c r="M102" s="35"/>
      <c r="N102" s="41">
        <v>0</v>
      </c>
      <c r="O102" s="35">
        <f>$D102*N102</f>
        <v>0</v>
      </c>
      <c r="P102" s="36">
        <f>F102+(H102*(1+$I$4))+IFERROR(L102/J102,0)+N102</f>
        <v>0</v>
      </c>
      <c r="Q102" s="35">
        <f t="shared" si="35"/>
        <v>0</v>
      </c>
    </row>
    <row r="103" spans="2:17" ht="15.5" x14ac:dyDescent="0.35">
      <c r="B103" s="37" t="str">
        <f>IFERROR(VLOOKUP(C103, SEC_105000!$C$206:$G$207, 3, FALSE), "")</f>
        <v/>
      </c>
      <c r="C103" s="105" t="s">
        <v>21431</v>
      </c>
      <c r="D103" s="39"/>
      <c r="E103" s="32"/>
      <c r="F103" s="41"/>
      <c r="G103" s="35"/>
      <c r="H103" s="34"/>
      <c r="I103" s="35"/>
      <c r="J103" s="41"/>
      <c r="K103" s="34"/>
      <c r="L103" s="34"/>
      <c r="M103" s="35"/>
      <c r="N103" s="41"/>
      <c r="O103" s="35"/>
      <c r="P103" s="31"/>
      <c r="Q103" s="35"/>
    </row>
    <row r="104" spans="2:17" x14ac:dyDescent="0.35">
      <c r="B104" s="37" t="str">
        <f>IFERROR(VLOOKUP(C104, SEC_105000!$C$206:$G$207, 3, FALSE), "")</f>
        <v/>
      </c>
      <c r="C104" s="30" t="s">
        <v>21424</v>
      </c>
      <c r="D104" s="39"/>
      <c r="E104" s="32"/>
      <c r="F104" s="41">
        <v>0</v>
      </c>
      <c r="G104" s="35">
        <f t="shared" ref="G104:G117" si="36">$D104*F104</f>
        <v>0</v>
      </c>
      <c r="H104" s="48"/>
      <c r="I104" s="35">
        <f>$D104*H104</f>
        <v>0</v>
      </c>
      <c r="J104" s="41"/>
      <c r="K104" s="34">
        <f t="shared" ref="K104:K112" si="37">IFERROR($D104/$J104,0)</f>
        <v>0</v>
      </c>
      <c r="L104" s="42"/>
      <c r="M104" s="35">
        <f t="shared" ref="M104:M117" si="38">IFERROR(K104*L104,0)</f>
        <v>0</v>
      </c>
      <c r="N104" s="41">
        <v>0</v>
      </c>
      <c r="O104" s="35">
        <f t="shared" ref="O104:O118" si="39">$D104*N104</f>
        <v>0</v>
      </c>
      <c r="P104" s="36">
        <f>F104+(H104*(1+$I$4))+IFERROR(L104/J104,0)+N104</f>
        <v>0</v>
      </c>
      <c r="Q104" s="35">
        <f>SUM(O104,M104,I104*(1+$I$4),G104)</f>
        <v>0</v>
      </c>
    </row>
    <row r="105" spans="2:17" x14ac:dyDescent="0.35">
      <c r="B105" s="37" t="str">
        <f>IFERROR(VLOOKUP(C105, SEC_105000!$C$206:$G$207, 3, FALSE), "")</f>
        <v/>
      </c>
      <c r="C105" s="38"/>
      <c r="D105" s="39"/>
      <c r="E105" s="32" t="str">
        <f>IFERROR(VLOOKUP(C105, SEC_105000!$C$204:$G$1962, 2, FALSE), "")</f>
        <v/>
      </c>
      <c r="F105" s="41">
        <v>0</v>
      </c>
      <c r="G105" s="35">
        <f t="shared" si="36"/>
        <v>0</v>
      </c>
      <c r="H105" s="48" t="str">
        <f>IFERROR(VLOOKUP(C105, SEC_105000!$C$204:$G$1962, 4, FALSE), "")</f>
        <v/>
      </c>
      <c r="I105" s="35" t="str">
        <f t="shared" ref="I105:I112" si="40">IF(AND(ISNUMBER(D105), ISNUMBER(H105)), D105 * H105, "")</f>
        <v/>
      </c>
      <c r="J105" s="41" t="str">
        <f>IFERROR(VLOOKUP(C105, SEC_105000!$C$204:$G$1962, 5, FALSE), "")</f>
        <v/>
      </c>
      <c r="K105" s="34">
        <f t="shared" si="37"/>
        <v>0</v>
      </c>
      <c r="L105" s="42"/>
      <c r="M105" s="35">
        <f t="shared" si="38"/>
        <v>0</v>
      </c>
      <c r="N105" s="41">
        <v>0</v>
      </c>
      <c r="O105" s="35">
        <f t="shared" si="39"/>
        <v>0</v>
      </c>
      <c r="P105" s="36">
        <f t="shared" ref="P105:P112" si="41">IF(ISNUMBER(F105), F105, 0) + IF(ISNUMBER(H105), H105 * (1 + $I$4), 0) + IF(AND(ISNUMBER(L105), ISNUMBER(J105), J105 &lt;&gt; 0), L105 / J105, 0) + IF(ISNUMBER(N105), N105, 0)</f>
        <v>0</v>
      </c>
      <c r="Q105" s="35">
        <f t="shared" ref="Q105:Q112" si="42">SUM(IF(ISNUMBER(O105), O105, 0), IF(ISNUMBER(M105), M105, 0), IF(ISNUMBER(I105), I105 * (1 + $I$4), 0), IF(ISNUMBER(G105), G105, 0))</f>
        <v>0</v>
      </c>
    </row>
    <row r="106" spans="2:17" x14ac:dyDescent="0.35">
      <c r="B106" s="37" t="str">
        <f>IFERROR(VLOOKUP(C106, SEC_105000!$C$206:$G$207, 3, FALSE), "")</f>
        <v/>
      </c>
      <c r="C106" s="38"/>
      <c r="D106" s="39"/>
      <c r="E106" s="32" t="str">
        <f>IFERROR(VLOOKUP(C106, SEC_105000!$C$204:$G$1962, 2, FALSE), "")</f>
        <v/>
      </c>
      <c r="F106" s="41">
        <v>0</v>
      </c>
      <c r="G106" s="35">
        <f t="shared" si="36"/>
        <v>0</v>
      </c>
      <c r="H106" s="48" t="str">
        <f>IFERROR(VLOOKUP(C106, SEC_105000!$C$204:$G$1962, 4, FALSE), "")</f>
        <v/>
      </c>
      <c r="I106" s="35" t="str">
        <f t="shared" si="40"/>
        <v/>
      </c>
      <c r="J106" s="41" t="str">
        <f>IFERROR(VLOOKUP(C106, SEC_105000!$C$204:$G$1962, 5, FALSE), "")</f>
        <v/>
      </c>
      <c r="K106" s="34">
        <f t="shared" si="37"/>
        <v>0</v>
      </c>
      <c r="L106" s="42"/>
      <c r="M106" s="35">
        <f t="shared" si="38"/>
        <v>0</v>
      </c>
      <c r="N106" s="41">
        <v>0</v>
      </c>
      <c r="O106" s="35">
        <f t="shared" si="39"/>
        <v>0</v>
      </c>
      <c r="P106" s="36">
        <f t="shared" si="41"/>
        <v>0</v>
      </c>
      <c r="Q106" s="35">
        <f t="shared" si="42"/>
        <v>0</v>
      </c>
    </row>
    <row r="107" spans="2:17" x14ac:dyDescent="0.35">
      <c r="B107" s="37" t="str">
        <f>IFERROR(VLOOKUP(C107, SEC_105000!$C$206:$G$207, 3, FALSE), "")</f>
        <v/>
      </c>
      <c r="C107" s="38"/>
      <c r="D107" s="39"/>
      <c r="E107" s="32" t="str">
        <f>IFERROR(VLOOKUP(C107, SEC_105000!$C$204:$G$1962, 2, FALSE), "")</f>
        <v/>
      </c>
      <c r="F107" s="41">
        <v>0</v>
      </c>
      <c r="G107" s="35">
        <f t="shared" si="36"/>
        <v>0</v>
      </c>
      <c r="H107" s="48" t="str">
        <f>IFERROR(VLOOKUP(C107, SEC_105000!$C$204:$G$1962, 4, FALSE), "")</f>
        <v/>
      </c>
      <c r="I107" s="35" t="str">
        <f t="shared" si="40"/>
        <v/>
      </c>
      <c r="J107" s="41" t="str">
        <f>IFERROR(VLOOKUP(C107, SEC_105000!$C$204:$G$1962, 5, FALSE), "")</f>
        <v/>
      </c>
      <c r="K107" s="34">
        <f t="shared" si="37"/>
        <v>0</v>
      </c>
      <c r="L107" s="42"/>
      <c r="M107" s="35">
        <f t="shared" si="38"/>
        <v>0</v>
      </c>
      <c r="N107" s="41">
        <v>0</v>
      </c>
      <c r="O107" s="35">
        <f t="shared" si="39"/>
        <v>0</v>
      </c>
      <c r="P107" s="36">
        <f t="shared" si="41"/>
        <v>0</v>
      </c>
      <c r="Q107" s="35">
        <f t="shared" si="42"/>
        <v>0</v>
      </c>
    </row>
    <row r="108" spans="2:17" x14ac:dyDescent="0.35">
      <c r="B108" s="37" t="str">
        <f>IFERROR(VLOOKUP(C108, SEC_105000!$C$206:$G$207, 3, FALSE), "")</f>
        <v/>
      </c>
      <c r="C108" s="38"/>
      <c r="D108" s="39"/>
      <c r="E108" s="32" t="str">
        <f>IFERROR(VLOOKUP(C108, SEC_105000!$C$204:$G$1962, 2, FALSE), "")</f>
        <v/>
      </c>
      <c r="F108" s="41">
        <v>0</v>
      </c>
      <c r="G108" s="35">
        <f t="shared" si="36"/>
        <v>0</v>
      </c>
      <c r="H108" s="48" t="str">
        <f>IFERROR(VLOOKUP(C108, SEC_105000!$C$204:$G$1962, 4, FALSE), "")</f>
        <v/>
      </c>
      <c r="I108" s="35" t="str">
        <f t="shared" si="40"/>
        <v/>
      </c>
      <c r="J108" s="41" t="str">
        <f>IFERROR(VLOOKUP(C108, SEC_105000!$C$204:$G$1962, 5, FALSE), "")</f>
        <v/>
      </c>
      <c r="K108" s="34">
        <f t="shared" si="37"/>
        <v>0</v>
      </c>
      <c r="L108" s="42"/>
      <c r="M108" s="35">
        <f t="shared" si="38"/>
        <v>0</v>
      </c>
      <c r="N108" s="41">
        <v>0</v>
      </c>
      <c r="O108" s="35">
        <f t="shared" si="39"/>
        <v>0</v>
      </c>
      <c r="P108" s="36">
        <f t="shared" si="41"/>
        <v>0</v>
      </c>
      <c r="Q108" s="35">
        <f t="shared" si="42"/>
        <v>0</v>
      </c>
    </row>
    <row r="109" spans="2:17" x14ac:dyDescent="0.35">
      <c r="B109" s="37" t="str">
        <f>IFERROR(VLOOKUP(C109, SEC_105000!$C$206:$G$207, 3, FALSE), "")</f>
        <v/>
      </c>
      <c r="C109" s="38"/>
      <c r="D109" s="39"/>
      <c r="E109" s="32" t="str">
        <f>IFERROR(VLOOKUP(C109, SEC_105000!$C$204:$G$1962, 2, FALSE), "")</f>
        <v/>
      </c>
      <c r="F109" s="41">
        <v>0</v>
      </c>
      <c r="G109" s="35">
        <f t="shared" si="36"/>
        <v>0</v>
      </c>
      <c r="H109" s="48" t="str">
        <f>IFERROR(VLOOKUP(C109, SEC_105000!$C$204:$G$1962, 4, FALSE), "")</f>
        <v/>
      </c>
      <c r="I109" s="35" t="str">
        <f t="shared" si="40"/>
        <v/>
      </c>
      <c r="J109" s="41" t="str">
        <f>IFERROR(VLOOKUP(C109, SEC_105000!$C$204:$G$1962, 5, FALSE), "")</f>
        <v/>
      </c>
      <c r="K109" s="34">
        <f t="shared" si="37"/>
        <v>0</v>
      </c>
      <c r="L109" s="42"/>
      <c r="M109" s="35">
        <f t="shared" si="38"/>
        <v>0</v>
      </c>
      <c r="N109" s="41">
        <v>0</v>
      </c>
      <c r="O109" s="35">
        <f t="shared" si="39"/>
        <v>0</v>
      </c>
      <c r="P109" s="36">
        <f t="shared" si="41"/>
        <v>0</v>
      </c>
      <c r="Q109" s="35">
        <f t="shared" si="42"/>
        <v>0</v>
      </c>
    </row>
    <row r="110" spans="2:17" x14ac:dyDescent="0.35">
      <c r="B110" s="37"/>
      <c r="C110" s="38"/>
      <c r="D110" s="39"/>
      <c r="E110" s="32" t="str">
        <f>IFERROR(VLOOKUP(C110, SEC_105000!$C$204:$G$1962, 2, FALSE), "")</f>
        <v/>
      </c>
      <c r="F110" s="41">
        <v>0</v>
      </c>
      <c r="G110" s="35">
        <f t="shared" si="36"/>
        <v>0</v>
      </c>
      <c r="H110" s="48" t="str">
        <f>IFERROR(VLOOKUP(C110, SEC_105000!$C$204:$G$1962, 4, FALSE), "")</f>
        <v/>
      </c>
      <c r="I110" s="35" t="str">
        <f t="shared" si="40"/>
        <v/>
      </c>
      <c r="J110" s="41" t="str">
        <f>IFERROR(VLOOKUP(C110, SEC_105000!$C$204:$G$1962, 5, FALSE), "")</f>
        <v/>
      </c>
      <c r="K110" s="34">
        <f t="shared" si="37"/>
        <v>0</v>
      </c>
      <c r="L110" s="42"/>
      <c r="M110" s="35">
        <f t="shared" si="38"/>
        <v>0</v>
      </c>
      <c r="N110" s="41">
        <v>0</v>
      </c>
      <c r="O110" s="35">
        <f t="shared" si="39"/>
        <v>0</v>
      </c>
      <c r="P110" s="36">
        <f t="shared" si="41"/>
        <v>0</v>
      </c>
      <c r="Q110" s="35">
        <f t="shared" si="42"/>
        <v>0</v>
      </c>
    </row>
    <row r="111" spans="2:17" x14ac:dyDescent="0.35">
      <c r="B111" s="37"/>
      <c r="C111" s="38"/>
      <c r="D111" s="39"/>
      <c r="E111" s="32" t="str">
        <f>IFERROR(VLOOKUP(C111, SEC_105000!$C$204:$G$1962, 2, FALSE), "")</f>
        <v/>
      </c>
      <c r="F111" s="41">
        <v>0</v>
      </c>
      <c r="G111" s="35">
        <f t="shared" si="36"/>
        <v>0</v>
      </c>
      <c r="H111" s="48" t="str">
        <f>IFERROR(VLOOKUP(C111, SEC_105000!$C$204:$G$1962, 4, FALSE), "")</f>
        <v/>
      </c>
      <c r="I111" s="35" t="str">
        <f t="shared" si="40"/>
        <v/>
      </c>
      <c r="J111" s="41" t="str">
        <f>IFERROR(VLOOKUP(C111, SEC_105000!$C$204:$G$1962, 5, FALSE), "")</f>
        <v/>
      </c>
      <c r="K111" s="34">
        <f t="shared" si="37"/>
        <v>0</v>
      </c>
      <c r="L111" s="42"/>
      <c r="M111" s="35">
        <f t="shared" si="38"/>
        <v>0</v>
      </c>
      <c r="N111" s="41">
        <v>0</v>
      </c>
      <c r="O111" s="35">
        <f t="shared" si="39"/>
        <v>0</v>
      </c>
      <c r="P111" s="36">
        <f t="shared" si="41"/>
        <v>0</v>
      </c>
      <c r="Q111" s="35">
        <f t="shared" si="42"/>
        <v>0</v>
      </c>
    </row>
    <row r="112" spans="2:17" x14ac:dyDescent="0.35">
      <c r="B112" s="37"/>
      <c r="C112" s="38"/>
      <c r="D112" s="39"/>
      <c r="E112" s="32" t="str">
        <f>IFERROR(VLOOKUP(C112, SEC_105000!$C$204:$G$1962, 2, FALSE), "")</f>
        <v/>
      </c>
      <c r="F112" s="41">
        <v>0</v>
      </c>
      <c r="G112" s="35">
        <f t="shared" si="36"/>
        <v>0</v>
      </c>
      <c r="H112" s="48" t="str">
        <f>IFERROR(VLOOKUP(C112, SEC_105000!$C$204:$G$1962, 4, FALSE), "")</f>
        <v/>
      </c>
      <c r="I112" s="35" t="str">
        <f t="shared" si="40"/>
        <v/>
      </c>
      <c r="J112" s="41" t="str">
        <f>IFERROR(VLOOKUP(C112, SEC_105000!$C$204:$G$1962, 5, FALSE), "")</f>
        <v/>
      </c>
      <c r="K112" s="34">
        <f t="shared" si="37"/>
        <v>0</v>
      </c>
      <c r="L112" s="42"/>
      <c r="M112" s="35">
        <f t="shared" si="38"/>
        <v>0</v>
      </c>
      <c r="N112" s="41">
        <v>0</v>
      </c>
      <c r="O112" s="35">
        <f t="shared" si="39"/>
        <v>0</v>
      </c>
      <c r="P112" s="36">
        <f t="shared" si="41"/>
        <v>0</v>
      </c>
      <c r="Q112" s="35">
        <f t="shared" si="42"/>
        <v>0</v>
      </c>
    </row>
    <row r="113" spans="2:17" x14ac:dyDescent="0.35">
      <c r="B113" s="37"/>
      <c r="C113" s="30" t="s">
        <v>21423</v>
      </c>
      <c r="D113" s="39"/>
      <c r="E113" s="32"/>
      <c r="F113" s="41">
        <v>0</v>
      </c>
      <c r="G113" s="35">
        <f t="shared" si="36"/>
        <v>0</v>
      </c>
      <c r="H113" s="48"/>
      <c r="I113" s="35">
        <f>$D113*H113</f>
        <v>0</v>
      </c>
      <c r="J113" s="41"/>
      <c r="K113" s="34"/>
      <c r="L113" s="42"/>
      <c r="M113" s="35">
        <f t="shared" si="38"/>
        <v>0</v>
      </c>
      <c r="N113" s="41">
        <v>0</v>
      </c>
      <c r="O113" s="35">
        <f t="shared" si="39"/>
        <v>0</v>
      </c>
      <c r="P113" s="36">
        <f t="shared" ref="P113:P118" si="43">F113+(H113*(1+$I$4))+IFERROR(L113/J113,0)+N113</f>
        <v>0</v>
      </c>
      <c r="Q113" s="35">
        <f t="shared" ref="Q113:Q124" si="44">SUM(O113,M113,I113*(1+$I$4),G113)</f>
        <v>0</v>
      </c>
    </row>
    <row r="114" spans="2:17" x14ac:dyDescent="0.35">
      <c r="B114" s="37"/>
      <c r="C114" s="38"/>
      <c r="D114" s="39"/>
      <c r="E114" s="32" t="s">
        <v>24</v>
      </c>
      <c r="F114" s="41">
        <v>0</v>
      </c>
      <c r="G114" s="35">
        <f t="shared" si="36"/>
        <v>0</v>
      </c>
      <c r="H114" s="48"/>
      <c r="I114" s="35">
        <f>$D114*H114</f>
        <v>0</v>
      </c>
      <c r="J114" s="41"/>
      <c r="K114" s="34"/>
      <c r="L114" s="42" t="str">
        <f>IFERROR(VLOOKUP(C114, SEC_105000!K92:M97, 2, FALSE), "")</f>
        <v/>
      </c>
      <c r="M114" s="35">
        <f t="shared" si="38"/>
        <v>0</v>
      </c>
      <c r="N114" s="41">
        <v>0</v>
      </c>
      <c r="O114" s="35">
        <f t="shared" si="39"/>
        <v>0</v>
      </c>
      <c r="P114" s="36">
        <f t="shared" si="43"/>
        <v>0</v>
      </c>
      <c r="Q114" s="35">
        <f t="shared" si="44"/>
        <v>0</v>
      </c>
    </row>
    <row r="115" spans="2:17" x14ac:dyDescent="0.35">
      <c r="B115" s="37"/>
      <c r="C115" s="38"/>
      <c r="D115" s="39"/>
      <c r="E115" s="32" t="s">
        <v>24</v>
      </c>
      <c r="F115" s="41">
        <v>0</v>
      </c>
      <c r="G115" s="35">
        <f t="shared" si="36"/>
        <v>0</v>
      </c>
      <c r="H115" s="48"/>
      <c r="I115" s="35">
        <f>$D115*H115</f>
        <v>0</v>
      </c>
      <c r="J115" s="41"/>
      <c r="K115" s="34"/>
      <c r="L115" s="42" t="str">
        <f>IFERROR(VLOOKUP(C115, SEC_105000!K93:M98, 2, FALSE), "")</f>
        <v/>
      </c>
      <c r="M115" s="35">
        <f t="shared" si="38"/>
        <v>0</v>
      </c>
      <c r="N115" s="41">
        <v>0</v>
      </c>
      <c r="O115" s="35">
        <f t="shared" si="39"/>
        <v>0</v>
      </c>
      <c r="P115" s="36">
        <f t="shared" si="43"/>
        <v>0</v>
      </c>
      <c r="Q115" s="35">
        <f t="shared" si="44"/>
        <v>0</v>
      </c>
    </row>
    <row r="116" spans="2:17" x14ac:dyDescent="0.35">
      <c r="B116" s="37"/>
      <c r="C116" s="38"/>
      <c r="D116" s="39"/>
      <c r="E116" s="32" t="s">
        <v>24</v>
      </c>
      <c r="F116" s="41">
        <v>0</v>
      </c>
      <c r="G116" s="35">
        <f t="shared" si="36"/>
        <v>0</v>
      </c>
      <c r="H116" s="48"/>
      <c r="I116" s="35">
        <f>$D116*H116</f>
        <v>0</v>
      </c>
      <c r="J116" s="41"/>
      <c r="K116" s="34"/>
      <c r="L116" s="42" t="str">
        <f>IFERROR(VLOOKUP(C116, SEC_105000!K94:M99, 2, FALSE), "")</f>
        <v/>
      </c>
      <c r="M116" s="35">
        <f t="shared" si="38"/>
        <v>0</v>
      </c>
      <c r="N116" s="41">
        <v>0</v>
      </c>
      <c r="O116" s="35">
        <f t="shared" si="39"/>
        <v>0</v>
      </c>
      <c r="P116" s="36">
        <f t="shared" si="43"/>
        <v>0</v>
      </c>
      <c r="Q116" s="35">
        <f t="shared" si="44"/>
        <v>0</v>
      </c>
    </row>
    <row r="117" spans="2:17" x14ac:dyDescent="0.35">
      <c r="B117" s="37"/>
      <c r="C117" s="38"/>
      <c r="D117" s="39"/>
      <c r="E117" s="32" t="s">
        <v>24</v>
      </c>
      <c r="F117" s="41">
        <v>0</v>
      </c>
      <c r="G117" s="35">
        <f t="shared" si="36"/>
        <v>0</v>
      </c>
      <c r="H117" s="48"/>
      <c r="I117" s="35">
        <f>$D117*H117</f>
        <v>0</v>
      </c>
      <c r="J117" s="41"/>
      <c r="K117" s="34"/>
      <c r="L117" s="42" t="str">
        <f>IFERROR(VLOOKUP(C117, SEC_105000!K95:M100, 2, FALSE), "")</f>
        <v/>
      </c>
      <c r="M117" s="35">
        <f t="shared" si="38"/>
        <v>0</v>
      </c>
      <c r="N117" s="41">
        <v>0</v>
      </c>
      <c r="O117" s="35">
        <f t="shared" si="39"/>
        <v>0</v>
      </c>
      <c r="P117" s="36">
        <f t="shared" si="43"/>
        <v>0</v>
      </c>
      <c r="Q117" s="35">
        <f t="shared" si="44"/>
        <v>0</v>
      </c>
    </row>
    <row r="118" spans="2:17" x14ac:dyDescent="0.35">
      <c r="B118" s="37"/>
      <c r="C118" s="30" t="s">
        <v>21422</v>
      </c>
      <c r="D118" s="39"/>
      <c r="E118" s="32"/>
      <c r="F118" s="41"/>
      <c r="G118" s="35"/>
      <c r="H118" s="48"/>
      <c r="I118" s="35"/>
      <c r="J118" s="41"/>
      <c r="K118" s="34"/>
      <c r="L118" s="42"/>
      <c r="M118" s="35"/>
      <c r="N118" s="41">
        <v>0</v>
      </c>
      <c r="O118" s="35">
        <f t="shared" si="39"/>
        <v>0</v>
      </c>
      <c r="P118" s="36">
        <f t="shared" si="43"/>
        <v>0</v>
      </c>
      <c r="Q118" s="35">
        <f t="shared" si="44"/>
        <v>0</v>
      </c>
    </row>
    <row r="119" spans="2:17" x14ac:dyDescent="0.35">
      <c r="B119" s="37"/>
      <c r="C119" s="38"/>
      <c r="D119" s="39"/>
      <c r="E119" s="32" t="s">
        <v>24</v>
      </c>
      <c r="F119" s="41"/>
      <c r="G119" s="35"/>
      <c r="H119" s="48"/>
      <c r="I119" s="35"/>
      <c r="J119" s="41"/>
      <c r="K119" s="34"/>
      <c r="L119" s="42"/>
      <c r="M119" s="35"/>
      <c r="N119" s="41">
        <f>IFERROR(VLOOKUP(C119, SEC_105000!N91:O96, 2, FALSE), "")</f>
        <v>0</v>
      </c>
      <c r="O119" s="35" t="str">
        <f>IF(AND(ISNUMBER(D119), ISNUMBER(N119)), D119 * N119, "")</f>
        <v/>
      </c>
      <c r="P119" s="36">
        <f>IF(ISNUMBER(F119), F119, 0) + IF(ISNUMBER(H119), H119 * (1 + $I$4), 0) + IF(AND(ISNUMBER(L119), ISNUMBER(J119), J119&lt;&gt;0), L119 / J119, 0) + IF(ISNUMBER(N119), N119, 0)</f>
        <v>0</v>
      </c>
      <c r="Q119" s="35">
        <f t="shared" si="44"/>
        <v>0</v>
      </c>
    </row>
    <row r="120" spans="2:17" x14ac:dyDescent="0.35">
      <c r="B120" s="37"/>
      <c r="C120" s="38"/>
      <c r="D120" s="39"/>
      <c r="E120" s="32" t="s">
        <v>24</v>
      </c>
      <c r="F120" s="41"/>
      <c r="G120" s="35"/>
      <c r="H120" s="48"/>
      <c r="I120" s="35"/>
      <c r="J120" s="41"/>
      <c r="K120" s="34"/>
      <c r="L120" s="42"/>
      <c r="M120" s="35"/>
      <c r="N120" s="41">
        <f>IFERROR(VLOOKUP(C120, SEC_105000!N92:O97, 2, FALSE), "")</f>
        <v>0</v>
      </c>
      <c r="O120" s="35" t="str">
        <f>IF(AND(ISNUMBER(D120), ISNUMBER(N120)), D120 * N120, "")</f>
        <v/>
      </c>
      <c r="P120" s="36">
        <f>IF(ISNUMBER(F120), F120, 0) + IF(ISNUMBER(H120), H120 * (1 + $I$4), 0) + IF(AND(ISNUMBER(L120), ISNUMBER(J120), J120&lt;&gt;0), L120 / J120, 0) + IF(ISNUMBER(N120), N120, 0)</f>
        <v>0</v>
      </c>
      <c r="Q120" s="35">
        <f t="shared" si="44"/>
        <v>0</v>
      </c>
    </row>
    <row r="121" spans="2:17" x14ac:dyDescent="0.35">
      <c r="B121" s="37"/>
      <c r="C121" s="38"/>
      <c r="D121" s="39"/>
      <c r="E121" s="32" t="s">
        <v>24</v>
      </c>
      <c r="F121" s="41"/>
      <c r="G121" s="35"/>
      <c r="H121" s="48"/>
      <c r="I121" s="35"/>
      <c r="J121" s="41"/>
      <c r="K121" s="34"/>
      <c r="L121" s="42"/>
      <c r="M121" s="35"/>
      <c r="N121" s="41">
        <f>IFERROR(VLOOKUP(C121, SEC_105000!N93:O98, 2, FALSE), "")</f>
        <v>0</v>
      </c>
      <c r="O121" s="35" t="str">
        <f>IF(AND(ISNUMBER(D121), ISNUMBER(N121)), D121 * N121, "")</f>
        <v/>
      </c>
      <c r="P121" s="36">
        <f>IF(ISNUMBER(F121), F121, 0) + IF(ISNUMBER(H121), H121 * (1 + $I$4), 0) + IF(AND(ISNUMBER(L121), ISNUMBER(J121), J121&lt;&gt;0), L121 / J121, 0) + IF(ISNUMBER(N121), N121, 0)</f>
        <v>0</v>
      </c>
      <c r="Q121" s="35">
        <f t="shared" si="44"/>
        <v>0</v>
      </c>
    </row>
    <row r="122" spans="2:17" x14ac:dyDescent="0.35">
      <c r="B122" s="37"/>
      <c r="C122" s="38"/>
      <c r="D122" s="39"/>
      <c r="E122" s="32" t="s">
        <v>24</v>
      </c>
      <c r="F122" s="41"/>
      <c r="G122" s="35"/>
      <c r="H122" s="48"/>
      <c r="I122" s="35"/>
      <c r="J122" s="41"/>
      <c r="K122" s="34"/>
      <c r="L122" s="42"/>
      <c r="M122" s="35"/>
      <c r="N122" s="41">
        <f>IFERROR(VLOOKUP(C122, SEC_105000!N94:O99, 2, FALSE), "")</f>
        <v>0</v>
      </c>
      <c r="O122" s="35" t="str">
        <f>IF(AND(ISNUMBER(D122), ISNUMBER(N122)), D122 * N122, "")</f>
        <v/>
      </c>
      <c r="P122" s="36">
        <f>IF(ISNUMBER(F122), F122, 0) + IF(ISNUMBER(H122), H122 * (1 + $I$4), 0) + IF(AND(ISNUMBER(L122), ISNUMBER(J122), J122&lt;&gt;0), L122 / J122, 0) + IF(ISNUMBER(N122), N122, 0)</f>
        <v>0</v>
      </c>
      <c r="Q122" s="35">
        <f t="shared" si="44"/>
        <v>0</v>
      </c>
    </row>
    <row r="123" spans="2:17" x14ac:dyDescent="0.35">
      <c r="B123" s="37" t="str">
        <f>IFERROR(VLOOKUP(C123, SEC_105000!$C$206:$G$207, 3, FALSE), "")</f>
        <v/>
      </c>
      <c r="C123" s="38"/>
      <c r="D123" s="39"/>
      <c r="E123" s="32"/>
      <c r="F123" s="41"/>
      <c r="G123" s="35"/>
      <c r="H123" s="48"/>
      <c r="I123" s="35"/>
      <c r="J123" s="41"/>
      <c r="K123" s="34"/>
      <c r="L123" s="42"/>
      <c r="M123" s="35"/>
      <c r="N123" s="41">
        <v>0</v>
      </c>
      <c r="O123" s="35">
        <f>$D123*N123</f>
        <v>0</v>
      </c>
      <c r="P123" s="36">
        <f>F123+(H123*(1+$I$4))+IFERROR(L123/J123,0)+N123</f>
        <v>0</v>
      </c>
      <c r="Q123" s="35">
        <f t="shared" si="44"/>
        <v>0</v>
      </c>
    </row>
    <row r="124" spans="2:17" x14ac:dyDescent="0.35">
      <c r="B124" s="37" t="str">
        <f>IFERROR(VLOOKUP(C124, SEC_105000!$C$206:$G$207, 3, FALSE), "")</f>
        <v/>
      </c>
      <c r="C124" s="38"/>
      <c r="D124" s="39"/>
      <c r="E124" s="32"/>
      <c r="F124" s="41"/>
      <c r="G124" s="35"/>
      <c r="H124" s="48"/>
      <c r="I124" s="35"/>
      <c r="J124" s="41"/>
      <c r="K124" s="34"/>
      <c r="L124" s="42"/>
      <c r="M124" s="35"/>
      <c r="N124" s="41">
        <v>0</v>
      </c>
      <c r="O124" s="35">
        <f>$D124*N124</f>
        <v>0</v>
      </c>
      <c r="P124" s="36">
        <f>F124+(H124*(1+$I$4))+IFERROR(L124/J124,0)+N124</f>
        <v>0</v>
      </c>
      <c r="Q124" s="35">
        <f t="shared" si="44"/>
        <v>0</v>
      </c>
    </row>
    <row r="125" spans="2:17" ht="15.5" x14ac:dyDescent="0.35">
      <c r="B125" s="37" t="str">
        <f>IFERROR(VLOOKUP(C125, SEC_105000!$C$206:$G$207, 3, FALSE), "")</f>
        <v/>
      </c>
      <c r="C125" s="105" t="s">
        <v>21431</v>
      </c>
      <c r="D125" s="39"/>
      <c r="E125" s="32"/>
      <c r="F125" s="41"/>
      <c r="G125" s="35"/>
      <c r="H125" s="34"/>
      <c r="I125" s="35"/>
      <c r="J125" s="41"/>
      <c r="K125" s="34"/>
      <c r="L125" s="34"/>
      <c r="M125" s="35"/>
      <c r="N125" s="41"/>
      <c r="O125" s="35"/>
      <c r="P125" s="31"/>
      <c r="Q125" s="35"/>
    </row>
    <row r="126" spans="2:17" x14ac:dyDescent="0.35">
      <c r="B126" s="37" t="str">
        <f>IFERROR(VLOOKUP(C126, SEC_105000!$C$206:$G$207, 3, FALSE), "")</f>
        <v/>
      </c>
      <c r="C126" s="30" t="s">
        <v>21424</v>
      </c>
      <c r="D126" s="39"/>
      <c r="E126" s="32"/>
      <c r="F126" s="41">
        <v>0</v>
      </c>
      <c r="G126" s="35">
        <f t="shared" ref="G126:G139" si="45">$D126*F126</f>
        <v>0</v>
      </c>
      <c r="H126" s="48"/>
      <c r="I126" s="35">
        <f>$D126*H126</f>
        <v>0</v>
      </c>
      <c r="J126" s="41"/>
      <c r="K126" s="34">
        <f t="shared" ref="K126:K134" si="46">IFERROR($D126/$J126,0)</f>
        <v>0</v>
      </c>
      <c r="L126" s="42"/>
      <c r="M126" s="35">
        <f t="shared" ref="M126:M139" si="47">IFERROR(K126*L126,0)</f>
        <v>0</v>
      </c>
      <c r="N126" s="41">
        <v>0</v>
      </c>
      <c r="O126" s="35">
        <f t="shared" ref="O126:O140" si="48">$D126*N126</f>
        <v>0</v>
      </c>
      <c r="P126" s="36">
        <f>F126+(H126*(1+$I$4))+IFERROR(L126/J126,0)+N126</f>
        <v>0</v>
      </c>
      <c r="Q126" s="35">
        <f>SUM(O126,M126,I126*(1+$I$4),G126)</f>
        <v>0</v>
      </c>
    </row>
    <row r="127" spans="2:17" x14ac:dyDescent="0.35">
      <c r="B127" s="37" t="str">
        <f>IFERROR(VLOOKUP(C127, SEC_105000!$C$206:$G$207, 3, FALSE), "")</f>
        <v/>
      </c>
      <c r="C127" s="38"/>
      <c r="D127" s="39"/>
      <c r="E127" s="32" t="str">
        <f>IFERROR(VLOOKUP(C127, SEC_105000!$C$204:$G$1962, 2, FALSE), "")</f>
        <v/>
      </c>
      <c r="F127" s="41">
        <v>0</v>
      </c>
      <c r="G127" s="35">
        <f t="shared" si="45"/>
        <v>0</v>
      </c>
      <c r="H127" s="48" t="str">
        <f>IFERROR(VLOOKUP(C127, SEC_105000!$C$204:$G$1962, 4, FALSE), "")</f>
        <v/>
      </c>
      <c r="I127" s="35" t="str">
        <f t="shared" ref="I127:I134" si="49">IF(AND(ISNUMBER(D127), ISNUMBER(H127)), D127 * H127, "")</f>
        <v/>
      </c>
      <c r="J127" s="41" t="str">
        <f>IFERROR(VLOOKUP(C127, SEC_105000!$C$204:$G$1962, 5, FALSE), "")</f>
        <v/>
      </c>
      <c r="K127" s="34">
        <f t="shared" si="46"/>
        <v>0</v>
      </c>
      <c r="L127" s="42"/>
      <c r="M127" s="35">
        <f t="shared" si="47"/>
        <v>0</v>
      </c>
      <c r="N127" s="41">
        <v>0</v>
      </c>
      <c r="O127" s="35">
        <f t="shared" si="48"/>
        <v>0</v>
      </c>
      <c r="P127" s="36">
        <f t="shared" ref="P127:P134" si="50">IF(ISNUMBER(F127), F127, 0) + IF(ISNUMBER(H127), H127 * (1 + $I$4), 0) + IF(AND(ISNUMBER(L127), ISNUMBER(J127), J127 &lt;&gt; 0), L127 / J127, 0) + IF(ISNUMBER(N127), N127, 0)</f>
        <v>0</v>
      </c>
      <c r="Q127" s="35">
        <f t="shared" ref="Q127:Q134" si="51">SUM(IF(ISNUMBER(O127), O127, 0), IF(ISNUMBER(M127), M127, 0), IF(ISNUMBER(I127), I127 * (1 + $I$4), 0), IF(ISNUMBER(G127), G127, 0))</f>
        <v>0</v>
      </c>
    </row>
    <row r="128" spans="2:17" x14ac:dyDescent="0.35">
      <c r="B128" s="37" t="str">
        <f>IFERROR(VLOOKUP(C128, SEC_105000!$C$206:$G$207, 3, FALSE), "")</f>
        <v/>
      </c>
      <c r="C128" s="38"/>
      <c r="D128" s="39"/>
      <c r="E128" s="32" t="str">
        <f>IFERROR(VLOOKUP(C128, SEC_105000!$C$204:$G$1962, 2, FALSE), "")</f>
        <v/>
      </c>
      <c r="F128" s="41">
        <v>0</v>
      </c>
      <c r="G128" s="35">
        <f t="shared" si="45"/>
        <v>0</v>
      </c>
      <c r="H128" s="48" t="str">
        <f>IFERROR(VLOOKUP(C128, SEC_105000!$C$204:$G$1962, 4, FALSE), "")</f>
        <v/>
      </c>
      <c r="I128" s="35" t="str">
        <f t="shared" si="49"/>
        <v/>
      </c>
      <c r="J128" s="41" t="str">
        <f>IFERROR(VLOOKUP(C128, SEC_105000!$C$204:$G$1962, 5, FALSE), "")</f>
        <v/>
      </c>
      <c r="K128" s="34">
        <f t="shared" si="46"/>
        <v>0</v>
      </c>
      <c r="L128" s="42"/>
      <c r="M128" s="35">
        <f t="shared" si="47"/>
        <v>0</v>
      </c>
      <c r="N128" s="41">
        <v>0</v>
      </c>
      <c r="O128" s="35">
        <f t="shared" si="48"/>
        <v>0</v>
      </c>
      <c r="P128" s="36">
        <f t="shared" si="50"/>
        <v>0</v>
      </c>
      <c r="Q128" s="35">
        <f t="shared" si="51"/>
        <v>0</v>
      </c>
    </row>
    <row r="129" spans="2:17" x14ac:dyDescent="0.35">
      <c r="B129" s="37" t="str">
        <f>IFERROR(VLOOKUP(C129, SEC_105000!$C$206:$G$207, 3, FALSE), "")</f>
        <v/>
      </c>
      <c r="C129" s="38"/>
      <c r="D129" s="39"/>
      <c r="E129" s="32" t="str">
        <f>IFERROR(VLOOKUP(C129, SEC_105000!$C$204:$G$1962, 2, FALSE), "")</f>
        <v/>
      </c>
      <c r="F129" s="41">
        <v>0</v>
      </c>
      <c r="G129" s="35">
        <f t="shared" si="45"/>
        <v>0</v>
      </c>
      <c r="H129" s="48" t="str">
        <f>IFERROR(VLOOKUP(C129, SEC_105000!$C$204:$G$1962, 4, FALSE), "")</f>
        <v/>
      </c>
      <c r="I129" s="35" t="str">
        <f t="shared" si="49"/>
        <v/>
      </c>
      <c r="J129" s="41" t="str">
        <f>IFERROR(VLOOKUP(C129, SEC_105000!$C$204:$G$1962, 5, FALSE), "")</f>
        <v/>
      </c>
      <c r="K129" s="34">
        <f t="shared" si="46"/>
        <v>0</v>
      </c>
      <c r="L129" s="42"/>
      <c r="M129" s="35">
        <f t="shared" si="47"/>
        <v>0</v>
      </c>
      <c r="N129" s="41">
        <v>0</v>
      </c>
      <c r="O129" s="35">
        <f t="shared" si="48"/>
        <v>0</v>
      </c>
      <c r="P129" s="36">
        <f t="shared" si="50"/>
        <v>0</v>
      </c>
      <c r="Q129" s="35">
        <f t="shared" si="51"/>
        <v>0</v>
      </c>
    </row>
    <row r="130" spans="2:17" x14ac:dyDescent="0.35">
      <c r="B130" s="37" t="str">
        <f>IFERROR(VLOOKUP(C130, SEC_105000!$C$206:$G$207, 3, FALSE), "")</f>
        <v/>
      </c>
      <c r="C130" s="38"/>
      <c r="D130" s="39"/>
      <c r="E130" s="32" t="str">
        <f>IFERROR(VLOOKUP(C130, SEC_105000!$C$204:$G$1962, 2, FALSE), "")</f>
        <v/>
      </c>
      <c r="F130" s="41">
        <v>0</v>
      </c>
      <c r="G130" s="35">
        <f t="shared" si="45"/>
        <v>0</v>
      </c>
      <c r="H130" s="48" t="str">
        <f>IFERROR(VLOOKUP(C130, SEC_105000!$C$204:$G$1962, 4, FALSE), "")</f>
        <v/>
      </c>
      <c r="I130" s="35" t="str">
        <f t="shared" si="49"/>
        <v/>
      </c>
      <c r="J130" s="41" t="str">
        <f>IFERROR(VLOOKUP(C130, SEC_105000!$C$204:$G$1962, 5, FALSE), "")</f>
        <v/>
      </c>
      <c r="K130" s="34">
        <f t="shared" si="46"/>
        <v>0</v>
      </c>
      <c r="L130" s="42"/>
      <c r="M130" s="35">
        <f t="shared" si="47"/>
        <v>0</v>
      </c>
      <c r="N130" s="41">
        <v>0</v>
      </c>
      <c r="O130" s="35">
        <f t="shared" si="48"/>
        <v>0</v>
      </c>
      <c r="P130" s="36">
        <f t="shared" si="50"/>
        <v>0</v>
      </c>
      <c r="Q130" s="35">
        <f t="shared" si="51"/>
        <v>0</v>
      </c>
    </row>
    <row r="131" spans="2:17" x14ac:dyDescent="0.35">
      <c r="B131" s="37"/>
      <c r="C131" s="38"/>
      <c r="D131" s="39"/>
      <c r="E131" s="32" t="str">
        <f>IFERROR(VLOOKUP(C131, SEC_105000!$C$204:$G$1962, 2, FALSE), "")</f>
        <v/>
      </c>
      <c r="F131" s="41">
        <v>0</v>
      </c>
      <c r="G131" s="35">
        <f t="shared" si="45"/>
        <v>0</v>
      </c>
      <c r="H131" s="48" t="str">
        <f>IFERROR(VLOOKUP(C131, SEC_105000!$C$204:$G$1962, 4, FALSE), "")</f>
        <v/>
      </c>
      <c r="I131" s="35" t="str">
        <f t="shared" si="49"/>
        <v/>
      </c>
      <c r="J131" s="41" t="str">
        <f>IFERROR(VLOOKUP(C131, SEC_105000!$C$204:$G$1962, 5, FALSE), "")</f>
        <v/>
      </c>
      <c r="K131" s="34">
        <f t="shared" si="46"/>
        <v>0</v>
      </c>
      <c r="L131" s="42"/>
      <c r="M131" s="35">
        <f t="shared" si="47"/>
        <v>0</v>
      </c>
      <c r="N131" s="41">
        <v>0</v>
      </c>
      <c r="O131" s="35">
        <f t="shared" si="48"/>
        <v>0</v>
      </c>
      <c r="P131" s="36">
        <f t="shared" si="50"/>
        <v>0</v>
      </c>
      <c r="Q131" s="35">
        <f t="shared" si="51"/>
        <v>0</v>
      </c>
    </row>
    <row r="132" spans="2:17" x14ac:dyDescent="0.35">
      <c r="B132" s="37"/>
      <c r="C132" s="38"/>
      <c r="D132" s="39"/>
      <c r="E132" s="32" t="str">
        <f>IFERROR(VLOOKUP(C132, SEC_105000!$C$204:$G$1962, 2, FALSE), "")</f>
        <v/>
      </c>
      <c r="F132" s="41">
        <v>0</v>
      </c>
      <c r="G132" s="35">
        <f t="shared" si="45"/>
        <v>0</v>
      </c>
      <c r="H132" s="48" t="str">
        <f>IFERROR(VLOOKUP(C132, SEC_105000!$C$204:$G$1962, 4, FALSE), "")</f>
        <v/>
      </c>
      <c r="I132" s="35" t="str">
        <f t="shared" si="49"/>
        <v/>
      </c>
      <c r="J132" s="41" t="str">
        <f>IFERROR(VLOOKUP(C132, SEC_105000!$C$204:$G$1962, 5, FALSE), "")</f>
        <v/>
      </c>
      <c r="K132" s="34">
        <f t="shared" si="46"/>
        <v>0</v>
      </c>
      <c r="L132" s="42"/>
      <c r="M132" s="35">
        <f t="shared" si="47"/>
        <v>0</v>
      </c>
      <c r="N132" s="41">
        <v>0</v>
      </c>
      <c r="O132" s="35">
        <f t="shared" si="48"/>
        <v>0</v>
      </c>
      <c r="P132" s="36">
        <f t="shared" si="50"/>
        <v>0</v>
      </c>
      <c r="Q132" s="35">
        <f t="shared" si="51"/>
        <v>0</v>
      </c>
    </row>
    <row r="133" spans="2:17" x14ac:dyDescent="0.35">
      <c r="B133" s="37"/>
      <c r="C133" s="38"/>
      <c r="D133" s="39"/>
      <c r="E133" s="32" t="str">
        <f>IFERROR(VLOOKUP(C133, SEC_105000!$C$204:$G$1962, 2, FALSE), "")</f>
        <v/>
      </c>
      <c r="F133" s="41">
        <v>0</v>
      </c>
      <c r="G133" s="35">
        <f t="shared" si="45"/>
        <v>0</v>
      </c>
      <c r="H133" s="48" t="str">
        <f>IFERROR(VLOOKUP(C133, SEC_105000!$C$204:$G$1962, 4, FALSE), "")</f>
        <v/>
      </c>
      <c r="I133" s="35" t="str">
        <f t="shared" si="49"/>
        <v/>
      </c>
      <c r="J133" s="41" t="str">
        <f>IFERROR(VLOOKUP(C133, SEC_105000!$C$204:$G$1962, 5, FALSE), "")</f>
        <v/>
      </c>
      <c r="K133" s="34">
        <f t="shared" si="46"/>
        <v>0</v>
      </c>
      <c r="L133" s="42"/>
      <c r="M133" s="35">
        <f t="shared" si="47"/>
        <v>0</v>
      </c>
      <c r="N133" s="41">
        <v>0</v>
      </c>
      <c r="O133" s="35">
        <f t="shared" si="48"/>
        <v>0</v>
      </c>
      <c r="P133" s="36">
        <f t="shared" si="50"/>
        <v>0</v>
      </c>
      <c r="Q133" s="35">
        <f t="shared" si="51"/>
        <v>0</v>
      </c>
    </row>
    <row r="134" spans="2:17" x14ac:dyDescent="0.35">
      <c r="B134" s="37"/>
      <c r="C134" s="38"/>
      <c r="D134" s="39"/>
      <c r="E134" s="32" t="str">
        <f>IFERROR(VLOOKUP(C134, SEC_105000!$C$204:$G$1962, 2, FALSE), "")</f>
        <v/>
      </c>
      <c r="F134" s="41">
        <v>0</v>
      </c>
      <c r="G134" s="35">
        <f t="shared" si="45"/>
        <v>0</v>
      </c>
      <c r="H134" s="48" t="str">
        <f>IFERROR(VLOOKUP(C134, SEC_105000!$C$204:$G$1962, 4, FALSE), "")</f>
        <v/>
      </c>
      <c r="I134" s="35" t="str">
        <f t="shared" si="49"/>
        <v/>
      </c>
      <c r="J134" s="41" t="str">
        <f>IFERROR(VLOOKUP(C134, SEC_105000!$C$204:$G$1962, 5, FALSE), "")</f>
        <v/>
      </c>
      <c r="K134" s="34">
        <f t="shared" si="46"/>
        <v>0</v>
      </c>
      <c r="L134" s="42"/>
      <c r="M134" s="35">
        <f t="shared" si="47"/>
        <v>0</v>
      </c>
      <c r="N134" s="41">
        <v>0</v>
      </c>
      <c r="O134" s="35">
        <f t="shared" si="48"/>
        <v>0</v>
      </c>
      <c r="P134" s="36">
        <f t="shared" si="50"/>
        <v>0</v>
      </c>
      <c r="Q134" s="35">
        <f t="shared" si="51"/>
        <v>0</v>
      </c>
    </row>
    <row r="135" spans="2:17" x14ac:dyDescent="0.35">
      <c r="B135" s="37"/>
      <c r="C135" s="30" t="s">
        <v>21423</v>
      </c>
      <c r="D135" s="39"/>
      <c r="E135" s="32"/>
      <c r="F135" s="41">
        <v>0</v>
      </c>
      <c r="G135" s="35">
        <f t="shared" si="45"/>
        <v>0</v>
      </c>
      <c r="H135" s="48"/>
      <c r="I135" s="35">
        <f>$D135*H135</f>
        <v>0</v>
      </c>
      <c r="J135" s="41"/>
      <c r="K135" s="34"/>
      <c r="L135" s="42"/>
      <c r="M135" s="35">
        <f t="shared" si="47"/>
        <v>0</v>
      </c>
      <c r="N135" s="41">
        <v>0</v>
      </c>
      <c r="O135" s="35">
        <f t="shared" si="48"/>
        <v>0</v>
      </c>
      <c r="P135" s="36">
        <f t="shared" ref="P135:P140" si="52">F135+(H135*(1+$I$4))+IFERROR(L135/J135,0)+N135</f>
        <v>0</v>
      </c>
      <c r="Q135" s="35">
        <f t="shared" ref="Q135:Q146" si="53">SUM(O135,M135,I135*(1+$I$4),G135)</f>
        <v>0</v>
      </c>
    </row>
    <row r="136" spans="2:17" x14ac:dyDescent="0.35">
      <c r="B136" s="37"/>
      <c r="C136" s="38"/>
      <c r="D136" s="39"/>
      <c r="E136" s="32" t="s">
        <v>24</v>
      </c>
      <c r="F136" s="41">
        <v>0</v>
      </c>
      <c r="G136" s="35">
        <f t="shared" si="45"/>
        <v>0</v>
      </c>
      <c r="H136" s="48"/>
      <c r="I136" s="35">
        <f>$D136*H136</f>
        <v>0</v>
      </c>
      <c r="J136" s="41"/>
      <c r="K136" s="34"/>
      <c r="L136" s="42" t="str">
        <f>IFERROR(VLOOKUP(C136, SEC_105000!K114:M119, 2, FALSE), "")</f>
        <v/>
      </c>
      <c r="M136" s="35">
        <f t="shared" si="47"/>
        <v>0</v>
      </c>
      <c r="N136" s="41">
        <v>0</v>
      </c>
      <c r="O136" s="35">
        <f t="shared" si="48"/>
        <v>0</v>
      </c>
      <c r="P136" s="36">
        <f t="shared" si="52"/>
        <v>0</v>
      </c>
      <c r="Q136" s="35">
        <f t="shared" si="53"/>
        <v>0</v>
      </c>
    </row>
    <row r="137" spans="2:17" x14ac:dyDescent="0.35">
      <c r="B137" s="37"/>
      <c r="C137" s="38"/>
      <c r="D137" s="39"/>
      <c r="E137" s="32" t="s">
        <v>24</v>
      </c>
      <c r="F137" s="41">
        <v>0</v>
      </c>
      <c r="G137" s="35">
        <f t="shared" si="45"/>
        <v>0</v>
      </c>
      <c r="H137" s="48"/>
      <c r="I137" s="35">
        <f>$D137*H137</f>
        <v>0</v>
      </c>
      <c r="J137" s="41"/>
      <c r="K137" s="34"/>
      <c r="L137" s="42" t="str">
        <f>IFERROR(VLOOKUP(C137, SEC_105000!K115:M120, 2, FALSE), "")</f>
        <v/>
      </c>
      <c r="M137" s="35">
        <f t="shared" si="47"/>
        <v>0</v>
      </c>
      <c r="N137" s="41">
        <v>0</v>
      </c>
      <c r="O137" s="35">
        <f t="shared" si="48"/>
        <v>0</v>
      </c>
      <c r="P137" s="36">
        <f t="shared" si="52"/>
        <v>0</v>
      </c>
      <c r="Q137" s="35">
        <f t="shared" si="53"/>
        <v>0</v>
      </c>
    </row>
    <row r="138" spans="2:17" x14ac:dyDescent="0.35">
      <c r="B138" s="37"/>
      <c r="C138" s="38"/>
      <c r="D138" s="39"/>
      <c r="E138" s="32" t="s">
        <v>24</v>
      </c>
      <c r="F138" s="41">
        <v>0</v>
      </c>
      <c r="G138" s="35">
        <f t="shared" si="45"/>
        <v>0</v>
      </c>
      <c r="H138" s="48"/>
      <c r="I138" s="35">
        <f>$D138*H138</f>
        <v>0</v>
      </c>
      <c r="J138" s="41"/>
      <c r="K138" s="34"/>
      <c r="L138" s="42" t="str">
        <f>IFERROR(VLOOKUP(C138, SEC_105000!K116:M121, 2, FALSE), "")</f>
        <v/>
      </c>
      <c r="M138" s="35">
        <f t="shared" si="47"/>
        <v>0</v>
      </c>
      <c r="N138" s="41">
        <v>0</v>
      </c>
      <c r="O138" s="35">
        <f t="shared" si="48"/>
        <v>0</v>
      </c>
      <c r="P138" s="36">
        <f t="shared" si="52"/>
        <v>0</v>
      </c>
      <c r="Q138" s="35">
        <f t="shared" si="53"/>
        <v>0</v>
      </c>
    </row>
    <row r="139" spans="2:17" x14ac:dyDescent="0.35">
      <c r="B139" s="37"/>
      <c r="C139" s="38"/>
      <c r="D139" s="39"/>
      <c r="E139" s="32" t="s">
        <v>24</v>
      </c>
      <c r="F139" s="41">
        <v>0</v>
      </c>
      <c r="G139" s="35">
        <f t="shared" si="45"/>
        <v>0</v>
      </c>
      <c r="H139" s="48"/>
      <c r="I139" s="35">
        <f>$D139*H139</f>
        <v>0</v>
      </c>
      <c r="J139" s="41"/>
      <c r="K139" s="34"/>
      <c r="L139" s="42" t="str">
        <f>IFERROR(VLOOKUP(C139, SEC_105000!K117:M122, 2, FALSE), "")</f>
        <v/>
      </c>
      <c r="M139" s="35">
        <f t="shared" si="47"/>
        <v>0</v>
      </c>
      <c r="N139" s="41">
        <v>0</v>
      </c>
      <c r="O139" s="35">
        <f t="shared" si="48"/>
        <v>0</v>
      </c>
      <c r="P139" s="36">
        <f t="shared" si="52"/>
        <v>0</v>
      </c>
      <c r="Q139" s="35">
        <f t="shared" si="53"/>
        <v>0</v>
      </c>
    </row>
    <row r="140" spans="2:17" x14ac:dyDescent="0.35">
      <c r="B140" s="37"/>
      <c r="C140" s="30" t="s">
        <v>21422</v>
      </c>
      <c r="D140" s="39"/>
      <c r="E140" s="32"/>
      <c r="F140" s="41"/>
      <c r="G140" s="35"/>
      <c r="H140" s="48"/>
      <c r="I140" s="35"/>
      <c r="J140" s="41"/>
      <c r="K140" s="34"/>
      <c r="L140" s="42"/>
      <c r="M140" s="35"/>
      <c r="N140" s="41">
        <v>0</v>
      </c>
      <c r="O140" s="35">
        <f t="shared" si="48"/>
        <v>0</v>
      </c>
      <c r="P140" s="36">
        <f t="shared" si="52"/>
        <v>0</v>
      </c>
      <c r="Q140" s="35">
        <f t="shared" si="53"/>
        <v>0</v>
      </c>
    </row>
    <row r="141" spans="2:17" x14ac:dyDescent="0.35">
      <c r="B141" s="37"/>
      <c r="C141" s="38"/>
      <c r="D141" s="39"/>
      <c r="E141" s="32" t="s">
        <v>24</v>
      </c>
      <c r="F141" s="41"/>
      <c r="G141" s="35"/>
      <c r="H141" s="48"/>
      <c r="I141" s="35"/>
      <c r="J141" s="41"/>
      <c r="K141" s="34"/>
      <c r="L141" s="42"/>
      <c r="M141" s="35"/>
      <c r="N141" s="41">
        <f>IFERROR(VLOOKUP(C141, SEC_105000!N113:O118, 2, FALSE), "")</f>
        <v>0</v>
      </c>
      <c r="O141" s="35" t="str">
        <f>IF(AND(ISNUMBER(D141), ISNUMBER(N141)), D141 * N141, "")</f>
        <v/>
      </c>
      <c r="P141" s="36">
        <f>IF(ISNUMBER(F141), F141, 0) + IF(ISNUMBER(H141), H141 * (1 + $I$4), 0) + IF(AND(ISNUMBER(L141), ISNUMBER(J141), J141&lt;&gt;0), L141 / J141, 0) + IF(ISNUMBER(N141), N141, 0)</f>
        <v>0</v>
      </c>
      <c r="Q141" s="35">
        <f t="shared" si="53"/>
        <v>0</v>
      </c>
    </row>
    <row r="142" spans="2:17" x14ac:dyDescent="0.35">
      <c r="B142" s="37"/>
      <c r="C142" s="38"/>
      <c r="D142" s="39"/>
      <c r="E142" s="32" t="s">
        <v>24</v>
      </c>
      <c r="F142" s="41"/>
      <c r="G142" s="35"/>
      <c r="H142" s="48"/>
      <c r="I142" s="35"/>
      <c r="J142" s="41"/>
      <c r="K142" s="34"/>
      <c r="L142" s="42"/>
      <c r="M142" s="35"/>
      <c r="N142" s="41">
        <f>IFERROR(VLOOKUP(C142, SEC_105000!N114:O119, 2, FALSE), "")</f>
        <v>0</v>
      </c>
      <c r="O142" s="35" t="str">
        <f>IF(AND(ISNUMBER(D142), ISNUMBER(N142)), D142 * N142, "")</f>
        <v/>
      </c>
      <c r="P142" s="36">
        <f>IF(ISNUMBER(F142), F142, 0) + IF(ISNUMBER(H142), H142 * (1 + $I$4), 0) + IF(AND(ISNUMBER(L142), ISNUMBER(J142), J142&lt;&gt;0), L142 / J142, 0) + IF(ISNUMBER(N142), N142, 0)</f>
        <v>0</v>
      </c>
      <c r="Q142" s="35">
        <f t="shared" si="53"/>
        <v>0</v>
      </c>
    </row>
    <row r="143" spans="2:17" x14ac:dyDescent="0.35">
      <c r="B143" s="37"/>
      <c r="C143" s="38"/>
      <c r="D143" s="39"/>
      <c r="E143" s="32" t="s">
        <v>24</v>
      </c>
      <c r="F143" s="41"/>
      <c r="G143" s="35"/>
      <c r="H143" s="48"/>
      <c r="I143" s="35"/>
      <c r="J143" s="41"/>
      <c r="K143" s="34"/>
      <c r="L143" s="42"/>
      <c r="M143" s="35"/>
      <c r="N143" s="41">
        <f>IFERROR(VLOOKUP(C143, SEC_105000!N115:O120, 2, FALSE), "")</f>
        <v>0</v>
      </c>
      <c r="O143" s="35" t="str">
        <f>IF(AND(ISNUMBER(D143), ISNUMBER(N143)), D143 * N143, "")</f>
        <v/>
      </c>
      <c r="P143" s="36">
        <f>IF(ISNUMBER(F143), F143, 0) + IF(ISNUMBER(H143), H143 * (1 + $I$4), 0) + IF(AND(ISNUMBER(L143), ISNUMBER(J143), J143&lt;&gt;0), L143 / J143, 0) + IF(ISNUMBER(N143), N143, 0)</f>
        <v>0</v>
      </c>
      <c r="Q143" s="35">
        <f t="shared" si="53"/>
        <v>0</v>
      </c>
    </row>
    <row r="144" spans="2:17" x14ac:dyDescent="0.35">
      <c r="B144" s="37" t="str">
        <f>IFERROR(VLOOKUP(C144, SEC_105000!$C$206:$G$207, 3, FALSE), "")</f>
        <v/>
      </c>
      <c r="C144" s="38"/>
      <c r="D144" s="39"/>
      <c r="E144" s="32" t="s">
        <v>24</v>
      </c>
      <c r="F144" s="41"/>
      <c r="G144" s="35"/>
      <c r="H144" s="48"/>
      <c r="I144" s="35"/>
      <c r="J144" s="41"/>
      <c r="K144" s="34"/>
      <c r="L144" s="42"/>
      <c r="M144" s="35"/>
      <c r="N144" s="41">
        <f>IFERROR(VLOOKUP(C144, SEC_105000!N116:O121, 2, FALSE), "")</f>
        <v>0</v>
      </c>
      <c r="O144" s="35" t="str">
        <f>IF(AND(ISNUMBER(D144), ISNUMBER(N144)), D144 * N144, "")</f>
        <v/>
      </c>
      <c r="P144" s="36">
        <f>IF(ISNUMBER(F144), F144, 0) + IF(ISNUMBER(H144), H144 * (1 + $I$4), 0) + IF(AND(ISNUMBER(L144), ISNUMBER(J144), J144&lt;&gt;0), L144 / J144, 0) + IF(ISNUMBER(N144), N144, 0)</f>
        <v>0</v>
      </c>
      <c r="Q144" s="35">
        <f t="shared" si="53"/>
        <v>0</v>
      </c>
    </row>
    <row r="145" spans="2:17" x14ac:dyDescent="0.35">
      <c r="B145" s="37" t="str">
        <f>IFERROR(VLOOKUP(C145, SEC_105000!$C$206:$G$207, 3, FALSE), "")</f>
        <v/>
      </c>
      <c r="C145" s="38"/>
      <c r="D145" s="39"/>
      <c r="E145" s="32"/>
      <c r="F145" s="41"/>
      <c r="G145" s="35"/>
      <c r="H145" s="48"/>
      <c r="I145" s="35"/>
      <c r="J145" s="41"/>
      <c r="K145" s="34"/>
      <c r="L145" s="42"/>
      <c r="M145" s="35"/>
      <c r="N145" s="41">
        <v>0</v>
      </c>
      <c r="O145" s="35">
        <f>$D145*N145</f>
        <v>0</v>
      </c>
      <c r="P145" s="36">
        <f>F145+(H145*(1+$I$4))+IFERROR(L145/J145,0)+N145</f>
        <v>0</v>
      </c>
      <c r="Q145" s="35">
        <f t="shared" si="53"/>
        <v>0</v>
      </c>
    </row>
    <row r="146" spans="2:17" x14ac:dyDescent="0.35">
      <c r="B146" s="37" t="str">
        <f>IFERROR(VLOOKUP(C146, SEC_105000!$C$206:$G$207, 3, FALSE), "")</f>
        <v/>
      </c>
      <c r="C146" s="38"/>
      <c r="D146" s="39"/>
      <c r="E146" s="32"/>
      <c r="F146" s="41"/>
      <c r="G146" s="35"/>
      <c r="H146" s="48"/>
      <c r="I146" s="35"/>
      <c r="J146" s="41"/>
      <c r="K146" s="34"/>
      <c r="L146" s="42"/>
      <c r="M146" s="35"/>
      <c r="N146" s="41">
        <v>0</v>
      </c>
      <c r="O146" s="35">
        <f>$D146*N146</f>
        <v>0</v>
      </c>
      <c r="P146" s="36">
        <f>F146+(H146*(1+$I$4))+IFERROR(L146/J146,0)+N146</f>
        <v>0</v>
      </c>
      <c r="Q146" s="35">
        <f t="shared" si="53"/>
        <v>0</v>
      </c>
    </row>
    <row r="147" spans="2:17" ht="15.5" x14ac:dyDescent="0.35">
      <c r="B147" s="37" t="str">
        <f>IFERROR(VLOOKUP(C147, SEC_105000!$C$206:$G$207, 3, FALSE), "")</f>
        <v/>
      </c>
      <c r="C147" s="105" t="s">
        <v>21431</v>
      </c>
      <c r="D147" s="39"/>
      <c r="E147" s="32"/>
      <c r="F147" s="41"/>
      <c r="G147" s="35"/>
      <c r="H147" s="34"/>
      <c r="I147" s="35"/>
      <c r="J147" s="41"/>
      <c r="K147" s="34"/>
      <c r="L147" s="34"/>
      <c r="M147" s="35"/>
      <c r="N147" s="41"/>
      <c r="O147" s="35"/>
      <c r="P147" s="31"/>
      <c r="Q147" s="35"/>
    </row>
    <row r="148" spans="2:17" x14ac:dyDescent="0.35">
      <c r="B148" s="37" t="str">
        <f>IFERROR(VLOOKUP(C148, SEC_105000!$C$206:$G$207, 3, FALSE), "")</f>
        <v/>
      </c>
      <c r="C148" s="30" t="s">
        <v>21424</v>
      </c>
      <c r="D148" s="39"/>
      <c r="E148" s="32"/>
      <c r="F148" s="41">
        <v>0</v>
      </c>
      <c r="G148" s="35">
        <f t="shared" ref="G148:G161" si="54">$D148*F148</f>
        <v>0</v>
      </c>
      <c r="H148" s="48"/>
      <c r="I148" s="35">
        <f>$D148*H148</f>
        <v>0</v>
      </c>
      <c r="J148" s="41"/>
      <c r="K148" s="34">
        <f t="shared" ref="K148:K156" si="55">IFERROR($D148/$J148,0)</f>
        <v>0</v>
      </c>
      <c r="L148" s="42"/>
      <c r="M148" s="35">
        <f t="shared" ref="M148:M161" si="56">IFERROR(K148*L148,0)</f>
        <v>0</v>
      </c>
      <c r="N148" s="41">
        <v>0</v>
      </c>
      <c r="O148" s="35">
        <f t="shared" ref="O148:O162" si="57">$D148*N148</f>
        <v>0</v>
      </c>
      <c r="P148" s="36">
        <f>F148+(H148*(1+$I$4))+IFERROR(L148/J148,0)+N148</f>
        <v>0</v>
      </c>
      <c r="Q148" s="35">
        <f>SUM(O148,M148,I148*(1+$I$4),G148)</f>
        <v>0</v>
      </c>
    </row>
    <row r="149" spans="2:17" x14ac:dyDescent="0.35">
      <c r="B149" s="37" t="str">
        <f>IFERROR(VLOOKUP(C149, SEC_105000!$C$206:$G$207, 3, FALSE), "")</f>
        <v/>
      </c>
      <c r="C149" s="38"/>
      <c r="D149" s="39"/>
      <c r="E149" s="32" t="str">
        <f>IFERROR(VLOOKUP(C149, SEC_105000!$C$204:$G$1962, 2, FALSE), "")</f>
        <v/>
      </c>
      <c r="F149" s="41">
        <v>0</v>
      </c>
      <c r="G149" s="35">
        <f t="shared" si="54"/>
        <v>0</v>
      </c>
      <c r="H149" s="48" t="str">
        <f>IFERROR(VLOOKUP(C149, SEC_105000!$C$204:$G$1962, 4, FALSE), "")</f>
        <v/>
      </c>
      <c r="I149" s="35" t="str">
        <f t="shared" ref="I149:I156" si="58">IF(AND(ISNUMBER(D149), ISNUMBER(H149)), D149 * H149, "")</f>
        <v/>
      </c>
      <c r="J149" s="41" t="str">
        <f>IFERROR(VLOOKUP(C149, SEC_105000!$C$204:$G$1962, 5, FALSE), "")</f>
        <v/>
      </c>
      <c r="K149" s="34">
        <f t="shared" si="55"/>
        <v>0</v>
      </c>
      <c r="L149" s="42"/>
      <c r="M149" s="35">
        <f t="shared" si="56"/>
        <v>0</v>
      </c>
      <c r="N149" s="41">
        <v>0</v>
      </c>
      <c r="O149" s="35">
        <f t="shared" si="57"/>
        <v>0</v>
      </c>
      <c r="P149" s="36">
        <f t="shared" ref="P149:P156" si="59">IF(ISNUMBER(F149), F149, 0) + IF(ISNUMBER(H149), H149 * (1 + $I$4), 0) + IF(AND(ISNUMBER(L149), ISNUMBER(J149), J149 &lt;&gt; 0), L149 / J149, 0) + IF(ISNUMBER(N149), N149, 0)</f>
        <v>0</v>
      </c>
      <c r="Q149" s="35">
        <f t="shared" ref="Q149:Q156" si="60">SUM(IF(ISNUMBER(O149), O149, 0), IF(ISNUMBER(M149), M149, 0), IF(ISNUMBER(I149), I149 * (1 + $I$4), 0), IF(ISNUMBER(G149), G149, 0))</f>
        <v>0</v>
      </c>
    </row>
    <row r="150" spans="2:17" x14ac:dyDescent="0.35">
      <c r="B150" s="37" t="str">
        <f>IFERROR(VLOOKUP(C150, SEC_105000!$C$206:$G$207, 3, FALSE), "")</f>
        <v/>
      </c>
      <c r="C150" s="38"/>
      <c r="D150" s="39"/>
      <c r="E150" s="32" t="str">
        <f>IFERROR(VLOOKUP(C150, SEC_105000!$C$204:$G$1962, 2, FALSE), "")</f>
        <v/>
      </c>
      <c r="F150" s="41">
        <v>0</v>
      </c>
      <c r="G150" s="35">
        <f t="shared" si="54"/>
        <v>0</v>
      </c>
      <c r="H150" s="48" t="str">
        <f>IFERROR(VLOOKUP(C150, SEC_105000!$C$204:$G$1962, 4, FALSE), "")</f>
        <v/>
      </c>
      <c r="I150" s="35" t="str">
        <f t="shared" si="58"/>
        <v/>
      </c>
      <c r="J150" s="41" t="str">
        <f>IFERROR(VLOOKUP(C150, SEC_105000!$C$204:$G$1962, 5, FALSE), "")</f>
        <v/>
      </c>
      <c r="K150" s="34">
        <f t="shared" si="55"/>
        <v>0</v>
      </c>
      <c r="L150" s="42"/>
      <c r="M150" s="35">
        <f t="shared" si="56"/>
        <v>0</v>
      </c>
      <c r="N150" s="41">
        <v>0</v>
      </c>
      <c r="O150" s="35">
        <f t="shared" si="57"/>
        <v>0</v>
      </c>
      <c r="P150" s="36">
        <f t="shared" si="59"/>
        <v>0</v>
      </c>
      <c r="Q150" s="35">
        <f t="shared" si="60"/>
        <v>0</v>
      </c>
    </row>
    <row r="151" spans="2:17" x14ac:dyDescent="0.35">
      <c r="B151" s="37" t="str">
        <f>IFERROR(VLOOKUP(C151, SEC_105000!$C$206:$G$207, 3, FALSE), "")</f>
        <v/>
      </c>
      <c r="C151" s="38"/>
      <c r="D151" s="39"/>
      <c r="E151" s="32" t="str">
        <f>IFERROR(VLOOKUP(C151, SEC_105000!$C$204:$G$1962, 2, FALSE), "")</f>
        <v/>
      </c>
      <c r="F151" s="41">
        <v>0</v>
      </c>
      <c r="G151" s="35">
        <f t="shared" si="54"/>
        <v>0</v>
      </c>
      <c r="H151" s="48" t="str">
        <f>IFERROR(VLOOKUP(C151, SEC_105000!$C$204:$G$1962, 4, FALSE), "")</f>
        <v/>
      </c>
      <c r="I151" s="35" t="str">
        <f t="shared" si="58"/>
        <v/>
      </c>
      <c r="J151" s="41" t="str">
        <f>IFERROR(VLOOKUP(C151, SEC_105000!$C$204:$G$1962, 5, FALSE), "")</f>
        <v/>
      </c>
      <c r="K151" s="34">
        <f t="shared" si="55"/>
        <v>0</v>
      </c>
      <c r="L151" s="42"/>
      <c r="M151" s="35">
        <f t="shared" si="56"/>
        <v>0</v>
      </c>
      <c r="N151" s="41">
        <v>0</v>
      </c>
      <c r="O151" s="35">
        <f t="shared" si="57"/>
        <v>0</v>
      </c>
      <c r="P151" s="36">
        <f t="shared" si="59"/>
        <v>0</v>
      </c>
      <c r="Q151" s="35">
        <f t="shared" si="60"/>
        <v>0</v>
      </c>
    </row>
    <row r="152" spans="2:17" x14ac:dyDescent="0.35">
      <c r="B152" s="37"/>
      <c r="C152" s="38"/>
      <c r="D152" s="39"/>
      <c r="E152" s="32" t="str">
        <f>IFERROR(VLOOKUP(C152, SEC_105000!$C$204:$G$1962, 2, FALSE), "")</f>
        <v/>
      </c>
      <c r="F152" s="41">
        <v>0</v>
      </c>
      <c r="G152" s="35">
        <f t="shared" si="54"/>
        <v>0</v>
      </c>
      <c r="H152" s="48" t="str">
        <f>IFERROR(VLOOKUP(C152, SEC_105000!$C$204:$G$1962, 4, FALSE), "")</f>
        <v/>
      </c>
      <c r="I152" s="35" t="str">
        <f t="shared" si="58"/>
        <v/>
      </c>
      <c r="J152" s="41" t="str">
        <f>IFERROR(VLOOKUP(C152, SEC_105000!$C$204:$G$1962, 5, FALSE), "")</f>
        <v/>
      </c>
      <c r="K152" s="34">
        <f t="shared" si="55"/>
        <v>0</v>
      </c>
      <c r="L152" s="42"/>
      <c r="M152" s="35">
        <f t="shared" si="56"/>
        <v>0</v>
      </c>
      <c r="N152" s="41">
        <v>0</v>
      </c>
      <c r="O152" s="35">
        <f t="shared" si="57"/>
        <v>0</v>
      </c>
      <c r="P152" s="36">
        <f t="shared" si="59"/>
        <v>0</v>
      </c>
      <c r="Q152" s="35">
        <f t="shared" si="60"/>
        <v>0</v>
      </c>
    </row>
    <row r="153" spans="2:17" x14ac:dyDescent="0.35">
      <c r="B153" s="37"/>
      <c r="C153" s="38"/>
      <c r="D153" s="39"/>
      <c r="E153" s="32" t="str">
        <f>IFERROR(VLOOKUP(C153, SEC_105000!$C$204:$G$1962, 2, FALSE), "")</f>
        <v/>
      </c>
      <c r="F153" s="41">
        <v>0</v>
      </c>
      <c r="G153" s="35">
        <f t="shared" si="54"/>
        <v>0</v>
      </c>
      <c r="H153" s="48" t="str">
        <f>IFERROR(VLOOKUP(C153, SEC_105000!$C$204:$G$1962, 4, FALSE), "")</f>
        <v/>
      </c>
      <c r="I153" s="35" t="str">
        <f t="shared" si="58"/>
        <v/>
      </c>
      <c r="J153" s="41" t="str">
        <f>IFERROR(VLOOKUP(C153, SEC_105000!$C$204:$G$1962, 5, FALSE), "")</f>
        <v/>
      </c>
      <c r="K153" s="34">
        <f t="shared" si="55"/>
        <v>0</v>
      </c>
      <c r="L153" s="42"/>
      <c r="M153" s="35">
        <f t="shared" si="56"/>
        <v>0</v>
      </c>
      <c r="N153" s="41">
        <v>0</v>
      </c>
      <c r="O153" s="35">
        <f t="shared" si="57"/>
        <v>0</v>
      </c>
      <c r="P153" s="36">
        <f t="shared" si="59"/>
        <v>0</v>
      </c>
      <c r="Q153" s="35">
        <f t="shared" si="60"/>
        <v>0</v>
      </c>
    </row>
    <row r="154" spans="2:17" x14ac:dyDescent="0.35">
      <c r="B154" s="37"/>
      <c r="C154" s="38"/>
      <c r="D154" s="39"/>
      <c r="E154" s="32" t="str">
        <f>IFERROR(VLOOKUP(C154, SEC_105000!$C$204:$G$1962, 2, FALSE), "")</f>
        <v/>
      </c>
      <c r="F154" s="41">
        <v>0</v>
      </c>
      <c r="G154" s="35">
        <f t="shared" si="54"/>
        <v>0</v>
      </c>
      <c r="H154" s="48" t="str">
        <f>IFERROR(VLOOKUP(C154, SEC_105000!$C$204:$G$1962, 4, FALSE), "")</f>
        <v/>
      </c>
      <c r="I154" s="35" t="str">
        <f t="shared" si="58"/>
        <v/>
      </c>
      <c r="J154" s="41" t="str">
        <f>IFERROR(VLOOKUP(C154, SEC_105000!$C$204:$G$1962, 5, FALSE), "")</f>
        <v/>
      </c>
      <c r="K154" s="34">
        <f t="shared" si="55"/>
        <v>0</v>
      </c>
      <c r="L154" s="42"/>
      <c r="M154" s="35">
        <f t="shared" si="56"/>
        <v>0</v>
      </c>
      <c r="N154" s="41">
        <v>0</v>
      </c>
      <c r="O154" s="35">
        <f t="shared" si="57"/>
        <v>0</v>
      </c>
      <c r="P154" s="36">
        <f t="shared" si="59"/>
        <v>0</v>
      </c>
      <c r="Q154" s="35">
        <f t="shared" si="60"/>
        <v>0</v>
      </c>
    </row>
    <row r="155" spans="2:17" x14ac:dyDescent="0.35">
      <c r="B155" s="37"/>
      <c r="C155" s="38"/>
      <c r="D155" s="39"/>
      <c r="E155" s="32" t="str">
        <f>IFERROR(VLOOKUP(C155, SEC_105000!$C$204:$G$1962, 2, FALSE), "")</f>
        <v/>
      </c>
      <c r="F155" s="41">
        <v>0</v>
      </c>
      <c r="G155" s="35">
        <f t="shared" si="54"/>
        <v>0</v>
      </c>
      <c r="H155" s="48" t="str">
        <f>IFERROR(VLOOKUP(C155, SEC_105000!$C$204:$G$1962, 4, FALSE), "")</f>
        <v/>
      </c>
      <c r="I155" s="35" t="str">
        <f t="shared" si="58"/>
        <v/>
      </c>
      <c r="J155" s="41" t="str">
        <f>IFERROR(VLOOKUP(C155, SEC_105000!$C$204:$G$1962, 5, FALSE), "")</f>
        <v/>
      </c>
      <c r="K155" s="34">
        <f t="shared" si="55"/>
        <v>0</v>
      </c>
      <c r="L155" s="42"/>
      <c r="M155" s="35">
        <f t="shared" si="56"/>
        <v>0</v>
      </c>
      <c r="N155" s="41">
        <v>0</v>
      </c>
      <c r="O155" s="35">
        <f t="shared" si="57"/>
        <v>0</v>
      </c>
      <c r="P155" s="36">
        <f t="shared" si="59"/>
        <v>0</v>
      </c>
      <c r="Q155" s="35">
        <f t="shared" si="60"/>
        <v>0</v>
      </c>
    </row>
    <row r="156" spans="2:17" x14ac:dyDescent="0.35">
      <c r="B156" s="37"/>
      <c r="C156" s="38"/>
      <c r="D156" s="39"/>
      <c r="E156" s="32" t="str">
        <f>IFERROR(VLOOKUP(C156, SEC_105000!$C$204:$G$1962, 2, FALSE), "")</f>
        <v/>
      </c>
      <c r="F156" s="41">
        <v>0</v>
      </c>
      <c r="G156" s="35">
        <f t="shared" si="54"/>
        <v>0</v>
      </c>
      <c r="H156" s="48" t="str">
        <f>IFERROR(VLOOKUP(C156, SEC_105000!$C$204:$G$1962, 4, FALSE), "")</f>
        <v/>
      </c>
      <c r="I156" s="35" t="str">
        <f t="shared" si="58"/>
        <v/>
      </c>
      <c r="J156" s="41" t="str">
        <f>IFERROR(VLOOKUP(C156, SEC_105000!$C$204:$G$1962, 5, FALSE), "")</f>
        <v/>
      </c>
      <c r="K156" s="34">
        <f t="shared" si="55"/>
        <v>0</v>
      </c>
      <c r="L156" s="42"/>
      <c r="M156" s="35">
        <f t="shared" si="56"/>
        <v>0</v>
      </c>
      <c r="N156" s="41">
        <v>0</v>
      </c>
      <c r="O156" s="35">
        <f t="shared" si="57"/>
        <v>0</v>
      </c>
      <c r="P156" s="36">
        <f t="shared" si="59"/>
        <v>0</v>
      </c>
      <c r="Q156" s="35">
        <f t="shared" si="60"/>
        <v>0</v>
      </c>
    </row>
    <row r="157" spans="2:17" x14ac:dyDescent="0.35">
      <c r="B157" s="37"/>
      <c r="C157" s="30" t="s">
        <v>21423</v>
      </c>
      <c r="D157" s="39"/>
      <c r="E157" s="32"/>
      <c r="F157" s="41">
        <v>0</v>
      </c>
      <c r="G157" s="35">
        <f t="shared" si="54"/>
        <v>0</v>
      </c>
      <c r="H157" s="48"/>
      <c r="I157" s="35">
        <f>$D157*H157</f>
        <v>0</v>
      </c>
      <c r="J157" s="41"/>
      <c r="K157" s="34"/>
      <c r="L157" s="42"/>
      <c r="M157" s="35">
        <f t="shared" si="56"/>
        <v>0</v>
      </c>
      <c r="N157" s="41">
        <v>0</v>
      </c>
      <c r="O157" s="35">
        <f t="shared" si="57"/>
        <v>0</v>
      </c>
      <c r="P157" s="36">
        <f t="shared" ref="P157:P162" si="61">F157+(H157*(1+$I$4))+IFERROR(L157/J157,0)+N157</f>
        <v>0</v>
      </c>
      <c r="Q157" s="35">
        <f t="shared" ref="Q157:Q168" si="62">SUM(O157,M157,I157*(1+$I$4),G157)</f>
        <v>0</v>
      </c>
    </row>
    <row r="158" spans="2:17" x14ac:dyDescent="0.35">
      <c r="B158" s="37"/>
      <c r="C158" s="38"/>
      <c r="D158" s="39"/>
      <c r="E158" s="32" t="s">
        <v>24</v>
      </c>
      <c r="F158" s="41">
        <v>0</v>
      </c>
      <c r="G158" s="35">
        <f t="shared" si="54"/>
        <v>0</v>
      </c>
      <c r="H158" s="48"/>
      <c r="I158" s="35">
        <f>$D158*H158</f>
        <v>0</v>
      </c>
      <c r="J158" s="41"/>
      <c r="K158" s="34"/>
      <c r="L158" s="42" t="str">
        <f>IFERROR(VLOOKUP(C158, SEC_105000!K136:M141, 2, FALSE), "")</f>
        <v/>
      </c>
      <c r="M158" s="35">
        <f t="shared" si="56"/>
        <v>0</v>
      </c>
      <c r="N158" s="41">
        <v>0</v>
      </c>
      <c r="O158" s="35">
        <f t="shared" si="57"/>
        <v>0</v>
      </c>
      <c r="P158" s="36">
        <f t="shared" si="61"/>
        <v>0</v>
      </c>
      <c r="Q158" s="35">
        <f t="shared" si="62"/>
        <v>0</v>
      </c>
    </row>
    <row r="159" spans="2:17" x14ac:dyDescent="0.35">
      <c r="B159" s="37"/>
      <c r="C159" s="38"/>
      <c r="D159" s="39"/>
      <c r="E159" s="32" t="s">
        <v>24</v>
      </c>
      <c r="F159" s="41">
        <v>0</v>
      </c>
      <c r="G159" s="35">
        <f t="shared" si="54"/>
        <v>0</v>
      </c>
      <c r="H159" s="48"/>
      <c r="I159" s="35">
        <f>$D159*H159</f>
        <v>0</v>
      </c>
      <c r="J159" s="41"/>
      <c r="K159" s="34"/>
      <c r="L159" s="42" t="str">
        <f>IFERROR(VLOOKUP(C159, SEC_105000!K137:M142, 2, FALSE), "")</f>
        <v/>
      </c>
      <c r="M159" s="35">
        <f t="shared" si="56"/>
        <v>0</v>
      </c>
      <c r="N159" s="41">
        <v>0</v>
      </c>
      <c r="O159" s="35">
        <f t="shared" si="57"/>
        <v>0</v>
      </c>
      <c r="P159" s="36">
        <f t="shared" si="61"/>
        <v>0</v>
      </c>
      <c r="Q159" s="35">
        <f t="shared" si="62"/>
        <v>0</v>
      </c>
    </row>
    <row r="160" spans="2:17" x14ac:dyDescent="0.35">
      <c r="B160" s="37"/>
      <c r="C160" s="38"/>
      <c r="D160" s="39"/>
      <c r="E160" s="32" t="s">
        <v>24</v>
      </c>
      <c r="F160" s="41">
        <v>0</v>
      </c>
      <c r="G160" s="35">
        <f t="shared" si="54"/>
        <v>0</v>
      </c>
      <c r="H160" s="48"/>
      <c r="I160" s="35">
        <f>$D160*H160</f>
        <v>0</v>
      </c>
      <c r="J160" s="41"/>
      <c r="K160" s="34"/>
      <c r="L160" s="42" t="str">
        <f>IFERROR(VLOOKUP(C160, SEC_105000!K138:M143, 2, FALSE), "")</f>
        <v/>
      </c>
      <c r="M160" s="35">
        <f t="shared" si="56"/>
        <v>0</v>
      </c>
      <c r="N160" s="41">
        <v>0</v>
      </c>
      <c r="O160" s="35">
        <f t="shared" si="57"/>
        <v>0</v>
      </c>
      <c r="P160" s="36">
        <f t="shared" si="61"/>
        <v>0</v>
      </c>
      <c r="Q160" s="35">
        <f t="shared" si="62"/>
        <v>0</v>
      </c>
    </row>
    <row r="161" spans="2:17" x14ac:dyDescent="0.35">
      <c r="B161" s="37"/>
      <c r="C161" s="38"/>
      <c r="D161" s="39"/>
      <c r="E161" s="32" t="s">
        <v>24</v>
      </c>
      <c r="F161" s="41">
        <v>0</v>
      </c>
      <c r="G161" s="35">
        <f t="shared" si="54"/>
        <v>0</v>
      </c>
      <c r="H161" s="48"/>
      <c r="I161" s="35">
        <f>$D161*H161</f>
        <v>0</v>
      </c>
      <c r="J161" s="41"/>
      <c r="K161" s="34"/>
      <c r="L161" s="42" t="str">
        <f>IFERROR(VLOOKUP(C161, SEC_105000!K139:M144, 2, FALSE), "")</f>
        <v/>
      </c>
      <c r="M161" s="35">
        <f t="shared" si="56"/>
        <v>0</v>
      </c>
      <c r="N161" s="41">
        <v>0</v>
      </c>
      <c r="O161" s="35">
        <f t="shared" si="57"/>
        <v>0</v>
      </c>
      <c r="P161" s="36">
        <f t="shared" si="61"/>
        <v>0</v>
      </c>
      <c r="Q161" s="35">
        <f t="shared" si="62"/>
        <v>0</v>
      </c>
    </row>
    <row r="162" spans="2:17" x14ac:dyDescent="0.35">
      <c r="B162" s="37"/>
      <c r="C162" s="30" t="s">
        <v>21422</v>
      </c>
      <c r="D162" s="39"/>
      <c r="E162" s="32"/>
      <c r="F162" s="41"/>
      <c r="G162" s="35"/>
      <c r="H162" s="48"/>
      <c r="I162" s="35"/>
      <c r="J162" s="41"/>
      <c r="K162" s="34"/>
      <c r="L162" s="42"/>
      <c r="M162" s="35"/>
      <c r="N162" s="41">
        <v>0</v>
      </c>
      <c r="O162" s="35">
        <f t="shared" si="57"/>
        <v>0</v>
      </c>
      <c r="P162" s="36">
        <f t="shared" si="61"/>
        <v>0</v>
      </c>
      <c r="Q162" s="35">
        <f t="shared" si="62"/>
        <v>0</v>
      </c>
    </row>
    <row r="163" spans="2:17" x14ac:dyDescent="0.35">
      <c r="B163" s="37"/>
      <c r="C163" s="38"/>
      <c r="D163" s="39"/>
      <c r="E163" s="32" t="s">
        <v>24</v>
      </c>
      <c r="F163" s="41"/>
      <c r="G163" s="35"/>
      <c r="H163" s="48"/>
      <c r="I163" s="35"/>
      <c r="J163" s="41"/>
      <c r="K163" s="34"/>
      <c r="L163" s="42"/>
      <c r="M163" s="35"/>
      <c r="N163" s="41">
        <f>IFERROR(VLOOKUP(C163, SEC_105000!N135:O140, 2, FALSE), "")</f>
        <v>0</v>
      </c>
      <c r="O163" s="35" t="str">
        <f>IF(AND(ISNUMBER(D163), ISNUMBER(N163)), D163 * N163, "")</f>
        <v/>
      </c>
      <c r="P163" s="36">
        <f>IF(ISNUMBER(F163), F163, 0) + IF(ISNUMBER(H163), H163 * (1 + $I$4), 0) + IF(AND(ISNUMBER(L163), ISNUMBER(J163), J163&lt;&gt;0), L163 / J163, 0) + IF(ISNUMBER(N163), N163, 0)</f>
        <v>0</v>
      </c>
      <c r="Q163" s="35">
        <f t="shared" si="62"/>
        <v>0</v>
      </c>
    </row>
    <row r="164" spans="2:17" x14ac:dyDescent="0.35">
      <c r="B164" s="37"/>
      <c r="C164" s="38"/>
      <c r="D164" s="39"/>
      <c r="E164" s="32" t="s">
        <v>24</v>
      </c>
      <c r="F164" s="41"/>
      <c r="G164" s="35"/>
      <c r="H164" s="48"/>
      <c r="I164" s="35"/>
      <c r="J164" s="41"/>
      <c r="K164" s="34"/>
      <c r="L164" s="42"/>
      <c r="M164" s="35"/>
      <c r="N164" s="41">
        <f>IFERROR(VLOOKUP(C164, SEC_105000!N136:O141, 2, FALSE), "")</f>
        <v>0</v>
      </c>
      <c r="O164" s="35" t="str">
        <f>IF(AND(ISNUMBER(D164), ISNUMBER(N164)), D164 * N164, "")</f>
        <v/>
      </c>
      <c r="P164" s="36">
        <f>IF(ISNUMBER(F164), F164, 0) + IF(ISNUMBER(H164), H164 * (1 + $I$4), 0) + IF(AND(ISNUMBER(L164), ISNUMBER(J164), J164&lt;&gt;0), L164 / J164, 0) + IF(ISNUMBER(N164), N164, 0)</f>
        <v>0</v>
      </c>
      <c r="Q164" s="35">
        <f t="shared" si="62"/>
        <v>0</v>
      </c>
    </row>
    <row r="165" spans="2:17" x14ac:dyDescent="0.35">
      <c r="B165" s="37" t="str">
        <f>IFERROR(VLOOKUP(C165, SEC_105000!$C$206:$G$207, 3, FALSE), "")</f>
        <v/>
      </c>
      <c r="C165" s="38"/>
      <c r="D165" s="39"/>
      <c r="E165" s="32" t="s">
        <v>24</v>
      </c>
      <c r="F165" s="41"/>
      <c r="G165" s="35"/>
      <c r="H165" s="48"/>
      <c r="I165" s="35"/>
      <c r="J165" s="41"/>
      <c r="K165" s="34"/>
      <c r="L165" s="42"/>
      <c r="M165" s="35"/>
      <c r="N165" s="41">
        <f>IFERROR(VLOOKUP(C165, SEC_105000!N137:O142, 2, FALSE), "")</f>
        <v>0</v>
      </c>
      <c r="O165" s="35" t="str">
        <f>IF(AND(ISNUMBER(D165), ISNUMBER(N165)), D165 * N165, "")</f>
        <v/>
      </c>
      <c r="P165" s="36">
        <f>IF(ISNUMBER(F165), F165, 0) + IF(ISNUMBER(H165), H165 * (1 + $I$4), 0) + IF(AND(ISNUMBER(L165), ISNUMBER(J165), J165&lt;&gt;0), L165 / J165, 0) + IF(ISNUMBER(N165), N165, 0)</f>
        <v>0</v>
      </c>
      <c r="Q165" s="35">
        <f t="shared" si="62"/>
        <v>0</v>
      </c>
    </row>
    <row r="166" spans="2:17" x14ac:dyDescent="0.35">
      <c r="B166" s="37" t="str">
        <f>IFERROR(VLOOKUP(C166, SEC_105000!$C$206:$G$207, 3, FALSE), "")</f>
        <v/>
      </c>
      <c r="C166" s="38"/>
      <c r="D166" s="39"/>
      <c r="E166" s="32" t="s">
        <v>24</v>
      </c>
      <c r="F166" s="41"/>
      <c r="G166" s="35"/>
      <c r="H166" s="48"/>
      <c r="I166" s="35"/>
      <c r="J166" s="41"/>
      <c r="K166" s="34"/>
      <c r="L166" s="42"/>
      <c r="M166" s="35"/>
      <c r="N166" s="41">
        <f>IFERROR(VLOOKUP(C166, SEC_105000!N138:O143, 2, FALSE), "")</f>
        <v>0</v>
      </c>
      <c r="O166" s="35" t="str">
        <f>IF(AND(ISNUMBER(D166), ISNUMBER(N166)), D166 * N166, "")</f>
        <v/>
      </c>
      <c r="P166" s="36">
        <f>IF(ISNUMBER(F166), F166, 0) + IF(ISNUMBER(H166), H166 * (1 + $I$4), 0) + IF(AND(ISNUMBER(L166), ISNUMBER(J166), J166&lt;&gt;0), L166 / J166, 0) + IF(ISNUMBER(N166), N166, 0)</f>
        <v>0</v>
      </c>
      <c r="Q166" s="35">
        <f t="shared" si="62"/>
        <v>0</v>
      </c>
    </row>
    <row r="167" spans="2:17" x14ac:dyDescent="0.35">
      <c r="B167" s="37" t="str">
        <f>IFERROR(VLOOKUP(C167, SEC_105000!$C$206:$G$207, 3, FALSE), "")</f>
        <v/>
      </c>
      <c r="C167" s="38"/>
      <c r="D167" s="39"/>
      <c r="E167" s="32"/>
      <c r="F167" s="41"/>
      <c r="G167" s="35"/>
      <c r="H167" s="48"/>
      <c r="I167" s="35"/>
      <c r="J167" s="41"/>
      <c r="K167" s="34"/>
      <c r="L167" s="42"/>
      <c r="M167" s="35"/>
      <c r="N167" s="41">
        <v>0</v>
      </c>
      <c r="O167" s="35">
        <f>$D167*N167</f>
        <v>0</v>
      </c>
      <c r="P167" s="36">
        <f>F167+(H167*(1+$I$4))+IFERROR(L167/J167,0)+N167</f>
        <v>0</v>
      </c>
      <c r="Q167" s="35">
        <f t="shared" si="62"/>
        <v>0</v>
      </c>
    </row>
    <row r="168" spans="2:17" x14ac:dyDescent="0.35">
      <c r="B168" s="37" t="str">
        <f>IFERROR(VLOOKUP(C168, SEC_105000!$C$206:$G$207, 3, FALSE), "")</f>
        <v/>
      </c>
      <c r="C168" s="38"/>
      <c r="D168" s="39"/>
      <c r="E168" s="32"/>
      <c r="F168" s="41"/>
      <c r="G168" s="35"/>
      <c r="H168" s="48"/>
      <c r="I168" s="35"/>
      <c r="J168" s="41"/>
      <c r="K168" s="34"/>
      <c r="L168" s="42"/>
      <c r="M168" s="35"/>
      <c r="N168" s="41">
        <v>0</v>
      </c>
      <c r="O168" s="35">
        <f>$D168*N168</f>
        <v>0</v>
      </c>
      <c r="P168" s="36">
        <f>F168+(H168*(1+$I$4))+IFERROR(L168/J168,0)+N168</f>
        <v>0</v>
      </c>
      <c r="Q168" s="35">
        <f t="shared" si="62"/>
        <v>0</v>
      </c>
    </row>
    <row r="169" spans="2:17" ht="15.5" x14ac:dyDescent="0.35">
      <c r="B169" s="37" t="str">
        <f>IFERROR(VLOOKUP(C169, SEC_105000!$C$206:$G$207, 3, FALSE), "")</f>
        <v/>
      </c>
      <c r="C169" s="105" t="s">
        <v>21431</v>
      </c>
      <c r="D169" s="39"/>
      <c r="E169" s="32"/>
      <c r="F169" s="41"/>
      <c r="G169" s="35"/>
      <c r="H169" s="34"/>
      <c r="I169" s="35"/>
      <c r="J169" s="41"/>
      <c r="K169" s="34"/>
      <c r="L169" s="34"/>
      <c r="M169" s="35"/>
      <c r="N169" s="41"/>
      <c r="O169" s="35"/>
      <c r="P169" s="31"/>
      <c r="Q169" s="35"/>
    </row>
    <row r="170" spans="2:17" x14ac:dyDescent="0.35">
      <c r="B170" s="37" t="str">
        <f>IFERROR(VLOOKUP(C170, SEC_105000!$C$206:$G$207, 3, FALSE), "")</f>
        <v/>
      </c>
      <c r="C170" s="30" t="s">
        <v>21424</v>
      </c>
      <c r="D170" s="39"/>
      <c r="E170" s="32"/>
      <c r="F170" s="41">
        <v>0</v>
      </c>
      <c r="G170" s="35">
        <f t="shared" ref="G170:G183" si="63">$D170*F170</f>
        <v>0</v>
      </c>
      <c r="H170" s="48"/>
      <c r="I170" s="35">
        <f>$D170*H170</f>
        <v>0</v>
      </c>
      <c r="J170" s="41"/>
      <c r="K170" s="34">
        <f t="shared" ref="K170:K178" si="64">IFERROR($D170/$J170,0)</f>
        <v>0</v>
      </c>
      <c r="L170" s="42"/>
      <c r="M170" s="35">
        <f t="shared" ref="M170:M183" si="65">IFERROR(K170*L170,0)</f>
        <v>0</v>
      </c>
      <c r="N170" s="41">
        <v>0</v>
      </c>
      <c r="O170" s="35">
        <f t="shared" ref="O170:O184" si="66">$D170*N170</f>
        <v>0</v>
      </c>
      <c r="P170" s="36">
        <f>F170+(H170*(1+$I$4))+IFERROR(L170/J170,0)+N170</f>
        <v>0</v>
      </c>
      <c r="Q170" s="35">
        <f>SUM(O170,M170,I170*(1+$I$4),G170)</f>
        <v>0</v>
      </c>
    </row>
    <row r="171" spans="2:17" x14ac:dyDescent="0.35">
      <c r="B171" s="37" t="str">
        <f>IFERROR(VLOOKUP(C171, SEC_105000!$C$206:$G$207, 3, FALSE), "")</f>
        <v/>
      </c>
      <c r="C171" s="38"/>
      <c r="D171" s="39"/>
      <c r="E171" s="32" t="str">
        <f>IFERROR(VLOOKUP(C171, SEC_105000!$C$204:$G$1962, 2, FALSE), "")</f>
        <v/>
      </c>
      <c r="F171" s="41">
        <v>0</v>
      </c>
      <c r="G171" s="35">
        <f t="shared" si="63"/>
        <v>0</v>
      </c>
      <c r="H171" s="48" t="str">
        <f>IFERROR(VLOOKUP(C171, SEC_105000!$C$204:$G$1962, 4, FALSE), "")</f>
        <v/>
      </c>
      <c r="I171" s="35" t="str">
        <f t="shared" ref="I171:I178" si="67">IF(AND(ISNUMBER(D171), ISNUMBER(H171)), D171 * H171, "")</f>
        <v/>
      </c>
      <c r="J171" s="41" t="str">
        <f>IFERROR(VLOOKUP(C171, SEC_105000!$C$204:$G$1962, 5, FALSE), "")</f>
        <v/>
      </c>
      <c r="K171" s="34">
        <f t="shared" si="64"/>
        <v>0</v>
      </c>
      <c r="L171" s="42"/>
      <c r="M171" s="35">
        <f t="shared" si="65"/>
        <v>0</v>
      </c>
      <c r="N171" s="41">
        <v>0</v>
      </c>
      <c r="O171" s="35">
        <f t="shared" si="66"/>
        <v>0</v>
      </c>
      <c r="P171" s="36">
        <f t="shared" ref="P171:P178" si="68">IF(ISNUMBER(F171), F171, 0) + IF(ISNUMBER(H171), H171 * (1 + $I$4), 0) + IF(AND(ISNUMBER(L171), ISNUMBER(J171), J171 &lt;&gt; 0), L171 / J171, 0) + IF(ISNUMBER(N171), N171, 0)</f>
        <v>0</v>
      </c>
      <c r="Q171" s="35">
        <f t="shared" ref="Q171:Q178" si="69">SUM(IF(ISNUMBER(O171), O171, 0), IF(ISNUMBER(M171), M171, 0), IF(ISNUMBER(I171), I171 * (1 + $I$4), 0), IF(ISNUMBER(G171), G171, 0))</f>
        <v>0</v>
      </c>
    </row>
    <row r="172" spans="2:17" x14ac:dyDescent="0.35">
      <c r="B172" s="37" t="str">
        <f>IFERROR(VLOOKUP(C172, SEC_105000!$C$206:$G$207, 3, FALSE), "")</f>
        <v/>
      </c>
      <c r="C172" s="38"/>
      <c r="D172" s="39"/>
      <c r="E172" s="32" t="str">
        <f>IFERROR(VLOOKUP(C172, SEC_105000!$C$204:$G$1962, 2, FALSE), "")</f>
        <v/>
      </c>
      <c r="F172" s="41">
        <v>0</v>
      </c>
      <c r="G172" s="35">
        <f t="shared" si="63"/>
        <v>0</v>
      </c>
      <c r="H172" s="48" t="str">
        <f>IFERROR(VLOOKUP(C172, SEC_105000!$C$204:$G$1962, 4, FALSE), "")</f>
        <v/>
      </c>
      <c r="I172" s="35" t="str">
        <f t="shared" si="67"/>
        <v/>
      </c>
      <c r="J172" s="41" t="str">
        <f>IFERROR(VLOOKUP(C172, SEC_105000!$C$204:$G$1962, 5, FALSE), "")</f>
        <v/>
      </c>
      <c r="K172" s="34">
        <f t="shared" si="64"/>
        <v>0</v>
      </c>
      <c r="L172" s="42"/>
      <c r="M172" s="35">
        <f t="shared" si="65"/>
        <v>0</v>
      </c>
      <c r="N172" s="41">
        <v>0</v>
      </c>
      <c r="O172" s="35">
        <f t="shared" si="66"/>
        <v>0</v>
      </c>
      <c r="P172" s="36">
        <f t="shared" si="68"/>
        <v>0</v>
      </c>
      <c r="Q172" s="35">
        <f t="shared" si="69"/>
        <v>0</v>
      </c>
    </row>
    <row r="173" spans="2:17" x14ac:dyDescent="0.35">
      <c r="B173" s="37"/>
      <c r="C173" s="38"/>
      <c r="D173" s="39"/>
      <c r="E173" s="32" t="str">
        <f>IFERROR(VLOOKUP(C173, SEC_105000!$C$204:$G$1962, 2, FALSE), "")</f>
        <v/>
      </c>
      <c r="F173" s="41">
        <v>0</v>
      </c>
      <c r="G173" s="35">
        <f t="shared" si="63"/>
        <v>0</v>
      </c>
      <c r="H173" s="48" t="str">
        <f>IFERROR(VLOOKUP(C173, SEC_105000!$C$204:$G$1962, 4, FALSE), "")</f>
        <v/>
      </c>
      <c r="I173" s="35" t="str">
        <f t="shared" si="67"/>
        <v/>
      </c>
      <c r="J173" s="41" t="str">
        <f>IFERROR(VLOOKUP(C173, SEC_105000!$C$204:$G$1962, 5, FALSE), "")</f>
        <v/>
      </c>
      <c r="K173" s="34">
        <f t="shared" si="64"/>
        <v>0</v>
      </c>
      <c r="L173" s="42"/>
      <c r="M173" s="35">
        <f t="shared" si="65"/>
        <v>0</v>
      </c>
      <c r="N173" s="41">
        <v>0</v>
      </c>
      <c r="O173" s="35">
        <f t="shared" si="66"/>
        <v>0</v>
      </c>
      <c r="P173" s="36">
        <f t="shared" si="68"/>
        <v>0</v>
      </c>
      <c r="Q173" s="35">
        <f t="shared" si="69"/>
        <v>0</v>
      </c>
    </row>
    <row r="174" spans="2:17" x14ac:dyDescent="0.35">
      <c r="B174" s="37"/>
      <c r="C174" s="38"/>
      <c r="D174" s="39"/>
      <c r="E174" s="32" t="str">
        <f>IFERROR(VLOOKUP(C174, SEC_105000!$C$204:$G$1962, 2, FALSE), "")</f>
        <v/>
      </c>
      <c r="F174" s="41">
        <v>0</v>
      </c>
      <c r="G174" s="35">
        <f t="shared" si="63"/>
        <v>0</v>
      </c>
      <c r="H174" s="48" t="str">
        <f>IFERROR(VLOOKUP(C174, SEC_105000!$C$204:$G$1962, 4, FALSE), "")</f>
        <v/>
      </c>
      <c r="I174" s="35" t="str">
        <f t="shared" si="67"/>
        <v/>
      </c>
      <c r="J174" s="41" t="str">
        <f>IFERROR(VLOOKUP(C174, SEC_105000!$C$204:$G$1962, 5, FALSE), "")</f>
        <v/>
      </c>
      <c r="K174" s="34">
        <f t="shared" si="64"/>
        <v>0</v>
      </c>
      <c r="L174" s="42"/>
      <c r="M174" s="35">
        <f t="shared" si="65"/>
        <v>0</v>
      </c>
      <c r="N174" s="41">
        <v>0</v>
      </c>
      <c r="O174" s="35">
        <f t="shared" si="66"/>
        <v>0</v>
      </c>
      <c r="P174" s="36">
        <f t="shared" si="68"/>
        <v>0</v>
      </c>
      <c r="Q174" s="35">
        <f t="shared" si="69"/>
        <v>0</v>
      </c>
    </row>
    <row r="175" spans="2:17" x14ac:dyDescent="0.35">
      <c r="B175" s="37"/>
      <c r="C175" s="38"/>
      <c r="D175" s="39"/>
      <c r="E175" s="32" t="str">
        <f>IFERROR(VLOOKUP(C175, SEC_105000!$C$204:$G$1962, 2, FALSE), "")</f>
        <v/>
      </c>
      <c r="F175" s="41">
        <v>0</v>
      </c>
      <c r="G175" s="35">
        <f t="shared" si="63"/>
        <v>0</v>
      </c>
      <c r="H175" s="48" t="str">
        <f>IFERROR(VLOOKUP(C175, SEC_105000!$C$204:$G$1962, 4, FALSE), "")</f>
        <v/>
      </c>
      <c r="I175" s="35" t="str">
        <f t="shared" si="67"/>
        <v/>
      </c>
      <c r="J175" s="41" t="str">
        <f>IFERROR(VLOOKUP(C175, SEC_105000!$C$204:$G$1962, 5, FALSE), "")</f>
        <v/>
      </c>
      <c r="K175" s="34">
        <f t="shared" si="64"/>
        <v>0</v>
      </c>
      <c r="L175" s="42"/>
      <c r="M175" s="35">
        <f t="shared" si="65"/>
        <v>0</v>
      </c>
      <c r="N175" s="41">
        <v>0</v>
      </c>
      <c r="O175" s="35">
        <f t="shared" si="66"/>
        <v>0</v>
      </c>
      <c r="P175" s="36">
        <f t="shared" si="68"/>
        <v>0</v>
      </c>
      <c r="Q175" s="35">
        <f t="shared" si="69"/>
        <v>0</v>
      </c>
    </row>
    <row r="176" spans="2:17" x14ac:dyDescent="0.35">
      <c r="B176" s="37"/>
      <c r="C176" s="38"/>
      <c r="D176" s="39"/>
      <c r="E176" s="32" t="str">
        <f>IFERROR(VLOOKUP(C176, SEC_105000!$C$204:$G$1962, 2, FALSE), "")</f>
        <v/>
      </c>
      <c r="F176" s="41">
        <v>0</v>
      </c>
      <c r="G176" s="35">
        <f t="shared" si="63"/>
        <v>0</v>
      </c>
      <c r="H176" s="48" t="str">
        <f>IFERROR(VLOOKUP(C176, SEC_105000!$C$204:$G$1962, 4, FALSE), "")</f>
        <v/>
      </c>
      <c r="I176" s="35" t="str">
        <f t="shared" si="67"/>
        <v/>
      </c>
      <c r="J176" s="41" t="str">
        <f>IFERROR(VLOOKUP(C176, SEC_105000!$C$204:$G$1962, 5, FALSE), "")</f>
        <v/>
      </c>
      <c r="K176" s="34">
        <f t="shared" si="64"/>
        <v>0</v>
      </c>
      <c r="L176" s="42"/>
      <c r="M176" s="35">
        <f t="shared" si="65"/>
        <v>0</v>
      </c>
      <c r="N176" s="41">
        <v>0</v>
      </c>
      <c r="O176" s="35">
        <f t="shared" si="66"/>
        <v>0</v>
      </c>
      <c r="P176" s="36">
        <f t="shared" si="68"/>
        <v>0</v>
      </c>
      <c r="Q176" s="35">
        <f t="shared" si="69"/>
        <v>0</v>
      </c>
    </row>
    <row r="177" spans="3:17" x14ac:dyDescent="0.35">
      <c r="C177" s="38"/>
      <c r="D177" s="39"/>
      <c r="E177" s="32" t="str">
        <f>IFERROR(VLOOKUP(C177, SEC_105000!$C$204:$G$1962, 2, FALSE), "")</f>
        <v/>
      </c>
      <c r="F177" s="41">
        <v>0</v>
      </c>
      <c r="G177" s="35">
        <f t="shared" si="63"/>
        <v>0</v>
      </c>
      <c r="H177" s="48" t="str">
        <f>IFERROR(VLOOKUP(C177, SEC_105000!$C$204:$G$1962, 4, FALSE), "")</f>
        <v/>
      </c>
      <c r="I177" s="35" t="str">
        <f t="shared" si="67"/>
        <v/>
      </c>
      <c r="J177" s="41" t="str">
        <f>IFERROR(VLOOKUP(C177, SEC_105000!$C$204:$G$1962, 5, FALSE), "")</f>
        <v/>
      </c>
      <c r="K177" s="34">
        <f t="shared" si="64"/>
        <v>0</v>
      </c>
      <c r="L177" s="42"/>
      <c r="M177" s="35">
        <f t="shared" si="65"/>
        <v>0</v>
      </c>
      <c r="N177" s="41">
        <v>0</v>
      </c>
      <c r="O177" s="35">
        <f t="shared" si="66"/>
        <v>0</v>
      </c>
      <c r="P177" s="36">
        <f t="shared" si="68"/>
        <v>0</v>
      </c>
      <c r="Q177" s="35">
        <f t="shared" si="69"/>
        <v>0</v>
      </c>
    </row>
    <row r="178" spans="3:17" x14ac:dyDescent="0.35">
      <c r="C178" s="38"/>
      <c r="D178" s="39"/>
      <c r="E178" s="32" t="str">
        <f>IFERROR(VLOOKUP(C178, SEC_105000!$C$204:$G$1962, 2, FALSE), "")</f>
        <v/>
      </c>
      <c r="F178" s="41">
        <v>0</v>
      </c>
      <c r="G178" s="35">
        <f t="shared" si="63"/>
        <v>0</v>
      </c>
      <c r="H178" s="48" t="str">
        <f>IFERROR(VLOOKUP(C178, SEC_105000!$C$204:$G$1962, 4, FALSE), "")</f>
        <v/>
      </c>
      <c r="I178" s="35" t="str">
        <f t="shared" si="67"/>
        <v/>
      </c>
      <c r="J178" s="41" t="str">
        <f>IFERROR(VLOOKUP(C178, SEC_105000!$C$204:$G$1962, 5, FALSE), "")</f>
        <v/>
      </c>
      <c r="K178" s="34">
        <f t="shared" si="64"/>
        <v>0</v>
      </c>
      <c r="L178" s="42"/>
      <c r="M178" s="35">
        <f t="shared" si="65"/>
        <v>0</v>
      </c>
      <c r="N178" s="41">
        <v>0</v>
      </c>
      <c r="O178" s="35">
        <f t="shared" si="66"/>
        <v>0</v>
      </c>
      <c r="P178" s="36">
        <f t="shared" si="68"/>
        <v>0</v>
      </c>
      <c r="Q178" s="35">
        <f t="shared" si="69"/>
        <v>0</v>
      </c>
    </row>
    <row r="179" spans="3:17" x14ac:dyDescent="0.35">
      <c r="C179" s="30" t="s">
        <v>21423</v>
      </c>
      <c r="D179" s="39"/>
      <c r="E179" s="32"/>
      <c r="F179" s="41">
        <v>0</v>
      </c>
      <c r="G179" s="35">
        <f t="shared" si="63"/>
        <v>0</v>
      </c>
      <c r="H179" s="48"/>
      <c r="I179" s="35">
        <f>$D179*H179</f>
        <v>0</v>
      </c>
      <c r="J179" s="41"/>
      <c r="K179" s="34"/>
      <c r="L179" s="42"/>
      <c r="M179" s="35">
        <f t="shared" si="65"/>
        <v>0</v>
      </c>
      <c r="N179" s="41">
        <v>0</v>
      </c>
      <c r="O179" s="35">
        <f t="shared" si="66"/>
        <v>0</v>
      </c>
      <c r="P179" s="36">
        <f t="shared" ref="P179:P184" si="70">F179+(H179*(1+$I$4))+IFERROR(L179/J179,0)+N179</f>
        <v>0</v>
      </c>
      <c r="Q179" s="35">
        <f t="shared" ref="Q179:Q190" si="71">SUM(O179,M179,I179*(1+$I$4),G179)</f>
        <v>0</v>
      </c>
    </row>
    <row r="180" spans="3:17" x14ac:dyDescent="0.35">
      <c r="C180" s="38"/>
      <c r="D180" s="39"/>
      <c r="E180" s="32" t="s">
        <v>24</v>
      </c>
      <c r="F180" s="41">
        <v>0</v>
      </c>
      <c r="G180" s="35">
        <f t="shared" si="63"/>
        <v>0</v>
      </c>
      <c r="H180" s="48"/>
      <c r="I180" s="35">
        <f>$D180*H180</f>
        <v>0</v>
      </c>
      <c r="J180" s="41"/>
      <c r="K180" s="34"/>
      <c r="L180" s="42" t="str">
        <f>IFERROR(VLOOKUP(C180, SEC_105000!K158:M163, 2, FALSE), "")</f>
        <v/>
      </c>
      <c r="M180" s="35">
        <f t="shared" si="65"/>
        <v>0</v>
      </c>
      <c r="N180" s="41">
        <v>0</v>
      </c>
      <c r="O180" s="35">
        <f t="shared" si="66"/>
        <v>0</v>
      </c>
      <c r="P180" s="36">
        <f t="shared" si="70"/>
        <v>0</v>
      </c>
      <c r="Q180" s="35">
        <f t="shared" si="71"/>
        <v>0</v>
      </c>
    </row>
    <row r="181" spans="3:17" x14ac:dyDescent="0.35">
      <c r="C181" s="38"/>
      <c r="D181" s="39"/>
      <c r="E181" s="32" t="s">
        <v>24</v>
      </c>
      <c r="F181" s="41">
        <v>0</v>
      </c>
      <c r="G181" s="35">
        <f t="shared" si="63"/>
        <v>0</v>
      </c>
      <c r="H181" s="48"/>
      <c r="I181" s="35">
        <f>$D181*H181</f>
        <v>0</v>
      </c>
      <c r="J181" s="41"/>
      <c r="K181" s="34"/>
      <c r="L181" s="42" t="str">
        <f>IFERROR(VLOOKUP(C181, SEC_105000!K159:M164, 2, FALSE), "")</f>
        <v/>
      </c>
      <c r="M181" s="35">
        <f t="shared" si="65"/>
        <v>0</v>
      </c>
      <c r="N181" s="41">
        <v>0</v>
      </c>
      <c r="O181" s="35">
        <f t="shared" si="66"/>
        <v>0</v>
      </c>
      <c r="P181" s="36">
        <f t="shared" si="70"/>
        <v>0</v>
      </c>
      <c r="Q181" s="35">
        <f t="shared" si="71"/>
        <v>0</v>
      </c>
    </row>
    <row r="182" spans="3:17" x14ac:dyDescent="0.35">
      <c r="C182" s="38"/>
      <c r="D182" s="39"/>
      <c r="E182" s="32" t="s">
        <v>24</v>
      </c>
      <c r="F182" s="41">
        <v>0</v>
      </c>
      <c r="G182" s="35">
        <f t="shared" si="63"/>
        <v>0</v>
      </c>
      <c r="H182" s="48"/>
      <c r="I182" s="35">
        <f>$D182*H182</f>
        <v>0</v>
      </c>
      <c r="J182" s="41"/>
      <c r="K182" s="34"/>
      <c r="L182" s="42" t="str">
        <f>IFERROR(VLOOKUP(C182, SEC_105000!K160:M165, 2, FALSE), "")</f>
        <v/>
      </c>
      <c r="M182" s="35">
        <f t="shared" si="65"/>
        <v>0</v>
      </c>
      <c r="N182" s="41">
        <v>0</v>
      </c>
      <c r="O182" s="35">
        <f t="shared" si="66"/>
        <v>0</v>
      </c>
      <c r="P182" s="36">
        <f t="shared" si="70"/>
        <v>0</v>
      </c>
      <c r="Q182" s="35">
        <f t="shared" si="71"/>
        <v>0</v>
      </c>
    </row>
    <row r="183" spans="3:17" x14ac:dyDescent="0.35">
      <c r="C183" s="38"/>
      <c r="D183" s="39"/>
      <c r="E183" s="32" t="s">
        <v>24</v>
      </c>
      <c r="F183" s="41">
        <v>0</v>
      </c>
      <c r="G183" s="35">
        <f t="shared" si="63"/>
        <v>0</v>
      </c>
      <c r="H183" s="48"/>
      <c r="I183" s="35">
        <f>$D183*H183</f>
        <v>0</v>
      </c>
      <c r="J183" s="41"/>
      <c r="K183" s="34"/>
      <c r="L183" s="42" t="str">
        <f>IFERROR(VLOOKUP(C183, SEC_105000!K161:M166, 2, FALSE), "")</f>
        <v/>
      </c>
      <c r="M183" s="35">
        <f t="shared" si="65"/>
        <v>0</v>
      </c>
      <c r="N183" s="41">
        <v>0</v>
      </c>
      <c r="O183" s="35">
        <f t="shared" si="66"/>
        <v>0</v>
      </c>
      <c r="P183" s="36">
        <f t="shared" si="70"/>
        <v>0</v>
      </c>
      <c r="Q183" s="35">
        <f t="shared" si="71"/>
        <v>0</v>
      </c>
    </row>
    <row r="184" spans="3:17" x14ac:dyDescent="0.35">
      <c r="C184" s="30" t="s">
        <v>21422</v>
      </c>
      <c r="D184" s="39"/>
      <c r="E184" s="32"/>
      <c r="F184" s="41"/>
      <c r="G184" s="35"/>
      <c r="H184" s="48"/>
      <c r="I184" s="35"/>
      <c r="J184" s="41"/>
      <c r="K184" s="34"/>
      <c r="L184" s="42"/>
      <c r="M184" s="35"/>
      <c r="N184" s="41">
        <v>0</v>
      </c>
      <c r="O184" s="35">
        <f t="shared" si="66"/>
        <v>0</v>
      </c>
      <c r="P184" s="36">
        <f t="shared" si="70"/>
        <v>0</v>
      </c>
      <c r="Q184" s="35">
        <f t="shared" si="71"/>
        <v>0</v>
      </c>
    </row>
    <row r="185" spans="3:17" x14ac:dyDescent="0.35">
      <c r="C185" s="38"/>
      <c r="D185" s="39"/>
      <c r="E185" s="32" t="s">
        <v>24</v>
      </c>
      <c r="F185" s="41"/>
      <c r="G185" s="35"/>
      <c r="H185" s="48"/>
      <c r="I185" s="35"/>
      <c r="J185" s="41"/>
      <c r="K185" s="34"/>
      <c r="L185" s="42"/>
      <c r="M185" s="35"/>
      <c r="N185" s="41">
        <f>IFERROR(VLOOKUP(C185, SEC_105000!N157:O162, 2, FALSE), "")</f>
        <v>0</v>
      </c>
      <c r="O185" s="35" t="str">
        <f>IF(AND(ISNUMBER(D185), ISNUMBER(N185)), D185 * N185, "")</f>
        <v/>
      </c>
      <c r="P185" s="36">
        <f>IF(ISNUMBER(F185), F185, 0) + IF(ISNUMBER(H185), H185 * (1 + $I$4), 0) + IF(AND(ISNUMBER(L185), ISNUMBER(J185), J185&lt;&gt;0), L185 / J185, 0) + IF(ISNUMBER(N185), N185, 0)</f>
        <v>0</v>
      </c>
      <c r="Q185" s="35">
        <f t="shared" si="71"/>
        <v>0</v>
      </c>
    </row>
    <row r="186" spans="3:17" x14ac:dyDescent="0.35">
      <c r="C186" s="38"/>
      <c r="D186" s="39"/>
      <c r="E186" s="32" t="s">
        <v>24</v>
      </c>
      <c r="F186" s="41"/>
      <c r="G186" s="35"/>
      <c r="H186" s="48"/>
      <c r="I186" s="35"/>
      <c r="J186" s="41"/>
      <c r="K186" s="34"/>
      <c r="L186" s="42"/>
      <c r="M186" s="35"/>
      <c r="N186" s="41">
        <f>IFERROR(VLOOKUP(C186, SEC_105000!N158:O163, 2, FALSE), "")</f>
        <v>0</v>
      </c>
      <c r="O186" s="35" t="str">
        <f>IF(AND(ISNUMBER(D186), ISNUMBER(N186)), D186 * N186, "")</f>
        <v/>
      </c>
      <c r="P186" s="36">
        <f>IF(ISNUMBER(F186), F186, 0) + IF(ISNUMBER(H186), H186 * (1 + $I$4), 0) + IF(AND(ISNUMBER(L186), ISNUMBER(J186), J186&lt;&gt;0), L186 / J186, 0) + IF(ISNUMBER(N186), N186, 0)</f>
        <v>0</v>
      </c>
      <c r="Q186" s="35">
        <f t="shared" si="71"/>
        <v>0</v>
      </c>
    </row>
    <row r="187" spans="3:17" x14ac:dyDescent="0.35">
      <c r="C187" s="38"/>
      <c r="D187" s="39"/>
      <c r="E187" s="32" t="s">
        <v>24</v>
      </c>
      <c r="F187" s="41"/>
      <c r="G187" s="35"/>
      <c r="H187" s="48"/>
      <c r="I187" s="35"/>
      <c r="J187" s="41"/>
      <c r="K187" s="34"/>
      <c r="L187" s="42"/>
      <c r="M187" s="35"/>
      <c r="N187" s="41">
        <f>IFERROR(VLOOKUP(C187, SEC_105000!N159:O164, 2, FALSE), "")</f>
        <v>0</v>
      </c>
      <c r="O187" s="35" t="str">
        <f>IF(AND(ISNUMBER(D187), ISNUMBER(N187)), D187 * N187, "")</f>
        <v/>
      </c>
      <c r="P187" s="36">
        <f>IF(ISNUMBER(F187), F187, 0) + IF(ISNUMBER(H187), H187 * (1 + $I$4), 0) + IF(AND(ISNUMBER(L187), ISNUMBER(J187), J187&lt;&gt;0), L187 / J187, 0) + IF(ISNUMBER(N187), N187, 0)</f>
        <v>0</v>
      </c>
      <c r="Q187" s="35">
        <f t="shared" si="71"/>
        <v>0</v>
      </c>
    </row>
    <row r="188" spans="3:17" x14ac:dyDescent="0.35">
      <c r="C188" s="38"/>
      <c r="D188" s="39"/>
      <c r="E188" s="32" t="s">
        <v>24</v>
      </c>
      <c r="F188" s="41"/>
      <c r="G188" s="35"/>
      <c r="H188" s="48"/>
      <c r="I188" s="35"/>
      <c r="J188" s="41"/>
      <c r="K188" s="34"/>
      <c r="L188" s="42"/>
      <c r="M188" s="35"/>
      <c r="N188" s="41">
        <f>IFERROR(VLOOKUP(C188, SEC_105000!N160:O165, 2, FALSE), "")</f>
        <v>0</v>
      </c>
      <c r="O188" s="35" t="str">
        <f>IF(AND(ISNUMBER(D188), ISNUMBER(N188)), D188 * N188, "")</f>
        <v/>
      </c>
      <c r="P188" s="36">
        <f>IF(ISNUMBER(F188), F188, 0) + IF(ISNUMBER(H188), H188 * (1 + $I$4), 0) + IF(AND(ISNUMBER(L188), ISNUMBER(J188), J188&lt;&gt;0), L188 / J188, 0) + IF(ISNUMBER(N188), N188, 0)</f>
        <v>0</v>
      </c>
      <c r="Q188" s="35">
        <f t="shared" si="71"/>
        <v>0</v>
      </c>
    </row>
    <row r="189" spans="3:17" x14ac:dyDescent="0.35">
      <c r="C189" s="38"/>
      <c r="D189" s="39"/>
      <c r="E189" s="32"/>
      <c r="F189" s="41"/>
      <c r="G189" s="35"/>
      <c r="H189" s="48"/>
      <c r="I189" s="35"/>
      <c r="J189" s="41"/>
      <c r="K189" s="34"/>
      <c r="L189" s="42"/>
      <c r="M189" s="35"/>
      <c r="N189" s="41">
        <v>0</v>
      </c>
      <c r="O189" s="35">
        <f>$D189*N189</f>
        <v>0</v>
      </c>
      <c r="P189" s="36">
        <f>F189+(H189*(1+$I$4))+IFERROR(L189/J189,0)+N189</f>
        <v>0</v>
      </c>
      <c r="Q189" s="35">
        <f t="shared" si="71"/>
        <v>0</v>
      </c>
    </row>
    <row r="190" spans="3:17" x14ac:dyDescent="0.35">
      <c r="C190" s="38"/>
      <c r="D190" s="39"/>
      <c r="E190" s="32"/>
      <c r="F190" s="41"/>
      <c r="G190" s="35"/>
      <c r="H190" s="48"/>
      <c r="I190" s="35"/>
      <c r="J190" s="41"/>
      <c r="K190" s="34"/>
      <c r="L190" s="42"/>
      <c r="M190" s="35"/>
      <c r="N190" s="41">
        <v>0</v>
      </c>
      <c r="O190" s="35">
        <f>$D190*N190</f>
        <v>0</v>
      </c>
      <c r="P190" s="36">
        <f>F190+(H190*(1+$I$4))+IFERROR(L190/J190,0)+N190</f>
        <v>0</v>
      </c>
      <c r="Q190" s="35">
        <f t="shared" si="71"/>
        <v>0</v>
      </c>
    </row>
    <row r="191" spans="3:17" x14ac:dyDescent="0.35">
      <c r="C191" s="43" t="str">
        <f>C162&amp;" Subtotal"</f>
        <v>Equipment Subtotal</v>
      </c>
      <c r="D191" s="31"/>
      <c r="E191" s="32"/>
      <c r="F191" s="44"/>
      <c r="G191" s="45">
        <f>SUBTOTAL(9,G163:G190)</f>
        <v>0</v>
      </c>
      <c r="H191" s="44"/>
      <c r="I191" s="45">
        <f>SUBTOTAL(9,I163:I190)</f>
        <v>0</v>
      </c>
      <c r="J191" s="34"/>
      <c r="K191" s="43">
        <f>SUBTOTAL(9,K163:K190)</f>
        <v>0</v>
      </c>
      <c r="L191" s="44"/>
      <c r="M191" s="45">
        <f>SUBTOTAL(9,M163:M190)</f>
        <v>0</v>
      </c>
      <c r="N191" s="44"/>
      <c r="O191" s="45">
        <f>SUBTOTAL(9,O163:O190)</f>
        <v>0</v>
      </c>
      <c r="P191" s="36"/>
      <c r="Q191" s="45"/>
    </row>
    <row r="193" spans="2:17" x14ac:dyDescent="0.35">
      <c r="B193" s="37"/>
      <c r="C193" s="30" t="s">
        <v>37</v>
      </c>
      <c r="D193" s="31"/>
      <c r="E193" s="32"/>
      <c r="F193" s="34"/>
      <c r="G193" s="33"/>
      <c r="H193" s="34"/>
      <c r="I193" s="33"/>
      <c r="J193" s="34"/>
      <c r="K193" s="34"/>
      <c r="L193" s="34"/>
      <c r="M193" s="33"/>
      <c r="N193" s="34"/>
      <c r="O193" s="35"/>
      <c r="P193" s="36"/>
      <c r="Q193" s="35"/>
    </row>
    <row r="194" spans="2:17" x14ac:dyDescent="0.35">
      <c r="B194" s="37"/>
      <c r="C194" s="38" t="s">
        <v>43</v>
      </c>
      <c r="D194" s="39">
        <f>SUM(K162:K193)*0.1</f>
        <v>0</v>
      </c>
      <c r="E194" s="32" t="s">
        <v>24</v>
      </c>
      <c r="F194" s="41">
        <v>0</v>
      </c>
      <c r="G194" s="35">
        <f>$D194*F194</f>
        <v>0</v>
      </c>
      <c r="H194" s="41">
        <v>0</v>
      </c>
      <c r="I194" s="35">
        <f>$D194*H194</f>
        <v>0</v>
      </c>
      <c r="J194" s="41"/>
      <c r="K194" s="34">
        <f>IFERROR($D194/$J194,0)</f>
        <v>0</v>
      </c>
      <c r="L194" s="42">
        <f>$L$3</f>
        <v>0</v>
      </c>
      <c r="M194" s="35">
        <f>IFERROR(K194*L194,0)</f>
        <v>0</v>
      </c>
      <c r="N194" s="41">
        <v>0</v>
      </c>
      <c r="O194" s="35">
        <f>$D194*N194</f>
        <v>0</v>
      </c>
      <c r="P194" s="36">
        <f>F194+(H194*(1+$I$4))+IFERROR(L194/J194,0)+N194</f>
        <v>0</v>
      </c>
      <c r="Q194" s="35">
        <f>SUM(O194,M194,I194*(1+$I$4),G194)</f>
        <v>0</v>
      </c>
    </row>
    <row r="195" spans="2:17" x14ac:dyDescent="0.35">
      <c r="B195" s="37"/>
      <c r="C195" s="38" t="s">
        <v>38</v>
      </c>
      <c r="D195" s="39"/>
      <c r="E195" s="32" t="s">
        <v>39</v>
      </c>
      <c r="F195" s="41">
        <v>0</v>
      </c>
      <c r="G195" s="35">
        <f>$D195*F195</f>
        <v>0</v>
      </c>
      <c r="H195" s="41">
        <v>0</v>
      </c>
      <c r="I195" s="35">
        <f>$D195*H195</f>
        <v>0</v>
      </c>
      <c r="J195" s="41"/>
      <c r="K195" s="34">
        <f>IFERROR($D195/$J195,0)</f>
        <v>0</v>
      </c>
      <c r="L195" s="42">
        <f>$L$3</f>
        <v>0</v>
      </c>
      <c r="M195" s="35">
        <f>IFERROR(K195*L195,0)</f>
        <v>0</v>
      </c>
      <c r="N195" s="41">
        <v>0</v>
      </c>
      <c r="O195" s="35">
        <f>$D195*N195</f>
        <v>0</v>
      </c>
      <c r="P195" s="36">
        <f>F195+(H195*(1+$I$4))+IFERROR(L195/J195,0)+N195</f>
        <v>0</v>
      </c>
      <c r="Q195" s="35">
        <f>SUM(O195,M195,I195*(1+$I$4),G195)</f>
        <v>0</v>
      </c>
    </row>
    <row r="196" spans="2:17" x14ac:dyDescent="0.35">
      <c r="B196" s="37"/>
      <c r="C196" s="38" t="s">
        <v>40</v>
      </c>
      <c r="D196" s="39"/>
      <c r="E196" s="32" t="s">
        <v>39</v>
      </c>
      <c r="F196" s="41">
        <v>0</v>
      </c>
      <c r="G196" s="35">
        <f>$D196*F196</f>
        <v>0</v>
      </c>
      <c r="H196" s="41">
        <v>0</v>
      </c>
      <c r="I196" s="35">
        <f>$D196*H196</f>
        <v>0</v>
      </c>
      <c r="J196" s="41"/>
      <c r="K196" s="34">
        <f>IFERROR($D196/$J196,0)</f>
        <v>0</v>
      </c>
      <c r="L196" s="42">
        <f>$L$3</f>
        <v>0</v>
      </c>
      <c r="M196" s="35">
        <f>IFERROR(K196*L196,0)</f>
        <v>0</v>
      </c>
      <c r="N196" s="41">
        <v>0</v>
      </c>
      <c r="O196" s="35">
        <f>$D196*N196</f>
        <v>0</v>
      </c>
      <c r="P196" s="36">
        <f>F196+(H196*(1+$I$4))+IFERROR(L196/J196,0)+N196</f>
        <v>0</v>
      </c>
      <c r="Q196" s="35">
        <f>SUM(O196,M196,I196*(1+$I$4),G196)</f>
        <v>0</v>
      </c>
    </row>
    <row r="197" spans="2:17" x14ac:dyDescent="0.35">
      <c r="B197" s="37"/>
      <c r="C197" s="43" t="str">
        <f>C193&amp;" Subtotal"</f>
        <v>General Labor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07" t="s">
        <v>21398</v>
      </c>
      <c r="D205" s="107" t="s">
        <v>75</v>
      </c>
      <c r="E205" s="107" t="s">
        <v>13768</v>
      </c>
      <c r="F205" s="108" t="s">
        <v>21397</v>
      </c>
      <c r="G205" s="107" t="s">
        <v>9</v>
      </c>
      <c r="H205" s="1"/>
      <c r="I205" s="1"/>
      <c r="J205" s="1"/>
      <c r="K205" s="1"/>
      <c r="L205" s="1"/>
      <c r="M205" s="1"/>
      <c r="N205" s="1"/>
      <c r="O205" s="1"/>
      <c r="P205" s="1"/>
      <c r="Q205" s="1"/>
    </row>
    <row r="206" spans="2:17" x14ac:dyDescent="0.35">
      <c r="B206" s="49" t="s">
        <v>14721</v>
      </c>
      <c r="C206" s="352" t="s">
        <v>14722</v>
      </c>
      <c r="D206" s="1"/>
      <c r="E206" s="1"/>
      <c r="F206" s="1"/>
      <c r="G206" s="1"/>
      <c r="H206" s="1"/>
      <c r="I206" s="1"/>
      <c r="J206" s="1"/>
      <c r="K206" s="1"/>
      <c r="L206" s="1"/>
      <c r="M206" s="1"/>
      <c r="N206" s="1"/>
      <c r="O206" s="1"/>
      <c r="P206" s="1"/>
      <c r="Q206" s="1"/>
    </row>
    <row r="207" spans="2:17" x14ac:dyDescent="0.35">
      <c r="B207" s="49" t="s">
        <v>14723</v>
      </c>
      <c r="C207" s="53" t="s">
        <v>1683</v>
      </c>
      <c r="D207" s="1"/>
      <c r="E207" s="1"/>
      <c r="F207" s="1"/>
      <c r="G207" s="1"/>
      <c r="H207" s="1"/>
      <c r="I207" s="1"/>
      <c r="J207" s="1"/>
      <c r="K207" s="1"/>
      <c r="L207" s="1"/>
      <c r="M207" s="1"/>
      <c r="N207" s="1"/>
      <c r="O207" s="1"/>
      <c r="P207" s="1"/>
      <c r="Q207" s="1"/>
    </row>
    <row r="208" spans="2:17" x14ac:dyDescent="0.35">
      <c r="B208" s="49" t="s">
        <v>14724</v>
      </c>
      <c r="C208" s="53" t="s">
        <v>14725</v>
      </c>
    </row>
    <row r="209" spans="2:8" x14ac:dyDescent="0.35">
      <c r="B209" s="49" t="s">
        <v>14726</v>
      </c>
      <c r="C209" s="53" t="s">
        <v>14727</v>
      </c>
    </row>
    <row r="210" spans="2:8" x14ac:dyDescent="0.35">
      <c r="B210" s="49" t="s">
        <v>14728</v>
      </c>
      <c r="C210" s="53" t="s">
        <v>14729</v>
      </c>
    </row>
    <row r="211" spans="2:8" ht="58" x14ac:dyDescent="0.35">
      <c r="C211" s="388" t="s">
        <v>21646</v>
      </c>
      <c r="D211" s="388" t="s">
        <v>1684</v>
      </c>
      <c r="E211" s="388">
        <v>10500.01</v>
      </c>
      <c r="F211" s="388"/>
      <c r="G211" s="388" t="s">
        <v>21647</v>
      </c>
      <c r="H211" s="388" t="s">
        <v>21677</v>
      </c>
    </row>
    <row r="212" spans="2:8" ht="58" x14ac:dyDescent="0.35">
      <c r="C212" s="388" t="s">
        <v>21648</v>
      </c>
      <c r="D212" s="388" t="s">
        <v>1684</v>
      </c>
      <c r="E212" s="388">
        <v>10500.01</v>
      </c>
      <c r="F212" s="388"/>
      <c r="G212" s="388" t="s">
        <v>21647</v>
      </c>
      <c r="H212" s="388" t="s">
        <v>21678</v>
      </c>
    </row>
    <row r="213" spans="2:8" ht="58" x14ac:dyDescent="0.35">
      <c r="C213" s="388" t="s">
        <v>21649</v>
      </c>
      <c r="D213" s="388" t="s">
        <v>1684</v>
      </c>
      <c r="E213" s="388">
        <v>10500.01</v>
      </c>
      <c r="F213" s="388"/>
      <c r="G213" s="388" t="s">
        <v>21650</v>
      </c>
      <c r="H213" s="388" t="s">
        <v>21679</v>
      </c>
    </row>
    <row r="214" spans="2:8" ht="43.5" x14ac:dyDescent="0.35">
      <c r="C214" s="388" t="s">
        <v>21651</v>
      </c>
      <c r="D214" s="388" t="s">
        <v>1684</v>
      </c>
      <c r="E214" s="388">
        <v>10500.01</v>
      </c>
      <c r="F214" s="388"/>
      <c r="G214" s="388" t="s">
        <v>21652</v>
      </c>
      <c r="H214" s="388" t="s">
        <v>21680</v>
      </c>
    </row>
    <row r="215" spans="2:8" ht="58" x14ac:dyDescent="0.35">
      <c r="C215" s="388" t="s">
        <v>21653</v>
      </c>
      <c r="D215" s="388" t="s">
        <v>1684</v>
      </c>
      <c r="E215" s="388">
        <v>10500.01</v>
      </c>
      <c r="F215" s="388"/>
      <c r="G215" s="388" t="s">
        <v>21654</v>
      </c>
      <c r="H215" s="388" t="s">
        <v>21681</v>
      </c>
    </row>
    <row r="216" spans="2:8" ht="43.5" x14ac:dyDescent="0.35">
      <c r="C216" s="388" t="s">
        <v>21655</v>
      </c>
      <c r="D216" s="388" t="s">
        <v>19</v>
      </c>
      <c r="E216" s="388">
        <v>10500.02</v>
      </c>
      <c r="F216" s="388"/>
      <c r="G216" s="388" t="s">
        <v>21656</v>
      </c>
      <c r="H216" s="388" t="s">
        <v>21682</v>
      </c>
    </row>
    <row r="217" spans="2:8" ht="72.5" x14ac:dyDescent="0.35">
      <c r="C217" s="388" t="s">
        <v>21657</v>
      </c>
      <c r="D217" s="388" t="s">
        <v>18</v>
      </c>
      <c r="E217" s="388">
        <v>10520.01</v>
      </c>
      <c r="F217" s="388"/>
      <c r="G217" s="388" t="s">
        <v>21658</v>
      </c>
      <c r="H217" s="388" t="s">
        <v>21684</v>
      </c>
    </row>
    <row r="218" spans="2:8" ht="43.5" x14ac:dyDescent="0.35">
      <c r="C218" s="388" t="s">
        <v>21659</v>
      </c>
      <c r="D218" s="388" t="s">
        <v>18</v>
      </c>
      <c r="E218" s="388">
        <v>10520.01</v>
      </c>
      <c r="F218" s="388"/>
      <c r="G218" s="388" t="s">
        <v>21660</v>
      </c>
      <c r="H218" s="388" t="s">
        <v>21685</v>
      </c>
    </row>
    <row r="219" spans="2:8" ht="58" x14ac:dyDescent="0.35">
      <c r="C219" s="388" t="s">
        <v>21661</v>
      </c>
      <c r="D219" s="388" t="s">
        <v>18</v>
      </c>
      <c r="E219" s="388">
        <v>10520.01</v>
      </c>
      <c r="F219" s="388"/>
      <c r="G219" s="388" t="s">
        <v>21662</v>
      </c>
      <c r="H219" s="388" t="s">
        <v>21686</v>
      </c>
    </row>
    <row r="220" spans="2:8" ht="43.5" x14ac:dyDescent="0.35">
      <c r="C220" s="388" t="s">
        <v>21687</v>
      </c>
      <c r="D220" s="388" t="s">
        <v>18</v>
      </c>
      <c r="E220" s="388">
        <v>10520.03</v>
      </c>
      <c r="F220" s="388"/>
      <c r="G220" s="388" t="s">
        <v>21663</v>
      </c>
      <c r="H220" s="388" t="s">
        <v>21688</v>
      </c>
    </row>
    <row r="221" spans="2:8" ht="58" x14ac:dyDescent="0.35">
      <c r="C221" s="388" t="s">
        <v>21664</v>
      </c>
      <c r="D221" s="388" t="s">
        <v>18</v>
      </c>
      <c r="E221" s="388">
        <v>10520.08</v>
      </c>
      <c r="F221" s="388"/>
      <c r="G221" s="388" t="s">
        <v>21665</v>
      </c>
      <c r="H221" s="388" t="s">
        <v>21689</v>
      </c>
    </row>
    <row r="222" spans="2:8" ht="72.5" x14ac:dyDescent="0.35">
      <c r="C222" s="388" t="s">
        <v>21666</v>
      </c>
      <c r="D222" s="388" t="s">
        <v>18</v>
      </c>
      <c r="E222" s="388">
        <v>10520.09</v>
      </c>
      <c r="F222" s="388"/>
      <c r="G222" s="388" t="s">
        <v>21665</v>
      </c>
      <c r="H222" s="388" t="s">
        <v>21690</v>
      </c>
    </row>
    <row r="223" spans="2:8" ht="72.5" x14ac:dyDescent="0.35">
      <c r="C223" s="388" t="s">
        <v>21667</v>
      </c>
      <c r="D223" s="388" t="s">
        <v>18</v>
      </c>
      <c r="E223" s="388">
        <v>10520.1</v>
      </c>
      <c r="F223" s="388"/>
      <c r="G223" s="388" t="s">
        <v>21662</v>
      </c>
      <c r="H223" s="388" t="s">
        <v>21691</v>
      </c>
    </row>
    <row r="224" spans="2:8" ht="58" x14ac:dyDescent="0.35">
      <c r="C224" s="388" t="s">
        <v>21668</v>
      </c>
      <c r="D224" s="388" t="s">
        <v>18</v>
      </c>
      <c r="E224" s="388">
        <v>10520.15</v>
      </c>
      <c r="F224" s="388"/>
      <c r="G224" s="388" t="s">
        <v>21665</v>
      </c>
      <c r="H224" s="388" t="s">
        <v>21692</v>
      </c>
    </row>
    <row r="225" spans="3:8" ht="58" x14ac:dyDescent="0.35">
      <c r="C225" s="388" t="s">
        <v>21669</v>
      </c>
      <c r="D225" s="388" t="s">
        <v>18</v>
      </c>
      <c r="E225" s="388">
        <v>10520.17</v>
      </c>
      <c r="F225" s="388"/>
      <c r="G225" s="388" t="s">
        <v>21663</v>
      </c>
      <c r="H225" s="388" t="s">
        <v>21693</v>
      </c>
    </row>
    <row r="226" spans="3:8" ht="72.5" x14ac:dyDescent="0.35">
      <c r="C226" s="388" t="s">
        <v>1682</v>
      </c>
      <c r="D226" s="388" t="s">
        <v>18</v>
      </c>
      <c r="E226" s="388">
        <v>10530.01</v>
      </c>
      <c r="F226" s="388"/>
      <c r="G226" s="388" t="s">
        <v>21670</v>
      </c>
      <c r="H226" s="388" t="s">
        <v>21694</v>
      </c>
    </row>
    <row r="227" spans="3:8" ht="72.5" x14ac:dyDescent="0.35">
      <c r="C227" s="388" t="s">
        <v>1681</v>
      </c>
      <c r="D227" s="388" t="s">
        <v>18</v>
      </c>
      <c r="E227" s="388">
        <v>10530.02</v>
      </c>
      <c r="F227" s="388"/>
      <c r="G227" s="388" t="s">
        <v>21671</v>
      </c>
      <c r="H227" s="388" t="s">
        <v>21695</v>
      </c>
    </row>
    <row r="228" spans="3:8" ht="72.5" x14ac:dyDescent="0.35">
      <c r="C228" s="388" t="s">
        <v>21672</v>
      </c>
      <c r="D228" s="388" t="s">
        <v>18</v>
      </c>
      <c r="E228" s="388">
        <v>10550.01</v>
      </c>
      <c r="F228" s="388"/>
      <c r="G228" s="388" t="s">
        <v>21673</v>
      </c>
      <c r="H228" s="388" t="s">
        <v>21696</v>
      </c>
    </row>
    <row r="229" spans="3:8" ht="58" x14ac:dyDescent="0.35">
      <c r="C229" s="388" t="s">
        <v>21674</v>
      </c>
      <c r="D229" s="388" t="s">
        <v>18</v>
      </c>
      <c r="E229" s="388">
        <v>10550.02</v>
      </c>
      <c r="F229" s="388"/>
      <c r="G229" s="388" t="s">
        <v>21663</v>
      </c>
      <c r="H229" s="388" t="s">
        <v>21697</v>
      </c>
    </row>
    <row r="230" spans="3:8" ht="43.5" x14ac:dyDescent="0.35">
      <c r="C230" s="388" t="s">
        <v>21675</v>
      </c>
      <c r="D230" s="388" t="s">
        <v>18</v>
      </c>
      <c r="E230" s="388">
        <v>10550.03</v>
      </c>
      <c r="F230" s="388"/>
      <c r="G230" s="388" t="s">
        <v>21676</v>
      </c>
      <c r="H230" s="388" t="s">
        <v>21698</v>
      </c>
    </row>
  </sheetData>
  <mergeCells count="4">
    <mergeCell ref="P3:Q3"/>
    <mergeCell ref="A3:B3"/>
    <mergeCell ref="D3:G3"/>
    <mergeCell ref="A4:B4"/>
  </mergeCells>
  <dataValidations count="6">
    <dataValidation type="list" allowBlank="1" showInputMessage="1" showErrorMessage="1" sqref="C36 C58" xr:uid="{A28E55D1-7A2E-48AF-9337-13CE816A3AA3}">
      <formula1>$C$205:$C207</formula1>
    </dataValidation>
    <dataValidation type="list" allowBlank="1" showInputMessage="1" showErrorMessage="1" sqref="C26:C29 C158:C161 C48:C51 C70:C73 C92:C95 C114:C117 C136:C139 C180:C183" xr:uid="{8D9950EE-AC8E-4643-8BF9-C10F54A2D7A7}">
      <formula1>$K$3:$K$8</formula1>
    </dataValidation>
    <dataValidation type="list" allowBlank="1" showInputMessage="1" showErrorMessage="1" sqref="C31:C35 C163:C167 C53:C57 C75:C79 C97:C101 C119:C123 C141:C145 C185:C189" xr:uid="{B22A9DAF-D3CF-45A3-88D2-AC700B039793}">
      <formula1>$N$3:$N$8</formula1>
    </dataValidation>
    <dataValidation type="list" allowBlank="1" showInputMessage="1" showErrorMessage="1" sqref="C17:C24 C171:C178 C149:C156 C127:C134 C105:C112 C83:C90 C61:C68 C39:C46" xr:uid="{7EB885EE-2D97-444E-BF75-276A6E6C285D}">
      <formula1>$C$204:$C1962</formula1>
    </dataValidation>
    <dataValidation type="list" allowBlank="1" showInputMessage="1" showErrorMessage="1" sqref="C80" xr:uid="{A62311B9-72CB-40AE-AF3B-853397D6FA5D}">
      <formula1>$C$205:$C230</formula1>
    </dataValidation>
    <dataValidation type="list" allowBlank="1" showInputMessage="1" showErrorMessage="1" sqref="C102 C190 C168 C146 C124" xr:uid="{D808BDE5-36D4-47DB-82A8-9BAEA76F84AF}">
      <formula1>$C$205:$C235</formula1>
    </dataValidation>
  </dataValidations>
  <hyperlinks>
    <hyperlink ref="D3" r:id="rId1" display="datamateapp@gmail.com" xr:uid="{8E042496-2F68-4325-9C61-37EFC1A2C174}"/>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11338" r:id="rId4" name="Button 10">
              <controlPr defaultSize="0" print="0" autoFill="0" autoPict="0" macro="[0]!ExitSEC_105000">
                <anchor moveWithCells="1" sizeWithCells="1">
                  <from>
                    <xdr:col>16</xdr:col>
                    <xdr:colOff>0</xdr:colOff>
                    <xdr:row>0</xdr:row>
                    <xdr:rowOff>0</xdr:rowOff>
                  </from>
                  <to>
                    <xdr:col>16</xdr:col>
                    <xdr:colOff>1270000</xdr:colOff>
                    <xdr:row>2</xdr:row>
                    <xdr:rowOff>12700</xdr:rowOff>
                  </to>
                </anchor>
              </controlPr>
            </control>
          </mc:Choice>
        </mc:AlternateContent>
        <mc:AlternateContent xmlns:mc="http://schemas.openxmlformats.org/markup-compatibility/2006">
          <mc:Choice Requires="x14">
            <control shapeId="611411" r:id="rId5" name="Button 83">
              <controlPr defaultSize="0" print="0" autoFill="0" autoPict="0" macro="SaveData">
                <anchor moveWithCells="1" sizeWithCells="1">
                  <from>
                    <xdr:col>17</xdr:col>
                    <xdr:colOff>0</xdr:colOff>
                    <xdr:row>0</xdr:row>
                    <xdr:rowOff>50800</xdr:rowOff>
                  </from>
                  <to>
                    <xdr:col>19</xdr:col>
                    <xdr:colOff>50800</xdr:colOff>
                    <xdr:row>2</xdr:row>
                    <xdr:rowOff>63500</xdr:rowOff>
                  </to>
                </anchor>
              </controlPr>
            </control>
          </mc:Choice>
        </mc:AlternateContent>
        <mc:AlternateContent xmlns:mc="http://schemas.openxmlformats.org/markup-compatibility/2006">
          <mc:Choice Requires="x14">
            <control shapeId="611412" r:id="rId6" name="Button 84">
              <controlPr defaultSize="0" print="0" autoFill="0" autoPict="0" macro="[0]!ClearContentsAndDropdowns">
                <anchor moveWithCells="1" sizeWithCells="1">
                  <from>
                    <xdr:col>17</xdr:col>
                    <xdr:colOff>0</xdr:colOff>
                    <xdr:row>3</xdr:row>
                    <xdr:rowOff>88900</xdr:rowOff>
                  </from>
                  <to>
                    <xdr:col>19</xdr:col>
                    <xdr:colOff>50800</xdr:colOff>
                    <xdr:row>5</xdr:row>
                    <xdr:rowOff>88900</xdr:rowOff>
                  </to>
                </anchor>
              </controlPr>
            </control>
          </mc:Choice>
        </mc:AlternateContent>
        <mc:AlternateContent xmlns:mc="http://schemas.openxmlformats.org/markup-compatibility/2006">
          <mc:Choice Requires="x14">
            <control shapeId="611413" r:id="rId7" name="Button 85">
              <controlPr defaultSize="0" print="0" autoFill="0" autoPict="0" macro="[0]!CopyInput1WithAdjustedReferencesAndButtonsInROriginalOrder">
                <anchor moveWithCells="1" sizeWithCells="1">
                  <from>
                    <xdr:col>17</xdr:col>
                    <xdr:colOff>0</xdr:colOff>
                    <xdr:row>6</xdr:row>
                    <xdr:rowOff>88900</xdr:rowOff>
                  </from>
                  <to>
                    <xdr:col>19</xdr:col>
                    <xdr:colOff>50800</xdr:colOff>
                    <xdr:row>8</xdr:row>
                    <xdr:rowOff>95250</xdr:rowOff>
                  </to>
                </anchor>
              </controlPr>
            </control>
          </mc:Choice>
        </mc:AlternateContent>
        <mc:AlternateContent xmlns:mc="http://schemas.openxmlformats.org/markup-compatibility/2006">
          <mc:Choice Requires="x14">
            <control shapeId="611414" r:id="rId8" name="Button 86">
              <controlPr defaultSize="0" print="0" autoFill="0" autoPict="0" macro="[0]!CopyInput2WithAdjustedReferencesAndButtonsInROriginalOrder">
                <anchor moveWithCells="1" sizeWithCells="1">
                  <from>
                    <xdr:col>17</xdr:col>
                    <xdr:colOff>0</xdr:colOff>
                    <xdr:row>8</xdr:row>
                    <xdr:rowOff>222250</xdr:rowOff>
                  </from>
                  <to>
                    <xdr:col>19</xdr:col>
                    <xdr:colOff>50800</xdr:colOff>
                    <xdr:row>9</xdr:row>
                    <xdr:rowOff>82550</xdr:rowOff>
                  </to>
                </anchor>
              </controlPr>
            </control>
          </mc:Choice>
        </mc:AlternateContent>
        <mc:AlternateContent xmlns:mc="http://schemas.openxmlformats.org/markup-compatibility/2006">
          <mc:Choice Requires="x14">
            <control shapeId="611415" r:id="rId9" name="Button 87">
              <controlPr defaultSize="0" print="0" autoFill="0" autoPict="0" macro="[0]!Dashboard">
                <anchor moveWithCells="1" sizeWithCells="1">
                  <from>
                    <xdr:col>17</xdr:col>
                    <xdr:colOff>0</xdr:colOff>
                    <xdr:row>13</xdr:row>
                    <xdr:rowOff>63500</xdr:rowOff>
                  </from>
                  <to>
                    <xdr:col>19</xdr:col>
                    <xdr:colOff>50800</xdr:colOff>
                    <xdr:row>15</xdr:row>
                    <xdr:rowOff>76200</xdr:rowOff>
                  </to>
                </anchor>
              </controlPr>
            </control>
          </mc:Choice>
        </mc:AlternateContent>
        <mc:AlternateContent xmlns:mc="http://schemas.openxmlformats.org/markup-compatibility/2006">
          <mc:Choice Requires="x14">
            <control shapeId="611416" r:id="rId10" name="Button 88">
              <controlPr defaultSize="0" print="0" autoFill="0" autoPict="0" macro="[0]!ViewLog">
                <anchor moveWithCells="1" sizeWithCells="1">
                  <from>
                    <xdr:col>17</xdr:col>
                    <xdr:colOff>0</xdr:colOff>
                    <xdr:row>16</xdr:row>
                    <xdr:rowOff>69850</xdr:rowOff>
                  </from>
                  <to>
                    <xdr:col>19</xdr:col>
                    <xdr:colOff>50800</xdr:colOff>
                    <xdr:row>18</xdr:row>
                    <xdr:rowOff>82550</xdr:rowOff>
                  </to>
                </anchor>
              </controlPr>
            </control>
          </mc:Choice>
        </mc:AlternateContent>
        <mc:AlternateContent xmlns:mc="http://schemas.openxmlformats.org/markup-compatibility/2006">
          <mc:Choice Requires="x14">
            <control shapeId="611417" r:id="rId11" name="Button 89">
              <controlPr defaultSize="0" print="0" autoFill="0" autoPict="0" macro="[0]!OpenDataMateAppPage">
                <anchor moveWithCells="1" sizeWithCells="1">
                  <from>
                    <xdr:col>17</xdr:col>
                    <xdr:colOff>0</xdr:colOff>
                    <xdr:row>22</xdr:row>
                    <xdr:rowOff>95250</xdr:rowOff>
                  </from>
                  <to>
                    <xdr:col>19</xdr:col>
                    <xdr:colOff>50800</xdr:colOff>
                    <xdr:row>24</xdr:row>
                    <xdr:rowOff>107950</xdr:rowOff>
                  </to>
                </anchor>
              </controlPr>
            </control>
          </mc:Choice>
        </mc:AlternateContent>
        <mc:AlternateContent xmlns:mc="http://schemas.openxmlformats.org/markup-compatibility/2006">
          <mc:Choice Requires="x14">
            <control shapeId="611418" r:id="rId12" name="Button 90">
              <controlPr defaultSize="0" print="0" autoFill="0" autoPict="0" macro="[0]!ViewView_Print">
                <anchor moveWithCells="1" sizeWithCells="1">
                  <from>
                    <xdr:col>17</xdr:col>
                    <xdr:colOff>0</xdr:colOff>
                    <xdr:row>19</xdr:row>
                    <xdr:rowOff>88900</xdr:rowOff>
                  </from>
                  <to>
                    <xdr:col>19</xdr:col>
                    <xdr:colOff>50800</xdr:colOff>
                    <xdr:row>21</xdr:row>
                    <xdr:rowOff>101600</xdr:rowOff>
                  </to>
                </anchor>
              </controlPr>
            </control>
          </mc:Choice>
        </mc:AlternateContent>
        <mc:AlternateContent xmlns:mc="http://schemas.openxmlformats.org/markup-compatibility/2006">
          <mc:Choice Requires="x14">
            <control shapeId="611419" r:id="rId13" name="Button 91">
              <controlPr defaultSize="0" print="0" autoFill="0" autoPict="0" macro="[0]!CopyCustomInputWithAdjustedReferencesAndButtonsInROriginalOrder">
                <anchor moveWithCells="1" sizeWithCells="1">
                  <from>
                    <xdr:col>17</xdr:col>
                    <xdr:colOff>0</xdr:colOff>
                    <xdr:row>10</xdr:row>
                    <xdr:rowOff>44450</xdr:rowOff>
                  </from>
                  <to>
                    <xdr:col>19</xdr:col>
                    <xdr:colOff>50800</xdr:colOff>
                    <xdr:row>12</xdr:row>
                    <xdr:rowOff>57150</xdr:rowOff>
                  </to>
                </anchor>
              </controlPr>
            </control>
          </mc:Choice>
        </mc:AlternateContent>
      </controls>
    </mc:Choice>
  </mc:AlternateContent>
</worksheet>
</file>

<file path=xl/worksheets/sheet1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58E10-8B66-4067-9C39-F4A6E6EEA290}">
  <sheetPr codeName="Sheet155"/>
  <dimension ref="A1:Q213"/>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EXTERIOR SPECIALTIES</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40" customHeight="1"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10 70 00</v>
      </c>
      <c r="C10" s="24" t="str">
        <f>C206</f>
        <v>EXTERIOR SPECIALTIES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EXTERIOR SPECIALTIES</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14730</v>
      </c>
      <c r="C206" s="352" t="s">
        <v>14731</v>
      </c>
      <c r="D206" s="1"/>
      <c r="E206" s="1"/>
      <c r="F206" s="1"/>
      <c r="G206" s="1"/>
      <c r="H206" s="1"/>
      <c r="I206" s="1"/>
      <c r="J206" s="1"/>
      <c r="K206" s="1"/>
      <c r="L206" s="1"/>
      <c r="M206" s="1"/>
      <c r="N206" s="1"/>
      <c r="O206" s="1"/>
      <c r="P206" s="1"/>
      <c r="Q206" s="1"/>
    </row>
    <row r="207" spans="2:17" x14ac:dyDescent="0.35">
      <c r="B207" s="49" t="s">
        <v>14732</v>
      </c>
      <c r="C207" s="53" t="s">
        <v>14733</v>
      </c>
      <c r="D207" s="1"/>
      <c r="E207" s="1"/>
      <c r="F207" s="1"/>
      <c r="G207" s="1"/>
      <c r="H207" s="1"/>
      <c r="I207" s="1"/>
      <c r="J207" s="1"/>
      <c r="K207" s="1"/>
      <c r="L207" s="1"/>
      <c r="M207" s="1"/>
      <c r="N207" s="1"/>
      <c r="O207" s="1"/>
      <c r="P207" s="1"/>
      <c r="Q207" s="1"/>
    </row>
    <row r="208" spans="2:17" x14ac:dyDescent="0.35">
      <c r="B208" s="49" t="s">
        <v>14734</v>
      </c>
      <c r="C208" s="53" t="s">
        <v>14735</v>
      </c>
    </row>
    <row r="209" spans="2:7" x14ac:dyDescent="0.35">
      <c r="B209" s="49" t="s">
        <v>14736</v>
      </c>
      <c r="C209" s="53" t="s">
        <v>14737</v>
      </c>
    </row>
    <row r="210" spans="2:7" x14ac:dyDescent="0.35">
      <c r="B210" s="49" t="s">
        <v>14738</v>
      </c>
      <c r="C210" s="53" t="s">
        <v>1687</v>
      </c>
    </row>
    <row r="211" spans="2:7" x14ac:dyDescent="0.35">
      <c r="C211" s="388" t="s">
        <v>21640</v>
      </c>
      <c r="D211" s="388" t="s">
        <v>20</v>
      </c>
      <c r="E211" s="388">
        <v>10720.01</v>
      </c>
      <c r="F211" s="388" t="s">
        <v>21599</v>
      </c>
      <c r="G211" s="388" t="s">
        <v>21643</v>
      </c>
    </row>
    <row r="212" spans="2:7" x14ac:dyDescent="0.35">
      <c r="C212" s="388" t="s">
        <v>21641</v>
      </c>
      <c r="D212" s="388" t="s">
        <v>18</v>
      </c>
      <c r="E212" s="388">
        <v>10720.01</v>
      </c>
      <c r="F212" s="388" t="s">
        <v>21599</v>
      </c>
      <c r="G212" s="388" t="s">
        <v>21644</v>
      </c>
    </row>
    <row r="213" spans="2:7" x14ac:dyDescent="0.35">
      <c r="C213" s="388" t="s">
        <v>21642</v>
      </c>
      <c r="D213" s="388" t="s">
        <v>20</v>
      </c>
      <c r="E213" s="388">
        <v>10720.01</v>
      </c>
      <c r="F213" s="388" t="s">
        <v>21599</v>
      </c>
      <c r="G213" s="388" t="s">
        <v>21645</v>
      </c>
    </row>
  </sheetData>
  <mergeCells count="9">
    <mergeCell ref="J6:K6"/>
    <mergeCell ref="J7:K7"/>
    <mergeCell ref="P3:Q3"/>
    <mergeCell ref="A3:B3"/>
    <mergeCell ref="D3:G3"/>
    <mergeCell ref="J3:K3"/>
    <mergeCell ref="A4:B4"/>
    <mergeCell ref="J4:K4"/>
    <mergeCell ref="J5:K5"/>
  </mergeCells>
  <dataValidations count="1">
    <dataValidation type="list" allowBlank="1" showInputMessage="1" showErrorMessage="1" sqref="C16:C190" xr:uid="{383AE27C-9A43-4AAA-86A5-DC9DFF187B9B}">
      <formula1>$C$205:$C207</formula1>
    </dataValidation>
  </dataValidations>
  <hyperlinks>
    <hyperlink ref="D3" r:id="rId1" display="datamateapp@gmail.com" xr:uid="{6D2B11DA-7E78-4BA2-8656-324B2566775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37962" r:id="rId4" name="Button 10">
              <controlPr defaultSize="0" print="0" autoFill="0" autoPict="0" macro="[0]!ExitSEC_107000">
                <anchor moveWithCells="1" sizeWithCells="1">
                  <from>
                    <xdr:col>16</xdr:col>
                    <xdr:colOff>0</xdr:colOff>
                    <xdr:row>0</xdr:row>
                    <xdr:rowOff>0</xdr:rowOff>
                  </from>
                  <to>
                    <xdr:col>16</xdr:col>
                    <xdr:colOff>1270000</xdr:colOff>
                    <xdr:row>2</xdr:row>
                    <xdr:rowOff>12700</xdr:rowOff>
                  </to>
                </anchor>
              </controlPr>
            </control>
          </mc:Choice>
        </mc:AlternateContent>
        <mc:AlternateContent xmlns:mc="http://schemas.openxmlformats.org/markup-compatibility/2006">
          <mc:Choice Requires="x14">
            <control shapeId="637972" r:id="rId5" name="Button 20">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637973" r:id="rId6" name="Button 21">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637974" r:id="rId7" name="Button 22">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637975" r:id="rId8" name="Button 23">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637976" r:id="rId9" name="Button 24">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637977" r:id="rId10" name="Button 25">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637978" r:id="rId11" name="Button 26">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637979" r:id="rId12" name="Button 27">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controls>
    </mc:Choice>
  </mc:AlternateContent>
</worksheet>
</file>

<file path=xl/worksheets/sheet1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AFADA4-A08A-435A-A36B-CD525D2E6611}">
  <sheetPr codeName="Sheet156"/>
  <dimension ref="A1:Q212"/>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OTHER SPECIALTIES</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40" customHeight="1"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10 80 00</v>
      </c>
      <c r="C10" s="24" t="str">
        <f>C206</f>
        <v>OTHER SPECIALTIES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OTHER SPECIALTIES</v>
      </c>
      <c r="D12" s="31"/>
      <c r="E12" s="32"/>
      <c r="F12" s="34"/>
      <c r="G12" s="33"/>
      <c r="H12" s="34"/>
      <c r="I12" s="33"/>
      <c r="J12" s="34"/>
      <c r="K12" s="34"/>
      <c r="L12" s="34"/>
      <c r="M12" s="33"/>
      <c r="N12" s="34"/>
      <c r="O12" s="35"/>
      <c r="P12" s="31"/>
      <c r="Q12" s="35"/>
    </row>
    <row r="197" spans="2:17" x14ac:dyDescent="0.35">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2:17" x14ac:dyDescent="0.35">
      <c r="B198" s="37"/>
      <c r="C198" s="38"/>
      <c r="D198" s="31"/>
      <c r="E198" s="32"/>
      <c r="F198" s="34"/>
      <c r="G198" s="33"/>
      <c r="H198" s="34"/>
      <c r="I198" s="33"/>
      <c r="J198" s="34"/>
      <c r="K198" s="34"/>
      <c r="L198" s="34"/>
      <c r="M198" s="33"/>
      <c r="N198" s="34"/>
      <c r="O198" s="35"/>
      <c r="P198" s="36"/>
      <c r="Q198" s="35"/>
    </row>
    <row r="199" spans="2:17" x14ac:dyDescent="0.35">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2:17" x14ac:dyDescent="0.35">
      <c r="B200" s="1"/>
      <c r="C200" s="1"/>
      <c r="D200" s="1"/>
      <c r="E200" s="1"/>
      <c r="F200" s="1"/>
      <c r="G200" s="1"/>
      <c r="H200" s="1"/>
      <c r="I200" s="1"/>
      <c r="J200" s="1"/>
      <c r="K200" s="1"/>
      <c r="L200" s="1"/>
      <c r="M200" s="1"/>
      <c r="N200" s="1"/>
      <c r="O200" s="1"/>
      <c r="P200" s="1"/>
      <c r="Q200" s="78" t="s">
        <v>21404</v>
      </c>
    </row>
    <row r="201" spans="2:17" x14ac:dyDescent="0.35">
      <c r="B201" s="1"/>
      <c r="C201" s="78" t="s">
        <v>21592</v>
      </c>
      <c r="D201" s="1"/>
      <c r="E201" s="1"/>
      <c r="F201" s="1"/>
      <c r="G201" s="1"/>
      <c r="H201" s="1"/>
      <c r="I201" s="1"/>
      <c r="J201" s="1"/>
      <c r="K201" s="1"/>
      <c r="L201" s="1"/>
      <c r="M201" s="1"/>
      <c r="N201" s="1"/>
      <c r="O201" s="1"/>
      <c r="P201" s="1"/>
      <c r="Q201" s="1"/>
    </row>
    <row r="202" spans="2:17" x14ac:dyDescent="0.35">
      <c r="B202" s="1"/>
      <c r="C202" s="1"/>
      <c r="D202" s="1"/>
      <c r="E202" s="1"/>
      <c r="F202" s="1"/>
      <c r="G202" s="1"/>
      <c r="H202" s="1"/>
      <c r="I202" s="1"/>
      <c r="J202" s="1"/>
      <c r="K202" s="1"/>
      <c r="L202" s="1"/>
      <c r="M202" s="1"/>
      <c r="N202" s="1"/>
      <c r="O202" s="1"/>
      <c r="P202" s="1"/>
      <c r="Q202" s="1"/>
    </row>
    <row r="203" spans="2:17" x14ac:dyDescent="0.35">
      <c r="B203" s="1"/>
      <c r="C203" s="77" t="s">
        <v>21399</v>
      </c>
      <c r="D203" s="1"/>
      <c r="E203" s="1"/>
      <c r="F203" s="1"/>
      <c r="G203" s="1"/>
      <c r="H203" s="1"/>
      <c r="I203" s="1"/>
      <c r="J203" s="1"/>
      <c r="K203" s="1"/>
      <c r="L203" s="1"/>
      <c r="M203" s="1"/>
      <c r="N203" s="1"/>
      <c r="O203" s="1"/>
      <c r="P203" s="1"/>
      <c r="Q203" s="1"/>
    </row>
    <row r="204" spans="2:17" x14ac:dyDescent="0.35">
      <c r="B204" s="1"/>
      <c r="C204" s="1"/>
      <c r="D204" s="1"/>
      <c r="E204" s="1"/>
      <c r="F204" s="1"/>
      <c r="G204" s="1"/>
      <c r="H204" s="1"/>
      <c r="I204" s="1"/>
      <c r="J204" s="1"/>
      <c r="K204" s="1"/>
      <c r="L204" s="1"/>
      <c r="M204" s="1"/>
      <c r="N204" s="1"/>
      <c r="O204" s="1"/>
      <c r="P204" s="1"/>
      <c r="Q204" s="1"/>
    </row>
    <row r="205" spans="2:17" x14ac:dyDescent="0.35">
      <c r="B205" s="1"/>
      <c r="C205" s="1" t="s">
        <v>21398</v>
      </c>
      <c r="D205" s="1" t="s">
        <v>75</v>
      </c>
      <c r="E205" s="1" t="s">
        <v>13768</v>
      </c>
      <c r="F205" s="2" t="s">
        <v>21397</v>
      </c>
      <c r="G205" s="1" t="s">
        <v>9</v>
      </c>
      <c r="H205" s="1"/>
      <c r="I205" s="1"/>
      <c r="J205" s="1"/>
      <c r="K205" s="1"/>
      <c r="L205" s="1"/>
      <c r="M205" s="1"/>
      <c r="N205" s="1"/>
      <c r="O205" s="1"/>
      <c r="P205" s="1"/>
      <c r="Q205" s="1"/>
    </row>
    <row r="206" spans="2:17" x14ac:dyDescent="0.35">
      <c r="B206" s="49" t="s">
        <v>14739</v>
      </c>
      <c r="C206" s="352" t="s">
        <v>14740</v>
      </c>
      <c r="D206" s="1"/>
      <c r="E206" s="1"/>
      <c r="F206" s="1"/>
      <c r="G206" s="1"/>
      <c r="H206" s="1"/>
      <c r="I206" s="1"/>
      <c r="J206" s="1"/>
      <c r="K206" s="1"/>
      <c r="L206" s="1"/>
      <c r="M206" s="1"/>
      <c r="N206" s="1"/>
      <c r="O206" s="1"/>
      <c r="P206" s="1"/>
      <c r="Q206" s="1"/>
    </row>
    <row r="207" spans="2:17" x14ac:dyDescent="0.35">
      <c r="B207" s="49" t="s">
        <v>14741</v>
      </c>
      <c r="C207" s="53" t="s">
        <v>14742</v>
      </c>
      <c r="D207" s="1"/>
      <c r="E207" s="1"/>
      <c r="F207" s="1"/>
      <c r="G207" s="1"/>
      <c r="H207" s="1"/>
      <c r="I207" s="1"/>
      <c r="J207" s="1"/>
      <c r="K207" s="1"/>
      <c r="L207" s="1"/>
      <c r="M207" s="1"/>
      <c r="N207" s="1"/>
      <c r="O207" s="1"/>
      <c r="P207" s="1"/>
      <c r="Q207" s="1"/>
    </row>
    <row r="208" spans="2:17" x14ac:dyDescent="0.35">
      <c r="B208" s="49" t="s">
        <v>14743</v>
      </c>
      <c r="C208" s="53" t="s">
        <v>14744</v>
      </c>
    </row>
    <row r="209" spans="2:3" x14ac:dyDescent="0.35">
      <c r="B209" s="49" t="s">
        <v>14745</v>
      </c>
      <c r="C209" s="53" t="s">
        <v>14746</v>
      </c>
    </row>
    <row r="210" spans="2:3" x14ac:dyDescent="0.35">
      <c r="B210" s="49" t="s">
        <v>14747</v>
      </c>
      <c r="C210" s="53" t="s">
        <v>14748</v>
      </c>
    </row>
    <row r="211" spans="2:3" x14ac:dyDescent="0.35">
      <c r="B211" s="49" t="s">
        <v>14749</v>
      </c>
      <c r="C211" s="53" t="s">
        <v>14750</v>
      </c>
    </row>
    <row r="212" spans="2:3" x14ac:dyDescent="0.35">
      <c r="B212" s="49" t="s">
        <v>14751</v>
      </c>
      <c r="C212" s="53" t="s">
        <v>14752</v>
      </c>
    </row>
  </sheetData>
  <mergeCells count="9">
    <mergeCell ref="J6:K6"/>
    <mergeCell ref="J7:K7"/>
    <mergeCell ref="P3:Q3"/>
    <mergeCell ref="A3:B3"/>
    <mergeCell ref="D3:G3"/>
    <mergeCell ref="J3:K3"/>
    <mergeCell ref="A4:B4"/>
    <mergeCell ref="J4:K4"/>
    <mergeCell ref="J5:K5"/>
  </mergeCells>
  <dataValidations count="1">
    <dataValidation type="list" allowBlank="1" showInputMessage="1" showErrorMessage="1" sqref="C16:C190" xr:uid="{1CEC0F27-A845-4CA2-AF27-ED54AF64098E}">
      <formula1>$C$205:$C207</formula1>
    </dataValidation>
  </dataValidations>
  <hyperlinks>
    <hyperlink ref="D3" r:id="rId1" display="datamateapp@gmail.com" xr:uid="{1DC416A8-85C5-424E-9FCE-1E80261CA22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38986" r:id="rId4" name="Button 10">
              <controlPr defaultSize="0" print="0" autoFill="0" autoPict="0" macro="[0]!ExitSEC_108000">
                <anchor moveWithCells="1" sizeWithCells="1">
                  <from>
                    <xdr:col>16</xdr:col>
                    <xdr:colOff>0</xdr:colOff>
                    <xdr:row>0</xdr:row>
                    <xdr:rowOff>0</xdr:rowOff>
                  </from>
                  <to>
                    <xdr:col>16</xdr:col>
                    <xdr:colOff>1270000</xdr:colOff>
                    <xdr:row>2</xdr:row>
                    <xdr:rowOff>12700</xdr:rowOff>
                  </to>
                </anchor>
              </controlPr>
            </control>
          </mc:Choice>
        </mc:AlternateContent>
        <mc:AlternateContent xmlns:mc="http://schemas.openxmlformats.org/markup-compatibility/2006">
          <mc:Choice Requires="x14">
            <control shapeId="638996" r:id="rId5" name="Button 20">
              <controlPr defaultSize="0" print="0" autoFill="0" autoPict="0">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638997" r:id="rId6" name="Button 21">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638998" r:id="rId7" name="Button 22">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638999" r:id="rId8" name="Button 23">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639000" r:id="rId9" name="Button 24">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639001" r:id="rId10" name="Button 25">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639002" r:id="rId11" name="Button 26">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639003" r:id="rId12" name="Button 27">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controls>
    </mc:Choice>
  </mc:AlternateContent>
</worksheet>
</file>

<file path=xl/worksheets/sheet1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EC107-EBEF-4180-9E39-0ADF4043AAF5}">
  <sheetPr codeName="Sheet131"/>
  <dimension ref="A1:Q205"/>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f>C10</f>
        <v>0</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40"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f>B206</f>
        <v>0</v>
      </c>
      <c r="C10" s="24">
        <f>C206</f>
        <v>0</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f>C10</f>
        <v>0</v>
      </c>
      <c r="D12" s="31"/>
      <c r="E12" s="32"/>
      <c r="F12" s="34"/>
      <c r="G12" s="33"/>
      <c r="H12" s="34"/>
      <c r="I12" s="33"/>
      <c r="J12" s="34"/>
      <c r="K12" s="34"/>
      <c r="L12" s="34"/>
      <c r="M12" s="33"/>
      <c r="N12" s="34"/>
      <c r="O12" s="35"/>
      <c r="P12" s="31"/>
      <c r="Q12" s="35"/>
    </row>
    <row r="13" spans="1:17" x14ac:dyDescent="0.35">
      <c r="A13" s="1"/>
      <c r="B13" s="1"/>
      <c r="C13" s="1"/>
      <c r="D13" s="1"/>
      <c r="E13" s="1"/>
      <c r="F13" s="1"/>
      <c r="G13" s="1"/>
      <c r="H13" s="1"/>
      <c r="I13" s="1"/>
      <c r="J13" s="1"/>
      <c r="K13" s="1"/>
      <c r="L13" s="1"/>
      <c r="M13" s="1"/>
      <c r="N13" s="1"/>
      <c r="O13" s="1"/>
      <c r="P13" s="1"/>
      <c r="Q13" s="1"/>
    </row>
    <row r="14" spans="1:17" x14ac:dyDescent="0.35">
      <c r="A14" s="1"/>
      <c r="B14" s="1"/>
      <c r="C14" s="1"/>
      <c r="D14" s="1"/>
      <c r="E14" s="1"/>
      <c r="F14" s="1"/>
      <c r="G14" s="1"/>
      <c r="H14" s="1"/>
      <c r="I14" s="1"/>
      <c r="J14" s="1"/>
      <c r="K14" s="1"/>
      <c r="L14" s="1"/>
      <c r="M14" s="1"/>
      <c r="N14" s="1"/>
      <c r="O14" s="1"/>
      <c r="P14" s="1"/>
      <c r="Q14" s="1"/>
    </row>
    <row r="15" spans="1:17" x14ac:dyDescent="0.35">
      <c r="A15" s="1"/>
      <c r="B15" s="1"/>
      <c r="C15" s="1"/>
      <c r="D15" s="1"/>
      <c r="E15" s="1"/>
      <c r="F15" s="1"/>
      <c r="G15" s="1"/>
      <c r="H15" s="1"/>
      <c r="I15" s="1"/>
      <c r="J15" s="1"/>
      <c r="K15" s="1"/>
      <c r="L15" s="1"/>
      <c r="M15" s="1"/>
      <c r="N15" s="1"/>
      <c r="O15" s="1"/>
      <c r="P15" s="1"/>
      <c r="Q15" s="1"/>
    </row>
    <row r="16" spans="1:17" x14ac:dyDescent="0.35">
      <c r="A16" s="1"/>
      <c r="B16" s="1"/>
      <c r="C16" s="1"/>
      <c r="D16" s="1"/>
      <c r="E16" s="1"/>
      <c r="F16" s="1"/>
      <c r="G16" s="1"/>
      <c r="H16" s="1"/>
      <c r="I16" s="1"/>
      <c r="J16" s="1"/>
      <c r="K16" s="1"/>
      <c r="L16" s="1"/>
      <c r="M16" s="1"/>
      <c r="N16" s="1"/>
      <c r="O16" s="1"/>
      <c r="P16" s="1"/>
      <c r="Q16" s="1"/>
    </row>
    <row r="17" spans="1:17" x14ac:dyDescent="0.35">
      <c r="A17" s="1"/>
      <c r="B17" s="1"/>
      <c r="C17" s="1"/>
      <c r="D17" s="1"/>
      <c r="E17" s="1"/>
      <c r="F17" s="1"/>
      <c r="G17" s="1"/>
      <c r="H17" s="1"/>
      <c r="I17" s="1"/>
      <c r="J17" s="1"/>
      <c r="K17" s="1"/>
      <c r="L17" s="1"/>
      <c r="M17" s="1"/>
      <c r="N17" s="1"/>
      <c r="O17" s="1"/>
      <c r="P17" s="1"/>
      <c r="Q17" s="1"/>
    </row>
    <row r="18" spans="1:17" x14ac:dyDescent="0.35">
      <c r="A18" s="1"/>
      <c r="B18" s="1"/>
      <c r="C18" s="1"/>
      <c r="D18" s="1"/>
      <c r="E18" s="1"/>
      <c r="F18" s="1"/>
      <c r="G18" s="1"/>
      <c r="H18" s="1"/>
      <c r="I18" s="1"/>
      <c r="J18" s="1"/>
      <c r="K18" s="1"/>
      <c r="L18" s="1"/>
      <c r="M18" s="1"/>
      <c r="N18" s="1"/>
      <c r="O18" s="1"/>
      <c r="P18" s="1"/>
      <c r="Q18" s="1"/>
    </row>
    <row r="19" spans="1:17" x14ac:dyDescent="0.35">
      <c r="A19" s="1"/>
      <c r="B19" s="1"/>
      <c r="C19" s="1"/>
      <c r="D19" s="1"/>
      <c r="E19" s="1"/>
      <c r="F19" s="1"/>
      <c r="G19" s="1"/>
      <c r="H19" s="1"/>
      <c r="I19" s="1"/>
      <c r="J19" s="1"/>
      <c r="K19" s="1"/>
      <c r="L19" s="1"/>
      <c r="M19" s="1"/>
      <c r="N19" s="1"/>
      <c r="O19" s="1"/>
      <c r="P19" s="1"/>
      <c r="Q19" s="1"/>
    </row>
    <row r="20" spans="1:17" x14ac:dyDescent="0.35">
      <c r="A20" s="1"/>
      <c r="B20" s="1"/>
      <c r="C20" s="1"/>
      <c r="D20" s="1"/>
      <c r="E20" s="1"/>
      <c r="F20" s="1"/>
      <c r="G20" s="1"/>
      <c r="H20" s="1"/>
      <c r="I20" s="1"/>
      <c r="J20" s="1"/>
      <c r="K20" s="1"/>
      <c r="L20" s="1"/>
      <c r="M20" s="1"/>
      <c r="N20" s="1"/>
      <c r="O20" s="1"/>
      <c r="P20" s="1"/>
      <c r="Q20" s="1"/>
    </row>
    <row r="21" spans="1:17" x14ac:dyDescent="0.35">
      <c r="A21" s="1"/>
      <c r="B21" s="1"/>
      <c r="C21" s="1"/>
      <c r="D21" s="1"/>
      <c r="E21" s="1"/>
      <c r="F21" s="1"/>
      <c r="G21" s="1"/>
      <c r="H21" s="1"/>
      <c r="I21" s="1"/>
      <c r="J21" s="1"/>
      <c r="K21" s="1"/>
      <c r="L21" s="1"/>
      <c r="M21" s="1"/>
      <c r="N21" s="1"/>
      <c r="O21" s="1"/>
      <c r="P21" s="1"/>
      <c r="Q21" s="1"/>
    </row>
    <row r="22" spans="1:17" x14ac:dyDescent="0.35">
      <c r="A22" s="1"/>
      <c r="B22" s="1"/>
      <c r="C22" s="1"/>
      <c r="D22" s="1"/>
      <c r="E22" s="1"/>
      <c r="F22" s="1"/>
      <c r="G22" s="1"/>
      <c r="H22" s="1"/>
      <c r="I22" s="1"/>
      <c r="J22" s="1"/>
      <c r="K22" s="1"/>
      <c r="L22" s="1"/>
      <c r="M22" s="1"/>
      <c r="N22" s="1"/>
      <c r="O22" s="1"/>
      <c r="P22" s="1"/>
      <c r="Q22" s="1"/>
    </row>
    <row r="23" spans="1:17" x14ac:dyDescent="0.35">
      <c r="A23" s="1"/>
      <c r="B23" s="1"/>
      <c r="C23" s="1"/>
      <c r="D23" s="1"/>
      <c r="E23" s="1"/>
      <c r="F23" s="1"/>
      <c r="G23" s="1"/>
      <c r="H23" s="1"/>
      <c r="I23" s="1"/>
      <c r="J23" s="1"/>
      <c r="K23" s="1"/>
      <c r="L23" s="1"/>
      <c r="M23" s="1"/>
      <c r="N23" s="1"/>
      <c r="O23" s="1"/>
      <c r="P23" s="1"/>
      <c r="Q23" s="1"/>
    </row>
    <row r="24" spans="1:17" x14ac:dyDescent="0.35">
      <c r="A24" s="1"/>
      <c r="B24" s="1"/>
      <c r="C24" s="1"/>
      <c r="D24" s="1"/>
      <c r="E24" s="1"/>
      <c r="F24" s="1"/>
      <c r="G24" s="1"/>
      <c r="H24" s="1"/>
      <c r="I24" s="1"/>
      <c r="J24" s="1"/>
      <c r="K24" s="1"/>
      <c r="L24" s="1"/>
      <c r="M24" s="1"/>
      <c r="N24" s="1"/>
      <c r="O24" s="1"/>
      <c r="P24" s="1"/>
      <c r="Q24" s="1"/>
    </row>
    <row r="25" spans="1:17" x14ac:dyDescent="0.35">
      <c r="A25" s="1"/>
      <c r="B25" s="1"/>
      <c r="C25" s="1"/>
      <c r="D25" s="1"/>
      <c r="E25" s="1"/>
      <c r="F25" s="1"/>
      <c r="G25" s="1"/>
      <c r="H25" s="1"/>
      <c r="I25" s="1"/>
      <c r="J25" s="1"/>
      <c r="K25" s="1"/>
      <c r="L25" s="1"/>
      <c r="M25" s="1"/>
      <c r="N25" s="1"/>
      <c r="O25" s="1"/>
      <c r="P25" s="1"/>
      <c r="Q25" s="1"/>
    </row>
    <row r="26" spans="1:17" x14ac:dyDescent="0.35">
      <c r="A26" s="1"/>
      <c r="B26" s="1"/>
      <c r="C26" s="1"/>
      <c r="D26" s="1"/>
      <c r="E26" s="1"/>
      <c r="F26" s="1"/>
      <c r="G26" s="1"/>
      <c r="H26" s="1"/>
      <c r="I26" s="1"/>
      <c r="J26" s="1"/>
      <c r="K26" s="1"/>
      <c r="L26" s="1"/>
      <c r="M26" s="1"/>
      <c r="N26" s="1"/>
      <c r="O26" s="1"/>
      <c r="P26" s="1"/>
      <c r="Q26" s="1"/>
    </row>
    <row r="27" spans="1:17" x14ac:dyDescent="0.35">
      <c r="A27" s="1"/>
      <c r="B27" s="1"/>
      <c r="C27" s="1"/>
      <c r="D27" s="1"/>
      <c r="E27" s="1"/>
      <c r="F27" s="1"/>
      <c r="G27" s="1"/>
      <c r="H27" s="1"/>
      <c r="I27" s="1"/>
      <c r="J27" s="1"/>
      <c r="K27" s="1"/>
      <c r="L27" s="1"/>
      <c r="M27" s="1"/>
      <c r="N27" s="1"/>
      <c r="O27" s="1"/>
      <c r="P27" s="1"/>
      <c r="Q27" s="1"/>
    </row>
    <row r="28" spans="1:17" x14ac:dyDescent="0.35">
      <c r="A28" s="1"/>
      <c r="B28" s="1"/>
      <c r="C28" s="1"/>
      <c r="D28" s="1"/>
      <c r="E28" s="1"/>
      <c r="F28" s="1"/>
      <c r="G28" s="1"/>
      <c r="H28" s="1"/>
      <c r="I28" s="1"/>
      <c r="J28" s="1"/>
      <c r="K28" s="1"/>
      <c r="L28" s="1"/>
      <c r="M28" s="1"/>
      <c r="N28" s="1"/>
      <c r="O28" s="1"/>
      <c r="P28" s="1"/>
      <c r="Q28" s="1"/>
    </row>
    <row r="29" spans="1:17" x14ac:dyDescent="0.35">
      <c r="A29" s="1"/>
      <c r="B29" s="1"/>
      <c r="C29" s="1"/>
      <c r="D29" s="1"/>
      <c r="E29" s="1"/>
      <c r="F29" s="1"/>
      <c r="G29" s="1"/>
      <c r="H29" s="1"/>
      <c r="I29" s="1"/>
      <c r="J29" s="1"/>
      <c r="K29" s="1"/>
      <c r="L29" s="1"/>
      <c r="M29" s="1"/>
      <c r="N29" s="1"/>
      <c r="O29" s="1"/>
      <c r="P29" s="1"/>
      <c r="Q29" s="1"/>
    </row>
    <row r="30" spans="1:17" x14ac:dyDescent="0.35">
      <c r="A30" s="1"/>
      <c r="B30" s="1"/>
      <c r="C30" s="1"/>
      <c r="D30" s="1"/>
      <c r="E30" s="1"/>
      <c r="F30" s="1"/>
      <c r="G30" s="1"/>
      <c r="H30" s="1"/>
      <c r="I30" s="1"/>
      <c r="J30" s="1"/>
      <c r="K30" s="1"/>
      <c r="L30" s="1"/>
      <c r="M30" s="1"/>
      <c r="N30" s="1"/>
      <c r="O30" s="1"/>
      <c r="P30" s="1"/>
      <c r="Q30" s="1"/>
    </row>
    <row r="31" spans="1:17" x14ac:dyDescent="0.35">
      <c r="A31" s="1"/>
      <c r="B31" s="1"/>
      <c r="C31" s="1"/>
      <c r="D31" s="1"/>
      <c r="E31" s="1"/>
      <c r="F31" s="1"/>
      <c r="G31" s="1"/>
      <c r="H31" s="1"/>
      <c r="I31" s="1"/>
      <c r="J31" s="1"/>
      <c r="K31" s="1"/>
      <c r="L31" s="1"/>
      <c r="M31" s="1"/>
      <c r="N31" s="1"/>
      <c r="O31" s="1"/>
      <c r="P31" s="1"/>
      <c r="Q31" s="1"/>
    </row>
    <row r="32" spans="1:17" x14ac:dyDescent="0.35">
      <c r="A32" s="1"/>
      <c r="B32" s="1"/>
      <c r="C32" s="1"/>
      <c r="D32" s="1"/>
      <c r="E32" s="1"/>
      <c r="F32" s="1"/>
      <c r="G32" s="1"/>
      <c r="H32" s="1"/>
      <c r="I32" s="1"/>
      <c r="J32" s="1"/>
      <c r="K32" s="1"/>
      <c r="L32" s="1"/>
      <c r="M32" s="1"/>
      <c r="N32" s="1"/>
      <c r="O32" s="1"/>
      <c r="P32" s="1"/>
      <c r="Q32" s="1"/>
    </row>
    <row r="33" spans="1:17" x14ac:dyDescent="0.35">
      <c r="A33" s="1"/>
      <c r="B33" s="1"/>
      <c r="C33" s="1"/>
      <c r="D33" s="1"/>
      <c r="E33" s="1"/>
      <c r="F33" s="1"/>
      <c r="G33" s="1"/>
      <c r="H33" s="1"/>
      <c r="I33" s="1"/>
      <c r="J33" s="1"/>
      <c r="K33" s="1"/>
      <c r="L33" s="1"/>
      <c r="M33" s="1"/>
      <c r="N33" s="1"/>
      <c r="O33" s="1"/>
      <c r="P33" s="1"/>
      <c r="Q33" s="1"/>
    </row>
    <row r="34" spans="1:17" x14ac:dyDescent="0.35">
      <c r="A34" s="1"/>
      <c r="B34" s="1"/>
      <c r="C34" s="1"/>
      <c r="D34" s="1"/>
      <c r="E34" s="1"/>
      <c r="F34" s="1"/>
      <c r="G34" s="1"/>
      <c r="H34" s="1"/>
      <c r="I34" s="1"/>
      <c r="J34" s="1"/>
      <c r="K34" s="1"/>
      <c r="L34" s="1"/>
      <c r="M34" s="1"/>
      <c r="N34" s="1"/>
      <c r="O34" s="1"/>
      <c r="P34" s="1"/>
      <c r="Q34" s="1"/>
    </row>
    <row r="35" spans="1:17" x14ac:dyDescent="0.35">
      <c r="A35" s="1"/>
      <c r="B35" s="1"/>
      <c r="C35" s="1"/>
      <c r="D35" s="1"/>
      <c r="E35" s="1"/>
      <c r="F35" s="1"/>
      <c r="G35" s="1"/>
      <c r="H35" s="1"/>
      <c r="I35" s="1"/>
      <c r="J35" s="1"/>
      <c r="K35" s="1"/>
      <c r="L35" s="1"/>
      <c r="M35" s="1"/>
      <c r="N35" s="1"/>
      <c r="O35" s="1"/>
      <c r="P35" s="1"/>
      <c r="Q35" s="1"/>
    </row>
    <row r="36" spans="1:17" x14ac:dyDescent="0.35">
      <c r="A36" s="1"/>
      <c r="B36" s="1"/>
      <c r="C36" s="1"/>
      <c r="D36" s="1"/>
      <c r="E36" s="1"/>
      <c r="F36" s="1"/>
      <c r="G36" s="1"/>
      <c r="H36" s="1"/>
      <c r="I36" s="1"/>
      <c r="J36" s="1"/>
      <c r="K36" s="1"/>
      <c r="L36" s="1"/>
      <c r="M36" s="1"/>
      <c r="N36" s="1"/>
      <c r="O36" s="1"/>
      <c r="P36" s="1"/>
      <c r="Q36" s="1"/>
    </row>
    <row r="37" spans="1:17" x14ac:dyDescent="0.35">
      <c r="A37" s="1"/>
      <c r="B37" s="1"/>
      <c r="C37" s="1"/>
      <c r="D37" s="1"/>
      <c r="E37" s="1"/>
      <c r="F37" s="1"/>
      <c r="G37" s="1"/>
      <c r="H37" s="1"/>
      <c r="I37" s="1"/>
      <c r="J37" s="1"/>
      <c r="K37" s="1"/>
      <c r="L37" s="1"/>
      <c r="M37" s="1"/>
      <c r="N37" s="1"/>
      <c r="O37" s="1"/>
      <c r="P37" s="1"/>
      <c r="Q37" s="1"/>
    </row>
    <row r="38" spans="1:17" x14ac:dyDescent="0.35">
      <c r="A38" s="1"/>
      <c r="B38" s="1"/>
      <c r="C38" s="1"/>
      <c r="D38" s="1"/>
      <c r="E38" s="1"/>
      <c r="F38" s="1"/>
      <c r="G38" s="1"/>
      <c r="H38" s="1"/>
      <c r="I38" s="1"/>
      <c r="J38" s="1"/>
      <c r="K38" s="1"/>
      <c r="L38" s="1"/>
      <c r="M38" s="1"/>
      <c r="N38" s="1"/>
      <c r="O38" s="1"/>
      <c r="P38" s="1"/>
      <c r="Q38" s="1"/>
    </row>
    <row r="39" spans="1:17" x14ac:dyDescent="0.35">
      <c r="A39" s="1"/>
      <c r="B39" s="1"/>
      <c r="C39" s="1"/>
      <c r="D39" s="1"/>
      <c r="E39" s="1"/>
      <c r="F39" s="1"/>
      <c r="G39" s="1"/>
      <c r="H39" s="1"/>
      <c r="I39" s="1"/>
      <c r="J39" s="1"/>
      <c r="K39" s="1"/>
      <c r="L39" s="1"/>
      <c r="M39" s="1"/>
      <c r="N39" s="1"/>
      <c r="O39" s="1"/>
      <c r="P39" s="1"/>
      <c r="Q39" s="1"/>
    </row>
    <row r="40" spans="1:17" x14ac:dyDescent="0.35">
      <c r="A40" s="1"/>
      <c r="B40" s="1"/>
      <c r="C40" s="1"/>
      <c r="D40" s="1"/>
      <c r="E40" s="1"/>
      <c r="F40" s="1"/>
      <c r="G40" s="1"/>
      <c r="H40" s="1"/>
      <c r="I40" s="1"/>
      <c r="J40" s="1"/>
      <c r="K40" s="1"/>
      <c r="L40" s="1"/>
      <c r="M40" s="1"/>
      <c r="N40" s="1"/>
      <c r="O40" s="1"/>
      <c r="P40" s="1"/>
      <c r="Q40" s="1"/>
    </row>
    <row r="41" spans="1:17" x14ac:dyDescent="0.35">
      <c r="A41" s="1"/>
      <c r="B41" s="1"/>
      <c r="C41" s="1"/>
      <c r="D41" s="1"/>
      <c r="E41" s="1"/>
      <c r="F41" s="1"/>
      <c r="G41" s="1"/>
      <c r="H41" s="1"/>
      <c r="I41" s="1"/>
      <c r="J41" s="1"/>
      <c r="K41" s="1"/>
      <c r="L41" s="1"/>
      <c r="M41" s="1"/>
      <c r="N41" s="1"/>
      <c r="O41" s="1"/>
      <c r="P41" s="1"/>
      <c r="Q41" s="1"/>
    </row>
    <row r="42" spans="1:17" x14ac:dyDescent="0.35">
      <c r="A42" s="1"/>
      <c r="B42" s="1"/>
      <c r="C42" s="1"/>
      <c r="D42" s="1"/>
      <c r="E42" s="1"/>
      <c r="F42" s="1"/>
      <c r="G42" s="1"/>
      <c r="H42" s="1"/>
      <c r="I42" s="1"/>
      <c r="J42" s="1"/>
      <c r="K42" s="1"/>
      <c r="L42" s="1"/>
      <c r="M42" s="1"/>
      <c r="N42" s="1"/>
      <c r="O42" s="1"/>
      <c r="P42" s="1"/>
      <c r="Q42" s="1"/>
    </row>
    <row r="43" spans="1:17" x14ac:dyDescent="0.35">
      <c r="A43" s="1"/>
      <c r="B43" s="1"/>
      <c r="C43" s="1"/>
      <c r="D43" s="1"/>
      <c r="E43" s="1"/>
      <c r="F43" s="1"/>
      <c r="G43" s="1"/>
      <c r="H43" s="1"/>
      <c r="I43" s="1"/>
      <c r="J43" s="1"/>
      <c r="K43" s="1"/>
      <c r="L43" s="1"/>
      <c r="M43" s="1"/>
      <c r="N43" s="1"/>
      <c r="O43" s="1"/>
      <c r="P43" s="1"/>
      <c r="Q43" s="1"/>
    </row>
    <row r="44" spans="1:17" x14ac:dyDescent="0.35">
      <c r="A44" s="1"/>
      <c r="B44" s="1"/>
      <c r="C44" s="1"/>
      <c r="D44" s="1"/>
      <c r="E44" s="1"/>
      <c r="F44" s="1"/>
      <c r="G44" s="1"/>
      <c r="H44" s="1"/>
      <c r="I44" s="1"/>
      <c r="J44" s="1"/>
      <c r="K44" s="1"/>
      <c r="L44" s="1"/>
      <c r="M44" s="1"/>
      <c r="N44" s="1"/>
      <c r="O44" s="1"/>
      <c r="P44" s="1"/>
      <c r="Q44" s="1"/>
    </row>
    <row r="45" spans="1:17" x14ac:dyDescent="0.35">
      <c r="A45" s="1"/>
      <c r="B45" s="1"/>
      <c r="C45" s="1"/>
      <c r="D45" s="1"/>
      <c r="E45" s="1"/>
      <c r="F45" s="1"/>
      <c r="G45" s="1"/>
      <c r="H45" s="1"/>
      <c r="I45" s="1"/>
      <c r="J45" s="1"/>
      <c r="K45" s="1"/>
      <c r="L45" s="1"/>
      <c r="M45" s="1"/>
      <c r="N45" s="1"/>
      <c r="O45" s="1"/>
      <c r="P45" s="1"/>
      <c r="Q45" s="1"/>
    </row>
    <row r="46" spans="1:17" x14ac:dyDescent="0.35">
      <c r="A46" s="1"/>
      <c r="B46" s="1"/>
      <c r="C46" s="1"/>
      <c r="D46" s="1"/>
      <c r="E46" s="1"/>
      <c r="F46" s="1"/>
      <c r="G46" s="1"/>
      <c r="H46" s="1"/>
      <c r="I46" s="1"/>
      <c r="J46" s="1"/>
      <c r="K46" s="1"/>
      <c r="L46" s="1"/>
      <c r="M46" s="1"/>
      <c r="N46" s="1"/>
      <c r="O46" s="1"/>
      <c r="P46" s="1"/>
      <c r="Q46" s="1"/>
    </row>
    <row r="47" spans="1:17" x14ac:dyDescent="0.35">
      <c r="A47" s="1"/>
      <c r="B47" s="1"/>
      <c r="C47" s="1"/>
      <c r="D47" s="1"/>
      <c r="E47" s="1"/>
      <c r="F47" s="1"/>
      <c r="G47" s="1"/>
      <c r="H47" s="1"/>
      <c r="I47" s="1"/>
      <c r="J47" s="1"/>
      <c r="K47" s="1"/>
      <c r="L47" s="1"/>
      <c r="M47" s="1"/>
      <c r="N47" s="1"/>
      <c r="O47" s="1"/>
      <c r="P47" s="1"/>
      <c r="Q47" s="1"/>
    </row>
    <row r="48" spans="1:17" x14ac:dyDescent="0.35">
      <c r="A48" s="1"/>
      <c r="B48" s="1"/>
      <c r="C48" s="1"/>
      <c r="D48" s="1"/>
      <c r="E48" s="1"/>
      <c r="F48" s="1"/>
      <c r="G48" s="1"/>
      <c r="H48" s="1"/>
      <c r="I48" s="1"/>
      <c r="J48" s="1"/>
      <c r="K48" s="1"/>
      <c r="L48" s="1"/>
      <c r="M48" s="1"/>
      <c r="N48" s="1"/>
      <c r="O48" s="1"/>
      <c r="P48" s="1"/>
      <c r="Q48" s="1"/>
    </row>
    <row r="49" spans="1:17" x14ac:dyDescent="0.35">
      <c r="A49" s="1"/>
      <c r="B49" s="1"/>
      <c r="C49" s="1"/>
      <c r="D49" s="1"/>
      <c r="E49" s="1"/>
      <c r="F49" s="1"/>
      <c r="G49" s="1"/>
      <c r="H49" s="1"/>
      <c r="I49" s="1"/>
      <c r="J49" s="1"/>
      <c r="K49" s="1"/>
      <c r="L49" s="1"/>
      <c r="M49" s="1"/>
      <c r="N49" s="1"/>
      <c r="O49" s="1"/>
      <c r="P49" s="1"/>
      <c r="Q49" s="1"/>
    </row>
    <row r="50" spans="1:17" x14ac:dyDescent="0.35">
      <c r="A50" s="1"/>
      <c r="B50" s="1"/>
      <c r="C50" s="1"/>
      <c r="D50" s="1"/>
      <c r="E50" s="1"/>
      <c r="F50" s="1"/>
      <c r="G50" s="1"/>
      <c r="H50" s="1"/>
      <c r="I50" s="1"/>
      <c r="J50" s="1"/>
      <c r="K50" s="1"/>
      <c r="L50" s="1"/>
      <c r="M50" s="1"/>
      <c r="N50" s="1"/>
      <c r="O50" s="1"/>
      <c r="P50" s="1"/>
      <c r="Q50" s="1"/>
    </row>
    <row r="51" spans="1:17" x14ac:dyDescent="0.35">
      <c r="A51" s="1"/>
      <c r="B51" s="1"/>
      <c r="C51" s="1"/>
      <c r="D51" s="1"/>
      <c r="E51" s="1"/>
      <c r="F51" s="1"/>
      <c r="G51" s="1"/>
      <c r="H51" s="1"/>
      <c r="I51" s="1"/>
      <c r="J51" s="1"/>
      <c r="K51" s="1"/>
      <c r="L51" s="1"/>
      <c r="M51" s="1"/>
      <c r="N51" s="1"/>
      <c r="O51" s="1"/>
      <c r="P51" s="1"/>
      <c r="Q51" s="1"/>
    </row>
    <row r="52" spans="1:17" x14ac:dyDescent="0.35">
      <c r="A52" s="1"/>
      <c r="B52" s="1"/>
      <c r="C52" s="1"/>
      <c r="D52" s="1"/>
      <c r="E52" s="1"/>
      <c r="F52" s="1"/>
      <c r="G52" s="1"/>
      <c r="H52" s="1"/>
      <c r="I52" s="1"/>
      <c r="J52" s="1"/>
      <c r="K52" s="1"/>
      <c r="L52" s="1"/>
      <c r="M52" s="1"/>
      <c r="N52" s="1"/>
      <c r="O52" s="1"/>
      <c r="P52" s="1"/>
      <c r="Q52" s="1"/>
    </row>
    <row r="53" spans="1:17" x14ac:dyDescent="0.35">
      <c r="A53" s="1"/>
      <c r="B53" s="1"/>
      <c r="C53" s="1"/>
      <c r="D53" s="1"/>
      <c r="E53" s="1"/>
      <c r="F53" s="1"/>
      <c r="G53" s="1"/>
      <c r="H53" s="1"/>
      <c r="I53" s="1"/>
      <c r="J53" s="1"/>
      <c r="K53" s="1"/>
      <c r="L53" s="1"/>
      <c r="M53" s="1"/>
      <c r="N53" s="1"/>
      <c r="O53" s="1"/>
      <c r="P53" s="1"/>
      <c r="Q53" s="1"/>
    </row>
    <row r="54" spans="1:17" x14ac:dyDescent="0.35">
      <c r="A54" s="1"/>
      <c r="B54" s="1"/>
      <c r="C54" s="1"/>
      <c r="D54" s="1"/>
      <c r="E54" s="1"/>
      <c r="F54" s="1"/>
      <c r="G54" s="1"/>
      <c r="H54" s="1"/>
      <c r="I54" s="1"/>
      <c r="J54" s="1"/>
      <c r="K54" s="1"/>
      <c r="L54" s="1"/>
      <c r="M54" s="1"/>
      <c r="N54" s="1"/>
      <c r="O54" s="1"/>
      <c r="P54" s="1"/>
      <c r="Q54" s="1"/>
    </row>
    <row r="55" spans="1:17" x14ac:dyDescent="0.35">
      <c r="A55" s="1"/>
      <c r="B55" s="1"/>
      <c r="C55" s="1"/>
      <c r="D55" s="1"/>
      <c r="E55" s="1"/>
      <c r="F55" s="1"/>
      <c r="G55" s="1"/>
      <c r="H55" s="1"/>
      <c r="I55" s="1"/>
      <c r="J55" s="1"/>
      <c r="K55" s="1"/>
      <c r="L55" s="1"/>
      <c r="M55" s="1"/>
      <c r="N55" s="1"/>
      <c r="O55" s="1"/>
      <c r="P55" s="1"/>
      <c r="Q55" s="1"/>
    </row>
    <row r="56" spans="1:17" x14ac:dyDescent="0.35">
      <c r="A56" s="1"/>
      <c r="B56" s="1"/>
      <c r="C56" s="1"/>
      <c r="D56" s="1"/>
      <c r="E56" s="1"/>
      <c r="F56" s="1"/>
      <c r="G56" s="1"/>
      <c r="H56" s="1"/>
      <c r="I56" s="1"/>
      <c r="J56" s="1"/>
      <c r="K56" s="1"/>
      <c r="L56" s="1"/>
      <c r="M56" s="1"/>
      <c r="N56" s="1"/>
      <c r="O56" s="1"/>
      <c r="P56" s="1"/>
      <c r="Q56" s="1"/>
    </row>
    <row r="57" spans="1:17" x14ac:dyDescent="0.35">
      <c r="A57" s="1"/>
      <c r="B57" s="1"/>
      <c r="C57" s="1"/>
      <c r="D57" s="1"/>
      <c r="E57" s="1"/>
      <c r="F57" s="1"/>
      <c r="G57" s="1"/>
      <c r="H57" s="1"/>
      <c r="I57" s="1"/>
      <c r="J57" s="1"/>
      <c r="K57" s="1"/>
      <c r="L57" s="1"/>
      <c r="M57" s="1"/>
      <c r="N57" s="1"/>
      <c r="O57" s="1"/>
      <c r="P57" s="1"/>
      <c r="Q57" s="1"/>
    </row>
    <row r="58" spans="1:17" x14ac:dyDescent="0.35">
      <c r="A58" s="1"/>
      <c r="B58" s="1"/>
      <c r="C58" s="1"/>
      <c r="D58" s="1"/>
      <c r="E58" s="1"/>
      <c r="F58" s="1"/>
      <c r="G58" s="1"/>
      <c r="H58" s="1"/>
      <c r="I58" s="1"/>
      <c r="J58" s="1"/>
      <c r="K58" s="1"/>
      <c r="L58" s="1"/>
      <c r="M58" s="1"/>
      <c r="N58" s="1"/>
      <c r="O58" s="1"/>
      <c r="P58" s="1"/>
      <c r="Q58" s="1"/>
    </row>
    <row r="59" spans="1:17" x14ac:dyDescent="0.35">
      <c r="A59" s="1"/>
      <c r="B59" s="1"/>
      <c r="C59" s="1"/>
      <c r="D59" s="1"/>
      <c r="E59" s="1"/>
      <c r="F59" s="1"/>
      <c r="G59" s="1"/>
      <c r="H59" s="1"/>
      <c r="I59" s="1"/>
      <c r="J59" s="1"/>
      <c r="K59" s="1"/>
      <c r="L59" s="1"/>
      <c r="M59" s="1"/>
      <c r="N59" s="1"/>
      <c r="O59" s="1"/>
      <c r="P59" s="1"/>
      <c r="Q59" s="1"/>
    </row>
    <row r="60" spans="1:17" x14ac:dyDescent="0.35">
      <c r="A60" s="1"/>
      <c r="B60" s="1"/>
      <c r="C60" s="1"/>
      <c r="D60" s="1"/>
      <c r="E60" s="1"/>
      <c r="F60" s="1"/>
      <c r="G60" s="1"/>
      <c r="H60" s="1"/>
      <c r="I60" s="1"/>
      <c r="J60" s="1"/>
      <c r="K60" s="1"/>
      <c r="L60" s="1"/>
      <c r="M60" s="1"/>
      <c r="N60" s="1"/>
      <c r="O60" s="1"/>
      <c r="P60" s="1"/>
      <c r="Q60" s="1"/>
    </row>
    <row r="61" spans="1:17" x14ac:dyDescent="0.35">
      <c r="A61" s="1"/>
      <c r="B61" s="1"/>
      <c r="C61" s="1"/>
      <c r="D61" s="1"/>
      <c r="E61" s="1"/>
      <c r="F61" s="1"/>
      <c r="G61" s="1"/>
      <c r="H61" s="1"/>
      <c r="I61" s="1"/>
      <c r="J61" s="1"/>
      <c r="K61" s="1"/>
      <c r="L61" s="1"/>
      <c r="M61" s="1"/>
      <c r="N61" s="1"/>
      <c r="O61" s="1"/>
      <c r="P61" s="1"/>
      <c r="Q61" s="1"/>
    </row>
    <row r="62" spans="1:17" x14ac:dyDescent="0.35">
      <c r="A62" s="1"/>
      <c r="B62" s="1"/>
      <c r="C62" s="1"/>
      <c r="D62" s="1"/>
      <c r="E62" s="1"/>
      <c r="F62" s="1"/>
      <c r="G62" s="1"/>
      <c r="H62" s="1"/>
      <c r="I62" s="1"/>
      <c r="J62" s="1"/>
      <c r="K62" s="1"/>
      <c r="L62" s="1"/>
      <c r="M62" s="1"/>
      <c r="N62" s="1"/>
      <c r="O62" s="1"/>
      <c r="P62" s="1"/>
      <c r="Q62" s="1"/>
    </row>
    <row r="63" spans="1:17" x14ac:dyDescent="0.35">
      <c r="A63" s="1"/>
      <c r="B63" s="1"/>
      <c r="C63" s="1"/>
      <c r="D63" s="1"/>
      <c r="E63" s="1"/>
      <c r="F63" s="1"/>
      <c r="G63" s="1"/>
      <c r="H63" s="1"/>
      <c r="I63" s="1"/>
      <c r="J63" s="1"/>
      <c r="K63" s="1"/>
      <c r="L63" s="1"/>
      <c r="M63" s="1"/>
      <c r="N63" s="1"/>
      <c r="O63" s="1"/>
      <c r="P63" s="1"/>
      <c r="Q63" s="1"/>
    </row>
    <row r="64" spans="1:17" x14ac:dyDescent="0.35">
      <c r="A64" s="1"/>
      <c r="B64" s="1"/>
      <c r="C64" s="1"/>
      <c r="D64" s="1"/>
      <c r="E64" s="1"/>
      <c r="F64" s="1"/>
      <c r="G64" s="1"/>
      <c r="H64" s="1"/>
      <c r="I64" s="1"/>
      <c r="J64" s="1"/>
      <c r="K64" s="1"/>
      <c r="L64" s="1"/>
      <c r="M64" s="1"/>
      <c r="N64" s="1"/>
      <c r="O64" s="1"/>
      <c r="P64" s="1"/>
      <c r="Q64" s="1"/>
    </row>
    <row r="65" spans="1:17" x14ac:dyDescent="0.35">
      <c r="A65" s="1"/>
      <c r="B65" s="1"/>
      <c r="C65" s="1"/>
      <c r="D65" s="1"/>
      <c r="E65" s="1"/>
      <c r="F65" s="1"/>
      <c r="G65" s="1"/>
      <c r="H65" s="1"/>
      <c r="I65" s="1"/>
      <c r="J65" s="1"/>
      <c r="K65" s="1"/>
      <c r="L65" s="1"/>
      <c r="M65" s="1"/>
      <c r="N65" s="1"/>
      <c r="O65" s="1"/>
      <c r="P65" s="1"/>
      <c r="Q65" s="1"/>
    </row>
    <row r="66" spans="1:17" x14ac:dyDescent="0.35">
      <c r="A66" s="1"/>
      <c r="B66" s="1"/>
      <c r="C66" s="1"/>
      <c r="D66" s="1"/>
      <c r="E66" s="1"/>
      <c r="F66" s="1"/>
      <c r="G66" s="1"/>
      <c r="H66" s="1"/>
      <c r="I66" s="1"/>
      <c r="J66" s="1"/>
      <c r="K66" s="1"/>
      <c r="L66" s="1"/>
      <c r="M66" s="1"/>
      <c r="N66" s="1"/>
      <c r="O66" s="1"/>
      <c r="P66" s="1"/>
      <c r="Q66" s="1"/>
    </row>
    <row r="67" spans="1:17" x14ac:dyDescent="0.35">
      <c r="A67" s="1"/>
      <c r="B67" s="1"/>
      <c r="C67" s="1"/>
      <c r="D67" s="1"/>
      <c r="E67" s="1"/>
      <c r="F67" s="1"/>
      <c r="G67" s="1"/>
      <c r="H67" s="1"/>
      <c r="I67" s="1"/>
      <c r="J67" s="1"/>
      <c r="K67" s="1"/>
      <c r="L67" s="1"/>
      <c r="M67" s="1"/>
      <c r="N67" s="1"/>
      <c r="O67" s="1"/>
      <c r="P67" s="1"/>
      <c r="Q67" s="1"/>
    </row>
    <row r="68" spans="1:17" x14ac:dyDescent="0.35">
      <c r="A68" s="1"/>
      <c r="B68" s="1"/>
      <c r="C68" s="1"/>
      <c r="D68" s="1"/>
      <c r="E68" s="1"/>
      <c r="F68" s="1"/>
      <c r="G68" s="1"/>
      <c r="H68" s="1"/>
      <c r="I68" s="1"/>
      <c r="J68" s="1"/>
      <c r="K68" s="1"/>
      <c r="L68" s="1"/>
      <c r="M68" s="1"/>
      <c r="N68" s="1"/>
      <c r="O68" s="1"/>
      <c r="P68" s="1"/>
      <c r="Q68" s="1"/>
    </row>
    <row r="69" spans="1:17" x14ac:dyDescent="0.35">
      <c r="A69" s="1"/>
      <c r="B69" s="1"/>
      <c r="C69" s="1"/>
      <c r="D69" s="1"/>
      <c r="E69" s="1"/>
      <c r="F69" s="1"/>
      <c r="G69" s="1"/>
      <c r="H69" s="1"/>
      <c r="I69" s="1"/>
      <c r="J69" s="1"/>
      <c r="K69" s="1"/>
      <c r="L69" s="1"/>
      <c r="M69" s="1"/>
      <c r="N69" s="1"/>
      <c r="O69" s="1"/>
      <c r="P69" s="1"/>
      <c r="Q69" s="1"/>
    </row>
    <row r="70" spans="1:17" x14ac:dyDescent="0.35">
      <c r="A70" s="1"/>
      <c r="B70" s="1"/>
      <c r="C70" s="1"/>
      <c r="D70" s="1"/>
      <c r="E70" s="1"/>
      <c r="F70" s="1"/>
      <c r="G70" s="1"/>
      <c r="H70" s="1"/>
      <c r="I70" s="1"/>
      <c r="J70" s="1"/>
      <c r="K70" s="1"/>
      <c r="L70" s="1"/>
      <c r="M70" s="1"/>
      <c r="N70" s="1"/>
      <c r="O70" s="1"/>
      <c r="P70" s="1"/>
      <c r="Q70" s="1"/>
    </row>
    <row r="71" spans="1:17" x14ac:dyDescent="0.35">
      <c r="A71" s="1"/>
      <c r="B71" s="1"/>
      <c r="C71" s="1"/>
      <c r="D71" s="1"/>
      <c r="E71" s="1"/>
      <c r="F71" s="1"/>
      <c r="G71" s="1"/>
      <c r="H71" s="1"/>
      <c r="I71" s="1"/>
      <c r="J71" s="1"/>
      <c r="K71" s="1"/>
      <c r="L71" s="1"/>
      <c r="M71" s="1"/>
      <c r="N71" s="1"/>
      <c r="O71" s="1"/>
      <c r="P71" s="1"/>
      <c r="Q71" s="1"/>
    </row>
    <row r="72" spans="1:17" x14ac:dyDescent="0.35">
      <c r="A72" s="1"/>
      <c r="B72" s="1"/>
      <c r="C72" s="1"/>
      <c r="D72" s="1"/>
      <c r="E72" s="1"/>
      <c r="F72" s="1"/>
      <c r="G72" s="1"/>
      <c r="H72" s="1"/>
      <c r="I72" s="1"/>
      <c r="J72" s="1"/>
      <c r="K72" s="1"/>
      <c r="L72" s="1"/>
      <c r="M72" s="1"/>
      <c r="N72" s="1"/>
      <c r="O72" s="1"/>
      <c r="P72" s="1"/>
      <c r="Q72" s="1"/>
    </row>
    <row r="73" spans="1:17" x14ac:dyDescent="0.35">
      <c r="A73" s="1"/>
      <c r="B73" s="1"/>
      <c r="C73" s="1"/>
      <c r="D73" s="1"/>
      <c r="E73" s="1"/>
      <c r="F73" s="1"/>
      <c r="G73" s="1"/>
      <c r="H73" s="1"/>
      <c r="I73" s="1"/>
      <c r="J73" s="1"/>
      <c r="K73" s="1"/>
      <c r="L73" s="1"/>
      <c r="M73" s="1"/>
      <c r="N73" s="1"/>
      <c r="O73" s="1"/>
      <c r="P73" s="1"/>
      <c r="Q73" s="1"/>
    </row>
    <row r="74" spans="1:17" x14ac:dyDescent="0.35">
      <c r="A74" s="1"/>
      <c r="B74" s="1"/>
      <c r="C74" s="1"/>
      <c r="D74" s="1"/>
      <c r="E74" s="1"/>
      <c r="F74" s="1"/>
      <c r="G74" s="1"/>
      <c r="H74" s="1"/>
      <c r="I74" s="1"/>
      <c r="J74" s="1"/>
      <c r="K74" s="1"/>
      <c r="L74" s="1"/>
      <c r="M74" s="1"/>
      <c r="N74" s="1"/>
      <c r="O74" s="1"/>
      <c r="P74" s="1"/>
      <c r="Q74" s="1"/>
    </row>
    <row r="75" spans="1:17" x14ac:dyDescent="0.35">
      <c r="A75" s="1"/>
      <c r="B75" s="1"/>
      <c r="C75" s="1"/>
      <c r="D75" s="1"/>
      <c r="E75" s="1"/>
      <c r="F75" s="1"/>
      <c r="G75" s="1"/>
      <c r="H75" s="1"/>
      <c r="I75" s="1"/>
      <c r="J75" s="1"/>
      <c r="K75" s="1"/>
      <c r="L75" s="1"/>
      <c r="M75" s="1"/>
      <c r="N75" s="1"/>
      <c r="O75" s="1"/>
      <c r="P75" s="1"/>
      <c r="Q75" s="1"/>
    </row>
    <row r="76" spans="1:17" x14ac:dyDescent="0.35">
      <c r="A76" s="1"/>
      <c r="B76" s="1"/>
      <c r="C76" s="1"/>
      <c r="D76" s="1"/>
      <c r="E76" s="1"/>
      <c r="F76" s="1"/>
      <c r="G76" s="1"/>
      <c r="H76" s="1"/>
      <c r="I76" s="1"/>
      <c r="J76" s="1"/>
      <c r="K76" s="1"/>
      <c r="L76" s="1"/>
      <c r="M76" s="1"/>
      <c r="N76" s="1"/>
      <c r="O76" s="1"/>
      <c r="P76" s="1"/>
      <c r="Q76" s="1"/>
    </row>
    <row r="77" spans="1:17" x14ac:dyDescent="0.35">
      <c r="A77" s="1"/>
      <c r="B77" s="1"/>
      <c r="C77" s="1"/>
      <c r="D77" s="1"/>
      <c r="E77" s="1"/>
      <c r="F77" s="1"/>
      <c r="G77" s="1"/>
      <c r="H77" s="1"/>
      <c r="I77" s="1"/>
      <c r="J77" s="1"/>
      <c r="K77" s="1"/>
      <c r="L77" s="1"/>
      <c r="M77" s="1"/>
      <c r="N77" s="1"/>
      <c r="O77" s="1"/>
      <c r="P77" s="1"/>
      <c r="Q77" s="1"/>
    </row>
    <row r="78" spans="1:17" x14ac:dyDescent="0.35">
      <c r="A78" s="1"/>
      <c r="B78" s="1"/>
      <c r="C78" s="1"/>
      <c r="D78" s="1"/>
      <c r="E78" s="1"/>
      <c r="F78" s="1"/>
      <c r="G78" s="1"/>
      <c r="H78" s="1"/>
      <c r="I78" s="1"/>
      <c r="J78" s="1"/>
      <c r="K78" s="1"/>
      <c r="L78" s="1"/>
      <c r="M78" s="1"/>
      <c r="N78" s="1"/>
      <c r="O78" s="1"/>
      <c r="P78" s="1"/>
      <c r="Q78" s="1"/>
    </row>
    <row r="79" spans="1:17" x14ac:dyDescent="0.35">
      <c r="A79" s="1"/>
      <c r="B79" s="1"/>
      <c r="C79" s="1"/>
      <c r="D79" s="1"/>
      <c r="E79" s="1"/>
      <c r="F79" s="1"/>
      <c r="G79" s="1"/>
      <c r="H79" s="1"/>
      <c r="I79" s="1"/>
      <c r="J79" s="1"/>
      <c r="K79" s="1"/>
      <c r="L79" s="1"/>
      <c r="M79" s="1"/>
      <c r="N79" s="1"/>
      <c r="O79" s="1"/>
      <c r="P79" s="1"/>
      <c r="Q79" s="1"/>
    </row>
    <row r="80" spans="1:17" x14ac:dyDescent="0.35">
      <c r="A80" s="1"/>
      <c r="B80" s="1"/>
      <c r="C80" s="1"/>
      <c r="D80" s="1"/>
      <c r="E80" s="1"/>
      <c r="F80" s="1"/>
      <c r="G80" s="1"/>
      <c r="H80" s="1"/>
      <c r="I80" s="1"/>
      <c r="J80" s="1"/>
      <c r="K80" s="1"/>
      <c r="L80" s="1"/>
      <c r="M80" s="1"/>
      <c r="N80" s="1"/>
      <c r="O80" s="1"/>
      <c r="P80" s="1"/>
      <c r="Q80" s="1"/>
    </row>
    <row r="81" spans="1:17" x14ac:dyDescent="0.35">
      <c r="A81" s="1"/>
      <c r="B81" s="1"/>
      <c r="C81" s="1"/>
      <c r="D81" s="1"/>
      <c r="E81" s="1"/>
      <c r="F81" s="1"/>
      <c r="G81" s="1"/>
      <c r="H81" s="1"/>
      <c r="I81" s="1"/>
      <c r="J81" s="1"/>
      <c r="K81" s="1"/>
      <c r="L81" s="1"/>
      <c r="M81" s="1"/>
      <c r="N81" s="1"/>
      <c r="O81" s="1"/>
      <c r="P81" s="1"/>
      <c r="Q81" s="1"/>
    </row>
    <row r="82" spans="1:17" x14ac:dyDescent="0.35">
      <c r="A82" s="1"/>
      <c r="B82" s="1"/>
      <c r="C82" s="1"/>
      <c r="D82" s="1"/>
      <c r="E82" s="1"/>
      <c r="F82" s="1"/>
      <c r="G82" s="1"/>
      <c r="H82" s="1"/>
      <c r="I82" s="1"/>
      <c r="J82" s="1"/>
      <c r="K82" s="1"/>
      <c r="L82" s="1"/>
      <c r="M82" s="1"/>
      <c r="N82" s="1"/>
      <c r="O82" s="1"/>
      <c r="P82" s="1"/>
      <c r="Q82" s="1"/>
    </row>
    <row r="83" spans="1:17" x14ac:dyDescent="0.35">
      <c r="A83" s="1"/>
      <c r="B83" s="1"/>
      <c r="C83" s="1"/>
      <c r="D83" s="1"/>
      <c r="E83" s="1"/>
      <c r="F83" s="1"/>
      <c r="G83" s="1"/>
      <c r="H83" s="1"/>
      <c r="I83" s="1"/>
      <c r="J83" s="1"/>
      <c r="K83" s="1"/>
      <c r="L83" s="1"/>
      <c r="M83" s="1"/>
      <c r="N83" s="1"/>
      <c r="O83" s="1"/>
      <c r="P83" s="1"/>
      <c r="Q83" s="1"/>
    </row>
    <row r="84" spans="1:17" x14ac:dyDescent="0.35">
      <c r="A84" s="1"/>
      <c r="B84" s="1"/>
      <c r="C84" s="1"/>
      <c r="D84" s="1"/>
      <c r="E84" s="1"/>
      <c r="F84" s="1"/>
      <c r="G84" s="1"/>
      <c r="H84" s="1"/>
      <c r="I84" s="1"/>
      <c r="J84" s="1"/>
      <c r="K84" s="1"/>
      <c r="L84" s="1"/>
      <c r="M84" s="1"/>
      <c r="N84" s="1"/>
      <c r="O84" s="1"/>
      <c r="P84" s="1"/>
      <c r="Q84" s="1"/>
    </row>
    <row r="85" spans="1:17" x14ac:dyDescent="0.35">
      <c r="A85" s="1"/>
      <c r="B85" s="1"/>
      <c r="C85" s="1"/>
      <c r="D85" s="1"/>
      <c r="E85" s="1"/>
      <c r="F85" s="1"/>
      <c r="G85" s="1"/>
      <c r="H85" s="1"/>
      <c r="I85" s="1"/>
      <c r="J85" s="1"/>
      <c r="K85" s="1"/>
      <c r="L85" s="1"/>
      <c r="M85" s="1"/>
      <c r="N85" s="1"/>
      <c r="O85" s="1"/>
      <c r="P85" s="1"/>
      <c r="Q85" s="1"/>
    </row>
    <row r="86" spans="1:17" x14ac:dyDescent="0.35">
      <c r="A86" s="1"/>
      <c r="B86" s="1"/>
      <c r="C86" s="1"/>
      <c r="D86" s="1"/>
      <c r="E86" s="1"/>
      <c r="F86" s="1"/>
      <c r="G86" s="1"/>
      <c r="H86" s="1"/>
      <c r="I86" s="1"/>
      <c r="J86" s="1"/>
      <c r="K86" s="1"/>
      <c r="L86" s="1"/>
      <c r="M86" s="1"/>
      <c r="N86" s="1"/>
      <c r="O86" s="1"/>
      <c r="P86" s="1"/>
      <c r="Q86" s="1"/>
    </row>
    <row r="87" spans="1:17" x14ac:dyDescent="0.35">
      <c r="A87" s="1"/>
      <c r="B87" s="1"/>
      <c r="C87" s="1"/>
      <c r="D87" s="1"/>
      <c r="E87" s="1"/>
      <c r="F87" s="1"/>
      <c r="G87" s="1"/>
      <c r="H87" s="1"/>
      <c r="I87" s="1"/>
      <c r="J87" s="1"/>
      <c r="K87" s="1"/>
      <c r="L87" s="1"/>
      <c r="M87" s="1"/>
      <c r="N87" s="1"/>
      <c r="O87" s="1"/>
      <c r="P87" s="1"/>
      <c r="Q87" s="1"/>
    </row>
    <row r="88" spans="1:17" x14ac:dyDescent="0.35">
      <c r="A88" s="1"/>
      <c r="B88" s="1"/>
      <c r="C88" s="1"/>
      <c r="D88" s="1"/>
      <c r="E88" s="1"/>
      <c r="F88" s="1"/>
      <c r="G88" s="1"/>
      <c r="H88" s="1"/>
      <c r="I88" s="1"/>
      <c r="J88" s="1"/>
      <c r="K88" s="1"/>
      <c r="L88" s="1"/>
      <c r="M88" s="1"/>
      <c r="N88" s="1"/>
      <c r="O88" s="1"/>
      <c r="P88" s="1"/>
      <c r="Q88" s="1"/>
    </row>
    <row r="89" spans="1:17" x14ac:dyDescent="0.35">
      <c r="A89" s="1"/>
      <c r="B89" s="1"/>
      <c r="C89" s="1"/>
      <c r="D89" s="1"/>
      <c r="E89" s="1"/>
      <c r="F89" s="1"/>
      <c r="G89" s="1"/>
      <c r="H89" s="1"/>
      <c r="I89" s="1"/>
      <c r="J89" s="1"/>
      <c r="K89" s="1"/>
      <c r="L89" s="1"/>
      <c r="M89" s="1"/>
      <c r="N89" s="1"/>
      <c r="O89" s="1"/>
      <c r="P89" s="1"/>
      <c r="Q89" s="1"/>
    </row>
    <row r="90" spans="1:17" x14ac:dyDescent="0.35">
      <c r="A90" s="1"/>
      <c r="B90" s="1"/>
      <c r="C90" s="1"/>
      <c r="D90" s="1"/>
      <c r="E90" s="1"/>
      <c r="F90" s="1"/>
      <c r="G90" s="1"/>
      <c r="H90" s="1"/>
      <c r="I90" s="1"/>
      <c r="J90" s="1"/>
      <c r="K90" s="1"/>
      <c r="L90" s="1"/>
      <c r="M90" s="1"/>
      <c r="N90" s="1"/>
      <c r="O90" s="1"/>
      <c r="P90" s="1"/>
      <c r="Q90" s="1"/>
    </row>
    <row r="91" spans="1:17" x14ac:dyDescent="0.35">
      <c r="A91" s="1"/>
      <c r="B91" s="1"/>
      <c r="C91" s="1"/>
      <c r="D91" s="1"/>
      <c r="E91" s="1"/>
      <c r="F91" s="1"/>
      <c r="G91" s="1"/>
      <c r="H91" s="1"/>
      <c r="I91" s="1"/>
      <c r="J91" s="1"/>
      <c r="K91" s="1"/>
      <c r="L91" s="1"/>
      <c r="M91" s="1"/>
      <c r="N91" s="1"/>
      <c r="O91" s="1"/>
      <c r="P91" s="1"/>
      <c r="Q91" s="1"/>
    </row>
    <row r="92" spans="1:17" x14ac:dyDescent="0.35">
      <c r="A92" s="1"/>
      <c r="B92" s="1"/>
      <c r="C92" s="1"/>
      <c r="D92" s="1"/>
      <c r="E92" s="1"/>
      <c r="F92" s="1"/>
      <c r="G92" s="1"/>
      <c r="H92" s="1"/>
      <c r="I92" s="1"/>
      <c r="J92" s="1"/>
      <c r="K92" s="1"/>
      <c r="L92" s="1"/>
      <c r="M92" s="1"/>
      <c r="N92" s="1"/>
      <c r="O92" s="1"/>
      <c r="P92" s="1"/>
      <c r="Q92" s="1"/>
    </row>
    <row r="93" spans="1:17" x14ac:dyDescent="0.35">
      <c r="A93" s="1"/>
      <c r="B93" s="1"/>
      <c r="C93" s="1"/>
      <c r="D93" s="1"/>
      <c r="E93" s="1"/>
      <c r="F93" s="1"/>
      <c r="G93" s="1"/>
      <c r="H93" s="1"/>
      <c r="I93" s="1"/>
      <c r="J93" s="1"/>
      <c r="K93" s="1"/>
      <c r="L93" s="1"/>
      <c r="M93" s="1"/>
      <c r="N93" s="1"/>
      <c r="O93" s="1"/>
      <c r="P93" s="1"/>
      <c r="Q93" s="1"/>
    </row>
    <row r="94" spans="1:17" x14ac:dyDescent="0.35">
      <c r="A94" s="1"/>
      <c r="B94" s="1"/>
      <c r="C94" s="1"/>
      <c r="D94" s="1"/>
      <c r="E94" s="1"/>
      <c r="F94" s="1"/>
      <c r="G94" s="1"/>
      <c r="H94" s="1"/>
      <c r="I94" s="1"/>
      <c r="J94" s="1"/>
      <c r="K94" s="1"/>
      <c r="L94" s="1"/>
      <c r="M94" s="1"/>
      <c r="N94" s="1"/>
      <c r="O94" s="1"/>
      <c r="P94" s="1"/>
      <c r="Q94" s="1"/>
    </row>
    <row r="95" spans="1:17" x14ac:dyDescent="0.35">
      <c r="A95" s="1"/>
      <c r="B95" s="1"/>
      <c r="C95" s="1"/>
      <c r="D95" s="1"/>
      <c r="E95" s="1"/>
      <c r="F95" s="1"/>
      <c r="G95" s="1"/>
      <c r="H95" s="1"/>
      <c r="I95" s="1"/>
      <c r="J95" s="1"/>
      <c r="K95" s="1"/>
      <c r="L95" s="1"/>
      <c r="M95" s="1"/>
      <c r="N95" s="1"/>
      <c r="O95" s="1"/>
      <c r="P95" s="1"/>
      <c r="Q95" s="1"/>
    </row>
    <row r="96" spans="1:17" x14ac:dyDescent="0.35">
      <c r="A96" s="1"/>
      <c r="B96" s="1"/>
      <c r="C96" s="1"/>
      <c r="D96" s="1"/>
      <c r="E96" s="1"/>
      <c r="F96" s="1"/>
      <c r="G96" s="1"/>
      <c r="H96" s="1"/>
      <c r="I96" s="1"/>
      <c r="J96" s="1"/>
      <c r="K96" s="1"/>
      <c r="L96" s="1"/>
      <c r="M96" s="1"/>
      <c r="N96" s="1"/>
      <c r="O96" s="1"/>
      <c r="P96" s="1"/>
      <c r="Q96" s="1"/>
    </row>
    <row r="97" spans="1:17" x14ac:dyDescent="0.35">
      <c r="A97" s="1"/>
      <c r="B97" s="1"/>
      <c r="C97" s="1"/>
      <c r="D97" s="1"/>
      <c r="E97" s="1"/>
      <c r="F97" s="1"/>
      <c r="G97" s="1"/>
      <c r="H97" s="1"/>
      <c r="I97" s="1"/>
      <c r="J97" s="1"/>
      <c r="K97" s="1"/>
      <c r="L97" s="1"/>
      <c r="M97" s="1"/>
      <c r="N97" s="1"/>
      <c r="O97" s="1"/>
      <c r="P97" s="1"/>
      <c r="Q97" s="1"/>
    </row>
    <row r="98" spans="1:17" x14ac:dyDescent="0.35">
      <c r="A98" s="1"/>
      <c r="B98" s="1"/>
      <c r="C98" s="1"/>
      <c r="D98" s="1"/>
      <c r="E98" s="1"/>
      <c r="F98" s="1"/>
      <c r="G98" s="1"/>
      <c r="H98" s="1"/>
      <c r="I98" s="1"/>
      <c r="J98" s="1"/>
      <c r="K98" s="1"/>
      <c r="L98" s="1"/>
      <c r="M98" s="1"/>
      <c r="N98" s="1"/>
      <c r="O98" s="1"/>
      <c r="P98" s="1"/>
      <c r="Q98" s="1"/>
    </row>
    <row r="99" spans="1:17" x14ac:dyDescent="0.35">
      <c r="A99" s="1"/>
      <c r="B99" s="1"/>
      <c r="C99" s="1"/>
      <c r="D99" s="1"/>
      <c r="E99" s="1"/>
      <c r="F99" s="1"/>
      <c r="G99" s="1"/>
      <c r="H99" s="1"/>
      <c r="I99" s="1"/>
      <c r="J99" s="1"/>
      <c r="K99" s="1"/>
      <c r="L99" s="1"/>
      <c r="M99" s="1"/>
      <c r="N99" s="1"/>
      <c r="O99" s="1"/>
      <c r="P99" s="1"/>
      <c r="Q99" s="1"/>
    </row>
    <row r="100" spans="1:17" x14ac:dyDescent="0.35">
      <c r="A100" s="1"/>
      <c r="B100" s="1"/>
      <c r="C100" s="1"/>
      <c r="D100" s="1"/>
      <c r="E100" s="1"/>
      <c r="F100" s="1"/>
      <c r="G100" s="1"/>
      <c r="H100" s="1"/>
      <c r="I100" s="1"/>
      <c r="J100" s="1"/>
      <c r="K100" s="1"/>
      <c r="L100" s="1"/>
      <c r="M100" s="1"/>
      <c r="N100" s="1"/>
      <c r="O100" s="1"/>
      <c r="P100" s="1"/>
      <c r="Q100" s="1"/>
    </row>
    <row r="101" spans="1:17" x14ac:dyDescent="0.35">
      <c r="A101" s="1"/>
      <c r="B101" s="1"/>
      <c r="C101" s="1"/>
      <c r="D101" s="1"/>
      <c r="E101" s="1"/>
      <c r="F101" s="1"/>
      <c r="G101" s="1"/>
      <c r="H101" s="1"/>
      <c r="I101" s="1"/>
      <c r="J101" s="1"/>
      <c r="K101" s="1"/>
      <c r="L101" s="1"/>
      <c r="M101" s="1"/>
      <c r="N101" s="1"/>
      <c r="O101" s="1"/>
      <c r="P101" s="1"/>
      <c r="Q101" s="1"/>
    </row>
    <row r="102" spans="1:17" x14ac:dyDescent="0.35">
      <c r="A102" s="1"/>
      <c r="B102" s="1"/>
      <c r="C102" s="1"/>
      <c r="D102" s="1"/>
      <c r="E102" s="1"/>
      <c r="F102" s="1"/>
      <c r="G102" s="1"/>
      <c r="H102" s="1"/>
      <c r="I102" s="1"/>
      <c r="J102" s="1"/>
      <c r="K102" s="1"/>
      <c r="L102" s="1"/>
      <c r="M102" s="1"/>
      <c r="N102" s="1"/>
      <c r="O102" s="1"/>
      <c r="P102" s="1"/>
      <c r="Q102" s="1"/>
    </row>
    <row r="103" spans="1:17" x14ac:dyDescent="0.35">
      <c r="A103" s="1"/>
      <c r="B103" s="1"/>
      <c r="C103" s="1"/>
      <c r="D103" s="1"/>
      <c r="E103" s="1"/>
      <c r="F103" s="1"/>
      <c r="G103" s="1"/>
      <c r="H103" s="1"/>
      <c r="I103" s="1"/>
      <c r="J103" s="1"/>
      <c r="K103" s="1"/>
      <c r="L103" s="1"/>
      <c r="M103" s="1"/>
      <c r="N103" s="1"/>
      <c r="O103" s="1"/>
      <c r="P103" s="1"/>
      <c r="Q103" s="1"/>
    </row>
    <row r="104" spans="1:17" x14ac:dyDescent="0.35">
      <c r="A104" s="1"/>
      <c r="B104" s="1"/>
      <c r="C104" s="1"/>
      <c r="D104" s="1"/>
      <c r="E104" s="1"/>
      <c r="F104" s="1"/>
      <c r="G104" s="1"/>
      <c r="H104" s="1"/>
      <c r="I104" s="1"/>
      <c r="J104" s="1"/>
      <c r="K104" s="1"/>
      <c r="L104" s="1"/>
      <c r="M104" s="1"/>
      <c r="N104" s="1"/>
      <c r="O104" s="1"/>
      <c r="P104" s="1"/>
      <c r="Q104" s="1"/>
    </row>
    <row r="105" spans="1:17" x14ac:dyDescent="0.35">
      <c r="A105" s="1"/>
      <c r="B105" s="1"/>
      <c r="C105" s="1"/>
      <c r="D105" s="1"/>
      <c r="E105" s="1"/>
      <c r="F105" s="1"/>
      <c r="G105" s="1"/>
      <c r="H105" s="1"/>
      <c r="I105" s="1"/>
      <c r="J105" s="1"/>
      <c r="K105" s="1"/>
      <c r="L105" s="1"/>
      <c r="M105" s="1"/>
      <c r="N105" s="1"/>
      <c r="O105" s="1"/>
      <c r="P105" s="1"/>
      <c r="Q105" s="1"/>
    </row>
    <row r="106" spans="1:17" x14ac:dyDescent="0.35">
      <c r="A106" s="1"/>
      <c r="B106" s="1"/>
      <c r="C106" s="1"/>
      <c r="D106" s="1"/>
      <c r="E106" s="1"/>
      <c r="F106" s="1"/>
      <c r="G106" s="1"/>
      <c r="H106" s="1"/>
      <c r="I106" s="1"/>
      <c r="J106" s="1"/>
      <c r="K106" s="1"/>
      <c r="L106" s="1"/>
      <c r="M106" s="1"/>
      <c r="N106" s="1"/>
      <c r="O106" s="1"/>
      <c r="P106" s="1"/>
      <c r="Q106" s="1"/>
    </row>
    <row r="107" spans="1:17" x14ac:dyDescent="0.35">
      <c r="A107" s="1"/>
      <c r="B107" s="1"/>
      <c r="C107" s="1"/>
      <c r="D107" s="1"/>
      <c r="E107" s="1"/>
      <c r="F107" s="1"/>
      <c r="G107" s="1"/>
      <c r="H107" s="1"/>
      <c r="I107" s="1"/>
      <c r="J107" s="1"/>
      <c r="K107" s="1"/>
      <c r="L107" s="1"/>
      <c r="M107" s="1"/>
      <c r="N107" s="1"/>
      <c r="O107" s="1"/>
      <c r="P107" s="1"/>
      <c r="Q107" s="1"/>
    </row>
    <row r="108" spans="1:17" x14ac:dyDescent="0.35">
      <c r="A108" s="1"/>
      <c r="B108" s="1"/>
      <c r="C108" s="1"/>
      <c r="D108" s="1"/>
      <c r="E108" s="1"/>
      <c r="F108" s="1"/>
      <c r="G108" s="1"/>
      <c r="H108" s="1"/>
      <c r="I108" s="1"/>
      <c r="J108" s="1"/>
      <c r="K108" s="1"/>
      <c r="L108" s="1"/>
      <c r="M108" s="1"/>
      <c r="N108" s="1"/>
      <c r="O108" s="1"/>
      <c r="P108" s="1"/>
      <c r="Q108" s="1"/>
    </row>
    <row r="109" spans="1:17" x14ac:dyDescent="0.35">
      <c r="A109" s="1"/>
      <c r="B109" s="1"/>
      <c r="C109" s="1"/>
      <c r="D109" s="1"/>
      <c r="E109" s="1"/>
      <c r="F109" s="1"/>
      <c r="G109" s="1"/>
      <c r="H109" s="1"/>
      <c r="I109" s="1"/>
      <c r="J109" s="1"/>
      <c r="K109" s="1"/>
      <c r="L109" s="1"/>
      <c r="M109" s="1"/>
      <c r="N109" s="1"/>
      <c r="O109" s="1"/>
      <c r="P109" s="1"/>
      <c r="Q109" s="1"/>
    </row>
    <row r="110" spans="1:17" x14ac:dyDescent="0.35">
      <c r="A110" s="1"/>
      <c r="B110" s="1"/>
      <c r="C110" s="1"/>
      <c r="D110" s="1"/>
      <c r="E110" s="1"/>
      <c r="F110" s="1"/>
      <c r="G110" s="1"/>
      <c r="H110" s="1"/>
      <c r="I110" s="1"/>
      <c r="J110" s="1"/>
      <c r="K110" s="1"/>
      <c r="L110" s="1"/>
      <c r="M110" s="1"/>
      <c r="N110" s="1"/>
      <c r="O110" s="1"/>
      <c r="P110" s="1"/>
      <c r="Q110" s="1"/>
    </row>
    <row r="111" spans="1:17" x14ac:dyDescent="0.35">
      <c r="A111" s="1"/>
      <c r="B111" s="1"/>
      <c r="C111" s="1"/>
      <c r="D111" s="1"/>
      <c r="E111" s="1"/>
      <c r="F111" s="1"/>
      <c r="G111" s="1"/>
      <c r="H111" s="1"/>
      <c r="I111" s="1"/>
      <c r="J111" s="1"/>
      <c r="K111" s="1"/>
      <c r="L111" s="1"/>
      <c r="M111" s="1"/>
      <c r="N111" s="1"/>
      <c r="O111" s="1"/>
      <c r="P111" s="1"/>
      <c r="Q111" s="1"/>
    </row>
    <row r="112" spans="1:17" x14ac:dyDescent="0.35">
      <c r="A112" s="1"/>
      <c r="B112" s="1"/>
      <c r="C112" s="1"/>
      <c r="D112" s="1"/>
      <c r="E112" s="1"/>
      <c r="F112" s="1"/>
      <c r="G112" s="1"/>
      <c r="H112" s="1"/>
      <c r="I112" s="1"/>
      <c r="J112" s="1"/>
      <c r="K112" s="1"/>
      <c r="L112" s="1"/>
      <c r="M112" s="1"/>
      <c r="N112" s="1"/>
      <c r="O112" s="1"/>
      <c r="P112" s="1"/>
      <c r="Q112" s="1"/>
    </row>
    <row r="113" spans="1:17" x14ac:dyDescent="0.35">
      <c r="A113" s="1"/>
      <c r="B113" s="1"/>
      <c r="C113" s="1"/>
      <c r="D113" s="1"/>
      <c r="E113" s="1"/>
      <c r="F113" s="1"/>
      <c r="G113" s="1"/>
      <c r="H113" s="1"/>
      <c r="I113" s="1"/>
      <c r="J113" s="1"/>
      <c r="K113" s="1"/>
      <c r="L113" s="1"/>
      <c r="M113" s="1"/>
      <c r="N113" s="1"/>
      <c r="O113" s="1"/>
      <c r="P113" s="1"/>
      <c r="Q113" s="1"/>
    </row>
    <row r="114" spans="1:17" x14ac:dyDescent="0.35">
      <c r="A114" s="1"/>
      <c r="B114" s="1"/>
      <c r="C114" s="1"/>
      <c r="D114" s="1"/>
      <c r="E114" s="1"/>
      <c r="F114" s="1"/>
      <c r="G114" s="1"/>
      <c r="H114" s="1"/>
      <c r="I114" s="1"/>
      <c r="J114" s="1"/>
      <c r="K114" s="1"/>
      <c r="L114" s="1"/>
      <c r="M114" s="1"/>
      <c r="N114" s="1"/>
      <c r="O114" s="1"/>
      <c r="P114" s="1"/>
      <c r="Q114" s="1"/>
    </row>
    <row r="115" spans="1:17" x14ac:dyDescent="0.35">
      <c r="A115" s="1"/>
      <c r="B115" s="1"/>
      <c r="C115" s="1"/>
      <c r="D115" s="1"/>
      <c r="E115" s="1"/>
      <c r="F115" s="1"/>
      <c r="G115" s="1"/>
      <c r="H115" s="1"/>
      <c r="I115" s="1"/>
      <c r="J115" s="1"/>
      <c r="K115" s="1"/>
      <c r="L115" s="1"/>
      <c r="M115" s="1"/>
      <c r="N115" s="1"/>
      <c r="O115" s="1"/>
      <c r="P115" s="1"/>
      <c r="Q115" s="1"/>
    </row>
    <row r="116" spans="1:17" x14ac:dyDescent="0.35">
      <c r="A116" s="1"/>
      <c r="B116" s="1"/>
      <c r="C116" s="1"/>
      <c r="D116" s="1"/>
      <c r="E116" s="1"/>
      <c r="F116" s="1"/>
      <c r="G116" s="1"/>
      <c r="H116" s="1"/>
      <c r="I116" s="1"/>
      <c r="J116" s="1"/>
      <c r="K116" s="1"/>
      <c r="L116" s="1"/>
      <c r="M116" s="1"/>
      <c r="N116" s="1"/>
      <c r="O116" s="1"/>
      <c r="P116" s="1"/>
      <c r="Q116" s="1"/>
    </row>
    <row r="117" spans="1:17" x14ac:dyDescent="0.35">
      <c r="A117" s="1"/>
      <c r="B117" s="1"/>
      <c r="C117" s="1"/>
      <c r="D117" s="1"/>
      <c r="E117" s="1"/>
      <c r="F117" s="1"/>
      <c r="G117" s="1"/>
      <c r="H117" s="1"/>
      <c r="I117" s="1"/>
      <c r="J117" s="1"/>
      <c r="K117" s="1"/>
      <c r="L117" s="1"/>
      <c r="M117" s="1"/>
      <c r="N117" s="1"/>
      <c r="O117" s="1"/>
      <c r="P117" s="1"/>
      <c r="Q117" s="1"/>
    </row>
    <row r="118" spans="1:17" x14ac:dyDescent="0.35">
      <c r="A118" s="1"/>
      <c r="B118" s="1"/>
      <c r="C118" s="1"/>
      <c r="D118" s="1"/>
      <c r="E118" s="1"/>
      <c r="F118" s="1"/>
      <c r="G118" s="1"/>
      <c r="H118" s="1"/>
      <c r="I118" s="1"/>
      <c r="J118" s="1"/>
      <c r="K118" s="1"/>
      <c r="L118" s="1"/>
      <c r="M118" s="1"/>
      <c r="N118" s="1"/>
      <c r="O118" s="1"/>
      <c r="P118" s="1"/>
      <c r="Q118" s="1"/>
    </row>
    <row r="119" spans="1:17" x14ac:dyDescent="0.35">
      <c r="A119" s="1"/>
      <c r="B119" s="1"/>
      <c r="C119" s="1"/>
      <c r="D119" s="1"/>
      <c r="E119" s="1"/>
      <c r="F119" s="1"/>
      <c r="G119" s="1"/>
      <c r="H119" s="1"/>
      <c r="I119" s="1"/>
      <c r="J119" s="1"/>
      <c r="K119" s="1"/>
      <c r="L119" s="1"/>
      <c r="M119" s="1"/>
      <c r="N119" s="1"/>
      <c r="O119" s="1"/>
      <c r="P119" s="1"/>
      <c r="Q119" s="1"/>
    </row>
    <row r="120" spans="1:17" x14ac:dyDescent="0.35">
      <c r="A120" s="1"/>
      <c r="B120" s="1"/>
      <c r="C120" s="1"/>
      <c r="D120" s="1"/>
      <c r="E120" s="1"/>
      <c r="F120" s="1"/>
      <c r="G120" s="1"/>
      <c r="H120" s="1"/>
      <c r="I120" s="1"/>
      <c r="J120" s="1"/>
      <c r="K120" s="1"/>
      <c r="L120" s="1"/>
      <c r="M120" s="1"/>
      <c r="N120" s="1"/>
      <c r="O120" s="1"/>
      <c r="P120" s="1"/>
      <c r="Q120" s="1"/>
    </row>
    <row r="121" spans="1:17" x14ac:dyDescent="0.35">
      <c r="A121" s="1"/>
      <c r="B121" s="1"/>
      <c r="C121" s="1"/>
      <c r="D121" s="1"/>
      <c r="E121" s="1"/>
      <c r="F121" s="1"/>
      <c r="G121" s="1"/>
      <c r="H121" s="1"/>
      <c r="I121" s="1"/>
      <c r="J121" s="1"/>
      <c r="K121" s="1"/>
      <c r="L121" s="1"/>
      <c r="M121" s="1"/>
      <c r="N121" s="1"/>
      <c r="O121" s="1"/>
      <c r="P121" s="1"/>
      <c r="Q121" s="1"/>
    </row>
    <row r="122" spans="1:17" x14ac:dyDescent="0.35">
      <c r="A122" s="1"/>
      <c r="B122" s="1"/>
      <c r="C122" s="1"/>
      <c r="D122" s="1"/>
      <c r="E122" s="1"/>
      <c r="F122" s="1"/>
      <c r="G122" s="1"/>
      <c r="H122" s="1"/>
      <c r="I122" s="1"/>
      <c r="J122" s="1"/>
      <c r="K122" s="1"/>
      <c r="L122" s="1"/>
      <c r="M122" s="1"/>
      <c r="N122" s="1"/>
      <c r="O122" s="1"/>
      <c r="P122" s="1"/>
      <c r="Q122" s="1"/>
    </row>
    <row r="123" spans="1:17" x14ac:dyDescent="0.35">
      <c r="A123" s="1"/>
      <c r="B123" s="1"/>
      <c r="C123" s="1"/>
      <c r="D123" s="1"/>
      <c r="E123" s="1"/>
      <c r="F123" s="1"/>
      <c r="G123" s="1"/>
      <c r="H123" s="1"/>
      <c r="I123" s="1"/>
      <c r="J123" s="1"/>
      <c r="K123" s="1"/>
      <c r="L123" s="1"/>
      <c r="M123" s="1"/>
      <c r="N123" s="1"/>
      <c r="O123" s="1"/>
      <c r="P123" s="1"/>
      <c r="Q123" s="1"/>
    </row>
    <row r="124" spans="1:17" x14ac:dyDescent="0.35">
      <c r="A124" s="1"/>
      <c r="B124" s="1"/>
      <c r="C124" s="1"/>
      <c r="D124" s="1"/>
      <c r="E124" s="1"/>
      <c r="F124" s="1"/>
      <c r="G124" s="1"/>
      <c r="H124" s="1"/>
      <c r="I124" s="1"/>
      <c r="J124" s="1"/>
      <c r="K124" s="1"/>
      <c r="L124" s="1"/>
      <c r="M124" s="1"/>
      <c r="N124" s="1"/>
      <c r="O124" s="1"/>
      <c r="P124" s="1"/>
      <c r="Q124" s="1"/>
    </row>
    <row r="125" spans="1:17" x14ac:dyDescent="0.35">
      <c r="A125" s="1"/>
      <c r="B125" s="1"/>
      <c r="C125" s="1"/>
      <c r="D125" s="1"/>
      <c r="E125" s="1"/>
      <c r="F125" s="1"/>
      <c r="G125" s="1"/>
      <c r="H125" s="1"/>
      <c r="I125" s="1"/>
      <c r="J125" s="1"/>
      <c r="K125" s="1"/>
      <c r="L125" s="1"/>
      <c r="M125" s="1"/>
      <c r="N125" s="1"/>
      <c r="O125" s="1"/>
      <c r="P125" s="1"/>
      <c r="Q125" s="1"/>
    </row>
    <row r="126" spans="1:17" x14ac:dyDescent="0.35">
      <c r="A126" s="1"/>
      <c r="B126" s="1"/>
      <c r="C126" s="1"/>
      <c r="D126" s="1"/>
      <c r="E126" s="1"/>
      <c r="F126" s="1"/>
      <c r="G126" s="1"/>
      <c r="H126" s="1"/>
      <c r="I126" s="1"/>
      <c r="J126" s="1"/>
      <c r="K126" s="1"/>
      <c r="L126" s="1"/>
      <c r="M126" s="1"/>
      <c r="N126" s="1"/>
      <c r="O126" s="1"/>
      <c r="P126" s="1"/>
      <c r="Q126" s="1"/>
    </row>
    <row r="127" spans="1:17" x14ac:dyDescent="0.35">
      <c r="A127" s="1"/>
      <c r="B127" s="1"/>
      <c r="C127" s="1"/>
      <c r="D127" s="1"/>
      <c r="E127" s="1"/>
      <c r="F127" s="1"/>
      <c r="G127" s="1"/>
      <c r="H127" s="1"/>
      <c r="I127" s="1"/>
      <c r="J127" s="1"/>
      <c r="K127" s="1"/>
      <c r="L127" s="1"/>
      <c r="M127" s="1"/>
      <c r="N127" s="1"/>
      <c r="O127" s="1"/>
      <c r="P127" s="1"/>
      <c r="Q127" s="1"/>
    </row>
    <row r="128" spans="1:17" x14ac:dyDescent="0.35">
      <c r="A128" s="1"/>
      <c r="B128" s="1"/>
      <c r="C128" s="1"/>
      <c r="D128" s="1"/>
      <c r="E128" s="1"/>
      <c r="F128" s="1"/>
      <c r="G128" s="1"/>
      <c r="H128" s="1"/>
      <c r="I128" s="1"/>
      <c r="J128" s="1"/>
      <c r="K128" s="1"/>
      <c r="L128" s="1"/>
      <c r="M128" s="1"/>
      <c r="N128" s="1"/>
      <c r="O128" s="1"/>
      <c r="P128" s="1"/>
      <c r="Q128" s="1"/>
    </row>
    <row r="129" spans="1:17" x14ac:dyDescent="0.35">
      <c r="A129" s="1"/>
      <c r="B129" s="1"/>
      <c r="C129" s="1"/>
      <c r="D129" s="1"/>
      <c r="E129" s="1"/>
      <c r="F129" s="1"/>
      <c r="G129" s="1"/>
      <c r="H129" s="1"/>
      <c r="I129" s="1"/>
      <c r="J129" s="1"/>
      <c r="K129" s="1"/>
      <c r="L129" s="1"/>
      <c r="M129" s="1"/>
      <c r="N129" s="1"/>
      <c r="O129" s="1"/>
      <c r="P129" s="1"/>
      <c r="Q129" s="1"/>
    </row>
    <row r="130" spans="1:17" x14ac:dyDescent="0.35">
      <c r="A130" s="1"/>
      <c r="B130" s="1"/>
      <c r="C130" s="1"/>
      <c r="D130" s="1"/>
      <c r="E130" s="1"/>
      <c r="F130" s="1"/>
      <c r="G130" s="1"/>
      <c r="H130" s="1"/>
      <c r="I130" s="1"/>
      <c r="J130" s="1"/>
      <c r="K130" s="1"/>
      <c r="L130" s="1"/>
      <c r="M130" s="1"/>
      <c r="N130" s="1"/>
      <c r="O130" s="1"/>
      <c r="P130" s="1"/>
      <c r="Q130" s="1"/>
    </row>
    <row r="131" spans="1:17" x14ac:dyDescent="0.35">
      <c r="A131" s="1"/>
      <c r="B131" s="1"/>
      <c r="C131" s="1"/>
      <c r="D131" s="1"/>
      <c r="E131" s="1"/>
      <c r="F131" s="1"/>
      <c r="G131" s="1"/>
      <c r="H131" s="1"/>
      <c r="I131" s="1"/>
      <c r="J131" s="1"/>
      <c r="K131" s="1"/>
      <c r="L131" s="1"/>
      <c r="M131" s="1"/>
      <c r="N131" s="1"/>
      <c r="O131" s="1"/>
      <c r="P131" s="1"/>
      <c r="Q131" s="1"/>
    </row>
    <row r="132" spans="1:17" x14ac:dyDescent="0.35">
      <c r="A132" s="1"/>
      <c r="B132" s="1"/>
      <c r="C132" s="1"/>
      <c r="D132" s="1"/>
      <c r="E132" s="1"/>
      <c r="F132" s="1"/>
      <c r="G132" s="1"/>
      <c r="H132" s="1"/>
      <c r="I132" s="1"/>
      <c r="J132" s="1"/>
      <c r="K132" s="1"/>
      <c r="L132" s="1"/>
      <c r="M132" s="1"/>
      <c r="N132" s="1"/>
      <c r="O132" s="1"/>
      <c r="P132" s="1"/>
      <c r="Q132" s="1"/>
    </row>
    <row r="133" spans="1:17" x14ac:dyDescent="0.35">
      <c r="A133" s="1"/>
      <c r="B133" s="1"/>
      <c r="C133" s="1"/>
      <c r="D133" s="1"/>
      <c r="E133" s="1"/>
      <c r="F133" s="1"/>
      <c r="G133" s="1"/>
      <c r="H133" s="1"/>
      <c r="I133" s="1"/>
      <c r="J133" s="1"/>
      <c r="K133" s="1"/>
      <c r="L133" s="1"/>
      <c r="M133" s="1"/>
      <c r="N133" s="1"/>
      <c r="O133" s="1"/>
      <c r="P133" s="1"/>
      <c r="Q133" s="1"/>
    </row>
    <row r="134" spans="1:17" x14ac:dyDescent="0.35">
      <c r="A134" s="1"/>
      <c r="B134" s="1"/>
      <c r="C134" s="1"/>
      <c r="D134" s="1"/>
      <c r="E134" s="1"/>
      <c r="F134" s="1"/>
      <c r="G134" s="1"/>
      <c r="H134" s="1"/>
      <c r="I134" s="1"/>
      <c r="J134" s="1"/>
      <c r="K134" s="1"/>
      <c r="L134" s="1"/>
      <c r="M134" s="1"/>
      <c r="N134" s="1"/>
      <c r="O134" s="1"/>
      <c r="P134" s="1"/>
      <c r="Q134" s="1"/>
    </row>
    <row r="135" spans="1:17" x14ac:dyDescent="0.35">
      <c r="A135" s="1"/>
      <c r="B135" s="1"/>
      <c r="C135" s="1"/>
      <c r="D135" s="1"/>
      <c r="E135" s="1"/>
      <c r="F135" s="1"/>
      <c r="G135" s="1"/>
      <c r="H135" s="1"/>
      <c r="I135" s="1"/>
      <c r="J135" s="1"/>
      <c r="K135" s="1"/>
      <c r="L135" s="1"/>
      <c r="M135" s="1"/>
      <c r="N135" s="1"/>
      <c r="O135" s="1"/>
      <c r="P135" s="1"/>
      <c r="Q135" s="1"/>
    </row>
    <row r="136" spans="1:17" x14ac:dyDescent="0.35">
      <c r="A136" s="1"/>
      <c r="B136" s="1"/>
      <c r="C136" s="1"/>
      <c r="D136" s="1"/>
      <c r="E136" s="1"/>
      <c r="F136" s="1"/>
      <c r="G136" s="1"/>
      <c r="H136" s="1"/>
      <c r="I136" s="1"/>
      <c r="J136" s="1"/>
      <c r="K136" s="1"/>
      <c r="L136" s="1"/>
      <c r="M136" s="1"/>
      <c r="N136" s="1"/>
      <c r="O136" s="1"/>
      <c r="P136" s="1"/>
      <c r="Q136" s="1"/>
    </row>
    <row r="137" spans="1:17" x14ac:dyDescent="0.35">
      <c r="A137" s="1"/>
      <c r="B137" s="1"/>
      <c r="C137" s="1"/>
      <c r="D137" s="1"/>
      <c r="E137" s="1"/>
      <c r="F137" s="1"/>
      <c r="G137" s="1"/>
      <c r="H137" s="1"/>
      <c r="I137" s="1"/>
      <c r="J137" s="1"/>
      <c r="K137" s="1"/>
      <c r="L137" s="1"/>
      <c r="M137" s="1"/>
      <c r="N137" s="1"/>
      <c r="O137" s="1"/>
      <c r="P137" s="1"/>
      <c r="Q137" s="1"/>
    </row>
    <row r="138" spans="1:17" x14ac:dyDescent="0.35">
      <c r="A138" s="1"/>
      <c r="B138" s="1"/>
      <c r="C138" s="1"/>
      <c r="D138" s="1"/>
      <c r="E138" s="1"/>
      <c r="F138" s="1"/>
      <c r="G138" s="1"/>
      <c r="H138" s="1"/>
      <c r="I138" s="1"/>
      <c r="J138" s="1"/>
      <c r="K138" s="1"/>
      <c r="L138" s="1"/>
      <c r="M138" s="1"/>
      <c r="N138" s="1"/>
      <c r="O138" s="1"/>
      <c r="P138" s="1"/>
      <c r="Q138" s="1"/>
    </row>
    <row r="139" spans="1:17" x14ac:dyDescent="0.35">
      <c r="A139" s="1"/>
      <c r="B139" s="1"/>
      <c r="C139" s="1"/>
      <c r="D139" s="1"/>
      <c r="E139" s="1"/>
      <c r="F139" s="1"/>
      <c r="G139" s="1"/>
      <c r="H139" s="1"/>
      <c r="I139" s="1"/>
      <c r="J139" s="1"/>
      <c r="K139" s="1"/>
      <c r="L139" s="1"/>
      <c r="M139" s="1"/>
      <c r="N139" s="1"/>
      <c r="O139" s="1"/>
      <c r="P139" s="1"/>
      <c r="Q139" s="1"/>
    </row>
    <row r="140" spans="1:17" x14ac:dyDescent="0.35">
      <c r="A140" s="1"/>
      <c r="B140" s="1"/>
      <c r="C140" s="1"/>
      <c r="D140" s="1"/>
      <c r="E140" s="1"/>
      <c r="F140" s="1"/>
      <c r="G140" s="1"/>
      <c r="H140" s="1"/>
      <c r="I140" s="1"/>
      <c r="J140" s="1"/>
      <c r="K140" s="1"/>
      <c r="L140" s="1"/>
      <c r="M140" s="1"/>
      <c r="N140" s="1"/>
      <c r="O140" s="1"/>
      <c r="P140" s="1"/>
      <c r="Q140" s="1"/>
    </row>
    <row r="141" spans="1:17" x14ac:dyDescent="0.35">
      <c r="A141" s="1"/>
      <c r="B141" s="1"/>
      <c r="C141" s="1"/>
      <c r="D141" s="1"/>
      <c r="E141" s="1"/>
      <c r="F141" s="1"/>
      <c r="G141" s="1"/>
      <c r="H141" s="1"/>
      <c r="I141" s="1"/>
      <c r="J141" s="1"/>
      <c r="K141" s="1"/>
      <c r="L141" s="1"/>
      <c r="M141" s="1"/>
      <c r="N141" s="1"/>
      <c r="O141" s="1"/>
      <c r="P141" s="1"/>
      <c r="Q141" s="1"/>
    </row>
    <row r="142" spans="1:17" x14ac:dyDescent="0.35">
      <c r="A142" s="1"/>
      <c r="B142" s="1"/>
      <c r="C142" s="1"/>
      <c r="D142" s="1"/>
      <c r="E142" s="1"/>
      <c r="F142" s="1"/>
      <c r="G142" s="1"/>
      <c r="H142" s="1"/>
      <c r="I142" s="1"/>
      <c r="J142" s="1"/>
      <c r="K142" s="1"/>
      <c r="L142" s="1"/>
      <c r="M142" s="1"/>
      <c r="N142" s="1"/>
      <c r="O142" s="1"/>
      <c r="P142" s="1"/>
      <c r="Q142" s="1"/>
    </row>
    <row r="143" spans="1:17" x14ac:dyDescent="0.35">
      <c r="A143" s="1"/>
      <c r="B143" s="1"/>
      <c r="C143" s="1"/>
      <c r="D143" s="1"/>
      <c r="E143" s="1"/>
      <c r="F143" s="1"/>
      <c r="G143" s="1"/>
      <c r="H143" s="1"/>
      <c r="I143" s="1"/>
      <c r="J143" s="1"/>
      <c r="K143" s="1"/>
      <c r="L143" s="1"/>
      <c r="M143" s="1"/>
      <c r="N143" s="1"/>
      <c r="O143" s="1"/>
      <c r="P143" s="1"/>
      <c r="Q143" s="1"/>
    </row>
    <row r="144" spans="1:17" x14ac:dyDescent="0.35">
      <c r="A144" s="1"/>
      <c r="B144" s="1"/>
      <c r="C144" s="1"/>
      <c r="D144" s="1"/>
      <c r="E144" s="1"/>
      <c r="F144" s="1"/>
      <c r="G144" s="1"/>
      <c r="H144" s="1"/>
      <c r="I144" s="1"/>
      <c r="J144" s="1"/>
      <c r="K144" s="1"/>
      <c r="L144" s="1"/>
      <c r="M144" s="1"/>
      <c r="N144" s="1"/>
      <c r="O144" s="1"/>
      <c r="P144" s="1"/>
      <c r="Q144" s="1"/>
    </row>
    <row r="145" spans="1:17" x14ac:dyDescent="0.35">
      <c r="A145" s="1"/>
      <c r="B145" s="1"/>
      <c r="C145" s="1"/>
      <c r="D145" s="1"/>
      <c r="E145" s="1"/>
      <c r="F145" s="1"/>
      <c r="G145" s="1"/>
      <c r="H145" s="1"/>
      <c r="I145" s="1"/>
      <c r="J145" s="1"/>
      <c r="K145" s="1"/>
      <c r="L145" s="1"/>
      <c r="M145" s="1"/>
      <c r="N145" s="1"/>
      <c r="O145" s="1"/>
      <c r="P145" s="1"/>
      <c r="Q145" s="1"/>
    </row>
    <row r="146" spans="1:17" x14ac:dyDescent="0.35">
      <c r="A146" s="1"/>
      <c r="B146" s="1"/>
      <c r="C146" s="1"/>
      <c r="D146" s="1"/>
      <c r="E146" s="1"/>
      <c r="F146" s="1"/>
      <c r="G146" s="1"/>
      <c r="H146" s="1"/>
      <c r="I146" s="1"/>
      <c r="J146" s="1"/>
      <c r="K146" s="1"/>
      <c r="L146" s="1"/>
      <c r="M146" s="1"/>
      <c r="N146" s="1"/>
      <c r="O146" s="1"/>
      <c r="P146" s="1"/>
      <c r="Q146" s="1"/>
    </row>
    <row r="147" spans="1:17" x14ac:dyDescent="0.35">
      <c r="A147" s="1"/>
      <c r="B147" s="1"/>
      <c r="C147" s="1"/>
      <c r="D147" s="1"/>
      <c r="E147" s="1"/>
      <c r="F147" s="1"/>
      <c r="G147" s="1"/>
      <c r="H147" s="1"/>
      <c r="I147" s="1"/>
      <c r="J147" s="1"/>
      <c r="K147" s="1"/>
      <c r="L147" s="1"/>
      <c r="M147" s="1"/>
      <c r="N147" s="1"/>
      <c r="O147" s="1"/>
      <c r="P147" s="1"/>
      <c r="Q147" s="1"/>
    </row>
    <row r="148" spans="1:17" x14ac:dyDescent="0.35">
      <c r="A148" s="1"/>
      <c r="B148" s="1"/>
      <c r="C148" s="1"/>
      <c r="D148" s="1"/>
      <c r="E148" s="1"/>
      <c r="F148" s="1"/>
      <c r="G148" s="1"/>
      <c r="H148" s="1"/>
      <c r="I148" s="1"/>
      <c r="J148" s="1"/>
      <c r="K148" s="1"/>
      <c r="L148" s="1"/>
      <c r="M148" s="1"/>
      <c r="N148" s="1"/>
      <c r="O148" s="1"/>
      <c r="P148" s="1"/>
      <c r="Q148" s="1"/>
    </row>
    <row r="149" spans="1:17" x14ac:dyDescent="0.35">
      <c r="A149" s="1"/>
      <c r="B149" s="1"/>
      <c r="C149" s="1"/>
      <c r="D149" s="1"/>
      <c r="E149" s="1"/>
      <c r="F149" s="1"/>
      <c r="G149" s="1"/>
      <c r="H149" s="1"/>
      <c r="I149" s="1"/>
      <c r="J149" s="1"/>
      <c r="K149" s="1"/>
      <c r="L149" s="1"/>
      <c r="M149" s="1"/>
      <c r="N149" s="1"/>
      <c r="O149" s="1"/>
      <c r="P149" s="1"/>
      <c r="Q149" s="1"/>
    </row>
    <row r="150" spans="1:17" x14ac:dyDescent="0.35">
      <c r="A150" s="1"/>
      <c r="B150" s="1"/>
      <c r="C150" s="1"/>
      <c r="D150" s="1"/>
      <c r="E150" s="1"/>
      <c r="F150" s="1"/>
      <c r="G150" s="1"/>
      <c r="H150" s="1"/>
      <c r="I150" s="1"/>
      <c r="J150" s="1"/>
      <c r="K150" s="1"/>
      <c r="L150" s="1"/>
      <c r="M150" s="1"/>
      <c r="N150" s="1"/>
      <c r="O150" s="1"/>
      <c r="P150" s="1"/>
      <c r="Q150" s="1"/>
    </row>
    <row r="151" spans="1:17" x14ac:dyDescent="0.35">
      <c r="A151" s="1"/>
      <c r="B151" s="1"/>
      <c r="C151" s="1"/>
      <c r="D151" s="1"/>
      <c r="E151" s="1"/>
      <c r="F151" s="1"/>
      <c r="G151" s="1"/>
      <c r="H151" s="1"/>
      <c r="I151" s="1"/>
      <c r="J151" s="1"/>
      <c r="K151" s="1"/>
      <c r="L151" s="1"/>
      <c r="M151" s="1"/>
      <c r="N151" s="1"/>
      <c r="O151" s="1"/>
      <c r="P151" s="1"/>
      <c r="Q151" s="1"/>
    </row>
    <row r="152" spans="1:17" x14ac:dyDescent="0.35">
      <c r="A152" s="1"/>
      <c r="B152" s="1"/>
      <c r="C152" s="1"/>
      <c r="D152" s="1"/>
      <c r="E152" s="1"/>
      <c r="F152" s="1"/>
      <c r="G152" s="1"/>
      <c r="H152" s="1"/>
      <c r="I152" s="1"/>
      <c r="J152" s="1"/>
      <c r="K152" s="1"/>
      <c r="L152" s="1"/>
      <c r="M152" s="1"/>
      <c r="N152" s="1"/>
      <c r="O152" s="1"/>
      <c r="P152" s="1"/>
      <c r="Q152" s="1"/>
    </row>
    <row r="153" spans="1:17" x14ac:dyDescent="0.35">
      <c r="A153" s="1"/>
      <c r="B153" s="1"/>
      <c r="C153" s="1"/>
      <c r="D153" s="1"/>
      <c r="E153" s="1"/>
      <c r="F153" s="1"/>
      <c r="G153" s="1"/>
      <c r="H153" s="1"/>
      <c r="I153" s="1"/>
      <c r="J153" s="1"/>
      <c r="K153" s="1"/>
      <c r="L153" s="1"/>
      <c r="M153" s="1"/>
      <c r="N153" s="1"/>
      <c r="O153" s="1"/>
      <c r="P153" s="1"/>
      <c r="Q153" s="1"/>
    </row>
    <row r="154" spans="1:17" x14ac:dyDescent="0.35">
      <c r="A154" s="1"/>
      <c r="B154" s="1"/>
      <c r="C154" s="1"/>
      <c r="D154" s="1"/>
      <c r="E154" s="1"/>
      <c r="F154" s="1"/>
      <c r="G154" s="1"/>
      <c r="H154" s="1"/>
      <c r="I154" s="1"/>
      <c r="J154" s="1"/>
      <c r="K154" s="1"/>
      <c r="L154" s="1"/>
      <c r="M154" s="1"/>
      <c r="N154" s="1"/>
      <c r="O154" s="1"/>
      <c r="P154" s="1"/>
      <c r="Q154" s="1"/>
    </row>
    <row r="155" spans="1:17" x14ac:dyDescent="0.35">
      <c r="A155" s="1"/>
      <c r="B155" s="1"/>
      <c r="C155" s="1"/>
      <c r="D155" s="1"/>
      <c r="E155" s="1"/>
      <c r="F155" s="1"/>
      <c r="G155" s="1"/>
      <c r="H155" s="1"/>
      <c r="I155" s="1"/>
      <c r="J155" s="1"/>
      <c r="K155" s="1"/>
      <c r="L155" s="1"/>
      <c r="M155" s="1"/>
      <c r="N155" s="1"/>
      <c r="O155" s="1"/>
      <c r="P155" s="1"/>
      <c r="Q155" s="1"/>
    </row>
    <row r="156" spans="1:17" x14ac:dyDescent="0.35">
      <c r="A156" s="1"/>
      <c r="B156" s="1"/>
      <c r="C156" s="1"/>
      <c r="D156" s="1"/>
      <c r="E156" s="1"/>
      <c r="F156" s="1"/>
      <c r="G156" s="1"/>
      <c r="H156" s="1"/>
      <c r="I156" s="1"/>
      <c r="J156" s="1"/>
      <c r="K156" s="1"/>
      <c r="L156" s="1"/>
      <c r="M156" s="1"/>
      <c r="N156" s="1"/>
      <c r="O156" s="1"/>
      <c r="P156" s="1"/>
      <c r="Q156" s="1"/>
    </row>
    <row r="157" spans="1:17" x14ac:dyDescent="0.35">
      <c r="A157" s="1"/>
      <c r="B157" s="1"/>
      <c r="C157" s="1"/>
      <c r="D157" s="1"/>
      <c r="E157" s="1"/>
      <c r="F157" s="1"/>
      <c r="G157" s="1"/>
      <c r="H157" s="1"/>
      <c r="I157" s="1"/>
      <c r="J157" s="1"/>
      <c r="K157" s="1"/>
      <c r="L157" s="1"/>
      <c r="M157" s="1"/>
      <c r="N157" s="1"/>
      <c r="O157" s="1"/>
      <c r="P157" s="1"/>
      <c r="Q157" s="1"/>
    </row>
    <row r="158" spans="1:17" x14ac:dyDescent="0.35">
      <c r="A158" s="1"/>
      <c r="B158" s="1"/>
      <c r="C158" s="1"/>
      <c r="D158" s="1"/>
      <c r="E158" s="1"/>
      <c r="F158" s="1"/>
      <c r="G158" s="1"/>
      <c r="H158" s="1"/>
      <c r="I158" s="1"/>
      <c r="J158" s="1"/>
      <c r="K158" s="1"/>
      <c r="L158" s="1"/>
      <c r="M158" s="1"/>
      <c r="N158" s="1"/>
      <c r="O158" s="1"/>
      <c r="P158" s="1"/>
      <c r="Q158" s="1"/>
    </row>
    <row r="159" spans="1:17" x14ac:dyDescent="0.35">
      <c r="A159" s="1"/>
      <c r="B159" s="1"/>
      <c r="C159" s="1"/>
      <c r="D159" s="1"/>
      <c r="E159" s="1"/>
      <c r="F159" s="1"/>
      <c r="G159" s="1"/>
      <c r="H159" s="1"/>
      <c r="I159" s="1"/>
      <c r="J159" s="1"/>
      <c r="K159" s="1"/>
      <c r="L159" s="1"/>
      <c r="M159" s="1"/>
      <c r="N159" s="1"/>
      <c r="O159" s="1"/>
      <c r="P159" s="1"/>
      <c r="Q159" s="1"/>
    </row>
    <row r="160" spans="1:17" x14ac:dyDescent="0.35">
      <c r="A160" s="1"/>
      <c r="B160" s="1"/>
      <c r="C160" s="1"/>
      <c r="D160" s="1"/>
      <c r="E160" s="1"/>
      <c r="F160" s="1"/>
      <c r="G160" s="1"/>
      <c r="H160" s="1"/>
      <c r="I160" s="1"/>
      <c r="J160" s="1"/>
      <c r="K160" s="1"/>
      <c r="L160" s="1"/>
      <c r="M160" s="1"/>
      <c r="N160" s="1"/>
      <c r="O160" s="1"/>
      <c r="P160" s="1"/>
      <c r="Q160" s="1"/>
    </row>
    <row r="161" spans="1:17" x14ac:dyDescent="0.35">
      <c r="A161" s="1"/>
      <c r="B161" s="1"/>
      <c r="C161" s="1"/>
      <c r="D161" s="1"/>
      <c r="E161" s="1"/>
      <c r="F161" s="1"/>
      <c r="G161" s="1"/>
      <c r="H161" s="1"/>
      <c r="I161" s="1"/>
      <c r="J161" s="1"/>
      <c r="K161" s="1"/>
      <c r="L161" s="1"/>
      <c r="M161" s="1"/>
      <c r="N161" s="1"/>
      <c r="O161" s="1"/>
      <c r="P161" s="1"/>
      <c r="Q161" s="1"/>
    </row>
    <row r="162" spans="1:17" x14ac:dyDescent="0.35">
      <c r="A162" s="1"/>
      <c r="B162" s="1"/>
      <c r="C162" s="1"/>
      <c r="D162" s="1"/>
      <c r="E162" s="1"/>
      <c r="F162" s="1"/>
      <c r="G162" s="1"/>
      <c r="H162" s="1"/>
      <c r="I162" s="1"/>
      <c r="J162" s="1"/>
      <c r="K162" s="1"/>
      <c r="L162" s="1"/>
      <c r="M162" s="1"/>
      <c r="N162" s="1"/>
      <c r="O162" s="1"/>
      <c r="P162" s="1"/>
      <c r="Q162" s="1"/>
    </row>
    <row r="163" spans="1:17" x14ac:dyDescent="0.35">
      <c r="A163" s="1"/>
      <c r="B163" s="1"/>
      <c r="C163" s="1"/>
      <c r="D163" s="1"/>
      <c r="E163" s="1"/>
      <c r="F163" s="1"/>
      <c r="G163" s="1"/>
      <c r="H163" s="1"/>
      <c r="I163" s="1"/>
      <c r="J163" s="1"/>
      <c r="K163" s="1"/>
      <c r="L163" s="1"/>
      <c r="M163" s="1"/>
      <c r="N163" s="1"/>
      <c r="O163" s="1"/>
      <c r="P163" s="1"/>
      <c r="Q163" s="1"/>
    </row>
    <row r="164" spans="1:17" x14ac:dyDescent="0.35">
      <c r="A164" s="1"/>
      <c r="B164" s="1"/>
      <c r="C164" s="1"/>
      <c r="D164" s="1"/>
      <c r="E164" s="1"/>
      <c r="F164" s="1"/>
      <c r="G164" s="1"/>
      <c r="H164" s="1"/>
      <c r="I164" s="1"/>
      <c r="J164" s="1"/>
      <c r="K164" s="1"/>
      <c r="L164" s="1"/>
      <c r="M164" s="1"/>
      <c r="N164" s="1"/>
      <c r="O164" s="1"/>
      <c r="P164" s="1"/>
      <c r="Q164" s="1"/>
    </row>
    <row r="165" spans="1:17" x14ac:dyDescent="0.35">
      <c r="A165" s="1"/>
      <c r="B165" s="1"/>
      <c r="C165" s="1"/>
      <c r="D165" s="1"/>
      <c r="E165" s="1"/>
      <c r="F165" s="1"/>
      <c r="G165" s="1"/>
      <c r="H165" s="1"/>
      <c r="I165" s="1"/>
      <c r="J165" s="1"/>
      <c r="K165" s="1"/>
      <c r="L165" s="1"/>
      <c r="M165" s="1"/>
      <c r="N165" s="1"/>
      <c r="O165" s="1"/>
      <c r="P165" s="1"/>
      <c r="Q165" s="1"/>
    </row>
    <row r="166" spans="1:17" x14ac:dyDescent="0.35">
      <c r="A166" s="1"/>
      <c r="B166" s="1"/>
      <c r="C166" s="1"/>
      <c r="D166" s="1"/>
      <c r="E166" s="1"/>
      <c r="F166" s="1"/>
      <c r="G166" s="1"/>
      <c r="H166" s="1"/>
      <c r="I166" s="1"/>
      <c r="J166" s="1"/>
      <c r="K166" s="1"/>
      <c r="L166" s="1"/>
      <c r="M166" s="1"/>
      <c r="N166" s="1"/>
      <c r="O166" s="1"/>
      <c r="P166" s="1"/>
      <c r="Q166" s="1"/>
    </row>
    <row r="167" spans="1:17" x14ac:dyDescent="0.35">
      <c r="A167" s="1"/>
      <c r="B167" s="1"/>
      <c r="C167" s="1"/>
      <c r="D167" s="1"/>
      <c r="E167" s="1"/>
      <c r="F167" s="1"/>
      <c r="G167" s="1"/>
      <c r="H167" s="1"/>
      <c r="I167" s="1"/>
      <c r="J167" s="1"/>
      <c r="K167" s="1"/>
      <c r="L167" s="1"/>
      <c r="M167" s="1"/>
      <c r="N167" s="1"/>
      <c r="O167" s="1"/>
      <c r="P167" s="1"/>
      <c r="Q167" s="1"/>
    </row>
    <row r="168" spans="1:17" x14ac:dyDescent="0.35">
      <c r="A168" s="1"/>
      <c r="B168" s="1"/>
      <c r="C168" s="1"/>
      <c r="D168" s="1"/>
      <c r="E168" s="1"/>
      <c r="F168" s="1"/>
      <c r="G168" s="1"/>
      <c r="H168" s="1"/>
      <c r="I168" s="1"/>
      <c r="J168" s="1"/>
      <c r="K168" s="1"/>
      <c r="L168" s="1"/>
      <c r="M168" s="1"/>
      <c r="N168" s="1"/>
      <c r="O168" s="1"/>
      <c r="P168" s="1"/>
      <c r="Q168" s="1"/>
    </row>
    <row r="169" spans="1:17" x14ac:dyDescent="0.35">
      <c r="A169" s="1"/>
      <c r="B169" s="1"/>
      <c r="C169" s="1"/>
      <c r="D169" s="1"/>
      <c r="E169" s="1"/>
      <c r="F169" s="1"/>
      <c r="G169" s="1"/>
      <c r="H169" s="1"/>
      <c r="I169" s="1"/>
      <c r="J169" s="1"/>
      <c r="K169" s="1"/>
      <c r="L169" s="1"/>
      <c r="M169" s="1"/>
      <c r="N169" s="1"/>
      <c r="O169" s="1"/>
      <c r="P169" s="1"/>
      <c r="Q169" s="1"/>
    </row>
    <row r="170" spans="1:17" x14ac:dyDescent="0.35">
      <c r="A170" s="1"/>
      <c r="B170" s="1"/>
      <c r="C170" s="1"/>
      <c r="D170" s="1"/>
      <c r="E170" s="1"/>
      <c r="F170" s="1"/>
      <c r="G170" s="1"/>
      <c r="H170" s="1"/>
      <c r="I170" s="1"/>
      <c r="J170" s="1"/>
      <c r="K170" s="1"/>
      <c r="L170" s="1"/>
      <c r="M170" s="1"/>
      <c r="N170" s="1"/>
      <c r="O170" s="1"/>
      <c r="P170" s="1"/>
      <c r="Q170" s="1"/>
    </row>
    <row r="171" spans="1:17" x14ac:dyDescent="0.35">
      <c r="A171" s="1"/>
      <c r="B171" s="1"/>
      <c r="C171" s="1"/>
      <c r="D171" s="1"/>
      <c r="E171" s="1"/>
      <c r="F171" s="1"/>
      <c r="G171" s="1"/>
      <c r="H171" s="1"/>
      <c r="I171" s="1"/>
      <c r="J171" s="1"/>
      <c r="K171" s="1"/>
      <c r="L171" s="1"/>
      <c r="M171" s="1"/>
      <c r="N171" s="1"/>
      <c r="O171" s="1"/>
      <c r="P171" s="1"/>
      <c r="Q171" s="1"/>
    </row>
    <row r="172" spans="1:17" x14ac:dyDescent="0.35">
      <c r="A172" s="1"/>
      <c r="B172" s="1"/>
      <c r="C172" s="1"/>
      <c r="D172" s="1"/>
      <c r="E172" s="1"/>
      <c r="F172" s="1"/>
      <c r="G172" s="1"/>
      <c r="H172" s="1"/>
      <c r="I172" s="1"/>
      <c r="J172" s="1"/>
      <c r="K172" s="1"/>
      <c r="L172" s="1"/>
      <c r="M172" s="1"/>
      <c r="N172" s="1"/>
      <c r="O172" s="1"/>
      <c r="P172" s="1"/>
      <c r="Q172" s="1"/>
    </row>
    <row r="173" spans="1:17" x14ac:dyDescent="0.35">
      <c r="A173" s="1"/>
      <c r="B173" s="1"/>
      <c r="C173" s="1"/>
      <c r="D173" s="1"/>
      <c r="E173" s="1"/>
      <c r="F173" s="1"/>
      <c r="G173" s="1"/>
      <c r="H173" s="1"/>
      <c r="I173" s="1"/>
      <c r="J173" s="1"/>
      <c r="K173" s="1"/>
      <c r="L173" s="1"/>
      <c r="M173" s="1"/>
      <c r="N173" s="1"/>
      <c r="O173" s="1"/>
      <c r="P173" s="1"/>
      <c r="Q173" s="1"/>
    </row>
    <row r="174" spans="1:17" x14ac:dyDescent="0.35">
      <c r="A174" s="1"/>
      <c r="B174" s="1"/>
      <c r="C174" s="1"/>
      <c r="D174" s="1"/>
      <c r="E174" s="1"/>
      <c r="F174" s="1"/>
      <c r="G174" s="1"/>
      <c r="H174" s="1"/>
      <c r="I174" s="1"/>
      <c r="J174" s="1"/>
      <c r="K174" s="1"/>
      <c r="L174" s="1"/>
      <c r="M174" s="1"/>
      <c r="N174" s="1"/>
      <c r="O174" s="1"/>
      <c r="P174" s="1"/>
      <c r="Q174" s="1"/>
    </row>
    <row r="175" spans="1:17" x14ac:dyDescent="0.35">
      <c r="A175" s="1"/>
      <c r="B175" s="1"/>
      <c r="C175" s="1"/>
      <c r="D175" s="1"/>
      <c r="E175" s="1"/>
      <c r="F175" s="1"/>
      <c r="G175" s="1"/>
      <c r="H175" s="1"/>
      <c r="I175" s="1"/>
      <c r="J175" s="1"/>
      <c r="K175" s="1"/>
      <c r="L175" s="1"/>
      <c r="M175" s="1"/>
      <c r="N175" s="1"/>
      <c r="O175" s="1"/>
      <c r="P175" s="1"/>
      <c r="Q175" s="1"/>
    </row>
    <row r="176" spans="1:17" x14ac:dyDescent="0.35">
      <c r="A176" s="1"/>
      <c r="B176" s="1"/>
      <c r="C176" s="1"/>
      <c r="D176" s="1"/>
      <c r="E176" s="1"/>
      <c r="F176" s="1"/>
      <c r="G176" s="1"/>
      <c r="H176" s="1"/>
      <c r="I176" s="1"/>
      <c r="J176" s="1"/>
      <c r="K176" s="1"/>
      <c r="L176" s="1"/>
      <c r="M176" s="1"/>
      <c r="N176" s="1"/>
      <c r="O176" s="1"/>
      <c r="P176" s="1"/>
      <c r="Q176" s="1"/>
    </row>
    <row r="177" spans="1:17" x14ac:dyDescent="0.35">
      <c r="A177" s="1"/>
      <c r="B177" s="1"/>
      <c r="C177" s="1"/>
      <c r="D177" s="1"/>
      <c r="E177" s="1"/>
      <c r="F177" s="1"/>
      <c r="G177" s="1"/>
      <c r="H177" s="1"/>
      <c r="I177" s="1"/>
      <c r="J177" s="1"/>
      <c r="K177" s="1"/>
      <c r="L177" s="1"/>
      <c r="M177" s="1"/>
      <c r="N177" s="1"/>
      <c r="O177" s="1"/>
      <c r="P177" s="1"/>
      <c r="Q177" s="1"/>
    </row>
    <row r="178" spans="1:17" x14ac:dyDescent="0.35">
      <c r="A178" s="1"/>
      <c r="B178" s="1"/>
      <c r="C178" s="1"/>
      <c r="D178" s="1"/>
      <c r="E178" s="1"/>
      <c r="F178" s="1"/>
      <c r="G178" s="1"/>
      <c r="H178" s="1"/>
      <c r="I178" s="1"/>
      <c r="J178" s="1"/>
      <c r="K178" s="1"/>
      <c r="L178" s="1"/>
      <c r="M178" s="1"/>
      <c r="N178" s="1"/>
      <c r="O178" s="1"/>
      <c r="P178" s="1"/>
      <c r="Q178" s="1"/>
    </row>
    <row r="179" spans="1:17" x14ac:dyDescent="0.35">
      <c r="A179" s="1"/>
      <c r="B179" s="1"/>
      <c r="C179" s="1"/>
      <c r="D179" s="1"/>
      <c r="E179" s="1"/>
      <c r="F179" s="1"/>
      <c r="G179" s="1"/>
      <c r="H179" s="1"/>
      <c r="I179" s="1"/>
      <c r="J179" s="1"/>
      <c r="K179" s="1"/>
      <c r="L179" s="1"/>
      <c r="M179" s="1"/>
      <c r="N179" s="1"/>
      <c r="O179" s="1"/>
      <c r="P179" s="1"/>
      <c r="Q179" s="1"/>
    </row>
    <row r="180" spans="1:17" x14ac:dyDescent="0.35">
      <c r="A180" s="1"/>
      <c r="B180" s="1"/>
      <c r="C180" s="1"/>
      <c r="D180" s="1"/>
      <c r="E180" s="1"/>
      <c r="F180" s="1"/>
      <c r="G180" s="1"/>
      <c r="H180" s="1"/>
      <c r="I180" s="1"/>
      <c r="J180" s="1"/>
      <c r="K180" s="1"/>
      <c r="L180" s="1"/>
      <c r="M180" s="1"/>
      <c r="N180" s="1"/>
      <c r="O180" s="1"/>
      <c r="P180" s="1"/>
      <c r="Q180" s="1"/>
    </row>
    <row r="181" spans="1:17" x14ac:dyDescent="0.35">
      <c r="A181" s="1"/>
      <c r="B181" s="1"/>
      <c r="C181" s="1"/>
      <c r="D181" s="1"/>
      <c r="E181" s="1"/>
      <c r="F181" s="1"/>
      <c r="G181" s="1"/>
      <c r="H181" s="1"/>
      <c r="I181" s="1"/>
      <c r="J181" s="1"/>
      <c r="K181" s="1"/>
      <c r="L181" s="1"/>
      <c r="M181" s="1"/>
      <c r="N181" s="1"/>
      <c r="O181" s="1"/>
      <c r="P181" s="1"/>
      <c r="Q181" s="1"/>
    </row>
    <row r="182" spans="1:17" x14ac:dyDescent="0.35">
      <c r="A182" s="1"/>
      <c r="B182" s="1"/>
      <c r="C182" s="1"/>
      <c r="D182" s="1"/>
      <c r="E182" s="1"/>
      <c r="F182" s="1"/>
      <c r="G182" s="1"/>
      <c r="H182" s="1"/>
      <c r="I182" s="1"/>
      <c r="J182" s="1"/>
      <c r="K182" s="1"/>
      <c r="L182" s="1"/>
      <c r="M182" s="1"/>
      <c r="N182" s="1"/>
      <c r="O182" s="1"/>
      <c r="P182" s="1"/>
      <c r="Q182" s="1"/>
    </row>
    <row r="183" spans="1:17" x14ac:dyDescent="0.35">
      <c r="A183" s="1"/>
      <c r="B183" s="1"/>
      <c r="C183" s="1"/>
      <c r="D183" s="1"/>
      <c r="E183" s="1"/>
      <c r="F183" s="1"/>
      <c r="G183" s="1"/>
      <c r="H183" s="1"/>
      <c r="I183" s="1"/>
      <c r="J183" s="1"/>
      <c r="K183" s="1"/>
      <c r="L183" s="1"/>
      <c r="M183" s="1"/>
      <c r="N183" s="1"/>
      <c r="O183" s="1"/>
      <c r="P183" s="1"/>
      <c r="Q183" s="1"/>
    </row>
    <row r="184" spans="1:17" x14ac:dyDescent="0.35">
      <c r="A184" s="1"/>
      <c r="B184" s="1"/>
      <c r="C184" s="1"/>
      <c r="D184" s="1"/>
      <c r="E184" s="1"/>
      <c r="F184" s="1"/>
      <c r="G184" s="1"/>
      <c r="H184" s="1"/>
      <c r="I184" s="1"/>
      <c r="J184" s="1"/>
      <c r="K184" s="1"/>
      <c r="L184" s="1"/>
      <c r="M184" s="1"/>
      <c r="N184" s="1"/>
      <c r="O184" s="1"/>
      <c r="P184" s="1"/>
      <c r="Q184" s="1"/>
    </row>
    <row r="185" spans="1:17" x14ac:dyDescent="0.35">
      <c r="A185" s="1"/>
      <c r="B185" s="1"/>
      <c r="C185" s="1"/>
      <c r="D185" s="1"/>
      <c r="E185" s="1"/>
      <c r="F185" s="1"/>
      <c r="G185" s="1"/>
      <c r="H185" s="1"/>
      <c r="I185" s="1"/>
      <c r="J185" s="1"/>
      <c r="K185" s="1"/>
      <c r="L185" s="1"/>
      <c r="M185" s="1"/>
      <c r="N185" s="1"/>
      <c r="O185" s="1"/>
      <c r="P185" s="1"/>
      <c r="Q185" s="1"/>
    </row>
    <row r="186" spans="1:17" x14ac:dyDescent="0.35">
      <c r="A186" s="1"/>
      <c r="B186" s="1"/>
      <c r="C186" s="1"/>
      <c r="D186" s="1"/>
      <c r="E186" s="1"/>
      <c r="F186" s="1"/>
      <c r="G186" s="1"/>
      <c r="H186" s="1"/>
      <c r="I186" s="1"/>
      <c r="J186" s="1"/>
      <c r="K186" s="1"/>
      <c r="L186" s="1"/>
      <c r="M186" s="1"/>
      <c r="N186" s="1"/>
      <c r="O186" s="1"/>
      <c r="P186" s="1"/>
      <c r="Q186" s="1"/>
    </row>
    <row r="187" spans="1:17" x14ac:dyDescent="0.35">
      <c r="A187" s="1"/>
      <c r="B187" s="1"/>
      <c r="C187" s="1"/>
      <c r="D187" s="1"/>
      <c r="E187" s="1"/>
      <c r="F187" s="1"/>
      <c r="G187" s="1"/>
      <c r="H187" s="1"/>
      <c r="I187" s="1"/>
      <c r="J187" s="1"/>
      <c r="K187" s="1"/>
      <c r="L187" s="1"/>
      <c r="M187" s="1"/>
      <c r="N187" s="1"/>
      <c r="O187" s="1"/>
      <c r="P187" s="1"/>
      <c r="Q187" s="1"/>
    </row>
    <row r="188" spans="1:17" x14ac:dyDescent="0.35">
      <c r="A188" s="1"/>
      <c r="B188" s="1"/>
      <c r="C188" s="1"/>
      <c r="D188" s="1"/>
      <c r="E188" s="1"/>
      <c r="F188" s="1"/>
      <c r="G188" s="1"/>
      <c r="H188" s="1"/>
      <c r="I188" s="1"/>
      <c r="J188" s="1"/>
      <c r="K188" s="1"/>
      <c r="L188" s="1"/>
      <c r="M188" s="1"/>
      <c r="N188" s="1"/>
      <c r="O188" s="1"/>
      <c r="P188" s="1"/>
      <c r="Q188" s="1"/>
    </row>
    <row r="189" spans="1:17" x14ac:dyDescent="0.35">
      <c r="A189" s="1"/>
      <c r="B189" s="1"/>
      <c r="C189" s="1"/>
      <c r="D189" s="1"/>
      <c r="E189" s="1"/>
      <c r="F189" s="1"/>
      <c r="G189" s="1"/>
      <c r="H189" s="1"/>
      <c r="I189" s="1"/>
      <c r="J189" s="1"/>
      <c r="K189" s="1"/>
      <c r="L189" s="1"/>
      <c r="M189" s="1"/>
      <c r="N189" s="1"/>
      <c r="O189" s="1"/>
      <c r="P189" s="1"/>
      <c r="Q189" s="1"/>
    </row>
    <row r="190" spans="1:17" x14ac:dyDescent="0.35">
      <c r="A190" s="1"/>
      <c r="B190" s="1"/>
      <c r="C190" s="1"/>
      <c r="D190" s="1"/>
      <c r="E190" s="1"/>
      <c r="F190" s="1"/>
      <c r="G190" s="1"/>
      <c r="H190" s="1"/>
      <c r="I190" s="1"/>
      <c r="J190" s="1"/>
      <c r="K190" s="1"/>
      <c r="L190" s="1"/>
      <c r="M190" s="1"/>
      <c r="N190" s="1"/>
      <c r="O190" s="1"/>
      <c r="P190" s="1"/>
      <c r="Q190" s="1"/>
    </row>
    <row r="191" spans="1:17" x14ac:dyDescent="0.35">
      <c r="A191" s="1"/>
      <c r="B191" s="1"/>
      <c r="C191" s="1"/>
      <c r="D191" s="1"/>
      <c r="E191" s="1"/>
      <c r="F191" s="1"/>
      <c r="G191" s="1"/>
      <c r="H191" s="1"/>
      <c r="I191" s="1"/>
      <c r="J191" s="1"/>
      <c r="K191" s="1"/>
      <c r="L191" s="1"/>
      <c r="M191" s="1"/>
      <c r="N191" s="1"/>
      <c r="O191" s="1"/>
      <c r="P191" s="1"/>
      <c r="Q191" s="1"/>
    </row>
    <row r="192" spans="1:17" x14ac:dyDescent="0.35">
      <c r="A192" s="1"/>
      <c r="B192" s="1"/>
      <c r="C192" s="1"/>
      <c r="D192" s="1"/>
      <c r="E192" s="1"/>
      <c r="F192" s="1"/>
      <c r="G192" s="1"/>
      <c r="H192" s="1"/>
      <c r="I192" s="1"/>
      <c r="J192" s="1"/>
      <c r="K192" s="1"/>
      <c r="L192" s="1"/>
      <c r="M192" s="1"/>
      <c r="N192" s="1"/>
      <c r="O192" s="1"/>
      <c r="P192" s="1"/>
      <c r="Q192" s="1"/>
    </row>
    <row r="193" spans="1:17" x14ac:dyDescent="0.35">
      <c r="A193" s="1"/>
      <c r="B193" s="1"/>
      <c r="C193" s="1"/>
      <c r="D193" s="1"/>
      <c r="E193" s="1"/>
      <c r="F193" s="1"/>
      <c r="G193" s="1"/>
      <c r="H193" s="1"/>
      <c r="I193" s="1"/>
      <c r="J193" s="1"/>
      <c r="K193" s="1"/>
      <c r="L193" s="1"/>
      <c r="M193" s="1"/>
      <c r="N193" s="1"/>
      <c r="O193" s="1"/>
      <c r="P193" s="1"/>
      <c r="Q193" s="1"/>
    </row>
    <row r="194" spans="1:17" x14ac:dyDescent="0.35">
      <c r="A194" s="1"/>
      <c r="B194" s="1"/>
      <c r="C194" s="1"/>
      <c r="D194" s="1"/>
      <c r="E194" s="1"/>
      <c r="F194" s="1"/>
      <c r="G194" s="1"/>
      <c r="H194" s="1"/>
      <c r="I194" s="1"/>
      <c r="J194" s="1"/>
      <c r="K194" s="1"/>
      <c r="L194" s="1"/>
      <c r="M194" s="1"/>
      <c r="N194" s="1"/>
      <c r="O194" s="1"/>
      <c r="P194" s="1"/>
      <c r="Q194" s="1"/>
    </row>
    <row r="195" spans="1:17" x14ac:dyDescent="0.35">
      <c r="A195" s="1"/>
      <c r="B195" s="1"/>
      <c r="C195" s="1"/>
      <c r="D195" s="1"/>
      <c r="E195" s="1"/>
      <c r="F195" s="1"/>
      <c r="G195" s="1"/>
      <c r="H195" s="1"/>
      <c r="I195" s="1"/>
      <c r="J195" s="1"/>
      <c r="K195" s="1"/>
      <c r="L195" s="1"/>
      <c r="M195" s="1"/>
      <c r="N195" s="1"/>
      <c r="O195" s="1"/>
      <c r="P195" s="1"/>
      <c r="Q195" s="1"/>
    </row>
    <row r="196" spans="1:17" x14ac:dyDescent="0.35">
      <c r="A196" s="1"/>
      <c r="B196" s="1"/>
      <c r="C196" s="1"/>
      <c r="D196" s="1"/>
      <c r="E196" s="1"/>
      <c r="F196" s="1"/>
      <c r="G196" s="1"/>
      <c r="H196" s="1"/>
      <c r="I196" s="1"/>
      <c r="J196" s="1"/>
      <c r="K196" s="1"/>
      <c r="L196" s="1"/>
      <c r="M196" s="1"/>
      <c r="N196" s="1"/>
      <c r="O196" s="1"/>
      <c r="P196" s="1"/>
      <c r="Q196" s="1"/>
    </row>
    <row r="197" spans="1:17" x14ac:dyDescent="0.35">
      <c r="A197" s="1"/>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1:17" x14ac:dyDescent="0.35">
      <c r="A198" s="1"/>
      <c r="B198" s="37"/>
      <c r="C198" s="38"/>
      <c r="D198" s="31"/>
      <c r="E198" s="32"/>
      <c r="F198" s="34"/>
      <c r="G198" s="33"/>
      <c r="H198" s="34"/>
      <c r="I198" s="33"/>
      <c r="J198" s="34"/>
      <c r="K198" s="34"/>
      <c r="L198" s="34"/>
      <c r="M198" s="33"/>
      <c r="N198" s="34"/>
      <c r="O198" s="35"/>
      <c r="P198" s="36"/>
      <c r="Q198" s="35"/>
    </row>
    <row r="199" spans="1:17" x14ac:dyDescent="0.35">
      <c r="A199" s="1"/>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1:17" x14ac:dyDescent="0.35">
      <c r="A200" s="1"/>
      <c r="B200" s="1"/>
      <c r="C200" s="1"/>
      <c r="D200" s="1"/>
      <c r="E200" s="1"/>
      <c r="F200" s="1"/>
      <c r="G200" s="1"/>
      <c r="H200" s="1"/>
      <c r="I200" s="1"/>
      <c r="J200" s="1"/>
      <c r="K200" s="1"/>
      <c r="L200" s="1"/>
      <c r="M200" s="1"/>
      <c r="N200" s="1"/>
      <c r="O200" s="1"/>
      <c r="P200" s="1"/>
      <c r="Q200" s="78" t="s">
        <v>21404</v>
      </c>
    </row>
    <row r="201" spans="1:17" x14ac:dyDescent="0.35">
      <c r="A201" s="1"/>
      <c r="B201" s="1"/>
      <c r="C201" s="78" t="s">
        <v>21592</v>
      </c>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77" t="s">
        <v>21399</v>
      </c>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t="s">
        <v>21398</v>
      </c>
      <c r="D205" s="1" t="s">
        <v>75</v>
      </c>
      <c r="E205" s="1" t="s">
        <v>13768</v>
      </c>
      <c r="F205" s="2" t="s">
        <v>21397</v>
      </c>
      <c r="G205" s="1" t="s">
        <v>9</v>
      </c>
      <c r="H205" s="1"/>
      <c r="I205" s="1"/>
      <c r="J205" s="1"/>
      <c r="K205" s="1"/>
      <c r="L205" s="1"/>
      <c r="M205" s="1"/>
      <c r="N205" s="1"/>
      <c r="O205" s="1"/>
      <c r="P205" s="1"/>
      <c r="Q205" s="1"/>
    </row>
  </sheetData>
  <mergeCells count="9">
    <mergeCell ref="J5:K5"/>
    <mergeCell ref="J6:K6"/>
    <mergeCell ref="J7:K7"/>
    <mergeCell ref="A3:B3"/>
    <mergeCell ref="D3:G3"/>
    <mergeCell ref="J3:K3"/>
    <mergeCell ref="P3:Q3"/>
    <mergeCell ref="A4:B4"/>
    <mergeCell ref="J4:K4"/>
  </mergeCells>
  <dataValidations count="1">
    <dataValidation type="list" allowBlank="1" showInputMessage="1" showErrorMessage="1" sqref="C16:C190" xr:uid="{01B5042A-BAE4-48D7-BE56-85D6D106CFB5}">
      <formula1>$C$205:$C207</formula1>
    </dataValidation>
  </dataValidations>
  <hyperlinks>
    <hyperlink ref="D3" r:id="rId1" display="datamateapp@gmail.com" xr:uid="{37D26871-7917-43E4-8E88-D9B36A08276B}"/>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47521" r:id="rId4" name="Button 1">
              <controlPr defaultSize="0" print="0" autoFill="0" autoPict="0" macro="SaveData">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747522" r:id="rId5" name="Button 2">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747523"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747524"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747525" r:id="rId8" name="Button 5">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747526" r:id="rId9" name="Button 6">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747527" r:id="rId10" name="Button 7">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747528" r:id="rId11" name="Button 8">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controls>
    </mc:Choice>
  </mc:AlternateContent>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8627F-935A-4D02-8A9A-C9F921FD1EBE}">
  <sheetPr codeName="Sheet132"/>
  <dimension ref="A1:Q200"/>
  <sheetViews>
    <sheetView workbookViewId="0"/>
  </sheetViews>
  <sheetFormatPr defaultRowHeight="14.5" x14ac:dyDescent="0.35"/>
  <sheetData>
    <row r="1" spans="1:17" x14ac:dyDescent="0.35">
      <c r="A1" s="237"/>
      <c r="B1" s="237"/>
      <c r="C1" s="237"/>
      <c r="D1" s="237"/>
      <c r="E1" s="237"/>
      <c r="F1" s="237"/>
      <c r="G1" s="237"/>
      <c r="H1" s="237"/>
      <c r="I1" s="237"/>
      <c r="J1" s="237"/>
      <c r="K1" s="237"/>
      <c r="L1" s="237"/>
      <c r="M1" s="237" t="str">
        <f>DIV_11Input!M1</f>
        <v>Update 1</v>
      </c>
      <c r="N1" s="237" t="str">
        <f>DIV_11Input!N1</f>
        <v>Update 2</v>
      </c>
      <c r="O1" s="237" t="str">
        <f>DIV_11Input!O1</f>
        <v>Update 3</v>
      </c>
      <c r="P1" s="237"/>
      <c r="Q1" s="237"/>
    </row>
    <row r="2" spans="1:17" x14ac:dyDescent="0.35">
      <c r="A2" s="237"/>
      <c r="B2" s="466"/>
      <c r="C2" s="466"/>
      <c r="D2" s="466"/>
      <c r="E2" s="466"/>
      <c r="F2" s="466"/>
      <c r="G2" s="466"/>
      <c r="H2" s="466"/>
      <c r="I2" s="466"/>
      <c r="J2" s="466"/>
      <c r="K2" s="466"/>
      <c r="L2" s="466"/>
      <c r="P2" s="237"/>
      <c r="Q2" s="237"/>
    </row>
    <row r="3" spans="1:17" x14ac:dyDescent="0.35">
      <c r="A3" s="241"/>
      <c r="B3" s="242"/>
      <c r="C3" s="242"/>
      <c r="D3" s="242"/>
      <c r="E3" s="242"/>
      <c r="F3" s="242"/>
      <c r="G3" s="242"/>
      <c r="H3" s="242"/>
      <c r="I3" s="242"/>
      <c r="J3" s="242"/>
      <c r="K3" s="242"/>
      <c r="L3" s="242"/>
      <c r="M3" s="242"/>
      <c r="N3" s="242"/>
      <c r="O3" s="242"/>
      <c r="P3" s="242"/>
      <c r="Q3" s="243"/>
    </row>
    <row r="4" spans="1:17" x14ac:dyDescent="0.35">
      <c r="A4" s="244"/>
      <c r="B4" s="472"/>
      <c r="C4" s="472"/>
      <c r="D4" s="472"/>
      <c r="E4" s="472"/>
      <c r="F4" s="472"/>
      <c r="G4" s="472"/>
      <c r="H4" s="472"/>
      <c r="I4" s="472"/>
      <c r="J4" s="472"/>
      <c r="K4" s="472"/>
      <c r="L4" s="472"/>
      <c r="M4" s="472"/>
      <c r="N4" s="472"/>
      <c r="O4" s="472"/>
      <c r="P4" s="472"/>
      <c r="Q4" s="245"/>
    </row>
    <row r="5" spans="1:17" x14ac:dyDescent="0.35">
      <c r="A5" s="244"/>
      <c r="B5" s="472"/>
      <c r="C5" s="472"/>
      <c r="D5" s="472"/>
      <c r="E5" s="472"/>
      <c r="F5" s="472"/>
      <c r="G5" s="472"/>
      <c r="H5" s="472"/>
      <c r="I5" s="472"/>
      <c r="J5" s="472"/>
      <c r="K5" s="472"/>
      <c r="L5" s="472"/>
      <c r="M5" s="472"/>
      <c r="N5" s="472"/>
      <c r="O5" s="472"/>
      <c r="P5" s="472"/>
      <c r="Q5" s="245"/>
    </row>
    <row r="6" spans="1:17" x14ac:dyDescent="0.35">
      <c r="A6" s="244"/>
      <c r="B6" s="472"/>
      <c r="C6" s="472"/>
      <c r="D6" s="472"/>
      <c r="E6" s="472"/>
      <c r="F6" s="472"/>
      <c r="G6" s="472"/>
      <c r="H6" s="472"/>
      <c r="I6" s="472"/>
      <c r="J6" s="472"/>
      <c r="K6" s="472"/>
      <c r="L6" s="472"/>
      <c r="M6" s="472"/>
      <c r="N6" s="472"/>
      <c r="O6" s="472"/>
      <c r="P6" s="472"/>
      <c r="Q6" s="245"/>
    </row>
    <row r="7" spans="1:17" x14ac:dyDescent="0.35">
      <c r="A7" s="244"/>
      <c r="B7" s="472"/>
      <c r="C7" s="472"/>
      <c r="D7" s="472"/>
      <c r="E7" s="472"/>
      <c r="F7" s="472"/>
      <c r="G7" s="472"/>
      <c r="H7" s="472"/>
      <c r="I7" s="472"/>
      <c r="J7" s="472"/>
      <c r="K7" s="472"/>
      <c r="L7" s="472"/>
      <c r="M7" s="472"/>
      <c r="N7" s="472"/>
      <c r="O7" s="472"/>
      <c r="P7" s="472"/>
      <c r="Q7" s="245"/>
    </row>
    <row r="8" spans="1:17" x14ac:dyDescent="0.35">
      <c r="A8" s="244"/>
      <c r="B8" s="472"/>
      <c r="C8" s="472"/>
      <c r="D8" s="472"/>
      <c r="E8" s="472"/>
      <c r="F8" s="472"/>
      <c r="G8" s="472"/>
      <c r="H8" s="472"/>
      <c r="I8" s="472"/>
      <c r="J8" s="472"/>
      <c r="K8" s="472"/>
      <c r="L8" s="472"/>
      <c r="M8" s="472"/>
      <c r="N8" s="472"/>
      <c r="O8" s="472"/>
      <c r="P8" s="472"/>
      <c r="Q8" s="245"/>
    </row>
    <row r="9" spans="1:17" x14ac:dyDescent="0.35">
      <c r="A9" s="244"/>
      <c r="B9" s="472"/>
      <c r="C9" s="472"/>
      <c r="D9" s="472"/>
      <c r="E9" s="472"/>
      <c r="F9" s="472"/>
      <c r="G9" s="472"/>
      <c r="H9" s="472"/>
      <c r="I9" s="472"/>
      <c r="J9" s="472"/>
      <c r="K9" s="472"/>
      <c r="L9" s="472"/>
      <c r="M9" s="472"/>
      <c r="N9" s="472"/>
      <c r="O9" s="472"/>
      <c r="P9" s="472"/>
      <c r="Q9" s="245"/>
    </row>
    <row r="10" spans="1:17" x14ac:dyDescent="0.35">
      <c r="A10" s="244"/>
      <c r="B10" s="472"/>
      <c r="C10" s="472"/>
      <c r="D10" s="472"/>
      <c r="E10" s="472"/>
      <c r="F10" s="472"/>
      <c r="G10" s="472"/>
      <c r="H10" s="472"/>
      <c r="I10" s="472"/>
      <c r="J10" s="472"/>
      <c r="K10" s="472"/>
      <c r="L10" s="472"/>
      <c r="M10" s="472"/>
      <c r="N10" s="472"/>
      <c r="O10" s="472"/>
      <c r="P10" s="472"/>
      <c r="Q10" s="245"/>
    </row>
    <row r="11" spans="1:17" x14ac:dyDescent="0.35">
      <c r="A11" s="244"/>
      <c r="B11" s="472"/>
      <c r="C11" s="472"/>
      <c r="D11" s="472"/>
      <c r="E11" s="472"/>
      <c r="F11" s="472"/>
      <c r="G11" s="472"/>
      <c r="H11" s="472"/>
      <c r="I11" s="472"/>
      <c r="J11" s="472"/>
      <c r="K11" s="472"/>
      <c r="L11" s="472"/>
      <c r="M11" s="472"/>
      <c r="N11" s="472"/>
      <c r="O11" s="472"/>
      <c r="P11" s="472"/>
      <c r="Q11" s="245"/>
    </row>
    <row r="12" spans="1:17" x14ac:dyDescent="0.35">
      <c r="A12" s="244"/>
      <c r="B12" s="472"/>
      <c r="C12" s="472"/>
      <c r="D12" s="472"/>
      <c r="E12" s="472"/>
      <c r="F12" s="472"/>
      <c r="G12" s="472"/>
      <c r="H12" s="472"/>
      <c r="I12" s="472"/>
      <c r="J12" s="472"/>
      <c r="K12" s="472"/>
      <c r="L12" s="472"/>
      <c r="M12" s="472"/>
      <c r="N12" s="472"/>
      <c r="O12" s="472"/>
      <c r="P12" s="472"/>
      <c r="Q12" s="245"/>
    </row>
    <row r="13" spans="1:17" x14ac:dyDescent="0.35">
      <c r="A13" s="244"/>
      <c r="B13" s="472"/>
      <c r="C13" s="472"/>
      <c r="D13" s="472"/>
      <c r="E13" s="472"/>
      <c r="F13" s="472"/>
      <c r="G13" s="472"/>
      <c r="H13" s="472"/>
      <c r="I13" s="472"/>
      <c r="J13" s="472"/>
      <c r="K13" s="472"/>
      <c r="L13" s="472"/>
      <c r="M13" s="472"/>
      <c r="N13" s="472"/>
      <c r="O13" s="472"/>
      <c r="P13" s="472"/>
      <c r="Q13" s="245"/>
    </row>
    <row r="14" spans="1:17" x14ac:dyDescent="0.35">
      <c r="A14" s="244"/>
      <c r="B14" s="472"/>
      <c r="C14" s="472"/>
      <c r="D14" s="472"/>
      <c r="E14" s="472"/>
      <c r="F14" s="472"/>
      <c r="G14" s="472"/>
      <c r="H14" s="472"/>
      <c r="I14" s="472"/>
      <c r="J14" s="472"/>
      <c r="K14" s="472"/>
      <c r="L14" s="472"/>
      <c r="M14" s="472"/>
      <c r="N14" s="472"/>
      <c r="O14" s="472"/>
      <c r="P14" s="472"/>
      <c r="Q14" s="245"/>
    </row>
    <row r="15" spans="1:17" x14ac:dyDescent="0.35">
      <c r="A15" s="244"/>
      <c r="B15" s="472"/>
      <c r="C15" s="472"/>
      <c r="D15" s="472"/>
      <c r="E15" s="472"/>
      <c r="F15" s="472"/>
      <c r="G15" s="472"/>
      <c r="H15" s="472"/>
      <c r="I15" s="472"/>
      <c r="J15" s="472"/>
      <c r="K15" s="472"/>
      <c r="L15" s="472"/>
      <c r="M15" s="472"/>
      <c r="N15" s="472"/>
      <c r="O15" s="472"/>
      <c r="P15" s="472"/>
      <c r="Q15" s="245"/>
    </row>
    <row r="16" spans="1:17" x14ac:dyDescent="0.35">
      <c r="A16" s="244"/>
      <c r="B16" s="472"/>
      <c r="C16" s="472"/>
      <c r="D16" s="472"/>
      <c r="E16" s="472"/>
      <c r="F16" s="472"/>
      <c r="G16" s="472"/>
      <c r="H16" s="472"/>
      <c r="I16" s="472"/>
      <c r="J16" s="472"/>
      <c r="K16" s="472"/>
      <c r="L16" s="472"/>
      <c r="M16" s="472"/>
      <c r="N16" s="472"/>
      <c r="O16" s="472"/>
      <c r="P16" s="472"/>
      <c r="Q16" s="245"/>
    </row>
    <row r="17" spans="1:17" x14ac:dyDescent="0.35">
      <c r="A17" s="244"/>
      <c r="B17" s="472"/>
      <c r="C17" s="472"/>
      <c r="D17" s="472"/>
      <c r="E17" s="472"/>
      <c r="F17" s="472"/>
      <c r="G17" s="472"/>
      <c r="H17" s="472"/>
      <c r="I17" s="472"/>
      <c r="J17" s="472"/>
      <c r="K17" s="472"/>
      <c r="L17" s="472"/>
      <c r="M17" s="472"/>
      <c r="N17" s="472"/>
      <c r="O17" s="472"/>
      <c r="P17" s="472"/>
      <c r="Q17" s="245"/>
    </row>
    <row r="18" spans="1:17" x14ac:dyDescent="0.35">
      <c r="A18" s="244"/>
      <c r="B18" s="472"/>
      <c r="C18" s="472"/>
      <c r="D18" s="472"/>
      <c r="E18" s="472"/>
      <c r="F18" s="472"/>
      <c r="G18" s="472"/>
      <c r="H18" s="472"/>
      <c r="I18" s="472"/>
      <c r="J18" s="472"/>
      <c r="K18" s="472"/>
      <c r="L18" s="472"/>
      <c r="M18" s="472"/>
      <c r="N18" s="472"/>
      <c r="O18" s="472"/>
      <c r="P18" s="472"/>
      <c r="Q18" s="245"/>
    </row>
    <row r="19" spans="1:17" x14ac:dyDescent="0.35">
      <c r="A19" s="244"/>
      <c r="B19" s="472"/>
      <c r="C19" s="472"/>
      <c r="D19" s="472"/>
      <c r="E19" s="472"/>
      <c r="F19" s="472"/>
      <c r="G19" s="472"/>
      <c r="H19" s="472"/>
      <c r="I19" s="472"/>
      <c r="J19" s="472"/>
      <c r="K19" s="472"/>
      <c r="L19" s="472"/>
      <c r="M19" s="472"/>
      <c r="N19" s="472"/>
      <c r="O19" s="472"/>
      <c r="P19" s="472"/>
      <c r="Q19" s="245"/>
    </row>
    <row r="20" spans="1:17" x14ac:dyDescent="0.35">
      <c r="A20" s="244"/>
      <c r="B20" s="472"/>
      <c r="C20" s="472"/>
      <c r="D20" s="472"/>
      <c r="E20" s="472"/>
      <c r="F20" s="472"/>
      <c r="G20" s="472"/>
      <c r="H20" s="472"/>
      <c r="I20" s="472"/>
      <c r="J20" s="472"/>
      <c r="K20" s="472"/>
      <c r="L20" s="472"/>
      <c r="M20" s="472"/>
      <c r="N20" s="472"/>
      <c r="O20" s="472"/>
      <c r="P20" s="472"/>
      <c r="Q20" s="245"/>
    </row>
    <row r="21" spans="1:17" x14ac:dyDescent="0.35">
      <c r="A21" s="244"/>
      <c r="B21" s="472"/>
      <c r="C21" s="472"/>
      <c r="D21" s="472"/>
      <c r="E21" s="472"/>
      <c r="F21" s="472"/>
      <c r="G21" s="472"/>
      <c r="H21" s="472"/>
      <c r="I21" s="472"/>
      <c r="J21" s="472"/>
      <c r="K21" s="472"/>
      <c r="L21" s="472"/>
      <c r="M21" s="472"/>
      <c r="N21" s="472"/>
      <c r="O21" s="472"/>
      <c r="P21" s="472"/>
      <c r="Q21" s="245"/>
    </row>
    <row r="22" spans="1:17" x14ac:dyDescent="0.35">
      <c r="A22" s="244"/>
      <c r="B22" s="472"/>
      <c r="C22" s="472"/>
      <c r="D22" s="472"/>
      <c r="E22" s="472"/>
      <c r="F22" s="472"/>
      <c r="G22" s="472"/>
      <c r="H22" s="472"/>
      <c r="I22" s="472"/>
      <c r="J22" s="472"/>
      <c r="K22" s="472"/>
      <c r="L22" s="472"/>
      <c r="M22" s="472"/>
      <c r="N22" s="472"/>
      <c r="O22" s="472"/>
      <c r="P22" s="472"/>
      <c r="Q22" s="245"/>
    </row>
    <row r="23" spans="1:17" x14ac:dyDescent="0.35">
      <c r="A23" s="244"/>
      <c r="B23" s="472"/>
      <c r="C23" s="472"/>
      <c r="D23" s="472"/>
      <c r="E23" s="472"/>
      <c r="F23" s="472"/>
      <c r="G23" s="472"/>
      <c r="H23" s="472"/>
      <c r="I23" s="472"/>
      <c r="J23" s="472"/>
      <c r="K23" s="472"/>
      <c r="L23" s="472"/>
      <c r="M23" s="472"/>
      <c r="N23" s="472"/>
      <c r="O23" s="472"/>
      <c r="P23" s="472"/>
      <c r="Q23" s="245"/>
    </row>
    <row r="24" spans="1:17" x14ac:dyDescent="0.35">
      <c r="A24" s="244"/>
      <c r="B24" s="472"/>
      <c r="C24" s="472"/>
      <c r="D24" s="472"/>
      <c r="E24" s="472"/>
      <c r="F24" s="472"/>
      <c r="G24" s="472"/>
      <c r="H24" s="472"/>
      <c r="I24" s="472"/>
      <c r="J24" s="472"/>
      <c r="K24" s="472"/>
      <c r="L24" s="472"/>
      <c r="M24" s="472"/>
      <c r="N24" s="472"/>
      <c r="O24" s="472"/>
      <c r="P24" s="472"/>
      <c r="Q24" s="245"/>
    </row>
    <row r="25" spans="1:17" x14ac:dyDescent="0.35">
      <c r="A25" s="244"/>
      <c r="B25" s="472"/>
      <c r="C25" s="472"/>
      <c r="D25" s="472"/>
      <c r="E25" s="472"/>
      <c r="F25" s="472"/>
      <c r="G25" s="472"/>
      <c r="H25" s="472"/>
      <c r="I25" s="472"/>
      <c r="J25" s="472"/>
      <c r="K25" s="472"/>
      <c r="L25" s="472"/>
      <c r="M25" s="472"/>
      <c r="N25" s="472"/>
      <c r="O25" s="472"/>
      <c r="P25" s="472"/>
      <c r="Q25" s="245"/>
    </row>
    <row r="26" spans="1:17" x14ac:dyDescent="0.35">
      <c r="A26" s="244"/>
      <c r="B26" s="472"/>
      <c r="C26" s="472"/>
      <c r="D26" s="472"/>
      <c r="E26" s="472"/>
      <c r="F26" s="472"/>
      <c r="G26" s="472"/>
      <c r="H26" s="472"/>
      <c r="I26" s="472"/>
      <c r="J26" s="472"/>
      <c r="K26" s="472"/>
      <c r="L26" s="472"/>
      <c r="M26" s="472"/>
      <c r="N26" s="472"/>
      <c r="O26" s="472"/>
      <c r="P26" s="472"/>
      <c r="Q26" s="245"/>
    </row>
    <row r="27" spans="1:17" x14ac:dyDescent="0.35">
      <c r="A27" s="244"/>
      <c r="B27" s="472"/>
      <c r="C27" s="472"/>
      <c r="D27" s="472"/>
      <c r="E27" s="472"/>
      <c r="F27" s="472"/>
      <c r="G27" s="472"/>
      <c r="H27" s="472"/>
      <c r="I27" s="472"/>
      <c r="J27" s="472"/>
      <c r="K27" s="472"/>
      <c r="L27" s="472"/>
      <c r="M27" s="472"/>
      <c r="N27" s="472"/>
      <c r="O27" s="472"/>
      <c r="P27" s="472"/>
      <c r="Q27" s="245"/>
    </row>
    <row r="28" spans="1:17" x14ac:dyDescent="0.35">
      <c r="A28" s="244"/>
      <c r="B28" s="472"/>
      <c r="C28" s="472"/>
      <c r="D28" s="472"/>
      <c r="E28" s="472"/>
      <c r="F28" s="472"/>
      <c r="G28" s="472"/>
      <c r="H28" s="472"/>
      <c r="I28" s="472"/>
      <c r="J28" s="472"/>
      <c r="K28" s="472"/>
      <c r="L28" s="472"/>
      <c r="M28" s="472"/>
      <c r="N28" s="472"/>
      <c r="O28" s="472"/>
      <c r="P28" s="472"/>
      <c r="Q28" s="245"/>
    </row>
    <row r="29" spans="1:17" x14ac:dyDescent="0.35">
      <c r="A29" s="244"/>
      <c r="B29" s="472"/>
      <c r="C29" s="472"/>
      <c r="D29" s="472"/>
      <c r="E29" s="472"/>
      <c r="F29" s="472"/>
      <c r="G29" s="472"/>
      <c r="H29" s="472"/>
      <c r="I29" s="472"/>
      <c r="J29" s="472"/>
      <c r="K29" s="472"/>
      <c r="L29" s="472"/>
      <c r="M29" s="472"/>
      <c r="N29" s="472"/>
      <c r="O29" s="472"/>
      <c r="P29" s="472"/>
      <c r="Q29" s="245"/>
    </row>
    <row r="30" spans="1:17" x14ac:dyDescent="0.35">
      <c r="A30" s="244"/>
      <c r="B30" s="472"/>
      <c r="C30" s="472"/>
      <c r="D30" s="472"/>
      <c r="E30" s="472"/>
      <c r="F30" s="472"/>
      <c r="G30" s="472"/>
      <c r="H30" s="472"/>
      <c r="I30" s="472"/>
      <c r="J30" s="472"/>
      <c r="K30" s="472"/>
      <c r="L30" s="472"/>
      <c r="M30" s="472"/>
      <c r="N30" s="472"/>
      <c r="O30" s="472"/>
      <c r="P30" s="472"/>
      <c r="Q30" s="245"/>
    </row>
    <row r="31" spans="1:17" x14ac:dyDescent="0.35">
      <c r="A31" s="244"/>
      <c r="B31" s="472"/>
      <c r="C31" s="472"/>
      <c r="D31" s="472"/>
      <c r="E31" s="472"/>
      <c r="F31" s="472"/>
      <c r="G31" s="472"/>
      <c r="H31" s="472"/>
      <c r="I31" s="472"/>
      <c r="J31" s="472"/>
      <c r="K31" s="472"/>
      <c r="L31" s="472"/>
      <c r="M31" s="472"/>
      <c r="N31" s="472"/>
      <c r="O31" s="472"/>
      <c r="P31" s="472"/>
      <c r="Q31" s="245"/>
    </row>
    <row r="32" spans="1:17" x14ac:dyDescent="0.35">
      <c r="A32" s="244"/>
      <c r="B32" s="472"/>
      <c r="C32" s="472"/>
      <c r="D32" s="472"/>
      <c r="E32" s="472"/>
      <c r="F32" s="472"/>
      <c r="G32" s="472"/>
      <c r="H32" s="472"/>
      <c r="I32" s="472"/>
      <c r="J32" s="472"/>
      <c r="K32" s="472"/>
      <c r="L32" s="472"/>
      <c r="M32" s="472"/>
      <c r="N32" s="472"/>
      <c r="O32" s="472"/>
      <c r="P32" s="472"/>
      <c r="Q32" s="245"/>
    </row>
    <row r="33" spans="1:17" x14ac:dyDescent="0.35">
      <c r="A33" s="244"/>
      <c r="B33" s="472"/>
      <c r="C33" s="472"/>
      <c r="D33" s="472"/>
      <c r="E33" s="472"/>
      <c r="F33" s="472"/>
      <c r="G33" s="472"/>
      <c r="H33" s="472"/>
      <c r="I33" s="472"/>
      <c r="J33" s="472"/>
      <c r="K33" s="472"/>
      <c r="L33" s="472"/>
      <c r="M33" s="472"/>
      <c r="N33" s="472"/>
      <c r="O33" s="472"/>
      <c r="P33" s="472"/>
      <c r="Q33" s="245"/>
    </row>
    <row r="34" spans="1:17" x14ac:dyDescent="0.35">
      <c r="A34" s="244"/>
      <c r="B34" s="472"/>
      <c r="C34" s="472"/>
      <c r="D34" s="472"/>
      <c r="E34" s="472"/>
      <c r="F34" s="472"/>
      <c r="G34" s="472"/>
      <c r="H34" s="472"/>
      <c r="I34" s="472"/>
      <c r="J34" s="472"/>
      <c r="K34" s="472"/>
      <c r="L34" s="472"/>
      <c r="M34" s="472"/>
      <c r="N34" s="472"/>
      <c r="O34" s="472"/>
      <c r="P34" s="472"/>
      <c r="Q34" s="245"/>
    </row>
    <row r="35" spans="1:17" x14ac:dyDescent="0.35">
      <c r="A35" s="244"/>
      <c r="B35" s="472"/>
      <c r="C35" s="472"/>
      <c r="D35" s="472"/>
      <c r="E35" s="472"/>
      <c r="F35" s="472"/>
      <c r="G35" s="472"/>
      <c r="H35" s="472"/>
      <c r="I35" s="472"/>
      <c r="J35" s="472"/>
      <c r="K35" s="472"/>
      <c r="L35" s="472"/>
      <c r="M35" s="472"/>
      <c r="N35" s="472"/>
      <c r="O35" s="472"/>
      <c r="P35" s="472"/>
      <c r="Q35" s="245"/>
    </row>
    <row r="36" spans="1:17" x14ac:dyDescent="0.35">
      <c r="A36" s="244"/>
      <c r="B36" s="472"/>
      <c r="C36" s="472"/>
      <c r="D36" s="472"/>
      <c r="E36" s="472"/>
      <c r="F36" s="472"/>
      <c r="G36" s="472"/>
      <c r="H36" s="472"/>
      <c r="I36" s="472"/>
      <c r="J36" s="472"/>
      <c r="K36" s="472"/>
      <c r="L36" s="472"/>
      <c r="M36" s="472"/>
      <c r="N36" s="472"/>
      <c r="O36" s="472"/>
      <c r="P36" s="472"/>
      <c r="Q36" s="245"/>
    </row>
    <row r="37" spans="1:17" x14ac:dyDescent="0.35">
      <c r="A37" s="244"/>
      <c r="B37" s="472"/>
      <c r="C37" s="472"/>
      <c r="D37" s="472"/>
      <c r="E37" s="472"/>
      <c r="F37" s="472"/>
      <c r="G37" s="472"/>
      <c r="H37" s="472"/>
      <c r="I37" s="472"/>
      <c r="J37" s="472"/>
      <c r="K37" s="472"/>
      <c r="L37" s="472"/>
      <c r="M37" s="472"/>
      <c r="N37" s="472"/>
      <c r="O37" s="472"/>
      <c r="P37" s="472"/>
      <c r="Q37" s="245"/>
    </row>
    <row r="38" spans="1:17" x14ac:dyDescent="0.35">
      <c r="A38" s="244"/>
      <c r="B38" s="472"/>
      <c r="C38" s="472"/>
      <c r="D38" s="472"/>
      <c r="E38" s="472"/>
      <c r="F38" s="472"/>
      <c r="G38" s="472"/>
      <c r="H38" s="472"/>
      <c r="I38" s="472"/>
      <c r="J38" s="472"/>
      <c r="K38" s="472"/>
      <c r="L38" s="472"/>
      <c r="M38" s="472"/>
      <c r="N38" s="472"/>
      <c r="O38" s="472"/>
      <c r="P38" s="472"/>
      <c r="Q38" s="245"/>
    </row>
    <row r="39" spans="1:17" x14ac:dyDescent="0.35">
      <c r="A39" s="244"/>
      <c r="B39" s="472"/>
      <c r="C39" s="472"/>
      <c r="D39" s="472"/>
      <c r="E39" s="472"/>
      <c r="F39" s="472"/>
      <c r="G39" s="472"/>
      <c r="H39" s="472"/>
      <c r="I39" s="472"/>
      <c r="J39" s="472"/>
      <c r="K39" s="472"/>
      <c r="L39" s="472"/>
      <c r="M39" s="472"/>
      <c r="N39" s="472"/>
      <c r="O39" s="472"/>
      <c r="P39" s="472"/>
      <c r="Q39" s="245"/>
    </row>
    <row r="40" spans="1:17" x14ac:dyDescent="0.35">
      <c r="A40" s="244"/>
      <c r="B40" s="472"/>
      <c r="C40" s="472"/>
      <c r="D40" s="472"/>
      <c r="E40" s="472"/>
      <c r="F40" s="472"/>
      <c r="G40" s="472"/>
      <c r="H40" s="472"/>
      <c r="I40" s="472"/>
      <c r="J40" s="472"/>
      <c r="K40" s="472"/>
      <c r="L40" s="472"/>
      <c r="M40" s="472"/>
      <c r="N40" s="472"/>
      <c r="O40" s="472"/>
      <c r="P40" s="472"/>
      <c r="Q40" s="245"/>
    </row>
    <row r="41" spans="1:17" x14ac:dyDescent="0.35">
      <c r="A41" s="244"/>
      <c r="B41" s="472"/>
      <c r="C41" s="472"/>
      <c r="D41" s="472"/>
      <c r="E41" s="472"/>
      <c r="F41" s="472"/>
      <c r="G41" s="472"/>
      <c r="H41" s="472"/>
      <c r="I41" s="472"/>
      <c r="J41" s="472"/>
      <c r="K41" s="472"/>
      <c r="L41" s="472"/>
      <c r="M41" s="472"/>
      <c r="N41" s="472"/>
      <c r="O41" s="472"/>
      <c r="P41" s="472"/>
      <c r="Q41" s="245"/>
    </row>
    <row r="42" spans="1:17" x14ac:dyDescent="0.35">
      <c r="A42" s="244"/>
      <c r="B42" s="472"/>
      <c r="C42" s="472"/>
      <c r="D42" s="472"/>
      <c r="E42" s="472"/>
      <c r="F42" s="472"/>
      <c r="G42" s="472"/>
      <c r="H42" s="472"/>
      <c r="I42" s="472"/>
      <c r="J42" s="472"/>
      <c r="K42" s="472"/>
      <c r="L42" s="472"/>
      <c r="M42" s="472"/>
      <c r="N42" s="472"/>
      <c r="O42" s="472"/>
      <c r="P42" s="472"/>
      <c r="Q42" s="245"/>
    </row>
    <row r="43" spans="1:17" x14ac:dyDescent="0.35">
      <c r="A43" s="244"/>
      <c r="B43" s="472"/>
      <c r="C43" s="472"/>
      <c r="D43" s="472"/>
      <c r="E43" s="472"/>
      <c r="F43" s="472"/>
      <c r="G43" s="472"/>
      <c r="H43" s="472"/>
      <c r="I43" s="472"/>
      <c r="J43" s="472"/>
      <c r="K43" s="472"/>
      <c r="L43" s="472"/>
      <c r="M43" s="472"/>
      <c r="N43" s="472"/>
      <c r="O43" s="472"/>
      <c r="P43" s="472"/>
      <c r="Q43" s="245"/>
    </row>
    <row r="44" spans="1:17" x14ac:dyDescent="0.35">
      <c r="A44" s="244"/>
      <c r="B44" s="472"/>
      <c r="C44" s="472"/>
      <c r="D44" s="472"/>
      <c r="E44" s="472"/>
      <c r="F44" s="472"/>
      <c r="G44" s="472"/>
      <c r="H44" s="472"/>
      <c r="I44" s="472"/>
      <c r="J44" s="472"/>
      <c r="K44" s="472"/>
      <c r="L44" s="472"/>
      <c r="M44" s="472"/>
      <c r="N44" s="472"/>
      <c r="O44" s="472"/>
      <c r="P44" s="472"/>
      <c r="Q44" s="245"/>
    </row>
    <row r="45" spans="1:17" x14ac:dyDescent="0.35">
      <c r="A45" s="244"/>
      <c r="B45" s="472"/>
      <c r="C45" s="472"/>
      <c r="D45" s="472"/>
      <c r="E45" s="472"/>
      <c r="F45" s="472"/>
      <c r="G45" s="472"/>
      <c r="H45" s="472"/>
      <c r="I45" s="472"/>
      <c r="J45" s="472"/>
      <c r="K45" s="472"/>
      <c r="L45" s="472"/>
      <c r="M45" s="472"/>
      <c r="N45" s="472"/>
      <c r="O45" s="472"/>
      <c r="P45" s="472"/>
      <c r="Q45" s="245"/>
    </row>
    <row r="46" spans="1:17" x14ac:dyDescent="0.35">
      <c r="A46" s="244"/>
      <c r="B46" s="472"/>
      <c r="C46" s="472"/>
      <c r="D46" s="472"/>
      <c r="E46" s="472"/>
      <c r="F46" s="472"/>
      <c r="G46" s="472"/>
      <c r="H46" s="472"/>
      <c r="I46" s="472"/>
      <c r="J46" s="472"/>
      <c r="K46" s="472"/>
      <c r="L46" s="472"/>
      <c r="M46" s="472"/>
      <c r="N46" s="472"/>
      <c r="O46" s="472"/>
      <c r="P46" s="472"/>
      <c r="Q46" s="245"/>
    </row>
    <row r="47" spans="1:17" x14ac:dyDescent="0.35">
      <c r="A47" s="244"/>
      <c r="B47" s="472"/>
      <c r="C47" s="472"/>
      <c r="D47" s="472"/>
      <c r="E47" s="472"/>
      <c r="F47" s="472"/>
      <c r="G47" s="472"/>
      <c r="H47" s="472"/>
      <c r="I47" s="472"/>
      <c r="J47" s="472"/>
      <c r="K47" s="472"/>
      <c r="L47" s="472"/>
      <c r="M47" s="472"/>
      <c r="N47" s="472"/>
      <c r="O47" s="472"/>
      <c r="P47" s="472"/>
      <c r="Q47" s="245"/>
    </row>
    <row r="48" spans="1:17" x14ac:dyDescent="0.35">
      <c r="A48" s="244"/>
      <c r="B48" s="472"/>
      <c r="C48" s="472"/>
      <c r="D48" s="472"/>
      <c r="E48" s="472"/>
      <c r="F48" s="472"/>
      <c r="G48" s="472"/>
      <c r="H48" s="472"/>
      <c r="I48" s="472"/>
      <c r="J48" s="472"/>
      <c r="K48" s="472"/>
      <c r="L48" s="472"/>
      <c r="M48" s="472"/>
      <c r="N48" s="472"/>
      <c r="O48" s="472"/>
      <c r="P48" s="472"/>
      <c r="Q48" s="245"/>
    </row>
    <row r="49" spans="1:17" x14ac:dyDescent="0.35">
      <c r="A49" s="244"/>
      <c r="B49" s="472"/>
      <c r="C49" s="472"/>
      <c r="D49" s="472"/>
      <c r="E49" s="472"/>
      <c r="F49" s="472"/>
      <c r="G49" s="472"/>
      <c r="H49" s="472"/>
      <c r="I49" s="472"/>
      <c r="J49" s="472"/>
      <c r="K49" s="472"/>
      <c r="L49" s="472"/>
      <c r="M49" s="472"/>
      <c r="N49" s="472"/>
      <c r="O49" s="472"/>
      <c r="P49" s="472"/>
      <c r="Q49" s="245"/>
    </row>
    <row r="50" spans="1:17" x14ac:dyDescent="0.35">
      <c r="A50" s="244"/>
      <c r="B50" s="472"/>
      <c r="C50" s="472"/>
      <c r="D50" s="472"/>
      <c r="E50" s="472"/>
      <c r="F50" s="472"/>
      <c r="G50" s="472"/>
      <c r="H50" s="472"/>
      <c r="I50" s="472"/>
      <c r="J50" s="472"/>
      <c r="K50" s="472"/>
      <c r="L50" s="472"/>
      <c r="M50" s="472"/>
      <c r="N50" s="472"/>
      <c r="O50" s="472"/>
      <c r="P50" s="472"/>
      <c r="Q50" s="245"/>
    </row>
    <row r="51" spans="1:17" x14ac:dyDescent="0.35">
      <c r="A51" s="244"/>
      <c r="B51" s="472"/>
      <c r="C51" s="472"/>
      <c r="D51" s="472"/>
      <c r="E51" s="472"/>
      <c r="F51" s="472"/>
      <c r="G51" s="472"/>
      <c r="H51" s="472"/>
      <c r="I51" s="472"/>
      <c r="J51" s="472"/>
      <c r="K51" s="472"/>
      <c r="L51" s="472"/>
      <c r="M51" s="472"/>
      <c r="N51" s="472"/>
      <c r="O51" s="472"/>
      <c r="P51" s="472"/>
      <c r="Q51" s="245"/>
    </row>
    <row r="52" spans="1:17" x14ac:dyDescent="0.35">
      <c r="A52" s="244"/>
      <c r="B52" s="472"/>
      <c r="C52" s="472"/>
      <c r="D52" s="472"/>
      <c r="E52" s="472"/>
      <c r="F52" s="472"/>
      <c r="G52" s="472"/>
      <c r="H52" s="472"/>
      <c r="I52" s="472"/>
      <c r="J52" s="472"/>
      <c r="K52" s="472"/>
      <c r="L52" s="472"/>
      <c r="M52" s="472"/>
      <c r="N52" s="472"/>
      <c r="O52" s="472"/>
      <c r="P52" s="472"/>
      <c r="Q52" s="245"/>
    </row>
    <row r="53" spans="1:17" x14ac:dyDescent="0.35">
      <c r="A53" s="244"/>
      <c r="B53" s="472"/>
      <c r="C53" s="472"/>
      <c r="D53" s="472"/>
      <c r="E53" s="472"/>
      <c r="F53" s="472"/>
      <c r="G53" s="472"/>
      <c r="H53" s="472"/>
      <c r="I53" s="472"/>
      <c r="J53" s="472"/>
      <c r="K53" s="472"/>
      <c r="L53" s="472"/>
      <c r="M53" s="472"/>
      <c r="N53" s="472"/>
      <c r="O53" s="472"/>
      <c r="P53" s="472"/>
      <c r="Q53" s="245"/>
    </row>
    <row r="54" spans="1:17" x14ac:dyDescent="0.35">
      <c r="A54" s="244"/>
      <c r="B54" s="472"/>
      <c r="C54" s="472"/>
      <c r="D54" s="472"/>
      <c r="E54" s="472"/>
      <c r="F54" s="472"/>
      <c r="G54" s="472"/>
      <c r="H54" s="472"/>
      <c r="I54" s="472"/>
      <c r="J54" s="472"/>
      <c r="K54" s="472"/>
      <c r="L54" s="472"/>
      <c r="M54" s="472"/>
      <c r="N54" s="472"/>
      <c r="O54" s="472"/>
      <c r="P54" s="472"/>
      <c r="Q54" s="245"/>
    </row>
    <row r="55" spans="1:17" x14ac:dyDescent="0.35">
      <c r="A55" s="244"/>
      <c r="B55" s="472"/>
      <c r="C55" s="472"/>
      <c r="D55" s="472"/>
      <c r="E55" s="472"/>
      <c r="F55" s="472"/>
      <c r="G55" s="472"/>
      <c r="H55" s="472"/>
      <c r="I55" s="472"/>
      <c r="J55" s="472"/>
      <c r="K55" s="472"/>
      <c r="L55" s="472"/>
      <c r="M55" s="472"/>
      <c r="N55" s="472"/>
      <c r="O55" s="472"/>
      <c r="P55" s="472"/>
      <c r="Q55" s="245"/>
    </row>
    <row r="56" spans="1:17" x14ac:dyDescent="0.35">
      <c r="A56" s="244"/>
      <c r="B56" s="472"/>
      <c r="C56" s="472"/>
      <c r="D56" s="472"/>
      <c r="E56" s="472"/>
      <c r="F56" s="472"/>
      <c r="G56" s="472"/>
      <c r="H56" s="472"/>
      <c r="I56" s="472"/>
      <c r="J56" s="472"/>
      <c r="K56" s="472"/>
      <c r="L56" s="472"/>
      <c r="M56" s="472"/>
      <c r="N56" s="472"/>
      <c r="O56" s="472"/>
      <c r="P56" s="472"/>
      <c r="Q56" s="245"/>
    </row>
    <row r="57" spans="1:17" x14ac:dyDescent="0.35">
      <c r="A57" s="244"/>
      <c r="B57" s="472"/>
      <c r="C57" s="472"/>
      <c r="D57" s="472"/>
      <c r="E57" s="472"/>
      <c r="F57" s="472"/>
      <c r="G57" s="472"/>
      <c r="H57" s="472"/>
      <c r="I57" s="472"/>
      <c r="J57" s="472"/>
      <c r="K57" s="472"/>
      <c r="L57" s="472"/>
      <c r="M57" s="472"/>
      <c r="N57" s="472"/>
      <c r="O57" s="472"/>
      <c r="P57" s="472"/>
      <c r="Q57" s="245"/>
    </row>
    <row r="58" spans="1:17" x14ac:dyDescent="0.35">
      <c r="A58" s="244"/>
      <c r="B58" s="472"/>
      <c r="C58" s="472"/>
      <c r="D58" s="472"/>
      <c r="E58" s="472"/>
      <c r="F58" s="472"/>
      <c r="G58" s="472"/>
      <c r="H58" s="472"/>
      <c r="I58" s="472"/>
      <c r="J58" s="472"/>
      <c r="K58" s="472"/>
      <c r="L58" s="472"/>
      <c r="M58" s="472"/>
      <c r="N58" s="472"/>
      <c r="O58" s="472"/>
      <c r="P58" s="472"/>
      <c r="Q58" s="245"/>
    </row>
    <row r="59" spans="1:17" x14ac:dyDescent="0.35">
      <c r="A59" s="244"/>
      <c r="B59" s="472"/>
      <c r="C59" s="472"/>
      <c r="D59" s="472"/>
      <c r="E59" s="472"/>
      <c r="F59" s="472"/>
      <c r="G59" s="472"/>
      <c r="H59" s="472"/>
      <c r="I59" s="472"/>
      <c r="J59" s="472"/>
      <c r="K59" s="472"/>
      <c r="L59" s="472"/>
      <c r="M59" s="472"/>
      <c r="N59" s="472"/>
      <c r="O59" s="472"/>
      <c r="P59" s="472"/>
      <c r="Q59" s="245"/>
    </row>
    <row r="60" spans="1:17" x14ac:dyDescent="0.35">
      <c r="A60" s="244"/>
      <c r="B60" s="472"/>
      <c r="C60" s="472"/>
      <c r="D60" s="472"/>
      <c r="E60" s="472"/>
      <c r="F60" s="472"/>
      <c r="G60" s="472"/>
      <c r="H60" s="472"/>
      <c r="I60" s="472"/>
      <c r="J60" s="472"/>
      <c r="K60" s="472"/>
      <c r="L60" s="472"/>
      <c r="M60" s="472"/>
      <c r="N60" s="472"/>
      <c r="O60" s="472"/>
      <c r="P60" s="472"/>
      <c r="Q60" s="245"/>
    </row>
    <row r="61" spans="1:17" x14ac:dyDescent="0.35">
      <c r="A61" s="244"/>
      <c r="B61" s="472"/>
      <c r="C61" s="472"/>
      <c r="D61" s="472"/>
      <c r="E61" s="472"/>
      <c r="F61" s="472"/>
      <c r="G61" s="472"/>
      <c r="H61" s="472"/>
      <c r="I61" s="472"/>
      <c r="J61" s="472"/>
      <c r="K61" s="472"/>
      <c r="L61" s="472"/>
      <c r="M61" s="472"/>
      <c r="N61" s="472"/>
      <c r="O61" s="472"/>
      <c r="P61" s="472"/>
      <c r="Q61" s="245"/>
    </row>
    <row r="62" spans="1:17" x14ac:dyDescent="0.35">
      <c r="A62" s="244"/>
      <c r="B62" s="472"/>
      <c r="C62" s="472"/>
      <c r="D62" s="472"/>
      <c r="E62" s="472"/>
      <c r="F62" s="472"/>
      <c r="G62" s="472"/>
      <c r="H62" s="472"/>
      <c r="I62" s="472"/>
      <c r="J62" s="472"/>
      <c r="K62" s="472"/>
      <c r="L62" s="472"/>
      <c r="M62" s="472"/>
      <c r="N62" s="472"/>
      <c r="O62" s="472"/>
      <c r="P62" s="472"/>
      <c r="Q62" s="245"/>
    </row>
    <row r="63" spans="1:17" x14ac:dyDescent="0.35">
      <c r="A63" s="244"/>
      <c r="B63" s="472"/>
      <c r="C63" s="472"/>
      <c r="D63" s="472"/>
      <c r="E63" s="472"/>
      <c r="F63" s="472"/>
      <c r="G63" s="472"/>
      <c r="H63" s="472"/>
      <c r="I63" s="472"/>
      <c r="J63" s="472"/>
      <c r="K63" s="472"/>
      <c r="L63" s="472"/>
      <c r="M63" s="472"/>
      <c r="N63" s="472"/>
      <c r="O63" s="472"/>
      <c r="P63" s="472"/>
      <c r="Q63" s="245"/>
    </row>
    <row r="64" spans="1:17" x14ac:dyDescent="0.35">
      <c r="A64" s="244"/>
      <c r="B64" s="472"/>
      <c r="C64" s="472"/>
      <c r="D64" s="472"/>
      <c r="E64" s="472"/>
      <c r="F64" s="472"/>
      <c r="G64" s="472"/>
      <c r="H64" s="472"/>
      <c r="I64" s="472"/>
      <c r="J64" s="472"/>
      <c r="K64" s="472"/>
      <c r="L64" s="472"/>
      <c r="M64" s="472"/>
      <c r="N64" s="472"/>
      <c r="O64" s="472"/>
      <c r="P64" s="472"/>
      <c r="Q64" s="245"/>
    </row>
    <row r="65" spans="1:17" x14ac:dyDescent="0.35">
      <c r="A65" s="244"/>
      <c r="B65" s="472"/>
      <c r="C65" s="472"/>
      <c r="D65" s="472"/>
      <c r="E65" s="472"/>
      <c r="F65" s="472"/>
      <c r="G65" s="472"/>
      <c r="H65" s="472"/>
      <c r="I65" s="472"/>
      <c r="J65" s="472"/>
      <c r="K65" s="472"/>
      <c r="L65" s="472"/>
      <c r="M65" s="472"/>
      <c r="N65" s="472"/>
      <c r="O65" s="472"/>
      <c r="P65" s="472"/>
      <c r="Q65" s="245"/>
    </row>
    <row r="66" spans="1:17" x14ac:dyDescent="0.35">
      <c r="A66" s="244"/>
      <c r="B66" s="472"/>
      <c r="C66" s="472"/>
      <c r="D66" s="472"/>
      <c r="E66" s="472"/>
      <c r="F66" s="472"/>
      <c r="G66" s="472"/>
      <c r="H66" s="472"/>
      <c r="I66" s="472"/>
      <c r="J66" s="472"/>
      <c r="K66" s="472"/>
      <c r="L66" s="472"/>
      <c r="M66" s="472"/>
      <c r="N66" s="472"/>
      <c r="O66" s="472"/>
      <c r="P66" s="472"/>
      <c r="Q66" s="245"/>
    </row>
    <row r="67" spans="1:17" x14ac:dyDescent="0.35">
      <c r="A67" s="244"/>
      <c r="B67" s="472"/>
      <c r="C67" s="472"/>
      <c r="D67" s="472"/>
      <c r="E67" s="472"/>
      <c r="F67" s="472"/>
      <c r="G67" s="472"/>
      <c r="H67" s="472"/>
      <c r="I67" s="472"/>
      <c r="J67" s="472"/>
      <c r="K67" s="472"/>
      <c r="L67" s="472"/>
      <c r="M67" s="472"/>
      <c r="N67" s="472"/>
      <c r="O67" s="472"/>
      <c r="P67" s="472"/>
      <c r="Q67" s="245"/>
    </row>
    <row r="68" spans="1:17" x14ac:dyDescent="0.35">
      <c r="A68" s="244"/>
      <c r="B68" s="472"/>
      <c r="C68" s="472"/>
      <c r="D68" s="472"/>
      <c r="E68" s="472"/>
      <c r="F68" s="472"/>
      <c r="G68" s="472"/>
      <c r="H68" s="472"/>
      <c r="I68" s="472"/>
      <c r="J68" s="472"/>
      <c r="K68" s="472"/>
      <c r="L68" s="472"/>
      <c r="M68" s="472"/>
      <c r="N68" s="472"/>
      <c r="O68" s="472"/>
      <c r="P68" s="472"/>
      <c r="Q68" s="245"/>
    </row>
    <row r="69" spans="1:17" x14ac:dyDescent="0.35">
      <c r="A69" s="244"/>
      <c r="B69" s="472"/>
      <c r="C69" s="472"/>
      <c r="D69" s="472"/>
      <c r="E69" s="472"/>
      <c r="F69" s="472"/>
      <c r="G69" s="472"/>
      <c r="H69" s="472"/>
      <c r="I69" s="472"/>
      <c r="J69" s="472"/>
      <c r="K69" s="472"/>
      <c r="L69" s="472"/>
      <c r="M69" s="472"/>
      <c r="N69" s="472"/>
      <c r="O69" s="472"/>
      <c r="P69" s="472"/>
      <c r="Q69" s="245"/>
    </row>
    <row r="70" spans="1:17" x14ac:dyDescent="0.35">
      <c r="A70" s="244"/>
      <c r="B70" s="472"/>
      <c r="C70" s="472"/>
      <c r="D70" s="472"/>
      <c r="E70" s="472"/>
      <c r="F70" s="472"/>
      <c r="G70" s="472"/>
      <c r="H70" s="472"/>
      <c r="I70" s="472"/>
      <c r="J70" s="472"/>
      <c r="K70" s="472"/>
      <c r="L70" s="472"/>
      <c r="M70" s="472"/>
      <c r="N70" s="472"/>
      <c r="O70" s="472"/>
      <c r="P70" s="472"/>
      <c r="Q70" s="245"/>
    </row>
    <row r="71" spans="1:17" x14ac:dyDescent="0.35">
      <c r="A71" s="244"/>
      <c r="B71" s="472"/>
      <c r="C71" s="472"/>
      <c r="D71" s="472"/>
      <c r="E71" s="472"/>
      <c r="F71" s="472"/>
      <c r="G71" s="472"/>
      <c r="H71" s="472"/>
      <c r="I71" s="472"/>
      <c r="J71" s="472"/>
      <c r="K71" s="472"/>
      <c r="L71" s="472"/>
      <c r="M71" s="472"/>
      <c r="N71" s="472"/>
      <c r="O71" s="472"/>
      <c r="P71" s="472"/>
      <c r="Q71" s="245"/>
    </row>
    <row r="72" spans="1:17" x14ac:dyDescent="0.35">
      <c r="A72" s="244"/>
      <c r="B72" s="472"/>
      <c r="C72" s="472"/>
      <c r="D72" s="472"/>
      <c r="E72" s="472"/>
      <c r="F72" s="472"/>
      <c r="G72" s="472"/>
      <c r="H72" s="472"/>
      <c r="I72" s="472"/>
      <c r="J72" s="472"/>
      <c r="K72" s="472"/>
      <c r="L72" s="472"/>
      <c r="M72" s="472"/>
      <c r="N72" s="472"/>
      <c r="O72" s="472"/>
      <c r="P72" s="472"/>
      <c r="Q72" s="245"/>
    </row>
    <row r="73" spans="1:17" x14ac:dyDescent="0.35">
      <c r="A73" s="244"/>
      <c r="B73" s="472"/>
      <c r="C73" s="472"/>
      <c r="D73" s="472"/>
      <c r="E73" s="472"/>
      <c r="F73" s="472"/>
      <c r="G73" s="472"/>
      <c r="H73" s="472"/>
      <c r="I73" s="472"/>
      <c r="J73" s="472"/>
      <c r="K73" s="472"/>
      <c r="L73" s="472"/>
      <c r="M73" s="472"/>
      <c r="N73" s="472"/>
      <c r="O73" s="472"/>
      <c r="P73" s="472"/>
      <c r="Q73" s="245"/>
    </row>
    <row r="74" spans="1:17" x14ac:dyDescent="0.35">
      <c r="A74" s="244"/>
      <c r="B74" s="472"/>
      <c r="C74" s="472"/>
      <c r="D74" s="472"/>
      <c r="E74" s="472"/>
      <c r="F74" s="472"/>
      <c r="G74" s="472"/>
      <c r="H74" s="472"/>
      <c r="I74" s="472"/>
      <c r="J74" s="472"/>
      <c r="K74" s="472"/>
      <c r="L74" s="472"/>
      <c r="M74" s="472"/>
      <c r="N74" s="472"/>
      <c r="O74" s="472"/>
      <c r="P74" s="472"/>
      <c r="Q74" s="245"/>
    </row>
    <row r="75" spans="1:17" x14ac:dyDescent="0.35">
      <c r="A75" s="244"/>
      <c r="B75" s="472"/>
      <c r="C75" s="472"/>
      <c r="D75" s="472"/>
      <c r="E75" s="472"/>
      <c r="F75" s="472"/>
      <c r="G75" s="472"/>
      <c r="H75" s="472"/>
      <c r="I75" s="472"/>
      <c r="J75" s="472"/>
      <c r="K75" s="472"/>
      <c r="L75" s="472"/>
      <c r="M75" s="472"/>
      <c r="N75" s="472"/>
      <c r="O75" s="472"/>
      <c r="P75" s="472"/>
      <c r="Q75" s="245"/>
    </row>
    <row r="76" spans="1:17" x14ac:dyDescent="0.35">
      <c r="A76" s="244"/>
      <c r="B76" s="472"/>
      <c r="C76" s="472"/>
      <c r="D76" s="472"/>
      <c r="E76" s="472"/>
      <c r="F76" s="472"/>
      <c r="G76" s="472"/>
      <c r="H76" s="472"/>
      <c r="I76" s="472"/>
      <c r="J76" s="472"/>
      <c r="K76" s="472"/>
      <c r="L76" s="472"/>
      <c r="M76" s="472"/>
      <c r="N76" s="472"/>
      <c r="O76" s="472"/>
      <c r="P76" s="472"/>
      <c r="Q76" s="245"/>
    </row>
    <row r="77" spans="1:17" x14ac:dyDescent="0.35">
      <c r="A77" s="244"/>
      <c r="B77" s="472"/>
      <c r="C77" s="472"/>
      <c r="D77" s="472"/>
      <c r="E77" s="472"/>
      <c r="F77" s="472"/>
      <c r="G77" s="472"/>
      <c r="H77" s="472"/>
      <c r="I77" s="472"/>
      <c r="J77" s="472"/>
      <c r="K77" s="472"/>
      <c r="L77" s="472"/>
      <c r="M77" s="472"/>
      <c r="N77" s="472"/>
      <c r="O77" s="472"/>
      <c r="P77" s="472"/>
      <c r="Q77" s="245"/>
    </row>
    <row r="78" spans="1:17" x14ac:dyDescent="0.35">
      <c r="A78" s="244"/>
      <c r="B78" s="472"/>
      <c r="C78" s="472"/>
      <c r="D78" s="472"/>
      <c r="E78" s="472"/>
      <c r="F78" s="472"/>
      <c r="G78" s="472"/>
      <c r="H78" s="472"/>
      <c r="I78" s="472"/>
      <c r="J78" s="472"/>
      <c r="K78" s="472"/>
      <c r="L78" s="472"/>
      <c r="M78" s="472"/>
      <c r="N78" s="472"/>
      <c r="O78" s="472"/>
      <c r="P78" s="472"/>
      <c r="Q78" s="245"/>
    </row>
    <row r="79" spans="1:17" x14ac:dyDescent="0.35">
      <c r="A79" s="244"/>
      <c r="B79" s="472"/>
      <c r="C79" s="472"/>
      <c r="D79" s="472"/>
      <c r="E79" s="472"/>
      <c r="F79" s="472"/>
      <c r="G79" s="472"/>
      <c r="H79" s="472"/>
      <c r="I79" s="472"/>
      <c r="J79" s="472"/>
      <c r="K79" s="472"/>
      <c r="L79" s="472"/>
      <c r="M79" s="472"/>
      <c r="N79" s="472"/>
      <c r="O79" s="472"/>
      <c r="P79" s="472"/>
      <c r="Q79" s="245"/>
    </row>
    <row r="80" spans="1:17" x14ac:dyDescent="0.35">
      <c r="A80" s="244"/>
      <c r="B80" s="472"/>
      <c r="C80" s="472"/>
      <c r="D80" s="472"/>
      <c r="E80" s="472"/>
      <c r="F80" s="472"/>
      <c r="G80" s="472"/>
      <c r="H80" s="472"/>
      <c r="I80" s="472"/>
      <c r="J80" s="472"/>
      <c r="K80" s="472"/>
      <c r="L80" s="472"/>
      <c r="M80" s="472"/>
      <c r="N80" s="472"/>
      <c r="O80" s="472"/>
      <c r="P80" s="472"/>
      <c r="Q80" s="245"/>
    </row>
    <row r="81" spans="1:17" x14ac:dyDescent="0.35">
      <c r="A81" s="244"/>
      <c r="B81" s="472"/>
      <c r="C81" s="472"/>
      <c r="D81" s="472"/>
      <c r="E81" s="472"/>
      <c r="F81" s="472"/>
      <c r="G81" s="472"/>
      <c r="H81" s="472"/>
      <c r="I81" s="472"/>
      <c r="J81" s="472"/>
      <c r="K81" s="472"/>
      <c r="L81" s="472"/>
      <c r="M81" s="472"/>
      <c r="N81" s="472"/>
      <c r="O81" s="472"/>
      <c r="P81" s="472"/>
      <c r="Q81" s="245"/>
    </row>
    <row r="82" spans="1:17" x14ac:dyDescent="0.35">
      <c r="A82" s="244"/>
      <c r="B82" s="472"/>
      <c r="C82" s="472"/>
      <c r="D82" s="472"/>
      <c r="E82" s="472"/>
      <c r="F82" s="472"/>
      <c r="G82" s="472"/>
      <c r="H82" s="472"/>
      <c r="I82" s="472"/>
      <c r="J82" s="472"/>
      <c r="K82" s="472"/>
      <c r="L82" s="472"/>
      <c r="M82" s="472"/>
      <c r="N82" s="472"/>
      <c r="O82" s="472"/>
      <c r="P82" s="472"/>
      <c r="Q82" s="245"/>
    </row>
    <row r="83" spans="1:17" x14ac:dyDescent="0.35">
      <c r="A83" s="244"/>
      <c r="B83" s="472"/>
      <c r="C83" s="472"/>
      <c r="D83" s="472"/>
      <c r="E83" s="472"/>
      <c r="F83" s="472"/>
      <c r="G83" s="472"/>
      <c r="H83" s="472"/>
      <c r="I83" s="472"/>
      <c r="J83" s="472"/>
      <c r="K83" s="472"/>
      <c r="L83" s="472"/>
      <c r="M83" s="472"/>
      <c r="N83" s="472"/>
      <c r="O83" s="472"/>
      <c r="P83" s="472"/>
      <c r="Q83" s="245"/>
    </row>
    <row r="84" spans="1:17" x14ac:dyDescent="0.35">
      <c r="A84" s="244"/>
      <c r="B84" s="472"/>
      <c r="C84" s="472"/>
      <c r="D84" s="472"/>
      <c r="E84" s="472"/>
      <c r="F84" s="472"/>
      <c r="G84" s="472"/>
      <c r="H84" s="472"/>
      <c r="I84" s="472"/>
      <c r="J84" s="472"/>
      <c r="K84" s="472"/>
      <c r="L84" s="472"/>
      <c r="M84" s="472"/>
      <c r="N84" s="472"/>
      <c r="O84" s="472"/>
      <c r="P84" s="472"/>
      <c r="Q84" s="245"/>
    </row>
    <row r="85" spans="1:17" x14ac:dyDescent="0.35">
      <c r="A85" s="244"/>
      <c r="B85" s="472"/>
      <c r="C85" s="472"/>
      <c r="D85" s="472"/>
      <c r="E85" s="472"/>
      <c r="F85" s="472"/>
      <c r="G85" s="472"/>
      <c r="H85" s="472"/>
      <c r="I85" s="472"/>
      <c r="J85" s="472"/>
      <c r="K85" s="472"/>
      <c r="L85" s="472"/>
      <c r="M85" s="472"/>
      <c r="N85" s="472"/>
      <c r="O85" s="472"/>
      <c r="P85" s="472"/>
      <c r="Q85" s="245"/>
    </row>
    <row r="86" spans="1:17" x14ac:dyDescent="0.35">
      <c r="A86" s="244"/>
      <c r="B86" s="472"/>
      <c r="C86" s="472"/>
      <c r="D86" s="472"/>
      <c r="E86" s="472"/>
      <c r="F86" s="472"/>
      <c r="G86" s="472"/>
      <c r="H86" s="472"/>
      <c r="I86" s="472"/>
      <c r="J86" s="472"/>
      <c r="K86" s="472"/>
      <c r="L86" s="472"/>
      <c r="M86" s="472"/>
      <c r="N86" s="472"/>
      <c r="O86" s="472"/>
      <c r="P86" s="472"/>
      <c r="Q86" s="245"/>
    </row>
    <row r="87" spans="1:17" x14ac:dyDescent="0.35">
      <c r="A87" s="244"/>
      <c r="B87" s="472"/>
      <c r="C87" s="472"/>
      <c r="D87" s="472"/>
      <c r="E87" s="472"/>
      <c r="F87" s="472"/>
      <c r="G87" s="472"/>
      <c r="H87" s="472"/>
      <c r="I87" s="472"/>
      <c r="J87" s="472"/>
      <c r="K87" s="472"/>
      <c r="L87" s="472"/>
      <c r="M87" s="472"/>
      <c r="N87" s="472"/>
      <c r="O87" s="472"/>
      <c r="P87" s="472"/>
      <c r="Q87" s="245"/>
    </row>
    <row r="88" spans="1:17" x14ac:dyDescent="0.35">
      <c r="A88" s="244"/>
      <c r="B88" s="472"/>
      <c r="C88" s="472"/>
      <c r="D88" s="472"/>
      <c r="E88" s="472"/>
      <c r="F88" s="472"/>
      <c r="G88" s="472"/>
      <c r="H88" s="472"/>
      <c r="I88" s="472"/>
      <c r="J88" s="472"/>
      <c r="K88" s="472"/>
      <c r="L88" s="472"/>
      <c r="M88" s="472"/>
      <c r="N88" s="472"/>
      <c r="O88" s="472"/>
      <c r="P88" s="472"/>
      <c r="Q88" s="245"/>
    </row>
    <row r="89" spans="1:17" x14ac:dyDescent="0.35">
      <c r="A89" s="244"/>
      <c r="B89" s="472"/>
      <c r="C89" s="472"/>
      <c r="D89" s="472"/>
      <c r="E89" s="472"/>
      <c r="F89" s="472"/>
      <c r="G89" s="472"/>
      <c r="H89" s="472"/>
      <c r="I89" s="472"/>
      <c r="J89" s="472"/>
      <c r="K89" s="472"/>
      <c r="L89" s="472"/>
      <c r="M89" s="472"/>
      <c r="N89" s="472"/>
      <c r="O89" s="472"/>
      <c r="P89" s="472"/>
      <c r="Q89" s="245"/>
    </row>
    <row r="90" spans="1:17" x14ac:dyDescent="0.35">
      <c r="A90" s="244"/>
      <c r="B90" s="472"/>
      <c r="C90" s="472"/>
      <c r="D90" s="472"/>
      <c r="E90" s="472"/>
      <c r="F90" s="472"/>
      <c r="G90" s="472"/>
      <c r="H90" s="472"/>
      <c r="I90" s="472"/>
      <c r="J90" s="472"/>
      <c r="K90" s="472"/>
      <c r="L90" s="472"/>
      <c r="M90" s="472"/>
      <c r="N90" s="472"/>
      <c r="O90" s="472"/>
      <c r="P90" s="472"/>
      <c r="Q90" s="245"/>
    </row>
    <row r="91" spans="1:17" x14ac:dyDescent="0.35">
      <c r="A91" s="244"/>
      <c r="B91" s="472"/>
      <c r="C91" s="472"/>
      <c r="D91" s="472"/>
      <c r="E91" s="472"/>
      <c r="F91" s="472"/>
      <c r="G91" s="472"/>
      <c r="H91" s="472"/>
      <c r="I91" s="472"/>
      <c r="J91" s="472"/>
      <c r="K91" s="472"/>
      <c r="L91" s="472"/>
      <c r="M91" s="472"/>
      <c r="N91" s="472"/>
      <c r="O91" s="472"/>
      <c r="P91" s="472"/>
      <c r="Q91" s="245"/>
    </row>
    <row r="92" spans="1:17" x14ac:dyDescent="0.35">
      <c r="A92" s="244"/>
      <c r="B92" s="472"/>
      <c r="C92" s="472"/>
      <c r="D92" s="472"/>
      <c r="E92" s="472"/>
      <c r="F92" s="472"/>
      <c r="G92" s="472"/>
      <c r="H92" s="472"/>
      <c r="I92" s="472"/>
      <c r="J92" s="472"/>
      <c r="K92" s="472"/>
      <c r="L92" s="472"/>
      <c r="M92" s="472"/>
      <c r="N92" s="472"/>
      <c r="O92" s="472"/>
      <c r="P92" s="472"/>
      <c r="Q92" s="245"/>
    </row>
    <row r="93" spans="1:17" x14ac:dyDescent="0.35">
      <c r="A93" s="244"/>
      <c r="B93" s="472"/>
      <c r="C93" s="472"/>
      <c r="D93" s="472"/>
      <c r="E93" s="472"/>
      <c r="F93" s="472"/>
      <c r="G93" s="472"/>
      <c r="H93" s="472"/>
      <c r="I93" s="472"/>
      <c r="J93" s="472"/>
      <c r="K93" s="472"/>
      <c r="L93" s="472"/>
      <c r="M93" s="472"/>
      <c r="N93" s="472"/>
      <c r="O93" s="472"/>
      <c r="P93" s="472"/>
      <c r="Q93" s="245"/>
    </row>
    <row r="94" spans="1:17" x14ac:dyDescent="0.35">
      <c r="A94" s="244"/>
      <c r="B94" s="472"/>
      <c r="C94" s="472"/>
      <c r="D94" s="472"/>
      <c r="E94" s="472"/>
      <c r="F94" s="472"/>
      <c r="G94" s="472"/>
      <c r="H94" s="472"/>
      <c r="I94" s="472"/>
      <c r="J94" s="472"/>
      <c r="K94" s="472"/>
      <c r="L94" s="472"/>
      <c r="M94" s="472"/>
      <c r="N94" s="472"/>
      <c r="O94" s="472"/>
      <c r="P94" s="472"/>
      <c r="Q94" s="245"/>
    </row>
    <row r="95" spans="1:17" x14ac:dyDescent="0.35">
      <c r="A95" s="244"/>
      <c r="B95" s="472"/>
      <c r="C95" s="472"/>
      <c r="D95" s="472"/>
      <c r="E95" s="472"/>
      <c r="F95" s="472"/>
      <c r="G95" s="472"/>
      <c r="H95" s="472"/>
      <c r="I95" s="472"/>
      <c r="J95" s="472"/>
      <c r="K95" s="472"/>
      <c r="L95" s="472"/>
      <c r="M95" s="472"/>
      <c r="N95" s="472"/>
      <c r="O95" s="472"/>
      <c r="P95" s="472"/>
      <c r="Q95" s="245"/>
    </row>
    <row r="96" spans="1:17" x14ac:dyDescent="0.35">
      <c r="A96" s="244"/>
      <c r="B96" s="472"/>
      <c r="C96" s="472"/>
      <c r="D96" s="472"/>
      <c r="E96" s="472"/>
      <c r="F96" s="472"/>
      <c r="G96" s="472"/>
      <c r="H96" s="472"/>
      <c r="I96" s="472"/>
      <c r="J96" s="472"/>
      <c r="K96" s="472"/>
      <c r="L96" s="472"/>
      <c r="M96" s="472"/>
      <c r="N96" s="472"/>
      <c r="O96" s="472"/>
      <c r="P96" s="472"/>
      <c r="Q96" s="245"/>
    </row>
    <row r="97" spans="1:17" x14ac:dyDescent="0.35">
      <c r="A97" s="244"/>
      <c r="B97" s="472"/>
      <c r="C97" s="472"/>
      <c r="D97" s="472"/>
      <c r="E97" s="472"/>
      <c r="F97" s="472"/>
      <c r="G97" s="472"/>
      <c r="H97" s="472"/>
      <c r="I97" s="472"/>
      <c r="J97" s="472"/>
      <c r="K97" s="472"/>
      <c r="L97" s="472"/>
      <c r="M97" s="472"/>
      <c r="N97" s="472"/>
      <c r="O97" s="472"/>
      <c r="P97" s="472"/>
      <c r="Q97" s="245"/>
    </row>
    <row r="98" spans="1:17" x14ac:dyDescent="0.35">
      <c r="A98" s="244"/>
      <c r="B98" s="472"/>
      <c r="C98" s="472"/>
      <c r="D98" s="472"/>
      <c r="E98" s="472"/>
      <c r="F98" s="472"/>
      <c r="G98" s="472"/>
      <c r="H98" s="472"/>
      <c r="I98" s="472"/>
      <c r="J98" s="472"/>
      <c r="K98" s="472"/>
      <c r="L98" s="472"/>
      <c r="M98" s="472"/>
      <c r="N98" s="472"/>
      <c r="O98" s="472"/>
      <c r="P98" s="472"/>
      <c r="Q98" s="245"/>
    </row>
    <row r="99" spans="1:17" x14ac:dyDescent="0.35">
      <c r="A99" s="244"/>
      <c r="B99" s="472"/>
      <c r="C99" s="472"/>
      <c r="D99" s="472"/>
      <c r="E99" s="472"/>
      <c r="F99" s="472"/>
      <c r="G99" s="472"/>
      <c r="H99" s="472"/>
      <c r="I99" s="472"/>
      <c r="J99" s="472"/>
      <c r="K99" s="472"/>
      <c r="L99" s="472"/>
      <c r="M99" s="472"/>
      <c r="N99" s="472"/>
      <c r="O99" s="472"/>
      <c r="P99" s="472"/>
      <c r="Q99" s="245"/>
    </row>
    <row r="100" spans="1:17" x14ac:dyDescent="0.35">
      <c r="A100" s="244"/>
      <c r="B100" s="472"/>
      <c r="C100" s="472"/>
      <c r="D100" s="472"/>
      <c r="E100" s="472"/>
      <c r="F100" s="472"/>
      <c r="G100" s="472"/>
      <c r="H100" s="472"/>
      <c r="I100" s="472"/>
      <c r="J100" s="472"/>
      <c r="K100" s="472"/>
      <c r="L100" s="472"/>
      <c r="M100" s="472"/>
      <c r="N100" s="472"/>
      <c r="O100" s="472"/>
      <c r="P100" s="472"/>
      <c r="Q100" s="245"/>
    </row>
    <row r="101" spans="1:17" x14ac:dyDescent="0.35">
      <c r="A101" s="244"/>
      <c r="B101" s="472"/>
      <c r="C101" s="472"/>
      <c r="D101" s="472"/>
      <c r="E101" s="472"/>
      <c r="F101" s="472"/>
      <c r="G101" s="472"/>
      <c r="H101" s="472"/>
      <c r="I101" s="472"/>
      <c r="J101" s="472"/>
      <c r="K101" s="472"/>
      <c r="L101" s="472"/>
      <c r="M101" s="472"/>
      <c r="N101" s="472"/>
      <c r="O101" s="472"/>
      <c r="P101" s="472"/>
      <c r="Q101" s="245"/>
    </row>
    <row r="102" spans="1:17" x14ac:dyDescent="0.35">
      <c r="A102" s="244"/>
      <c r="B102" s="472"/>
      <c r="C102" s="472"/>
      <c r="D102" s="472"/>
      <c r="E102" s="472"/>
      <c r="F102" s="472"/>
      <c r="G102" s="472"/>
      <c r="H102" s="472"/>
      <c r="I102" s="472"/>
      <c r="J102" s="472"/>
      <c r="K102" s="472"/>
      <c r="L102" s="472"/>
      <c r="M102" s="472"/>
      <c r="N102" s="472"/>
      <c r="O102" s="472"/>
      <c r="P102" s="472"/>
      <c r="Q102" s="245"/>
    </row>
    <row r="103" spans="1:17" x14ac:dyDescent="0.35">
      <c r="A103" s="244"/>
      <c r="B103" s="472"/>
      <c r="C103" s="472"/>
      <c r="D103" s="472"/>
      <c r="E103" s="472"/>
      <c r="F103" s="472"/>
      <c r="G103" s="472"/>
      <c r="H103" s="472"/>
      <c r="I103" s="472"/>
      <c r="J103" s="472"/>
      <c r="K103" s="472"/>
      <c r="L103" s="472"/>
      <c r="M103" s="472"/>
      <c r="N103" s="472"/>
      <c r="O103" s="472"/>
      <c r="P103" s="472"/>
      <c r="Q103" s="245"/>
    </row>
    <row r="104" spans="1:17" x14ac:dyDescent="0.35">
      <c r="A104" s="244"/>
      <c r="B104" s="472"/>
      <c r="C104" s="472"/>
      <c r="D104" s="472"/>
      <c r="E104" s="472"/>
      <c r="F104" s="472"/>
      <c r="G104" s="472"/>
      <c r="H104" s="472"/>
      <c r="I104" s="472"/>
      <c r="J104" s="472"/>
      <c r="K104" s="472"/>
      <c r="L104" s="472"/>
      <c r="M104" s="472"/>
      <c r="N104" s="472"/>
      <c r="O104" s="472"/>
      <c r="P104" s="472"/>
      <c r="Q104" s="245"/>
    </row>
    <row r="105" spans="1:17" x14ac:dyDescent="0.35">
      <c r="A105" s="244"/>
      <c r="B105" s="472"/>
      <c r="C105" s="472"/>
      <c r="D105" s="472"/>
      <c r="E105" s="472"/>
      <c r="F105" s="472"/>
      <c r="G105" s="472"/>
      <c r="H105" s="472"/>
      <c r="I105" s="472"/>
      <c r="J105" s="472"/>
      <c r="K105" s="472"/>
      <c r="L105" s="472"/>
      <c r="M105" s="472"/>
      <c r="N105" s="472"/>
      <c r="O105" s="472"/>
      <c r="P105" s="472"/>
      <c r="Q105" s="245"/>
    </row>
    <row r="106" spans="1:17" x14ac:dyDescent="0.35">
      <c r="A106" s="244"/>
      <c r="B106" s="472"/>
      <c r="C106" s="472"/>
      <c r="D106" s="472"/>
      <c r="E106" s="472"/>
      <c r="F106" s="472"/>
      <c r="G106" s="472"/>
      <c r="H106" s="472"/>
      <c r="I106" s="472"/>
      <c r="J106" s="472"/>
      <c r="K106" s="472"/>
      <c r="L106" s="472"/>
      <c r="M106" s="472"/>
      <c r="N106" s="472"/>
      <c r="O106" s="472"/>
      <c r="P106" s="472"/>
      <c r="Q106" s="245"/>
    </row>
    <row r="107" spans="1:17" x14ac:dyDescent="0.35">
      <c r="A107" s="244"/>
      <c r="B107" s="472"/>
      <c r="C107" s="472"/>
      <c r="D107" s="472"/>
      <c r="E107" s="472"/>
      <c r="F107" s="472"/>
      <c r="G107" s="472"/>
      <c r="H107" s="472"/>
      <c r="I107" s="472"/>
      <c r="J107" s="472"/>
      <c r="K107" s="472"/>
      <c r="L107" s="472"/>
      <c r="M107" s="472"/>
      <c r="N107" s="472"/>
      <c r="O107" s="472"/>
      <c r="P107" s="472"/>
      <c r="Q107" s="245"/>
    </row>
    <row r="108" spans="1:17" x14ac:dyDescent="0.35">
      <c r="A108" s="244"/>
      <c r="B108" s="472"/>
      <c r="C108" s="472"/>
      <c r="D108" s="472"/>
      <c r="E108" s="472"/>
      <c r="F108" s="472"/>
      <c r="G108" s="472"/>
      <c r="H108" s="472"/>
      <c r="I108" s="472"/>
      <c r="J108" s="472"/>
      <c r="K108" s="472"/>
      <c r="L108" s="472"/>
      <c r="M108" s="472"/>
      <c r="N108" s="472"/>
      <c r="O108" s="472"/>
      <c r="P108" s="472"/>
      <c r="Q108" s="245"/>
    </row>
    <row r="109" spans="1:17" x14ac:dyDescent="0.35">
      <c r="A109" s="244"/>
      <c r="B109" s="472"/>
      <c r="C109" s="472"/>
      <c r="D109" s="472"/>
      <c r="E109" s="472"/>
      <c r="F109" s="472"/>
      <c r="G109" s="472"/>
      <c r="H109" s="472"/>
      <c r="I109" s="472"/>
      <c r="J109" s="472"/>
      <c r="K109" s="472"/>
      <c r="L109" s="472"/>
      <c r="M109" s="472"/>
      <c r="N109" s="472"/>
      <c r="O109" s="472"/>
      <c r="P109" s="472"/>
      <c r="Q109" s="245"/>
    </row>
    <row r="110" spans="1:17" x14ac:dyDescent="0.35">
      <c r="A110" s="244"/>
      <c r="B110" s="472"/>
      <c r="C110" s="472"/>
      <c r="D110" s="472"/>
      <c r="E110" s="472"/>
      <c r="F110" s="472"/>
      <c r="G110" s="472"/>
      <c r="H110" s="472"/>
      <c r="I110" s="472"/>
      <c r="J110" s="472"/>
      <c r="K110" s="472"/>
      <c r="L110" s="472"/>
      <c r="M110" s="472"/>
      <c r="N110" s="472"/>
      <c r="O110" s="472"/>
      <c r="P110" s="472"/>
      <c r="Q110" s="245"/>
    </row>
    <row r="111" spans="1:17" x14ac:dyDescent="0.35">
      <c r="A111" s="244"/>
      <c r="B111" s="472"/>
      <c r="C111" s="472"/>
      <c r="D111" s="472"/>
      <c r="E111" s="472"/>
      <c r="F111" s="472"/>
      <c r="G111" s="472"/>
      <c r="H111" s="472"/>
      <c r="I111" s="472"/>
      <c r="J111" s="472"/>
      <c r="K111" s="472"/>
      <c r="L111" s="472"/>
      <c r="M111" s="472"/>
      <c r="N111" s="472"/>
      <c r="O111" s="472"/>
      <c r="P111" s="472"/>
      <c r="Q111" s="245"/>
    </row>
    <row r="112" spans="1:17" x14ac:dyDescent="0.35">
      <c r="A112" s="244"/>
      <c r="B112" s="472"/>
      <c r="C112" s="472"/>
      <c r="D112" s="472"/>
      <c r="E112" s="472"/>
      <c r="F112" s="472"/>
      <c r="G112" s="472"/>
      <c r="H112" s="472"/>
      <c r="I112" s="472"/>
      <c r="J112" s="472"/>
      <c r="K112" s="472"/>
      <c r="L112" s="472"/>
      <c r="M112" s="472"/>
      <c r="N112" s="472"/>
      <c r="O112" s="472"/>
      <c r="P112" s="472"/>
      <c r="Q112" s="245"/>
    </row>
    <row r="113" spans="1:17" x14ac:dyDescent="0.35">
      <c r="A113" s="244"/>
      <c r="B113" s="472"/>
      <c r="C113" s="472"/>
      <c r="D113" s="472"/>
      <c r="E113" s="472"/>
      <c r="F113" s="472"/>
      <c r="G113" s="472"/>
      <c r="H113" s="472"/>
      <c r="I113" s="472"/>
      <c r="J113" s="472"/>
      <c r="K113" s="472"/>
      <c r="L113" s="472"/>
      <c r="M113" s="472"/>
      <c r="N113" s="472"/>
      <c r="O113" s="472"/>
      <c r="P113" s="472"/>
      <c r="Q113" s="245"/>
    </row>
    <row r="114" spans="1:17" x14ac:dyDescent="0.35">
      <c r="A114" s="244"/>
      <c r="B114" s="472"/>
      <c r="C114" s="472"/>
      <c r="D114" s="472"/>
      <c r="E114" s="472"/>
      <c r="F114" s="472"/>
      <c r="G114" s="472"/>
      <c r="H114" s="472"/>
      <c r="I114" s="472"/>
      <c r="J114" s="472"/>
      <c r="K114" s="472"/>
      <c r="L114" s="472"/>
      <c r="M114" s="472"/>
      <c r="N114" s="472"/>
      <c r="O114" s="472"/>
      <c r="P114" s="472"/>
      <c r="Q114" s="245"/>
    </row>
    <row r="115" spans="1:17" x14ac:dyDescent="0.35">
      <c r="A115" s="244"/>
      <c r="B115" s="472"/>
      <c r="C115" s="472"/>
      <c r="D115" s="472"/>
      <c r="E115" s="472"/>
      <c r="F115" s="472"/>
      <c r="G115" s="472"/>
      <c r="H115" s="472"/>
      <c r="I115" s="472"/>
      <c r="J115" s="472"/>
      <c r="K115" s="472"/>
      <c r="L115" s="472"/>
      <c r="M115" s="472"/>
      <c r="N115" s="472"/>
      <c r="O115" s="472"/>
      <c r="P115" s="472"/>
      <c r="Q115" s="245"/>
    </row>
    <row r="116" spans="1:17" x14ac:dyDescent="0.35">
      <c r="A116" s="244"/>
      <c r="B116" s="472"/>
      <c r="C116" s="472"/>
      <c r="D116" s="472"/>
      <c r="E116" s="472"/>
      <c r="F116" s="472"/>
      <c r="G116" s="472"/>
      <c r="H116" s="472"/>
      <c r="I116" s="472"/>
      <c r="J116" s="472"/>
      <c r="K116" s="472"/>
      <c r="L116" s="472"/>
      <c r="M116" s="472"/>
      <c r="N116" s="472"/>
      <c r="O116" s="472"/>
      <c r="P116" s="472"/>
      <c r="Q116" s="245"/>
    </row>
    <row r="117" spans="1:17" x14ac:dyDescent="0.35">
      <c r="A117" s="244"/>
      <c r="B117" s="472"/>
      <c r="C117" s="472"/>
      <c r="D117" s="472"/>
      <c r="E117" s="472"/>
      <c r="F117" s="472"/>
      <c r="G117" s="472"/>
      <c r="H117" s="472"/>
      <c r="I117" s="472"/>
      <c r="J117" s="472"/>
      <c r="K117" s="472"/>
      <c r="L117" s="472"/>
      <c r="M117" s="472"/>
      <c r="N117" s="472"/>
      <c r="O117" s="472"/>
      <c r="P117" s="472"/>
      <c r="Q117" s="245"/>
    </row>
    <row r="118" spans="1:17" x14ac:dyDescent="0.35">
      <c r="A118" s="244"/>
      <c r="B118" s="472"/>
      <c r="C118" s="472"/>
      <c r="D118" s="472"/>
      <c r="E118" s="472"/>
      <c r="F118" s="472"/>
      <c r="G118" s="472"/>
      <c r="H118" s="472"/>
      <c r="I118" s="472"/>
      <c r="J118" s="472"/>
      <c r="K118" s="472"/>
      <c r="L118" s="472"/>
      <c r="M118" s="472"/>
      <c r="N118" s="472"/>
      <c r="O118" s="472"/>
      <c r="P118" s="472"/>
      <c r="Q118" s="245"/>
    </row>
    <row r="119" spans="1:17" x14ac:dyDescent="0.35">
      <c r="A119" s="244"/>
      <c r="B119" s="472"/>
      <c r="C119" s="472"/>
      <c r="D119" s="472"/>
      <c r="E119" s="472"/>
      <c r="F119" s="472"/>
      <c r="G119" s="472"/>
      <c r="H119" s="472"/>
      <c r="I119" s="472"/>
      <c r="J119" s="472"/>
      <c r="K119" s="472"/>
      <c r="L119" s="472"/>
      <c r="M119" s="472"/>
      <c r="N119" s="472"/>
      <c r="O119" s="472"/>
      <c r="P119" s="472"/>
      <c r="Q119" s="245"/>
    </row>
    <row r="120" spans="1:17" x14ac:dyDescent="0.35">
      <c r="A120" s="244"/>
      <c r="B120" s="472"/>
      <c r="C120" s="472"/>
      <c r="D120" s="472"/>
      <c r="E120" s="472"/>
      <c r="F120" s="472"/>
      <c r="G120" s="472"/>
      <c r="H120" s="472"/>
      <c r="I120" s="472"/>
      <c r="J120" s="472"/>
      <c r="K120" s="472"/>
      <c r="L120" s="472"/>
      <c r="M120" s="472"/>
      <c r="N120" s="472"/>
      <c r="O120" s="472"/>
      <c r="P120" s="472"/>
      <c r="Q120" s="245"/>
    </row>
    <row r="121" spans="1:17" x14ac:dyDescent="0.35">
      <c r="A121" s="244"/>
      <c r="B121" s="472"/>
      <c r="C121" s="472"/>
      <c r="D121" s="472"/>
      <c r="E121" s="472"/>
      <c r="F121" s="472"/>
      <c r="G121" s="472"/>
      <c r="H121" s="472"/>
      <c r="I121" s="472"/>
      <c r="J121" s="472"/>
      <c r="K121" s="472"/>
      <c r="L121" s="472"/>
      <c r="M121" s="472"/>
      <c r="N121" s="472"/>
      <c r="O121" s="472"/>
      <c r="P121" s="472"/>
      <c r="Q121" s="245"/>
    </row>
    <row r="122" spans="1:17" x14ac:dyDescent="0.35">
      <c r="A122" s="244"/>
      <c r="B122" s="472"/>
      <c r="C122" s="472"/>
      <c r="D122" s="472"/>
      <c r="E122" s="472"/>
      <c r="F122" s="472"/>
      <c r="G122" s="472"/>
      <c r="H122" s="472"/>
      <c r="I122" s="472"/>
      <c r="J122" s="472"/>
      <c r="K122" s="472"/>
      <c r="L122" s="472"/>
      <c r="M122" s="472"/>
      <c r="N122" s="472"/>
      <c r="O122" s="472"/>
      <c r="P122" s="472"/>
      <c r="Q122" s="245"/>
    </row>
    <row r="123" spans="1:17" x14ac:dyDescent="0.35">
      <c r="A123" s="244"/>
      <c r="B123" s="472"/>
      <c r="C123" s="472"/>
      <c r="D123" s="472"/>
      <c r="E123" s="472"/>
      <c r="F123" s="472"/>
      <c r="G123" s="472"/>
      <c r="H123" s="472"/>
      <c r="I123" s="472"/>
      <c r="J123" s="472"/>
      <c r="K123" s="472"/>
      <c r="L123" s="472"/>
      <c r="M123" s="472"/>
      <c r="N123" s="472"/>
      <c r="O123" s="472"/>
      <c r="P123" s="472"/>
      <c r="Q123" s="245"/>
    </row>
    <row r="124" spans="1:17" x14ac:dyDescent="0.35">
      <c r="A124" s="244"/>
      <c r="B124" s="472"/>
      <c r="C124" s="472"/>
      <c r="D124" s="472"/>
      <c r="E124" s="472"/>
      <c r="F124" s="472"/>
      <c r="G124" s="472"/>
      <c r="H124" s="472"/>
      <c r="I124" s="472"/>
      <c r="J124" s="472"/>
      <c r="K124" s="472"/>
      <c r="L124" s="472"/>
      <c r="M124" s="472"/>
      <c r="N124" s="472"/>
      <c r="O124" s="472"/>
      <c r="P124" s="472"/>
      <c r="Q124" s="245"/>
    </row>
    <row r="125" spans="1:17" x14ac:dyDescent="0.35">
      <c r="A125" s="244"/>
      <c r="B125" s="472"/>
      <c r="C125" s="472"/>
      <c r="D125" s="472"/>
      <c r="E125" s="472"/>
      <c r="F125" s="472"/>
      <c r="G125" s="472"/>
      <c r="H125" s="472"/>
      <c r="I125" s="472"/>
      <c r="J125" s="472"/>
      <c r="K125" s="472"/>
      <c r="L125" s="472"/>
      <c r="M125" s="472"/>
      <c r="N125" s="472"/>
      <c r="O125" s="472"/>
      <c r="P125" s="472"/>
      <c r="Q125" s="245"/>
    </row>
    <row r="126" spans="1:17" x14ac:dyDescent="0.35">
      <c r="A126" s="244"/>
      <c r="B126" s="472"/>
      <c r="C126" s="472"/>
      <c r="D126" s="472"/>
      <c r="E126" s="472"/>
      <c r="F126" s="472"/>
      <c r="G126" s="472"/>
      <c r="H126" s="472"/>
      <c r="I126" s="472"/>
      <c r="J126" s="472"/>
      <c r="K126" s="472"/>
      <c r="L126" s="472"/>
      <c r="M126" s="472"/>
      <c r="N126" s="472"/>
      <c r="O126" s="472"/>
      <c r="P126" s="472"/>
      <c r="Q126" s="245"/>
    </row>
    <row r="127" spans="1:17" x14ac:dyDescent="0.35">
      <c r="A127" s="244"/>
      <c r="B127" s="472"/>
      <c r="C127" s="472"/>
      <c r="D127" s="472"/>
      <c r="E127" s="472"/>
      <c r="F127" s="472"/>
      <c r="G127" s="472"/>
      <c r="H127" s="472"/>
      <c r="I127" s="472"/>
      <c r="J127" s="472"/>
      <c r="K127" s="472"/>
      <c r="L127" s="472"/>
      <c r="M127" s="472"/>
      <c r="N127" s="472"/>
      <c r="O127" s="472"/>
      <c r="P127" s="472"/>
      <c r="Q127" s="245"/>
    </row>
    <row r="128" spans="1:17" x14ac:dyDescent="0.35">
      <c r="A128" s="244"/>
      <c r="B128" s="472"/>
      <c r="C128" s="472"/>
      <c r="D128" s="472"/>
      <c r="E128" s="472"/>
      <c r="F128" s="472"/>
      <c r="G128" s="472"/>
      <c r="H128" s="472"/>
      <c r="I128" s="472"/>
      <c r="J128" s="472"/>
      <c r="K128" s="472"/>
      <c r="L128" s="472"/>
      <c r="M128" s="472"/>
      <c r="N128" s="472"/>
      <c r="O128" s="472"/>
      <c r="P128" s="472"/>
      <c r="Q128" s="245"/>
    </row>
    <row r="129" spans="1:17" x14ac:dyDescent="0.35">
      <c r="A129" s="244"/>
      <c r="B129" s="472"/>
      <c r="C129" s="472"/>
      <c r="D129" s="472"/>
      <c r="E129" s="472"/>
      <c r="F129" s="472"/>
      <c r="G129" s="472"/>
      <c r="H129" s="472"/>
      <c r="I129" s="472"/>
      <c r="J129" s="472"/>
      <c r="K129" s="472"/>
      <c r="L129" s="472"/>
      <c r="M129" s="472"/>
      <c r="N129" s="472"/>
      <c r="O129" s="472"/>
      <c r="P129" s="472"/>
      <c r="Q129" s="245"/>
    </row>
    <row r="130" spans="1:17" x14ac:dyDescent="0.35">
      <c r="A130" s="244"/>
      <c r="B130" s="472"/>
      <c r="C130" s="472"/>
      <c r="D130" s="472"/>
      <c r="E130" s="472"/>
      <c r="F130" s="472"/>
      <c r="G130" s="472"/>
      <c r="H130" s="472"/>
      <c r="I130" s="472"/>
      <c r="J130" s="472"/>
      <c r="K130" s="472"/>
      <c r="L130" s="472"/>
      <c r="M130" s="472"/>
      <c r="N130" s="472"/>
      <c r="O130" s="472"/>
      <c r="P130" s="472"/>
      <c r="Q130" s="245"/>
    </row>
    <row r="131" spans="1:17" x14ac:dyDescent="0.35">
      <c r="A131" s="244"/>
      <c r="B131" s="472"/>
      <c r="C131" s="472"/>
      <c r="D131" s="472"/>
      <c r="E131" s="472"/>
      <c r="F131" s="472"/>
      <c r="G131" s="472"/>
      <c r="H131" s="472"/>
      <c r="I131" s="472"/>
      <c r="J131" s="472"/>
      <c r="K131" s="472"/>
      <c r="L131" s="472"/>
      <c r="M131" s="472"/>
      <c r="N131" s="472"/>
      <c r="O131" s="472"/>
      <c r="P131" s="472"/>
      <c r="Q131" s="245"/>
    </row>
    <row r="132" spans="1:17" x14ac:dyDescent="0.35">
      <c r="A132" s="244"/>
      <c r="B132" s="472"/>
      <c r="C132" s="472"/>
      <c r="D132" s="472"/>
      <c r="E132" s="472"/>
      <c r="F132" s="472"/>
      <c r="G132" s="472"/>
      <c r="H132" s="472"/>
      <c r="I132" s="472"/>
      <c r="J132" s="472"/>
      <c r="K132" s="472"/>
      <c r="L132" s="472"/>
      <c r="M132" s="472"/>
      <c r="N132" s="472"/>
      <c r="O132" s="472"/>
      <c r="P132" s="472"/>
      <c r="Q132" s="245"/>
    </row>
    <row r="133" spans="1:17" x14ac:dyDescent="0.35">
      <c r="A133" s="244"/>
      <c r="B133" s="472"/>
      <c r="C133" s="472"/>
      <c r="D133" s="472"/>
      <c r="E133" s="472"/>
      <c r="F133" s="472"/>
      <c r="G133" s="472"/>
      <c r="H133" s="472"/>
      <c r="I133" s="472"/>
      <c r="J133" s="472"/>
      <c r="K133" s="472"/>
      <c r="L133" s="472"/>
      <c r="M133" s="472"/>
      <c r="N133" s="472"/>
      <c r="O133" s="472"/>
      <c r="P133" s="472"/>
      <c r="Q133" s="245"/>
    </row>
    <row r="134" spans="1:17" x14ac:dyDescent="0.35">
      <c r="A134" s="244"/>
      <c r="B134" s="472"/>
      <c r="C134" s="472"/>
      <c r="D134" s="472"/>
      <c r="E134" s="472"/>
      <c r="F134" s="472"/>
      <c r="G134" s="472"/>
      <c r="H134" s="472"/>
      <c r="I134" s="472"/>
      <c r="J134" s="472"/>
      <c r="K134" s="472"/>
      <c r="L134" s="472"/>
      <c r="M134" s="472"/>
      <c r="N134" s="472"/>
      <c r="O134" s="472"/>
      <c r="P134" s="472"/>
      <c r="Q134" s="245"/>
    </row>
    <row r="135" spans="1:17" x14ac:dyDescent="0.35">
      <c r="A135" s="244"/>
      <c r="B135" s="472"/>
      <c r="C135" s="472"/>
      <c r="D135" s="472"/>
      <c r="E135" s="472"/>
      <c r="F135" s="472"/>
      <c r="G135" s="472"/>
      <c r="H135" s="472"/>
      <c r="I135" s="472"/>
      <c r="J135" s="472"/>
      <c r="K135" s="472"/>
      <c r="L135" s="472"/>
      <c r="M135" s="472"/>
      <c r="N135" s="472"/>
      <c r="O135" s="472"/>
      <c r="P135" s="472"/>
      <c r="Q135" s="245"/>
    </row>
    <row r="136" spans="1:17" x14ac:dyDescent="0.35">
      <c r="A136" s="244"/>
      <c r="B136" s="472"/>
      <c r="C136" s="472"/>
      <c r="D136" s="472"/>
      <c r="E136" s="472"/>
      <c r="F136" s="472"/>
      <c r="G136" s="472"/>
      <c r="H136" s="472"/>
      <c r="I136" s="472"/>
      <c r="J136" s="472"/>
      <c r="K136" s="472"/>
      <c r="L136" s="472"/>
      <c r="M136" s="472"/>
      <c r="N136" s="472"/>
      <c r="O136" s="472"/>
      <c r="P136" s="472"/>
      <c r="Q136" s="245"/>
    </row>
    <row r="137" spans="1:17" x14ac:dyDescent="0.35">
      <c r="A137" s="244"/>
      <c r="B137" s="472"/>
      <c r="C137" s="472"/>
      <c r="D137" s="472"/>
      <c r="E137" s="472"/>
      <c r="F137" s="472"/>
      <c r="G137" s="472"/>
      <c r="H137" s="472"/>
      <c r="I137" s="472"/>
      <c r="J137" s="472"/>
      <c r="K137" s="472"/>
      <c r="L137" s="472"/>
      <c r="M137" s="472"/>
      <c r="N137" s="472"/>
      <c r="O137" s="472"/>
      <c r="P137" s="472"/>
      <c r="Q137" s="245"/>
    </row>
    <row r="138" spans="1:17" x14ac:dyDescent="0.35">
      <c r="A138" s="244"/>
      <c r="B138" s="472"/>
      <c r="C138" s="472"/>
      <c r="D138" s="472"/>
      <c r="E138" s="472"/>
      <c r="F138" s="472"/>
      <c r="G138" s="472"/>
      <c r="H138" s="472"/>
      <c r="I138" s="472"/>
      <c r="J138" s="472"/>
      <c r="K138" s="472"/>
      <c r="L138" s="472"/>
      <c r="M138" s="472"/>
      <c r="N138" s="472"/>
      <c r="O138" s="472"/>
      <c r="P138" s="472"/>
      <c r="Q138" s="245"/>
    </row>
    <row r="139" spans="1:17" x14ac:dyDescent="0.35">
      <c r="A139" s="244"/>
      <c r="B139" s="472"/>
      <c r="C139" s="472"/>
      <c r="D139" s="472"/>
      <c r="E139" s="472"/>
      <c r="F139" s="472"/>
      <c r="G139" s="472"/>
      <c r="H139" s="472"/>
      <c r="I139" s="472"/>
      <c r="J139" s="472"/>
      <c r="K139" s="472"/>
      <c r="L139" s="472"/>
      <c r="M139" s="472"/>
      <c r="N139" s="472"/>
      <c r="O139" s="472"/>
      <c r="P139" s="472"/>
      <c r="Q139" s="245"/>
    </row>
    <row r="140" spans="1:17" x14ac:dyDescent="0.35">
      <c r="A140" s="244"/>
      <c r="B140" s="472"/>
      <c r="C140" s="472"/>
      <c r="D140" s="472"/>
      <c r="E140" s="472"/>
      <c r="F140" s="472"/>
      <c r="G140" s="472"/>
      <c r="H140" s="472"/>
      <c r="I140" s="472"/>
      <c r="J140" s="472"/>
      <c r="K140" s="472"/>
      <c r="L140" s="472"/>
      <c r="M140" s="472"/>
      <c r="N140" s="472"/>
      <c r="O140" s="472"/>
      <c r="P140" s="472"/>
      <c r="Q140" s="245"/>
    </row>
    <row r="141" spans="1:17" x14ac:dyDescent="0.35">
      <c r="A141" s="244"/>
      <c r="B141" s="472"/>
      <c r="C141" s="472"/>
      <c r="D141" s="472"/>
      <c r="E141" s="472"/>
      <c r="F141" s="472"/>
      <c r="G141" s="472"/>
      <c r="H141" s="472"/>
      <c r="I141" s="472"/>
      <c r="J141" s="472"/>
      <c r="K141" s="472"/>
      <c r="L141" s="472"/>
      <c r="M141" s="472"/>
      <c r="N141" s="472"/>
      <c r="O141" s="472"/>
      <c r="P141" s="472"/>
      <c r="Q141" s="245"/>
    </row>
    <row r="142" spans="1:17" x14ac:dyDescent="0.35">
      <c r="A142" s="244"/>
      <c r="B142" s="472"/>
      <c r="C142" s="472"/>
      <c r="D142" s="472"/>
      <c r="E142" s="472"/>
      <c r="F142" s="472"/>
      <c r="G142" s="472"/>
      <c r="H142" s="472"/>
      <c r="I142" s="472"/>
      <c r="J142" s="472"/>
      <c r="K142" s="472"/>
      <c r="L142" s="472"/>
      <c r="M142" s="472"/>
      <c r="N142" s="472"/>
      <c r="O142" s="472"/>
      <c r="P142" s="472"/>
      <c r="Q142" s="245"/>
    </row>
    <row r="143" spans="1:17" x14ac:dyDescent="0.35">
      <c r="A143" s="244"/>
      <c r="B143" s="472"/>
      <c r="C143" s="472"/>
      <c r="D143" s="472"/>
      <c r="E143" s="472"/>
      <c r="F143" s="472"/>
      <c r="G143" s="472"/>
      <c r="H143" s="472"/>
      <c r="I143" s="472"/>
      <c r="J143" s="472"/>
      <c r="K143" s="472"/>
      <c r="L143" s="472"/>
      <c r="M143" s="472"/>
      <c r="N143" s="472"/>
      <c r="O143" s="472"/>
      <c r="P143" s="472"/>
      <c r="Q143" s="245"/>
    </row>
    <row r="144" spans="1:17" x14ac:dyDescent="0.35">
      <c r="A144" s="244"/>
      <c r="B144" s="472"/>
      <c r="C144" s="472"/>
      <c r="D144" s="472"/>
      <c r="E144" s="472"/>
      <c r="F144" s="472"/>
      <c r="G144" s="472"/>
      <c r="H144" s="472"/>
      <c r="I144" s="472"/>
      <c r="J144" s="472"/>
      <c r="K144" s="472"/>
      <c r="L144" s="472"/>
      <c r="M144" s="472"/>
      <c r="N144" s="472"/>
      <c r="O144" s="472"/>
      <c r="P144" s="472"/>
      <c r="Q144" s="245"/>
    </row>
    <row r="145" spans="1:17" x14ac:dyDescent="0.35">
      <c r="A145" s="244"/>
      <c r="B145" s="472"/>
      <c r="C145" s="472"/>
      <c r="D145" s="472"/>
      <c r="E145" s="472"/>
      <c r="F145" s="472"/>
      <c r="G145" s="472"/>
      <c r="H145" s="472"/>
      <c r="I145" s="472"/>
      <c r="J145" s="472"/>
      <c r="K145" s="472"/>
      <c r="L145" s="472"/>
      <c r="M145" s="472"/>
      <c r="N145" s="472"/>
      <c r="O145" s="472"/>
      <c r="P145" s="472"/>
      <c r="Q145" s="245"/>
    </row>
    <row r="146" spans="1:17" x14ac:dyDescent="0.35">
      <c r="A146" s="244"/>
      <c r="B146" s="472"/>
      <c r="C146" s="472"/>
      <c r="D146" s="472"/>
      <c r="E146" s="472"/>
      <c r="F146" s="472"/>
      <c r="G146" s="472"/>
      <c r="H146" s="472"/>
      <c r="I146" s="472"/>
      <c r="J146" s="472"/>
      <c r="K146" s="472"/>
      <c r="L146" s="472"/>
      <c r="M146" s="472"/>
      <c r="N146" s="472"/>
      <c r="O146" s="472"/>
      <c r="P146" s="472"/>
      <c r="Q146" s="245"/>
    </row>
    <row r="147" spans="1:17" x14ac:dyDescent="0.35">
      <c r="A147" s="244"/>
      <c r="B147" s="472"/>
      <c r="C147" s="472"/>
      <c r="D147" s="472"/>
      <c r="E147" s="472"/>
      <c r="F147" s="472"/>
      <c r="G147" s="472"/>
      <c r="H147" s="472"/>
      <c r="I147" s="472"/>
      <c r="J147" s="472"/>
      <c r="K147" s="472"/>
      <c r="L147" s="472"/>
      <c r="M147" s="472"/>
      <c r="N147" s="472"/>
      <c r="O147" s="472"/>
      <c r="P147" s="472"/>
      <c r="Q147" s="245"/>
    </row>
    <row r="148" spans="1:17" x14ac:dyDescent="0.35">
      <c r="A148" s="244"/>
      <c r="B148" s="472"/>
      <c r="C148" s="472"/>
      <c r="D148" s="472"/>
      <c r="E148" s="472"/>
      <c r="F148" s="472"/>
      <c r="G148" s="472"/>
      <c r="H148" s="472"/>
      <c r="I148" s="472"/>
      <c r="J148" s="472"/>
      <c r="K148" s="472"/>
      <c r="L148" s="472"/>
      <c r="M148" s="472"/>
      <c r="N148" s="472"/>
      <c r="O148" s="472"/>
      <c r="P148" s="472"/>
      <c r="Q148" s="245"/>
    </row>
    <row r="149" spans="1:17" x14ac:dyDescent="0.35">
      <c r="A149" s="244"/>
      <c r="B149" s="472"/>
      <c r="C149" s="472"/>
      <c r="D149" s="472"/>
      <c r="E149" s="472"/>
      <c r="F149" s="472"/>
      <c r="G149" s="472"/>
      <c r="H149" s="472"/>
      <c r="I149" s="472"/>
      <c r="J149" s="472"/>
      <c r="K149" s="472"/>
      <c r="L149" s="472"/>
      <c r="M149" s="472"/>
      <c r="N149" s="472"/>
      <c r="O149" s="472"/>
      <c r="P149" s="472"/>
      <c r="Q149" s="245"/>
    </row>
    <row r="150" spans="1:17" x14ac:dyDescent="0.35">
      <c r="A150" s="244"/>
      <c r="B150" s="472"/>
      <c r="C150" s="472"/>
      <c r="D150" s="472"/>
      <c r="E150" s="472"/>
      <c r="F150" s="472"/>
      <c r="G150" s="472"/>
      <c r="H150" s="472"/>
      <c r="I150" s="472"/>
      <c r="J150" s="472"/>
      <c r="K150" s="472"/>
      <c r="L150" s="472"/>
      <c r="M150" s="472"/>
      <c r="N150" s="472"/>
      <c r="O150" s="472"/>
      <c r="P150" s="472"/>
      <c r="Q150" s="245"/>
    </row>
    <row r="151" spans="1:17" x14ac:dyDescent="0.35">
      <c r="A151" s="244"/>
      <c r="B151" s="472"/>
      <c r="C151" s="472"/>
      <c r="D151" s="472"/>
      <c r="E151" s="472"/>
      <c r="F151" s="472"/>
      <c r="G151" s="472"/>
      <c r="H151" s="472"/>
      <c r="I151" s="472"/>
      <c r="J151" s="472"/>
      <c r="K151" s="472"/>
      <c r="L151" s="472"/>
      <c r="M151" s="472"/>
      <c r="N151" s="472"/>
      <c r="O151" s="472"/>
      <c r="P151" s="472"/>
      <c r="Q151" s="245"/>
    </row>
    <row r="152" spans="1:17" x14ac:dyDescent="0.35">
      <c r="A152" s="244"/>
      <c r="B152" s="472"/>
      <c r="C152" s="472"/>
      <c r="D152" s="472"/>
      <c r="E152" s="472"/>
      <c r="F152" s="472"/>
      <c r="G152" s="472"/>
      <c r="H152" s="472"/>
      <c r="I152" s="472"/>
      <c r="J152" s="472"/>
      <c r="K152" s="472"/>
      <c r="L152" s="472"/>
      <c r="M152" s="472"/>
      <c r="N152" s="472"/>
      <c r="O152" s="472"/>
      <c r="P152" s="472"/>
      <c r="Q152" s="245"/>
    </row>
    <row r="153" spans="1:17" x14ac:dyDescent="0.35">
      <c r="A153" s="244"/>
      <c r="B153" s="472"/>
      <c r="C153" s="472"/>
      <c r="D153" s="472"/>
      <c r="E153" s="472"/>
      <c r="F153" s="472"/>
      <c r="G153" s="472"/>
      <c r="H153" s="472"/>
      <c r="I153" s="472"/>
      <c r="J153" s="472"/>
      <c r="K153" s="472"/>
      <c r="L153" s="472"/>
      <c r="M153" s="472"/>
      <c r="N153" s="472"/>
      <c r="O153" s="472"/>
      <c r="P153" s="472"/>
      <c r="Q153" s="245"/>
    </row>
    <row r="154" spans="1:17" x14ac:dyDescent="0.35">
      <c r="A154" s="244"/>
      <c r="B154" s="472"/>
      <c r="C154" s="472"/>
      <c r="D154" s="472"/>
      <c r="E154" s="472"/>
      <c r="F154" s="472"/>
      <c r="G154" s="472"/>
      <c r="H154" s="472"/>
      <c r="I154" s="472"/>
      <c r="J154" s="472"/>
      <c r="K154" s="472"/>
      <c r="L154" s="472"/>
      <c r="M154" s="472"/>
      <c r="N154" s="472"/>
      <c r="O154" s="472"/>
      <c r="P154" s="472"/>
      <c r="Q154" s="245"/>
    </row>
    <row r="155" spans="1:17" x14ac:dyDescent="0.35">
      <c r="A155" s="244"/>
      <c r="B155" s="472"/>
      <c r="C155" s="472"/>
      <c r="D155" s="472"/>
      <c r="E155" s="472"/>
      <c r="F155" s="472"/>
      <c r="G155" s="472"/>
      <c r="H155" s="472"/>
      <c r="I155" s="472"/>
      <c r="J155" s="472"/>
      <c r="K155" s="472"/>
      <c r="L155" s="472"/>
      <c r="M155" s="472"/>
      <c r="N155" s="472"/>
      <c r="O155" s="472"/>
      <c r="P155" s="472"/>
      <c r="Q155" s="245"/>
    </row>
    <row r="156" spans="1:17" x14ac:dyDescent="0.35">
      <c r="A156" s="244"/>
      <c r="B156" s="472"/>
      <c r="C156" s="472"/>
      <c r="D156" s="472"/>
      <c r="E156" s="472"/>
      <c r="F156" s="472"/>
      <c r="G156" s="472"/>
      <c r="H156" s="472"/>
      <c r="I156" s="472"/>
      <c r="J156" s="472"/>
      <c r="K156" s="472"/>
      <c r="L156" s="472"/>
      <c r="M156" s="472"/>
      <c r="N156" s="472"/>
      <c r="O156" s="472"/>
      <c r="P156" s="472"/>
      <c r="Q156" s="245"/>
    </row>
    <row r="157" spans="1:17" x14ac:dyDescent="0.35">
      <c r="A157" s="244"/>
      <c r="B157" s="472"/>
      <c r="C157" s="472"/>
      <c r="D157" s="472"/>
      <c r="E157" s="472"/>
      <c r="F157" s="472"/>
      <c r="G157" s="472"/>
      <c r="H157" s="472"/>
      <c r="I157" s="472"/>
      <c r="J157" s="472"/>
      <c r="K157" s="472"/>
      <c r="L157" s="472"/>
      <c r="M157" s="472"/>
      <c r="N157" s="472"/>
      <c r="O157" s="472"/>
      <c r="P157" s="472"/>
      <c r="Q157" s="245"/>
    </row>
    <row r="158" spans="1:17" x14ac:dyDescent="0.35">
      <c r="A158" s="244"/>
      <c r="B158" s="472"/>
      <c r="C158" s="472"/>
      <c r="D158" s="472"/>
      <c r="E158" s="472"/>
      <c r="F158" s="472"/>
      <c r="G158" s="472"/>
      <c r="H158" s="472"/>
      <c r="I158" s="472"/>
      <c r="J158" s="472"/>
      <c r="K158" s="472"/>
      <c r="L158" s="472"/>
      <c r="M158" s="472"/>
      <c r="N158" s="472"/>
      <c r="O158" s="472"/>
      <c r="P158" s="472"/>
      <c r="Q158" s="245"/>
    </row>
    <row r="159" spans="1:17" x14ac:dyDescent="0.35">
      <c r="A159" s="244"/>
      <c r="B159" s="472"/>
      <c r="C159" s="472"/>
      <c r="D159" s="472"/>
      <c r="E159" s="472"/>
      <c r="F159" s="472"/>
      <c r="G159" s="472"/>
      <c r="H159" s="472"/>
      <c r="I159" s="472"/>
      <c r="J159" s="472"/>
      <c r="K159" s="472"/>
      <c r="L159" s="472"/>
      <c r="M159" s="472"/>
      <c r="N159" s="472"/>
      <c r="O159" s="472"/>
      <c r="P159" s="472"/>
      <c r="Q159" s="245"/>
    </row>
    <row r="160" spans="1:17" x14ac:dyDescent="0.35">
      <c r="A160" s="244"/>
      <c r="B160" s="472"/>
      <c r="C160" s="472"/>
      <c r="D160" s="472"/>
      <c r="E160" s="472"/>
      <c r="F160" s="472"/>
      <c r="G160" s="472"/>
      <c r="H160" s="472"/>
      <c r="I160" s="472"/>
      <c r="J160" s="472"/>
      <c r="K160" s="472"/>
      <c r="L160" s="472"/>
      <c r="M160" s="472"/>
      <c r="N160" s="472"/>
      <c r="O160" s="472"/>
      <c r="P160" s="472"/>
      <c r="Q160" s="245"/>
    </row>
    <row r="161" spans="1:17" x14ac:dyDescent="0.35">
      <c r="A161" s="244"/>
      <c r="B161" s="472"/>
      <c r="C161" s="472"/>
      <c r="D161" s="472"/>
      <c r="E161" s="472"/>
      <c r="F161" s="472"/>
      <c r="G161" s="472"/>
      <c r="H161" s="472"/>
      <c r="I161" s="472"/>
      <c r="J161" s="472"/>
      <c r="K161" s="472"/>
      <c r="L161" s="472"/>
      <c r="M161" s="472"/>
      <c r="N161" s="472"/>
      <c r="O161" s="472"/>
      <c r="P161" s="472"/>
      <c r="Q161" s="245"/>
    </row>
    <row r="162" spans="1:17" x14ac:dyDescent="0.35">
      <c r="A162" s="244"/>
      <c r="B162" s="472"/>
      <c r="C162" s="472"/>
      <c r="D162" s="472"/>
      <c r="E162" s="472"/>
      <c r="F162" s="472"/>
      <c r="G162" s="472"/>
      <c r="H162" s="472"/>
      <c r="I162" s="472"/>
      <c r="J162" s="472"/>
      <c r="K162" s="472"/>
      <c r="L162" s="472"/>
      <c r="M162" s="472"/>
      <c r="N162" s="472"/>
      <c r="O162" s="472"/>
      <c r="P162" s="472"/>
      <c r="Q162" s="245"/>
    </row>
    <row r="163" spans="1:17" x14ac:dyDescent="0.35">
      <c r="A163" s="244"/>
      <c r="B163" s="472"/>
      <c r="C163" s="472"/>
      <c r="D163" s="472"/>
      <c r="E163" s="472"/>
      <c r="F163" s="472"/>
      <c r="G163" s="472"/>
      <c r="H163" s="472"/>
      <c r="I163" s="472"/>
      <c r="J163" s="472"/>
      <c r="K163" s="472"/>
      <c r="L163" s="472"/>
      <c r="M163" s="472"/>
      <c r="N163" s="472"/>
      <c r="O163" s="472"/>
      <c r="P163" s="472"/>
      <c r="Q163" s="245"/>
    </row>
    <row r="164" spans="1:17" x14ac:dyDescent="0.35">
      <c r="A164" s="244"/>
      <c r="B164" s="472"/>
      <c r="C164" s="472"/>
      <c r="D164" s="472"/>
      <c r="E164" s="472"/>
      <c r="F164" s="472"/>
      <c r="G164" s="472"/>
      <c r="H164" s="472"/>
      <c r="I164" s="472"/>
      <c r="J164" s="472"/>
      <c r="K164" s="472"/>
      <c r="L164" s="472"/>
      <c r="M164" s="472"/>
      <c r="N164" s="472"/>
      <c r="O164" s="472"/>
      <c r="P164" s="472"/>
      <c r="Q164" s="245"/>
    </row>
    <row r="165" spans="1:17" x14ac:dyDescent="0.35">
      <c r="A165" s="244"/>
      <c r="B165" s="472"/>
      <c r="C165" s="472"/>
      <c r="D165" s="472"/>
      <c r="E165" s="472"/>
      <c r="F165" s="472"/>
      <c r="G165" s="472"/>
      <c r="H165" s="472"/>
      <c r="I165" s="472"/>
      <c r="J165" s="472"/>
      <c r="K165" s="472"/>
      <c r="L165" s="472"/>
      <c r="M165" s="472"/>
      <c r="N165" s="472"/>
      <c r="O165" s="472"/>
      <c r="P165" s="472"/>
      <c r="Q165" s="245"/>
    </row>
    <row r="166" spans="1:17" x14ac:dyDescent="0.35">
      <c r="A166" s="244"/>
      <c r="B166" s="472"/>
      <c r="C166" s="472"/>
      <c r="D166" s="472"/>
      <c r="E166" s="472"/>
      <c r="F166" s="472"/>
      <c r="G166" s="472"/>
      <c r="H166" s="472"/>
      <c r="I166" s="472"/>
      <c r="J166" s="472"/>
      <c r="K166" s="472"/>
      <c r="L166" s="472"/>
      <c r="M166" s="472"/>
      <c r="N166" s="472"/>
      <c r="O166" s="472"/>
      <c r="P166" s="472"/>
      <c r="Q166" s="245"/>
    </row>
    <row r="167" spans="1:17" x14ac:dyDescent="0.35">
      <c r="A167" s="244"/>
      <c r="B167" s="472"/>
      <c r="C167" s="472"/>
      <c r="D167" s="472"/>
      <c r="E167" s="472"/>
      <c r="F167" s="472"/>
      <c r="G167" s="472"/>
      <c r="H167" s="472"/>
      <c r="I167" s="472"/>
      <c r="J167" s="472"/>
      <c r="K167" s="472"/>
      <c r="L167" s="472"/>
      <c r="M167" s="472"/>
      <c r="N167" s="472"/>
      <c r="O167" s="472"/>
      <c r="P167" s="472"/>
      <c r="Q167" s="245"/>
    </row>
    <row r="168" spans="1:17" x14ac:dyDescent="0.35">
      <c r="A168" s="244"/>
      <c r="B168" s="472"/>
      <c r="C168" s="472"/>
      <c r="D168" s="472"/>
      <c r="E168" s="472"/>
      <c r="F168" s="472"/>
      <c r="G168" s="472"/>
      <c r="H168" s="472"/>
      <c r="I168" s="472"/>
      <c r="J168" s="472"/>
      <c r="K168" s="472"/>
      <c r="L168" s="472"/>
      <c r="M168" s="472"/>
      <c r="N168" s="472"/>
      <c r="O168" s="472"/>
      <c r="P168" s="472"/>
      <c r="Q168" s="245"/>
    </row>
    <row r="169" spans="1:17" x14ac:dyDescent="0.35">
      <c r="A169" s="244"/>
      <c r="B169" s="472"/>
      <c r="C169" s="472"/>
      <c r="D169" s="472"/>
      <c r="E169" s="472"/>
      <c r="F169" s="472"/>
      <c r="G169" s="472"/>
      <c r="H169" s="472"/>
      <c r="I169" s="472"/>
      <c r="J169" s="472"/>
      <c r="K169" s="472"/>
      <c r="L169" s="472"/>
      <c r="M169" s="472"/>
      <c r="N169" s="472"/>
      <c r="O169" s="472"/>
      <c r="P169" s="472"/>
      <c r="Q169" s="245"/>
    </row>
    <row r="170" spans="1:17" x14ac:dyDescent="0.35">
      <c r="A170" s="244"/>
      <c r="B170" s="472"/>
      <c r="C170" s="472"/>
      <c r="D170" s="472"/>
      <c r="E170" s="472"/>
      <c r="F170" s="472"/>
      <c r="G170" s="472"/>
      <c r="H170" s="472"/>
      <c r="I170" s="472"/>
      <c r="J170" s="472"/>
      <c r="K170" s="472"/>
      <c r="L170" s="472"/>
      <c r="M170" s="472"/>
      <c r="N170" s="472"/>
      <c r="O170" s="472"/>
      <c r="P170" s="472"/>
      <c r="Q170" s="245"/>
    </row>
    <row r="171" spans="1:17" x14ac:dyDescent="0.35">
      <c r="A171" s="244"/>
      <c r="B171" s="472"/>
      <c r="C171" s="472"/>
      <c r="D171" s="472"/>
      <c r="E171" s="472"/>
      <c r="F171" s="472"/>
      <c r="G171" s="472"/>
      <c r="H171" s="472"/>
      <c r="I171" s="472"/>
      <c r="J171" s="472"/>
      <c r="K171" s="472"/>
      <c r="L171" s="472"/>
      <c r="M171" s="472"/>
      <c r="N171" s="472"/>
      <c r="O171" s="472"/>
      <c r="P171" s="472"/>
      <c r="Q171" s="245"/>
    </row>
    <row r="172" spans="1:17" x14ac:dyDescent="0.35">
      <c r="A172" s="244"/>
      <c r="B172" s="472"/>
      <c r="C172" s="472"/>
      <c r="D172" s="472"/>
      <c r="E172" s="472"/>
      <c r="F172" s="472"/>
      <c r="G172" s="472"/>
      <c r="H172" s="472"/>
      <c r="I172" s="472"/>
      <c r="J172" s="472"/>
      <c r="K172" s="472"/>
      <c r="L172" s="472"/>
      <c r="M172" s="472"/>
      <c r="N172" s="472"/>
      <c r="O172" s="472"/>
      <c r="P172" s="472"/>
      <c r="Q172" s="245"/>
    </row>
    <row r="173" spans="1:17" x14ac:dyDescent="0.35">
      <c r="A173" s="244"/>
      <c r="B173" s="472"/>
      <c r="C173" s="472"/>
      <c r="D173" s="472"/>
      <c r="E173" s="472"/>
      <c r="F173" s="472"/>
      <c r="G173" s="472"/>
      <c r="H173" s="472"/>
      <c r="I173" s="472"/>
      <c r="J173" s="472"/>
      <c r="K173" s="472"/>
      <c r="L173" s="472"/>
      <c r="M173" s="472"/>
      <c r="N173" s="472"/>
      <c r="O173" s="472"/>
      <c r="P173" s="472"/>
      <c r="Q173" s="245"/>
    </row>
    <row r="174" spans="1:17" x14ac:dyDescent="0.35">
      <c r="A174" s="244"/>
      <c r="B174" s="472"/>
      <c r="C174" s="472"/>
      <c r="D174" s="472"/>
      <c r="E174" s="472"/>
      <c r="F174" s="472"/>
      <c r="G174" s="472"/>
      <c r="H174" s="472"/>
      <c r="I174" s="472"/>
      <c r="J174" s="472"/>
      <c r="K174" s="472"/>
      <c r="L174" s="472"/>
      <c r="M174" s="472"/>
      <c r="N174" s="472"/>
      <c r="O174" s="472"/>
      <c r="P174" s="472"/>
      <c r="Q174" s="245"/>
    </row>
    <row r="175" spans="1:17" x14ac:dyDescent="0.35">
      <c r="A175" s="244"/>
      <c r="B175" s="472"/>
      <c r="C175" s="472"/>
      <c r="D175" s="472"/>
      <c r="E175" s="472"/>
      <c r="F175" s="472"/>
      <c r="G175" s="472"/>
      <c r="H175" s="472"/>
      <c r="I175" s="472"/>
      <c r="J175" s="472"/>
      <c r="K175" s="472"/>
      <c r="L175" s="472"/>
      <c r="M175" s="472"/>
      <c r="N175" s="472"/>
      <c r="O175" s="472"/>
      <c r="P175" s="472"/>
      <c r="Q175" s="245"/>
    </row>
    <row r="176" spans="1:17" x14ac:dyDescent="0.35">
      <c r="A176" s="244"/>
      <c r="B176" s="472"/>
      <c r="C176" s="472"/>
      <c r="D176" s="472"/>
      <c r="E176" s="472"/>
      <c r="F176" s="472"/>
      <c r="G176" s="472"/>
      <c r="H176" s="472"/>
      <c r="I176" s="472"/>
      <c r="J176" s="472"/>
      <c r="K176" s="472"/>
      <c r="L176" s="472"/>
      <c r="M176" s="472"/>
      <c r="N176" s="472"/>
      <c r="O176" s="472"/>
      <c r="P176" s="472"/>
      <c r="Q176" s="245"/>
    </row>
    <row r="177" spans="1:17" x14ac:dyDescent="0.35">
      <c r="A177" s="244"/>
      <c r="B177" s="472"/>
      <c r="C177" s="472"/>
      <c r="D177" s="472"/>
      <c r="E177" s="472"/>
      <c r="F177" s="472"/>
      <c r="G177" s="472"/>
      <c r="H177" s="472"/>
      <c r="I177" s="472"/>
      <c r="J177" s="472"/>
      <c r="K177" s="472"/>
      <c r="L177" s="472"/>
      <c r="M177" s="472"/>
      <c r="N177" s="472"/>
      <c r="O177" s="472"/>
      <c r="P177" s="472"/>
      <c r="Q177" s="245"/>
    </row>
    <row r="178" spans="1:17" x14ac:dyDescent="0.35">
      <c r="A178" s="244"/>
      <c r="B178" s="472"/>
      <c r="C178" s="472"/>
      <c r="D178" s="472"/>
      <c r="E178" s="472"/>
      <c r="F178" s="472"/>
      <c r="G178" s="472"/>
      <c r="H178" s="472"/>
      <c r="I178" s="472"/>
      <c r="J178" s="472"/>
      <c r="K178" s="472"/>
      <c r="L178" s="472"/>
      <c r="M178" s="472"/>
      <c r="N178" s="472"/>
      <c r="O178" s="472"/>
      <c r="P178" s="472"/>
      <c r="Q178" s="245"/>
    </row>
    <row r="179" spans="1:17" x14ac:dyDescent="0.35">
      <c r="A179" s="244"/>
      <c r="B179" s="472"/>
      <c r="C179" s="472"/>
      <c r="D179" s="472"/>
      <c r="E179" s="472"/>
      <c r="F179" s="472"/>
      <c r="G179" s="472"/>
      <c r="H179" s="472"/>
      <c r="I179" s="472"/>
      <c r="J179" s="472"/>
      <c r="K179" s="472"/>
      <c r="L179" s="472"/>
      <c r="M179" s="472"/>
      <c r="N179" s="472"/>
      <c r="O179" s="472"/>
      <c r="P179" s="472"/>
      <c r="Q179" s="245"/>
    </row>
    <row r="180" spans="1:17" x14ac:dyDescent="0.35">
      <c r="A180" s="244"/>
      <c r="B180" s="472"/>
      <c r="C180" s="472"/>
      <c r="D180" s="472"/>
      <c r="E180" s="472"/>
      <c r="F180" s="472"/>
      <c r="G180" s="472"/>
      <c r="H180" s="472"/>
      <c r="I180" s="472"/>
      <c r="J180" s="472"/>
      <c r="K180" s="472"/>
      <c r="L180" s="472"/>
      <c r="M180" s="472"/>
      <c r="N180" s="472"/>
      <c r="O180" s="472"/>
      <c r="P180" s="472"/>
      <c r="Q180" s="245"/>
    </row>
    <row r="181" spans="1:17" x14ac:dyDescent="0.35">
      <c r="A181" s="244"/>
      <c r="B181" s="472"/>
      <c r="C181" s="472"/>
      <c r="D181" s="472"/>
      <c r="E181" s="472"/>
      <c r="F181" s="472"/>
      <c r="G181" s="472"/>
      <c r="H181" s="472"/>
      <c r="I181" s="472"/>
      <c r="J181" s="472"/>
      <c r="K181" s="472"/>
      <c r="L181" s="472"/>
      <c r="M181" s="472"/>
      <c r="N181" s="472"/>
      <c r="O181" s="472"/>
      <c r="P181" s="472"/>
      <c r="Q181" s="245"/>
    </row>
    <row r="182" spans="1:17" x14ac:dyDescent="0.35">
      <c r="A182" s="244"/>
      <c r="B182" s="472"/>
      <c r="C182" s="472"/>
      <c r="D182" s="472"/>
      <c r="E182" s="472"/>
      <c r="F182" s="472"/>
      <c r="G182" s="472"/>
      <c r="H182" s="472"/>
      <c r="I182" s="472"/>
      <c r="J182" s="472"/>
      <c r="K182" s="472"/>
      <c r="L182" s="472"/>
      <c r="M182" s="472"/>
      <c r="N182" s="472"/>
      <c r="O182" s="472"/>
      <c r="P182" s="472"/>
      <c r="Q182" s="245"/>
    </row>
    <row r="183" spans="1:17" x14ac:dyDescent="0.35">
      <c r="A183" s="244"/>
      <c r="B183" s="472"/>
      <c r="C183" s="472"/>
      <c r="D183" s="472"/>
      <c r="E183" s="472"/>
      <c r="F183" s="472"/>
      <c r="G183" s="472"/>
      <c r="H183" s="472"/>
      <c r="I183" s="472"/>
      <c r="J183" s="472"/>
      <c r="K183" s="472"/>
      <c r="L183" s="472"/>
      <c r="M183" s="472"/>
      <c r="N183" s="472"/>
      <c r="O183" s="472"/>
      <c r="P183" s="472"/>
      <c r="Q183" s="245"/>
    </row>
    <row r="184" spans="1:17" x14ac:dyDescent="0.35">
      <c r="A184" s="244"/>
      <c r="B184" s="472"/>
      <c r="C184" s="472"/>
      <c r="D184" s="472"/>
      <c r="E184" s="472"/>
      <c r="F184" s="472"/>
      <c r="G184" s="472"/>
      <c r="H184" s="472"/>
      <c r="I184" s="472"/>
      <c r="J184" s="472"/>
      <c r="K184" s="472"/>
      <c r="L184" s="472"/>
      <c r="M184" s="472"/>
      <c r="N184" s="472"/>
      <c r="O184" s="472"/>
      <c r="P184" s="472"/>
      <c r="Q184" s="245"/>
    </row>
    <row r="185" spans="1:17" x14ac:dyDescent="0.35">
      <c r="A185" s="244"/>
      <c r="B185" s="472"/>
      <c r="C185" s="472"/>
      <c r="D185" s="472"/>
      <c r="E185" s="472"/>
      <c r="F185" s="472"/>
      <c r="G185" s="472"/>
      <c r="H185" s="472"/>
      <c r="I185" s="472"/>
      <c r="J185" s="472"/>
      <c r="K185" s="472"/>
      <c r="L185" s="472"/>
      <c r="M185" s="472"/>
      <c r="N185" s="472"/>
      <c r="O185" s="472"/>
      <c r="P185" s="472"/>
      <c r="Q185" s="245"/>
    </row>
    <row r="186" spans="1:17" x14ac:dyDescent="0.35">
      <c r="A186" s="244"/>
      <c r="B186" s="472"/>
      <c r="C186" s="472"/>
      <c r="D186" s="472"/>
      <c r="E186" s="472"/>
      <c r="F186" s="472"/>
      <c r="G186" s="472"/>
      <c r="H186" s="472"/>
      <c r="I186" s="472"/>
      <c r="J186" s="472"/>
      <c r="K186" s="472"/>
      <c r="L186" s="472"/>
      <c r="M186" s="472"/>
      <c r="N186" s="472"/>
      <c r="O186" s="472"/>
      <c r="P186" s="472"/>
      <c r="Q186" s="245"/>
    </row>
    <row r="187" spans="1:17" x14ac:dyDescent="0.35">
      <c r="A187" s="244"/>
      <c r="B187" s="472"/>
      <c r="C187" s="472"/>
      <c r="D187" s="472"/>
      <c r="E187" s="472"/>
      <c r="F187" s="472"/>
      <c r="G187" s="472"/>
      <c r="H187" s="472"/>
      <c r="I187" s="472"/>
      <c r="J187" s="472"/>
      <c r="K187" s="472"/>
      <c r="L187" s="472"/>
      <c r="M187" s="472"/>
      <c r="N187" s="472"/>
      <c r="O187" s="472"/>
      <c r="P187" s="472"/>
      <c r="Q187" s="245"/>
    </row>
    <row r="188" spans="1:17" x14ac:dyDescent="0.35">
      <c r="A188" s="244"/>
      <c r="B188" s="472"/>
      <c r="C188" s="472"/>
      <c r="D188" s="472"/>
      <c r="E188" s="472"/>
      <c r="F188" s="472"/>
      <c r="G188" s="472"/>
      <c r="H188" s="472"/>
      <c r="I188" s="472"/>
      <c r="J188" s="472"/>
      <c r="K188" s="472"/>
      <c r="L188" s="472"/>
      <c r="M188" s="472"/>
      <c r="N188" s="472"/>
      <c r="O188" s="472"/>
      <c r="P188" s="472"/>
      <c r="Q188" s="245"/>
    </row>
    <row r="189" spans="1:17" x14ac:dyDescent="0.35">
      <c r="A189" s="244"/>
      <c r="B189" s="472"/>
      <c r="C189" s="472"/>
      <c r="D189" s="472"/>
      <c r="E189" s="472"/>
      <c r="F189" s="472"/>
      <c r="G189" s="472"/>
      <c r="H189" s="472"/>
      <c r="I189" s="472"/>
      <c r="J189" s="472"/>
      <c r="K189" s="472"/>
      <c r="L189" s="472"/>
      <c r="M189" s="472"/>
      <c r="N189" s="472"/>
      <c r="O189" s="472"/>
      <c r="P189" s="472"/>
      <c r="Q189" s="245"/>
    </row>
    <row r="190" spans="1:17" x14ac:dyDescent="0.35">
      <c r="A190" s="244"/>
      <c r="B190" s="472"/>
      <c r="C190" s="472"/>
      <c r="D190" s="472"/>
      <c r="E190" s="472"/>
      <c r="F190" s="472"/>
      <c r="G190" s="472"/>
      <c r="H190" s="472"/>
      <c r="I190" s="472"/>
      <c r="J190" s="472"/>
      <c r="K190" s="472"/>
      <c r="L190" s="472"/>
      <c r="M190" s="472"/>
      <c r="N190" s="472"/>
      <c r="O190" s="472"/>
      <c r="P190" s="472"/>
      <c r="Q190" s="245"/>
    </row>
    <row r="191" spans="1:17" x14ac:dyDescent="0.35">
      <c r="A191" s="244"/>
      <c r="B191" s="472"/>
      <c r="C191" s="472"/>
      <c r="D191" s="472"/>
      <c r="E191" s="472"/>
      <c r="F191" s="472"/>
      <c r="G191" s="472"/>
      <c r="H191" s="472"/>
      <c r="I191" s="472"/>
      <c r="J191" s="472"/>
      <c r="K191" s="472"/>
      <c r="L191" s="472"/>
      <c r="M191" s="472"/>
      <c r="N191" s="472"/>
      <c r="O191" s="472"/>
      <c r="P191" s="472"/>
      <c r="Q191" s="245"/>
    </row>
    <row r="192" spans="1:17" x14ac:dyDescent="0.35">
      <c r="A192" s="244"/>
      <c r="B192" s="472"/>
      <c r="C192" s="472"/>
      <c r="D192" s="472"/>
      <c r="E192" s="472"/>
      <c r="F192" s="472"/>
      <c r="G192" s="472"/>
      <c r="H192" s="472"/>
      <c r="I192" s="472"/>
      <c r="J192" s="472"/>
      <c r="K192" s="472"/>
      <c r="L192" s="472"/>
      <c r="M192" s="472"/>
      <c r="N192" s="472"/>
      <c r="O192" s="472"/>
      <c r="P192" s="472"/>
      <c r="Q192" s="245"/>
    </row>
    <row r="193" spans="1:17" x14ac:dyDescent="0.35">
      <c r="A193" s="244"/>
      <c r="B193" s="472"/>
      <c r="C193" s="472"/>
      <c r="D193" s="472"/>
      <c r="E193" s="472"/>
      <c r="F193" s="472"/>
      <c r="G193" s="472"/>
      <c r="H193" s="472"/>
      <c r="I193" s="472"/>
      <c r="J193" s="472"/>
      <c r="K193" s="472"/>
      <c r="L193" s="472"/>
      <c r="M193" s="472"/>
      <c r="N193" s="472"/>
      <c r="O193" s="472"/>
      <c r="P193" s="472"/>
      <c r="Q193" s="245"/>
    </row>
    <row r="194" spans="1:17" x14ac:dyDescent="0.35">
      <c r="A194" s="244"/>
      <c r="B194" s="472"/>
      <c r="C194" s="472"/>
      <c r="D194" s="472"/>
      <c r="E194" s="472"/>
      <c r="F194" s="472"/>
      <c r="G194" s="472"/>
      <c r="H194" s="472"/>
      <c r="I194" s="472"/>
      <c r="J194" s="472"/>
      <c r="K194" s="472"/>
      <c r="L194" s="472"/>
      <c r="M194" s="472"/>
      <c r="N194" s="472"/>
      <c r="O194" s="472"/>
      <c r="P194" s="472"/>
      <c r="Q194" s="245"/>
    </row>
    <row r="195" spans="1:17" x14ac:dyDescent="0.35">
      <c r="A195" s="244"/>
      <c r="B195" s="472"/>
      <c r="C195" s="472"/>
      <c r="D195" s="472"/>
      <c r="E195" s="472"/>
      <c r="F195" s="472"/>
      <c r="G195" s="472"/>
      <c r="H195" s="472"/>
      <c r="I195" s="472"/>
      <c r="J195" s="472"/>
      <c r="K195" s="472"/>
      <c r="L195" s="472"/>
      <c r="M195" s="472"/>
      <c r="N195" s="472"/>
      <c r="O195" s="472"/>
      <c r="P195" s="472"/>
      <c r="Q195" s="245"/>
    </row>
    <row r="196" spans="1:17" x14ac:dyDescent="0.35">
      <c r="A196" s="244"/>
      <c r="B196" s="472"/>
      <c r="C196" s="472"/>
      <c r="D196" s="472"/>
      <c r="E196" s="472"/>
      <c r="F196" s="472"/>
      <c r="G196" s="472"/>
      <c r="H196" s="472"/>
      <c r="I196" s="472"/>
      <c r="J196" s="472"/>
      <c r="K196" s="472"/>
      <c r="L196" s="472"/>
      <c r="M196" s="472"/>
      <c r="N196" s="472"/>
      <c r="O196" s="472"/>
      <c r="P196" s="472"/>
      <c r="Q196" s="245"/>
    </row>
    <row r="197" spans="1:17" x14ac:dyDescent="0.35">
      <c r="A197" s="244"/>
      <c r="B197" s="472"/>
      <c r="C197" s="472"/>
      <c r="D197" s="472"/>
      <c r="E197" s="472"/>
      <c r="F197" s="472"/>
      <c r="G197" s="472"/>
      <c r="H197" s="472"/>
      <c r="I197" s="472"/>
      <c r="J197" s="472"/>
      <c r="K197" s="472"/>
      <c r="L197" s="472"/>
      <c r="M197" s="472"/>
      <c r="N197" s="472"/>
      <c r="O197" s="472"/>
      <c r="P197" s="472"/>
      <c r="Q197" s="245"/>
    </row>
    <row r="198" spans="1:17" x14ac:dyDescent="0.35">
      <c r="A198" s="244"/>
      <c r="B198" s="472"/>
      <c r="C198" s="472"/>
      <c r="D198" s="472"/>
      <c r="E198" s="472"/>
      <c r="F198" s="472"/>
      <c r="G198" s="472"/>
      <c r="H198" s="472"/>
      <c r="I198" s="472"/>
      <c r="J198" s="472"/>
      <c r="K198" s="472"/>
      <c r="L198" s="472"/>
      <c r="M198" s="472"/>
      <c r="N198" s="472"/>
      <c r="O198" s="472"/>
      <c r="P198" s="472"/>
      <c r="Q198" s="245"/>
    </row>
    <row r="199" spans="1:17" x14ac:dyDescent="0.35">
      <c r="A199" s="244"/>
      <c r="B199" s="472"/>
      <c r="C199" s="472"/>
      <c r="D199" s="472"/>
      <c r="E199" s="472"/>
      <c r="F199" s="472"/>
      <c r="G199" s="472"/>
      <c r="H199" s="472"/>
      <c r="I199" s="472"/>
      <c r="J199" s="472"/>
      <c r="K199" s="472"/>
      <c r="L199" s="472"/>
      <c r="M199" s="472"/>
      <c r="N199" s="472"/>
      <c r="O199" s="472"/>
      <c r="P199" s="472"/>
      <c r="Q199" s="245"/>
    </row>
    <row r="200" spans="1:17" x14ac:dyDescent="0.35">
      <c r="A200" s="238"/>
      <c r="B200" s="239"/>
      <c r="C200" s="239"/>
      <c r="D200" s="239"/>
      <c r="E200" s="239"/>
      <c r="F200" s="239"/>
      <c r="G200" s="239"/>
      <c r="H200" s="239"/>
      <c r="I200" s="239"/>
      <c r="J200" s="239"/>
      <c r="K200" s="239"/>
      <c r="L200" s="239"/>
      <c r="M200" s="239"/>
      <c r="N200" s="239"/>
      <c r="O200" s="239"/>
      <c r="P200" s="239"/>
      <c r="Q200" s="240"/>
    </row>
  </sheetData>
  <mergeCells count="1">
    <mergeCell ref="B2:L2"/>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06BC728-5856-43BC-BB6D-B288F40BE0F1}">
          <x14:formula1>
            <xm:f>DIV_11Data!$A:$A</xm:f>
          </x14:formula1>
          <xm:sqref>B2:L2</xm:sqref>
        </x14:dataValidation>
      </x14:dataValidations>
    </ext>
  </extLst>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2DAE-1960-4AF0-98ED-9B29083A653D}">
  <sheetPr codeName="Sheet133"/>
  <dimension ref="A2:O9"/>
  <sheetViews>
    <sheetView workbookViewId="0"/>
  </sheetViews>
  <sheetFormatPr defaultRowHeight="14.5" x14ac:dyDescent="0.35"/>
  <cols>
    <col min="13" max="15" width="10.26953125" customWidth="1"/>
  </cols>
  <sheetData>
    <row r="2" spans="1:15" ht="18.5" x14ac:dyDescent="0.45">
      <c r="A2" s="473" t="s">
        <v>22164</v>
      </c>
    </row>
    <row r="3" spans="1:15" x14ac:dyDescent="0.35">
      <c r="A3" t="s">
        <v>21395</v>
      </c>
      <c r="B3" s="246">
        <f ca="1">TODAY()</f>
        <v>45603</v>
      </c>
    </row>
    <row r="7" spans="1:15" x14ac:dyDescent="0.35">
      <c r="A7" t="s">
        <v>22165</v>
      </c>
      <c r="D7" s="247" t="str">
        <f>HYPERLINK("https://datamateapp.github.io/TEMPLATES.html","TEMPLATES")</f>
        <v>TEMPLATES</v>
      </c>
    </row>
    <row r="9" spans="1:15" x14ac:dyDescent="0.35">
      <c r="A9" t="s">
        <v>21412</v>
      </c>
      <c r="B9" t="s">
        <v>21413</v>
      </c>
      <c r="C9" t="s">
        <v>21414</v>
      </c>
      <c r="D9" t="s">
        <v>21415</v>
      </c>
      <c r="E9" t="s">
        <v>21416</v>
      </c>
      <c r="F9" t="s">
        <v>21417</v>
      </c>
      <c r="G9" t="s">
        <v>21418</v>
      </c>
      <c r="H9" t="s">
        <v>21419</v>
      </c>
      <c r="I9" t="s">
        <v>21388</v>
      </c>
      <c r="J9" t="s">
        <v>21389</v>
      </c>
      <c r="K9" t="s">
        <v>21390</v>
      </c>
      <c r="L9" t="s">
        <v>21391</v>
      </c>
      <c r="M9" t="s">
        <v>21392</v>
      </c>
      <c r="N9" t="s">
        <v>21393</v>
      </c>
      <c r="O9" t="s">
        <v>21394</v>
      </c>
    </row>
  </sheetData>
  <pageMargins left="0.7" right="0.7" top="0.75" bottom="0.75" header="0.3" footer="0.3"/>
  <tableParts count="1">
    <tablePart r:id="rId1"/>
  </tableParts>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E4FA-20D1-430D-B5A2-38A1887410A1}">
  <sheetPr codeName="Sheet134"/>
  <dimension ref="A1:P1"/>
  <sheetViews>
    <sheetView workbookViewId="0"/>
  </sheetViews>
  <sheetFormatPr defaultRowHeight="14.5" x14ac:dyDescent="0.35"/>
  <cols>
    <col min="1" max="1" width="8.7265625" style="248"/>
    <col min="5" max="16" width="8.7265625" style="248"/>
  </cols>
  <sheetData>
    <row r="1" spans="1:16" x14ac:dyDescent="0.35">
      <c r="A1" s="474"/>
      <c r="B1" s="475" t="str">
        <f>DIV_11View_Print!M1</f>
        <v>Update 1</v>
      </c>
      <c r="C1" s="475" t="str">
        <f>DIV_11View_Print!N1</f>
        <v>Update 2</v>
      </c>
      <c r="D1" s="475" t="str">
        <f>DIV_11View_Print!O1</f>
        <v>Update 3</v>
      </c>
      <c r="E1" s="476" t="str">
        <f>DIV_11Input!A1</f>
        <v>AREA/FLOOR/ZONE</v>
      </c>
      <c r="F1" s="476" t="str">
        <f>DIV_11Input!B1</f>
        <v>Page</v>
      </c>
      <c r="G1" s="476" t="str">
        <f>DIV_11Input!C1</f>
        <v>SUB COST</v>
      </c>
      <c r="H1" s="476" t="str">
        <f>DIV_11Input!D1</f>
        <v>MAT COST</v>
      </c>
      <c r="I1" s="476" t="str">
        <f>DIV_11Input!E1</f>
        <v>LAB COST</v>
      </c>
      <c r="J1" s="476" t="str">
        <f>DIV_11Input!F1</f>
        <v>EQUIP COST</v>
      </c>
      <c r="K1" s="476" t="str">
        <f>DIV_11Input!G1</f>
        <v>Total Cost</v>
      </c>
      <c r="L1" s="476" t="str">
        <f>DIV_11Input!H1</f>
        <v>Date</v>
      </c>
      <c r="M1" s="476" t="str">
        <f>DIV_11Input!I1</f>
        <v>Description</v>
      </c>
      <c r="N1" s="476" t="str">
        <f>DIV_11Input!J1</f>
        <v>Log 10</v>
      </c>
      <c r="O1" s="476" t="str">
        <f>DIV_11Input!K1</f>
        <v>Log 11</v>
      </c>
      <c r="P1" s="477" t="str">
        <f>DIV_11Input!L1</f>
        <v>Log 12</v>
      </c>
    </row>
  </sheetData>
  <pageMargins left="0.7" right="0.7" top="0.75" bottom="0.75" header="0.3" footer="0.3"/>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A8855-1871-4618-8186-BED75EE6BCC0}">
  <sheetPr codeName="Sheet135"/>
  <dimension ref="S1:AG1"/>
  <sheetViews>
    <sheetView workbookViewId="0"/>
  </sheetViews>
  <sheetFormatPr defaultRowHeight="14.5" x14ac:dyDescent="0.35"/>
  <sheetData>
    <row r="1" spans="19:33" x14ac:dyDescent="0.35">
      <c r="S1" t="str">
        <f>DIV_11Input!A1</f>
        <v>AREA/FLOOR/ZONE</v>
      </c>
      <c r="T1" t="str">
        <f>DIV_11Input!B1</f>
        <v>Page</v>
      </c>
      <c r="U1" t="str">
        <f>DIV_11Input!C1</f>
        <v>SUB COST</v>
      </c>
      <c r="V1" t="str">
        <f>DIV_11Input!D1</f>
        <v>MAT COST</v>
      </c>
      <c r="W1" t="str">
        <f>DIV_11Input!E1</f>
        <v>LAB COST</v>
      </c>
      <c r="X1" t="str">
        <f>DIV_11Input!F1</f>
        <v>EQUIP COST</v>
      </c>
      <c r="Y1" t="str">
        <f>DIV_11Input!G1</f>
        <v>Total Cost</v>
      </c>
      <c r="Z1" t="str">
        <f>DIV_11Input!H1</f>
        <v>Date</v>
      </c>
      <c r="AA1" t="str">
        <f>DIV_11Input!I1</f>
        <v>Description</v>
      </c>
      <c r="AB1" t="str">
        <f>DIV_11Input!J1</f>
        <v>Log 10</v>
      </c>
      <c r="AC1" t="str">
        <f>DIV_11Input!K1</f>
        <v>Log 11</v>
      </c>
      <c r="AD1" t="str">
        <f>DIV_11Input!L1</f>
        <v>Log 12</v>
      </c>
      <c r="AE1" t="str">
        <f>DIV_11Input!M1</f>
        <v>Update 1</v>
      </c>
      <c r="AF1" t="str">
        <f>DIV_11Input!N1</f>
        <v>Update 2</v>
      </c>
      <c r="AG1" t="str">
        <f>DIV_11Input!O1</f>
        <v>Update 3</v>
      </c>
    </row>
  </sheetData>
  <pageMargins left="0.7" right="0.7" top="0.75" bottom="0.75" header="0.3" footer="0.3"/>
</worksheet>
</file>

<file path=xl/worksheets/sheet1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17C92-FAA6-4A04-9227-59CF50699F77}">
  <sheetPr codeName="Sheet136"/>
  <dimension ref="A1:Q259"/>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VEHICLE AND PEDESTRIAN EQUIPMENT</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11 10 00</v>
      </c>
      <c r="C10" s="24" t="str">
        <f>C206</f>
        <v>VEHICLE AND PEDESTRIAN EQUIPMENT</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VEHICLE AND PEDESTRIAN EQUIPMENT</v>
      </c>
      <c r="D12" s="31"/>
      <c r="E12" s="32"/>
      <c r="F12" s="34"/>
      <c r="G12" s="33"/>
      <c r="H12" s="34"/>
      <c r="I12" s="33"/>
      <c r="J12" s="34"/>
      <c r="K12" s="34"/>
      <c r="L12" s="34"/>
      <c r="M12" s="33"/>
      <c r="N12" s="34"/>
      <c r="O12" s="35"/>
      <c r="P12" s="31"/>
      <c r="Q12" s="35"/>
    </row>
    <row r="13" spans="1:17" x14ac:dyDescent="0.35">
      <c r="A13" s="1"/>
      <c r="B13" s="1"/>
      <c r="C13" s="1"/>
      <c r="D13" s="1"/>
      <c r="E13" s="1"/>
      <c r="F13" s="1"/>
      <c r="G13" s="1"/>
      <c r="H13" s="1"/>
      <c r="I13" s="1"/>
      <c r="J13" s="1"/>
      <c r="K13" s="1"/>
      <c r="L13" s="1"/>
      <c r="M13" s="1"/>
      <c r="N13" s="1"/>
      <c r="O13" s="1"/>
      <c r="P13" s="1"/>
      <c r="Q13" s="1"/>
    </row>
    <row r="14" spans="1:17" x14ac:dyDescent="0.35">
      <c r="A14" s="1"/>
      <c r="B14" s="1"/>
      <c r="C14" s="1"/>
      <c r="D14" s="1"/>
      <c r="E14" s="1"/>
      <c r="F14" s="1"/>
      <c r="G14" s="1"/>
      <c r="H14" s="1"/>
      <c r="I14" s="1"/>
      <c r="J14" s="1"/>
      <c r="K14" s="1"/>
      <c r="L14" s="1"/>
      <c r="M14" s="1"/>
      <c r="N14" s="1"/>
      <c r="O14" s="1"/>
      <c r="P14" s="1"/>
      <c r="Q14" s="1"/>
    </row>
    <row r="15" spans="1:17" x14ac:dyDescent="0.35">
      <c r="A15" s="1"/>
      <c r="B15" s="1"/>
      <c r="C15" s="1"/>
      <c r="D15" s="1"/>
      <c r="E15" s="1"/>
      <c r="F15" s="1"/>
      <c r="G15" s="1"/>
      <c r="H15" s="1"/>
      <c r="I15" s="1"/>
      <c r="J15" s="1"/>
      <c r="K15" s="1"/>
      <c r="L15" s="1"/>
      <c r="M15" s="1"/>
      <c r="N15" s="1"/>
      <c r="O15" s="1"/>
      <c r="P15" s="1"/>
      <c r="Q15" s="1"/>
    </row>
    <row r="16" spans="1:17" x14ac:dyDescent="0.35">
      <c r="A16" s="1"/>
      <c r="B16" s="1"/>
      <c r="C16" s="1"/>
      <c r="D16" s="1"/>
      <c r="E16" s="1"/>
      <c r="F16" s="1"/>
      <c r="G16" s="1"/>
      <c r="H16" s="1"/>
      <c r="I16" s="1"/>
      <c r="J16" s="1"/>
      <c r="K16" s="1"/>
      <c r="L16" s="1"/>
      <c r="M16" s="1"/>
      <c r="N16" s="1"/>
      <c r="O16" s="1"/>
      <c r="P16" s="1"/>
      <c r="Q16" s="1"/>
    </row>
    <row r="17" spans="1:17" x14ac:dyDescent="0.35">
      <c r="A17" s="1"/>
      <c r="B17" s="1"/>
      <c r="C17" s="1"/>
      <c r="D17" s="1"/>
      <c r="E17" s="1"/>
      <c r="F17" s="1"/>
      <c r="G17" s="1"/>
      <c r="H17" s="1"/>
      <c r="I17" s="1"/>
      <c r="J17" s="1"/>
      <c r="K17" s="1"/>
      <c r="L17" s="1"/>
      <c r="M17" s="1"/>
      <c r="N17" s="1"/>
      <c r="O17" s="1"/>
      <c r="P17" s="1"/>
      <c r="Q17" s="1"/>
    </row>
    <row r="18" spans="1:17" x14ac:dyDescent="0.35">
      <c r="A18" s="1"/>
      <c r="B18" s="1"/>
      <c r="C18" s="1"/>
      <c r="D18" s="1"/>
      <c r="E18" s="1"/>
      <c r="F18" s="1"/>
      <c r="G18" s="1"/>
      <c r="H18" s="1"/>
      <c r="I18" s="1"/>
      <c r="J18" s="1"/>
      <c r="K18" s="1"/>
      <c r="L18" s="1"/>
      <c r="M18" s="1"/>
      <c r="N18" s="1"/>
      <c r="O18" s="1"/>
      <c r="P18" s="1"/>
      <c r="Q18" s="1"/>
    </row>
    <row r="19" spans="1:17" x14ac:dyDescent="0.35">
      <c r="A19" s="1"/>
      <c r="B19" s="1"/>
      <c r="C19" s="1"/>
      <c r="D19" s="1"/>
      <c r="E19" s="1"/>
      <c r="F19" s="1"/>
      <c r="G19" s="1"/>
      <c r="H19" s="1"/>
      <c r="I19" s="1"/>
      <c r="J19" s="1"/>
      <c r="K19" s="1"/>
      <c r="L19" s="1"/>
      <c r="M19" s="1"/>
      <c r="N19" s="1"/>
      <c r="O19" s="1"/>
      <c r="P19" s="1"/>
      <c r="Q19" s="1"/>
    </row>
    <row r="20" spans="1:17" x14ac:dyDescent="0.35">
      <c r="A20" s="1"/>
      <c r="B20" s="1"/>
      <c r="C20" s="1"/>
      <c r="D20" s="1"/>
      <c r="E20" s="1"/>
      <c r="F20" s="1"/>
      <c r="G20" s="1"/>
      <c r="H20" s="1"/>
      <c r="I20" s="1"/>
      <c r="J20" s="1"/>
      <c r="K20" s="1"/>
      <c r="L20" s="1"/>
      <c r="M20" s="1"/>
      <c r="N20" s="1"/>
      <c r="O20" s="1"/>
      <c r="P20" s="1"/>
      <c r="Q20" s="1"/>
    </row>
    <row r="21" spans="1:17" x14ac:dyDescent="0.35">
      <c r="A21" s="1"/>
      <c r="B21" s="1"/>
      <c r="C21" s="1"/>
      <c r="D21" s="1"/>
      <c r="E21" s="1"/>
      <c r="F21" s="1"/>
      <c r="G21" s="1"/>
      <c r="H21" s="1"/>
      <c r="I21" s="1"/>
      <c r="J21" s="1"/>
      <c r="K21" s="1"/>
      <c r="L21" s="1"/>
      <c r="M21" s="1"/>
      <c r="N21" s="1"/>
      <c r="O21" s="1"/>
      <c r="P21" s="1"/>
      <c r="Q21" s="1"/>
    </row>
    <row r="22" spans="1:17" x14ac:dyDescent="0.35">
      <c r="A22" s="1"/>
      <c r="B22" s="1"/>
      <c r="C22" s="1"/>
      <c r="D22" s="1"/>
      <c r="E22" s="1"/>
      <c r="F22" s="1"/>
      <c r="G22" s="1"/>
      <c r="H22" s="1"/>
      <c r="I22" s="1"/>
      <c r="J22" s="1"/>
      <c r="K22" s="1"/>
      <c r="L22" s="1"/>
      <c r="M22" s="1"/>
      <c r="N22" s="1"/>
      <c r="O22" s="1"/>
      <c r="P22" s="1"/>
      <c r="Q22" s="1"/>
    </row>
    <row r="23" spans="1:17" x14ac:dyDescent="0.35">
      <c r="A23" s="1"/>
      <c r="B23" s="1"/>
      <c r="C23" s="1"/>
      <c r="D23" s="1"/>
      <c r="E23" s="1"/>
      <c r="F23" s="1"/>
      <c r="G23" s="1"/>
      <c r="H23" s="1"/>
      <c r="I23" s="1"/>
      <c r="J23" s="1"/>
      <c r="K23" s="1"/>
      <c r="L23" s="1"/>
      <c r="M23" s="1"/>
      <c r="N23" s="1"/>
      <c r="O23" s="1"/>
      <c r="P23" s="1"/>
      <c r="Q23" s="1"/>
    </row>
    <row r="24" spans="1:17" x14ac:dyDescent="0.35">
      <c r="A24" s="1"/>
      <c r="B24" s="1"/>
      <c r="C24" s="1"/>
      <c r="D24" s="1"/>
      <c r="E24" s="1"/>
      <c r="F24" s="1"/>
      <c r="G24" s="1"/>
      <c r="H24" s="1"/>
      <c r="I24" s="1"/>
      <c r="J24" s="1"/>
      <c r="K24" s="1"/>
      <c r="L24" s="1"/>
      <c r="M24" s="1"/>
      <c r="N24" s="1"/>
      <c r="O24" s="1"/>
      <c r="P24" s="1"/>
      <c r="Q24" s="1"/>
    </row>
    <row r="25" spans="1:17" x14ac:dyDescent="0.35">
      <c r="A25" s="1"/>
      <c r="B25" s="1"/>
      <c r="C25" s="1"/>
      <c r="D25" s="1"/>
      <c r="E25" s="1"/>
      <c r="F25" s="1"/>
      <c r="G25" s="1"/>
      <c r="H25" s="1"/>
      <c r="I25" s="1"/>
      <c r="J25" s="1"/>
      <c r="K25" s="1"/>
      <c r="L25" s="1"/>
      <c r="M25" s="1"/>
      <c r="N25" s="1"/>
      <c r="O25" s="1"/>
      <c r="P25" s="1"/>
      <c r="Q25" s="1"/>
    </row>
    <row r="26" spans="1:17" x14ac:dyDescent="0.35">
      <c r="A26" s="1"/>
      <c r="B26" s="1"/>
      <c r="C26" s="1"/>
      <c r="D26" s="1"/>
      <c r="E26" s="1"/>
      <c r="F26" s="1"/>
      <c r="G26" s="1"/>
      <c r="H26" s="1"/>
      <c r="I26" s="1"/>
      <c r="J26" s="1"/>
      <c r="K26" s="1"/>
      <c r="L26" s="1"/>
      <c r="M26" s="1"/>
      <c r="N26" s="1"/>
      <c r="O26" s="1"/>
      <c r="P26" s="1"/>
      <c r="Q26" s="1"/>
    </row>
    <row r="27" spans="1:17" x14ac:dyDescent="0.35">
      <c r="A27" s="1"/>
      <c r="B27" s="1"/>
      <c r="C27" s="1"/>
      <c r="D27" s="1"/>
      <c r="E27" s="1"/>
      <c r="F27" s="1"/>
      <c r="G27" s="1"/>
      <c r="H27" s="1"/>
      <c r="I27" s="1"/>
      <c r="J27" s="1"/>
      <c r="K27" s="1"/>
      <c r="L27" s="1"/>
      <c r="M27" s="1"/>
      <c r="N27" s="1"/>
      <c r="O27" s="1"/>
      <c r="P27" s="1"/>
      <c r="Q27" s="1"/>
    </row>
    <row r="28" spans="1:17" x14ac:dyDescent="0.35">
      <c r="A28" s="1"/>
      <c r="B28" s="1"/>
      <c r="C28" s="1"/>
      <c r="D28" s="1"/>
      <c r="E28" s="1"/>
      <c r="F28" s="1"/>
      <c r="G28" s="1"/>
      <c r="H28" s="1"/>
      <c r="I28" s="1"/>
      <c r="J28" s="1"/>
      <c r="K28" s="1"/>
      <c r="L28" s="1"/>
      <c r="M28" s="1"/>
      <c r="N28" s="1"/>
      <c r="O28" s="1"/>
      <c r="P28" s="1"/>
      <c r="Q28" s="1"/>
    </row>
    <row r="29" spans="1:17" x14ac:dyDescent="0.35">
      <c r="A29" s="1"/>
      <c r="B29" s="1"/>
      <c r="C29" s="1"/>
      <c r="D29" s="1"/>
      <c r="E29" s="1"/>
      <c r="F29" s="1"/>
      <c r="G29" s="1"/>
      <c r="H29" s="1"/>
      <c r="I29" s="1"/>
      <c r="J29" s="1"/>
      <c r="K29" s="1"/>
      <c r="L29" s="1"/>
      <c r="M29" s="1"/>
      <c r="N29" s="1"/>
      <c r="O29" s="1"/>
      <c r="P29" s="1"/>
      <c r="Q29" s="1"/>
    </row>
    <row r="30" spans="1:17" x14ac:dyDescent="0.35">
      <c r="A30" s="1"/>
      <c r="B30" s="1"/>
      <c r="C30" s="1"/>
      <c r="D30" s="1"/>
      <c r="E30" s="1"/>
      <c r="F30" s="1"/>
      <c r="G30" s="1"/>
      <c r="H30" s="1"/>
      <c r="I30" s="1"/>
      <c r="J30" s="1"/>
      <c r="K30" s="1"/>
      <c r="L30" s="1"/>
      <c r="M30" s="1"/>
      <c r="N30" s="1"/>
      <c r="O30" s="1"/>
      <c r="P30" s="1"/>
      <c r="Q30" s="1"/>
    </row>
    <row r="31" spans="1:17" x14ac:dyDescent="0.35">
      <c r="A31" s="1"/>
      <c r="B31" s="1"/>
      <c r="C31" s="1"/>
      <c r="D31" s="1"/>
      <c r="E31" s="1"/>
      <c r="F31" s="1"/>
      <c r="G31" s="1"/>
      <c r="H31" s="1"/>
      <c r="I31" s="1"/>
      <c r="J31" s="1"/>
      <c r="K31" s="1"/>
      <c r="L31" s="1"/>
      <c r="M31" s="1"/>
      <c r="N31" s="1"/>
      <c r="O31" s="1"/>
      <c r="P31" s="1"/>
      <c r="Q31" s="1"/>
    </row>
    <row r="32" spans="1:17" x14ac:dyDescent="0.35">
      <c r="A32" s="1"/>
      <c r="B32" s="1"/>
      <c r="C32" s="1"/>
      <c r="D32" s="1"/>
      <c r="E32" s="1"/>
      <c r="F32" s="1"/>
      <c r="G32" s="1"/>
      <c r="H32" s="1"/>
      <c r="I32" s="1"/>
      <c r="J32" s="1"/>
      <c r="K32" s="1"/>
      <c r="L32" s="1"/>
      <c r="M32" s="1"/>
      <c r="N32" s="1"/>
      <c r="O32" s="1"/>
      <c r="P32" s="1"/>
      <c r="Q32" s="1"/>
    </row>
    <row r="33" spans="1:17" x14ac:dyDescent="0.35">
      <c r="A33" s="1"/>
      <c r="B33" s="1"/>
      <c r="C33" s="1"/>
      <c r="D33" s="1"/>
      <c r="E33" s="1"/>
      <c r="F33" s="1"/>
      <c r="G33" s="1"/>
      <c r="H33" s="1"/>
      <c r="I33" s="1"/>
      <c r="J33" s="1"/>
      <c r="K33" s="1"/>
      <c r="L33" s="1"/>
      <c r="M33" s="1"/>
      <c r="N33" s="1"/>
      <c r="O33" s="1"/>
      <c r="P33" s="1"/>
      <c r="Q33" s="1"/>
    </row>
    <row r="34" spans="1:17" x14ac:dyDescent="0.35">
      <c r="A34" s="1"/>
      <c r="B34" s="1"/>
      <c r="C34" s="1"/>
      <c r="D34" s="1"/>
      <c r="E34" s="1"/>
      <c r="F34" s="1"/>
      <c r="G34" s="1"/>
      <c r="H34" s="1"/>
      <c r="I34" s="1"/>
      <c r="J34" s="1"/>
      <c r="K34" s="1"/>
      <c r="L34" s="1"/>
      <c r="M34" s="1"/>
      <c r="N34" s="1"/>
      <c r="O34" s="1"/>
      <c r="P34" s="1"/>
      <c r="Q34" s="1"/>
    </row>
    <row r="35" spans="1:17" x14ac:dyDescent="0.35">
      <c r="A35" s="1"/>
      <c r="B35" s="1"/>
      <c r="C35" s="1"/>
      <c r="D35" s="1"/>
      <c r="E35" s="1"/>
      <c r="F35" s="1"/>
      <c r="G35" s="1"/>
      <c r="H35" s="1"/>
      <c r="I35" s="1"/>
      <c r="J35" s="1"/>
      <c r="K35" s="1"/>
      <c r="L35" s="1"/>
      <c r="M35" s="1"/>
      <c r="N35" s="1"/>
      <c r="O35" s="1"/>
      <c r="P35" s="1"/>
      <c r="Q35" s="1"/>
    </row>
    <row r="36" spans="1:17" x14ac:dyDescent="0.35">
      <c r="A36" s="1"/>
      <c r="B36" s="1"/>
      <c r="C36" s="1"/>
      <c r="D36" s="1"/>
      <c r="E36" s="1"/>
      <c r="F36" s="1"/>
      <c r="G36" s="1"/>
      <c r="H36" s="1"/>
      <c r="I36" s="1"/>
      <c r="J36" s="1"/>
      <c r="K36" s="1"/>
      <c r="L36" s="1"/>
      <c r="M36" s="1"/>
      <c r="N36" s="1"/>
      <c r="O36" s="1"/>
      <c r="P36" s="1"/>
      <c r="Q36" s="1"/>
    </row>
    <row r="37" spans="1:17" x14ac:dyDescent="0.35">
      <c r="A37" s="1"/>
      <c r="B37" s="1"/>
      <c r="C37" s="1"/>
      <c r="D37" s="1"/>
      <c r="E37" s="1"/>
      <c r="F37" s="1"/>
      <c r="G37" s="1"/>
      <c r="H37" s="1"/>
      <c r="I37" s="1"/>
      <c r="J37" s="1"/>
      <c r="K37" s="1"/>
      <c r="L37" s="1"/>
      <c r="M37" s="1"/>
      <c r="N37" s="1"/>
      <c r="O37" s="1"/>
      <c r="P37" s="1"/>
      <c r="Q37" s="1"/>
    </row>
    <row r="38" spans="1:17" x14ac:dyDescent="0.35">
      <c r="A38" s="1"/>
      <c r="B38" s="1"/>
      <c r="C38" s="1"/>
      <c r="D38" s="1"/>
      <c r="E38" s="1"/>
      <c r="F38" s="1"/>
      <c r="G38" s="1"/>
      <c r="H38" s="1"/>
      <c r="I38" s="1"/>
      <c r="J38" s="1"/>
      <c r="K38" s="1"/>
      <c r="L38" s="1"/>
      <c r="M38" s="1"/>
      <c r="N38" s="1"/>
      <c r="O38" s="1"/>
      <c r="P38" s="1"/>
      <c r="Q38" s="1"/>
    </row>
    <row r="39" spans="1:17" x14ac:dyDescent="0.35">
      <c r="A39" s="1"/>
      <c r="B39" s="1"/>
      <c r="C39" s="1"/>
      <c r="D39" s="1"/>
      <c r="E39" s="1"/>
      <c r="F39" s="1"/>
      <c r="G39" s="1"/>
      <c r="H39" s="1"/>
      <c r="I39" s="1"/>
      <c r="J39" s="1"/>
      <c r="K39" s="1"/>
      <c r="L39" s="1"/>
      <c r="M39" s="1"/>
      <c r="N39" s="1"/>
      <c r="O39" s="1"/>
      <c r="P39" s="1"/>
      <c r="Q39" s="1"/>
    </row>
    <row r="40" spans="1:17" x14ac:dyDescent="0.35">
      <c r="A40" s="1"/>
      <c r="B40" s="1"/>
      <c r="C40" s="1"/>
      <c r="D40" s="1"/>
      <c r="E40" s="1"/>
      <c r="F40" s="1"/>
      <c r="G40" s="1"/>
      <c r="H40" s="1"/>
      <c r="I40" s="1"/>
      <c r="J40" s="1"/>
      <c r="K40" s="1"/>
      <c r="L40" s="1"/>
      <c r="M40" s="1"/>
      <c r="N40" s="1"/>
      <c r="O40" s="1"/>
      <c r="P40" s="1"/>
      <c r="Q40" s="1"/>
    </row>
    <row r="41" spans="1:17" x14ac:dyDescent="0.35">
      <c r="A41" s="1"/>
      <c r="B41" s="1"/>
      <c r="C41" s="1"/>
      <c r="D41" s="1"/>
      <c r="E41" s="1"/>
      <c r="F41" s="1"/>
      <c r="G41" s="1"/>
      <c r="H41" s="1"/>
      <c r="I41" s="1"/>
      <c r="J41" s="1"/>
      <c r="K41" s="1"/>
      <c r="L41" s="1"/>
      <c r="M41" s="1"/>
      <c r="N41" s="1"/>
      <c r="O41" s="1"/>
      <c r="P41" s="1"/>
      <c r="Q41" s="1"/>
    </row>
    <row r="42" spans="1:17" x14ac:dyDescent="0.35">
      <c r="A42" s="1"/>
      <c r="B42" s="1"/>
      <c r="C42" s="1"/>
      <c r="D42" s="1"/>
      <c r="E42" s="1"/>
      <c r="F42" s="1"/>
      <c r="G42" s="1"/>
      <c r="H42" s="1"/>
      <c r="I42" s="1"/>
      <c r="J42" s="1"/>
      <c r="K42" s="1"/>
      <c r="L42" s="1"/>
      <c r="M42" s="1"/>
      <c r="N42" s="1"/>
      <c r="O42" s="1"/>
      <c r="P42" s="1"/>
      <c r="Q42" s="1"/>
    </row>
    <row r="43" spans="1:17" x14ac:dyDescent="0.35">
      <c r="A43" s="1"/>
      <c r="B43" s="1"/>
      <c r="C43" s="1"/>
      <c r="D43" s="1"/>
      <c r="E43" s="1"/>
      <c r="F43" s="1"/>
      <c r="G43" s="1"/>
      <c r="H43" s="1"/>
      <c r="I43" s="1"/>
      <c r="J43" s="1"/>
      <c r="K43" s="1"/>
      <c r="L43" s="1"/>
      <c r="M43" s="1"/>
      <c r="N43" s="1"/>
      <c r="O43" s="1"/>
      <c r="P43" s="1"/>
      <c r="Q43" s="1"/>
    </row>
    <row r="44" spans="1:17" x14ac:dyDescent="0.35">
      <c r="A44" s="1"/>
      <c r="B44" s="1"/>
      <c r="C44" s="1"/>
      <c r="D44" s="1"/>
      <c r="E44" s="1"/>
      <c r="F44" s="1"/>
      <c r="G44" s="1"/>
      <c r="H44" s="1"/>
      <c r="I44" s="1"/>
      <c r="J44" s="1"/>
      <c r="K44" s="1"/>
      <c r="L44" s="1"/>
      <c r="M44" s="1"/>
      <c r="N44" s="1"/>
      <c r="O44" s="1"/>
      <c r="P44" s="1"/>
      <c r="Q44" s="1"/>
    </row>
    <row r="45" spans="1:17" x14ac:dyDescent="0.35">
      <c r="A45" s="1"/>
      <c r="B45" s="1"/>
      <c r="C45" s="1"/>
      <c r="D45" s="1"/>
      <c r="E45" s="1"/>
      <c r="F45" s="1"/>
      <c r="G45" s="1"/>
      <c r="H45" s="1"/>
      <c r="I45" s="1"/>
      <c r="J45" s="1"/>
      <c r="K45" s="1"/>
      <c r="L45" s="1"/>
      <c r="M45" s="1"/>
      <c r="N45" s="1"/>
      <c r="O45" s="1"/>
      <c r="P45" s="1"/>
      <c r="Q45" s="1"/>
    </row>
    <row r="46" spans="1:17" x14ac:dyDescent="0.35">
      <c r="A46" s="1"/>
      <c r="B46" s="1"/>
      <c r="C46" s="1"/>
      <c r="D46" s="1"/>
      <c r="E46" s="1"/>
      <c r="F46" s="1"/>
      <c r="G46" s="1"/>
      <c r="H46" s="1"/>
      <c r="I46" s="1"/>
      <c r="J46" s="1"/>
      <c r="K46" s="1"/>
      <c r="L46" s="1"/>
      <c r="M46" s="1"/>
      <c r="N46" s="1"/>
      <c r="O46" s="1"/>
      <c r="P46" s="1"/>
      <c r="Q46" s="1"/>
    </row>
    <row r="47" spans="1:17" x14ac:dyDescent="0.35">
      <c r="A47" s="1"/>
      <c r="B47" s="1"/>
      <c r="C47" s="1"/>
      <c r="D47" s="1"/>
      <c r="E47" s="1"/>
      <c r="F47" s="1"/>
      <c r="G47" s="1"/>
      <c r="H47" s="1"/>
      <c r="I47" s="1"/>
      <c r="J47" s="1"/>
      <c r="K47" s="1"/>
      <c r="L47" s="1"/>
      <c r="M47" s="1"/>
      <c r="N47" s="1"/>
      <c r="O47" s="1"/>
      <c r="P47" s="1"/>
      <c r="Q47" s="1"/>
    </row>
    <row r="48" spans="1:17" x14ac:dyDescent="0.35">
      <c r="A48" s="1"/>
      <c r="B48" s="1"/>
      <c r="C48" s="1"/>
      <c r="D48" s="1"/>
      <c r="E48" s="1"/>
      <c r="F48" s="1"/>
      <c r="G48" s="1"/>
      <c r="H48" s="1"/>
      <c r="I48" s="1"/>
      <c r="J48" s="1"/>
      <c r="K48" s="1"/>
      <c r="L48" s="1"/>
      <c r="M48" s="1"/>
      <c r="N48" s="1"/>
      <c r="O48" s="1"/>
      <c r="P48" s="1"/>
      <c r="Q48" s="1"/>
    </row>
    <row r="49" spans="1:17" x14ac:dyDescent="0.35">
      <c r="A49" s="1"/>
      <c r="B49" s="1"/>
      <c r="C49" s="1"/>
      <c r="D49" s="1"/>
      <c r="E49" s="1"/>
      <c r="F49" s="1"/>
      <c r="G49" s="1"/>
      <c r="H49" s="1"/>
      <c r="I49" s="1"/>
      <c r="J49" s="1"/>
      <c r="K49" s="1"/>
      <c r="L49" s="1"/>
      <c r="M49" s="1"/>
      <c r="N49" s="1"/>
      <c r="O49" s="1"/>
      <c r="P49" s="1"/>
      <c r="Q49" s="1"/>
    </row>
    <row r="50" spans="1:17" x14ac:dyDescent="0.35">
      <c r="A50" s="1"/>
      <c r="B50" s="1"/>
      <c r="C50" s="1"/>
      <c r="D50" s="1"/>
      <c r="E50" s="1"/>
      <c r="F50" s="1"/>
      <c r="G50" s="1"/>
      <c r="H50" s="1"/>
      <c r="I50" s="1"/>
      <c r="J50" s="1"/>
      <c r="K50" s="1"/>
      <c r="L50" s="1"/>
      <c r="M50" s="1"/>
      <c r="N50" s="1"/>
      <c r="O50" s="1"/>
      <c r="P50" s="1"/>
      <c r="Q50" s="1"/>
    </row>
    <row r="51" spans="1:17" x14ac:dyDescent="0.35">
      <c r="A51" s="1"/>
      <c r="B51" s="1"/>
      <c r="C51" s="1"/>
      <c r="D51" s="1"/>
      <c r="E51" s="1"/>
      <c r="F51" s="1"/>
      <c r="G51" s="1"/>
      <c r="H51" s="1"/>
      <c r="I51" s="1"/>
      <c r="J51" s="1"/>
      <c r="K51" s="1"/>
      <c r="L51" s="1"/>
      <c r="M51" s="1"/>
      <c r="N51" s="1"/>
      <c r="O51" s="1"/>
      <c r="P51" s="1"/>
      <c r="Q51" s="1"/>
    </row>
    <row r="52" spans="1:17" x14ac:dyDescent="0.35">
      <c r="A52" s="1"/>
      <c r="B52" s="1"/>
      <c r="C52" s="1"/>
      <c r="D52" s="1"/>
      <c r="E52" s="1"/>
      <c r="F52" s="1"/>
      <c r="G52" s="1"/>
      <c r="H52" s="1"/>
      <c r="I52" s="1"/>
      <c r="J52" s="1"/>
      <c r="K52" s="1"/>
      <c r="L52" s="1"/>
      <c r="M52" s="1"/>
      <c r="N52" s="1"/>
      <c r="O52" s="1"/>
      <c r="P52" s="1"/>
      <c r="Q52" s="1"/>
    </row>
    <row r="53" spans="1:17" x14ac:dyDescent="0.35">
      <c r="A53" s="1"/>
      <c r="B53" s="1"/>
      <c r="C53" s="1"/>
      <c r="D53" s="1"/>
      <c r="E53" s="1"/>
      <c r="F53" s="1"/>
      <c r="G53" s="1"/>
      <c r="H53" s="1"/>
      <c r="I53" s="1"/>
      <c r="J53" s="1"/>
      <c r="K53" s="1"/>
      <c r="L53" s="1"/>
      <c r="M53" s="1"/>
      <c r="N53" s="1"/>
      <c r="O53" s="1"/>
      <c r="P53" s="1"/>
      <c r="Q53" s="1"/>
    </row>
    <row r="54" spans="1:17" x14ac:dyDescent="0.35">
      <c r="A54" s="1"/>
      <c r="B54" s="1"/>
      <c r="C54" s="1"/>
      <c r="D54" s="1"/>
      <c r="E54" s="1"/>
      <c r="F54" s="1"/>
      <c r="G54" s="1"/>
      <c r="H54" s="1"/>
      <c r="I54" s="1"/>
      <c r="J54" s="1"/>
      <c r="K54" s="1"/>
      <c r="L54" s="1"/>
      <c r="M54" s="1"/>
      <c r="N54" s="1"/>
      <c r="O54" s="1"/>
      <c r="P54" s="1"/>
      <c r="Q54" s="1"/>
    </row>
    <row r="55" spans="1:17" x14ac:dyDescent="0.35">
      <c r="A55" s="1"/>
      <c r="B55" s="1"/>
      <c r="C55" s="1"/>
      <c r="D55" s="1"/>
      <c r="E55" s="1"/>
      <c r="F55" s="1"/>
      <c r="G55" s="1"/>
      <c r="H55" s="1"/>
      <c r="I55" s="1"/>
      <c r="J55" s="1"/>
      <c r="K55" s="1"/>
      <c r="L55" s="1"/>
      <c r="M55" s="1"/>
      <c r="N55" s="1"/>
      <c r="O55" s="1"/>
      <c r="P55" s="1"/>
      <c r="Q55" s="1"/>
    </row>
    <row r="56" spans="1:17" x14ac:dyDescent="0.35">
      <c r="A56" s="1"/>
      <c r="B56" s="1"/>
      <c r="C56" s="1"/>
      <c r="D56" s="1"/>
      <c r="E56" s="1"/>
      <c r="F56" s="1"/>
      <c r="G56" s="1"/>
      <c r="H56" s="1"/>
      <c r="I56" s="1"/>
      <c r="J56" s="1"/>
      <c r="K56" s="1"/>
      <c r="L56" s="1"/>
      <c r="M56" s="1"/>
      <c r="N56" s="1"/>
      <c r="O56" s="1"/>
      <c r="P56" s="1"/>
      <c r="Q56" s="1"/>
    </row>
    <row r="57" spans="1:17" x14ac:dyDescent="0.35">
      <c r="A57" s="1"/>
      <c r="B57" s="1"/>
      <c r="C57" s="1"/>
      <c r="D57" s="1"/>
      <c r="E57" s="1"/>
      <c r="F57" s="1"/>
      <c r="G57" s="1"/>
      <c r="H57" s="1"/>
      <c r="I57" s="1"/>
      <c r="J57" s="1"/>
      <c r="K57" s="1"/>
      <c r="L57" s="1"/>
      <c r="M57" s="1"/>
      <c r="N57" s="1"/>
      <c r="O57" s="1"/>
      <c r="P57" s="1"/>
      <c r="Q57" s="1"/>
    </row>
    <row r="58" spans="1:17" x14ac:dyDescent="0.35">
      <c r="A58" s="1"/>
      <c r="B58" s="1"/>
      <c r="C58" s="1"/>
      <c r="D58" s="1"/>
      <c r="E58" s="1"/>
      <c r="F58" s="1"/>
      <c r="G58" s="1"/>
      <c r="H58" s="1"/>
      <c r="I58" s="1"/>
      <c r="J58" s="1"/>
      <c r="K58" s="1"/>
      <c r="L58" s="1"/>
      <c r="M58" s="1"/>
      <c r="N58" s="1"/>
      <c r="O58" s="1"/>
      <c r="P58" s="1"/>
      <c r="Q58" s="1"/>
    </row>
    <row r="59" spans="1:17" x14ac:dyDescent="0.35">
      <c r="A59" s="1"/>
      <c r="B59" s="1"/>
      <c r="C59" s="1"/>
      <c r="D59" s="1"/>
      <c r="E59" s="1"/>
      <c r="F59" s="1"/>
      <c r="G59" s="1"/>
      <c r="H59" s="1"/>
      <c r="I59" s="1"/>
      <c r="J59" s="1"/>
      <c r="K59" s="1"/>
      <c r="L59" s="1"/>
      <c r="M59" s="1"/>
      <c r="N59" s="1"/>
      <c r="O59" s="1"/>
      <c r="P59" s="1"/>
      <c r="Q59" s="1"/>
    </row>
    <row r="60" spans="1:17" x14ac:dyDescent="0.35">
      <c r="A60" s="1"/>
      <c r="B60" s="1"/>
      <c r="C60" s="1"/>
      <c r="D60" s="1"/>
      <c r="E60" s="1"/>
      <c r="F60" s="1"/>
      <c r="G60" s="1"/>
      <c r="H60" s="1"/>
      <c r="I60" s="1"/>
      <c r="J60" s="1"/>
      <c r="K60" s="1"/>
      <c r="L60" s="1"/>
      <c r="M60" s="1"/>
      <c r="N60" s="1"/>
      <c r="O60" s="1"/>
      <c r="P60" s="1"/>
      <c r="Q60" s="1"/>
    </row>
    <row r="61" spans="1:17" x14ac:dyDescent="0.35">
      <c r="A61" s="1"/>
      <c r="B61" s="1"/>
      <c r="C61" s="1"/>
      <c r="D61" s="1"/>
      <c r="E61" s="1"/>
      <c r="F61" s="1"/>
      <c r="G61" s="1"/>
      <c r="H61" s="1"/>
      <c r="I61" s="1"/>
      <c r="J61" s="1"/>
      <c r="K61" s="1"/>
      <c r="L61" s="1"/>
      <c r="M61" s="1"/>
      <c r="N61" s="1"/>
      <c r="O61" s="1"/>
      <c r="P61" s="1"/>
      <c r="Q61" s="1"/>
    </row>
    <row r="62" spans="1:17" x14ac:dyDescent="0.35">
      <c r="A62" s="1"/>
      <c r="B62" s="1"/>
      <c r="C62" s="1"/>
      <c r="D62" s="1"/>
      <c r="E62" s="1"/>
      <c r="F62" s="1"/>
      <c r="G62" s="1"/>
      <c r="H62" s="1"/>
      <c r="I62" s="1"/>
      <c r="J62" s="1"/>
      <c r="K62" s="1"/>
      <c r="L62" s="1"/>
      <c r="M62" s="1"/>
      <c r="N62" s="1"/>
      <c r="O62" s="1"/>
      <c r="P62" s="1"/>
      <c r="Q62" s="1"/>
    </row>
    <row r="63" spans="1:17" x14ac:dyDescent="0.35">
      <c r="A63" s="1"/>
      <c r="B63" s="1"/>
      <c r="C63" s="1"/>
      <c r="D63" s="1"/>
      <c r="E63" s="1"/>
      <c r="F63" s="1"/>
      <c r="G63" s="1"/>
      <c r="H63" s="1"/>
      <c r="I63" s="1"/>
      <c r="J63" s="1"/>
      <c r="K63" s="1"/>
      <c r="L63" s="1"/>
      <c r="M63" s="1"/>
      <c r="N63" s="1"/>
      <c r="O63" s="1"/>
      <c r="P63" s="1"/>
      <c r="Q63" s="1"/>
    </row>
    <row r="64" spans="1:17" x14ac:dyDescent="0.35">
      <c r="A64" s="1"/>
      <c r="B64" s="1"/>
      <c r="C64" s="1"/>
      <c r="D64" s="1"/>
      <c r="E64" s="1"/>
      <c r="F64" s="1"/>
      <c r="G64" s="1"/>
      <c r="H64" s="1"/>
      <c r="I64" s="1"/>
      <c r="J64" s="1"/>
      <c r="K64" s="1"/>
      <c r="L64" s="1"/>
      <c r="M64" s="1"/>
      <c r="N64" s="1"/>
      <c r="O64" s="1"/>
      <c r="P64" s="1"/>
      <c r="Q64" s="1"/>
    </row>
    <row r="65" spans="1:17" x14ac:dyDescent="0.35">
      <c r="A65" s="1"/>
      <c r="B65" s="1"/>
      <c r="C65" s="1"/>
      <c r="D65" s="1"/>
      <c r="E65" s="1"/>
      <c r="F65" s="1"/>
      <c r="G65" s="1"/>
      <c r="H65" s="1"/>
      <c r="I65" s="1"/>
      <c r="J65" s="1"/>
      <c r="K65" s="1"/>
      <c r="L65" s="1"/>
      <c r="M65" s="1"/>
      <c r="N65" s="1"/>
      <c r="O65" s="1"/>
      <c r="P65" s="1"/>
      <c r="Q65" s="1"/>
    </row>
    <row r="66" spans="1:17" x14ac:dyDescent="0.35">
      <c r="A66" s="1"/>
      <c r="B66" s="1"/>
      <c r="C66" s="1"/>
      <c r="D66" s="1"/>
      <c r="E66" s="1"/>
      <c r="F66" s="1"/>
      <c r="G66" s="1"/>
      <c r="H66" s="1"/>
      <c r="I66" s="1"/>
      <c r="J66" s="1"/>
      <c r="K66" s="1"/>
      <c r="L66" s="1"/>
      <c r="M66" s="1"/>
      <c r="N66" s="1"/>
      <c r="O66" s="1"/>
      <c r="P66" s="1"/>
      <c r="Q66" s="1"/>
    </row>
    <row r="67" spans="1:17" x14ac:dyDescent="0.35">
      <c r="A67" s="1"/>
      <c r="B67" s="1"/>
      <c r="C67" s="1"/>
      <c r="D67" s="1"/>
      <c r="E67" s="1"/>
      <c r="F67" s="1"/>
      <c r="G67" s="1"/>
      <c r="H67" s="1"/>
      <c r="I67" s="1"/>
      <c r="J67" s="1"/>
      <c r="K67" s="1"/>
      <c r="L67" s="1"/>
      <c r="M67" s="1"/>
      <c r="N67" s="1"/>
      <c r="O67" s="1"/>
      <c r="P67" s="1"/>
      <c r="Q67" s="1"/>
    </row>
    <row r="68" spans="1:17" x14ac:dyDescent="0.35">
      <c r="A68" s="1"/>
      <c r="B68" s="1"/>
      <c r="C68" s="1"/>
      <c r="D68" s="1"/>
      <c r="E68" s="1"/>
      <c r="F68" s="1"/>
      <c r="G68" s="1"/>
      <c r="H68" s="1"/>
      <c r="I68" s="1"/>
      <c r="J68" s="1"/>
      <c r="K68" s="1"/>
      <c r="L68" s="1"/>
      <c r="M68" s="1"/>
      <c r="N68" s="1"/>
      <c r="O68" s="1"/>
      <c r="P68" s="1"/>
      <c r="Q68" s="1"/>
    </row>
    <row r="69" spans="1:17" x14ac:dyDescent="0.35">
      <c r="A69" s="1"/>
      <c r="B69" s="1"/>
      <c r="C69" s="1"/>
      <c r="D69" s="1"/>
      <c r="E69" s="1"/>
      <c r="F69" s="1"/>
      <c r="G69" s="1"/>
      <c r="H69" s="1"/>
      <c r="I69" s="1"/>
      <c r="J69" s="1"/>
      <c r="K69" s="1"/>
      <c r="L69" s="1"/>
      <c r="M69" s="1"/>
      <c r="N69" s="1"/>
      <c r="O69" s="1"/>
      <c r="P69" s="1"/>
      <c r="Q69" s="1"/>
    </row>
    <row r="70" spans="1:17" x14ac:dyDescent="0.35">
      <c r="A70" s="1"/>
      <c r="B70" s="1"/>
      <c r="C70" s="1"/>
      <c r="D70" s="1"/>
      <c r="E70" s="1"/>
      <c r="F70" s="1"/>
      <c r="G70" s="1"/>
      <c r="H70" s="1"/>
      <c r="I70" s="1"/>
      <c r="J70" s="1"/>
      <c r="K70" s="1"/>
      <c r="L70" s="1"/>
      <c r="M70" s="1"/>
      <c r="N70" s="1"/>
      <c r="O70" s="1"/>
      <c r="P70" s="1"/>
      <c r="Q70" s="1"/>
    </row>
    <row r="71" spans="1:17" x14ac:dyDescent="0.35">
      <c r="A71" s="1"/>
      <c r="B71" s="1"/>
      <c r="C71" s="1"/>
      <c r="D71" s="1"/>
      <c r="E71" s="1"/>
      <c r="F71" s="1"/>
      <c r="G71" s="1"/>
      <c r="H71" s="1"/>
      <c r="I71" s="1"/>
      <c r="J71" s="1"/>
      <c r="K71" s="1"/>
      <c r="L71" s="1"/>
      <c r="M71" s="1"/>
      <c r="N71" s="1"/>
      <c r="O71" s="1"/>
      <c r="P71" s="1"/>
      <c r="Q71" s="1"/>
    </row>
    <row r="72" spans="1:17" x14ac:dyDescent="0.35">
      <c r="A72" s="1"/>
      <c r="B72" s="1"/>
      <c r="C72" s="1"/>
      <c r="D72" s="1"/>
      <c r="E72" s="1"/>
      <c r="F72" s="1"/>
      <c r="G72" s="1"/>
      <c r="H72" s="1"/>
      <c r="I72" s="1"/>
      <c r="J72" s="1"/>
      <c r="K72" s="1"/>
      <c r="L72" s="1"/>
      <c r="M72" s="1"/>
      <c r="N72" s="1"/>
      <c r="O72" s="1"/>
      <c r="P72" s="1"/>
      <c r="Q72" s="1"/>
    </row>
    <row r="73" spans="1:17" x14ac:dyDescent="0.35">
      <c r="A73" s="1"/>
      <c r="B73" s="1"/>
      <c r="C73" s="1"/>
      <c r="D73" s="1"/>
      <c r="E73" s="1"/>
      <c r="F73" s="1"/>
      <c r="G73" s="1"/>
      <c r="H73" s="1"/>
      <c r="I73" s="1"/>
      <c r="J73" s="1"/>
      <c r="K73" s="1"/>
      <c r="L73" s="1"/>
      <c r="M73" s="1"/>
      <c r="N73" s="1"/>
      <c r="O73" s="1"/>
      <c r="P73" s="1"/>
      <c r="Q73" s="1"/>
    </row>
    <row r="74" spans="1:17" x14ac:dyDescent="0.35">
      <c r="A74" s="1"/>
      <c r="B74" s="1"/>
      <c r="C74" s="1"/>
      <c r="D74" s="1"/>
      <c r="E74" s="1"/>
      <c r="F74" s="1"/>
      <c r="G74" s="1"/>
      <c r="H74" s="1"/>
      <c r="I74" s="1"/>
      <c r="J74" s="1"/>
      <c r="K74" s="1"/>
      <c r="L74" s="1"/>
      <c r="M74" s="1"/>
      <c r="N74" s="1"/>
      <c r="O74" s="1"/>
      <c r="P74" s="1"/>
      <c r="Q74" s="1"/>
    </row>
    <row r="75" spans="1:17" x14ac:dyDescent="0.35">
      <c r="A75" s="1"/>
      <c r="B75" s="1"/>
      <c r="C75" s="1"/>
      <c r="D75" s="1"/>
      <c r="E75" s="1"/>
      <c r="F75" s="1"/>
      <c r="G75" s="1"/>
      <c r="H75" s="1"/>
      <c r="I75" s="1"/>
      <c r="J75" s="1"/>
      <c r="K75" s="1"/>
      <c r="L75" s="1"/>
      <c r="M75" s="1"/>
      <c r="N75" s="1"/>
      <c r="O75" s="1"/>
      <c r="P75" s="1"/>
      <c r="Q75" s="1"/>
    </row>
    <row r="76" spans="1:17" x14ac:dyDescent="0.35">
      <c r="A76" s="1"/>
      <c r="B76" s="1"/>
      <c r="C76" s="1"/>
      <c r="D76" s="1"/>
      <c r="E76" s="1"/>
      <c r="F76" s="1"/>
      <c r="G76" s="1"/>
      <c r="H76" s="1"/>
      <c r="I76" s="1"/>
      <c r="J76" s="1"/>
      <c r="K76" s="1"/>
      <c r="L76" s="1"/>
      <c r="M76" s="1"/>
      <c r="N76" s="1"/>
      <c r="O76" s="1"/>
      <c r="P76" s="1"/>
      <c r="Q76" s="1"/>
    </row>
    <row r="77" spans="1:17" x14ac:dyDescent="0.35">
      <c r="A77" s="1"/>
      <c r="B77" s="1"/>
      <c r="C77" s="1"/>
      <c r="D77" s="1"/>
      <c r="E77" s="1"/>
      <c r="F77" s="1"/>
      <c r="G77" s="1"/>
      <c r="H77" s="1"/>
      <c r="I77" s="1"/>
      <c r="J77" s="1"/>
      <c r="K77" s="1"/>
      <c r="L77" s="1"/>
      <c r="M77" s="1"/>
      <c r="N77" s="1"/>
      <c r="O77" s="1"/>
      <c r="P77" s="1"/>
      <c r="Q77" s="1"/>
    </row>
    <row r="78" spans="1:17" x14ac:dyDescent="0.35">
      <c r="A78" s="1"/>
      <c r="B78" s="1"/>
      <c r="C78" s="1"/>
      <c r="D78" s="1"/>
      <c r="E78" s="1"/>
      <c r="F78" s="1"/>
      <c r="G78" s="1"/>
      <c r="H78" s="1"/>
      <c r="I78" s="1"/>
      <c r="J78" s="1"/>
      <c r="K78" s="1"/>
      <c r="L78" s="1"/>
      <c r="M78" s="1"/>
      <c r="N78" s="1"/>
      <c r="O78" s="1"/>
      <c r="P78" s="1"/>
      <c r="Q78" s="1"/>
    </row>
    <row r="79" spans="1:17" x14ac:dyDescent="0.35">
      <c r="A79" s="1"/>
      <c r="B79" s="1"/>
      <c r="C79" s="1"/>
      <c r="D79" s="1"/>
      <c r="E79" s="1"/>
      <c r="F79" s="1"/>
      <c r="G79" s="1"/>
      <c r="H79" s="1"/>
      <c r="I79" s="1"/>
      <c r="J79" s="1"/>
      <c r="K79" s="1"/>
      <c r="L79" s="1"/>
      <c r="M79" s="1"/>
      <c r="N79" s="1"/>
      <c r="O79" s="1"/>
      <c r="P79" s="1"/>
      <c r="Q79" s="1"/>
    </row>
    <row r="80" spans="1:17" x14ac:dyDescent="0.35">
      <c r="A80" s="1"/>
      <c r="B80" s="1"/>
      <c r="C80" s="1"/>
      <c r="D80" s="1"/>
      <c r="E80" s="1"/>
      <c r="F80" s="1"/>
      <c r="G80" s="1"/>
      <c r="H80" s="1"/>
      <c r="I80" s="1"/>
      <c r="J80" s="1"/>
      <c r="K80" s="1"/>
      <c r="L80" s="1"/>
      <c r="M80" s="1"/>
      <c r="N80" s="1"/>
      <c r="O80" s="1"/>
      <c r="P80" s="1"/>
      <c r="Q80" s="1"/>
    </row>
    <row r="81" spans="1:17" x14ac:dyDescent="0.35">
      <c r="A81" s="1"/>
      <c r="B81" s="1"/>
      <c r="C81" s="1"/>
      <c r="D81" s="1"/>
      <c r="E81" s="1"/>
      <c r="F81" s="1"/>
      <c r="G81" s="1"/>
      <c r="H81" s="1"/>
      <c r="I81" s="1"/>
      <c r="J81" s="1"/>
      <c r="K81" s="1"/>
      <c r="L81" s="1"/>
      <c r="M81" s="1"/>
      <c r="N81" s="1"/>
      <c r="O81" s="1"/>
      <c r="P81" s="1"/>
      <c r="Q81" s="1"/>
    </row>
    <row r="82" spans="1:17" x14ac:dyDescent="0.35">
      <c r="A82" s="1"/>
      <c r="B82" s="1"/>
      <c r="C82" s="1"/>
      <c r="D82" s="1"/>
      <c r="E82" s="1"/>
      <c r="F82" s="1"/>
      <c r="G82" s="1"/>
      <c r="H82" s="1"/>
      <c r="I82" s="1"/>
      <c r="J82" s="1"/>
      <c r="K82" s="1"/>
      <c r="L82" s="1"/>
      <c r="M82" s="1"/>
      <c r="N82" s="1"/>
      <c r="O82" s="1"/>
      <c r="P82" s="1"/>
      <c r="Q82" s="1"/>
    </row>
    <row r="83" spans="1:17" x14ac:dyDescent="0.35">
      <c r="A83" s="1"/>
      <c r="B83" s="1"/>
      <c r="C83" s="1"/>
      <c r="D83" s="1"/>
      <c r="E83" s="1"/>
      <c r="F83" s="1"/>
      <c r="G83" s="1"/>
      <c r="H83" s="1"/>
      <c r="I83" s="1"/>
      <c r="J83" s="1"/>
      <c r="K83" s="1"/>
      <c r="L83" s="1"/>
      <c r="M83" s="1"/>
      <c r="N83" s="1"/>
      <c r="O83" s="1"/>
      <c r="P83" s="1"/>
      <c r="Q83" s="1"/>
    </row>
    <row r="84" spans="1:17" x14ac:dyDescent="0.35">
      <c r="A84" s="1"/>
      <c r="B84" s="1"/>
      <c r="C84" s="1"/>
      <c r="D84" s="1"/>
      <c r="E84" s="1"/>
      <c r="F84" s="1"/>
      <c r="G84" s="1"/>
      <c r="H84" s="1"/>
      <c r="I84" s="1"/>
      <c r="J84" s="1"/>
      <c r="K84" s="1"/>
      <c r="L84" s="1"/>
      <c r="M84" s="1"/>
      <c r="N84" s="1"/>
      <c r="O84" s="1"/>
      <c r="P84" s="1"/>
      <c r="Q84" s="1"/>
    </row>
    <row r="85" spans="1:17" x14ac:dyDescent="0.35">
      <c r="A85" s="1"/>
      <c r="B85" s="1"/>
      <c r="C85" s="1"/>
      <c r="D85" s="1"/>
      <c r="E85" s="1"/>
      <c r="F85" s="1"/>
      <c r="G85" s="1"/>
      <c r="H85" s="1"/>
      <c r="I85" s="1"/>
      <c r="J85" s="1"/>
      <c r="K85" s="1"/>
      <c r="L85" s="1"/>
      <c r="M85" s="1"/>
      <c r="N85" s="1"/>
      <c r="O85" s="1"/>
      <c r="P85" s="1"/>
      <c r="Q85" s="1"/>
    </row>
    <row r="86" spans="1:17" x14ac:dyDescent="0.35">
      <c r="A86" s="1"/>
      <c r="B86" s="1"/>
      <c r="C86" s="1"/>
      <c r="D86" s="1"/>
      <c r="E86" s="1"/>
      <c r="F86" s="1"/>
      <c r="G86" s="1"/>
      <c r="H86" s="1"/>
      <c r="I86" s="1"/>
      <c r="J86" s="1"/>
      <c r="K86" s="1"/>
      <c r="L86" s="1"/>
      <c r="M86" s="1"/>
      <c r="N86" s="1"/>
      <c r="O86" s="1"/>
      <c r="P86" s="1"/>
      <c r="Q86" s="1"/>
    </row>
    <row r="87" spans="1:17" x14ac:dyDescent="0.35">
      <c r="A87" s="1"/>
      <c r="B87" s="1"/>
      <c r="C87" s="1"/>
      <c r="D87" s="1"/>
      <c r="E87" s="1"/>
      <c r="F87" s="1"/>
      <c r="G87" s="1"/>
      <c r="H87" s="1"/>
      <c r="I87" s="1"/>
      <c r="J87" s="1"/>
      <c r="K87" s="1"/>
      <c r="L87" s="1"/>
      <c r="M87" s="1"/>
      <c r="N87" s="1"/>
      <c r="O87" s="1"/>
      <c r="P87" s="1"/>
      <c r="Q87" s="1"/>
    </row>
    <row r="88" spans="1:17" x14ac:dyDescent="0.35">
      <c r="A88" s="1"/>
      <c r="B88" s="1"/>
      <c r="C88" s="1"/>
      <c r="D88" s="1"/>
      <c r="E88" s="1"/>
      <c r="F88" s="1"/>
      <c r="G88" s="1"/>
      <c r="H88" s="1"/>
      <c r="I88" s="1"/>
      <c r="J88" s="1"/>
      <c r="K88" s="1"/>
      <c r="L88" s="1"/>
      <c r="M88" s="1"/>
      <c r="N88" s="1"/>
      <c r="O88" s="1"/>
      <c r="P88" s="1"/>
      <c r="Q88" s="1"/>
    </row>
    <row r="89" spans="1:17" x14ac:dyDescent="0.35">
      <c r="A89" s="1"/>
      <c r="B89" s="1"/>
      <c r="C89" s="1"/>
      <c r="D89" s="1"/>
      <c r="E89" s="1"/>
      <c r="F89" s="1"/>
      <c r="G89" s="1"/>
      <c r="H89" s="1"/>
      <c r="I89" s="1"/>
      <c r="J89" s="1"/>
      <c r="K89" s="1"/>
      <c r="L89" s="1"/>
      <c r="M89" s="1"/>
      <c r="N89" s="1"/>
      <c r="O89" s="1"/>
      <c r="P89" s="1"/>
      <c r="Q89" s="1"/>
    </row>
    <row r="90" spans="1:17" x14ac:dyDescent="0.35">
      <c r="A90" s="1"/>
      <c r="B90" s="1"/>
      <c r="C90" s="1"/>
      <c r="D90" s="1"/>
      <c r="E90" s="1"/>
      <c r="F90" s="1"/>
      <c r="G90" s="1"/>
      <c r="H90" s="1"/>
      <c r="I90" s="1"/>
      <c r="J90" s="1"/>
      <c r="K90" s="1"/>
      <c r="L90" s="1"/>
      <c r="M90" s="1"/>
      <c r="N90" s="1"/>
      <c r="O90" s="1"/>
      <c r="P90" s="1"/>
      <c r="Q90" s="1"/>
    </row>
    <row r="91" spans="1:17" x14ac:dyDescent="0.35">
      <c r="A91" s="1"/>
      <c r="B91" s="1"/>
      <c r="C91" s="1"/>
      <c r="D91" s="1"/>
      <c r="E91" s="1"/>
      <c r="F91" s="1"/>
      <c r="G91" s="1"/>
      <c r="H91" s="1"/>
      <c r="I91" s="1"/>
      <c r="J91" s="1"/>
      <c r="K91" s="1"/>
      <c r="L91" s="1"/>
      <c r="M91" s="1"/>
      <c r="N91" s="1"/>
      <c r="O91" s="1"/>
      <c r="P91" s="1"/>
      <c r="Q91" s="1"/>
    </row>
    <row r="92" spans="1:17" x14ac:dyDescent="0.35">
      <c r="A92" s="1"/>
      <c r="B92" s="1"/>
      <c r="C92" s="1"/>
      <c r="D92" s="1"/>
      <c r="E92" s="1"/>
      <c r="F92" s="1"/>
      <c r="G92" s="1"/>
      <c r="H92" s="1"/>
      <c r="I92" s="1"/>
      <c r="J92" s="1"/>
      <c r="K92" s="1"/>
      <c r="L92" s="1"/>
      <c r="M92" s="1"/>
      <c r="N92" s="1"/>
      <c r="O92" s="1"/>
      <c r="P92" s="1"/>
      <c r="Q92" s="1"/>
    </row>
    <row r="93" spans="1:17" x14ac:dyDescent="0.35">
      <c r="A93" s="1"/>
      <c r="B93" s="1"/>
      <c r="C93" s="1"/>
      <c r="D93" s="1"/>
      <c r="E93" s="1"/>
      <c r="F93" s="1"/>
      <c r="G93" s="1"/>
      <c r="H93" s="1"/>
      <c r="I93" s="1"/>
      <c r="J93" s="1"/>
      <c r="K93" s="1"/>
      <c r="L93" s="1"/>
      <c r="M93" s="1"/>
      <c r="N93" s="1"/>
      <c r="O93" s="1"/>
      <c r="P93" s="1"/>
      <c r="Q93" s="1"/>
    </row>
    <row r="94" spans="1:17" x14ac:dyDescent="0.35">
      <c r="A94" s="1"/>
      <c r="B94" s="1"/>
      <c r="C94" s="1"/>
      <c r="D94" s="1"/>
      <c r="E94" s="1"/>
      <c r="F94" s="1"/>
      <c r="G94" s="1"/>
      <c r="H94" s="1"/>
      <c r="I94" s="1"/>
      <c r="J94" s="1"/>
      <c r="K94" s="1"/>
      <c r="L94" s="1"/>
      <c r="M94" s="1"/>
      <c r="N94" s="1"/>
      <c r="O94" s="1"/>
      <c r="P94" s="1"/>
      <c r="Q94" s="1"/>
    </row>
    <row r="95" spans="1:17" x14ac:dyDescent="0.35">
      <c r="A95" s="1"/>
      <c r="B95" s="1"/>
      <c r="C95" s="1"/>
      <c r="D95" s="1"/>
      <c r="E95" s="1"/>
      <c r="F95" s="1"/>
      <c r="G95" s="1"/>
      <c r="H95" s="1"/>
      <c r="I95" s="1"/>
      <c r="J95" s="1"/>
      <c r="K95" s="1"/>
      <c r="L95" s="1"/>
      <c r="M95" s="1"/>
      <c r="N95" s="1"/>
      <c r="O95" s="1"/>
      <c r="P95" s="1"/>
      <c r="Q95" s="1"/>
    </row>
    <row r="96" spans="1:17" x14ac:dyDescent="0.35">
      <c r="A96" s="1"/>
      <c r="B96" s="1"/>
      <c r="C96" s="1"/>
      <c r="D96" s="1"/>
      <c r="E96" s="1"/>
      <c r="F96" s="1"/>
      <c r="G96" s="1"/>
      <c r="H96" s="1"/>
      <c r="I96" s="1"/>
      <c r="J96" s="1"/>
      <c r="K96" s="1"/>
      <c r="L96" s="1"/>
      <c r="M96" s="1"/>
      <c r="N96" s="1"/>
      <c r="O96" s="1"/>
      <c r="P96" s="1"/>
      <c r="Q96" s="1"/>
    </row>
    <row r="97" spans="1:17" x14ac:dyDescent="0.35">
      <c r="A97" s="1"/>
      <c r="B97" s="1"/>
      <c r="C97" s="1"/>
      <c r="D97" s="1"/>
      <c r="E97" s="1"/>
      <c r="F97" s="1"/>
      <c r="G97" s="1"/>
      <c r="H97" s="1"/>
      <c r="I97" s="1"/>
      <c r="J97" s="1"/>
      <c r="K97" s="1"/>
      <c r="L97" s="1"/>
      <c r="M97" s="1"/>
      <c r="N97" s="1"/>
      <c r="O97" s="1"/>
      <c r="P97" s="1"/>
      <c r="Q97" s="1"/>
    </row>
    <row r="98" spans="1:17" x14ac:dyDescent="0.35">
      <c r="A98" s="1"/>
      <c r="B98" s="1"/>
      <c r="C98" s="1"/>
      <c r="D98" s="1"/>
      <c r="E98" s="1"/>
      <c r="F98" s="1"/>
      <c r="G98" s="1"/>
      <c r="H98" s="1"/>
      <c r="I98" s="1"/>
      <c r="J98" s="1"/>
      <c r="K98" s="1"/>
      <c r="L98" s="1"/>
      <c r="M98" s="1"/>
      <c r="N98" s="1"/>
      <c r="O98" s="1"/>
      <c r="P98" s="1"/>
      <c r="Q98" s="1"/>
    </row>
    <row r="99" spans="1:17" x14ac:dyDescent="0.35">
      <c r="A99" s="1"/>
      <c r="B99" s="1"/>
      <c r="C99" s="1"/>
      <c r="D99" s="1"/>
      <c r="E99" s="1"/>
      <c r="F99" s="1"/>
      <c r="G99" s="1"/>
      <c r="H99" s="1"/>
      <c r="I99" s="1"/>
      <c r="J99" s="1"/>
      <c r="K99" s="1"/>
      <c r="L99" s="1"/>
      <c r="M99" s="1"/>
      <c r="N99" s="1"/>
      <c r="O99" s="1"/>
      <c r="P99" s="1"/>
      <c r="Q99" s="1"/>
    </row>
    <row r="100" spans="1:17" x14ac:dyDescent="0.35">
      <c r="A100" s="1"/>
      <c r="B100" s="1"/>
      <c r="C100" s="1"/>
      <c r="D100" s="1"/>
      <c r="E100" s="1"/>
      <c r="F100" s="1"/>
      <c r="G100" s="1"/>
      <c r="H100" s="1"/>
      <c r="I100" s="1"/>
      <c r="J100" s="1"/>
      <c r="K100" s="1"/>
      <c r="L100" s="1"/>
      <c r="M100" s="1"/>
      <c r="N100" s="1"/>
      <c r="O100" s="1"/>
      <c r="P100" s="1"/>
      <c r="Q100" s="1"/>
    </row>
    <row r="101" spans="1:17" x14ac:dyDescent="0.35">
      <c r="A101" s="1"/>
      <c r="B101" s="1"/>
      <c r="C101" s="1"/>
      <c r="D101" s="1"/>
      <c r="E101" s="1"/>
      <c r="F101" s="1"/>
      <c r="G101" s="1"/>
      <c r="H101" s="1"/>
      <c r="I101" s="1"/>
      <c r="J101" s="1"/>
      <c r="K101" s="1"/>
      <c r="L101" s="1"/>
      <c r="M101" s="1"/>
      <c r="N101" s="1"/>
      <c r="O101" s="1"/>
      <c r="P101" s="1"/>
      <c r="Q101" s="1"/>
    </row>
    <row r="102" spans="1:17" x14ac:dyDescent="0.35">
      <c r="A102" s="1"/>
      <c r="B102" s="1"/>
      <c r="C102" s="1"/>
      <c r="D102" s="1"/>
      <c r="E102" s="1"/>
      <c r="F102" s="1"/>
      <c r="G102" s="1"/>
      <c r="H102" s="1"/>
      <c r="I102" s="1"/>
      <c r="J102" s="1"/>
      <c r="K102" s="1"/>
      <c r="L102" s="1"/>
      <c r="M102" s="1"/>
      <c r="N102" s="1"/>
      <c r="O102" s="1"/>
      <c r="P102" s="1"/>
      <c r="Q102" s="1"/>
    </row>
    <row r="103" spans="1:17" x14ac:dyDescent="0.35">
      <c r="A103" s="1"/>
      <c r="B103" s="1"/>
      <c r="C103" s="1"/>
      <c r="D103" s="1"/>
      <c r="E103" s="1"/>
      <c r="F103" s="1"/>
      <c r="G103" s="1"/>
      <c r="H103" s="1"/>
      <c r="I103" s="1"/>
      <c r="J103" s="1"/>
      <c r="K103" s="1"/>
      <c r="L103" s="1"/>
      <c r="M103" s="1"/>
      <c r="N103" s="1"/>
      <c r="O103" s="1"/>
      <c r="P103" s="1"/>
      <c r="Q103" s="1"/>
    </row>
    <row r="104" spans="1:17" x14ac:dyDescent="0.35">
      <c r="A104" s="1"/>
      <c r="B104" s="1"/>
      <c r="C104" s="1"/>
      <c r="D104" s="1"/>
      <c r="E104" s="1"/>
      <c r="F104" s="1"/>
      <c r="G104" s="1"/>
      <c r="H104" s="1"/>
      <c r="I104" s="1"/>
      <c r="J104" s="1"/>
      <c r="K104" s="1"/>
      <c r="L104" s="1"/>
      <c r="M104" s="1"/>
      <c r="N104" s="1"/>
      <c r="O104" s="1"/>
      <c r="P104" s="1"/>
      <c r="Q104" s="1"/>
    </row>
    <row r="105" spans="1:17" x14ac:dyDescent="0.35">
      <c r="A105" s="1"/>
      <c r="B105" s="1"/>
      <c r="C105" s="1"/>
      <c r="D105" s="1"/>
      <c r="E105" s="1"/>
      <c r="F105" s="1"/>
      <c r="G105" s="1"/>
      <c r="H105" s="1"/>
      <c r="I105" s="1"/>
      <c r="J105" s="1"/>
      <c r="K105" s="1"/>
      <c r="L105" s="1"/>
      <c r="M105" s="1"/>
      <c r="N105" s="1"/>
      <c r="O105" s="1"/>
      <c r="P105" s="1"/>
      <c r="Q105" s="1"/>
    </row>
    <row r="106" spans="1:17" x14ac:dyDescent="0.35">
      <c r="A106" s="1"/>
      <c r="B106" s="1"/>
      <c r="C106" s="1"/>
      <c r="D106" s="1"/>
      <c r="E106" s="1"/>
      <c r="F106" s="1"/>
      <c r="G106" s="1"/>
      <c r="H106" s="1"/>
      <c r="I106" s="1"/>
      <c r="J106" s="1"/>
      <c r="K106" s="1"/>
      <c r="L106" s="1"/>
      <c r="M106" s="1"/>
      <c r="N106" s="1"/>
      <c r="O106" s="1"/>
      <c r="P106" s="1"/>
      <c r="Q106" s="1"/>
    </row>
    <row r="107" spans="1:17" x14ac:dyDescent="0.35">
      <c r="A107" s="1"/>
      <c r="B107" s="1"/>
      <c r="C107" s="1"/>
      <c r="D107" s="1"/>
      <c r="E107" s="1"/>
      <c r="F107" s="1"/>
      <c r="G107" s="1"/>
      <c r="H107" s="1"/>
      <c r="I107" s="1"/>
      <c r="J107" s="1"/>
      <c r="K107" s="1"/>
      <c r="L107" s="1"/>
      <c r="M107" s="1"/>
      <c r="N107" s="1"/>
      <c r="O107" s="1"/>
      <c r="P107" s="1"/>
      <c r="Q107" s="1"/>
    </row>
    <row r="108" spans="1:17" x14ac:dyDescent="0.35">
      <c r="A108" s="1"/>
      <c r="B108" s="1"/>
      <c r="C108" s="1"/>
      <c r="D108" s="1"/>
      <c r="E108" s="1"/>
      <c r="F108" s="1"/>
      <c r="G108" s="1"/>
      <c r="H108" s="1"/>
      <c r="I108" s="1"/>
      <c r="J108" s="1"/>
      <c r="K108" s="1"/>
      <c r="L108" s="1"/>
      <c r="M108" s="1"/>
      <c r="N108" s="1"/>
      <c r="O108" s="1"/>
      <c r="P108" s="1"/>
      <c r="Q108" s="1"/>
    </row>
    <row r="109" spans="1:17" x14ac:dyDescent="0.35">
      <c r="A109" s="1"/>
      <c r="B109" s="1"/>
      <c r="C109" s="1"/>
      <c r="D109" s="1"/>
      <c r="E109" s="1"/>
      <c r="F109" s="1"/>
      <c r="G109" s="1"/>
      <c r="H109" s="1"/>
      <c r="I109" s="1"/>
      <c r="J109" s="1"/>
      <c r="K109" s="1"/>
      <c r="L109" s="1"/>
      <c r="M109" s="1"/>
      <c r="N109" s="1"/>
      <c r="O109" s="1"/>
      <c r="P109" s="1"/>
      <c r="Q109" s="1"/>
    </row>
    <row r="110" spans="1:17" x14ac:dyDescent="0.35">
      <c r="A110" s="1"/>
      <c r="B110" s="1"/>
      <c r="C110" s="1"/>
      <c r="D110" s="1"/>
      <c r="E110" s="1"/>
      <c r="F110" s="1"/>
      <c r="G110" s="1"/>
      <c r="H110" s="1"/>
      <c r="I110" s="1"/>
      <c r="J110" s="1"/>
      <c r="K110" s="1"/>
      <c r="L110" s="1"/>
      <c r="M110" s="1"/>
      <c r="N110" s="1"/>
      <c r="O110" s="1"/>
      <c r="P110" s="1"/>
      <c r="Q110" s="1"/>
    </row>
    <row r="111" spans="1:17" x14ac:dyDescent="0.35">
      <c r="A111" s="1"/>
      <c r="B111" s="1"/>
      <c r="C111" s="1"/>
      <c r="D111" s="1"/>
      <c r="E111" s="1"/>
      <c r="F111" s="1"/>
      <c r="G111" s="1"/>
      <c r="H111" s="1"/>
      <c r="I111" s="1"/>
      <c r="J111" s="1"/>
      <c r="K111" s="1"/>
      <c r="L111" s="1"/>
      <c r="M111" s="1"/>
      <c r="N111" s="1"/>
      <c r="O111" s="1"/>
      <c r="P111" s="1"/>
      <c r="Q111" s="1"/>
    </row>
    <row r="112" spans="1:17" x14ac:dyDescent="0.35">
      <c r="A112" s="1"/>
      <c r="B112" s="1"/>
      <c r="C112" s="1"/>
      <c r="D112" s="1"/>
      <c r="E112" s="1"/>
      <c r="F112" s="1"/>
      <c r="G112" s="1"/>
      <c r="H112" s="1"/>
      <c r="I112" s="1"/>
      <c r="J112" s="1"/>
      <c r="K112" s="1"/>
      <c r="L112" s="1"/>
      <c r="M112" s="1"/>
      <c r="N112" s="1"/>
      <c r="O112" s="1"/>
      <c r="P112" s="1"/>
      <c r="Q112" s="1"/>
    </row>
    <row r="113" spans="1:17" x14ac:dyDescent="0.35">
      <c r="A113" s="1"/>
      <c r="B113" s="1"/>
      <c r="C113" s="1"/>
      <c r="D113" s="1"/>
      <c r="E113" s="1"/>
      <c r="F113" s="1"/>
      <c r="G113" s="1"/>
      <c r="H113" s="1"/>
      <c r="I113" s="1"/>
      <c r="J113" s="1"/>
      <c r="K113" s="1"/>
      <c r="L113" s="1"/>
      <c r="M113" s="1"/>
      <c r="N113" s="1"/>
      <c r="O113" s="1"/>
      <c r="P113" s="1"/>
      <c r="Q113" s="1"/>
    </row>
    <row r="114" spans="1:17" x14ac:dyDescent="0.35">
      <c r="A114" s="1"/>
      <c r="B114" s="1"/>
      <c r="C114" s="1"/>
      <c r="D114" s="1"/>
      <c r="E114" s="1"/>
      <c r="F114" s="1"/>
      <c r="G114" s="1"/>
      <c r="H114" s="1"/>
      <c r="I114" s="1"/>
      <c r="J114" s="1"/>
      <c r="K114" s="1"/>
      <c r="L114" s="1"/>
      <c r="M114" s="1"/>
      <c r="N114" s="1"/>
      <c r="O114" s="1"/>
      <c r="P114" s="1"/>
      <c r="Q114" s="1"/>
    </row>
    <row r="115" spans="1:17" x14ac:dyDescent="0.35">
      <c r="A115" s="1"/>
      <c r="B115" s="1"/>
      <c r="C115" s="1"/>
      <c r="D115" s="1"/>
      <c r="E115" s="1"/>
      <c r="F115" s="1"/>
      <c r="G115" s="1"/>
      <c r="H115" s="1"/>
      <c r="I115" s="1"/>
      <c r="J115" s="1"/>
      <c r="K115" s="1"/>
      <c r="L115" s="1"/>
      <c r="M115" s="1"/>
      <c r="N115" s="1"/>
      <c r="O115" s="1"/>
      <c r="P115" s="1"/>
      <c r="Q115" s="1"/>
    </row>
    <row r="116" spans="1:17" x14ac:dyDescent="0.35">
      <c r="A116" s="1"/>
      <c r="B116" s="1"/>
      <c r="C116" s="1"/>
      <c r="D116" s="1"/>
      <c r="E116" s="1"/>
      <c r="F116" s="1"/>
      <c r="G116" s="1"/>
      <c r="H116" s="1"/>
      <c r="I116" s="1"/>
      <c r="J116" s="1"/>
      <c r="K116" s="1"/>
      <c r="L116" s="1"/>
      <c r="M116" s="1"/>
      <c r="N116" s="1"/>
      <c r="O116" s="1"/>
      <c r="P116" s="1"/>
      <c r="Q116" s="1"/>
    </row>
    <row r="117" spans="1:17" x14ac:dyDescent="0.35">
      <c r="A117" s="1"/>
      <c r="B117" s="1"/>
      <c r="C117" s="1"/>
      <c r="D117" s="1"/>
      <c r="E117" s="1"/>
      <c r="F117" s="1"/>
      <c r="G117" s="1"/>
      <c r="H117" s="1"/>
      <c r="I117" s="1"/>
      <c r="J117" s="1"/>
      <c r="K117" s="1"/>
      <c r="L117" s="1"/>
      <c r="M117" s="1"/>
      <c r="N117" s="1"/>
      <c r="O117" s="1"/>
      <c r="P117" s="1"/>
      <c r="Q117" s="1"/>
    </row>
    <row r="118" spans="1:17" x14ac:dyDescent="0.35">
      <c r="A118" s="1"/>
      <c r="B118" s="1"/>
      <c r="C118" s="1"/>
      <c r="D118" s="1"/>
      <c r="E118" s="1"/>
      <c r="F118" s="1"/>
      <c r="G118" s="1"/>
      <c r="H118" s="1"/>
      <c r="I118" s="1"/>
      <c r="J118" s="1"/>
      <c r="K118" s="1"/>
      <c r="L118" s="1"/>
      <c r="M118" s="1"/>
      <c r="N118" s="1"/>
      <c r="O118" s="1"/>
      <c r="P118" s="1"/>
      <c r="Q118" s="1"/>
    </row>
    <row r="119" spans="1:17" x14ac:dyDescent="0.35">
      <c r="A119" s="1"/>
      <c r="B119" s="1"/>
      <c r="C119" s="1"/>
      <c r="D119" s="1"/>
      <c r="E119" s="1"/>
      <c r="F119" s="1"/>
      <c r="G119" s="1"/>
      <c r="H119" s="1"/>
      <c r="I119" s="1"/>
      <c r="J119" s="1"/>
      <c r="K119" s="1"/>
      <c r="L119" s="1"/>
      <c r="M119" s="1"/>
      <c r="N119" s="1"/>
      <c r="O119" s="1"/>
      <c r="P119" s="1"/>
      <c r="Q119" s="1"/>
    </row>
    <row r="120" spans="1:17" x14ac:dyDescent="0.35">
      <c r="A120" s="1"/>
      <c r="B120" s="1"/>
      <c r="C120" s="1"/>
      <c r="D120" s="1"/>
      <c r="E120" s="1"/>
      <c r="F120" s="1"/>
      <c r="G120" s="1"/>
      <c r="H120" s="1"/>
      <c r="I120" s="1"/>
      <c r="J120" s="1"/>
      <c r="K120" s="1"/>
      <c r="L120" s="1"/>
      <c r="M120" s="1"/>
      <c r="N120" s="1"/>
      <c r="O120" s="1"/>
      <c r="P120" s="1"/>
      <c r="Q120" s="1"/>
    </row>
    <row r="121" spans="1:17" x14ac:dyDescent="0.35">
      <c r="A121" s="1"/>
      <c r="B121" s="1"/>
      <c r="C121" s="1"/>
      <c r="D121" s="1"/>
      <c r="E121" s="1"/>
      <c r="F121" s="1"/>
      <c r="G121" s="1"/>
      <c r="H121" s="1"/>
      <c r="I121" s="1"/>
      <c r="J121" s="1"/>
      <c r="K121" s="1"/>
      <c r="L121" s="1"/>
      <c r="M121" s="1"/>
      <c r="N121" s="1"/>
      <c r="O121" s="1"/>
      <c r="P121" s="1"/>
      <c r="Q121" s="1"/>
    </row>
    <row r="122" spans="1:17" x14ac:dyDescent="0.35">
      <c r="A122" s="1"/>
      <c r="B122" s="1"/>
      <c r="C122" s="1"/>
      <c r="D122" s="1"/>
      <c r="E122" s="1"/>
      <c r="F122" s="1"/>
      <c r="G122" s="1"/>
      <c r="H122" s="1"/>
      <c r="I122" s="1"/>
      <c r="J122" s="1"/>
      <c r="K122" s="1"/>
      <c r="L122" s="1"/>
      <c r="M122" s="1"/>
      <c r="N122" s="1"/>
      <c r="O122" s="1"/>
      <c r="P122" s="1"/>
      <c r="Q122" s="1"/>
    </row>
    <row r="123" spans="1:17" x14ac:dyDescent="0.35">
      <c r="A123" s="1"/>
      <c r="B123" s="1"/>
      <c r="C123" s="1"/>
      <c r="D123" s="1"/>
      <c r="E123" s="1"/>
      <c r="F123" s="1"/>
      <c r="G123" s="1"/>
      <c r="H123" s="1"/>
      <c r="I123" s="1"/>
      <c r="J123" s="1"/>
      <c r="K123" s="1"/>
      <c r="L123" s="1"/>
      <c r="M123" s="1"/>
      <c r="N123" s="1"/>
      <c r="O123" s="1"/>
      <c r="P123" s="1"/>
      <c r="Q123" s="1"/>
    </row>
    <row r="124" spans="1:17" x14ac:dyDescent="0.35">
      <c r="A124" s="1"/>
      <c r="B124" s="1"/>
      <c r="C124" s="1"/>
      <c r="D124" s="1"/>
      <c r="E124" s="1"/>
      <c r="F124" s="1"/>
      <c r="G124" s="1"/>
      <c r="H124" s="1"/>
      <c r="I124" s="1"/>
      <c r="J124" s="1"/>
      <c r="K124" s="1"/>
      <c r="L124" s="1"/>
      <c r="M124" s="1"/>
      <c r="N124" s="1"/>
      <c r="O124" s="1"/>
      <c r="P124" s="1"/>
      <c r="Q124" s="1"/>
    </row>
    <row r="125" spans="1:17" x14ac:dyDescent="0.35">
      <c r="A125" s="1"/>
      <c r="B125" s="1"/>
      <c r="C125" s="1"/>
      <c r="D125" s="1"/>
      <c r="E125" s="1"/>
      <c r="F125" s="1"/>
      <c r="G125" s="1"/>
      <c r="H125" s="1"/>
      <c r="I125" s="1"/>
      <c r="J125" s="1"/>
      <c r="K125" s="1"/>
      <c r="L125" s="1"/>
      <c r="M125" s="1"/>
      <c r="N125" s="1"/>
      <c r="O125" s="1"/>
      <c r="P125" s="1"/>
      <c r="Q125" s="1"/>
    </row>
    <row r="126" spans="1:17" x14ac:dyDescent="0.35">
      <c r="A126" s="1"/>
      <c r="B126" s="1"/>
      <c r="C126" s="1"/>
      <c r="D126" s="1"/>
      <c r="E126" s="1"/>
      <c r="F126" s="1"/>
      <c r="G126" s="1"/>
      <c r="H126" s="1"/>
      <c r="I126" s="1"/>
      <c r="J126" s="1"/>
      <c r="K126" s="1"/>
      <c r="L126" s="1"/>
      <c r="M126" s="1"/>
      <c r="N126" s="1"/>
      <c r="O126" s="1"/>
      <c r="P126" s="1"/>
      <c r="Q126" s="1"/>
    </row>
    <row r="127" spans="1:17" x14ac:dyDescent="0.35">
      <c r="A127" s="1"/>
      <c r="B127" s="1"/>
      <c r="C127" s="1"/>
      <c r="D127" s="1"/>
      <c r="E127" s="1"/>
      <c r="F127" s="1"/>
      <c r="G127" s="1"/>
      <c r="H127" s="1"/>
      <c r="I127" s="1"/>
      <c r="J127" s="1"/>
      <c r="K127" s="1"/>
      <c r="L127" s="1"/>
      <c r="M127" s="1"/>
      <c r="N127" s="1"/>
      <c r="O127" s="1"/>
      <c r="P127" s="1"/>
      <c r="Q127" s="1"/>
    </row>
    <row r="128" spans="1:17" x14ac:dyDescent="0.35">
      <c r="A128" s="1"/>
      <c r="B128" s="1"/>
      <c r="C128" s="1"/>
      <c r="D128" s="1"/>
      <c r="E128" s="1"/>
      <c r="F128" s="1"/>
      <c r="G128" s="1"/>
      <c r="H128" s="1"/>
      <c r="I128" s="1"/>
      <c r="J128" s="1"/>
      <c r="K128" s="1"/>
      <c r="L128" s="1"/>
      <c r="M128" s="1"/>
      <c r="N128" s="1"/>
      <c r="O128" s="1"/>
      <c r="P128" s="1"/>
      <c r="Q128" s="1"/>
    </row>
    <row r="129" spans="1:17" x14ac:dyDescent="0.35">
      <c r="A129" s="1"/>
      <c r="B129" s="1"/>
      <c r="C129" s="1"/>
      <c r="D129" s="1"/>
      <c r="E129" s="1"/>
      <c r="F129" s="1"/>
      <c r="G129" s="1"/>
      <c r="H129" s="1"/>
      <c r="I129" s="1"/>
      <c r="J129" s="1"/>
      <c r="K129" s="1"/>
      <c r="L129" s="1"/>
      <c r="M129" s="1"/>
      <c r="N129" s="1"/>
      <c r="O129" s="1"/>
      <c r="P129" s="1"/>
      <c r="Q129" s="1"/>
    </row>
    <row r="130" spans="1:17" x14ac:dyDescent="0.35">
      <c r="A130" s="1"/>
      <c r="B130" s="1"/>
      <c r="C130" s="1"/>
      <c r="D130" s="1"/>
      <c r="E130" s="1"/>
      <c r="F130" s="1"/>
      <c r="G130" s="1"/>
      <c r="H130" s="1"/>
      <c r="I130" s="1"/>
      <c r="J130" s="1"/>
      <c r="K130" s="1"/>
      <c r="L130" s="1"/>
      <c r="M130" s="1"/>
      <c r="N130" s="1"/>
      <c r="O130" s="1"/>
      <c r="P130" s="1"/>
      <c r="Q130" s="1"/>
    </row>
    <row r="131" spans="1:17" x14ac:dyDescent="0.35">
      <c r="A131" s="1"/>
      <c r="B131" s="1"/>
      <c r="C131" s="1"/>
      <c r="D131" s="1"/>
      <c r="E131" s="1"/>
      <c r="F131" s="1"/>
      <c r="G131" s="1"/>
      <c r="H131" s="1"/>
      <c r="I131" s="1"/>
      <c r="J131" s="1"/>
      <c r="K131" s="1"/>
      <c r="L131" s="1"/>
      <c r="M131" s="1"/>
      <c r="N131" s="1"/>
      <c r="O131" s="1"/>
      <c r="P131" s="1"/>
      <c r="Q131" s="1"/>
    </row>
    <row r="132" spans="1:17" x14ac:dyDescent="0.35">
      <c r="A132" s="1"/>
      <c r="B132" s="1"/>
      <c r="C132" s="1"/>
      <c r="D132" s="1"/>
      <c r="E132" s="1"/>
      <c r="F132" s="1"/>
      <c r="G132" s="1"/>
      <c r="H132" s="1"/>
      <c r="I132" s="1"/>
      <c r="J132" s="1"/>
      <c r="K132" s="1"/>
      <c r="L132" s="1"/>
      <c r="M132" s="1"/>
      <c r="N132" s="1"/>
      <c r="O132" s="1"/>
      <c r="P132" s="1"/>
      <c r="Q132" s="1"/>
    </row>
    <row r="133" spans="1:17" x14ac:dyDescent="0.35">
      <c r="A133" s="1"/>
      <c r="B133" s="1"/>
      <c r="C133" s="1"/>
      <c r="D133" s="1"/>
      <c r="E133" s="1"/>
      <c r="F133" s="1"/>
      <c r="G133" s="1"/>
      <c r="H133" s="1"/>
      <c r="I133" s="1"/>
      <c r="J133" s="1"/>
      <c r="K133" s="1"/>
      <c r="L133" s="1"/>
      <c r="M133" s="1"/>
      <c r="N133" s="1"/>
      <c r="O133" s="1"/>
      <c r="P133" s="1"/>
      <c r="Q133" s="1"/>
    </row>
    <row r="134" spans="1:17" x14ac:dyDescent="0.35">
      <c r="A134" s="1"/>
      <c r="B134" s="1"/>
      <c r="C134" s="1"/>
      <c r="D134" s="1"/>
      <c r="E134" s="1"/>
      <c r="F134" s="1"/>
      <c r="G134" s="1"/>
      <c r="H134" s="1"/>
      <c r="I134" s="1"/>
      <c r="J134" s="1"/>
      <c r="K134" s="1"/>
      <c r="L134" s="1"/>
      <c r="M134" s="1"/>
      <c r="N134" s="1"/>
      <c r="O134" s="1"/>
      <c r="P134" s="1"/>
      <c r="Q134" s="1"/>
    </row>
    <row r="135" spans="1:17" x14ac:dyDescent="0.35">
      <c r="A135" s="1"/>
      <c r="B135" s="1"/>
      <c r="C135" s="1"/>
      <c r="D135" s="1"/>
      <c r="E135" s="1"/>
      <c r="F135" s="1"/>
      <c r="G135" s="1"/>
      <c r="H135" s="1"/>
      <c r="I135" s="1"/>
      <c r="J135" s="1"/>
      <c r="K135" s="1"/>
      <c r="L135" s="1"/>
      <c r="M135" s="1"/>
      <c r="N135" s="1"/>
      <c r="O135" s="1"/>
      <c r="P135" s="1"/>
      <c r="Q135" s="1"/>
    </row>
    <row r="136" spans="1:17" x14ac:dyDescent="0.35">
      <c r="A136" s="1"/>
      <c r="B136" s="1"/>
      <c r="C136" s="1"/>
      <c r="D136" s="1"/>
      <c r="E136" s="1"/>
      <c r="F136" s="1"/>
      <c r="G136" s="1"/>
      <c r="H136" s="1"/>
      <c r="I136" s="1"/>
      <c r="J136" s="1"/>
      <c r="K136" s="1"/>
      <c r="L136" s="1"/>
      <c r="M136" s="1"/>
      <c r="N136" s="1"/>
      <c r="O136" s="1"/>
      <c r="P136" s="1"/>
      <c r="Q136" s="1"/>
    </row>
    <row r="137" spans="1:17" x14ac:dyDescent="0.35">
      <c r="A137" s="1"/>
      <c r="B137" s="1"/>
      <c r="C137" s="1"/>
      <c r="D137" s="1"/>
      <c r="E137" s="1"/>
      <c r="F137" s="1"/>
      <c r="G137" s="1"/>
      <c r="H137" s="1"/>
      <c r="I137" s="1"/>
      <c r="J137" s="1"/>
      <c r="K137" s="1"/>
      <c r="L137" s="1"/>
      <c r="M137" s="1"/>
      <c r="N137" s="1"/>
      <c r="O137" s="1"/>
      <c r="P137" s="1"/>
      <c r="Q137" s="1"/>
    </row>
    <row r="138" spans="1:17" x14ac:dyDescent="0.35">
      <c r="A138" s="1"/>
      <c r="B138" s="1"/>
      <c r="C138" s="1"/>
      <c r="D138" s="1"/>
      <c r="E138" s="1"/>
      <c r="F138" s="1"/>
      <c r="G138" s="1"/>
      <c r="H138" s="1"/>
      <c r="I138" s="1"/>
      <c r="J138" s="1"/>
      <c r="K138" s="1"/>
      <c r="L138" s="1"/>
      <c r="M138" s="1"/>
      <c r="N138" s="1"/>
      <c r="O138" s="1"/>
      <c r="P138" s="1"/>
      <c r="Q138" s="1"/>
    </row>
    <row r="139" spans="1:17" x14ac:dyDescent="0.35">
      <c r="A139" s="1"/>
      <c r="B139" s="1"/>
      <c r="C139" s="1"/>
      <c r="D139" s="1"/>
      <c r="E139" s="1"/>
      <c r="F139" s="1"/>
      <c r="G139" s="1"/>
      <c r="H139" s="1"/>
      <c r="I139" s="1"/>
      <c r="J139" s="1"/>
      <c r="K139" s="1"/>
      <c r="L139" s="1"/>
      <c r="M139" s="1"/>
      <c r="N139" s="1"/>
      <c r="O139" s="1"/>
      <c r="P139" s="1"/>
      <c r="Q139" s="1"/>
    </row>
    <row r="140" spans="1:17" x14ac:dyDescent="0.35">
      <c r="A140" s="1"/>
      <c r="B140" s="1"/>
      <c r="C140" s="1"/>
      <c r="D140" s="1"/>
      <c r="E140" s="1"/>
      <c r="F140" s="1"/>
      <c r="G140" s="1"/>
      <c r="H140" s="1"/>
      <c r="I140" s="1"/>
      <c r="J140" s="1"/>
      <c r="K140" s="1"/>
      <c r="L140" s="1"/>
      <c r="M140" s="1"/>
      <c r="N140" s="1"/>
      <c r="O140" s="1"/>
      <c r="P140" s="1"/>
      <c r="Q140" s="1"/>
    </row>
    <row r="141" spans="1:17" x14ac:dyDescent="0.35">
      <c r="A141" s="1"/>
      <c r="B141" s="1"/>
      <c r="C141" s="1"/>
      <c r="D141" s="1"/>
      <c r="E141" s="1"/>
      <c r="F141" s="1"/>
      <c r="G141" s="1"/>
      <c r="H141" s="1"/>
      <c r="I141" s="1"/>
      <c r="J141" s="1"/>
      <c r="K141" s="1"/>
      <c r="L141" s="1"/>
      <c r="M141" s="1"/>
      <c r="N141" s="1"/>
      <c r="O141" s="1"/>
      <c r="P141" s="1"/>
      <c r="Q141" s="1"/>
    </row>
    <row r="142" spans="1:17" x14ac:dyDescent="0.35">
      <c r="A142" s="1"/>
      <c r="B142" s="1"/>
      <c r="C142" s="1"/>
      <c r="D142" s="1"/>
      <c r="E142" s="1"/>
      <c r="F142" s="1"/>
      <c r="G142" s="1"/>
      <c r="H142" s="1"/>
      <c r="I142" s="1"/>
      <c r="J142" s="1"/>
      <c r="K142" s="1"/>
      <c r="L142" s="1"/>
      <c r="M142" s="1"/>
      <c r="N142" s="1"/>
      <c r="O142" s="1"/>
      <c r="P142" s="1"/>
      <c r="Q142" s="1"/>
    </row>
    <row r="143" spans="1:17" x14ac:dyDescent="0.35">
      <c r="A143" s="1"/>
      <c r="B143" s="1"/>
      <c r="C143" s="1"/>
      <c r="D143" s="1"/>
      <c r="E143" s="1"/>
      <c r="F143" s="1"/>
      <c r="G143" s="1"/>
      <c r="H143" s="1"/>
      <c r="I143" s="1"/>
      <c r="J143" s="1"/>
      <c r="K143" s="1"/>
      <c r="L143" s="1"/>
      <c r="M143" s="1"/>
      <c r="N143" s="1"/>
      <c r="O143" s="1"/>
      <c r="P143" s="1"/>
      <c r="Q143" s="1"/>
    </row>
    <row r="144" spans="1:17" x14ac:dyDescent="0.35">
      <c r="A144" s="1"/>
      <c r="B144" s="1"/>
      <c r="C144" s="1"/>
      <c r="D144" s="1"/>
      <c r="E144" s="1"/>
      <c r="F144" s="1"/>
      <c r="G144" s="1"/>
      <c r="H144" s="1"/>
      <c r="I144" s="1"/>
      <c r="J144" s="1"/>
      <c r="K144" s="1"/>
      <c r="L144" s="1"/>
      <c r="M144" s="1"/>
      <c r="N144" s="1"/>
      <c r="O144" s="1"/>
      <c r="P144" s="1"/>
      <c r="Q144" s="1"/>
    </row>
    <row r="145" spans="1:17" x14ac:dyDescent="0.35">
      <c r="A145" s="1"/>
      <c r="B145" s="1"/>
      <c r="C145" s="1"/>
      <c r="D145" s="1"/>
      <c r="E145" s="1"/>
      <c r="F145" s="1"/>
      <c r="G145" s="1"/>
      <c r="H145" s="1"/>
      <c r="I145" s="1"/>
      <c r="J145" s="1"/>
      <c r="K145" s="1"/>
      <c r="L145" s="1"/>
      <c r="M145" s="1"/>
      <c r="N145" s="1"/>
      <c r="O145" s="1"/>
      <c r="P145" s="1"/>
      <c r="Q145" s="1"/>
    </row>
    <row r="146" spans="1:17" x14ac:dyDescent="0.35">
      <c r="A146" s="1"/>
      <c r="B146" s="1"/>
      <c r="C146" s="1"/>
      <c r="D146" s="1"/>
      <c r="E146" s="1"/>
      <c r="F146" s="1"/>
      <c r="G146" s="1"/>
      <c r="H146" s="1"/>
      <c r="I146" s="1"/>
      <c r="J146" s="1"/>
      <c r="K146" s="1"/>
      <c r="L146" s="1"/>
      <c r="M146" s="1"/>
      <c r="N146" s="1"/>
      <c r="O146" s="1"/>
      <c r="P146" s="1"/>
      <c r="Q146" s="1"/>
    </row>
    <row r="147" spans="1:17" x14ac:dyDescent="0.35">
      <c r="A147" s="1"/>
      <c r="B147" s="1"/>
      <c r="C147" s="1"/>
      <c r="D147" s="1"/>
      <c r="E147" s="1"/>
      <c r="F147" s="1"/>
      <c r="G147" s="1"/>
      <c r="H147" s="1"/>
      <c r="I147" s="1"/>
      <c r="J147" s="1"/>
      <c r="K147" s="1"/>
      <c r="L147" s="1"/>
      <c r="M147" s="1"/>
      <c r="N147" s="1"/>
      <c r="O147" s="1"/>
      <c r="P147" s="1"/>
      <c r="Q147" s="1"/>
    </row>
    <row r="148" spans="1:17" x14ac:dyDescent="0.35">
      <c r="A148" s="1"/>
      <c r="B148" s="1"/>
      <c r="C148" s="1"/>
      <c r="D148" s="1"/>
      <c r="E148" s="1"/>
      <c r="F148" s="1"/>
      <c r="G148" s="1"/>
      <c r="H148" s="1"/>
      <c r="I148" s="1"/>
      <c r="J148" s="1"/>
      <c r="K148" s="1"/>
      <c r="L148" s="1"/>
      <c r="M148" s="1"/>
      <c r="N148" s="1"/>
      <c r="O148" s="1"/>
      <c r="P148" s="1"/>
      <c r="Q148" s="1"/>
    </row>
    <row r="149" spans="1:17" x14ac:dyDescent="0.35">
      <c r="A149" s="1"/>
      <c r="B149" s="1"/>
      <c r="C149" s="1"/>
      <c r="D149" s="1"/>
      <c r="E149" s="1"/>
      <c r="F149" s="1"/>
      <c r="G149" s="1"/>
      <c r="H149" s="1"/>
      <c r="I149" s="1"/>
      <c r="J149" s="1"/>
      <c r="K149" s="1"/>
      <c r="L149" s="1"/>
      <c r="M149" s="1"/>
      <c r="N149" s="1"/>
      <c r="O149" s="1"/>
      <c r="P149" s="1"/>
      <c r="Q149" s="1"/>
    </row>
    <row r="150" spans="1:17" x14ac:dyDescent="0.35">
      <c r="A150" s="1"/>
      <c r="B150" s="1"/>
      <c r="C150" s="1"/>
      <c r="D150" s="1"/>
      <c r="E150" s="1"/>
      <c r="F150" s="1"/>
      <c r="G150" s="1"/>
      <c r="H150" s="1"/>
      <c r="I150" s="1"/>
      <c r="J150" s="1"/>
      <c r="K150" s="1"/>
      <c r="L150" s="1"/>
      <c r="M150" s="1"/>
      <c r="N150" s="1"/>
      <c r="O150" s="1"/>
      <c r="P150" s="1"/>
      <c r="Q150" s="1"/>
    </row>
    <row r="151" spans="1:17" x14ac:dyDescent="0.35">
      <c r="A151" s="1"/>
      <c r="B151" s="1"/>
      <c r="C151" s="1"/>
      <c r="D151" s="1"/>
      <c r="E151" s="1"/>
      <c r="F151" s="1"/>
      <c r="G151" s="1"/>
      <c r="H151" s="1"/>
      <c r="I151" s="1"/>
      <c r="J151" s="1"/>
      <c r="K151" s="1"/>
      <c r="L151" s="1"/>
      <c r="M151" s="1"/>
      <c r="N151" s="1"/>
      <c r="O151" s="1"/>
      <c r="P151" s="1"/>
      <c r="Q151" s="1"/>
    </row>
    <row r="152" spans="1:17" x14ac:dyDescent="0.35">
      <c r="A152" s="1"/>
      <c r="B152" s="1"/>
      <c r="C152" s="1"/>
      <c r="D152" s="1"/>
      <c r="E152" s="1"/>
      <c r="F152" s="1"/>
      <c r="G152" s="1"/>
      <c r="H152" s="1"/>
      <c r="I152" s="1"/>
      <c r="J152" s="1"/>
      <c r="K152" s="1"/>
      <c r="L152" s="1"/>
      <c r="M152" s="1"/>
      <c r="N152" s="1"/>
      <c r="O152" s="1"/>
      <c r="P152" s="1"/>
      <c r="Q152" s="1"/>
    </row>
    <row r="153" spans="1:17" x14ac:dyDescent="0.35">
      <c r="A153" s="1"/>
      <c r="B153" s="1"/>
      <c r="C153" s="1"/>
      <c r="D153" s="1"/>
      <c r="E153" s="1"/>
      <c r="F153" s="1"/>
      <c r="G153" s="1"/>
      <c r="H153" s="1"/>
      <c r="I153" s="1"/>
      <c r="J153" s="1"/>
      <c r="K153" s="1"/>
      <c r="L153" s="1"/>
      <c r="M153" s="1"/>
      <c r="N153" s="1"/>
      <c r="O153" s="1"/>
      <c r="P153" s="1"/>
      <c r="Q153" s="1"/>
    </row>
    <row r="154" spans="1:17" x14ac:dyDescent="0.35">
      <c r="A154" s="1"/>
      <c r="B154" s="1"/>
      <c r="C154" s="1"/>
      <c r="D154" s="1"/>
      <c r="E154" s="1"/>
      <c r="F154" s="1"/>
      <c r="G154" s="1"/>
      <c r="H154" s="1"/>
      <c r="I154" s="1"/>
      <c r="J154" s="1"/>
      <c r="K154" s="1"/>
      <c r="L154" s="1"/>
      <c r="M154" s="1"/>
      <c r="N154" s="1"/>
      <c r="O154" s="1"/>
      <c r="P154" s="1"/>
      <c r="Q154" s="1"/>
    </row>
    <row r="155" spans="1:17" x14ac:dyDescent="0.35">
      <c r="A155" s="1"/>
      <c r="B155" s="1"/>
      <c r="C155" s="1"/>
      <c r="D155" s="1"/>
      <c r="E155" s="1"/>
      <c r="F155" s="1"/>
      <c r="G155" s="1"/>
      <c r="H155" s="1"/>
      <c r="I155" s="1"/>
      <c r="J155" s="1"/>
      <c r="K155" s="1"/>
      <c r="L155" s="1"/>
      <c r="M155" s="1"/>
      <c r="N155" s="1"/>
      <c r="O155" s="1"/>
      <c r="P155" s="1"/>
      <c r="Q155" s="1"/>
    </row>
    <row r="156" spans="1:17" x14ac:dyDescent="0.35">
      <c r="A156" s="1"/>
      <c r="B156" s="1"/>
      <c r="C156" s="1"/>
      <c r="D156" s="1"/>
      <c r="E156" s="1"/>
      <c r="F156" s="1"/>
      <c r="G156" s="1"/>
      <c r="H156" s="1"/>
      <c r="I156" s="1"/>
      <c r="J156" s="1"/>
      <c r="K156" s="1"/>
      <c r="L156" s="1"/>
      <c r="M156" s="1"/>
      <c r="N156" s="1"/>
      <c r="O156" s="1"/>
      <c r="P156" s="1"/>
      <c r="Q156" s="1"/>
    </row>
    <row r="157" spans="1:17" x14ac:dyDescent="0.35">
      <c r="A157" s="1"/>
      <c r="B157" s="1"/>
      <c r="C157" s="1"/>
      <c r="D157" s="1"/>
      <c r="E157" s="1"/>
      <c r="F157" s="1"/>
      <c r="G157" s="1"/>
      <c r="H157" s="1"/>
      <c r="I157" s="1"/>
      <c r="J157" s="1"/>
      <c r="K157" s="1"/>
      <c r="L157" s="1"/>
      <c r="M157" s="1"/>
      <c r="N157" s="1"/>
      <c r="O157" s="1"/>
      <c r="P157" s="1"/>
      <c r="Q157" s="1"/>
    </row>
    <row r="158" spans="1:17" x14ac:dyDescent="0.35">
      <c r="A158" s="1"/>
      <c r="B158" s="1"/>
      <c r="C158" s="1"/>
      <c r="D158" s="1"/>
      <c r="E158" s="1"/>
      <c r="F158" s="1"/>
      <c r="G158" s="1"/>
      <c r="H158" s="1"/>
      <c r="I158" s="1"/>
      <c r="J158" s="1"/>
      <c r="K158" s="1"/>
      <c r="L158" s="1"/>
      <c r="M158" s="1"/>
      <c r="N158" s="1"/>
      <c r="O158" s="1"/>
      <c r="P158" s="1"/>
      <c r="Q158" s="1"/>
    </row>
    <row r="159" spans="1:17" x14ac:dyDescent="0.35">
      <c r="A159" s="1"/>
      <c r="B159" s="1"/>
      <c r="C159" s="1"/>
      <c r="D159" s="1"/>
      <c r="E159" s="1"/>
      <c r="F159" s="1"/>
      <c r="G159" s="1"/>
      <c r="H159" s="1"/>
      <c r="I159" s="1"/>
      <c r="J159" s="1"/>
      <c r="K159" s="1"/>
      <c r="L159" s="1"/>
      <c r="M159" s="1"/>
      <c r="N159" s="1"/>
      <c r="O159" s="1"/>
      <c r="P159" s="1"/>
      <c r="Q159" s="1"/>
    </row>
    <row r="160" spans="1:17" x14ac:dyDescent="0.35">
      <c r="A160" s="1"/>
      <c r="B160" s="1"/>
      <c r="C160" s="1"/>
      <c r="D160" s="1"/>
      <c r="E160" s="1"/>
      <c r="F160" s="1"/>
      <c r="G160" s="1"/>
      <c r="H160" s="1"/>
      <c r="I160" s="1"/>
      <c r="J160" s="1"/>
      <c r="K160" s="1"/>
      <c r="L160" s="1"/>
      <c r="M160" s="1"/>
      <c r="N160" s="1"/>
      <c r="O160" s="1"/>
      <c r="P160" s="1"/>
      <c r="Q160" s="1"/>
    </row>
    <row r="161" spans="1:17" x14ac:dyDescent="0.35">
      <c r="A161" s="1"/>
      <c r="B161" s="1"/>
      <c r="C161" s="1"/>
      <c r="D161" s="1"/>
      <c r="E161" s="1"/>
      <c r="F161" s="1"/>
      <c r="G161" s="1"/>
      <c r="H161" s="1"/>
      <c r="I161" s="1"/>
      <c r="J161" s="1"/>
      <c r="K161" s="1"/>
      <c r="L161" s="1"/>
      <c r="M161" s="1"/>
      <c r="N161" s="1"/>
      <c r="O161" s="1"/>
      <c r="P161" s="1"/>
      <c r="Q161" s="1"/>
    </row>
    <row r="162" spans="1:17" x14ac:dyDescent="0.35">
      <c r="A162" s="1"/>
      <c r="B162" s="1"/>
      <c r="C162" s="1"/>
      <c r="D162" s="1"/>
      <c r="E162" s="1"/>
      <c r="F162" s="1"/>
      <c r="G162" s="1"/>
      <c r="H162" s="1"/>
      <c r="I162" s="1"/>
      <c r="J162" s="1"/>
      <c r="K162" s="1"/>
      <c r="L162" s="1"/>
      <c r="M162" s="1"/>
      <c r="N162" s="1"/>
      <c r="O162" s="1"/>
      <c r="P162" s="1"/>
      <c r="Q162" s="1"/>
    </row>
    <row r="163" spans="1:17" x14ac:dyDescent="0.35">
      <c r="A163" s="1"/>
      <c r="B163" s="1"/>
      <c r="C163" s="1"/>
      <c r="D163" s="1"/>
      <c r="E163" s="1"/>
      <c r="F163" s="1"/>
      <c r="G163" s="1"/>
      <c r="H163" s="1"/>
      <c r="I163" s="1"/>
      <c r="J163" s="1"/>
      <c r="K163" s="1"/>
      <c r="L163" s="1"/>
      <c r="M163" s="1"/>
      <c r="N163" s="1"/>
      <c r="O163" s="1"/>
      <c r="P163" s="1"/>
      <c r="Q163" s="1"/>
    </row>
    <row r="164" spans="1:17" x14ac:dyDescent="0.35">
      <c r="A164" s="1"/>
      <c r="B164" s="1"/>
      <c r="C164" s="1"/>
      <c r="D164" s="1"/>
      <c r="E164" s="1"/>
      <c r="F164" s="1"/>
      <c r="G164" s="1"/>
      <c r="H164" s="1"/>
      <c r="I164" s="1"/>
      <c r="J164" s="1"/>
      <c r="K164" s="1"/>
      <c r="L164" s="1"/>
      <c r="M164" s="1"/>
      <c r="N164" s="1"/>
      <c r="O164" s="1"/>
      <c r="P164" s="1"/>
      <c r="Q164" s="1"/>
    </row>
    <row r="165" spans="1:17" x14ac:dyDescent="0.35">
      <c r="A165" s="1"/>
      <c r="B165" s="1"/>
      <c r="C165" s="1"/>
      <c r="D165" s="1"/>
      <c r="E165" s="1"/>
      <c r="F165" s="1"/>
      <c r="G165" s="1"/>
      <c r="H165" s="1"/>
      <c r="I165" s="1"/>
      <c r="J165" s="1"/>
      <c r="K165" s="1"/>
      <c r="L165" s="1"/>
      <c r="M165" s="1"/>
      <c r="N165" s="1"/>
      <c r="O165" s="1"/>
      <c r="P165" s="1"/>
      <c r="Q165" s="1"/>
    </row>
    <row r="166" spans="1:17" x14ac:dyDescent="0.35">
      <c r="A166" s="1"/>
      <c r="B166" s="1"/>
      <c r="C166" s="1"/>
      <c r="D166" s="1"/>
      <c r="E166" s="1"/>
      <c r="F166" s="1"/>
      <c r="G166" s="1"/>
      <c r="H166" s="1"/>
      <c r="I166" s="1"/>
      <c r="J166" s="1"/>
      <c r="K166" s="1"/>
      <c r="L166" s="1"/>
      <c r="M166" s="1"/>
      <c r="N166" s="1"/>
      <c r="O166" s="1"/>
      <c r="P166" s="1"/>
      <c r="Q166" s="1"/>
    </row>
    <row r="167" spans="1:17" x14ac:dyDescent="0.35">
      <c r="A167" s="1"/>
      <c r="B167" s="1"/>
      <c r="C167" s="1"/>
      <c r="D167" s="1"/>
      <c r="E167" s="1"/>
      <c r="F167" s="1"/>
      <c r="G167" s="1"/>
      <c r="H167" s="1"/>
      <c r="I167" s="1"/>
      <c r="J167" s="1"/>
      <c r="K167" s="1"/>
      <c r="L167" s="1"/>
      <c r="M167" s="1"/>
      <c r="N167" s="1"/>
      <c r="O167" s="1"/>
      <c r="P167" s="1"/>
      <c r="Q167" s="1"/>
    </row>
    <row r="168" spans="1:17" x14ac:dyDescent="0.35">
      <c r="A168" s="1"/>
      <c r="B168" s="1"/>
      <c r="C168" s="1"/>
      <c r="D168" s="1"/>
      <c r="E168" s="1"/>
      <c r="F168" s="1"/>
      <c r="G168" s="1"/>
      <c r="H168" s="1"/>
      <c r="I168" s="1"/>
      <c r="J168" s="1"/>
      <c r="K168" s="1"/>
      <c r="L168" s="1"/>
      <c r="M168" s="1"/>
      <c r="N168" s="1"/>
      <c r="O168" s="1"/>
      <c r="P168" s="1"/>
      <c r="Q168" s="1"/>
    </row>
    <row r="169" spans="1:17" x14ac:dyDescent="0.35">
      <c r="A169" s="1"/>
      <c r="B169" s="1"/>
      <c r="C169" s="1"/>
      <c r="D169" s="1"/>
      <c r="E169" s="1"/>
      <c r="F169" s="1"/>
      <c r="G169" s="1"/>
      <c r="H169" s="1"/>
      <c r="I169" s="1"/>
      <c r="J169" s="1"/>
      <c r="K169" s="1"/>
      <c r="L169" s="1"/>
      <c r="M169" s="1"/>
      <c r="N169" s="1"/>
      <c r="O169" s="1"/>
      <c r="P169" s="1"/>
      <c r="Q169" s="1"/>
    </row>
    <row r="170" spans="1:17" x14ac:dyDescent="0.35">
      <c r="A170" s="1"/>
      <c r="B170" s="1"/>
      <c r="C170" s="1"/>
      <c r="D170" s="1"/>
      <c r="E170" s="1"/>
      <c r="F170" s="1"/>
      <c r="G170" s="1"/>
      <c r="H170" s="1"/>
      <c r="I170" s="1"/>
      <c r="J170" s="1"/>
      <c r="K170" s="1"/>
      <c r="L170" s="1"/>
      <c r="M170" s="1"/>
      <c r="N170" s="1"/>
      <c r="O170" s="1"/>
      <c r="P170" s="1"/>
      <c r="Q170" s="1"/>
    </row>
    <row r="171" spans="1:17" x14ac:dyDescent="0.35">
      <c r="A171" s="1"/>
      <c r="B171" s="1"/>
      <c r="C171" s="1"/>
      <c r="D171" s="1"/>
      <c r="E171" s="1"/>
      <c r="F171" s="1"/>
      <c r="G171" s="1"/>
      <c r="H171" s="1"/>
      <c r="I171" s="1"/>
      <c r="J171" s="1"/>
      <c r="K171" s="1"/>
      <c r="L171" s="1"/>
      <c r="M171" s="1"/>
      <c r="N171" s="1"/>
      <c r="O171" s="1"/>
      <c r="P171" s="1"/>
      <c r="Q171" s="1"/>
    </row>
    <row r="172" spans="1:17" x14ac:dyDescent="0.35">
      <c r="A172" s="1"/>
      <c r="B172" s="1"/>
      <c r="C172" s="1"/>
      <c r="D172" s="1"/>
      <c r="E172" s="1"/>
      <c r="F172" s="1"/>
      <c r="G172" s="1"/>
      <c r="H172" s="1"/>
      <c r="I172" s="1"/>
      <c r="J172" s="1"/>
      <c r="K172" s="1"/>
      <c r="L172" s="1"/>
      <c r="M172" s="1"/>
      <c r="N172" s="1"/>
      <c r="O172" s="1"/>
      <c r="P172" s="1"/>
      <c r="Q172" s="1"/>
    </row>
    <row r="173" spans="1:17" x14ac:dyDescent="0.35">
      <c r="A173" s="1"/>
      <c r="B173" s="1"/>
      <c r="C173" s="1"/>
      <c r="D173" s="1"/>
      <c r="E173" s="1"/>
      <c r="F173" s="1"/>
      <c r="G173" s="1"/>
      <c r="H173" s="1"/>
      <c r="I173" s="1"/>
      <c r="J173" s="1"/>
      <c r="K173" s="1"/>
      <c r="L173" s="1"/>
      <c r="M173" s="1"/>
      <c r="N173" s="1"/>
      <c r="O173" s="1"/>
      <c r="P173" s="1"/>
      <c r="Q173" s="1"/>
    </row>
    <row r="174" spans="1:17" x14ac:dyDescent="0.35">
      <c r="A174" s="1"/>
      <c r="B174" s="1"/>
      <c r="C174" s="1"/>
      <c r="D174" s="1"/>
      <c r="E174" s="1"/>
      <c r="F174" s="1"/>
      <c r="G174" s="1"/>
      <c r="H174" s="1"/>
      <c r="I174" s="1"/>
      <c r="J174" s="1"/>
      <c r="K174" s="1"/>
      <c r="L174" s="1"/>
      <c r="M174" s="1"/>
      <c r="N174" s="1"/>
      <c r="O174" s="1"/>
      <c r="P174" s="1"/>
      <c r="Q174" s="1"/>
    </row>
    <row r="175" spans="1:17" x14ac:dyDescent="0.35">
      <c r="A175" s="1"/>
      <c r="B175" s="1"/>
      <c r="C175" s="1"/>
      <c r="D175" s="1"/>
      <c r="E175" s="1"/>
      <c r="F175" s="1"/>
      <c r="G175" s="1"/>
      <c r="H175" s="1"/>
      <c r="I175" s="1"/>
      <c r="J175" s="1"/>
      <c r="K175" s="1"/>
      <c r="L175" s="1"/>
      <c r="M175" s="1"/>
      <c r="N175" s="1"/>
      <c r="O175" s="1"/>
      <c r="P175" s="1"/>
      <c r="Q175" s="1"/>
    </row>
    <row r="176" spans="1:17" x14ac:dyDescent="0.35">
      <c r="A176" s="1"/>
      <c r="B176" s="1"/>
      <c r="C176" s="1"/>
      <c r="D176" s="1"/>
      <c r="E176" s="1"/>
      <c r="F176" s="1"/>
      <c r="G176" s="1"/>
      <c r="H176" s="1"/>
      <c r="I176" s="1"/>
      <c r="J176" s="1"/>
      <c r="K176" s="1"/>
      <c r="L176" s="1"/>
      <c r="M176" s="1"/>
      <c r="N176" s="1"/>
      <c r="O176" s="1"/>
      <c r="P176" s="1"/>
      <c r="Q176" s="1"/>
    </row>
    <row r="177" spans="1:17" x14ac:dyDescent="0.35">
      <c r="A177" s="1"/>
      <c r="B177" s="1"/>
      <c r="C177" s="1"/>
      <c r="D177" s="1"/>
      <c r="E177" s="1"/>
      <c r="F177" s="1"/>
      <c r="G177" s="1"/>
      <c r="H177" s="1"/>
      <c r="I177" s="1"/>
      <c r="J177" s="1"/>
      <c r="K177" s="1"/>
      <c r="L177" s="1"/>
      <c r="M177" s="1"/>
      <c r="N177" s="1"/>
      <c r="O177" s="1"/>
      <c r="P177" s="1"/>
      <c r="Q177" s="1"/>
    </row>
    <row r="178" spans="1:17" x14ac:dyDescent="0.35">
      <c r="A178" s="1"/>
      <c r="B178" s="1"/>
      <c r="C178" s="1"/>
      <c r="D178" s="1"/>
      <c r="E178" s="1"/>
      <c r="F178" s="1"/>
      <c r="G178" s="1"/>
      <c r="H178" s="1"/>
      <c r="I178" s="1"/>
      <c r="J178" s="1"/>
      <c r="K178" s="1"/>
      <c r="L178" s="1"/>
      <c r="M178" s="1"/>
      <c r="N178" s="1"/>
      <c r="O178" s="1"/>
      <c r="P178" s="1"/>
      <c r="Q178" s="1"/>
    </row>
    <row r="179" spans="1:17" x14ac:dyDescent="0.35">
      <c r="A179" s="1"/>
      <c r="B179" s="1"/>
      <c r="C179" s="1"/>
      <c r="D179" s="1"/>
      <c r="E179" s="1"/>
      <c r="F179" s="1"/>
      <c r="G179" s="1"/>
      <c r="H179" s="1"/>
      <c r="I179" s="1"/>
      <c r="J179" s="1"/>
      <c r="K179" s="1"/>
      <c r="L179" s="1"/>
      <c r="M179" s="1"/>
      <c r="N179" s="1"/>
      <c r="O179" s="1"/>
      <c r="P179" s="1"/>
      <c r="Q179" s="1"/>
    </row>
    <row r="180" spans="1:17" x14ac:dyDescent="0.35">
      <c r="A180" s="1"/>
      <c r="B180" s="1"/>
      <c r="C180" s="1"/>
      <c r="D180" s="1"/>
      <c r="E180" s="1"/>
      <c r="F180" s="1"/>
      <c r="G180" s="1"/>
      <c r="H180" s="1"/>
      <c r="I180" s="1"/>
      <c r="J180" s="1"/>
      <c r="K180" s="1"/>
      <c r="L180" s="1"/>
      <c r="M180" s="1"/>
      <c r="N180" s="1"/>
      <c r="O180" s="1"/>
      <c r="P180" s="1"/>
      <c r="Q180" s="1"/>
    </row>
    <row r="181" spans="1:17" x14ac:dyDescent="0.35">
      <c r="A181" s="1"/>
      <c r="B181" s="1"/>
      <c r="C181" s="1"/>
      <c r="D181" s="1"/>
      <c r="E181" s="1"/>
      <c r="F181" s="1"/>
      <c r="G181" s="1"/>
      <c r="H181" s="1"/>
      <c r="I181" s="1"/>
      <c r="J181" s="1"/>
      <c r="K181" s="1"/>
      <c r="L181" s="1"/>
      <c r="M181" s="1"/>
      <c r="N181" s="1"/>
      <c r="O181" s="1"/>
      <c r="P181" s="1"/>
      <c r="Q181" s="1"/>
    </row>
    <row r="182" spans="1:17" x14ac:dyDescent="0.35">
      <c r="A182" s="1"/>
      <c r="B182" s="1"/>
      <c r="C182" s="1"/>
      <c r="D182" s="1"/>
      <c r="E182" s="1"/>
      <c r="F182" s="1"/>
      <c r="G182" s="1"/>
      <c r="H182" s="1"/>
      <c r="I182" s="1"/>
      <c r="J182" s="1"/>
      <c r="K182" s="1"/>
      <c r="L182" s="1"/>
      <c r="M182" s="1"/>
      <c r="N182" s="1"/>
      <c r="O182" s="1"/>
      <c r="P182" s="1"/>
      <c r="Q182" s="1"/>
    </row>
    <row r="183" spans="1:17" x14ac:dyDescent="0.35">
      <c r="A183" s="1"/>
      <c r="B183" s="1"/>
      <c r="C183" s="1"/>
      <c r="D183" s="1"/>
      <c r="E183" s="1"/>
      <c r="F183" s="1"/>
      <c r="G183" s="1"/>
      <c r="H183" s="1"/>
      <c r="I183" s="1"/>
      <c r="J183" s="1"/>
      <c r="K183" s="1"/>
      <c r="L183" s="1"/>
      <c r="M183" s="1"/>
      <c r="N183" s="1"/>
      <c r="O183" s="1"/>
      <c r="P183" s="1"/>
      <c r="Q183" s="1"/>
    </row>
    <row r="184" spans="1:17" x14ac:dyDescent="0.35">
      <c r="A184" s="1"/>
      <c r="B184" s="1"/>
      <c r="C184" s="1"/>
      <c r="D184" s="1"/>
      <c r="E184" s="1"/>
      <c r="F184" s="1"/>
      <c r="G184" s="1"/>
      <c r="H184" s="1"/>
      <c r="I184" s="1"/>
      <c r="J184" s="1"/>
      <c r="K184" s="1"/>
      <c r="L184" s="1"/>
      <c r="M184" s="1"/>
      <c r="N184" s="1"/>
      <c r="O184" s="1"/>
      <c r="P184" s="1"/>
      <c r="Q184" s="1"/>
    </row>
    <row r="185" spans="1:17" x14ac:dyDescent="0.35">
      <c r="A185" s="1"/>
      <c r="B185" s="1"/>
      <c r="C185" s="1"/>
      <c r="D185" s="1"/>
      <c r="E185" s="1"/>
      <c r="F185" s="1"/>
      <c r="G185" s="1"/>
      <c r="H185" s="1"/>
      <c r="I185" s="1"/>
      <c r="J185" s="1"/>
      <c r="K185" s="1"/>
      <c r="L185" s="1"/>
      <c r="M185" s="1"/>
      <c r="N185" s="1"/>
      <c r="O185" s="1"/>
      <c r="P185" s="1"/>
      <c r="Q185" s="1"/>
    </row>
    <row r="186" spans="1:17" x14ac:dyDescent="0.35">
      <c r="A186" s="1"/>
      <c r="B186" s="1"/>
      <c r="C186" s="1"/>
      <c r="D186" s="1"/>
      <c r="E186" s="1"/>
      <c r="F186" s="1"/>
      <c r="G186" s="1"/>
      <c r="H186" s="1"/>
      <c r="I186" s="1"/>
      <c r="J186" s="1"/>
      <c r="K186" s="1"/>
      <c r="L186" s="1"/>
      <c r="M186" s="1"/>
      <c r="N186" s="1"/>
      <c r="O186" s="1"/>
      <c r="P186" s="1"/>
      <c r="Q186" s="1"/>
    </row>
    <row r="187" spans="1:17" x14ac:dyDescent="0.35">
      <c r="A187" s="1"/>
      <c r="B187" s="1"/>
      <c r="C187" s="1"/>
      <c r="D187" s="1"/>
      <c r="E187" s="1"/>
      <c r="F187" s="1"/>
      <c r="G187" s="1"/>
      <c r="H187" s="1"/>
      <c r="I187" s="1"/>
      <c r="J187" s="1"/>
      <c r="K187" s="1"/>
      <c r="L187" s="1"/>
      <c r="M187" s="1"/>
      <c r="N187" s="1"/>
      <c r="O187" s="1"/>
      <c r="P187" s="1"/>
      <c r="Q187" s="1"/>
    </row>
    <row r="188" spans="1:17" x14ac:dyDescent="0.35">
      <c r="A188" s="1"/>
      <c r="B188" s="1"/>
      <c r="C188" s="1"/>
      <c r="D188" s="1"/>
      <c r="E188" s="1"/>
      <c r="F188" s="1"/>
      <c r="G188" s="1"/>
      <c r="H188" s="1"/>
      <c r="I188" s="1"/>
      <c r="J188" s="1"/>
      <c r="K188" s="1"/>
      <c r="L188" s="1"/>
      <c r="M188" s="1"/>
      <c r="N188" s="1"/>
      <c r="O188" s="1"/>
      <c r="P188" s="1"/>
      <c r="Q188" s="1"/>
    </row>
    <row r="189" spans="1:17" x14ac:dyDescent="0.35">
      <c r="A189" s="1"/>
      <c r="B189" s="1"/>
      <c r="C189" s="1"/>
      <c r="D189" s="1"/>
      <c r="E189" s="1"/>
      <c r="F189" s="1"/>
      <c r="G189" s="1"/>
      <c r="H189" s="1"/>
      <c r="I189" s="1"/>
      <c r="J189" s="1"/>
      <c r="K189" s="1"/>
      <c r="L189" s="1"/>
      <c r="M189" s="1"/>
      <c r="N189" s="1"/>
      <c r="O189" s="1"/>
      <c r="P189" s="1"/>
      <c r="Q189" s="1"/>
    </row>
    <row r="190" spans="1:17" x14ac:dyDescent="0.35">
      <c r="A190" s="1"/>
      <c r="B190" s="1"/>
      <c r="C190" s="1"/>
      <c r="D190" s="1"/>
      <c r="E190" s="1"/>
      <c r="F190" s="1"/>
      <c r="G190" s="1"/>
      <c r="H190" s="1"/>
      <c r="I190" s="1"/>
      <c r="J190" s="1"/>
      <c r="K190" s="1"/>
      <c r="L190" s="1"/>
      <c r="M190" s="1"/>
      <c r="N190" s="1"/>
      <c r="O190" s="1"/>
      <c r="P190" s="1"/>
      <c r="Q190" s="1"/>
    </row>
    <row r="191" spans="1:17" x14ac:dyDescent="0.35">
      <c r="A191" s="1"/>
      <c r="B191" s="1"/>
      <c r="C191" s="1"/>
      <c r="D191" s="1"/>
      <c r="E191" s="1"/>
      <c r="F191" s="1"/>
      <c r="G191" s="1"/>
      <c r="H191" s="1"/>
      <c r="I191" s="1"/>
      <c r="J191" s="1"/>
      <c r="K191" s="1"/>
      <c r="L191" s="1"/>
      <c r="M191" s="1"/>
      <c r="N191" s="1"/>
      <c r="O191" s="1"/>
      <c r="P191" s="1"/>
      <c r="Q191" s="1"/>
    </row>
    <row r="192" spans="1:17" x14ac:dyDescent="0.35">
      <c r="A192" s="1"/>
      <c r="B192" s="1"/>
      <c r="C192" s="1"/>
      <c r="D192" s="1"/>
      <c r="E192" s="1"/>
      <c r="F192" s="1"/>
      <c r="G192" s="1"/>
      <c r="H192" s="1"/>
      <c r="I192" s="1"/>
      <c r="J192" s="1"/>
      <c r="K192" s="1"/>
      <c r="L192" s="1"/>
      <c r="M192" s="1"/>
      <c r="N192" s="1"/>
      <c r="O192" s="1"/>
      <c r="P192" s="1"/>
      <c r="Q192" s="1"/>
    </row>
    <row r="193" spans="1:17" x14ac:dyDescent="0.35">
      <c r="A193" s="1"/>
      <c r="B193" s="1"/>
      <c r="C193" s="1"/>
      <c r="D193" s="1"/>
      <c r="E193" s="1"/>
      <c r="F193" s="1"/>
      <c r="G193" s="1"/>
      <c r="H193" s="1"/>
      <c r="I193" s="1"/>
      <c r="J193" s="1"/>
      <c r="K193" s="1"/>
      <c r="L193" s="1"/>
      <c r="M193" s="1"/>
      <c r="N193" s="1"/>
      <c r="O193" s="1"/>
      <c r="P193" s="1"/>
      <c r="Q193" s="1"/>
    </row>
    <row r="194" spans="1:17" x14ac:dyDescent="0.35">
      <c r="A194" s="1"/>
      <c r="B194" s="1"/>
      <c r="C194" s="1"/>
      <c r="D194" s="1"/>
      <c r="E194" s="1"/>
      <c r="F194" s="1"/>
      <c r="G194" s="1"/>
      <c r="H194" s="1"/>
      <c r="I194" s="1"/>
      <c r="J194" s="1"/>
      <c r="K194" s="1"/>
      <c r="L194" s="1"/>
      <c r="M194" s="1"/>
      <c r="N194" s="1"/>
      <c r="O194" s="1"/>
      <c r="P194" s="1"/>
      <c r="Q194" s="1"/>
    </row>
    <row r="195" spans="1:17" x14ac:dyDescent="0.35">
      <c r="A195" s="1"/>
      <c r="B195" s="1"/>
      <c r="C195" s="1"/>
      <c r="D195" s="1"/>
      <c r="E195" s="1"/>
      <c r="F195" s="1"/>
      <c r="G195" s="1"/>
      <c r="H195" s="1"/>
      <c r="I195" s="1"/>
      <c r="J195" s="1"/>
      <c r="K195" s="1"/>
      <c r="L195" s="1"/>
      <c r="M195" s="1"/>
      <c r="N195" s="1"/>
      <c r="O195" s="1"/>
      <c r="P195" s="1"/>
      <c r="Q195" s="1"/>
    </row>
    <row r="196" spans="1:17" x14ac:dyDescent="0.35">
      <c r="A196" s="1"/>
      <c r="B196" s="1"/>
      <c r="C196" s="1"/>
      <c r="D196" s="1"/>
      <c r="E196" s="1"/>
      <c r="F196" s="1"/>
      <c r="G196" s="1"/>
      <c r="H196" s="1"/>
      <c r="I196" s="1"/>
      <c r="J196" s="1"/>
      <c r="K196" s="1"/>
      <c r="L196" s="1"/>
      <c r="M196" s="1"/>
      <c r="N196" s="1"/>
      <c r="O196" s="1"/>
      <c r="P196" s="1"/>
      <c r="Q196" s="1"/>
    </row>
    <row r="197" spans="1:17" x14ac:dyDescent="0.35">
      <c r="A197" s="1"/>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1:17" x14ac:dyDescent="0.35">
      <c r="A198" s="1"/>
      <c r="B198" s="37"/>
      <c r="C198" s="38"/>
      <c r="D198" s="31"/>
      <c r="E198" s="32"/>
      <c r="F198" s="34"/>
      <c r="G198" s="33"/>
      <c r="H198" s="34"/>
      <c r="I198" s="33"/>
      <c r="J198" s="34"/>
      <c r="K198" s="34"/>
      <c r="L198" s="34"/>
      <c r="M198" s="33"/>
      <c r="N198" s="34"/>
      <c r="O198" s="35"/>
      <c r="P198" s="36"/>
      <c r="Q198" s="35"/>
    </row>
    <row r="199" spans="1:17" x14ac:dyDescent="0.35">
      <c r="A199" s="1"/>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1:17" x14ac:dyDescent="0.35">
      <c r="A200" s="1"/>
      <c r="B200" s="1"/>
      <c r="C200" s="1"/>
      <c r="D200" s="1"/>
      <c r="E200" s="1"/>
      <c r="F200" s="1"/>
      <c r="G200" s="1"/>
      <c r="H200" s="1"/>
      <c r="I200" s="1"/>
      <c r="J200" s="1"/>
      <c r="K200" s="1"/>
      <c r="L200" s="1"/>
      <c r="M200" s="1"/>
      <c r="N200" s="1"/>
      <c r="O200" s="1"/>
      <c r="P200" s="1"/>
      <c r="Q200" s="78" t="s">
        <v>21404</v>
      </c>
    </row>
    <row r="201" spans="1:17" x14ac:dyDescent="0.35">
      <c r="A201" s="1"/>
      <c r="B201" s="1"/>
      <c r="C201" s="78" t="s">
        <v>21592</v>
      </c>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77" t="s">
        <v>21399</v>
      </c>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t="s">
        <v>21398</v>
      </c>
      <c r="D205" s="1" t="s">
        <v>75</v>
      </c>
      <c r="E205" s="1" t="s">
        <v>13768</v>
      </c>
      <c r="F205" s="2" t="s">
        <v>21397</v>
      </c>
      <c r="G205" s="1" t="s">
        <v>9</v>
      </c>
      <c r="H205" s="1"/>
      <c r="I205" s="1"/>
      <c r="J205" s="1"/>
      <c r="K205" s="1"/>
      <c r="L205" s="1"/>
      <c r="M205" s="1"/>
      <c r="N205" s="1"/>
      <c r="O205" s="1"/>
      <c r="P205" s="1"/>
      <c r="Q205" s="1"/>
    </row>
    <row r="206" spans="1:17" x14ac:dyDescent="0.35">
      <c r="B206" s="49" t="s">
        <v>14755</v>
      </c>
      <c r="C206" s="352" t="s">
        <v>14756</v>
      </c>
    </row>
    <row r="207" spans="1:17" x14ac:dyDescent="0.35">
      <c r="B207" s="49" t="s">
        <v>14757</v>
      </c>
      <c r="C207" s="53" t="s">
        <v>14758</v>
      </c>
    </row>
    <row r="208" spans="1:17" x14ac:dyDescent="0.35">
      <c r="B208" s="49" t="s">
        <v>14759</v>
      </c>
      <c r="C208" s="53" t="s">
        <v>14760</v>
      </c>
    </row>
    <row r="209" spans="2:5" x14ac:dyDescent="0.35">
      <c r="B209" s="49" t="s">
        <v>14761</v>
      </c>
      <c r="C209" s="53" t="s">
        <v>14762</v>
      </c>
    </row>
    <row r="210" spans="2:5" x14ac:dyDescent="0.35">
      <c r="B210" s="49" t="s">
        <v>14763</v>
      </c>
      <c r="C210" s="53" t="s">
        <v>14764</v>
      </c>
    </row>
    <row r="211" spans="2:5" x14ac:dyDescent="0.35">
      <c r="B211" s="49" t="s">
        <v>14765</v>
      </c>
      <c r="C211" s="53" t="s">
        <v>14766</v>
      </c>
    </row>
    <row r="212" spans="2:5" x14ac:dyDescent="0.35">
      <c r="C212" s="1" t="s">
        <v>1523</v>
      </c>
      <c r="D212" s="1" t="s">
        <v>58</v>
      </c>
      <c r="E212" s="250">
        <v>11009.911</v>
      </c>
    </row>
    <row r="213" spans="2:5" x14ac:dyDescent="0.35">
      <c r="C213" s="1" t="s">
        <v>1408</v>
      </c>
      <c r="D213" s="1" t="s">
        <v>39</v>
      </c>
      <c r="E213" s="250">
        <v>11010.004999999999</v>
      </c>
    </row>
    <row r="214" spans="2:5" x14ac:dyDescent="0.35">
      <c r="C214" s="1" t="s">
        <v>1522</v>
      </c>
      <c r="D214" s="1" t="s">
        <v>18</v>
      </c>
      <c r="E214" s="250">
        <v>11020.004999999999</v>
      </c>
    </row>
    <row r="215" spans="2:5" x14ac:dyDescent="0.35">
      <c r="C215" s="1" t="s">
        <v>1521</v>
      </c>
      <c r="D215" s="1" t="s">
        <v>58</v>
      </c>
      <c r="E215" s="250">
        <v>11020.111000000001</v>
      </c>
    </row>
    <row r="216" spans="2:5" x14ac:dyDescent="0.35">
      <c r="C216" s="1" t="s">
        <v>1520</v>
      </c>
      <c r="D216" s="1" t="s">
        <v>58</v>
      </c>
      <c r="E216" s="250">
        <v>11020.115</v>
      </c>
    </row>
    <row r="217" spans="2:5" x14ac:dyDescent="0.35">
      <c r="C217" s="1" t="s">
        <v>1519</v>
      </c>
      <c r="D217" s="1" t="s">
        <v>58</v>
      </c>
      <c r="E217" s="250">
        <v>11020.118</v>
      </c>
    </row>
    <row r="218" spans="2:5" x14ac:dyDescent="0.35">
      <c r="C218" s="1" t="s">
        <v>1518</v>
      </c>
      <c r="D218" s="1" t="s">
        <v>58</v>
      </c>
      <c r="E218" s="250">
        <v>11020.12</v>
      </c>
    </row>
    <row r="219" spans="2:5" x14ac:dyDescent="0.35">
      <c r="C219" s="1" t="s">
        <v>1517</v>
      </c>
      <c r="D219" s="1" t="s">
        <v>18</v>
      </c>
      <c r="E219" s="250">
        <v>11030.01</v>
      </c>
    </row>
    <row r="220" spans="2:5" x14ac:dyDescent="0.35">
      <c r="C220" s="1" t="s">
        <v>1516</v>
      </c>
      <c r="D220" s="1" t="s">
        <v>18</v>
      </c>
      <c r="E220" s="250">
        <v>11030.02</v>
      </c>
    </row>
    <row r="221" spans="2:5" x14ac:dyDescent="0.35">
      <c r="C221" s="1" t="s">
        <v>1515</v>
      </c>
      <c r="D221" s="1" t="s">
        <v>1391</v>
      </c>
      <c r="E221" s="250">
        <v>11110.01</v>
      </c>
    </row>
    <row r="222" spans="2:5" x14ac:dyDescent="0.35">
      <c r="C222" s="1" t="s">
        <v>1514</v>
      </c>
      <c r="D222" s="1" t="s">
        <v>18</v>
      </c>
      <c r="E222" s="250">
        <v>11130.01</v>
      </c>
    </row>
    <row r="223" spans="2:5" x14ac:dyDescent="0.35">
      <c r="C223" s="1" t="s">
        <v>1513</v>
      </c>
      <c r="D223" s="1" t="s">
        <v>18</v>
      </c>
      <c r="E223" s="250">
        <v>11130.02</v>
      </c>
    </row>
    <row r="224" spans="2:5" x14ac:dyDescent="0.35">
      <c r="C224" s="1" t="s">
        <v>1512</v>
      </c>
      <c r="D224" s="1" t="s">
        <v>20</v>
      </c>
      <c r="E224" s="250">
        <v>11130.03</v>
      </c>
    </row>
    <row r="225" spans="3:5" x14ac:dyDescent="0.35">
      <c r="C225" s="1" t="s">
        <v>1511</v>
      </c>
      <c r="D225" s="1" t="s">
        <v>18</v>
      </c>
      <c r="E225" s="250">
        <v>11130.04</v>
      </c>
    </row>
    <row r="226" spans="3:5" x14ac:dyDescent="0.35">
      <c r="C226" s="1" t="s">
        <v>1510</v>
      </c>
      <c r="D226" s="1" t="s">
        <v>1391</v>
      </c>
      <c r="E226" s="250">
        <v>11150.01</v>
      </c>
    </row>
    <row r="227" spans="3:5" x14ac:dyDescent="0.35">
      <c r="C227" s="1" t="s">
        <v>1509</v>
      </c>
      <c r="D227" s="1" t="s">
        <v>18</v>
      </c>
      <c r="E227" s="250">
        <v>11160</v>
      </c>
    </row>
    <row r="228" spans="3:5" x14ac:dyDescent="0.35">
      <c r="C228" s="1" t="s">
        <v>1508</v>
      </c>
      <c r="D228" s="1" t="s">
        <v>18</v>
      </c>
      <c r="E228" s="250">
        <v>11160.001</v>
      </c>
    </row>
    <row r="229" spans="3:5" x14ac:dyDescent="0.35">
      <c r="C229" s="1" t="s">
        <v>1507</v>
      </c>
      <c r="D229" s="1" t="s">
        <v>18</v>
      </c>
      <c r="E229" s="250">
        <v>11160.002</v>
      </c>
    </row>
    <row r="230" spans="3:5" x14ac:dyDescent="0.35">
      <c r="C230" s="1" t="s">
        <v>1506</v>
      </c>
      <c r="D230" s="1" t="s">
        <v>18</v>
      </c>
      <c r="E230" s="250">
        <v>11160.003000000001</v>
      </c>
    </row>
    <row r="231" spans="3:5" x14ac:dyDescent="0.35">
      <c r="C231" s="1" t="s">
        <v>1505</v>
      </c>
      <c r="D231" s="1" t="s">
        <v>18</v>
      </c>
      <c r="E231" s="250">
        <v>11160.004000000001</v>
      </c>
    </row>
    <row r="232" spans="3:5" x14ac:dyDescent="0.35">
      <c r="C232" s="1" t="s">
        <v>1504</v>
      </c>
      <c r="D232" s="1" t="s">
        <v>18</v>
      </c>
      <c r="E232" s="250">
        <v>11160.004999999999</v>
      </c>
    </row>
    <row r="233" spans="3:5" x14ac:dyDescent="0.35">
      <c r="C233" s="1" t="s">
        <v>1503</v>
      </c>
      <c r="D233" s="1" t="s">
        <v>18</v>
      </c>
      <c r="E233" s="250">
        <v>11160.005999999999</v>
      </c>
    </row>
    <row r="234" spans="3:5" x14ac:dyDescent="0.35">
      <c r="C234" s="1" t="s">
        <v>1502</v>
      </c>
      <c r="D234" s="1" t="s">
        <v>18</v>
      </c>
      <c r="E234" s="250">
        <v>11160.007</v>
      </c>
    </row>
    <row r="235" spans="3:5" x14ac:dyDescent="0.35">
      <c r="C235" s="1" t="s">
        <v>1501</v>
      </c>
      <c r="D235" s="1" t="s">
        <v>18</v>
      </c>
      <c r="E235" s="250">
        <v>11160.01</v>
      </c>
    </row>
    <row r="236" spans="3:5" x14ac:dyDescent="0.35">
      <c r="C236" s="1" t="s">
        <v>1500</v>
      </c>
      <c r="D236" s="1" t="s">
        <v>18</v>
      </c>
      <c r="E236" s="250">
        <v>11160.011</v>
      </c>
    </row>
    <row r="237" spans="3:5" x14ac:dyDescent="0.35">
      <c r="C237" s="1" t="s">
        <v>1499</v>
      </c>
      <c r="D237" s="1" t="s">
        <v>18</v>
      </c>
      <c r="E237" s="250">
        <v>11160.012000000001</v>
      </c>
    </row>
    <row r="238" spans="3:5" x14ac:dyDescent="0.35">
      <c r="C238" s="1" t="s">
        <v>1498</v>
      </c>
      <c r="D238" s="1" t="s">
        <v>18</v>
      </c>
      <c r="E238" s="250">
        <v>11160.014999999999</v>
      </c>
    </row>
    <row r="239" spans="3:5" x14ac:dyDescent="0.35">
      <c r="C239" s="1" t="s">
        <v>1497</v>
      </c>
      <c r="D239" s="1" t="s">
        <v>18</v>
      </c>
      <c r="E239" s="250">
        <v>11160.02</v>
      </c>
    </row>
    <row r="240" spans="3:5" x14ac:dyDescent="0.35">
      <c r="C240" s="1" t="s">
        <v>1496</v>
      </c>
      <c r="D240" s="1" t="s">
        <v>18</v>
      </c>
      <c r="E240" s="250">
        <v>11160.021000000001</v>
      </c>
    </row>
    <row r="241" spans="3:5" x14ac:dyDescent="0.35">
      <c r="C241" s="1" t="s">
        <v>1495</v>
      </c>
      <c r="D241" s="1" t="s">
        <v>18</v>
      </c>
      <c r="E241" s="250">
        <v>11160.022000000001</v>
      </c>
    </row>
    <row r="242" spans="3:5" x14ac:dyDescent="0.35">
      <c r="C242" s="1" t="s">
        <v>1494</v>
      </c>
      <c r="D242" s="1" t="s">
        <v>18</v>
      </c>
      <c r="E242" s="250">
        <v>11160.022999999999</v>
      </c>
    </row>
    <row r="243" spans="3:5" x14ac:dyDescent="0.35">
      <c r="C243" s="1" t="s">
        <v>1493</v>
      </c>
      <c r="D243" s="1" t="s">
        <v>18</v>
      </c>
      <c r="E243" s="250">
        <v>11160.025</v>
      </c>
    </row>
    <row r="244" spans="3:5" x14ac:dyDescent="0.35">
      <c r="C244" s="1" t="s">
        <v>1492</v>
      </c>
      <c r="D244" s="1" t="s">
        <v>19</v>
      </c>
      <c r="E244" s="250">
        <v>11160.03</v>
      </c>
    </row>
    <row r="245" spans="3:5" x14ac:dyDescent="0.35">
      <c r="C245" s="1" t="s">
        <v>1491</v>
      </c>
      <c r="D245" s="1" t="s">
        <v>18</v>
      </c>
      <c r="E245" s="250">
        <v>11160.04</v>
      </c>
    </row>
    <row r="246" spans="3:5" x14ac:dyDescent="0.35">
      <c r="C246" s="1" t="s">
        <v>1490</v>
      </c>
      <c r="D246" s="1" t="s">
        <v>18</v>
      </c>
      <c r="E246" s="250">
        <v>11160.040999999999</v>
      </c>
    </row>
    <row r="247" spans="3:5" x14ac:dyDescent="0.35">
      <c r="C247" s="1" t="s">
        <v>1489</v>
      </c>
      <c r="D247" s="1" t="s">
        <v>18</v>
      </c>
      <c r="E247" s="250">
        <v>11160.041999999999</v>
      </c>
    </row>
    <row r="248" spans="3:5" x14ac:dyDescent="0.35">
      <c r="C248" s="1" t="s">
        <v>1488</v>
      </c>
      <c r="D248" s="1" t="s">
        <v>18</v>
      </c>
      <c r="E248" s="250">
        <v>11160.043</v>
      </c>
    </row>
    <row r="249" spans="3:5" x14ac:dyDescent="0.35">
      <c r="C249" s="1" t="s">
        <v>1487</v>
      </c>
      <c r="D249" s="1" t="s">
        <v>18</v>
      </c>
      <c r="E249" s="250">
        <v>11160.044</v>
      </c>
    </row>
    <row r="250" spans="3:5" x14ac:dyDescent="0.35">
      <c r="C250" s="1" t="s">
        <v>1486</v>
      </c>
      <c r="D250" s="1" t="s">
        <v>18</v>
      </c>
      <c r="E250" s="250">
        <v>11160.045</v>
      </c>
    </row>
    <row r="251" spans="3:5" x14ac:dyDescent="0.35">
      <c r="C251" s="1" t="s">
        <v>1485</v>
      </c>
      <c r="D251" s="1" t="s">
        <v>18</v>
      </c>
      <c r="E251" s="250">
        <v>11160.046</v>
      </c>
    </row>
    <row r="252" spans="3:5" x14ac:dyDescent="0.35">
      <c r="C252" s="1" t="s">
        <v>1484</v>
      </c>
      <c r="D252" s="1" t="s">
        <v>18</v>
      </c>
      <c r="E252" s="250">
        <v>11160.047</v>
      </c>
    </row>
    <row r="253" spans="3:5" x14ac:dyDescent="0.35">
      <c r="C253" s="1" t="s">
        <v>1483</v>
      </c>
      <c r="D253" s="1" t="s">
        <v>18</v>
      </c>
      <c r="E253" s="250">
        <v>11160.08</v>
      </c>
    </row>
    <row r="254" spans="3:5" x14ac:dyDescent="0.35">
      <c r="C254" s="1" t="s">
        <v>1482</v>
      </c>
      <c r="D254" s="1" t="s">
        <v>18</v>
      </c>
      <c r="E254" s="250">
        <v>11160.99</v>
      </c>
    </row>
    <row r="255" spans="3:5" x14ac:dyDescent="0.35">
      <c r="C255" s="1" t="s">
        <v>1481</v>
      </c>
      <c r="D255" s="1" t="s">
        <v>1391</v>
      </c>
      <c r="E255" s="250">
        <v>11190.01</v>
      </c>
    </row>
    <row r="256" spans="3:5" x14ac:dyDescent="0.35">
      <c r="C256" s="1" t="s">
        <v>1480</v>
      </c>
      <c r="D256" s="1" t="s">
        <v>18</v>
      </c>
      <c r="E256" s="250">
        <v>11190.02</v>
      </c>
    </row>
    <row r="257" spans="3:5" x14ac:dyDescent="0.35">
      <c r="C257" s="1" t="s">
        <v>1479</v>
      </c>
      <c r="D257" s="1" t="s">
        <v>18</v>
      </c>
      <c r="E257" s="250">
        <v>11190.03</v>
      </c>
    </row>
    <row r="258" spans="3:5" x14ac:dyDescent="0.35">
      <c r="C258" s="1" t="s">
        <v>1478</v>
      </c>
      <c r="D258" s="1" t="s">
        <v>1477</v>
      </c>
      <c r="E258" s="250">
        <v>11190.04</v>
      </c>
    </row>
    <row r="259" spans="3:5" x14ac:dyDescent="0.35">
      <c r="C259" s="1" t="s">
        <v>1476</v>
      </c>
      <c r="D259" s="1" t="s">
        <v>18</v>
      </c>
      <c r="E259" s="250">
        <v>11190.05</v>
      </c>
    </row>
  </sheetData>
  <mergeCells count="9">
    <mergeCell ref="J5:K5"/>
    <mergeCell ref="J6:K6"/>
    <mergeCell ref="J7:K7"/>
    <mergeCell ref="A3:B3"/>
    <mergeCell ref="D3:G3"/>
    <mergeCell ref="J3:K3"/>
    <mergeCell ref="P3:Q3"/>
    <mergeCell ref="A4:B4"/>
    <mergeCell ref="J4:K4"/>
  </mergeCells>
  <dataValidations count="1">
    <dataValidation type="list" allowBlank="1" showInputMessage="1" showErrorMessage="1" sqref="C16:C190" xr:uid="{FFCEE06A-FED6-4741-9D2A-3789F75068B4}">
      <formula1>$C$205:$C207</formula1>
    </dataValidation>
  </dataValidations>
  <hyperlinks>
    <hyperlink ref="D3" r:id="rId1" display="datamateapp@gmail.com" xr:uid="{5B8165F2-40B7-4CC9-A1CD-09887D9761BC}"/>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52641" r:id="rId4" name="Button 1">
              <controlPr defaultSize="0" print="0" autoFill="0" autoPict="0" macro="SaveData">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752642" r:id="rId5" name="Button 2">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752643"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752644"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752645" r:id="rId8" name="Button 5">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752646" r:id="rId9" name="Button 6">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752647" r:id="rId10" name="Button 7">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752648" r:id="rId11" name="Button 8">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mc:AlternateContent xmlns:mc="http://schemas.openxmlformats.org/markup-compatibility/2006">
          <mc:Choice Requires="x14">
            <control shapeId="752649" r:id="rId12" name="Button 9">
              <controlPr defaultSize="0" print="0" autoFill="0" autoPict="0" macro="[0]!ExitSEC_111000">
                <anchor moveWithCells="1" sizeWithCells="1">
                  <from>
                    <xdr:col>16</xdr:col>
                    <xdr:colOff>0</xdr:colOff>
                    <xdr:row>0</xdr:row>
                    <xdr:rowOff>0</xdr:rowOff>
                  </from>
                  <to>
                    <xdr:col>16</xdr:col>
                    <xdr:colOff>1270000</xdr:colOff>
                    <xdr:row>2</xdr:row>
                    <xdr:rowOff>12700</xdr:rowOff>
                  </to>
                </anchor>
              </controlPr>
            </control>
          </mc:Choice>
        </mc:AlternateContent>
      </controls>
    </mc:Choice>
  </mc:AlternateContent>
</worksheet>
</file>

<file path=xl/worksheets/sheet1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9FCF82-4167-47B8-A87F-01D39F112D3A}">
  <sheetPr codeName="Sheet137"/>
  <dimension ref="A1:Q211"/>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COMMERCIAL EQUIPMENT</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11 20 00</v>
      </c>
      <c r="C10" s="24" t="str">
        <f>C206</f>
        <v>COMMERCIAL EQUIPMENT</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COMMERCIAL EQUIPMENT</v>
      </c>
      <c r="D12" s="31"/>
      <c r="E12" s="32"/>
      <c r="F12" s="34"/>
      <c r="G12" s="33"/>
      <c r="H12" s="34"/>
      <c r="I12" s="33"/>
      <c r="J12" s="34"/>
      <c r="K12" s="34"/>
      <c r="L12" s="34"/>
      <c r="M12" s="33"/>
      <c r="N12" s="34"/>
      <c r="O12" s="35"/>
      <c r="P12" s="31"/>
      <c r="Q12" s="35"/>
    </row>
    <row r="13" spans="1:17" x14ac:dyDescent="0.35">
      <c r="A13" s="1"/>
      <c r="B13" s="1"/>
      <c r="C13" s="1"/>
      <c r="D13" s="1"/>
      <c r="E13" s="1"/>
      <c r="F13" s="1"/>
      <c r="G13" s="1"/>
      <c r="H13" s="1"/>
      <c r="I13" s="1"/>
      <c r="J13" s="1"/>
      <c r="K13" s="1"/>
      <c r="L13" s="1"/>
      <c r="M13" s="1"/>
      <c r="N13" s="1"/>
      <c r="O13" s="1"/>
      <c r="P13" s="1"/>
      <c r="Q13" s="1"/>
    </row>
    <row r="14" spans="1:17" x14ac:dyDescent="0.35">
      <c r="A14" s="1"/>
      <c r="B14" s="1"/>
      <c r="C14" s="1"/>
      <c r="D14" s="1"/>
      <c r="E14" s="1"/>
      <c r="F14" s="1"/>
      <c r="G14" s="1"/>
      <c r="H14" s="1"/>
      <c r="I14" s="1"/>
      <c r="J14" s="1"/>
      <c r="K14" s="1"/>
      <c r="L14" s="1"/>
      <c r="M14" s="1"/>
      <c r="N14" s="1"/>
      <c r="O14" s="1"/>
      <c r="P14" s="1"/>
      <c r="Q14" s="1"/>
    </row>
    <row r="15" spans="1:17" x14ac:dyDescent="0.35">
      <c r="A15" s="1"/>
      <c r="B15" s="1"/>
      <c r="C15" s="1"/>
      <c r="D15" s="1"/>
      <c r="E15" s="1"/>
      <c r="F15" s="1"/>
      <c r="G15" s="1"/>
      <c r="H15" s="1"/>
      <c r="I15" s="1"/>
      <c r="J15" s="1"/>
      <c r="K15" s="1"/>
      <c r="L15" s="1"/>
      <c r="M15" s="1"/>
      <c r="N15" s="1"/>
      <c r="O15" s="1"/>
      <c r="P15" s="1"/>
      <c r="Q15" s="1"/>
    </row>
    <row r="16" spans="1:17" x14ac:dyDescent="0.35">
      <c r="A16" s="1"/>
      <c r="B16" s="1"/>
      <c r="C16" s="1"/>
      <c r="D16" s="1"/>
      <c r="E16" s="1"/>
      <c r="F16" s="1"/>
      <c r="G16" s="1"/>
      <c r="H16" s="1"/>
      <c r="I16" s="1"/>
      <c r="J16" s="1"/>
      <c r="K16" s="1"/>
      <c r="L16" s="1"/>
      <c r="M16" s="1"/>
      <c r="N16" s="1"/>
      <c r="O16" s="1"/>
      <c r="P16" s="1"/>
      <c r="Q16" s="1"/>
    </row>
    <row r="17" spans="1:17" x14ac:dyDescent="0.35">
      <c r="A17" s="1"/>
      <c r="B17" s="1"/>
      <c r="C17" s="1"/>
      <c r="D17" s="1"/>
      <c r="E17" s="1"/>
      <c r="F17" s="1"/>
      <c r="G17" s="1"/>
      <c r="H17" s="1"/>
      <c r="I17" s="1"/>
      <c r="J17" s="1"/>
      <c r="K17" s="1"/>
      <c r="L17" s="1"/>
      <c r="M17" s="1"/>
      <c r="N17" s="1"/>
      <c r="O17" s="1"/>
      <c r="P17" s="1"/>
      <c r="Q17" s="1"/>
    </row>
    <row r="18" spans="1:17" x14ac:dyDescent="0.35">
      <c r="A18" s="1"/>
      <c r="B18" s="1"/>
      <c r="C18" s="1"/>
      <c r="D18" s="1"/>
      <c r="E18" s="1"/>
      <c r="F18" s="1"/>
      <c r="G18" s="1"/>
      <c r="H18" s="1"/>
      <c r="I18" s="1"/>
      <c r="J18" s="1"/>
      <c r="K18" s="1"/>
      <c r="L18" s="1"/>
      <c r="M18" s="1"/>
      <c r="N18" s="1"/>
      <c r="O18" s="1"/>
      <c r="P18" s="1"/>
      <c r="Q18" s="1"/>
    </row>
    <row r="19" spans="1:17" x14ac:dyDescent="0.35">
      <c r="A19" s="1"/>
      <c r="B19" s="1"/>
      <c r="C19" s="1"/>
      <c r="D19" s="1"/>
      <c r="E19" s="1"/>
      <c r="F19" s="1"/>
      <c r="G19" s="1"/>
      <c r="H19" s="1"/>
      <c r="I19" s="1"/>
      <c r="J19" s="1"/>
      <c r="K19" s="1"/>
      <c r="L19" s="1"/>
      <c r="M19" s="1"/>
      <c r="N19" s="1"/>
      <c r="O19" s="1"/>
      <c r="P19" s="1"/>
      <c r="Q19" s="1"/>
    </row>
    <row r="20" spans="1:17" x14ac:dyDescent="0.35">
      <c r="A20" s="1"/>
      <c r="B20" s="1"/>
      <c r="C20" s="1"/>
      <c r="D20" s="1"/>
      <c r="E20" s="1"/>
      <c r="F20" s="1"/>
      <c r="G20" s="1"/>
      <c r="H20" s="1"/>
      <c r="I20" s="1"/>
      <c r="J20" s="1"/>
      <c r="K20" s="1"/>
      <c r="L20" s="1"/>
      <c r="M20" s="1"/>
      <c r="N20" s="1"/>
      <c r="O20" s="1"/>
      <c r="P20" s="1"/>
      <c r="Q20" s="1"/>
    </row>
    <row r="21" spans="1:17" x14ac:dyDescent="0.35">
      <c r="A21" s="1"/>
      <c r="B21" s="1"/>
      <c r="C21" s="1"/>
      <c r="D21" s="1"/>
      <c r="E21" s="1"/>
      <c r="F21" s="1"/>
      <c r="G21" s="1"/>
      <c r="H21" s="1"/>
      <c r="I21" s="1"/>
      <c r="J21" s="1"/>
      <c r="K21" s="1"/>
      <c r="L21" s="1"/>
      <c r="M21" s="1"/>
      <c r="N21" s="1"/>
      <c r="O21" s="1"/>
      <c r="P21" s="1"/>
      <c r="Q21" s="1"/>
    </row>
    <row r="22" spans="1:17" x14ac:dyDescent="0.35">
      <c r="A22" s="1"/>
      <c r="B22" s="1"/>
      <c r="C22" s="1"/>
      <c r="D22" s="1"/>
      <c r="E22" s="1"/>
      <c r="F22" s="1"/>
      <c r="G22" s="1"/>
      <c r="H22" s="1"/>
      <c r="I22" s="1"/>
      <c r="J22" s="1"/>
      <c r="K22" s="1"/>
      <c r="L22" s="1"/>
      <c r="M22" s="1"/>
      <c r="N22" s="1"/>
      <c r="O22" s="1"/>
      <c r="P22" s="1"/>
      <c r="Q22" s="1"/>
    </row>
    <row r="23" spans="1:17" x14ac:dyDescent="0.35">
      <c r="A23" s="1"/>
      <c r="B23" s="1"/>
      <c r="C23" s="1"/>
      <c r="D23" s="1"/>
      <c r="E23" s="1"/>
      <c r="F23" s="1"/>
      <c r="G23" s="1"/>
      <c r="H23" s="1"/>
      <c r="I23" s="1"/>
      <c r="J23" s="1"/>
      <c r="K23" s="1"/>
      <c r="L23" s="1"/>
      <c r="M23" s="1"/>
      <c r="N23" s="1"/>
      <c r="O23" s="1"/>
      <c r="P23" s="1"/>
      <c r="Q23" s="1"/>
    </row>
    <row r="24" spans="1:17" x14ac:dyDescent="0.35">
      <c r="A24" s="1"/>
      <c r="B24" s="1"/>
      <c r="C24" s="1"/>
      <c r="D24" s="1"/>
      <c r="E24" s="1"/>
      <c r="F24" s="1"/>
      <c r="G24" s="1"/>
      <c r="H24" s="1"/>
      <c r="I24" s="1"/>
      <c r="J24" s="1"/>
      <c r="K24" s="1"/>
      <c r="L24" s="1"/>
      <c r="M24" s="1"/>
      <c r="N24" s="1"/>
      <c r="O24" s="1"/>
      <c r="P24" s="1"/>
      <c r="Q24" s="1"/>
    </row>
    <row r="25" spans="1:17" x14ac:dyDescent="0.35">
      <c r="A25" s="1"/>
      <c r="B25" s="1"/>
      <c r="C25" s="1"/>
      <c r="D25" s="1"/>
      <c r="E25" s="1"/>
      <c r="F25" s="1"/>
      <c r="G25" s="1"/>
      <c r="H25" s="1"/>
      <c r="I25" s="1"/>
      <c r="J25" s="1"/>
      <c r="K25" s="1"/>
      <c r="L25" s="1"/>
      <c r="M25" s="1"/>
      <c r="N25" s="1"/>
      <c r="O25" s="1"/>
      <c r="P25" s="1"/>
      <c r="Q25" s="1"/>
    </row>
    <row r="26" spans="1:17" x14ac:dyDescent="0.35">
      <c r="A26" s="1"/>
      <c r="B26" s="1"/>
      <c r="C26" s="1"/>
      <c r="D26" s="1"/>
      <c r="E26" s="1"/>
      <c r="F26" s="1"/>
      <c r="G26" s="1"/>
      <c r="H26" s="1"/>
      <c r="I26" s="1"/>
      <c r="J26" s="1"/>
      <c r="K26" s="1"/>
      <c r="L26" s="1"/>
      <c r="M26" s="1"/>
      <c r="N26" s="1"/>
      <c r="O26" s="1"/>
      <c r="P26" s="1"/>
      <c r="Q26" s="1"/>
    </row>
    <row r="27" spans="1:17" x14ac:dyDescent="0.35">
      <c r="A27" s="1"/>
      <c r="B27" s="1"/>
      <c r="C27" s="1"/>
      <c r="D27" s="1"/>
      <c r="E27" s="1"/>
      <c r="F27" s="1"/>
      <c r="G27" s="1"/>
      <c r="H27" s="1"/>
      <c r="I27" s="1"/>
      <c r="J27" s="1"/>
      <c r="K27" s="1"/>
      <c r="L27" s="1"/>
      <c r="M27" s="1"/>
      <c r="N27" s="1"/>
      <c r="O27" s="1"/>
      <c r="P27" s="1"/>
      <c r="Q27" s="1"/>
    </row>
    <row r="28" spans="1:17" x14ac:dyDescent="0.35">
      <c r="A28" s="1"/>
      <c r="B28" s="1"/>
      <c r="C28" s="1"/>
      <c r="D28" s="1"/>
      <c r="E28" s="1"/>
      <c r="F28" s="1"/>
      <c r="G28" s="1"/>
      <c r="H28" s="1"/>
      <c r="I28" s="1"/>
      <c r="J28" s="1"/>
      <c r="K28" s="1"/>
      <c r="L28" s="1"/>
      <c r="M28" s="1"/>
      <c r="N28" s="1"/>
      <c r="O28" s="1"/>
      <c r="P28" s="1"/>
      <c r="Q28" s="1"/>
    </row>
    <row r="29" spans="1:17" x14ac:dyDescent="0.35">
      <c r="A29" s="1"/>
      <c r="B29" s="1"/>
      <c r="C29" s="1"/>
      <c r="D29" s="1"/>
      <c r="E29" s="1"/>
      <c r="F29" s="1"/>
      <c r="G29" s="1"/>
      <c r="H29" s="1"/>
      <c r="I29" s="1"/>
      <c r="J29" s="1"/>
      <c r="K29" s="1"/>
      <c r="L29" s="1"/>
      <c r="M29" s="1"/>
      <c r="N29" s="1"/>
      <c r="O29" s="1"/>
      <c r="P29" s="1"/>
      <c r="Q29" s="1"/>
    </row>
    <row r="30" spans="1:17" x14ac:dyDescent="0.35">
      <c r="A30" s="1"/>
      <c r="B30" s="1"/>
      <c r="C30" s="1"/>
      <c r="D30" s="1"/>
      <c r="E30" s="1"/>
      <c r="F30" s="1"/>
      <c r="G30" s="1"/>
      <c r="H30" s="1"/>
      <c r="I30" s="1"/>
      <c r="J30" s="1"/>
      <c r="K30" s="1"/>
      <c r="L30" s="1"/>
      <c r="M30" s="1"/>
      <c r="N30" s="1"/>
      <c r="O30" s="1"/>
      <c r="P30" s="1"/>
      <c r="Q30" s="1"/>
    </row>
    <row r="31" spans="1:17" x14ac:dyDescent="0.35">
      <c r="A31" s="1"/>
      <c r="B31" s="1"/>
      <c r="C31" s="1"/>
      <c r="D31" s="1"/>
      <c r="E31" s="1"/>
      <c r="F31" s="1"/>
      <c r="G31" s="1"/>
      <c r="H31" s="1"/>
      <c r="I31" s="1"/>
      <c r="J31" s="1"/>
      <c r="K31" s="1"/>
      <c r="L31" s="1"/>
      <c r="M31" s="1"/>
      <c r="N31" s="1"/>
      <c r="O31" s="1"/>
      <c r="P31" s="1"/>
      <c r="Q31" s="1"/>
    </row>
    <row r="32" spans="1:17" x14ac:dyDescent="0.35">
      <c r="A32" s="1"/>
      <c r="B32" s="1"/>
      <c r="C32" s="1"/>
      <c r="D32" s="1"/>
      <c r="E32" s="1"/>
      <c r="F32" s="1"/>
      <c r="G32" s="1"/>
      <c r="H32" s="1"/>
      <c r="I32" s="1"/>
      <c r="J32" s="1"/>
      <c r="K32" s="1"/>
      <c r="L32" s="1"/>
      <c r="M32" s="1"/>
      <c r="N32" s="1"/>
      <c r="O32" s="1"/>
      <c r="P32" s="1"/>
      <c r="Q32" s="1"/>
    </row>
    <row r="33" spans="1:17" x14ac:dyDescent="0.35">
      <c r="A33" s="1"/>
      <c r="B33" s="1"/>
      <c r="C33" s="1"/>
      <c r="D33" s="1"/>
      <c r="E33" s="1"/>
      <c r="F33" s="1"/>
      <c r="G33" s="1"/>
      <c r="H33" s="1"/>
      <c r="I33" s="1"/>
      <c r="J33" s="1"/>
      <c r="K33" s="1"/>
      <c r="L33" s="1"/>
      <c r="M33" s="1"/>
      <c r="N33" s="1"/>
      <c r="O33" s="1"/>
      <c r="P33" s="1"/>
      <c r="Q33" s="1"/>
    </row>
    <row r="34" spans="1:17" x14ac:dyDescent="0.35">
      <c r="A34" s="1"/>
      <c r="B34" s="1"/>
      <c r="C34" s="1"/>
      <c r="D34" s="1"/>
      <c r="E34" s="1"/>
      <c r="F34" s="1"/>
      <c r="G34" s="1"/>
      <c r="H34" s="1"/>
      <c r="I34" s="1"/>
      <c r="J34" s="1"/>
      <c r="K34" s="1"/>
      <c r="L34" s="1"/>
      <c r="M34" s="1"/>
      <c r="N34" s="1"/>
      <c r="O34" s="1"/>
      <c r="P34" s="1"/>
      <c r="Q34" s="1"/>
    </row>
    <row r="35" spans="1:17" x14ac:dyDescent="0.35">
      <c r="A35" s="1"/>
      <c r="B35" s="1"/>
      <c r="C35" s="1"/>
      <c r="D35" s="1"/>
      <c r="E35" s="1"/>
      <c r="F35" s="1"/>
      <c r="G35" s="1"/>
      <c r="H35" s="1"/>
      <c r="I35" s="1"/>
      <c r="J35" s="1"/>
      <c r="K35" s="1"/>
      <c r="L35" s="1"/>
      <c r="M35" s="1"/>
      <c r="N35" s="1"/>
      <c r="O35" s="1"/>
      <c r="P35" s="1"/>
      <c r="Q35" s="1"/>
    </row>
    <row r="36" spans="1:17" x14ac:dyDescent="0.35">
      <c r="A36" s="1"/>
      <c r="B36" s="1"/>
      <c r="C36" s="1"/>
      <c r="D36" s="1"/>
      <c r="E36" s="1"/>
      <c r="F36" s="1"/>
      <c r="G36" s="1"/>
      <c r="H36" s="1"/>
      <c r="I36" s="1"/>
      <c r="J36" s="1"/>
      <c r="K36" s="1"/>
      <c r="L36" s="1"/>
      <c r="M36" s="1"/>
      <c r="N36" s="1"/>
      <c r="O36" s="1"/>
      <c r="P36" s="1"/>
      <c r="Q36" s="1"/>
    </row>
    <row r="37" spans="1:17" x14ac:dyDescent="0.35">
      <c r="A37" s="1"/>
      <c r="B37" s="1"/>
      <c r="C37" s="1"/>
      <c r="D37" s="1"/>
      <c r="E37" s="1"/>
      <c r="F37" s="1"/>
      <c r="G37" s="1"/>
      <c r="H37" s="1"/>
      <c r="I37" s="1"/>
      <c r="J37" s="1"/>
      <c r="K37" s="1"/>
      <c r="L37" s="1"/>
      <c r="M37" s="1"/>
      <c r="N37" s="1"/>
      <c r="O37" s="1"/>
      <c r="P37" s="1"/>
      <c r="Q37" s="1"/>
    </row>
    <row r="38" spans="1:17" x14ac:dyDescent="0.35">
      <c r="A38" s="1"/>
      <c r="B38" s="1"/>
      <c r="C38" s="1"/>
      <c r="D38" s="1"/>
      <c r="E38" s="1"/>
      <c r="F38" s="1"/>
      <c r="G38" s="1"/>
      <c r="H38" s="1"/>
      <c r="I38" s="1"/>
      <c r="J38" s="1"/>
      <c r="K38" s="1"/>
      <c r="L38" s="1"/>
      <c r="M38" s="1"/>
      <c r="N38" s="1"/>
      <c r="O38" s="1"/>
      <c r="P38" s="1"/>
      <c r="Q38" s="1"/>
    </row>
    <row r="39" spans="1:17" x14ac:dyDescent="0.35">
      <c r="A39" s="1"/>
      <c r="B39" s="1"/>
      <c r="C39" s="1"/>
      <c r="D39" s="1"/>
      <c r="E39" s="1"/>
      <c r="F39" s="1"/>
      <c r="G39" s="1"/>
      <c r="H39" s="1"/>
      <c r="I39" s="1"/>
      <c r="J39" s="1"/>
      <c r="K39" s="1"/>
      <c r="L39" s="1"/>
      <c r="M39" s="1"/>
      <c r="N39" s="1"/>
      <c r="O39" s="1"/>
      <c r="P39" s="1"/>
      <c r="Q39" s="1"/>
    </row>
    <row r="40" spans="1:17" x14ac:dyDescent="0.35">
      <c r="A40" s="1"/>
      <c r="B40" s="1"/>
      <c r="C40" s="1"/>
      <c r="D40" s="1"/>
      <c r="E40" s="1"/>
      <c r="F40" s="1"/>
      <c r="G40" s="1"/>
      <c r="H40" s="1"/>
      <c r="I40" s="1"/>
      <c r="J40" s="1"/>
      <c r="K40" s="1"/>
      <c r="L40" s="1"/>
      <c r="M40" s="1"/>
      <c r="N40" s="1"/>
      <c r="O40" s="1"/>
      <c r="P40" s="1"/>
      <c r="Q40" s="1"/>
    </row>
    <row r="41" spans="1:17" x14ac:dyDescent="0.35">
      <c r="A41" s="1"/>
      <c r="B41" s="1"/>
      <c r="C41" s="1"/>
      <c r="D41" s="1"/>
      <c r="E41" s="1"/>
      <c r="F41" s="1"/>
      <c r="G41" s="1"/>
      <c r="H41" s="1"/>
      <c r="I41" s="1"/>
      <c r="J41" s="1"/>
      <c r="K41" s="1"/>
      <c r="L41" s="1"/>
      <c r="M41" s="1"/>
      <c r="N41" s="1"/>
      <c r="O41" s="1"/>
      <c r="P41" s="1"/>
      <c r="Q41" s="1"/>
    </row>
    <row r="42" spans="1:17" x14ac:dyDescent="0.35">
      <c r="A42" s="1"/>
      <c r="B42" s="1"/>
      <c r="C42" s="1"/>
      <c r="D42" s="1"/>
      <c r="E42" s="1"/>
      <c r="F42" s="1"/>
      <c r="G42" s="1"/>
      <c r="H42" s="1"/>
      <c r="I42" s="1"/>
      <c r="J42" s="1"/>
      <c r="K42" s="1"/>
      <c r="L42" s="1"/>
      <c r="M42" s="1"/>
      <c r="N42" s="1"/>
      <c r="O42" s="1"/>
      <c r="P42" s="1"/>
      <c r="Q42" s="1"/>
    </row>
    <row r="43" spans="1:17" x14ac:dyDescent="0.35">
      <c r="A43" s="1"/>
      <c r="B43" s="1"/>
      <c r="C43" s="1"/>
      <c r="D43" s="1"/>
      <c r="E43" s="1"/>
      <c r="F43" s="1"/>
      <c r="G43" s="1"/>
      <c r="H43" s="1"/>
      <c r="I43" s="1"/>
      <c r="J43" s="1"/>
      <c r="K43" s="1"/>
      <c r="L43" s="1"/>
      <c r="M43" s="1"/>
      <c r="N43" s="1"/>
      <c r="O43" s="1"/>
      <c r="P43" s="1"/>
      <c r="Q43" s="1"/>
    </row>
    <row r="44" spans="1:17" x14ac:dyDescent="0.35">
      <c r="A44" s="1"/>
      <c r="B44" s="1"/>
      <c r="C44" s="1"/>
      <c r="D44" s="1"/>
      <c r="E44" s="1"/>
      <c r="F44" s="1"/>
      <c r="G44" s="1"/>
      <c r="H44" s="1"/>
      <c r="I44" s="1"/>
      <c r="J44" s="1"/>
      <c r="K44" s="1"/>
      <c r="L44" s="1"/>
      <c r="M44" s="1"/>
      <c r="N44" s="1"/>
      <c r="O44" s="1"/>
      <c r="P44" s="1"/>
      <c r="Q44" s="1"/>
    </row>
    <row r="45" spans="1:17" x14ac:dyDescent="0.35">
      <c r="A45" s="1"/>
      <c r="B45" s="1"/>
      <c r="C45" s="1"/>
      <c r="D45" s="1"/>
      <c r="E45" s="1"/>
      <c r="F45" s="1"/>
      <c r="G45" s="1"/>
      <c r="H45" s="1"/>
      <c r="I45" s="1"/>
      <c r="J45" s="1"/>
      <c r="K45" s="1"/>
      <c r="L45" s="1"/>
      <c r="M45" s="1"/>
      <c r="N45" s="1"/>
      <c r="O45" s="1"/>
      <c r="P45" s="1"/>
      <c r="Q45" s="1"/>
    </row>
    <row r="46" spans="1:17" x14ac:dyDescent="0.35">
      <c r="A46" s="1"/>
      <c r="B46" s="1"/>
      <c r="C46" s="1"/>
      <c r="D46" s="1"/>
      <c r="E46" s="1"/>
      <c r="F46" s="1"/>
      <c r="G46" s="1"/>
      <c r="H46" s="1"/>
      <c r="I46" s="1"/>
      <c r="J46" s="1"/>
      <c r="K46" s="1"/>
      <c r="L46" s="1"/>
      <c r="M46" s="1"/>
      <c r="N46" s="1"/>
      <c r="O46" s="1"/>
      <c r="P46" s="1"/>
      <c r="Q46" s="1"/>
    </row>
    <row r="47" spans="1:17" x14ac:dyDescent="0.35">
      <c r="A47" s="1"/>
      <c r="B47" s="1"/>
      <c r="C47" s="1"/>
      <c r="D47" s="1"/>
      <c r="E47" s="1"/>
      <c r="F47" s="1"/>
      <c r="G47" s="1"/>
      <c r="H47" s="1"/>
      <c r="I47" s="1"/>
      <c r="J47" s="1"/>
      <c r="K47" s="1"/>
      <c r="L47" s="1"/>
      <c r="M47" s="1"/>
      <c r="N47" s="1"/>
      <c r="O47" s="1"/>
      <c r="P47" s="1"/>
      <c r="Q47" s="1"/>
    </row>
    <row r="48" spans="1:17" x14ac:dyDescent="0.35">
      <c r="A48" s="1"/>
      <c r="B48" s="1"/>
      <c r="C48" s="1"/>
      <c r="D48" s="1"/>
      <c r="E48" s="1"/>
      <c r="F48" s="1"/>
      <c r="G48" s="1"/>
      <c r="H48" s="1"/>
      <c r="I48" s="1"/>
      <c r="J48" s="1"/>
      <c r="K48" s="1"/>
      <c r="L48" s="1"/>
      <c r="M48" s="1"/>
      <c r="N48" s="1"/>
      <c r="O48" s="1"/>
      <c r="P48" s="1"/>
      <c r="Q48" s="1"/>
    </row>
    <row r="49" spans="1:17" x14ac:dyDescent="0.35">
      <c r="A49" s="1"/>
      <c r="B49" s="1"/>
      <c r="C49" s="1"/>
      <c r="D49" s="1"/>
      <c r="E49" s="1"/>
      <c r="F49" s="1"/>
      <c r="G49" s="1"/>
      <c r="H49" s="1"/>
      <c r="I49" s="1"/>
      <c r="J49" s="1"/>
      <c r="K49" s="1"/>
      <c r="L49" s="1"/>
      <c r="M49" s="1"/>
      <c r="N49" s="1"/>
      <c r="O49" s="1"/>
      <c r="P49" s="1"/>
      <c r="Q49" s="1"/>
    </row>
    <row r="50" spans="1:17" x14ac:dyDescent="0.35">
      <c r="A50" s="1"/>
      <c r="B50" s="1"/>
      <c r="C50" s="1"/>
      <c r="D50" s="1"/>
      <c r="E50" s="1"/>
      <c r="F50" s="1"/>
      <c r="G50" s="1"/>
      <c r="H50" s="1"/>
      <c r="I50" s="1"/>
      <c r="J50" s="1"/>
      <c r="K50" s="1"/>
      <c r="L50" s="1"/>
      <c r="M50" s="1"/>
      <c r="N50" s="1"/>
      <c r="O50" s="1"/>
      <c r="P50" s="1"/>
      <c r="Q50" s="1"/>
    </row>
    <row r="51" spans="1:17" x14ac:dyDescent="0.35">
      <c r="A51" s="1"/>
      <c r="B51" s="1"/>
      <c r="C51" s="1"/>
      <c r="D51" s="1"/>
      <c r="E51" s="1"/>
      <c r="F51" s="1"/>
      <c r="G51" s="1"/>
      <c r="H51" s="1"/>
      <c r="I51" s="1"/>
      <c r="J51" s="1"/>
      <c r="K51" s="1"/>
      <c r="L51" s="1"/>
      <c r="M51" s="1"/>
      <c r="N51" s="1"/>
      <c r="O51" s="1"/>
      <c r="P51" s="1"/>
      <c r="Q51" s="1"/>
    </row>
    <row r="52" spans="1:17" x14ac:dyDescent="0.35">
      <c r="A52" s="1"/>
      <c r="B52" s="1"/>
      <c r="C52" s="1"/>
      <c r="D52" s="1"/>
      <c r="E52" s="1"/>
      <c r="F52" s="1"/>
      <c r="G52" s="1"/>
      <c r="H52" s="1"/>
      <c r="I52" s="1"/>
      <c r="J52" s="1"/>
      <c r="K52" s="1"/>
      <c r="L52" s="1"/>
      <c r="M52" s="1"/>
      <c r="N52" s="1"/>
      <c r="O52" s="1"/>
      <c r="P52" s="1"/>
      <c r="Q52" s="1"/>
    </row>
    <row r="53" spans="1:17" x14ac:dyDescent="0.35">
      <c r="A53" s="1"/>
      <c r="B53" s="1"/>
      <c r="C53" s="1"/>
      <c r="D53" s="1"/>
      <c r="E53" s="1"/>
      <c r="F53" s="1"/>
      <c r="G53" s="1"/>
      <c r="H53" s="1"/>
      <c r="I53" s="1"/>
      <c r="J53" s="1"/>
      <c r="K53" s="1"/>
      <c r="L53" s="1"/>
      <c r="M53" s="1"/>
      <c r="N53" s="1"/>
      <c r="O53" s="1"/>
      <c r="P53" s="1"/>
      <c r="Q53" s="1"/>
    </row>
    <row r="54" spans="1:17" x14ac:dyDescent="0.35">
      <c r="A54" s="1"/>
      <c r="B54" s="1"/>
      <c r="C54" s="1"/>
      <c r="D54" s="1"/>
      <c r="E54" s="1"/>
      <c r="F54" s="1"/>
      <c r="G54" s="1"/>
      <c r="H54" s="1"/>
      <c r="I54" s="1"/>
      <c r="J54" s="1"/>
      <c r="K54" s="1"/>
      <c r="L54" s="1"/>
      <c r="M54" s="1"/>
      <c r="N54" s="1"/>
      <c r="O54" s="1"/>
      <c r="P54" s="1"/>
      <c r="Q54" s="1"/>
    </row>
    <row r="55" spans="1:17" x14ac:dyDescent="0.35">
      <c r="A55" s="1"/>
      <c r="B55" s="1"/>
      <c r="C55" s="1"/>
      <c r="D55" s="1"/>
      <c r="E55" s="1"/>
      <c r="F55" s="1"/>
      <c r="G55" s="1"/>
      <c r="H55" s="1"/>
      <c r="I55" s="1"/>
      <c r="J55" s="1"/>
      <c r="K55" s="1"/>
      <c r="L55" s="1"/>
      <c r="M55" s="1"/>
      <c r="N55" s="1"/>
      <c r="O55" s="1"/>
      <c r="P55" s="1"/>
      <c r="Q55" s="1"/>
    </row>
    <row r="56" spans="1:17" x14ac:dyDescent="0.35">
      <c r="A56" s="1"/>
      <c r="B56" s="1"/>
      <c r="C56" s="1"/>
      <c r="D56" s="1"/>
      <c r="E56" s="1"/>
      <c r="F56" s="1"/>
      <c r="G56" s="1"/>
      <c r="H56" s="1"/>
      <c r="I56" s="1"/>
      <c r="J56" s="1"/>
      <c r="K56" s="1"/>
      <c r="L56" s="1"/>
      <c r="M56" s="1"/>
      <c r="N56" s="1"/>
      <c r="O56" s="1"/>
      <c r="P56" s="1"/>
      <c r="Q56" s="1"/>
    </row>
    <row r="57" spans="1:17" x14ac:dyDescent="0.35">
      <c r="A57" s="1"/>
      <c r="B57" s="1"/>
      <c r="C57" s="1"/>
      <c r="D57" s="1"/>
      <c r="E57" s="1"/>
      <c r="F57" s="1"/>
      <c r="G57" s="1"/>
      <c r="H57" s="1"/>
      <c r="I57" s="1"/>
      <c r="J57" s="1"/>
      <c r="K57" s="1"/>
      <c r="L57" s="1"/>
      <c r="M57" s="1"/>
      <c r="N57" s="1"/>
      <c r="O57" s="1"/>
      <c r="P57" s="1"/>
      <c r="Q57" s="1"/>
    </row>
    <row r="58" spans="1:17" x14ac:dyDescent="0.35">
      <c r="A58" s="1"/>
      <c r="B58" s="1"/>
      <c r="C58" s="1"/>
      <c r="D58" s="1"/>
      <c r="E58" s="1"/>
      <c r="F58" s="1"/>
      <c r="G58" s="1"/>
      <c r="H58" s="1"/>
      <c r="I58" s="1"/>
      <c r="J58" s="1"/>
      <c r="K58" s="1"/>
      <c r="L58" s="1"/>
      <c r="M58" s="1"/>
      <c r="N58" s="1"/>
      <c r="O58" s="1"/>
      <c r="P58" s="1"/>
      <c r="Q58" s="1"/>
    </row>
    <row r="59" spans="1:17" x14ac:dyDescent="0.35">
      <c r="A59" s="1"/>
      <c r="B59" s="1"/>
      <c r="C59" s="1"/>
      <c r="D59" s="1"/>
      <c r="E59" s="1"/>
      <c r="F59" s="1"/>
      <c r="G59" s="1"/>
      <c r="H59" s="1"/>
      <c r="I59" s="1"/>
      <c r="J59" s="1"/>
      <c r="K59" s="1"/>
      <c r="L59" s="1"/>
      <c r="M59" s="1"/>
      <c r="N59" s="1"/>
      <c r="O59" s="1"/>
      <c r="P59" s="1"/>
      <c r="Q59" s="1"/>
    </row>
    <row r="60" spans="1:17" x14ac:dyDescent="0.35">
      <c r="A60" s="1"/>
      <c r="B60" s="1"/>
      <c r="C60" s="1"/>
      <c r="D60" s="1"/>
      <c r="E60" s="1"/>
      <c r="F60" s="1"/>
      <c r="G60" s="1"/>
      <c r="H60" s="1"/>
      <c r="I60" s="1"/>
      <c r="J60" s="1"/>
      <c r="K60" s="1"/>
      <c r="L60" s="1"/>
      <c r="M60" s="1"/>
      <c r="N60" s="1"/>
      <c r="O60" s="1"/>
      <c r="P60" s="1"/>
      <c r="Q60" s="1"/>
    </row>
    <row r="61" spans="1:17" x14ac:dyDescent="0.35">
      <c r="A61" s="1"/>
      <c r="B61" s="1"/>
      <c r="C61" s="1"/>
      <c r="D61" s="1"/>
      <c r="E61" s="1"/>
      <c r="F61" s="1"/>
      <c r="G61" s="1"/>
      <c r="H61" s="1"/>
      <c r="I61" s="1"/>
      <c r="J61" s="1"/>
      <c r="K61" s="1"/>
      <c r="L61" s="1"/>
      <c r="M61" s="1"/>
      <c r="N61" s="1"/>
      <c r="O61" s="1"/>
      <c r="P61" s="1"/>
      <c r="Q61" s="1"/>
    </row>
    <row r="62" spans="1:17" x14ac:dyDescent="0.35">
      <c r="A62" s="1"/>
      <c r="B62" s="1"/>
      <c r="C62" s="1"/>
      <c r="D62" s="1"/>
      <c r="E62" s="1"/>
      <c r="F62" s="1"/>
      <c r="G62" s="1"/>
      <c r="H62" s="1"/>
      <c r="I62" s="1"/>
      <c r="J62" s="1"/>
      <c r="K62" s="1"/>
      <c r="L62" s="1"/>
      <c r="M62" s="1"/>
      <c r="N62" s="1"/>
      <c r="O62" s="1"/>
      <c r="P62" s="1"/>
      <c r="Q62" s="1"/>
    </row>
    <row r="63" spans="1:17" x14ac:dyDescent="0.35">
      <c r="A63" s="1"/>
      <c r="B63" s="1"/>
      <c r="C63" s="1"/>
      <c r="D63" s="1"/>
      <c r="E63" s="1"/>
      <c r="F63" s="1"/>
      <c r="G63" s="1"/>
      <c r="H63" s="1"/>
      <c r="I63" s="1"/>
      <c r="J63" s="1"/>
      <c r="K63" s="1"/>
      <c r="L63" s="1"/>
      <c r="M63" s="1"/>
      <c r="N63" s="1"/>
      <c r="O63" s="1"/>
      <c r="P63" s="1"/>
      <c r="Q63" s="1"/>
    </row>
    <row r="64" spans="1:17" x14ac:dyDescent="0.35">
      <c r="A64" s="1"/>
      <c r="B64" s="1"/>
      <c r="C64" s="1"/>
      <c r="D64" s="1"/>
      <c r="E64" s="1"/>
      <c r="F64" s="1"/>
      <c r="G64" s="1"/>
      <c r="H64" s="1"/>
      <c r="I64" s="1"/>
      <c r="J64" s="1"/>
      <c r="K64" s="1"/>
      <c r="L64" s="1"/>
      <c r="M64" s="1"/>
      <c r="N64" s="1"/>
      <c r="O64" s="1"/>
      <c r="P64" s="1"/>
      <c r="Q64" s="1"/>
    </row>
    <row r="65" spans="1:17" x14ac:dyDescent="0.35">
      <c r="A65" s="1"/>
      <c r="B65" s="1"/>
      <c r="C65" s="1"/>
      <c r="D65" s="1"/>
      <c r="E65" s="1"/>
      <c r="F65" s="1"/>
      <c r="G65" s="1"/>
      <c r="H65" s="1"/>
      <c r="I65" s="1"/>
      <c r="J65" s="1"/>
      <c r="K65" s="1"/>
      <c r="L65" s="1"/>
      <c r="M65" s="1"/>
      <c r="N65" s="1"/>
      <c r="O65" s="1"/>
      <c r="P65" s="1"/>
      <c r="Q65" s="1"/>
    </row>
    <row r="66" spans="1:17" x14ac:dyDescent="0.35">
      <c r="A66" s="1"/>
      <c r="B66" s="1"/>
      <c r="C66" s="1"/>
      <c r="D66" s="1"/>
      <c r="E66" s="1"/>
      <c r="F66" s="1"/>
      <c r="G66" s="1"/>
      <c r="H66" s="1"/>
      <c r="I66" s="1"/>
      <c r="J66" s="1"/>
      <c r="K66" s="1"/>
      <c r="L66" s="1"/>
      <c r="M66" s="1"/>
      <c r="N66" s="1"/>
      <c r="O66" s="1"/>
      <c r="P66" s="1"/>
      <c r="Q66" s="1"/>
    </row>
    <row r="67" spans="1:17" x14ac:dyDescent="0.35">
      <c r="A67" s="1"/>
      <c r="B67" s="1"/>
      <c r="C67" s="1"/>
      <c r="D67" s="1"/>
      <c r="E67" s="1"/>
      <c r="F67" s="1"/>
      <c r="G67" s="1"/>
      <c r="H67" s="1"/>
      <c r="I67" s="1"/>
      <c r="J67" s="1"/>
      <c r="K67" s="1"/>
      <c r="L67" s="1"/>
      <c r="M67" s="1"/>
      <c r="N67" s="1"/>
      <c r="O67" s="1"/>
      <c r="P67" s="1"/>
      <c r="Q67" s="1"/>
    </row>
    <row r="68" spans="1:17" x14ac:dyDescent="0.35">
      <c r="A68" s="1"/>
      <c r="B68" s="1"/>
      <c r="C68" s="1"/>
      <c r="D68" s="1"/>
      <c r="E68" s="1"/>
      <c r="F68" s="1"/>
      <c r="G68" s="1"/>
      <c r="H68" s="1"/>
      <c r="I68" s="1"/>
      <c r="J68" s="1"/>
      <c r="K68" s="1"/>
      <c r="L68" s="1"/>
      <c r="M68" s="1"/>
      <c r="N68" s="1"/>
      <c r="O68" s="1"/>
      <c r="P68" s="1"/>
      <c r="Q68" s="1"/>
    </row>
    <row r="69" spans="1:17" x14ac:dyDescent="0.35">
      <c r="A69" s="1"/>
      <c r="B69" s="1"/>
      <c r="C69" s="1"/>
      <c r="D69" s="1"/>
      <c r="E69" s="1"/>
      <c r="F69" s="1"/>
      <c r="G69" s="1"/>
      <c r="H69" s="1"/>
      <c r="I69" s="1"/>
      <c r="J69" s="1"/>
      <c r="K69" s="1"/>
      <c r="L69" s="1"/>
      <c r="M69" s="1"/>
      <c r="N69" s="1"/>
      <c r="O69" s="1"/>
      <c r="P69" s="1"/>
      <c r="Q69" s="1"/>
    </row>
    <row r="70" spans="1:17" x14ac:dyDescent="0.35">
      <c r="A70" s="1"/>
      <c r="B70" s="1"/>
      <c r="C70" s="1"/>
      <c r="D70" s="1"/>
      <c r="E70" s="1"/>
      <c r="F70" s="1"/>
      <c r="G70" s="1"/>
      <c r="H70" s="1"/>
      <c r="I70" s="1"/>
      <c r="J70" s="1"/>
      <c r="K70" s="1"/>
      <c r="L70" s="1"/>
      <c r="M70" s="1"/>
      <c r="N70" s="1"/>
      <c r="O70" s="1"/>
      <c r="P70" s="1"/>
      <c r="Q70" s="1"/>
    </row>
    <row r="71" spans="1:17" x14ac:dyDescent="0.35">
      <c r="A71" s="1"/>
      <c r="B71" s="1"/>
      <c r="C71" s="1"/>
      <c r="D71" s="1"/>
      <c r="E71" s="1"/>
      <c r="F71" s="1"/>
      <c r="G71" s="1"/>
      <c r="H71" s="1"/>
      <c r="I71" s="1"/>
      <c r="J71" s="1"/>
      <c r="K71" s="1"/>
      <c r="L71" s="1"/>
      <c r="M71" s="1"/>
      <c r="N71" s="1"/>
      <c r="O71" s="1"/>
      <c r="P71" s="1"/>
      <c r="Q71" s="1"/>
    </row>
    <row r="72" spans="1:17" x14ac:dyDescent="0.35">
      <c r="A72" s="1"/>
      <c r="B72" s="1"/>
      <c r="C72" s="1"/>
      <c r="D72" s="1"/>
      <c r="E72" s="1"/>
      <c r="F72" s="1"/>
      <c r="G72" s="1"/>
      <c r="H72" s="1"/>
      <c r="I72" s="1"/>
      <c r="J72" s="1"/>
      <c r="K72" s="1"/>
      <c r="L72" s="1"/>
      <c r="M72" s="1"/>
      <c r="N72" s="1"/>
      <c r="O72" s="1"/>
      <c r="P72" s="1"/>
      <c r="Q72" s="1"/>
    </row>
    <row r="73" spans="1:17" x14ac:dyDescent="0.35">
      <c r="A73" s="1"/>
      <c r="B73" s="1"/>
      <c r="C73" s="1"/>
      <c r="D73" s="1"/>
      <c r="E73" s="1"/>
      <c r="F73" s="1"/>
      <c r="G73" s="1"/>
      <c r="H73" s="1"/>
      <c r="I73" s="1"/>
      <c r="J73" s="1"/>
      <c r="K73" s="1"/>
      <c r="L73" s="1"/>
      <c r="M73" s="1"/>
      <c r="N73" s="1"/>
      <c r="O73" s="1"/>
      <c r="P73" s="1"/>
      <c r="Q73" s="1"/>
    </row>
    <row r="74" spans="1:17" x14ac:dyDescent="0.35">
      <c r="A74" s="1"/>
      <c r="B74" s="1"/>
      <c r="C74" s="1"/>
      <c r="D74" s="1"/>
      <c r="E74" s="1"/>
      <c r="F74" s="1"/>
      <c r="G74" s="1"/>
      <c r="H74" s="1"/>
      <c r="I74" s="1"/>
      <c r="J74" s="1"/>
      <c r="K74" s="1"/>
      <c r="L74" s="1"/>
      <c r="M74" s="1"/>
      <c r="N74" s="1"/>
      <c r="O74" s="1"/>
      <c r="P74" s="1"/>
      <c r="Q74" s="1"/>
    </row>
    <row r="75" spans="1:17" x14ac:dyDescent="0.35">
      <c r="A75" s="1"/>
      <c r="B75" s="1"/>
      <c r="C75" s="1"/>
      <c r="D75" s="1"/>
      <c r="E75" s="1"/>
      <c r="F75" s="1"/>
      <c r="G75" s="1"/>
      <c r="H75" s="1"/>
      <c r="I75" s="1"/>
      <c r="J75" s="1"/>
      <c r="K75" s="1"/>
      <c r="L75" s="1"/>
      <c r="M75" s="1"/>
      <c r="N75" s="1"/>
      <c r="O75" s="1"/>
      <c r="P75" s="1"/>
      <c r="Q75" s="1"/>
    </row>
    <row r="76" spans="1:17" x14ac:dyDescent="0.35">
      <c r="A76" s="1"/>
      <c r="B76" s="1"/>
      <c r="C76" s="1"/>
      <c r="D76" s="1"/>
      <c r="E76" s="1"/>
      <c r="F76" s="1"/>
      <c r="G76" s="1"/>
      <c r="H76" s="1"/>
      <c r="I76" s="1"/>
      <c r="J76" s="1"/>
      <c r="K76" s="1"/>
      <c r="L76" s="1"/>
      <c r="M76" s="1"/>
      <c r="N76" s="1"/>
      <c r="O76" s="1"/>
      <c r="P76" s="1"/>
      <c r="Q76" s="1"/>
    </row>
    <row r="77" spans="1:17" x14ac:dyDescent="0.35">
      <c r="A77" s="1"/>
      <c r="B77" s="1"/>
      <c r="C77" s="1"/>
      <c r="D77" s="1"/>
      <c r="E77" s="1"/>
      <c r="F77" s="1"/>
      <c r="G77" s="1"/>
      <c r="H77" s="1"/>
      <c r="I77" s="1"/>
      <c r="J77" s="1"/>
      <c r="K77" s="1"/>
      <c r="L77" s="1"/>
      <c r="M77" s="1"/>
      <c r="N77" s="1"/>
      <c r="O77" s="1"/>
      <c r="P77" s="1"/>
      <c r="Q77" s="1"/>
    </row>
    <row r="78" spans="1:17" x14ac:dyDescent="0.35">
      <c r="A78" s="1"/>
      <c r="B78" s="1"/>
      <c r="C78" s="1"/>
      <c r="D78" s="1"/>
      <c r="E78" s="1"/>
      <c r="F78" s="1"/>
      <c r="G78" s="1"/>
      <c r="H78" s="1"/>
      <c r="I78" s="1"/>
      <c r="J78" s="1"/>
      <c r="K78" s="1"/>
      <c r="L78" s="1"/>
      <c r="M78" s="1"/>
      <c r="N78" s="1"/>
      <c r="O78" s="1"/>
      <c r="P78" s="1"/>
      <c r="Q78" s="1"/>
    </row>
    <row r="79" spans="1:17" x14ac:dyDescent="0.35">
      <c r="A79" s="1"/>
      <c r="B79" s="1"/>
      <c r="C79" s="1"/>
      <c r="D79" s="1"/>
      <c r="E79" s="1"/>
      <c r="F79" s="1"/>
      <c r="G79" s="1"/>
      <c r="H79" s="1"/>
      <c r="I79" s="1"/>
      <c r="J79" s="1"/>
      <c r="K79" s="1"/>
      <c r="L79" s="1"/>
      <c r="M79" s="1"/>
      <c r="N79" s="1"/>
      <c r="O79" s="1"/>
      <c r="P79" s="1"/>
      <c r="Q79" s="1"/>
    </row>
    <row r="80" spans="1:17" x14ac:dyDescent="0.35">
      <c r="A80" s="1"/>
      <c r="B80" s="1"/>
      <c r="C80" s="1"/>
      <c r="D80" s="1"/>
      <c r="E80" s="1"/>
      <c r="F80" s="1"/>
      <c r="G80" s="1"/>
      <c r="H80" s="1"/>
      <c r="I80" s="1"/>
      <c r="J80" s="1"/>
      <c r="K80" s="1"/>
      <c r="L80" s="1"/>
      <c r="M80" s="1"/>
      <c r="N80" s="1"/>
      <c r="O80" s="1"/>
      <c r="P80" s="1"/>
      <c r="Q80" s="1"/>
    </row>
    <row r="81" spans="1:17" x14ac:dyDescent="0.35">
      <c r="A81" s="1"/>
      <c r="B81" s="1"/>
      <c r="C81" s="1"/>
      <c r="D81" s="1"/>
      <c r="E81" s="1"/>
      <c r="F81" s="1"/>
      <c r="G81" s="1"/>
      <c r="H81" s="1"/>
      <c r="I81" s="1"/>
      <c r="J81" s="1"/>
      <c r="K81" s="1"/>
      <c r="L81" s="1"/>
      <c r="M81" s="1"/>
      <c r="N81" s="1"/>
      <c r="O81" s="1"/>
      <c r="P81" s="1"/>
      <c r="Q81" s="1"/>
    </row>
    <row r="82" spans="1:17" x14ac:dyDescent="0.35">
      <c r="A82" s="1"/>
      <c r="B82" s="1"/>
      <c r="C82" s="1"/>
      <c r="D82" s="1"/>
      <c r="E82" s="1"/>
      <c r="F82" s="1"/>
      <c r="G82" s="1"/>
      <c r="H82" s="1"/>
      <c r="I82" s="1"/>
      <c r="J82" s="1"/>
      <c r="K82" s="1"/>
      <c r="L82" s="1"/>
      <c r="M82" s="1"/>
      <c r="N82" s="1"/>
      <c r="O82" s="1"/>
      <c r="P82" s="1"/>
      <c r="Q82" s="1"/>
    </row>
    <row r="83" spans="1:17" x14ac:dyDescent="0.35">
      <c r="A83" s="1"/>
      <c r="B83" s="1"/>
      <c r="C83" s="1"/>
      <c r="D83" s="1"/>
      <c r="E83" s="1"/>
      <c r="F83" s="1"/>
      <c r="G83" s="1"/>
      <c r="H83" s="1"/>
      <c r="I83" s="1"/>
      <c r="J83" s="1"/>
      <c r="K83" s="1"/>
      <c r="L83" s="1"/>
      <c r="M83" s="1"/>
      <c r="N83" s="1"/>
      <c r="O83" s="1"/>
      <c r="P83" s="1"/>
      <c r="Q83" s="1"/>
    </row>
    <row r="84" spans="1:17" x14ac:dyDescent="0.35">
      <c r="A84" s="1"/>
      <c r="B84" s="1"/>
      <c r="C84" s="1"/>
      <c r="D84" s="1"/>
      <c r="E84" s="1"/>
      <c r="F84" s="1"/>
      <c r="G84" s="1"/>
      <c r="H84" s="1"/>
      <c r="I84" s="1"/>
      <c r="J84" s="1"/>
      <c r="K84" s="1"/>
      <c r="L84" s="1"/>
      <c r="M84" s="1"/>
      <c r="N84" s="1"/>
      <c r="O84" s="1"/>
      <c r="P84" s="1"/>
      <c r="Q84" s="1"/>
    </row>
    <row r="85" spans="1:17" x14ac:dyDescent="0.35">
      <c r="A85" s="1"/>
      <c r="B85" s="1"/>
      <c r="C85" s="1"/>
      <c r="D85" s="1"/>
      <c r="E85" s="1"/>
      <c r="F85" s="1"/>
      <c r="G85" s="1"/>
      <c r="H85" s="1"/>
      <c r="I85" s="1"/>
      <c r="J85" s="1"/>
      <c r="K85" s="1"/>
      <c r="L85" s="1"/>
      <c r="M85" s="1"/>
      <c r="N85" s="1"/>
      <c r="O85" s="1"/>
      <c r="P85" s="1"/>
      <c r="Q85" s="1"/>
    </row>
    <row r="86" spans="1:17" x14ac:dyDescent="0.35">
      <c r="A86" s="1"/>
      <c r="B86" s="1"/>
      <c r="C86" s="1"/>
      <c r="D86" s="1"/>
      <c r="E86" s="1"/>
      <c r="F86" s="1"/>
      <c r="G86" s="1"/>
      <c r="H86" s="1"/>
      <c r="I86" s="1"/>
      <c r="J86" s="1"/>
      <c r="K86" s="1"/>
      <c r="L86" s="1"/>
      <c r="M86" s="1"/>
      <c r="N86" s="1"/>
      <c r="O86" s="1"/>
      <c r="P86" s="1"/>
      <c r="Q86" s="1"/>
    </row>
    <row r="87" spans="1:17" x14ac:dyDescent="0.35">
      <c r="A87" s="1"/>
      <c r="B87" s="1"/>
      <c r="C87" s="1"/>
      <c r="D87" s="1"/>
      <c r="E87" s="1"/>
      <c r="F87" s="1"/>
      <c r="G87" s="1"/>
      <c r="H87" s="1"/>
      <c r="I87" s="1"/>
      <c r="J87" s="1"/>
      <c r="K87" s="1"/>
      <c r="L87" s="1"/>
      <c r="M87" s="1"/>
      <c r="N87" s="1"/>
      <c r="O87" s="1"/>
      <c r="P87" s="1"/>
      <c r="Q87" s="1"/>
    </row>
    <row r="88" spans="1:17" x14ac:dyDescent="0.35">
      <c r="A88" s="1"/>
      <c r="B88" s="1"/>
      <c r="C88" s="1"/>
      <c r="D88" s="1"/>
      <c r="E88" s="1"/>
      <c r="F88" s="1"/>
      <c r="G88" s="1"/>
      <c r="H88" s="1"/>
      <c r="I88" s="1"/>
      <c r="J88" s="1"/>
      <c r="K88" s="1"/>
      <c r="L88" s="1"/>
      <c r="M88" s="1"/>
      <c r="N88" s="1"/>
      <c r="O88" s="1"/>
      <c r="P88" s="1"/>
      <c r="Q88" s="1"/>
    </row>
    <row r="89" spans="1:17" x14ac:dyDescent="0.35">
      <c r="A89" s="1"/>
      <c r="B89" s="1"/>
      <c r="C89" s="1"/>
      <c r="D89" s="1"/>
      <c r="E89" s="1"/>
      <c r="F89" s="1"/>
      <c r="G89" s="1"/>
      <c r="H89" s="1"/>
      <c r="I89" s="1"/>
      <c r="J89" s="1"/>
      <c r="K89" s="1"/>
      <c r="L89" s="1"/>
      <c r="M89" s="1"/>
      <c r="N89" s="1"/>
      <c r="O89" s="1"/>
      <c r="P89" s="1"/>
      <c r="Q89" s="1"/>
    </row>
    <row r="90" spans="1:17" x14ac:dyDescent="0.35">
      <c r="A90" s="1"/>
      <c r="B90" s="1"/>
      <c r="C90" s="1"/>
      <c r="D90" s="1"/>
      <c r="E90" s="1"/>
      <c r="F90" s="1"/>
      <c r="G90" s="1"/>
      <c r="H90" s="1"/>
      <c r="I90" s="1"/>
      <c r="J90" s="1"/>
      <c r="K90" s="1"/>
      <c r="L90" s="1"/>
      <c r="M90" s="1"/>
      <c r="N90" s="1"/>
      <c r="O90" s="1"/>
      <c r="P90" s="1"/>
      <c r="Q90" s="1"/>
    </row>
    <row r="91" spans="1:17" x14ac:dyDescent="0.35">
      <c r="A91" s="1"/>
      <c r="B91" s="1"/>
      <c r="C91" s="1"/>
      <c r="D91" s="1"/>
      <c r="E91" s="1"/>
      <c r="F91" s="1"/>
      <c r="G91" s="1"/>
      <c r="H91" s="1"/>
      <c r="I91" s="1"/>
      <c r="J91" s="1"/>
      <c r="K91" s="1"/>
      <c r="L91" s="1"/>
      <c r="M91" s="1"/>
      <c r="N91" s="1"/>
      <c r="O91" s="1"/>
      <c r="P91" s="1"/>
      <c r="Q91" s="1"/>
    </row>
    <row r="92" spans="1:17" x14ac:dyDescent="0.35">
      <c r="A92" s="1"/>
      <c r="B92" s="1"/>
      <c r="C92" s="1"/>
      <c r="D92" s="1"/>
      <c r="E92" s="1"/>
      <c r="F92" s="1"/>
      <c r="G92" s="1"/>
      <c r="H92" s="1"/>
      <c r="I92" s="1"/>
      <c r="J92" s="1"/>
      <c r="K92" s="1"/>
      <c r="L92" s="1"/>
      <c r="M92" s="1"/>
      <c r="N92" s="1"/>
      <c r="O92" s="1"/>
      <c r="P92" s="1"/>
      <c r="Q92" s="1"/>
    </row>
    <row r="93" spans="1:17" x14ac:dyDescent="0.35">
      <c r="A93" s="1"/>
      <c r="B93" s="1"/>
      <c r="C93" s="1"/>
      <c r="D93" s="1"/>
      <c r="E93" s="1"/>
      <c r="F93" s="1"/>
      <c r="G93" s="1"/>
      <c r="H93" s="1"/>
      <c r="I93" s="1"/>
      <c r="J93" s="1"/>
      <c r="K93" s="1"/>
      <c r="L93" s="1"/>
      <c r="M93" s="1"/>
      <c r="N93" s="1"/>
      <c r="O93" s="1"/>
      <c r="P93" s="1"/>
      <c r="Q93" s="1"/>
    </row>
    <row r="94" spans="1:17" x14ac:dyDescent="0.35">
      <c r="A94" s="1"/>
      <c r="B94" s="1"/>
      <c r="C94" s="1"/>
      <c r="D94" s="1"/>
      <c r="E94" s="1"/>
      <c r="F94" s="1"/>
      <c r="G94" s="1"/>
      <c r="H94" s="1"/>
      <c r="I94" s="1"/>
      <c r="J94" s="1"/>
      <c r="K94" s="1"/>
      <c r="L94" s="1"/>
      <c r="M94" s="1"/>
      <c r="N94" s="1"/>
      <c r="O94" s="1"/>
      <c r="P94" s="1"/>
      <c r="Q94" s="1"/>
    </row>
    <row r="95" spans="1:17" x14ac:dyDescent="0.35">
      <c r="A95" s="1"/>
      <c r="B95" s="1"/>
      <c r="C95" s="1"/>
      <c r="D95" s="1"/>
      <c r="E95" s="1"/>
      <c r="F95" s="1"/>
      <c r="G95" s="1"/>
      <c r="H95" s="1"/>
      <c r="I95" s="1"/>
      <c r="J95" s="1"/>
      <c r="K95" s="1"/>
      <c r="L95" s="1"/>
      <c r="M95" s="1"/>
      <c r="N95" s="1"/>
      <c r="O95" s="1"/>
      <c r="P95" s="1"/>
      <c r="Q95" s="1"/>
    </row>
    <row r="96" spans="1:17" x14ac:dyDescent="0.35">
      <c r="A96" s="1"/>
      <c r="B96" s="1"/>
      <c r="C96" s="1"/>
      <c r="D96" s="1"/>
      <c r="E96" s="1"/>
      <c r="F96" s="1"/>
      <c r="G96" s="1"/>
      <c r="H96" s="1"/>
      <c r="I96" s="1"/>
      <c r="J96" s="1"/>
      <c r="K96" s="1"/>
      <c r="L96" s="1"/>
      <c r="M96" s="1"/>
      <c r="N96" s="1"/>
      <c r="O96" s="1"/>
      <c r="P96" s="1"/>
      <c r="Q96" s="1"/>
    </row>
    <row r="97" spans="1:17" x14ac:dyDescent="0.35">
      <c r="A97" s="1"/>
      <c r="B97" s="1"/>
      <c r="C97" s="1"/>
      <c r="D97" s="1"/>
      <c r="E97" s="1"/>
      <c r="F97" s="1"/>
      <c r="G97" s="1"/>
      <c r="H97" s="1"/>
      <c r="I97" s="1"/>
      <c r="J97" s="1"/>
      <c r="K97" s="1"/>
      <c r="L97" s="1"/>
      <c r="M97" s="1"/>
      <c r="N97" s="1"/>
      <c r="O97" s="1"/>
      <c r="P97" s="1"/>
      <c r="Q97" s="1"/>
    </row>
    <row r="98" spans="1:17" x14ac:dyDescent="0.35">
      <c r="A98" s="1"/>
      <c r="B98" s="1"/>
      <c r="C98" s="1"/>
      <c r="D98" s="1"/>
      <c r="E98" s="1"/>
      <c r="F98" s="1"/>
      <c r="G98" s="1"/>
      <c r="H98" s="1"/>
      <c r="I98" s="1"/>
      <c r="J98" s="1"/>
      <c r="K98" s="1"/>
      <c r="L98" s="1"/>
      <c r="M98" s="1"/>
      <c r="N98" s="1"/>
      <c r="O98" s="1"/>
      <c r="P98" s="1"/>
      <c r="Q98" s="1"/>
    </row>
    <row r="99" spans="1:17" x14ac:dyDescent="0.35">
      <c r="A99" s="1"/>
      <c r="B99" s="1"/>
      <c r="C99" s="1"/>
      <c r="D99" s="1"/>
      <c r="E99" s="1"/>
      <c r="F99" s="1"/>
      <c r="G99" s="1"/>
      <c r="H99" s="1"/>
      <c r="I99" s="1"/>
      <c r="J99" s="1"/>
      <c r="K99" s="1"/>
      <c r="L99" s="1"/>
      <c r="M99" s="1"/>
      <c r="N99" s="1"/>
      <c r="O99" s="1"/>
      <c r="P99" s="1"/>
      <c r="Q99" s="1"/>
    </row>
    <row r="100" spans="1:17" x14ac:dyDescent="0.35">
      <c r="A100" s="1"/>
      <c r="B100" s="1"/>
      <c r="C100" s="1"/>
      <c r="D100" s="1"/>
      <c r="E100" s="1"/>
      <c r="F100" s="1"/>
      <c r="G100" s="1"/>
      <c r="H100" s="1"/>
      <c r="I100" s="1"/>
      <c r="J100" s="1"/>
      <c r="K100" s="1"/>
      <c r="L100" s="1"/>
      <c r="M100" s="1"/>
      <c r="N100" s="1"/>
      <c r="O100" s="1"/>
      <c r="P100" s="1"/>
      <c r="Q100" s="1"/>
    </row>
    <row r="101" spans="1:17" x14ac:dyDescent="0.35">
      <c r="A101" s="1"/>
      <c r="B101" s="1"/>
      <c r="C101" s="1"/>
      <c r="D101" s="1"/>
      <c r="E101" s="1"/>
      <c r="F101" s="1"/>
      <c r="G101" s="1"/>
      <c r="H101" s="1"/>
      <c r="I101" s="1"/>
      <c r="J101" s="1"/>
      <c r="K101" s="1"/>
      <c r="L101" s="1"/>
      <c r="M101" s="1"/>
      <c r="N101" s="1"/>
      <c r="O101" s="1"/>
      <c r="P101" s="1"/>
      <c r="Q101" s="1"/>
    </row>
    <row r="102" spans="1:17" x14ac:dyDescent="0.35">
      <c r="A102" s="1"/>
      <c r="B102" s="1"/>
      <c r="C102" s="1"/>
      <c r="D102" s="1"/>
      <c r="E102" s="1"/>
      <c r="F102" s="1"/>
      <c r="G102" s="1"/>
      <c r="H102" s="1"/>
      <c r="I102" s="1"/>
      <c r="J102" s="1"/>
      <c r="K102" s="1"/>
      <c r="L102" s="1"/>
      <c r="M102" s="1"/>
      <c r="N102" s="1"/>
      <c r="O102" s="1"/>
      <c r="P102" s="1"/>
      <c r="Q102" s="1"/>
    </row>
    <row r="103" spans="1:17" x14ac:dyDescent="0.35">
      <c r="A103" s="1"/>
      <c r="B103" s="1"/>
      <c r="C103" s="1"/>
      <c r="D103" s="1"/>
      <c r="E103" s="1"/>
      <c r="F103" s="1"/>
      <c r="G103" s="1"/>
      <c r="H103" s="1"/>
      <c r="I103" s="1"/>
      <c r="J103" s="1"/>
      <c r="K103" s="1"/>
      <c r="L103" s="1"/>
      <c r="M103" s="1"/>
      <c r="N103" s="1"/>
      <c r="O103" s="1"/>
      <c r="P103" s="1"/>
      <c r="Q103" s="1"/>
    </row>
    <row r="104" spans="1:17" x14ac:dyDescent="0.35">
      <c r="A104" s="1"/>
      <c r="B104" s="1"/>
      <c r="C104" s="1"/>
      <c r="D104" s="1"/>
      <c r="E104" s="1"/>
      <c r="F104" s="1"/>
      <c r="G104" s="1"/>
      <c r="H104" s="1"/>
      <c r="I104" s="1"/>
      <c r="J104" s="1"/>
      <c r="K104" s="1"/>
      <c r="L104" s="1"/>
      <c r="M104" s="1"/>
      <c r="N104" s="1"/>
      <c r="O104" s="1"/>
      <c r="P104" s="1"/>
      <c r="Q104" s="1"/>
    </row>
    <row r="105" spans="1:17" x14ac:dyDescent="0.35">
      <c r="A105" s="1"/>
      <c r="B105" s="1"/>
      <c r="C105" s="1"/>
      <c r="D105" s="1"/>
      <c r="E105" s="1"/>
      <c r="F105" s="1"/>
      <c r="G105" s="1"/>
      <c r="H105" s="1"/>
      <c r="I105" s="1"/>
      <c r="J105" s="1"/>
      <c r="K105" s="1"/>
      <c r="L105" s="1"/>
      <c r="M105" s="1"/>
      <c r="N105" s="1"/>
      <c r="O105" s="1"/>
      <c r="P105" s="1"/>
      <c r="Q105" s="1"/>
    </row>
    <row r="106" spans="1:17" x14ac:dyDescent="0.35">
      <c r="A106" s="1"/>
      <c r="B106" s="1"/>
      <c r="C106" s="1"/>
      <c r="D106" s="1"/>
      <c r="E106" s="1"/>
      <c r="F106" s="1"/>
      <c r="G106" s="1"/>
      <c r="H106" s="1"/>
      <c r="I106" s="1"/>
      <c r="J106" s="1"/>
      <c r="K106" s="1"/>
      <c r="L106" s="1"/>
      <c r="M106" s="1"/>
      <c r="N106" s="1"/>
      <c r="O106" s="1"/>
      <c r="P106" s="1"/>
      <c r="Q106" s="1"/>
    </row>
    <row r="107" spans="1:17" x14ac:dyDescent="0.35">
      <c r="A107" s="1"/>
      <c r="B107" s="1"/>
      <c r="C107" s="1"/>
      <c r="D107" s="1"/>
      <c r="E107" s="1"/>
      <c r="F107" s="1"/>
      <c r="G107" s="1"/>
      <c r="H107" s="1"/>
      <c r="I107" s="1"/>
      <c r="J107" s="1"/>
      <c r="K107" s="1"/>
      <c r="L107" s="1"/>
      <c r="M107" s="1"/>
      <c r="N107" s="1"/>
      <c r="O107" s="1"/>
      <c r="P107" s="1"/>
      <c r="Q107" s="1"/>
    </row>
    <row r="108" spans="1:17" x14ac:dyDescent="0.35">
      <c r="A108" s="1"/>
      <c r="B108" s="1"/>
      <c r="C108" s="1"/>
      <c r="D108" s="1"/>
      <c r="E108" s="1"/>
      <c r="F108" s="1"/>
      <c r="G108" s="1"/>
      <c r="H108" s="1"/>
      <c r="I108" s="1"/>
      <c r="J108" s="1"/>
      <c r="K108" s="1"/>
      <c r="L108" s="1"/>
      <c r="M108" s="1"/>
      <c r="N108" s="1"/>
      <c r="O108" s="1"/>
      <c r="P108" s="1"/>
      <c r="Q108" s="1"/>
    </row>
    <row r="109" spans="1:17" x14ac:dyDescent="0.35">
      <c r="A109" s="1"/>
      <c r="B109" s="1"/>
      <c r="C109" s="1"/>
      <c r="D109" s="1"/>
      <c r="E109" s="1"/>
      <c r="F109" s="1"/>
      <c r="G109" s="1"/>
      <c r="H109" s="1"/>
      <c r="I109" s="1"/>
      <c r="J109" s="1"/>
      <c r="K109" s="1"/>
      <c r="L109" s="1"/>
      <c r="M109" s="1"/>
      <c r="N109" s="1"/>
      <c r="O109" s="1"/>
      <c r="P109" s="1"/>
      <c r="Q109" s="1"/>
    </row>
    <row r="110" spans="1:17" x14ac:dyDescent="0.35">
      <c r="A110" s="1"/>
      <c r="B110" s="1"/>
      <c r="C110" s="1"/>
      <c r="D110" s="1"/>
      <c r="E110" s="1"/>
      <c r="F110" s="1"/>
      <c r="G110" s="1"/>
      <c r="H110" s="1"/>
      <c r="I110" s="1"/>
      <c r="J110" s="1"/>
      <c r="K110" s="1"/>
      <c r="L110" s="1"/>
      <c r="M110" s="1"/>
      <c r="N110" s="1"/>
      <c r="O110" s="1"/>
      <c r="P110" s="1"/>
      <c r="Q110" s="1"/>
    </row>
    <row r="111" spans="1:17" x14ac:dyDescent="0.35">
      <c r="A111" s="1"/>
      <c r="B111" s="1"/>
      <c r="C111" s="1"/>
      <c r="D111" s="1"/>
      <c r="E111" s="1"/>
      <c r="F111" s="1"/>
      <c r="G111" s="1"/>
      <c r="H111" s="1"/>
      <c r="I111" s="1"/>
      <c r="J111" s="1"/>
      <c r="K111" s="1"/>
      <c r="L111" s="1"/>
      <c r="M111" s="1"/>
      <c r="N111" s="1"/>
      <c r="O111" s="1"/>
      <c r="P111" s="1"/>
      <c r="Q111" s="1"/>
    </row>
    <row r="112" spans="1:17" x14ac:dyDescent="0.35">
      <c r="A112" s="1"/>
      <c r="B112" s="1"/>
      <c r="C112" s="1"/>
      <c r="D112" s="1"/>
      <c r="E112" s="1"/>
      <c r="F112" s="1"/>
      <c r="G112" s="1"/>
      <c r="H112" s="1"/>
      <c r="I112" s="1"/>
      <c r="J112" s="1"/>
      <c r="K112" s="1"/>
      <c r="L112" s="1"/>
      <c r="M112" s="1"/>
      <c r="N112" s="1"/>
      <c r="O112" s="1"/>
      <c r="P112" s="1"/>
      <c r="Q112" s="1"/>
    </row>
    <row r="113" spans="1:17" x14ac:dyDescent="0.35">
      <c r="A113" s="1"/>
      <c r="B113" s="1"/>
      <c r="C113" s="1"/>
      <c r="D113" s="1"/>
      <c r="E113" s="1"/>
      <c r="F113" s="1"/>
      <c r="G113" s="1"/>
      <c r="H113" s="1"/>
      <c r="I113" s="1"/>
      <c r="J113" s="1"/>
      <c r="K113" s="1"/>
      <c r="L113" s="1"/>
      <c r="M113" s="1"/>
      <c r="N113" s="1"/>
      <c r="O113" s="1"/>
      <c r="P113" s="1"/>
      <c r="Q113" s="1"/>
    </row>
    <row r="114" spans="1:17" x14ac:dyDescent="0.35">
      <c r="A114" s="1"/>
      <c r="B114" s="1"/>
      <c r="C114" s="1"/>
      <c r="D114" s="1"/>
      <c r="E114" s="1"/>
      <c r="F114" s="1"/>
      <c r="G114" s="1"/>
      <c r="H114" s="1"/>
      <c r="I114" s="1"/>
      <c r="J114" s="1"/>
      <c r="K114" s="1"/>
      <c r="L114" s="1"/>
      <c r="M114" s="1"/>
      <c r="N114" s="1"/>
      <c r="O114" s="1"/>
      <c r="P114" s="1"/>
      <c r="Q114" s="1"/>
    </row>
    <row r="115" spans="1:17" x14ac:dyDescent="0.35">
      <c r="A115" s="1"/>
      <c r="B115" s="1"/>
      <c r="C115" s="1"/>
      <c r="D115" s="1"/>
      <c r="E115" s="1"/>
      <c r="F115" s="1"/>
      <c r="G115" s="1"/>
      <c r="H115" s="1"/>
      <c r="I115" s="1"/>
      <c r="J115" s="1"/>
      <c r="K115" s="1"/>
      <c r="L115" s="1"/>
      <c r="M115" s="1"/>
      <c r="N115" s="1"/>
      <c r="O115" s="1"/>
      <c r="P115" s="1"/>
      <c r="Q115" s="1"/>
    </row>
    <row r="116" spans="1:17" x14ac:dyDescent="0.35">
      <c r="A116" s="1"/>
      <c r="B116" s="1"/>
      <c r="C116" s="1"/>
      <c r="D116" s="1"/>
      <c r="E116" s="1"/>
      <c r="F116" s="1"/>
      <c r="G116" s="1"/>
      <c r="H116" s="1"/>
      <c r="I116" s="1"/>
      <c r="J116" s="1"/>
      <c r="K116" s="1"/>
      <c r="L116" s="1"/>
      <c r="M116" s="1"/>
      <c r="N116" s="1"/>
      <c r="O116" s="1"/>
      <c r="P116" s="1"/>
      <c r="Q116" s="1"/>
    </row>
    <row r="117" spans="1:17" x14ac:dyDescent="0.35">
      <c r="A117" s="1"/>
      <c r="B117" s="1"/>
      <c r="C117" s="1"/>
      <c r="D117" s="1"/>
      <c r="E117" s="1"/>
      <c r="F117" s="1"/>
      <c r="G117" s="1"/>
      <c r="H117" s="1"/>
      <c r="I117" s="1"/>
      <c r="J117" s="1"/>
      <c r="K117" s="1"/>
      <c r="L117" s="1"/>
      <c r="M117" s="1"/>
      <c r="N117" s="1"/>
      <c r="O117" s="1"/>
      <c r="P117" s="1"/>
      <c r="Q117" s="1"/>
    </row>
    <row r="118" spans="1:17" x14ac:dyDescent="0.35">
      <c r="A118" s="1"/>
      <c r="B118" s="1"/>
      <c r="C118" s="1"/>
      <c r="D118" s="1"/>
      <c r="E118" s="1"/>
      <c r="F118" s="1"/>
      <c r="G118" s="1"/>
      <c r="H118" s="1"/>
      <c r="I118" s="1"/>
      <c r="J118" s="1"/>
      <c r="K118" s="1"/>
      <c r="L118" s="1"/>
      <c r="M118" s="1"/>
      <c r="N118" s="1"/>
      <c r="O118" s="1"/>
      <c r="P118" s="1"/>
      <c r="Q118" s="1"/>
    </row>
    <row r="119" spans="1:17" x14ac:dyDescent="0.35">
      <c r="A119" s="1"/>
      <c r="B119" s="1"/>
      <c r="C119" s="1"/>
      <c r="D119" s="1"/>
      <c r="E119" s="1"/>
      <c r="F119" s="1"/>
      <c r="G119" s="1"/>
      <c r="H119" s="1"/>
      <c r="I119" s="1"/>
      <c r="J119" s="1"/>
      <c r="K119" s="1"/>
      <c r="L119" s="1"/>
      <c r="M119" s="1"/>
      <c r="N119" s="1"/>
      <c r="O119" s="1"/>
      <c r="P119" s="1"/>
      <c r="Q119" s="1"/>
    </row>
    <row r="120" spans="1:17" x14ac:dyDescent="0.35">
      <c r="A120" s="1"/>
      <c r="B120" s="1"/>
      <c r="C120" s="1"/>
      <c r="D120" s="1"/>
      <c r="E120" s="1"/>
      <c r="F120" s="1"/>
      <c r="G120" s="1"/>
      <c r="H120" s="1"/>
      <c r="I120" s="1"/>
      <c r="J120" s="1"/>
      <c r="K120" s="1"/>
      <c r="L120" s="1"/>
      <c r="M120" s="1"/>
      <c r="N120" s="1"/>
      <c r="O120" s="1"/>
      <c r="P120" s="1"/>
      <c r="Q120" s="1"/>
    </row>
    <row r="121" spans="1:17" x14ac:dyDescent="0.35">
      <c r="A121" s="1"/>
      <c r="B121" s="1"/>
      <c r="C121" s="1"/>
      <c r="D121" s="1"/>
      <c r="E121" s="1"/>
      <c r="F121" s="1"/>
      <c r="G121" s="1"/>
      <c r="H121" s="1"/>
      <c r="I121" s="1"/>
      <c r="J121" s="1"/>
      <c r="K121" s="1"/>
      <c r="L121" s="1"/>
      <c r="M121" s="1"/>
      <c r="N121" s="1"/>
      <c r="O121" s="1"/>
      <c r="P121" s="1"/>
      <c r="Q121" s="1"/>
    </row>
    <row r="122" spans="1:17" x14ac:dyDescent="0.35">
      <c r="A122" s="1"/>
      <c r="B122" s="1"/>
      <c r="C122" s="1"/>
      <c r="D122" s="1"/>
      <c r="E122" s="1"/>
      <c r="F122" s="1"/>
      <c r="G122" s="1"/>
      <c r="H122" s="1"/>
      <c r="I122" s="1"/>
      <c r="J122" s="1"/>
      <c r="K122" s="1"/>
      <c r="L122" s="1"/>
      <c r="M122" s="1"/>
      <c r="N122" s="1"/>
      <c r="O122" s="1"/>
      <c r="P122" s="1"/>
      <c r="Q122" s="1"/>
    </row>
    <row r="123" spans="1:17" x14ac:dyDescent="0.35">
      <c r="A123" s="1"/>
      <c r="B123" s="1"/>
      <c r="C123" s="1"/>
      <c r="D123" s="1"/>
      <c r="E123" s="1"/>
      <c r="F123" s="1"/>
      <c r="G123" s="1"/>
      <c r="H123" s="1"/>
      <c r="I123" s="1"/>
      <c r="J123" s="1"/>
      <c r="K123" s="1"/>
      <c r="L123" s="1"/>
      <c r="M123" s="1"/>
      <c r="N123" s="1"/>
      <c r="O123" s="1"/>
      <c r="P123" s="1"/>
      <c r="Q123" s="1"/>
    </row>
    <row r="124" spans="1:17" x14ac:dyDescent="0.35">
      <c r="A124" s="1"/>
      <c r="B124" s="1"/>
      <c r="C124" s="1"/>
      <c r="D124" s="1"/>
      <c r="E124" s="1"/>
      <c r="F124" s="1"/>
      <c r="G124" s="1"/>
      <c r="H124" s="1"/>
      <c r="I124" s="1"/>
      <c r="J124" s="1"/>
      <c r="K124" s="1"/>
      <c r="L124" s="1"/>
      <c r="M124" s="1"/>
      <c r="N124" s="1"/>
      <c r="O124" s="1"/>
      <c r="P124" s="1"/>
      <c r="Q124" s="1"/>
    </row>
    <row r="125" spans="1:17" x14ac:dyDescent="0.35">
      <c r="A125" s="1"/>
      <c r="B125" s="1"/>
      <c r="C125" s="1"/>
      <c r="D125" s="1"/>
      <c r="E125" s="1"/>
      <c r="F125" s="1"/>
      <c r="G125" s="1"/>
      <c r="H125" s="1"/>
      <c r="I125" s="1"/>
      <c r="J125" s="1"/>
      <c r="K125" s="1"/>
      <c r="L125" s="1"/>
      <c r="M125" s="1"/>
      <c r="N125" s="1"/>
      <c r="O125" s="1"/>
      <c r="P125" s="1"/>
      <c r="Q125" s="1"/>
    </row>
    <row r="126" spans="1:17" x14ac:dyDescent="0.35">
      <c r="A126" s="1"/>
      <c r="B126" s="1"/>
      <c r="C126" s="1"/>
      <c r="D126" s="1"/>
      <c r="E126" s="1"/>
      <c r="F126" s="1"/>
      <c r="G126" s="1"/>
      <c r="H126" s="1"/>
      <c r="I126" s="1"/>
      <c r="J126" s="1"/>
      <c r="K126" s="1"/>
      <c r="L126" s="1"/>
      <c r="M126" s="1"/>
      <c r="N126" s="1"/>
      <c r="O126" s="1"/>
      <c r="P126" s="1"/>
      <c r="Q126" s="1"/>
    </row>
    <row r="127" spans="1:17" x14ac:dyDescent="0.35">
      <c r="A127" s="1"/>
      <c r="B127" s="1"/>
      <c r="C127" s="1"/>
      <c r="D127" s="1"/>
      <c r="E127" s="1"/>
      <c r="F127" s="1"/>
      <c r="G127" s="1"/>
      <c r="H127" s="1"/>
      <c r="I127" s="1"/>
      <c r="J127" s="1"/>
      <c r="K127" s="1"/>
      <c r="L127" s="1"/>
      <c r="M127" s="1"/>
      <c r="N127" s="1"/>
      <c r="O127" s="1"/>
      <c r="P127" s="1"/>
      <c r="Q127" s="1"/>
    </row>
    <row r="128" spans="1:17" x14ac:dyDescent="0.35">
      <c r="A128" s="1"/>
      <c r="B128" s="1"/>
      <c r="C128" s="1"/>
      <c r="D128" s="1"/>
      <c r="E128" s="1"/>
      <c r="F128" s="1"/>
      <c r="G128" s="1"/>
      <c r="H128" s="1"/>
      <c r="I128" s="1"/>
      <c r="J128" s="1"/>
      <c r="K128" s="1"/>
      <c r="L128" s="1"/>
      <c r="M128" s="1"/>
      <c r="N128" s="1"/>
      <c r="O128" s="1"/>
      <c r="P128" s="1"/>
      <c r="Q128" s="1"/>
    </row>
    <row r="129" spans="1:17" x14ac:dyDescent="0.35">
      <c r="A129" s="1"/>
      <c r="B129" s="1"/>
      <c r="C129" s="1"/>
      <c r="D129" s="1"/>
      <c r="E129" s="1"/>
      <c r="F129" s="1"/>
      <c r="G129" s="1"/>
      <c r="H129" s="1"/>
      <c r="I129" s="1"/>
      <c r="J129" s="1"/>
      <c r="K129" s="1"/>
      <c r="L129" s="1"/>
      <c r="M129" s="1"/>
      <c r="N129" s="1"/>
      <c r="O129" s="1"/>
      <c r="P129" s="1"/>
      <c r="Q129" s="1"/>
    </row>
    <row r="130" spans="1:17" x14ac:dyDescent="0.35">
      <c r="A130" s="1"/>
      <c r="B130" s="1"/>
      <c r="C130" s="1"/>
      <c r="D130" s="1"/>
      <c r="E130" s="1"/>
      <c r="F130" s="1"/>
      <c r="G130" s="1"/>
      <c r="H130" s="1"/>
      <c r="I130" s="1"/>
      <c r="J130" s="1"/>
      <c r="K130" s="1"/>
      <c r="L130" s="1"/>
      <c r="M130" s="1"/>
      <c r="N130" s="1"/>
      <c r="O130" s="1"/>
      <c r="P130" s="1"/>
      <c r="Q130" s="1"/>
    </row>
    <row r="131" spans="1:17" x14ac:dyDescent="0.35">
      <c r="A131" s="1"/>
      <c r="B131" s="1"/>
      <c r="C131" s="1"/>
      <c r="D131" s="1"/>
      <c r="E131" s="1"/>
      <c r="F131" s="1"/>
      <c r="G131" s="1"/>
      <c r="H131" s="1"/>
      <c r="I131" s="1"/>
      <c r="J131" s="1"/>
      <c r="K131" s="1"/>
      <c r="L131" s="1"/>
      <c r="M131" s="1"/>
      <c r="N131" s="1"/>
      <c r="O131" s="1"/>
      <c r="P131" s="1"/>
      <c r="Q131" s="1"/>
    </row>
    <row r="132" spans="1:17" x14ac:dyDescent="0.35">
      <c r="A132" s="1"/>
      <c r="B132" s="1"/>
      <c r="C132" s="1"/>
      <c r="D132" s="1"/>
      <c r="E132" s="1"/>
      <c r="F132" s="1"/>
      <c r="G132" s="1"/>
      <c r="H132" s="1"/>
      <c r="I132" s="1"/>
      <c r="J132" s="1"/>
      <c r="K132" s="1"/>
      <c r="L132" s="1"/>
      <c r="M132" s="1"/>
      <c r="N132" s="1"/>
      <c r="O132" s="1"/>
      <c r="P132" s="1"/>
      <c r="Q132" s="1"/>
    </row>
    <row r="133" spans="1:17" x14ac:dyDescent="0.35">
      <c r="A133" s="1"/>
      <c r="B133" s="1"/>
      <c r="C133" s="1"/>
      <c r="D133" s="1"/>
      <c r="E133" s="1"/>
      <c r="F133" s="1"/>
      <c r="G133" s="1"/>
      <c r="H133" s="1"/>
      <c r="I133" s="1"/>
      <c r="J133" s="1"/>
      <c r="K133" s="1"/>
      <c r="L133" s="1"/>
      <c r="M133" s="1"/>
      <c r="N133" s="1"/>
      <c r="O133" s="1"/>
      <c r="P133" s="1"/>
      <c r="Q133" s="1"/>
    </row>
    <row r="134" spans="1:17" x14ac:dyDescent="0.35">
      <c r="A134" s="1"/>
      <c r="B134" s="1"/>
      <c r="C134" s="1"/>
      <c r="D134" s="1"/>
      <c r="E134" s="1"/>
      <c r="F134" s="1"/>
      <c r="G134" s="1"/>
      <c r="H134" s="1"/>
      <c r="I134" s="1"/>
      <c r="J134" s="1"/>
      <c r="K134" s="1"/>
      <c r="L134" s="1"/>
      <c r="M134" s="1"/>
      <c r="N134" s="1"/>
      <c r="O134" s="1"/>
      <c r="P134" s="1"/>
      <c r="Q134" s="1"/>
    </row>
    <row r="135" spans="1:17" x14ac:dyDescent="0.35">
      <c r="A135" s="1"/>
      <c r="B135" s="1"/>
      <c r="C135" s="1"/>
      <c r="D135" s="1"/>
      <c r="E135" s="1"/>
      <c r="F135" s="1"/>
      <c r="G135" s="1"/>
      <c r="H135" s="1"/>
      <c r="I135" s="1"/>
      <c r="J135" s="1"/>
      <c r="K135" s="1"/>
      <c r="L135" s="1"/>
      <c r="M135" s="1"/>
      <c r="N135" s="1"/>
      <c r="O135" s="1"/>
      <c r="P135" s="1"/>
      <c r="Q135" s="1"/>
    </row>
    <row r="136" spans="1:17" x14ac:dyDescent="0.35">
      <c r="A136" s="1"/>
      <c r="B136" s="1"/>
      <c r="C136" s="1"/>
      <c r="D136" s="1"/>
      <c r="E136" s="1"/>
      <c r="F136" s="1"/>
      <c r="G136" s="1"/>
      <c r="H136" s="1"/>
      <c r="I136" s="1"/>
      <c r="J136" s="1"/>
      <c r="K136" s="1"/>
      <c r="L136" s="1"/>
      <c r="M136" s="1"/>
      <c r="N136" s="1"/>
      <c r="O136" s="1"/>
      <c r="P136" s="1"/>
      <c r="Q136" s="1"/>
    </row>
    <row r="137" spans="1:17" x14ac:dyDescent="0.35">
      <c r="A137" s="1"/>
      <c r="B137" s="1"/>
      <c r="C137" s="1"/>
      <c r="D137" s="1"/>
      <c r="E137" s="1"/>
      <c r="F137" s="1"/>
      <c r="G137" s="1"/>
      <c r="H137" s="1"/>
      <c r="I137" s="1"/>
      <c r="J137" s="1"/>
      <c r="K137" s="1"/>
      <c r="L137" s="1"/>
      <c r="M137" s="1"/>
      <c r="N137" s="1"/>
      <c r="O137" s="1"/>
      <c r="P137" s="1"/>
      <c r="Q137" s="1"/>
    </row>
    <row r="138" spans="1:17" x14ac:dyDescent="0.35">
      <c r="A138" s="1"/>
      <c r="B138" s="1"/>
      <c r="C138" s="1"/>
      <c r="D138" s="1"/>
      <c r="E138" s="1"/>
      <c r="F138" s="1"/>
      <c r="G138" s="1"/>
      <c r="H138" s="1"/>
      <c r="I138" s="1"/>
      <c r="J138" s="1"/>
      <c r="K138" s="1"/>
      <c r="L138" s="1"/>
      <c r="M138" s="1"/>
      <c r="N138" s="1"/>
      <c r="O138" s="1"/>
      <c r="P138" s="1"/>
      <c r="Q138" s="1"/>
    </row>
    <row r="139" spans="1:17" x14ac:dyDescent="0.35">
      <c r="A139" s="1"/>
      <c r="B139" s="1"/>
      <c r="C139" s="1"/>
      <c r="D139" s="1"/>
      <c r="E139" s="1"/>
      <c r="F139" s="1"/>
      <c r="G139" s="1"/>
      <c r="H139" s="1"/>
      <c r="I139" s="1"/>
      <c r="J139" s="1"/>
      <c r="K139" s="1"/>
      <c r="L139" s="1"/>
      <c r="M139" s="1"/>
      <c r="N139" s="1"/>
      <c r="O139" s="1"/>
      <c r="P139" s="1"/>
      <c r="Q139" s="1"/>
    </row>
    <row r="140" spans="1:17" x14ac:dyDescent="0.35">
      <c r="A140" s="1"/>
      <c r="B140" s="1"/>
      <c r="C140" s="1"/>
      <c r="D140" s="1"/>
      <c r="E140" s="1"/>
      <c r="F140" s="1"/>
      <c r="G140" s="1"/>
      <c r="H140" s="1"/>
      <c r="I140" s="1"/>
      <c r="J140" s="1"/>
      <c r="K140" s="1"/>
      <c r="L140" s="1"/>
      <c r="M140" s="1"/>
      <c r="N140" s="1"/>
      <c r="O140" s="1"/>
      <c r="P140" s="1"/>
      <c r="Q140" s="1"/>
    </row>
    <row r="141" spans="1:17" x14ac:dyDescent="0.35">
      <c r="A141" s="1"/>
      <c r="B141" s="1"/>
      <c r="C141" s="1"/>
      <c r="D141" s="1"/>
      <c r="E141" s="1"/>
      <c r="F141" s="1"/>
      <c r="G141" s="1"/>
      <c r="H141" s="1"/>
      <c r="I141" s="1"/>
      <c r="J141" s="1"/>
      <c r="K141" s="1"/>
      <c r="L141" s="1"/>
      <c r="M141" s="1"/>
      <c r="N141" s="1"/>
      <c r="O141" s="1"/>
      <c r="P141" s="1"/>
      <c r="Q141" s="1"/>
    </row>
    <row r="142" spans="1:17" x14ac:dyDescent="0.35">
      <c r="A142" s="1"/>
      <c r="B142" s="1"/>
      <c r="C142" s="1"/>
      <c r="D142" s="1"/>
      <c r="E142" s="1"/>
      <c r="F142" s="1"/>
      <c r="G142" s="1"/>
      <c r="H142" s="1"/>
      <c r="I142" s="1"/>
      <c r="J142" s="1"/>
      <c r="K142" s="1"/>
      <c r="L142" s="1"/>
      <c r="M142" s="1"/>
      <c r="N142" s="1"/>
      <c r="O142" s="1"/>
      <c r="P142" s="1"/>
      <c r="Q142" s="1"/>
    </row>
    <row r="143" spans="1:17" x14ac:dyDescent="0.35">
      <c r="A143" s="1"/>
      <c r="B143" s="1"/>
      <c r="C143" s="1"/>
      <c r="D143" s="1"/>
      <c r="E143" s="1"/>
      <c r="F143" s="1"/>
      <c r="G143" s="1"/>
      <c r="H143" s="1"/>
      <c r="I143" s="1"/>
      <c r="J143" s="1"/>
      <c r="K143" s="1"/>
      <c r="L143" s="1"/>
      <c r="M143" s="1"/>
      <c r="N143" s="1"/>
      <c r="O143" s="1"/>
      <c r="P143" s="1"/>
      <c r="Q143" s="1"/>
    </row>
    <row r="144" spans="1:17" x14ac:dyDescent="0.35">
      <c r="A144" s="1"/>
      <c r="B144" s="1"/>
      <c r="C144" s="1"/>
      <c r="D144" s="1"/>
      <c r="E144" s="1"/>
      <c r="F144" s="1"/>
      <c r="G144" s="1"/>
      <c r="H144" s="1"/>
      <c r="I144" s="1"/>
      <c r="J144" s="1"/>
      <c r="K144" s="1"/>
      <c r="L144" s="1"/>
      <c r="M144" s="1"/>
      <c r="N144" s="1"/>
      <c r="O144" s="1"/>
      <c r="P144" s="1"/>
      <c r="Q144" s="1"/>
    </row>
    <row r="145" spans="1:17" x14ac:dyDescent="0.35">
      <c r="A145" s="1"/>
      <c r="B145" s="1"/>
      <c r="C145" s="1"/>
      <c r="D145" s="1"/>
      <c r="E145" s="1"/>
      <c r="F145" s="1"/>
      <c r="G145" s="1"/>
      <c r="H145" s="1"/>
      <c r="I145" s="1"/>
      <c r="J145" s="1"/>
      <c r="K145" s="1"/>
      <c r="L145" s="1"/>
      <c r="M145" s="1"/>
      <c r="N145" s="1"/>
      <c r="O145" s="1"/>
      <c r="P145" s="1"/>
      <c r="Q145" s="1"/>
    </row>
    <row r="146" spans="1:17" x14ac:dyDescent="0.35">
      <c r="A146" s="1"/>
      <c r="B146" s="1"/>
      <c r="C146" s="1"/>
      <c r="D146" s="1"/>
      <c r="E146" s="1"/>
      <c r="F146" s="1"/>
      <c r="G146" s="1"/>
      <c r="H146" s="1"/>
      <c r="I146" s="1"/>
      <c r="J146" s="1"/>
      <c r="K146" s="1"/>
      <c r="L146" s="1"/>
      <c r="M146" s="1"/>
      <c r="N146" s="1"/>
      <c r="O146" s="1"/>
      <c r="P146" s="1"/>
      <c r="Q146" s="1"/>
    </row>
    <row r="147" spans="1:17" x14ac:dyDescent="0.35">
      <c r="A147" s="1"/>
      <c r="B147" s="1"/>
      <c r="C147" s="1"/>
      <c r="D147" s="1"/>
      <c r="E147" s="1"/>
      <c r="F147" s="1"/>
      <c r="G147" s="1"/>
      <c r="H147" s="1"/>
      <c r="I147" s="1"/>
      <c r="J147" s="1"/>
      <c r="K147" s="1"/>
      <c r="L147" s="1"/>
      <c r="M147" s="1"/>
      <c r="N147" s="1"/>
      <c r="O147" s="1"/>
      <c r="P147" s="1"/>
      <c r="Q147" s="1"/>
    </row>
    <row r="148" spans="1:17" x14ac:dyDescent="0.35">
      <c r="A148" s="1"/>
      <c r="B148" s="1"/>
      <c r="C148" s="1"/>
      <c r="D148" s="1"/>
      <c r="E148" s="1"/>
      <c r="F148" s="1"/>
      <c r="G148" s="1"/>
      <c r="H148" s="1"/>
      <c r="I148" s="1"/>
      <c r="J148" s="1"/>
      <c r="K148" s="1"/>
      <c r="L148" s="1"/>
      <c r="M148" s="1"/>
      <c r="N148" s="1"/>
      <c r="O148" s="1"/>
      <c r="P148" s="1"/>
      <c r="Q148" s="1"/>
    </row>
    <row r="149" spans="1:17" x14ac:dyDescent="0.35">
      <c r="A149" s="1"/>
      <c r="B149" s="1"/>
      <c r="C149" s="1"/>
      <c r="D149" s="1"/>
      <c r="E149" s="1"/>
      <c r="F149" s="1"/>
      <c r="G149" s="1"/>
      <c r="H149" s="1"/>
      <c r="I149" s="1"/>
      <c r="J149" s="1"/>
      <c r="K149" s="1"/>
      <c r="L149" s="1"/>
      <c r="M149" s="1"/>
      <c r="N149" s="1"/>
      <c r="O149" s="1"/>
      <c r="P149" s="1"/>
      <c r="Q149" s="1"/>
    </row>
    <row r="150" spans="1:17" x14ac:dyDescent="0.35">
      <c r="A150" s="1"/>
      <c r="B150" s="1"/>
      <c r="C150" s="1"/>
      <c r="D150" s="1"/>
      <c r="E150" s="1"/>
      <c r="F150" s="1"/>
      <c r="G150" s="1"/>
      <c r="H150" s="1"/>
      <c r="I150" s="1"/>
      <c r="J150" s="1"/>
      <c r="K150" s="1"/>
      <c r="L150" s="1"/>
      <c r="M150" s="1"/>
      <c r="N150" s="1"/>
      <c r="O150" s="1"/>
      <c r="P150" s="1"/>
      <c r="Q150" s="1"/>
    </row>
    <row r="151" spans="1:17" x14ac:dyDescent="0.35">
      <c r="A151" s="1"/>
      <c r="B151" s="1"/>
      <c r="C151" s="1"/>
      <c r="D151" s="1"/>
      <c r="E151" s="1"/>
      <c r="F151" s="1"/>
      <c r="G151" s="1"/>
      <c r="H151" s="1"/>
      <c r="I151" s="1"/>
      <c r="J151" s="1"/>
      <c r="K151" s="1"/>
      <c r="L151" s="1"/>
      <c r="M151" s="1"/>
      <c r="N151" s="1"/>
      <c r="O151" s="1"/>
      <c r="P151" s="1"/>
      <c r="Q151" s="1"/>
    </row>
    <row r="152" spans="1:17" x14ac:dyDescent="0.35">
      <c r="A152" s="1"/>
      <c r="B152" s="1"/>
      <c r="C152" s="1"/>
      <c r="D152" s="1"/>
      <c r="E152" s="1"/>
      <c r="F152" s="1"/>
      <c r="G152" s="1"/>
      <c r="H152" s="1"/>
      <c r="I152" s="1"/>
      <c r="J152" s="1"/>
      <c r="K152" s="1"/>
      <c r="L152" s="1"/>
      <c r="M152" s="1"/>
      <c r="N152" s="1"/>
      <c r="O152" s="1"/>
      <c r="P152" s="1"/>
      <c r="Q152" s="1"/>
    </row>
    <row r="153" spans="1:17" x14ac:dyDescent="0.35">
      <c r="A153" s="1"/>
      <c r="B153" s="1"/>
      <c r="C153" s="1"/>
      <c r="D153" s="1"/>
      <c r="E153" s="1"/>
      <c r="F153" s="1"/>
      <c r="G153" s="1"/>
      <c r="H153" s="1"/>
      <c r="I153" s="1"/>
      <c r="J153" s="1"/>
      <c r="K153" s="1"/>
      <c r="L153" s="1"/>
      <c r="M153" s="1"/>
      <c r="N153" s="1"/>
      <c r="O153" s="1"/>
      <c r="P153" s="1"/>
      <c r="Q153" s="1"/>
    </row>
    <row r="154" spans="1:17" x14ac:dyDescent="0.35">
      <c r="A154" s="1"/>
      <c r="B154" s="1"/>
      <c r="C154" s="1"/>
      <c r="D154" s="1"/>
      <c r="E154" s="1"/>
      <c r="F154" s="1"/>
      <c r="G154" s="1"/>
      <c r="H154" s="1"/>
      <c r="I154" s="1"/>
      <c r="J154" s="1"/>
      <c r="K154" s="1"/>
      <c r="L154" s="1"/>
      <c r="M154" s="1"/>
      <c r="N154" s="1"/>
      <c r="O154" s="1"/>
      <c r="P154" s="1"/>
      <c r="Q154" s="1"/>
    </row>
    <row r="155" spans="1:17" x14ac:dyDescent="0.35">
      <c r="A155" s="1"/>
      <c r="B155" s="1"/>
      <c r="C155" s="1"/>
      <c r="D155" s="1"/>
      <c r="E155" s="1"/>
      <c r="F155" s="1"/>
      <c r="G155" s="1"/>
      <c r="H155" s="1"/>
      <c r="I155" s="1"/>
      <c r="J155" s="1"/>
      <c r="K155" s="1"/>
      <c r="L155" s="1"/>
      <c r="M155" s="1"/>
      <c r="N155" s="1"/>
      <c r="O155" s="1"/>
      <c r="P155" s="1"/>
      <c r="Q155" s="1"/>
    </row>
    <row r="156" spans="1:17" x14ac:dyDescent="0.35">
      <c r="A156" s="1"/>
      <c r="B156" s="1"/>
      <c r="C156" s="1"/>
      <c r="D156" s="1"/>
      <c r="E156" s="1"/>
      <c r="F156" s="1"/>
      <c r="G156" s="1"/>
      <c r="H156" s="1"/>
      <c r="I156" s="1"/>
      <c r="J156" s="1"/>
      <c r="K156" s="1"/>
      <c r="L156" s="1"/>
      <c r="M156" s="1"/>
      <c r="N156" s="1"/>
      <c r="O156" s="1"/>
      <c r="P156" s="1"/>
      <c r="Q156" s="1"/>
    </row>
    <row r="157" spans="1:17" x14ac:dyDescent="0.35">
      <c r="A157" s="1"/>
      <c r="B157" s="1"/>
      <c r="C157" s="1"/>
      <c r="D157" s="1"/>
      <c r="E157" s="1"/>
      <c r="F157" s="1"/>
      <c r="G157" s="1"/>
      <c r="H157" s="1"/>
      <c r="I157" s="1"/>
      <c r="J157" s="1"/>
      <c r="K157" s="1"/>
      <c r="L157" s="1"/>
      <c r="M157" s="1"/>
      <c r="N157" s="1"/>
      <c r="O157" s="1"/>
      <c r="P157" s="1"/>
      <c r="Q157" s="1"/>
    </row>
    <row r="158" spans="1:17" x14ac:dyDescent="0.35">
      <c r="A158" s="1"/>
      <c r="B158" s="1"/>
      <c r="C158" s="1"/>
      <c r="D158" s="1"/>
      <c r="E158" s="1"/>
      <c r="F158" s="1"/>
      <c r="G158" s="1"/>
      <c r="H158" s="1"/>
      <c r="I158" s="1"/>
      <c r="J158" s="1"/>
      <c r="K158" s="1"/>
      <c r="L158" s="1"/>
      <c r="M158" s="1"/>
      <c r="N158" s="1"/>
      <c r="O158" s="1"/>
      <c r="P158" s="1"/>
      <c r="Q158" s="1"/>
    </row>
    <row r="159" spans="1:17" x14ac:dyDescent="0.35">
      <c r="A159" s="1"/>
      <c r="B159" s="1"/>
      <c r="C159" s="1"/>
      <c r="D159" s="1"/>
      <c r="E159" s="1"/>
      <c r="F159" s="1"/>
      <c r="G159" s="1"/>
      <c r="H159" s="1"/>
      <c r="I159" s="1"/>
      <c r="J159" s="1"/>
      <c r="K159" s="1"/>
      <c r="L159" s="1"/>
      <c r="M159" s="1"/>
      <c r="N159" s="1"/>
      <c r="O159" s="1"/>
      <c r="P159" s="1"/>
      <c r="Q159" s="1"/>
    </row>
    <row r="160" spans="1:17" x14ac:dyDescent="0.35">
      <c r="A160" s="1"/>
      <c r="B160" s="1"/>
      <c r="C160" s="1"/>
      <c r="D160" s="1"/>
      <c r="E160" s="1"/>
      <c r="F160" s="1"/>
      <c r="G160" s="1"/>
      <c r="H160" s="1"/>
      <c r="I160" s="1"/>
      <c r="J160" s="1"/>
      <c r="K160" s="1"/>
      <c r="L160" s="1"/>
      <c r="M160" s="1"/>
      <c r="N160" s="1"/>
      <c r="O160" s="1"/>
      <c r="P160" s="1"/>
      <c r="Q160" s="1"/>
    </row>
    <row r="161" spans="1:17" x14ac:dyDescent="0.35">
      <c r="A161" s="1"/>
      <c r="B161" s="1"/>
      <c r="C161" s="1"/>
      <c r="D161" s="1"/>
      <c r="E161" s="1"/>
      <c r="F161" s="1"/>
      <c r="G161" s="1"/>
      <c r="H161" s="1"/>
      <c r="I161" s="1"/>
      <c r="J161" s="1"/>
      <c r="K161" s="1"/>
      <c r="L161" s="1"/>
      <c r="M161" s="1"/>
      <c r="N161" s="1"/>
      <c r="O161" s="1"/>
      <c r="P161" s="1"/>
      <c r="Q161" s="1"/>
    </row>
    <row r="162" spans="1:17" x14ac:dyDescent="0.35">
      <c r="A162" s="1"/>
      <c r="B162" s="1"/>
      <c r="C162" s="1"/>
      <c r="D162" s="1"/>
      <c r="E162" s="1"/>
      <c r="F162" s="1"/>
      <c r="G162" s="1"/>
      <c r="H162" s="1"/>
      <c r="I162" s="1"/>
      <c r="J162" s="1"/>
      <c r="K162" s="1"/>
      <c r="L162" s="1"/>
      <c r="M162" s="1"/>
      <c r="N162" s="1"/>
      <c r="O162" s="1"/>
      <c r="P162" s="1"/>
      <c r="Q162" s="1"/>
    </row>
    <row r="163" spans="1:17" x14ac:dyDescent="0.35">
      <c r="A163" s="1"/>
      <c r="B163" s="1"/>
      <c r="C163" s="1"/>
      <c r="D163" s="1"/>
      <c r="E163" s="1"/>
      <c r="F163" s="1"/>
      <c r="G163" s="1"/>
      <c r="H163" s="1"/>
      <c r="I163" s="1"/>
      <c r="J163" s="1"/>
      <c r="K163" s="1"/>
      <c r="L163" s="1"/>
      <c r="M163" s="1"/>
      <c r="N163" s="1"/>
      <c r="O163" s="1"/>
      <c r="P163" s="1"/>
      <c r="Q163" s="1"/>
    </row>
    <row r="164" spans="1:17" x14ac:dyDescent="0.35">
      <c r="A164" s="1"/>
      <c r="B164" s="1"/>
      <c r="C164" s="1"/>
      <c r="D164" s="1"/>
      <c r="E164" s="1"/>
      <c r="F164" s="1"/>
      <c r="G164" s="1"/>
      <c r="H164" s="1"/>
      <c r="I164" s="1"/>
      <c r="J164" s="1"/>
      <c r="K164" s="1"/>
      <c r="L164" s="1"/>
      <c r="M164" s="1"/>
      <c r="N164" s="1"/>
      <c r="O164" s="1"/>
      <c r="P164" s="1"/>
      <c r="Q164" s="1"/>
    </row>
    <row r="165" spans="1:17" x14ac:dyDescent="0.35">
      <c r="A165" s="1"/>
      <c r="B165" s="1"/>
      <c r="C165" s="1"/>
      <c r="D165" s="1"/>
      <c r="E165" s="1"/>
      <c r="F165" s="1"/>
      <c r="G165" s="1"/>
      <c r="H165" s="1"/>
      <c r="I165" s="1"/>
      <c r="J165" s="1"/>
      <c r="K165" s="1"/>
      <c r="L165" s="1"/>
      <c r="M165" s="1"/>
      <c r="N165" s="1"/>
      <c r="O165" s="1"/>
      <c r="P165" s="1"/>
      <c r="Q165" s="1"/>
    </row>
    <row r="166" spans="1:17" x14ac:dyDescent="0.35">
      <c r="A166" s="1"/>
      <c r="B166" s="1"/>
      <c r="C166" s="1"/>
      <c r="D166" s="1"/>
      <c r="E166" s="1"/>
      <c r="F166" s="1"/>
      <c r="G166" s="1"/>
      <c r="H166" s="1"/>
      <c r="I166" s="1"/>
      <c r="J166" s="1"/>
      <c r="K166" s="1"/>
      <c r="L166" s="1"/>
      <c r="M166" s="1"/>
      <c r="N166" s="1"/>
      <c r="O166" s="1"/>
      <c r="P166" s="1"/>
      <c r="Q166" s="1"/>
    </row>
    <row r="167" spans="1:17" x14ac:dyDescent="0.35">
      <c r="A167" s="1"/>
      <c r="B167" s="1"/>
      <c r="C167" s="1"/>
      <c r="D167" s="1"/>
      <c r="E167" s="1"/>
      <c r="F167" s="1"/>
      <c r="G167" s="1"/>
      <c r="H167" s="1"/>
      <c r="I167" s="1"/>
      <c r="J167" s="1"/>
      <c r="K167" s="1"/>
      <c r="L167" s="1"/>
      <c r="M167" s="1"/>
      <c r="N167" s="1"/>
      <c r="O167" s="1"/>
      <c r="P167" s="1"/>
      <c r="Q167" s="1"/>
    </row>
    <row r="168" spans="1:17" x14ac:dyDescent="0.35">
      <c r="A168" s="1"/>
      <c r="B168" s="1"/>
      <c r="C168" s="1"/>
      <c r="D168" s="1"/>
      <c r="E168" s="1"/>
      <c r="F168" s="1"/>
      <c r="G168" s="1"/>
      <c r="H168" s="1"/>
      <c r="I168" s="1"/>
      <c r="J168" s="1"/>
      <c r="K168" s="1"/>
      <c r="L168" s="1"/>
      <c r="M168" s="1"/>
      <c r="N168" s="1"/>
      <c r="O168" s="1"/>
      <c r="P168" s="1"/>
      <c r="Q168" s="1"/>
    </row>
    <row r="169" spans="1:17" x14ac:dyDescent="0.35">
      <c r="A169" s="1"/>
      <c r="B169" s="1"/>
      <c r="C169" s="1"/>
      <c r="D169" s="1"/>
      <c r="E169" s="1"/>
      <c r="F169" s="1"/>
      <c r="G169" s="1"/>
      <c r="H169" s="1"/>
      <c r="I169" s="1"/>
      <c r="J169" s="1"/>
      <c r="K169" s="1"/>
      <c r="L169" s="1"/>
      <c r="M169" s="1"/>
      <c r="N169" s="1"/>
      <c r="O169" s="1"/>
      <c r="P169" s="1"/>
      <c r="Q169" s="1"/>
    </row>
    <row r="170" spans="1:17" x14ac:dyDescent="0.35">
      <c r="A170" s="1"/>
      <c r="B170" s="1"/>
      <c r="C170" s="1"/>
      <c r="D170" s="1"/>
      <c r="E170" s="1"/>
      <c r="F170" s="1"/>
      <c r="G170" s="1"/>
      <c r="H170" s="1"/>
      <c r="I170" s="1"/>
      <c r="J170" s="1"/>
      <c r="K170" s="1"/>
      <c r="L170" s="1"/>
      <c r="M170" s="1"/>
      <c r="N170" s="1"/>
      <c r="O170" s="1"/>
      <c r="P170" s="1"/>
      <c r="Q170" s="1"/>
    </row>
    <row r="171" spans="1:17" x14ac:dyDescent="0.35">
      <c r="A171" s="1"/>
      <c r="B171" s="1"/>
      <c r="C171" s="1"/>
      <c r="D171" s="1"/>
      <c r="E171" s="1"/>
      <c r="F171" s="1"/>
      <c r="G171" s="1"/>
      <c r="H171" s="1"/>
      <c r="I171" s="1"/>
      <c r="J171" s="1"/>
      <c r="K171" s="1"/>
      <c r="L171" s="1"/>
      <c r="M171" s="1"/>
      <c r="N171" s="1"/>
      <c r="O171" s="1"/>
      <c r="P171" s="1"/>
      <c r="Q171" s="1"/>
    </row>
    <row r="172" spans="1:17" x14ac:dyDescent="0.35">
      <c r="A172" s="1"/>
      <c r="B172" s="1"/>
      <c r="C172" s="1"/>
      <c r="D172" s="1"/>
      <c r="E172" s="1"/>
      <c r="F172" s="1"/>
      <c r="G172" s="1"/>
      <c r="H172" s="1"/>
      <c r="I172" s="1"/>
      <c r="J172" s="1"/>
      <c r="K172" s="1"/>
      <c r="L172" s="1"/>
      <c r="M172" s="1"/>
      <c r="N172" s="1"/>
      <c r="O172" s="1"/>
      <c r="P172" s="1"/>
      <c r="Q172" s="1"/>
    </row>
    <row r="173" spans="1:17" x14ac:dyDescent="0.35">
      <c r="A173" s="1"/>
      <c r="B173" s="1"/>
      <c r="C173" s="1"/>
      <c r="D173" s="1"/>
      <c r="E173" s="1"/>
      <c r="F173" s="1"/>
      <c r="G173" s="1"/>
      <c r="H173" s="1"/>
      <c r="I173" s="1"/>
      <c r="J173" s="1"/>
      <c r="K173" s="1"/>
      <c r="L173" s="1"/>
      <c r="M173" s="1"/>
      <c r="N173" s="1"/>
      <c r="O173" s="1"/>
      <c r="P173" s="1"/>
      <c r="Q173" s="1"/>
    </row>
    <row r="174" spans="1:17" x14ac:dyDescent="0.35">
      <c r="A174" s="1"/>
      <c r="B174" s="1"/>
      <c r="C174" s="1"/>
      <c r="D174" s="1"/>
      <c r="E174" s="1"/>
      <c r="F174" s="1"/>
      <c r="G174" s="1"/>
      <c r="H174" s="1"/>
      <c r="I174" s="1"/>
      <c r="J174" s="1"/>
      <c r="K174" s="1"/>
      <c r="L174" s="1"/>
      <c r="M174" s="1"/>
      <c r="N174" s="1"/>
      <c r="O174" s="1"/>
      <c r="P174" s="1"/>
      <c r="Q174" s="1"/>
    </row>
    <row r="175" spans="1:17" x14ac:dyDescent="0.35">
      <c r="A175" s="1"/>
      <c r="B175" s="1"/>
      <c r="C175" s="1"/>
      <c r="D175" s="1"/>
      <c r="E175" s="1"/>
      <c r="F175" s="1"/>
      <c r="G175" s="1"/>
      <c r="H175" s="1"/>
      <c r="I175" s="1"/>
      <c r="J175" s="1"/>
      <c r="K175" s="1"/>
      <c r="L175" s="1"/>
      <c r="M175" s="1"/>
      <c r="N175" s="1"/>
      <c r="O175" s="1"/>
      <c r="P175" s="1"/>
      <c r="Q175" s="1"/>
    </row>
    <row r="176" spans="1:17" x14ac:dyDescent="0.35">
      <c r="A176" s="1"/>
      <c r="B176" s="1"/>
      <c r="C176" s="1"/>
      <c r="D176" s="1"/>
      <c r="E176" s="1"/>
      <c r="F176" s="1"/>
      <c r="G176" s="1"/>
      <c r="H176" s="1"/>
      <c r="I176" s="1"/>
      <c r="J176" s="1"/>
      <c r="K176" s="1"/>
      <c r="L176" s="1"/>
      <c r="M176" s="1"/>
      <c r="N176" s="1"/>
      <c r="O176" s="1"/>
      <c r="P176" s="1"/>
      <c r="Q176" s="1"/>
    </row>
    <row r="177" spans="1:17" x14ac:dyDescent="0.35">
      <c r="A177" s="1"/>
      <c r="B177" s="1"/>
      <c r="C177" s="1"/>
      <c r="D177" s="1"/>
      <c r="E177" s="1"/>
      <c r="F177" s="1"/>
      <c r="G177" s="1"/>
      <c r="H177" s="1"/>
      <c r="I177" s="1"/>
      <c r="J177" s="1"/>
      <c r="K177" s="1"/>
      <c r="L177" s="1"/>
      <c r="M177" s="1"/>
      <c r="N177" s="1"/>
      <c r="O177" s="1"/>
      <c r="P177" s="1"/>
      <c r="Q177" s="1"/>
    </row>
    <row r="178" spans="1:17" x14ac:dyDescent="0.35">
      <c r="A178" s="1"/>
      <c r="B178" s="1"/>
      <c r="C178" s="1"/>
      <c r="D178" s="1"/>
      <c r="E178" s="1"/>
      <c r="F178" s="1"/>
      <c r="G178" s="1"/>
      <c r="H178" s="1"/>
      <c r="I178" s="1"/>
      <c r="J178" s="1"/>
      <c r="K178" s="1"/>
      <c r="L178" s="1"/>
      <c r="M178" s="1"/>
      <c r="N178" s="1"/>
      <c r="O178" s="1"/>
      <c r="P178" s="1"/>
      <c r="Q178" s="1"/>
    </row>
    <row r="179" spans="1:17" x14ac:dyDescent="0.35">
      <c r="A179" s="1"/>
      <c r="B179" s="1"/>
      <c r="C179" s="1"/>
      <c r="D179" s="1"/>
      <c r="E179" s="1"/>
      <c r="F179" s="1"/>
      <c r="G179" s="1"/>
      <c r="H179" s="1"/>
      <c r="I179" s="1"/>
      <c r="J179" s="1"/>
      <c r="K179" s="1"/>
      <c r="L179" s="1"/>
      <c r="M179" s="1"/>
      <c r="N179" s="1"/>
      <c r="O179" s="1"/>
      <c r="P179" s="1"/>
      <c r="Q179" s="1"/>
    </row>
    <row r="180" spans="1:17" x14ac:dyDescent="0.35">
      <c r="A180" s="1"/>
      <c r="B180" s="1"/>
      <c r="C180" s="1"/>
      <c r="D180" s="1"/>
      <c r="E180" s="1"/>
      <c r="F180" s="1"/>
      <c r="G180" s="1"/>
      <c r="H180" s="1"/>
      <c r="I180" s="1"/>
      <c r="J180" s="1"/>
      <c r="K180" s="1"/>
      <c r="L180" s="1"/>
      <c r="M180" s="1"/>
      <c r="N180" s="1"/>
      <c r="O180" s="1"/>
      <c r="P180" s="1"/>
      <c r="Q180" s="1"/>
    </row>
    <row r="181" spans="1:17" x14ac:dyDescent="0.35">
      <c r="A181" s="1"/>
      <c r="B181" s="1"/>
      <c r="C181" s="1"/>
      <c r="D181" s="1"/>
      <c r="E181" s="1"/>
      <c r="F181" s="1"/>
      <c r="G181" s="1"/>
      <c r="H181" s="1"/>
      <c r="I181" s="1"/>
      <c r="J181" s="1"/>
      <c r="K181" s="1"/>
      <c r="L181" s="1"/>
      <c r="M181" s="1"/>
      <c r="N181" s="1"/>
      <c r="O181" s="1"/>
      <c r="P181" s="1"/>
      <c r="Q181" s="1"/>
    </row>
    <row r="182" spans="1:17" x14ac:dyDescent="0.35">
      <c r="A182" s="1"/>
      <c r="B182" s="1"/>
      <c r="C182" s="1"/>
      <c r="D182" s="1"/>
      <c r="E182" s="1"/>
      <c r="F182" s="1"/>
      <c r="G182" s="1"/>
      <c r="H182" s="1"/>
      <c r="I182" s="1"/>
      <c r="J182" s="1"/>
      <c r="K182" s="1"/>
      <c r="L182" s="1"/>
      <c r="M182" s="1"/>
      <c r="N182" s="1"/>
      <c r="O182" s="1"/>
      <c r="P182" s="1"/>
      <c r="Q182" s="1"/>
    </row>
    <row r="183" spans="1:17" x14ac:dyDescent="0.35">
      <c r="A183" s="1"/>
      <c r="B183" s="1"/>
      <c r="C183" s="1"/>
      <c r="D183" s="1"/>
      <c r="E183" s="1"/>
      <c r="F183" s="1"/>
      <c r="G183" s="1"/>
      <c r="H183" s="1"/>
      <c r="I183" s="1"/>
      <c r="J183" s="1"/>
      <c r="K183" s="1"/>
      <c r="L183" s="1"/>
      <c r="M183" s="1"/>
      <c r="N183" s="1"/>
      <c r="O183" s="1"/>
      <c r="P183" s="1"/>
      <c r="Q183" s="1"/>
    </row>
    <row r="184" spans="1:17" x14ac:dyDescent="0.35">
      <c r="A184" s="1"/>
      <c r="B184" s="1"/>
      <c r="C184" s="1"/>
      <c r="D184" s="1"/>
      <c r="E184" s="1"/>
      <c r="F184" s="1"/>
      <c r="G184" s="1"/>
      <c r="H184" s="1"/>
      <c r="I184" s="1"/>
      <c r="J184" s="1"/>
      <c r="K184" s="1"/>
      <c r="L184" s="1"/>
      <c r="M184" s="1"/>
      <c r="N184" s="1"/>
      <c r="O184" s="1"/>
      <c r="P184" s="1"/>
      <c r="Q184" s="1"/>
    </row>
    <row r="185" spans="1:17" x14ac:dyDescent="0.35">
      <c r="A185" s="1"/>
      <c r="B185" s="1"/>
      <c r="C185" s="1"/>
      <c r="D185" s="1"/>
      <c r="E185" s="1"/>
      <c r="F185" s="1"/>
      <c r="G185" s="1"/>
      <c r="H185" s="1"/>
      <c r="I185" s="1"/>
      <c r="J185" s="1"/>
      <c r="K185" s="1"/>
      <c r="L185" s="1"/>
      <c r="M185" s="1"/>
      <c r="N185" s="1"/>
      <c r="O185" s="1"/>
      <c r="P185" s="1"/>
      <c r="Q185" s="1"/>
    </row>
    <row r="186" spans="1:17" x14ac:dyDescent="0.35">
      <c r="A186" s="1"/>
      <c r="B186" s="1"/>
      <c r="C186" s="1"/>
      <c r="D186" s="1"/>
      <c r="E186" s="1"/>
      <c r="F186" s="1"/>
      <c r="G186" s="1"/>
      <c r="H186" s="1"/>
      <c r="I186" s="1"/>
      <c r="J186" s="1"/>
      <c r="K186" s="1"/>
      <c r="L186" s="1"/>
      <c r="M186" s="1"/>
      <c r="N186" s="1"/>
      <c r="O186" s="1"/>
      <c r="P186" s="1"/>
      <c r="Q186" s="1"/>
    </row>
    <row r="187" spans="1:17" x14ac:dyDescent="0.35">
      <c r="A187" s="1"/>
      <c r="B187" s="1"/>
      <c r="C187" s="1"/>
      <c r="D187" s="1"/>
      <c r="E187" s="1"/>
      <c r="F187" s="1"/>
      <c r="G187" s="1"/>
      <c r="H187" s="1"/>
      <c r="I187" s="1"/>
      <c r="J187" s="1"/>
      <c r="K187" s="1"/>
      <c r="L187" s="1"/>
      <c r="M187" s="1"/>
      <c r="N187" s="1"/>
      <c r="O187" s="1"/>
      <c r="P187" s="1"/>
      <c r="Q187" s="1"/>
    </row>
    <row r="188" spans="1:17" x14ac:dyDescent="0.35">
      <c r="A188" s="1"/>
      <c r="B188" s="1"/>
      <c r="C188" s="1"/>
      <c r="D188" s="1"/>
      <c r="E188" s="1"/>
      <c r="F188" s="1"/>
      <c r="G188" s="1"/>
      <c r="H188" s="1"/>
      <c r="I188" s="1"/>
      <c r="J188" s="1"/>
      <c r="K188" s="1"/>
      <c r="L188" s="1"/>
      <c r="M188" s="1"/>
      <c r="N188" s="1"/>
      <c r="O188" s="1"/>
      <c r="P188" s="1"/>
      <c r="Q188" s="1"/>
    </row>
    <row r="189" spans="1:17" x14ac:dyDescent="0.35">
      <c r="A189" s="1"/>
      <c r="B189" s="1"/>
      <c r="C189" s="1"/>
      <c r="D189" s="1"/>
      <c r="E189" s="1"/>
      <c r="F189" s="1"/>
      <c r="G189" s="1"/>
      <c r="H189" s="1"/>
      <c r="I189" s="1"/>
      <c r="J189" s="1"/>
      <c r="K189" s="1"/>
      <c r="L189" s="1"/>
      <c r="M189" s="1"/>
      <c r="N189" s="1"/>
      <c r="O189" s="1"/>
      <c r="P189" s="1"/>
      <c r="Q189" s="1"/>
    </row>
    <row r="190" spans="1:17" x14ac:dyDescent="0.35">
      <c r="A190" s="1"/>
      <c r="B190" s="1"/>
      <c r="C190" s="1"/>
      <c r="D190" s="1"/>
      <c r="E190" s="1"/>
      <c r="F190" s="1"/>
      <c r="G190" s="1"/>
      <c r="H190" s="1"/>
      <c r="I190" s="1"/>
      <c r="J190" s="1"/>
      <c r="K190" s="1"/>
      <c r="L190" s="1"/>
      <c r="M190" s="1"/>
      <c r="N190" s="1"/>
      <c r="O190" s="1"/>
      <c r="P190" s="1"/>
      <c r="Q190" s="1"/>
    </row>
    <row r="191" spans="1:17" x14ac:dyDescent="0.35">
      <c r="A191" s="1"/>
      <c r="B191" s="1"/>
      <c r="C191" s="1"/>
      <c r="D191" s="1"/>
      <c r="E191" s="1"/>
      <c r="F191" s="1"/>
      <c r="G191" s="1"/>
      <c r="H191" s="1"/>
      <c r="I191" s="1"/>
      <c r="J191" s="1"/>
      <c r="K191" s="1"/>
      <c r="L191" s="1"/>
      <c r="M191" s="1"/>
      <c r="N191" s="1"/>
      <c r="O191" s="1"/>
      <c r="P191" s="1"/>
      <c r="Q191" s="1"/>
    </row>
    <row r="192" spans="1:17" x14ac:dyDescent="0.35">
      <c r="A192" s="1"/>
      <c r="B192" s="1"/>
      <c r="C192" s="1"/>
      <c r="D192" s="1"/>
      <c r="E192" s="1"/>
      <c r="F192" s="1"/>
      <c r="G192" s="1"/>
      <c r="H192" s="1"/>
      <c r="I192" s="1"/>
      <c r="J192" s="1"/>
      <c r="K192" s="1"/>
      <c r="L192" s="1"/>
      <c r="M192" s="1"/>
      <c r="N192" s="1"/>
      <c r="O192" s="1"/>
      <c r="P192" s="1"/>
      <c r="Q192" s="1"/>
    </row>
    <row r="193" spans="1:17" x14ac:dyDescent="0.35">
      <c r="A193" s="1"/>
      <c r="B193" s="1"/>
      <c r="C193" s="1"/>
      <c r="D193" s="1"/>
      <c r="E193" s="1"/>
      <c r="F193" s="1"/>
      <c r="G193" s="1"/>
      <c r="H193" s="1"/>
      <c r="I193" s="1"/>
      <c r="J193" s="1"/>
      <c r="K193" s="1"/>
      <c r="L193" s="1"/>
      <c r="M193" s="1"/>
      <c r="N193" s="1"/>
      <c r="O193" s="1"/>
      <c r="P193" s="1"/>
      <c r="Q193" s="1"/>
    </row>
    <row r="194" spans="1:17" x14ac:dyDescent="0.35">
      <c r="A194" s="1"/>
      <c r="B194" s="1"/>
      <c r="C194" s="1"/>
      <c r="D194" s="1"/>
      <c r="E194" s="1"/>
      <c r="F194" s="1"/>
      <c r="G194" s="1"/>
      <c r="H194" s="1"/>
      <c r="I194" s="1"/>
      <c r="J194" s="1"/>
      <c r="K194" s="1"/>
      <c r="L194" s="1"/>
      <c r="M194" s="1"/>
      <c r="N194" s="1"/>
      <c r="O194" s="1"/>
      <c r="P194" s="1"/>
      <c r="Q194" s="1"/>
    </row>
    <row r="195" spans="1:17" x14ac:dyDescent="0.35">
      <c r="A195" s="1"/>
      <c r="B195" s="1"/>
      <c r="C195" s="1"/>
      <c r="D195" s="1"/>
      <c r="E195" s="1"/>
      <c r="F195" s="1"/>
      <c r="G195" s="1"/>
      <c r="H195" s="1"/>
      <c r="I195" s="1"/>
      <c r="J195" s="1"/>
      <c r="K195" s="1"/>
      <c r="L195" s="1"/>
      <c r="M195" s="1"/>
      <c r="N195" s="1"/>
      <c r="O195" s="1"/>
      <c r="P195" s="1"/>
      <c r="Q195" s="1"/>
    </row>
    <row r="196" spans="1:17" x14ac:dyDescent="0.35">
      <c r="A196" s="1"/>
      <c r="B196" s="1"/>
      <c r="C196" s="1"/>
      <c r="D196" s="1"/>
      <c r="E196" s="1"/>
      <c r="F196" s="1"/>
      <c r="G196" s="1"/>
      <c r="H196" s="1"/>
      <c r="I196" s="1"/>
      <c r="J196" s="1"/>
      <c r="K196" s="1"/>
      <c r="L196" s="1"/>
      <c r="M196" s="1"/>
      <c r="N196" s="1"/>
      <c r="O196" s="1"/>
      <c r="P196" s="1"/>
      <c r="Q196" s="1"/>
    </row>
    <row r="197" spans="1:17" x14ac:dyDescent="0.35">
      <c r="A197" s="1"/>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1:17" x14ac:dyDescent="0.35">
      <c r="A198" s="1"/>
      <c r="B198" s="37"/>
      <c r="C198" s="38"/>
      <c r="D198" s="31"/>
      <c r="E198" s="32"/>
      <c r="F198" s="34"/>
      <c r="G198" s="33"/>
      <c r="H198" s="34"/>
      <c r="I198" s="33"/>
      <c r="J198" s="34"/>
      <c r="K198" s="34"/>
      <c r="L198" s="34"/>
      <c r="M198" s="33"/>
      <c r="N198" s="34"/>
      <c r="O198" s="35"/>
      <c r="P198" s="36"/>
      <c r="Q198" s="35"/>
    </row>
    <row r="199" spans="1:17" x14ac:dyDescent="0.35">
      <c r="A199" s="1"/>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1:17" x14ac:dyDescent="0.35">
      <c r="A200" s="1"/>
      <c r="B200" s="1"/>
      <c r="C200" s="1"/>
      <c r="D200" s="1"/>
      <c r="E200" s="1"/>
      <c r="F200" s="1"/>
      <c r="G200" s="1"/>
      <c r="H200" s="1"/>
      <c r="I200" s="1"/>
      <c r="J200" s="1"/>
      <c r="K200" s="1"/>
      <c r="L200" s="1"/>
      <c r="M200" s="1"/>
      <c r="N200" s="1"/>
      <c r="O200" s="1"/>
      <c r="P200" s="1"/>
      <c r="Q200" s="78" t="s">
        <v>21404</v>
      </c>
    </row>
    <row r="201" spans="1:17" x14ac:dyDescent="0.35">
      <c r="A201" s="1"/>
      <c r="B201" s="1"/>
      <c r="C201" s="78" t="s">
        <v>21592</v>
      </c>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77" t="s">
        <v>21399</v>
      </c>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t="s">
        <v>21398</v>
      </c>
      <c r="D205" s="1" t="s">
        <v>75</v>
      </c>
      <c r="E205" s="1" t="s">
        <v>13768</v>
      </c>
      <c r="F205" s="2" t="s">
        <v>21397</v>
      </c>
      <c r="G205" s="1" t="s">
        <v>9</v>
      </c>
      <c r="H205" s="1"/>
      <c r="I205" s="1"/>
      <c r="J205" s="1"/>
      <c r="K205" s="1"/>
      <c r="L205" s="1"/>
      <c r="M205" s="1"/>
      <c r="N205" s="1"/>
      <c r="O205" s="1"/>
      <c r="P205" s="1"/>
      <c r="Q205" s="1"/>
    </row>
    <row r="206" spans="1:17" x14ac:dyDescent="0.35">
      <c r="B206" s="49" t="s">
        <v>14767</v>
      </c>
      <c r="C206" s="352" t="s">
        <v>14768</v>
      </c>
    </row>
    <row r="207" spans="1:17" x14ac:dyDescent="0.35">
      <c r="B207" s="49" t="s">
        <v>14769</v>
      </c>
      <c r="C207" s="53" t="s">
        <v>14770</v>
      </c>
    </row>
    <row r="208" spans="1:17" x14ac:dyDescent="0.35">
      <c r="B208" s="49" t="s">
        <v>14771</v>
      </c>
      <c r="C208" s="53" t="s">
        <v>14772</v>
      </c>
    </row>
    <row r="209" spans="2:3" x14ac:dyDescent="0.35">
      <c r="B209" s="49" t="s">
        <v>14773</v>
      </c>
      <c r="C209" s="53" t="s">
        <v>14774</v>
      </c>
    </row>
    <row r="210" spans="2:3" x14ac:dyDescent="0.35">
      <c r="B210" s="49" t="s">
        <v>14775</v>
      </c>
      <c r="C210" s="53" t="s">
        <v>14776</v>
      </c>
    </row>
    <row r="211" spans="2:3" x14ac:dyDescent="0.35">
      <c r="B211" s="49" t="s">
        <v>14777</v>
      </c>
      <c r="C211" s="53" t="s">
        <v>14778</v>
      </c>
    </row>
  </sheetData>
  <mergeCells count="9">
    <mergeCell ref="J5:K5"/>
    <mergeCell ref="J6:K6"/>
    <mergeCell ref="J7:K7"/>
    <mergeCell ref="A3:B3"/>
    <mergeCell ref="D3:G3"/>
    <mergeCell ref="J3:K3"/>
    <mergeCell ref="P3:Q3"/>
    <mergeCell ref="A4:B4"/>
    <mergeCell ref="J4:K4"/>
  </mergeCells>
  <dataValidations count="1">
    <dataValidation type="list" allowBlank="1" showInputMessage="1" showErrorMessage="1" sqref="C16:C190" xr:uid="{738036B3-9364-4CB1-B24C-7055EE6193F0}">
      <formula1>$C$205:$C207</formula1>
    </dataValidation>
  </dataValidations>
  <hyperlinks>
    <hyperlink ref="D3" r:id="rId1" display="datamateapp@gmail.com" xr:uid="{5889DC06-58B9-4CDF-A1F6-5B372198E8DA}"/>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53665" r:id="rId4" name="Button 1">
              <controlPr defaultSize="0" print="0" autoFill="0" autoPict="0" macro="SaveData">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753666" r:id="rId5" name="Button 2">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753667"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753668"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753669" r:id="rId8" name="Button 5">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753670" r:id="rId9" name="Button 6">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753671" r:id="rId10" name="Button 7">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753672" r:id="rId11" name="Button 8">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mc:AlternateContent xmlns:mc="http://schemas.openxmlformats.org/markup-compatibility/2006">
          <mc:Choice Requires="x14">
            <control shapeId="753673" r:id="rId12" name="Button 9">
              <controlPr defaultSize="0" print="0" autoFill="0" autoPict="0" macro="[0]!ExitSEC_112000">
                <anchor moveWithCells="1" sizeWithCells="1">
                  <from>
                    <xdr:col>16</xdr:col>
                    <xdr:colOff>0</xdr:colOff>
                    <xdr:row>0</xdr:row>
                    <xdr:rowOff>0</xdr:rowOff>
                  </from>
                  <to>
                    <xdr:col>16</xdr:col>
                    <xdr:colOff>1270000</xdr:colOff>
                    <xdr:row>2</xdr:row>
                    <xdr:rowOff>12700</xdr:rowOff>
                  </to>
                </anchor>
              </controlPr>
            </control>
          </mc:Choice>
        </mc:AlternateContent>
      </controls>
    </mc:Choice>
  </mc:AlternateContent>
</worksheet>
</file>

<file path=xl/worksheets/sheet1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4BA1BF-ED88-4FE8-8A08-42FB5E0D2383}">
  <sheetPr codeName="Sheet138"/>
  <dimension ref="A1:Q207"/>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RESIDENTIAL EQUIPMENT</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11 30 00</v>
      </c>
      <c r="C10" s="24" t="str">
        <f>C206</f>
        <v>RESIDENTIAL EQUIPMENT</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RESIDENTIAL EQUIPMENT</v>
      </c>
      <c r="D12" s="31"/>
      <c r="E12" s="32"/>
      <c r="F12" s="34"/>
      <c r="G12" s="33"/>
      <c r="H12" s="34"/>
      <c r="I12" s="33"/>
      <c r="J12" s="34"/>
      <c r="K12" s="34"/>
      <c r="L12" s="34"/>
      <c r="M12" s="33"/>
      <c r="N12" s="34"/>
      <c r="O12" s="35"/>
      <c r="P12" s="31"/>
      <c r="Q12" s="35"/>
    </row>
    <row r="13" spans="1:17" x14ac:dyDescent="0.35">
      <c r="A13" s="1"/>
      <c r="B13" s="1"/>
      <c r="C13" s="1"/>
      <c r="D13" s="1"/>
      <c r="E13" s="1"/>
      <c r="F13" s="1"/>
      <c r="G13" s="1"/>
      <c r="H13" s="1"/>
      <c r="I13" s="1"/>
      <c r="J13" s="1"/>
      <c r="K13" s="1"/>
      <c r="L13" s="1"/>
      <c r="M13" s="1"/>
      <c r="N13" s="1"/>
      <c r="O13" s="1"/>
      <c r="P13" s="1"/>
      <c r="Q13" s="1"/>
    </row>
    <row r="14" spans="1:17" x14ac:dyDescent="0.35">
      <c r="A14" s="1"/>
      <c r="B14" s="1"/>
      <c r="C14" s="1"/>
      <c r="D14" s="1"/>
      <c r="E14" s="1"/>
      <c r="F14" s="1"/>
      <c r="G14" s="1"/>
      <c r="H14" s="1"/>
      <c r="I14" s="1"/>
      <c r="J14" s="1"/>
      <c r="K14" s="1"/>
      <c r="L14" s="1"/>
      <c r="M14" s="1"/>
      <c r="N14" s="1"/>
      <c r="O14" s="1"/>
      <c r="P14" s="1"/>
      <c r="Q14" s="1"/>
    </row>
    <row r="15" spans="1:17" x14ac:dyDescent="0.35">
      <c r="A15" s="1"/>
      <c r="B15" s="1"/>
      <c r="C15" s="1"/>
      <c r="D15" s="1"/>
      <c r="E15" s="1"/>
      <c r="F15" s="1"/>
      <c r="G15" s="1"/>
      <c r="H15" s="1"/>
      <c r="I15" s="1"/>
      <c r="J15" s="1"/>
      <c r="K15" s="1"/>
      <c r="L15" s="1"/>
      <c r="M15" s="1"/>
      <c r="N15" s="1"/>
      <c r="O15" s="1"/>
      <c r="P15" s="1"/>
      <c r="Q15" s="1"/>
    </row>
    <row r="16" spans="1:17" x14ac:dyDescent="0.35">
      <c r="A16" s="1"/>
      <c r="B16" s="1"/>
      <c r="C16" s="1"/>
      <c r="D16" s="1"/>
      <c r="E16" s="1"/>
      <c r="F16" s="1"/>
      <c r="G16" s="1"/>
      <c r="H16" s="1"/>
      <c r="I16" s="1"/>
      <c r="J16" s="1"/>
      <c r="K16" s="1"/>
      <c r="L16" s="1"/>
      <c r="M16" s="1"/>
      <c r="N16" s="1"/>
      <c r="O16" s="1"/>
      <c r="P16" s="1"/>
      <c r="Q16" s="1"/>
    </row>
    <row r="17" spans="1:17" x14ac:dyDescent="0.35">
      <c r="A17" s="1"/>
      <c r="B17" s="1"/>
      <c r="C17" s="1"/>
      <c r="D17" s="1"/>
      <c r="E17" s="1"/>
      <c r="F17" s="1"/>
      <c r="G17" s="1"/>
      <c r="H17" s="1"/>
      <c r="I17" s="1"/>
      <c r="J17" s="1"/>
      <c r="K17" s="1"/>
      <c r="L17" s="1"/>
      <c r="M17" s="1"/>
      <c r="N17" s="1"/>
      <c r="O17" s="1"/>
      <c r="P17" s="1"/>
      <c r="Q17" s="1"/>
    </row>
    <row r="18" spans="1:17" x14ac:dyDescent="0.35">
      <c r="A18" s="1"/>
      <c r="B18" s="1"/>
      <c r="C18" s="1"/>
      <c r="D18" s="1"/>
      <c r="E18" s="1"/>
      <c r="F18" s="1"/>
      <c r="G18" s="1"/>
      <c r="H18" s="1"/>
      <c r="I18" s="1"/>
      <c r="J18" s="1"/>
      <c r="K18" s="1"/>
      <c r="L18" s="1"/>
      <c r="M18" s="1"/>
      <c r="N18" s="1"/>
      <c r="O18" s="1"/>
      <c r="P18" s="1"/>
      <c r="Q18" s="1"/>
    </row>
    <row r="19" spans="1:17" x14ac:dyDescent="0.35">
      <c r="A19" s="1"/>
      <c r="B19" s="1"/>
      <c r="C19" s="1"/>
      <c r="D19" s="1"/>
      <c r="E19" s="1"/>
      <c r="F19" s="1"/>
      <c r="G19" s="1"/>
      <c r="H19" s="1"/>
      <c r="I19" s="1"/>
      <c r="J19" s="1"/>
      <c r="K19" s="1"/>
      <c r="L19" s="1"/>
      <c r="M19" s="1"/>
      <c r="N19" s="1"/>
      <c r="O19" s="1"/>
      <c r="P19" s="1"/>
      <c r="Q19" s="1"/>
    </row>
    <row r="20" spans="1:17" x14ac:dyDescent="0.35">
      <c r="A20" s="1"/>
      <c r="B20" s="1"/>
      <c r="C20" s="1"/>
      <c r="D20" s="1"/>
      <c r="E20" s="1"/>
      <c r="F20" s="1"/>
      <c r="G20" s="1"/>
      <c r="H20" s="1"/>
      <c r="I20" s="1"/>
      <c r="J20" s="1"/>
      <c r="K20" s="1"/>
      <c r="L20" s="1"/>
      <c r="M20" s="1"/>
      <c r="N20" s="1"/>
      <c r="O20" s="1"/>
      <c r="P20" s="1"/>
      <c r="Q20" s="1"/>
    </row>
    <row r="21" spans="1:17" x14ac:dyDescent="0.35">
      <c r="A21" s="1"/>
      <c r="B21" s="1"/>
      <c r="C21" s="1"/>
      <c r="D21" s="1"/>
      <c r="E21" s="1"/>
      <c r="F21" s="1"/>
      <c r="G21" s="1"/>
      <c r="H21" s="1"/>
      <c r="I21" s="1"/>
      <c r="J21" s="1"/>
      <c r="K21" s="1"/>
      <c r="L21" s="1"/>
      <c r="M21" s="1"/>
      <c r="N21" s="1"/>
      <c r="O21" s="1"/>
      <c r="P21" s="1"/>
      <c r="Q21" s="1"/>
    </row>
    <row r="22" spans="1:17" x14ac:dyDescent="0.35">
      <c r="A22" s="1"/>
      <c r="B22" s="1"/>
      <c r="C22" s="1"/>
      <c r="D22" s="1"/>
      <c r="E22" s="1"/>
      <c r="F22" s="1"/>
      <c r="G22" s="1"/>
      <c r="H22" s="1"/>
      <c r="I22" s="1"/>
      <c r="J22" s="1"/>
      <c r="K22" s="1"/>
      <c r="L22" s="1"/>
      <c r="M22" s="1"/>
      <c r="N22" s="1"/>
      <c r="O22" s="1"/>
      <c r="P22" s="1"/>
      <c r="Q22" s="1"/>
    </row>
    <row r="23" spans="1:17" x14ac:dyDescent="0.35">
      <c r="A23" s="1"/>
      <c r="B23" s="1"/>
      <c r="C23" s="1"/>
      <c r="D23" s="1"/>
      <c r="E23" s="1"/>
      <c r="F23" s="1"/>
      <c r="G23" s="1"/>
      <c r="H23" s="1"/>
      <c r="I23" s="1"/>
      <c r="J23" s="1"/>
      <c r="K23" s="1"/>
      <c r="L23" s="1"/>
      <c r="M23" s="1"/>
      <c r="N23" s="1"/>
      <c r="O23" s="1"/>
      <c r="P23" s="1"/>
      <c r="Q23" s="1"/>
    </row>
    <row r="24" spans="1:17" x14ac:dyDescent="0.35">
      <c r="A24" s="1"/>
      <c r="B24" s="1"/>
      <c r="C24" s="1"/>
      <c r="D24" s="1"/>
      <c r="E24" s="1"/>
      <c r="F24" s="1"/>
      <c r="G24" s="1"/>
      <c r="H24" s="1"/>
      <c r="I24" s="1"/>
      <c r="J24" s="1"/>
      <c r="K24" s="1"/>
      <c r="L24" s="1"/>
      <c r="M24" s="1"/>
      <c r="N24" s="1"/>
      <c r="O24" s="1"/>
      <c r="P24" s="1"/>
      <c r="Q24" s="1"/>
    </row>
    <row r="25" spans="1:17" x14ac:dyDescent="0.35">
      <c r="A25" s="1"/>
      <c r="B25" s="1"/>
      <c r="C25" s="1"/>
      <c r="D25" s="1"/>
      <c r="E25" s="1"/>
      <c r="F25" s="1"/>
      <c r="G25" s="1"/>
      <c r="H25" s="1"/>
      <c r="I25" s="1"/>
      <c r="J25" s="1"/>
      <c r="K25" s="1"/>
      <c r="L25" s="1"/>
      <c r="M25" s="1"/>
      <c r="N25" s="1"/>
      <c r="O25" s="1"/>
      <c r="P25" s="1"/>
      <c r="Q25" s="1"/>
    </row>
    <row r="26" spans="1:17" x14ac:dyDescent="0.35">
      <c r="A26" s="1"/>
      <c r="B26" s="1"/>
      <c r="C26" s="1"/>
      <c r="D26" s="1"/>
      <c r="E26" s="1"/>
      <c r="F26" s="1"/>
      <c r="G26" s="1"/>
      <c r="H26" s="1"/>
      <c r="I26" s="1"/>
      <c r="J26" s="1"/>
      <c r="K26" s="1"/>
      <c r="L26" s="1"/>
      <c r="M26" s="1"/>
      <c r="N26" s="1"/>
      <c r="O26" s="1"/>
      <c r="P26" s="1"/>
      <c r="Q26" s="1"/>
    </row>
    <row r="27" spans="1:17" x14ac:dyDescent="0.35">
      <c r="A27" s="1"/>
      <c r="B27" s="1"/>
      <c r="C27" s="1"/>
      <c r="D27" s="1"/>
      <c r="E27" s="1"/>
      <c r="F27" s="1"/>
      <c r="G27" s="1"/>
      <c r="H27" s="1"/>
      <c r="I27" s="1"/>
      <c r="J27" s="1"/>
      <c r="K27" s="1"/>
      <c r="L27" s="1"/>
      <c r="M27" s="1"/>
      <c r="N27" s="1"/>
      <c r="O27" s="1"/>
      <c r="P27" s="1"/>
      <c r="Q27" s="1"/>
    </row>
    <row r="28" spans="1:17" x14ac:dyDescent="0.35">
      <c r="A28" s="1"/>
      <c r="B28" s="1"/>
      <c r="C28" s="1"/>
      <c r="D28" s="1"/>
      <c r="E28" s="1"/>
      <c r="F28" s="1"/>
      <c r="G28" s="1"/>
      <c r="H28" s="1"/>
      <c r="I28" s="1"/>
      <c r="J28" s="1"/>
      <c r="K28" s="1"/>
      <c r="L28" s="1"/>
      <c r="M28" s="1"/>
      <c r="N28" s="1"/>
      <c r="O28" s="1"/>
      <c r="P28" s="1"/>
      <c r="Q28" s="1"/>
    </row>
    <row r="29" spans="1:17" x14ac:dyDescent="0.35">
      <c r="A29" s="1"/>
      <c r="B29" s="1"/>
      <c r="C29" s="1"/>
      <c r="D29" s="1"/>
      <c r="E29" s="1"/>
      <c r="F29" s="1"/>
      <c r="G29" s="1"/>
      <c r="H29" s="1"/>
      <c r="I29" s="1"/>
      <c r="J29" s="1"/>
      <c r="K29" s="1"/>
      <c r="L29" s="1"/>
      <c r="M29" s="1"/>
      <c r="N29" s="1"/>
      <c r="O29" s="1"/>
      <c r="P29" s="1"/>
      <c r="Q29" s="1"/>
    </row>
    <row r="30" spans="1:17" x14ac:dyDescent="0.35">
      <c r="A30" s="1"/>
      <c r="B30" s="1"/>
      <c r="C30" s="1"/>
      <c r="D30" s="1"/>
      <c r="E30" s="1"/>
      <c r="F30" s="1"/>
      <c r="G30" s="1"/>
      <c r="H30" s="1"/>
      <c r="I30" s="1"/>
      <c r="J30" s="1"/>
      <c r="K30" s="1"/>
      <c r="L30" s="1"/>
      <c r="M30" s="1"/>
      <c r="N30" s="1"/>
      <c r="O30" s="1"/>
      <c r="P30" s="1"/>
      <c r="Q30" s="1"/>
    </row>
    <row r="31" spans="1:17" x14ac:dyDescent="0.35">
      <c r="A31" s="1"/>
      <c r="B31" s="1"/>
      <c r="C31" s="1"/>
      <c r="D31" s="1"/>
      <c r="E31" s="1"/>
      <c r="F31" s="1"/>
      <c r="G31" s="1"/>
      <c r="H31" s="1"/>
      <c r="I31" s="1"/>
      <c r="J31" s="1"/>
      <c r="K31" s="1"/>
      <c r="L31" s="1"/>
      <c r="M31" s="1"/>
      <c r="N31" s="1"/>
      <c r="O31" s="1"/>
      <c r="P31" s="1"/>
      <c r="Q31" s="1"/>
    </row>
    <row r="32" spans="1:17" x14ac:dyDescent="0.35">
      <c r="A32" s="1"/>
      <c r="B32" s="1"/>
      <c r="C32" s="1"/>
      <c r="D32" s="1"/>
      <c r="E32" s="1"/>
      <c r="F32" s="1"/>
      <c r="G32" s="1"/>
      <c r="H32" s="1"/>
      <c r="I32" s="1"/>
      <c r="J32" s="1"/>
      <c r="K32" s="1"/>
      <c r="L32" s="1"/>
      <c r="M32" s="1"/>
      <c r="N32" s="1"/>
      <c r="O32" s="1"/>
      <c r="P32" s="1"/>
      <c r="Q32" s="1"/>
    </row>
    <row r="33" spans="1:17" x14ac:dyDescent="0.35">
      <c r="A33" s="1"/>
      <c r="B33" s="1"/>
      <c r="C33" s="1"/>
      <c r="D33" s="1"/>
      <c r="E33" s="1"/>
      <c r="F33" s="1"/>
      <c r="G33" s="1"/>
      <c r="H33" s="1"/>
      <c r="I33" s="1"/>
      <c r="J33" s="1"/>
      <c r="K33" s="1"/>
      <c r="L33" s="1"/>
      <c r="M33" s="1"/>
      <c r="N33" s="1"/>
      <c r="O33" s="1"/>
      <c r="P33" s="1"/>
      <c r="Q33" s="1"/>
    </row>
    <row r="34" spans="1:17" x14ac:dyDescent="0.35">
      <c r="A34" s="1"/>
      <c r="B34" s="1"/>
      <c r="C34" s="1"/>
      <c r="D34" s="1"/>
      <c r="E34" s="1"/>
      <c r="F34" s="1"/>
      <c r="G34" s="1"/>
      <c r="H34" s="1"/>
      <c r="I34" s="1"/>
      <c r="J34" s="1"/>
      <c r="K34" s="1"/>
      <c r="L34" s="1"/>
      <c r="M34" s="1"/>
      <c r="N34" s="1"/>
      <c r="O34" s="1"/>
      <c r="P34" s="1"/>
      <c r="Q34" s="1"/>
    </row>
    <row r="35" spans="1:17" x14ac:dyDescent="0.35">
      <c r="A35" s="1"/>
      <c r="B35" s="1"/>
      <c r="C35" s="1"/>
      <c r="D35" s="1"/>
      <c r="E35" s="1"/>
      <c r="F35" s="1"/>
      <c r="G35" s="1"/>
      <c r="H35" s="1"/>
      <c r="I35" s="1"/>
      <c r="J35" s="1"/>
      <c r="K35" s="1"/>
      <c r="L35" s="1"/>
      <c r="M35" s="1"/>
      <c r="N35" s="1"/>
      <c r="O35" s="1"/>
      <c r="P35" s="1"/>
      <c r="Q35" s="1"/>
    </row>
    <row r="36" spans="1:17" x14ac:dyDescent="0.35">
      <c r="A36" s="1"/>
      <c r="B36" s="1"/>
      <c r="C36" s="1"/>
      <c r="D36" s="1"/>
      <c r="E36" s="1"/>
      <c r="F36" s="1"/>
      <c r="G36" s="1"/>
      <c r="H36" s="1"/>
      <c r="I36" s="1"/>
      <c r="J36" s="1"/>
      <c r="K36" s="1"/>
      <c r="L36" s="1"/>
      <c r="M36" s="1"/>
      <c r="N36" s="1"/>
      <c r="O36" s="1"/>
      <c r="P36" s="1"/>
      <c r="Q36" s="1"/>
    </row>
    <row r="37" spans="1:17" x14ac:dyDescent="0.35">
      <c r="A37" s="1"/>
      <c r="B37" s="1"/>
      <c r="C37" s="1"/>
      <c r="D37" s="1"/>
      <c r="E37" s="1"/>
      <c r="F37" s="1"/>
      <c r="G37" s="1"/>
      <c r="H37" s="1"/>
      <c r="I37" s="1"/>
      <c r="J37" s="1"/>
      <c r="K37" s="1"/>
      <c r="L37" s="1"/>
      <c r="M37" s="1"/>
      <c r="N37" s="1"/>
      <c r="O37" s="1"/>
      <c r="P37" s="1"/>
      <c r="Q37" s="1"/>
    </row>
    <row r="38" spans="1:17" x14ac:dyDescent="0.35">
      <c r="A38" s="1"/>
      <c r="B38" s="1"/>
      <c r="C38" s="1"/>
      <c r="D38" s="1"/>
      <c r="E38" s="1"/>
      <c r="F38" s="1"/>
      <c r="G38" s="1"/>
      <c r="H38" s="1"/>
      <c r="I38" s="1"/>
      <c r="J38" s="1"/>
      <c r="K38" s="1"/>
      <c r="L38" s="1"/>
      <c r="M38" s="1"/>
      <c r="N38" s="1"/>
      <c r="O38" s="1"/>
      <c r="P38" s="1"/>
      <c r="Q38" s="1"/>
    </row>
    <row r="39" spans="1:17" x14ac:dyDescent="0.35">
      <c r="A39" s="1"/>
      <c r="B39" s="1"/>
      <c r="C39" s="1"/>
      <c r="D39" s="1"/>
      <c r="E39" s="1"/>
      <c r="F39" s="1"/>
      <c r="G39" s="1"/>
      <c r="H39" s="1"/>
      <c r="I39" s="1"/>
      <c r="J39" s="1"/>
      <c r="K39" s="1"/>
      <c r="L39" s="1"/>
      <c r="M39" s="1"/>
      <c r="N39" s="1"/>
      <c r="O39" s="1"/>
      <c r="P39" s="1"/>
      <c r="Q39" s="1"/>
    </row>
    <row r="40" spans="1:17" x14ac:dyDescent="0.35">
      <c r="A40" s="1"/>
      <c r="B40" s="1"/>
      <c r="C40" s="1"/>
      <c r="D40" s="1"/>
      <c r="E40" s="1"/>
      <c r="F40" s="1"/>
      <c r="G40" s="1"/>
      <c r="H40" s="1"/>
      <c r="I40" s="1"/>
      <c r="J40" s="1"/>
      <c r="K40" s="1"/>
      <c r="L40" s="1"/>
      <c r="M40" s="1"/>
      <c r="N40" s="1"/>
      <c r="O40" s="1"/>
      <c r="P40" s="1"/>
      <c r="Q40" s="1"/>
    </row>
    <row r="41" spans="1:17" x14ac:dyDescent="0.35">
      <c r="A41" s="1"/>
      <c r="B41" s="1"/>
      <c r="C41" s="1"/>
      <c r="D41" s="1"/>
      <c r="E41" s="1"/>
      <c r="F41" s="1"/>
      <c r="G41" s="1"/>
      <c r="H41" s="1"/>
      <c r="I41" s="1"/>
      <c r="J41" s="1"/>
      <c r="K41" s="1"/>
      <c r="L41" s="1"/>
      <c r="M41" s="1"/>
      <c r="N41" s="1"/>
      <c r="O41" s="1"/>
      <c r="P41" s="1"/>
      <c r="Q41" s="1"/>
    </row>
    <row r="42" spans="1:17" x14ac:dyDescent="0.35">
      <c r="A42" s="1"/>
      <c r="B42" s="1"/>
      <c r="C42" s="1"/>
      <c r="D42" s="1"/>
      <c r="E42" s="1"/>
      <c r="F42" s="1"/>
      <c r="G42" s="1"/>
      <c r="H42" s="1"/>
      <c r="I42" s="1"/>
      <c r="J42" s="1"/>
      <c r="K42" s="1"/>
      <c r="L42" s="1"/>
      <c r="M42" s="1"/>
      <c r="N42" s="1"/>
      <c r="O42" s="1"/>
      <c r="P42" s="1"/>
      <c r="Q42" s="1"/>
    </row>
    <row r="43" spans="1:17" x14ac:dyDescent="0.35">
      <c r="A43" s="1"/>
      <c r="B43" s="1"/>
      <c r="C43" s="1"/>
      <c r="D43" s="1"/>
      <c r="E43" s="1"/>
      <c r="F43" s="1"/>
      <c r="G43" s="1"/>
      <c r="H43" s="1"/>
      <c r="I43" s="1"/>
      <c r="J43" s="1"/>
      <c r="K43" s="1"/>
      <c r="L43" s="1"/>
      <c r="M43" s="1"/>
      <c r="N43" s="1"/>
      <c r="O43" s="1"/>
      <c r="P43" s="1"/>
      <c r="Q43" s="1"/>
    </row>
    <row r="44" spans="1:17" x14ac:dyDescent="0.35">
      <c r="A44" s="1"/>
      <c r="B44" s="1"/>
      <c r="C44" s="1"/>
      <c r="D44" s="1"/>
      <c r="E44" s="1"/>
      <c r="F44" s="1"/>
      <c r="G44" s="1"/>
      <c r="H44" s="1"/>
      <c r="I44" s="1"/>
      <c r="J44" s="1"/>
      <c r="K44" s="1"/>
      <c r="L44" s="1"/>
      <c r="M44" s="1"/>
      <c r="N44" s="1"/>
      <c r="O44" s="1"/>
      <c r="P44" s="1"/>
      <c r="Q44" s="1"/>
    </row>
    <row r="45" spans="1:17" x14ac:dyDescent="0.35">
      <c r="A45" s="1"/>
      <c r="B45" s="1"/>
      <c r="C45" s="1"/>
      <c r="D45" s="1"/>
      <c r="E45" s="1"/>
      <c r="F45" s="1"/>
      <c r="G45" s="1"/>
      <c r="H45" s="1"/>
      <c r="I45" s="1"/>
      <c r="J45" s="1"/>
      <c r="K45" s="1"/>
      <c r="L45" s="1"/>
      <c r="M45" s="1"/>
      <c r="N45" s="1"/>
      <c r="O45" s="1"/>
      <c r="P45" s="1"/>
      <c r="Q45" s="1"/>
    </row>
    <row r="46" spans="1:17" x14ac:dyDescent="0.35">
      <c r="A46" s="1"/>
      <c r="B46" s="1"/>
      <c r="C46" s="1"/>
      <c r="D46" s="1"/>
      <c r="E46" s="1"/>
      <c r="F46" s="1"/>
      <c r="G46" s="1"/>
      <c r="H46" s="1"/>
      <c r="I46" s="1"/>
      <c r="J46" s="1"/>
      <c r="K46" s="1"/>
      <c r="L46" s="1"/>
      <c r="M46" s="1"/>
      <c r="N46" s="1"/>
      <c r="O46" s="1"/>
      <c r="P46" s="1"/>
      <c r="Q46" s="1"/>
    </row>
    <row r="47" spans="1:17" x14ac:dyDescent="0.35">
      <c r="A47" s="1"/>
      <c r="B47" s="1"/>
      <c r="C47" s="1"/>
      <c r="D47" s="1"/>
      <c r="E47" s="1"/>
      <c r="F47" s="1"/>
      <c r="G47" s="1"/>
      <c r="H47" s="1"/>
      <c r="I47" s="1"/>
      <c r="J47" s="1"/>
      <c r="K47" s="1"/>
      <c r="L47" s="1"/>
      <c r="M47" s="1"/>
      <c r="N47" s="1"/>
      <c r="O47" s="1"/>
      <c r="P47" s="1"/>
      <c r="Q47" s="1"/>
    </row>
    <row r="48" spans="1:17" x14ac:dyDescent="0.35">
      <c r="A48" s="1"/>
      <c r="B48" s="1"/>
      <c r="C48" s="1"/>
      <c r="D48" s="1"/>
      <c r="E48" s="1"/>
      <c r="F48" s="1"/>
      <c r="G48" s="1"/>
      <c r="H48" s="1"/>
      <c r="I48" s="1"/>
      <c r="J48" s="1"/>
      <c r="K48" s="1"/>
      <c r="L48" s="1"/>
      <c r="M48" s="1"/>
      <c r="N48" s="1"/>
      <c r="O48" s="1"/>
      <c r="P48" s="1"/>
      <c r="Q48" s="1"/>
    </row>
    <row r="49" spans="1:17" x14ac:dyDescent="0.35">
      <c r="A49" s="1"/>
      <c r="B49" s="1"/>
      <c r="C49" s="1"/>
      <c r="D49" s="1"/>
      <c r="E49" s="1"/>
      <c r="F49" s="1"/>
      <c r="G49" s="1"/>
      <c r="H49" s="1"/>
      <c r="I49" s="1"/>
      <c r="J49" s="1"/>
      <c r="K49" s="1"/>
      <c r="L49" s="1"/>
      <c r="M49" s="1"/>
      <c r="N49" s="1"/>
      <c r="O49" s="1"/>
      <c r="P49" s="1"/>
      <c r="Q49" s="1"/>
    </row>
    <row r="50" spans="1:17" x14ac:dyDescent="0.35">
      <c r="A50" s="1"/>
      <c r="B50" s="1"/>
      <c r="C50" s="1"/>
      <c r="D50" s="1"/>
      <c r="E50" s="1"/>
      <c r="F50" s="1"/>
      <c r="G50" s="1"/>
      <c r="H50" s="1"/>
      <c r="I50" s="1"/>
      <c r="J50" s="1"/>
      <c r="K50" s="1"/>
      <c r="L50" s="1"/>
      <c r="M50" s="1"/>
      <c r="N50" s="1"/>
      <c r="O50" s="1"/>
      <c r="P50" s="1"/>
      <c r="Q50" s="1"/>
    </row>
    <row r="51" spans="1:17" x14ac:dyDescent="0.35">
      <c r="A51" s="1"/>
      <c r="B51" s="1"/>
      <c r="C51" s="1"/>
      <c r="D51" s="1"/>
      <c r="E51" s="1"/>
      <c r="F51" s="1"/>
      <c r="G51" s="1"/>
      <c r="H51" s="1"/>
      <c r="I51" s="1"/>
      <c r="J51" s="1"/>
      <c r="K51" s="1"/>
      <c r="L51" s="1"/>
      <c r="M51" s="1"/>
      <c r="N51" s="1"/>
      <c r="O51" s="1"/>
      <c r="P51" s="1"/>
      <c r="Q51" s="1"/>
    </row>
    <row r="52" spans="1:17" x14ac:dyDescent="0.35">
      <c r="A52" s="1"/>
      <c r="B52" s="1"/>
      <c r="C52" s="1"/>
      <c r="D52" s="1"/>
      <c r="E52" s="1"/>
      <c r="F52" s="1"/>
      <c r="G52" s="1"/>
      <c r="H52" s="1"/>
      <c r="I52" s="1"/>
      <c r="J52" s="1"/>
      <c r="K52" s="1"/>
      <c r="L52" s="1"/>
      <c r="M52" s="1"/>
      <c r="N52" s="1"/>
      <c r="O52" s="1"/>
      <c r="P52" s="1"/>
      <c r="Q52" s="1"/>
    </row>
    <row r="53" spans="1:17" x14ac:dyDescent="0.35">
      <c r="A53" s="1"/>
      <c r="B53" s="1"/>
      <c r="C53" s="1"/>
      <c r="D53" s="1"/>
      <c r="E53" s="1"/>
      <c r="F53" s="1"/>
      <c r="G53" s="1"/>
      <c r="H53" s="1"/>
      <c r="I53" s="1"/>
      <c r="J53" s="1"/>
      <c r="K53" s="1"/>
      <c r="L53" s="1"/>
      <c r="M53" s="1"/>
      <c r="N53" s="1"/>
      <c r="O53" s="1"/>
      <c r="P53" s="1"/>
      <c r="Q53" s="1"/>
    </row>
    <row r="54" spans="1:17" x14ac:dyDescent="0.35">
      <c r="A54" s="1"/>
      <c r="B54" s="1"/>
      <c r="C54" s="1"/>
      <c r="D54" s="1"/>
      <c r="E54" s="1"/>
      <c r="F54" s="1"/>
      <c r="G54" s="1"/>
      <c r="H54" s="1"/>
      <c r="I54" s="1"/>
      <c r="J54" s="1"/>
      <c r="K54" s="1"/>
      <c r="L54" s="1"/>
      <c r="M54" s="1"/>
      <c r="N54" s="1"/>
      <c r="O54" s="1"/>
      <c r="P54" s="1"/>
      <c r="Q54" s="1"/>
    </row>
    <row r="55" spans="1:17" x14ac:dyDescent="0.35">
      <c r="A55" s="1"/>
      <c r="B55" s="1"/>
      <c r="C55" s="1"/>
      <c r="D55" s="1"/>
      <c r="E55" s="1"/>
      <c r="F55" s="1"/>
      <c r="G55" s="1"/>
      <c r="H55" s="1"/>
      <c r="I55" s="1"/>
      <c r="J55" s="1"/>
      <c r="K55" s="1"/>
      <c r="L55" s="1"/>
      <c r="M55" s="1"/>
      <c r="N55" s="1"/>
      <c r="O55" s="1"/>
      <c r="P55" s="1"/>
      <c r="Q55" s="1"/>
    </row>
    <row r="56" spans="1:17" x14ac:dyDescent="0.35">
      <c r="A56" s="1"/>
      <c r="B56" s="1"/>
      <c r="C56" s="1"/>
      <c r="D56" s="1"/>
      <c r="E56" s="1"/>
      <c r="F56" s="1"/>
      <c r="G56" s="1"/>
      <c r="H56" s="1"/>
      <c r="I56" s="1"/>
      <c r="J56" s="1"/>
      <c r="K56" s="1"/>
      <c r="L56" s="1"/>
      <c r="M56" s="1"/>
      <c r="N56" s="1"/>
      <c r="O56" s="1"/>
      <c r="P56" s="1"/>
      <c r="Q56" s="1"/>
    </row>
    <row r="57" spans="1:17" x14ac:dyDescent="0.35">
      <c r="A57" s="1"/>
      <c r="B57" s="1"/>
      <c r="C57" s="1"/>
      <c r="D57" s="1"/>
      <c r="E57" s="1"/>
      <c r="F57" s="1"/>
      <c r="G57" s="1"/>
      <c r="H57" s="1"/>
      <c r="I57" s="1"/>
      <c r="J57" s="1"/>
      <c r="K57" s="1"/>
      <c r="L57" s="1"/>
      <c r="M57" s="1"/>
      <c r="N57" s="1"/>
      <c r="O57" s="1"/>
      <c r="P57" s="1"/>
      <c r="Q57" s="1"/>
    </row>
    <row r="58" spans="1:17" x14ac:dyDescent="0.35">
      <c r="A58" s="1"/>
      <c r="B58" s="1"/>
      <c r="C58" s="1"/>
      <c r="D58" s="1"/>
      <c r="E58" s="1"/>
      <c r="F58" s="1"/>
      <c r="G58" s="1"/>
      <c r="H58" s="1"/>
      <c r="I58" s="1"/>
      <c r="J58" s="1"/>
      <c r="K58" s="1"/>
      <c r="L58" s="1"/>
      <c r="M58" s="1"/>
      <c r="N58" s="1"/>
      <c r="O58" s="1"/>
      <c r="P58" s="1"/>
      <c r="Q58" s="1"/>
    </row>
    <row r="59" spans="1:17" x14ac:dyDescent="0.35">
      <c r="A59" s="1"/>
      <c r="B59" s="1"/>
      <c r="C59" s="1"/>
      <c r="D59" s="1"/>
      <c r="E59" s="1"/>
      <c r="F59" s="1"/>
      <c r="G59" s="1"/>
      <c r="H59" s="1"/>
      <c r="I59" s="1"/>
      <c r="J59" s="1"/>
      <c r="K59" s="1"/>
      <c r="L59" s="1"/>
      <c r="M59" s="1"/>
      <c r="N59" s="1"/>
      <c r="O59" s="1"/>
      <c r="P59" s="1"/>
      <c r="Q59" s="1"/>
    </row>
    <row r="60" spans="1:17" x14ac:dyDescent="0.35">
      <c r="A60" s="1"/>
      <c r="B60" s="1"/>
      <c r="C60" s="1"/>
      <c r="D60" s="1"/>
      <c r="E60" s="1"/>
      <c r="F60" s="1"/>
      <c r="G60" s="1"/>
      <c r="H60" s="1"/>
      <c r="I60" s="1"/>
      <c r="J60" s="1"/>
      <c r="K60" s="1"/>
      <c r="L60" s="1"/>
      <c r="M60" s="1"/>
      <c r="N60" s="1"/>
      <c r="O60" s="1"/>
      <c r="P60" s="1"/>
      <c r="Q60" s="1"/>
    </row>
    <row r="61" spans="1:17" x14ac:dyDescent="0.35">
      <c r="A61" s="1"/>
      <c r="B61" s="1"/>
      <c r="C61" s="1"/>
      <c r="D61" s="1"/>
      <c r="E61" s="1"/>
      <c r="F61" s="1"/>
      <c r="G61" s="1"/>
      <c r="H61" s="1"/>
      <c r="I61" s="1"/>
      <c r="J61" s="1"/>
      <c r="K61" s="1"/>
      <c r="L61" s="1"/>
      <c r="M61" s="1"/>
      <c r="N61" s="1"/>
      <c r="O61" s="1"/>
      <c r="P61" s="1"/>
      <c r="Q61" s="1"/>
    </row>
    <row r="62" spans="1:17" x14ac:dyDescent="0.35">
      <c r="A62" s="1"/>
      <c r="B62" s="1"/>
      <c r="C62" s="1"/>
      <c r="D62" s="1"/>
      <c r="E62" s="1"/>
      <c r="F62" s="1"/>
      <c r="G62" s="1"/>
      <c r="H62" s="1"/>
      <c r="I62" s="1"/>
      <c r="J62" s="1"/>
      <c r="K62" s="1"/>
      <c r="L62" s="1"/>
      <c r="M62" s="1"/>
      <c r="N62" s="1"/>
      <c r="O62" s="1"/>
      <c r="P62" s="1"/>
      <c r="Q62" s="1"/>
    </row>
    <row r="63" spans="1:17" x14ac:dyDescent="0.35">
      <c r="A63" s="1"/>
      <c r="B63" s="1"/>
      <c r="C63" s="1"/>
      <c r="D63" s="1"/>
      <c r="E63" s="1"/>
      <c r="F63" s="1"/>
      <c r="G63" s="1"/>
      <c r="H63" s="1"/>
      <c r="I63" s="1"/>
      <c r="J63" s="1"/>
      <c r="K63" s="1"/>
      <c r="L63" s="1"/>
      <c r="M63" s="1"/>
      <c r="N63" s="1"/>
      <c r="O63" s="1"/>
      <c r="P63" s="1"/>
      <c r="Q63" s="1"/>
    </row>
    <row r="64" spans="1:17" x14ac:dyDescent="0.35">
      <c r="A64" s="1"/>
      <c r="B64" s="1"/>
      <c r="C64" s="1"/>
      <c r="D64" s="1"/>
      <c r="E64" s="1"/>
      <c r="F64" s="1"/>
      <c r="G64" s="1"/>
      <c r="H64" s="1"/>
      <c r="I64" s="1"/>
      <c r="J64" s="1"/>
      <c r="K64" s="1"/>
      <c r="L64" s="1"/>
      <c r="M64" s="1"/>
      <c r="N64" s="1"/>
      <c r="O64" s="1"/>
      <c r="P64" s="1"/>
      <c r="Q64" s="1"/>
    </row>
    <row r="65" spans="1:17" x14ac:dyDescent="0.35">
      <c r="A65" s="1"/>
      <c r="B65" s="1"/>
      <c r="C65" s="1"/>
      <c r="D65" s="1"/>
      <c r="E65" s="1"/>
      <c r="F65" s="1"/>
      <c r="G65" s="1"/>
      <c r="H65" s="1"/>
      <c r="I65" s="1"/>
      <c r="J65" s="1"/>
      <c r="K65" s="1"/>
      <c r="L65" s="1"/>
      <c r="M65" s="1"/>
      <c r="N65" s="1"/>
      <c r="O65" s="1"/>
      <c r="P65" s="1"/>
      <c r="Q65" s="1"/>
    </row>
    <row r="66" spans="1:17" x14ac:dyDescent="0.35">
      <c r="A66" s="1"/>
      <c r="B66" s="1"/>
      <c r="C66" s="1"/>
      <c r="D66" s="1"/>
      <c r="E66" s="1"/>
      <c r="F66" s="1"/>
      <c r="G66" s="1"/>
      <c r="H66" s="1"/>
      <c r="I66" s="1"/>
      <c r="J66" s="1"/>
      <c r="K66" s="1"/>
      <c r="L66" s="1"/>
      <c r="M66" s="1"/>
      <c r="N66" s="1"/>
      <c r="O66" s="1"/>
      <c r="P66" s="1"/>
      <c r="Q66" s="1"/>
    </row>
    <row r="67" spans="1:17" x14ac:dyDescent="0.35">
      <c r="A67" s="1"/>
      <c r="B67" s="1"/>
      <c r="C67" s="1"/>
      <c r="D67" s="1"/>
      <c r="E67" s="1"/>
      <c r="F67" s="1"/>
      <c r="G67" s="1"/>
      <c r="H67" s="1"/>
      <c r="I67" s="1"/>
      <c r="J67" s="1"/>
      <c r="K67" s="1"/>
      <c r="L67" s="1"/>
      <c r="M67" s="1"/>
      <c r="N67" s="1"/>
      <c r="O67" s="1"/>
      <c r="P67" s="1"/>
      <c r="Q67" s="1"/>
    </row>
    <row r="68" spans="1:17" x14ac:dyDescent="0.35">
      <c r="A68" s="1"/>
      <c r="B68" s="1"/>
      <c r="C68" s="1"/>
      <c r="D68" s="1"/>
      <c r="E68" s="1"/>
      <c r="F68" s="1"/>
      <c r="G68" s="1"/>
      <c r="H68" s="1"/>
      <c r="I68" s="1"/>
      <c r="J68" s="1"/>
      <c r="K68" s="1"/>
      <c r="L68" s="1"/>
      <c r="M68" s="1"/>
      <c r="N68" s="1"/>
      <c r="O68" s="1"/>
      <c r="P68" s="1"/>
      <c r="Q68" s="1"/>
    </row>
    <row r="69" spans="1:17" x14ac:dyDescent="0.35">
      <c r="A69" s="1"/>
      <c r="B69" s="1"/>
      <c r="C69" s="1"/>
      <c r="D69" s="1"/>
      <c r="E69" s="1"/>
      <c r="F69" s="1"/>
      <c r="G69" s="1"/>
      <c r="H69" s="1"/>
      <c r="I69" s="1"/>
      <c r="J69" s="1"/>
      <c r="K69" s="1"/>
      <c r="L69" s="1"/>
      <c r="M69" s="1"/>
      <c r="N69" s="1"/>
      <c r="O69" s="1"/>
      <c r="P69" s="1"/>
      <c r="Q69" s="1"/>
    </row>
    <row r="70" spans="1:17" x14ac:dyDescent="0.35">
      <c r="A70" s="1"/>
      <c r="B70" s="1"/>
      <c r="C70" s="1"/>
      <c r="D70" s="1"/>
      <c r="E70" s="1"/>
      <c r="F70" s="1"/>
      <c r="G70" s="1"/>
      <c r="H70" s="1"/>
      <c r="I70" s="1"/>
      <c r="J70" s="1"/>
      <c r="K70" s="1"/>
      <c r="L70" s="1"/>
      <c r="M70" s="1"/>
      <c r="N70" s="1"/>
      <c r="O70" s="1"/>
      <c r="P70" s="1"/>
      <c r="Q70" s="1"/>
    </row>
    <row r="71" spans="1:17" x14ac:dyDescent="0.35">
      <c r="A71" s="1"/>
      <c r="B71" s="1"/>
      <c r="C71" s="1"/>
      <c r="D71" s="1"/>
      <c r="E71" s="1"/>
      <c r="F71" s="1"/>
      <c r="G71" s="1"/>
      <c r="H71" s="1"/>
      <c r="I71" s="1"/>
      <c r="J71" s="1"/>
      <c r="K71" s="1"/>
      <c r="L71" s="1"/>
      <c r="M71" s="1"/>
      <c r="N71" s="1"/>
      <c r="O71" s="1"/>
      <c r="P71" s="1"/>
      <c r="Q71" s="1"/>
    </row>
    <row r="72" spans="1:17" x14ac:dyDescent="0.35">
      <c r="A72" s="1"/>
      <c r="B72" s="1"/>
      <c r="C72" s="1"/>
      <c r="D72" s="1"/>
      <c r="E72" s="1"/>
      <c r="F72" s="1"/>
      <c r="G72" s="1"/>
      <c r="H72" s="1"/>
      <c r="I72" s="1"/>
      <c r="J72" s="1"/>
      <c r="K72" s="1"/>
      <c r="L72" s="1"/>
      <c r="M72" s="1"/>
      <c r="N72" s="1"/>
      <c r="O72" s="1"/>
      <c r="P72" s="1"/>
      <c r="Q72" s="1"/>
    </row>
    <row r="73" spans="1:17" x14ac:dyDescent="0.35">
      <c r="A73" s="1"/>
      <c r="B73" s="1"/>
      <c r="C73" s="1"/>
      <c r="D73" s="1"/>
      <c r="E73" s="1"/>
      <c r="F73" s="1"/>
      <c r="G73" s="1"/>
      <c r="H73" s="1"/>
      <c r="I73" s="1"/>
      <c r="J73" s="1"/>
      <c r="K73" s="1"/>
      <c r="L73" s="1"/>
      <c r="M73" s="1"/>
      <c r="N73" s="1"/>
      <c r="O73" s="1"/>
      <c r="P73" s="1"/>
      <c r="Q73" s="1"/>
    </row>
    <row r="74" spans="1:17" x14ac:dyDescent="0.35">
      <c r="A74" s="1"/>
      <c r="B74" s="1"/>
      <c r="C74" s="1"/>
      <c r="D74" s="1"/>
      <c r="E74" s="1"/>
      <c r="F74" s="1"/>
      <c r="G74" s="1"/>
      <c r="H74" s="1"/>
      <c r="I74" s="1"/>
      <c r="J74" s="1"/>
      <c r="K74" s="1"/>
      <c r="L74" s="1"/>
      <c r="M74" s="1"/>
      <c r="N74" s="1"/>
      <c r="O74" s="1"/>
      <c r="P74" s="1"/>
      <c r="Q74" s="1"/>
    </row>
    <row r="75" spans="1:17" x14ac:dyDescent="0.35">
      <c r="A75" s="1"/>
      <c r="B75" s="1"/>
      <c r="C75" s="1"/>
      <c r="D75" s="1"/>
      <c r="E75" s="1"/>
      <c r="F75" s="1"/>
      <c r="G75" s="1"/>
      <c r="H75" s="1"/>
      <c r="I75" s="1"/>
      <c r="J75" s="1"/>
      <c r="K75" s="1"/>
      <c r="L75" s="1"/>
      <c r="M75" s="1"/>
      <c r="N75" s="1"/>
      <c r="O75" s="1"/>
      <c r="P75" s="1"/>
      <c r="Q75" s="1"/>
    </row>
    <row r="76" spans="1:17" x14ac:dyDescent="0.35">
      <c r="A76" s="1"/>
      <c r="B76" s="1"/>
      <c r="C76" s="1"/>
      <c r="D76" s="1"/>
      <c r="E76" s="1"/>
      <c r="F76" s="1"/>
      <c r="G76" s="1"/>
      <c r="H76" s="1"/>
      <c r="I76" s="1"/>
      <c r="J76" s="1"/>
      <c r="K76" s="1"/>
      <c r="L76" s="1"/>
      <c r="M76" s="1"/>
      <c r="N76" s="1"/>
      <c r="O76" s="1"/>
      <c r="P76" s="1"/>
      <c r="Q76" s="1"/>
    </row>
    <row r="77" spans="1:17" x14ac:dyDescent="0.35">
      <c r="A77" s="1"/>
      <c r="B77" s="1"/>
      <c r="C77" s="1"/>
      <c r="D77" s="1"/>
      <c r="E77" s="1"/>
      <c r="F77" s="1"/>
      <c r="G77" s="1"/>
      <c r="H77" s="1"/>
      <c r="I77" s="1"/>
      <c r="J77" s="1"/>
      <c r="K77" s="1"/>
      <c r="L77" s="1"/>
      <c r="M77" s="1"/>
      <c r="N77" s="1"/>
      <c r="O77" s="1"/>
      <c r="P77" s="1"/>
      <c r="Q77" s="1"/>
    </row>
    <row r="78" spans="1:17" x14ac:dyDescent="0.35">
      <c r="A78" s="1"/>
      <c r="B78" s="1"/>
      <c r="C78" s="1"/>
      <c r="D78" s="1"/>
      <c r="E78" s="1"/>
      <c r="F78" s="1"/>
      <c r="G78" s="1"/>
      <c r="H78" s="1"/>
      <c r="I78" s="1"/>
      <c r="J78" s="1"/>
      <c r="K78" s="1"/>
      <c r="L78" s="1"/>
      <c r="M78" s="1"/>
      <c r="N78" s="1"/>
      <c r="O78" s="1"/>
      <c r="P78" s="1"/>
      <c r="Q78" s="1"/>
    </row>
    <row r="79" spans="1:17" x14ac:dyDescent="0.35">
      <c r="A79" s="1"/>
      <c r="B79" s="1"/>
      <c r="C79" s="1"/>
      <c r="D79" s="1"/>
      <c r="E79" s="1"/>
      <c r="F79" s="1"/>
      <c r="G79" s="1"/>
      <c r="H79" s="1"/>
      <c r="I79" s="1"/>
      <c r="J79" s="1"/>
      <c r="K79" s="1"/>
      <c r="L79" s="1"/>
      <c r="M79" s="1"/>
      <c r="N79" s="1"/>
      <c r="O79" s="1"/>
      <c r="P79" s="1"/>
      <c r="Q79" s="1"/>
    </row>
    <row r="80" spans="1:17" x14ac:dyDescent="0.35">
      <c r="A80" s="1"/>
      <c r="B80" s="1"/>
      <c r="C80" s="1"/>
      <c r="D80" s="1"/>
      <c r="E80" s="1"/>
      <c r="F80" s="1"/>
      <c r="G80" s="1"/>
      <c r="H80" s="1"/>
      <c r="I80" s="1"/>
      <c r="J80" s="1"/>
      <c r="K80" s="1"/>
      <c r="L80" s="1"/>
      <c r="M80" s="1"/>
      <c r="N80" s="1"/>
      <c r="O80" s="1"/>
      <c r="P80" s="1"/>
      <c r="Q80" s="1"/>
    </row>
    <row r="81" spans="1:17" x14ac:dyDescent="0.35">
      <c r="A81" s="1"/>
      <c r="B81" s="1"/>
      <c r="C81" s="1"/>
      <c r="D81" s="1"/>
      <c r="E81" s="1"/>
      <c r="F81" s="1"/>
      <c r="G81" s="1"/>
      <c r="H81" s="1"/>
      <c r="I81" s="1"/>
      <c r="J81" s="1"/>
      <c r="K81" s="1"/>
      <c r="L81" s="1"/>
      <c r="M81" s="1"/>
      <c r="N81" s="1"/>
      <c r="O81" s="1"/>
      <c r="P81" s="1"/>
      <c r="Q81" s="1"/>
    </row>
    <row r="82" spans="1:17" x14ac:dyDescent="0.35">
      <c r="A82" s="1"/>
      <c r="B82" s="1"/>
      <c r="C82" s="1"/>
      <c r="D82" s="1"/>
      <c r="E82" s="1"/>
      <c r="F82" s="1"/>
      <c r="G82" s="1"/>
      <c r="H82" s="1"/>
      <c r="I82" s="1"/>
      <c r="J82" s="1"/>
      <c r="K82" s="1"/>
      <c r="L82" s="1"/>
      <c r="M82" s="1"/>
      <c r="N82" s="1"/>
      <c r="O82" s="1"/>
      <c r="P82" s="1"/>
      <c r="Q82" s="1"/>
    </row>
    <row r="83" spans="1:17" x14ac:dyDescent="0.35">
      <c r="A83" s="1"/>
      <c r="B83" s="1"/>
      <c r="C83" s="1"/>
      <c r="D83" s="1"/>
      <c r="E83" s="1"/>
      <c r="F83" s="1"/>
      <c r="G83" s="1"/>
      <c r="H83" s="1"/>
      <c r="I83" s="1"/>
      <c r="J83" s="1"/>
      <c r="K83" s="1"/>
      <c r="L83" s="1"/>
      <c r="M83" s="1"/>
      <c r="N83" s="1"/>
      <c r="O83" s="1"/>
      <c r="P83" s="1"/>
      <c r="Q83" s="1"/>
    </row>
    <row r="84" spans="1:17" x14ac:dyDescent="0.35">
      <c r="A84" s="1"/>
      <c r="B84" s="1"/>
      <c r="C84" s="1"/>
      <c r="D84" s="1"/>
      <c r="E84" s="1"/>
      <c r="F84" s="1"/>
      <c r="G84" s="1"/>
      <c r="H84" s="1"/>
      <c r="I84" s="1"/>
      <c r="J84" s="1"/>
      <c r="K84" s="1"/>
      <c r="L84" s="1"/>
      <c r="M84" s="1"/>
      <c r="N84" s="1"/>
      <c r="O84" s="1"/>
      <c r="P84" s="1"/>
      <c r="Q84" s="1"/>
    </row>
    <row r="85" spans="1:17" x14ac:dyDescent="0.35">
      <c r="A85" s="1"/>
      <c r="B85" s="1"/>
      <c r="C85" s="1"/>
      <c r="D85" s="1"/>
      <c r="E85" s="1"/>
      <c r="F85" s="1"/>
      <c r="G85" s="1"/>
      <c r="H85" s="1"/>
      <c r="I85" s="1"/>
      <c r="J85" s="1"/>
      <c r="K85" s="1"/>
      <c r="L85" s="1"/>
      <c r="M85" s="1"/>
      <c r="N85" s="1"/>
      <c r="O85" s="1"/>
      <c r="P85" s="1"/>
      <c r="Q85" s="1"/>
    </row>
    <row r="86" spans="1:17" x14ac:dyDescent="0.35">
      <c r="A86" s="1"/>
      <c r="B86" s="1"/>
      <c r="C86" s="1"/>
      <c r="D86" s="1"/>
      <c r="E86" s="1"/>
      <c r="F86" s="1"/>
      <c r="G86" s="1"/>
      <c r="H86" s="1"/>
      <c r="I86" s="1"/>
      <c r="J86" s="1"/>
      <c r="K86" s="1"/>
      <c r="L86" s="1"/>
      <c r="M86" s="1"/>
      <c r="N86" s="1"/>
      <c r="O86" s="1"/>
      <c r="P86" s="1"/>
      <c r="Q86" s="1"/>
    </row>
    <row r="87" spans="1:17" x14ac:dyDescent="0.35">
      <c r="A87" s="1"/>
      <c r="B87" s="1"/>
      <c r="C87" s="1"/>
      <c r="D87" s="1"/>
      <c r="E87" s="1"/>
      <c r="F87" s="1"/>
      <c r="G87" s="1"/>
      <c r="H87" s="1"/>
      <c r="I87" s="1"/>
      <c r="J87" s="1"/>
      <c r="K87" s="1"/>
      <c r="L87" s="1"/>
      <c r="M87" s="1"/>
      <c r="N87" s="1"/>
      <c r="O87" s="1"/>
      <c r="P87" s="1"/>
      <c r="Q87" s="1"/>
    </row>
    <row r="88" spans="1:17" x14ac:dyDescent="0.35">
      <c r="A88" s="1"/>
      <c r="B88" s="1"/>
      <c r="C88" s="1"/>
      <c r="D88" s="1"/>
      <c r="E88" s="1"/>
      <c r="F88" s="1"/>
      <c r="G88" s="1"/>
      <c r="H88" s="1"/>
      <c r="I88" s="1"/>
      <c r="J88" s="1"/>
      <c r="K88" s="1"/>
      <c r="L88" s="1"/>
      <c r="M88" s="1"/>
      <c r="N88" s="1"/>
      <c r="O88" s="1"/>
      <c r="P88" s="1"/>
      <c r="Q88" s="1"/>
    </row>
    <row r="89" spans="1:17" x14ac:dyDescent="0.35">
      <c r="A89" s="1"/>
      <c r="B89" s="1"/>
      <c r="C89" s="1"/>
      <c r="D89" s="1"/>
      <c r="E89" s="1"/>
      <c r="F89" s="1"/>
      <c r="G89" s="1"/>
      <c r="H89" s="1"/>
      <c r="I89" s="1"/>
      <c r="J89" s="1"/>
      <c r="K89" s="1"/>
      <c r="L89" s="1"/>
      <c r="M89" s="1"/>
      <c r="N89" s="1"/>
      <c r="O89" s="1"/>
      <c r="P89" s="1"/>
      <c r="Q89" s="1"/>
    </row>
    <row r="90" spans="1:17" x14ac:dyDescent="0.35">
      <c r="A90" s="1"/>
      <c r="B90" s="1"/>
      <c r="C90" s="1"/>
      <c r="D90" s="1"/>
      <c r="E90" s="1"/>
      <c r="F90" s="1"/>
      <c r="G90" s="1"/>
      <c r="H90" s="1"/>
      <c r="I90" s="1"/>
      <c r="J90" s="1"/>
      <c r="K90" s="1"/>
      <c r="L90" s="1"/>
      <c r="M90" s="1"/>
      <c r="N90" s="1"/>
      <c r="O90" s="1"/>
      <c r="P90" s="1"/>
      <c r="Q90" s="1"/>
    </row>
    <row r="91" spans="1:17" x14ac:dyDescent="0.35">
      <c r="A91" s="1"/>
      <c r="B91" s="1"/>
      <c r="C91" s="1"/>
      <c r="D91" s="1"/>
      <c r="E91" s="1"/>
      <c r="F91" s="1"/>
      <c r="G91" s="1"/>
      <c r="H91" s="1"/>
      <c r="I91" s="1"/>
      <c r="J91" s="1"/>
      <c r="K91" s="1"/>
      <c r="L91" s="1"/>
      <c r="M91" s="1"/>
      <c r="N91" s="1"/>
      <c r="O91" s="1"/>
      <c r="P91" s="1"/>
      <c r="Q91" s="1"/>
    </row>
    <row r="92" spans="1:17" x14ac:dyDescent="0.35">
      <c r="A92" s="1"/>
      <c r="B92" s="1"/>
      <c r="C92" s="1"/>
      <c r="D92" s="1"/>
      <c r="E92" s="1"/>
      <c r="F92" s="1"/>
      <c r="G92" s="1"/>
      <c r="H92" s="1"/>
      <c r="I92" s="1"/>
      <c r="J92" s="1"/>
      <c r="K92" s="1"/>
      <c r="L92" s="1"/>
      <c r="M92" s="1"/>
      <c r="N92" s="1"/>
      <c r="O92" s="1"/>
      <c r="P92" s="1"/>
      <c r="Q92" s="1"/>
    </row>
    <row r="93" spans="1:17" x14ac:dyDescent="0.35">
      <c r="A93" s="1"/>
      <c r="B93" s="1"/>
      <c r="C93" s="1"/>
      <c r="D93" s="1"/>
      <c r="E93" s="1"/>
      <c r="F93" s="1"/>
      <c r="G93" s="1"/>
      <c r="H93" s="1"/>
      <c r="I93" s="1"/>
      <c r="J93" s="1"/>
      <c r="K93" s="1"/>
      <c r="L93" s="1"/>
      <c r="M93" s="1"/>
      <c r="N93" s="1"/>
      <c r="O93" s="1"/>
      <c r="P93" s="1"/>
      <c r="Q93" s="1"/>
    </row>
    <row r="94" spans="1:17" x14ac:dyDescent="0.35">
      <c r="A94" s="1"/>
      <c r="B94" s="1"/>
      <c r="C94" s="1"/>
      <c r="D94" s="1"/>
      <c r="E94" s="1"/>
      <c r="F94" s="1"/>
      <c r="G94" s="1"/>
      <c r="H94" s="1"/>
      <c r="I94" s="1"/>
      <c r="J94" s="1"/>
      <c r="K94" s="1"/>
      <c r="L94" s="1"/>
      <c r="M94" s="1"/>
      <c r="N94" s="1"/>
      <c r="O94" s="1"/>
      <c r="P94" s="1"/>
      <c r="Q94" s="1"/>
    </row>
    <row r="95" spans="1:17" x14ac:dyDescent="0.35">
      <c r="A95" s="1"/>
      <c r="B95" s="1"/>
      <c r="C95" s="1"/>
      <c r="D95" s="1"/>
      <c r="E95" s="1"/>
      <c r="F95" s="1"/>
      <c r="G95" s="1"/>
      <c r="H95" s="1"/>
      <c r="I95" s="1"/>
      <c r="J95" s="1"/>
      <c r="K95" s="1"/>
      <c r="L95" s="1"/>
      <c r="M95" s="1"/>
      <c r="N95" s="1"/>
      <c r="O95" s="1"/>
      <c r="P95" s="1"/>
      <c r="Q95" s="1"/>
    </row>
    <row r="96" spans="1:17" x14ac:dyDescent="0.35">
      <c r="A96" s="1"/>
      <c r="B96" s="1"/>
      <c r="C96" s="1"/>
      <c r="D96" s="1"/>
      <c r="E96" s="1"/>
      <c r="F96" s="1"/>
      <c r="G96" s="1"/>
      <c r="H96" s="1"/>
      <c r="I96" s="1"/>
      <c r="J96" s="1"/>
      <c r="K96" s="1"/>
      <c r="L96" s="1"/>
      <c r="M96" s="1"/>
      <c r="N96" s="1"/>
      <c r="O96" s="1"/>
      <c r="P96" s="1"/>
      <c r="Q96" s="1"/>
    </row>
    <row r="97" spans="1:17" x14ac:dyDescent="0.35">
      <c r="A97" s="1"/>
      <c r="B97" s="1"/>
      <c r="C97" s="1"/>
      <c r="D97" s="1"/>
      <c r="E97" s="1"/>
      <c r="F97" s="1"/>
      <c r="G97" s="1"/>
      <c r="H97" s="1"/>
      <c r="I97" s="1"/>
      <c r="J97" s="1"/>
      <c r="K97" s="1"/>
      <c r="L97" s="1"/>
      <c r="M97" s="1"/>
      <c r="N97" s="1"/>
      <c r="O97" s="1"/>
      <c r="P97" s="1"/>
      <c r="Q97" s="1"/>
    </row>
    <row r="98" spans="1:17" x14ac:dyDescent="0.35">
      <c r="A98" s="1"/>
      <c r="B98" s="1"/>
      <c r="C98" s="1"/>
      <c r="D98" s="1"/>
      <c r="E98" s="1"/>
      <c r="F98" s="1"/>
      <c r="G98" s="1"/>
      <c r="H98" s="1"/>
      <c r="I98" s="1"/>
      <c r="J98" s="1"/>
      <c r="K98" s="1"/>
      <c r="L98" s="1"/>
      <c r="M98" s="1"/>
      <c r="N98" s="1"/>
      <c r="O98" s="1"/>
      <c r="P98" s="1"/>
      <c r="Q98" s="1"/>
    </row>
    <row r="99" spans="1:17" x14ac:dyDescent="0.35">
      <c r="A99" s="1"/>
      <c r="B99" s="1"/>
      <c r="C99" s="1"/>
      <c r="D99" s="1"/>
      <c r="E99" s="1"/>
      <c r="F99" s="1"/>
      <c r="G99" s="1"/>
      <c r="H99" s="1"/>
      <c r="I99" s="1"/>
      <c r="J99" s="1"/>
      <c r="K99" s="1"/>
      <c r="L99" s="1"/>
      <c r="M99" s="1"/>
      <c r="N99" s="1"/>
      <c r="O99" s="1"/>
      <c r="P99" s="1"/>
      <c r="Q99" s="1"/>
    </row>
    <row r="100" spans="1:17" x14ac:dyDescent="0.35">
      <c r="A100" s="1"/>
      <c r="B100" s="1"/>
      <c r="C100" s="1"/>
      <c r="D100" s="1"/>
      <c r="E100" s="1"/>
      <c r="F100" s="1"/>
      <c r="G100" s="1"/>
      <c r="H100" s="1"/>
      <c r="I100" s="1"/>
      <c r="J100" s="1"/>
      <c r="K100" s="1"/>
      <c r="L100" s="1"/>
      <c r="M100" s="1"/>
      <c r="N100" s="1"/>
      <c r="O100" s="1"/>
      <c r="P100" s="1"/>
      <c r="Q100" s="1"/>
    </row>
    <row r="101" spans="1:17" x14ac:dyDescent="0.35">
      <c r="A101" s="1"/>
      <c r="B101" s="1"/>
      <c r="C101" s="1"/>
      <c r="D101" s="1"/>
      <c r="E101" s="1"/>
      <c r="F101" s="1"/>
      <c r="G101" s="1"/>
      <c r="H101" s="1"/>
      <c r="I101" s="1"/>
      <c r="J101" s="1"/>
      <c r="K101" s="1"/>
      <c r="L101" s="1"/>
      <c r="M101" s="1"/>
      <c r="N101" s="1"/>
      <c r="O101" s="1"/>
      <c r="P101" s="1"/>
      <c r="Q101" s="1"/>
    </row>
    <row r="102" spans="1:17" x14ac:dyDescent="0.35">
      <c r="A102" s="1"/>
      <c r="B102" s="1"/>
      <c r="C102" s="1"/>
      <c r="D102" s="1"/>
      <c r="E102" s="1"/>
      <c r="F102" s="1"/>
      <c r="G102" s="1"/>
      <c r="H102" s="1"/>
      <c r="I102" s="1"/>
      <c r="J102" s="1"/>
      <c r="K102" s="1"/>
      <c r="L102" s="1"/>
      <c r="M102" s="1"/>
      <c r="N102" s="1"/>
      <c r="O102" s="1"/>
      <c r="P102" s="1"/>
      <c r="Q102" s="1"/>
    </row>
    <row r="103" spans="1:17" x14ac:dyDescent="0.35">
      <c r="A103" s="1"/>
      <c r="B103" s="1"/>
      <c r="C103" s="1"/>
      <c r="D103" s="1"/>
      <c r="E103" s="1"/>
      <c r="F103" s="1"/>
      <c r="G103" s="1"/>
      <c r="H103" s="1"/>
      <c r="I103" s="1"/>
      <c r="J103" s="1"/>
      <c r="K103" s="1"/>
      <c r="L103" s="1"/>
      <c r="M103" s="1"/>
      <c r="N103" s="1"/>
      <c r="O103" s="1"/>
      <c r="P103" s="1"/>
      <c r="Q103" s="1"/>
    </row>
    <row r="104" spans="1:17" x14ac:dyDescent="0.35">
      <c r="A104" s="1"/>
      <c r="B104" s="1"/>
      <c r="C104" s="1"/>
      <c r="D104" s="1"/>
      <c r="E104" s="1"/>
      <c r="F104" s="1"/>
      <c r="G104" s="1"/>
      <c r="H104" s="1"/>
      <c r="I104" s="1"/>
      <c r="J104" s="1"/>
      <c r="K104" s="1"/>
      <c r="L104" s="1"/>
      <c r="M104" s="1"/>
      <c r="N104" s="1"/>
      <c r="O104" s="1"/>
      <c r="P104" s="1"/>
      <c r="Q104" s="1"/>
    </row>
    <row r="105" spans="1:17" x14ac:dyDescent="0.35">
      <c r="A105" s="1"/>
      <c r="B105" s="1"/>
      <c r="C105" s="1"/>
      <c r="D105" s="1"/>
      <c r="E105" s="1"/>
      <c r="F105" s="1"/>
      <c r="G105" s="1"/>
      <c r="H105" s="1"/>
      <c r="I105" s="1"/>
      <c r="J105" s="1"/>
      <c r="K105" s="1"/>
      <c r="L105" s="1"/>
      <c r="M105" s="1"/>
      <c r="N105" s="1"/>
      <c r="O105" s="1"/>
      <c r="P105" s="1"/>
      <c r="Q105" s="1"/>
    </row>
    <row r="106" spans="1:17" x14ac:dyDescent="0.35">
      <c r="A106" s="1"/>
      <c r="B106" s="1"/>
      <c r="C106" s="1"/>
      <c r="D106" s="1"/>
      <c r="E106" s="1"/>
      <c r="F106" s="1"/>
      <c r="G106" s="1"/>
      <c r="H106" s="1"/>
      <c r="I106" s="1"/>
      <c r="J106" s="1"/>
      <c r="K106" s="1"/>
      <c r="L106" s="1"/>
      <c r="M106" s="1"/>
      <c r="N106" s="1"/>
      <c r="O106" s="1"/>
      <c r="P106" s="1"/>
      <c r="Q106" s="1"/>
    </row>
    <row r="107" spans="1:17" x14ac:dyDescent="0.35">
      <c r="A107" s="1"/>
      <c r="B107" s="1"/>
      <c r="C107" s="1"/>
      <c r="D107" s="1"/>
      <c r="E107" s="1"/>
      <c r="F107" s="1"/>
      <c r="G107" s="1"/>
      <c r="H107" s="1"/>
      <c r="I107" s="1"/>
      <c r="J107" s="1"/>
      <c r="K107" s="1"/>
      <c r="L107" s="1"/>
      <c r="M107" s="1"/>
      <c r="N107" s="1"/>
      <c r="O107" s="1"/>
      <c r="P107" s="1"/>
      <c r="Q107" s="1"/>
    </row>
    <row r="108" spans="1:17" x14ac:dyDescent="0.35">
      <c r="A108" s="1"/>
      <c r="B108" s="1"/>
      <c r="C108" s="1"/>
      <c r="D108" s="1"/>
      <c r="E108" s="1"/>
      <c r="F108" s="1"/>
      <c r="G108" s="1"/>
      <c r="H108" s="1"/>
      <c r="I108" s="1"/>
      <c r="J108" s="1"/>
      <c r="K108" s="1"/>
      <c r="L108" s="1"/>
      <c r="M108" s="1"/>
      <c r="N108" s="1"/>
      <c r="O108" s="1"/>
      <c r="P108" s="1"/>
      <c r="Q108" s="1"/>
    </row>
    <row r="109" spans="1:17" x14ac:dyDescent="0.35">
      <c r="A109" s="1"/>
      <c r="B109" s="1"/>
      <c r="C109" s="1"/>
      <c r="D109" s="1"/>
      <c r="E109" s="1"/>
      <c r="F109" s="1"/>
      <c r="G109" s="1"/>
      <c r="H109" s="1"/>
      <c r="I109" s="1"/>
      <c r="J109" s="1"/>
      <c r="K109" s="1"/>
      <c r="L109" s="1"/>
      <c r="M109" s="1"/>
      <c r="N109" s="1"/>
      <c r="O109" s="1"/>
      <c r="P109" s="1"/>
      <c r="Q109" s="1"/>
    </row>
    <row r="110" spans="1:17" x14ac:dyDescent="0.35">
      <c r="A110" s="1"/>
      <c r="B110" s="1"/>
      <c r="C110" s="1"/>
      <c r="D110" s="1"/>
      <c r="E110" s="1"/>
      <c r="F110" s="1"/>
      <c r="G110" s="1"/>
      <c r="H110" s="1"/>
      <c r="I110" s="1"/>
      <c r="J110" s="1"/>
      <c r="K110" s="1"/>
      <c r="L110" s="1"/>
      <c r="M110" s="1"/>
      <c r="N110" s="1"/>
      <c r="O110" s="1"/>
      <c r="P110" s="1"/>
      <c r="Q110" s="1"/>
    </row>
    <row r="111" spans="1:17" x14ac:dyDescent="0.35">
      <c r="A111" s="1"/>
      <c r="B111" s="1"/>
      <c r="C111" s="1"/>
      <c r="D111" s="1"/>
      <c r="E111" s="1"/>
      <c r="F111" s="1"/>
      <c r="G111" s="1"/>
      <c r="H111" s="1"/>
      <c r="I111" s="1"/>
      <c r="J111" s="1"/>
      <c r="K111" s="1"/>
      <c r="L111" s="1"/>
      <c r="M111" s="1"/>
      <c r="N111" s="1"/>
      <c r="O111" s="1"/>
      <c r="P111" s="1"/>
      <c r="Q111" s="1"/>
    </row>
    <row r="112" spans="1:17" x14ac:dyDescent="0.35">
      <c r="A112" s="1"/>
      <c r="B112" s="1"/>
      <c r="C112" s="1"/>
      <c r="D112" s="1"/>
      <c r="E112" s="1"/>
      <c r="F112" s="1"/>
      <c r="G112" s="1"/>
      <c r="H112" s="1"/>
      <c r="I112" s="1"/>
      <c r="J112" s="1"/>
      <c r="K112" s="1"/>
      <c r="L112" s="1"/>
      <c r="M112" s="1"/>
      <c r="N112" s="1"/>
      <c r="O112" s="1"/>
      <c r="P112" s="1"/>
      <c r="Q112" s="1"/>
    </row>
    <row r="113" spans="1:17" x14ac:dyDescent="0.35">
      <c r="A113" s="1"/>
      <c r="B113" s="1"/>
      <c r="C113" s="1"/>
      <c r="D113" s="1"/>
      <c r="E113" s="1"/>
      <c r="F113" s="1"/>
      <c r="G113" s="1"/>
      <c r="H113" s="1"/>
      <c r="I113" s="1"/>
      <c r="J113" s="1"/>
      <c r="K113" s="1"/>
      <c r="L113" s="1"/>
      <c r="M113" s="1"/>
      <c r="N113" s="1"/>
      <c r="O113" s="1"/>
      <c r="P113" s="1"/>
      <c r="Q113" s="1"/>
    </row>
    <row r="114" spans="1:17" x14ac:dyDescent="0.35">
      <c r="A114" s="1"/>
      <c r="B114" s="1"/>
      <c r="C114" s="1"/>
      <c r="D114" s="1"/>
      <c r="E114" s="1"/>
      <c r="F114" s="1"/>
      <c r="G114" s="1"/>
      <c r="H114" s="1"/>
      <c r="I114" s="1"/>
      <c r="J114" s="1"/>
      <c r="K114" s="1"/>
      <c r="L114" s="1"/>
      <c r="M114" s="1"/>
      <c r="N114" s="1"/>
      <c r="O114" s="1"/>
      <c r="P114" s="1"/>
      <c r="Q114" s="1"/>
    </row>
    <row r="115" spans="1:17" x14ac:dyDescent="0.35">
      <c r="A115" s="1"/>
      <c r="B115" s="1"/>
      <c r="C115" s="1"/>
      <c r="D115" s="1"/>
      <c r="E115" s="1"/>
      <c r="F115" s="1"/>
      <c r="G115" s="1"/>
      <c r="H115" s="1"/>
      <c r="I115" s="1"/>
      <c r="J115" s="1"/>
      <c r="K115" s="1"/>
      <c r="L115" s="1"/>
      <c r="M115" s="1"/>
      <c r="N115" s="1"/>
      <c r="O115" s="1"/>
      <c r="P115" s="1"/>
      <c r="Q115" s="1"/>
    </row>
    <row r="116" spans="1:17" x14ac:dyDescent="0.35">
      <c r="A116" s="1"/>
      <c r="B116" s="1"/>
      <c r="C116" s="1"/>
      <c r="D116" s="1"/>
      <c r="E116" s="1"/>
      <c r="F116" s="1"/>
      <c r="G116" s="1"/>
      <c r="H116" s="1"/>
      <c r="I116" s="1"/>
      <c r="J116" s="1"/>
      <c r="K116" s="1"/>
      <c r="L116" s="1"/>
      <c r="M116" s="1"/>
      <c r="N116" s="1"/>
      <c r="O116" s="1"/>
      <c r="P116" s="1"/>
      <c r="Q116" s="1"/>
    </row>
    <row r="117" spans="1:17" x14ac:dyDescent="0.35">
      <c r="A117" s="1"/>
      <c r="B117" s="1"/>
      <c r="C117" s="1"/>
      <c r="D117" s="1"/>
      <c r="E117" s="1"/>
      <c r="F117" s="1"/>
      <c r="G117" s="1"/>
      <c r="H117" s="1"/>
      <c r="I117" s="1"/>
      <c r="J117" s="1"/>
      <c r="K117" s="1"/>
      <c r="L117" s="1"/>
      <c r="M117" s="1"/>
      <c r="N117" s="1"/>
      <c r="O117" s="1"/>
      <c r="P117" s="1"/>
      <c r="Q117" s="1"/>
    </row>
    <row r="118" spans="1:17" x14ac:dyDescent="0.35">
      <c r="A118" s="1"/>
      <c r="B118" s="1"/>
      <c r="C118" s="1"/>
      <c r="D118" s="1"/>
      <c r="E118" s="1"/>
      <c r="F118" s="1"/>
      <c r="G118" s="1"/>
      <c r="H118" s="1"/>
      <c r="I118" s="1"/>
      <c r="J118" s="1"/>
      <c r="K118" s="1"/>
      <c r="L118" s="1"/>
      <c r="M118" s="1"/>
      <c r="N118" s="1"/>
      <c r="O118" s="1"/>
      <c r="P118" s="1"/>
      <c r="Q118" s="1"/>
    </row>
    <row r="119" spans="1:17" x14ac:dyDescent="0.35">
      <c r="A119" s="1"/>
      <c r="B119" s="1"/>
      <c r="C119" s="1"/>
      <c r="D119" s="1"/>
      <c r="E119" s="1"/>
      <c r="F119" s="1"/>
      <c r="G119" s="1"/>
      <c r="H119" s="1"/>
      <c r="I119" s="1"/>
      <c r="J119" s="1"/>
      <c r="K119" s="1"/>
      <c r="L119" s="1"/>
      <c r="M119" s="1"/>
      <c r="N119" s="1"/>
      <c r="O119" s="1"/>
      <c r="P119" s="1"/>
      <c r="Q119" s="1"/>
    </row>
    <row r="120" spans="1:17" x14ac:dyDescent="0.35">
      <c r="A120" s="1"/>
      <c r="B120" s="1"/>
      <c r="C120" s="1"/>
      <c r="D120" s="1"/>
      <c r="E120" s="1"/>
      <c r="F120" s="1"/>
      <c r="G120" s="1"/>
      <c r="H120" s="1"/>
      <c r="I120" s="1"/>
      <c r="J120" s="1"/>
      <c r="K120" s="1"/>
      <c r="L120" s="1"/>
      <c r="M120" s="1"/>
      <c r="N120" s="1"/>
      <c r="O120" s="1"/>
      <c r="P120" s="1"/>
      <c r="Q120" s="1"/>
    </row>
    <row r="121" spans="1:17" x14ac:dyDescent="0.35">
      <c r="A121" s="1"/>
      <c r="B121" s="1"/>
      <c r="C121" s="1"/>
      <c r="D121" s="1"/>
      <c r="E121" s="1"/>
      <c r="F121" s="1"/>
      <c r="G121" s="1"/>
      <c r="H121" s="1"/>
      <c r="I121" s="1"/>
      <c r="J121" s="1"/>
      <c r="K121" s="1"/>
      <c r="L121" s="1"/>
      <c r="M121" s="1"/>
      <c r="N121" s="1"/>
      <c r="O121" s="1"/>
      <c r="P121" s="1"/>
      <c r="Q121" s="1"/>
    </row>
    <row r="122" spans="1:17" x14ac:dyDescent="0.35">
      <c r="A122" s="1"/>
      <c r="B122" s="1"/>
      <c r="C122" s="1"/>
      <c r="D122" s="1"/>
      <c r="E122" s="1"/>
      <c r="F122" s="1"/>
      <c r="G122" s="1"/>
      <c r="H122" s="1"/>
      <c r="I122" s="1"/>
      <c r="J122" s="1"/>
      <c r="K122" s="1"/>
      <c r="L122" s="1"/>
      <c r="M122" s="1"/>
      <c r="N122" s="1"/>
      <c r="O122" s="1"/>
      <c r="P122" s="1"/>
      <c r="Q122" s="1"/>
    </row>
    <row r="123" spans="1:17" x14ac:dyDescent="0.35">
      <c r="A123" s="1"/>
      <c r="B123" s="1"/>
      <c r="C123" s="1"/>
      <c r="D123" s="1"/>
      <c r="E123" s="1"/>
      <c r="F123" s="1"/>
      <c r="G123" s="1"/>
      <c r="H123" s="1"/>
      <c r="I123" s="1"/>
      <c r="J123" s="1"/>
      <c r="K123" s="1"/>
      <c r="L123" s="1"/>
      <c r="M123" s="1"/>
      <c r="N123" s="1"/>
      <c r="O123" s="1"/>
      <c r="P123" s="1"/>
      <c r="Q123" s="1"/>
    </row>
    <row r="124" spans="1:17" x14ac:dyDescent="0.35">
      <c r="A124" s="1"/>
      <c r="B124" s="1"/>
      <c r="C124" s="1"/>
      <c r="D124" s="1"/>
      <c r="E124" s="1"/>
      <c r="F124" s="1"/>
      <c r="G124" s="1"/>
      <c r="H124" s="1"/>
      <c r="I124" s="1"/>
      <c r="J124" s="1"/>
      <c r="K124" s="1"/>
      <c r="L124" s="1"/>
      <c r="M124" s="1"/>
      <c r="N124" s="1"/>
      <c r="O124" s="1"/>
      <c r="P124" s="1"/>
      <c r="Q124" s="1"/>
    </row>
    <row r="125" spans="1:17" x14ac:dyDescent="0.35">
      <c r="A125" s="1"/>
      <c r="B125" s="1"/>
      <c r="C125" s="1"/>
      <c r="D125" s="1"/>
      <c r="E125" s="1"/>
      <c r="F125" s="1"/>
      <c r="G125" s="1"/>
      <c r="H125" s="1"/>
      <c r="I125" s="1"/>
      <c r="J125" s="1"/>
      <c r="K125" s="1"/>
      <c r="L125" s="1"/>
      <c r="M125" s="1"/>
      <c r="N125" s="1"/>
      <c r="O125" s="1"/>
      <c r="P125" s="1"/>
      <c r="Q125" s="1"/>
    </row>
    <row r="126" spans="1:17" x14ac:dyDescent="0.35">
      <c r="A126" s="1"/>
      <c r="B126" s="1"/>
      <c r="C126" s="1"/>
      <c r="D126" s="1"/>
      <c r="E126" s="1"/>
      <c r="F126" s="1"/>
      <c r="G126" s="1"/>
      <c r="H126" s="1"/>
      <c r="I126" s="1"/>
      <c r="J126" s="1"/>
      <c r="K126" s="1"/>
      <c r="L126" s="1"/>
      <c r="M126" s="1"/>
      <c r="N126" s="1"/>
      <c r="O126" s="1"/>
      <c r="P126" s="1"/>
      <c r="Q126" s="1"/>
    </row>
    <row r="127" spans="1:17" x14ac:dyDescent="0.35">
      <c r="A127" s="1"/>
      <c r="B127" s="1"/>
      <c r="C127" s="1"/>
      <c r="D127" s="1"/>
      <c r="E127" s="1"/>
      <c r="F127" s="1"/>
      <c r="G127" s="1"/>
      <c r="H127" s="1"/>
      <c r="I127" s="1"/>
      <c r="J127" s="1"/>
      <c r="K127" s="1"/>
      <c r="L127" s="1"/>
      <c r="M127" s="1"/>
      <c r="N127" s="1"/>
      <c r="O127" s="1"/>
      <c r="P127" s="1"/>
      <c r="Q127" s="1"/>
    </row>
    <row r="128" spans="1:17" x14ac:dyDescent="0.35">
      <c r="A128" s="1"/>
      <c r="B128" s="1"/>
      <c r="C128" s="1"/>
      <c r="D128" s="1"/>
      <c r="E128" s="1"/>
      <c r="F128" s="1"/>
      <c r="G128" s="1"/>
      <c r="H128" s="1"/>
      <c r="I128" s="1"/>
      <c r="J128" s="1"/>
      <c r="K128" s="1"/>
      <c r="L128" s="1"/>
      <c r="M128" s="1"/>
      <c r="N128" s="1"/>
      <c r="O128" s="1"/>
      <c r="P128" s="1"/>
      <c r="Q128" s="1"/>
    </row>
    <row r="129" spans="1:17" x14ac:dyDescent="0.35">
      <c r="A129" s="1"/>
      <c r="B129" s="1"/>
      <c r="C129" s="1"/>
      <c r="D129" s="1"/>
      <c r="E129" s="1"/>
      <c r="F129" s="1"/>
      <c r="G129" s="1"/>
      <c r="H129" s="1"/>
      <c r="I129" s="1"/>
      <c r="J129" s="1"/>
      <c r="K129" s="1"/>
      <c r="L129" s="1"/>
      <c r="M129" s="1"/>
      <c r="N129" s="1"/>
      <c r="O129" s="1"/>
      <c r="P129" s="1"/>
      <c r="Q129" s="1"/>
    </row>
    <row r="130" spans="1:17" x14ac:dyDescent="0.35">
      <c r="A130" s="1"/>
      <c r="B130" s="1"/>
      <c r="C130" s="1"/>
      <c r="D130" s="1"/>
      <c r="E130" s="1"/>
      <c r="F130" s="1"/>
      <c r="G130" s="1"/>
      <c r="H130" s="1"/>
      <c r="I130" s="1"/>
      <c r="J130" s="1"/>
      <c r="K130" s="1"/>
      <c r="L130" s="1"/>
      <c r="M130" s="1"/>
      <c r="N130" s="1"/>
      <c r="O130" s="1"/>
      <c r="P130" s="1"/>
      <c r="Q130" s="1"/>
    </row>
    <row r="131" spans="1:17" x14ac:dyDescent="0.35">
      <c r="A131" s="1"/>
      <c r="B131" s="1"/>
      <c r="C131" s="1"/>
      <c r="D131" s="1"/>
      <c r="E131" s="1"/>
      <c r="F131" s="1"/>
      <c r="G131" s="1"/>
      <c r="H131" s="1"/>
      <c r="I131" s="1"/>
      <c r="J131" s="1"/>
      <c r="K131" s="1"/>
      <c r="L131" s="1"/>
      <c r="M131" s="1"/>
      <c r="N131" s="1"/>
      <c r="O131" s="1"/>
      <c r="P131" s="1"/>
      <c r="Q131" s="1"/>
    </row>
    <row r="132" spans="1:17" x14ac:dyDescent="0.35">
      <c r="A132" s="1"/>
      <c r="B132" s="1"/>
      <c r="C132" s="1"/>
      <c r="D132" s="1"/>
      <c r="E132" s="1"/>
      <c r="F132" s="1"/>
      <c r="G132" s="1"/>
      <c r="H132" s="1"/>
      <c r="I132" s="1"/>
      <c r="J132" s="1"/>
      <c r="K132" s="1"/>
      <c r="L132" s="1"/>
      <c r="M132" s="1"/>
      <c r="N132" s="1"/>
      <c r="O132" s="1"/>
      <c r="P132" s="1"/>
      <c r="Q132" s="1"/>
    </row>
    <row r="133" spans="1:17" x14ac:dyDescent="0.35">
      <c r="A133" s="1"/>
      <c r="B133" s="1"/>
      <c r="C133" s="1"/>
      <c r="D133" s="1"/>
      <c r="E133" s="1"/>
      <c r="F133" s="1"/>
      <c r="G133" s="1"/>
      <c r="H133" s="1"/>
      <c r="I133" s="1"/>
      <c r="J133" s="1"/>
      <c r="K133" s="1"/>
      <c r="L133" s="1"/>
      <c r="M133" s="1"/>
      <c r="N133" s="1"/>
      <c r="O133" s="1"/>
      <c r="P133" s="1"/>
      <c r="Q133" s="1"/>
    </row>
    <row r="134" spans="1:17" x14ac:dyDescent="0.35">
      <c r="A134" s="1"/>
      <c r="B134" s="1"/>
      <c r="C134" s="1"/>
      <c r="D134" s="1"/>
      <c r="E134" s="1"/>
      <c r="F134" s="1"/>
      <c r="G134" s="1"/>
      <c r="H134" s="1"/>
      <c r="I134" s="1"/>
      <c r="J134" s="1"/>
      <c r="K134" s="1"/>
      <c r="L134" s="1"/>
      <c r="M134" s="1"/>
      <c r="N134" s="1"/>
      <c r="O134" s="1"/>
      <c r="P134" s="1"/>
      <c r="Q134" s="1"/>
    </row>
    <row r="135" spans="1:17" x14ac:dyDescent="0.35">
      <c r="A135" s="1"/>
      <c r="B135" s="1"/>
      <c r="C135" s="1"/>
      <c r="D135" s="1"/>
      <c r="E135" s="1"/>
      <c r="F135" s="1"/>
      <c r="G135" s="1"/>
      <c r="H135" s="1"/>
      <c r="I135" s="1"/>
      <c r="J135" s="1"/>
      <c r="K135" s="1"/>
      <c r="L135" s="1"/>
      <c r="M135" s="1"/>
      <c r="N135" s="1"/>
      <c r="O135" s="1"/>
      <c r="P135" s="1"/>
      <c r="Q135" s="1"/>
    </row>
    <row r="136" spans="1:17" x14ac:dyDescent="0.35">
      <c r="A136" s="1"/>
      <c r="B136" s="1"/>
      <c r="C136" s="1"/>
      <c r="D136" s="1"/>
      <c r="E136" s="1"/>
      <c r="F136" s="1"/>
      <c r="G136" s="1"/>
      <c r="H136" s="1"/>
      <c r="I136" s="1"/>
      <c r="J136" s="1"/>
      <c r="K136" s="1"/>
      <c r="L136" s="1"/>
      <c r="M136" s="1"/>
      <c r="N136" s="1"/>
      <c r="O136" s="1"/>
      <c r="P136" s="1"/>
      <c r="Q136" s="1"/>
    </row>
    <row r="137" spans="1:17" x14ac:dyDescent="0.35">
      <c r="A137" s="1"/>
      <c r="B137" s="1"/>
      <c r="C137" s="1"/>
      <c r="D137" s="1"/>
      <c r="E137" s="1"/>
      <c r="F137" s="1"/>
      <c r="G137" s="1"/>
      <c r="H137" s="1"/>
      <c r="I137" s="1"/>
      <c r="J137" s="1"/>
      <c r="K137" s="1"/>
      <c r="L137" s="1"/>
      <c r="M137" s="1"/>
      <c r="N137" s="1"/>
      <c r="O137" s="1"/>
      <c r="P137" s="1"/>
      <c r="Q137" s="1"/>
    </row>
    <row r="138" spans="1:17" x14ac:dyDescent="0.35">
      <c r="A138" s="1"/>
      <c r="B138" s="1"/>
      <c r="C138" s="1"/>
      <c r="D138" s="1"/>
      <c r="E138" s="1"/>
      <c r="F138" s="1"/>
      <c r="G138" s="1"/>
      <c r="H138" s="1"/>
      <c r="I138" s="1"/>
      <c r="J138" s="1"/>
      <c r="K138" s="1"/>
      <c r="L138" s="1"/>
      <c r="M138" s="1"/>
      <c r="N138" s="1"/>
      <c r="O138" s="1"/>
      <c r="P138" s="1"/>
      <c r="Q138" s="1"/>
    </row>
    <row r="139" spans="1:17" x14ac:dyDescent="0.35">
      <c r="A139" s="1"/>
      <c r="B139" s="1"/>
      <c r="C139" s="1"/>
      <c r="D139" s="1"/>
      <c r="E139" s="1"/>
      <c r="F139" s="1"/>
      <c r="G139" s="1"/>
      <c r="H139" s="1"/>
      <c r="I139" s="1"/>
      <c r="J139" s="1"/>
      <c r="K139" s="1"/>
      <c r="L139" s="1"/>
      <c r="M139" s="1"/>
      <c r="N139" s="1"/>
      <c r="O139" s="1"/>
      <c r="P139" s="1"/>
      <c r="Q139" s="1"/>
    </row>
    <row r="140" spans="1:17" x14ac:dyDescent="0.35">
      <c r="A140" s="1"/>
      <c r="B140" s="1"/>
      <c r="C140" s="1"/>
      <c r="D140" s="1"/>
      <c r="E140" s="1"/>
      <c r="F140" s="1"/>
      <c r="G140" s="1"/>
      <c r="H140" s="1"/>
      <c r="I140" s="1"/>
      <c r="J140" s="1"/>
      <c r="K140" s="1"/>
      <c r="L140" s="1"/>
      <c r="M140" s="1"/>
      <c r="N140" s="1"/>
      <c r="O140" s="1"/>
      <c r="P140" s="1"/>
      <c r="Q140" s="1"/>
    </row>
    <row r="141" spans="1:17" x14ac:dyDescent="0.35">
      <c r="A141" s="1"/>
      <c r="B141" s="1"/>
      <c r="C141" s="1"/>
      <c r="D141" s="1"/>
      <c r="E141" s="1"/>
      <c r="F141" s="1"/>
      <c r="G141" s="1"/>
      <c r="H141" s="1"/>
      <c r="I141" s="1"/>
      <c r="J141" s="1"/>
      <c r="K141" s="1"/>
      <c r="L141" s="1"/>
      <c r="M141" s="1"/>
      <c r="N141" s="1"/>
      <c r="O141" s="1"/>
      <c r="P141" s="1"/>
      <c r="Q141" s="1"/>
    </row>
    <row r="142" spans="1:17" x14ac:dyDescent="0.35">
      <c r="A142" s="1"/>
      <c r="B142" s="1"/>
      <c r="C142" s="1"/>
      <c r="D142" s="1"/>
      <c r="E142" s="1"/>
      <c r="F142" s="1"/>
      <c r="G142" s="1"/>
      <c r="H142" s="1"/>
      <c r="I142" s="1"/>
      <c r="J142" s="1"/>
      <c r="K142" s="1"/>
      <c r="L142" s="1"/>
      <c r="M142" s="1"/>
      <c r="N142" s="1"/>
      <c r="O142" s="1"/>
      <c r="P142" s="1"/>
      <c r="Q142" s="1"/>
    </row>
    <row r="143" spans="1:17" x14ac:dyDescent="0.35">
      <c r="A143" s="1"/>
      <c r="B143" s="1"/>
      <c r="C143" s="1"/>
      <c r="D143" s="1"/>
      <c r="E143" s="1"/>
      <c r="F143" s="1"/>
      <c r="G143" s="1"/>
      <c r="H143" s="1"/>
      <c r="I143" s="1"/>
      <c r="J143" s="1"/>
      <c r="K143" s="1"/>
      <c r="L143" s="1"/>
      <c r="M143" s="1"/>
      <c r="N143" s="1"/>
      <c r="O143" s="1"/>
      <c r="P143" s="1"/>
      <c r="Q143" s="1"/>
    </row>
    <row r="144" spans="1:17" x14ac:dyDescent="0.35">
      <c r="A144" s="1"/>
      <c r="B144" s="1"/>
      <c r="C144" s="1"/>
      <c r="D144" s="1"/>
      <c r="E144" s="1"/>
      <c r="F144" s="1"/>
      <c r="G144" s="1"/>
      <c r="H144" s="1"/>
      <c r="I144" s="1"/>
      <c r="J144" s="1"/>
      <c r="K144" s="1"/>
      <c r="L144" s="1"/>
      <c r="M144" s="1"/>
      <c r="N144" s="1"/>
      <c r="O144" s="1"/>
      <c r="P144" s="1"/>
      <c r="Q144" s="1"/>
    </row>
    <row r="145" spans="1:17" x14ac:dyDescent="0.35">
      <c r="A145" s="1"/>
      <c r="B145" s="1"/>
      <c r="C145" s="1"/>
      <c r="D145" s="1"/>
      <c r="E145" s="1"/>
      <c r="F145" s="1"/>
      <c r="G145" s="1"/>
      <c r="H145" s="1"/>
      <c r="I145" s="1"/>
      <c r="J145" s="1"/>
      <c r="K145" s="1"/>
      <c r="L145" s="1"/>
      <c r="M145" s="1"/>
      <c r="N145" s="1"/>
      <c r="O145" s="1"/>
      <c r="P145" s="1"/>
      <c r="Q145" s="1"/>
    </row>
    <row r="146" spans="1:17" x14ac:dyDescent="0.35">
      <c r="A146" s="1"/>
      <c r="B146" s="1"/>
      <c r="C146" s="1"/>
      <c r="D146" s="1"/>
      <c r="E146" s="1"/>
      <c r="F146" s="1"/>
      <c r="G146" s="1"/>
      <c r="H146" s="1"/>
      <c r="I146" s="1"/>
      <c r="J146" s="1"/>
      <c r="K146" s="1"/>
      <c r="L146" s="1"/>
      <c r="M146" s="1"/>
      <c r="N146" s="1"/>
      <c r="O146" s="1"/>
      <c r="P146" s="1"/>
      <c r="Q146" s="1"/>
    </row>
    <row r="147" spans="1:17" x14ac:dyDescent="0.35">
      <c r="A147" s="1"/>
      <c r="B147" s="1"/>
      <c r="C147" s="1"/>
      <c r="D147" s="1"/>
      <c r="E147" s="1"/>
      <c r="F147" s="1"/>
      <c r="G147" s="1"/>
      <c r="H147" s="1"/>
      <c r="I147" s="1"/>
      <c r="J147" s="1"/>
      <c r="K147" s="1"/>
      <c r="L147" s="1"/>
      <c r="M147" s="1"/>
      <c r="N147" s="1"/>
      <c r="O147" s="1"/>
      <c r="P147" s="1"/>
      <c r="Q147" s="1"/>
    </row>
    <row r="148" spans="1:17" x14ac:dyDescent="0.35">
      <c r="A148" s="1"/>
      <c r="B148" s="1"/>
      <c r="C148" s="1"/>
      <c r="D148" s="1"/>
      <c r="E148" s="1"/>
      <c r="F148" s="1"/>
      <c r="G148" s="1"/>
      <c r="H148" s="1"/>
      <c r="I148" s="1"/>
      <c r="J148" s="1"/>
      <c r="K148" s="1"/>
      <c r="L148" s="1"/>
      <c r="M148" s="1"/>
      <c r="N148" s="1"/>
      <c r="O148" s="1"/>
      <c r="P148" s="1"/>
      <c r="Q148" s="1"/>
    </row>
    <row r="149" spans="1:17" x14ac:dyDescent="0.35">
      <c r="A149" s="1"/>
      <c r="B149" s="1"/>
      <c r="C149" s="1"/>
      <c r="D149" s="1"/>
      <c r="E149" s="1"/>
      <c r="F149" s="1"/>
      <c r="G149" s="1"/>
      <c r="H149" s="1"/>
      <c r="I149" s="1"/>
      <c r="J149" s="1"/>
      <c r="K149" s="1"/>
      <c r="L149" s="1"/>
      <c r="M149" s="1"/>
      <c r="N149" s="1"/>
      <c r="O149" s="1"/>
      <c r="P149" s="1"/>
      <c r="Q149" s="1"/>
    </row>
    <row r="150" spans="1:17" x14ac:dyDescent="0.35">
      <c r="A150" s="1"/>
      <c r="B150" s="1"/>
      <c r="C150" s="1"/>
      <c r="D150" s="1"/>
      <c r="E150" s="1"/>
      <c r="F150" s="1"/>
      <c r="G150" s="1"/>
      <c r="H150" s="1"/>
      <c r="I150" s="1"/>
      <c r="J150" s="1"/>
      <c r="K150" s="1"/>
      <c r="L150" s="1"/>
      <c r="M150" s="1"/>
      <c r="N150" s="1"/>
      <c r="O150" s="1"/>
      <c r="P150" s="1"/>
      <c r="Q150" s="1"/>
    </row>
    <row r="151" spans="1:17" x14ac:dyDescent="0.35">
      <c r="A151" s="1"/>
      <c r="B151" s="1"/>
      <c r="C151" s="1"/>
      <c r="D151" s="1"/>
      <c r="E151" s="1"/>
      <c r="F151" s="1"/>
      <c r="G151" s="1"/>
      <c r="H151" s="1"/>
      <c r="I151" s="1"/>
      <c r="J151" s="1"/>
      <c r="K151" s="1"/>
      <c r="L151" s="1"/>
      <c r="M151" s="1"/>
      <c r="N151" s="1"/>
      <c r="O151" s="1"/>
      <c r="P151" s="1"/>
      <c r="Q151" s="1"/>
    </row>
    <row r="152" spans="1:17" x14ac:dyDescent="0.35">
      <c r="A152" s="1"/>
      <c r="B152" s="1"/>
      <c r="C152" s="1"/>
      <c r="D152" s="1"/>
      <c r="E152" s="1"/>
      <c r="F152" s="1"/>
      <c r="G152" s="1"/>
      <c r="H152" s="1"/>
      <c r="I152" s="1"/>
      <c r="J152" s="1"/>
      <c r="K152" s="1"/>
      <c r="L152" s="1"/>
      <c r="M152" s="1"/>
      <c r="N152" s="1"/>
      <c r="O152" s="1"/>
      <c r="P152" s="1"/>
      <c r="Q152" s="1"/>
    </row>
    <row r="153" spans="1:17" x14ac:dyDescent="0.35">
      <c r="A153" s="1"/>
      <c r="B153" s="1"/>
      <c r="C153" s="1"/>
      <c r="D153" s="1"/>
      <c r="E153" s="1"/>
      <c r="F153" s="1"/>
      <c r="G153" s="1"/>
      <c r="H153" s="1"/>
      <c r="I153" s="1"/>
      <c r="J153" s="1"/>
      <c r="K153" s="1"/>
      <c r="L153" s="1"/>
      <c r="M153" s="1"/>
      <c r="N153" s="1"/>
      <c r="O153" s="1"/>
      <c r="P153" s="1"/>
      <c r="Q153" s="1"/>
    </row>
    <row r="154" spans="1:17" x14ac:dyDescent="0.35">
      <c r="A154" s="1"/>
      <c r="B154" s="1"/>
      <c r="C154" s="1"/>
      <c r="D154" s="1"/>
      <c r="E154" s="1"/>
      <c r="F154" s="1"/>
      <c r="G154" s="1"/>
      <c r="H154" s="1"/>
      <c r="I154" s="1"/>
      <c r="J154" s="1"/>
      <c r="K154" s="1"/>
      <c r="L154" s="1"/>
      <c r="M154" s="1"/>
      <c r="N154" s="1"/>
      <c r="O154" s="1"/>
      <c r="P154" s="1"/>
      <c r="Q154" s="1"/>
    </row>
    <row r="155" spans="1:17" x14ac:dyDescent="0.35">
      <c r="A155" s="1"/>
      <c r="B155" s="1"/>
      <c r="C155" s="1"/>
      <c r="D155" s="1"/>
      <c r="E155" s="1"/>
      <c r="F155" s="1"/>
      <c r="G155" s="1"/>
      <c r="H155" s="1"/>
      <c r="I155" s="1"/>
      <c r="J155" s="1"/>
      <c r="K155" s="1"/>
      <c r="L155" s="1"/>
      <c r="M155" s="1"/>
      <c r="N155" s="1"/>
      <c r="O155" s="1"/>
      <c r="P155" s="1"/>
      <c r="Q155" s="1"/>
    </row>
    <row r="156" spans="1:17" x14ac:dyDescent="0.35">
      <c r="A156" s="1"/>
      <c r="B156" s="1"/>
      <c r="C156" s="1"/>
      <c r="D156" s="1"/>
      <c r="E156" s="1"/>
      <c r="F156" s="1"/>
      <c r="G156" s="1"/>
      <c r="H156" s="1"/>
      <c r="I156" s="1"/>
      <c r="J156" s="1"/>
      <c r="K156" s="1"/>
      <c r="L156" s="1"/>
      <c r="M156" s="1"/>
      <c r="N156" s="1"/>
      <c r="O156" s="1"/>
      <c r="P156" s="1"/>
      <c r="Q156" s="1"/>
    </row>
    <row r="157" spans="1:17" x14ac:dyDescent="0.35">
      <c r="A157" s="1"/>
      <c r="B157" s="1"/>
      <c r="C157" s="1"/>
      <c r="D157" s="1"/>
      <c r="E157" s="1"/>
      <c r="F157" s="1"/>
      <c r="G157" s="1"/>
      <c r="H157" s="1"/>
      <c r="I157" s="1"/>
      <c r="J157" s="1"/>
      <c r="K157" s="1"/>
      <c r="L157" s="1"/>
      <c r="M157" s="1"/>
      <c r="N157" s="1"/>
      <c r="O157" s="1"/>
      <c r="P157" s="1"/>
      <c r="Q157" s="1"/>
    </row>
    <row r="158" spans="1:17" x14ac:dyDescent="0.35">
      <c r="A158" s="1"/>
      <c r="B158" s="1"/>
      <c r="C158" s="1"/>
      <c r="D158" s="1"/>
      <c r="E158" s="1"/>
      <c r="F158" s="1"/>
      <c r="G158" s="1"/>
      <c r="H158" s="1"/>
      <c r="I158" s="1"/>
      <c r="J158" s="1"/>
      <c r="K158" s="1"/>
      <c r="L158" s="1"/>
      <c r="M158" s="1"/>
      <c r="N158" s="1"/>
      <c r="O158" s="1"/>
      <c r="P158" s="1"/>
      <c r="Q158" s="1"/>
    </row>
    <row r="159" spans="1:17" x14ac:dyDescent="0.35">
      <c r="A159" s="1"/>
      <c r="B159" s="1"/>
      <c r="C159" s="1"/>
      <c r="D159" s="1"/>
      <c r="E159" s="1"/>
      <c r="F159" s="1"/>
      <c r="G159" s="1"/>
      <c r="H159" s="1"/>
      <c r="I159" s="1"/>
      <c r="J159" s="1"/>
      <c r="K159" s="1"/>
      <c r="L159" s="1"/>
      <c r="M159" s="1"/>
      <c r="N159" s="1"/>
      <c r="O159" s="1"/>
      <c r="P159" s="1"/>
      <c r="Q159" s="1"/>
    </row>
    <row r="160" spans="1:17" x14ac:dyDescent="0.35">
      <c r="A160" s="1"/>
      <c r="B160" s="1"/>
      <c r="C160" s="1"/>
      <c r="D160" s="1"/>
      <c r="E160" s="1"/>
      <c r="F160" s="1"/>
      <c r="G160" s="1"/>
      <c r="H160" s="1"/>
      <c r="I160" s="1"/>
      <c r="J160" s="1"/>
      <c r="K160" s="1"/>
      <c r="L160" s="1"/>
      <c r="M160" s="1"/>
      <c r="N160" s="1"/>
      <c r="O160" s="1"/>
      <c r="P160" s="1"/>
      <c r="Q160" s="1"/>
    </row>
    <row r="161" spans="1:17" x14ac:dyDescent="0.35">
      <c r="A161" s="1"/>
      <c r="B161" s="1"/>
      <c r="C161" s="1"/>
      <c r="D161" s="1"/>
      <c r="E161" s="1"/>
      <c r="F161" s="1"/>
      <c r="G161" s="1"/>
      <c r="H161" s="1"/>
      <c r="I161" s="1"/>
      <c r="J161" s="1"/>
      <c r="K161" s="1"/>
      <c r="L161" s="1"/>
      <c r="M161" s="1"/>
      <c r="N161" s="1"/>
      <c r="O161" s="1"/>
      <c r="P161" s="1"/>
      <c r="Q161" s="1"/>
    </row>
    <row r="162" spans="1:17" x14ac:dyDescent="0.35">
      <c r="A162" s="1"/>
      <c r="B162" s="1"/>
      <c r="C162" s="1"/>
      <c r="D162" s="1"/>
      <c r="E162" s="1"/>
      <c r="F162" s="1"/>
      <c r="G162" s="1"/>
      <c r="H162" s="1"/>
      <c r="I162" s="1"/>
      <c r="J162" s="1"/>
      <c r="K162" s="1"/>
      <c r="L162" s="1"/>
      <c r="M162" s="1"/>
      <c r="N162" s="1"/>
      <c r="O162" s="1"/>
      <c r="P162" s="1"/>
      <c r="Q162" s="1"/>
    </row>
    <row r="163" spans="1:17" x14ac:dyDescent="0.35">
      <c r="A163" s="1"/>
      <c r="B163" s="1"/>
      <c r="C163" s="1"/>
      <c r="D163" s="1"/>
      <c r="E163" s="1"/>
      <c r="F163" s="1"/>
      <c r="G163" s="1"/>
      <c r="H163" s="1"/>
      <c r="I163" s="1"/>
      <c r="J163" s="1"/>
      <c r="K163" s="1"/>
      <c r="L163" s="1"/>
      <c r="M163" s="1"/>
      <c r="N163" s="1"/>
      <c r="O163" s="1"/>
      <c r="P163" s="1"/>
      <c r="Q163" s="1"/>
    </row>
    <row r="164" spans="1:17" x14ac:dyDescent="0.35">
      <c r="A164" s="1"/>
      <c r="B164" s="1"/>
      <c r="C164" s="1"/>
      <c r="D164" s="1"/>
      <c r="E164" s="1"/>
      <c r="F164" s="1"/>
      <c r="G164" s="1"/>
      <c r="H164" s="1"/>
      <c r="I164" s="1"/>
      <c r="J164" s="1"/>
      <c r="K164" s="1"/>
      <c r="L164" s="1"/>
      <c r="M164" s="1"/>
      <c r="N164" s="1"/>
      <c r="O164" s="1"/>
      <c r="P164" s="1"/>
      <c r="Q164" s="1"/>
    </row>
    <row r="165" spans="1:17" x14ac:dyDescent="0.35">
      <c r="A165" s="1"/>
      <c r="B165" s="1"/>
      <c r="C165" s="1"/>
      <c r="D165" s="1"/>
      <c r="E165" s="1"/>
      <c r="F165" s="1"/>
      <c r="G165" s="1"/>
      <c r="H165" s="1"/>
      <c r="I165" s="1"/>
      <c r="J165" s="1"/>
      <c r="K165" s="1"/>
      <c r="L165" s="1"/>
      <c r="M165" s="1"/>
      <c r="N165" s="1"/>
      <c r="O165" s="1"/>
      <c r="P165" s="1"/>
      <c r="Q165" s="1"/>
    </row>
    <row r="166" spans="1:17" x14ac:dyDescent="0.35">
      <c r="A166" s="1"/>
      <c r="B166" s="1"/>
      <c r="C166" s="1"/>
      <c r="D166" s="1"/>
      <c r="E166" s="1"/>
      <c r="F166" s="1"/>
      <c r="G166" s="1"/>
      <c r="H166" s="1"/>
      <c r="I166" s="1"/>
      <c r="J166" s="1"/>
      <c r="K166" s="1"/>
      <c r="L166" s="1"/>
      <c r="M166" s="1"/>
      <c r="N166" s="1"/>
      <c r="O166" s="1"/>
      <c r="P166" s="1"/>
      <c r="Q166" s="1"/>
    </row>
    <row r="167" spans="1:17" x14ac:dyDescent="0.35">
      <c r="A167" s="1"/>
      <c r="B167" s="1"/>
      <c r="C167" s="1"/>
      <c r="D167" s="1"/>
      <c r="E167" s="1"/>
      <c r="F167" s="1"/>
      <c r="G167" s="1"/>
      <c r="H167" s="1"/>
      <c r="I167" s="1"/>
      <c r="J167" s="1"/>
      <c r="K167" s="1"/>
      <c r="L167" s="1"/>
      <c r="M167" s="1"/>
      <c r="N167" s="1"/>
      <c r="O167" s="1"/>
      <c r="P167" s="1"/>
      <c r="Q167" s="1"/>
    </row>
    <row r="168" spans="1:17" x14ac:dyDescent="0.35">
      <c r="A168" s="1"/>
      <c r="B168" s="1"/>
      <c r="C168" s="1"/>
      <c r="D168" s="1"/>
      <c r="E168" s="1"/>
      <c r="F168" s="1"/>
      <c r="G168" s="1"/>
      <c r="H168" s="1"/>
      <c r="I168" s="1"/>
      <c r="J168" s="1"/>
      <c r="K168" s="1"/>
      <c r="L168" s="1"/>
      <c r="M168" s="1"/>
      <c r="N168" s="1"/>
      <c r="O168" s="1"/>
      <c r="P168" s="1"/>
      <c r="Q168" s="1"/>
    </row>
    <row r="169" spans="1:17" x14ac:dyDescent="0.35">
      <c r="A169" s="1"/>
      <c r="B169" s="1"/>
      <c r="C169" s="1"/>
      <c r="D169" s="1"/>
      <c r="E169" s="1"/>
      <c r="F169" s="1"/>
      <c r="G169" s="1"/>
      <c r="H169" s="1"/>
      <c r="I169" s="1"/>
      <c r="J169" s="1"/>
      <c r="K169" s="1"/>
      <c r="L169" s="1"/>
      <c r="M169" s="1"/>
      <c r="N169" s="1"/>
      <c r="O169" s="1"/>
      <c r="P169" s="1"/>
      <c r="Q169" s="1"/>
    </row>
    <row r="170" spans="1:17" x14ac:dyDescent="0.35">
      <c r="A170" s="1"/>
      <c r="B170" s="1"/>
      <c r="C170" s="1"/>
      <c r="D170" s="1"/>
      <c r="E170" s="1"/>
      <c r="F170" s="1"/>
      <c r="G170" s="1"/>
      <c r="H170" s="1"/>
      <c r="I170" s="1"/>
      <c r="J170" s="1"/>
      <c r="K170" s="1"/>
      <c r="L170" s="1"/>
      <c r="M170" s="1"/>
      <c r="N170" s="1"/>
      <c r="O170" s="1"/>
      <c r="P170" s="1"/>
      <c r="Q170" s="1"/>
    </row>
    <row r="171" spans="1:17" x14ac:dyDescent="0.35">
      <c r="A171" s="1"/>
      <c r="B171" s="1"/>
      <c r="C171" s="1"/>
      <c r="D171" s="1"/>
      <c r="E171" s="1"/>
      <c r="F171" s="1"/>
      <c r="G171" s="1"/>
      <c r="H171" s="1"/>
      <c r="I171" s="1"/>
      <c r="J171" s="1"/>
      <c r="K171" s="1"/>
      <c r="L171" s="1"/>
      <c r="M171" s="1"/>
      <c r="N171" s="1"/>
      <c r="O171" s="1"/>
      <c r="P171" s="1"/>
      <c r="Q171" s="1"/>
    </row>
    <row r="172" spans="1:17" x14ac:dyDescent="0.35">
      <c r="A172" s="1"/>
      <c r="B172" s="1"/>
      <c r="C172" s="1"/>
      <c r="D172" s="1"/>
      <c r="E172" s="1"/>
      <c r="F172" s="1"/>
      <c r="G172" s="1"/>
      <c r="H172" s="1"/>
      <c r="I172" s="1"/>
      <c r="J172" s="1"/>
      <c r="K172" s="1"/>
      <c r="L172" s="1"/>
      <c r="M172" s="1"/>
      <c r="N172" s="1"/>
      <c r="O172" s="1"/>
      <c r="P172" s="1"/>
      <c r="Q172" s="1"/>
    </row>
    <row r="173" spans="1:17" x14ac:dyDescent="0.35">
      <c r="A173" s="1"/>
      <c r="B173" s="1"/>
      <c r="C173" s="1"/>
      <c r="D173" s="1"/>
      <c r="E173" s="1"/>
      <c r="F173" s="1"/>
      <c r="G173" s="1"/>
      <c r="H173" s="1"/>
      <c r="I173" s="1"/>
      <c r="J173" s="1"/>
      <c r="K173" s="1"/>
      <c r="L173" s="1"/>
      <c r="M173" s="1"/>
      <c r="N173" s="1"/>
      <c r="O173" s="1"/>
      <c r="P173" s="1"/>
      <c r="Q173" s="1"/>
    </row>
    <row r="174" spans="1:17" x14ac:dyDescent="0.35">
      <c r="A174" s="1"/>
      <c r="B174" s="1"/>
      <c r="C174" s="1"/>
      <c r="D174" s="1"/>
      <c r="E174" s="1"/>
      <c r="F174" s="1"/>
      <c r="G174" s="1"/>
      <c r="H174" s="1"/>
      <c r="I174" s="1"/>
      <c r="J174" s="1"/>
      <c r="K174" s="1"/>
      <c r="L174" s="1"/>
      <c r="M174" s="1"/>
      <c r="N174" s="1"/>
      <c r="O174" s="1"/>
      <c r="P174" s="1"/>
      <c r="Q174" s="1"/>
    </row>
    <row r="175" spans="1:17" x14ac:dyDescent="0.35">
      <c r="A175" s="1"/>
      <c r="B175" s="1"/>
      <c r="C175" s="1"/>
      <c r="D175" s="1"/>
      <c r="E175" s="1"/>
      <c r="F175" s="1"/>
      <c r="G175" s="1"/>
      <c r="H175" s="1"/>
      <c r="I175" s="1"/>
      <c r="J175" s="1"/>
      <c r="K175" s="1"/>
      <c r="L175" s="1"/>
      <c r="M175" s="1"/>
      <c r="N175" s="1"/>
      <c r="O175" s="1"/>
      <c r="P175" s="1"/>
      <c r="Q175" s="1"/>
    </row>
    <row r="176" spans="1:17" x14ac:dyDescent="0.35">
      <c r="A176" s="1"/>
      <c r="B176" s="1"/>
      <c r="C176" s="1"/>
      <c r="D176" s="1"/>
      <c r="E176" s="1"/>
      <c r="F176" s="1"/>
      <c r="G176" s="1"/>
      <c r="H176" s="1"/>
      <c r="I176" s="1"/>
      <c r="J176" s="1"/>
      <c r="K176" s="1"/>
      <c r="L176" s="1"/>
      <c r="M176" s="1"/>
      <c r="N176" s="1"/>
      <c r="O176" s="1"/>
      <c r="P176" s="1"/>
      <c r="Q176" s="1"/>
    </row>
    <row r="177" spans="1:17" x14ac:dyDescent="0.35">
      <c r="A177" s="1"/>
      <c r="B177" s="1"/>
      <c r="C177" s="1"/>
      <c r="D177" s="1"/>
      <c r="E177" s="1"/>
      <c r="F177" s="1"/>
      <c r="G177" s="1"/>
      <c r="H177" s="1"/>
      <c r="I177" s="1"/>
      <c r="J177" s="1"/>
      <c r="K177" s="1"/>
      <c r="L177" s="1"/>
      <c r="M177" s="1"/>
      <c r="N177" s="1"/>
      <c r="O177" s="1"/>
      <c r="P177" s="1"/>
      <c r="Q177" s="1"/>
    </row>
    <row r="178" spans="1:17" x14ac:dyDescent="0.35">
      <c r="A178" s="1"/>
      <c r="B178" s="1"/>
      <c r="C178" s="1"/>
      <c r="D178" s="1"/>
      <c r="E178" s="1"/>
      <c r="F178" s="1"/>
      <c r="G178" s="1"/>
      <c r="H178" s="1"/>
      <c r="I178" s="1"/>
      <c r="J178" s="1"/>
      <c r="K178" s="1"/>
      <c r="L178" s="1"/>
      <c r="M178" s="1"/>
      <c r="N178" s="1"/>
      <c r="O178" s="1"/>
      <c r="P178" s="1"/>
      <c r="Q178" s="1"/>
    </row>
    <row r="179" spans="1:17" x14ac:dyDescent="0.35">
      <c r="A179" s="1"/>
      <c r="B179" s="1"/>
      <c r="C179" s="1"/>
      <c r="D179" s="1"/>
      <c r="E179" s="1"/>
      <c r="F179" s="1"/>
      <c r="G179" s="1"/>
      <c r="H179" s="1"/>
      <c r="I179" s="1"/>
      <c r="J179" s="1"/>
      <c r="K179" s="1"/>
      <c r="L179" s="1"/>
      <c r="M179" s="1"/>
      <c r="N179" s="1"/>
      <c r="O179" s="1"/>
      <c r="P179" s="1"/>
      <c r="Q179" s="1"/>
    </row>
    <row r="180" spans="1:17" x14ac:dyDescent="0.35">
      <c r="A180" s="1"/>
      <c r="B180" s="1"/>
      <c r="C180" s="1"/>
      <c r="D180" s="1"/>
      <c r="E180" s="1"/>
      <c r="F180" s="1"/>
      <c r="G180" s="1"/>
      <c r="H180" s="1"/>
      <c r="I180" s="1"/>
      <c r="J180" s="1"/>
      <c r="K180" s="1"/>
      <c r="L180" s="1"/>
      <c r="M180" s="1"/>
      <c r="N180" s="1"/>
      <c r="O180" s="1"/>
      <c r="P180" s="1"/>
      <c r="Q180" s="1"/>
    </row>
    <row r="181" spans="1:17" x14ac:dyDescent="0.35">
      <c r="A181" s="1"/>
      <c r="B181" s="1"/>
      <c r="C181" s="1"/>
      <c r="D181" s="1"/>
      <c r="E181" s="1"/>
      <c r="F181" s="1"/>
      <c r="G181" s="1"/>
      <c r="H181" s="1"/>
      <c r="I181" s="1"/>
      <c r="J181" s="1"/>
      <c r="K181" s="1"/>
      <c r="L181" s="1"/>
      <c r="M181" s="1"/>
      <c r="N181" s="1"/>
      <c r="O181" s="1"/>
      <c r="P181" s="1"/>
      <c r="Q181" s="1"/>
    </row>
    <row r="182" spans="1:17" x14ac:dyDescent="0.35">
      <c r="A182" s="1"/>
      <c r="B182" s="1"/>
      <c r="C182" s="1"/>
      <c r="D182" s="1"/>
      <c r="E182" s="1"/>
      <c r="F182" s="1"/>
      <c r="G182" s="1"/>
      <c r="H182" s="1"/>
      <c r="I182" s="1"/>
      <c r="J182" s="1"/>
      <c r="K182" s="1"/>
      <c r="L182" s="1"/>
      <c r="M182" s="1"/>
      <c r="N182" s="1"/>
      <c r="O182" s="1"/>
      <c r="P182" s="1"/>
      <c r="Q182" s="1"/>
    </row>
    <row r="183" spans="1:17" x14ac:dyDescent="0.35">
      <c r="A183" s="1"/>
      <c r="B183" s="1"/>
      <c r="C183" s="1"/>
      <c r="D183" s="1"/>
      <c r="E183" s="1"/>
      <c r="F183" s="1"/>
      <c r="G183" s="1"/>
      <c r="H183" s="1"/>
      <c r="I183" s="1"/>
      <c r="J183" s="1"/>
      <c r="K183" s="1"/>
      <c r="L183" s="1"/>
      <c r="M183" s="1"/>
      <c r="N183" s="1"/>
      <c r="O183" s="1"/>
      <c r="P183" s="1"/>
      <c r="Q183" s="1"/>
    </row>
    <row r="184" spans="1:17" x14ac:dyDescent="0.35">
      <c r="A184" s="1"/>
      <c r="B184" s="1"/>
      <c r="C184" s="1"/>
      <c r="D184" s="1"/>
      <c r="E184" s="1"/>
      <c r="F184" s="1"/>
      <c r="G184" s="1"/>
      <c r="H184" s="1"/>
      <c r="I184" s="1"/>
      <c r="J184" s="1"/>
      <c r="K184" s="1"/>
      <c r="L184" s="1"/>
      <c r="M184" s="1"/>
      <c r="N184" s="1"/>
      <c r="O184" s="1"/>
      <c r="P184" s="1"/>
      <c r="Q184" s="1"/>
    </row>
    <row r="185" spans="1:17" x14ac:dyDescent="0.35">
      <c r="A185" s="1"/>
      <c r="B185" s="1"/>
      <c r="C185" s="1"/>
      <c r="D185" s="1"/>
      <c r="E185" s="1"/>
      <c r="F185" s="1"/>
      <c r="G185" s="1"/>
      <c r="H185" s="1"/>
      <c r="I185" s="1"/>
      <c r="J185" s="1"/>
      <c r="K185" s="1"/>
      <c r="L185" s="1"/>
      <c r="M185" s="1"/>
      <c r="N185" s="1"/>
      <c r="O185" s="1"/>
      <c r="P185" s="1"/>
      <c r="Q185" s="1"/>
    </row>
    <row r="186" spans="1:17" x14ac:dyDescent="0.35">
      <c r="A186" s="1"/>
      <c r="B186" s="1"/>
      <c r="C186" s="1"/>
      <c r="D186" s="1"/>
      <c r="E186" s="1"/>
      <c r="F186" s="1"/>
      <c r="G186" s="1"/>
      <c r="H186" s="1"/>
      <c r="I186" s="1"/>
      <c r="J186" s="1"/>
      <c r="K186" s="1"/>
      <c r="L186" s="1"/>
      <c r="M186" s="1"/>
      <c r="N186" s="1"/>
      <c r="O186" s="1"/>
      <c r="P186" s="1"/>
      <c r="Q186" s="1"/>
    </row>
    <row r="187" spans="1:17" x14ac:dyDescent="0.35">
      <c r="A187" s="1"/>
      <c r="B187" s="1"/>
      <c r="C187" s="1"/>
      <c r="D187" s="1"/>
      <c r="E187" s="1"/>
      <c r="F187" s="1"/>
      <c r="G187" s="1"/>
      <c r="H187" s="1"/>
      <c r="I187" s="1"/>
      <c r="J187" s="1"/>
      <c r="K187" s="1"/>
      <c r="L187" s="1"/>
      <c r="M187" s="1"/>
      <c r="N187" s="1"/>
      <c r="O187" s="1"/>
      <c r="P187" s="1"/>
      <c r="Q187" s="1"/>
    </row>
    <row r="188" spans="1:17" x14ac:dyDescent="0.35">
      <c r="A188" s="1"/>
      <c r="B188" s="1"/>
      <c r="C188" s="1"/>
      <c r="D188" s="1"/>
      <c r="E188" s="1"/>
      <c r="F188" s="1"/>
      <c r="G188" s="1"/>
      <c r="H188" s="1"/>
      <c r="I188" s="1"/>
      <c r="J188" s="1"/>
      <c r="K188" s="1"/>
      <c r="L188" s="1"/>
      <c r="M188" s="1"/>
      <c r="N188" s="1"/>
      <c r="O188" s="1"/>
      <c r="P188" s="1"/>
      <c r="Q188" s="1"/>
    </row>
    <row r="189" spans="1:17" x14ac:dyDescent="0.35">
      <c r="A189" s="1"/>
      <c r="B189" s="1"/>
      <c r="C189" s="1"/>
      <c r="D189" s="1"/>
      <c r="E189" s="1"/>
      <c r="F189" s="1"/>
      <c r="G189" s="1"/>
      <c r="H189" s="1"/>
      <c r="I189" s="1"/>
      <c r="J189" s="1"/>
      <c r="K189" s="1"/>
      <c r="L189" s="1"/>
      <c r="M189" s="1"/>
      <c r="N189" s="1"/>
      <c r="O189" s="1"/>
      <c r="P189" s="1"/>
      <c r="Q189" s="1"/>
    </row>
    <row r="190" spans="1:17" x14ac:dyDescent="0.35">
      <c r="A190" s="1"/>
      <c r="B190" s="1"/>
      <c r="C190" s="1"/>
      <c r="D190" s="1"/>
      <c r="E190" s="1"/>
      <c r="F190" s="1"/>
      <c r="G190" s="1"/>
      <c r="H190" s="1"/>
      <c r="I190" s="1"/>
      <c r="J190" s="1"/>
      <c r="K190" s="1"/>
      <c r="L190" s="1"/>
      <c r="M190" s="1"/>
      <c r="N190" s="1"/>
      <c r="O190" s="1"/>
      <c r="P190" s="1"/>
      <c r="Q190" s="1"/>
    </row>
    <row r="191" spans="1:17" x14ac:dyDescent="0.35">
      <c r="A191" s="1"/>
      <c r="B191" s="1"/>
      <c r="C191" s="1"/>
      <c r="D191" s="1"/>
      <c r="E191" s="1"/>
      <c r="F191" s="1"/>
      <c r="G191" s="1"/>
      <c r="H191" s="1"/>
      <c r="I191" s="1"/>
      <c r="J191" s="1"/>
      <c r="K191" s="1"/>
      <c r="L191" s="1"/>
      <c r="M191" s="1"/>
      <c r="N191" s="1"/>
      <c r="O191" s="1"/>
      <c r="P191" s="1"/>
      <c r="Q191" s="1"/>
    </row>
    <row r="192" spans="1:17" x14ac:dyDescent="0.35">
      <c r="A192" s="1"/>
      <c r="B192" s="1"/>
      <c r="C192" s="1"/>
      <c r="D192" s="1"/>
      <c r="E192" s="1"/>
      <c r="F192" s="1"/>
      <c r="G192" s="1"/>
      <c r="H192" s="1"/>
      <c r="I192" s="1"/>
      <c r="J192" s="1"/>
      <c r="K192" s="1"/>
      <c r="L192" s="1"/>
      <c r="M192" s="1"/>
      <c r="N192" s="1"/>
      <c r="O192" s="1"/>
      <c r="P192" s="1"/>
      <c r="Q192" s="1"/>
    </row>
    <row r="193" spans="1:17" x14ac:dyDescent="0.35">
      <c r="A193" s="1"/>
      <c r="B193" s="1"/>
      <c r="C193" s="1"/>
      <c r="D193" s="1"/>
      <c r="E193" s="1"/>
      <c r="F193" s="1"/>
      <c r="G193" s="1"/>
      <c r="H193" s="1"/>
      <c r="I193" s="1"/>
      <c r="J193" s="1"/>
      <c r="K193" s="1"/>
      <c r="L193" s="1"/>
      <c r="M193" s="1"/>
      <c r="N193" s="1"/>
      <c r="O193" s="1"/>
      <c r="P193" s="1"/>
      <c r="Q193" s="1"/>
    </row>
    <row r="194" spans="1:17" x14ac:dyDescent="0.35">
      <c r="A194" s="1"/>
      <c r="B194" s="1"/>
      <c r="C194" s="1"/>
      <c r="D194" s="1"/>
      <c r="E194" s="1"/>
      <c r="F194" s="1"/>
      <c r="G194" s="1"/>
      <c r="H194" s="1"/>
      <c r="I194" s="1"/>
      <c r="J194" s="1"/>
      <c r="K194" s="1"/>
      <c r="L194" s="1"/>
      <c r="M194" s="1"/>
      <c r="N194" s="1"/>
      <c r="O194" s="1"/>
      <c r="P194" s="1"/>
      <c r="Q194" s="1"/>
    </row>
    <row r="195" spans="1:17" x14ac:dyDescent="0.35">
      <c r="A195" s="1"/>
      <c r="B195" s="1"/>
      <c r="C195" s="1"/>
      <c r="D195" s="1"/>
      <c r="E195" s="1"/>
      <c r="F195" s="1"/>
      <c r="G195" s="1"/>
      <c r="H195" s="1"/>
      <c r="I195" s="1"/>
      <c r="J195" s="1"/>
      <c r="K195" s="1"/>
      <c r="L195" s="1"/>
      <c r="M195" s="1"/>
      <c r="N195" s="1"/>
      <c r="O195" s="1"/>
      <c r="P195" s="1"/>
      <c r="Q195" s="1"/>
    </row>
    <row r="196" spans="1:17" x14ac:dyDescent="0.35">
      <c r="A196" s="1"/>
      <c r="B196" s="1"/>
      <c r="C196" s="1"/>
      <c r="D196" s="1"/>
      <c r="E196" s="1"/>
      <c r="F196" s="1"/>
      <c r="G196" s="1"/>
      <c r="H196" s="1"/>
      <c r="I196" s="1"/>
      <c r="J196" s="1"/>
      <c r="K196" s="1"/>
      <c r="L196" s="1"/>
      <c r="M196" s="1"/>
      <c r="N196" s="1"/>
      <c r="O196" s="1"/>
      <c r="P196" s="1"/>
      <c r="Q196" s="1"/>
    </row>
    <row r="197" spans="1:17" x14ac:dyDescent="0.35">
      <c r="A197" s="1"/>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1:17" x14ac:dyDescent="0.35">
      <c r="A198" s="1"/>
      <c r="B198" s="37"/>
      <c r="C198" s="38"/>
      <c r="D198" s="31"/>
      <c r="E198" s="32"/>
      <c r="F198" s="34"/>
      <c r="G198" s="33"/>
      <c r="H198" s="34"/>
      <c r="I198" s="33"/>
      <c r="J198" s="34"/>
      <c r="K198" s="34"/>
      <c r="L198" s="34"/>
      <c r="M198" s="33"/>
      <c r="N198" s="34"/>
      <c r="O198" s="35"/>
      <c r="P198" s="36"/>
      <c r="Q198" s="35"/>
    </row>
    <row r="199" spans="1:17" x14ac:dyDescent="0.35">
      <c r="A199" s="1"/>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1:17" x14ac:dyDescent="0.35">
      <c r="A200" s="1"/>
      <c r="B200" s="1"/>
      <c r="C200" s="1"/>
      <c r="D200" s="1"/>
      <c r="E200" s="1"/>
      <c r="F200" s="1"/>
      <c r="G200" s="1"/>
      <c r="H200" s="1"/>
      <c r="I200" s="1"/>
      <c r="J200" s="1"/>
      <c r="K200" s="1"/>
      <c r="L200" s="1"/>
      <c r="M200" s="1"/>
      <c r="N200" s="1"/>
      <c r="O200" s="1"/>
      <c r="P200" s="1"/>
      <c r="Q200" s="78" t="s">
        <v>21404</v>
      </c>
    </row>
    <row r="201" spans="1:17" x14ac:dyDescent="0.35">
      <c r="A201" s="1"/>
      <c r="B201" s="1"/>
      <c r="C201" s="78" t="s">
        <v>21592</v>
      </c>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77" t="s">
        <v>21399</v>
      </c>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t="s">
        <v>21398</v>
      </c>
      <c r="D205" s="1" t="s">
        <v>75</v>
      </c>
      <c r="E205" s="1" t="s">
        <v>13768</v>
      </c>
      <c r="F205" s="2" t="s">
        <v>21397</v>
      </c>
      <c r="G205" s="1" t="s">
        <v>9</v>
      </c>
      <c r="H205" s="1"/>
      <c r="I205" s="1"/>
      <c r="J205" s="1"/>
      <c r="K205" s="1"/>
      <c r="L205" s="1"/>
      <c r="M205" s="1"/>
      <c r="N205" s="1"/>
      <c r="O205" s="1"/>
      <c r="P205" s="1"/>
      <c r="Q205" s="1"/>
    </row>
    <row r="206" spans="1:17" x14ac:dyDescent="0.35">
      <c r="B206" s="49" t="s">
        <v>14779</v>
      </c>
      <c r="C206" s="352" t="s">
        <v>14780</v>
      </c>
    </row>
    <row r="207" spans="1:17" x14ac:dyDescent="0.35">
      <c r="B207" s="49" t="s">
        <v>14781</v>
      </c>
      <c r="C207" s="53" t="s">
        <v>14782</v>
      </c>
    </row>
  </sheetData>
  <mergeCells count="9">
    <mergeCell ref="J5:K5"/>
    <mergeCell ref="J6:K6"/>
    <mergeCell ref="J7:K7"/>
    <mergeCell ref="A3:B3"/>
    <mergeCell ref="D3:G3"/>
    <mergeCell ref="J3:K3"/>
    <mergeCell ref="P3:Q3"/>
    <mergeCell ref="A4:B4"/>
    <mergeCell ref="J4:K4"/>
  </mergeCells>
  <dataValidations count="1">
    <dataValidation type="list" allowBlank="1" showInputMessage="1" showErrorMessage="1" sqref="C16:C190" xr:uid="{57C9A2AB-BE41-46FB-B642-BD4D7861EBEE}">
      <formula1>$C$205:$C207</formula1>
    </dataValidation>
  </dataValidations>
  <hyperlinks>
    <hyperlink ref="D3" r:id="rId1" display="datamateapp@gmail.com" xr:uid="{DDD0DBAE-B77F-4D61-A82F-79E5CBA734BF}"/>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54689" r:id="rId4" name="Button 1">
              <controlPr defaultSize="0" print="0" autoFill="0" autoPict="0" macro="SaveData">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754690" r:id="rId5" name="Button 2">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754691"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754692"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754693" r:id="rId8" name="Button 5">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754694" r:id="rId9" name="Button 6">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754695" r:id="rId10" name="Button 7">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754696" r:id="rId11" name="Button 8">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mc:AlternateContent xmlns:mc="http://schemas.openxmlformats.org/markup-compatibility/2006">
          <mc:Choice Requires="x14">
            <control shapeId="754697" r:id="rId12" name="Button 9">
              <controlPr defaultSize="0" print="0" autoFill="0" autoPict="0" macro="[0]!ExitSEC_113000">
                <anchor moveWithCells="1" sizeWithCells="1">
                  <from>
                    <xdr:col>16</xdr:col>
                    <xdr:colOff>0</xdr:colOff>
                    <xdr:row>0</xdr:row>
                    <xdr:rowOff>0</xdr:rowOff>
                  </from>
                  <to>
                    <xdr:col>16</xdr:col>
                    <xdr:colOff>1270000</xdr:colOff>
                    <xdr:row>2</xdr:row>
                    <xdr:rowOff>12700</xdr:rowOff>
                  </to>
                </anchor>
              </controlPr>
            </control>
          </mc:Choice>
        </mc:AlternateContent>
      </controls>
    </mc:Choice>
  </mc:AlternateContent>
</worksheet>
</file>

<file path=xl/worksheets/sheet1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C52BA-2D29-4B1B-9FB8-2F48382922F8}">
  <sheetPr codeName="Sheet139"/>
  <dimension ref="A1:Q284"/>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FOODSERVICE EQUIPMENT</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11 40 00</v>
      </c>
      <c r="C10" s="24" t="str">
        <f>C206</f>
        <v>FOODSERVICE EQUIPMENT</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FOODSERVICE EQUIPMENT</v>
      </c>
      <c r="D12" s="31"/>
      <c r="E12" s="32"/>
      <c r="F12" s="34"/>
      <c r="G12" s="33"/>
      <c r="H12" s="34"/>
      <c r="I12" s="33"/>
      <c r="J12" s="34"/>
      <c r="K12" s="34"/>
      <c r="L12" s="34"/>
      <c r="M12" s="33"/>
      <c r="N12" s="34"/>
      <c r="O12" s="35"/>
      <c r="P12" s="31"/>
      <c r="Q12" s="35"/>
    </row>
    <row r="13" spans="1:17" x14ac:dyDescent="0.35">
      <c r="A13" s="1"/>
      <c r="B13" s="1"/>
      <c r="C13" s="1"/>
      <c r="D13" s="1"/>
      <c r="E13" s="1"/>
      <c r="F13" s="1"/>
      <c r="G13" s="1"/>
      <c r="H13" s="1"/>
      <c r="I13" s="1"/>
      <c r="J13" s="1"/>
      <c r="K13" s="1"/>
      <c r="L13" s="1"/>
      <c r="M13" s="1"/>
      <c r="N13" s="1"/>
      <c r="O13" s="1"/>
      <c r="P13" s="1"/>
      <c r="Q13" s="1"/>
    </row>
    <row r="14" spans="1:17" x14ac:dyDescent="0.35">
      <c r="A14" s="1"/>
      <c r="B14" s="1"/>
      <c r="C14" s="1"/>
      <c r="D14" s="1"/>
      <c r="E14" s="1"/>
      <c r="F14" s="1"/>
      <c r="G14" s="1"/>
      <c r="H14" s="1"/>
      <c r="I14" s="1"/>
      <c r="J14" s="1"/>
      <c r="K14" s="1"/>
      <c r="L14" s="1"/>
      <c r="M14" s="1"/>
      <c r="N14" s="1"/>
      <c r="O14" s="1"/>
      <c r="P14" s="1"/>
      <c r="Q14" s="1"/>
    </row>
    <row r="15" spans="1:17" x14ac:dyDescent="0.35">
      <c r="A15" s="1"/>
      <c r="B15" s="1"/>
      <c r="C15" s="1"/>
      <c r="D15" s="1"/>
      <c r="E15" s="1"/>
      <c r="F15" s="1"/>
      <c r="G15" s="1"/>
      <c r="H15" s="1"/>
      <c r="I15" s="1"/>
      <c r="J15" s="1"/>
      <c r="K15" s="1"/>
      <c r="L15" s="1"/>
      <c r="M15" s="1"/>
      <c r="N15" s="1"/>
      <c r="O15" s="1"/>
      <c r="P15" s="1"/>
      <c r="Q15" s="1"/>
    </row>
    <row r="16" spans="1:17" x14ac:dyDescent="0.35">
      <c r="A16" s="1"/>
      <c r="B16" s="1"/>
      <c r="C16" s="1"/>
      <c r="D16" s="1"/>
      <c r="E16" s="1"/>
      <c r="F16" s="1"/>
      <c r="G16" s="1"/>
      <c r="H16" s="1"/>
      <c r="I16" s="1"/>
      <c r="J16" s="1"/>
      <c r="K16" s="1"/>
      <c r="L16" s="1"/>
      <c r="M16" s="1"/>
      <c r="N16" s="1"/>
      <c r="O16" s="1"/>
      <c r="P16" s="1"/>
      <c r="Q16" s="1"/>
    </row>
    <row r="17" spans="1:17" x14ac:dyDescent="0.35">
      <c r="A17" s="1"/>
      <c r="B17" s="1"/>
      <c r="C17" s="1"/>
      <c r="D17" s="1"/>
      <c r="E17" s="1"/>
      <c r="F17" s="1"/>
      <c r="G17" s="1"/>
      <c r="H17" s="1"/>
      <c r="I17" s="1"/>
      <c r="J17" s="1"/>
      <c r="K17" s="1"/>
      <c r="L17" s="1"/>
      <c r="M17" s="1"/>
      <c r="N17" s="1"/>
      <c r="O17" s="1"/>
      <c r="P17" s="1"/>
      <c r="Q17" s="1"/>
    </row>
    <row r="18" spans="1:17" x14ac:dyDescent="0.35">
      <c r="A18" s="1"/>
      <c r="B18" s="1"/>
      <c r="C18" s="1"/>
      <c r="D18" s="1"/>
      <c r="E18" s="1"/>
      <c r="F18" s="1"/>
      <c r="G18" s="1"/>
      <c r="H18" s="1"/>
      <c r="I18" s="1"/>
      <c r="J18" s="1"/>
      <c r="K18" s="1"/>
      <c r="L18" s="1"/>
      <c r="M18" s="1"/>
      <c r="N18" s="1"/>
      <c r="O18" s="1"/>
      <c r="P18" s="1"/>
      <c r="Q18" s="1"/>
    </row>
    <row r="19" spans="1:17" x14ac:dyDescent="0.35">
      <c r="A19" s="1"/>
      <c r="B19" s="1"/>
      <c r="C19" s="1"/>
      <c r="D19" s="1"/>
      <c r="E19" s="1"/>
      <c r="F19" s="1"/>
      <c r="G19" s="1"/>
      <c r="H19" s="1"/>
      <c r="I19" s="1"/>
      <c r="J19" s="1"/>
      <c r="K19" s="1"/>
      <c r="L19" s="1"/>
      <c r="M19" s="1"/>
      <c r="N19" s="1"/>
      <c r="O19" s="1"/>
      <c r="P19" s="1"/>
      <c r="Q19" s="1"/>
    </row>
    <row r="20" spans="1:17" x14ac:dyDescent="0.35">
      <c r="A20" s="1"/>
      <c r="B20" s="1"/>
      <c r="C20" s="1"/>
      <c r="D20" s="1"/>
      <c r="E20" s="1"/>
      <c r="F20" s="1"/>
      <c r="G20" s="1"/>
      <c r="H20" s="1"/>
      <c r="I20" s="1"/>
      <c r="J20" s="1"/>
      <c r="K20" s="1"/>
      <c r="L20" s="1"/>
      <c r="M20" s="1"/>
      <c r="N20" s="1"/>
      <c r="O20" s="1"/>
      <c r="P20" s="1"/>
      <c r="Q20" s="1"/>
    </row>
    <row r="21" spans="1:17" x14ac:dyDescent="0.35">
      <c r="A21" s="1"/>
      <c r="B21" s="1"/>
      <c r="C21" s="1"/>
      <c r="D21" s="1"/>
      <c r="E21" s="1"/>
      <c r="F21" s="1"/>
      <c r="G21" s="1"/>
      <c r="H21" s="1"/>
      <c r="I21" s="1"/>
      <c r="J21" s="1"/>
      <c r="K21" s="1"/>
      <c r="L21" s="1"/>
      <c r="M21" s="1"/>
      <c r="N21" s="1"/>
      <c r="O21" s="1"/>
      <c r="P21" s="1"/>
      <c r="Q21" s="1"/>
    </row>
    <row r="22" spans="1:17" x14ac:dyDescent="0.35">
      <c r="A22" s="1"/>
      <c r="B22" s="1"/>
      <c r="C22" s="1"/>
      <c r="D22" s="1"/>
      <c r="E22" s="1"/>
      <c r="F22" s="1"/>
      <c r="G22" s="1"/>
      <c r="H22" s="1"/>
      <c r="I22" s="1"/>
      <c r="J22" s="1"/>
      <c r="K22" s="1"/>
      <c r="L22" s="1"/>
      <c r="M22" s="1"/>
      <c r="N22" s="1"/>
      <c r="O22" s="1"/>
      <c r="P22" s="1"/>
      <c r="Q22" s="1"/>
    </row>
    <row r="23" spans="1:17" x14ac:dyDescent="0.35">
      <c r="A23" s="1"/>
      <c r="B23" s="1"/>
      <c r="C23" s="1"/>
      <c r="D23" s="1"/>
      <c r="E23" s="1"/>
      <c r="F23" s="1"/>
      <c r="G23" s="1"/>
      <c r="H23" s="1"/>
      <c r="I23" s="1"/>
      <c r="J23" s="1"/>
      <c r="K23" s="1"/>
      <c r="L23" s="1"/>
      <c r="M23" s="1"/>
      <c r="N23" s="1"/>
      <c r="O23" s="1"/>
      <c r="P23" s="1"/>
      <c r="Q23" s="1"/>
    </row>
    <row r="24" spans="1:17" x14ac:dyDescent="0.35">
      <c r="A24" s="1"/>
      <c r="B24" s="1"/>
      <c r="C24" s="1"/>
      <c r="D24" s="1"/>
      <c r="E24" s="1"/>
      <c r="F24" s="1"/>
      <c r="G24" s="1"/>
      <c r="H24" s="1"/>
      <c r="I24" s="1"/>
      <c r="J24" s="1"/>
      <c r="K24" s="1"/>
      <c r="L24" s="1"/>
      <c r="M24" s="1"/>
      <c r="N24" s="1"/>
      <c r="O24" s="1"/>
      <c r="P24" s="1"/>
      <c r="Q24" s="1"/>
    </row>
    <row r="25" spans="1:17" x14ac:dyDescent="0.35">
      <c r="A25" s="1"/>
      <c r="B25" s="1"/>
      <c r="C25" s="1"/>
      <c r="D25" s="1"/>
      <c r="E25" s="1"/>
      <c r="F25" s="1"/>
      <c r="G25" s="1"/>
      <c r="H25" s="1"/>
      <c r="I25" s="1"/>
      <c r="J25" s="1"/>
      <c r="K25" s="1"/>
      <c r="L25" s="1"/>
      <c r="M25" s="1"/>
      <c r="N25" s="1"/>
      <c r="O25" s="1"/>
      <c r="P25" s="1"/>
      <c r="Q25" s="1"/>
    </row>
    <row r="26" spans="1:17" x14ac:dyDescent="0.35">
      <c r="A26" s="1"/>
      <c r="B26" s="1"/>
      <c r="C26" s="1"/>
      <c r="D26" s="1"/>
      <c r="E26" s="1"/>
      <c r="F26" s="1"/>
      <c r="G26" s="1"/>
      <c r="H26" s="1"/>
      <c r="I26" s="1"/>
      <c r="J26" s="1"/>
      <c r="K26" s="1"/>
      <c r="L26" s="1"/>
      <c r="M26" s="1"/>
      <c r="N26" s="1"/>
      <c r="O26" s="1"/>
      <c r="P26" s="1"/>
      <c r="Q26" s="1"/>
    </row>
    <row r="27" spans="1:17" x14ac:dyDescent="0.35">
      <c r="A27" s="1"/>
      <c r="B27" s="1"/>
      <c r="C27" s="1"/>
      <c r="D27" s="1"/>
      <c r="E27" s="1"/>
      <c r="F27" s="1"/>
      <c r="G27" s="1"/>
      <c r="H27" s="1"/>
      <c r="I27" s="1"/>
      <c r="J27" s="1"/>
      <c r="K27" s="1"/>
      <c r="L27" s="1"/>
      <c r="M27" s="1"/>
      <c r="N27" s="1"/>
      <c r="O27" s="1"/>
      <c r="P27" s="1"/>
      <c r="Q27" s="1"/>
    </row>
    <row r="28" spans="1:17" x14ac:dyDescent="0.35">
      <c r="A28" s="1"/>
      <c r="B28" s="1"/>
      <c r="C28" s="1"/>
      <c r="D28" s="1"/>
      <c r="E28" s="1"/>
      <c r="F28" s="1"/>
      <c r="G28" s="1"/>
      <c r="H28" s="1"/>
      <c r="I28" s="1"/>
      <c r="J28" s="1"/>
      <c r="K28" s="1"/>
      <c r="L28" s="1"/>
      <c r="M28" s="1"/>
      <c r="N28" s="1"/>
      <c r="O28" s="1"/>
      <c r="P28" s="1"/>
      <c r="Q28" s="1"/>
    </row>
    <row r="29" spans="1:17" x14ac:dyDescent="0.35">
      <c r="A29" s="1"/>
      <c r="B29" s="1"/>
      <c r="C29" s="1"/>
      <c r="D29" s="1"/>
      <c r="E29" s="1"/>
      <c r="F29" s="1"/>
      <c r="G29" s="1"/>
      <c r="H29" s="1"/>
      <c r="I29" s="1"/>
      <c r="J29" s="1"/>
      <c r="K29" s="1"/>
      <c r="L29" s="1"/>
      <c r="M29" s="1"/>
      <c r="N29" s="1"/>
      <c r="O29" s="1"/>
      <c r="P29" s="1"/>
      <c r="Q29" s="1"/>
    </row>
    <row r="30" spans="1:17" x14ac:dyDescent="0.35">
      <c r="A30" s="1"/>
      <c r="B30" s="1"/>
      <c r="C30" s="1"/>
      <c r="D30" s="1"/>
      <c r="E30" s="1"/>
      <c r="F30" s="1"/>
      <c r="G30" s="1"/>
      <c r="H30" s="1"/>
      <c r="I30" s="1"/>
      <c r="J30" s="1"/>
      <c r="K30" s="1"/>
      <c r="L30" s="1"/>
      <c r="M30" s="1"/>
      <c r="N30" s="1"/>
      <c r="O30" s="1"/>
      <c r="P30" s="1"/>
      <c r="Q30" s="1"/>
    </row>
    <row r="31" spans="1:17" x14ac:dyDescent="0.35">
      <c r="A31" s="1"/>
      <c r="B31" s="1"/>
      <c r="C31" s="1"/>
      <c r="D31" s="1"/>
      <c r="E31" s="1"/>
      <c r="F31" s="1"/>
      <c r="G31" s="1"/>
      <c r="H31" s="1"/>
      <c r="I31" s="1"/>
      <c r="J31" s="1"/>
      <c r="K31" s="1"/>
      <c r="L31" s="1"/>
      <c r="M31" s="1"/>
      <c r="N31" s="1"/>
      <c r="O31" s="1"/>
      <c r="P31" s="1"/>
      <c r="Q31" s="1"/>
    </row>
    <row r="32" spans="1:17" x14ac:dyDescent="0.35">
      <c r="A32" s="1"/>
      <c r="B32" s="1"/>
      <c r="C32" s="1"/>
      <c r="D32" s="1"/>
      <c r="E32" s="1"/>
      <c r="F32" s="1"/>
      <c r="G32" s="1"/>
      <c r="H32" s="1"/>
      <c r="I32" s="1"/>
      <c r="J32" s="1"/>
      <c r="K32" s="1"/>
      <c r="L32" s="1"/>
      <c r="M32" s="1"/>
      <c r="N32" s="1"/>
      <c r="O32" s="1"/>
      <c r="P32" s="1"/>
      <c r="Q32" s="1"/>
    </row>
    <row r="33" spans="1:17" x14ac:dyDescent="0.35">
      <c r="A33" s="1"/>
      <c r="B33" s="1"/>
      <c r="C33" s="1"/>
      <c r="D33" s="1"/>
      <c r="E33" s="1"/>
      <c r="F33" s="1"/>
      <c r="G33" s="1"/>
      <c r="H33" s="1"/>
      <c r="I33" s="1"/>
      <c r="J33" s="1"/>
      <c r="K33" s="1"/>
      <c r="L33" s="1"/>
      <c r="M33" s="1"/>
      <c r="N33" s="1"/>
      <c r="O33" s="1"/>
      <c r="P33" s="1"/>
      <c r="Q33" s="1"/>
    </row>
    <row r="34" spans="1:17" x14ac:dyDescent="0.35">
      <c r="A34" s="1"/>
      <c r="B34" s="1"/>
      <c r="C34" s="1"/>
      <c r="D34" s="1"/>
      <c r="E34" s="1"/>
      <c r="F34" s="1"/>
      <c r="G34" s="1"/>
      <c r="H34" s="1"/>
      <c r="I34" s="1"/>
      <c r="J34" s="1"/>
      <c r="K34" s="1"/>
      <c r="L34" s="1"/>
      <c r="M34" s="1"/>
      <c r="N34" s="1"/>
      <c r="O34" s="1"/>
      <c r="P34" s="1"/>
      <c r="Q34" s="1"/>
    </row>
    <row r="35" spans="1:17" x14ac:dyDescent="0.35">
      <c r="A35" s="1"/>
      <c r="B35" s="1"/>
      <c r="C35" s="1"/>
      <c r="D35" s="1"/>
      <c r="E35" s="1"/>
      <c r="F35" s="1"/>
      <c r="G35" s="1"/>
      <c r="H35" s="1"/>
      <c r="I35" s="1"/>
      <c r="J35" s="1"/>
      <c r="K35" s="1"/>
      <c r="L35" s="1"/>
      <c r="M35" s="1"/>
      <c r="N35" s="1"/>
      <c r="O35" s="1"/>
      <c r="P35" s="1"/>
      <c r="Q35" s="1"/>
    </row>
    <row r="36" spans="1:17" x14ac:dyDescent="0.35">
      <c r="A36" s="1"/>
      <c r="B36" s="1"/>
      <c r="C36" s="1"/>
      <c r="D36" s="1"/>
      <c r="E36" s="1"/>
      <c r="F36" s="1"/>
      <c r="G36" s="1"/>
      <c r="H36" s="1"/>
      <c r="I36" s="1"/>
      <c r="J36" s="1"/>
      <c r="K36" s="1"/>
      <c r="L36" s="1"/>
      <c r="M36" s="1"/>
      <c r="N36" s="1"/>
      <c r="O36" s="1"/>
      <c r="P36" s="1"/>
      <c r="Q36" s="1"/>
    </row>
    <row r="37" spans="1:17" x14ac:dyDescent="0.35">
      <c r="A37" s="1"/>
      <c r="B37" s="1"/>
      <c r="C37" s="1"/>
      <c r="D37" s="1"/>
      <c r="E37" s="1"/>
      <c r="F37" s="1"/>
      <c r="G37" s="1"/>
      <c r="H37" s="1"/>
      <c r="I37" s="1"/>
      <c r="J37" s="1"/>
      <c r="K37" s="1"/>
      <c r="L37" s="1"/>
      <c r="M37" s="1"/>
      <c r="N37" s="1"/>
      <c r="O37" s="1"/>
      <c r="P37" s="1"/>
      <c r="Q37" s="1"/>
    </row>
    <row r="38" spans="1:17" x14ac:dyDescent="0.35">
      <c r="A38" s="1"/>
      <c r="B38" s="1"/>
      <c r="C38" s="1"/>
      <c r="D38" s="1"/>
      <c r="E38" s="1"/>
      <c r="F38" s="1"/>
      <c r="G38" s="1"/>
      <c r="H38" s="1"/>
      <c r="I38" s="1"/>
      <c r="J38" s="1"/>
      <c r="K38" s="1"/>
      <c r="L38" s="1"/>
      <c r="M38" s="1"/>
      <c r="N38" s="1"/>
      <c r="O38" s="1"/>
      <c r="P38" s="1"/>
      <c r="Q38" s="1"/>
    </row>
    <row r="39" spans="1:17" x14ac:dyDescent="0.35">
      <c r="A39" s="1"/>
      <c r="B39" s="1"/>
      <c r="C39" s="1"/>
      <c r="D39" s="1"/>
      <c r="E39" s="1"/>
      <c r="F39" s="1"/>
      <c r="G39" s="1"/>
      <c r="H39" s="1"/>
      <c r="I39" s="1"/>
      <c r="J39" s="1"/>
      <c r="K39" s="1"/>
      <c r="L39" s="1"/>
      <c r="M39" s="1"/>
      <c r="N39" s="1"/>
      <c r="O39" s="1"/>
      <c r="P39" s="1"/>
      <c r="Q39" s="1"/>
    </row>
    <row r="40" spans="1:17" x14ac:dyDescent="0.35">
      <c r="A40" s="1"/>
      <c r="B40" s="1"/>
      <c r="C40" s="1"/>
      <c r="D40" s="1"/>
      <c r="E40" s="1"/>
      <c r="F40" s="1"/>
      <c r="G40" s="1"/>
      <c r="H40" s="1"/>
      <c r="I40" s="1"/>
      <c r="J40" s="1"/>
      <c r="K40" s="1"/>
      <c r="L40" s="1"/>
      <c r="M40" s="1"/>
      <c r="N40" s="1"/>
      <c r="O40" s="1"/>
      <c r="P40" s="1"/>
      <c r="Q40" s="1"/>
    </row>
    <row r="41" spans="1:17" x14ac:dyDescent="0.35">
      <c r="A41" s="1"/>
      <c r="B41" s="1"/>
      <c r="C41" s="1"/>
      <c r="D41" s="1"/>
      <c r="E41" s="1"/>
      <c r="F41" s="1"/>
      <c r="G41" s="1"/>
      <c r="H41" s="1"/>
      <c r="I41" s="1"/>
      <c r="J41" s="1"/>
      <c r="K41" s="1"/>
      <c r="L41" s="1"/>
      <c r="M41" s="1"/>
      <c r="N41" s="1"/>
      <c r="O41" s="1"/>
      <c r="P41" s="1"/>
      <c r="Q41" s="1"/>
    </row>
    <row r="42" spans="1:17" x14ac:dyDescent="0.35">
      <c r="A42" s="1"/>
      <c r="B42" s="1"/>
      <c r="C42" s="1"/>
      <c r="D42" s="1"/>
      <c r="E42" s="1"/>
      <c r="F42" s="1"/>
      <c r="G42" s="1"/>
      <c r="H42" s="1"/>
      <c r="I42" s="1"/>
      <c r="J42" s="1"/>
      <c r="K42" s="1"/>
      <c r="L42" s="1"/>
      <c r="M42" s="1"/>
      <c r="N42" s="1"/>
      <c r="O42" s="1"/>
      <c r="P42" s="1"/>
      <c r="Q42" s="1"/>
    </row>
    <row r="43" spans="1:17" x14ac:dyDescent="0.35">
      <c r="A43" s="1"/>
      <c r="B43" s="1"/>
      <c r="C43" s="1"/>
      <c r="D43" s="1"/>
      <c r="E43" s="1"/>
      <c r="F43" s="1"/>
      <c r="G43" s="1"/>
      <c r="H43" s="1"/>
      <c r="I43" s="1"/>
      <c r="J43" s="1"/>
      <c r="K43" s="1"/>
      <c r="L43" s="1"/>
      <c r="M43" s="1"/>
      <c r="N43" s="1"/>
      <c r="O43" s="1"/>
      <c r="P43" s="1"/>
      <c r="Q43" s="1"/>
    </row>
    <row r="44" spans="1:17" x14ac:dyDescent="0.35">
      <c r="A44" s="1"/>
      <c r="B44" s="1"/>
      <c r="C44" s="1"/>
      <c r="D44" s="1"/>
      <c r="E44" s="1"/>
      <c r="F44" s="1"/>
      <c r="G44" s="1"/>
      <c r="H44" s="1"/>
      <c r="I44" s="1"/>
      <c r="J44" s="1"/>
      <c r="K44" s="1"/>
      <c r="L44" s="1"/>
      <c r="M44" s="1"/>
      <c r="N44" s="1"/>
      <c r="O44" s="1"/>
      <c r="P44" s="1"/>
      <c r="Q44" s="1"/>
    </row>
    <row r="45" spans="1:17" x14ac:dyDescent="0.35">
      <c r="A45" s="1"/>
      <c r="B45" s="1"/>
      <c r="C45" s="1"/>
      <c r="D45" s="1"/>
      <c r="E45" s="1"/>
      <c r="F45" s="1"/>
      <c r="G45" s="1"/>
      <c r="H45" s="1"/>
      <c r="I45" s="1"/>
      <c r="J45" s="1"/>
      <c r="K45" s="1"/>
      <c r="L45" s="1"/>
      <c r="M45" s="1"/>
      <c r="N45" s="1"/>
      <c r="O45" s="1"/>
      <c r="P45" s="1"/>
      <c r="Q45" s="1"/>
    </row>
    <row r="46" spans="1:17" x14ac:dyDescent="0.35">
      <c r="A46" s="1"/>
      <c r="B46" s="1"/>
      <c r="C46" s="1"/>
      <c r="D46" s="1"/>
      <c r="E46" s="1"/>
      <c r="F46" s="1"/>
      <c r="G46" s="1"/>
      <c r="H46" s="1"/>
      <c r="I46" s="1"/>
      <c r="J46" s="1"/>
      <c r="K46" s="1"/>
      <c r="L46" s="1"/>
      <c r="M46" s="1"/>
      <c r="N46" s="1"/>
      <c r="O46" s="1"/>
      <c r="P46" s="1"/>
      <c r="Q46" s="1"/>
    </row>
    <row r="47" spans="1:17" x14ac:dyDescent="0.35">
      <c r="A47" s="1"/>
      <c r="B47" s="1"/>
      <c r="C47" s="1"/>
      <c r="D47" s="1"/>
      <c r="E47" s="1"/>
      <c r="F47" s="1"/>
      <c r="G47" s="1"/>
      <c r="H47" s="1"/>
      <c r="I47" s="1"/>
      <c r="J47" s="1"/>
      <c r="K47" s="1"/>
      <c r="L47" s="1"/>
      <c r="M47" s="1"/>
      <c r="N47" s="1"/>
      <c r="O47" s="1"/>
      <c r="P47" s="1"/>
      <c r="Q47" s="1"/>
    </row>
    <row r="48" spans="1:17" x14ac:dyDescent="0.35">
      <c r="A48" s="1"/>
      <c r="B48" s="1"/>
      <c r="C48" s="1"/>
      <c r="D48" s="1"/>
      <c r="E48" s="1"/>
      <c r="F48" s="1"/>
      <c r="G48" s="1"/>
      <c r="H48" s="1"/>
      <c r="I48" s="1"/>
      <c r="J48" s="1"/>
      <c r="K48" s="1"/>
      <c r="L48" s="1"/>
      <c r="M48" s="1"/>
      <c r="N48" s="1"/>
      <c r="O48" s="1"/>
      <c r="P48" s="1"/>
      <c r="Q48" s="1"/>
    </row>
    <row r="49" spans="1:17" x14ac:dyDescent="0.35">
      <c r="A49" s="1"/>
      <c r="B49" s="1"/>
      <c r="C49" s="1"/>
      <c r="D49" s="1"/>
      <c r="E49" s="1"/>
      <c r="F49" s="1"/>
      <c r="G49" s="1"/>
      <c r="H49" s="1"/>
      <c r="I49" s="1"/>
      <c r="J49" s="1"/>
      <c r="K49" s="1"/>
      <c r="L49" s="1"/>
      <c r="M49" s="1"/>
      <c r="N49" s="1"/>
      <c r="O49" s="1"/>
      <c r="P49" s="1"/>
      <c r="Q49" s="1"/>
    </row>
    <row r="50" spans="1:17" x14ac:dyDescent="0.35">
      <c r="A50" s="1"/>
      <c r="B50" s="1"/>
      <c r="C50" s="1"/>
      <c r="D50" s="1"/>
      <c r="E50" s="1"/>
      <c r="F50" s="1"/>
      <c r="G50" s="1"/>
      <c r="H50" s="1"/>
      <c r="I50" s="1"/>
      <c r="J50" s="1"/>
      <c r="K50" s="1"/>
      <c r="L50" s="1"/>
      <c r="M50" s="1"/>
      <c r="N50" s="1"/>
      <c r="O50" s="1"/>
      <c r="P50" s="1"/>
      <c r="Q50" s="1"/>
    </row>
    <row r="51" spans="1:17" x14ac:dyDescent="0.35">
      <c r="A51" s="1"/>
      <c r="B51" s="1"/>
      <c r="C51" s="1"/>
      <c r="D51" s="1"/>
      <c r="E51" s="1"/>
      <c r="F51" s="1"/>
      <c r="G51" s="1"/>
      <c r="H51" s="1"/>
      <c r="I51" s="1"/>
      <c r="J51" s="1"/>
      <c r="K51" s="1"/>
      <c r="L51" s="1"/>
      <c r="M51" s="1"/>
      <c r="N51" s="1"/>
      <c r="O51" s="1"/>
      <c r="P51" s="1"/>
      <c r="Q51" s="1"/>
    </row>
    <row r="52" spans="1:17" x14ac:dyDescent="0.35">
      <c r="A52" s="1"/>
      <c r="B52" s="1"/>
      <c r="C52" s="1"/>
      <c r="D52" s="1"/>
      <c r="E52" s="1"/>
      <c r="F52" s="1"/>
      <c r="G52" s="1"/>
      <c r="H52" s="1"/>
      <c r="I52" s="1"/>
      <c r="J52" s="1"/>
      <c r="K52" s="1"/>
      <c r="L52" s="1"/>
      <c r="M52" s="1"/>
      <c r="N52" s="1"/>
      <c r="O52" s="1"/>
      <c r="P52" s="1"/>
      <c r="Q52" s="1"/>
    </row>
    <row r="53" spans="1:17" x14ac:dyDescent="0.35">
      <c r="A53" s="1"/>
      <c r="B53" s="1"/>
      <c r="C53" s="1"/>
      <c r="D53" s="1"/>
      <c r="E53" s="1"/>
      <c r="F53" s="1"/>
      <c r="G53" s="1"/>
      <c r="H53" s="1"/>
      <c r="I53" s="1"/>
      <c r="J53" s="1"/>
      <c r="K53" s="1"/>
      <c r="L53" s="1"/>
      <c r="M53" s="1"/>
      <c r="N53" s="1"/>
      <c r="O53" s="1"/>
      <c r="P53" s="1"/>
      <c r="Q53" s="1"/>
    </row>
    <row r="54" spans="1:17" x14ac:dyDescent="0.35">
      <c r="A54" s="1"/>
      <c r="B54" s="1"/>
      <c r="C54" s="1"/>
      <c r="D54" s="1"/>
      <c r="E54" s="1"/>
      <c r="F54" s="1"/>
      <c r="G54" s="1"/>
      <c r="H54" s="1"/>
      <c r="I54" s="1"/>
      <c r="J54" s="1"/>
      <c r="K54" s="1"/>
      <c r="L54" s="1"/>
      <c r="M54" s="1"/>
      <c r="N54" s="1"/>
      <c r="O54" s="1"/>
      <c r="P54" s="1"/>
      <c r="Q54" s="1"/>
    </row>
    <row r="55" spans="1:17" x14ac:dyDescent="0.35">
      <c r="A55" s="1"/>
      <c r="B55" s="1"/>
      <c r="C55" s="1"/>
      <c r="D55" s="1"/>
      <c r="E55" s="1"/>
      <c r="F55" s="1"/>
      <c r="G55" s="1"/>
      <c r="H55" s="1"/>
      <c r="I55" s="1"/>
      <c r="J55" s="1"/>
      <c r="K55" s="1"/>
      <c r="L55" s="1"/>
      <c r="M55" s="1"/>
      <c r="N55" s="1"/>
      <c r="O55" s="1"/>
      <c r="P55" s="1"/>
      <c r="Q55" s="1"/>
    </row>
    <row r="56" spans="1:17" x14ac:dyDescent="0.35">
      <c r="A56" s="1"/>
      <c r="B56" s="1"/>
      <c r="C56" s="1"/>
      <c r="D56" s="1"/>
      <c r="E56" s="1"/>
      <c r="F56" s="1"/>
      <c r="G56" s="1"/>
      <c r="H56" s="1"/>
      <c r="I56" s="1"/>
      <c r="J56" s="1"/>
      <c r="K56" s="1"/>
      <c r="L56" s="1"/>
      <c r="M56" s="1"/>
      <c r="N56" s="1"/>
      <c r="O56" s="1"/>
      <c r="P56" s="1"/>
      <c r="Q56" s="1"/>
    </row>
    <row r="57" spans="1:17" x14ac:dyDescent="0.35">
      <c r="A57" s="1"/>
      <c r="B57" s="1"/>
      <c r="C57" s="1"/>
      <c r="D57" s="1"/>
      <c r="E57" s="1"/>
      <c r="F57" s="1"/>
      <c r="G57" s="1"/>
      <c r="H57" s="1"/>
      <c r="I57" s="1"/>
      <c r="J57" s="1"/>
      <c r="K57" s="1"/>
      <c r="L57" s="1"/>
      <c r="M57" s="1"/>
      <c r="N57" s="1"/>
      <c r="O57" s="1"/>
      <c r="P57" s="1"/>
      <c r="Q57" s="1"/>
    </row>
    <row r="58" spans="1:17" x14ac:dyDescent="0.35">
      <c r="A58" s="1"/>
      <c r="B58" s="1"/>
      <c r="C58" s="1"/>
      <c r="D58" s="1"/>
      <c r="E58" s="1"/>
      <c r="F58" s="1"/>
      <c r="G58" s="1"/>
      <c r="H58" s="1"/>
      <c r="I58" s="1"/>
      <c r="J58" s="1"/>
      <c r="K58" s="1"/>
      <c r="L58" s="1"/>
      <c r="M58" s="1"/>
      <c r="N58" s="1"/>
      <c r="O58" s="1"/>
      <c r="P58" s="1"/>
      <c r="Q58" s="1"/>
    </row>
    <row r="59" spans="1:17" x14ac:dyDescent="0.35">
      <c r="A59" s="1"/>
      <c r="B59" s="1"/>
      <c r="C59" s="1"/>
      <c r="D59" s="1"/>
      <c r="E59" s="1"/>
      <c r="F59" s="1"/>
      <c r="G59" s="1"/>
      <c r="H59" s="1"/>
      <c r="I59" s="1"/>
      <c r="J59" s="1"/>
      <c r="K59" s="1"/>
      <c r="L59" s="1"/>
      <c r="M59" s="1"/>
      <c r="N59" s="1"/>
      <c r="O59" s="1"/>
      <c r="P59" s="1"/>
      <c r="Q59" s="1"/>
    </row>
    <row r="60" spans="1:17" x14ac:dyDescent="0.35">
      <c r="A60" s="1"/>
      <c r="B60" s="1"/>
      <c r="C60" s="1"/>
      <c r="D60" s="1"/>
      <c r="E60" s="1"/>
      <c r="F60" s="1"/>
      <c r="G60" s="1"/>
      <c r="H60" s="1"/>
      <c r="I60" s="1"/>
      <c r="J60" s="1"/>
      <c r="K60" s="1"/>
      <c r="L60" s="1"/>
      <c r="M60" s="1"/>
      <c r="N60" s="1"/>
      <c r="O60" s="1"/>
      <c r="P60" s="1"/>
      <c r="Q60" s="1"/>
    </row>
    <row r="61" spans="1:17" x14ac:dyDescent="0.35">
      <c r="A61" s="1"/>
      <c r="B61" s="1"/>
      <c r="C61" s="1"/>
      <c r="D61" s="1"/>
      <c r="E61" s="1"/>
      <c r="F61" s="1"/>
      <c r="G61" s="1"/>
      <c r="H61" s="1"/>
      <c r="I61" s="1"/>
      <c r="J61" s="1"/>
      <c r="K61" s="1"/>
      <c r="L61" s="1"/>
      <c r="M61" s="1"/>
      <c r="N61" s="1"/>
      <c r="O61" s="1"/>
      <c r="P61" s="1"/>
      <c r="Q61" s="1"/>
    </row>
    <row r="62" spans="1:17" x14ac:dyDescent="0.35">
      <c r="A62" s="1"/>
      <c r="B62" s="1"/>
      <c r="C62" s="1"/>
      <c r="D62" s="1"/>
      <c r="E62" s="1"/>
      <c r="F62" s="1"/>
      <c r="G62" s="1"/>
      <c r="H62" s="1"/>
      <c r="I62" s="1"/>
      <c r="J62" s="1"/>
      <c r="K62" s="1"/>
      <c r="L62" s="1"/>
      <c r="M62" s="1"/>
      <c r="N62" s="1"/>
      <c r="O62" s="1"/>
      <c r="P62" s="1"/>
      <c r="Q62" s="1"/>
    </row>
    <row r="63" spans="1:17" x14ac:dyDescent="0.35">
      <c r="A63" s="1"/>
      <c r="B63" s="1"/>
      <c r="C63" s="1"/>
      <c r="D63" s="1"/>
      <c r="E63" s="1"/>
      <c r="F63" s="1"/>
      <c r="G63" s="1"/>
      <c r="H63" s="1"/>
      <c r="I63" s="1"/>
      <c r="J63" s="1"/>
      <c r="K63" s="1"/>
      <c r="L63" s="1"/>
      <c r="M63" s="1"/>
      <c r="N63" s="1"/>
      <c r="O63" s="1"/>
      <c r="P63" s="1"/>
      <c r="Q63" s="1"/>
    </row>
    <row r="64" spans="1:17" x14ac:dyDescent="0.35">
      <c r="A64" s="1"/>
      <c r="B64" s="1"/>
      <c r="C64" s="1"/>
      <c r="D64" s="1"/>
      <c r="E64" s="1"/>
      <c r="F64" s="1"/>
      <c r="G64" s="1"/>
      <c r="H64" s="1"/>
      <c r="I64" s="1"/>
      <c r="J64" s="1"/>
      <c r="K64" s="1"/>
      <c r="L64" s="1"/>
      <c r="M64" s="1"/>
      <c r="N64" s="1"/>
      <c r="O64" s="1"/>
      <c r="P64" s="1"/>
      <c r="Q64" s="1"/>
    </row>
    <row r="65" spans="1:17" x14ac:dyDescent="0.35">
      <c r="A65" s="1"/>
      <c r="B65" s="1"/>
      <c r="C65" s="1"/>
      <c r="D65" s="1"/>
      <c r="E65" s="1"/>
      <c r="F65" s="1"/>
      <c r="G65" s="1"/>
      <c r="H65" s="1"/>
      <c r="I65" s="1"/>
      <c r="J65" s="1"/>
      <c r="K65" s="1"/>
      <c r="L65" s="1"/>
      <c r="M65" s="1"/>
      <c r="N65" s="1"/>
      <c r="O65" s="1"/>
      <c r="P65" s="1"/>
      <c r="Q65" s="1"/>
    </row>
    <row r="66" spans="1:17" x14ac:dyDescent="0.35">
      <c r="A66" s="1"/>
      <c r="B66" s="1"/>
      <c r="C66" s="1"/>
      <c r="D66" s="1"/>
      <c r="E66" s="1"/>
      <c r="F66" s="1"/>
      <c r="G66" s="1"/>
      <c r="H66" s="1"/>
      <c r="I66" s="1"/>
      <c r="J66" s="1"/>
      <c r="K66" s="1"/>
      <c r="L66" s="1"/>
      <c r="M66" s="1"/>
      <c r="N66" s="1"/>
      <c r="O66" s="1"/>
      <c r="P66" s="1"/>
      <c r="Q66" s="1"/>
    </row>
    <row r="67" spans="1:17" x14ac:dyDescent="0.35">
      <c r="A67" s="1"/>
      <c r="B67" s="1"/>
      <c r="C67" s="1"/>
      <c r="D67" s="1"/>
      <c r="E67" s="1"/>
      <c r="F67" s="1"/>
      <c r="G67" s="1"/>
      <c r="H67" s="1"/>
      <c r="I67" s="1"/>
      <c r="J67" s="1"/>
      <c r="K67" s="1"/>
      <c r="L67" s="1"/>
      <c r="M67" s="1"/>
      <c r="N67" s="1"/>
      <c r="O67" s="1"/>
      <c r="P67" s="1"/>
      <c r="Q67" s="1"/>
    </row>
    <row r="68" spans="1:17" x14ac:dyDescent="0.35">
      <c r="A68" s="1"/>
      <c r="B68" s="1"/>
      <c r="C68" s="1"/>
      <c r="D68" s="1"/>
      <c r="E68" s="1"/>
      <c r="F68" s="1"/>
      <c r="G68" s="1"/>
      <c r="H68" s="1"/>
      <c r="I68" s="1"/>
      <c r="J68" s="1"/>
      <c r="K68" s="1"/>
      <c r="L68" s="1"/>
      <c r="M68" s="1"/>
      <c r="N68" s="1"/>
      <c r="O68" s="1"/>
      <c r="P68" s="1"/>
      <c r="Q68" s="1"/>
    </row>
    <row r="69" spans="1:17" x14ac:dyDescent="0.35">
      <c r="A69" s="1"/>
      <c r="B69" s="1"/>
      <c r="C69" s="1"/>
      <c r="D69" s="1"/>
      <c r="E69" s="1"/>
      <c r="F69" s="1"/>
      <c r="G69" s="1"/>
      <c r="H69" s="1"/>
      <c r="I69" s="1"/>
      <c r="J69" s="1"/>
      <c r="K69" s="1"/>
      <c r="L69" s="1"/>
      <c r="M69" s="1"/>
      <c r="N69" s="1"/>
      <c r="O69" s="1"/>
      <c r="P69" s="1"/>
      <c r="Q69" s="1"/>
    </row>
    <row r="70" spans="1:17" x14ac:dyDescent="0.35">
      <c r="A70" s="1"/>
      <c r="B70" s="1"/>
      <c r="C70" s="1"/>
      <c r="D70" s="1"/>
      <c r="E70" s="1"/>
      <c r="F70" s="1"/>
      <c r="G70" s="1"/>
      <c r="H70" s="1"/>
      <c r="I70" s="1"/>
      <c r="J70" s="1"/>
      <c r="K70" s="1"/>
      <c r="L70" s="1"/>
      <c r="M70" s="1"/>
      <c r="N70" s="1"/>
      <c r="O70" s="1"/>
      <c r="P70" s="1"/>
      <c r="Q70" s="1"/>
    </row>
    <row r="71" spans="1:17" x14ac:dyDescent="0.35">
      <c r="A71" s="1"/>
      <c r="B71" s="1"/>
      <c r="C71" s="1"/>
      <c r="D71" s="1"/>
      <c r="E71" s="1"/>
      <c r="F71" s="1"/>
      <c r="G71" s="1"/>
      <c r="H71" s="1"/>
      <c r="I71" s="1"/>
      <c r="J71" s="1"/>
      <c r="K71" s="1"/>
      <c r="L71" s="1"/>
      <c r="M71" s="1"/>
      <c r="N71" s="1"/>
      <c r="O71" s="1"/>
      <c r="P71" s="1"/>
      <c r="Q71" s="1"/>
    </row>
    <row r="72" spans="1:17" x14ac:dyDescent="0.35">
      <c r="A72" s="1"/>
      <c r="B72" s="1"/>
      <c r="C72" s="1"/>
      <c r="D72" s="1"/>
      <c r="E72" s="1"/>
      <c r="F72" s="1"/>
      <c r="G72" s="1"/>
      <c r="H72" s="1"/>
      <c r="I72" s="1"/>
      <c r="J72" s="1"/>
      <c r="K72" s="1"/>
      <c r="L72" s="1"/>
      <c r="M72" s="1"/>
      <c r="N72" s="1"/>
      <c r="O72" s="1"/>
      <c r="P72" s="1"/>
      <c r="Q72" s="1"/>
    </row>
    <row r="73" spans="1:17" x14ac:dyDescent="0.35">
      <c r="A73" s="1"/>
      <c r="B73" s="1"/>
      <c r="C73" s="1"/>
      <c r="D73" s="1"/>
      <c r="E73" s="1"/>
      <c r="F73" s="1"/>
      <c r="G73" s="1"/>
      <c r="H73" s="1"/>
      <c r="I73" s="1"/>
      <c r="J73" s="1"/>
      <c r="K73" s="1"/>
      <c r="L73" s="1"/>
      <c r="M73" s="1"/>
      <c r="N73" s="1"/>
      <c r="O73" s="1"/>
      <c r="P73" s="1"/>
      <c r="Q73" s="1"/>
    </row>
    <row r="74" spans="1:17" x14ac:dyDescent="0.35">
      <c r="A74" s="1"/>
      <c r="B74" s="1"/>
      <c r="C74" s="1"/>
      <c r="D74" s="1"/>
      <c r="E74" s="1"/>
      <c r="F74" s="1"/>
      <c r="G74" s="1"/>
      <c r="H74" s="1"/>
      <c r="I74" s="1"/>
      <c r="J74" s="1"/>
      <c r="K74" s="1"/>
      <c r="L74" s="1"/>
      <c r="M74" s="1"/>
      <c r="N74" s="1"/>
      <c r="O74" s="1"/>
      <c r="P74" s="1"/>
      <c r="Q74" s="1"/>
    </row>
    <row r="75" spans="1:17" x14ac:dyDescent="0.35">
      <c r="A75" s="1"/>
      <c r="B75" s="1"/>
      <c r="C75" s="1"/>
      <c r="D75" s="1"/>
      <c r="E75" s="1"/>
      <c r="F75" s="1"/>
      <c r="G75" s="1"/>
      <c r="H75" s="1"/>
      <c r="I75" s="1"/>
      <c r="J75" s="1"/>
      <c r="K75" s="1"/>
      <c r="L75" s="1"/>
      <c r="M75" s="1"/>
      <c r="N75" s="1"/>
      <c r="O75" s="1"/>
      <c r="P75" s="1"/>
      <c r="Q75" s="1"/>
    </row>
    <row r="76" spans="1:17" x14ac:dyDescent="0.35">
      <c r="A76" s="1"/>
      <c r="B76" s="1"/>
      <c r="C76" s="1"/>
      <c r="D76" s="1"/>
      <c r="E76" s="1"/>
      <c r="F76" s="1"/>
      <c r="G76" s="1"/>
      <c r="H76" s="1"/>
      <c r="I76" s="1"/>
      <c r="J76" s="1"/>
      <c r="K76" s="1"/>
      <c r="L76" s="1"/>
      <c r="M76" s="1"/>
      <c r="N76" s="1"/>
      <c r="O76" s="1"/>
      <c r="P76" s="1"/>
      <c r="Q76" s="1"/>
    </row>
    <row r="77" spans="1:17" x14ac:dyDescent="0.35">
      <c r="A77" s="1"/>
      <c r="B77" s="1"/>
      <c r="C77" s="1"/>
      <c r="D77" s="1"/>
      <c r="E77" s="1"/>
      <c r="F77" s="1"/>
      <c r="G77" s="1"/>
      <c r="H77" s="1"/>
      <c r="I77" s="1"/>
      <c r="J77" s="1"/>
      <c r="K77" s="1"/>
      <c r="L77" s="1"/>
      <c r="M77" s="1"/>
      <c r="N77" s="1"/>
      <c r="O77" s="1"/>
      <c r="P77" s="1"/>
      <c r="Q77" s="1"/>
    </row>
    <row r="78" spans="1:17" x14ac:dyDescent="0.35">
      <c r="A78" s="1"/>
      <c r="B78" s="1"/>
      <c r="C78" s="1"/>
      <c r="D78" s="1"/>
      <c r="E78" s="1"/>
      <c r="F78" s="1"/>
      <c r="G78" s="1"/>
      <c r="H78" s="1"/>
      <c r="I78" s="1"/>
      <c r="J78" s="1"/>
      <c r="K78" s="1"/>
      <c r="L78" s="1"/>
      <c r="M78" s="1"/>
      <c r="N78" s="1"/>
      <c r="O78" s="1"/>
      <c r="P78" s="1"/>
      <c r="Q78" s="1"/>
    </row>
    <row r="79" spans="1:17" x14ac:dyDescent="0.35">
      <c r="A79" s="1"/>
      <c r="B79" s="1"/>
      <c r="C79" s="1"/>
      <c r="D79" s="1"/>
      <c r="E79" s="1"/>
      <c r="F79" s="1"/>
      <c r="G79" s="1"/>
      <c r="H79" s="1"/>
      <c r="I79" s="1"/>
      <c r="J79" s="1"/>
      <c r="K79" s="1"/>
      <c r="L79" s="1"/>
      <c r="M79" s="1"/>
      <c r="N79" s="1"/>
      <c r="O79" s="1"/>
      <c r="P79" s="1"/>
      <c r="Q79" s="1"/>
    </row>
    <row r="80" spans="1:17" x14ac:dyDescent="0.35">
      <c r="A80" s="1"/>
      <c r="B80" s="1"/>
      <c r="C80" s="1"/>
      <c r="D80" s="1"/>
      <c r="E80" s="1"/>
      <c r="F80" s="1"/>
      <c r="G80" s="1"/>
      <c r="H80" s="1"/>
      <c r="I80" s="1"/>
      <c r="J80" s="1"/>
      <c r="K80" s="1"/>
      <c r="L80" s="1"/>
      <c r="M80" s="1"/>
      <c r="N80" s="1"/>
      <c r="O80" s="1"/>
      <c r="P80" s="1"/>
      <c r="Q80" s="1"/>
    </row>
    <row r="81" spans="1:17" x14ac:dyDescent="0.35">
      <c r="A81" s="1"/>
      <c r="B81" s="1"/>
      <c r="C81" s="1"/>
      <c r="D81" s="1"/>
      <c r="E81" s="1"/>
      <c r="F81" s="1"/>
      <c r="G81" s="1"/>
      <c r="H81" s="1"/>
      <c r="I81" s="1"/>
      <c r="J81" s="1"/>
      <c r="K81" s="1"/>
      <c r="L81" s="1"/>
      <c r="M81" s="1"/>
      <c r="N81" s="1"/>
      <c r="O81" s="1"/>
      <c r="P81" s="1"/>
      <c r="Q81" s="1"/>
    </row>
    <row r="82" spans="1:17" x14ac:dyDescent="0.35">
      <c r="A82" s="1"/>
      <c r="B82" s="1"/>
      <c r="C82" s="1"/>
      <c r="D82" s="1"/>
      <c r="E82" s="1"/>
      <c r="F82" s="1"/>
      <c r="G82" s="1"/>
      <c r="H82" s="1"/>
      <c r="I82" s="1"/>
      <c r="J82" s="1"/>
      <c r="K82" s="1"/>
      <c r="L82" s="1"/>
      <c r="M82" s="1"/>
      <c r="N82" s="1"/>
      <c r="O82" s="1"/>
      <c r="P82" s="1"/>
      <c r="Q82" s="1"/>
    </row>
    <row r="83" spans="1:17" x14ac:dyDescent="0.35">
      <c r="A83" s="1"/>
      <c r="B83" s="1"/>
      <c r="C83" s="1"/>
      <c r="D83" s="1"/>
      <c r="E83" s="1"/>
      <c r="F83" s="1"/>
      <c r="G83" s="1"/>
      <c r="H83" s="1"/>
      <c r="I83" s="1"/>
      <c r="J83" s="1"/>
      <c r="K83" s="1"/>
      <c r="L83" s="1"/>
      <c r="M83" s="1"/>
      <c r="N83" s="1"/>
      <c r="O83" s="1"/>
      <c r="P83" s="1"/>
      <c r="Q83" s="1"/>
    </row>
    <row r="84" spans="1:17" x14ac:dyDescent="0.35">
      <c r="A84" s="1"/>
      <c r="B84" s="1"/>
      <c r="C84" s="1"/>
      <c r="D84" s="1"/>
      <c r="E84" s="1"/>
      <c r="F84" s="1"/>
      <c r="G84" s="1"/>
      <c r="H84" s="1"/>
      <c r="I84" s="1"/>
      <c r="J84" s="1"/>
      <c r="K84" s="1"/>
      <c r="L84" s="1"/>
      <c r="M84" s="1"/>
      <c r="N84" s="1"/>
      <c r="O84" s="1"/>
      <c r="P84" s="1"/>
      <c r="Q84" s="1"/>
    </row>
    <row r="85" spans="1:17" x14ac:dyDescent="0.35">
      <c r="A85" s="1"/>
      <c r="B85" s="1"/>
      <c r="C85" s="1"/>
      <c r="D85" s="1"/>
      <c r="E85" s="1"/>
      <c r="F85" s="1"/>
      <c r="G85" s="1"/>
      <c r="H85" s="1"/>
      <c r="I85" s="1"/>
      <c r="J85" s="1"/>
      <c r="K85" s="1"/>
      <c r="L85" s="1"/>
      <c r="M85" s="1"/>
      <c r="N85" s="1"/>
      <c r="O85" s="1"/>
      <c r="P85" s="1"/>
      <c r="Q85" s="1"/>
    </row>
    <row r="86" spans="1:17" x14ac:dyDescent="0.35">
      <c r="A86" s="1"/>
      <c r="B86" s="1"/>
      <c r="C86" s="1"/>
      <c r="D86" s="1"/>
      <c r="E86" s="1"/>
      <c r="F86" s="1"/>
      <c r="G86" s="1"/>
      <c r="H86" s="1"/>
      <c r="I86" s="1"/>
      <c r="J86" s="1"/>
      <c r="K86" s="1"/>
      <c r="L86" s="1"/>
      <c r="M86" s="1"/>
      <c r="N86" s="1"/>
      <c r="O86" s="1"/>
      <c r="P86" s="1"/>
      <c r="Q86" s="1"/>
    </row>
    <row r="87" spans="1:17" x14ac:dyDescent="0.35">
      <c r="A87" s="1"/>
      <c r="B87" s="1"/>
      <c r="C87" s="1"/>
      <c r="D87" s="1"/>
      <c r="E87" s="1"/>
      <c r="F87" s="1"/>
      <c r="G87" s="1"/>
      <c r="H87" s="1"/>
      <c r="I87" s="1"/>
      <c r="J87" s="1"/>
      <c r="K87" s="1"/>
      <c r="L87" s="1"/>
      <c r="M87" s="1"/>
      <c r="N87" s="1"/>
      <c r="O87" s="1"/>
      <c r="P87" s="1"/>
      <c r="Q87" s="1"/>
    </row>
    <row r="88" spans="1:17" x14ac:dyDescent="0.35">
      <c r="A88" s="1"/>
      <c r="B88" s="1"/>
      <c r="C88" s="1"/>
      <c r="D88" s="1"/>
      <c r="E88" s="1"/>
      <c r="F88" s="1"/>
      <c r="G88" s="1"/>
      <c r="H88" s="1"/>
      <c r="I88" s="1"/>
      <c r="J88" s="1"/>
      <c r="K88" s="1"/>
      <c r="L88" s="1"/>
      <c r="M88" s="1"/>
      <c r="N88" s="1"/>
      <c r="O88" s="1"/>
      <c r="P88" s="1"/>
      <c r="Q88" s="1"/>
    </row>
    <row r="89" spans="1:17" x14ac:dyDescent="0.35">
      <c r="A89" s="1"/>
      <c r="B89" s="1"/>
      <c r="C89" s="1"/>
      <c r="D89" s="1"/>
      <c r="E89" s="1"/>
      <c r="F89" s="1"/>
      <c r="G89" s="1"/>
      <c r="H89" s="1"/>
      <c r="I89" s="1"/>
      <c r="J89" s="1"/>
      <c r="K89" s="1"/>
      <c r="L89" s="1"/>
      <c r="M89" s="1"/>
      <c r="N89" s="1"/>
      <c r="O89" s="1"/>
      <c r="P89" s="1"/>
      <c r="Q89" s="1"/>
    </row>
    <row r="90" spans="1:17" x14ac:dyDescent="0.35">
      <c r="A90" s="1"/>
      <c r="B90" s="1"/>
      <c r="C90" s="1"/>
      <c r="D90" s="1"/>
      <c r="E90" s="1"/>
      <c r="F90" s="1"/>
      <c r="G90" s="1"/>
      <c r="H90" s="1"/>
      <c r="I90" s="1"/>
      <c r="J90" s="1"/>
      <c r="K90" s="1"/>
      <c r="L90" s="1"/>
      <c r="M90" s="1"/>
      <c r="N90" s="1"/>
      <c r="O90" s="1"/>
      <c r="P90" s="1"/>
      <c r="Q90" s="1"/>
    </row>
    <row r="91" spans="1:17" x14ac:dyDescent="0.35">
      <c r="A91" s="1"/>
      <c r="B91" s="1"/>
      <c r="C91" s="1"/>
      <c r="D91" s="1"/>
      <c r="E91" s="1"/>
      <c r="F91" s="1"/>
      <c r="G91" s="1"/>
      <c r="H91" s="1"/>
      <c r="I91" s="1"/>
      <c r="J91" s="1"/>
      <c r="K91" s="1"/>
      <c r="L91" s="1"/>
      <c r="M91" s="1"/>
      <c r="N91" s="1"/>
      <c r="O91" s="1"/>
      <c r="P91" s="1"/>
      <c r="Q91" s="1"/>
    </row>
    <row r="92" spans="1:17" x14ac:dyDescent="0.35">
      <c r="A92" s="1"/>
      <c r="B92" s="1"/>
      <c r="C92" s="1"/>
      <c r="D92" s="1"/>
      <c r="E92" s="1"/>
      <c r="F92" s="1"/>
      <c r="G92" s="1"/>
      <c r="H92" s="1"/>
      <c r="I92" s="1"/>
      <c r="J92" s="1"/>
      <c r="K92" s="1"/>
      <c r="L92" s="1"/>
      <c r="M92" s="1"/>
      <c r="N92" s="1"/>
      <c r="O92" s="1"/>
      <c r="P92" s="1"/>
      <c r="Q92" s="1"/>
    </row>
    <row r="93" spans="1:17" x14ac:dyDescent="0.35">
      <c r="A93" s="1"/>
      <c r="B93" s="1"/>
      <c r="C93" s="1"/>
      <c r="D93" s="1"/>
      <c r="E93" s="1"/>
      <c r="F93" s="1"/>
      <c r="G93" s="1"/>
      <c r="H93" s="1"/>
      <c r="I93" s="1"/>
      <c r="J93" s="1"/>
      <c r="K93" s="1"/>
      <c r="L93" s="1"/>
      <c r="M93" s="1"/>
      <c r="N93" s="1"/>
      <c r="O93" s="1"/>
      <c r="P93" s="1"/>
      <c r="Q93" s="1"/>
    </row>
    <row r="94" spans="1:17" x14ac:dyDescent="0.35">
      <c r="A94" s="1"/>
      <c r="B94" s="1"/>
      <c r="C94" s="1"/>
      <c r="D94" s="1"/>
      <c r="E94" s="1"/>
      <c r="F94" s="1"/>
      <c r="G94" s="1"/>
      <c r="H94" s="1"/>
      <c r="I94" s="1"/>
      <c r="J94" s="1"/>
      <c r="K94" s="1"/>
      <c r="L94" s="1"/>
      <c r="M94" s="1"/>
      <c r="N94" s="1"/>
      <c r="O94" s="1"/>
      <c r="P94" s="1"/>
      <c r="Q94" s="1"/>
    </row>
    <row r="95" spans="1:17" x14ac:dyDescent="0.35">
      <c r="A95" s="1"/>
      <c r="B95" s="1"/>
      <c r="C95" s="1"/>
      <c r="D95" s="1"/>
      <c r="E95" s="1"/>
      <c r="F95" s="1"/>
      <c r="G95" s="1"/>
      <c r="H95" s="1"/>
      <c r="I95" s="1"/>
      <c r="J95" s="1"/>
      <c r="K95" s="1"/>
      <c r="L95" s="1"/>
      <c r="M95" s="1"/>
      <c r="N95" s="1"/>
      <c r="O95" s="1"/>
      <c r="P95" s="1"/>
      <c r="Q95" s="1"/>
    </row>
    <row r="96" spans="1:17" x14ac:dyDescent="0.35">
      <c r="A96" s="1"/>
      <c r="B96" s="1"/>
      <c r="C96" s="1"/>
      <c r="D96" s="1"/>
      <c r="E96" s="1"/>
      <c r="F96" s="1"/>
      <c r="G96" s="1"/>
      <c r="H96" s="1"/>
      <c r="I96" s="1"/>
      <c r="J96" s="1"/>
      <c r="K96" s="1"/>
      <c r="L96" s="1"/>
      <c r="M96" s="1"/>
      <c r="N96" s="1"/>
      <c r="O96" s="1"/>
      <c r="P96" s="1"/>
      <c r="Q96" s="1"/>
    </row>
    <row r="97" spans="1:17" x14ac:dyDescent="0.35">
      <c r="A97" s="1"/>
      <c r="B97" s="1"/>
      <c r="C97" s="1"/>
      <c r="D97" s="1"/>
      <c r="E97" s="1"/>
      <c r="F97" s="1"/>
      <c r="G97" s="1"/>
      <c r="H97" s="1"/>
      <c r="I97" s="1"/>
      <c r="J97" s="1"/>
      <c r="K97" s="1"/>
      <c r="L97" s="1"/>
      <c r="M97" s="1"/>
      <c r="N97" s="1"/>
      <c r="O97" s="1"/>
      <c r="P97" s="1"/>
      <c r="Q97" s="1"/>
    </row>
    <row r="98" spans="1:17" x14ac:dyDescent="0.35">
      <c r="A98" s="1"/>
      <c r="B98" s="1"/>
      <c r="C98" s="1"/>
      <c r="D98" s="1"/>
      <c r="E98" s="1"/>
      <c r="F98" s="1"/>
      <c r="G98" s="1"/>
      <c r="H98" s="1"/>
      <c r="I98" s="1"/>
      <c r="J98" s="1"/>
      <c r="K98" s="1"/>
      <c r="L98" s="1"/>
      <c r="M98" s="1"/>
      <c r="N98" s="1"/>
      <c r="O98" s="1"/>
      <c r="P98" s="1"/>
      <c r="Q98" s="1"/>
    </row>
    <row r="99" spans="1:17" x14ac:dyDescent="0.35">
      <c r="A99" s="1"/>
      <c r="B99" s="1"/>
      <c r="C99" s="1"/>
      <c r="D99" s="1"/>
      <c r="E99" s="1"/>
      <c r="F99" s="1"/>
      <c r="G99" s="1"/>
      <c r="H99" s="1"/>
      <c r="I99" s="1"/>
      <c r="J99" s="1"/>
      <c r="K99" s="1"/>
      <c r="L99" s="1"/>
      <c r="M99" s="1"/>
      <c r="N99" s="1"/>
      <c r="O99" s="1"/>
      <c r="P99" s="1"/>
      <c r="Q99" s="1"/>
    </row>
    <row r="100" spans="1:17" x14ac:dyDescent="0.35">
      <c r="A100" s="1"/>
      <c r="B100" s="1"/>
      <c r="C100" s="1"/>
      <c r="D100" s="1"/>
      <c r="E100" s="1"/>
      <c r="F100" s="1"/>
      <c r="G100" s="1"/>
      <c r="H100" s="1"/>
      <c r="I100" s="1"/>
      <c r="J100" s="1"/>
      <c r="K100" s="1"/>
      <c r="L100" s="1"/>
      <c r="M100" s="1"/>
      <c r="N100" s="1"/>
      <c r="O100" s="1"/>
      <c r="P100" s="1"/>
      <c r="Q100" s="1"/>
    </row>
    <row r="101" spans="1:17" x14ac:dyDescent="0.35">
      <c r="A101" s="1"/>
      <c r="B101" s="1"/>
      <c r="C101" s="1"/>
      <c r="D101" s="1"/>
      <c r="E101" s="1"/>
      <c r="F101" s="1"/>
      <c r="G101" s="1"/>
      <c r="H101" s="1"/>
      <c r="I101" s="1"/>
      <c r="J101" s="1"/>
      <c r="K101" s="1"/>
      <c r="L101" s="1"/>
      <c r="M101" s="1"/>
      <c r="N101" s="1"/>
      <c r="O101" s="1"/>
      <c r="P101" s="1"/>
      <c r="Q101" s="1"/>
    </row>
    <row r="102" spans="1:17" x14ac:dyDescent="0.35">
      <c r="A102" s="1"/>
      <c r="B102" s="1"/>
      <c r="C102" s="1"/>
      <c r="D102" s="1"/>
      <c r="E102" s="1"/>
      <c r="F102" s="1"/>
      <c r="G102" s="1"/>
      <c r="H102" s="1"/>
      <c r="I102" s="1"/>
      <c r="J102" s="1"/>
      <c r="K102" s="1"/>
      <c r="L102" s="1"/>
      <c r="M102" s="1"/>
      <c r="N102" s="1"/>
      <c r="O102" s="1"/>
      <c r="P102" s="1"/>
      <c r="Q102" s="1"/>
    </row>
    <row r="103" spans="1:17" x14ac:dyDescent="0.35">
      <c r="A103" s="1"/>
      <c r="B103" s="1"/>
      <c r="C103" s="1"/>
      <c r="D103" s="1"/>
      <c r="E103" s="1"/>
      <c r="F103" s="1"/>
      <c r="G103" s="1"/>
      <c r="H103" s="1"/>
      <c r="I103" s="1"/>
      <c r="J103" s="1"/>
      <c r="K103" s="1"/>
      <c r="L103" s="1"/>
      <c r="M103" s="1"/>
      <c r="N103" s="1"/>
      <c r="O103" s="1"/>
      <c r="P103" s="1"/>
      <c r="Q103" s="1"/>
    </row>
    <row r="104" spans="1:17" x14ac:dyDescent="0.35">
      <c r="A104" s="1"/>
      <c r="B104" s="1"/>
      <c r="C104" s="1"/>
      <c r="D104" s="1"/>
      <c r="E104" s="1"/>
      <c r="F104" s="1"/>
      <c r="G104" s="1"/>
      <c r="H104" s="1"/>
      <c r="I104" s="1"/>
      <c r="J104" s="1"/>
      <c r="K104" s="1"/>
      <c r="L104" s="1"/>
      <c r="M104" s="1"/>
      <c r="N104" s="1"/>
      <c r="O104" s="1"/>
      <c r="P104" s="1"/>
      <c r="Q104" s="1"/>
    </row>
    <row r="105" spans="1:17" x14ac:dyDescent="0.35">
      <c r="A105" s="1"/>
      <c r="B105" s="1"/>
      <c r="C105" s="1"/>
      <c r="D105" s="1"/>
      <c r="E105" s="1"/>
      <c r="F105" s="1"/>
      <c r="G105" s="1"/>
      <c r="H105" s="1"/>
      <c r="I105" s="1"/>
      <c r="J105" s="1"/>
      <c r="K105" s="1"/>
      <c r="L105" s="1"/>
      <c r="M105" s="1"/>
      <c r="N105" s="1"/>
      <c r="O105" s="1"/>
      <c r="P105" s="1"/>
      <c r="Q105" s="1"/>
    </row>
    <row r="106" spans="1:17" x14ac:dyDescent="0.35">
      <c r="A106" s="1"/>
      <c r="B106" s="1"/>
      <c r="C106" s="1"/>
      <c r="D106" s="1"/>
      <c r="E106" s="1"/>
      <c r="F106" s="1"/>
      <c r="G106" s="1"/>
      <c r="H106" s="1"/>
      <c r="I106" s="1"/>
      <c r="J106" s="1"/>
      <c r="K106" s="1"/>
      <c r="L106" s="1"/>
      <c r="M106" s="1"/>
      <c r="N106" s="1"/>
      <c r="O106" s="1"/>
      <c r="P106" s="1"/>
      <c r="Q106" s="1"/>
    </row>
    <row r="107" spans="1:17" x14ac:dyDescent="0.35">
      <c r="A107" s="1"/>
      <c r="B107" s="1"/>
      <c r="C107" s="1"/>
      <c r="D107" s="1"/>
      <c r="E107" s="1"/>
      <c r="F107" s="1"/>
      <c r="G107" s="1"/>
      <c r="H107" s="1"/>
      <c r="I107" s="1"/>
      <c r="J107" s="1"/>
      <c r="K107" s="1"/>
      <c r="L107" s="1"/>
      <c r="M107" s="1"/>
      <c r="N107" s="1"/>
      <c r="O107" s="1"/>
      <c r="P107" s="1"/>
      <c r="Q107" s="1"/>
    </row>
    <row r="108" spans="1:17" x14ac:dyDescent="0.35">
      <c r="A108" s="1"/>
      <c r="B108" s="1"/>
      <c r="C108" s="1"/>
      <c r="D108" s="1"/>
      <c r="E108" s="1"/>
      <c r="F108" s="1"/>
      <c r="G108" s="1"/>
      <c r="H108" s="1"/>
      <c r="I108" s="1"/>
      <c r="J108" s="1"/>
      <c r="K108" s="1"/>
      <c r="L108" s="1"/>
      <c r="M108" s="1"/>
      <c r="N108" s="1"/>
      <c r="O108" s="1"/>
      <c r="P108" s="1"/>
      <c r="Q108" s="1"/>
    </row>
    <row r="109" spans="1:17" x14ac:dyDescent="0.35">
      <c r="A109" s="1"/>
      <c r="B109" s="1"/>
      <c r="C109" s="1"/>
      <c r="D109" s="1"/>
      <c r="E109" s="1"/>
      <c r="F109" s="1"/>
      <c r="G109" s="1"/>
      <c r="H109" s="1"/>
      <c r="I109" s="1"/>
      <c r="J109" s="1"/>
      <c r="K109" s="1"/>
      <c r="L109" s="1"/>
      <c r="M109" s="1"/>
      <c r="N109" s="1"/>
      <c r="O109" s="1"/>
      <c r="P109" s="1"/>
      <c r="Q109" s="1"/>
    </row>
    <row r="110" spans="1:17" x14ac:dyDescent="0.35">
      <c r="A110" s="1"/>
      <c r="B110" s="1"/>
      <c r="C110" s="1"/>
      <c r="D110" s="1"/>
      <c r="E110" s="1"/>
      <c r="F110" s="1"/>
      <c r="G110" s="1"/>
      <c r="H110" s="1"/>
      <c r="I110" s="1"/>
      <c r="J110" s="1"/>
      <c r="K110" s="1"/>
      <c r="L110" s="1"/>
      <c r="M110" s="1"/>
      <c r="N110" s="1"/>
      <c r="O110" s="1"/>
      <c r="P110" s="1"/>
      <c r="Q110" s="1"/>
    </row>
    <row r="111" spans="1:17" x14ac:dyDescent="0.35">
      <c r="A111" s="1"/>
      <c r="B111" s="1"/>
      <c r="C111" s="1"/>
      <c r="D111" s="1"/>
      <c r="E111" s="1"/>
      <c r="F111" s="1"/>
      <c r="G111" s="1"/>
      <c r="H111" s="1"/>
      <c r="I111" s="1"/>
      <c r="J111" s="1"/>
      <c r="K111" s="1"/>
      <c r="L111" s="1"/>
      <c r="M111" s="1"/>
      <c r="N111" s="1"/>
      <c r="O111" s="1"/>
      <c r="P111" s="1"/>
      <c r="Q111" s="1"/>
    </row>
    <row r="112" spans="1:17" x14ac:dyDescent="0.35">
      <c r="A112" s="1"/>
      <c r="B112" s="1"/>
      <c r="C112" s="1"/>
      <c r="D112" s="1"/>
      <c r="E112" s="1"/>
      <c r="F112" s="1"/>
      <c r="G112" s="1"/>
      <c r="H112" s="1"/>
      <c r="I112" s="1"/>
      <c r="J112" s="1"/>
      <c r="K112" s="1"/>
      <c r="L112" s="1"/>
      <c r="M112" s="1"/>
      <c r="N112" s="1"/>
      <c r="O112" s="1"/>
      <c r="P112" s="1"/>
      <c r="Q112" s="1"/>
    </row>
    <row r="113" spans="1:17" x14ac:dyDescent="0.35">
      <c r="A113" s="1"/>
      <c r="B113" s="1"/>
      <c r="C113" s="1"/>
      <c r="D113" s="1"/>
      <c r="E113" s="1"/>
      <c r="F113" s="1"/>
      <c r="G113" s="1"/>
      <c r="H113" s="1"/>
      <c r="I113" s="1"/>
      <c r="J113" s="1"/>
      <c r="K113" s="1"/>
      <c r="L113" s="1"/>
      <c r="M113" s="1"/>
      <c r="N113" s="1"/>
      <c r="O113" s="1"/>
      <c r="P113" s="1"/>
      <c r="Q113" s="1"/>
    </row>
    <row r="114" spans="1:17" x14ac:dyDescent="0.35">
      <c r="A114" s="1"/>
      <c r="B114" s="1"/>
      <c r="C114" s="1"/>
      <c r="D114" s="1"/>
      <c r="E114" s="1"/>
      <c r="F114" s="1"/>
      <c r="G114" s="1"/>
      <c r="H114" s="1"/>
      <c r="I114" s="1"/>
      <c r="J114" s="1"/>
      <c r="K114" s="1"/>
      <c r="L114" s="1"/>
      <c r="M114" s="1"/>
      <c r="N114" s="1"/>
      <c r="O114" s="1"/>
      <c r="P114" s="1"/>
      <c r="Q114" s="1"/>
    </row>
    <row r="115" spans="1:17" x14ac:dyDescent="0.35">
      <c r="A115" s="1"/>
      <c r="B115" s="1"/>
      <c r="C115" s="1"/>
      <c r="D115" s="1"/>
      <c r="E115" s="1"/>
      <c r="F115" s="1"/>
      <c r="G115" s="1"/>
      <c r="H115" s="1"/>
      <c r="I115" s="1"/>
      <c r="J115" s="1"/>
      <c r="K115" s="1"/>
      <c r="L115" s="1"/>
      <c r="M115" s="1"/>
      <c r="N115" s="1"/>
      <c r="O115" s="1"/>
      <c r="P115" s="1"/>
      <c r="Q115" s="1"/>
    </row>
    <row r="116" spans="1:17" x14ac:dyDescent="0.35">
      <c r="A116" s="1"/>
      <c r="B116" s="1"/>
      <c r="C116" s="1"/>
      <c r="D116" s="1"/>
      <c r="E116" s="1"/>
      <c r="F116" s="1"/>
      <c r="G116" s="1"/>
      <c r="H116" s="1"/>
      <c r="I116" s="1"/>
      <c r="J116" s="1"/>
      <c r="K116" s="1"/>
      <c r="L116" s="1"/>
      <c r="M116" s="1"/>
      <c r="N116" s="1"/>
      <c r="O116" s="1"/>
      <c r="P116" s="1"/>
      <c r="Q116" s="1"/>
    </row>
    <row r="117" spans="1:17" x14ac:dyDescent="0.35">
      <c r="A117" s="1"/>
      <c r="B117" s="1"/>
      <c r="C117" s="1"/>
      <c r="D117" s="1"/>
      <c r="E117" s="1"/>
      <c r="F117" s="1"/>
      <c r="G117" s="1"/>
      <c r="H117" s="1"/>
      <c r="I117" s="1"/>
      <c r="J117" s="1"/>
      <c r="K117" s="1"/>
      <c r="L117" s="1"/>
      <c r="M117" s="1"/>
      <c r="N117" s="1"/>
      <c r="O117" s="1"/>
      <c r="P117" s="1"/>
      <c r="Q117" s="1"/>
    </row>
    <row r="118" spans="1:17" x14ac:dyDescent="0.35">
      <c r="A118" s="1"/>
      <c r="B118" s="1"/>
      <c r="C118" s="1"/>
      <c r="D118" s="1"/>
      <c r="E118" s="1"/>
      <c r="F118" s="1"/>
      <c r="G118" s="1"/>
      <c r="H118" s="1"/>
      <c r="I118" s="1"/>
      <c r="J118" s="1"/>
      <c r="K118" s="1"/>
      <c r="L118" s="1"/>
      <c r="M118" s="1"/>
      <c r="N118" s="1"/>
      <c r="O118" s="1"/>
      <c r="P118" s="1"/>
      <c r="Q118" s="1"/>
    </row>
    <row r="119" spans="1:17" x14ac:dyDescent="0.35">
      <c r="A119" s="1"/>
      <c r="B119" s="1"/>
      <c r="C119" s="1"/>
      <c r="D119" s="1"/>
      <c r="E119" s="1"/>
      <c r="F119" s="1"/>
      <c r="G119" s="1"/>
      <c r="H119" s="1"/>
      <c r="I119" s="1"/>
      <c r="J119" s="1"/>
      <c r="K119" s="1"/>
      <c r="L119" s="1"/>
      <c r="M119" s="1"/>
      <c r="N119" s="1"/>
      <c r="O119" s="1"/>
      <c r="P119" s="1"/>
      <c r="Q119" s="1"/>
    </row>
    <row r="120" spans="1:17" x14ac:dyDescent="0.35">
      <c r="A120" s="1"/>
      <c r="B120" s="1"/>
      <c r="C120" s="1"/>
      <c r="D120" s="1"/>
      <c r="E120" s="1"/>
      <c r="F120" s="1"/>
      <c r="G120" s="1"/>
      <c r="H120" s="1"/>
      <c r="I120" s="1"/>
      <c r="J120" s="1"/>
      <c r="K120" s="1"/>
      <c r="L120" s="1"/>
      <c r="M120" s="1"/>
      <c r="N120" s="1"/>
      <c r="O120" s="1"/>
      <c r="P120" s="1"/>
      <c r="Q120" s="1"/>
    </row>
    <row r="121" spans="1:17" x14ac:dyDescent="0.35">
      <c r="A121" s="1"/>
      <c r="B121" s="1"/>
      <c r="C121" s="1"/>
      <c r="D121" s="1"/>
      <c r="E121" s="1"/>
      <c r="F121" s="1"/>
      <c r="G121" s="1"/>
      <c r="H121" s="1"/>
      <c r="I121" s="1"/>
      <c r="J121" s="1"/>
      <c r="K121" s="1"/>
      <c r="L121" s="1"/>
      <c r="M121" s="1"/>
      <c r="N121" s="1"/>
      <c r="O121" s="1"/>
      <c r="P121" s="1"/>
      <c r="Q121" s="1"/>
    </row>
    <row r="122" spans="1:17" x14ac:dyDescent="0.35">
      <c r="A122" s="1"/>
      <c r="B122" s="1"/>
      <c r="C122" s="1"/>
      <c r="D122" s="1"/>
      <c r="E122" s="1"/>
      <c r="F122" s="1"/>
      <c r="G122" s="1"/>
      <c r="H122" s="1"/>
      <c r="I122" s="1"/>
      <c r="J122" s="1"/>
      <c r="K122" s="1"/>
      <c r="L122" s="1"/>
      <c r="M122" s="1"/>
      <c r="N122" s="1"/>
      <c r="O122" s="1"/>
      <c r="P122" s="1"/>
      <c r="Q122" s="1"/>
    </row>
    <row r="123" spans="1:17" x14ac:dyDescent="0.35">
      <c r="A123" s="1"/>
      <c r="B123" s="1"/>
      <c r="C123" s="1"/>
      <c r="D123" s="1"/>
      <c r="E123" s="1"/>
      <c r="F123" s="1"/>
      <c r="G123" s="1"/>
      <c r="H123" s="1"/>
      <c r="I123" s="1"/>
      <c r="J123" s="1"/>
      <c r="K123" s="1"/>
      <c r="L123" s="1"/>
      <c r="M123" s="1"/>
      <c r="N123" s="1"/>
      <c r="O123" s="1"/>
      <c r="P123" s="1"/>
      <c r="Q123" s="1"/>
    </row>
    <row r="124" spans="1:17" x14ac:dyDescent="0.35">
      <c r="A124" s="1"/>
      <c r="B124" s="1"/>
      <c r="C124" s="1"/>
      <c r="D124" s="1"/>
      <c r="E124" s="1"/>
      <c r="F124" s="1"/>
      <c r="G124" s="1"/>
      <c r="H124" s="1"/>
      <c r="I124" s="1"/>
      <c r="J124" s="1"/>
      <c r="K124" s="1"/>
      <c r="L124" s="1"/>
      <c r="M124" s="1"/>
      <c r="N124" s="1"/>
      <c r="O124" s="1"/>
      <c r="P124" s="1"/>
      <c r="Q124" s="1"/>
    </row>
    <row r="125" spans="1:17" x14ac:dyDescent="0.35">
      <c r="A125" s="1"/>
      <c r="B125" s="1"/>
      <c r="C125" s="1"/>
      <c r="D125" s="1"/>
      <c r="E125" s="1"/>
      <c r="F125" s="1"/>
      <c r="G125" s="1"/>
      <c r="H125" s="1"/>
      <c r="I125" s="1"/>
      <c r="J125" s="1"/>
      <c r="K125" s="1"/>
      <c r="L125" s="1"/>
      <c r="M125" s="1"/>
      <c r="N125" s="1"/>
      <c r="O125" s="1"/>
      <c r="P125" s="1"/>
      <c r="Q125" s="1"/>
    </row>
    <row r="126" spans="1:17" x14ac:dyDescent="0.35">
      <c r="A126" s="1"/>
      <c r="B126" s="1"/>
      <c r="C126" s="1"/>
      <c r="D126" s="1"/>
      <c r="E126" s="1"/>
      <c r="F126" s="1"/>
      <c r="G126" s="1"/>
      <c r="H126" s="1"/>
      <c r="I126" s="1"/>
      <c r="J126" s="1"/>
      <c r="K126" s="1"/>
      <c r="L126" s="1"/>
      <c r="M126" s="1"/>
      <c r="N126" s="1"/>
      <c r="O126" s="1"/>
      <c r="P126" s="1"/>
      <c r="Q126" s="1"/>
    </row>
    <row r="127" spans="1:17" x14ac:dyDescent="0.35">
      <c r="A127" s="1"/>
      <c r="B127" s="1"/>
      <c r="C127" s="1"/>
      <c r="D127" s="1"/>
      <c r="E127" s="1"/>
      <c r="F127" s="1"/>
      <c r="G127" s="1"/>
      <c r="H127" s="1"/>
      <c r="I127" s="1"/>
      <c r="J127" s="1"/>
      <c r="K127" s="1"/>
      <c r="L127" s="1"/>
      <c r="M127" s="1"/>
      <c r="N127" s="1"/>
      <c r="O127" s="1"/>
      <c r="P127" s="1"/>
      <c r="Q127" s="1"/>
    </row>
    <row r="128" spans="1:17" x14ac:dyDescent="0.35">
      <c r="A128" s="1"/>
      <c r="B128" s="1"/>
      <c r="C128" s="1"/>
      <c r="D128" s="1"/>
      <c r="E128" s="1"/>
      <c r="F128" s="1"/>
      <c r="G128" s="1"/>
      <c r="H128" s="1"/>
      <c r="I128" s="1"/>
      <c r="J128" s="1"/>
      <c r="K128" s="1"/>
      <c r="L128" s="1"/>
      <c r="M128" s="1"/>
      <c r="N128" s="1"/>
      <c r="O128" s="1"/>
      <c r="P128" s="1"/>
      <c r="Q128" s="1"/>
    </row>
    <row r="129" spans="1:17" x14ac:dyDescent="0.35">
      <c r="A129" s="1"/>
      <c r="B129" s="1"/>
      <c r="C129" s="1"/>
      <c r="D129" s="1"/>
      <c r="E129" s="1"/>
      <c r="F129" s="1"/>
      <c r="G129" s="1"/>
      <c r="H129" s="1"/>
      <c r="I129" s="1"/>
      <c r="J129" s="1"/>
      <c r="K129" s="1"/>
      <c r="L129" s="1"/>
      <c r="M129" s="1"/>
      <c r="N129" s="1"/>
      <c r="O129" s="1"/>
      <c r="P129" s="1"/>
      <c r="Q129" s="1"/>
    </row>
    <row r="130" spans="1:17" x14ac:dyDescent="0.35">
      <c r="A130" s="1"/>
      <c r="B130" s="1"/>
      <c r="C130" s="1"/>
      <c r="D130" s="1"/>
      <c r="E130" s="1"/>
      <c r="F130" s="1"/>
      <c r="G130" s="1"/>
      <c r="H130" s="1"/>
      <c r="I130" s="1"/>
      <c r="J130" s="1"/>
      <c r="K130" s="1"/>
      <c r="L130" s="1"/>
      <c r="M130" s="1"/>
      <c r="N130" s="1"/>
      <c r="O130" s="1"/>
      <c r="P130" s="1"/>
      <c r="Q130" s="1"/>
    </row>
    <row r="131" spans="1:17" x14ac:dyDescent="0.35">
      <c r="A131" s="1"/>
      <c r="B131" s="1"/>
      <c r="C131" s="1"/>
      <c r="D131" s="1"/>
      <c r="E131" s="1"/>
      <c r="F131" s="1"/>
      <c r="G131" s="1"/>
      <c r="H131" s="1"/>
      <c r="I131" s="1"/>
      <c r="J131" s="1"/>
      <c r="K131" s="1"/>
      <c r="L131" s="1"/>
      <c r="M131" s="1"/>
      <c r="N131" s="1"/>
      <c r="O131" s="1"/>
      <c r="P131" s="1"/>
      <c r="Q131" s="1"/>
    </row>
    <row r="132" spans="1:17" x14ac:dyDescent="0.35">
      <c r="A132" s="1"/>
      <c r="B132" s="1"/>
      <c r="C132" s="1"/>
      <c r="D132" s="1"/>
      <c r="E132" s="1"/>
      <c r="F132" s="1"/>
      <c r="G132" s="1"/>
      <c r="H132" s="1"/>
      <c r="I132" s="1"/>
      <c r="J132" s="1"/>
      <c r="K132" s="1"/>
      <c r="L132" s="1"/>
      <c r="M132" s="1"/>
      <c r="N132" s="1"/>
      <c r="O132" s="1"/>
      <c r="P132" s="1"/>
      <c r="Q132" s="1"/>
    </row>
    <row r="133" spans="1:17" x14ac:dyDescent="0.35">
      <c r="A133" s="1"/>
      <c r="B133" s="1"/>
      <c r="C133" s="1"/>
      <c r="D133" s="1"/>
      <c r="E133" s="1"/>
      <c r="F133" s="1"/>
      <c r="G133" s="1"/>
      <c r="H133" s="1"/>
      <c r="I133" s="1"/>
      <c r="J133" s="1"/>
      <c r="K133" s="1"/>
      <c r="L133" s="1"/>
      <c r="M133" s="1"/>
      <c r="N133" s="1"/>
      <c r="O133" s="1"/>
      <c r="P133" s="1"/>
      <c r="Q133" s="1"/>
    </row>
    <row r="134" spans="1:17" x14ac:dyDescent="0.35">
      <c r="A134" s="1"/>
      <c r="B134" s="1"/>
      <c r="C134" s="1"/>
      <c r="D134" s="1"/>
      <c r="E134" s="1"/>
      <c r="F134" s="1"/>
      <c r="G134" s="1"/>
      <c r="H134" s="1"/>
      <c r="I134" s="1"/>
      <c r="J134" s="1"/>
      <c r="K134" s="1"/>
      <c r="L134" s="1"/>
      <c r="M134" s="1"/>
      <c r="N134" s="1"/>
      <c r="O134" s="1"/>
      <c r="P134" s="1"/>
      <c r="Q134" s="1"/>
    </row>
    <row r="135" spans="1:17" x14ac:dyDescent="0.35">
      <c r="A135" s="1"/>
      <c r="B135" s="1"/>
      <c r="C135" s="1"/>
      <c r="D135" s="1"/>
      <c r="E135" s="1"/>
      <c r="F135" s="1"/>
      <c r="G135" s="1"/>
      <c r="H135" s="1"/>
      <c r="I135" s="1"/>
      <c r="J135" s="1"/>
      <c r="K135" s="1"/>
      <c r="L135" s="1"/>
      <c r="M135" s="1"/>
      <c r="N135" s="1"/>
      <c r="O135" s="1"/>
      <c r="P135" s="1"/>
      <c r="Q135" s="1"/>
    </row>
    <row r="136" spans="1:17" x14ac:dyDescent="0.35">
      <c r="A136" s="1"/>
      <c r="B136" s="1"/>
      <c r="C136" s="1"/>
      <c r="D136" s="1"/>
      <c r="E136" s="1"/>
      <c r="F136" s="1"/>
      <c r="G136" s="1"/>
      <c r="H136" s="1"/>
      <c r="I136" s="1"/>
      <c r="J136" s="1"/>
      <c r="K136" s="1"/>
      <c r="L136" s="1"/>
      <c r="M136" s="1"/>
      <c r="N136" s="1"/>
      <c r="O136" s="1"/>
      <c r="P136" s="1"/>
      <c r="Q136" s="1"/>
    </row>
    <row r="137" spans="1:17" x14ac:dyDescent="0.35">
      <c r="A137" s="1"/>
      <c r="B137" s="1"/>
      <c r="C137" s="1"/>
      <c r="D137" s="1"/>
      <c r="E137" s="1"/>
      <c r="F137" s="1"/>
      <c r="G137" s="1"/>
      <c r="H137" s="1"/>
      <c r="I137" s="1"/>
      <c r="J137" s="1"/>
      <c r="K137" s="1"/>
      <c r="L137" s="1"/>
      <c r="M137" s="1"/>
      <c r="N137" s="1"/>
      <c r="O137" s="1"/>
      <c r="P137" s="1"/>
      <c r="Q137" s="1"/>
    </row>
    <row r="138" spans="1:17" x14ac:dyDescent="0.35">
      <c r="A138" s="1"/>
      <c r="B138" s="1"/>
      <c r="C138" s="1"/>
      <c r="D138" s="1"/>
      <c r="E138" s="1"/>
      <c r="F138" s="1"/>
      <c r="G138" s="1"/>
      <c r="H138" s="1"/>
      <c r="I138" s="1"/>
      <c r="J138" s="1"/>
      <c r="K138" s="1"/>
      <c r="L138" s="1"/>
      <c r="M138" s="1"/>
      <c r="N138" s="1"/>
      <c r="O138" s="1"/>
      <c r="P138" s="1"/>
      <c r="Q138" s="1"/>
    </row>
    <row r="139" spans="1:17" x14ac:dyDescent="0.35">
      <c r="A139" s="1"/>
      <c r="B139" s="1"/>
      <c r="C139" s="1"/>
      <c r="D139" s="1"/>
      <c r="E139" s="1"/>
      <c r="F139" s="1"/>
      <c r="G139" s="1"/>
      <c r="H139" s="1"/>
      <c r="I139" s="1"/>
      <c r="J139" s="1"/>
      <c r="K139" s="1"/>
      <c r="L139" s="1"/>
      <c r="M139" s="1"/>
      <c r="N139" s="1"/>
      <c r="O139" s="1"/>
      <c r="P139" s="1"/>
      <c r="Q139" s="1"/>
    </row>
    <row r="140" spans="1:17" x14ac:dyDescent="0.35">
      <c r="A140" s="1"/>
      <c r="B140" s="1"/>
      <c r="C140" s="1"/>
      <c r="D140" s="1"/>
      <c r="E140" s="1"/>
      <c r="F140" s="1"/>
      <c r="G140" s="1"/>
      <c r="H140" s="1"/>
      <c r="I140" s="1"/>
      <c r="J140" s="1"/>
      <c r="K140" s="1"/>
      <c r="L140" s="1"/>
      <c r="M140" s="1"/>
      <c r="N140" s="1"/>
      <c r="O140" s="1"/>
      <c r="P140" s="1"/>
      <c r="Q140" s="1"/>
    </row>
    <row r="141" spans="1:17" x14ac:dyDescent="0.35">
      <c r="A141" s="1"/>
      <c r="B141" s="1"/>
      <c r="C141" s="1"/>
      <c r="D141" s="1"/>
      <c r="E141" s="1"/>
      <c r="F141" s="1"/>
      <c r="G141" s="1"/>
      <c r="H141" s="1"/>
      <c r="I141" s="1"/>
      <c r="J141" s="1"/>
      <c r="K141" s="1"/>
      <c r="L141" s="1"/>
      <c r="M141" s="1"/>
      <c r="N141" s="1"/>
      <c r="O141" s="1"/>
      <c r="P141" s="1"/>
      <c r="Q141" s="1"/>
    </row>
    <row r="142" spans="1:17" x14ac:dyDescent="0.35">
      <c r="A142" s="1"/>
      <c r="B142" s="1"/>
      <c r="C142" s="1"/>
      <c r="D142" s="1"/>
      <c r="E142" s="1"/>
      <c r="F142" s="1"/>
      <c r="G142" s="1"/>
      <c r="H142" s="1"/>
      <c r="I142" s="1"/>
      <c r="J142" s="1"/>
      <c r="K142" s="1"/>
      <c r="L142" s="1"/>
      <c r="M142" s="1"/>
      <c r="N142" s="1"/>
      <c r="O142" s="1"/>
      <c r="P142" s="1"/>
      <c r="Q142" s="1"/>
    </row>
    <row r="143" spans="1:17" x14ac:dyDescent="0.35">
      <c r="A143" s="1"/>
      <c r="B143" s="1"/>
      <c r="C143" s="1"/>
      <c r="D143" s="1"/>
      <c r="E143" s="1"/>
      <c r="F143" s="1"/>
      <c r="G143" s="1"/>
      <c r="H143" s="1"/>
      <c r="I143" s="1"/>
      <c r="J143" s="1"/>
      <c r="K143" s="1"/>
      <c r="L143" s="1"/>
      <c r="M143" s="1"/>
      <c r="N143" s="1"/>
      <c r="O143" s="1"/>
      <c r="P143" s="1"/>
      <c r="Q143" s="1"/>
    </row>
    <row r="144" spans="1:17" x14ac:dyDescent="0.35">
      <c r="A144" s="1"/>
      <c r="B144" s="1"/>
      <c r="C144" s="1"/>
      <c r="D144" s="1"/>
      <c r="E144" s="1"/>
      <c r="F144" s="1"/>
      <c r="G144" s="1"/>
      <c r="H144" s="1"/>
      <c r="I144" s="1"/>
      <c r="J144" s="1"/>
      <c r="K144" s="1"/>
      <c r="L144" s="1"/>
      <c r="M144" s="1"/>
      <c r="N144" s="1"/>
      <c r="O144" s="1"/>
      <c r="P144" s="1"/>
      <c r="Q144" s="1"/>
    </row>
    <row r="145" spans="1:17" x14ac:dyDescent="0.35">
      <c r="A145" s="1"/>
      <c r="B145" s="1"/>
      <c r="C145" s="1"/>
      <c r="D145" s="1"/>
      <c r="E145" s="1"/>
      <c r="F145" s="1"/>
      <c r="G145" s="1"/>
      <c r="H145" s="1"/>
      <c r="I145" s="1"/>
      <c r="J145" s="1"/>
      <c r="K145" s="1"/>
      <c r="L145" s="1"/>
      <c r="M145" s="1"/>
      <c r="N145" s="1"/>
      <c r="O145" s="1"/>
      <c r="P145" s="1"/>
      <c r="Q145" s="1"/>
    </row>
    <row r="146" spans="1:17" x14ac:dyDescent="0.35">
      <c r="A146" s="1"/>
      <c r="B146" s="1"/>
      <c r="C146" s="1"/>
      <c r="D146" s="1"/>
      <c r="E146" s="1"/>
      <c r="F146" s="1"/>
      <c r="G146" s="1"/>
      <c r="H146" s="1"/>
      <c r="I146" s="1"/>
      <c r="J146" s="1"/>
      <c r="K146" s="1"/>
      <c r="L146" s="1"/>
      <c r="M146" s="1"/>
      <c r="N146" s="1"/>
      <c r="O146" s="1"/>
      <c r="P146" s="1"/>
      <c r="Q146" s="1"/>
    </row>
    <row r="147" spans="1:17" x14ac:dyDescent="0.35">
      <c r="A147" s="1"/>
      <c r="B147" s="1"/>
      <c r="C147" s="1"/>
      <c r="D147" s="1"/>
      <c r="E147" s="1"/>
      <c r="F147" s="1"/>
      <c r="G147" s="1"/>
      <c r="H147" s="1"/>
      <c r="I147" s="1"/>
      <c r="J147" s="1"/>
      <c r="K147" s="1"/>
      <c r="L147" s="1"/>
      <c r="M147" s="1"/>
      <c r="N147" s="1"/>
      <c r="O147" s="1"/>
      <c r="P147" s="1"/>
      <c r="Q147" s="1"/>
    </row>
    <row r="148" spans="1:17" x14ac:dyDescent="0.35">
      <c r="A148" s="1"/>
      <c r="B148" s="1"/>
      <c r="C148" s="1"/>
      <c r="D148" s="1"/>
      <c r="E148" s="1"/>
      <c r="F148" s="1"/>
      <c r="G148" s="1"/>
      <c r="H148" s="1"/>
      <c r="I148" s="1"/>
      <c r="J148" s="1"/>
      <c r="K148" s="1"/>
      <c r="L148" s="1"/>
      <c r="M148" s="1"/>
      <c r="N148" s="1"/>
      <c r="O148" s="1"/>
      <c r="P148" s="1"/>
      <c r="Q148" s="1"/>
    </row>
    <row r="149" spans="1:17" x14ac:dyDescent="0.35">
      <c r="A149" s="1"/>
      <c r="B149" s="1"/>
      <c r="C149" s="1"/>
      <c r="D149" s="1"/>
      <c r="E149" s="1"/>
      <c r="F149" s="1"/>
      <c r="G149" s="1"/>
      <c r="H149" s="1"/>
      <c r="I149" s="1"/>
      <c r="J149" s="1"/>
      <c r="K149" s="1"/>
      <c r="L149" s="1"/>
      <c r="M149" s="1"/>
      <c r="N149" s="1"/>
      <c r="O149" s="1"/>
      <c r="P149" s="1"/>
      <c r="Q149" s="1"/>
    </row>
    <row r="150" spans="1:17" x14ac:dyDescent="0.35">
      <c r="A150" s="1"/>
      <c r="B150" s="1"/>
      <c r="C150" s="1"/>
      <c r="D150" s="1"/>
      <c r="E150" s="1"/>
      <c r="F150" s="1"/>
      <c r="G150" s="1"/>
      <c r="H150" s="1"/>
      <c r="I150" s="1"/>
      <c r="J150" s="1"/>
      <c r="K150" s="1"/>
      <c r="L150" s="1"/>
      <c r="M150" s="1"/>
      <c r="N150" s="1"/>
      <c r="O150" s="1"/>
      <c r="P150" s="1"/>
      <c r="Q150" s="1"/>
    </row>
    <row r="151" spans="1:17" x14ac:dyDescent="0.35">
      <c r="A151" s="1"/>
      <c r="B151" s="1"/>
      <c r="C151" s="1"/>
      <c r="D151" s="1"/>
      <c r="E151" s="1"/>
      <c r="F151" s="1"/>
      <c r="G151" s="1"/>
      <c r="H151" s="1"/>
      <c r="I151" s="1"/>
      <c r="J151" s="1"/>
      <c r="K151" s="1"/>
      <c r="L151" s="1"/>
      <c r="M151" s="1"/>
      <c r="N151" s="1"/>
      <c r="O151" s="1"/>
      <c r="P151" s="1"/>
      <c r="Q151" s="1"/>
    </row>
    <row r="152" spans="1:17" x14ac:dyDescent="0.35">
      <c r="A152" s="1"/>
      <c r="B152" s="1"/>
      <c r="C152" s="1"/>
      <c r="D152" s="1"/>
      <c r="E152" s="1"/>
      <c r="F152" s="1"/>
      <c r="G152" s="1"/>
      <c r="H152" s="1"/>
      <c r="I152" s="1"/>
      <c r="J152" s="1"/>
      <c r="K152" s="1"/>
      <c r="L152" s="1"/>
      <c r="M152" s="1"/>
      <c r="N152" s="1"/>
      <c r="O152" s="1"/>
      <c r="P152" s="1"/>
      <c r="Q152" s="1"/>
    </row>
    <row r="153" spans="1:17" x14ac:dyDescent="0.35">
      <c r="A153" s="1"/>
      <c r="B153" s="1"/>
      <c r="C153" s="1"/>
      <c r="D153" s="1"/>
      <c r="E153" s="1"/>
      <c r="F153" s="1"/>
      <c r="G153" s="1"/>
      <c r="H153" s="1"/>
      <c r="I153" s="1"/>
      <c r="J153" s="1"/>
      <c r="K153" s="1"/>
      <c r="L153" s="1"/>
      <c r="M153" s="1"/>
      <c r="N153" s="1"/>
      <c r="O153" s="1"/>
      <c r="P153" s="1"/>
      <c r="Q153" s="1"/>
    </row>
    <row r="154" spans="1:17" x14ac:dyDescent="0.35">
      <c r="A154" s="1"/>
      <c r="B154" s="1"/>
      <c r="C154" s="1"/>
      <c r="D154" s="1"/>
      <c r="E154" s="1"/>
      <c r="F154" s="1"/>
      <c r="G154" s="1"/>
      <c r="H154" s="1"/>
      <c r="I154" s="1"/>
      <c r="J154" s="1"/>
      <c r="K154" s="1"/>
      <c r="L154" s="1"/>
      <c r="M154" s="1"/>
      <c r="N154" s="1"/>
      <c r="O154" s="1"/>
      <c r="P154" s="1"/>
      <c r="Q154" s="1"/>
    </row>
    <row r="155" spans="1:17" x14ac:dyDescent="0.35">
      <c r="A155" s="1"/>
      <c r="B155" s="1"/>
      <c r="C155" s="1"/>
      <c r="D155" s="1"/>
      <c r="E155" s="1"/>
      <c r="F155" s="1"/>
      <c r="G155" s="1"/>
      <c r="H155" s="1"/>
      <c r="I155" s="1"/>
      <c r="J155" s="1"/>
      <c r="K155" s="1"/>
      <c r="L155" s="1"/>
      <c r="M155" s="1"/>
      <c r="N155" s="1"/>
      <c r="O155" s="1"/>
      <c r="P155" s="1"/>
      <c r="Q155" s="1"/>
    </row>
    <row r="156" spans="1:17" x14ac:dyDescent="0.35">
      <c r="A156" s="1"/>
      <c r="B156" s="1"/>
      <c r="C156" s="1"/>
      <c r="D156" s="1"/>
      <c r="E156" s="1"/>
      <c r="F156" s="1"/>
      <c r="G156" s="1"/>
      <c r="H156" s="1"/>
      <c r="I156" s="1"/>
      <c r="J156" s="1"/>
      <c r="K156" s="1"/>
      <c r="L156" s="1"/>
      <c r="M156" s="1"/>
      <c r="N156" s="1"/>
      <c r="O156" s="1"/>
      <c r="P156" s="1"/>
      <c r="Q156" s="1"/>
    </row>
    <row r="157" spans="1:17" x14ac:dyDescent="0.35">
      <c r="A157" s="1"/>
      <c r="B157" s="1"/>
      <c r="C157" s="1"/>
      <c r="D157" s="1"/>
      <c r="E157" s="1"/>
      <c r="F157" s="1"/>
      <c r="G157" s="1"/>
      <c r="H157" s="1"/>
      <c r="I157" s="1"/>
      <c r="J157" s="1"/>
      <c r="K157" s="1"/>
      <c r="L157" s="1"/>
      <c r="M157" s="1"/>
      <c r="N157" s="1"/>
      <c r="O157" s="1"/>
      <c r="P157" s="1"/>
      <c r="Q157" s="1"/>
    </row>
    <row r="158" spans="1:17" x14ac:dyDescent="0.35">
      <c r="A158" s="1"/>
      <c r="B158" s="1"/>
      <c r="C158" s="1"/>
      <c r="D158" s="1"/>
      <c r="E158" s="1"/>
      <c r="F158" s="1"/>
      <c r="G158" s="1"/>
      <c r="H158" s="1"/>
      <c r="I158" s="1"/>
      <c r="J158" s="1"/>
      <c r="K158" s="1"/>
      <c r="L158" s="1"/>
      <c r="M158" s="1"/>
      <c r="N158" s="1"/>
      <c r="O158" s="1"/>
      <c r="P158" s="1"/>
      <c r="Q158" s="1"/>
    </row>
    <row r="159" spans="1:17" x14ac:dyDescent="0.35">
      <c r="A159" s="1"/>
      <c r="B159" s="1"/>
      <c r="C159" s="1"/>
      <c r="D159" s="1"/>
      <c r="E159" s="1"/>
      <c r="F159" s="1"/>
      <c r="G159" s="1"/>
      <c r="H159" s="1"/>
      <c r="I159" s="1"/>
      <c r="J159" s="1"/>
      <c r="K159" s="1"/>
      <c r="L159" s="1"/>
      <c r="M159" s="1"/>
      <c r="N159" s="1"/>
      <c r="O159" s="1"/>
      <c r="P159" s="1"/>
      <c r="Q159" s="1"/>
    </row>
    <row r="160" spans="1:17" x14ac:dyDescent="0.35">
      <c r="A160" s="1"/>
      <c r="B160" s="1"/>
      <c r="C160" s="1"/>
      <c r="D160" s="1"/>
      <c r="E160" s="1"/>
      <c r="F160" s="1"/>
      <c r="G160" s="1"/>
      <c r="H160" s="1"/>
      <c r="I160" s="1"/>
      <c r="J160" s="1"/>
      <c r="K160" s="1"/>
      <c r="L160" s="1"/>
      <c r="M160" s="1"/>
      <c r="N160" s="1"/>
      <c r="O160" s="1"/>
      <c r="P160" s="1"/>
      <c r="Q160" s="1"/>
    </row>
    <row r="161" spans="1:17" x14ac:dyDescent="0.35">
      <c r="A161" s="1"/>
      <c r="B161" s="1"/>
      <c r="C161" s="1"/>
      <c r="D161" s="1"/>
      <c r="E161" s="1"/>
      <c r="F161" s="1"/>
      <c r="G161" s="1"/>
      <c r="H161" s="1"/>
      <c r="I161" s="1"/>
      <c r="J161" s="1"/>
      <c r="K161" s="1"/>
      <c r="L161" s="1"/>
      <c r="M161" s="1"/>
      <c r="N161" s="1"/>
      <c r="O161" s="1"/>
      <c r="P161" s="1"/>
      <c r="Q161" s="1"/>
    </row>
    <row r="162" spans="1:17" x14ac:dyDescent="0.35">
      <c r="A162" s="1"/>
      <c r="B162" s="1"/>
      <c r="C162" s="1"/>
      <c r="D162" s="1"/>
      <c r="E162" s="1"/>
      <c r="F162" s="1"/>
      <c r="G162" s="1"/>
      <c r="H162" s="1"/>
      <c r="I162" s="1"/>
      <c r="J162" s="1"/>
      <c r="K162" s="1"/>
      <c r="L162" s="1"/>
      <c r="M162" s="1"/>
      <c r="N162" s="1"/>
      <c r="O162" s="1"/>
      <c r="P162" s="1"/>
      <c r="Q162" s="1"/>
    </row>
    <row r="163" spans="1:17" x14ac:dyDescent="0.35">
      <c r="A163" s="1"/>
      <c r="B163" s="1"/>
      <c r="C163" s="1"/>
      <c r="D163" s="1"/>
      <c r="E163" s="1"/>
      <c r="F163" s="1"/>
      <c r="G163" s="1"/>
      <c r="H163" s="1"/>
      <c r="I163" s="1"/>
      <c r="J163" s="1"/>
      <c r="K163" s="1"/>
      <c r="L163" s="1"/>
      <c r="M163" s="1"/>
      <c r="N163" s="1"/>
      <c r="O163" s="1"/>
      <c r="P163" s="1"/>
      <c r="Q163" s="1"/>
    </row>
    <row r="164" spans="1:17" x14ac:dyDescent="0.35">
      <c r="A164" s="1"/>
      <c r="B164" s="1"/>
      <c r="C164" s="1"/>
      <c r="D164" s="1"/>
      <c r="E164" s="1"/>
      <c r="F164" s="1"/>
      <c r="G164" s="1"/>
      <c r="H164" s="1"/>
      <c r="I164" s="1"/>
      <c r="J164" s="1"/>
      <c r="K164" s="1"/>
      <c r="L164" s="1"/>
      <c r="M164" s="1"/>
      <c r="N164" s="1"/>
      <c r="O164" s="1"/>
      <c r="P164" s="1"/>
      <c r="Q164" s="1"/>
    </row>
    <row r="165" spans="1:17" x14ac:dyDescent="0.35">
      <c r="A165" s="1"/>
      <c r="B165" s="1"/>
      <c r="C165" s="1"/>
      <c r="D165" s="1"/>
      <c r="E165" s="1"/>
      <c r="F165" s="1"/>
      <c r="G165" s="1"/>
      <c r="H165" s="1"/>
      <c r="I165" s="1"/>
      <c r="J165" s="1"/>
      <c r="K165" s="1"/>
      <c r="L165" s="1"/>
      <c r="M165" s="1"/>
      <c r="N165" s="1"/>
      <c r="O165" s="1"/>
      <c r="P165" s="1"/>
      <c r="Q165" s="1"/>
    </row>
    <row r="166" spans="1:17" x14ac:dyDescent="0.35">
      <c r="A166" s="1"/>
      <c r="B166" s="1"/>
      <c r="C166" s="1"/>
      <c r="D166" s="1"/>
      <c r="E166" s="1"/>
      <c r="F166" s="1"/>
      <c r="G166" s="1"/>
      <c r="H166" s="1"/>
      <c r="I166" s="1"/>
      <c r="J166" s="1"/>
      <c r="K166" s="1"/>
      <c r="L166" s="1"/>
      <c r="M166" s="1"/>
      <c r="N166" s="1"/>
      <c r="O166" s="1"/>
      <c r="P166" s="1"/>
      <c r="Q166" s="1"/>
    </row>
    <row r="167" spans="1:17" x14ac:dyDescent="0.35">
      <c r="A167" s="1"/>
      <c r="B167" s="1"/>
      <c r="C167" s="1"/>
      <c r="D167" s="1"/>
      <c r="E167" s="1"/>
      <c r="F167" s="1"/>
      <c r="G167" s="1"/>
      <c r="H167" s="1"/>
      <c r="I167" s="1"/>
      <c r="J167" s="1"/>
      <c r="K167" s="1"/>
      <c r="L167" s="1"/>
      <c r="M167" s="1"/>
      <c r="N167" s="1"/>
      <c r="O167" s="1"/>
      <c r="P167" s="1"/>
      <c r="Q167" s="1"/>
    </row>
    <row r="168" spans="1:17" x14ac:dyDescent="0.35">
      <c r="A168" s="1"/>
      <c r="B168" s="1"/>
      <c r="C168" s="1"/>
      <c r="D168" s="1"/>
      <c r="E168" s="1"/>
      <c r="F168" s="1"/>
      <c r="G168" s="1"/>
      <c r="H168" s="1"/>
      <c r="I168" s="1"/>
      <c r="J168" s="1"/>
      <c r="K168" s="1"/>
      <c r="L168" s="1"/>
      <c r="M168" s="1"/>
      <c r="N168" s="1"/>
      <c r="O168" s="1"/>
      <c r="P168" s="1"/>
      <c r="Q168" s="1"/>
    </row>
    <row r="169" spans="1:17" x14ac:dyDescent="0.35">
      <c r="A169" s="1"/>
      <c r="B169" s="1"/>
      <c r="C169" s="1"/>
      <c r="D169" s="1"/>
      <c r="E169" s="1"/>
      <c r="F169" s="1"/>
      <c r="G169" s="1"/>
      <c r="H169" s="1"/>
      <c r="I169" s="1"/>
      <c r="J169" s="1"/>
      <c r="K169" s="1"/>
      <c r="L169" s="1"/>
      <c r="M169" s="1"/>
      <c r="N169" s="1"/>
      <c r="O169" s="1"/>
      <c r="P169" s="1"/>
      <c r="Q169" s="1"/>
    </row>
    <row r="170" spans="1:17" x14ac:dyDescent="0.35">
      <c r="A170" s="1"/>
      <c r="B170" s="1"/>
      <c r="C170" s="1"/>
      <c r="D170" s="1"/>
      <c r="E170" s="1"/>
      <c r="F170" s="1"/>
      <c r="G170" s="1"/>
      <c r="H170" s="1"/>
      <c r="I170" s="1"/>
      <c r="J170" s="1"/>
      <c r="K170" s="1"/>
      <c r="L170" s="1"/>
      <c r="M170" s="1"/>
      <c r="N170" s="1"/>
      <c r="O170" s="1"/>
      <c r="P170" s="1"/>
      <c r="Q170" s="1"/>
    </row>
    <row r="171" spans="1:17" x14ac:dyDescent="0.35">
      <c r="A171" s="1"/>
      <c r="B171" s="1"/>
      <c r="C171" s="1"/>
      <c r="D171" s="1"/>
      <c r="E171" s="1"/>
      <c r="F171" s="1"/>
      <c r="G171" s="1"/>
      <c r="H171" s="1"/>
      <c r="I171" s="1"/>
      <c r="J171" s="1"/>
      <c r="K171" s="1"/>
      <c r="L171" s="1"/>
      <c r="M171" s="1"/>
      <c r="N171" s="1"/>
      <c r="O171" s="1"/>
      <c r="P171" s="1"/>
      <c r="Q171" s="1"/>
    </row>
    <row r="172" spans="1:17" x14ac:dyDescent="0.35">
      <c r="A172" s="1"/>
      <c r="B172" s="1"/>
      <c r="C172" s="1"/>
      <c r="D172" s="1"/>
      <c r="E172" s="1"/>
      <c r="F172" s="1"/>
      <c r="G172" s="1"/>
      <c r="H172" s="1"/>
      <c r="I172" s="1"/>
      <c r="J172" s="1"/>
      <c r="K172" s="1"/>
      <c r="L172" s="1"/>
      <c r="M172" s="1"/>
      <c r="N172" s="1"/>
      <c r="O172" s="1"/>
      <c r="P172" s="1"/>
      <c r="Q172" s="1"/>
    </row>
    <row r="173" spans="1:17" x14ac:dyDescent="0.35">
      <c r="A173" s="1"/>
      <c r="B173" s="1"/>
      <c r="C173" s="1"/>
      <c r="D173" s="1"/>
      <c r="E173" s="1"/>
      <c r="F173" s="1"/>
      <c r="G173" s="1"/>
      <c r="H173" s="1"/>
      <c r="I173" s="1"/>
      <c r="J173" s="1"/>
      <c r="K173" s="1"/>
      <c r="L173" s="1"/>
      <c r="M173" s="1"/>
      <c r="N173" s="1"/>
      <c r="O173" s="1"/>
      <c r="P173" s="1"/>
      <c r="Q173" s="1"/>
    </row>
    <row r="174" spans="1:17" x14ac:dyDescent="0.35">
      <c r="A174" s="1"/>
      <c r="B174" s="1"/>
      <c r="C174" s="1"/>
      <c r="D174" s="1"/>
      <c r="E174" s="1"/>
      <c r="F174" s="1"/>
      <c r="G174" s="1"/>
      <c r="H174" s="1"/>
      <c r="I174" s="1"/>
      <c r="J174" s="1"/>
      <c r="K174" s="1"/>
      <c r="L174" s="1"/>
      <c r="M174" s="1"/>
      <c r="N174" s="1"/>
      <c r="O174" s="1"/>
      <c r="P174" s="1"/>
      <c r="Q174" s="1"/>
    </row>
    <row r="175" spans="1:17" x14ac:dyDescent="0.35">
      <c r="A175" s="1"/>
      <c r="B175" s="1"/>
      <c r="C175" s="1"/>
      <c r="D175" s="1"/>
      <c r="E175" s="1"/>
      <c r="F175" s="1"/>
      <c r="G175" s="1"/>
      <c r="H175" s="1"/>
      <c r="I175" s="1"/>
      <c r="J175" s="1"/>
      <c r="K175" s="1"/>
      <c r="L175" s="1"/>
      <c r="M175" s="1"/>
      <c r="N175" s="1"/>
      <c r="O175" s="1"/>
      <c r="P175" s="1"/>
      <c r="Q175" s="1"/>
    </row>
    <row r="176" spans="1:17" x14ac:dyDescent="0.35">
      <c r="A176" s="1"/>
      <c r="B176" s="1"/>
      <c r="C176" s="1"/>
      <c r="D176" s="1"/>
      <c r="E176" s="1"/>
      <c r="F176" s="1"/>
      <c r="G176" s="1"/>
      <c r="H176" s="1"/>
      <c r="I176" s="1"/>
      <c r="J176" s="1"/>
      <c r="K176" s="1"/>
      <c r="L176" s="1"/>
      <c r="M176" s="1"/>
      <c r="N176" s="1"/>
      <c r="O176" s="1"/>
      <c r="P176" s="1"/>
      <c r="Q176" s="1"/>
    </row>
    <row r="177" spans="1:17" x14ac:dyDescent="0.35">
      <c r="A177" s="1"/>
      <c r="B177" s="1"/>
      <c r="C177" s="1"/>
      <c r="D177" s="1"/>
      <c r="E177" s="1"/>
      <c r="F177" s="1"/>
      <c r="G177" s="1"/>
      <c r="H177" s="1"/>
      <c r="I177" s="1"/>
      <c r="J177" s="1"/>
      <c r="K177" s="1"/>
      <c r="L177" s="1"/>
      <c r="M177" s="1"/>
      <c r="N177" s="1"/>
      <c r="O177" s="1"/>
      <c r="P177" s="1"/>
      <c r="Q177" s="1"/>
    </row>
    <row r="178" spans="1:17" x14ac:dyDescent="0.35">
      <c r="A178" s="1"/>
      <c r="B178" s="1"/>
      <c r="C178" s="1"/>
      <c r="D178" s="1"/>
      <c r="E178" s="1"/>
      <c r="F178" s="1"/>
      <c r="G178" s="1"/>
      <c r="H178" s="1"/>
      <c r="I178" s="1"/>
      <c r="J178" s="1"/>
      <c r="K178" s="1"/>
      <c r="L178" s="1"/>
      <c r="M178" s="1"/>
      <c r="N178" s="1"/>
      <c r="O178" s="1"/>
      <c r="P178" s="1"/>
      <c r="Q178" s="1"/>
    </row>
    <row r="179" spans="1:17" x14ac:dyDescent="0.35">
      <c r="A179" s="1"/>
      <c r="B179" s="1"/>
      <c r="C179" s="1"/>
      <c r="D179" s="1"/>
      <c r="E179" s="1"/>
      <c r="F179" s="1"/>
      <c r="G179" s="1"/>
      <c r="H179" s="1"/>
      <c r="I179" s="1"/>
      <c r="J179" s="1"/>
      <c r="K179" s="1"/>
      <c r="L179" s="1"/>
      <c r="M179" s="1"/>
      <c r="N179" s="1"/>
      <c r="O179" s="1"/>
      <c r="P179" s="1"/>
      <c r="Q179" s="1"/>
    </row>
    <row r="180" spans="1:17" x14ac:dyDescent="0.35">
      <c r="A180" s="1"/>
      <c r="B180" s="1"/>
      <c r="C180" s="1"/>
      <c r="D180" s="1"/>
      <c r="E180" s="1"/>
      <c r="F180" s="1"/>
      <c r="G180" s="1"/>
      <c r="H180" s="1"/>
      <c r="I180" s="1"/>
      <c r="J180" s="1"/>
      <c r="K180" s="1"/>
      <c r="L180" s="1"/>
      <c r="M180" s="1"/>
      <c r="N180" s="1"/>
      <c r="O180" s="1"/>
      <c r="P180" s="1"/>
      <c r="Q180" s="1"/>
    </row>
    <row r="181" spans="1:17" x14ac:dyDescent="0.35">
      <c r="A181" s="1"/>
      <c r="B181" s="1"/>
      <c r="C181" s="1"/>
      <c r="D181" s="1"/>
      <c r="E181" s="1"/>
      <c r="F181" s="1"/>
      <c r="G181" s="1"/>
      <c r="H181" s="1"/>
      <c r="I181" s="1"/>
      <c r="J181" s="1"/>
      <c r="K181" s="1"/>
      <c r="L181" s="1"/>
      <c r="M181" s="1"/>
      <c r="N181" s="1"/>
      <c r="O181" s="1"/>
      <c r="P181" s="1"/>
      <c r="Q181" s="1"/>
    </row>
    <row r="182" spans="1:17" x14ac:dyDescent="0.35">
      <c r="A182" s="1"/>
      <c r="B182" s="1"/>
      <c r="C182" s="1"/>
      <c r="D182" s="1"/>
      <c r="E182" s="1"/>
      <c r="F182" s="1"/>
      <c r="G182" s="1"/>
      <c r="H182" s="1"/>
      <c r="I182" s="1"/>
      <c r="J182" s="1"/>
      <c r="K182" s="1"/>
      <c r="L182" s="1"/>
      <c r="M182" s="1"/>
      <c r="N182" s="1"/>
      <c r="O182" s="1"/>
      <c r="P182" s="1"/>
      <c r="Q182" s="1"/>
    </row>
    <row r="183" spans="1:17" x14ac:dyDescent="0.35">
      <c r="A183" s="1"/>
      <c r="B183" s="1"/>
      <c r="C183" s="1"/>
      <c r="D183" s="1"/>
      <c r="E183" s="1"/>
      <c r="F183" s="1"/>
      <c r="G183" s="1"/>
      <c r="H183" s="1"/>
      <c r="I183" s="1"/>
      <c r="J183" s="1"/>
      <c r="K183" s="1"/>
      <c r="L183" s="1"/>
      <c r="M183" s="1"/>
      <c r="N183" s="1"/>
      <c r="O183" s="1"/>
      <c r="P183" s="1"/>
      <c r="Q183" s="1"/>
    </row>
    <row r="184" spans="1:17" x14ac:dyDescent="0.35">
      <c r="A184" s="1"/>
      <c r="B184" s="1"/>
      <c r="C184" s="1"/>
      <c r="D184" s="1"/>
      <c r="E184" s="1"/>
      <c r="F184" s="1"/>
      <c r="G184" s="1"/>
      <c r="H184" s="1"/>
      <c r="I184" s="1"/>
      <c r="J184" s="1"/>
      <c r="K184" s="1"/>
      <c r="L184" s="1"/>
      <c r="M184" s="1"/>
      <c r="N184" s="1"/>
      <c r="O184" s="1"/>
      <c r="P184" s="1"/>
      <c r="Q184" s="1"/>
    </row>
    <row r="185" spans="1:17" x14ac:dyDescent="0.35">
      <c r="A185" s="1"/>
      <c r="B185" s="1"/>
      <c r="C185" s="1"/>
      <c r="D185" s="1"/>
      <c r="E185" s="1"/>
      <c r="F185" s="1"/>
      <c r="G185" s="1"/>
      <c r="H185" s="1"/>
      <c r="I185" s="1"/>
      <c r="J185" s="1"/>
      <c r="K185" s="1"/>
      <c r="L185" s="1"/>
      <c r="M185" s="1"/>
      <c r="N185" s="1"/>
      <c r="O185" s="1"/>
      <c r="P185" s="1"/>
      <c r="Q185" s="1"/>
    </row>
    <row r="186" spans="1:17" x14ac:dyDescent="0.35">
      <c r="A186" s="1"/>
      <c r="B186" s="1"/>
      <c r="C186" s="1"/>
      <c r="D186" s="1"/>
      <c r="E186" s="1"/>
      <c r="F186" s="1"/>
      <c r="G186" s="1"/>
      <c r="H186" s="1"/>
      <c r="I186" s="1"/>
      <c r="J186" s="1"/>
      <c r="K186" s="1"/>
      <c r="L186" s="1"/>
      <c r="M186" s="1"/>
      <c r="N186" s="1"/>
      <c r="O186" s="1"/>
      <c r="P186" s="1"/>
      <c r="Q186" s="1"/>
    </row>
    <row r="187" spans="1:17" x14ac:dyDescent="0.35">
      <c r="A187" s="1"/>
      <c r="B187" s="1"/>
      <c r="C187" s="1"/>
      <c r="D187" s="1"/>
      <c r="E187" s="1"/>
      <c r="F187" s="1"/>
      <c r="G187" s="1"/>
      <c r="H187" s="1"/>
      <c r="I187" s="1"/>
      <c r="J187" s="1"/>
      <c r="K187" s="1"/>
      <c r="L187" s="1"/>
      <c r="M187" s="1"/>
      <c r="N187" s="1"/>
      <c r="O187" s="1"/>
      <c r="P187" s="1"/>
      <c r="Q187" s="1"/>
    </row>
    <row r="188" spans="1:17" x14ac:dyDescent="0.35">
      <c r="A188" s="1"/>
      <c r="B188" s="1"/>
      <c r="C188" s="1"/>
      <c r="D188" s="1"/>
      <c r="E188" s="1"/>
      <c r="F188" s="1"/>
      <c r="G188" s="1"/>
      <c r="H188" s="1"/>
      <c r="I188" s="1"/>
      <c r="J188" s="1"/>
      <c r="K188" s="1"/>
      <c r="L188" s="1"/>
      <c r="M188" s="1"/>
      <c r="N188" s="1"/>
      <c r="O188" s="1"/>
      <c r="P188" s="1"/>
      <c r="Q188" s="1"/>
    </row>
    <row r="189" spans="1:17" x14ac:dyDescent="0.35">
      <c r="A189" s="1"/>
      <c r="B189" s="1"/>
      <c r="C189" s="1"/>
      <c r="D189" s="1"/>
      <c r="E189" s="1"/>
      <c r="F189" s="1"/>
      <c r="G189" s="1"/>
      <c r="H189" s="1"/>
      <c r="I189" s="1"/>
      <c r="J189" s="1"/>
      <c r="K189" s="1"/>
      <c r="L189" s="1"/>
      <c r="M189" s="1"/>
      <c r="N189" s="1"/>
      <c r="O189" s="1"/>
      <c r="P189" s="1"/>
      <c r="Q189" s="1"/>
    </row>
    <row r="190" spans="1:17" x14ac:dyDescent="0.35">
      <c r="A190" s="1"/>
      <c r="B190" s="1"/>
      <c r="C190" s="1"/>
      <c r="D190" s="1"/>
      <c r="E190" s="1"/>
      <c r="F190" s="1"/>
      <c r="G190" s="1"/>
      <c r="H190" s="1"/>
      <c r="I190" s="1"/>
      <c r="J190" s="1"/>
      <c r="K190" s="1"/>
      <c r="L190" s="1"/>
      <c r="M190" s="1"/>
      <c r="N190" s="1"/>
      <c r="O190" s="1"/>
      <c r="P190" s="1"/>
      <c r="Q190" s="1"/>
    </row>
    <row r="191" spans="1:17" x14ac:dyDescent="0.35">
      <c r="A191" s="1"/>
      <c r="B191" s="1"/>
      <c r="C191" s="1"/>
      <c r="D191" s="1"/>
      <c r="E191" s="1"/>
      <c r="F191" s="1"/>
      <c r="G191" s="1"/>
      <c r="H191" s="1"/>
      <c r="I191" s="1"/>
      <c r="J191" s="1"/>
      <c r="K191" s="1"/>
      <c r="L191" s="1"/>
      <c r="M191" s="1"/>
      <c r="N191" s="1"/>
      <c r="O191" s="1"/>
      <c r="P191" s="1"/>
      <c r="Q191" s="1"/>
    </row>
    <row r="192" spans="1:17" x14ac:dyDescent="0.35">
      <c r="A192" s="1"/>
      <c r="B192" s="1"/>
      <c r="C192" s="1"/>
      <c r="D192" s="1"/>
      <c r="E192" s="1"/>
      <c r="F192" s="1"/>
      <c r="G192" s="1"/>
      <c r="H192" s="1"/>
      <c r="I192" s="1"/>
      <c r="J192" s="1"/>
      <c r="K192" s="1"/>
      <c r="L192" s="1"/>
      <c r="M192" s="1"/>
      <c r="N192" s="1"/>
      <c r="O192" s="1"/>
      <c r="P192" s="1"/>
      <c r="Q192" s="1"/>
    </row>
    <row r="193" spans="1:17" x14ac:dyDescent="0.35">
      <c r="A193" s="1"/>
      <c r="B193" s="1"/>
      <c r="C193" s="1"/>
      <c r="D193" s="1"/>
      <c r="E193" s="1"/>
      <c r="F193" s="1"/>
      <c r="G193" s="1"/>
      <c r="H193" s="1"/>
      <c r="I193" s="1"/>
      <c r="J193" s="1"/>
      <c r="K193" s="1"/>
      <c r="L193" s="1"/>
      <c r="M193" s="1"/>
      <c r="N193" s="1"/>
      <c r="O193" s="1"/>
      <c r="P193" s="1"/>
      <c r="Q193" s="1"/>
    </row>
    <row r="194" spans="1:17" x14ac:dyDescent="0.35">
      <c r="A194" s="1"/>
      <c r="B194" s="1"/>
      <c r="C194" s="1"/>
      <c r="D194" s="1"/>
      <c r="E194" s="1"/>
      <c r="F194" s="1"/>
      <c r="G194" s="1"/>
      <c r="H194" s="1"/>
      <c r="I194" s="1"/>
      <c r="J194" s="1"/>
      <c r="K194" s="1"/>
      <c r="L194" s="1"/>
      <c r="M194" s="1"/>
      <c r="N194" s="1"/>
      <c r="O194" s="1"/>
      <c r="P194" s="1"/>
      <c r="Q194" s="1"/>
    </row>
    <row r="195" spans="1:17" x14ac:dyDescent="0.35">
      <c r="A195" s="1"/>
      <c r="B195" s="1"/>
      <c r="C195" s="1"/>
      <c r="D195" s="1"/>
      <c r="E195" s="1"/>
      <c r="F195" s="1"/>
      <c r="G195" s="1"/>
      <c r="H195" s="1"/>
      <c r="I195" s="1"/>
      <c r="J195" s="1"/>
      <c r="K195" s="1"/>
      <c r="L195" s="1"/>
      <c r="M195" s="1"/>
      <c r="N195" s="1"/>
      <c r="O195" s="1"/>
      <c r="P195" s="1"/>
      <c r="Q195" s="1"/>
    </row>
    <row r="196" spans="1:17" x14ac:dyDescent="0.35">
      <c r="A196" s="1"/>
      <c r="B196" s="1"/>
      <c r="C196" s="1"/>
      <c r="D196" s="1"/>
      <c r="E196" s="1"/>
      <c r="F196" s="1"/>
      <c r="G196" s="1"/>
      <c r="H196" s="1"/>
      <c r="I196" s="1"/>
      <c r="J196" s="1"/>
      <c r="K196" s="1"/>
      <c r="L196" s="1"/>
      <c r="M196" s="1"/>
      <c r="N196" s="1"/>
      <c r="O196" s="1"/>
      <c r="P196" s="1"/>
      <c r="Q196" s="1"/>
    </row>
    <row r="197" spans="1:17" x14ac:dyDescent="0.35">
      <c r="A197" s="1"/>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1:17" x14ac:dyDescent="0.35">
      <c r="A198" s="1"/>
      <c r="B198" s="37"/>
      <c r="C198" s="38"/>
      <c r="D198" s="31"/>
      <c r="E198" s="32"/>
      <c r="F198" s="34"/>
      <c r="G198" s="33"/>
      <c r="H198" s="34"/>
      <c r="I198" s="33"/>
      <c r="J198" s="34"/>
      <c r="K198" s="34"/>
      <c r="L198" s="34"/>
      <c r="M198" s="33"/>
      <c r="N198" s="34"/>
      <c r="O198" s="35"/>
      <c r="P198" s="36"/>
      <c r="Q198" s="35"/>
    </row>
    <row r="199" spans="1:17" x14ac:dyDescent="0.35">
      <c r="A199" s="1"/>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1:17" x14ac:dyDescent="0.35">
      <c r="A200" s="1"/>
      <c r="B200" s="1"/>
      <c r="C200" s="1"/>
      <c r="D200" s="1"/>
      <c r="E200" s="1"/>
      <c r="F200" s="1"/>
      <c r="G200" s="1"/>
      <c r="H200" s="1"/>
      <c r="I200" s="1"/>
      <c r="J200" s="1"/>
      <c r="K200" s="1"/>
      <c r="L200" s="1"/>
      <c r="M200" s="1"/>
      <c r="N200" s="1"/>
      <c r="O200" s="1"/>
      <c r="P200" s="1"/>
      <c r="Q200" s="78" t="s">
        <v>21404</v>
      </c>
    </row>
    <row r="201" spans="1:17" x14ac:dyDescent="0.35">
      <c r="A201" s="1"/>
      <c r="B201" s="1"/>
      <c r="C201" s="78" t="s">
        <v>21592</v>
      </c>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77" t="s">
        <v>21399</v>
      </c>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t="s">
        <v>21398</v>
      </c>
      <c r="D205" s="1" t="s">
        <v>75</v>
      </c>
      <c r="E205" s="1" t="s">
        <v>13768</v>
      </c>
      <c r="F205" s="2" t="s">
        <v>21397</v>
      </c>
      <c r="G205" s="1" t="s">
        <v>9</v>
      </c>
      <c r="H205" s="1"/>
      <c r="I205" s="1"/>
      <c r="J205" s="1"/>
      <c r="K205" s="1"/>
      <c r="L205" s="1"/>
      <c r="M205" s="1"/>
      <c r="N205" s="1"/>
      <c r="O205" s="1"/>
      <c r="P205" s="1"/>
      <c r="Q205" s="1"/>
    </row>
    <row r="206" spans="1:17" x14ac:dyDescent="0.35">
      <c r="B206" s="49" t="s">
        <v>14783</v>
      </c>
      <c r="C206" s="352" t="s">
        <v>14784</v>
      </c>
    </row>
    <row r="207" spans="1:17" x14ac:dyDescent="0.35">
      <c r="B207" s="49" t="s">
        <v>14785</v>
      </c>
      <c r="C207" s="53" t="s">
        <v>14786</v>
      </c>
    </row>
    <row r="208" spans="1:17" x14ac:dyDescent="0.35">
      <c r="B208" s="49" t="s">
        <v>14787</v>
      </c>
      <c r="C208" s="53" t="s">
        <v>14788</v>
      </c>
    </row>
    <row r="209" spans="2:5" x14ac:dyDescent="0.35">
      <c r="B209" s="49" t="s">
        <v>14789</v>
      </c>
      <c r="C209" s="53" t="s">
        <v>14790</v>
      </c>
    </row>
    <row r="210" spans="2:5" x14ac:dyDescent="0.35">
      <c r="B210" s="49" t="s">
        <v>14791</v>
      </c>
      <c r="C210" s="53" t="s">
        <v>14792</v>
      </c>
    </row>
    <row r="211" spans="2:5" x14ac:dyDescent="0.35">
      <c r="B211" s="49" t="s">
        <v>14793</v>
      </c>
      <c r="C211" s="53" t="s">
        <v>14794</v>
      </c>
    </row>
    <row r="212" spans="2:5" x14ac:dyDescent="0.35">
      <c r="B212" s="49" t="s">
        <v>14795</v>
      </c>
      <c r="C212" s="53" t="s">
        <v>14796</v>
      </c>
    </row>
    <row r="213" spans="2:5" x14ac:dyDescent="0.35">
      <c r="C213" s="1" t="s">
        <v>1475</v>
      </c>
      <c r="D213" s="1" t="s">
        <v>1391</v>
      </c>
      <c r="E213" s="250">
        <v>11400.01</v>
      </c>
    </row>
    <row r="214" spans="2:5" x14ac:dyDescent="0.35">
      <c r="C214" s="1" t="s">
        <v>1474</v>
      </c>
      <c r="D214" s="1" t="s">
        <v>1391</v>
      </c>
      <c r="E214" s="250">
        <v>11400.011</v>
      </c>
    </row>
    <row r="215" spans="2:5" x14ac:dyDescent="0.35">
      <c r="C215" s="1" t="s">
        <v>1473</v>
      </c>
      <c r="D215" s="1" t="s">
        <v>58</v>
      </c>
      <c r="E215" s="250">
        <v>11405.004999999999</v>
      </c>
    </row>
    <row r="216" spans="2:5" x14ac:dyDescent="0.35">
      <c r="C216" s="1" t="s">
        <v>1472</v>
      </c>
      <c r="D216" s="1" t="s">
        <v>58</v>
      </c>
      <c r="E216" s="250">
        <v>11405.005999999999</v>
      </c>
    </row>
    <row r="217" spans="2:5" x14ac:dyDescent="0.35">
      <c r="C217" s="1" t="s">
        <v>1471</v>
      </c>
      <c r="D217" s="1" t="s">
        <v>58</v>
      </c>
      <c r="E217" s="250">
        <v>11420.011</v>
      </c>
    </row>
    <row r="218" spans="2:5" x14ac:dyDescent="0.35">
      <c r="C218" s="1" t="s">
        <v>1470</v>
      </c>
      <c r="D218" s="1" t="s">
        <v>58</v>
      </c>
      <c r="E218" s="250">
        <v>11420.012000000001</v>
      </c>
    </row>
    <row r="219" spans="2:5" x14ac:dyDescent="0.35">
      <c r="C219" s="1" t="s">
        <v>1469</v>
      </c>
      <c r="D219" s="1" t="s">
        <v>58</v>
      </c>
      <c r="E219" s="250">
        <v>11430.004999999999</v>
      </c>
    </row>
    <row r="220" spans="2:5" x14ac:dyDescent="0.35">
      <c r="C220" s="1" t="s">
        <v>1468</v>
      </c>
      <c r="D220" s="1" t="s">
        <v>58</v>
      </c>
      <c r="E220" s="250">
        <v>11440.01</v>
      </c>
    </row>
    <row r="221" spans="2:5" x14ac:dyDescent="0.35">
      <c r="C221" s="1" t="s">
        <v>1467</v>
      </c>
      <c r="D221" s="1" t="s">
        <v>18</v>
      </c>
      <c r="E221" s="250">
        <v>11450.01</v>
      </c>
    </row>
    <row r="222" spans="2:5" x14ac:dyDescent="0.35">
      <c r="C222" s="1" t="s">
        <v>1466</v>
      </c>
      <c r="D222" s="1" t="s">
        <v>18</v>
      </c>
      <c r="E222" s="250">
        <v>11450.02</v>
      </c>
    </row>
    <row r="223" spans="2:5" x14ac:dyDescent="0.35">
      <c r="C223" s="1" t="s">
        <v>1465</v>
      </c>
      <c r="D223" s="1" t="s">
        <v>18</v>
      </c>
      <c r="E223" s="250">
        <v>11450.03</v>
      </c>
    </row>
    <row r="224" spans="2:5" x14ac:dyDescent="0.35">
      <c r="C224" s="1" t="s">
        <v>1464</v>
      </c>
      <c r="D224" s="1" t="s">
        <v>18</v>
      </c>
      <c r="E224" s="250">
        <v>11450.04</v>
      </c>
    </row>
    <row r="225" spans="3:5" x14ac:dyDescent="0.35">
      <c r="C225" s="1" t="s">
        <v>1463</v>
      </c>
      <c r="D225" s="1" t="s">
        <v>18</v>
      </c>
      <c r="E225" s="250">
        <v>11450.05</v>
      </c>
    </row>
    <row r="226" spans="3:5" x14ac:dyDescent="0.35">
      <c r="C226" s="1" t="s">
        <v>1462</v>
      </c>
      <c r="D226" s="1" t="s">
        <v>18</v>
      </c>
      <c r="E226" s="250">
        <v>11450.06</v>
      </c>
    </row>
    <row r="227" spans="3:5" x14ac:dyDescent="0.35">
      <c r="C227" s="1" t="s">
        <v>1461</v>
      </c>
      <c r="D227" s="1" t="s">
        <v>18</v>
      </c>
      <c r="E227" s="250">
        <v>11450.07</v>
      </c>
    </row>
    <row r="228" spans="3:5" x14ac:dyDescent="0.35">
      <c r="C228" s="1" t="s">
        <v>1460</v>
      </c>
      <c r="D228" s="1" t="s">
        <v>18</v>
      </c>
      <c r="E228" s="250">
        <v>11450.08</v>
      </c>
    </row>
    <row r="229" spans="3:5" x14ac:dyDescent="0.35">
      <c r="C229" s="1" t="s">
        <v>1459</v>
      </c>
      <c r="D229" s="1" t="s">
        <v>18</v>
      </c>
      <c r="E229" s="250">
        <v>11450.11</v>
      </c>
    </row>
    <row r="230" spans="3:5" x14ac:dyDescent="0.35">
      <c r="C230" s="1" t="s">
        <v>1458</v>
      </c>
      <c r="D230" s="1" t="s">
        <v>18</v>
      </c>
      <c r="E230" s="250">
        <v>11450.12</v>
      </c>
    </row>
    <row r="231" spans="3:5" x14ac:dyDescent="0.35">
      <c r="C231" s="1" t="s">
        <v>1457</v>
      </c>
      <c r="D231" s="1" t="s">
        <v>18</v>
      </c>
      <c r="E231" s="250">
        <v>11450.13</v>
      </c>
    </row>
    <row r="232" spans="3:5" x14ac:dyDescent="0.35">
      <c r="C232" s="1" t="s">
        <v>1456</v>
      </c>
      <c r="D232" s="1" t="s">
        <v>18</v>
      </c>
      <c r="E232" s="250">
        <v>11450.14</v>
      </c>
    </row>
    <row r="233" spans="3:5" x14ac:dyDescent="0.35">
      <c r="C233" s="1" t="s">
        <v>49</v>
      </c>
      <c r="D233" s="1" t="s">
        <v>18</v>
      </c>
      <c r="E233" s="250">
        <v>11450.16</v>
      </c>
    </row>
    <row r="234" spans="3:5" x14ac:dyDescent="0.35">
      <c r="C234" s="1" t="s">
        <v>1455</v>
      </c>
      <c r="D234" s="1" t="s">
        <v>18</v>
      </c>
      <c r="E234" s="250">
        <v>11450.161</v>
      </c>
    </row>
    <row r="235" spans="3:5" x14ac:dyDescent="0.35">
      <c r="C235" s="1" t="s">
        <v>1454</v>
      </c>
      <c r="D235" s="1" t="s">
        <v>18</v>
      </c>
      <c r="E235" s="250">
        <v>11450.162</v>
      </c>
    </row>
    <row r="236" spans="3:5" x14ac:dyDescent="0.35">
      <c r="C236" s="1" t="s">
        <v>1453</v>
      </c>
      <c r="D236" s="1" t="s">
        <v>18</v>
      </c>
      <c r="E236" s="250">
        <v>11450.163</v>
      </c>
    </row>
    <row r="237" spans="3:5" x14ac:dyDescent="0.35">
      <c r="C237" s="1" t="s">
        <v>1452</v>
      </c>
      <c r="D237" s="1" t="s">
        <v>18</v>
      </c>
      <c r="E237" s="250">
        <v>11450.164000000001</v>
      </c>
    </row>
    <row r="238" spans="3:5" x14ac:dyDescent="0.35">
      <c r="C238" s="1" t="s">
        <v>1451</v>
      </c>
      <c r="D238" s="1" t="s">
        <v>18</v>
      </c>
      <c r="E238" s="250">
        <v>11450.165000000001</v>
      </c>
    </row>
    <row r="239" spans="3:5" x14ac:dyDescent="0.35">
      <c r="C239" s="1" t="s">
        <v>1450</v>
      </c>
      <c r="D239" s="1" t="s">
        <v>18</v>
      </c>
      <c r="E239" s="250">
        <v>11450.21</v>
      </c>
    </row>
    <row r="240" spans="3:5" x14ac:dyDescent="0.35">
      <c r="C240" s="1" t="s">
        <v>1449</v>
      </c>
      <c r="D240" s="1" t="s">
        <v>18</v>
      </c>
      <c r="E240" s="250">
        <v>11450.22</v>
      </c>
    </row>
    <row r="241" spans="3:5" x14ac:dyDescent="0.35">
      <c r="C241" s="1" t="s">
        <v>1448</v>
      </c>
      <c r="D241" s="1" t="s">
        <v>18</v>
      </c>
      <c r="E241" s="250">
        <v>11450.23</v>
      </c>
    </row>
    <row r="242" spans="3:5" x14ac:dyDescent="0.35">
      <c r="C242" s="1" t="s">
        <v>1447</v>
      </c>
      <c r="D242" s="1" t="s">
        <v>18</v>
      </c>
      <c r="E242" s="250">
        <v>11450.24</v>
      </c>
    </row>
    <row r="243" spans="3:5" x14ac:dyDescent="0.35">
      <c r="C243" s="1" t="s">
        <v>1446</v>
      </c>
      <c r="D243" s="1" t="s">
        <v>18</v>
      </c>
      <c r="E243" s="250">
        <v>11450.25</v>
      </c>
    </row>
    <row r="244" spans="3:5" x14ac:dyDescent="0.35">
      <c r="C244" s="1" t="s">
        <v>1445</v>
      </c>
      <c r="D244" s="1" t="s">
        <v>18</v>
      </c>
      <c r="E244" s="250">
        <v>11450.31</v>
      </c>
    </row>
    <row r="245" spans="3:5" x14ac:dyDescent="0.35">
      <c r="C245" s="1" t="s">
        <v>1444</v>
      </c>
      <c r="D245" s="1" t="s">
        <v>18</v>
      </c>
      <c r="E245" s="250">
        <v>11450.32</v>
      </c>
    </row>
    <row r="246" spans="3:5" x14ac:dyDescent="0.35">
      <c r="C246" s="1" t="s">
        <v>1443</v>
      </c>
      <c r="D246" s="1" t="s">
        <v>18</v>
      </c>
      <c r="E246" s="250">
        <v>11450.33</v>
      </c>
    </row>
    <row r="247" spans="3:5" x14ac:dyDescent="0.35">
      <c r="C247" s="1" t="s">
        <v>1442</v>
      </c>
      <c r="D247" s="1" t="s">
        <v>18</v>
      </c>
      <c r="E247" s="250">
        <v>11450.34</v>
      </c>
    </row>
    <row r="248" spans="3:5" x14ac:dyDescent="0.35">
      <c r="C248" s="1" t="s">
        <v>1441</v>
      </c>
      <c r="D248" s="1" t="s">
        <v>18</v>
      </c>
      <c r="E248" s="250">
        <v>11450.35</v>
      </c>
    </row>
    <row r="249" spans="3:5" x14ac:dyDescent="0.35">
      <c r="C249" s="1" t="s">
        <v>1440</v>
      </c>
      <c r="D249" s="1" t="s">
        <v>18</v>
      </c>
      <c r="E249" s="250">
        <v>11450.36</v>
      </c>
    </row>
    <row r="250" spans="3:5" x14ac:dyDescent="0.35">
      <c r="C250" s="1" t="s">
        <v>1439</v>
      </c>
      <c r="D250" s="1" t="s">
        <v>18</v>
      </c>
      <c r="E250" s="250">
        <v>11450.37</v>
      </c>
    </row>
    <row r="251" spans="3:5" x14ac:dyDescent="0.35">
      <c r="C251" s="1" t="s">
        <v>1438</v>
      </c>
      <c r="D251" s="1" t="s">
        <v>18</v>
      </c>
      <c r="E251" s="250">
        <v>11450.38</v>
      </c>
    </row>
    <row r="252" spans="3:5" x14ac:dyDescent="0.35">
      <c r="C252" s="1" t="s">
        <v>1437</v>
      </c>
      <c r="D252" s="1" t="s">
        <v>18</v>
      </c>
      <c r="E252" s="250">
        <v>11450.39</v>
      </c>
    </row>
    <row r="253" spans="3:5" x14ac:dyDescent="0.35">
      <c r="C253" s="1" t="s">
        <v>1436</v>
      </c>
      <c r="D253" s="1" t="s">
        <v>18</v>
      </c>
      <c r="E253" s="250">
        <v>11450.41</v>
      </c>
    </row>
    <row r="254" spans="3:5" x14ac:dyDescent="0.35">
      <c r="C254" s="1" t="s">
        <v>1435</v>
      </c>
      <c r="D254" s="1" t="s">
        <v>18</v>
      </c>
      <c r="E254" s="250">
        <v>11450.42</v>
      </c>
    </row>
    <row r="255" spans="3:5" x14ac:dyDescent="0.35">
      <c r="C255" s="1" t="s">
        <v>1434</v>
      </c>
      <c r="D255" s="1" t="s">
        <v>18</v>
      </c>
      <c r="E255" s="250">
        <v>11450.43</v>
      </c>
    </row>
    <row r="256" spans="3:5" x14ac:dyDescent="0.35">
      <c r="C256" s="1" t="s">
        <v>1433</v>
      </c>
      <c r="D256" s="1" t="s">
        <v>18</v>
      </c>
      <c r="E256" s="250">
        <v>11450.44</v>
      </c>
    </row>
    <row r="257" spans="3:5" x14ac:dyDescent="0.35">
      <c r="C257" s="1" t="s">
        <v>1432</v>
      </c>
      <c r="D257" s="1" t="s">
        <v>18</v>
      </c>
      <c r="E257" s="250">
        <v>11450.45</v>
      </c>
    </row>
    <row r="258" spans="3:5" x14ac:dyDescent="0.35">
      <c r="C258" s="1" t="s">
        <v>1431</v>
      </c>
      <c r="D258" s="1" t="s">
        <v>18</v>
      </c>
      <c r="E258" s="250">
        <v>11450.46</v>
      </c>
    </row>
    <row r="259" spans="3:5" x14ac:dyDescent="0.35">
      <c r="C259" s="1" t="s">
        <v>1430</v>
      </c>
      <c r="D259" s="1" t="s">
        <v>18</v>
      </c>
      <c r="E259" s="250">
        <v>11450.51</v>
      </c>
    </row>
    <row r="260" spans="3:5" x14ac:dyDescent="0.35">
      <c r="C260" s="1" t="s">
        <v>1429</v>
      </c>
      <c r="D260" s="1" t="s">
        <v>18</v>
      </c>
      <c r="E260" s="250">
        <v>11450.52</v>
      </c>
    </row>
    <row r="261" spans="3:5" x14ac:dyDescent="0.35">
      <c r="C261" s="1" t="s">
        <v>1428</v>
      </c>
      <c r="D261" s="1" t="s">
        <v>18</v>
      </c>
      <c r="E261" s="250">
        <v>11450.53</v>
      </c>
    </row>
    <row r="262" spans="3:5" x14ac:dyDescent="0.35">
      <c r="C262" s="1" t="s">
        <v>1427</v>
      </c>
      <c r="D262" s="1" t="s">
        <v>18</v>
      </c>
      <c r="E262" s="250">
        <v>11450.54</v>
      </c>
    </row>
    <row r="263" spans="3:5" x14ac:dyDescent="0.35">
      <c r="C263" s="1" t="s">
        <v>1426</v>
      </c>
      <c r="D263" s="1" t="s">
        <v>18</v>
      </c>
      <c r="E263" s="250">
        <v>11450.55</v>
      </c>
    </row>
    <row r="264" spans="3:5" x14ac:dyDescent="0.35">
      <c r="C264" s="1" t="s">
        <v>1425</v>
      </c>
      <c r="D264" s="1" t="s">
        <v>18</v>
      </c>
      <c r="E264" s="250">
        <v>11450.56</v>
      </c>
    </row>
    <row r="265" spans="3:5" x14ac:dyDescent="0.35">
      <c r="C265" s="1" t="s">
        <v>1424</v>
      </c>
      <c r="D265" s="1" t="s">
        <v>18</v>
      </c>
      <c r="E265" s="250">
        <v>11450.61</v>
      </c>
    </row>
    <row r="266" spans="3:5" x14ac:dyDescent="0.35">
      <c r="C266" s="1" t="s">
        <v>1423</v>
      </c>
      <c r="D266" s="1" t="s">
        <v>18</v>
      </c>
      <c r="E266" s="250">
        <v>11450.62</v>
      </c>
    </row>
    <row r="267" spans="3:5" x14ac:dyDescent="0.35">
      <c r="C267" s="1" t="s">
        <v>1422</v>
      </c>
      <c r="D267" s="1" t="s">
        <v>18</v>
      </c>
      <c r="E267" s="250">
        <v>11450.63</v>
      </c>
    </row>
    <row r="268" spans="3:5" x14ac:dyDescent="0.35">
      <c r="C268" s="1" t="s">
        <v>1421</v>
      </c>
      <c r="D268" s="1" t="s">
        <v>18</v>
      </c>
      <c r="E268" s="250">
        <v>11450.64</v>
      </c>
    </row>
    <row r="269" spans="3:5" x14ac:dyDescent="0.35">
      <c r="C269" s="1" t="s">
        <v>1420</v>
      </c>
      <c r="D269" s="1" t="s">
        <v>18</v>
      </c>
      <c r="E269" s="250">
        <v>11450.65</v>
      </c>
    </row>
    <row r="270" spans="3:5" x14ac:dyDescent="0.35">
      <c r="C270" s="1" t="s">
        <v>1419</v>
      </c>
      <c r="D270" s="1" t="s">
        <v>18</v>
      </c>
      <c r="E270" s="250">
        <v>11450.66</v>
      </c>
    </row>
    <row r="271" spans="3:5" x14ac:dyDescent="0.35">
      <c r="C271" s="1" t="s">
        <v>1418</v>
      </c>
      <c r="D271" s="1" t="s">
        <v>18</v>
      </c>
      <c r="E271" s="250">
        <v>11450.67</v>
      </c>
    </row>
    <row r="272" spans="3:5" x14ac:dyDescent="0.35">
      <c r="C272" s="1" t="s">
        <v>1417</v>
      </c>
      <c r="D272" s="1" t="s">
        <v>18</v>
      </c>
      <c r="E272" s="250">
        <v>11450.71</v>
      </c>
    </row>
    <row r="273" spans="3:5" x14ac:dyDescent="0.35">
      <c r="C273" s="1" t="s">
        <v>1416</v>
      </c>
      <c r="D273" s="1" t="s">
        <v>18</v>
      </c>
      <c r="E273" s="250">
        <v>11450.72</v>
      </c>
    </row>
    <row r="274" spans="3:5" x14ac:dyDescent="0.35">
      <c r="C274" s="1" t="s">
        <v>1415</v>
      </c>
      <c r="D274" s="1" t="s">
        <v>18</v>
      </c>
      <c r="E274" s="250">
        <v>11450.73</v>
      </c>
    </row>
    <row r="275" spans="3:5" x14ac:dyDescent="0.35">
      <c r="C275" s="1" t="s">
        <v>1414</v>
      </c>
      <c r="D275" s="1" t="s">
        <v>18</v>
      </c>
      <c r="E275" s="250">
        <v>11450.74</v>
      </c>
    </row>
    <row r="276" spans="3:5" x14ac:dyDescent="0.35">
      <c r="C276" s="1" t="s">
        <v>1413</v>
      </c>
      <c r="D276" s="1" t="s">
        <v>18</v>
      </c>
      <c r="E276" s="250">
        <v>11450.75</v>
      </c>
    </row>
    <row r="277" spans="3:5" x14ac:dyDescent="0.35">
      <c r="C277" s="1" t="s">
        <v>1412</v>
      </c>
      <c r="D277" s="1" t="s">
        <v>18</v>
      </c>
      <c r="E277" s="250">
        <v>11450.81</v>
      </c>
    </row>
    <row r="278" spans="3:5" x14ac:dyDescent="0.35">
      <c r="C278" s="1" t="s">
        <v>1411</v>
      </c>
      <c r="D278" s="1" t="s">
        <v>18</v>
      </c>
      <c r="E278" s="250">
        <v>11450.82</v>
      </c>
    </row>
    <row r="279" spans="3:5" x14ac:dyDescent="0.35">
      <c r="C279" s="1" t="s">
        <v>1410</v>
      </c>
      <c r="D279" s="1" t="s">
        <v>18</v>
      </c>
      <c r="E279" s="250">
        <v>11450.83</v>
      </c>
    </row>
    <row r="280" spans="3:5" x14ac:dyDescent="0.35">
      <c r="C280" s="1" t="s">
        <v>1409</v>
      </c>
      <c r="D280" s="1" t="s">
        <v>18</v>
      </c>
      <c r="E280" s="250">
        <v>11450.84</v>
      </c>
    </row>
    <row r="281" spans="3:5" x14ac:dyDescent="0.35">
      <c r="C281" s="1" t="s">
        <v>1408</v>
      </c>
      <c r="D281" s="1" t="s">
        <v>18</v>
      </c>
      <c r="E281" s="250">
        <v>11450.85</v>
      </c>
    </row>
    <row r="282" spans="3:5" x14ac:dyDescent="0.35">
      <c r="C282" s="1" t="s">
        <v>1407</v>
      </c>
      <c r="D282" s="1" t="s">
        <v>18</v>
      </c>
      <c r="E282" s="250">
        <v>11450.86</v>
      </c>
    </row>
    <row r="283" spans="3:5" x14ac:dyDescent="0.35">
      <c r="C283" s="1" t="s">
        <v>1406</v>
      </c>
      <c r="D283" s="1" t="s">
        <v>18</v>
      </c>
      <c r="E283" s="250">
        <v>11450.87</v>
      </c>
    </row>
    <row r="284" spans="3:5" x14ac:dyDescent="0.35">
      <c r="C284" s="1" t="s">
        <v>1405</v>
      </c>
      <c r="D284" s="1" t="s">
        <v>1391</v>
      </c>
      <c r="E284" s="250">
        <v>11480.01</v>
      </c>
    </row>
  </sheetData>
  <mergeCells count="9">
    <mergeCell ref="J5:K5"/>
    <mergeCell ref="J6:K6"/>
    <mergeCell ref="J7:K7"/>
    <mergeCell ref="A3:B3"/>
    <mergeCell ref="D3:G3"/>
    <mergeCell ref="J3:K3"/>
    <mergeCell ref="P3:Q3"/>
    <mergeCell ref="A4:B4"/>
    <mergeCell ref="J4:K4"/>
  </mergeCells>
  <dataValidations count="1">
    <dataValidation type="list" allowBlank="1" showInputMessage="1" showErrorMessage="1" sqref="C16:C190" xr:uid="{64BFED20-7B8B-4400-9C24-AC2D3D9DF7DA}">
      <formula1>$C$205:$C207</formula1>
    </dataValidation>
  </dataValidations>
  <hyperlinks>
    <hyperlink ref="D3" r:id="rId1" display="datamateapp@gmail.com" xr:uid="{DB959766-8D09-4692-9628-E92953F49ABC}"/>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55713" r:id="rId4" name="Button 1">
              <controlPr defaultSize="0" print="0" autoFill="0" autoPict="0" macro="SaveData">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755714" r:id="rId5" name="Button 2">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755715"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755716"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755717" r:id="rId8" name="Button 5">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755718" r:id="rId9" name="Button 6">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755719" r:id="rId10" name="Button 7">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755720" r:id="rId11" name="Button 8">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mc:AlternateContent xmlns:mc="http://schemas.openxmlformats.org/markup-compatibility/2006">
          <mc:Choice Requires="x14">
            <control shapeId="755721" r:id="rId12" name="Button 9">
              <controlPr defaultSize="0" print="0" autoFill="0" autoPict="0" macro="[0]!ExitSEC_114000">
                <anchor moveWithCells="1" sizeWithCells="1">
                  <from>
                    <xdr:col>16</xdr:col>
                    <xdr:colOff>0</xdr:colOff>
                    <xdr:row>0</xdr:row>
                    <xdr:rowOff>0</xdr:rowOff>
                  </from>
                  <to>
                    <xdr:col>16</xdr:col>
                    <xdr:colOff>1270000</xdr:colOff>
                    <xdr:row>2</xdr:row>
                    <xdr:rowOff>12700</xdr:rowOff>
                  </to>
                </anchor>
              </controlPr>
            </control>
          </mc:Choice>
        </mc:AlternateContent>
      </controls>
    </mc:Choice>
  </mc:AlternateContent>
</worksheet>
</file>

<file path=xl/worksheets/sheet1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55542-011F-4C1D-A350-1D897BE4CBFC}">
  <sheetPr codeName="Sheet140"/>
  <dimension ref="A1:Q221"/>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EDUCATIONAL AND SCIENTIFIC EQUIPMENT</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11 50 00</v>
      </c>
      <c r="C10" s="24" t="str">
        <f>C206</f>
        <v>EDUCATIONAL AND SCIENTIFIC EQUIPMENT</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EDUCATIONAL AND SCIENTIFIC EQUIPMENT</v>
      </c>
      <c r="D12" s="31"/>
      <c r="E12" s="32"/>
      <c r="F12" s="34"/>
      <c r="G12" s="33"/>
      <c r="H12" s="34"/>
      <c r="I12" s="33"/>
      <c r="J12" s="34"/>
      <c r="K12" s="34"/>
      <c r="L12" s="34"/>
      <c r="M12" s="33"/>
      <c r="N12" s="34"/>
      <c r="O12" s="35"/>
      <c r="P12" s="31"/>
      <c r="Q12" s="35"/>
    </row>
    <row r="13" spans="1:17" x14ac:dyDescent="0.35">
      <c r="A13" s="1"/>
      <c r="B13" s="1"/>
      <c r="C13" s="1"/>
      <c r="D13" s="1"/>
      <c r="E13" s="1"/>
      <c r="F13" s="1"/>
      <c r="G13" s="1"/>
      <c r="H13" s="1"/>
      <c r="I13" s="1"/>
      <c r="J13" s="1"/>
      <c r="K13" s="1"/>
      <c r="L13" s="1"/>
      <c r="M13" s="1"/>
      <c r="N13" s="1"/>
      <c r="O13" s="1"/>
      <c r="P13" s="1"/>
      <c r="Q13" s="1"/>
    </row>
    <row r="14" spans="1:17" x14ac:dyDescent="0.35">
      <c r="A14" s="1"/>
      <c r="B14" s="1"/>
      <c r="C14" s="1"/>
      <c r="D14" s="1"/>
      <c r="E14" s="1"/>
      <c r="F14" s="1"/>
      <c r="G14" s="1"/>
      <c r="H14" s="1"/>
      <c r="I14" s="1"/>
      <c r="J14" s="1"/>
      <c r="K14" s="1"/>
      <c r="L14" s="1"/>
      <c r="M14" s="1"/>
      <c r="N14" s="1"/>
      <c r="O14" s="1"/>
      <c r="P14" s="1"/>
      <c r="Q14" s="1"/>
    </row>
    <row r="15" spans="1:17" x14ac:dyDescent="0.35">
      <c r="A15" s="1"/>
      <c r="B15" s="1"/>
      <c r="C15" s="1"/>
      <c r="D15" s="1"/>
      <c r="E15" s="1"/>
      <c r="F15" s="1"/>
      <c r="G15" s="1"/>
      <c r="H15" s="1"/>
      <c r="I15" s="1"/>
      <c r="J15" s="1"/>
      <c r="K15" s="1"/>
      <c r="L15" s="1"/>
      <c r="M15" s="1"/>
      <c r="N15" s="1"/>
      <c r="O15" s="1"/>
      <c r="P15" s="1"/>
      <c r="Q15" s="1"/>
    </row>
    <row r="16" spans="1:17" x14ac:dyDescent="0.35">
      <c r="A16" s="1"/>
      <c r="B16" s="1"/>
      <c r="C16" s="1"/>
      <c r="D16" s="1"/>
      <c r="E16" s="1"/>
      <c r="F16" s="1"/>
      <c r="G16" s="1"/>
      <c r="H16" s="1"/>
      <c r="I16" s="1"/>
      <c r="J16" s="1"/>
      <c r="K16" s="1"/>
      <c r="L16" s="1"/>
      <c r="M16" s="1"/>
      <c r="N16" s="1"/>
      <c r="O16" s="1"/>
      <c r="P16" s="1"/>
      <c r="Q16" s="1"/>
    </row>
    <row r="17" spans="1:17" x14ac:dyDescent="0.35">
      <c r="A17" s="1"/>
      <c r="B17" s="1"/>
      <c r="C17" s="1"/>
      <c r="D17" s="1"/>
      <c r="E17" s="1"/>
      <c r="F17" s="1"/>
      <c r="G17" s="1"/>
      <c r="H17" s="1"/>
      <c r="I17" s="1"/>
      <c r="J17" s="1"/>
      <c r="K17" s="1"/>
      <c r="L17" s="1"/>
      <c r="M17" s="1"/>
      <c r="N17" s="1"/>
      <c r="O17" s="1"/>
      <c r="P17" s="1"/>
      <c r="Q17" s="1"/>
    </row>
    <row r="18" spans="1:17" x14ac:dyDescent="0.35">
      <c r="A18" s="1"/>
      <c r="B18" s="1"/>
      <c r="C18" s="1"/>
      <c r="D18" s="1"/>
      <c r="E18" s="1"/>
      <c r="F18" s="1"/>
      <c r="G18" s="1"/>
      <c r="H18" s="1"/>
      <c r="I18" s="1"/>
      <c r="J18" s="1"/>
      <c r="K18" s="1"/>
      <c r="L18" s="1"/>
      <c r="M18" s="1"/>
      <c r="N18" s="1"/>
      <c r="O18" s="1"/>
      <c r="P18" s="1"/>
      <c r="Q18" s="1"/>
    </row>
    <row r="19" spans="1:17" x14ac:dyDescent="0.35">
      <c r="A19" s="1"/>
      <c r="B19" s="1"/>
      <c r="C19" s="1"/>
      <c r="D19" s="1"/>
      <c r="E19" s="1"/>
      <c r="F19" s="1"/>
      <c r="G19" s="1"/>
      <c r="H19" s="1"/>
      <c r="I19" s="1"/>
      <c r="J19" s="1"/>
      <c r="K19" s="1"/>
      <c r="L19" s="1"/>
      <c r="M19" s="1"/>
      <c r="N19" s="1"/>
      <c r="O19" s="1"/>
      <c r="P19" s="1"/>
      <c r="Q19" s="1"/>
    </row>
    <row r="20" spans="1:17" x14ac:dyDescent="0.35">
      <c r="A20" s="1"/>
      <c r="B20" s="1"/>
      <c r="C20" s="1"/>
      <c r="D20" s="1"/>
      <c r="E20" s="1"/>
      <c r="F20" s="1"/>
      <c r="G20" s="1"/>
      <c r="H20" s="1"/>
      <c r="I20" s="1"/>
      <c r="J20" s="1"/>
      <c r="K20" s="1"/>
      <c r="L20" s="1"/>
      <c r="M20" s="1"/>
      <c r="N20" s="1"/>
      <c r="O20" s="1"/>
      <c r="P20" s="1"/>
      <c r="Q20" s="1"/>
    </row>
    <row r="21" spans="1:17" x14ac:dyDescent="0.35">
      <c r="A21" s="1"/>
      <c r="B21" s="1"/>
      <c r="C21" s="1"/>
      <c r="D21" s="1"/>
      <c r="E21" s="1"/>
      <c r="F21" s="1"/>
      <c r="G21" s="1"/>
      <c r="H21" s="1"/>
      <c r="I21" s="1"/>
      <c r="J21" s="1"/>
      <c r="K21" s="1"/>
      <c r="L21" s="1"/>
      <c r="M21" s="1"/>
      <c r="N21" s="1"/>
      <c r="O21" s="1"/>
      <c r="P21" s="1"/>
      <c r="Q21" s="1"/>
    </row>
    <row r="22" spans="1:17" x14ac:dyDescent="0.35">
      <c r="A22" s="1"/>
      <c r="B22" s="1"/>
      <c r="C22" s="1"/>
      <c r="D22" s="1"/>
      <c r="E22" s="1"/>
      <c r="F22" s="1"/>
      <c r="G22" s="1"/>
      <c r="H22" s="1"/>
      <c r="I22" s="1"/>
      <c r="J22" s="1"/>
      <c r="K22" s="1"/>
      <c r="L22" s="1"/>
      <c r="M22" s="1"/>
      <c r="N22" s="1"/>
      <c r="O22" s="1"/>
      <c r="P22" s="1"/>
      <c r="Q22" s="1"/>
    </row>
    <row r="23" spans="1:17" x14ac:dyDescent="0.35">
      <c r="A23" s="1"/>
      <c r="B23" s="1"/>
      <c r="C23" s="1"/>
      <c r="D23" s="1"/>
      <c r="E23" s="1"/>
      <c r="F23" s="1"/>
      <c r="G23" s="1"/>
      <c r="H23" s="1"/>
      <c r="I23" s="1"/>
      <c r="J23" s="1"/>
      <c r="K23" s="1"/>
      <c r="L23" s="1"/>
      <c r="M23" s="1"/>
      <c r="N23" s="1"/>
      <c r="O23" s="1"/>
      <c r="P23" s="1"/>
      <c r="Q23" s="1"/>
    </row>
    <row r="24" spans="1:17" x14ac:dyDescent="0.35">
      <c r="A24" s="1"/>
      <c r="B24" s="1"/>
      <c r="C24" s="1"/>
      <c r="D24" s="1"/>
      <c r="E24" s="1"/>
      <c r="F24" s="1"/>
      <c r="G24" s="1"/>
      <c r="H24" s="1"/>
      <c r="I24" s="1"/>
      <c r="J24" s="1"/>
      <c r="K24" s="1"/>
      <c r="L24" s="1"/>
      <c r="M24" s="1"/>
      <c r="N24" s="1"/>
      <c r="O24" s="1"/>
      <c r="P24" s="1"/>
      <c r="Q24" s="1"/>
    </row>
    <row r="25" spans="1:17" x14ac:dyDescent="0.35">
      <c r="A25" s="1"/>
      <c r="B25" s="1"/>
      <c r="C25" s="1"/>
      <c r="D25" s="1"/>
      <c r="E25" s="1"/>
      <c r="F25" s="1"/>
      <c r="G25" s="1"/>
      <c r="H25" s="1"/>
      <c r="I25" s="1"/>
      <c r="J25" s="1"/>
      <c r="K25" s="1"/>
      <c r="L25" s="1"/>
      <c r="M25" s="1"/>
      <c r="N25" s="1"/>
      <c r="O25" s="1"/>
      <c r="P25" s="1"/>
      <c r="Q25" s="1"/>
    </row>
    <row r="26" spans="1:17" x14ac:dyDescent="0.35">
      <c r="A26" s="1"/>
      <c r="B26" s="1"/>
      <c r="C26" s="1"/>
      <c r="D26" s="1"/>
      <c r="E26" s="1"/>
      <c r="F26" s="1"/>
      <c r="G26" s="1"/>
      <c r="H26" s="1"/>
      <c r="I26" s="1"/>
      <c r="J26" s="1"/>
      <c r="K26" s="1"/>
      <c r="L26" s="1"/>
      <c r="M26" s="1"/>
      <c r="N26" s="1"/>
      <c r="O26" s="1"/>
      <c r="P26" s="1"/>
      <c r="Q26" s="1"/>
    </row>
    <row r="27" spans="1:17" x14ac:dyDescent="0.35">
      <c r="A27" s="1"/>
      <c r="B27" s="1"/>
      <c r="C27" s="1"/>
      <c r="D27" s="1"/>
      <c r="E27" s="1"/>
      <c r="F27" s="1"/>
      <c r="G27" s="1"/>
      <c r="H27" s="1"/>
      <c r="I27" s="1"/>
      <c r="J27" s="1"/>
      <c r="K27" s="1"/>
      <c r="L27" s="1"/>
      <c r="M27" s="1"/>
      <c r="N27" s="1"/>
      <c r="O27" s="1"/>
      <c r="P27" s="1"/>
      <c r="Q27" s="1"/>
    </row>
    <row r="28" spans="1:17" x14ac:dyDescent="0.35">
      <c r="A28" s="1"/>
      <c r="B28" s="1"/>
      <c r="C28" s="1"/>
      <c r="D28" s="1"/>
      <c r="E28" s="1"/>
      <c r="F28" s="1"/>
      <c r="G28" s="1"/>
      <c r="H28" s="1"/>
      <c r="I28" s="1"/>
      <c r="J28" s="1"/>
      <c r="K28" s="1"/>
      <c r="L28" s="1"/>
      <c r="M28" s="1"/>
      <c r="N28" s="1"/>
      <c r="O28" s="1"/>
      <c r="P28" s="1"/>
      <c r="Q28" s="1"/>
    </row>
    <row r="29" spans="1:17" x14ac:dyDescent="0.35">
      <c r="A29" s="1"/>
      <c r="B29" s="1"/>
      <c r="C29" s="1"/>
      <c r="D29" s="1"/>
      <c r="E29" s="1"/>
      <c r="F29" s="1"/>
      <c r="G29" s="1"/>
      <c r="H29" s="1"/>
      <c r="I29" s="1"/>
      <c r="J29" s="1"/>
      <c r="K29" s="1"/>
      <c r="L29" s="1"/>
      <c r="M29" s="1"/>
      <c r="N29" s="1"/>
      <c r="O29" s="1"/>
      <c r="P29" s="1"/>
      <c r="Q29" s="1"/>
    </row>
    <row r="30" spans="1:17" x14ac:dyDescent="0.35">
      <c r="A30" s="1"/>
      <c r="B30" s="1"/>
      <c r="C30" s="1"/>
      <c r="D30" s="1"/>
      <c r="E30" s="1"/>
      <c r="F30" s="1"/>
      <c r="G30" s="1"/>
      <c r="H30" s="1"/>
      <c r="I30" s="1"/>
      <c r="J30" s="1"/>
      <c r="K30" s="1"/>
      <c r="L30" s="1"/>
      <c r="M30" s="1"/>
      <c r="N30" s="1"/>
      <c r="O30" s="1"/>
      <c r="P30" s="1"/>
      <c r="Q30" s="1"/>
    </row>
    <row r="31" spans="1:17" x14ac:dyDescent="0.35">
      <c r="A31" s="1"/>
      <c r="B31" s="1"/>
      <c r="C31" s="1"/>
      <c r="D31" s="1"/>
      <c r="E31" s="1"/>
      <c r="F31" s="1"/>
      <c r="G31" s="1"/>
      <c r="H31" s="1"/>
      <c r="I31" s="1"/>
      <c r="J31" s="1"/>
      <c r="K31" s="1"/>
      <c r="L31" s="1"/>
      <c r="M31" s="1"/>
      <c r="N31" s="1"/>
      <c r="O31" s="1"/>
      <c r="P31" s="1"/>
      <c r="Q31" s="1"/>
    </row>
    <row r="32" spans="1:17" x14ac:dyDescent="0.35">
      <c r="A32" s="1"/>
      <c r="B32" s="1"/>
      <c r="C32" s="1"/>
      <c r="D32" s="1"/>
      <c r="E32" s="1"/>
      <c r="F32" s="1"/>
      <c r="G32" s="1"/>
      <c r="H32" s="1"/>
      <c r="I32" s="1"/>
      <c r="J32" s="1"/>
      <c r="K32" s="1"/>
      <c r="L32" s="1"/>
      <c r="M32" s="1"/>
      <c r="N32" s="1"/>
      <c r="O32" s="1"/>
      <c r="P32" s="1"/>
      <c r="Q32" s="1"/>
    </row>
    <row r="33" spans="1:17" x14ac:dyDescent="0.35">
      <c r="A33" s="1"/>
      <c r="B33" s="1"/>
      <c r="C33" s="1"/>
      <c r="D33" s="1"/>
      <c r="E33" s="1"/>
      <c r="F33" s="1"/>
      <c r="G33" s="1"/>
      <c r="H33" s="1"/>
      <c r="I33" s="1"/>
      <c r="J33" s="1"/>
      <c r="K33" s="1"/>
      <c r="L33" s="1"/>
      <c r="M33" s="1"/>
      <c r="N33" s="1"/>
      <c r="O33" s="1"/>
      <c r="P33" s="1"/>
      <c r="Q33" s="1"/>
    </row>
    <row r="34" spans="1:17" x14ac:dyDescent="0.35">
      <c r="A34" s="1"/>
      <c r="B34" s="1"/>
      <c r="C34" s="1"/>
      <c r="D34" s="1"/>
      <c r="E34" s="1"/>
      <c r="F34" s="1"/>
      <c r="G34" s="1"/>
      <c r="H34" s="1"/>
      <c r="I34" s="1"/>
      <c r="J34" s="1"/>
      <c r="K34" s="1"/>
      <c r="L34" s="1"/>
      <c r="M34" s="1"/>
      <c r="N34" s="1"/>
      <c r="O34" s="1"/>
      <c r="P34" s="1"/>
      <c r="Q34" s="1"/>
    </row>
    <row r="35" spans="1:17" x14ac:dyDescent="0.35">
      <c r="A35" s="1"/>
      <c r="B35" s="1"/>
      <c r="C35" s="1"/>
      <c r="D35" s="1"/>
      <c r="E35" s="1"/>
      <c r="F35" s="1"/>
      <c r="G35" s="1"/>
      <c r="H35" s="1"/>
      <c r="I35" s="1"/>
      <c r="J35" s="1"/>
      <c r="K35" s="1"/>
      <c r="L35" s="1"/>
      <c r="M35" s="1"/>
      <c r="N35" s="1"/>
      <c r="O35" s="1"/>
      <c r="P35" s="1"/>
      <c r="Q35" s="1"/>
    </row>
    <row r="36" spans="1:17" x14ac:dyDescent="0.35">
      <c r="A36" s="1"/>
      <c r="B36" s="1"/>
      <c r="C36" s="1"/>
      <c r="D36" s="1"/>
      <c r="E36" s="1"/>
      <c r="F36" s="1"/>
      <c r="G36" s="1"/>
      <c r="H36" s="1"/>
      <c r="I36" s="1"/>
      <c r="J36" s="1"/>
      <c r="K36" s="1"/>
      <c r="L36" s="1"/>
      <c r="M36" s="1"/>
      <c r="N36" s="1"/>
      <c r="O36" s="1"/>
      <c r="P36" s="1"/>
      <c r="Q36" s="1"/>
    </row>
    <row r="37" spans="1:17" x14ac:dyDescent="0.35">
      <c r="A37" s="1"/>
      <c r="B37" s="1"/>
      <c r="C37" s="1"/>
      <c r="D37" s="1"/>
      <c r="E37" s="1"/>
      <c r="F37" s="1"/>
      <c r="G37" s="1"/>
      <c r="H37" s="1"/>
      <c r="I37" s="1"/>
      <c r="J37" s="1"/>
      <c r="K37" s="1"/>
      <c r="L37" s="1"/>
      <c r="M37" s="1"/>
      <c r="N37" s="1"/>
      <c r="O37" s="1"/>
      <c r="P37" s="1"/>
      <c r="Q37" s="1"/>
    </row>
    <row r="38" spans="1:17" x14ac:dyDescent="0.35">
      <c r="A38" s="1"/>
      <c r="B38" s="1"/>
      <c r="C38" s="1"/>
      <c r="D38" s="1"/>
      <c r="E38" s="1"/>
      <c r="F38" s="1"/>
      <c r="G38" s="1"/>
      <c r="H38" s="1"/>
      <c r="I38" s="1"/>
      <c r="J38" s="1"/>
      <c r="K38" s="1"/>
      <c r="L38" s="1"/>
      <c r="M38" s="1"/>
      <c r="N38" s="1"/>
      <c r="O38" s="1"/>
      <c r="P38" s="1"/>
      <c r="Q38" s="1"/>
    </row>
    <row r="39" spans="1:17" x14ac:dyDescent="0.35">
      <c r="A39" s="1"/>
      <c r="B39" s="1"/>
      <c r="C39" s="1"/>
      <c r="D39" s="1"/>
      <c r="E39" s="1"/>
      <c r="F39" s="1"/>
      <c r="G39" s="1"/>
      <c r="H39" s="1"/>
      <c r="I39" s="1"/>
      <c r="J39" s="1"/>
      <c r="K39" s="1"/>
      <c r="L39" s="1"/>
      <c r="M39" s="1"/>
      <c r="N39" s="1"/>
      <c r="O39" s="1"/>
      <c r="P39" s="1"/>
      <c r="Q39" s="1"/>
    </row>
    <row r="40" spans="1:17" x14ac:dyDescent="0.35">
      <c r="A40" s="1"/>
      <c r="B40" s="1"/>
      <c r="C40" s="1"/>
      <c r="D40" s="1"/>
      <c r="E40" s="1"/>
      <c r="F40" s="1"/>
      <c r="G40" s="1"/>
      <c r="H40" s="1"/>
      <c r="I40" s="1"/>
      <c r="J40" s="1"/>
      <c r="K40" s="1"/>
      <c r="L40" s="1"/>
      <c r="M40" s="1"/>
      <c r="N40" s="1"/>
      <c r="O40" s="1"/>
      <c r="P40" s="1"/>
      <c r="Q40" s="1"/>
    </row>
    <row r="41" spans="1:17" x14ac:dyDescent="0.35">
      <c r="A41" s="1"/>
      <c r="B41" s="1"/>
      <c r="C41" s="1"/>
      <c r="D41" s="1"/>
      <c r="E41" s="1"/>
      <c r="F41" s="1"/>
      <c r="G41" s="1"/>
      <c r="H41" s="1"/>
      <c r="I41" s="1"/>
      <c r="J41" s="1"/>
      <c r="K41" s="1"/>
      <c r="L41" s="1"/>
      <c r="M41" s="1"/>
      <c r="N41" s="1"/>
      <c r="O41" s="1"/>
      <c r="P41" s="1"/>
      <c r="Q41" s="1"/>
    </row>
    <row r="42" spans="1:17" x14ac:dyDescent="0.35">
      <c r="A42" s="1"/>
      <c r="B42" s="1"/>
      <c r="C42" s="1"/>
      <c r="D42" s="1"/>
      <c r="E42" s="1"/>
      <c r="F42" s="1"/>
      <c r="G42" s="1"/>
      <c r="H42" s="1"/>
      <c r="I42" s="1"/>
      <c r="J42" s="1"/>
      <c r="K42" s="1"/>
      <c r="L42" s="1"/>
      <c r="M42" s="1"/>
      <c r="N42" s="1"/>
      <c r="O42" s="1"/>
      <c r="P42" s="1"/>
      <c r="Q42" s="1"/>
    </row>
    <row r="43" spans="1:17" x14ac:dyDescent="0.35">
      <c r="A43" s="1"/>
      <c r="B43" s="1"/>
      <c r="C43" s="1"/>
      <c r="D43" s="1"/>
      <c r="E43" s="1"/>
      <c r="F43" s="1"/>
      <c r="G43" s="1"/>
      <c r="H43" s="1"/>
      <c r="I43" s="1"/>
      <c r="J43" s="1"/>
      <c r="K43" s="1"/>
      <c r="L43" s="1"/>
      <c r="M43" s="1"/>
      <c r="N43" s="1"/>
      <c r="O43" s="1"/>
      <c r="P43" s="1"/>
      <c r="Q43" s="1"/>
    </row>
    <row r="44" spans="1:17" x14ac:dyDescent="0.35">
      <c r="A44" s="1"/>
      <c r="B44" s="1"/>
      <c r="C44" s="1"/>
      <c r="D44" s="1"/>
      <c r="E44" s="1"/>
      <c r="F44" s="1"/>
      <c r="G44" s="1"/>
      <c r="H44" s="1"/>
      <c r="I44" s="1"/>
      <c r="J44" s="1"/>
      <c r="K44" s="1"/>
      <c r="L44" s="1"/>
      <c r="M44" s="1"/>
      <c r="N44" s="1"/>
      <c r="O44" s="1"/>
      <c r="P44" s="1"/>
      <c r="Q44" s="1"/>
    </row>
    <row r="45" spans="1:17" x14ac:dyDescent="0.35">
      <c r="A45" s="1"/>
      <c r="B45" s="1"/>
      <c r="C45" s="1"/>
      <c r="D45" s="1"/>
      <c r="E45" s="1"/>
      <c r="F45" s="1"/>
      <c r="G45" s="1"/>
      <c r="H45" s="1"/>
      <c r="I45" s="1"/>
      <c r="J45" s="1"/>
      <c r="K45" s="1"/>
      <c r="L45" s="1"/>
      <c r="M45" s="1"/>
      <c r="N45" s="1"/>
      <c r="O45" s="1"/>
      <c r="P45" s="1"/>
      <c r="Q45" s="1"/>
    </row>
    <row r="46" spans="1:17" x14ac:dyDescent="0.35">
      <c r="A46" s="1"/>
      <c r="B46" s="1"/>
      <c r="C46" s="1"/>
      <c r="D46" s="1"/>
      <c r="E46" s="1"/>
      <c r="F46" s="1"/>
      <c r="G46" s="1"/>
      <c r="H46" s="1"/>
      <c r="I46" s="1"/>
      <c r="J46" s="1"/>
      <c r="K46" s="1"/>
      <c r="L46" s="1"/>
      <c r="M46" s="1"/>
      <c r="N46" s="1"/>
      <c r="O46" s="1"/>
      <c r="P46" s="1"/>
      <c r="Q46" s="1"/>
    </row>
    <row r="47" spans="1:17" x14ac:dyDescent="0.35">
      <c r="A47" s="1"/>
      <c r="B47" s="1"/>
      <c r="C47" s="1"/>
      <c r="D47" s="1"/>
      <c r="E47" s="1"/>
      <c r="F47" s="1"/>
      <c r="G47" s="1"/>
      <c r="H47" s="1"/>
      <c r="I47" s="1"/>
      <c r="J47" s="1"/>
      <c r="K47" s="1"/>
      <c r="L47" s="1"/>
      <c r="M47" s="1"/>
      <c r="N47" s="1"/>
      <c r="O47" s="1"/>
      <c r="P47" s="1"/>
      <c r="Q47" s="1"/>
    </row>
    <row r="48" spans="1:17" x14ac:dyDescent="0.35">
      <c r="A48" s="1"/>
      <c r="B48" s="1"/>
      <c r="C48" s="1"/>
      <c r="D48" s="1"/>
      <c r="E48" s="1"/>
      <c r="F48" s="1"/>
      <c r="G48" s="1"/>
      <c r="H48" s="1"/>
      <c r="I48" s="1"/>
      <c r="J48" s="1"/>
      <c r="K48" s="1"/>
      <c r="L48" s="1"/>
      <c r="M48" s="1"/>
      <c r="N48" s="1"/>
      <c r="O48" s="1"/>
      <c r="P48" s="1"/>
      <c r="Q48" s="1"/>
    </row>
    <row r="49" spans="1:17" x14ac:dyDescent="0.35">
      <c r="A49" s="1"/>
      <c r="B49" s="1"/>
      <c r="C49" s="1"/>
      <c r="D49" s="1"/>
      <c r="E49" s="1"/>
      <c r="F49" s="1"/>
      <c r="G49" s="1"/>
      <c r="H49" s="1"/>
      <c r="I49" s="1"/>
      <c r="J49" s="1"/>
      <c r="K49" s="1"/>
      <c r="L49" s="1"/>
      <c r="M49" s="1"/>
      <c r="N49" s="1"/>
      <c r="O49" s="1"/>
      <c r="P49" s="1"/>
      <c r="Q49" s="1"/>
    </row>
    <row r="50" spans="1:17" x14ac:dyDescent="0.35">
      <c r="A50" s="1"/>
      <c r="B50" s="1"/>
      <c r="C50" s="1"/>
      <c r="D50" s="1"/>
      <c r="E50" s="1"/>
      <c r="F50" s="1"/>
      <c r="G50" s="1"/>
      <c r="H50" s="1"/>
      <c r="I50" s="1"/>
      <c r="J50" s="1"/>
      <c r="K50" s="1"/>
      <c r="L50" s="1"/>
      <c r="M50" s="1"/>
      <c r="N50" s="1"/>
      <c r="O50" s="1"/>
      <c r="P50" s="1"/>
      <c r="Q50" s="1"/>
    </row>
    <row r="51" spans="1:17" x14ac:dyDescent="0.35">
      <c r="A51" s="1"/>
      <c r="B51" s="1"/>
      <c r="C51" s="1"/>
      <c r="D51" s="1"/>
      <c r="E51" s="1"/>
      <c r="F51" s="1"/>
      <c r="G51" s="1"/>
      <c r="H51" s="1"/>
      <c r="I51" s="1"/>
      <c r="J51" s="1"/>
      <c r="K51" s="1"/>
      <c r="L51" s="1"/>
      <c r="M51" s="1"/>
      <c r="N51" s="1"/>
      <c r="O51" s="1"/>
      <c r="P51" s="1"/>
      <c r="Q51" s="1"/>
    </row>
    <row r="52" spans="1:17" x14ac:dyDescent="0.35">
      <c r="A52" s="1"/>
      <c r="B52" s="1"/>
      <c r="C52" s="1"/>
      <c r="D52" s="1"/>
      <c r="E52" s="1"/>
      <c r="F52" s="1"/>
      <c r="G52" s="1"/>
      <c r="H52" s="1"/>
      <c r="I52" s="1"/>
      <c r="J52" s="1"/>
      <c r="K52" s="1"/>
      <c r="L52" s="1"/>
      <c r="M52" s="1"/>
      <c r="N52" s="1"/>
      <c r="O52" s="1"/>
      <c r="P52" s="1"/>
      <c r="Q52" s="1"/>
    </row>
    <row r="53" spans="1:17" x14ac:dyDescent="0.35">
      <c r="A53" s="1"/>
      <c r="B53" s="1"/>
      <c r="C53" s="1"/>
      <c r="D53" s="1"/>
      <c r="E53" s="1"/>
      <c r="F53" s="1"/>
      <c r="G53" s="1"/>
      <c r="H53" s="1"/>
      <c r="I53" s="1"/>
      <c r="J53" s="1"/>
      <c r="K53" s="1"/>
      <c r="L53" s="1"/>
      <c r="M53" s="1"/>
      <c r="N53" s="1"/>
      <c r="O53" s="1"/>
      <c r="P53" s="1"/>
      <c r="Q53" s="1"/>
    </row>
    <row r="54" spans="1:17" x14ac:dyDescent="0.35">
      <c r="A54" s="1"/>
      <c r="B54" s="1"/>
      <c r="C54" s="1"/>
      <c r="D54" s="1"/>
      <c r="E54" s="1"/>
      <c r="F54" s="1"/>
      <c r="G54" s="1"/>
      <c r="H54" s="1"/>
      <c r="I54" s="1"/>
      <c r="J54" s="1"/>
      <c r="K54" s="1"/>
      <c r="L54" s="1"/>
      <c r="M54" s="1"/>
      <c r="N54" s="1"/>
      <c r="O54" s="1"/>
      <c r="P54" s="1"/>
      <c r="Q54" s="1"/>
    </row>
    <row r="55" spans="1:17" x14ac:dyDescent="0.35">
      <c r="A55" s="1"/>
      <c r="B55" s="1"/>
      <c r="C55" s="1"/>
      <c r="D55" s="1"/>
      <c r="E55" s="1"/>
      <c r="F55" s="1"/>
      <c r="G55" s="1"/>
      <c r="H55" s="1"/>
      <c r="I55" s="1"/>
      <c r="J55" s="1"/>
      <c r="K55" s="1"/>
      <c r="L55" s="1"/>
      <c r="M55" s="1"/>
      <c r="N55" s="1"/>
      <c r="O55" s="1"/>
      <c r="P55" s="1"/>
      <c r="Q55" s="1"/>
    </row>
    <row r="56" spans="1:17" x14ac:dyDescent="0.35">
      <c r="A56" s="1"/>
      <c r="B56" s="1"/>
      <c r="C56" s="1"/>
      <c r="D56" s="1"/>
      <c r="E56" s="1"/>
      <c r="F56" s="1"/>
      <c r="G56" s="1"/>
      <c r="H56" s="1"/>
      <c r="I56" s="1"/>
      <c r="J56" s="1"/>
      <c r="K56" s="1"/>
      <c r="L56" s="1"/>
      <c r="M56" s="1"/>
      <c r="N56" s="1"/>
      <c r="O56" s="1"/>
      <c r="P56" s="1"/>
      <c r="Q56" s="1"/>
    </row>
    <row r="57" spans="1:17" x14ac:dyDescent="0.35">
      <c r="A57" s="1"/>
      <c r="B57" s="1"/>
      <c r="C57" s="1"/>
      <c r="D57" s="1"/>
      <c r="E57" s="1"/>
      <c r="F57" s="1"/>
      <c r="G57" s="1"/>
      <c r="H57" s="1"/>
      <c r="I57" s="1"/>
      <c r="J57" s="1"/>
      <c r="K57" s="1"/>
      <c r="L57" s="1"/>
      <c r="M57" s="1"/>
      <c r="N57" s="1"/>
      <c r="O57" s="1"/>
      <c r="P57" s="1"/>
      <c r="Q57" s="1"/>
    </row>
    <row r="58" spans="1:17" x14ac:dyDescent="0.35">
      <c r="A58" s="1"/>
      <c r="B58" s="1"/>
      <c r="C58" s="1"/>
      <c r="D58" s="1"/>
      <c r="E58" s="1"/>
      <c r="F58" s="1"/>
      <c r="G58" s="1"/>
      <c r="H58" s="1"/>
      <c r="I58" s="1"/>
      <c r="J58" s="1"/>
      <c r="K58" s="1"/>
      <c r="L58" s="1"/>
      <c r="M58" s="1"/>
      <c r="N58" s="1"/>
      <c r="O58" s="1"/>
      <c r="P58" s="1"/>
      <c r="Q58" s="1"/>
    </row>
    <row r="59" spans="1:17" x14ac:dyDescent="0.35">
      <c r="A59" s="1"/>
      <c r="B59" s="1"/>
      <c r="C59" s="1"/>
      <c r="D59" s="1"/>
      <c r="E59" s="1"/>
      <c r="F59" s="1"/>
      <c r="G59" s="1"/>
      <c r="H59" s="1"/>
      <c r="I59" s="1"/>
      <c r="J59" s="1"/>
      <c r="K59" s="1"/>
      <c r="L59" s="1"/>
      <c r="M59" s="1"/>
      <c r="N59" s="1"/>
      <c r="O59" s="1"/>
      <c r="P59" s="1"/>
      <c r="Q59" s="1"/>
    </row>
    <row r="60" spans="1:17" x14ac:dyDescent="0.35">
      <c r="A60" s="1"/>
      <c r="B60" s="1"/>
      <c r="C60" s="1"/>
      <c r="D60" s="1"/>
      <c r="E60" s="1"/>
      <c r="F60" s="1"/>
      <c r="G60" s="1"/>
      <c r="H60" s="1"/>
      <c r="I60" s="1"/>
      <c r="J60" s="1"/>
      <c r="K60" s="1"/>
      <c r="L60" s="1"/>
      <c r="M60" s="1"/>
      <c r="N60" s="1"/>
      <c r="O60" s="1"/>
      <c r="P60" s="1"/>
      <c r="Q60" s="1"/>
    </row>
    <row r="61" spans="1:17" x14ac:dyDescent="0.35">
      <c r="A61" s="1"/>
      <c r="B61" s="1"/>
      <c r="C61" s="1"/>
      <c r="D61" s="1"/>
      <c r="E61" s="1"/>
      <c r="F61" s="1"/>
      <c r="G61" s="1"/>
      <c r="H61" s="1"/>
      <c r="I61" s="1"/>
      <c r="J61" s="1"/>
      <c r="K61" s="1"/>
      <c r="L61" s="1"/>
      <c r="M61" s="1"/>
      <c r="N61" s="1"/>
      <c r="O61" s="1"/>
      <c r="P61" s="1"/>
      <c r="Q61" s="1"/>
    </row>
    <row r="62" spans="1:17" x14ac:dyDescent="0.35">
      <c r="A62" s="1"/>
      <c r="B62" s="1"/>
      <c r="C62" s="1"/>
      <c r="D62" s="1"/>
      <c r="E62" s="1"/>
      <c r="F62" s="1"/>
      <c r="G62" s="1"/>
      <c r="H62" s="1"/>
      <c r="I62" s="1"/>
      <c r="J62" s="1"/>
      <c r="K62" s="1"/>
      <c r="L62" s="1"/>
      <c r="M62" s="1"/>
      <c r="N62" s="1"/>
      <c r="O62" s="1"/>
      <c r="P62" s="1"/>
      <c r="Q62" s="1"/>
    </row>
    <row r="63" spans="1:17" x14ac:dyDescent="0.35">
      <c r="A63" s="1"/>
      <c r="B63" s="1"/>
      <c r="C63" s="1"/>
      <c r="D63" s="1"/>
      <c r="E63" s="1"/>
      <c r="F63" s="1"/>
      <c r="G63" s="1"/>
      <c r="H63" s="1"/>
      <c r="I63" s="1"/>
      <c r="J63" s="1"/>
      <c r="K63" s="1"/>
      <c r="L63" s="1"/>
      <c r="M63" s="1"/>
      <c r="N63" s="1"/>
      <c r="O63" s="1"/>
      <c r="P63" s="1"/>
      <c r="Q63" s="1"/>
    </row>
    <row r="64" spans="1:17" x14ac:dyDescent="0.35">
      <c r="A64" s="1"/>
      <c r="B64" s="1"/>
      <c r="C64" s="1"/>
      <c r="D64" s="1"/>
      <c r="E64" s="1"/>
      <c r="F64" s="1"/>
      <c r="G64" s="1"/>
      <c r="H64" s="1"/>
      <c r="I64" s="1"/>
      <c r="J64" s="1"/>
      <c r="K64" s="1"/>
      <c r="L64" s="1"/>
      <c r="M64" s="1"/>
      <c r="N64" s="1"/>
      <c r="O64" s="1"/>
      <c r="P64" s="1"/>
      <c r="Q64" s="1"/>
    </row>
    <row r="65" spans="1:17" x14ac:dyDescent="0.35">
      <c r="A65" s="1"/>
      <c r="B65" s="1"/>
      <c r="C65" s="1"/>
      <c r="D65" s="1"/>
      <c r="E65" s="1"/>
      <c r="F65" s="1"/>
      <c r="G65" s="1"/>
      <c r="H65" s="1"/>
      <c r="I65" s="1"/>
      <c r="J65" s="1"/>
      <c r="K65" s="1"/>
      <c r="L65" s="1"/>
      <c r="M65" s="1"/>
      <c r="N65" s="1"/>
      <c r="O65" s="1"/>
      <c r="P65" s="1"/>
      <c r="Q65" s="1"/>
    </row>
    <row r="66" spans="1:17" x14ac:dyDescent="0.35">
      <c r="A66" s="1"/>
      <c r="B66" s="1"/>
      <c r="C66" s="1"/>
      <c r="D66" s="1"/>
      <c r="E66" s="1"/>
      <c r="F66" s="1"/>
      <c r="G66" s="1"/>
      <c r="H66" s="1"/>
      <c r="I66" s="1"/>
      <c r="J66" s="1"/>
      <c r="K66" s="1"/>
      <c r="L66" s="1"/>
      <c r="M66" s="1"/>
      <c r="N66" s="1"/>
      <c r="O66" s="1"/>
      <c r="P66" s="1"/>
      <c r="Q66" s="1"/>
    </row>
    <row r="67" spans="1:17" x14ac:dyDescent="0.35">
      <c r="A67" s="1"/>
      <c r="B67" s="1"/>
      <c r="C67" s="1"/>
      <c r="D67" s="1"/>
      <c r="E67" s="1"/>
      <c r="F67" s="1"/>
      <c r="G67" s="1"/>
      <c r="H67" s="1"/>
      <c r="I67" s="1"/>
      <c r="J67" s="1"/>
      <c r="K67" s="1"/>
      <c r="L67" s="1"/>
      <c r="M67" s="1"/>
      <c r="N67" s="1"/>
      <c r="O67" s="1"/>
      <c r="P67" s="1"/>
      <c r="Q67" s="1"/>
    </row>
    <row r="68" spans="1:17" x14ac:dyDescent="0.35">
      <c r="A68" s="1"/>
      <c r="B68" s="1"/>
      <c r="C68" s="1"/>
      <c r="D68" s="1"/>
      <c r="E68" s="1"/>
      <c r="F68" s="1"/>
      <c r="G68" s="1"/>
      <c r="H68" s="1"/>
      <c r="I68" s="1"/>
      <c r="J68" s="1"/>
      <c r="K68" s="1"/>
      <c r="L68" s="1"/>
      <c r="M68" s="1"/>
      <c r="N68" s="1"/>
      <c r="O68" s="1"/>
      <c r="P68" s="1"/>
      <c r="Q68" s="1"/>
    </row>
    <row r="69" spans="1:17" x14ac:dyDescent="0.35">
      <c r="A69" s="1"/>
      <c r="B69" s="1"/>
      <c r="C69" s="1"/>
      <c r="D69" s="1"/>
      <c r="E69" s="1"/>
      <c r="F69" s="1"/>
      <c r="G69" s="1"/>
      <c r="H69" s="1"/>
      <c r="I69" s="1"/>
      <c r="J69" s="1"/>
      <c r="K69" s="1"/>
      <c r="L69" s="1"/>
      <c r="M69" s="1"/>
      <c r="N69" s="1"/>
      <c r="O69" s="1"/>
      <c r="P69" s="1"/>
      <c r="Q69" s="1"/>
    </row>
    <row r="70" spans="1:17" x14ac:dyDescent="0.35">
      <c r="A70" s="1"/>
      <c r="B70" s="1"/>
      <c r="C70" s="1"/>
      <c r="D70" s="1"/>
      <c r="E70" s="1"/>
      <c r="F70" s="1"/>
      <c r="G70" s="1"/>
      <c r="H70" s="1"/>
      <c r="I70" s="1"/>
      <c r="J70" s="1"/>
      <c r="K70" s="1"/>
      <c r="L70" s="1"/>
      <c r="M70" s="1"/>
      <c r="N70" s="1"/>
      <c r="O70" s="1"/>
      <c r="P70" s="1"/>
      <c r="Q70" s="1"/>
    </row>
    <row r="71" spans="1:17" x14ac:dyDescent="0.35">
      <c r="A71" s="1"/>
      <c r="B71" s="1"/>
      <c r="C71" s="1"/>
      <c r="D71" s="1"/>
      <c r="E71" s="1"/>
      <c r="F71" s="1"/>
      <c r="G71" s="1"/>
      <c r="H71" s="1"/>
      <c r="I71" s="1"/>
      <c r="J71" s="1"/>
      <c r="K71" s="1"/>
      <c r="L71" s="1"/>
      <c r="M71" s="1"/>
      <c r="N71" s="1"/>
      <c r="O71" s="1"/>
      <c r="P71" s="1"/>
      <c r="Q71" s="1"/>
    </row>
    <row r="72" spans="1:17" x14ac:dyDescent="0.35">
      <c r="A72" s="1"/>
      <c r="B72" s="1"/>
      <c r="C72" s="1"/>
      <c r="D72" s="1"/>
      <c r="E72" s="1"/>
      <c r="F72" s="1"/>
      <c r="G72" s="1"/>
      <c r="H72" s="1"/>
      <c r="I72" s="1"/>
      <c r="J72" s="1"/>
      <c r="K72" s="1"/>
      <c r="L72" s="1"/>
      <c r="M72" s="1"/>
      <c r="N72" s="1"/>
      <c r="O72" s="1"/>
      <c r="P72" s="1"/>
      <c r="Q72" s="1"/>
    </row>
    <row r="73" spans="1:17" x14ac:dyDescent="0.35">
      <c r="A73" s="1"/>
      <c r="B73" s="1"/>
      <c r="C73" s="1"/>
      <c r="D73" s="1"/>
      <c r="E73" s="1"/>
      <c r="F73" s="1"/>
      <c r="G73" s="1"/>
      <c r="H73" s="1"/>
      <c r="I73" s="1"/>
      <c r="J73" s="1"/>
      <c r="K73" s="1"/>
      <c r="L73" s="1"/>
      <c r="M73" s="1"/>
      <c r="N73" s="1"/>
      <c r="O73" s="1"/>
      <c r="P73" s="1"/>
      <c r="Q73" s="1"/>
    </row>
    <row r="74" spans="1:17" x14ac:dyDescent="0.35">
      <c r="A74" s="1"/>
      <c r="B74" s="1"/>
      <c r="C74" s="1"/>
      <c r="D74" s="1"/>
      <c r="E74" s="1"/>
      <c r="F74" s="1"/>
      <c r="G74" s="1"/>
      <c r="H74" s="1"/>
      <c r="I74" s="1"/>
      <c r="J74" s="1"/>
      <c r="K74" s="1"/>
      <c r="L74" s="1"/>
      <c r="M74" s="1"/>
      <c r="N74" s="1"/>
      <c r="O74" s="1"/>
      <c r="P74" s="1"/>
      <c r="Q74" s="1"/>
    </row>
    <row r="75" spans="1:17" x14ac:dyDescent="0.35">
      <c r="A75" s="1"/>
      <c r="B75" s="1"/>
      <c r="C75" s="1"/>
      <c r="D75" s="1"/>
      <c r="E75" s="1"/>
      <c r="F75" s="1"/>
      <c r="G75" s="1"/>
      <c r="H75" s="1"/>
      <c r="I75" s="1"/>
      <c r="J75" s="1"/>
      <c r="K75" s="1"/>
      <c r="L75" s="1"/>
      <c r="M75" s="1"/>
      <c r="N75" s="1"/>
      <c r="O75" s="1"/>
      <c r="P75" s="1"/>
      <c r="Q75" s="1"/>
    </row>
    <row r="76" spans="1:17" x14ac:dyDescent="0.35">
      <c r="A76" s="1"/>
      <c r="B76" s="1"/>
      <c r="C76" s="1"/>
      <c r="D76" s="1"/>
      <c r="E76" s="1"/>
      <c r="F76" s="1"/>
      <c r="G76" s="1"/>
      <c r="H76" s="1"/>
      <c r="I76" s="1"/>
      <c r="J76" s="1"/>
      <c r="K76" s="1"/>
      <c r="L76" s="1"/>
      <c r="M76" s="1"/>
      <c r="N76" s="1"/>
      <c r="O76" s="1"/>
      <c r="P76" s="1"/>
      <c r="Q76" s="1"/>
    </row>
    <row r="77" spans="1:17" x14ac:dyDescent="0.35">
      <c r="A77" s="1"/>
      <c r="B77" s="1"/>
      <c r="C77" s="1"/>
      <c r="D77" s="1"/>
      <c r="E77" s="1"/>
      <c r="F77" s="1"/>
      <c r="G77" s="1"/>
      <c r="H77" s="1"/>
      <c r="I77" s="1"/>
      <c r="J77" s="1"/>
      <c r="K77" s="1"/>
      <c r="L77" s="1"/>
      <c r="M77" s="1"/>
      <c r="N77" s="1"/>
      <c r="O77" s="1"/>
      <c r="P77" s="1"/>
      <c r="Q77" s="1"/>
    </row>
    <row r="78" spans="1:17" x14ac:dyDescent="0.35">
      <c r="A78" s="1"/>
      <c r="B78" s="1"/>
      <c r="C78" s="1"/>
      <c r="D78" s="1"/>
      <c r="E78" s="1"/>
      <c r="F78" s="1"/>
      <c r="G78" s="1"/>
      <c r="H78" s="1"/>
      <c r="I78" s="1"/>
      <c r="J78" s="1"/>
      <c r="K78" s="1"/>
      <c r="L78" s="1"/>
      <c r="M78" s="1"/>
      <c r="N78" s="1"/>
      <c r="O78" s="1"/>
      <c r="P78" s="1"/>
      <c r="Q78" s="1"/>
    </row>
    <row r="79" spans="1:17" x14ac:dyDescent="0.35">
      <c r="A79" s="1"/>
      <c r="B79" s="1"/>
      <c r="C79" s="1"/>
      <c r="D79" s="1"/>
      <c r="E79" s="1"/>
      <c r="F79" s="1"/>
      <c r="G79" s="1"/>
      <c r="H79" s="1"/>
      <c r="I79" s="1"/>
      <c r="J79" s="1"/>
      <c r="K79" s="1"/>
      <c r="L79" s="1"/>
      <c r="M79" s="1"/>
      <c r="N79" s="1"/>
      <c r="O79" s="1"/>
      <c r="P79" s="1"/>
      <c r="Q79" s="1"/>
    </row>
    <row r="80" spans="1:17" x14ac:dyDescent="0.35">
      <c r="A80" s="1"/>
      <c r="B80" s="1"/>
      <c r="C80" s="1"/>
      <c r="D80" s="1"/>
      <c r="E80" s="1"/>
      <c r="F80" s="1"/>
      <c r="G80" s="1"/>
      <c r="H80" s="1"/>
      <c r="I80" s="1"/>
      <c r="J80" s="1"/>
      <c r="K80" s="1"/>
      <c r="L80" s="1"/>
      <c r="M80" s="1"/>
      <c r="N80" s="1"/>
      <c r="O80" s="1"/>
      <c r="P80" s="1"/>
      <c r="Q80" s="1"/>
    </row>
    <row r="81" spans="1:17" x14ac:dyDescent="0.35">
      <c r="A81" s="1"/>
      <c r="B81" s="1"/>
      <c r="C81" s="1"/>
      <c r="D81" s="1"/>
      <c r="E81" s="1"/>
      <c r="F81" s="1"/>
      <c r="G81" s="1"/>
      <c r="H81" s="1"/>
      <c r="I81" s="1"/>
      <c r="J81" s="1"/>
      <c r="K81" s="1"/>
      <c r="L81" s="1"/>
      <c r="M81" s="1"/>
      <c r="N81" s="1"/>
      <c r="O81" s="1"/>
      <c r="P81" s="1"/>
      <c r="Q81" s="1"/>
    </row>
    <row r="82" spans="1:17" x14ac:dyDescent="0.35">
      <c r="A82" s="1"/>
      <c r="B82" s="1"/>
      <c r="C82" s="1"/>
      <c r="D82" s="1"/>
      <c r="E82" s="1"/>
      <c r="F82" s="1"/>
      <c r="G82" s="1"/>
      <c r="H82" s="1"/>
      <c r="I82" s="1"/>
      <c r="J82" s="1"/>
      <c r="K82" s="1"/>
      <c r="L82" s="1"/>
      <c r="M82" s="1"/>
      <c r="N82" s="1"/>
      <c r="O82" s="1"/>
      <c r="P82" s="1"/>
      <c r="Q82" s="1"/>
    </row>
    <row r="83" spans="1:17" x14ac:dyDescent="0.35">
      <c r="A83" s="1"/>
      <c r="B83" s="1"/>
      <c r="C83" s="1"/>
      <c r="D83" s="1"/>
      <c r="E83" s="1"/>
      <c r="F83" s="1"/>
      <c r="G83" s="1"/>
      <c r="H83" s="1"/>
      <c r="I83" s="1"/>
      <c r="J83" s="1"/>
      <c r="K83" s="1"/>
      <c r="L83" s="1"/>
      <c r="M83" s="1"/>
      <c r="N83" s="1"/>
      <c r="O83" s="1"/>
      <c r="P83" s="1"/>
      <c r="Q83" s="1"/>
    </row>
    <row r="84" spans="1:17" x14ac:dyDescent="0.35">
      <c r="A84" s="1"/>
      <c r="B84" s="1"/>
      <c r="C84" s="1"/>
      <c r="D84" s="1"/>
      <c r="E84" s="1"/>
      <c r="F84" s="1"/>
      <c r="G84" s="1"/>
      <c r="H84" s="1"/>
      <c r="I84" s="1"/>
      <c r="J84" s="1"/>
      <c r="K84" s="1"/>
      <c r="L84" s="1"/>
      <c r="M84" s="1"/>
      <c r="N84" s="1"/>
      <c r="O84" s="1"/>
      <c r="P84" s="1"/>
      <c r="Q84" s="1"/>
    </row>
    <row r="85" spans="1:17" x14ac:dyDescent="0.35">
      <c r="A85" s="1"/>
      <c r="B85" s="1"/>
      <c r="C85" s="1"/>
      <c r="D85" s="1"/>
      <c r="E85" s="1"/>
      <c r="F85" s="1"/>
      <c r="G85" s="1"/>
      <c r="H85" s="1"/>
      <c r="I85" s="1"/>
      <c r="J85" s="1"/>
      <c r="K85" s="1"/>
      <c r="L85" s="1"/>
      <c r="M85" s="1"/>
      <c r="N85" s="1"/>
      <c r="O85" s="1"/>
      <c r="P85" s="1"/>
      <c r="Q85" s="1"/>
    </row>
    <row r="86" spans="1:17" x14ac:dyDescent="0.35">
      <c r="A86" s="1"/>
      <c r="B86" s="1"/>
      <c r="C86" s="1"/>
      <c r="D86" s="1"/>
      <c r="E86" s="1"/>
      <c r="F86" s="1"/>
      <c r="G86" s="1"/>
      <c r="H86" s="1"/>
      <c r="I86" s="1"/>
      <c r="J86" s="1"/>
      <c r="K86" s="1"/>
      <c r="L86" s="1"/>
      <c r="M86" s="1"/>
      <c r="N86" s="1"/>
      <c r="O86" s="1"/>
      <c r="P86" s="1"/>
      <c r="Q86" s="1"/>
    </row>
    <row r="87" spans="1:17" x14ac:dyDescent="0.35">
      <c r="A87" s="1"/>
      <c r="B87" s="1"/>
      <c r="C87" s="1"/>
      <c r="D87" s="1"/>
      <c r="E87" s="1"/>
      <c r="F87" s="1"/>
      <c r="G87" s="1"/>
      <c r="H87" s="1"/>
      <c r="I87" s="1"/>
      <c r="J87" s="1"/>
      <c r="K87" s="1"/>
      <c r="L87" s="1"/>
      <c r="M87" s="1"/>
      <c r="N87" s="1"/>
      <c r="O87" s="1"/>
      <c r="P87" s="1"/>
      <c r="Q87" s="1"/>
    </row>
    <row r="88" spans="1:17" x14ac:dyDescent="0.35">
      <c r="A88" s="1"/>
      <c r="B88" s="1"/>
      <c r="C88" s="1"/>
      <c r="D88" s="1"/>
      <c r="E88" s="1"/>
      <c r="F88" s="1"/>
      <c r="G88" s="1"/>
      <c r="H88" s="1"/>
      <c r="I88" s="1"/>
      <c r="J88" s="1"/>
      <c r="K88" s="1"/>
      <c r="L88" s="1"/>
      <c r="M88" s="1"/>
      <c r="N88" s="1"/>
      <c r="O88" s="1"/>
      <c r="P88" s="1"/>
      <c r="Q88" s="1"/>
    </row>
    <row r="89" spans="1:17" x14ac:dyDescent="0.35">
      <c r="A89" s="1"/>
      <c r="B89" s="1"/>
      <c r="C89" s="1"/>
      <c r="D89" s="1"/>
      <c r="E89" s="1"/>
      <c r="F89" s="1"/>
      <c r="G89" s="1"/>
      <c r="H89" s="1"/>
      <c r="I89" s="1"/>
      <c r="J89" s="1"/>
      <c r="K89" s="1"/>
      <c r="L89" s="1"/>
      <c r="M89" s="1"/>
      <c r="N89" s="1"/>
      <c r="O89" s="1"/>
      <c r="P89" s="1"/>
      <c r="Q89" s="1"/>
    </row>
    <row r="90" spans="1:17" x14ac:dyDescent="0.35">
      <c r="A90" s="1"/>
      <c r="B90" s="1"/>
      <c r="C90" s="1"/>
      <c r="D90" s="1"/>
      <c r="E90" s="1"/>
      <c r="F90" s="1"/>
      <c r="G90" s="1"/>
      <c r="H90" s="1"/>
      <c r="I90" s="1"/>
      <c r="J90" s="1"/>
      <c r="K90" s="1"/>
      <c r="L90" s="1"/>
      <c r="M90" s="1"/>
      <c r="N90" s="1"/>
      <c r="O90" s="1"/>
      <c r="P90" s="1"/>
      <c r="Q90" s="1"/>
    </row>
    <row r="91" spans="1:17" x14ac:dyDescent="0.35">
      <c r="A91" s="1"/>
      <c r="B91" s="1"/>
      <c r="C91" s="1"/>
      <c r="D91" s="1"/>
      <c r="E91" s="1"/>
      <c r="F91" s="1"/>
      <c r="G91" s="1"/>
      <c r="H91" s="1"/>
      <c r="I91" s="1"/>
      <c r="J91" s="1"/>
      <c r="K91" s="1"/>
      <c r="L91" s="1"/>
      <c r="M91" s="1"/>
      <c r="N91" s="1"/>
      <c r="O91" s="1"/>
      <c r="P91" s="1"/>
      <c r="Q91" s="1"/>
    </row>
    <row r="92" spans="1:17" x14ac:dyDescent="0.35">
      <c r="A92" s="1"/>
      <c r="B92" s="1"/>
      <c r="C92" s="1"/>
      <c r="D92" s="1"/>
      <c r="E92" s="1"/>
      <c r="F92" s="1"/>
      <c r="G92" s="1"/>
      <c r="H92" s="1"/>
      <c r="I92" s="1"/>
      <c r="J92" s="1"/>
      <c r="K92" s="1"/>
      <c r="L92" s="1"/>
      <c r="M92" s="1"/>
      <c r="N92" s="1"/>
      <c r="O92" s="1"/>
      <c r="P92" s="1"/>
      <c r="Q92" s="1"/>
    </row>
    <row r="93" spans="1:17" x14ac:dyDescent="0.35">
      <c r="A93" s="1"/>
      <c r="B93" s="1"/>
      <c r="C93" s="1"/>
      <c r="D93" s="1"/>
      <c r="E93" s="1"/>
      <c r="F93" s="1"/>
      <c r="G93" s="1"/>
      <c r="H93" s="1"/>
      <c r="I93" s="1"/>
      <c r="J93" s="1"/>
      <c r="K93" s="1"/>
      <c r="L93" s="1"/>
      <c r="M93" s="1"/>
      <c r="N93" s="1"/>
      <c r="O93" s="1"/>
      <c r="P93" s="1"/>
      <c r="Q93" s="1"/>
    </row>
    <row r="94" spans="1:17" x14ac:dyDescent="0.35">
      <c r="A94" s="1"/>
      <c r="B94" s="1"/>
      <c r="C94" s="1"/>
      <c r="D94" s="1"/>
      <c r="E94" s="1"/>
      <c r="F94" s="1"/>
      <c r="G94" s="1"/>
      <c r="H94" s="1"/>
      <c r="I94" s="1"/>
      <c r="J94" s="1"/>
      <c r="K94" s="1"/>
      <c r="L94" s="1"/>
      <c r="M94" s="1"/>
      <c r="N94" s="1"/>
      <c r="O94" s="1"/>
      <c r="P94" s="1"/>
      <c r="Q94" s="1"/>
    </row>
    <row r="95" spans="1:17" x14ac:dyDescent="0.35">
      <c r="A95" s="1"/>
      <c r="B95" s="1"/>
      <c r="C95" s="1"/>
      <c r="D95" s="1"/>
      <c r="E95" s="1"/>
      <c r="F95" s="1"/>
      <c r="G95" s="1"/>
      <c r="H95" s="1"/>
      <c r="I95" s="1"/>
      <c r="J95" s="1"/>
      <c r="K95" s="1"/>
      <c r="L95" s="1"/>
      <c r="M95" s="1"/>
      <c r="N95" s="1"/>
      <c r="O95" s="1"/>
      <c r="P95" s="1"/>
      <c r="Q95" s="1"/>
    </row>
    <row r="96" spans="1:17" x14ac:dyDescent="0.35">
      <c r="A96" s="1"/>
      <c r="B96" s="1"/>
      <c r="C96" s="1"/>
      <c r="D96" s="1"/>
      <c r="E96" s="1"/>
      <c r="F96" s="1"/>
      <c r="G96" s="1"/>
      <c r="H96" s="1"/>
      <c r="I96" s="1"/>
      <c r="J96" s="1"/>
      <c r="K96" s="1"/>
      <c r="L96" s="1"/>
      <c r="M96" s="1"/>
      <c r="N96" s="1"/>
      <c r="O96" s="1"/>
      <c r="P96" s="1"/>
      <c r="Q96" s="1"/>
    </row>
    <row r="97" spans="1:17" x14ac:dyDescent="0.35">
      <c r="A97" s="1"/>
      <c r="B97" s="1"/>
      <c r="C97" s="1"/>
      <c r="D97" s="1"/>
      <c r="E97" s="1"/>
      <c r="F97" s="1"/>
      <c r="G97" s="1"/>
      <c r="H97" s="1"/>
      <c r="I97" s="1"/>
      <c r="J97" s="1"/>
      <c r="K97" s="1"/>
      <c r="L97" s="1"/>
      <c r="M97" s="1"/>
      <c r="N97" s="1"/>
      <c r="O97" s="1"/>
      <c r="P97" s="1"/>
      <c r="Q97" s="1"/>
    </row>
    <row r="98" spans="1:17" x14ac:dyDescent="0.35">
      <c r="A98" s="1"/>
      <c r="B98" s="1"/>
      <c r="C98" s="1"/>
      <c r="D98" s="1"/>
      <c r="E98" s="1"/>
      <c r="F98" s="1"/>
      <c r="G98" s="1"/>
      <c r="H98" s="1"/>
      <c r="I98" s="1"/>
      <c r="J98" s="1"/>
      <c r="K98" s="1"/>
      <c r="L98" s="1"/>
      <c r="M98" s="1"/>
      <c r="N98" s="1"/>
      <c r="O98" s="1"/>
      <c r="P98" s="1"/>
      <c r="Q98" s="1"/>
    </row>
    <row r="99" spans="1:17" x14ac:dyDescent="0.35">
      <c r="A99" s="1"/>
      <c r="B99" s="1"/>
      <c r="C99" s="1"/>
      <c r="D99" s="1"/>
      <c r="E99" s="1"/>
      <c r="F99" s="1"/>
      <c r="G99" s="1"/>
      <c r="H99" s="1"/>
      <c r="I99" s="1"/>
      <c r="J99" s="1"/>
      <c r="K99" s="1"/>
      <c r="L99" s="1"/>
      <c r="M99" s="1"/>
      <c r="N99" s="1"/>
      <c r="O99" s="1"/>
      <c r="P99" s="1"/>
      <c r="Q99" s="1"/>
    </row>
    <row r="100" spans="1:17" x14ac:dyDescent="0.35">
      <c r="A100" s="1"/>
      <c r="B100" s="1"/>
      <c r="C100" s="1"/>
      <c r="D100" s="1"/>
      <c r="E100" s="1"/>
      <c r="F100" s="1"/>
      <c r="G100" s="1"/>
      <c r="H100" s="1"/>
      <c r="I100" s="1"/>
      <c r="J100" s="1"/>
      <c r="K100" s="1"/>
      <c r="L100" s="1"/>
      <c r="M100" s="1"/>
      <c r="N100" s="1"/>
      <c r="O100" s="1"/>
      <c r="P100" s="1"/>
      <c r="Q100" s="1"/>
    </row>
    <row r="101" spans="1:17" x14ac:dyDescent="0.35">
      <c r="A101" s="1"/>
      <c r="B101" s="1"/>
      <c r="C101" s="1"/>
      <c r="D101" s="1"/>
      <c r="E101" s="1"/>
      <c r="F101" s="1"/>
      <c r="G101" s="1"/>
      <c r="H101" s="1"/>
      <c r="I101" s="1"/>
      <c r="J101" s="1"/>
      <c r="K101" s="1"/>
      <c r="L101" s="1"/>
      <c r="M101" s="1"/>
      <c r="N101" s="1"/>
      <c r="O101" s="1"/>
      <c r="P101" s="1"/>
      <c r="Q101" s="1"/>
    </row>
    <row r="102" spans="1:17" x14ac:dyDescent="0.35">
      <c r="A102" s="1"/>
      <c r="B102" s="1"/>
      <c r="C102" s="1"/>
      <c r="D102" s="1"/>
      <c r="E102" s="1"/>
      <c r="F102" s="1"/>
      <c r="G102" s="1"/>
      <c r="H102" s="1"/>
      <c r="I102" s="1"/>
      <c r="J102" s="1"/>
      <c r="K102" s="1"/>
      <c r="L102" s="1"/>
      <c r="M102" s="1"/>
      <c r="N102" s="1"/>
      <c r="O102" s="1"/>
      <c r="P102" s="1"/>
      <c r="Q102" s="1"/>
    </row>
    <row r="103" spans="1:17" x14ac:dyDescent="0.35">
      <c r="A103" s="1"/>
      <c r="B103" s="1"/>
      <c r="C103" s="1"/>
      <c r="D103" s="1"/>
      <c r="E103" s="1"/>
      <c r="F103" s="1"/>
      <c r="G103" s="1"/>
      <c r="H103" s="1"/>
      <c r="I103" s="1"/>
      <c r="J103" s="1"/>
      <c r="K103" s="1"/>
      <c r="L103" s="1"/>
      <c r="M103" s="1"/>
      <c r="N103" s="1"/>
      <c r="O103" s="1"/>
      <c r="P103" s="1"/>
      <c r="Q103" s="1"/>
    </row>
    <row r="104" spans="1:17" x14ac:dyDescent="0.35">
      <c r="A104" s="1"/>
      <c r="B104" s="1"/>
      <c r="C104" s="1"/>
      <c r="D104" s="1"/>
      <c r="E104" s="1"/>
      <c r="F104" s="1"/>
      <c r="G104" s="1"/>
      <c r="H104" s="1"/>
      <c r="I104" s="1"/>
      <c r="J104" s="1"/>
      <c r="K104" s="1"/>
      <c r="L104" s="1"/>
      <c r="M104" s="1"/>
      <c r="N104" s="1"/>
      <c r="O104" s="1"/>
      <c r="P104" s="1"/>
      <c r="Q104" s="1"/>
    </row>
    <row r="105" spans="1:17" x14ac:dyDescent="0.35">
      <c r="A105" s="1"/>
      <c r="B105" s="1"/>
      <c r="C105" s="1"/>
      <c r="D105" s="1"/>
      <c r="E105" s="1"/>
      <c r="F105" s="1"/>
      <c r="G105" s="1"/>
      <c r="H105" s="1"/>
      <c r="I105" s="1"/>
      <c r="J105" s="1"/>
      <c r="K105" s="1"/>
      <c r="L105" s="1"/>
      <c r="M105" s="1"/>
      <c r="N105" s="1"/>
      <c r="O105" s="1"/>
      <c r="P105" s="1"/>
      <c r="Q105" s="1"/>
    </row>
    <row r="106" spans="1:17" x14ac:dyDescent="0.35">
      <c r="A106" s="1"/>
      <c r="B106" s="1"/>
      <c r="C106" s="1"/>
      <c r="D106" s="1"/>
      <c r="E106" s="1"/>
      <c r="F106" s="1"/>
      <c r="G106" s="1"/>
      <c r="H106" s="1"/>
      <c r="I106" s="1"/>
      <c r="J106" s="1"/>
      <c r="K106" s="1"/>
      <c r="L106" s="1"/>
      <c r="M106" s="1"/>
      <c r="N106" s="1"/>
      <c r="O106" s="1"/>
      <c r="P106" s="1"/>
      <c r="Q106" s="1"/>
    </row>
    <row r="107" spans="1:17" x14ac:dyDescent="0.35">
      <c r="A107" s="1"/>
      <c r="B107" s="1"/>
      <c r="C107" s="1"/>
      <c r="D107" s="1"/>
      <c r="E107" s="1"/>
      <c r="F107" s="1"/>
      <c r="G107" s="1"/>
      <c r="H107" s="1"/>
      <c r="I107" s="1"/>
      <c r="J107" s="1"/>
      <c r="K107" s="1"/>
      <c r="L107" s="1"/>
      <c r="M107" s="1"/>
      <c r="N107" s="1"/>
      <c r="O107" s="1"/>
      <c r="P107" s="1"/>
      <c r="Q107" s="1"/>
    </row>
    <row r="108" spans="1:17" x14ac:dyDescent="0.35">
      <c r="A108" s="1"/>
      <c r="B108" s="1"/>
      <c r="C108" s="1"/>
      <c r="D108" s="1"/>
      <c r="E108" s="1"/>
      <c r="F108" s="1"/>
      <c r="G108" s="1"/>
      <c r="H108" s="1"/>
      <c r="I108" s="1"/>
      <c r="J108" s="1"/>
      <c r="K108" s="1"/>
      <c r="L108" s="1"/>
      <c r="M108" s="1"/>
      <c r="N108" s="1"/>
      <c r="O108" s="1"/>
      <c r="P108" s="1"/>
      <c r="Q108" s="1"/>
    </row>
    <row r="109" spans="1:17" x14ac:dyDescent="0.35">
      <c r="A109" s="1"/>
      <c r="B109" s="1"/>
      <c r="C109" s="1"/>
      <c r="D109" s="1"/>
      <c r="E109" s="1"/>
      <c r="F109" s="1"/>
      <c r="G109" s="1"/>
      <c r="H109" s="1"/>
      <c r="I109" s="1"/>
      <c r="J109" s="1"/>
      <c r="K109" s="1"/>
      <c r="L109" s="1"/>
      <c r="M109" s="1"/>
      <c r="N109" s="1"/>
      <c r="O109" s="1"/>
      <c r="P109" s="1"/>
      <c r="Q109" s="1"/>
    </row>
    <row r="110" spans="1:17" x14ac:dyDescent="0.35">
      <c r="A110" s="1"/>
      <c r="B110" s="1"/>
      <c r="C110" s="1"/>
      <c r="D110" s="1"/>
      <c r="E110" s="1"/>
      <c r="F110" s="1"/>
      <c r="G110" s="1"/>
      <c r="H110" s="1"/>
      <c r="I110" s="1"/>
      <c r="J110" s="1"/>
      <c r="K110" s="1"/>
      <c r="L110" s="1"/>
      <c r="M110" s="1"/>
      <c r="N110" s="1"/>
      <c r="O110" s="1"/>
      <c r="P110" s="1"/>
      <c r="Q110" s="1"/>
    </row>
    <row r="111" spans="1:17" x14ac:dyDescent="0.35">
      <c r="A111" s="1"/>
      <c r="B111" s="1"/>
      <c r="C111" s="1"/>
      <c r="D111" s="1"/>
      <c r="E111" s="1"/>
      <c r="F111" s="1"/>
      <c r="G111" s="1"/>
      <c r="H111" s="1"/>
      <c r="I111" s="1"/>
      <c r="J111" s="1"/>
      <c r="K111" s="1"/>
      <c r="L111" s="1"/>
      <c r="M111" s="1"/>
      <c r="N111" s="1"/>
      <c r="O111" s="1"/>
      <c r="P111" s="1"/>
      <c r="Q111" s="1"/>
    </row>
    <row r="112" spans="1:17" x14ac:dyDescent="0.35">
      <c r="A112" s="1"/>
      <c r="B112" s="1"/>
      <c r="C112" s="1"/>
      <c r="D112" s="1"/>
      <c r="E112" s="1"/>
      <c r="F112" s="1"/>
      <c r="G112" s="1"/>
      <c r="H112" s="1"/>
      <c r="I112" s="1"/>
      <c r="J112" s="1"/>
      <c r="K112" s="1"/>
      <c r="L112" s="1"/>
      <c r="M112" s="1"/>
      <c r="N112" s="1"/>
      <c r="O112" s="1"/>
      <c r="P112" s="1"/>
      <c r="Q112" s="1"/>
    </row>
    <row r="113" spans="1:17" x14ac:dyDescent="0.35">
      <c r="A113" s="1"/>
      <c r="B113" s="1"/>
      <c r="C113" s="1"/>
      <c r="D113" s="1"/>
      <c r="E113" s="1"/>
      <c r="F113" s="1"/>
      <c r="G113" s="1"/>
      <c r="H113" s="1"/>
      <c r="I113" s="1"/>
      <c r="J113" s="1"/>
      <c r="K113" s="1"/>
      <c r="L113" s="1"/>
      <c r="M113" s="1"/>
      <c r="N113" s="1"/>
      <c r="O113" s="1"/>
      <c r="P113" s="1"/>
      <c r="Q113" s="1"/>
    </row>
    <row r="114" spans="1:17" x14ac:dyDescent="0.35">
      <c r="A114" s="1"/>
      <c r="B114" s="1"/>
      <c r="C114" s="1"/>
      <c r="D114" s="1"/>
      <c r="E114" s="1"/>
      <c r="F114" s="1"/>
      <c r="G114" s="1"/>
      <c r="H114" s="1"/>
      <c r="I114" s="1"/>
      <c r="J114" s="1"/>
      <c r="K114" s="1"/>
      <c r="L114" s="1"/>
      <c r="M114" s="1"/>
      <c r="N114" s="1"/>
      <c r="O114" s="1"/>
      <c r="P114" s="1"/>
      <c r="Q114" s="1"/>
    </row>
    <row r="115" spans="1:17" x14ac:dyDescent="0.35">
      <c r="A115" s="1"/>
      <c r="B115" s="1"/>
      <c r="C115" s="1"/>
      <c r="D115" s="1"/>
      <c r="E115" s="1"/>
      <c r="F115" s="1"/>
      <c r="G115" s="1"/>
      <c r="H115" s="1"/>
      <c r="I115" s="1"/>
      <c r="J115" s="1"/>
      <c r="K115" s="1"/>
      <c r="L115" s="1"/>
      <c r="M115" s="1"/>
      <c r="N115" s="1"/>
      <c r="O115" s="1"/>
      <c r="P115" s="1"/>
      <c r="Q115" s="1"/>
    </row>
    <row r="116" spans="1:17" x14ac:dyDescent="0.35">
      <c r="A116" s="1"/>
      <c r="B116" s="1"/>
      <c r="C116" s="1"/>
      <c r="D116" s="1"/>
      <c r="E116" s="1"/>
      <c r="F116" s="1"/>
      <c r="G116" s="1"/>
      <c r="H116" s="1"/>
      <c r="I116" s="1"/>
      <c r="J116" s="1"/>
      <c r="K116" s="1"/>
      <c r="L116" s="1"/>
      <c r="M116" s="1"/>
      <c r="N116" s="1"/>
      <c r="O116" s="1"/>
      <c r="P116" s="1"/>
      <c r="Q116" s="1"/>
    </row>
    <row r="117" spans="1:17" x14ac:dyDescent="0.35">
      <c r="A117" s="1"/>
      <c r="B117" s="1"/>
      <c r="C117" s="1"/>
      <c r="D117" s="1"/>
      <c r="E117" s="1"/>
      <c r="F117" s="1"/>
      <c r="G117" s="1"/>
      <c r="H117" s="1"/>
      <c r="I117" s="1"/>
      <c r="J117" s="1"/>
      <c r="K117" s="1"/>
      <c r="L117" s="1"/>
      <c r="M117" s="1"/>
      <c r="N117" s="1"/>
      <c r="O117" s="1"/>
      <c r="P117" s="1"/>
      <c r="Q117" s="1"/>
    </row>
    <row r="118" spans="1:17" x14ac:dyDescent="0.35">
      <c r="A118" s="1"/>
      <c r="B118" s="1"/>
      <c r="C118" s="1"/>
      <c r="D118" s="1"/>
      <c r="E118" s="1"/>
      <c r="F118" s="1"/>
      <c r="G118" s="1"/>
      <c r="H118" s="1"/>
      <c r="I118" s="1"/>
      <c r="J118" s="1"/>
      <c r="K118" s="1"/>
      <c r="L118" s="1"/>
      <c r="M118" s="1"/>
      <c r="N118" s="1"/>
      <c r="O118" s="1"/>
      <c r="P118" s="1"/>
      <c r="Q118" s="1"/>
    </row>
    <row r="119" spans="1:17" x14ac:dyDescent="0.35">
      <c r="A119" s="1"/>
      <c r="B119" s="1"/>
      <c r="C119" s="1"/>
      <c r="D119" s="1"/>
      <c r="E119" s="1"/>
      <c r="F119" s="1"/>
      <c r="G119" s="1"/>
      <c r="H119" s="1"/>
      <c r="I119" s="1"/>
      <c r="J119" s="1"/>
      <c r="K119" s="1"/>
      <c r="L119" s="1"/>
      <c r="M119" s="1"/>
      <c r="N119" s="1"/>
      <c r="O119" s="1"/>
      <c r="P119" s="1"/>
      <c r="Q119" s="1"/>
    </row>
    <row r="120" spans="1:17" x14ac:dyDescent="0.35">
      <c r="A120" s="1"/>
      <c r="B120" s="1"/>
      <c r="C120" s="1"/>
      <c r="D120" s="1"/>
      <c r="E120" s="1"/>
      <c r="F120" s="1"/>
      <c r="G120" s="1"/>
      <c r="H120" s="1"/>
      <c r="I120" s="1"/>
      <c r="J120" s="1"/>
      <c r="K120" s="1"/>
      <c r="L120" s="1"/>
      <c r="M120" s="1"/>
      <c r="N120" s="1"/>
      <c r="O120" s="1"/>
      <c r="P120" s="1"/>
      <c r="Q120" s="1"/>
    </row>
    <row r="121" spans="1:17" x14ac:dyDescent="0.35">
      <c r="A121" s="1"/>
      <c r="B121" s="1"/>
      <c r="C121" s="1"/>
      <c r="D121" s="1"/>
      <c r="E121" s="1"/>
      <c r="F121" s="1"/>
      <c r="G121" s="1"/>
      <c r="H121" s="1"/>
      <c r="I121" s="1"/>
      <c r="J121" s="1"/>
      <c r="K121" s="1"/>
      <c r="L121" s="1"/>
      <c r="M121" s="1"/>
      <c r="N121" s="1"/>
      <c r="O121" s="1"/>
      <c r="P121" s="1"/>
      <c r="Q121" s="1"/>
    </row>
    <row r="122" spans="1:17" x14ac:dyDescent="0.35">
      <c r="A122" s="1"/>
      <c r="B122" s="1"/>
      <c r="C122" s="1"/>
      <c r="D122" s="1"/>
      <c r="E122" s="1"/>
      <c r="F122" s="1"/>
      <c r="G122" s="1"/>
      <c r="H122" s="1"/>
      <c r="I122" s="1"/>
      <c r="J122" s="1"/>
      <c r="K122" s="1"/>
      <c r="L122" s="1"/>
      <c r="M122" s="1"/>
      <c r="N122" s="1"/>
      <c r="O122" s="1"/>
      <c r="P122" s="1"/>
      <c r="Q122" s="1"/>
    </row>
    <row r="123" spans="1:17" x14ac:dyDescent="0.35">
      <c r="A123" s="1"/>
      <c r="B123" s="1"/>
      <c r="C123" s="1"/>
      <c r="D123" s="1"/>
      <c r="E123" s="1"/>
      <c r="F123" s="1"/>
      <c r="G123" s="1"/>
      <c r="H123" s="1"/>
      <c r="I123" s="1"/>
      <c r="J123" s="1"/>
      <c r="K123" s="1"/>
      <c r="L123" s="1"/>
      <c r="M123" s="1"/>
      <c r="N123" s="1"/>
      <c r="O123" s="1"/>
      <c r="P123" s="1"/>
      <c r="Q123" s="1"/>
    </row>
    <row r="124" spans="1:17" x14ac:dyDescent="0.35">
      <c r="A124" s="1"/>
      <c r="B124" s="1"/>
      <c r="C124" s="1"/>
      <c r="D124" s="1"/>
      <c r="E124" s="1"/>
      <c r="F124" s="1"/>
      <c r="G124" s="1"/>
      <c r="H124" s="1"/>
      <c r="I124" s="1"/>
      <c r="J124" s="1"/>
      <c r="K124" s="1"/>
      <c r="L124" s="1"/>
      <c r="M124" s="1"/>
      <c r="N124" s="1"/>
      <c r="O124" s="1"/>
      <c r="P124" s="1"/>
      <c r="Q124" s="1"/>
    </row>
    <row r="125" spans="1:17" x14ac:dyDescent="0.35">
      <c r="A125" s="1"/>
      <c r="B125" s="1"/>
      <c r="C125" s="1"/>
      <c r="D125" s="1"/>
      <c r="E125" s="1"/>
      <c r="F125" s="1"/>
      <c r="G125" s="1"/>
      <c r="H125" s="1"/>
      <c r="I125" s="1"/>
      <c r="J125" s="1"/>
      <c r="K125" s="1"/>
      <c r="L125" s="1"/>
      <c r="M125" s="1"/>
      <c r="N125" s="1"/>
      <c r="O125" s="1"/>
      <c r="P125" s="1"/>
      <c r="Q125" s="1"/>
    </row>
    <row r="126" spans="1:17" x14ac:dyDescent="0.35">
      <c r="A126" s="1"/>
      <c r="B126" s="1"/>
      <c r="C126" s="1"/>
      <c r="D126" s="1"/>
      <c r="E126" s="1"/>
      <c r="F126" s="1"/>
      <c r="G126" s="1"/>
      <c r="H126" s="1"/>
      <c r="I126" s="1"/>
      <c r="J126" s="1"/>
      <c r="K126" s="1"/>
      <c r="L126" s="1"/>
      <c r="M126" s="1"/>
      <c r="N126" s="1"/>
      <c r="O126" s="1"/>
      <c r="P126" s="1"/>
      <c r="Q126" s="1"/>
    </row>
    <row r="127" spans="1:17" x14ac:dyDescent="0.35">
      <c r="A127" s="1"/>
      <c r="B127" s="1"/>
      <c r="C127" s="1"/>
      <c r="D127" s="1"/>
      <c r="E127" s="1"/>
      <c r="F127" s="1"/>
      <c r="G127" s="1"/>
      <c r="H127" s="1"/>
      <c r="I127" s="1"/>
      <c r="J127" s="1"/>
      <c r="K127" s="1"/>
      <c r="L127" s="1"/>
      <c r="M127" s="1"/>
      <c r="N127" s="1"/>
      <c r="O127" s="1"/>
      <c r="P127" s="1"/>
      <c r="Q127" s="1"/>
    </row>
    <row r="128" spans="1:17" x14ac:dyDescent="0.35">
      <c r="A128" s="1"/>
      <c r="B128" s="1"/>
      <c r="C128" s="1"/>
      <c r="D128" s="1"/>
      <c r="E128" s="1"/>
      <c r="F128" s="1"/>
      <c r="G128" s="1"/>
      <c r="H128" s="1"/>
      <c r="I128" s="1"/>
      <c r="J128" s="1"/>
      <c r="K128" s="1"/>
      <c r="L128" s="1"/>
      <c r="M128" s="1"/>
      <c r="N128" s="1"/>
      <c r="O128" s="1"/>
      <c r="P128" s="1"/>
      <c r="Q128" s="1"/>
    </row>
    <row r="129" spans="1:17" x14ac:dyDescent="0.35">
      <c r="A129" s="1"/>
      <c r="B129" s="1"/>
      <c r="C129" s="1"/>
      <c r="D129" s="1"/>
      <c r="E129" s="1"/>
      <c r="F129" s="1"/>
      <c r="G129" s="1"/>
      <c r="H129" s="1"/>
      <c r="I129" s="1"/>
      <c r="J129" s="1"/>
      <c r="K129" s="1"/>
      <c r="L129" s="1"/>
      <c r="M129" s="1"/>
      <c r="N129" s="1"/>
      <c r="O129" s="1"/>
      <c r="P129" s="1"/>
      <c r="Q129" s="1"/>
    </row>
    <row r="130" spans="1:17" x14ac:dyDescent="0.35">
      <c r="A130" s="1"/>
      <c r="B130" s="1"/>
      <c r="C130" s="1"/>
      <c r="D130" s="1"/>
      <c r="E130" s="1"/>
      <c r="F130" s="1"/>
      <c r="G130" s="1"/>
      <c r="H130" s="1"/>
      <c r="I130" s="1"/>
      <c r="J130" s="1"/>
      <c r="K130" s="1"/>
      <c r="L130" s="1"/>
      <c r="M130" s="1"/>
      <c r="N130" s="1"/>
      <c r="O130" s="1"/>
      <c r="P130" s="1"/>
      <c r="Q130" s="1"/>
    </row>
    <row r="131" spans="1:17" x14ac:dyDescent="0.35">
      <c r="A131" s="1"/>
      <c r="B131" s="1"/>
      <c r="C131" s="1"/>
      <c r="D131" s="1"/>
      <c r="E131" s="1"/>
      <c r="F131" s="1"/>
      <c r="G131" s="1"/>
      <c r="H131" s="1"/>
      <c r="I131" s="1"/>
      <c r="J131" s="1"/>
      <c r="K131" s="1"/>
      <c r="L131" s="1"/>
      <c r="M131" s="1"/>
      <c r="N131" s="1"/>
      <c r="O131" s="1"/>
      <c r="P131" s="1"/>
      <c r="Q131" s="1"/>
    </row>
    <row r="132" spans="1:17" x14ac:dyDescent="0.35">
      <c r="A132" s="1"/>
      <c r="B132" s="1"/>
      <c r="C132" s="1"/>
      <c r="D132" s="1"/>
      <c r="E132" s="1"/>
      <c r="F132" s="1"/>
      <c r="G132" s="1"/>
      <c r="H132" s="1"/>
      <c r="I132" s="1"/>
      <c r="J132" s="1"/>
      <c r="K132" s="1"/>
      <c r="L132" s="1"/>
      <c r="M132" s="1"/>
      <c r="N132" s="1"/>
      <c r="O132" s="1"/>
      <c r="P132" s="1"/>
      <c r="Q132" s="1"/>
    </row>
    <row r="133" spans="1:17" x14ac:dyDescent="0.35">
      <c r="A133" s="1"/>
      <c r="B133" s="1"/>
      <c r="C133" s="1"/>
      <c r="D133" s="1"/>
      <c r="E133" s="1"/>
      <c r="F133" s="1"/>
      <c r="G133" s="1"/>
      <c r="H133" s="1"/>
      <c r="I133" s="1"/>
      <c r="J133" s="1"/>
      <c r="K133" s="1"/>
      <c r="L133" s="1"/>
      <c r="M133" s="1"/>
      <c r="N133" s="1"/>
      <c r="O133" s="1"/>
      <c r="P133" s="1"/>
      <c r="Q133" s="1"/>
    </row>
    <row r="134" spans="1:17" x14ac:dyDescent="0.35">
      <c r="A134" s="1"/>
      <c r="B134" s="1"/>
      <c r="C134" s="1"/>
      <c r="D134" s="1"/>
      <c r="E134" s="1"/>
      <c r="F134" s="1"/>
      <c r="G134" s="1"/>
      <c r="H134" s="1"/>
      <c r="I134" s="1"/>
      <c r="J134" s="1"/>
      <c r="K134" s="1"/>
      <c r="L134" s="1"/>
      <c r="M134" s="1"/>
      <c r="N134" s="1"/>
      <c r="O134" s="1"/>
      <c r="P134" s="1"/>
      <c r="Q134" s="1"/>
    </row>
    <row r="135" spans="1:17" x14ac:dyDescent="0.35">
      <c r="A135" s="1"/>
      <c r="B135" s="1"/>
      <c r="C135" s="1"/>
      <c r="D135" s="1"/>
      <c r="E135" s="1"/>
      <c r="F135" s="1"/>
      <c r="G135" s="1"/>
      <c r="H135" s="1"/>
      <c r="I135" s="1"/>
      <c r="J135" s="1"/>
      <c r="K135" s="1"/>
      <c r="L135" s="1"/>
      <c r="M135" s="1"/>
      <c r="N135" s="1"/>
      <c r="O135" s="1"/>
      <c r="P135" s="1"/>
      <c r="Q135" s="1"/>
    </row>
    <row r="136" spans="1:17" x14ac:dyDescent="0.35">
      <c r="A136" s="1"/>
      <c r="B136" s="1"/>
      <c r="C136" s="1"/>
      <c r="D136" s="1"/>
      <c r="E136" s="1"/>
      <c r="F136" s="1"/>
      <c r="G136" s="1"/>
      <c r="H136" s="1"/>
      <c r="I136" s="1"/>
      <c r="J136" s="1"/>
      <c r="K136" s="1"/>
      <c r="L136" s="1"/>
      <c r="M136" s="1"/>
      <c r="N136" s="1"/>
      <c r="O136" s="1"/>
      <c r="P136" s="1"/>
      <c r="Q136" s="1"/>
    </row>
    <row r="137" spans="1:17" x14ac:dyDescent="0.35">
      <c r="A137" s="1"/>
      <c r="B137" s="1"/>
      <c r="C137" s="1"/>
      <c r="D137" s="1"/>
      <c r="E137" s="1"/>
      <c r="F137" s="1"/>
      <c r="G137" s="1"/>
      <c r="H137" s="1"/>
      <c r="I137" s="1"/>
      <c r="J137" s="1"/>
      <c r="K137" s="1"/>
      <c r="L137" s="1"/>
      <c r="M137" s="1"/>
      <c r="N137" s="1"/>
      <c r="O137" s="1"/>
      <c r="P137" s="1"/>
      <c r="Q137" s="1"/>
    </row>
    <row r="138" spans="1:17" x14ac:dyDescent="0.35">
      <c r="A138" s="1"/>
      <c r="B138" s="1"/>
      <c r="C138" s="1"/>
      <c r="D138" s="1"/>
      <c r="E138" s="1"/>
      <c r="F138" s="1"/>
      <c r="G138" s="1"/>
      <c r="H138" s="1"/>
      <c r="I138" s="1"/>
      <c r="J138" s="1"/>
      <c r="K138" s="1"/>
      <c r="L138" s="1"/>
      <c r="M138" s="1"/>
      <c r="N138" s="1"/>
      <c r="O138" s="1"/>
      <c r="P138" s="1"/>
      <c r="Q138" s="1"/>
    </row>
    <row r="139" spans="1:17" x14ac:dyDescent="0.35">
      <c r="A139" s="1"/>
      <c r="B139" s="1"/>
      <c r="C139" s="1"/>
      <c r="D139" s="1"/>
      <c r="E139" s="1"/>
      <c r="F139" s="1"/>
      <c r="G139" s="1"/>
      <c r="H139" s="1"/>
      <c r="I139" s="1"/>
      <c r="J139" s="1"/>
      <c r="K139" s="1"/>
      <c r="L139" s="1"/>
      <c r="M139" s="1"/>
      <c r="N139" s="1"/>
      <c r="O139" s="1"/>
      <c r="P139" s="1"/>
      <c r="Q139" s="1"/>
    </row>
    <row r="140" spans="1:17" x14ac:dyDescent="0.35">
      <c r="A140" s="1"/>
      <c r="B140" s="1"/>
      <c r="C140" s="1"/>
      <c r="D140" s="1"/>
      <c r="E140" s="1"/>
      <c r="F140" s="1"/>
      <c r="G140" s="1"/>
      <c r="H140" s="1"/>
      <c r="I140" s="1"/>
      <c r="J140" s="1"/>
      <c r="K140" s="1"/>
      <c r="L140" s="1"/>
      <c r="M140" s="1"/>
      <c r="N140" s="1"/>
      <c r="O140" s="1"/>
      <c r="P140" s="1"/>
      <c r="Q140" s="1"/>
    </row>
    <row r="141" spans="1:17" x14ac:dyDescent="0.35">
      <c r="A141" s="1"/>
      <c r="B141" s="1"/>
      <c r="C141" s="1"/>
      <c r="D141" s="1"/>
      <c r="E141" s="1"/>
      <c r="F141" s="1"/>
      <c r="G141" s="1"/>
      <c r="H141" s="1"/>
      <c r="I141" s="1"/>
      <c r="J141" s="1"/>
      <c r="K141" s="1"/>
      <c r="L141" s="1"/>
      <c r="M141" s="1"/>
      <c r="N141" s="1"/>
      <c r="O141" s="1"/>
      <c r="P141" s="1"/>
      <c r="Q141" s="1"/>
    </row>
    <row r="142" spans="1:17" x14ac:dyDescent="0.35">
      <c r="A142" s="1"/>
      <c r="B142" s="1"/>
      <c r="C142" s="1"/>
      <c r="D142" s="1"/>
      <c r="E142" s="1"/>
      <c r="F142" s="1"/>
      <c r="G142" s="1"/>
      <c r="H142" s="1"/>
      <c r="I142" s="1"/>
      <c r="J142" s="1"/>
      <c r="K142" s="1"/>
      <c r="L142" s="1"/>
      <c r="M142" s="1"/>
      <c r="N142" s="1"/>
      <c r="O142" s="1"/>
      <c r="P142" s="1"/>
      <c r="Q142" s="1"/>
    </row>
    <row r="143" spans="1:17" x14ac:dyDescent="0.35">
      <c r="A143" s="1"/>
      <c r="B143" s="1"/>
      <c r="C143" s="1"/>
      <c r="D143" s="1"/>
      <c r="E143" s="1"/>
      <c r="F143" s="1"/>
      <c r="G143" s="1"/>
      <c r="H143" s="1"/>
      <c r="I143" s="1"/>
      <c r="J143" s="1"/>
      <c r="K143" s="1"/>
      <c r="L143" s="1"/>
      <c r="M143" s="1"/>
      <c r="N143" s="1"/>
      <c r="O143" s="1"/>
      <c r="P143" s="1"/>
      <c r="Q143" s="1"/>
    </row>
    <row r="144" spans="1:17" x14ac:dyDescent="0.35">
      <c r="A144" s="1"/>
      <c r="B144" s="1"/>
      <c r="C144" s="1"/>
      <c r="D144" s="1"/>
      <c r="E144" s="1"/>
      <c r="F144" s="1"/>
      <c r="G144" s="1"/>
      <c r="H144" s="1"/>
      <c r="I144" s="1"/>
      <c r="J144" s="1"/>
      <c r="K144" s="1"/>
      <c r="L144" s="1"/>
      <c r="M144" s="1"/>
      <c r="N144" s="1"/>
      <c r="O144" s="1"/>
      <c r="P144" s="1"/>
      <c r="Q144" s="1"/>
    </row>
    <row r="145" spans="1:17" x14ac:dyDescent="0.35">
      <c r="A145" s="1"/>
      <c r="B145" s="1"/>
      <c r="C145" s="1"/>
      <c r="D145" s="1"/>
      <c r="E145" s="1"/>
      <c r="F145" s="1"/>
      <c r="G145" s="1"/>
      <c r="H145" s="1"/>
      <c r="I145" s="1"/>
      <c r="J145" s="1"/>
      <c r="K145" s="1"/>
      <c r="L145" s="1"/>
      <c r="M145" s="1"/>
      <c r="N145" s="1"/>
      <c r="O145" s="1"/>
      <c r="P145" s="1"/>
      <c r="Q145" s="1"/>
    </row>
    <row r="146" spans="1:17" x14ac:dyDescent="0.35">
      <c r="A146" s="1"/>
      <c r="B146" s="1"/>
      <c r="C146" s="1"/>
      <c r="D146" s="1"/>
      <c r="E146" s="1"/>
      <c r="F146" s="1"/>
      <c r="G146" s="1"/>
      <c r="H146" s="1"/>
      <c r="I146" s="1"/>
      <c r="J146" s="1"/>
      <c r="K146" s="1"/>
      <c r="L146" s="1"/>
      <c r="M146" s="1"/>
      <c r="N146" s="1"/>
      <c r="O146" s="1"/>
      <c r="P146" s="1"/>
      <c r="Q146" s="1"/>
    </row>
    <row r="147" spans="1:17" x14ac:dyDescent="0.35">
      <c r="A147" s="1"/>
      <c r="B147" s="1"/>
      <c r="C147" s="1"/>
      <c r="D147" s="1"/>
      <c r="E147" s="1"/>
      <c r="F147" s="1"/>
      <c r="G147" s="1"/>
      <c r="H147" s="1"/>
      <c r="I147" s="1"/>
      <c r="J147" s="1"/>
      <c r="K147" s="1"/>
      <c r="L147" s="1"/>
      <c r="M147" s="1"/>
      <c r="N147" s="1"/>
      <c r="O147" s="1"/>
      <c r="P147" s="1"/>
      <c r="Q147" s="1"/>
    </row>
    <row r="148" spans="1:17" x14ac:dyDescent="0.35">
      <c r="A148" s="1"/>
      <c r="B148" s="1"/>
      <c r="C148" s="1"/>
      <c r="D148" s="1"/>
      <c r="E148" s="1"/>
      <c r="F148" s="1"/>
      <c r="G148" s="1"/>
      <c r="H148" s="1"/>
      <c r="I148" s="1"/>
      <c r="J148" s="1"/>
      <c r="K148" s="1"/>
      <c r="L148" s="1"/>
      <c r="M148" s="1"/>
      <c r="N148" s="1"/>
      <c r="O148" s="1"/>
      <c r="P148" s="1"/>
      <c r="Q148" s="1"/>
    </row>
    <row r="149" spans="1:17" x14ac:dyDescent="0.35">
      <c r="A149" s="1"/>
      <c r="B149" s="1"/>
      <c r="C149" s="1"/>
      <c r="D149" s="1"/>
      <c r="E149" s="1"/>
      <c r="F149" s="1"/>
      <c r="G149" s="1"/>
      <c r="H149" s="1"/>
      <c r="I149" s="1"/>
      <c r="J149" s="1"/>
      <c r="K149" s="1"/>
      <c r="L149" s="1"/>
      <c r="M149" s="1"/>
      <c r="N149" s="1"/>
      <c r="O149" s="1"/>
      <c r="P149" s="1"/>
      <c r="Q149" s="1"/>
    </row>
    <row r="150" spans="1:17" x14ac:dyDescent="0.35">
      <c r="A150" s="1"/>
      <c r="B150" s="1"/>
      <c r="C150" s="1"/>
      <c r="D150" s="1"/>
      <c r="E150" s="1"/>
      <c r="F150" s="1"/>
      <c r="G150" s="1"/>
      <c r="H150" s="1"/>
      <c r="I150" s="1"/>
      <c r="J150" s="1"/>
      <c r="K150" s="1"/>
      <c r="L150" s="1"/>
      <c r="M150" s="1"/>
      <c r="N150" s="1"/>
      <c r="O150" s="1"/>
      <c r="P150" s="1"/>
      <c r="Q150" s="1"/>
    </row>
    <row r="151" spans="1:17" x14ac:dyDescent="0.35">
      <c r="A151" s="1"/>
      <c r="B151" s="1"/>
      <c r="C151" s="1"/>
      <c r="D151" s="1"/>
      <c r="E151" s="1"/>
      <c r="F151" s="1"/>
      <c r="G151" s="1"/>
      <c r="H151" s="1"/>
      <c r="I151" s="1"/>
      <c r="J151" s="1"/>
      <c r="K151" s="1"/>
      <c r="L151" s="1"/>
      <c r="M151" s="1"/>
      <c r="N151" s="1"/>
      <c r="O151" s="1"/>
      <c r="P151" s="1"/>
      <c r="Q151" s="1"/>
    </row>
    <row r="152" spans="1:17" x14ac:dyDescent="0.35">
      <c r="A152" s="1"/>
      <c r="B152" s="1"/>
      <c r="C152" s="1"/>
      <c r="D152" s="1"/>
      <c r="E152" s="1"/>
      <c r="F152" s="1"/>
      <c r="G152" s="1"/>
      <c r="H152" s="1"/>
      <c r="I152" s="1"/>
      <c r="J152" s="1"/>
      <c r="K152" s="1"/>
      <c r="L152" s="1"/>
      <c r="M152" s="1"/>
      <c r="N152" s="1"/>
      <c r="O152" s="1"/>
      <c r="P152" s="1"/>
      <c r="Q152" s="1"/>
    </row>
    <row r="153" spans="1:17" x14ac:dyDescent="0.35">
      <c r="A153" s="1"/>
      <c r="B153" s="1"/>
      <c r="C153" s="1"/>
      <c r="D153" s="1"/>
      <c r="E153" s="1"/>
      <c r="F153" s="1"/>
      <c r="G153" s="1"/>
      <c r="H153" s="1"/>
      <c r="I153" s="1"/>
      <c r="J153" s="1"/>
      <c r="K153" s="1"/>
      <c r="L153" s="1"/>
      <c r="M153" s="1"/>
      <c r="N153" s="1"/>
      <c r="O153" s="1"/>
      <c r="P153" s="1"/>
      <c r="Q153" s="1"/>
    </row>
    <row r="154" spans="1:17" x14ac:dyDescent="0.35">
      <c r="A154" s="1"/>
      <c r="B154" s="1"/>
      <c r="C154" s="1"/>
      <c r="D154" s="1"/>
      <c r="E154" s="1"/>
      <c r="F154" s="1"/>
      <c r="G154" s="1"/>
      <c r="H154" s="1"/>
      <c r="I154" s="1"/>
      <c r="J154" s="1"/>
      <c r="K154" s="1"/>
      <c r="L154" s="1"/>
      <c r="M154" s="1"/>
      <c r="N154" s="1"/>
      <c r="O154" s="1"/>
      <c r="P154" s="1"/>
      <c r="Q154" s="1"/>
    </row>
    <row r="155" spans="1:17" x14ac:dyDescent="0.35">
      <c r="A155" s="1"/>
      <c r="B155" s="1"/>
      <c r="C155" s="1"/>
      <c r="D155" s="1"/>
      <c r="E155" s="1"/>
      <c r="F155" s="1"/>
      <c r="G155" s="1"/>
      <c r="H155" s="1"/>
      <c r="I155" s="1"/>
      <c r="J155" s="1"/>
      <c r="K155" s="1"/>
      <c r="L155" s="1"/>
      <c r="M155" s="1"/>
      <c r="N155" s="1"/>
      <c r="O155" s="1"/>
      <c r="P155" s="1"/>
      <c r="Q155" s="1"/>
    </row>
    <row r="156" spans="1:17" x14ac:dyDescent="0.35">
      <c r="A156" s="1"/>
      <c r="B156" s="1"/>
      <c r="C156" s="1"/>
      <c r="D156" s="1"/>
      <c r="E156" s="1"/>
      <c r="F156" s="1"/>
      <c r="G156" s="1"/>
      <c r="H156" s="1"/>
      <c r="I156" s="1"/>
      <c r="J156" s="1"/>
      <c r="K156" s="1"/>
      <c r="L156" s="1"/>
      <c r="M156" s="1"/>
      <c r="N156" s="1"/>
      <c r="O156" s="1"/>
      <c r="P156" s="1"/>
      <c r="Q156" s="1"/>
    </row>
    <row r="157" spans="1:17" x14ac:dyDescent="0.35">
      <c r="A157" s="1"/>
      <c r="B157" s="1"/>
      <c r="C157" s="1"/>
      <c r="D157" s="1"/>
      <c r="E157" s="1"/>
      <c r="F157" s="1"/>
      <c r="G157" s="1"/>
      <c r="H157" s="1"/>
      <c r="I157" s="1"/>
      <c r="J157" s="1"/>
      <c r="K157" s="1"/>
      <c r="L157" s="1"/>
      <c r="M157" s="1"/>
      <c r="N157" s="1"/>
      <c r="O157" s="1"/>
      <c r="P157" s="1"/>
      <c r="Q157" s="1"/>
    </row>
    <row r="158" spans="1:17" x14ac:dyDescent="0.35">
      <c r="A158" s="1"/>
      <c r="B158" s="1"/>
      <c r="C158" s="1"/>
      <c r="D158" s="1"/>
      <c r="E158" s="1"/>
      <c r="F158" s="1"/>
      <c r="G158" s="1"/>
      <c r="H158" s="1"/>
      <c r="I158" s="1"/>
      <c r="J158" s="1"/>
      <c r="K158" s="1"/>
      <c r="L158" s="1"/>
      <c r="M158" s="1"/>
      <c r="N158" s="1"/>
      <c r="O158" s="1"/>
      <c r="P158" s="1"/>
      <c r="Q158" s="1"/>
    </row>
    <row r="159" spans="1:17" x14ac:dyDescent="0.35">
      <c r="A159" s="1"/>
      <c r="B159" s="1"/>
      <c r="C159" s="1"/>
      <c r="D159" s="1"/>
      <c r="E159" s="1"/>
      <c r="F159" s="1"/>
      <c r="G159" s="1"/>
      <c r="H159" s="1"/>
      <c r="I159" s="1"/>
      <c r="J159" s="1"/>
      <c r="K159" s="1"/>
      <c r="L159" s="1"/>
      <c r="M159" s="1"/>
      <c r="N159" s="1"/>
      <c r="O159" s="1"/>
      <c r="P159" s="1"/>
      <c r="Q159" s="1"/>
    </row>
    <row r="160" spans="1:17" x14ac:dyDescent="0.35">
      <c r="A160" s="1"/>
      <c r="B160" s="1"/>
      <c r="C160" s="1"/>
      <c r="D160" s="1"/>
      <c r="E160" s="1"/>
      <c r="F160" s="1"/>
      <c r="G160" s="1"/>
      <c r="H160" s="1"/>
      <c r="I160" s="1"/>
      <c r="J160" s="1"/>
      <c r="K160" s="1"/>
      <c r="L160" s="1"/>
      <c r="M160" s="1"/>
      <c r="N160" s="1"/>
      <c r="O160" s="1"/>
      <c r="P160" s="1"/>
      <c r="Q160" s="1"/>
    </row>
    <row r="161" spans="1:17" x14ac:dyDescent="0.35">
      <c r="A161" s="1"/>
      <c r="B161" s="1"/>
      <c r="C161" s="1"/>
      <c r="D161" s="1"/>
      <c r="E161" s="1"/>
      <c r="F161" s="1"/>
      <c r="G161" s="1"/>
      <c r="H161" s="1"/>
      <c r="I161" s="1"/>
      <c r="J161" s="1"/>
      <c r="K161" s="1"/>
      <c r="L161" s="1"/>
      <c r="M161" s="1"/>
      <c r="N161" s="1"/>
      <c r="O161" s="1"/>
      <c r="P161" s="1"/>
      <c r="Q161" s="1"/>
    </row>
    <row r="162" spans="1:17" x14ac:dyDescent="0.35">
      <c r="A162" s="1"/>
      <c r="B162" s="1"/>
      <c r="C162" s="1"/>
      <c r="D162" s="1"/>
      <c r="E162" s="1"/>
      <c r="F162" s="1"/>
      <c r="G162" s="1"/>
      <c r="H162" s="1"/>
      <c r="I162" s="1"/>
      <c r="J162" s="1"/>
      <c r="K162" s="1"/>
      <c r="L162" s="1"/>
      <c r="M162" s="1"/>
      <c r="N162" s="1"/>
      <c r="O162" s="1"/>
      <c r="P162" s="1"/>
      <c r="Q162" s="1"/>
    </row>
    <row r="163" spans="1:17" x14ac:dyDescent="0.35">
      <c r="A163" s="1"/>
      <c r="B163" s="1"/>
      <c r="C163" s="1"/>
      <c r="D163" s="1"/>
      <c r="E163" s="1"/>
      <c r="F163" s="1"/>
      <c r="G163" s="1"/>
      <c r="H163" s="1"/>
      <c r="I163" s="1"/>
      <c r="J163" s="1"/>
      <c r="K163" s="1"/>
      <c r="L163" s="1"/>
      <c r="M163" s="1"/>
      <c r="N163" s="1"/>
      <c r="O163" s="1"/>
      <c r="P163" s="1"/>
      <c r="Q163" s="1"/>
    </row>
    <row r="164" spans="1:17" x14ac:dyDescent="0.35">
      <c r="A164" s="1"/>
      <c r="B164" s="1"/>
      <c r="C164" s="1"/>
      <c r="D164" s="1"/>
      <c r="E164" s="1"/>
      <c r="F164" s="1"/>
      <c r="G164" s="1"/>
      <c r="H164" s="1"/>
      <c r="I164" s="1"/>
      <c r="J164" s="1"/>
      <c r="K164" s="1"/>
      <c r="L164" s="1"/>
      <c r="M164" s="1"/>
      <c r="N164" s="1"/>
      <c r="O164" s="1"/>
      <c r="P164" s="1"/>
      <c r="Q164" s="1"/>
    </row>
    <row r="165" spans="1:17" x14ac:dyDescent="0.35">
      <c r="A165" s="1"/>
      <c r="B165" s="1"/>
      <c r="C165" s="1"/>
      <c r="D165" s="1"/>
      <c r="E165" s="1"/>
      <c r="F165" s="1"/>
      <c r="G165" s="1"/>
      <c r="H165" s="1"/>
      <c r="I165" s="1"/>
      <c r="J165" s="1"/>
      <c r="K165" s="1"/>
      <c r="L165" s="1"/>
      <c r="M165" s="1"/>
      <c r="N165" s="1"/>
      <c r="O165" s="1"/>
      <c r="P165" s="1"/>
      <c r="Q165" s="1"/>
    </row>
    <row r="166" spans="1:17" x14ac:dyDescent="0.35">
      <c r="A166" s="1"/>
      <c r="B166" s="1"/>
      <c r="C166" s="1"/>
      <c r="D166" s="1"/>
      <c r="E166" s="1"/>
      <c r="F166" s="1"/>
      <c r="G166" s="1"/>
      <c r="H166" s="1"/>
      <c r="I166" s="1"/>
      <c r="J166" s="1"/>
      <c r="K166" s="1"/>
      <c r="L166" s="1"/>
      <c r="M166" s="1"/>
      <c r="N166" s="1"/>
      <c r="O166" s="1"/>
      <c r="P166" s="1"/>
      <c r="Q166" s="1"/>
    </row>
    <row r="167" spans="1:17" x14ac:dyDescent="0.35">
      <c r="A167" s="1"/>
      <c r="B167" s="1"/>
      <c r="C167" s="1"/>
      <c r="D167" s="1"/>
      <c r="E167" s="1"/>
      <c r="F167" s="1"/>
      <c r="G167" s="1"/>
      <c r="H167" s="1"/>
      <c r="I167" s="1"/>
      <c r="J167" s="1"/>
      <c r="K167" s="1"/>
      <c r="L167" s="1"/>
      <c r="M167" s="1"/>
      <c r="N167" s="1"/>
      <c r="O167" s="1"/>
      <c r="P167" s="1"/>
      <c r="Q167" s="1"/>
    </row>
    <row r="168" spans="1:17" x14ac:dyDescent="0.35">
      <c r="A168" s="1"/>
      <c r="B168" s="1"/>
      <c r="C168" s="1"/>
      <c r="D168" s="1"/>
      <c r="E168" s="1"/>
      <c r="F168" s="1"/>
      <c r="G168" s="1"/>
      <c r="H168" s="1"/>
      <c r="I168" s="1"/>
      <c r="J168" s="1"/>
      <c r="K168" s="1"/>
      <c r="L168" s="1"/>
      <c r="M168" s="1"/>
      <c r="N168" s="1"/>
      <c r="O168" s="1"/>
      <c r="P168" s="1"/>
      <c r="Q168" s="1"/>
    </row>
    <row r="169" spans="1:17" x14ac:dyDescent="0.35">
      <c r="A169" s="1"/>
      <c r="B169" s="1"/>
      <c r="C169" s="1"/>
      <c r="D169" s="1"/>
      <c r="E169" s="1"/>
      <c r="F169" s="1"/>
      <c r="G169" s="1"/>
      <c r="H169" s="1"/>
      <c r="I169" s="1"/>
      <c r="J169" s="1"/>
      <c r="K169" s="1"/>
      <c r="L169" s="1"/>
      <c r="M169" s="1"/>
      <c r="N169" s="1"/>
      <c r="O169" s="1"/>
      <c r="P169" s="1"/>
      <c r="Q169" s="1"/>
    </row>
    <row r="170" spans="1:17" x14ac:dyDescent="0.35">
      <c r="A170" s="1"/>
      <c r="B170" s="1"/>
      <c r="C170" s="1"/>
      <c r="D170" s="1"/>
      <c r="E170" s="1"/>
      <c r="F170" s="1"/>
      <c r="G170" s="1"/>
      <c r="H170" s="1"/>
      <c r="I170" s="1"/>
      <c r="J170" s="1"/>
      <c r="K170" s="1"/>
      <c r="L170" s="1"/>
      <c r="M170" s="1"/>
      <c r="N170" s="1"/>
      <c r="O170" s="1"/>
      <c r="P170" s="1"/>
      <c r="Q170" s="1"/>
    </row>
    <row r="171" spans="1:17" x14ac:dyDescent="0.35">
      <c r="A171" s="1"/>
      <c r="B171" s="1"/>
      <c r="C171" s="1"/>
      <c r="D171" s="1"/>
      <c r="E171" s="1"/>
      <c r="F171" s="1"/>
      <c r="G171" s="1"/>
      <c r="H171" s="1"/>
      <c r="I171" s="1"/>
      <c r="J171" s="1"/>
      <c r="K171" s="1"/>
      <c r="L171" s="1"/>
      <c r="M171" s="1"/>
      <c r="N171" s="1"/>
      <c r="O171" s="1"/>
      <c r="P171" s="1"/>
      <c r="Q171" s="1"/>
    </row>
    <row r="172" spans="1:17" x14ac:dyDescent="0.35">
      <c r="A172" s="1"/>
      <c r="B172" s="1"/>
      <c r="C172" s="1"/>
      <c r="D172" s="1"/>
      <c r="E172" s="1"/>
      <c r="F172" s="1"/>
      <c r="G172" s="1"/>
      <c r="H172" s="1"/>
      <c r="I172" s="1"/>
      <c r="J172" s="1"/>
      <c r="K172" s="1"/>
      <c r="L172" s="1"/>
      <c r="M172" s="1"/>
      <c r="N172" s="1"/>
      <c r="O172" s="1"/>
      <c r="P172" s="1"/>
      <c r="Q172" s="1"/>
    </row>
    <row r="173" spans="1:17" x14ac:dyDescent="0.35">
      <c r="A173" s="1"/>
      <c r="B173" s="1"/>
      <c r="C173" s="1"/>
      <c r="D173" s="1"/>
      <c r="E173" s="1"/>
      <c r="F173" s="1"/>
      <c r="G173" s="1"/>
      <c r="H173" s="1"/>
      <c r="I173" s="1"/>
      <c r="J173" s="1"/>
      <c r="K173" s="1"/>
      <c r="L173" s="1"/>
      <c r="M173" s="1"/>
      <c r="N173" s="1"/>
      <c r="O173" s="1"/>
      <c r="P173" s="1"/>
      <c r="Q173" s="1"/>
    </row>
    <row r="174" spans="1:17" x14ac:dyDescent="0.35">
      <c r="A174" s="1"/>
      <c r="B174" s="1"/>
      <c r="C174" s="1"/>
      <c r="D174" s="1"/>
      <c r="E174" s="1"/>
      <c r="F174" s="1"/>
      <c r="G174" s="1"/>
      <c r="H174" s="1"/>
      <c r="I174" s="1"/>
      <c r="J174" s="1"/>
      <c r="K174" s="1"/>
      <c r="L174" s="1"/>
      <c r="M174" s="1"/>
      <c r="N174" s="1"/>
      <c r="O174" s="1"/>
      <c r="P174" s="1"/>
      <c r="Q174" s="1"/>
    </row>
    <row r="175" spans="1:17" x14ac:dyDescent="0.35">
      <c r="A175" s="1"/>
      <c r="B175" s="1"/>
      <c r="C175" s="1"/>
      <c r="D175" s="1"/>
      <c r="E175" s="1"/>
      <c r="F175" s="1"/>
      <c r="G175" s="1"/>
      <c r="H175" s="1"/>
      <c r="I175" s="1"/>
      <c r="J175" s="1"/>
      <c r="K175" s="1"/>
      <c r="L175" s="1"/>
      <c r="M175" s="1"/>
      <c r="N175" s="1"/>
      <c r="O175" s="1"/>
      <c r="P175" s="1"/>
      <c r="Q175" s="1"/>
    </row>
    <row r="176" spans="1:17" x14ac:dyDescent="0.35">
      <c r="A176" s="1"/>
      <c r="B176" s="1"/>
      <c r="C176" s="1"/>
      <c r="D176" s="1"/>
      <c r="E176" s="1"/>
      <c r="F176" s="1"/>
      <c r="G176" s="1"/>
      <c r="H176" s="1"/>
      <c r="I176" s="1"/>
      <c r="J176" s="1"/>
      <c r="K176" s="1"/>
      <c r="L176" s="1"/>
      <c r="M176" s="1"/>
      <c r="N176" s="1"/>
      <c r="O176" s="1"/>
      <c r="P176" s="1"/>
      <c r="Q176" s="1"/>
    </row>
    <row r="177" spans="1:17" x14ac:dyDescent="0.35">
      <c r="A177" s="1"/>
      <c r="B177" s="1"/>
      <c r="C177" s="1"/>
      <c r="D177" s="1"/>
      <c r="E177" s="1"/>
      <c r="F177" s="1"/>
      <c r="G177" s="1"/>
      <c r="H177" s="1"/>
      <c r="I177" s="1"/>
      <c r="J177" s="1"/>
      <c r="K177" s="1"/>
      <c r="L177" s="1"/>
      <c r="M177" s="1"/>
      <c r="N177" s="1"/>
      <c r="O177" s="1"/>
      <c r="P177" s="1"/>
      <c r="Q177" s="1"/>
    </row>
    <row r="178" spans="1:17" x14ac:dyDescent="0.35">
      <c r="A178" s="1"/>
      <c r="B178" s="1"/>
      <c r="C178" s="1"/>
      <c r="D178" s="1"/>
      <c r="E178" s="1"/>
      <c r="F178" s="1"/>
      <c r="G178" s="1"/>
      <c r="H178" s="1"/>
      <c r="I178" s="1"/>
      <c r="J178" s="1"/>
      <c r="K178" s="1"/>
      <c r="L178" s="1"/>
      <c r="M178" s="1"/>
      <c r="N178" s="1"/>
      <c r="O178" s="1"/>
      <c r="P178" s="1"/>
      <c r="Q178" s="1"/>
    </row>
    <row r="179" spans="1:17" x14ac:dyDescent="0.35">
      <c r="A179" s="1"/>
      <c r="B179" s="1"/>
      <c r="C179" s="1"/>
      <c r="D179" s="1"/>
      <c r="E179" s="1"/>
      <c r="F179" s="1"/>
      <c r="G179" s="1"/>
      <c r="H179" s="1"/>
      <c r="I179" s="1"/>
      <c r="J179" s="1"/>
      <c r="K179" s="1"/>
      <c r="L179" s="1"/>
      <c r="M179" s="1"/>
      <c r="N179" s="1"/>
      <c r="O179" s="1"/>
      <c r="P179" s="1"/>
      <c r="Q179" s="1"/>
    </row>
    <row r="180" spans="1:17" x14ac:dyDescent="0.35">
      <c r="A180" s="1"/>
      <c r="B180" s="1"/>
      <c r="C180" s="1"/>
      <c r="D180" s="1"/>
      <c r="E180" s="1"/>
      <c r="F180" s="1"/>
      <c r="G180" s="1"/>
      <c r="H180" s="1"/>
      <c r="I180" s="1"/>
      <c r="J180" s="1"/>
      <c r="K180" s="1"/>
      <c r="L180" s="1"/>
      <c r="M180" s="1"/>
      <c r="N180" s="1"/>
      <c r="O180" s="1"/>
      <c r="P180" s="1"/>
      <c r="Q180" s="1"/>
    </row>
    <row r="181" spans="1:17" x14ac:dyDescent="0.35">
      <c r="A181" s="1"/>
      <c r="B181" s="1"/>
      <c r="C181" s="1"/>
      <c r="D181" s="1"/>
      <c r="E181" s="1"/>
      <c r="F181" s="1"/>
      <c r="G181" s="1"/>
      <c r="H181" s="1"/>
      <c r="I181" s="1"/>
      <c r="J181" s="1"/>
      <c r="K181" s="1"/>
      <c r="L181" s="1"/>
      <c r="M181" s="1"/>
      <c r="N181" s="1"/>
      <c r="O181" s="1"/>
      <c r="P181" s="1"/>
      <c r="Q181" s="1"/>
    </row>
    <row r="182" spans="1:17" x14ac:dyDescent="0.35">
      <c r="A182" s="1"/>
      <c r="B182" s="1"/>
      <c r="C182" s="1"/>
      <c r="D182" s="1"/>
      <c r="E182" s="1"/>
      <c r="F182" s="1"/>
      <c r="G182" s="1"/>
      <c r="H182" s="1"/>
      <c r="I182" s="1"/>
      <c r="J182" s="1"/>
      <c r="K182" s="1"/>
      <c r="L182" s="1"/>
      <c r="M182" s="1"/>
      <c r="N182" s="1"/>
      <c r="O182" s="1"/>
      <c r="P182" s="1"/>
      <c r="Q182" s="1"/>
    </row>
    <row r="183" spans="1:17" x14ac:dyDescent="0.35">
      <c r="A183" s="1"/>
      <c r="B183" s="1"/>
      <c r="C183" s="1"/>
      <c r="D183" s="1"/>
      <c r="E183" s="1"/>
      <c r="F183" s="1"/>
      <c r="G183" s="1"/>
      <c r="H183" s="1"/>
      <c r="I183" s="1"/>
      <c r="J183" s="1"/>
      <c r="K183" s="1"/>
      <c r="L183" s="1"/>
      <c r="M183" s="1"/>
      <c r="N183" s="1"/>
      <c r="O183" s="1"/>
      <c r="P183" s="1"/>
      <c r="Q183" s="1"/>
    </row>
    <row r="184" spans="1:17" x14ac:dyDescent="0.35">
      <c r="A184" s="1"/>
      <c r="B184" s="1"/>
      <c r="C184" s="1"/>
      <c r="D184" s="1"/>
      <c r="E184" s="1"/>
      <c r="F184" s="1"/>
      <c r="G184" s="1"/>
      <c r="H184" s="1"/>
      <c r="I184" s="1"/>
      <c r="J184" s="1"/>
      <c r="K184" s="1"/>
      <c r="L184" s="1"/>
      <c r="M184" s="1"/>
      <c r="N184" s="1"/>
      <c r="O184" s="1"/>
      <c r="P184" s="1"/>
      <c r="Q184" s="1"/>
    </row>
    <row r="185" spans="1:17" x14ac:dyDescent="0.35">
      <c r="A185" s="1"/>
      <c r="B185" s="1"/>
      <c r="C185" s="1"/>
      <c r="D185" s="1"/>
      <c r="E185" s="1"/>
      <c r="F185" s="1"/>
      <c r="G185" s="1"/>
      <c r="H185" s="1"/>
      <c r="I185" s="1"/>
      <c r="J185" s="1"/>
      <c r="K185" s="1"/>
      <c r="L185" s="1"/>
      <c r="M185" s="1"/>
      <c r="N185" s="1"/>
      <c r="O185" s="1"/>
      <c r="P185" s="1"/>
      <c r="Q185" s="1"/>
    </row>
    <row r="186" spans="1:17" x14ac:dyDescent="0.35">
      <c r="A186" s="1"/>
      <c r="B186" s="1"/>
      <c r="C186" s="1"/>
      <c r="D186" s="1"/>
      <c r="E186" s="1"/>
      <c r="F186" s="1"/>
      <c r="G186" s="1"/>
      <c r="H186" s="1"/>
      <c r="I186" s="1"/>
      <c r="J186" s="1"/>
      <c r="K186" s="1"/>
      <c r="L186" s="1"/>
      <c r="M186" s="1"/>
      <c r="N186" s="1"/>
      <c r="O186" s="1"/>
      <c r="P186" s="1"/>
      <c r="Q186" s="1"/>
    </row>
    <row r="187" spans="1:17" x14ac:dyDescent="0.35">
      <c r="A187" s="1"/>
      <c r="B187" s="1"/>
      <c r="C187" s="1"/>
      <c r="D187" s="1"/>
      <c r="E187" s="1"/>
      <c r="F187" s="1"/>
      <c r="G187" s="1"/>
      <c r="H187" s="1"/>
      <c r="I187" s="1"/>
      <c r="J187" s="1"/>
      <c r="K187" s="1"/>
      <c r="L187" s="1"/>
      <c r="M187" s="1"/>
      <c r="N187" s="1"/>
      <c r="O187" s="1"/>
      <c r="P187" s="1"/>
      <c r="Q187" s="1"/>
    </row>
    <row r="188" spans="1:17" x14ac:dyDescent="0.35">
      <c r="A188" s="1"/>
      <c r="B188" s="1"/>
      <c r="C188" s="1"/>
      <c r="D188" s="1"/>
      <c r="E188" s="1"/>
      <c r="F188" s="1"/>
      <c r="G188" s="1"/>
      <c r="H188" s="1"/>
      <c r="I188" s="1"/>
      <c r="J188" s="1"/>
      <c r="K188" s="1"/>
      <c r="L188" s="1"/>
      <c r="M188" s="1"/>
      <c r="N188" s="1"/>
      <c r="O188" s="1"/>
      <c r="P188" s="1"/>
      <c r="Q188" s="1"/>
    </row>
    <row r="189" spans="1:17" x14ac:dyDescent="0.35">
      <c r="A189" s="1"/>
      <c r="B189" s="1"/>
      <c r="C189" s="1"/>
      <c r="D189" s="1"/>
      <c r="E189" s="1"/>
      <c r="F189" s="1"/>
      <c r="G189" s="1"/>
      <c r="H189" s="1"/>
      <c r="I189" s="1"/>
      <c r="J189" s="1"/>
      <c r="K189" s="1"/>
      <c r="L189" s="1"/>
      <c r="M189" s="1"/>
      <c r="N189" s="1"/>
      <c r="O189" s="1"/>
      <c r="P189" s="1"/>
      <c r="Q189" s="1"/>
    </row>
    <row r="190" spans="1:17" x14ac:dyDescent="0.35">
      <c r="A190" s="1"/>
      <c r="B190" s="1"/>
      <c r="C190" s="1"/>
      <c r="D190" s="1"/>
      <c r="E190" s="1"/>
      <c r="F190" s="1"/>
      <c r="G190" s="1"/>
      <c r="H190" s="1"/>
      <c r="I190" s="1"/>
      <c r="J190" s="1"/>
      <c r="K190" s="1"/>
      <c r="L190" s="1"/>
      <c r="M190" s="1"/>
      <c r="N190" s="1"/>
      <c r="O190" s="1"/>
      <c r="P190" s="1"/>
      <c r="Q190" s="1"/>
    </row>
    <row r="191" spans="1:17" x14ac:dyDescent="0.35">
      <c r="A191" s="1"/>
      <c r="B191" s="1"/>
      <c r="C191" s="1"/>
      <c r="D191" s="1"/>
      <c r="E191" s="1"/>
      <c r="F191" s="1"/>
      <c r="G191" s="1"/>
      <c r="H191" s="1"/>
      <c r="I191" s="1"/>
      <c r="J191" s="1"/>
      <c r="K191" s="1"/>
      <c r="L191" s="1"/>
      <c r="M191" s="1"/>
      <c r="N191" s="1"/>
      <c r="O191" s="1"/>
      <c r="P191" s="1"/>
      <c r="Q191" s="1"/>
    </row>
    <row r="192" spans="1:17" x14ac:dyDescent="0.35">
      <c r="A192" s="1"/>
      <c r="B192" s="1"/>
      <c r="C192" s="1"/>
      <c r="D192" s="1"/>
      <c r="E192" s="1"/>
      <c r="F192" s="1"/>
      <c r="G192" s="1"/>
      <c r="H192" s="1"/>
      <c r="I192" s="1"/>
      <c r="J192" s="1"/>
      <c r="K192" s="1"/>
      <c r="L192" s="1"/>
      <c r="M192" s="1"/>
      <c r="N192" s="1"/>
      <c r="O192" s="1"/>
      <c r="P192" s="1"/>
      <c r="Q192" s="1"/>
    </row>
    <row r="193" spans="1:17" x14ac:dyDescent="0.35">
      <c r="A193" s="1"/>
      <c r="B193" s="1"/>
      <c r="C193" s="1"/>
      <c r="D193" s="1"/>
      <c r="E193" s="1"/>
      <c r="F193" s="1"/>
      <c r="G193" s="1"/>
      <c r="H193" s="1"/>
      <c r="I193" s="1"/>
      <c r="J193" s="1"/>
      <c r="K193" s="1"/>
      <c r="L193" s="1"/>
      <c r="M193" s="1"/>
      <c r="N193" s="1"/>
      <c r="O193" s="1"/>
      <c r="P193" s="1"/>
      <c r="Q193" s="1"/>
    </row>
    <row r="194" spans="1:17" x14ac:dyDescent="0.35">
      <c r="A194" s="1"/>
      <c r="B194" s="1"/>
      <c r="C194" s="1"/>
      <c r="D194" s="1"/>
      <c r="E194" s="1"/>
      <c r="F194" s="1"/>
      <c r="G194" s="1"/>
      <c r="H194" s="1"/>
      <c r="I194" s="1"/>
      <c r="J194" s="1"/>
      <c r="K194" s="1"/>
      <c r="L194" s="1"/>
      <c r="M194" s="1"/>
      <c r="N194" s="1"/>
      <c r="O194" s="1"/>
      <c r="P194" s="1"/>
      <c r="Q194" s="1"/>
    </row>
    <row r="195" spans="1:17" x14ac:dyDescent="0.35">
      <c r="A195" s="1"/>
      <c r="B195" s="1"/>
      <c r="C195" s="1"/>
      <c r="D195" s="1"/>
      <c r="E195" s="1"/>
      <c r="F195" s="1"/>
      <c r="G195" s="1"/>
      <c r="H195" s="1"/>
      <c r="I195" s="1"/>
      <c r="J195" s="1"/>
      <c r="K195" s="1"/>
      <c r="L195" s="1"/>
      <c r="M195" s="1"/>
      <c r="N195" s="1"/>
      <c r="O195" s="1"/>
      <c r="P195" s="1"/>
      <c r="Q195" s="1"/>
    </row>
    <row r="196" spans="1:17" x14ac:dyDescent="0.35">
      <c r="A196" s="1"/>
      <c r="B196" s="1"/>
      <c r="C196" s="1"/>
      <c r="D196" s="1"/>
      <c r="E196" s="1"/>
      <c r="F196" s="1"/>
      <c r="G196" s="1"/>
      <c r="H196" s="1"/>
      <c r="I196" s="1"/>
      <c r="J196" s="1"/>
      <c r="K196" s="1"/>
      <c r="L196" s="1"/>
      <c r="M196" s="1"/>
      <c r="N196" s="1"/>
      <c r="O196" s="1"/>
      <c r="P196" s="1"/>
      <c r="Q196" s="1"/>
    </row>
    <row r="197" spans="1:17" x14ac:dyDescent="0.35">
      <c r="A197" s="1"/>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1:17" x14ac:dyDescent="0.35">
      <c r="A198" s="1"/>
      <c r="B198" s="37"/>
      <c r="C198" s="38"/>
      <c r="D198" s="31"/>
      <c r="E198" s="32"/>
      <c r="F198" s="34"/>
      <c r="G198" s="33"/>
      <c r="H198" s="34"/>
      <c r="I198" s="33"/>
      <c r="J198" s="34"/>
      <c r="K198" s="34"/>
      <c r="L198" s="34"/>
      <c r="M198" s="33"/>
      <c r="N198" s="34"/>
      <c r="O198" s="35"/>
      <c r="P198" s="36"/>
      <c r="Q198" s="35"/>
    </row>
    <row r="199" spans="1:17" x14ac:dyDescent="0.35">
      <c r="A199" s="1"/>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1:17" x14ac:dyDescent="0.35">
      <c r="A200" s="1"/>
      <c r="B200" s="1"/>
      <c r="C200" s="1"/>
      <c r="D200" s="1"/>
      <c r="E200" s="1"/>
      <c r="F200" s="1"/>
      <c r="G200" s="1"/>
      <c r="H200" s="1"/>
      <c r="I200" s="1"/>
      <c r="J200" s="1"/>
      <c r="K200" s="1"/>
      <c r="L200" s="1"/>
      <c r="M200" s="1"/>
      <c r="N200" s="1"/>
      <c r="O200" s="1"/>
      <c r="P200" s="1"/>
      <c r="Q200" s="78" t="s">
        <v>21404</v>
      </c>
    </row>
    <row r="201" spans="1:17" x14ac:dyDescent="0.35">
      <c r="A201" s="1"/>
      <c r="B201" s="1"/>
      <c r="C201" s="78" t="s">
        <v>21592</v>
      </c>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77" t="s">
        <v>21399</v>
      </c>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t="s">
        <v>21398</v>
      </c>
      <c r="D205" s="1" t="s">
        <v>75</v>
      </c>
      <c r="E205" s="1" t="s">
        <v>13768</v>
      </c>
      <c r="F205" s="2" t="s">
        <v>21397</v>
      </c>
      <c r="G205" s="1" t="s">
        <v>9</v>
      </c>
      <c r="H205" s="1"/>
      <c r="I205" s="1"/>
      <c r="J205" s="1"/>
      <c r="K205" s="1"/>
      <c r="L205" s="1"/>
      <c r="M205" s="1"/>
      <c r="N205" s="1"/>
      <c r="O205" s="1"/>
      <c r="P205" s="1"/>
      <c r="Q205" s="1"/>
    </row>
    <row r="206" spans="1:17" x14ac:dyDescent="0.35">
      <c r="B206" s="49" t="s">
        <v>14797</v>
      </c>
      <c r="C206" s="352" t="s">
        <v>14798</v>
      </c>
    </row>
    <row r="207" spans="1:17" x14ac:dyDescent="0.35">
      <c r="B207" s="49" t="s">
        <v>14799</v>
      </c>
      <c r="C207" s="53" t="s">
        <v>14800</v>
      </c>
    </row>
    <row r="208" spans="1:17" x14ac:dyDescent="0.35">
      <c r="B208" s="49" t="s">
        <v>14801</v>
      </c>
      <c r="C208" s="53" t="s">
        <v>14802</v>
      </c>
    </row>
    <row r="209" spans="2:5" x14ac:dyDescent="0.35">
      <c r="B209" s="49" t="s">
        <v>14803</v>
      </c>
      <c r="C209" s="53" t="s">
        <v>14804</v>
      </c>
    </row>
    <row r="210" spans="2:5" x14ac:dyDescent="0.35">
      <c r="B210" s="49" t="s">
        <v>14805</v>
      </c>
      <c r="C210" s="53" t="s">
        <v>14806</v>
      </c>
    </row>
    <row r="211" spans="2:5" x14ac:dyDescent="0.35">
      <c r="B211" s="49" t="s">
        <v>14807</v>
      </c>
      <c r="C211" s="53" t="s">
        <v>14808</v>
      </c>
    </row>
    <row r="212" spans="2:5" x14ac:dyDescent="0.35">
      <c r="B212" s="49" t="s">
        <v>14809</v>
      </c>
      <c r="C212" s="53" t="s">
        <v>14810</v>
      </c>
    </row>
    <row r="213" spans="2:5" x14ac:dyDescent="0.35">
      <c r="B213" s="49" t="s">
        <v>14811</v>
      </c>
      <c r="C213" s="53" t="s">
        <v>14812</v>
      </c>
    </row>
    <row r="214" spans="2:5" x14ac:dyDescent="0.35">
      <c r="C214" s="1" t="s">
        <v>1404</v>
      </c>
      <c r="D214" s="1" t="s">
        <v>66</v>
      </c>
      <c r="E214" s="250">
        <v>11500.11</v>
      </c>
    </row>
    <row r="215" spans="2:5" x14ac:dyDescent="0.35">
      <c r="C215" s="1" t="s">
        <v>1403</v>
      </c>
      <c r="D215" s="1" t="s">
        <v>61</v>
      </c>
      <c r="E215" s="250">
        <v>11500.2</v>
      </c>
    </row>
    <row r="216" spans="2:5" x14ac:dyDescent="0.35">
      <c r="C216" s="1" t="s">
        <v>1402</v>
      </c>
      <c r="D216" s="1" t="s">
        <v>61</v>
      </c>
      <c r="E216" s="250">
        <v>11500.21</v>
      </c>
    </row>
    <row r="217" spans="2:5" x14ac:dyDescent="0.35">
      <c r="C217" s="1" t="s">
        <v>1401</v>
      </c>
      <c r="D217" s="1" t="s">
        <v>61</v>
      </c>
      <c r="E217" s="250">
        <v>11500.22</v>
      </c>
    </row>
    <row r="218" spans="2:5" x14ac:dyDescent="0.35">
      <c r="C218" s="1" t="s">
        <v>1400</v>
      </c>
      <c r="D218" s="1" t="s">
        <v>61</v>
      </c>
      <c r="E218" s="250">
        <v>11500.23</v>
      </c>
    </row>
    <row r="219" spans="2:5" x14ac:dyDescent="0.35">
      <c r="C219" s="1" t="s">
        <v>1399</v>
      </c>
      <c r="D219" s="1" t="s">
        <v>22</v>
      </c>
      <c r="E219" s="250">
        <v>11500.3</v>
      </c>
    </row>
    <row r="220" spans="2:5" x14ac:dyDescent="0.35">
      <c r="C220" s="1" t="s">
        <v>1398</v>
      </c>
      <c r="D220" s="1" t="s">
        <v>22</v>
      </c>
      <c r="E220" s="250">
        <v>11500.31</v>
      </c>
    </row>
    <row r="221" spans="2:5" x14ac:dyDescent="0.35">
      <c r="C221" s="1" t="s">
        <v>1397</v>
      </c>
      <c r="D221" s="1" t="s">
        <v>22</v>
      </c>
      <c r="E221" s="250">
        <v>11500.32</v>
      </c>
    </row>
  </sheetData>
  <mergeCells count="9">
    <mergeCell ref="J5:K5"/>
    <mergeCell ref="J6:K6"/>
    <mergeCell ref="J7:K7"/>
    <mergeCell ref="A3:B3"/>
    <mergeCell ref="D3:G3"/>
    <mergeCell ref="J3:K3"/>
    <mergeCell ref="P3:Q3"/>
    <mergeCell ref="A4:B4"/>
    <mergeCell ref="J4:K4"/>
  </mergeCells>
  <dataValidations count="1">
    <dataValidation type="list" allowBlank="1" showInputMessage="1" showErrorMessage="1" sqref="C16:C190" xr:uid="{C4EBC921-8EA0-4B58-9A8F-79DDFD82E22A}">
      <formula1>$C$205:$C207</formula1>
    </dataValidation>
  </dataValidations>
  <hyperlinks>
    <hyperlink ref="D3" r:id="rId1" display="datamateapp@gmail.com" xr:uid="{384AF2D2-5EA4-4E65-ACB7-7CFF071C514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56737" r:id="rId4" name="Button 1">
              <controlPr defaultSize="0" print="0" autoFill="0" autoPict="0" macro="SaveData">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756738" r:id="rId5" name="Button 2">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756739"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756740"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756741" r:id="rId8" name="Button 5">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756742" r:id="rId9" name="Button 6">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756743" r:id="rId10" name="Button 7">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756744" r:id="rId11" name="Button 8">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mc:AlternateContent xmlns:mc="http://schemas.openxmlformats.org/markup-compatibility/2006">
          <mc:Choice Requires="x14">
            <control shapeId="756745" r:id="rId12" name="Button 9">
              <controlPr defaultSize="0" print="0" autoFill="0" autoPict="0" macro="[0]!ExitSEC_115000">
                <anchor moveWithCells="1" sizeWithCells="1">
                  <from>
                    <xdr:col>16</xdr:col>
                    <xdr:colOff>0</xdr:colOff>
                    <xdr:row>0</xdr:row>
                    <xdr:rowOff>0</xdr:rowOff>
                  </from>
                  <to>
                    <xdr:col>16</xdr:col>
                    <xdr:colOff>1270000</xdr:colOff>
                    <xdr:row>2</xdr:row>
                    <xdr:rowOff>12700</xdr:rowOff>
                  </to>
                </anchor>
              </controlPr>
            </control>
          </mc:Choice>
        </mc:AlternateContent>
      </controls>
    </mc:Choice>
  </mc:AlternateContent>
</worksheet>
</file>

<file path=xl/worksheets/sheet1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C9527-D7BE-4871-ACA3-80B8905B4BB9}">
  <sheetPr codeName="Sheet141"/>
  <dimension ref="A1:Q211"/>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ENTERTAINMENT AND RECREATION EQUIPMENT</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11 60 00</v>
      </c>
      <c r="C10" s="24" t="str">
        <f>C206</f>
        <v>ENTERTAINMENT AND RECREATION EQUIPMENT</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ENTERTAINMENT AND RECREATION EQUIPMENT</v>
      </c>
      <c r="D12" s="31"/>
      <c r="E12" s="32"/>
      <c r="F12" s="34"/>
      <c r="G12" s="33"/>
      <c r="H12" s="34"/>
      <c r="I12" s="33"/>
      <c r="J12" s="34"/>
      <c r="K12" s="34"/>
      <c r="L12" s="34"/>
      <c r="M12" s="33"/>
      <c r="N12" s="34"/>
      <c r="O12" s="35"/>
      <c r="P12" s="31"/>
      <c r="Q12" s="35"/>
    </row>
    <row r="13" spans="1:17" x14ac:dyDescent="0.35">
      <c r="A13" s="1"/>
      <c r="B13" s="1"/>
      <c r="C13" s="1"/>
      <c r="D13" s="1"/>
      <c r="E13" s="1"/>
      <c r="F13" s="1"/>
      <c r="G13" s="1"/>
      <c r="H13" s="1"/>
      <c r="I13" s="1"/>
      <c r="J13" s="1"/>
      <c r="K13" s="1"/>
      <c r="L13" s="1"/>
      <c r="M13" s="1"/>
      <c r="N13" s="1"/>
      <c r="O13" s="1"/>
      <c r="P13" s="1"/>
      <c r="Q13" s="1"/>
    </row>
    <row r="14" spans="1:17" x14ac:dyDescent="0.35">
      <c r="A14" s="1"/>
      <c r="B14" s="1"/>
      <c r="C14" s="1"/>
      <c r="D14" s="1"/>
      <c r="E14" s="1"/>
      <c r="F14" s="1"/>
      <c r="G14" s="1"/>
      <c r="H14" s="1"/>
      <c r="I14" s="1"/>
      <c r="J14" s="1"/>
      <c r="K14" s="1"/>
      <c r="L14" s="1"/>
      <c r="M14" s="1"/>
      <c r="N14" s="1"/>
      <c r="O14" s="1"/>
      <c r="P14" s="1"/>
      <c r="Q14" s="1"/>
    </row>
    <row r="15" spans="1:17" x14ac:dyDescent="0.35">
      <c r="A15" s="1"/>
      <c r="B15" s="1"/>
      <c r="C15" s="1"/>
      <c r="D15" s="1"/>
      <c r="E15" s="1"/>
      <c r="F15" s="1"/>
      <c r="G15" s="1"/>
      <c r="H15" s="1"/>
      <c r="I15" s="1"/>
      <c r="J15" s="1"/>
      <c r="K15" s="1"/>
      <c r="L15" s="1"/>
      <c r="M15" s="1"/>
      <c r="N15" s="1"/>
      <c r="O15" s="1"/>
      <c r="P15" s="1"/>
      <c r="Q15" s="1"/>
    </row>
    <row r="16" spans="1:17" x14ac:dyDescent="0.35">
      <c r="A16" s="1"/>
      <c r="B16" s="1"/>
      <c r="C16" s="1"/>
      <c r="D16" s="1"/>
      <c r="E16" s="1"/>
      <c r="F16" s="1"/>
      <c r="G16" s="1"/>
      <c r="H16" s="1"/>
      <c r="I16" s="1"/>
      <c r="J16" s="1"/>
      <c r="K16" s="1"/>
      <c r="L16" s="1"/>
      <c r="M16" s="1"/>
      <c r="N16" s="1"/>
      <c r="O16" s="1"/>
      <c r="P16" s="1"/>
      <c r="Q16" s="1"/>
    </row>
    <row r="17" spans="1:17" x14ac:dyDescent="0.35">
      <c r="A17" s="1"/>
      <c r="B17" s="1"/>
      <c r="C17" s="1"/>
      <c r="D17" s="1"/>
      <c r="E17" s="1"/>
      <c r="F17" s="1"/>
      <c r="G17" s="1"/>
      <c r="H17" s="1"/>
      <c r="I17" s="1"/>
      <c r="J17" s="1"/>
      <c r="K17" s="1"/>
      <c r="L17" s="1"/>
      <c r="M17" s="1"/>
      <c r="N17" s="1"/>
      <c r="O17" s="1"/>
      <c r="P17" s="1"/>
      <c r="Q17" s="1"/>
    </row>
    <row r="18" spans="1:17" x14ac:dyDescent="0.35">
      <c r="A18" s="1"/>
      <c r="B18" s="1"/>
      <c r="C18" s="1"/>
      <c r="D18" s="1"/>
      <c r="E18" s="1"/>
      <c r="F18" s="1"/>
      <c r="G18" s="1"/>
      <c r="H18" s="1"/>
      <c r="I18" s="1"/>
      <c r="J18" s="1"/>
      <c r="K18" s="1"/>
      <c r="L18" s="1"/>
      <c r="M18" s="1"/>
      <c r="N18" s="1"/>
      <c r="O18" s="1"/>
      <c r="P18" s="1"/>
      <c r="Q18" s="1"/>
    </row>
    <row r="19" spans="1:17" x14ac:dyDescent="0.35">
      <c r="A19" s="1"/>
      <c r="B19" s="1"/>
      <c r="C19" s="1"/>
      <c r="D19" s="1"/>
      <c r="E19" s="1"/>
      <c r="F19" s="1"/>
      <c r="G19" s="1"/>
      <c r="H19" s="1"/>
      <c r="I19" s="1"/>
      <c r="J19" s="1"/>
      <c r="K19" s="1"/>
      <c r="L19" s="1"/>
      <c r="M19" s="1"/>
      <c r="N19" s="1"/>
      <c r="O19" s="1"/>
      <c r="P19" s="1"/>
      <c r="Q19" s="1"/>
    </row>
    <row r="20" spans="1:17" x14ac:dyDescent="0.35">
      <c r="A20" s="1"/>
      <c r="B20" s="1"/>
      <c r="C20" s="1"/>
      <c r="D20" s="1"/>
      <c r="E20" s="1"/>
      <c r="F20" s="1"/>
      <c r="G20" s="1"/>
      <c r="H20" s="1"/>
      <c r="I20" s="1"/>
      <c r="J20" s="1"/>
      <c r="K20" s="1"/>
      <c r="L20" s="1"/>
      <c r="M20" s="1"/>
      <c r="N20" s="1"/>
      <c r="O20" s="1"/>
      <c r="P20" s="1"/>
      <c r="Q20" s="1"/>
    </row>
    <row r="21" spans="1:17" x14ac:dyDescent="0.35">
      <c r="A21" s="1"/>
      <c r="B21" s="1"/>
      <c r="C21" s="1"/>
      <c r="D21" s="1"/>
      <c r="E21" s="1"/>
      <c r="F21" s="1"/>
      <c r="G21" s="1"/>
      <c r="H21" s="1"/>
      <c r="I21" s="1"/>
      <c r="J21" s="1"/>
      <c r="K21" s="1"/>
      <c r="L21" s="1"/>
      <c r="M21" s="1"/>
      <c r="N21" s="1"/>
      <c r="O21" s="1"/>
      <c r="P21" s="1"/>
      <c r="Q21" s="1"/>
    </row>
    <row r="22" spans="1:17" x14ac:dyDescent="0.35">
      <c r="A22" s="1"/>
      <c r="B22" s="1"/>
      <c r="C22" s="1"/>
      <c r="D22" s="1"/>
      <c r="E22" s="1"/>
      <c r="F22" s="1"/>
      <c r="G22" s="1"/>
      <c r="H22" s="1"/>
      <c r="I22" s="1"/>
      <c r="J22" s="1"/>
      <c r="K22" s="1"/>
      <c r="L22" s="1"/>
      <c r="M22" s="1"/>
      <c r="N22" s="1"/>
      <c r="O22" s="1"/>
      <c r="P22" s="1"/>
      <c r="Q22" s="1"/>
    </row>
    <row r="23" spans="1:17" x14ac:dyDescent="0.35">
      <c r="A23" s="1"/>
      <c r="B23" s="1"/>
      <c r="C23" s="1"/>
      <c r="D23" s="1"/>
      <c r="E23" s="1"/>
      <c r="F23" s="1"/>
      <c r="G23" s="1"/>
      <c r="H23" s="1"/>
      <c r="I23" s="1"/>
      <c r="J23" s="1"/>
      <c r="K23" s="1"/>
      <c r="L23" s="1"/>
      <c r="M23" s="1"/>
      <c r="N23" s="1"/>
      <c r="O23" s="1"/>
      <c r="P23" s="1"/>
      <c r="Q23" s="1"/>
    </row>
    <row r="24" spans="1:17" x14ac:dyDescent="0.35">
      <c r="A24" s="1"/>
      <c r="B24" s="1"/>
      <c r="C24" s="1"/>
      <c r="D24" s="1"/>
      <c r="E24" s="1"/>
      <c r="F24" s="1"/>
      <c r="G24" s="1"/>
      <c r="H24" s="1"/>
      <c r="I24" s="1"/>
      <c r="J24" s="1"/>
      <c r="K24" s="1"/>
      <c r="L24" s="1"/>
      <c r="M24" s="1"/>
      <c r="N24" s="1"/>
      <c r="O24" s="1"/>
      <c r="P24" s="1"/>
      <c r="Q24" s="1"/>
    </row>
    <row r="25" spans="1:17" x14ac:dyDescent="0.35">
      <c r="A25" s="1"/>
      <c r="B25" s="1"/>
      <c r="C25" s="1"/>
      <c r="D25" s="1"/>
      <c r="E25" s="1"/>
      <c r="F25" s="1"/>
      <c r="G25" s="1"/>
      <c r="H25" s="1"/>
      <c r="I25" s="1"/>
      <c r="J25" s="1"/>
      <c r="K25" s="1"/>
      <c r="L25" s="1"/>
      <c r="M25" s="1"/>
      <c r="N25" s="1"/>
      <c r="O25" s="1"/>
      <c r="P25" s="1"/>
      <c r="Q25" s="1"/>
    </row>
    <row r="26" spans="1:17" x14ac:dyDescent="0.35">
      <c r="A26" s="1"/>
      <c r="B26" s="1"/>
      <c r="C26" s="1"/>
      <c r="D26" s="1"/>
      <c r="E26" s="1"/>
      <c r="F26" s="1"/>
      <c r="G26" s="1"/>
      <c r="H26" s="1"/>
      <c r="I26" s="1"/>
      <c r="J26" s="1"/>
      <c r="K26" s="1"/>
      <c r="L26" s="1"/>
      <c r="M26" s="1"/>
      <c r="N26" s="1"/>
      <c r="O26" s="1"/>
      <c r="P26" s="1"/>
      <c r="Q26" s="1"/>
    </row>
    <row r="27" spans="1:17" x14ac:dyDescent="0.35">
      <c r="A27" s="1"/>
      <c r="B27" s="1"/>
      <c r="C27" s="1"/>
      <c r="D27" s="1"/>
      <c r="E27" s="1"/>
      <c r="F27" s="1"/>
      <c r="G27" s="1"/>
      <c r="H27" s="1"/>
      <c r="I27" s="1"/>
      <c r="J27" s="1"/>
      <c r="K27" s="1"/>
      <c r="L27" s="1"/>
      <c r="M27" s="1"/>
      <c r="N27" s="1"/>
      <c r="O27" s="1"/>
      <c r="P27" s="1"/>
      <c r="Q27" s="1"/>
    </row>
    <row r="28" spans="1:17" x14ac:dyDescent="0.35">
      <c r="A28" s="1"/>
      <c r="B28" s="1"/>
      <c r="C28" s="1"/>
      <c r="D28" s="1"/>
      <c r="E28" s="1"/>
      <c r="F28" s="1"/>
      <c r="G28" s="1"/>
      <c r="H28" s="1"/>
      <c r="I28" s="1"/>
      <c r="J28" s="1"/>
      <c r="K28" s="1"/>
      <c r="L28" s="1"/>
      <c r="M28" s="1"/>
      <c r="N28" s="1"/>
      <c r="O28" s="1"/>
      <c r="P28" s="1"/>
      <c r="Q28" s="1"/>
    </row>
    <row r="29" spans="1:17" x14ac:dyDescent="0.35">
      <c r="A29" s="1"/>
      <c r="B29" s="1"/>
      <c r="C29" s="1"/>
      <c r="D29" s="1"/>
      <c r="E29" s="1"/>
      <c r="F29" s="1"/>
      <c r="G29" s="1"/>
      <c r="H29" s="1"/>
      <c r="I29" s="1"/>
      <c r="J29" s="1"/>
      <c r="K29" s="1"/>
      <c r="L29" s="1"/>
      <c r="M29" s="1"/>
      <c r="N29" s="1"/>
      <c r="O29" s="1"/>
      <c r="P29" s="1"/>
      <c r="Q29" s="1"/>
    </row>
    <row r="30" spans="1:17" x14ac:dyDescent="0.35">
      <c r="A30" s="1"/>
      <c r="B30" s="1"/>
      <c r="C30" s="1"/>
      <c r="D30" s="1"/>
      <c r="E30" s="1"/>
      <c r="F30" s="1"/>
      <c r="G30" s="1"/>
      <c r="H30" s="1"/>
      <c r="I30" s="1"/>
      <c r="J30" s="1"/>
      <c r="K30" s="1"/>
      <c r="L30" s="1"/>
      <c r="M30" s="1"/>
      <c r="N30" s="1"/>
      <c r="O30" s="1"/>
      <c r="P30" s="1"/>
      <c r="Q30" s="1"/>
    </row>
    <row r="31" spans="1:17" x14ac:dyDescent="0.35">
      <c r="A31" s="1"/>
      <c r="B31" s="1"/>
      <c r="C31" s="1"/>
      <c r="D31" s="1"/>
      <c r="E31" s="1"/>
      <c r="F31" s="1"/>
      <c r="G31" s="1"/>
      <c r="H31" s="1"/>
      <c r="I31" s="1"/>
      <c r="J31" s="1"/>
      <c r="K31" s="1"/>
      <c r="L31" s="1"/>
      <c r="M31" s="1"/>
      <c r="N31" s="1"/>
      <c r="O31" s="1"/>
      <c r="P31" s="1"/>
      <c r="Q31" s="1"/>
    </row>
    <row r="32" spans="1:17" x14ac:dyDescent="0.35">
      <c r="A32" s="1"/>
      <c r="B32" s="1"/>
      <c r="C32" s="1"/>
      <c r="D32" s="1"/>
      <c r="E32" s="1"/>
      <c r="F32" s="1"/>
      <c r="G32" s="1"/>
      <c r="H32" s="1"/>
      <c r="I32" s="1"/>
      <c r="J32" s="1"/>
      <c r="K32" s="1"/>
      <c r="L32" s="1"/>
      <c r="M32" s="1"/>
      <c r="N32" s="1"/>
      <c r="O32" s="1"/>
      <c r="P32" s="1"/>
      <c r="Q32" s="1"/>
    </row>
    <row r="33" spans="1:17" x14ac:dyDescent="0.35">
      <c r="A33" s="1"/>
      <c r="B33" s="1"/>
      <c r="C33" s="1"/>
      <c r="D33" s="1"/>
      <c r="E33" s="1"/>
      <c r="F33" s="1"/>
      <c r="G33" s="1"/>
      <c r="H33" s="1"/>
      <c r="I33" s="1"/>
      <c r="J33" s="1"/>
      <c r="K33" s="1"/>
      <c r="L33" s="1"/>
      <c r="M33" s="1"/>
      <c r="N33" s="1"/>
      <c r="O33" s="1"/>
      <c r="P33" s="1"/>
      <c r="Q33" s="1"/>
    </row>
    <row r="34" spans="1:17" x14ac:dyDescent="0.35">
      <c r="A34" s="1"/>
      <c r="B34" s="1"/>
      <c r="C34" s="1"/>
      <c r="D34" s="1"/>
      <c r="E34" s="1"/>
      <c r="F34" s="1"/>
      <c r="G34" s="1"/>
      <c r="H34" s="1"/>
      <c r="I34" s="1"/>
      <c r="J34" s="1"/>
      <c r="K34" s="1"/>
      <c r="L34" s="1"/>
      <c r="M34" s="1"/>
      <c r="N34" s="1"/>
      <c r="O34" s="1"/>
      <c r="P34" s="1"/>
      <c r="Q34" s="1"/>
    </row>
    <row r="35" spans="1:17" x14ac:dyDescent="0.35">
      <c r="A35" s="1"/>
      <c r="B35" s="1"/>
      <c r="C35" s="1"/>
      <c r="D35" s="1"/>
      <c r="E35" s="1"/>
      <c r="F35" s="1"/>
      <c r="G35" s="1"/>
      <c r="H35" s="1"/>
      <c r="I35" s="1"/>
      <c r="J35" s="1"/>
      <c r="K35" s="1"/>
      <c r="L35" s="1"/>
      <c r="M35" s="1"/>
      <c r="N35" s="1"/>
      <c r="O35" s="1"/>
      <c r="P35" s="1"/>
      <c r="Q35" s="1"/>
    </row>
    <row r="36" spans="1:17" x14ac:dyDescent="0.35">
      <c r="A36" s="1"/>
      <c r="B36" s="1"/>
      <c r="C36" s="1"/>
      <c r="D36" s="1"/>
      <c r="E36" s="1"/>
      <c r="F36" s="1"/>
      <c r="G36" s="1"/>
      <c r="H36" s="1"/>
      <c r="I36" s="1"/>
      <c r="J36" s="1"/>
      <c r="K36" s="1"/>
      <c r="L36" s="1"/>
      <c r="M36" s="1"/>
      <c r="N36" s="1"/>
      <c r="O36" s="1"/>
      <c r="P36" s="1"/>
      <c r="Q36" s="1"/>
    </row>
    <row r="37" spans="1:17" x14ac:dyDescent="0.35">
      <c r="A37" s="1"/>
      <c r="B37" s="1"/>
      <c r="C37" s="1"/>
      <c r="D37" s="1"/>
      <c r="E37" s="1"/>
      <c r="F37" s="1"/>
      <c r="G37" s="1"/>
      <c r="H37" s="1"/>
      <c r="I37" s="1"/>
      <c r="J37" s="1"/>
      <c r="K37" s="1"/>
      <c r="L37" s="1"/>
      <c r="M37" s="1"/>
      <c r="N37" s="1"/>
      <c r="O37" s="1"/>
      <c r="P37" s="1"/>
      <c r="Q37" s="1"/>
    </row>
    <row r="38" spans="1:17" x14ac:dyDescent="0.35">
      <c r="A38" s="1"/>
      <c r="B38" s="1"/>
      <c r="C38" s="1"/>
      <c r="D38" s="1"/>
      <c r="E38" s="1"/>
      <c r="F38" s="1"/>
      <c r="G38" s="1"/>
      <c r="H38" s="1"/>
      <c r="I38" s="1"/>
      <c r="J38" s="1"/>
      <c r="K38" s="1"/>
      <c r="L38" s="1"/>
      <c r="M38" s="1"/>
      <c r="N38" s="1"/>
      <c r="O38" s="1"/>
      <c r="P38" s="1"/>
      <c r="Q38" s="1"/>
    </row>
    <row r="39" spans="1:17" x14ac:dyDescent="0.35">
      <c r="A39" s="1"/>
      <c r="B39" s="1"/>
      <c r="C39" s="1"/>
      <c r="D39" s="1"/>
      <c r="E39" s="1"/>
      <c r="F39" s="1"/>
      <c r="G39" s="1"/>
      <c r="H39" s="1"/>
      <c r="I39" s="1"/>
      <c r="J39" s="1"/>
      <c r="K39" s="1"/>
      <c r="L39" s="1"/>
      <c r="M39" s="1"/>
      <c r="N39" s="1"/>
      <c r="O39" s="1"/>
      <c r="P39" s="1"/>
      <c r="Q39" s="1"/>
    </row>
    <row r="40" spans="1:17" x14ac:dyDescent="0.35">
      <c r="A40" s="1"/>
      <c r="B40" s="1"/>
      <c r="C40" s="1"/>
      <c r="D40" s="1"/>
      <c r="E40" s="1"/>
      <c r="F40" s="1"/>
      <c r="G40" s="1"/>
      <c r="H40" s="1"/>
      <c r="I40" s="1"/>
      <c r="J40" s="1"/>
      <c r="K40" s="1"/>
      <c r="L40" s="1"/>
      <c r="M40" s="1"/>
      <c r="N40" s="1"/>
      <c r="O40" s="1"/>
      <c r="P40" s="1"/>
      <c r="Q40" s="1"/>
    </row>
    <row r="41" spans="1:17" x14ac:dyDescent="0.35">
      <c r="A41" s="1"/>
      <c r="B41" s="1"/>
      <c r="C41" s="1"/>
      <c r="D41" s="1"/>
      <c r="E41" s="1"/>
      <c r="F41" s="1"/>
      <c r="G41" s="1"/>
      <c r="H41" s="1"/>
      <c r="I41" s="1"/>
      <c r="J41" s="1"/>
      <c r="K41" s="1"/>
      <c r="L41" s="1"/>
      <c r="M41" s="1"/>
      <c r="N41" s="1"/>
      <c r="O41" s="1"/>
      <c r="P41" s="1"/>
      <c r="Q41" s="1"/>
    </row>
    <row r="42" spans="1:17" x14ac:dyDescent="0.35">
      <c r="A42" s="1"/>
      <c r="B42" s="1"/>
      <c r="C42" s="1"/>
      <c r="D42" s="1"/>
      <c r="E42" s="1"/>
      <c r="F42" s="1"/>
      <c r="G42" s="1"/>
      <c r="H42" s="1"/>
      <c r="I42" s="1"/>
      <c r="J42" s="1"/>
      <c r="K42" s="1"/>
      <c r="L42" s="1"/>
      <c r="M42" s="1"/>
      <c r="N42" s="1"/>
      <c r="O42" s="1"/>
      <c r="P42" s="1"/>
      <c r="Q42" s="1"/>
    </row>
    <row r="43" spans="1:17" x14ac:dyDescent="0.35">
      <c r="A43" s="1"/>
      <c r="B43" s="1"/>
      <c r="C43" s="1"/>
      <c r="D43" s="1"/>
      <c r="E43" s="1"/>
      <c r="F43" s="1"/>
      <c r="G43" s="1"/>
      <c r="H43" s="1"/>
      <c r="I43" s="1"/>
      <c r="J43" s="1"/>
      <c r="K43" s="1"/>
      <c r="L43" s="1"/>
      <c r="M43" s="1"/>
      <c r="N43" s="1"/>
      <c r="O43" s="1"/>
      <c r="P43" s="1"/>
      <c r="Q43" s="1"/>
    </row>
    <row r="44" spans="1:17" x14ac:dyDescent="0.35">
      <c r="A44" s="1"/>
      <c r="B44" s="1"/>
      <c r="C44" s="1"/>
      <c r="D44" s="1"/>
      <c r="E44" s="1"/>
      <c r="F44" s="1"/>
      <c r="G44" s="1"/>
      <c r="H44" s="1"/>
      <c r="I44" s="1"/>
      <c r="J44" s="1"/>
      <c r="K44" s="1"/>
      <c r="L44" s="1"/>
      <c r="M44" s="1"/>
      <c r="N44" s="1"/>
      <c r="O44" s="1"/>
      <c r="P44" s="1"/>
      <c r="Q44" s="1"/>
    </row>
    <row r="45" spans="1:17" x14ac:dyDescent="0.35">
      <c r="A45" s="1"/>
      <c r="B45" s="1"/>
      <c r="C45" s="1"/>
      <c r="D45" s="1"/>
      <c r="E45" s="1"/>
      <c r="F45" s="1"/>
      <c r="G45" s="1"/>
      <c r="H45" s="1"/>
      <c r="I45" s="1"/>
      <c r="J45" s="1"/>
      <c r="K45" s="1"/>
      <c r="L45" s="1"/>
      <c r="M45" s="1"/>
      <c r="N45" s="1"/>
      <c r="O45" s="1"/>
      <c r="P45" s="1"/>
      <c r="Q45" s="1"/>
    </row>
    <row r="46" spans="1:17" x14ac:dyDescent="0.35">
      <c r="A46" s="1"/>
      <c r="B46" s="1"/>
      <c r="C46" s="1"/>
      <c r="D46" s="1"/>
      <c r="E46" s="1"/>
      <c r="F46" s="1"/>
      <c r="G46" s="1"/>
      <c r="H46" s="1"/>
      <c r="I46" s="1"/>
      <c r="J46" s="1"/>
      <c r="K46" s="1"/>
      <c r="L46" s="1"/>
      <c r="M46" s="1"/>
      <c r="N46" s="1"/>
      <c r="O46" s="1"/>
      <c r="P46" s="1"/>
      <c r="Q46" s="1"/>
    </row>
    <row r="47" spans="1:17" x14ac:dyDescent="0.35">
      <c r="A47" s="1"/>
      <c r="B47" s="1"/>
      <c r="C47" s="1"/>
      <c r="D47" s="1"/>
      <c r="E47" s="1"/>
      <c r="F47" s="1"/>
      <c r="G47" s="1"/>
      <c r="H47" s="1"/>
      <c r="I47" s="1"/>
      <c r="J47" s="1"/>
      <c r="K47" s="1"/>
      <c r="L47" s="1"/>
      <c r="M47" s="1"/>
      <c r="N47" s="1"/>
      <c r="O47" s="1"/>
      <c r="P47" s="1"/>
      <c r="Q47" s="1"/>
    </row>
    <row r="48" spans="1:17" x14ac:dyDescent="0.35">
      <c r="A48" s="1"/>
      <c r="B48" s="1"/>
      <c r="C48" s="1"/>
      <c r="D48" s="1"/>
      <c r="E48" s="1"/>
      <c r="F48" s="1"/>
      <c r="G48" s="1"/>
      <c r="H48" s="1"/>
      <c r="I48" s="1"/>
      <c r="J48" s="1"/>
      <c r="K48" s="1"/>
      <c r="L48" s="1"/>
      <c r="M48" s="1"/>
      <c r="N48" s="1"/>
      <c r="O48" s="1"/>
      <c r="P48" s="1"/>
      <c r="Q48" s="1"/>
    </row>
    <row r="49" spans="1:17" x14ac:dyDescent="0.35">
      <c r="A49" s="1"/>
      <c r="B49" s="1"/>
      <c r="C49" s="1"/>
      <c r="D49" s="1"/>
      <c r="E49" s="1"/>
      <c r="F49" s="1"/>
      <c r="G49" s="1"/>
      <c r="H49" s="1"/>
      <c r="I49" s="1"/>
      <c r="J49" s="1"/>
      <c r="K49" s="1"/>
      <c r="L49" s="1"/>
      <c r="M49" s="1"/>
      <c r="N49" s="1"/>
      <c r="O49" s="1"/>
      <c r="P49" s="1"/>
      <c r="Q49" s="1"/>
    </row>
    <row r="50" spans="1:17" x14ac:dyDescent="0.35">
      <c r="A50" s="1"/>
      <c r="B50" s="1"/>
      <c r="C50" s="1"/>
      <c r="D50" s="1"/>
      <c r="E50" s="1"/>
      <c r="F50" s="1"/>
      <c r="G50" s="1"/>
      <c r="H50" s="1"/>
      <c r="I50" s="1"/>
      <c r="J50" s="1"/>
      <c r="K50" s="1"/>
      <c r="L50" s="1"/>
      <c r="M50" s="1"/>
      <c r="N50" s="1"/>
      <c r="O50" s="1"/>
      <c r="P50" s="1"/>
      <c r="Q50" s="1"/>
    </row>
    <row r="51" spans="1:17" x14ac:dyDescent="0.35">
      <c r="A51" s="1"/>
      <c r="B51" s="1"/>
      <c r="C51" s="1"/>
      <c r="D51" s="1"/>
      <c r="E51" s="1"/>
      <c r="F51" s="1"/>
      <c r="G51" s="1"/>
      <c r="H51" s="1"/>
      <c r="I51" s="1"/>
      <c r="J51" s="1"/>
      <c r="K51" s="1"/>
      <c r="L51" s="1"/>
      <c r="M51" s="1"/>
      <c r="N51" s="1"/>
      <c r="O51" s="1"/>
      <c r="P51" s="1"/>
      <c r="Q51" s="1"/>
    </row>
    <row r="52" spans="1:17" x14ac:dyDescent="0.35">
      <c r="A52" s="1"/>
      <c r="B52" s="1"/>
      <c r="C52" s="1"/>
      <c r="D52" s="1"/>
      <c r="E52" s="1"/>
      <c r="F52" s="1"/>
      <c r="G52" s="1"/>
      <c r="H52" s="1"/>
      <c r="I52" s="1"/>
      <c r="J52" s="1"/>
      <c r="K52" s="1"/>
      <c r="L52" s="1"/>
      <c r="M52" s="1"/>
      <c r="N52" s="1"/>
      <c r="O52" s="1"/>
      <c r="P52" s="1"/>
      <c r="Q52" s="1"/>
    </row>
    <row r="53" spans="1:17" x14ac:dyDescent="0.35">
      <c r="A53" s="1"/>
      <c r="B53" s="1"/>
      <c r="C53" s="1"/>
      <c r="D53" s="1"/>
      <c r="E53" s="1"/>
      <c r="F53" s="1"/>
      <c r="G53" s="1"/>
      <c r="H53" s="1"/>
      <c r="I53" s="1"/>
      <c r="J53" s="1"/>
      <c r="K53" s="1"/>
      <c r="L53" s="1"/>
      <c r="M53" s="1"/>
      <c r="N53" s="1"/>
      <c r="O53" s="1"/>
      <c r="P53" s="1"/>
      <c r="Q53" s="1"/>
    </row>
    <row r="54" spans="1:17" x14ac:dyDescent="0.35">
      <c r="A54" s="1"/>
      <c r="B54" s="1"/>
      <c r="C54" s="1"/>
      <c r="D54" s="1"/>
      <c r="E54" s="1"/>
      <c r="F54" s="1"/>
      <c r="G54" s="1"/>
      <c r="H54" s="1"/>
      <c r="I54" s="1"/>
      <c r="J54" s="1"/>
      <c r="K54" s="1"/>
      <c r="L54" s="1"/>
      <c r="M54" s="1"/>
      <c r="N54" s="1"/>
      <c r="O54" s="1"/>
      <c r="P54" s="1"/>
      <c r="Q54" s="1"/>
    </row>
    <row r="55" spans="1:17" x14ac:dyDescent="0.35">
      <c r="A55" s="1"/>
      <c r="B55" s="1"/>
      <c r="C55" s="1"/>
      <c r="D55" s="1"/>
      <c r="E55" s="1"/>
      <c r="F55" s="1"/>
      <c r="G55" s="1"/>
      <c r="H55" s="1"/>
      <c r="I55" s="1"/>
      <c r="J55" s="1"/>
      <c r="K55" s="1"/>
      <c r="L55" s="1"/>
      <c r="M55" s="1"/>
      <c r="N55" s="1"/>
      <c r="O55" s="1"/>
      <c r="P55" s="1"/>
      <c r="Q55" s="1"/>
    </row>
    <row r="56" spans="1:17" x14ac:dyDescent="0.35">
      <c r="A56" s="1"/>
      <c r="B56" s="1"/>
      <c r="C56" s="1"/>
      <c r="D56" s="1"/>
      <c r="E56" s="1"/>
      <c r="F56" s="1"/>
      <c r="G56" s="1"/>
      <c r="H56" s="1"/>
      <c r="I56" s="1"/>
      <c r="J56" s="1"/>
      <c r="K56" s="1"/>
      <c r="L56" s="1"/>
      <c r="M56" s="1"/>
      <c r="N56" s="1"/>
      <c r="O56" s="1"/>
      <c r="P56" s="1"/>
      <c r="Q56" s="1"/>
    </row>
    <row r="57" spans="1:17" x14ac:dyDescent="0.35">
      <c r="A57" s="1"/>
      <c r="B57" s="1"/>
      <c r="C57" s="1"/>
      <c r="D57" s="1"/>
      <c r="E57" s="1"/>
      <c r="F57" s="1"/>
      <c r="G57" s="1"/>
      <c r="H57" s="1"/>
      <c r="I57" s="1"/>
      <c r="J57" s="1"/>
      <c r="K57" s="1"/>
      <c r="L57" s="1"/>
      <c r="M57" s="1"/>
      <c r="N57" s="1"/>
      <c r="O57" s="1"/>
      <c r="P57" s="1"/>
      <c r="Q57" s="1"/>
    </row>
    <row r="58" spans="1:17" x14ac:dyDescent="0.35">
      <c r="A58" s="1"/>
      <c r="B58" s="1"/>
      <c r="C58" s="1"/>
      <c r="D58" s="1"/>
      <c r="E58" s="1"/>
      <c r="F58" s="1"/>
      <c r="G58" s="1"/>
      <c r="H58" s="1"/>
      <c r="I58" s="1"/>
      <c r="J58" s="1"/>
      <c r="K58" s="1"/>
      <c r="L58" s="1"/>
      <c r="M58" s="1"/>
      <c r="N58" s="1"/>
      <c r="O58" s="1"/>
      <c r="P58" s="1"/>
      <c r="Q58" s="1"/>
    </row>
    <row r="59" spans="1:17" x14ac:dyDescent="0.35">
      <c r="A59" s="1"/>
      <c r="B59" s="1"/>
      <c r="C59" s="1"/>
      <c r="D59" s="1"/>
      <c r="E59" s="1"/>
      <c r="F59" s="1"/>
      <c r="G59" s="1"/>
      <c r="H59" s="1"/>
      <c r="I59" s="1"/>
      <c r="J59" s="1"/>
      <c r="K59" s="1"/>
      <c r="L59" s="1"/>
      <c r="M59" s="1"/>
      <c r="N59" s="1"/>
      <c r="O59" s="1"/>
      <c r="P59" s="1"/>
      <c r="Q59" s="1"/>
    </row>
    <row r="60" spans="1:17" x14ac:dyDescent="0.35">
      <c r="A60" s="1"/>
      <c r="B60" s="1"/>
      <c r="C60" s="1"/>
      <c r="D60" s="1"/>
      <c r="E60" s="1"/>
      <c r="F60" s="1"/>
      <c r="G60" s="1"/>
      <c r="H60" s="1"/>
      <c r="I60" s="1"/>
      <c r="J60" s="1"/>
      <c r="K60" s="1"/>
      <c r="L60" s="1"/>
      <c r="M60" s="1"/>
      <c r="N60" s="1"/>
      <c r="O60" s="1"/>
      <c r="P60" s="1"/>
      <c r="Q60" s="1"/>
    </row>
    <row r="61" spans="1:17" x14ac:dyDescent="0.35">
      <c r="A61" s="1"/>
      <c r="B61" s="1"/>
      <c r="C61" s="1"/>
      <c r="D61" s="1"/>
      <c r="E61" s="1"/>
      <c r="F61" s="1"/>
      <c r="G61" s="1"/>
      <c r="H61" s="1"/>
      <c r="I61" s="1"/>
      <c r="J61" s="1"/>
      <c r="K61" s="1"/>
      <c r="L61" s="1"/>
      <c r="M61" s="1"/>
      <c r="N61" s="1"/>
      <c r="O61" s="1"/>
      <c r="P61" s="1"/>
      <c r="Q61" s="1"/>
    </row>
    <row r="62" spans="1:17" x14ac:dyDescent="0.35">
      <c r="A62" s="1"/>
      <c r="B62" s="1"/>
      <c r="C62" s="1"/>
      <c r="D62" s="1"/>
      <c r="E62" s="1"/>
      <c r="F62" s="1"/>
      <c r="G62" s="1"/>
      <c r="H62" s="1"/>
      <c r="I62" s="1"/>
      <c r="J62" s="1"/>
      <c r="K62" s="1"/>
      <c r="L62" s="1"/>
      <c r="M62" s="1"/>
      <c r="N62" s="1"/>
      <c r="O62" s="1"/>
      <c r="P62" s="1"/>
      <c r="Q62" s="1"/>
    </row>
    <row r="63" spans="1:17" x14ac:dyDescent="0.35">
      <c r="A63" s="1"/>
      <c r="B63" s="1"/>
      <c r="C63" s="1"/>
      <c r="D63" s="1"/>
      <c r="E63" s="1"/>
      <c r="F63" s="1"/>
      <c r="G63" s="1"/>
      <c r="H63" s="1"/>
      <c r="I63" s="1"/>
      <c r="J63" s="1"/>
      <c r="K63" s="1"/>
      <c r="L63" s="1"/>
      <c r="M63" s="1"/>
      <c r="N63" s="1"/>
      <c r="O63" s="1"/>
      <c r="P63" s="1"/>
      <c r="Q63" s="1"/>
    </row>
    <row r="64" spans="1:17" x14ac:dyDescent="0.35">
      <c r="A64" s="1"/>
      <c r="B64" s="1"/>
      <c r="C64" s="1"/>
      <c r="D64" s="1"/>
      <c r="E64" s="1"/>
      <c r="F64" s="1"/>
      <c r="G64" s="1"/>
      <c r="H64" s="1"/>
      <c r="I64" s="1"/>
      <c r="J64" s="1"/>
      <c r="K64" s="1"/>
      <c r="L64" s="1"/>
      <c r="M64" s="1"/>
      <c r="N64" s="1"/>
      <c r="O64" s="1"/>
      <c r="P64" s="1"/>
      <c r="Q64" s="1"/>
    </row>
    <row r="65" spans="1:17" x14ac:dyDescent="0.35">
      <c r="A65" s="1"/>
      <c r="B65" s="1"/>
      <c r="C65" s="1"/>
      <c r="D65" s="1"/>
      <c r="E65" s="1"/>
      <c r="F65" s="1"/>
      <c r="G65" s="1"/>
      <c r="H65" s="1"/>
      <c r="I65" s="1"/>
      <c r="J65" s="1"/>
      <c r="K65" s="1"/>
      <c r="L65" s="1"/>
      <c r="M65" s="1"/>
      <c r="N65" s="1"/>
      <c r="O65" s="1"/>
      <c r="P65" s="1"/>
      <c r="Q65" s="1"/>
    </row>
    <row r="66" spans="1:17" x14ac:dyDescent="0.35">
      <c r="A66" s="1"/>
      <c r="B66" s="1"/>
      <c r="C66" s="1"/>
      <c r="D66" s="1"/>
      <c r="E66" s="1"/>
      <c r="F66" s="1"/>
      <c r="G66" s="1"/>
      <c r="H66" s="1"/>
      <c r="I66" s="1"/>
      <c r="J66" s="1"/>
      <c r="K66" s="1"/>
      <c r="L66" s="1"/>
      <c r="M66" s="1"/>
      <c r="N66" s="1"/>
      <c r="O66" s="1"/>
      <c r="P66" s="1"/>
      <c r="Q66" s="1"/>
    </row>
    <row r="67" spans="1:17" x14ac:dyDescent="0.35">
      <c r="A67" s="1"/>
      <c r="B67" s="1"/>
      <c r="C67" s="1"/>
      <c r="D67" s="1"/>
      <c r="E67" s="1"/>
      <c r="F67" s="1"/>
      <c r="G67" s="1"/>
      <c r="H67" s="1"/>
      <c r="I67" s="1"/>
      <c r="J67" s="1"/>
      <c r="K67" s="1"/>
      <c r="L67" s="1"/>
      <c r="M67" s="1"/>
      <c r="N67" s="1"/>
      <c r="O67" s="1"/>
      <c r="P67" s="1"/>
      <c r="Q67" s="1"/>
    </row>
    <row r="68" spans="1:17" x14ac:dyDescent="0.35">
      <c r="A68" s="1"/>
      <c r="B68" s="1"/>
      <c r="C68" s="1"/>
      <c r="D68" s="1"/>
      <c r="E68" s="1"/>
      <c r="F68" s="1"/>
      <c r="G68" s="1"/>
      <c r="H68" s="1"/>
      <c r="I68" s="1"/>
      <c r="J68" s="1"/>
      <c r="K68" s="1"/>
      <c r="L68" s="1"/>
      <c r="M68" s="1"/>
      <c r="N68" s="1"/>
      <c r="O68" s="1"/>
      <c r="P68" s="1"/>
      <c r="Q68" s="1"/>
    </row>
    <row r="69" spans="1:17" x14ac:dyDescent="0.35">
      <c r="A69" s="1"/>
      <c r="B69" s="1"/>
      <c r="C69" s="1"/>
      <c r="D69" s="1"/>
      <c r="E69" s="1"/>
      <c r="F69" s="1"/>
      <c r="G69" s="1"/>
      <c r="H69" s="1"/>
      <c r="I69" s="1"/>
      <c r="J69" s="1"/>
      <c r="K69" s="1"/>
      <c r="L69" s="1"/>
      <c r="M69" s="1"/>
      <c r="N69" s="1"/>
      <c r="O69" s="1"/>
      <c r="P69" s="1"/>
      <c r="Q69" s="1"/>
    </row>
    <row r="70" spans="1:17" x14ac:dyDescent="0.35">
      <c r="A70" s="1"/>
      <c r="B70" s="1"/>
      <c r="C70" s="1"/>
      <c r="D70" s="1"/>
      <c r="E70" s="1"/>
      <c r="F70" s="1"/>
      <c r="G70" s="1"/>
      <c r="H70" s="1"/>
      <c r="I70" s="1"/>
      <c r="J70" s="1"/>
      <c r="K70" s="1"/>
      <c r="L70" s="1"/>
      <c r="M70" s="1"/>
      <c r="N70" s="1"/>
      <c r="O70" s="1"/>
      <c r="P70" s="1"/>
      <c r="Q70" s="1"/>
    </row>
    <row r="71" spans="1:17" x14ac:dyDescent="0.35">
      <c r="A71" s="1"/>
      <c r="B71" s="1"/>
      <c r="C71" s="1"/>
      <c r="D71" s="1"/>
      <c r="E71" s="1"/>
      <c r="F71" s="1"/>
      <c r="G71" s="1"/>
      <c r="H71" s="1"/>
      <c r="I71" s="1"/>
      <c r="J71" s="1"/>
      <c r="K71" s="1"/>
      <c r="L71" s="1"/>
      <c r="M71" s="1"/>
      <c r="N71" s="1"/>
      <c r="O71" s="1"/>
      <c r="P71" s="1"/>
      <c r="Q71" s="1"/>
    </row>
    <row r="72" spans="1:17" x14ac:dyDescent="0.35">
      <c r="A72" s="1"/>
      <c r="B72" s="1"/>
      <c r="C72" s="1"/>
      <c r="D72" s="1"/>
      <c r="E72" s="1"/>
      <c r="F72" s="1"/>
      <c r="G72" s="1"/>
      <c r="H72" s="1"/>
      <c r="I72" s="1"/>
      <c r="J72" s="1"/>
      <c r="K72" s="1"/>
      <c r="L72" s="1"/>
      <c r="M72" s="1"/>
      <c r="N72" s="1"/>
      <c r="O72" s="1"/>
      <c r="P72" s="1"/>
      <c r="Q72" s="1"/>
    </row>
    <row r="73" spans="1:17" x14ac:dyDescent="0.35">
      <c r="A73" s="1"/>
      <c r="B73" s="1"/>
      <c r="C73" s="1"/>
      <c r="D73" s="1"/>
      <c r="E73" s="1"/>
      <c r="F73" s="1"/>
      <c r="G73" s="1"/>
      <c r="H73" s="1"/>
      <c r="I73" s="1"/>
      <c r="J73" s="1"/>
      <c r="K73" s="1"/>
      <c r="L73" s="1"/>
      <c r="M73" s="1"/>
      <c r="N73" s="1"/>
      <c r="O73" s="1"/>
      <c r="P73" s="1"/>
      <c r="Q73" s="1"/>
    </row>
    <row r="74" spans="1:17" x14ac:dyDescent="0.35">
      <c r="A74" s="1"/>
      <c r="B74" s="1"/>
      <c r="C74" s="1"/>
      <c r="D74" s="1"/>
      <c r="E74" s="1"/>
      <c r="F74" s="1"/>
      <c r="G74" s="1"/>
      <c r="H74" s="1"/>
      <c r="I74" s="1"/>
      <c r="J74" s="1"/>
      <c r="K74" s="1"/>
      <c r="L74" s="1"/>
      <c r="M74" s="1"/>
      <c r="N74" s="1"/>
      <c r="O74" s="1"/>
      <c r="P74" s="1"/>
      <c r="Q74" s="1"/>
    </row>
    <row r="75" spans="1:17" x14ac:dyDescent="0.35">
      <c r="A75" s="1"/>
      <c r="B75" s="1"/>
      <c r="C75" s="1"/>
      <c r="D75" s="1"/>
      <c r="E75" s="1"/>
      <c r="F75" s="1"/>
      <c r="G75" s="1"/>
      <c r="H75" s="1"/>
      <c r="I75" s="1"/>
      <c r="J75" s="1"/>
      <c r="K75" s="1"/>
      <c r="L75" s="1"/>
      <c r="M75" s="1"/>
      <c r="N75" s="1"/>
      <c r="O75" s="1"/>
      <c r="P75" s="1"/>
      <c r="Q75" s="1"/>
    </row>
    <row r="76" spans="1:17" x14ac:dyDescent="0.35">
      <c r="A76" s="1"/>
      <c r="B76" s="1"/>
      <c r="C76" s="1"/>
      <c r="D76" s="1"/>
      <c r="E76" s="1"/>
      <c r="F76" s="1"/>
      <c r="G76" s="1"/>
      <c r="H76" s="1"/>
      <c r="I76" s="1"/>
      <c r="J76" s="1"/>
      <c r="K76" s="1"/>
      <c r="L76" s="1"/>
      <c r="M76" s="1"/>
      <c r="N76" s="1"/>
      <c r="O76" s="1"/>
      <c r="P76" s="1"/>
      <c r="Q76" s="1"/>
    </row>
    <row r="77" spans="1:17" x14ac:dyDescent="0.35">
      <c r="A77" s="1"/>
      <c r="B77" s="1"/>
      <c r="C77" s="1"/>
      <c r="D77" s="1"/>
      <c r="E77" s="1"/>
      <c r="F77" s="1"/>
      <c r="G77" s="1"/>
      <c r="H77" s="1"/>
      <c r="I77" s="1"/>
      <c r="J77" s="1"/>
      <c r="K77" s="1"/>
      <c r="L77" s="1"/>
      <c r="M77" s="1"/>
      <c r="N77" s="1"/>
      <c r="O77" s="1"/>
      <c r="P77" s="1"/>
      <c r="Q77" s="1"/>
    </row>
    <row r="78" spans="1:17" x14ac:dyDescent="0.35">
      <c r="A78" s="1"/>
      <c r="B78" s="1"/>
      <c r="C78" s="1"/>
      <c r="D78" s="1"/>
      <c r="E78" s="1"/>
      <c r="F78" s="1"/>
      <c r="G78" s="1"/>
      <c r="H78" s="1"/>
      <c r="I78" s="1"/>
      <c r="J78" s="1"/>
      <c r="K78" s="1"/>
      <c r="L78" s="1"/>
      <c r="M78" s="1"/>
      <c r="N78" s="1"/>
      <c r="O78" s="1"/>
      <c r="P78" s="1"/>
      <c r="Q78" s="1"/>
    </row>
    <row r="79" spans="1:17" x14ac:dyDescent="0.35">
      <c r="A79" s="1"/>
      <c r="B79" s="1"/>
      <c r="C79" s="1"/>
      <c r="D79" s="1"/>
      <c r="E79" s="1"/>
      <c r="F79" s="1"/>
      <c r="G79" s="1"/>
      <c r="H79" s="1"/>
      <c r="I79" s="1"/>
      <c r="J79" s="1"/>
      <c r="K79" s="1"/>
      <c r="L79" s="1"/>
      <c r="M79" s="1"/>
      <c r="N79" s="1"/>
      <c r="O79" s="1"/>
      <c r="P79" s="1"/>
      <c r="Q79" s="1"/>
    </row>
    <row r="80" spans="1:17" x14ac:dyDescent="0.35">
      <c r="A80" s="1"/>
      <c r="B80" s="1"/>
      <c r="C80" s="1"/>
      <c r="D80" s="1"/>
      <c r="E80" s="1"/>
      <c r="F80" s="1"/>
      <c r="G80" s="1"/>
      <c r="H80" s="1"/>
      <c r="I80" s="1"/>
      <c r="J80" s="1"/>
      <c r="K80" s="1"/>
      <c r="L80" s="1"/>
      <c r="M80" s="1"/>
      <c r="N80" s="1"/>
      <c r="O80" s="1"/>
      <c r="P80" s="1"/>
      <c r="Q80" s="1"/>
    </row>
    <row r="81" spans="1:17" x14ac:dyDescent="0.35">
      <c r="A81" s="1"/>
      <c r="B81" s="1"/>
      <c r="C81" s="1"/>
      <c r="D81" s="1"/>
      <c r="E81" s="1"/>
      <c r="F81" s="1"/>
      <c r="G81" s="1"/>
      <c r="H81" s="1"/>
      <c r="I81" s="1"/>
      <c r="J81" s="1"/>
      <c r="K81" s="1"/>
      <c r="L81" s="1"/>
      <c r="M81" s="1"/>
      <c r="N81" s="1"/>
      <c r="O81" s="1"/>
      <c r="P81" s="1"/>
      <c r="Q81" s="1"/>
    </row>
    <row r="82" spans="1:17" x14ac:dyDescent="0.35">
      <c r="A82" s="1"/>
      <c r="B82" s="1"/>
      <c r="C82" s="1"/>
      <c r="D82" s="1"/>
      <c r="E82" s="1"/>
      <c r="F82" s="1"/>
      <c r="G82" s="1"/>
      <c r="H82" s="1"/>
      <c r="I82" s="1"/>
      <c r="J82" s="1"/>
      <c r="K82" s="1"/>
      <c r="L82" s="1"/>
      <c r="M82" s="1"/>
      <c r="N82" s="1"/>
      <c r="O82" s="1"/>
      <c r="P82" s="1"/>
      <c r="Q82" s="1"/>
    </row>
    <row r="83" spans="1:17" x14ac:dyDescent="0.35">
      <c r="A83" s="1"/>
      <c r="B83" s="1"/>
      <c r="C83" s="1"/>
      <c r="D83" s="1"/>
      <c r="E83" s="1"/>
      <c r="F83" s="1"/>
      <c r="G83" s="1"/>
      <c r="H83" s="1"/>
      <c r="I83" s="1"/>
      <c r="J83" s="1"/>
      <c r="K83" s="1"/>
      <c r="L83" s="1"/>
      <c r="M83" s="1"/>
      <c r="N83" s="1"/>
      <c r="O83" s="1"/>
      <c r="P83" s="1"/>
      <c r="Q83" s="1"/>
    </row>
    <row r="84" spans="1:17" x14ac:dyDescent="0.35">
      <c r="A84" s="1"/>
      <c r="B84" s="1"/>
      <c r="C84" s="1"/>
      <c r="D84" s="1"/>
      <c r="E84" s="1"/>
      <c r="F84" s="1"/>
      <c r="G84" s="1"/>
      <c r="H84" s="1"/>
      <c r="I84" s="1"/>
      <c r="J84" s="1"/>
      <c r="K84" s="1"/>
      <c r="L84" s="1"/>
      <c r="M84" s="1"/>
      <c r="N84" s="1"/>
      <c r="O84" s="1"/>
      <c r="P84" s="1"/>
      <c r="Q84" s="1"/>
    </row>
    <row r="85" spans="1:17" x14ac:dyDescent="0.35">
      <c r="A85" s="1"/>
      <c r="B85" s="1"/>
      <c r="C85" s="1"/>
      <c r="D85" s="1"/>
      <c r="E85" s="1"/>
      <c r="F85" s="1"/>
      <c r="G85" s="1"/>
      <c r="H85" s="1"/>
      <c r="I85" s="1"/>
      <c r="J85" s="1"/>
      <c r="K85" s="1"/>
      <c r="L85" s="1"/>
      <c r="M85" s="1"/>
      <c r="N85" s="1"/>
      <c r="O85" s="1"/>
      <c r="P85" s="1"/>
      <c r="Q85" s="1"/>
    </row>
    <row r="86" spans="1:17" x14ac:dyDescent="0.35">
      <c r="A86" s="1"/>
      <c r="B86" s="1"/>
      <c r="C86" s="1"/>
      <c r="D86" s="1"/>
      <c r="E86" s="1"/>
      <c r="F86" s="1"/>
      <c r="G86" s="1"/>
      <c r="H86" s="1"/>
      <c r="I86" s="1"/>
      <c r="J86" s="1"/>
      <c r="K86" s="1"/>
      <c r="L86" s="1"/>
      <c r="M86" s="1"/>
      <c r="N86" s="1"/>
      <c r="O86" s="1"/>
      <c r="P86" s="1"/>
      <c r="Q86" s="1"/>
    </row>
    <row r="87" spans="1:17" x14ac:dyDescent="0.35">
      <c r="A87" s="1"/>
      <c r="B87" s="1"/>
      <c r="C87" s="1"/>
      <c r="D87" s="1"/>
      <c r="E87" s="1"/>
      <c r="F87" s="1"/>
      <c r="G87" s="1"/>
      <c r="H87" s="1"/>
      <c r="I87" s="1"/>
      <c r="J87" s="1"/>
      <c r="K87" s="1"/>
      <c r="L87" s="1"/>
      <c r="M87" s="1"/>
      <c r="N87" s="1"/>
      <c r="O87" s="1"/>
      <c r="P87" s="1"/>
      <c r="Q87" s="1"/>
    </row>
    <row r="88" spans="1:17" x14ac:dyDescent="0.35">
      <c r="A88" s="1"/>
      <c r="B88" s="1"/>
      <c r="C88" s="1"/>
      <c r="D88" s="1"/>
      <c r="E88" s="1"/>
      <c r="F88" s="1"/>
      <c r="G88" s="1"/>
      <c r="H88" s="1"/>
      <c r="I88" s="1"/>
      <c r="J88" s="1"/>
      <c r="K88" s="1"/>
      <c r="L88" s="1"/>
      <c r="M88" s="1"/>
      <c r="N88" s="1"/>
      <c r="O88" s="1"/>
      <c r="P88" s="1"/>
      <c r="Q88" s="1"/>
    </row>
    <row r="89" spans="1:17" x14ac:dyDescent="0.35">
      <c r="A89" s="1"/>
      <c r="B89" s="1"/>
      <c r="C89" s="1"/>
      <c r="D89" s="1"/>
      <c r="E89" s="1"/>
      <c r="F89" s="1"/>
      <c r="G89" s="1"/>
      <c r="H89" s="1"/>
      <c r="I89" s="1"/>
      <c r="J89" s="1"/>
      <c r="K89" s="1"/>
      <c r="L89" s="1"/>
      <c r="M89" s="1"/>
      <c r="N89" s="1"/>
      <c r="O89" s="1"/>
      <c r="P89" s="1"/>
      <c r="Q89" s="1"/>
    </row>
    <row r="90" spans="1:17" x14ac:dyDescent="0.35">
      <c r="A90" s="1"/>
      <c r="B90" s="1"/>
      <c r="C90" s="1"/>
      <c r="D90" s="1"/>
      <c r="E90" s="1"/>
      <c r="F90" s="1"/>
      <c r="G90" s="1"/>
      <c r="H90" s="1"/>
      <c r="I90" s="1"/>
      <c r="J90" s="1"/>
      <c r="K90" s="1"/>
      <c r="L90" s="1"/>
      <c r="M90" s="1"/>
      <c r="N90" s="1"/>
      <c r="O90" s="1"/>
      <c r="P90" s="1"/>
      <c r="Q90" s="1"/>
    </row>
    <row r="91" spans="1:17" x14ac:dyDescent="0.35">
      <c r="A91" s="1"/>
      <c r="B91" s="1"/>
      <c r="C91" s="1"/>
      <c r="D91" s="1"/>
      <c r="E91" s="1"/>
      <c r="F91" s="1"/>
      <c r="G91" s="1"/>
      <c r="H91" s="1"/>
      <c r="I91" s="1"/>
      <c r="J91" s="1"/>
      <c r="K91" s="1"/>
      <c r="L91" s="1"/>
      <c r="M91" s="1"/>
      <c r="N91" s="1"/>
      <c r="O91" s="1"/>
      <c r="P91" s="1"/>
      <c r="Q91" s="1"/>
    </row>
    <row r="92" spans="1:17" x14ac:dyDescent="0.35">
      <c r="A92" s="1"/>
      <c r="B92" s="1"/>
      <c r="C92" s="1"/>
      <c r="D92" s="1"/>
      <c r="E92" s="1"/>
      <c r="F92" s="1"/>
      <c r="G92" s="1"/>
      <c r="H92" s="1"/>
      <c r="I92" s="1"/>
      <c r="J92" s="1"/>
      <c r="K92" s="1"/>
      <c r="L92" s="1"/>
      <c r="M92" s="1"/>
      <c r="N92" s="1"/>
      <c r="O92" s="1"/>
      <c r="P92" s="1"/>
      <c r="Q92" s="1"/>
    </row>
    <row r="93" spans="1:17" x14ac:dyDescent="0.35">
      <c r="A93" s="1"/>
      <c r="B93" s="1"/>
      <c r="C93" s="1"/>
      <c r="D93" s="1"/>
      <c r="E93" s="1"/>
      <c r="F93" s="1"/>
      <c r="G93" s="1"/>
      <c r="H93" s="1"/>
      <c r="I93" s="1"/>
      <c r="J93" s="1"/>
      <c r="K93" s="1"/>
      <c r="L93" s="1"/>
      <c r="M93" s="1"/>
      <c r="N93" s="1"/>
      <c r="O93" s="1"/>
      <c r="P93" s="1"/>
      <c r="Q93" s="1"/>
    </row>
    <row r="94" spans="1:17" x14ac:dyDescent="0.35">
      <c r="A94" s="1"/>
      <c r="B94" s="1"/>
      <c r="C94" s="1"/>
      <c r="D94" s="1"/>
      <c r="E94" s="1"/>
      <c r="F94" s="1"/>
      <c r="G94" s="1"/>
      <c r="H94" s="1"/>
      <c r="I94" s="1"/>
      <c r="J94" s="1"/>
      <c r="K94" s="1"/>
      <c r="L94" s="1"/>
      <c r="M94" s="1"/>
      <c r="N94" s="1"/>
      <c r="O94" s="1"/>
      <c r="P94" s="1"/>
      <c r="Q94" s="1"/>
    </row>
    <row r="95" spans="1:17" x14ac:dyDescent="0.35">
      <c r="A95" s="1"/>
      <c r="B95" s="1"/>
      <c r="C95" s="1"/>
      <c r="D95" s="1"/>
      <c r="E95" s="1"/>
      <c r="F95" s="1"/>
      <c r="G95" s="1"/>
      <c r="H95" s="1"/>
      <c r="I95" s="1"/>
      <c r="J95" s="1"/>
      <c r="K95" s="1"/>
      <c r="L95" s="1"/>
      <c r="M95" s="1"/>
      <c r="N95" s="1"/>
      <c r="O95" s="1"/>
      <c r="P95" s="1"/>
      <c r="Q95" s="1"/>
    </row>
    <row r="96" spans="1:17" x14ac:dyDescent="0.35">
      <c r="A96" s="1"/>
      <c r="B96" s="1"/>
      <c r="C96" s="1"/>
      <c r="D96" s="1"/>
      <c r="E96" s="1"/>
      <c r="F96" s="1"/>
      <c r="G96" s="1"/>
      <c r="H96" s="1"/>
      <c r="I96" s="1"/>
      <c r="J96" s="1"/>
      <c r="K96" s="1"/>
      <c r="L96" s="1"/>
      <c r="M96" s="1"/>
      <c r="N96" s="1"/>
      <c r="O96" s="1"/>
      <c r="P96" s="1"/>
      <c r="Q96" s="1"/>
    </row>
    <row r="97" spans="1:17" x14ac:dyDescent="0.35">
      <c r="A97" s="1"/>
      <c r="B97" s="1"/>
      <c r="C97" s="1"/>
      <c r="D97" s="1"/>
      <c r="E97" s="1"/>
      <c r="F97" s="1"/>
      <c r="G97" s="1"/>
      <c r="H97" s="1"/>
      <c r="I97" s="1"/>
      <c r="J97" s="1"/>
      <c r="K97" s="1"/>
      <c r="L97" s="1"/>
      <c r="M97" s="1"/>
      <c r="N97" s="1"/>
      <c r="O97" s="1"/>
      <c r="P97" s="1"/>
      <c r="Q97" s="1"/>
    </row>
    <row r="98" spans="1:17" x14ac:dyDescent="0.35">
      <c r="A98" s="1"/>
      <c r="B98" s="1"/>
      <c r="C98" s="1"/>
      <c r="D98" s="1"/>
      <c r="E98" s="1"/>
      <c r="F98" s="1"/>
      <c r="G98" s="1"/>
      <c r="H98" s="1"/>
      <c r="I98" s="1"/>
      <c r="J98" s="1"/>
      <c r="K98" s="1"/>
      <c r="L98" s="1"/>
      <c r="M98" s="1"/>
      <c r="N98" s="1"/>
      <c r="O98" s="1"/>
      <c r="P98" s="1"/>
      <c r="Q98" s="1"/>
    </row>
    <row r="99" spans="1:17" x14ac:dyDescent="0.35">
      <c r="A99" s="1"/>
      <c r="B99" s="1"/>
      <c r="C99" s="1"/>
      <c r="D99" s="1"/>
      <c r="E99" s="1"/>
      <c r="F99" s="1"/>
      <c r="G99" s="1"/>
      <c r="H99" s="1"/>
      <c r="I99" s="1"/>
      <c r="J99" s="1"/>
      <c r="K99" s="1"/>
      <c r="L99" s="1"/>
      <c r="M99" s="1"/>
      <c r="N99" s="1"/>
      <c r="O99" s="1"/>
      <c r="P99" s="1"/>
      <c r="Q99" s="1"/>
    </row>
    <row r="100" spans="1:17" x14ac:dyDescent="0.35">
      <c r="A100" s="1"/>
      <c r="B100" s="1"/>
      <c r="C100" s="1"/>
      <c r="D100" s="1"/>
      <c r="E100" s="1"/>
      <c r="F100" s="1"/>
      <c r="G100" s="1"/>
      <c r="H100" s="1"/>
      <c r="I100" s="1"/>
      <c r="J100" s="1"/>
      <c r="K100" s="1"/>
      <c r="L100" s="1"/>
      <c r="M100" s="1"/>
      <c r="N100" s="1"/>
      <c r="O100" s="1"/>
      <c r="P100" s="1"/>
      <c r="Q100" s="1"/>
    </row>
    <row r="101" spans="1:17" x14ac:dyDescent="0.35">
      <c r="A101" s="1"/>
      <c r="B101" s="1"/>
      <c r="C101" s="1"/>
      <c r="D101" s="1"/>
      <c r="E101" s="1"/>
      <c r="F101" s="1"/>
      <c r="G101" s="1"/>
      <c r="H101" s="1"/>
      <c r="I101" s="1"/>
      <c r="J101" s="1"/>
      <c r="K101" s="1"/>
      <c r="L101" s="1"/>
      <c r="M101" s="1"/>
      <c r="N101" s="1"/>
      <c r="O101" s="1"/>
      <c r="P101" s="1"/>
      <c r="Q101" s="1"/>
    </row>
    <row r="102" spans="1:17" x14ac:dyDescent="0.35">
      <c r="A102" s="1"/>
      <c r="B102" s="1"/>
      <c r="C102" s="1"/>
      <c r="D102" s="1"/>
      <c r="E102" s="1"/>
      <c r="F102" s="1"/>
      <c r="G102" s="1"/>
      <c r="H102" s="1"/>
      <c r="I102" s="1"/>
      <c r="J102" s="1"/>
      <c r="K102" s="1"/>
      <c r="L102" s="1"/>
      <c r="M102" s="1"/>
      <c r="N102" s="1"/>
      <c r="O102" s="1"/>
      <c r="P102" s="1"/>
      <c r="Q102" s="1"/>
    </row>
    <row r="103" spans="1:17" x14ac:dyDescent="0.35">
      <c r="A103" s="1"/>
      <c r="B103" s="1"/>
      <c r="C103" s="1"/>
      <c r="D103" s="1"/>
      <c r="E103" s="1"/>
      <c r="F103" s="1"/>
      <c r="G103" s="1"/>
      <c r="H103" s="1"/>
      <c r="I103" s="1"/>
      <c r="J103" s="1"/>
      <c r="K103" s="1"/>
      <c r="L103" s="1"/>
      <c r="M103" s="1"/>
      <c r="N103" s="1"/>
      <c r="O103" s="1"/>
      <c r="P103" s="1"/>
      <c r="Q103" s="1"/>
    </row>
    <row r="104" spans="1:17" x14ac:dyDescent="0.35">
      <c r="A104" s="1"/>
      <c r="B104" s="1"/>
      <c r="C104" s="1"/>
      <c r="D104" s="1"/>
      <c r="E104" s="1"/>
      <c r="F104" s="1"/>
      <c r="G104" s="1"/>
      <c r="H104" s="1"/>
      <c r="I104" s="1"/>
      <c r="J104" s="1"/>
      <c r="K104" s="1"/>
      <c r="L104" s="1"/>
      <c r="M104" s="1"/>
      <c r="N104" s="1"/>
      <c r="O104" s="1"/>
      <c r="P104" s="1"/>
      <c r="Q104" s="1"/>
    </row>
    <row r="105" spans="1:17" x14ac:dyDescent="0.35">
      <c r="A105" s="1"/>
      <c r="B105" s="1"/>
      <c r="C105" s="1"/>
      <c r="D105" s="1"/>
      <c r="E105" s="1"/>
      <c r="F105" s="1"/>
      <c r="G105" s="1"/>
      <c r="H105" s="1"/>
      <c r="I105" s="1"/>
      <c r="J105" s="1"/>
      <c r="K105" s="1"/>
      <c r="L105" s="1"/>
      <c r="M105" s="1"/>
      <c r="N105" s="1"/>
      <c r="O105" s="1"/>
      <c r="P105" s="1"/>
      <c r="Q105" s="1"/>
    </row>
    <row r="106" spans="1:17" x14ac:dyDescent="0.35">
      <c r="A106" s="1"/>
      <c r="B106" s="1"/>
      <c r="C106" s="1"/>
      <c r="D106" s="1"/>
      <c r="E106" s="1"/>
      <c r="F106" s="1"/>
      <c r="G106" s="1"/>
      <c r="H106" s="1"/>
      <c r="I106" s="1"/>
      <c r="J106" s="1"/>
      <c r="K106" s="1"/>
      <c r="L106" s="1"/>
      <c r="M106" s="1"/>
      <c r="N106" s="1"/>
      <c r="O106" s="1"/>
      <c r="P106" s="1"/>
      <c r="Q106" s="1"/>
    </row>
    <row r="107" spans="1:17" x14ac:dyDescent="0.35">
      <c r="A107" s="1"/>
      <c r="B107" s="1"/>
      <c r="C107" s="1"/>
      <c r="D107" s="1"/>
      <c r="E107" s="1"/>
      <c r="F107" s="1"/>
      <c r="G107" s="1"/>
      <c r="H107" s="1"/>
      <c r="I107" s="1"/>
      <c r="J107" s="1"/>
      <c r="K107" s="1"/>
      <c r="L107" s="1"/>
      <c r="M107" s="1"/>
      <c r="N107" s="1"/>
      <c r="O107" s="1"/>
      <c r="P107" s="1"/>
      <c r="Q107" s="1"/>
    </row>
    <row r="108" spans="1:17" x14ac:dyDescent="0.35">
      <c r="A108" s="1"/>
      <c r="B108" s="1"/>
      <c r="C108" s="1"/>
      <c r="D108" s="1"/>
      <c r="E108" s="1"/>
      <c r="F108" s="1"/>
      <c r="G108" s="1"/>
      <c r="H108" s="1"/>
      <c r="I108" s="1"/>
      <c r="J108" s="1"/>
      <c r="K108" s="1"/>
      <c r="L108" s="1"/>
      <c r="M108" s="1"/>
      <c r="N108" s="1"/>
      <c r="O108" s="1"/>
      <c r="P108" s="1"/>
      <c r="Q108" s="1"/>
    </row>
    <row r="109" spans="1:17" x14ac:dyDescent="0.35">
      <c r="A109" s="1"/>
      <c r="B109" s="1"/>
      <c r="C109" s="1"/>
      <c r="D109" s="1"/>
      <c r="E109" s="1"/>
      <c r="F109" s="1"/>
      <c r="G109" s="1"/>
      <c r="H109" s="1"/>
      <c r="I109" s="1"/>
      <c r="J109" s="1"/>
      <c r="K109" s="1"/>
      <c r="L109" s="1"/>
      <c r="M109" s="1"/>
      <c r="N109" s="1"/>
      <c r="O109" s="1"/>
      <c r="P109" s="1"/>
      <c r="Q109" s="1"/>
    </row>
    <row r="110" spans="1:17" x14ac:dyDescent="0.35">
      <c r="A110" s="1"/>
      <c r="B110" s="1"/>
      <c r="C110" s="1"/>
      <c r="D110" s="1"/>
      <c r="E110" s="1"/>
      <c r="F110" s="1"/>
      <c r="G110" s="1"/>
      <c r="H110" s="1"/>
      <c r="I110" s="1"/>
      <c r="J110" s="1"/>
      <c r="K110" s="1"/>
      <c r="L110" s="1"/>
      <c r="M110" s="1"/>
      <c r="N110" s="1"/>
      <c r="O110" s="1"/>
      <c r="P110" s="1"/>
      <c r="Q110" s="1"/>
    </row>
    <row r="111" spans="1:17" x14ac:dyDescent="0.35">
      <c r="A111" s="1"/>
      <c r="B111" s="1"/>
      <c r="C111" s="1"/>
      <c r="D111" s="1"/>
      <c r="E111" s="1"/>
      <c r="F111" s="1"/>
      <c r="G111" s="1"/>
      <c r="H111" s="1"/>
      <c r="I111" s="1"/>
      <c r="J111" s="1"/>
      <c r="K111" s="1"/>
      <c r="L111" s="1"/>
      <c r="M111" s="1"/>
      <c r="N111" s="1"/>
      <c r="O111" s="1"/>
      <c r="P111" s="1"/>
      <c r="Q111" s="1"/>
    </row>
    <row r="112" spans="1:17" x14ac:dyDescent="0.35">
      <c r="A112" s="1"/>
      <c r="B112" s="1"/>
      <c r="C112" s="1"/>
      <c r="D112" s="1"/>
      <c r="E112" s="1"/>
      <c r="F112" s="1"/>
      <c r="G112" s="1"/>
      <c r="H112" s="1"/>
      <c r="I112" s="1"/>
      <c r="J112" s="1"/>
      <c r="K112" s="1"/>
      <c r="L112" s="1"/>
      <c r="M112" s="1"/>
      <c r="N112" s="1"/>
      <c r="O112" s="1"/>
      <c r="P112" s="1"/>
      <c r="Q112" s="1"/>
    </row>
    <row r="113" spans="1:17" x14ac:dyDescent="0.35">
      <c r="A113" s="1"/>
      <c r="B113" s="1"/>
      <c r="C113" s="1"/>
      <c r="D113" s="1"/>
      <c r="E113" s="1"/>
      <c r="F113" s="1"/>
      <c r="G113" s="1"/>
      <c r="H113" s="1"/>
      <c r="I113" s="1"/>
      <c r="J113" s="1"/>
      <c r="K113" s="1"/>
      <c r="L113" s="1"/>
      <c r="M113" s="1"/>
      <c r="N113" s="1"/>
      <c r="O113" s="1"/>
      <c r="P113" s="1"/>
      <c r="Q113" s="1"/>
    </row>
    <row r="114" spans="1:17" x14ac:dyDescent="0.35">
      <c r="A114" s="1"/>
      <c r="B114" s="1"/>
      <c r="C114" s="1"/>
      <c r="D114" s="1"/>
      <c r="E114" s="1"/>
      <c r="F114" s="1"/>
      <c r="G114" s="1"/>
      <c r="H114" s="1"/>
      <c r="I114" s="1"/>
      <c r="J114" s="1"/>
      <c r="K114" s="1"/>
      <c r="L114" s="1"/>
      <c r="M114" s="1"/>
      <c r="N114" s="1"/>
      <c r="O114" s="1"/>
      <c r="P114" s="1"/>
      <c r="Q114" s="1"/>
    </row>
    <row r="115" spans="1:17" x14ac:dyDescent="0.35">
      <c r="A115" s="1"/>
      <c r="B115" s="1"/>
      <c r="C115" s="1"/>
      <c r="D115" s="1"/>
      <c r="E115" s="1"/>
      <c r="F115" s="1"/>
      <c r="G115" s="1"/>
      <c r="H115" s="1"/>
      <c r="I115" s="1"/>
      <c r="J115" s="1"/>
      <c r="K115" s="1"/>
      <c r="L115" s="1"/>
      <c r="M115" s="1"/>
      <c r="N115" s="1"/>
      <c r="O115" s="1"/>
      <c r="P115" s="1"/>
      <c r="Q115" s="1"/>
    </row>
    <row r="116" spans="1:17" x14ac:dyDescent="0.35">
      <c r="A116" s="1"/>
      <c r="B116" s="1"/>
      <c r="C116" s="1"/>
      <c r="D116" s="1"/>
      <c r="E116" s="1"/>
      <c r="F116" s="1"/>
      <c r="G116" s="1"/>
      <c r="H116" s="1"/>
      <c r="I116" s="1"/>
      <c r="J116" s="1"/>
      <c r="K116" s="1"/>
      <c r="L116" s="1"/>
      <c r="M116" s="1"/>
      <c r="N116" s="1"/>
      <c r="O116" s="1"/>
      <c r="P116" s="1"/>
      <c r="Q116" s="1"/>
    </row>
    <row r="117" spans="1:17" x14ac:dyDescent="0.35">
      <c r="A117" s="1"/>
      <c r="B117" s="1"/>
      <c r="C117" s="1"/>
      <c r="D117" s="1"/>
      <c r="E117" s="1"/>
      <c r="F117" s="1"/>
      <c r="G117" s="1"/>
      <c r="H117" s="1"/>
      <c r="I117" s="1"/>
      <c r="J117" s="1"/>
      <c r="K117" s="1"/>
      <c r="L117" s="1"/>
      <c r="M117" s="1"/>
      <c r="N117" s="1"/>
      <c r="O117" s="1"/>
      <c r="P117" s="1"/>
      <c r="Q117" s="1"/>
    </row>
    <row r="118" spans="1:17" x14ac:dyDescent="0.35">
      <c r="A118" s="1"/>
      <c r="B118" s="1"/>
      <c r="C118" s="1"/>
      <c r="D118" s="1"/>
      <c r="E118" s="1"/>
      <c r="F118" s="1"/>
      <c r="G118" s="1"/>
      <c r="H118" s="1"/>
      <c r="I118" s="1"/>
      <c r="J118" s="1"/>
      <c r="K118" s="1"/>
      <c r="L118" s="1"/>
      <c r="M118" s="1"/>
      <c r="N118" s="1"/>
      <c r="O118" s="1"/>
      <c r="P118" s="1"/>
      <c r="Q118" s="1"/>
    </row>
    <row r="119" spans="1:17" x14ac:dyDescent="0.35">
      <c r="A119" s="1"/>
      <c r="B119" s="1"/>
      <c r="C119" s="1"/>
      <c r="D119" s="1"/>
      <c r="E119" s="1"/>
      <c r="F119" s="1"/>
      <c r="G119" s="1"/>
      <c r="H119" s="1"/>
      <c r="I119" s="1"/>
      <c r="J119" s="1"/>
      <c r="K119" s="1"/>
      <c r="L119" s="1"/>
      <c r="M119" s="1"/>
      <c r="N119" s="1"/>
      <c r="O119" s="1"/>
      <c r="P119" s="1"/>
      <c r="Q119" s="1"/>
    </row>
    <row r="120" spans="1:17" x14ac:dyDescent="0.35">
      <c r="A120" s="1"/>
      <c r="B120" s="1"/>
      <c r="C120" s="1"/>
      <c r="D120" s="1"/>
      <c r="E120" s="1"/>
      <c r="F120" s="1"/>
      <c r="G120" s="1"/>
      <c r="H120" s="1"/>
      <c r="I120" s="1"/>
      <c r="J120" s="1"/>
      <c r="K120" s="1"/>
      <c r="L120" s="1"/>
      <c r="M120" s="1"/>
      <c r="N120" s="1"/>
      <c r="O120" s="1"/>
      <c r="P120" s="1"/>
      <c r="Q120" s="1"/>
    </row>
    <row r="121" spans="1:17" x14ac:dyDescent="0.35">
      <c r="A121" s="1"/>
      <c r="B121" s="1"/>
      <c r="C121" s="1"/>
      <c r="D121" s="1"/>
      <c r="E121" s="1"/>
      <c r="F121" s="1"/>
      <c r="G121" s="1"/>
      <c r="H121" s="1"/>
      <c r="I121" s="1"/>
      <c r="J121" s="1"/>
      <c r="K121" s="1"/>
      <c r="L121" s="1"/>
      <c r="M121" s="1"/>
      <c r="N121" s="1"/>
      <c r="O121" s="1"/>
      <c r="P121" s="1"/>
      <c r="Q121" s="1"/>
    </row>
    <row r="122" spans="1:17" x14ac:dyDescent="0.35">
      <c r="A122" s="1"/>
      <c r="B122" s="1"/>
      <c r="C122" s="1"/>
      <c r="D122" s="1"/>
      <c r="E122" s="1"/>
      <c r="F122" s="1"/>
      <c r="G122" s="1"/>
      <c r="H122" s="1"/>
      <c r="I122" s="1"/>
      <c r="J122" s="1"/>
      <c r="K122" s="1"/>
      <c r="L122" s="1"/>
      <c r="M122" s="1"/>
      <c r="N122" s="1"/>
      <c r="O122" s="1"/>
      <c r="P122" s="1"/>
      <c r="Q122" s="1"/>
    </row>
    <row r="123" spans="1:17" x14ac:dyDescent="0.35">
      <c r="A123" s="1"/>
      <c r="B123" s="1"/>
      <c r="C123" s="1"/>
      <c r="D123" s="1"/>
      <c r="E123" s="1"/>
      <c r="F123" s="1"/>
      <c r="G123" s="1"/>
      <c r="H123" s="1"/>
      <c r="I123" s="1"/>
      <c r="J123" s="1"/>
      <c r="K123" s="1"/>
      <c r="L123" s="1"/>
      <c r="M123" s="1"/>
      <c r="N123" s="1"/>
      <c r="O123" s="1"/>
      <c r="P123" s="1"/>
      <c r="Q123" s="1"/>
    </row>
    <row r="124" spans="1:17" x14ac:dyDescent="0.35">
      <c r="A124" s="1"/>
      <c r="B124" s="1"/>
      <c r="C124" s="1"/>
      <c r="D124" s="1"/>
      <c r="E124" s="1"/>
      <c r="F124" s="1"/>
      <c r="G124" s="1"/>
      <c r="H124" s="1"/>
      <c r="I124" s="1"/>
      <c r="J124" s="1"/>
      <c r="K124" s="1"/>
      <c r="L124" s="1"/>
      <c r="M124" s="1"/>
      <c r="N124" s="1"/>
      <c r="O124" s="1"/>
      <c r="P124" s="1"/>
      <c r="Q124" s="1"/>
    </row>
    <row r="125" spans="1:17" x14ac:dyDescent="0.35">
      <c r="A125" s="1"/>
      <c r="B125" s="1"/>
      <c r="C125" s="1"/>
      <c r="D125" s="1"/>
      <c r="E125" s="1"/>
      <c r="F125" s="1"/>
      <c r="G125" s="1"/>
      <c r="H125" s="1"/>
      <c r="I125" s="1"/>
      <c r="J125" s="1"/>
      <c r="K125" s="1"/>
      <c r="L125" s="1"/>
      <c r="M125" s="1"/>
      <c r="N125" s="1"/>
      <c r="O125" s="1"/>
      <c r="P125" s="1"/>
      <c r="Q125" s="1"/>
    </row>
    <row r="126" spans="1:17" x14ac:dyDescent="0.35">
      <c r="A126" s="1"/>
      <c r="B126" s="1"/>
      <c r="C126" s="1"/>
      <c r="D126" s="1"/>
      <c r="E126" s="1"/>
      <c r="F126" s="1"/>
      <c r="G126" s="1"/>
      <c r="H126" s="1"/>
      <c r="I126" s="1"/>
      <c r="J126" s="1"/>
      <c r="K126" s="1"/>
      <c r="L126" s="1"/>
      <c r="M126" s="1"/>
      <c r="N126" s="1"/>
      <c r="O126" s="1"/>
      <c r="P126" s="1"/>
      <c r="Q126" s="1"/>
    </row>
    <row r="127" spans="1:17" x14ac:dyDescent="0.35">
      <c r="A127" s="1"/>
      <c r="B127" s="1"/>
      <c r="C127" s="1"/>
      <c r="D127" s="1"/>
      <c r="E127" s="1"/>
      <c r="F127" s="1"/>
      <c r="G127" s="1"/>
      <c r="H127" s="1"/>
      <c r="I127" s="1"/>
      <c r="J127" s="1"/>
      <c r="K127" s="1"/>
      <c r="L127" s="1"/>
      <c r="M127" s="1"/>
      <c r="N127" s="1"/>
      <c r="O127" s="1"/>
      <c r="P127" s="1"/>
      <c r="Q127" s="1"/>
    </row>
    <row r="128" spans="1:17" x14ac:dyDescent="0.35">
      <c r="A128" s="1"/>
      <c r="B128" s="1"/>
      <c r="C128" s="1"/>
      <c r="D128" s="1"/>
      <c r="E128" s="1"/>
      <c r="F128" s="1"/>
      <c r="G128" s="1"/>
      <c r="H128" s="1"/>
      <c r="I128" s="1"/>
      <c r="J128" s="1"/>
      <c r="K128" s="1"/>
      <c r="L128" s="1"/>
      <c r="M128" s="1"/>
      <c r="N128" s="1"/>
      <c r="O128" s="1"/>
      <c r="P128" s="1"/>
      <c r="Q128" s="1"/>
    </row>
    <row r="129" spans="1:17" x14ac:dyDescent="0.35">
      <c r="A129" s="1"/>
      <c r="B129" s="1"/>
      <c r="C129" s="1"/>
      <c r="D129" s="1"/>
      <c r="E129" s="1"/>
      <c r="F129" s="1"/>
      <c r="G129" s="1"/>
      <c r="H129" s="1"/>
      <c r="I129" s="1"/>
      <c r="J129" s="1"/>
      <c r="K129" s="1"/>
      <c r="L129" s="1"/>
      <c r="M129" s="1"/>
      <c r="N129" s="1"/>
      <c r="O129" s="1"/>
      <c r="P129" s="1"/>
      <c r="Q129" s="1"/>
    </row>
    <row r="130" spans="1:17" x14ac:dyDescent="0.35">
      <c r="A130" s="1"/>
      <c r="B130" s="1"/>
      <c r="C130" s="1"/>
      <c r="D130" s="1"/>
      <c r="E130" s="1"/>
      <c r="F130" s="1"/>
      <c r="G130" s="1"/>
      <c r="H130" s="1"/>
      <c r="I130" s="1"/>
      <c r="J130" s="1"/>
      <c r="K130" s="1"/>
      <c r="L130" s="1"/>
      <c r="M130" s="1"/>
      <c r="N130" s="1"/>
      <c r="O130" s="1"/>
      <c r="P130" s="1"/>
      <c r="Q130" s="1"/>
    </row>
    <row r="131" spans="1:17" x14ac:dyDescent="0.35">
      <c r="A131" s="1"/>
      <c r="B131" s="1"/>
      <c r="C131" s="1"/>
      <c r="D131" s="1"/>
      <c r="E131" s="1"/>
      <c r="F131" s="1"/>
      <c r="G131" s="1"/>
      <c r="H131" s="1"/>
      <c r="I131" s="1"/>
      <c r="J131" s="1"/>
      <c r="K131" s="1"/>
      <c r="L131" s="1"/>
      <c r="M131" s="1"/>
      <c r="N131" s="1"/>
      <c r="O131" s="1"/>
      <c r="P131" s="1"/>
      <c r="Q131" s="1"/>
    </row>
    <row r="132" spans="1:17" x14ac:dyDescent="0.35">
      <c r="A132" s="1"/>
      <c r="B132" s="1"/>
      <c r="C132" s="1"/>
      <c r="D132" s="1"/>
      <c r="E132" s="1"/>
      <c r="F132" s="1"/>
      <c r="G132" s="1"/>
      <c r="H132" s="1"/>
      <c r="I132" s="1"/>
      <c r="J132" s="1"/>
      <c r="K132" s="1"/>
      <c r="L132" s="1"/>
      <c r="M132" s="1"/>
      <c r="N132" s="1"/>
      <c r="O132" s="1"/>
      <c r="P132" s="1"/>
      <c r="Q132" s="1"/>
    </row>
    <row r="133" spans="1:17" x14ac:dyDescent="0.35">
      <c r="A133" s="1"/>
      <c r="B133" s="1"/>
      <c r="C133" s="1"/>
      <c r="D133" s="1"/>
      <c r="E133" s="1"/>
      <c r="F133" s="1"/>
      <c r="G133" s="1"/>
      <c r="H133" s="1"/>
      <c r="I133" s="1"/>
      <c r="J133" s="1"/>
      <c r="K133" s="1"/>
      <c r="L133" s="1"/>
      <c r="M133" s="1"/>
      <c r="N133" s="1"/>
      <c r="O133" s="1"/>
      <c r="P133" s="1"/>
      <c r="Q133" s="1"/>
    </row>
    <row r="134" spans="1:17" x14ac:dyDescent="0.35">
      <c r="A134" s="1"/>
      <c r="B134" s="1"/>
      <c r="C134" s="1"/>
      <c r="D134" s="1"/>
      <c r="E134" s="1"/>
      <c r="F134" s="1"/>
      <c r="G134" s="1"/>
      <c r="H134" s="1"/>
      <c r="I134" s="1"/>
      <c r="J134" s="1"/>
      <c r="K134" s="1"/>
      <c r="L134" s="1"/>
      <c r="M134" s="1"/>
      <c r="N134" s="1"/>
      <c r="O134" s="1"/>
      <c r="P134" s="1"/>
      <c r="Q134" s="1"/>
    </row>
    <row r="135" spans="1:17" x14ac:dyDescent="0.35">
      <c r="A135" s="1"/>
      <c r="B135" s="1"/>
      <c r="C135" s="1"/>
      <c r="D135" s="1"/>
      <c r="E135" s="1"/>
      <c r="F135" s="1"/>
      <c r="G135" s="1"/>
      <c r="H135" s="1"/>
      <c r="I135" s="1"/>
      <c r="J135" s="1"/>
      <c r="K135" s="1"/>
      <c r="L135" s="1"/>
      <c r="M135" s="1"/>
      <c r="N135" s="1"/>
      <c r="O135" s="1"/>
      <c r="P135" s="1"/>
      <c r="Q135" s="1"/>
    </row>
    <row r="136" spans="1:17" x14ac:dyDescent="0.35">
      <c r="A136" s="1"/>
      <c r="B136" s="1"/>
      <c r="C136" s="1"/>
      <c r="D136" s="1"/>
      <c r="E136" s="1"/>
      <c r="F136" s="1"/>
      <c r="G136" s="1"/>
      <c r="H136" s="1"/>
      <c r="I136" s="1"/>
      <c r="J136" s="1"/>
      <c r="K136" s="1"/>
      <c r="L136" s="1"/>
      <c r="M136" s="1"/>
      <c r="N136" s="1"/>
      <c r="O136" s="1"/>
      <c r="P136" s="1"/>
      <c r="Q136" s="1"/>
    </row>
    <row r="137" spans="1:17" x14ac:dyDescent="0.35">
      <c r="A137" s="1"/>
      <c r="B137" s="1"/>
      <c r="C137" s="1"/>
      <c r="D137" s="1"/>
      <c r="E137" s="1"/>
      <c r="F137" s="1"/>
      <c r="G137" s="1"/>
      <c r="H137" s="1"/>
      <c r="I137" s="1"/>
      <c r="J137" s="1"/>
      <c r="K137" s="1"/>
      <c r="L137" s="1"/>
      <c r="M137" s="1"/>
      <c r="N137" s="1"/>
      <c r="O137" s="1"/>
      <c r="P137" s="1"/>
      <c r="Q137" s="1"/>
    </row>
    <row r="138" spans="1:17" x14ac:dyDescent="0.35">
      <c r="A138" s="1"/>
      <c r="B138" s="1"/>
      <c r="C138" s="1"/>
      <c r="D138" s="1"/>
      <c r="E138" s="1"/>
      <c r="F138" s="1"/>
      <c r="G138" s="1"/>
      <c r="H138" s="1"/>
      <c r="I138" s="1"/>
      <c r="J138" s="1"/>
      <c r="K138" s="1"/>
      <c r="L138" s="1"/>
      <c r="M138" s="1"/>
      <c r="N138" s="1"/>
      <c r="O138" s="1"/>
      <c r="P138" s="1"/>
      <c r="Q138" s="1"/>
    </row>
    <row r="139" spans="1:17" x14ac:dyDescent="0.35">
      <c r="A139" s="1"/>
      <c r="B139" s="1"/>
      <c r="C139" s="1"/>
      <c r="D139" s="1"/>
      <c r="E139" s="1"/>
      <c r="F139" s="1"/>
      <c r="G139" s="1"/>
      <c r="H139" s="1"/>
      <c r="I139" s="1"/>
      <c r="J139" s="1"/>
      <c r="K139" s="1"/>
      <c r="L139" s="1"/>
      <c r="M139" s="1"/>
      <c r="N139" s="1"/>
      <c r="O139" s="1"/>
      <c r="P139" s="1"/>
      <c r="Q139" s="1"/>
    </row>
    <row r="140" spans="1:17" x14ac:dyDescent="0.35">
      <c r="A140" s="1"/>
      <c r="B140" s="1"/>
      <c r="C140" s="1"/>
      <c r="D140" s="1"/>
      <c r="E140" s="1"/>
      <c r="F140" s="1"/>
      <c r="G140" s="1"/>
      <c r="H140" s="1"/>
      <c r="I140" s="1"/>
      <c r="J140" s="1"/>
      <c r="K140" s="1"/>
      <c r="L140" s="1"/>
      <c r="M140" s="1"/>
      <c r="N140" s="1"/>
      <c r="O140" s="1"/>
      <c r="P140" s="1"/>
      <c r="Q140" s="1"/>
    </row>
    <row r="141" spans="1:17" x14ac:dyDescent="0.35">
      <c r="A141" s="1"/>
      <c r="B141" s="1"/>
      <c r="C141" s="1"/>
      <c r="D141" s="1"/>
      <c r="E141" s="1"/>
      <c r="F141" s="1"/>
      <c r="G141" s="1"/>
      <c r="H141" s="1"/>
      <c r="I141" s="1"/>
      <c r="J141" s="1"/>
      <c r="K141" s="1"/>
      <c r="L141" s="1"/>
      <c r="M141" s="1"/>
      <c r="N141" s="1"/>
      <c r="O141" s="1"/>
      <c r="P141" s="1"/>
      <c r="Q141" s="1"/>
    </row>
    <row r="142" spans="1:17" x14ac:dyDescent="0.35">
      <c r="A142" s="1"/>
      <c r="B142" s="1"/>
      <c r="C142" s="1"/>
      <c r="D142" s="1"/>
      <c r="E142" s="1"/>
      <c r="F142" s="1"/>
      <c r="G142" s="1"/>
      <c r="H142" s="1"/>
      <c r="I142" s="1"/>
      <c r="J142" s="1"/>
      <c r="K142" s="1"/>
      <c r="L142" s="1"/>
      <c r="M142" s="1"/>
      <c r="N142" s="1"/>
      <c r="O142" s="1"/>
      <c r="P142" s="1"/>
      <c r="Q142" s="1"/>
    </row>
    <row r="143" spans="1:17" x14ac:dyDescent="0.35">
      <c r="A143" s="1"/>
      <c r="B143" s="1"/>
      <c r="C143" s="1"/>
      <c r="D143" s="1"/>
      <c r="E143" s="1"/>
      <c r="F143" s="1"/>
      <c r="G143" s="1"/>
      <c r="H143" s="1"/>
      <c r="I143" s="1"/>
      <c r="J143" s="1"/>
      <c r="K143" s="1"/>
      <c r="L143" s="1"/>
      <c r="M143" s="1"/>
      <c r="N143" s="1"/>
      <c r="O143" s="1"/>
      <c r="P143" s="1"/>
      <c r="Q143" s="1"/>
    </row>
    <row r="144" spans="1:17" x14ac:dyDescent="0.35">
      <c r="A144" s="1"/>
      <c r="B144" s="1"/>
      <c r="C144" s="1"/>
      <c r="D144" s="1"/>
      <c r="E144" s="1"/>
      <c r="F144" s="1"/>
      <c r="G144" s="1"/>
      <c r="H144" s="1"/>
      <c r="I144" s="1"/>
      <c r="J144" s="1"/>
      <c r="K144" s="1"/>
      <c r="L144" s="1"/>
      <c r="M144" s="1"/>
      <c r="N144" s="1"/>
      <c r="O144" s="1"/>
      <c r="P144" s="1"/>
      <c r="Q144" s="1"/>
    </row>
    <row r="145" spans="1:17" x14ac:dyDescent="0.35">
      <c r="A145" s="1"/>
      <c r="B145" s="1"/>
      <c r="C145" s="1"/>
      <c r="D145" s="1"/>
      <c r="E145" s="1"/>
      <c r="F145" s="1"/>
      <c r="G145" s="1"/>
      <c r="H145" s="1"/>
      <c r="I145" s="1"/>
      <c r="J145" s="1"/>
      <c r="K145" s="1"/>
      <c r="L145" s="1"/>
      <c r="M145" s="1"/>
      <c r="N145" s="1"/>
      <c r="O145" s="1"/>
      <c r="P145" s="1"/>
      <c r="Q145" s="1"/>
    </row>
    <row r="146" spans="1:17" x14ac:dyDescent="0.35">
      <c r="A146" s="1"/>
      <c r="B146" s="1"/>
      <c r="C146" s="1"/>
      <c r="D146" s="1"/>
      <c r="E146" s="1"/>
      <c r="F146" s="1"/>
      <c r="G146" s="1"/>
      <c r="H146" s="1"/>
      <c r="I146" s="1"/>
      <c r="J146" s="1"/>
      <c r="K146" s="1"/>
      <c r="L146" s="1"/>
      <c r="M146" s="1"/>
      <c r="N146" s="1"/>
      <c r="O146" s="1"/>
      <c r="P146" s="1"/>
      <c r="Q146" s="1"/>
    </row>
    <row r="147" spans="1:17" x14ac:dyDescent="0.35">
      <c r="A147" s="1"/>
      <c r="B147" s="1"/>
      <c r="C147" s="1"/>
      <c r="D147" s="1"/>
      <c r="E147" s="1"/>
      <c r="F147" s="1"/>
      <c r="G147" s="1"/>
      <c r="H147" s="1"/>
      <c r="I147" s="1"/>
      <c r="J147" s="1"/>
      <c r="K147" s="1"/>
      <c r="L147" s="1"/>
      <c r="M147" s="1"/>
      <c r="N147" s="1"/>
      <c r="O147" s="1"/>
      <c r="P147" s="1"/>
      <c r="Q147" s="1"/>
    </row>
    <row r="148" spans="1:17" x14ac:dyDescent="0.35">
      <c r="A148" s="1"/>
      <c r="B148" s="1"/>
      <c r="C148" s="1"/>
      <c r="D148" s="1"/>
      <c r="E148" s="1"/>
      <c r="F148" s="1"/>
      <c r="G148" s="1"/>
      <c r="H148" s="1"/>
      <c r="I148" s="1"/>
      <c r="J148" s="1"/>
      <c r="K148" s="1"/>
      <c r="L148" s="1"/>
      <c r="M148" s="1"/>
      <c r="N148" s="1"/>
      <c r="O148" s="1"/>
      <c r="P148" s="1"/>
      <c r="Q148" s="1"/>
    </row>
    <row r="149" spans="1:17" x14ac:dyDescent="0.35">
      <c r="A149" s="1"/>
      <c r="B149" s="1"/>
      <c r="C149" s="1"/>
      <c r="D149" s="1"/>
      <c r="E149" s="1"/>
      <c r="F149" s="1"/>
      <c r="G149" s="1"/>
      <c r="H149" s="1"/>
      <c r="I149" s="1"/>
      <c r="J149" s="1"/>
      <c r="K149" s="1"/>
      <c r="L149" s="1"/>
      <c r="M149" s="1"/>
      <c r="N149" s="1"/>
      <c r="O149" s="1"/>
      <c r="P149" s="1"/>
      <c r="Q149" s="1"/>
    </row>
    <row r="150" spans="1:17" x14ac:dyDescent="0.35">
      <c r="A150" s="1"/>
      <c r="B150" s="1"/>
      <c r="C150" s="1"/>
      <c r="D150" s="1"/>
      <c r="E150" s="1"/>
      <c r="F150" s="1"/>
      <c r="G150" s="1"/>
      <c r="H150" s="1"/>
      <c r="I150" s="1"/>
      <c r="J150" s="1"/>
      <c r="K150" s="1"/>
      <c r="L150" s="1"/>
      <c r="M150" s="1"/>
      <c r="N150" s="1"/>
      <c r="O150" s="1"/>
      <c r="P150" s="1"/>
      <c r="Q150" s="1"/>
    </row>
    <row r="151" spans="1:17" x14ac:dyDescent="0.35">
      <c r="A151" s="1"/>
      <c r="B151" s="1"/>
      <c r="C151" s="1"/>
      <c r="D151" s="1"/>
      <c r="E151" s="1"/>
      <c r="F151" s="1"/>
      <c r="G151" s="1"/>
      <c r="H151" s="1"/>
      <c r="I151" s="1"/>
      <c r="J151" s="1"/>
      <c r="K151" s="1"/>
      <c r="L151" s="1"/>
      <c r="M151" s="1"/>
      <c r="N151" s="1"/>
      <c r="O151" s="1"/>
      <c r="P151" s="1"/>
      <c r="Q151" s="1"/>
    </row>
    <row r="152" spans="1:17" x14ac:dyDescent="0.35">
      <c r="A152" s="1"/>
      <c r="B152" s="1"/>
      <c r="C152" s="1"/>
      <c r="D152" s="1"/>
      <c r="E152" s="1"/>
      <c r="F152" s="1"/>
      <c r="G152" s="1"/>
      <c r="H152" s="1"/>
      <c r="I152" s="1"/>
      <c r="J152" s="1"/>
      <c r="K152" s="1"/>
      <c r="L152" s="1"/>
      <c r="M152" s="1"/>
      <c r="N152" s="1"/>
      <c r="O152" s="1"/>
      <c r="P152" s="1"/>
      <c r="Q152" s="1"/>
    </row>
    <row r="153" spans="1:17" x14ac:dyDescent="0.35">
      <c r="A153" s="1"/>
      <c r="B153" s="1"/>
      <c r="C153" s="1"/>
      <c r="D153" s="1"/>
      <c r="E153" s="1"/>
      <c r="F153" s="1"/>
      <c r="G153" s="1"/>
      <c r="H153" s="1"/>
      <c r="I153" s="1"/>
      <c r="J153" s="1"/>
      <c r="K153" s="1"/>
      <c r="L153" s="1"/>
      <c r="M153" s="1"/>
      <c r="N153" s="1"/>
      <c r="O153" s="1"/>
      <c r="P153" s="1"/>
      <c r="Q153" s="1"/>
    </row>
    <row r="154" spans="1:17" x14ac:dyDescent="0.35">
      <c r="A154" s="1"/>
      <c r="B154" s="1"/>
      <c r="C154" s="1"/>
      <c r="D154" s="1"/>
      <c r="E154" s="1"/>
      <c r="F154" s="1"/>
      <c r="G154" s="1"/>
      <c r="H154" s="1"/>
      <c r="I154" s="1"/>
      <c r="J154" s="1"/>
      <c r="K154" s="1"/>
      <c r="L154" s="1"/>
      <c r="M154" s="1"/>
      <c r="N154" s="1"/>
      <c r="O154" s="1"/>
      <c r="P154" s="1"/>
      <c r="Q154" s="1"/>
    </row>
    <row r="155" spans="1:17" x14ac:dyDescent="0.35">
      <c r="A155" s="1"/>
      <c r="B155" s="1"/>
      <c r="C155" s="1"/>
      <c r="D155" s="1"/>
      <c r="E155" s="1"/>
      <c r="F155" s="1"/>
      <c r="G155" s="1"/>
      <c r="H155" s="1"/>
      <c r="I155" s="1"/>
      <c r="J155" s="1"/>
      <c r="K155" s="1"/>
      <c r="L155" s="1"/>
      <c r="M155" s="1"/>
      <c r="N155" s="1"/>
      <c r="O155" s="1"/>
      <c r="P155" s="1"/>
      <c r="Q155" s="1"/>
    </row>
    <row r="156" spans="1:17" x14ac:dyDescent="0.35">
      <c r="A156" s="1"/>
      <c r="B156" s="1"/>
      <c r="C156" s="1"/>
      <c r="D156" s="1"/>
      <c r="E156" s="1"/>
      <c r="F156" s="1"/>
      <c r="G156" s="1"/>
      <c r="H156" s="1"/>
      <c r="I156" s="1"/>
      <c r="J156" s="1"/>
      <c r="K156" s="1"/>
      <c r="L156" s="1"/>
      <c r="M156" s="1"/>
      <c r="N156" s="1"/>
      <c r="O156" s="1"/>
      <c r="P156" s="1"/>
      <c r="Q156" s="1"/>
    </row>
    <row r="157" spans="1:17" x14ac:dyDescent="0.35">
      <c r="A157" s="1"/>
      <c r="B157" s="1"/>
      <c r="C157" s="1"/>
      <c r="D157" s="1"/>
      <c r="E157" s="1"/>
      <c r="F157" s="1"/>
      <c r="G157" s="1"/>
      <c r="H157" s="1"/>
      <c r="I157" s="1"/>
      <c r="J157" s="1"/>
      <c r="K157" s="1"/>
      <c r="L157" s="1"/>
      <c r="M157" s="1"/>
      <c r="N157" s="1"/>
      <c r="O157" s="1"/>
      <c r="P157" s="1"/>
      <c r="Q157" s="1"/>
    </row>
    <row r="158" spans="1:17" x14ac:dyDescent="0.35">
      <c r="A158" s="1"/>
      <c r="B158" s="1"/>
      <c r="C158" s="1"/>
      <c r="D158" s="1"/>
      <c r="E158" s="1"/>
      <c r="F158" s="1"/>
      <c r="G158" s="1"/>
      <c r="H158" s="1"/>
      <c r="I158" s="1"/>
      <c r="J158" s="1"/>
      <c r="K158" s="1"/>
      <c r="L158" s="1"/>
      <c r="M158" s="1"/>
      <c r="N158" s="1"/>
      <c r="O158" s="1"/>
      <c r="P158" s="1"/>
      <c r="Q158" s="1"/>
    </row>
    <row r="159" spans="1:17" x14ac:dyDescent="0.35">
      <c r="A159" s="1"/>
      <c r="B159" s="1"/>
      <c r="C159" s="1"/>
      <c r="D159" s="1"/>
      <c r="E159" s="1"/>
      <c r="F159" s="1"/>
      <c r="G159" s="1"/>
      <c r="H159" s="1"/>
      <c r="I159" s="1"/>
      <c r="J159" s="1"/>
      <c r="K159" s="1"/>
      <c r="L159" s="1"/>
      <c r="M159" s="1"/>
      <c r="N159" s="1"/>
      <c r="O159" s="1"/>
      <c r="P159" s="1"/>
      <c r="Q159" s="1"/>
    </row>
    <row r="160" spans="1:17" x14ac:dyDescent="0.35">
      <c r="A160" s="1"/>
      <c r="B160" s="1"/>
      <c r="C160" s="1"/>
      <c r="D160" s="1"/>
      <c r="E160" s="1"/>
      <c r="F160" s="1"/>
      <c r="G160" s="1"/>
      <c r="H160" s="1"/>
      <c r="I160" s="1"/>
      <c r="J160" s="1"/>
      <c r="K160" s="1"/>
      <c r="L160" s="1"/>
      <c r="M160" s="1"/>
      <c r="N160" s="1"/>
      <c r="O160" s="1"/>
      <c r="P160" s="1"/>
      <c r="Q160" s="1"/>
    </row>
    <row r="161" spans="1:17" x14ac:dyDescent="0.35">
      <c r="A161" s="1"/>
      <c r="B161" s="1"/>
      <c r="C161" s="1"/>
      <c r="D161" s="1"/>
      <c r="E161" s="1"/>
      <c r="F161" s="1"/>
      <c r="G161" s="1"/>
      <c r="H161" s="1"/>
      <c r="I161" s="1"/>
      <c r="J161" s="1"/>
      <c r="K161" s="1"/>
      <c r="L161" s="1"/>
      <c r="M161" s="1"/>
      <c r="N161" s="1"/>
      <c r="O161" s="1"/>
      <c r="P161" s="1"/>
      <c r="Q161" s="1"/>
    </row>
    <row r="162" spans="1:17" x14ac:dyDescent="0.35">
      <c r="A162" s="1"/>
      <c r="B162" s="1"/>
      <c r="C162" s="1"/>
      <c r="D162" s="1"/>
      <c r="E162" s="1"/>
      <c r="F162" s="1"/>
      <c r="G162" s="1"/>
      <c r="H162" s="1"/>
      <c r="I162" s="1"/>
      <c r="J162" s="1"/>
      <c r="K162" s="1"/>
      <c r="L162" s="1"/>
      <c r="M162" s="1"/>
      <c r="N162" s="1"/>
      <c r="O162" s="1"/>
      <c r="P162" s="1"/>
      <c r="Q162" s="1"/>
    </row>
    <row r="163" spans="1:17" x14ac:dyDescent="0.35">
      <c r="A163" s="1"/>
      <c r="B163" s="1"/>
      <c r="C163" s="1"/>
      <c r="D163" s="1"/>
      <c r="E163" s="1"/>
      <c r="F163" s="1"/>
      <c r="G163" s="1"/>
      <c r="H163" s="1"/>
      <c r="I163" s="1"/>
      <c r="J163" s="1"/>
      <c r="K163" s="1"/>
      <c r="L163" s="1"/>
      <c r="M163" s="1"/>
      <c r="N163" s="1"/>
      <c r="O163" s="1"/>
      <c r="P163" s="1"/>
      <c r="Q163" s="1"/>
    </row>
    <row r="164" spans="1:17" x14ac:dyDescent="0.35">
      <c r="A164" s="1"/>
      <c r="B164" s="1"/>
      <c r="C164" s="1"/>
      <c r="D164" s="1"/>
      <c r="E164" s="1"/>
      <c r="F164" s="1"/>
      <c r="G164" s="1"/>
      <c r="H164" s="1"/>
      <c r="I164" s="1"/>
      <c r="J164" s="1"/>
      <c r="K164" s="1"/>
      <c r="L164" s="1"/>
      <c r="M164" s="1"/>
      <c r="N164" s="1"/>
      <c r="O164" s="1"/>
      <c r="P164" s="1"/>
      <c r="Q164" s="1"/>
    </row>
    <row r="165" spans="1:17" x14ac:dyDescent="0.35">
      <c r="A165" s="1"/>
      <c r="B165" s="1"/>
      <c r="C165" s="1"/>
      <c r="D165" s="1"/>
      <c r="E165" s="1"/>
      <c r="F165" s="1"/>
      <c r="G165" s="1"/>
      <c r="H165" s="1"/>
      <c r="I165" s="1"/>
      <c r="J165" s="1"/>
      <c r="K165" s="1"/>
      <c r="L165" s="1"/>
      <c r="M165" s="1"/>
      <c r="N165" s="1"/>
      <c r="O165" s="1"/>
      <c r="P165" s="1"/>
      <c r="Q165" s="1"/>
    </row>
    <row r="166" spans="1:17" x14ac:dyDescent="0.35">
      <c r="A166" s="1"/>
      <c r="B166" s="1"/>
      <c r="C166" s="1"/>
      <c r="D166" s="1"/>
      <c r="E166" s="1"/>
      <c r="F166" s="1"/>
      <c r="G166" s="1"/>
      <c r="H166" s="1"/>
      <c r="I166" s="1"/>
      <c r="J166" s="1"/>
      <c r="K166" s="1"/>
      <c r="L166" s="1"/>
      <c r="M166" s="1"/>
      <c r="N166" s="1"/>
      <c r="O166" s="1"/>
      <c r="P166" s="1"/>
      <c r="Q166" s="1"/>
    </row>
    <row r="167" spans="1:17" x14ac:dyDescent="0.35">
      <c r="A167" s="1"/>
      <c r="B167" s="1"/>
      <c r="C167" s="1"/>
      <c r="D167" s="1"/>
      <c r="E167" s="1"/>
      <c r="F167" s="1"/>
      <c r="G167" s="1"/>
      <c r="H167" s="1"/>
      <c r="I167" s="1"/>
      <c r="J167" s="1"/>
      <c r="K167" s="1"/>
      <c r="L167" s="1"/>
      <c r="M167" s="1"/>
      <c r="N167" s="1"/>
      <c r="O167" s="1"/>
      <c r="P167" s="1"/>
      <c r="Q167" s="1"/>
    </row>
    <row r="168" spans="1:17" x14ac:dyDescent="0.35">
      <c r="A168" s="1"/>
      <c r="B168" s="1"/>
      <c r="C168" s="1"/>
      <c r="D168" s="1"/>
      <c r="E168" s="1"/>
      <c r="F168" s="1"/>
      <c r="G168" s="1"/>
      <c r="H168" s="1"/>
      <c r="I168" s="1"/>
      <c r="J168" s="1"/>
      <c r="K168" s="1"/>
      <c r="L168" s="1"/>
      <c r="M168" s="1"/>
      <c r="N168" s="1"/>
      <c r="O168" s="1"/>
      <c r="P168" s="1"/>
      <c r="Q168" s="1"/>
    </row>
    <row r="169" spans="1:17" x14ac:dyDescent="0.35">
      <c r="A169" s="1"/>
      <c r="B169" s="1"/>
      <c r="C169" s="1"/>
      <c r="D169" s="1"/>
      <c r="E169" s="1"/>
      <c r="F169" s="1"/>
      <c r="G169" s="1"/>
      <c r="H169" s="1"/>
      <c r="I169" s="1"/>
      <c r="J169" s="1"/>
      <c r="K169" s="1"/>
      <c r="L169" s="1"/>
      <c r="M169" s="1"/>
      <c r="N169" s="1"/>
      <c r="O169" s="1"/>
      <c r="P169" s="1"/>
      <c r="Q169" s="1"/>
    </row>
    <row r="170" spans="1:17" x14ac:dyDescent="0.35">
      <c r="A170" s="1"/>
      <c r="B170" s="1"/>
      <c r="C170" s="1"/>
      <c r="D170" s="1"/>
      <c r="E170" s="1"/>
      <c r="F170" s="1"/>
      <c r="G170" s="1"/>
      <c r="H170" s="1"/>
      <c r="I170" s="1"/>
      <c r="J170" s="1"/>
      <c r="K170" s="1"/>
      <c r="L170" s="1"/>
      <c r="M170" s="1"/>
      <c r="N170" s="1"/>
      <c r="O170" s="1"/>
      <c r="P170" s="1"/>
      <c r="Q170" s="1"/>
    </row>
    <row r="171" spans="1:17" x14ac:dyDescent="0.35">
      <c r="A171" s="1"/>
      <c r="B171" s="1"/>
      <c r="C171" s="1"/>
      <c r="D171" s="1"/>
      <c r="E171" s="1"/>
      <c r="F171" s="1"/>
      <c r="G171" s="1"/>
      <c r="H171" s="1"/>
      <c r="I171" s="1"/>
      <c r="J171" s="1"/>
      <c r="K171" s="1"/>
      <c r="L171" s="1"/>
      <c r="M171" s="1"/>
      <c r="N171" s="1"/>
      <c r="O171" s="1"/>
      <c r="P171" s="1"/>
      <c r="Q171" s="1"/>
    </row>
    <row r="172" spans="1:17" x14ac:dyDescent="0.35">
      <c r="A172" s="1"/>
      <c r="B172" s="1"/>
      <c r="C172" s="1"/>
      <c r="D172" s="1"/>
      <c r="E172" s="1"/>
      <c r="F172" s="1"/>
      <c r="G172" s="1"/>
      <c r="H172" s="1"/>
      <c r="I172" s="1"/>
      <c r="J172" s="1"/>
      <c r="K172" s="1"/>
      <c r="L172" s="1"/>
      <c r="M172" s="1"/>
      <c r="N172" s="1"/>
      <c r="O172" s="1"/>
      <c r="P172" s="1"/>
      <c r="Q172" s="1"/>
    </row>
    <row r="173" spans="1:17" x14ac:dyDescent="0.35">
      <c r="A173" s="1"/>
      <c r="B173" s="1"/>
      <c r="C173" s="1"/>
      <c r="D173" s="1"/>
      <c r="E173" s="1"/>
      <c r="F173" s="1"/>
      <c r="G173" s="1"/>
      <c r="H173" s="1"/>
      <c r="I173" s="1"/>
      <c r="J173" s="1"/>
      <c r="K173" s="1"/>
      <c r="L173" s="1"/>
      <c r="M173" s="1"/>
      <c r="N173" s="1"/>
      <c r="O173" s="1"/>
      <c r="P173" s="1"/>
      <c r="Q173" s="1"/>
    </row>
    <row r="174" spans="1:17" x14ac:dyDescent="0.35">
      <c r="A174" s="1"/>
      <c r="B174" s="1"/>
      <c r="C174" s="1"/>
      <c r="D174" s="1"/>
      <c r="E174" s="1"/>
      <c r="F174" s="1"/>
      <c r="G174" s="1"/>
      <c r="H174" s="1"/>
      <c r="I174" s="1"/>
      <c r="J174" s="1"/>
      <c r="K174" s="1"/>
      <c r="L174" s="1"/>
      <c r="M174" s="1"/>
      <c r="N174" s="1"/>
      <c r="O174" s="1"/>
      <c r="P174" s="1"/>
      <c r="Q174" s="1"/>
    </row>
    <row r="175" spans="1:17" x14ac:dyDescent="0.35">
      <c r="A175" s="1"/>
      <c r="B175" s="1"/>
      <c r="C175" s="1"/>
      <c r="D175" s="1"/>
      <c r="E175" s="1"/>
      <c r="F175" s="1"/>
      <c r="G175" s="1"/>
      <c r="H175" s="1"/>
      <c r="I175" s="1"/>
      <c r="J175" s="1"/>
      <c r="K175" s="1"/>
      <c r="L175" s="1"/>
      <c r="M175" s="1"/>
      <c r="N175" s="1"/>
      <c r="O175" s="1"/>
      <c r="P175" s="1"/>
      <c r="Q175" s="1"/>
    </row>
    <row r="176" spans="1:17" x14ac:dyDescent="0.35">
      <c r="A176" s="1"/>
      <c r="B176" s="1"/>
      <c r="C176" s="1"/>
      <c r="D176" s="1"/>
      <c r="E176" s="1"/>
      <c r="F176" s="1"/>
      <c r="G176" s="1"/>
      <c r="H176" s="1"/>
      <c r="I176" s="1"/>
      <c r="J176" s="1"/>
      <c r="K176" s="1"/>
      <c r="L176" s="1"/>
      <c r="M176" s="1"/>
      <c r="N176" s="1"/>
      <c r="O176" s="1"/>
      <c r="P176" s="1"/>
      <c r="Q176" s="1"/>
    </row>
    <row r="177" spans="1:17" x14ac:dyDescent="0.35">
      <c r="A177" s="1"/>
      <c r="B177" s="1"/>
      <c r="C177" s="1"/>
      <c r="D177" s="1"/>
      <c r="E177" s="1"/>
      <c r="F177" s="1"/>
      <c r="G177" s="1"/>
      <c r="H177" s="1"/>
      <c r="I177" s="1"/>
      <c r="J177" s="1"/>
      <c r="K177" s="1"/>
      <c r="L177" s="1"/>
      <c r="M177" s="1"/>
      <c r="N177" s="1"/>
      <c r="O177" s="1"/>
      <c r="P177" s="1"/>
      <c r="Q177" s="1"/>
    </row>
    <row r="178" spans="1:17" x14ac:dyDescent="0.35">
      <c r="A178" s="1"/>
      <c r="B178" s="1"/>
      <c r="C178" s="1"/>
      <c r="D178" s="1"/>
      <c r="E178" s="1"/>
      <c r="F178" s="1"/>
      <c r="G178" s="1"/>
      <c r="H178" s="1"/>
      <c r="I178" s="1"/>
      <c r="J178" s="1"/>
      <c r="K178" s="1"/>
      <c r="L178" s="1"/>
      <c r="M178" s="1"/>
      <c r="N178" s="1"/>
      <c r="O178" s="1"/>
      <c r="P178" s="1"/>
      <c r="Q178" s="1"/>
    </row>
    <row r="179" spans="1:17" x14ac:dyDescent="0.35">
      <c r="A179" s="1"/>
      <c r="B179" s="1"/>
      <c r="C179" s="1"/>
      <c r="D179" s="1"/>
      <c r="E179" s="1"/>
      <c r="F179" s="1"/>
      <c r="G179" s="1"/>
      <c r="H179" s="1"/>
      <c r="I179" s="1"/>
      <c r="J179" s="1"/>
      <c r="K179" s="1"/>
      <c r="L179" s="1"/>
      <c r="M179" s="1"/>
      <c r="N179" s="1"/>
      <c r="O179" s="1"/>
      <c r="P179" s="1"/>
      <c r="Q179" s="1"/>
    </row>
    <row r="180" spans="1:17" x14ac:dyDescent="0.35">
      <c r="A180" s="1"/>
      <c r="B180" s="1"/>
      <c r="C180" s="1"/>
      <c r="D180" s="1"/>
      <c r="E180" s="1"/>
      <c r="F180" s="1"/>
      <c r="G180" s="1"/>
      <c r="H180" s="1"/>
      <c r="I180" s="1"/>
      <c r="J180" s="1"/>
      <c r="K180" s="1"/>
      <c r="L180" s="1"/>
      <c r="M180" s="1"/>
      <c r="N180" s="1"/>
      <c r="O180" s="1"/>
      <c r="P180" s="1"/>
      <c r="Q180" s="1"/>
    </row>
    <row r="181" spans="1:17" x14ac:dyDescent="0.35">
      <c r="A181" s="1"/>
      <c r="B181" s="1"/>
      <c r="C181" s="1"/>
      <c r="D181" s="1"/>
      <c r="E181" s="1"/>
      <c r="F181" s="1"/>
      <c r="G181" s="1"/>
      <c r="H181" s="1"/>
      <c r="I181" s="1"/>
      <c r="J181" s="1"/>
      <c r="K181" s="1"/>
      <c r="L181" s="1"/>
      <c r="M181" s="1"/>
      <c r="N181" s="1"/>
      <c r="O181" s="1"/>
      <c r="P181" s="1"/>
      <c r="Q181" s="1"/>
    </row>
    <row r="182" spans="1:17" x14ac:dyDescent="0.35">
      <c r="A182" s="1"/>
      <c r="B182" s="1"/>
      <c r="C182" s="1"/>
      <c r="D182" s="1"/>
      <c r="E182" s="1"/>
      <c r="F182" s="1"/>
      <c r="G182" s="1"/>
      <c r="H182" s="1"/>
      <c r="I182" s="1"/>
      <c r="J182" s="1"/>
      <c r="K182" s="1"/>
      <c r="L182" s="1"/>
      <c r="M182" s="1"/>
      <c r="N182" s="1"/>
      <c r="O182" s="1"/>
      <c r="P182" s="1"/>
      <c r="Q182" s="1"/>
    </row>
    <row r="183" spans="1:17" x14ac:dyDescent="0.35">
      <c r="A183" s="1"/>
      <c r="B183" s="1"/>
      <c r="C183" s="1"/>
      <c r="D183" s="1"/>
      <c r="E183" s="1"/>
      <c r="F183" s="1"/>
      <c r="G183" s="1"/>
      <c r="H183" s="1"/>
      <c r="I183" s="1"/>
      <c r="J183" s="1"/>
      <c r="K183" s="1"/>
      <c r="L183" s="1"/>
      <c r="M183" s="1"/>
      <c r="N183" s="1"/>
      <c r="O183" s="1"/>
      <c r="P183" s="1"/>
      <c r="Q183" s="1"/>
    </row>
    <row r="184" spans="1:17" x14ac:dyDescent="0.35">
      <c r="A184" s="1"/>
      <c r="B184" s="1"/>
      <c r="C184" s="1"/>
      <c r="D184" s="1"/>
      <c r="E184" s="1"/>
      <c r="F184" s="1"/>
      <c r="G184" s="1"/>
      <c r="H184" s="1"/>
      <c r="I184" s="1"/>
      <c r="J184" s="1"/>
      <c r="K184" s="1"/>
      <c r="L184" s="1"/>
      <c r="M184" s="1"/>
      <c r="N184" s="1"/>
      <c r="O184" s="1"/>
      <c r="P184" s="1"/>
      <c r="Q184" s="1"/>
    </row>
    <row r="185" spans="1:17" x14ac:dyDescent="0.35">
      <c r="A185" s="1"/>
      <c r="B185" s="1"/>
      <c r="C185" s="1"/>
      <c r="D185" s="1"/>
      <c r="E185" s="1"/>
      <c r="F185" s="1"/>
      <c r="G185" s="1"/>
      <c r="H185" s="1"/>
      <c r="I185" s="1"/>
      <c r="J185" s="1"/>
      <c r="K185" s="1"/>
      <c r="L185" s="1"/>
      <c r="M185" s="1"/>
      <c r="N185" s="1"/>
      <c r="O185" s="1"/>
      <c r="P185" s="1"/>
      <c r="Q185" s="1"/>
    </row>
    <row r="186" spans="1:17" x14ac:dyDescent="0.35">
      <c r="A186" s="1"/>
      <c r="B186" s="1"/>
      <c r="C186" s="1"/>
      <c r="D186" s="1"/>
      <c r="E186" s="1"/>
      <c r="F186" s="1"/>
      <c r="G186" s="1"/>
      <c r="H186" s="1"/>
      <c r="I186" s="1"/>
      <c r="J186" s="1"/>
      <c r="K186" s="1"/>
      <c r="L186" s="1"/>
      <c r="M186" s="1"/>
      <c r="N186" s="1"/>
      <c r="O186" s="1"/>
      <c r="P186" s="1"/>
      <c r="Q186" s="1"/>
    </row>
    <row r="187" spans="1:17" x14ac:dyDescent="0.35">
      <c r="A187" s="1"/>
      <c r="B187" s="1"/>
      <c r="C187" s="1"/>
      <c r="D187" s="1"/>
      <c r="E187" s="1"/>
      <c r="F187" s="1"/>
      <c r="G187" s="1"/>
      <c r="H187" s="1"/>
      <c r="I187" s="1"/>
      <c r="J187" s="1"/>
      <c r="K187" s="1"/>
      <c r="L187" s="1"/>
      <c r="M187" s="1"/>
      <c r="N187" s="1"/>
      <c r="O187" s="1"/>
      <c r="P187" s="1"/>
      <c r="Q187" s="1"/>
    </row>
    <row r="188" spans="1:17" x14ac:dyDescent="0.35">
      <c r="A188" s="1"/>
      <c r="B188" s="1"/>
      <c r="C188" s="1"/>
      <c r="D188" s="1"/>
      <c r="E188" s="1"/>
      <c r="F188" s="1"/>
      <c r="G188" s="1"/>
      <c r="H188" s="1"/>
      <c r="I188" s="1"/>
      <c r="J188" s="1"/>
      <c r="K188" s="1"/>
      <c r="L188" s="1"/>
      <c r="M188" s="1"/>
      <c r="N188" s="1"/>
      <c r="O188" s="1"/>
      <c r="P188" s="1"/>
      <c r="Q188" s="1"/>
    </row>
    <row r="189" spans="1:17" x14ac:dyDescent="0.35">
      <c r="A189" s="1"/>
      <c r="B189" s="1"/>
      <c r="C189" s="1"/>
      <c r="D189" s="1"/>
      <c r="E189" s="1"/>
      <c r="F189" s="1"/>
      <c r="G189" s="1"/>
      <c r="H189" s="1"/>
      <c r="I189" s="1"/>
      <c r="J189" s="1"/>
      <c r="K189" s="1"/>
      <c r="L189" s="1"/>
      <c r="M189" s="1"/>
      <c r="N189" s="1"/>
      <c r="O189" s="1"/>
      <c r="P189" s="1"/>
      <c r="Q189" s="1"/>
    </row>
    <row r="190" spans="1:17" x14ac:dyDescent="0.35">
      <c r="A190" s="1"/>
      <c r="B190" s="1"/>
      <c r="C190" s="1"/>
      <c r="D190" s="1"/>
      <c r="E190" s="1"/>
      <c r="F190" s="1"/>
      <c r="G190" s="1"/>
      <c r="H190" s="1"/>
      <c r="I190" s="1"/>
      <c r="J190" s="1"/>
      <c r="K190" s="1"/>
      <c r="L190" s="1"/>
      <c r="M190" s="1"/>
      <c r="N190" s="1"/>
      <c r="O190" s="1"/>
      <c r="P190" s="1"/>
      <c r="Q190" s="1"/>
    </row>
    <row r="191" spans="1:17" x14ac:dyDescent="0.35">
      <c r="A191" s="1"/>
      <c r="B191" s="1"/>
      <c r="C191" s="1"/>
      <c r="D191" s="1"/>
      <c r="E191" s="1"/>
      <c r="F191" s="1"/>
      <c r="G191" s="1"/>
      <c r="H191" s="1"/>
      <c r="I191" s="1"/>
      <c r="J191" s="1"/>
      <c r="K191" s="1"/>
      <c r="L191" s="1"/>
      <c r="M191" s="1"/>
      <c r="N191" s="1"/>
      <c r="O191" s="1"/>
      <c r="P191" s="1"/>
      <c r="Q191" s="1"/>
    </row>
    <row r="192" spans="1:17" x14ac:dyDescent="0.35">
      <c r="A192" s="1"/>
      <c r="B192" s="1"/>
      <c r="C192" s="1"/>
      <c r="D192" s="1"/>
      <c r="E192" s="1"/>
      <c r="F192" s="1"/>
      <c r="G192" s="1"/>
      <c r="H192" s="1"/>
      <c r="I192" s="1"/>
      <c r="J192" s="1"/>
      <c r="K192" s="1"/>
      <c r="L192" s="1"/>
      <c r="M192" s="1"/>
      <c r="N192" s="1"/>
      <c r="O192" s="1"/>
      <c r="P192" s="1"/>
      <c r="Q192" s="1"/>
    </row>
    <row r="193" spans="1:17" x14ac:dyDescent="0.35">
      <c r="A193" s="1"/>
      <c r="B193" s="1"/>
      <c r="C193" s="1"/>
      <c r="D193" s="1"/>
      <c r="E193" s="1"/>
      <c r="F193" s="1"/>
      <c r="G193" s="1"/>
      <c r="H193" s="1"/>
      <c r="I193" s="1"/>
      <c r="J193" s="1"/>
      <c r="K193" s="1"/>
      <c r="L193" s="1"/>
      <c r="M193" s="1"/>
      <c r="N193" s="1"/>
      <c r="O193" s="1"/>
      <c r="P193" s="1"/>
      <c r="Q193" s="1"/>
    </row>
    <row r="194" spans="1:17" x14ac:dyDescent="0.35">
      <c r="A194" s="1"/>
      <c r="B194" s="1"/>
      <c r="C194" s="1"/>
      <c r="D194" s="1"/>
      <c r="E194" s="1"/>
      <c r="F194" s="1"/>
      <c r="G194" s="1"/>
      <c r="H194" s="1"/>
      <c r="I194" s="1"/>
      <c r="J194" s="1"/>
      <c r="K194" s="1"/>
      <c r="L194" s="1"/>
      <c r="M194" s="1"/>
      <c r="N194" s="1"/>
      <c r="O194" s="1"/>
      <c r="P194" s="1"/>
      <c r="Q194" s="1"/>
    </row>
    <row r="195" spans="1:17" x14ac:dyDescent="0.35">
      <c r="A195" s="1"/>
      <c r="B195" s="1"/>
      <c r="C195" s="1"/>
      <c r="D195" s="1"/>
      <c r="E195" s="1"/>
      <c r="F195" s="1"/>
      <c r="G195" s="1"/>
      <c r="H195" s="1"/>
      <c r="I195" s="1"/>
      <c r="J195" s="1"/>
      <c r="K195" s="1"/>
      <c r="L195" s="1"/>
      <c r="M195" s="1"/>
      <c r="N195" s="1"/>
      <c r="O195" s="1"/>
      <c r="P195" s="1"/>
      <c r="Q195" s="1"/>
    </row>
    <row r="196" spans="1:17" x14ac:dyDescent="0.35">
      <c r="A196" s="1"/>
      <c r="B196" s="1"/>
      <c r="C196" s="1"/>
      <c r="D196" s="1"/>
      <c r="E196" s="1"/>
      <c r="F196" s="1"/>
      <c r="G196" s="1"/>
      <c r="H196" s="1"/>
      <c r="I196" s="1"/>
      <c r="J196" s="1"/>
      <c r="K196" s="1"/>
      <c r="L196" s="1"/>
      <c r="M196" s="1"/>
      <c r="N196" s="1"/>
      <c r="O196" s="1"/>
      <c r="P196" s="1"/>
      <c r="Q196" s="1"/>
    </row>
    <row r="197" spans="1:17" x14ac:dyDescent="0.35">
      <c r="A197" s="1"/>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1:17" x14ac:dyDescent="0.35">
      <c r="A198" s="1"/>
      <c r="B198" s="37"/>
      <c r="C198" s="38"/>
      <c r="D198" s="31"/>
      <c r="E198" s="32"/>
      <c r="F198" s="34"/>
      <c r="G198" s="33"/>
      <c r="H198" s="34"/>
      <c r="I198" s="33"/>
      <c r="J198" s="34"/>
      <c r="K198" s="34"/>
      <c r="L198" s="34"/>
      <c r="M198" s="33"/>
      <c r="N198" s="34"/>
      <c r="O198" s="35"/>
      <c r="P198" s="36"/>
      <c r="Q198" s="35"/>
    </row>
    <row r="199" spans="1:17" x14ac:dyDescent="0.35">
      <c r="A199" s="1"/>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1:17" x14ac:dyDescent="0.35">
      <c r="A200" s="1"/>
      <c r="B200" s="1"/>
      <c r="C200" s="1"/>
      <c r="D200" s="1"/>
      <c r="E200" s="1"/>
      <c r="F200" s="1"/>
      <c r="G200" s="1"/>
      <c r="H200" s="1"/>
      <c r="I200" s="1"/>
      <c r="J200" s="1"/>
      <c r="K200" s="1"/>
      <c r="L200" s="1"/>
      <c r="M200" s="1"/>
      <c r="N200" s="1"/>
      <c r="O200" s="1"/>
      <c r="P200" s="1"/>
      <c r="Q200" s="78" t="s">
        <v>21404</v>
      </c>
    </row>
    <row r="201" spans="1:17" x14ac:dyDescent="0.35">
      <c r="A201" s="1"/>
      <c r="B201" s="1"/>
      <c r="C201" s="78" t="s">
        <v>21592</v>
      </c>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77" t="s">
        <v>21399</v>
      </c>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t="s">
        <v>21398</v>
      </c>
      <c r="D205" s="1" t="s">
        <v>75</v>
      </c>
      <c r="E205" s="1" t="s">
        <v>13768</v>
      </c>
      <c r="F205" s="2" t="s">
        <v>21397</v>
      </c>
      <c r="G205" s="1" t="s">
        <v>9</v>
      </c>
      <c r="H205" s="1"/>
      <c r="I205" s="1"/>
      <c r="J205" s="1"/>
      <c r="K205" s="1"/>
      <c r="L205" s="1"/>
      <c r="M205" s="1"/>
      <c r="N205" s="1"/>
      <c r="O205" s="1"/>
      <c r="P205" s="1"/>
      <c r="Q205" s="1"/>
    </row>
    <row r="206" spans="1:17" x14ac:dyDescent="0.35">
      <c r="B206" s="49" t="s">
        <v>14813</v>
      </c>
      <c r="C206" s="352" t="s">
        <v>14814</v>
      </c>
    </row>
    <row r="207" spans="1:17" x14ac:dyDescent="0.35">
      <c r="B207" s="49" t="s">
        <v>14815</v>
      </c>
      <c r="C207" s="53" t="s">
        <v>14816</v>
      </c>
    </row>
    <row r="208" spans="1:17" x14ac:dyDescent="0.35">
      <c r="B208" s="49" t="s">
        <v>14817</v>
      </c>
      <c r="C208" s="53" t="s">
        <v>14818</v>
      </c>
    </row>
    <row r="209" spans="2:3" x14ac:dyDescent="0.35">
      <c r="B209" s="49" t="s">
        <v>14819</v>
      </c>
      <c r="C209" s="53" t="s">
        <v>14820</v>
      </c>
    </row>
    <row r="210" spans="2:3" x14ac:dyDescent="0.35">
      <c r="B210" s="49" t="s">
        <v>14821</v>
      </c>
      <c r="C210" s="53" t="s">
        <v>14822</v>
      </c>
    </row>
    <row r="211" spans="2:3" x14ac:dyDescent="0.35">
      <c r="B211" s="49" t="s">
        <v>14823</v>
      </c>
      <c r="C211" s="53" t="s">
        <v>14824</v>
      </c>
    </row>
  </sheetData>
  <mergeCells count="9">
    <mergeCell ref="J5:K5"/>
    <mergeCell ref="J6:K6"/>
    <mergeCell ref="J7:K7"/>
    <mergeCell ref="A3:B3"/>
    <mergeCell ref="D3:G3"/>
    <mergeCell ref="J3:K3"/>
    <mergeCell ref="P3:Q3"/>
    <mergeCell ref="A4:B4"/>
    <mergeCell ref="J4:K4"/>
  </mergeCells>
  <dataValidations count="1">
    <dataValidation type="list" allowBlank="1" showInputMessage="1" showErrorMessage="1" sqref="C16:C190" xr:uid="{4A5763C2-E074-46BA-A937-485351377330}">
      <formula1>$C$205:$C207</formula1>
    </dataValidation>
  </dataValidations>
  <hyperlinks>
    <hyperlink ref="D3" r:id="rId1" display="datamateapp@gmail.com" xr:uid="{E4940632-7974-415E-ADFA-2FA67F5F53A5}"/>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57761" r:id="rId4" name="Button 1">
              <controlPr defaultSize="0" print="0" autoFill="0" autoPict="0" macro="SaveData">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757762" r:id="rId5" name="Button 2">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757763"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757764"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757765" r:id="rId8" name="Button 5">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757766" r:id="rId9" name="Button 6">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757767" r:id="rId10" name="Button 7">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757768" r:id="rId11" name="Button 8">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mc:AlternateContent xmlns:mc="http://schemas.openxmlformats.org/markup-compatibility/2006">
          <mc:Choice Requires="x14">
            <control shapeId="757769" r:id="rId12" name="Button 9">
              <controlPr defaultSize="0" print="0" autoFill="0" autoPict="0" macro="[0]!ExitSEC_116000">
                <anchor moveWithCells="1" sizeWithCells="1">
                  <from>
                    <xdr:col>16</xdr:col>
                    <xdr:colOff>0</xdr:colOff>
                    <xdr:row>0</xdr:row>
                    <xdr:rowOff>0</xdr:rowOff>
                  </from>
                  <to>
                    <xdr:col>16</xdr:col>
                    <xdr:colOff>1270000</xdr:colOff>
                    <xdr:row>2</xdr:row>
                    <xdr:rowOff>12700</xdr:rowOff>
                  </to>
                </anchor>
              </controlPr>
            </control>
          </mc:Choice>
        </mc:AlternateContent>
      </controls>
    </mc:Choice>
  </mc:AlternateContent>
</worksheet>
</file>

<file path=xl/worksheets/sheet1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D5C22-B695-403C-B6A8-E9D37C50F699}">
  <sheetPr codeName="Sheet142"/>
  <dimension ref="A1:Q229"/>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HEALTHCARE EQUIPMENT</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11 70 00</v>
      </c>
      <c r="C10" s="24" t="str">
        <f>C206</f>
        <v>HEALTHCARE EQUIPMENT</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HEALTHCARE EQUIPMENT</v>
      </c>
      <c r="D12" s="31"/>
      <c r="E12" s="32"/>
      <c r="F12" s="34"/>
      <c r="G12" s="33"/>
      <c r="H12" s="34"/>
      <c r="I12" s="33"/>
      <c r="J12" s="34"/>
      <c r="K12" s="34"/>
      <c r="L12" s="34"/>
      <c r="M12" s="33"/>
      <c r="N12" s="34"/>
      <c r="O12" s="35"/>
      <c r="P12" s="31"/>
      <c r="Q12" s="35"/>
    </row>
    <row r="13" spans="1:17" x14ac:dyDescent="0.35">
      <c r="A13" s="1"/>
      <c r="B13" s="1"/>
      <c r="C13" s="1"/>
      <c r="D13" s="1"/>
      <c r="E13" s="1"/>
      <c r="F13" s="1"/>
      <c r="G13" s="1"/>
      <c r="H13" s="1"/>
      <c r="I13" s="1"/>
      <c r="J13" s="1"/>
      <c r="K13" s="1"/>
      <c r="L13" s="1"/>
      <c r="M13" s="1"/>
      <c r="N13" s="1"/>
      <c r="O13" s="1"/>
      <c r="P13" s="1"/>
      <c r="Q13" s="1"/>
    </row>
    <row r="14" spans="1:17" x14ac:dyDescent="0.35">
      <c r="A14" s="1"/>
      <c r="B14" s="1"/>
      <c r="C14" s="1"/>
      <c r="D14" s="1"/>
      <c r="E14" s="1"/>
      <c r="F14" s="1"/>
      <c r="G14" s="1"/>
      <c r="H14" s="1"/>
      <c r="I14" s="1"/>
      <c r="J14" s="1"/>
      <c r="K14" s="1"/>
      <c r="L14" s="1"/>
      <c r="M14" s="1"/>
      <c r="N14" s="1"/>
      <c r="O14" s="1"/>
      <c r="P14" s="1"/>
      <c r="Q14" s="1"/>
    </row>
    <row r="15" spans="1:17" x14ac:dyDescent="0.35">
      <c r="A15" s="1"/>
      <c r="B15" s="1"/>
      <c r="C15" s="1"/>
      <c r="D15" s="1"/>
      <c r="E15" s="1"/>
      <c r="F15" s="1"/>
      <c r="G15" s="1"/>
      <c r="H15" s="1"/>
      <c r="I15" s="1"/>
      <c r="J15" s="1"/>
      <c r="K15" s="1"/>
      <c r="L15" s="1"/>
      <c r="M15" s="1"/>
      <c r="N15" s="1"/>
      <c r="O15" s="1"/>
      <c r="P15" s="1"/>
      <c r="Q15" s="1"/>
    </row>
    <row r="16" spans="1:17" x14ac:dyDescent="0.35">
      <c r="A16" s="1"/>
      <c r="B16" s="1"/>
      <c r="C16" s="1"/>
      <c r="D16" s="1"/>
      <c r="E16" s="1"/>
      <c r="F16" s="1"/>
      <c r="G16" s="1"/>
      <c r="H16" s="1"/>
      <c r="I16" s="1"/>
      <c r="J16" s="1"/>
      <c r="K16" s="1"/>
      <c r="L16" s="1"/>
      <c r="M16" s="1"/>
      <c r="N16" s="1"/>
      <c r="O16" s="1"/>
      <c r="P16" s="1"/>
      <c r="Q16" s="1"/>
    </row>
    <row r="17" spans="1:17" x14ac:dyDescent="0.35">
      <c r="A17" s="1"/>
      <c r="B17" s="1"/>
      <c r="C17" s="1"/>
      <c r="D17" s="1"/>
      <c r="E17" s="1"/>
      <c r="F17" s="1"/>
      <c r="G17" s="1"/>
      <c r="H17" s="1"/>
      <c r="I17" s="1"/>
      <c r="J17" s="1"/>
      <c r="K17" s="1"/>
      <c r="L17" s="1"/>
      <c r="M17" s="1"/>
      <c r="N17" s="1"/>
      <c r="O17" s="1"/>
      <c r="P17" s="1"/>
      <c r="Q17" s="1"/>
    </row>
    <row r="18" spans="1:17" x14ac:dyDescent="0.35">
      <c r="A18" s="1"/>
      <c r="B18" s="1"/>
      <c r="C18" s="1"/>
      <c r="D18" s="1"/>
      <c r="E18" s="1"/>
      <c r="F18" s="1"/>
      <c r="G18" s="1"/>
      <c r="H18" s="1"/>
      <c r="I18" s="1"/>
      <c r="J18" s="1"/>
      <c r="K18" s="1"/>
      <c r="L18" s="1"/>
      <c r="M18" s="1"/>
      <c r="N18" s="1"/>
      <c r="O18" s="1"/>
      <c r="P18" s="1"/>
      <c r="Q18" s="1"/>
    </row>
    <row r="19" spans="1:17" x14ac:dyDescent="0.35">
      <c r="A19" s="1"/>
      <c r="B19" s="1"/>
      <c r="C19" s="1"/>
      <c r="D19" s="1"/>
      <c r="E19" s="1"/>
      <c r="F19" s="1"/>
      <c r="G19" s="1"/>
      <c r="H19" s="1"/>
      <c r="I19" s="1"/>
      <c r="J19" s="1"/>
      <c r="K19" s="1"/>
      <c r="L19" s="1"/>
      <c r="M19" s="1"/>
      <c r="N19" s="1"/>
      <c r="O19" s="1"/>
      <c r="P19" s="1"/>
      <c r="Q19" s="1"/>
    </row>
    <row r="20" spans="1:17" x14ac:dyDescent="0.35">
      <c r="A20" s="1"/>
      <c r="B20" s="1"/>
      <c r="C20" s="1"/>
      <c r="D20" s="1"/>
      <c r="E20" s="1"/>
      <c r="F20" s="1"/>
      <c r="G20" s="1"/>
      <c r="H20" s="1"/>
      <c r="I20" s="1"/>
      <c r="J20" s="1"/>
      <c r="K20" s="1"/>
      <c r="L20" s="1"/>
      <c r="M20" s="1"/>
      <c r="N20" s="1"/>
      <c r="O20" s="1"/>
      <c r="P20" s="1"/>
      <c r="Q20" s="1"/>
    </row>
    <row r="21" spans="1:17" x14ac:dyDescent="0.35">
      <c r="A21" s="1"/>
      <c r="B21" s="1"/>
      <c r="C21" s="1"/>
      <c r="D21" s="1"/>
      <c r="E21" s="1"/>
      <c r="F21" s="1"/>
      <c r="G21" s="1"/>
      <c r="H21" s="1"/>
      <c r="I21" s="1"/>
      <c r="J21" s="1"/>
      <c r="K21" s="1"/>
      <c r="L21" s="1"/>
      <c r="M21" s="1"/>
      <c r="N21" s="1"/>
      <c r="O21" s="1"/>
      <c r="P21" s="1"/>
      <c r="Q21" s="1"/>
    </row>
    <row r="22" spans="1:17" x14ac:dyDescent="0.35">
      <c r="A22" s="1"/>
      <c r="B22" s="1"/>
      <c r="C22" s="1"/>
      <c r="D22" s="1"/>
      <c r="E22" s="1"/>
      <c r="F22" s="1"/>
      <c r="G22" s="1"/>
      <c r="H22" s="1"/>
      <c r="I22" s="1"/>
      <c r="J22" s="1"/>
      <c r="K22" s="1"/>
      <c r="L22" s="1"/>
      <c r="M22" s="1"/>
      <c r="N22" s="1"/>
      <c r="O22" s="1"/>
      <c r="P22" s="1"/>
      <c r="Q22" s="1"/>
    </row>
    <row r="23" spans="1:17" x14ac:dyDescent="0.35">
      <c r="A23" s="1"/>
      <c r="B23" s="1"/>
      <c r="C23" s="1"/>
      <c r="D23" s="1"/>
      <c r="E23" s="1"/>
      <c r="F23" s="1"/>
      <c r="G23" s="1"/>
      <c r="H23" s="1"/>
      <c r="I23" s="1"/>
      <c r="J23" s="1"/>
      <c r="K23" s="1"/>
      <c r="L23" s="1"/>
      <c r="M23" s="1"/>
      <c r="N23" s="1"/>
      <c r="O23" s="1"/>
      <c r="P23" s="1"/>
      <c r="Q23" s="1"/>
    </row>
    <row r="24" spans="1:17" x14ac:dyDescent="0.35">
      <c r="A24" s="1"/>
      <c r="B24" s="1"/>
      <c r="C24" s="1"/>
      <c r="D24" s="1"/>
      <c r="E24" s="1"/>
      <c r="F24" s="1"/>
      <c r="G24" s="1"/>
      <c r="H24" s="1"/>
      <c r="I24" s="1"/>
      <c r="J24" s="1"/>
      <c r="K24" s="1"/>
      <c r="L24" s="1"/>
      <c r="M24" s="1"/>
      <c r="N24" s="1"/>
      <c r="O24" s="1"/>
      <c r="P24" s="1"/>
      <c r="Q24" s="1"/>
    </row>
    <row r="25" spans="1:17" x14ac:dyDescent="0.35">
      <c r="A25" s="1"/>
      <c r="B25" s="1"/>
      <c r="C25" s="1"/>
      <c r="D25" s="1"/>
      <c r="E25" s="1"/>
      <c r="F25" s="1"/>
      <c r="G25" s="1"/>
      <c r="H25" s="1"/>
      <c r="I25" s="1"/>
      <c r="J25" s="1"/>
      <c r="K25" s="1"/>
      <c r="L25" s="1"/>
      <c r="M25" s="1"/>
      <c r="N25" s="1"/>
      <c r="O25" s="1"/>
      <c r="P25" s="1"/>
      <c r="Q25" s="1"/>
    </row>
    <row r="26" spans="1:17" x14ac:dyDescent="0.35">
      <c r="A26" s="1"/>
      <c r="B26" s="1"/>
      <c r="C26" s="1"/>
      <c r="D26" s="1"/>
      <c r="E26" s="1"/>
      <c r="F26" s="1"/>
      <c r="G26" s="1"/>
      <c r="H26" s="1"/>
      <c r="I26" s="1"/>
      <c r="J26" s="1"/>
      <c r="K26" s="1"/>
      <c r="L26" s="1"/>
      <c r="M26" s="1"/>
      <c r="N26" s="1"/>
      <c r="O26" s="1"/>
      <c r="P26" s="1"/>
      <c r="Q26" s="1"/>
    </row>
    <row r="27" spans="1:17" x14ac:dyDescent="0.35">
      <c r="A27" s="1"/>
      <c r="B27" s="1"/>
      <c r="C27" s="1"/>
      <c r="D27" s="1"/>
      <c r="E27" s="1"/>
      <c r="F27" s="1"/>
      <c r="G27" s="1"/>
      <c r="H27" s="1"/>
      <c r="I27" s="1"/>
      <c r="J27" s="1"/>
      <c r="K27" s="1"/>
      <c r="L27" s="1"/>
      <c r="M27" s="1"/>
      <c r="N27" s="1"/>
      <c r="O27" s="1"/>
      <c r="P27" s="1"/>
      <c r="Q27" s="1"/>
    </row>
    <row r="28" spans="1:17" x14ac:dyDescent="0.35">
      <c r="A28" s="1"/>
      <c r="B28" s="1"/>
      <c r="C28" s="1"/>
      <c r="D28" s="1"/>
      <c r="E28" s="1"/>
      <c r="F28" s="1"/>
      <c r="G28" s="1"/>
      <c r="H28" s="1"/>
      <c r="I28" s="1"/>
      <c r="J28" s="1"/>
      <c r="K28" s="1"/>
      <c r="L28" s="1"/>
      <c r="M28" s="1"/>
      <c r="N28" s="1"/>
      <c r="O28" s="1"/>
      <c r="P28" s="1"/>
      <c r="Q28" s="1"/>
    </row>
    <row r="29" spans="1:17" x14ac:dyDescent="0.35">
      <c r="A29" s="1"/>
      <c r="B29" s="1"/>
      <c r="C29" s="1"/>
      <c r="D29" s="1"/>
      <c r="E29" s="1"/>
      <c r="F29" s="1"/>
      <c r="G29" s="1"/>
      <c r="H29" s="1"/>
      <c r="I29" s="1"/>
      <c r="J29" s="1"/>
      <c r="K29" s="1"/>
      <c r="L29" s="1"/>
      <c r="M29" s="1"/>
      <c r="N29" s="1"/>
      <c r="O29" s="1"/>
      <c r="P29" s="1"/>
      <c r="Q29" s="1"/>
    </row>
    <row r="30" spans="1:17" x14ac:dyDescent="0.35">
      <c r="A30" s="1"/>
      <c r="B30" s="1"/>
      <c r="C30" s="1"/>
      <c r="D30" s="1"/>
      <c r="E30" s="1"/>
      <c r="F30" s="1"/>
      <c r="G30" s="1"/>
      <c r="H30" s="1"/>
      <c r="I30" s="1"/>
      <c r="J30" s="1"/>
      <c r="K30" s="1"/>
      <c r="L30" s="1"/>
      <c r="M30" s="1"/>
      <c r="N30" s="1"/>
      <c r="O30" s="1"/>
      <c r="P30" s="1"/>
      <c r="Q30" s="1"/>
    </row>
    <row r="31" spans="1:17" x14ac:dyDescent="0.35">
      <c r="A31" s="1"/>
      <c r="B31" s="1"/>
      <c r="C31" s="1"/>
      <c r="D31" s="1"/>
      <c r="E31" s="1"/>
      <c r="F31" s="1"/>
      <c r="G31" s="1"/>
      <c r="H31" s="1"/>
      <c r="I31" s="1"/>
      <c r="J31" s="1"/>
      <c r="K31" s="1"/>
      <c r="L31" s="1"/>
      <c r="M31" s="1"/>
      <c r="N31" s="1"/>
      <c r="O31" s="1"/>
      <c r="P31" s="1"/>
      <c r="Q31" s="1"/>
    </row>
    <row r="32" spans="1:17" x14ac:dyDescent="0.35">
      <c r="A32" s="1"/>
      <c r="B32" s="1"/>
      <c r="C32" s="1"/>
      <c r="D32" s="1"/>
      <c r="E32" s="1"/>
      <c r="F32" s="1"/>
      <c r="G32" s="1"/>
      <c r="H32" s="1"/>
      <c r="I32" s="1"/>
      <c r="J32" s="1"/>
      <c r="K32" s="1"/>
      <c r="L32" s="1"/>
      <c r="M32" s="1"/>
      <c r="N32" s="1"/>
      <c r="O32" s="1"/>
      <c r="P32" s="1"/>
      <c r="Q32" s="1"/>
    </row>
    <row r="33" spans="1:17" x14ac:dyDescent="0.35">
      <c r="A33" s="1"/>
      <c r="B33" s="1"/>
      <c r="C33" s="1"/>
      <c r="D33" s="1"/>
      <c r="E33" s="1"/>
      <c r="F33" s="1"/>
      <c r="G33" s="1"/>
      <c r="H33" s="1"/>
      <c r="I33" s="1"/>
      <c r="J33" s="1"/>
      <c r="K33" s="1"/>
      <c r="L33" s="1"/>
      <c r="M33" s="1"/>
      <c r="N33" s="1"/>
      <c r="O33" s="1"/>
      <c r="P33" s="1"/>
      <c r="Q33" s="1"/>
    </row>
    <row r="34" spans="1:17" x14ac:dyDescent="0.35">
      <c r="A34" s="1"/>
      <c r="B34" s="1"/>
      <c r="C34" s="1"/>
      <c r="D34" s="1"/>
      <c r="E34" s="1"/>
      <c r="F34" s="1"/>
      <c r="G34" s="1"/>
      <c r="H34" s="1"/>
      <c r="I34" s="1"/>
      <c r="J34" s="1"/>
      <c r="K34" s="1"/>
      <c r="L34" s="1"/>
      <c r="M34" s="1"/>
      <c r="N34" s="1"/>
      <c r="O34" s="1"/>
      <c r="P34" s="1"/>
      <c r="Q34" s="1"/>
    </row>
    <row r="35" spans="1:17" x14ac:dyDescent="0.35">
      <c r="A35" s="1"/>
      <c r="B35" s="1"/>
      <c r="C35" s="1"/>
      <c r="D35" s="1"/>
      <c r="E35" s="1"/>
      <c r="F35" s="1"/>
      <c r="G35" s="1"/>
      <c r="H35" s="1"/>
      <c r="I35" s="1"/>
      <c r="J35" s="1"/>
      <c r="K35" s="1"/>
      <c r="L35" s="1"/>
      <c r="M35" s="1"/>
      <c r="N35" s="1"/>
      <c r="O35" s="1"/>
      <c r="P35" s="1"/>
      <c r="Q35" s="1"/>
    </row>
    <row r="36" spans="1:17" x14ac:dyDescent="0.35">
      <c r="A36" s="1"/>
      <c r="B36" s="1"/>
      <c r="C36" s="1"/>
      <c r="D36" s="1"/>
      <c r="E36" s="1"/>
      <c r="F36" s="1"/>
      <c r="G36" s="1"/>
      <c r="H36" s="1"/>
      <c r="I36" s="1"/>
      <c r="J36" s="1"/>
      <c r="K36" s="1"/>
      <c r="L36" s="1"/>
      <c r="M36" s="1"/>
      <c r="N36" s="1"/>
      <c r="O36" s="1"/>
      <c r="P36" s="1"/>
      <c r="Q36" s="1"/>
    </row>
    <row r="37" spans="1:17" x14ac:dyDescent="0.35">
      <c r="A37" s="1"/>
      <c r="B37" s="1"/>
      <c r="C37" s="1"/>
      <c r="D37" s="1"/>
      <c r="E37" s="1"/>
      <c r="F37" s="1"/>
      <c r="G37" s="1"/>
      <c r="H37" s="1"/>
      <c r="I37" s="1"/>
      <c r="J37" s="1"/>
      <c r="K37" s="1"/>
      <c r="L37" s="1"/>
      <c r="M37" s="1"/>
      <c r="N37" s="1"/>
      <c r="O37" s="1"/>
      <c r="P37" s="1"/>
      <c r="Q37" s="1"/>
    </row>
    <row r="38" spans="1:17" x14ac:dyDescent="0.35">
      <c r="A38" s="1"/>
      <c r="B38" s="1"/>
      <c r="C38" s="1"/>
      <c r="D38" s="1"/>
      <c r="E38" s="1"/>
      <c r="F38" s="1"/>
      <c r="G38" s="1"/>
      <c r="H38" s="1"/>
      <c r="I38" s="1"/>
      <c r="J38" s="1"/>
      <c r="K38" s="1"/>
      <c r="L38" s="1"/>
      <c r="M38" s="1"/>
      <c r="N38" s="1"/>
      <c r="O38" s="1"/>
      <c r="P38" s="1"/>
      <c r="Q38" s="1"/>
    </row>
    <row r="39" spans="1:17" x14ac:dyDescent="0.35">
      <c r="A39" s="1"/>
      <c r="B39" s="1"/>
      <c r="C39" s="1"/>
      <c r="D39" s="1"/>
      <c r="E39" s="1"/>
      <c r="F39" s="1"/>
      <c r="G39" s="1"/>
      <c r="H39" s="1"/>
      <c r="I39" s="1"/>
      <c r="J39" s="1"/>
      <c r="K39" s="1"/>
      <c r="L39" s="1"/>
      <c r="M39" s="1"/>
      <c r="N39" s="1"/>
      <c r="O39" s="1"/>
      <c r="P39" s="1"/>
      <c r="Q39" s="1"/>
    </row>
    <row r="40" spans="1:17" x14ac:dyDescent="0.35">
      <c r="A40" s="1"/>
      <c r="B40" s="1"/>
      <c r="C40" s="1"/>
      <c r="D40" s="1"/>
      <c r="E40" s="1"/>
      <c r="F40" s="1"/>
      <c r="G40" s="1"/>
      <c r="H40" s="1"/>
      <c r="I40" s="1"/>
      <c r="J40" s="1"/>
      <c r="K40" s="1"/>
      <c r="L40" s="1"/>
      <c r="M40" s="1"/>
      <c r="N40" s="1"/>
      <c r="O40" s="1"/>
      <c r="P40" s="1"/>
      <c r="Q40" s="1"/>
    </row>
    <row r="41" spans="1:17" x14ac:dyDescent="0.35">
      <c r="A41" s="1"/>
      <c r="B41" s="1"/>
      <c r="C41" s="1"/>
      <c r="D41" s="1"/>
      <c r="E41" s="1"/>
      <c r="F41" s="1"/>
      <c r="G41" s="1"/>
      <c r="H41" s="1"/>
      <c r="I41" s="1"/>
      <c r="J41" s="1"/>
      <c r="K41" s="1"/>
      <c r="L41" s="1"/>
      <c r="M41" s="1"/>
      <c r="N41" s="1"/>
      <c r="O41" s="1"/>
      <c r="P41" s="1"/>
      <c r="Q41" s="1"/>
    </row>
    <row r="42" spans="1:17" x14ac:dyDescent="0.35">
      <c r="A42" s="1"/>
      <c r="B42" s="1"/>
      <c r="C42" s="1"/>
      <c r="D42" s="1"/>
      <c r="E42" s="1"/>
      <c r="F42" s="1"/>
      <c r="G42" s="1"/>
      <c r="H42" s="1"/>
      <c r="I42" s="1"/>
      <c r="J42" s="1"/>
      <c r="K42" s="1"/>
      <c r="L42" s="1"/>
      <c r="M42" s="1"/>
      <c r="N42" s="1"/>
      <c r="O42" s="1"/>
      <c r="P42" s="1"/>
      <c r="Q42" s="1"/>
    </row>
    <row r="43" spans="1:17" x14ac:dyDescent="0.35">
      <c r="A43" s="1"/>
      <c r="B43" s="1"/>
      <c r="C43" s="1"/>
      <c r="D43" s="1"/>
      <c r="E43" s="1"/>
      <c r="F43" s="1"/>
      <c r="G43" s="1"/>
      <c r="H43" s="1"/>
      <c r="I43" s="1"/>
      <c r="J43" s="1"/>
      <c r="K43" s="1"/>
      <c r="L43" s="1"/>
      <c r="M43" s="1"/>
      <c r="N43" s="1"/>
      <c r="O43" s="1"/>
      <c r="P43" s="1"/>
      <c r="Q43" s="1"/>
    </row>
    <row r="44" spans="1:17" x14ac:dyDescent="0.35">
      <c r="A44" s="1"/>
      <c r="B44" s="1"/>
      <c r="C44" s="1"/>
      <c r="D44" s="1"/>
      <c r="E44" s="1"/>
      <c r="F44" s="1"/>
      <c r="G44" s="1"/>
      <c r="H44" s="1"/>
      <c r="I44" s="1"/>
      <c r="J44" s="1"/>
      <c r="K44" s="1"/>
      <c r="L44" s="1"/>
      <c r="M44" s="1"/>
      <c r="N44" s="1"/>
      <c r="O44" s="1"/>
      <c r="P44" s="1"/>
      <c r="Q44" s="1"/>
    </row>
    <row r="45" spans="1:17" x14ac:dyDescent="0.35">
      <c r="A45" s="1"/>
      <c r="B45" s="1"/>
      <c r="C45" s="1"/>
      <c r="D45" s="1"/>
      <c r="E45" s="1"/>
      <c r="F45" s="1"/>
      <c r="G45" s="1"/>
      <c r="H45" s="1"/>
      <c r="I45" s="1"/>
      <c r="J45" s="1"/>
      <c r="K45" s="1"/>
      <c r="L45" s="1"/>
      <c r="M45" s="1"/>
      <c r="N45" s="1"/>
      <c r="O45" s="1"/>
      <c r="P45" s="1"/>
      <c r="Q45" s="1"/>
    </row>
    <row r="46" spans="1:17" x14ac:dyDescent="0.35">
      <c r="A46" s="1"/>
      <c r="B46" s="1"/>
      <c r="C46" s="1"/>
      <c r="D46" s="1"/>
      <c r="E46" s="1"/>
      <c r="F46" s="1"/>
      <c r="G46" s="1"/>
      <c r="H46" s="1"/>
      <c r="I46" s="1"/>
      <c r="J46" s="1"/>
      <c r="K46" s="1"/>
      <c r="L46" s="1"/>
      <c r="M46" s="1"/>
      <c r="N46" s="1"/>
      <c r="O46" s="1"/>
      <c r="P46" s="1"/>
      <c r="Q46" s="1"/>
    </row>
    <row r="47" spans="1:17" x14ac:dyDescent="0.35">
      <c r="A47" s="1"/>
      <c r="B47" s="1"/>
      <c r="C47" s="1"/>
      <c r="D47" s="1"/>
      <c r="E47" s="1"/>
      <c r="F47" s="1"/>
      <c r="G47" s="1"/>
      <c r="H47" s="1"/>
      <c r="I47" s="1"/>
      <c r="J47" s="1"/>
      <c r="K47" s="1"/>
      <c r="L47" s="1"/>
      <c r="M47" s="1"/>
      <c r="N47" s="1"/>
      <c r="O47" s="1"/>
      <c r="P47" s="1"/>
      <c r="Q47" s="1"/>
    </row>
    <row r="48" spans="1:17" x14ac:dyDescent="0.35">
      <c r="A48" s="1"/>
      <c r="B48" s="1"/>
      <c r="C48" s="1"/>
      <c r="D48" s="1"/>
      <c r="E48" s="1"/>
      <c r="F48" s="1"/>
      <c r="G48" s="1"/>
      <c r="H48" s="1"/>
      <c r="I48" s="1"/>
      <c r="J48" s="1"/>
      <c r="K48" s="1"/>
      <c r="L48" s="1"/>
      <c r="M48" s="1"/>
      <c r="N48" s="1"/>
      <c r="O48" s="1"/>
      <c r="P48" s="1"/>
      <c r="Q48" s="1"/>
    </row>
    <row r="49" spans="1:17" x14ac:dyDescent="0.35">
      <c r="A49" s="1"/>
      <c r="B49" s="1"/>
      <c r="C49" s="1"/>
      <c r="D49" s="1"/>
      <c r="E49" s="1"/>
      <c r="F49" s="1"/>
      <c r="G49" s="1"/>
      <c r="H49" s="1"/>
      <c r="I49" s="1"/>
      <c r="J49" s="1"/>
      <c r="K49" s="1"/>
      <c r="L49" s="1"/>
      <c r="M49" s="1"/>
      <c r="N49" s="1"/>
      <c r="O49" s="1"/>
      <c r="P49" s="1"/>
      <c r="Q49" s="1"/>
    </row>
    <row r="50" spans="1:17" x14ac:dyDescent="0.35">
      <c r="A50" s="1"/>
      <c r="B50" s="1"/>
      <c r="C50" s="1"/>
      <c r="D50" s="1"/>
      <c r="E50" s="1"/>
      <c r="F50" s="1"/>
      <c r="G50" s="1"/>
      <c r="H50" s="1"/>
      <c r="I50" s="1"/>
      <c r="J50" s="1"/>
      <c r="K50" s="1"/>
      <c r="L50" s="1"/>
      <c r="M50" s="1"/>
      <c r="N50" s="1"/>
      <c r="O50" s="1"/>
      <c r="P50" s="1"/>
      <c r="Q50" s="1"/>
    </row>
    <row r="51" spans="1:17" x14ac:dyDescent="0.35">
      <c r="A51" s="1"/>
      <c r="B51" s="1"/>
      <c r="C51" s="1"/>
      <c r="D51" s="1"/>
      <c r="E51" s="1"/>
      <c r="F51" s="1"/>
      <c r="G51" s="1"/>
      <c r="H51" s="1"/>
      <c r="I51" s="1"/>
      <c r="J51" s="1"/>
      <c r="K51" s="1"/>
      <c r="L51" s="1"/>
      <c r="M51" s="1"/>
      <c r="N51" s="1"/>
      <c r="O51" s="1"/>
      <c r="P51" s="1"/>
      <c r="Q51" s="1"/>
    </row>
    <row r="52" spans="1:17" x14ac:dyDescent="0.35">
      <c r="A52" s="1"/>
      <c r="B52" s="1"/>
      <c r="C52" s="1"/>
      <c r="D52" s="1"/>
      <c r="E52" s="1"/>
      <c r="F52" s="1"/>
      <c r="G52" s="1"/>
      <c r="H52" s="1"/>
      <c r="I52" s="1"/>
      <c r="J52" s="1"/>
      <c r="K52" s="1"/>
      <c r="L52" s="1"/>
      <c r="M52" s="1"/>
      <c r="N52" s="1"/>
      <c r="O52" s="1"/>
      <c r="P52" s="1"/>
      <c r="Q52" s="1"/>
    </row>
    <row r="53" spans="1:17" x14ac:dyDescent="0.35">
      <c r="A53" s="1"/>
      <c r="B53" s="1"/>
      <c r="C53" s="1"/>
      <c r="D53" s="1"/>
      <c r="E53" s="1"/>
      <c r="F53" s="1"/>
      <c r="G53" s="1"/>
      <c r="H53" s="1"/>
      <c r="I53" s="1"/>
      <c r="J53" s="1"/>
      <c r="K53" s="1"/>
      <c r="L53" s="1"/>
      <c r="M53" s="1"/>
      <c r="N53" s="1"/>
      <c r="O53" s="1"/>
      <c r="P53" s="1"/>
      <c r="Q53" s="1"/>
    </row>
    <row r="54" spans="1:17" x14ac:dyDescent="0.35">
      <c r="A54" s="1"/>
      <c r="B54" s="1"/>
      <c r="C54" s="1"/>
      <c r="D54" s="1"/>
      <c r="E54" s="1"/>
      <c r="F54" s="1"/>
      <c r="G54" s="1"/>
      <c r="H54" s="1"/>
      <c r="I54" s="1"/>
      <c r="J54" s="1"/>
      <c r="K54" s="1"/>
      <c r="L54" s="1"/>
      <c r="M54" s="1"/>
      <c r="N54" s="1"/>
      <c r="O54" s="1"/>
      <c r="P54" s="1"/>
      <c r="Q54" s="1"/>
    </row>
    <row r="55" spans="1:17" x14ac:dyDescent="0.35">
      <c r="A55" s="1"/>
      <c r="B55" s="1"/>
      <c r="C55" s="1"/>
      <c r="D55" s="1"/>
      <c r="E55" s="1"/>
      <c r="F55" s="1"/>
      <c r="G55" s="1"/>
      <c r="H55" s="1"/>
      <c r="I55" s="1"/>
      <c r="J55" s="1"/>
      <c r="K55" s="1"/>
      <c r="L55" s="1"/>
      <c r="M55" s="1"/>
      <c r="N55" s="1"/>
      <c r="O55" s="1"/>
      <c r="P55" s="1"/>
      <c r="Q55" s="1"/>
    </row>
    <row r="56" spans="1:17" x14ac:dyDescent="0.35">
      <c r="A56" s="1"/>
      <c r="B56" s="1"/>
      <c r="C56" s="1"/>
      <c r="D56" s="1"/>
      <c r="E56" s="1"/>
      <c r="F56" s="1"/>
      <c r="G56" s="1"/>
      <c r="H56" s="1"/>
      <c r="I56" s="1"/>
      <c r="J56" s="1"/>
      <c r="K56" s="1"/>
      <c r="L56" s="1"/>
      <c r="M56" s="1"/>
      <c r="N56" s="1"/>
      <c r="O56" s="1"/>
      <c r="P56" s="1"/>
      <c r="Q56" s="1"/>
    </row>
    <row r="57" spans="1:17" x14ac:dyDescent="0.35">
      <c r="A57" s="1"/>
      <c r="B57" s="1"/>
      <c r="C57" s="1"/>
      <c r="D57" s="1"/>
      <c r="E57" s="1"/>
      <c r="F57" s="1"/>
      <c r="G57" s="1"/>
      <c r="H57" s="1"/>
      <c r="I57" s="1"/>
      <c r="J57" s="1"/>
      <c r="K57" s="1"/>
      <c r="L57" s="1"/>
      <c r="M57" s="1"/>
      <c r="N57" s="1"/>
      <c r="O57" s="1"/>
      <c r="P57" s="1"/>
      <c r="Q57" s="1"/>
    </row>
    <row r="58" spans="1:17" x14ac:dyDescent="0.35">
      <c r="A58" s="1"/>
      <c r="B58" s="1"/>
      <c r="C58" s="1"/>
      <c r="D58" s="1"/>
      <c r="E58" s="1"/>
      <c r="F58" s="1"/>
      <c r="G58" s="1"/>
      <c r="H58" s="1"/>
      <c r="I58" s="1"/>
      <c r="J58" s="1"/>
      <c r="K58" s="1"/>
      <c r="L58" s="1"/>
      <c r="M58" s="1"/>
      <c r="N58" s="1"/>
      <c r="O58" s="1"/>
      <c r="P58" s="1"/>
      <c r="Q58" s="1"/>
    </row>
    <row r="59" spans="1:17" x14ac:dyDescent="0.35">
      <c r="A59" s="1"/>
      <c r="B59" s="1"/>
      <c r="C59" s="1"/>
      <c r="D59" s="1"/>
      <c r="E59" s="1"/>
      <c r="F59" s="1"/>
      <c r="G59" s="1"/>
      <c r="H59" s="1"/>
      <c r="I59" s="1"/>
      <c r="J59" s="1"/>
      <c r="K59" s="1"/>
      <c r="L59" s="1"/>
      <c r="M59" s="1"/>
      <c r="N59" s="1"/>
      <c r="O59" s="1"/>
      <c r="P59" s="1"/>
      <c r="Q59" s="1"/>
    </row>
    <row r="60" spans="1:17" x14ac:dyDescent="0.35">
      <c r="A60" s="1"/>
      <c r="B60" s="1"/>
      <c r="C60" s="1"/>
      <c r="D60" s="1"/>
      <c r="E60" s="1"/>
      <c r="F60" s="1"/>
      <c r="G60" s="1"/>
      <c r="H60" s="1"/>
      <c r="I60" s="1"/>
      <c r="J60" s="1"/>
      <c r="K60" s="1"/>
      <c r="L60" s="1"/>
      <c r="M60" s="1"/>
      <c r="N60" s="1"/>
      <c r="O60" s="1"/>
      <c r="P60" s="1"/>
      <c r="Q60" s="1"/>
    </row>
    <row r="61" spans="1:17" x14ac:dyDescent="0.35">
      <c r="A61" s="1"/>
      <c r="B61" s="1"/>
      <c r="C61" s="1"/>
      <c r="D61" s="1"/>
      <c r="E61" s="1"/>
      <c r="F61" s="1"/>
      <c r="G61" s="1"/>
      <c r="H61" s="1"/>
      <c r="I61" s="1"/>
      <c r="J61" s="1"/>
      <c r="K61" s="1"/>
      <c r="L61" s="1"/>
      <c r="M61" s="1"/>
      <c r="N61" s="1"/>
      <c r="O61" s="1"/>
      <c r="P61" s="1"/>
      <c r="Q61" s="1"/>
    </row>
    <row r="62" spans="1:17" x14ac:dyDescent="0.35">
      <c r="A62" s="1"/>
      <c r="B62" s="1"/>
      <c r="C62" s="1"/>
      <c r="D62" s="1"/>
      <c r="E62" s="1"/>
      <c r="F62" s="1"/>
      <c r="G62" s="1"/>
      <c r="H62" s="1"/>
      <c r="I62" s="1"/>
      <c r="J62" s="1"/>
      <c r="K62" s="1"/>
      <c r="L62" s="1"/>
      <c r="M62" s="1"/>
      <c r="N62" s="1"/>
      <c r="O62" s="1"/>
      <c r="P62" s="1"/>
      <c r="Q62" s="1"/>
    </row>
    <row r="63" spans="1:17" x14ac:dyDescent="0.35">
      <c r="A63" s="1"/>
      <c r="B63" s="1"/>
      <c r="C63" s="1"/>
      <c r="D63" s="1"/>
      <c r="E63" s="1"/>
      <c r="F63" s="1"/>
      <c r="G63" s="1"/>
      <c r="H63" s="1"/>
      <c r="I63" s="1"/>
      <c r="J63" s="1"/>
      <c r="K63" s="1"/>
      <c r="L63" s="1"/>
      <c r="M63" s="1"/>
      <c r="N63" s="1"/>
      <c r="O63" s="1"/>
      <c r="P63" s="1"/>
      <c r="Q63" s="1"/>
    </row>
    <row r="64" spans="1:17" x14ac:dyDescent="0.35">
      <c r="A64" s="1"/>
      <c r="B64" s="1"/>
      <c r="C64" s="1"/>
      <c r="D64" s="1"/>
      <c r="E64" s="1"/>
      <c r="F64" s="1"/>
      <c r="G64" s="1"/>
      <c r="H64" s="1"/>
      <c r="I64" s="1"/>
      <c r="J64" s="1"/>
      <c r="K64" s="1"/>
      <c r="L64" s="1"/>
      <c r="M64" s="1"/>
      <c r="N64" s="1"/>
      <c r="O64" s="1"/>
      <c r="P64" s="1"/>
      <c r="Q64" s="1"/>
    </row>
    <row r="65" spans="1:17" x14ac:dyDescent="0.35">
      <c r="A65" s="1"/>
      <c r="B65" s="1"/>
      <c r="C65" s="1"/>
      <c r="D65" s="1"/>
      <c r="E65" s="1"/>
      <c r="F65" s="1"/>
      <c r="G65" s="1"/>
      <c r="H65" s="1"/>
      <c r="I65" s="1"/>
      <c r="J65" s="1"/>
      <c r="K65" s="1"/>
      <c r="L65" s="1"/>
      <c r="M65" s="1"/>
      <c r="N65" s="1"/>
      <c r="O65" s="1"/>
      <c r="P65" s="1"/>
      <c r="Q65" s="1"/>
    </row>
    <row r="66" spans="1:17" x14ac:dyDescent="0.35">
      <c r="A66" s="1"/>
      <c r="B66" s="1"/>
      <c r="C66" s="1"/>
      <c r="D66" s="1"/>
      <c r="E66" s="1"/>
      <c r="F66" s="1"/>
      <c r="G66" s="1"/>
      <c r="H66" s="1"/>
      <c r="I66" s="1"/>
      <c r="J66" s="1"/>
      <c r="K66" s="1"/>
      <c r="L66" s="1"/>
      <c r="M66" s="1"/>
      <c r="N66" s="1"/>
      <c r="O66" s="1"/>
      <c r="P66" s="1"/>
      <c r="Q66" s="1"/>
    </row>
    <row r="67" spans="1:17" x14ac:dyDescent="0.35">
      <c r="A67" s="1"/>
      <c r="B67" s="1"/>
      <c r="C67" s="1"/>
      <c r="D67" s="1"/>
      <c r="E67" s="1"/>
      <c r="F67" s="1"/>
      <c r="G67" s="1"/>
      <c r="H67" s="1"/>
      <c r="I67" s="1"/>
      <c r="J67" s="1"/>
      <c r="K67" s="1"/>
      <c r="L67" s="1"/>
      <c r="M67" s="1"/>
      <c r="N67" s="1"/>
      <c r="O67" s="1"/>
      <c r="P67" s="1"/>
      <c r="Q67" s="1"/>
    </row>
    <row r="68" spans="1:17" x14ac:dyDescent="0.35">
      <c r="A68" s="1"/>
      <c r="B68" s="1"/>
      <c r="C68" s="1"/>
      <c r="D68" s="1"/>
      <c r="E68" s="1"/>
      <c r="F68" s="1"/>
      <c r="G68" s="1"/>
      <c r="H68" s="1"/>
      <c r="I68" s="1"/>
      <c r="J68" s="1"/>
      <c r="K68" s="1"/>
      <c r="L68" s="1"/>
      <c r="M68" s="1"/>
      <c r="N68" s="1"/>
      <c r="O68" s="1"/>
      <c r="P68" s="1"/>
      <c r="Q68" s="1"/>
    </row>
    <row r="69" spans="1:17" x14ac:dyDescent="0.35">
      <c r="A69" s="1"/>
      <c r="B69" s="1"/>
      <c r="C69" s="1"/>
      <c r="D69" s="1"/>
      <c r="E69" s="1"/>
      <c r="F69" s="1"/>
      <c r="G69" s="1"/>
      <c r="H69" s="1"/>
      <c r="I69" s="1"/>
      <c r="J69" s="1"/>
      <c r="K69" s="1"/>
      <c r="L69" s="1"/>
      <c r="M69" s="1"/>
      <c r="N69" s="1"/>
      <c r="O69" s="1"/>
      <c r="P69" s="1"/>
      <c r="Q69" s="1"/>
    </row>
    <row r="70" spans="1:17" x14ac:dyDescent="0.35">
      <c r="A70" s="1"/>
      <c r="B70" s="1"/>
      <c r="C70" s="1"/>
      <c r="D70" s="1"/>
      <c r="E70" s="1"/>
      <c r="F70" s="1"/>
      <c r="G70" s="1"/>
      <c r="H70" s="1"/>
      <c r="I70" s="1"/>
      <c r="J70" s="1"/>
      <c r="K70" s="1"/>
      <c r="L70" s="1"/>
      <c r="M70" s="1"/>
      <c r="N70" s="1"/>
      <c r="O70" s="1"/>
      <c r="P70" s="1"/>
      <c r="Q70" s="1"/>
    </row>
    <row r="71" spans="1:17" x14ac:dyDescent="0.35">
      <c r="A71" s="1"/>
      <c r="B71" s="1"/>
      <c r="C71" s="1"/>
      <c r="D71" s="1"/>
      <c r="E71" s="1"/>
      <c r="F71" s="1"/>
      <c r="G71" s="1"/>
      <c r="H71" s="1"/>
      <c r="I71" s="1"/>
      <c r="J71" s="1"/>
      <c r="K71" s="1"/>
      <c r="L71" s="1"/>
      <c r="M71" s="1"/>
      <c r="N71" s="1"/>
      <c r="O71" s="1"/>
      <c r="P71" s="1"/>
      <c r="Q71" s="1"/>
    </row>
    <row r="72" spans="1:17" x14ac:dyDescent="0.35">
      <c r="A72" s="1"/>
      <c r="B72" s="1"/>
      <c r="C72" s="1"/>
      <c r="D72" s="1"/>
      <c r="E72" s="1"/>
      <c r="F72" s="1"/>
      <c r="G72" s="1"/>
      <c r="H72" s="1"/>
      <c r="I72" s="1"/>
      <c r="J72" s="1"/>
      <c r="K72" s="1"/>
      <c r="L72" s="1"/>
      <c r="M72" s="1"/>
      <c r="N72" s="1"/>
      <c r="O72" s="1"/>
      <c r="P72" s="1"/>
      <c r="Q72" s="1"/>
    </row>
    <row r="73" spans="1:17" x14ac:dyDescent="0.35">
      <c r="A73" s="1"/>
      <c r="B73" s="1"/>
      <c r="C73" s="1"/>
      <c r="D73" s="1"/>
      <c r="E73" s="1"/>
      <c r="F73" s="1"/>
      <c r="G73" s="1"/>
      <c r="H73" s="1"/>
      <c r="I73" s="1"/>
      <c r="J73" s="1"/>
      <c r="K73" s="1"/>
      <c r="L73" s="1"/>
      <c r="M73" s="1"/>
      <c r="N73" s="1"/>
      <c r="O73" s="1"/>
      <c r="P73" s="1"/>
      <c r="Q73" s="1"/>
    </row>
    <row r="74" spans="1:17" x14ac:dyDescent="0.35">
      <c r="A74" s="1"/>
      <c r="B74" s="1"/>
      <c r="C74" s="1"/>
      <c r="D74" s="1"/>
      <c r="E74" s="1"/>
      <c r="F74" s="1"/>
      <c r="G74" s="1"/>
      <c r="H74" s="1"/>
      <c r="I74" s="1"/>
      <c r="J74" s="1"/>
      <c r="K74" s="1"/>
      <c r="L74" s="1"/>
      <c r="M74" s="1"/>
      <c r="N74" s="1"/>
      <c r="O74" s="1"/>
      <c r="P74" s="1"/>
      <c r="Q74" s="1"/>
    </row>
    <row r="75" spans="1:17" x14ac:dyDescent="0.35">
      <c r="A75" s="1"/>
      <c r="B75" s="1"/>
      <c r="C75" s="1"/>
      <c r="D75" s="1"/>
      <c r="E75" s="1"/>
      <c r="F75" s="1"/>
      <c r="G75" s="1"/>
      <c r="H75" s="1"/>
      <c r="I75" s="1"/>
      <c r="J75" s="1"/>
      <c r="K75" s="1"/>
      <c r="L75" s="1"/>
      <c r="M75" s="1"/>
      <c r="N75" s="1"/>
      <c r="O75" s="1"/>
      <c r="P75" s="1"/>
      <c r="Q75" s="1"/>
    </row>
    <row r="76" spans="1:17" x14ac:dyDescent="0.35">
      <c r="A76" s="1"/>
      <c r="B76" s="1"/>
      <c r="C76" s="1"/>
      <c r="D76" s="1"/>
      <c r="E76" s="1"/>
      <c r="F76" s="1"/>
      <c r="G76" s="1"/>
      <c r="H76" s="1"/>
      <c r="I76" s="1"/>
      <c r="J76" s="1"/>
      <c r="K76" s="1"/>
      <c r="L76" s="1"/>
      <c r="M76" s="1"/>
      <c r="N76" s="1"/>
      <c r="O76" s="1"/>
      <c r="P76" s="1"/>
      <c r="Q76" s="1"/>
    </row>
    <row r="77" spans="1:17" x14ac:dyDescent="0.35">
      <c r="A77" s="1"/>
      <c r="B77" s="1"/>
      <c r="C77" s="1"/>
      <c r="D77" s="1"/>
      <c r="E77" s="1"/>
      <c r="F77" s="1"/>
      <c r="G77" s="1"/>
      <c r="H77" s="1"/>
      <c r="I77" s="1"/>
      <c r="J77" s="1"/>
      <c r="K77" s="1"/>
      <c r="L77" s="1"/>
      <c r="M77" s="1"/>
      <c r="N77" s="1"/>
      <c r="O77" s="1"/>
      <c r="P77" s="1"/>
      <c r="Q77" s="1"/>
    </row>
    <row r="78" spans="1:17" x14ac:dyDescent="0.35">
      <c r="A78" s="1"/>
      <c r="B78" s="1"/>
      <c r="C78" s="1"/>
      <c r="D78" s="1"/>
      <c r="E78" s="1"/>
      <c r="F78" s="1"/>
      <c r="G78" s="1"/>
      <c r="H78" s="1"/>
      <c r="I78" s="1"/>
      <c r="J78" s="1"/>
      <c r="K78" s="1"/>
      <c r="L78" s="1"/>
      <c r="M78" s="1"/>
      <c r="N78" s="1"/>
      <c r="O78" s="1"/>
      <c r="P78" s="1"/>
      <c r="Q78" s="1"/>
    </row>
    <row r="79" spans="1:17" x14ac:dyDescent="0.35">
      <c r="A79" s="1"/>
      <c r="B79" s="1"/>
      <c r="C79" s="1"/>
      <c r="D79" s="1"/>
      <c r="E79" s="1"/>
      <c r="F79" s="1"/>
      <c r="G79" s="1"/>
      <c r="H79" s="1"/>
      <c r="I79" s="1"/>
      <c r="J79" s="1"/>
      <c r="K79" s="1"/>
      <c r="L79" s="1"/>
      <c r="M79" s="1"/>
      <c r="N79" s="1"/>
      <c r="O79" s="1"/>
      <c r="P79" s="1"/>
      <c r="Q79" s="1"/>
    </row>
    <row r="80" spans="1:17" x14ac:dyDescent="0.35">
      <c r="A80" s="1"/>
      <c r="B80" s="1"/>
      <c r="C80" s="1"/>
      <c r="D80" s="1"/>
      <c r="E80" s="1"/>
      <c r="F80" s="1"/>
      <c r="G80" s="1"/>
      <c r="H80" s="1"/>
      <c r="I80" s="1"/>
      <c r="J80" s="1"/>
      <c r="K80" s="1"/>
      <c r="L80" s="1"/>
      <c r="M80" s="1"/>
      <c r="N80" s="1"/>
      <c r="O80" s="1"/>
      <c r="P80" s="1"/>
      <c r="Q80" s="1"/>
    </row>
    <row r="81" spans="1:17" x14ac:dyDescent="0.35">
      <c r="A81" s="1"/>
      <c r="B81" s="1"/>
      <c r="C81" s="1"/>
      <c r="D81" s="1"/>
      <c r="E81" s="1"/>
      <c r="F81" s="1"/>
      <c r="G81" s="1"/>
      <c r="H81" s="1"/>
      <c r="I81" s="1"/>
      <c r="J81" s="1"/>
      <c r="K81" s="1"/>
      <c r="L81" s="1"/>
      <c r="M81" s="1"/>
      <c r="N81" s="1"/>
      <c r="O81" s="1"/>
      <c r="P81" s="1"/>
      <c r="Q81" s="1"/>
    </row>
    <row r="82" spans="1:17" x14ac:dyDescent="0.35">
      <c r="A82" s="1"/>
      <c r="B82" s="1"/>
      <c r="C82" s="1"/>
      <c r="D82" s="1"/>
      <c r="E82" s="1"/>
      <c r="F82" s="1"/>
      <c r="G82" s="1"/>
      <c r="H82" s="1"/>
      <c r="I82" s="1"/>
      <c r="J82" s="1"/>
      <c r="K82" s="1"/>
      <c r="L82" s="1"/>
      <c r="M82" s="1"/>
      <c r="N82" s="1"/>
      <c r="O82" s="1"/>
      <c r="P82" s="1"/>
      <c r="Q82" s="1"/>
    </row>
    <row r="83" spans="1:17" x14ac:dyDescent="0.35">
      <c r="A83" s="1"/>
      <c r="B83" s="1"/>
      <c r="C83" s="1"/>
      <c r="D83" s="1"/>
      <c r="E83" s="1"/>
      <c r="F83" s="1"/>
      <c r="G83" s="1"/>
      <c r="H83" s="1"/>
      <c r="I83" s="1"/>
      <c r="J83" s="1"/>
      <c r="K83" s="1"/>
      <c r="L83" s="1"/>
      <c r="M83" s="1"/>
      <c r="N83" s="1"/>
      <c r="O83" s="1"/>
      <c r="P83" s="1"/>
      <c r="Q83" s="1"/>
    </row>
    <row r="84" spans="1:17" x14ac:dyDescent="0.35">
      <c r="A84" s="1"/>
      <c r="B84" s="1"/>
      <c r="C84" s="1"/>
      <c r="D84" s="1"/>
      <c r="E84" s="1"/>
      <c r="F84" s="1"/>
      <c r="G84" s="1"/>
      <c r="H84" s="1"/>
      <c r="I84" s="1"/>
      <c r="J84" s="1"/>
      <c r="K84" s="1"/>
      <c r="L84" s="1"/>
      <c r="M84" s="1"/>
      <c r="N84" s="1"/>
      <c r="O84" s="1"/>
      <c r="P84" s="1"/>
      <c r="Q84" s="1"/>
    </row>
    <row r="85" spans="1:17" x14ac:dyDescent="0.35">
      <c r="A85" s="1"/>
      <c r="B85" s="1"/>
      <c r="C85" s="1"/>
      <c r="D85" s="1"/>
      <c r="E85" s="1"/>
      <c r="F85" s="1"/>
      <c r="G85" s="1"/>
      <c r="H85" s="1"/>
      <c r="I85" s="1"/>
      <c r="J85" s="1"/>
      <c r="K85" s="1"/>
      <c r="L85" s="1"/>
      <c r="M85" s="1"/>
      <c r="N85" s="1"/>
      <c r="O85" s="1"/>
      <c r="P85" s="1"/>
      <c r="Q85" s="1"/>
    </row>
    <row r="86" spans="1:17" x14ac:dyDescent="0.35">
      <c r="A86" s="1"/>
      <c r="B86" s="1"/>
      <c r="C86" s="1"/>
      <c r="D86" s="1"/>
      <c r="E86" s="1"/>
      <c r="F86" s="1"/>
      <c r="G86" s="1"/>
      <c r="H86" s="1"/>
      <c r="I86" s="1"/>
      <c r="J86" s="1"/>
      <c r="K86" s="1"/>
      <c r="L86" s="1"/>
      <c r="M86" s="1"/>
      <c r="N86" s="1"/>
      <c r="O86" s="1"/>
      <c r="P86" s="1"/>
      <c r="Q86" s="1"/>
    </row>
    <row r="87" spans="1:17" x14ac:dyDescent="0.35">
      <c r="A87" s="1"/>
      <c r="B87" s="1"/>
      <c r="C87" s="1"/>
      <c r="D87" s="1"/>
      <c r="E87" s="1"/>
      <c r="F87" s="1"/>
      <c r="G87" s="1"/>
      <c r="H87" s="1"/>
      <c r="I87" s="1"/>
      <c r="J87" s="1"/>
      <c r="K87" s="1"/>
      <c r="L87" s="1"/>
      <c r="M87" s="1"/>
      <c r="N87" s="1"/>
      <c r="O87" s="1"/>
      <c r="P87" s="1"/>
      <c r="Q87" s="1"/>
    </row>
    <row r="88" spans="1:17" x14ac:dyDescent="0.35">
      <c r="A88" s="1"/>
      <c r="B88" s="1"/>
      <c r="C88" s="1"/>
      <c r="D88" s="1"/>
      <c r="E88" s="1"/>
      <c r="F88" s="1"/>
      <c r="G88" s="1"/>
      <c r="H88" s="1"/>
      <c r="I88" s="1"/>
      <c r="J88" s="1"/>
      <c r="K88" s="1"/>
      <c r="L88" s="1"/>
      <c r="M88" s="1"/>
      <c r="N88" s="1"/>
      <c r="O88" s="1"/>
      <c r="P88" s="1"/>
      <c r="Q88" s="1"/>
    </row>
    <row r="89" spans="1:17" x14ac:dyDescent="0.35">
      <c r="A89" s="1"/>
      <c r="B89" s="1"/>
      <c r="C89" s="1"/>
      <c r="D89" s="1"/>
      <c r="E89" s="1"/>
      <c r="F89" s="1"/>
      <c r="G89" s="1"/>
      <c r="H89" s="1"/>
      <c r="I89" s="1"/>
      <c r="J89" s="1"/>
      <c r="K89" s="1"/>
      <c r="L89" s="1"/>
      <c r="M89" s="1"/>
      <c r="N89" s="1"/>
      <c r="O89" s="1"/>
      <c r="P89" s="1"/>
      <c r="Q89" s="1"/>
    </row>
    <row r="90" spans="1:17" x14ac:dyDescent="0.35">
      <c r="A90" s="1"/>
      <c r="B90" s="1"/>
      <c r="C90" s="1"/>
      <c r="D90" s="1"/>
      <c r="E90" s="1"/>
      <c r="F90" s="1"/>
      <c r="G90" s="1"/>
      <c r="H90" s="1"/>
      <c r="I90" s="1"/>
      <c r="J90" s="1"/>
      <c r="K90" s="1"/>
      <c r="L90" s="1"/>
      <c r="M90" s="1"/>
      <c r="N90" s="1"/>
      <c r="O90" s="1"/>
      <c r="P90" s="1"/>
      <c r="Q90" s="1"/>
    </row>
    <row r="91" spans="1:17" x14ac:dyDescent="0.35">
      <c r="A91" s="1"/>
      <c r="B91" s="1"/>
      <c r="C91" s="1"/>
      <c r="D91" s="1"/>
      <c r="E91" s="1"/>
      <c r="F91" s="1"/>
      <c r="G91" s="1"/>
      <c r="H91" s="1"/>
      <c r="I91" s="1"/>
      <c r="J91" s="1"/>
      <c r="K91" s="1"/>
      <c r="L91" s="1"/>
      <c r="M91" s="1"/>
      <c r="N91" s="1"/>
      <c r="O91" s="1"/>
      <c r="P91" s="1"/>
      <c r="Q91" s="1"/>
    </row>
    <row r="92" spans="1:17" x14ac:dyDescent="0.35">
      <c r="A92" s="1"/>
      <c r="B92" s="1"/>
      <c r="C92" s="1"/>
      <c r="D92" s="1"/>
      <c r="E92" s="1"/>
      <c r="F92" s="1"/>
      <c r="G92" s="1"/>
      <c r="H92" s="1"/>
      <c r="I92" s="1"/>
      <c r="J92" s="1"/>
      <c r="K92" s="1"/>
      <c r="L92" s="1"/>
      <c r="M92" s="1"/>
      <c r="N92" s="1"/>
      <c r="O92" s="1"/>
      <c r="P92" s="1"/>
      <c r="Q92" s="1"/>
    </row>
    <row r="93" spans="1:17" x14ac:dyDescent="0.35">
      <c r="A93" s="1"/>
      <c r="B93" s="1"/>
      <c r="C93" s="1"/>
      <c r="D93" s="1"/>
      <c r="E93" s="1"/>
      <c r="F93" s="1"/>
      <c r="G93" s="1"/>
      <c r="H93" s="1"/>
      <c r="I93" s="1"/>
      <c r="J93" s="1"/>
      <c r="K93" s="1"/>
      <c r="L93" s="1"/>
      <c r="M93" s="1"/>
      <c r="N93" s="1"/>
      <c r="O93" s="1"/>
      <c r="P93" s="1"/>
      <c r="Q93" s="1"/>
    </row>
    <row r="94" spans="1:17" x14ac:dyDescent="0.35">
      <c r="A94" s="1"/>
      <c r="B94" s="1"/>
      <c r="C94" s="1"/>
      <c r="D94" s="1"/>
      <c r="E94" s="1"/>
      <c r="F94" s="1"/>
      <c r="G94" s="1"/>
      <c r="H94" s="1"/>
      <c r="I94" s="1"/>
      <c r="J94" s="1"/>
      <c r="K94" s="1"/>
      <c r="L94" s="1"/>
      <c r="M94" s="1"/>
      <c r="N94" s="1"/>
      <c r="O94" s="1"/>
      <c r="P94" s="1"/>
      <c r="Q94" s="1"/>
    </row>
    <row r="95" spans="1:17" x14ac:dyDescent="0.35">
      <c r="A95" s="1"/>
      <c r="B95" s="1"/>
      <c r="C95" s="1"/>
      <c r="D95" s="1"/>
      <c r="E95" s="1"/>
      <c r="F95" s="1"/>
      <c r="G95" s="1"/>
      <c r="H95" s="1"/>
      <c r="I95" s="1"/>
      <c r="J95" s="1"/>
      <c r="K95" s="1"/>
      <c r="L95" s="1"/>
      <c r="M95" s="1"/>
      <c r="N95" s="1"/>
      <c r="O95" s="1"/>
      <c r="P95" s="1"/>
      <c r="Q95" s="1"/>
    </row>
    <row r="96" spans="1:17" x14ac:dyDescent="0.35">
      <c r="A96" s="1"/>
      <c r="B96" s="1"/>
      <c r="C96" s="1"/>
      <c r="D96" s="1"/>
      <c r="E96" s="1"/>
      <c r="F96" s="1"/>
      <c r="G96" s="1"/>
      <c r="H96" s="1"/>
      <c r="I96" s="1"/>
      <c r="J96" s="1"/>
      <c r="K96" s="1"/>
      <c r="L96" s="1"/>
      <c r="M96" s="1"/>
      <c r="N96" s="1"/>
      <c r="O96" s="1"/>
      <c r="P96" s="1"/>
      <c r="Q96" s="1"/>
    </row>
    <row r="97" spans="1:17" x14ac:dyDescent="0.35">
      <c r="A97" s="1"/>
      <c r="B97" s="1"/>
      <c r="C97" s="1"/>
      <c r="D97" s="1"/>
      <c r="E97" s="1"/>
      <c r="F97" s="1"/>
      <c r="G97" s="1"/>
      <c r="H97" s="1"/>
      <c r="I97" s="1"/>
      <c r="J97" s="1"/>
      <c r="K97" s="1"/>
      <c r="L97" s="1"/>
      <c r="M97" s="1"/>
      <c r="N97" s="1"/>
      <c r="O97" s="1"/>
      <c r="P97" s="1"/>
      <c r="Q97" s="1"/>
    </row>
    <row r="98" spans="1:17" x14ac:dyDescent="0.35">
      <c r="A98" s="1"/>
      <c r="B98" s="1"/>
      <c r="C98" s="1"/>
      <c r="D98" s="1"/>
      <c r="E98" s="1"/>
      <c r="F98" s="1"/>
      <c r="G98" s="1"/>
      <c r="H98" s="1"/>
      <c r="I98" s="1"/>
      <c r="J98" s="1"/>
      <c r="K98" s="1"/>
      <c r="L98" s="1"/>
      <c r="M98" s="1"/>
      <c r="N98" s="1"/>
      <c r="O98" s="1"/>
      <c r="P98" s="1"/>
      <c r="Q98" s="1"/>
    </row>
    <row r="99" spans="1:17" x14ac:dyDescent="0.35">
      <c r="A99" s="1"/>
      <c r="B99" s="1"/>
      <c r="C99" s="1"/>
      <c r="D99" s="1"/>
      <c r="E99" s="1"/>
      <c r="F99" s="1"/>
      <c r="G99" s="1"/>
      <c r="H99" s="1"/>
      <c r="I99" s="1"/>
      <c r="J99" s="1"/>
      <c r="K99" s="1"/>
      <c r="L99" s="1"/>
      <c r="M99" s="1"/>
      <c r="N99" s="1"/>
      <c r="O99" s="1"/>
      <c r="P99" s="1"/>
      <c r="Q99" s="1"/>
    </row>
    <row r="100" spans="1:17" x14ac:dyDescent="0.35">
      <c r="A100" s="1"/>
      <c r="B100" s="1"/>
      <c r="C100" s="1"/>
      <c r="D100" s="1"/>
      <c r="E100" s="1"/>
      <c r="F100" s="1"/>
      <c r="G100" s="1"/>
      <c r="H100" s="1"/>
      <c r="I100" s="1"/>
      <c r="J100" s="1"/>
      <c r="K100" s="1"/>
      <c r="L100" s="1"/>
      <c r="M100" s="1"/>
      <c r="N100" s="1"/>
      <c r="O100" s="1"/>
      <c r="P100" s="1"/>
      <c r="Q100" s="1"/>
    </row>
    <row r="101" spans="1:17" x14ac:dyDescent="0.35">
      <c r="A101" s="1"/>
      <c r="B101" s="1"/>
      <c r="C101" s="1"/>
      <c r="D101" s="1"/>
      <c r="E101" s="1"/>
      <c r="F101" s="1"/>
      <c r="G101" s="1"/>
      <c r="H101" s="1"/>
      <c r="I101" s="1"/>
      <c r="J101" s="1"/>
      <c r="K101" s="1"/>
      <c r="L101" s="1"/>
      <c r="M101" s="1"/>
      <c r="N101" s="1"/>
      <c r="O101" s="1"/>
      <c r="P101" s="1"/>
      <c r="Q101" s="1"/>
    </row>
    <row r="102" spans="1:17" x14ac:dyDescent="0.35">
      <c r="A102" s="1"/>
      <c r="B102" s="1"/>
      <c r="C102" s="1"/>
      <c r="D102" s="1"/>
      <c r="E102" s="1"/>
      <c r="F102" s="1"/>
      <c r="G102" s="1"/>
      <c r="H102" s="1"/>
      <c r="I102" s="1"/>
      <c r="J102" s="1"/>
      <c r="K102" s="1"/>
      <c r="L102" s="1"/>
      <c r="M102" s="1"/>
      <c r="N102" s="1"/>
      <c r="O102" s="1"/>
      <c r="P102" s="1"/>
      <c r="Q102" s="1"/>
    </row>
    <row r="103" spans="1:17" x14ac:dyDescent="0.35">
      <c r="A103" s="1"/>
      <c r="B103" s="1"/>
      <c r="C103" s="1"/>
      <c r="D103" s="1"/>
      <c r="E103" s="1"/>
      <c r="F103" s="1"/>
      <c r="G103" s="1"/>
      <c r="H103" s="1"/>
      <c r="I103" s="1"/>
      <c r="J103" s="1"/>
      <c r="K103" s="1"/>
      <c r="L103" s="1"/>
      <c r="M103" s="1"/>
      <c r="N103" s="1"/>
      <c r="O103" s="1"/>
      <c r="P103" s="1"/>
      <c r="Q103" s="1"/>
    </row>
    <row r="104" spans="1:17" x14ac:dyDescent="0.35">
      <c r="A104" s="1"/>
      <c r="B104" s="1"/>
      <c r="C104" s="1"/>
      <c r="D104" s="1"/>
      <c r="E104" s="1"/>
      <c r="F104" s="1"/>
      <c r="G104" s="1"/>
      <c r="H104" s="1"/>
      <c r="I104" s="1"/>
      <c r="J104" s="1"/>
      <c r="K104" s="1"/>
      <c r="L104" s="1"/>
      <c r="M104" s="1"/>
      <c r="N104" s="1"/>
      <c r="O104" s="1"/>
      <c r="P104" s="1"/>
      <c r="Q104" s="1"/>
    </row>
    <row r="105" spans="1:17" x14ac:dyDescent="0.35">
      <c r="A105" s="1"/>
      <c r="B105" s="1"/>
      <c r="C105" s="1"/>
      <c r="D105" s="1"/>
      <c r="E105" s="1"/>
      <c r="F105" s="1"/>
      <c r="G105" s="1"/>
      <c r="H105" s="1"/>
      <c r="I105" s="1"/>
      <c r="J105" s="1"/>
      <c r="K105" s="1"/>
      <c r="L105" s="1"/>
      <c r="M105" s="1"/>
      <c r="N105" s="1"/>
      <c r="O105" s="1"/>
      <c r="P105" s="1"/>
      <c r="Q105" s="1"/>
    </row>
    <row r="106" spans="1:17" x14ac:dyDescent="0.35">
      <c r="A106" s="1"/>
      <c r="B106" s="1"/>
      <c r="C106" s="1"/>
      <c r="D106" s="1"/>
      <c r="E106" s="1"/>
      <c r="F106" s="1"/>
      <c r="G106" s="1"/>
      <c r="H106" s="1"/>
      <c r="I106" s="1"/>
      <c r="J106" s="1"/>
      <c r="K106" s="1"/>
      <c r="L106" s="1"/>
      <c r="M106" s="1"/>
      <c r="N106" s="1"/>
      <c r="O106" s="1"/>
      <c r="P106" s="1"/>
      <c r="Q106" s="1"/>
    </row>
    <row r="107" spans="1:17" x14ac:dyDescent="0.35">
      <c r="A107" s="1"/>
      <c r="B107" s="1"/>
      <c r="C107" s="1"/>
      <c r="D107" s="1"/>
      <c r="E107" s="1"/>
      <c r="F107" s="1"/>
      <c r="G107" s="1"/>
      <c r="H107" s="1"/>
      <c r="I107" s="1"/>
      <c r="J107" s="1"/>
      <c r="K107" s="1"/>
      <c r="L107" s="1"/>
      <c r="M107" s="1"/>
      <c r="N107" s="1"/>
      <c r="O107" s="1"/>
      <c r="P107" s="1"/>
      <c r="Q107" s="1"/>
    </row>
    <row r="108" spans="1:17" x14ac:dyDescent="0.35">
      <c r="A108" s="1"/>
      <c r="B108" s="1"/>
      <c r="C108" s="1"/>
      <c r="D108" s="1"/>
      <c r="E108" s="1"/>
      <c r="F108" s="1"/>
      <c r="G108" s="1"/>
      <c r="H108" s="1"/>
      <c r="I108" s="1"/>
      <c r="J108" s="1"/>
      <c r="K108" s="1"/>
      <c r="L108" s="1"/>
      <c r="M108" s="1"/>
      <c r="N108" s="1"/>
      <c r="O108" s="1"/>
      <c r="P108" s="1"/>
      <c r="Q108" s="1"/>
    </row>
    <row r="109" spans="1:17" x14ac:dyDescent="0.35">
      <c r="A109" s="1"/>
      <c r="B109" s="1"/>
      <c r="C109" s="1"/>
      <c r="D109" s="1"/>
      <c r="E109" s="1"/>
      <c r="F109" s="1"/>
      <c r="G109" s="1"/>
      <c r="H109" s="1"/>
      <c r="I109" s="1"/>
      <c r="J109" s="1"/>
      <c r="K109" s="1"/>
      <c r="L109" s="1"/>
      <c r="M109" s="1"/>
      <c r="N109" s="1"/>
      <c r="O109" s="1"/>
      <c r="P109" s="1"/>
      <c r="Q109" s="1"/>
    </row>
    <row r="110" spans="1:17" x14ac:dyDescent="0.35">
      <c r="A110" s="1"/>
      <c r="B110" s="1"/>
      <c r="C110" s="1"/>
      <c r="D110" s="1"/>
      <c r="E110" s="1"/>
      <c r="F110" s="1"/>
      <c r="G110" s="1"/>
      <c r="H110" s="1"/>
      <c r="I110" s="1"/>
      <c r="J110" s="1"/>
      <c r="K110" s="1"/>
      <c r="L110" s="1"/>
      <c r="M110" s="1"/>
      <c r="N110" s="1"/>
      <c r="O110" s="1"/>
      <c r="P110" s="1"/>
      <c r="Q110" s="1"/>
    </row>
    <row r="111" spans="1:17" x14ac:dyDescent="0.35">
      <c r="A111" s="1"/>
      <c r="B111" s="1"/>
      <c r="C111" s="1"/>
      <c r="D111" s="1"/>
      <c r="E111" s="1"/>
      <c r="F111" s="1"/>
      <c r="G111" s="1"/>
      <c r="H111" s="1"/>
      <c r="I111" s="1"/>
      <c r="J111" s="1"/>
      <c r="K111" s="1"/>
      <c r="L111" s="1"/>
      <c r="M111" s="1"/>
      <c r="N111" s="1"/>
      <c r="O111" s="1"/>
      <c r="P111" s="1"/>
      <c r="Q111" s="1"/>
    </row>
    <row r="112" spans="1:17" x14ac:dyDescent="0.35">
      <c r="A112" s="1"/>
      <c r="B112" s="1"/>
      <c r="C112" s="1"/>
      <c r="D112" s="1"/>
      <c r="E112" s="1"/>
      <c r="F112" s="1"/>
      <c r="G112" s="1"/>
      <c r="H112" s="1"/>
      <c r="I112" s="1"/>
      <c r="J112" s="1"/>
      <c r="K112" s="1"/>
      <c r="L112" s="1"/>
      <c r="M112" s="1"/>
      <c r="N112" s="1"/>
      <c r="O112" s="1"/>
      <c r="P112" s="1"/>
      <c r="Q112" s="1"/>
    </row>
    <row r="113" spans="1:17" x14ac:dyDescent="0.35">
      <c r="A113" s="1"/>
      <c r="B113" s="1"/>
      <c r="C113" s="1"/>
      <c r="D113" s="1"/>
      <c r="E113" s="1"/>
      <c r="F113" s="1"/>
      <c r="G113" s="1"/>
      <c r="H113" s="1"/>
      <c r="I113" s="1"/>
      <c r="J113" s="1"/>
      <c r="K113" s="1"/>
      <c r="L113" s="1"/>
      <c r="M113" s="1"/>
      <c r="N113" s="1"/>
      <c r="O113" s="1"/>
      <c r="P113" s="1"/>
      <c r="Q113" s="1"/>
    </row>
    <row r="114" spans="1:17" x14ac:dyDescent="0.35">
      <c r="A114" s="1"/>
      <c r="B114" s="1"/>
      <c r="C114" s="1"/>
      <c r="D114" s="1"/>
      <c r="E114" s="1"/>
      <c r="F114" s="1"/>
      <c r="G114" s="1"/>
      <c r="H114" s="1"/>
      <c r="I114" s="1"/>
      <c r="J114" s="1"/>
      <c r="K114" s="1"/>
      <c r="L114" s="1"/>
      <c r="M114" s="1"/>
      <c r="N114" s="1"/>
      <c r="O114" s="1"/>
      <c r="P114" s="1"/>
      <c r="Q114" s="1"/>
    </row>
    <row r="115" spans="1:17" x14ac:dyDescent="0.35">
      <c r="A115" s="1"/>
      <c r="B115" s="1"/>
      <c r="C115" s="1"/>
      <c r="D115" s="1"/>
      <c r="E115" s="1"/>
      <c r="F115" s="1"/>
      <c r="G115" s="1"/>
      <c r="H115" s="1"/>
      <c r="I115" s="1"/>
      <c r="J115" s="1"/>
      <c r="K115" s="1"/>
      <c r="L115" s="1"/>
      <c r="M115" s="1"/>
      <c r="N115" s="1"/>
      <c r="O115" s="1"/>
      <c r="P115" s="1"/>
      <c r="Q115" s="1"/>
    </row>
    <row r="116" spans="1:17" x14ac:dyDescent="0.35">
      <c r="A116" s="1"/>
      <c r="B116" s="1"/>
      <c r="C116" s="1"/>
      <c r="D116" s="1"/>
      <c r="E116" s="1"/>
      <c r="F116" s="1"/>
      <c r="G116" s="1"/>
      <c r="H116" s="1"/>
      <c r="I116" s="1"/>
      <c r="J116" s="1"/>
      <c r="K116" s="1"/>
      <c r="L116" s="1"/>
      <c r="M116" s="1"/>
      <c r="N116" s="1"/>
      <c r="O116" s="1"/>
      <c r="P116" s="1"/>
      <c r="Q116" s="1"/>
    </row>
    <row r="117" spans="1:17" x14ac:dyDescent="0.35">
      <c r="A117" s="1"/>
      <c r="B117" s="1"/>
      <c r="C117" s="1"/>
      <c r="D117" s="1"/>
      <c r="E117" s="1"/>
      <c r="F117" s="1"/>
      <c r="G117" s="1"/>
      <c r="H117" s="1"/>
      <c r="I117" s="1"/>
      <c r="J117" s="1"/>
      <c r="K117" s="1"/>
      <c r="L117" s="1"/>
      <c r="M117" s="1"/>
      <c r="N117" s="1"/>
      <c r="O117" s="1"/>
      <c r="P117" s="1"/>
      <c r="Q117" s="1"/>
    </row>
    <row r="118" spans="1:17" x14ac:dyDescent="0.35">
      <c r="A118" s="1"/>
      <c r="B118" s="1"/>
      <c r="C118" s="1"/>
      <c r="D118" s="1"/>
      <c r="E118" s="1"/>
      <c r="F118" s="1"/>
      <c r="G118" s="1"/>
      <c r="H118" s="1"/>
      <c r="I118" s="1"/>
      <c r="J118" s="1"/>
      <c r="K118" s="1"/>
      <c r="L118" s="1"/>
      <c r="M118" s="1"/>
      <c r="N118" s="1"/>
      <c r="O118" s="1"/>
      <c r="P118" s="1"/>
      <c r="Q118" s="1"/>
    </row>
    <row r="119" spans="1:17" x14ac:dyDescent="0.35">
      <c r="A119" s="1"/>
      <c r="B119" s="1"/>
      <c r="C119" s="1"/>
      <c r="D119" s="1"/>
      <c r="E119" s="1"/>
      <c r="F119" s="1"/>
      <c r="G119" s="1"/>
      <c r="H119" s="1"/>
      <c r="I119" s="1"/>
      <c r="J119" s="1"/>
      <c r="K119" s="1"/>
      <c r="L119" s="1"/>
      <c r="M119" s="1"/>
      <c r="N119" s="1"/>
      <c r="O119" s="1"/>
      <c r="P119" s="1"/>
      <c r="Q119" s="1"/>
    </row>
    <row r="120" spans="1:17" x14ac:dyDescent="0.35">
      <c r="A120" s="1"/>
      <c r="B120" s="1"/>
      <c r="C120" s="1"/>
      <c r="D120" s="1"/>
      <c r="E120" s="1"/>
      <c r="F120" s="1"/>
      <c r="G120" s="1"/>
      <c r="H120" s="1"/>
      <c r="I120" s="1"/>
      <c r="J120" s="1"/>
      <c r="K120" s="1"/>
      <c r="L120" s="1"/>
      <c r="M120" s="1"/>
      <c r="N120" s="1"/>
      <c r="O120" s="1"/>
      <c r="P120" s="1"/>
      <c r="Q120" s="1"/>
    </row>
    <row r="121" spans="1:17" x14ac:dyDescent="0.35">
      <c r="A121" s="1"/>
      <c r="B121" s="1"/>
      <c r="C121" s="1"/>
      <c r="D121" s="1"/>
      <c r="E121" s="1"/>
      <c r="F121" s="1"/>
      <c r="G121" s="1"/>
      <c r="H121" s="1"/>
      <c r="I121" s="1"/>
      <c r="J121" s="1"/>
      <c r="K121" s="1"/>
      <c r="L121" s="1"/>
      <c r="M121" s="1"/>
      <c r="N121" s="1"/>
      <c r="O121" s="1"/>
      <c r="P121" s="1"/>
      <c r="Q121" s="1"/>
    </row>
    <row r="122" spans="1:17" x14ac:dyDescent="0.35">
      <c r="A122" s="1"/>
      <c r="B122" s="1"/>
      <c r="C122" s="1"/>
      <c r="D122" s="1"/>
      <c r="E122" s="1"/>
      <c r="F122" s="1"/>
      <c r="G122" s="1"/>
      <c r="H122" s="1"/>
      <c r="I122" s="1"/>
      <c r="J122" s="1"/>
      <c r="K122" s="1"/>
      <c r="L122" s="1"/>
      <c r="M122" s="1"/>
      <c r="N122" s="1"/>
      <c r="O122" s="1"/>
      <c r="P122" s="1"/>
      <c r="Q122" s="1"/>
    </row>
    <row r="123" spans="1:17" x14ac:dyDescent="0.35">
      <c r="A123" s="1"/>
      <c r="B123" s="1"/>
      <c r="C123" s="1"/>
      <c r="D123" s="1"/>
      <c r="E123" s="1"/>
      <c r="F123" s="1"/>
      <c r="G123" s="1"/>
      <c r="H123" s="1"/>
      <c r="I123" s="1"/>
      <c r="J123" s="1"/>
      <c r="K123" s="1"/>
      <c r="L123" s="1"/>
      <c r="M123" s="1"/>
      <c r="N123" s="1"/>
      <c r="O123" s="1"/>
      <c r="P123" s="1"/>
      <c r="Q123" s="1"/>
    </row>
    <row r="124" spans="1:17" x14ac:dyDescent="0.35">
      <c r="A124" s="1"/>
      <c r="B124" s="1"/>
      <c r="C124" s="1"/>
      <c r="D124" s="1"/>
      <c r="E124" s="1"/>
      <c r="F124" s="1"/>
      <c r="G124" s="1"/>
      <c r="H124" s="1"/>
      <c r="I124" s="1"/>
      <c r="J124" s="1"/>
      <c r="K124" s="1"/>
      <c r="L124" s="1"/>
      <c r="M124" s="1"/>
      <c r="N124" s="1"/>
      <c r="O124" s="1"/>
      <c r="P124" s="1"/>
      <c r="Q124" s="1"/>
    </row>
    <row r="125" spans="1:17" x14ac:dyDescent="0.35">
      <c r="A125" s="1"/>
      <c r="B125" s="1"/>
      <c r="C125" s="1"/>
      <c r="D125" s="1"/>
      <c r="E125" s="1"/>
      <c r="F125" s="1"/>
      <c r="G125" s="1"/>
      <c r="H125" s="1"/>
      <c r="I125" s="1"/>
      <c r="J125" s="1"/>
      <c r="K125" s="1"/>
      <c r="L125" s="1"/>
      <c r="M125" s="1"/>
      <c r="N125" s="1"/>
      <c r="O125" s="1"/>
      <c r="P125" s="1"/>
      <c r="Q125" s="1"/>
    </row>
    <row r="126" spans="1:17" x14ac:dyDescent="0.35">
      <c r="A126" s="1"/>
      <c r="B126" s="1"/>
      <c r="C126" s="1"/>
      <c r="D126" s="1"/>
      <c r="E126" s="1"/>
      <c r="F126" s="1"/>
      <c r="G126" s="1"/>
      <c r="H126" s="1"/>
      <c r="I126" s="1"/>
      <c r="J126" s="1"/>
      <c r="K126" s="1"/>
      <c r="L126" s="1"/>
      <c r="M126" s="1"/>
      <c r="N126" s="1"/>
      <c r="O126" s="1"/>
      <c r="P126" s="1"/>
      <c r="Q126" s="1"/>
    </row>
    <row r="127" spans="1:17" x14ac:dyDescent="0.35">
      <c r="A127" s="1"/>
      <c r="B127" s="1"/>
      <c r="C127" s="1"/>
      <c r="D127" s="1"/>
      <c r="E127" s="1"/>
      <c r="F127" s="1"/>
      <c r="G127" s="1"/>
      <c r="H127" s="1"/>
      <c r="I127" s="1"/>
      <c r="J127" s="1"/>
      <c r="K127" s="1"/>
      <c r="L127" s="1"/>
      <c r="M127" s="1"/>
      <c r="N127" s="1"/>
      <c r="O127" s="1"/>
      <c r="P127" s="1"/>
      <c r="Q127" s="1"/>
    </row>
    <row r="128" spans="1:17" x14ac:dyDescent="0.35">
      <c r="A128" s="1"/>
      <c r="B128" s="1"/>
      <c r="C128" s="1"/>
      <c r="D128" s="1"/>
      <c r="E128" s="1"/>
      <c r="F128" s="1"/>
      <c r="G128" s="1"/>
      <c r="H128" s="1"/>
      <c r="I128" s="1"/>
      <c r="J128" s="1"/>
      <c r="K128" s="1"/>
      <c r="L128" s="1"/>
      <c r="M128" s="1"/>
      <c r="N128" s="1"/>
      <c r="O128" s="1"/>
      <c r="P128" s="1"/>
      <c r="Q128" s="1"/>
    </row>
    <row r="129" spans="1:17" x14ac:dyDescent="0.35">
      <c r="A129" s="1"/>
      <c r="B129" s="1"/>
      <c r="C129" s="1"/>
      <c r="D129" s="1"/>
      <c r="E129" s="1"/>
      <c r="F129" s="1"/>
      <c r="G129" s="1"/>
      <c r="H129" s="1"/>
      <c r="I129" s="1"/>
      <c r="J129" s="1"/>
      <c r="K129" s="1"/>
      <c r="L129" s="1"/>
      <c r="M129" s="1"/>
      <c r="N129" s="1"/>
      <c r="O129" s="1"/>
      <c r="P129" s="1"/>
      <c r="Q129" s="1"/>
    </row>
    <row r="130" spans="1:17" x14ac:dyDescent="0.35">
      <c r="A130" s="1"/>
      <c r="B130" s="1"/>
      <c r="C130" s="1"/>
      <c r="D130" s="1"/>
      <c r="E130" s="1"/>
      <c r="F130" s="1"/>
      <c r="G130" s="1"/>
      <c r="H130" s="1"/>
      <c r="I130" s="1"/>
      <c r="J130" s="1"/>
      <c r="K130" s="1"/>
      <c r="L130" s="1"/>
      <c r="M130" s="1"/>
      <c r="N130" s="1"/>
      <c r="O130" s="1"/>
      <c r="P130" s="1"/>
      <c r="Q130" s="1"/>
    </row>
    <row r="131" spans="1:17" x14ac:dyDescent="0.35">
      <c r="A131" s="1"/>
      <c r="B131" s="1"/>
      <c r="C131" s="1"/>
      <c r="D131" s="1"/>
      <c r="E131" s="1"/>
      <c r="F131" s="1"/>
      <c r="G131" s="1"/>
      <c r="H131" s="1"/>
      <c r="I131" s="1"/>
      <c r="J131" s="1"/>
      <c r="K131" s="1"/>
      <c r="L131" s="1"/>
      <c r="M131" s="1"/>
      <c r="N131" s="1"/>
      <c r="O131" s="1"/>
      <c r="P131" s="1"/>
      <c r="Q131" s="1"/>
    </row>
    <row r="132" spans="1:17" x14ac:dyDescent="0.35">
      <c r="A132" s="1"/>
      <c r="B132" s="1"/>
      <c r="C132" s="1"/>
      <c r="D132" s="1"/>
      <c r="E132" s="1"/>
      <c r="F132" s="1"/>
      <c r="G132" s="1"/>
      <c r="H132" s="1"/>
      <c r="I132" s="1"/>
      <c r="J132" s="1"/>
      <c r="K132" s="1"/>
      <c r="L132" s="1"/>
      <c r="M132" s="1"/>
      <c r="N132" s="1"/>
      <c r="O132" s="1"/>
      <c r="P132" s="1"/>
      <c r="Q132" s="1"/>
    </row>
    <row r="133" spans="1:17" x14ac:dyDescent="0.35">
      <c r="A133" s="1"/>
      <c r="B133" s="1"/>
      <c r="C133" s="1"/>
      <c r="D133" s="1"/>
      <c r="E133" s="1"/>
      <c r="F133" s="1"/>
      <c r="G133" s="1"/>
      <c r="H133" s="1"/>
      <c r="I133" s="1"/>
      <c r="J133" s="1"/>
      <c r="K133" s="1"/>
      <c r="L133" s="1"/>
      <c r="M133" s="1"/>
      <c r="N133" s="1"/>
      <c r="O133" s="1"/>
      <c r="P133" s="1"/>
      <c r="Q133" s="1"/>
    </row>
    <row r="134" spans="1:17" x14ac:dyDescent="0.35">
      <c r="A134" s="1"/>
      <c r="B134" s="1"/>
      <c r="C134" s="1"/>
      <c r="D134" s="1"/>
      <c r="E134" s="1"/>
      <c r="F134" s="1"/>
      <c r="G134" s="1"/>
      <c r="H134" s="1"/>
      <c r="I134" s="1"/>
      <c r="J134" s="1"/>
      <c r="K134" s="1"/>
      <c r="L134" s="1"/>
      <c r="M134" s="1"/>
      <c r="N134" s="1"/>
      <c r="O134" s="1"/>
      <c r="P134" s="1"/>
      <c r="Q134" s="1"/>
    </row>
    <row r="135" spans="1:17" x14ac:dyDescent="0.35">
      <c r="A135" s="1"/>
      <c r="B135" s="1"/>
      <c r="C135" s="1"/>
      <c r="D135" s="1"/>
      <c r="E135" s="1"/>
      <c r="F135" s="1"/>
      <c r="G135" s="1"/>
      <c r="H135" s="1"/>
      <c r="I135" s="1"/>
      <c r="J135" s="1"/>
      <c r="K135" s="1"/>
      <c r="L135" s="1"/>
      <c r="M135" s="1"/>
      <c r="N135" s="1"/>
      <c r="O135" s="1"/>
      <c r="P135" s="1"/>
      <c r="Q135" s="1"/>
    </row>
    <row r="136" spans="1:17" x14ac:dyDescent="0.35">
      <c r="A136" s="1"/>
      <c r="B136" s="1"/>
      <c r="C136" s="1"/>
      <c r="D136" s="1"/>
      <c r="E136" s="1"/>
      <c r="F136" s="1"/>
      <c r="G136" s="1"/>
      <c r="H136" s="1"/>
      <c r="I136" s="1"/>
      <c r="J136" s="1"/>
      <c r="K136" s="1"/>
      <c r="L136" s="1"/>
      <c r="M136" s="1"/>
      <c r="N136" s="1"/>
      <c r="O136" s="1"/>
      <c r="P136" s="1"/>
      <c r="Q136" s="1"/>
    </row>
    <row r="137" spans="1:17" x14ac:dyDescent="0.35">
      <c r="A137" s="1"/>
      <c r="B137" s="1"/>
      <c r="C137" s="1"/>
      <c r="D137" s="1"/>
      <c r="E137" s="1"/>
      <c r="F137" s="1"/>
      <c r="G137" s="1"/>
      <c r="H137" s="1"/>
      <c r="I137" s="1"/>
      <c r="J137" s="1"/>
      <c r="K137" s="1"/>
      <c r="L137" s="1"/>
      <c r="M137" s="1"/>
      <c r="N137" s="1"/>
      <c r="O137" s="1"/>
      <c r="P137" s="1"/>
      <c r="Q137" s="1"/>
    </row>
    <row r="138" spans="1:17" x14ac:dyDescent="0.35">
      <c r="A138" s="1"/>
      <c r="B138" s="1"/>
      <c r="C138" s="1"/>
      <c r="D138" s="1"/>
      <c r="E138" s="1"/>
      <c r="F138" s="1"/>
      <c r="G138" s="1"/>
      <c r="H138" s="1"/>
      <c r="I138" s="1"/>
      <c r="J138" s="1"/>
      <c r="K138" s="1"/>
      <c r="L138" s="1"/>
      <c r="M138" s="1"/>
      <c r="N138" s="1"/>
      <c r="O138" s="1"/>
      <c r="P138" s="1"/>
      <c r="Q138" s="1"/>
    </row>
    <row r="139" spans="1:17" x14ac:dyDescent="0.35">
      <c r="A139" s="1"/>
      <c r="B139" s="1"/>
      <c r="C139" s="1"/>
      <c r="D139" s="1"/>
      <c r="E139" s="1"/>
      <c r="F139" s="1"/>
      <c r="G139" s="1"/>
      <c r="H139" s="1"/>
      <c r="I139" s="1"/>
      <c r="J139" s="1"/>
      <c r="K139" s="1"/>
      <c r="L139" s="1"/>
      <c r="M139" s="1"/>
      <c r="N139" s="1"/>
      <c r="O139" s="1"/>
      <c r="P139" s="1"/>
      <c r="Q139" s="1"/>
    </row>
    <row r="140" spans="1:17" x14ac:dyDescent="0.35">
      <c r="A140" s="1"/>
      <c r="B140" s="1"/>
      <c r="C140" s="1"/>
      <c r="D140" s="1"/>
      <c r="E140" s="1"/>
      <c r="F140" s="1"/>
      <c r="G140" s="1"/>
      <c r="H140" s="1"/>
      <c r="I140" s="1"/>
      <c r="J140" s="1"/>
      <c r="K140" s="1"/>
      <c r="L140" s="1"/>
      <c r="M140" s="1"/>
      <c r="N140" s="1"/>
      <c r="O140" s="1"/>
      <c r="P140" s="1"/>
      <c r="Q140" s="1"/>
    </row>
    <row r="141" spans="1:17" x14ac:dyDescent="0.35">
      <c r="A141" s="1"/>
      <c r="B141" s="1"/>
      <c r="C141" s="1"/>
      <c r="D141" s="1"/>
      <c r="E141" s="1"/>
      <c r="F141" s="1"/>
      <c r="G141" s="1"/>
      <c r="H141" s="1"/>
      <c r="I141" s="1"/>
      <c r="J141" s="1"/>
      <c r="K141" s="1"/>
      <c r="L141" s="1"/>
      <c r="M141" s="1"/>
      <c r="N141" s="1"/>
      <c r="O141" s="1"/>
      <c r="P141" s="1"/>
      <c r="Q141" s="1"/>
    </row>
    <row r="142" spans="1:17" x14ac:dyDescent="0.35">
      <c r="A142" s="1"/>
      <c r="B142" s="1"/>
      <c r="C142" s="1"/>
      <c r="D142" s="1"/>
      <c r="E142" s="1"/>
      <c r="F142" s="1"/>
      <c r="G142" s="1"/>
      <c r="H142" s="1"/>
      <c r="I142" s="1"/>
      <c r="J142" s="1"/>
      <c r="K142" s="1"/>
      <c r="L142" s="1"/>
      <c r="M142" s="1"/>
      <c r="N142" s="1"/>
      <c r="O142" s="1"/>
      <c r="P142" s="1"/>
      <c r="Q142" s="1"/>
    </row>
    <row r="143" spans="1:17" x14ac:dyDescent="0.35">
      <c r="A143" s="1"/>
      <c r="B143" s="1"/>
      <c r="C143" s="1"/>
      <c r="D143" s="1"/>
      <c r="E143" s="1"/>
      <c r="F143" s="1"/>
      <c r="G143" s="1"/>
      <c r="H143" s="1"/>
      <c r="I143" s="1"/>
      <c r="J143" s="1"/>
      <c r="K143" s="1"/>
      <c r="L143" s="1"/>
      <c r="M143" s="1"/>
      <c r="N143" s="1"/>
      <c r="O143" s="1"/>
      <c r="P143" s="1"/>
      <c r="Q143" s="1"/>
    </row>
    <row r="144" spans="1:17" x14ac:dyDescent="0.35">
      <c r="A144" s="1"/>
      <c r="B144" s="1"/>
      <c r="C144" s="1"/>
      <c r="D144" s="1"/>
      <c r="E144" s="1"/>
      <c r="F144" s="1"/>
      <c r="G144" s="1"/>
      <c r="H144" s="1"/>
      <c r="I144" s="1"/>
      <c r="J144" s="1"/>
      <c r="K144" s="1"/>
      <c r="L144" s="1"/>
      <c r="M144" s="1"/>
      <c r="N144" s="1"/>
      <c r="O144" s="1"/>
      <c r="P144" s="1"/>
      <c r="Q144" s="1"/>
    </row>
    <row r="145" spans="1:17" x14ac:dyDescent="0.35">
      <c r="A145" s="1"/>
      <c r="B145" s="1"/>
      <c r="C145" s="1"/>
      <c r="D145" s="1"/>
      <c r="E145" s="1"/>
      <c r="F145" s="1"/>
      <c r="G145" s="1"/>
      <c r="H145" s="1"/>
      <c r="I145" s="1"/>
      <c r="J145" s="1"/>
      <c r="K145" s="1"/>
      <c r="L145" s="1"/>
      <c r="M145" s="1"/>
      <c r="N145" s="1"/>
      <c r="O145" s="1"/>
      <c r="P145" s="1"/>
      <c r="Q145" s="1"/>
    </row>
    <row r="146" spans="1:17" x14ac:dyDescent="0.35">
      <c r="A146" s="1"/>
      <c r="B146" s="1"/>
      <c r="C146" s="1"/>
      <c r="D146" s="1"/>
      <c r="E146" s="1"/>
      <c r="F146" s="1"/>
      <c r="G146" s="1"/>
      <c r="H146" s="1"/>
      <c r="I146" s="1"/>
      <c r="J146" s="1"/>
      <c r="K146" s="1"/>
      <c r="L146" s="1"/>
      <c r="M146" s="1"/>
      <c r="N146" s="1"/>
      <c r="O146" s="1"/>
      <c r="P146" s="1"/>
      <c r="Q146" s="1"/>
    </row>
    <row r="147" spans="1:17" x14ac:dyDescent="0.35">
      <c r="A147" s="1"/>
      <c r="B147" s="1"/>
      <c r="C147" s="1"/>
      <c r="D147" s="1"/>
      <c r="E147" s="1"/>
      <c r="F147" s="1"/>
      <c r="G147" s="1"/>
      <c r="H147" s="1"/>
      <c r="I147" s="1"/>
      <c r="J147" s="1"/>
      <c r="K147" s="1"/>
      <c r="L147" s="1"/>
      <c r="M147" s="1"/>
      <c r="N147" s="1"/>
      <c r="O147" s="1"/>
      <c r="P147" s="1"/>
      <c r="Q147" s="1"/>
    </row>
    <row r="148" spans="1:17" x14ac:dyDescent="0.35">
      <c r="A148" s="1"/>
      <c r="B148" s="1"/>
      <c r="C148" s="1"/>
      <c r="D148" s="1"/>
      <c r="E148" s="1"/>
      <c r="F148" s="1"/>
      <c r="G148" s="1"/>
      <c r="H148" s="1"/>
      <c r="I148" s="1"/>
      <c r="J148" s="1"/>
      <c r="K148" s="1"/>
      <c r="L148" s="1"/>
      <c r="M148" s="1"/>
      <c r="N148" s="1"/>
      <c r="O148" s="1"/>
      <c r="P148" s="1"/>
      <c r="Q148" s="1"/>
    </row>
    <row r="149" spans="1:17" x14ac:dyDescent="0.35">
      <c r="A149" s="1"/>
      <c r="B149" s="1"/>
      <c r="C149" s="1"/>
      <c r="D149" s="1"/>
      <c r="E149" s="1"/>
      <c r="F149" s="1"/>
      <c r="G149" s="1"/>
      <c r="H149" s="1"/>
      <c r="I149" s="1"/>
      <c r="J149" s="1"/>
      <c r="K149" s="1"/>
      <c r="L149" s="1"/>
      <c r="M149" s="1"/>
      <c r="N149" s="1"/>
      <c r="O149" s="1"/>
      <c r="P149" s="1"/>
      <c r="Q149" s="1"/>
    </row>
    <row r="150" spans="1:17" x14ac:dyDescent="0.35">
      <c r="A150" s="1"/>
      <c r="B150" s="1"/>
      <c r="C150" s="1"/>
      <c r="D150" s="1"/>
      <c r="E150" s="1"/>
      <c r="F150" s="1"/>
      <c r="G150" s="1"/>
      <c r="H150" s="1"/>
      <c r="I150" s="1"/>
      <c r="J150" s="1"/>
      <c r="K150" s="1"/>
      <c r="L150" s="1"/>
      <c r="M150" s="1"/>
      <c r="N150" s="1"/>
      <c r="O150" s="1"/>
      <c r="P150" s="1"/>
      <c r="Q150" s="1"/>
    </row>
    <row r="151" spans="1:17" x14ac:dyDescent="0.35">
      <c r="A151" s="1"/>
      <c r="B151" s="1"/>
      <c r="C151" s="1"/>
      <c r="D151" s="1"/>
      <c r="E151" s="1"/>
      <c r="F151" s="1"/>
      <c r="G151" s="1"/>
      <c r="H151" s="1"/>
      <c r="I151" s="1"/>
      <c r="J151" s="1"/>
      <c r="K151" s="1"/>
      <c r="L151" s="1"/>
      <c r="M151" s="1"/>
      <c r="N151" s="1"/>
      <c r="O151" s="1"/>
      <c r="P151" s="1"/>
      <c r="Q151" s="1"/>
    </row>
    <row r="152" spans="1:17" x14ac:dyDescent="0.35">
      <c r="A152" s="1"/>
      <c r="B152" s="1"/>
      <c r="C152" s="1"/>
      <c r="D152" s="1"/>
      <c r="E152" s="1"/>
      <c r="F152" s="1"/>
      <c r="G152" s="1"/>
      <c r="H152" s="1"/>
      <c r="I152" s="1"/>
      <c r="J152" s="1"/>
      <c r="K152" s="1"/>
      <c r="L152" s="1"/>
      <c r="M152" s="1"/>
      <c r="N152" s="1"/>
      <c r="O152" s="1"/>
      <c r="P152" s="1"/>
      <c r="Q152" s="1"/>
    </row>
    <row r="153" spans="1:17" x14ac:dyDescent="0.35">
      <c r="A153" s="1"/>
      <c r="B153" s="1"/>
      <c r="C153" s="1"/>
      <c r="D153" s="1"/>
      <c r="E153" s="1"/>
      <c r="F153" s="1"/>
      <c r="G153" s="1"/>
      <c r="H153" s="1"/>
      <c r="I153" s="1"/>
      <c r="J153" s="1"/>
      <c r="K153" s="1"/>
      <c r="L153" s="1"/>
      <c r="M153" s="1"/>
      <c r="N153" s="1"/>
      <c r="O153" s="1"/>
      <c r="P153" s="1"/>
      <c r="Q153" s="1"/>
    </row>
    <row r="154" spans="1:17" x14ac:dyDescent="0.35">
      <c r="A154" s="1"/>
      <c r="B154" s="1"/>
      <c r="C154" s="1"/>
      <c r="D154" s="1"/>
      <c r="E154" s="1"/>
      <c r="F154" s="1"/>
      <c r="G154" s="1"/>
      <c r="H154" s="1"/>
      <c r="I154" s="1"/>
      <c r="J154" s="1"/>
      <c r="K154" s="1"/>
      <c r="L154" s="1"/>
      <c r="M154" s="1"/>
      <c r="N154" s="1"/>
      <c r="O154" s="1"/>
      <c r="P154" s="1"/>
      <c r="Q154" s="1"/>
    </row>
    <row r="155" spans="1:17" x14ac:dyDescent="0.35">
      <c r="A155" s="1"/>
      <c r="B155" s="1"/>
      <c r="C155" s="1"/>
      <c r="D155" s="1"/>
      <c r="E155" s="1"/>
      <c r="F155" s="1"/>
      <c r="G155" s="1"/>
      <c r="H155" s="1"/>
      <c r="I155" s="1"/>
      <c r="J155" s="1"/>
      <c r="K155" s="1"/>
      <c r="L155" s="1"/>
      <c r="M155" s="1"/>
      <c r="N155" s="1"/>
      <c r="O155" s="1"/>
      <c r="P155" s="1"/>
      <c r="Q155" s="1"/>
    </row>
    <row r="156" spans="1:17" x14ac:dyDescent="0.35">
      <c r="A156" s="1"/>
      <c r="B156" s="1"/>
      <c r="C156" s="1"/>
      <c r="D156" s="1"/>
      <c r="E156" s="1"/>
      <c r="F156" s="1"/>
      <c r="G156" s="1"/>
      <c r="H156" s="1"/>
      <c r="I156" s="1"/>
      <c r="J156" s="1"/>
      <c r="K156" s="1"/>
      <c r="L156" s="1"/>
      <c r="M156" s="1"/>
      <c r="N156" s="1"/>
      <c r="O156" s="1"/>
      <c r="P156" s="1"/>
      <c r="Q156" s="1"/>
    </row>
    <row r="157" spans="1:17" x14ac:dyDescent="0.35">
      <c r="A157" s="1"/>
      <c r="B157" s="1"/>
      <c r="C157" s="1"/>
      <c r="D157" s="1"/>
      <c r="E157" s="1"/>
      <c r="F157" s="1"/>
      <c r="G157" s="1"/>
      <c r="H157" s="1"/>
      <c r="I157" s="1"/>
      <c r="J157" s="1"/>
      <c r="K157" s="1"/>
      <c r="L157" s="1"/>
      <c r="M157" s="1"/>
      <c r="N157" s="1"/>
      <c r="O157" s="1"/>
      <c r="P157" s="1"/>
      <c r="Q157" s="1"/>
    </row>
    <row r="158" spans="1:17" x14ac:dyDescent="0.35">
      <c r="A158" s="1"/>
      <c r="B158" s="1"/>
      <c r="C158" s="1"/>
      <c r="D158" s="1"/>
      <c r="E158" s="1"/>
      <c r="F158" s="1"/>
      <c r="G158" s="1"/>
      <c r="H158" s="1"/>
      <c r="I158" s="1"/>
      <c r="J158" s="1"/>
      <c r="K158" s="1"/>
      <c r="L158" s="1"/>
      <c r="M158" s="1"/>
      <c r="N158" s="1"/>
      <c r="O158" s="1"/>
      <c r="P158" s="1"/>
      <c r="Q158" s="1"/>
    </row>
    <row r="159" spans="1:17" x14ac:dyDescent="0.35">
      <c r="A159" s="1"/>
      <c r="B159" s="1"/>
      <c r="C159" s="1"/>
      <c r="D159" s="1"/>
      <c r="E159" s="1"/>
      <c r="F159" s="1"/>
      <c r="G159" s="1"/>
      <c r="H159" s="1"/>
      <c r="I159" s="1"/>
      <c r="J159" s="1"/>
      <c r="K159" s="1"/>
      <c r="L159" s="1"/>
      <c r="M159" s="1"/>
      <c r="N159" s="1"/>
      <c r="O159" s="1"/>
      <c r="P159" s="1"/>
      <c r="Q159" s="1"/>
    </row>
    <row r="160" spans="1:17" x14ac:dyDescent="0.35">
      <c r="A160" s="1"/>
      <c r="B160" s="1"/>
      <c r="C160" s="1"/>
      <c r="D160" s="1"/>
      <c r="E160" s="1"/>
      <c r="F160" s="1"/>
      <c r="G160" s="1"/>
      <c r="H160" s="1"/>
      <c r="I160" s="1"/>
      <c r="J160" s="1"/>
      <c r="K160" s="1"/>
      <c r="L160" s="1"/>
      <c r="M160" s="1"/>
      <c r="N160" s="1"/>
      <c r="O160" s="1"/>
      <c r="P160" s="1"/>
      <c r="Q160" s="1"/>
    </row>
    <row r="161" spans="1:17" x14ac:dyDescent="0.35">
      <c r="A161" s="1"/>
      <c r="B161" s="1"/>
      <c r="C161" s="1"/>
      <c r="D161" s="1"/>
      <c r="E161" s="1"/>
      <c r="F161" s="1"/>
      <c r="G161" s="1"/>
      <c r="H161" s="1"/>
      <c r="I161" s="1"/>
      <c r="J161" s="1"/>
      <c r="K161" s="1"/>
      <c r="L161" s="1"/>
      <c r="M161" s="1"/>
      <c r="N161" s="1"/>
      <c r="O161" s="1"/>
      <c r="P161" s="1"/>
      <c r="Q161" s="1"/>
    </row>
    <row r="162" spans="1:17" x14ac:dyDescent="0.35">
      <c r="A162" s="1"/>
      <c r="B162" s="1"/>
      <c r="C162" s="1"/>
      <c r="D162" s="1"/>
      <c r="E162" s="1"/>
      <c r="F162" s="1"/>
      <c r="G162" s="1"/>
      <c r="H162" s="1"/>
      <c r="I162" s="1"/>
      <c r="J162" s="1"/>
      <c r="K162" s="1"/>
      <c r="L162" s="1"/>
      <c r="M162" s="1"/>
      <c r="N162" s="1"/>
      <c r="O162" s="1"/>
      <c r="P162" s="1"/>
      <c r="Q162" s="1"/>
    </row>
    <row r="163" spans="1:17" x14ac:dyDescent="0.35">
      <c r="A163" s="1"/>
      <c r="B163" s="1"/>
      <c r="C163" s="1"/>
      <c r="D163" s="1"/>
      <c r="E163" s="1"/>
      <c r="F163" s="1"/>
      <c r="G163" s="1"/>
      <c r="H163" s="1"/>
      <c r="I163" s="1"/>
      <c r="J163" s="1"/>
      <c r="K163" s="1"/>
      <c r="L163" s="1"/>
      <c r="M163" s="1"/>
      <c r="N163" s="1"/>
      <c r="O163" s="1"/>
      <c r="P163" s="1"/>
      <c r="Q163" s="1"/>
    </row>
    <row r="164" spans="1:17" x14ac:dyDescent="0.35">
      <c r="A164" s="1"/>
      <c r="B164" s="1"/>
      <c r="C164" s="1"/>
      <c r="D164" s="1"/>
      <c r="E164" s="1"/>
      <c r="F164" s="1"/>
      <c r="G164" s="1"/>
      <c r="H164" s="1"/>
      <c r="I164" s="1"/>
      <c r="J164" s="1"/>
      <c r="K164" s="1"/>
      <c r="L164" s="1"/>
      <c r="M164" s="1"/>
      <c r="N164" s="1"/>
      <c r="O164" s="1"/>
      <c r="P164" s="1"/>
      <c r="Q164" s="1"/>
    </row>
    <row r="165" spans="1:17" x14ac:dyDescent="0.35">
      <c r="A165" s="1"/>
      <c r="B165" s="1"/>
      <c r="C165" s="1"/>
      <c r="D165" s="1"/>
      <c r="E165" s="1"/>
      <c r="F165" s="1"/>
      <c r="G165" s="1"/>
      <c r="H165" s="1"/>
      <c r="I165" s="1"/>
      <c r="J165" s="1"/>
      <c r="K165" s="1"/>
      <c r="L165" s="1"/>
      <c r="M165" s="1"/>
      <c r="N165" s="1"/>
      <c r="O165" s="1"/>
      <c r="P165" s="1"/>
      <c r="Q165" s="1"/>
    </row>
    <row r="166" spans="1:17" x14ac:dyDescent="0.35">
      <c r="A166" s="1"/>
      <c r="B166" s="1"/>
      <c r="C166" s="1"/>
      <c r="D166" s="1"/>
      <c r="E166" s="1"/>
      <c r="F166" s="1"/>
      <c r="G166" s="1"/>
      <c r="H166" s="1"/>
      <c r="I166" s="1"/>
      <c r="J166" s="1"/>
      <c r="K166" s="1"/>
      <c r="L166" s="1"/>
      <c r="M166" s="1"/>
      <c r="N166" s="1"/>
      <c r="O166" s="1"/>
      <c r="P166" s="1"/>
      <c r="Q166" s="1"/>
    </row>
    <row r="167" spans="1:17" x14ac:dyDescent="0.35">
      <c r="A167" s="1"/>
      <c r="B167" s="1"/>
      <c r="C167" s="1"/>
      <c r="D167" s="1"/>
      <c r="E167" s="1"/>
      <c r="F167" s="1"/>
      <c r="G167" s="1"/>
      <c r="H167" s="1"/>
      <c r="I167" s="1"/>
      <c r="J167" s="1"/>
      <c r="K167" s="1"/>
      <c r="L167" s="1"/>
      <c r="M167" s="1"/>
      <c r="N167" s="1"/>
      <c r="O167" s="1"/>
      <c r="P167" s="1"/>
      <c r="Q167" s="1"/>
    </row>
    <row r="168" spans="1:17" x14ac:dyDescent="0.35">
      <c r="A168" s="1"/>
      <c r="B168" s="1"/>
      <c r="C168" s="1"/>
      <c r="D168" s="1"/>
      <c r="E168" s="1"/>
      <c r="F168" s="1"/>
      <c r="G168" s="1"/>
      <c r="H168" s="1"/>
      <c r="I168" s="1"/>
      <c r="J168" s="1"/>
      <c r="K168" s="1"/>
      <c r="L168" s="1"/>
      <c r="M168" s="1"/>
      <c r="N168" s="1"/>
      <c r="O168" s="1"/>
      <c r="P168" s="1"/>
      <c r="Q168" s="1"/>
    </row>
    <row r="169" spans="1:17" x14ac:dyDescent="0.35">
      <c r="A169" s="1"/>
      <c r="B169" s="1"/>
      <c r="C169" s="1"/>
      <c r="D169" s="1"/>
      <c r="E169" s="1"/>
      <c r="F169" s="1"/>
      <c r="G169" s="1"/>
      <c r="H169" s="1"/>
      <c r="I169" s="1"/>
      <c r="J169" s="1"/>
      <c r="K169" s="1"/>
      <c r="L169" s="1"/>
      <c r="M169" s="1"/>
      <c r="N169" s="1"/>
      <c r="O169" s="1"/>
      <c r="P169" s="1"/>
      <c r="Q169" s="1"/>
    </row>
    <row r="170" spans="1:17" x14ac:dyDescent="0.35">
      <c r="A170" s="1"/>
      <c r="B170" s="1"/>
      <c r="C170" s="1"/>
      <c r="D170" s="1"/>
      <c r="E170" s="1"/>
      <c r="F170" s="1"/>
      <c r="G170" s="1"/>
      <c r="H170" s="1"/>
      <c r="I170" s="1"/>
      <c r="J170" s="1"/>
      <c r="K170" s="1"/>
      <c r="L170" s="1"/>
      <c r="M170" s="1"/>
      <c r="N170" s="1"/>
      <c r="O170" s="1"/>
      <c r="P170" s="1"/>
      <c r="Q170" s="1"/>
    </row>
    <row r="171" spans="1:17" x14ac:dyDescent="0.35">
      <c r="A171" s="1"/>
      <c r="B171" s="1"/>
      <c r="C171" s="1"/>
      <c r="D171" s="1"/>
      <c r="E171" s="1"/>
      <c r="F171" s="1"/>
      <c r="G171" s="1"/>
      <c r="H171" s="1"/>
      <c r="I171" s="1"/>
      <c r="J171" s="1"/>
      <c r="K171" s="1"/>
      <c r="L171" s="1"/>
      <c r="M171" s="1"/>
      <c r="N171" s="1"/>
      <c r="O171" s="1"/>
      <c r="P171" s="1"/>
      <c r="Q171" s="1"/>
    </row>
    <row r="172" spans="1:17" x14ac:dyDescent="0.35">
      <c r="A172" s="1"/>
      <c r="B172" s="1"/>
      <c r="C172" s="1"/>
      <c r="D172" s="1"/>
      <c r="E172" s="1"/>
      <c r="F172" s="1"/>
      <c r="G172" s="1"/>
      <c r="H172" s="1"/>
      <c r="I172" s="1"/>
      <c r="J172" s="1"/>
      <c r="K172" s="1"/>
      <c r="L172" s="1"/>
      <c r="M172" s="1"/>
      <c r="N172" s="1"/>
      <c r="O172" s="1"/>
      <c r="P172" s="1"/>
      <c r="Q172" s="1"/>
    </row>
    <row r="173" spans="1:17" x14ac:dyDescent="0.35">
      <c r="A173" s="1"/>
      <c r="B173" s="1"/>
      <c r="C173" s="1"/>
      <c r="D173" s="1"/>
      <c r="E173" s="1"/>
      <c r="F173" s="1"/>
      <c r="G173" s="1"/>
      <c r="H173" s="1"/>
      <c r="I173" s="1"/>
      <c r="J173" s="1"/>
      <c r="K173" s="1"/>
      <c r="L173" s="1"/>
      <c r="M173" s="1"/>
      <c r="N173" s="1"/>
      <c r="O173" s="1"/>
      <c r="P173" s="1"/>
      <c r="Q173" s="1"/>
    </row>
    <row r="174" spans="1:17" x14ac:dyDescent="0.35">
      <c r="A174" s="1"/>
      <c r="B174" s="1"/>
      <c r="C174" s="1"/>
      <c r="D174" s="1"/>
      <c r="E174" s="1"/>
      <c r="F174" s="1"/>
      <c r="G174" s="1"/>
      <c r="H174" s="1"/>
      <c r="I174" s="1"/>
      <c r="J174" s="1"/>
      <c r="K174" s="1"/>
      <c r="L174" s="1"/>
      <c r="M174" s="1"/>
      <c r="N174" s="1"/>
      <c r="O174" s="1"/>
      <c r="P174" s="1"/>
      <c r="Q174" s="1"/>
    </row>
    <row r="175" spans="1:17" x14ac:dyDescent="0.35">
      <c r="A175" s="1"/>
      <c r="B175" s="1"/>
      <c r="C175" s="1"/>
      <c r="D175" s="1"/>
      <c r="E175" s="1"/>
      <c r="F175" s="1"/>
      <c r="G175" s="1"/>
      <c r="H175" s="1"/>
      <c r="I175" s="1"/>
      <c r="J175" s="1"/>
      <c r="K175" s="1"/>
      <c r="L175" s="1"/>
      <c r="M175" s="1"/>
      <c r="N175" s="1"/>
      <c r="O175" s="1"/>
      <c r="P175" s="1"/>
      <c r="Q175" s="1"/>
    </row>
    <row r="176" spans="1:17" x14ac:dyDescent="0.35">
      <c r="A176" s="1"/>
      <c r="B176" s="1"/>
      <c r="C176" s="1"/>
      <c r="D176" s="1"/>
      <c r="E176" s="1"/>
      <c r="F176" s="1"/>
      <c r="G176" s="1"/>
      <c r="H176" s="1"/>
      <c r="I176" s="1"/>
      <c r="J176" s="1"/>
      <c r="K176" s="1"/>
      <c r="L176" s="1"/>
      <c r="M176" s="1"/>
      <c r="N176" s="1"/>
      <c r="O176" s="1"/>
      <c r="P176" s="1"/>
      <c r="Q176" s="1"/>
    </row>
    <row r="177" spans="1:17" x14ac:dyDescent="0.35">
      <c r="A177" s="1"/>
      <c r="B177" s="1"/>
      <c r="C177" s="1"/>
      <c r="D177" s="1"/>
      <c r="E177" s="1"/>
      <c r="F177" s="1"/>
      <c r="G177" s="1"/>
      <c r="H177" s="1"/>
      <c r="I177" s="1"/>
      <c r="J177" s="1"/>
      <c r="K177" s="1"/>
      <c r="L177" s="1"/>
      <c r="M177" s="1"/>
      <c r="N177" s="1"/>
      <c r="O177" s="1"/>
      <c r="P177" s="1"/>
      <c r="Q177" s="1"/>
    </row>
    <row r="178" spans="1:17" x14ac:dyDescent="0.35">
      <c r="A178" s="1"/>
      <c r="B178" s="1"/>
      <c r="C178" s="1"/>
      <c r="D178" s="1"/>
      <c r="E178" s="1"/>
      <c r="F178" s="1"/>
      <c r="G178" s="1"/>
      <c r="H178" s="1"/>
      <c r="I178" s="1"/>
      <c r="J178" s="1"/>
      <c r="K178" s="1"/>
      <c r="L178" s="1"/>
      <c r="M178" s="1"/>
      <c r="N178" s="1"/>
      <c r="O178" s="1"/>
      <c r="P178" s="1"/>
      <c r="Q178" s="1"/>
    </row>
    <row r="179" spans="1:17" x14ac:dyDescent="0.35">
      <c r="A179" s="1"/>
      <c r="B179" s="1"/>
      <c r="C179" s="1"/>
      <c r="D179" s="1"/>
      <c r="E179" s="1"/>
      <c r="F179" s="1"/>
      <c r="G179" s="1"/>
      <c r="H179" s="1"/>
      <c r="I179" s="1"/>
      <c r="J179" s="1"/>
      <c r="K179" s="1"/>
      <c r="L179" s="1"/>
      <c r="M179" s="1"/>
      <c r="N179" s="1"/>
      <c r="O179" s="1"/>
      <c r="P179" s="1"/>
      <c r="Q179" s="1"/>
    </row>
    <row r="180" spans="1:17" x14ac:dyDescent="0.35">
      <c r="A180" s="1"/>
      <c r="B180" s="1"/>
      <c r="C180" s="1"/>
      <c r="D180" s="1"/>
      <c r="E180" s="1"/>
      <c r="F180" s="1"/>
      <c r="G180" s="1"/>
      <c r="H180" s="1"/>
      <c r="I180" s="1"/>
      <c r="J180" s="1"/>
      <c r="K180" s="1"/>
      <c r="L180" s="1"/>
      <c r="M180" s="1"/>
      <c r="N180" s="1"/>
      <c r="O180" s="1"/>
      <c r="P180" s="1"/>
      <c r="Q180" s="1"/>
    </row>
    <row r="181" spans="1:17" x14ac:dyDescent="0.35">
      <c r="A181" s="1"/>
      <c r="B181" s="1"/>
      <c r="C181" s="1"/>
      <c r="D181" s="1"/>
      <c r="E181" s="1"/>
      <c r="F181" s="1"/>
      <c r="G181" s="1"/>
      <c r="H181" s="1"/>
      <c r="I181" s="1"/>
      <c r="J181" s="1"/>
      <c r="K181" s="1"/>
      <c r="L181" s="1"/>
      <c r="M181" s="1"/>
      <c r="N181" s="1"/>
      <c r="O181" s="1"/>
      <c r="P181" s="1"/>
      <c r="Q181" s="1"/>
    </row>
    <row r="182" spans="1:17" x14ac:dyDescent="0.35">
      <c r="A182" s="1"/>
      <c r="B182" s="1"/>
      <c r="C182" s="1"/>
      <c r="D182" s="1"/>
      <c r="E182" s="1"/>
      <c r="F182" s="1"/>
      <c r="G182" s="1"/>
      <c r="H182" s="1"/>
      <c r="I182" s="1"/>
      <c r="J182" s="1"/>
      <c r="K182" s="1"/>
      <c r="L182" s="1"/>
      <c r="M182" s="1"/>
      <c r="N182" s="1"/>
      <c r="O182" s="1"/>
      <c r="P182" s="1"/>
      <c r="Q182" s="1"/>
    </row>
    <row r="183" spans="1:17" x14ac:dyDescent="0.35">
      <c r="A183" s="1"/>
      <c r="B183" s="1"/>
      <c r="C183" s="1"/>
      <c r="D183" s="1"/>
      <c r="E183" s="1"/>
      <c r="F183" s="1"/>
      <c r="G183" s="1"/>
      <c r="H183" s="1"/>
      <c r="I183" s="1"/>
      <c r="J183" s="1"/>
      <c r="K183" s="1"/>
      <c r="L183" s="1"/>
      <c r="M183" s="1"/>
      <c r="N183" s="1"/>
      <c r="O183" s="1"/>
      <c r="P183" s="1"/>
      <c r="Q183" s="1"/>
    </row>
    <row r="184" spans="1:17" x14ac:dyDescent="0.35">
      <c r="A184" s="1"/>
      <c r="B184" s="1"/>
      <c r="C184" s="1"/>
      <c r="D184" s="1"/>
      <c r="E184" s="1"/>
      <c r="F184" s="1"/>
      <c r="G184" s="1"/>
      <c r="H184" s="1"/>
      <c r="I184" s="1"/>
      <c r="J184" s="1"/>
      <c r="K184" s="1"/>
      <c r="L184" s="1"/>
      <c r="M184" s="1"/>
      <c r="N184" s="1"/>
      <c r="O184" s="1"/>
      <c r="P184" s="1"/>
      <c r="Q184" s="1"/>
    </row>
    <row r="185" spans="1:17" x14ac:dyDescent="0.35">
      <c r="A185" s="1"/>
      <c r="B185" s="1"/>
      <c r="C185" s="1"/>
      <c r="D185" s="1"/>
      <c r="E185" s="1"/>
      <c r="F185" s="1"/>
      <c r="G185" s="1"/>
      <c r="H185" s="1"/>
      <c r="I185" s="1"/>
      <c r="J185" s="1"/>
      <c r="K185" s="1"/>
      <c r="L185" s="1"/>
      <c r="M185" s="1"/>
      <c r="N185" s="1"/>
      <c r="O185" s="1"/>
      <c r="P185" s="1"/>
      <c r="Q185" s="1"/>
    </row>
    <row r="186" spans="1:17" x14ac:dyDescent="0.35">
      <c r="A186" s="1"/>
      <c r="B186" s="1"/>
      <c r="C186" s="1"/>
      <c r="D186" s="1"/>
      <c r="E186" s="1"/>
      <c r="F186" s="1"/>
      <c r="G186" s="1"/>
      <c r="H186" s="1"/>
      <c r="I186" s="1"/>
      <c r="J186" s="1"/>
      <c r="K186" s="1"/>
      <c r="L186" s="1"/>
      <c r="M186" s="1"/>
      <c r="N186" s="1"/>
      <c r="O186" s="1"/>
      <c r="P186" s="1"/>
      <c r="Q186" s="1"/>
    </row>
    <row r="187" spans="1:17" x14ac:dyDescent="0.35">
      <c r="A187" s="1"/>
      <c r="B187" s="1"/>
      <c r="C187" s="1"/>
      <c r="D187" s="1"/>
      <c r="E187" s="1"/>
      <c r="F187" s="1"/>
      <c r="G187" s="1"/>
      <c r="H187" s="1"/>
      <c r="I187" s="1"/>
      <c r="J187" s="1"/>
      <c r="K187" s="1"/>
      <c r="L187" s="1"/>
      <c r="M187" s="1"/>
      <c r="N187" s="1"/>
      <c r="O187" s="1"/>
      <c r="P187" s="1"/>
      <c r="Q187" s="1"/>
    </row>
    <row r="188" spans="1:17" x14ac:dyDescent="0.35">
      <c r="A188" s="1"/>
      <c r="B188" s="1"/>
      <c r="C188" s="1"/>
      <c r="D188" s="1"/>
      <c r="E188" s="1"/>
      <c r="F188" s="1"/>
      <c r="G188" s="1"/>
      <c r="H188" s="1"/>
      <c r="I188" s="1"/>
      <c r="J188" s="1"/>
      <c r="K188" s="1"/>
      <c r="L188" s="1"/>
      <c r="M188" s="1"/>
      <c r="N188" s="1"/>
      <c r="O188" s="1"/>
      <c r="P188" s="1"/>
      <c r="Q188" s="1"/>
    </row>
    <row r="189" spans="1:17" x14ac:dyDescent="0.35">
      <c r="A189" s="1"/>
      <c r="B189" s="1"/>
      <c r="C189" s="1"/>
      <c r="D189" s="1"/>
      <c r="E189" s="1"/>
      <c r="F189" s="1"/>
      <c r="G189" s="1"/>
      <c r="H189" s="1"/>
      <c r="I189" s="1"/>
      <c r="J189" s="1"/>
      <c r="K189" s="1"/>
      <c r="L189" s="1"/>
      <c r="M189" s="1"/>
      <c r="N189" s="1"/>
      <c r="O189" s="1"/>
      <c r="P189" s="1"/>
      <c r="Q189" s="1"/>
    </row>
    <row r="190" spans="1:17" x14ac:dyDescent="0.35">
      <c r="A190" s="1"/>
      <c r="B190" s="1"/>
      <c r="C190" s="1"/>
      <c r="D190" s="1"/>
      <c r="E190" s="1"/>
      <c r="F190" s="1"/>
      <c r="G190" s="1"/>
      <c r="H190" s="1"/>
      <c r="I190" s="1"/>
      <c r="J190" s="1"/>
      <c r="K190" s="1"/>
      <c r="L190" s="1"/>
      <c r="M190" s="1"/>
      <c r="N190" s="1"/>
      <c r="O190" s="1"/>
      <c r="P190" s="1"/>
      <c r="Q190" s="1"/>
    </row>
    <row r="191" spans="1:17" x14ac:dyDescent="0.35">
      <c r="A191" s="1"/>
      <c r="B191" s="1"/>
      <c r="C191" s="1"/>
      <c r="D191" s="1"/>
      <c r="E191" s="1"/>
      <c r="F191" s="1"/>
      <c r="G191" s="1"/>
      <c r="H191" s="1"/>
      <c r="I191" s="1"/>
      <c r="J191" s="1"/>
      <c r="K191" s="1"/>
      <c r="L191" s="1"/>
      <c r="M191" s="1"/>
      <c r="N191" s="1"/>
      <c r="O191" s="1"/>
      <c r="P191" s="1"/>
      <c r="Q191" s="1"/>
    </row>
    <row r="192" spans="1:17" x14ac:dyDescent="0.35">
      <c r="A192" s="1"/>
      <c r="B192" s="1"/>
      <c r="C192" s="1"/>
      <c r="D192" s="1"/>
      <c r="E192" s="1"/>
      <c r="F192" s="1"/>
      <c r="G192" s="1"/>
      <c r="H192" s="1"/>
      <c r="I192" s="1"/>
      <c r="J192" s="1"/>
      <c r="K192" s="1"/>
      <c r="L192" s="1"/>
      <c r="M192" s="1"/>
      <c r="N192" s="1"/>
      <c r="O192" s="1"/>
      <c r="P192" s="1"/>
      <c r="Q192" s="1"/>
    </row>
    <row r="193" spans="1:17" x14ac:dyDescent="0.35">
      <c r="A193" s="1"/>
      <c r="B193" s="1"/>
      <c r="C193" s="1"/>
      <c r="D193" s="1"/>
      <c r="E193" s="1"/>
      <c r="F193" s="1"/>
      <c r="G193" s="1"/>
      <c r="H193" s="1"/>
      <c r="I193" s="1"/>
      <c r="J193" s="1"/>
      <c r="K193" s="1"/>
      <c r="L193" s="1"/>
      <c r="M193" s="1"/>
      <c r="N193" s="1"/>
      <c r="O193" s="1"/>
      <c r="P193" s="1"/>
      <c r="Q193" s="1"/>
    </row>
    <row r="194" spans="1:17" x14ac:dyDescent="0.35">
      <c r="A194" s="1"/>
      <c r="B194" s="1"/>
      <c r="C194" s="1"/>
      <c r="D194" s="1"/>
      <c r="E194" s="1"/>
      <c r="F194" s="1"/>
      <c r="G194" s="1"/>
      <c r="H194" s="1"/>
      <c r="I194" s="1"/>
      <c r="J194" s="1"/>
      <c r="K194" s="1"/>
      <c r="L194" s="1"/>
      <c r="M194" s="1"/>
      <c r="N194" s="1"/>
      <c r="O194" s="1"/>
      <c r="P194" s="1"/>
      <c r="Q194" s="1"/>
    </row>
    <row r="195" spans="1:17" x14ac:dyDescent="0.35">
      <c r="A195" s="1"/>
      <c r="B195" s="1"/>
      <c r="C195" s="1"/>
      <c r="D195" s="1"/>
      <c r="E195" s="1"/>
      <c r="F195" s="1"/>
      <c r="G195" s="1"/>
      <c r="H195" s="1"/>
      <c r="I195" s="1"/>
      <c r="J195" s="1"/>
      <c r="K195" s="1"/>
      <c r="L195" s="1"/>
      <c r="M195" s="1"/>
      <c r="N195" s="1"/>
      <c r="O195" s="1"/>
      <c r="P195" s="1"/>
      <c r="Q195" s="1"/>
    </row>
    <row r="196" spans="1:17" x14ac:dyDescent="0.35">
      <c r="A196" s="1"/>
      <c r="B196" s="1"/>
      <c r="C196" s="1"/>
      <c r="D196" s="1"/>
      <c r="E196" s="1"/>
      <c r="F196" s="1"/>
      <c r="G196" s="1"/>
      <c r="H196" s="1"/>
      <c r="I196" s="1"/>
      <c r="J196" s="1"/>
      <c r="K196" s="1"/>
      <c r="L196" s="1"/>
      <c r="M196" s="1"/>
      <c r="N196" s="1"/>
      <c r="O196" s="1"/>
      <c r="P196" s="1"/>
      <c r="Q196" s="1"/>
    </row>
    <row r="197" spans="1:17" x14ac:dyDescent="0.35">
      <c r="A197" s="1"/>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1:17" x14ac:dyDescent="0.35">
      <c r="A198" s="1"/>
      <c r="B198" s="37"/>
      <c r="C198" s="38"/>
      <c r="D198" s="31"/>
      <c r="E198" s="32"/>
      <c r="F198" s="34"/>
      <c r="G198" s="33"/>
      <c r="H198" s="34"/>
      <c r="I198" s="33"/>
      <c r="J198" s="34"/>
      <c r="K198" s="34"/>
      <c r="L198" s="34"/>
      <c r="M198" s="33"/>
      <c r="N198" s="34"/>
      <c r="O198" s="35"/>
      <c r="P198" s="36"/>
      <c r="Q198" s="35"/>
    </row>
    <row r="199" spans="1:17" x14ac:dyDescent="0.35">
      <c r="A199" s="1"/>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1:17" x14ac:dyDescent="0.35">
      <c r="A200" s="1"/>
      <c r="B200" s="1"/>
      <c r="C200" s="1"/>
      <c r="D200" s="1"/>
      <c r="E200" s="1"/>
      <c r="F200" s="1"/>
      <c r="G200" s="1"/>
      <c r="H200" s="1"/>
      <c r="I200" s="1"/>
      <c r="J200" s="1"/>
      <c r="K200" s="1"/>
      <c r="L200" s="1"/>
      <c r="M200" s="1"/>
      <c r="N200" s="1"/>
      <c r="O200" s="1"/>
      <c r="P200" s="1"/>
      <c r="Q200" s="78" t="s">
        <v>21404</v>
      </c>
    </row>
    <row r="201" spans="1:17" x14ac:dyDescent="0.35">
      <c r="A201" s="1"/>
      <c r="B201" s="1"/>
      <c r="C201" s="78" t="s">
        <v>21592</v>
      </c>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77" t="s">
        <v>21399</v>
      </c>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t="s">
        <v>21398</v>
      </c>
      <c r="D205" s="1" t="s">
        <v>75</v>
      </c>
      <c r="E205" s="1" t="s">
        <v>13768</v>
      </c>
      <c r="F205" s="2" t="s">
        <v>21397</v>
      </c>
      <c r="G205" s="1" t="s">
        <v>9</v>
      </c>
      <c r="H205" s="1"/>
      <c r="I205" s="1"/>
      <c r="J205" s="1"/>
      <c r="K205" s="1"/>
      <c r="L205" s="1"/>
      <c r="M205" s="1"/>
      <c r="N205" s="1"/>
      <c r="O205" s="1"/>
      <c r="P205" s="1"/>
      <c r="Q205" s="1"/>
    </row>
    <row r="206" spans="1:17" x14ac:dyDescent="0.35">
      <c r="B206" s="49" t="s">
        <v>14825</v>
      </c>
      <c r="C206" s="352" t="s">
        <v>14826</v>
      </c>
    </row>
    <row r="207" spans="1:17" x14ac:dyDescent="0.35">
      <c r="B207" s="49" t="s">
        <v>14827</v>
      </c>
      <c r="C207" s="53" t="s">
        <v>14828</v>
      </c>
    </row>
    <row r="208" spans="1:17" x14ac:dyDescent="0.35">
      <c r="B208" s="49" t="s">
        <v>14829</v>
      </c>
      <c r="C208" s="53" t="s">
        <v>14830</v>
      </c>
    </row>
    <row r="209" spans="2:5" x14ac:dyDescent="0.35">
      <c r="B209" s="49" t="s">
        <v>14831</v>
      </c>
      <c r="C209" s="53" t="s">
        <v>14832</v>
      </c>
    </row>
    <row r="210" spans="2:5" x14ac:dyDescent="0.35">
      <c r="B210" s="49" t="s">
        <v>14833</v>
      </c>
      <c r="C210" s="53" t="s">
        <v>14834</v>
      </c>
    </row>
    <row r="211" spans="2:5" x14ac:dyDescent="0.35">
      <c r="B211" s="49" t="s">
        <v>14835</v>
      </c>
      <c r="C211" s="53" t="s">
        <v>14836</v>
      </c>
    </row>
    <row r="212" spans="2:5" x14ac:dyDescent="0.35">
      <c r="B212" s="49" t="s">
        <v>14837</v>
      </c>
      <c r="C212" s="53" t="s">
        <v>14838</v>
      </c>
    </row>
    <row r="213" spans="2:5" x14ac:dyDescent="0.35">
      <c r="B213" s="49" t="s">
        <v>14839</v>
      </c>
      <c r="C213" s="53" t="s">
        <v>14840</v>
      </c>
    </row>
    <row r="214" spans="2:5" x14ac:dyDescent="0.35">
      <c r="B214" s="49" t="s">
        <v>14841</v>
      </c>
      <c r="C214" s="53" t="s">
        <v>14842</v>
      </c>
    </row>
    <row r="215" spans="2:5" x14ac:dyDescent="0.35">
      <c r="B215" s="49" t="s">
        <v>14843</v>
      </c>
      <c r="C215" s="53" t="s">
        <v>14844</v>
      </c>
    </row>
    <row r="216" spans="2:5" x14ac:dyDescent="0.35">
      <c r="C216" s="1" t="s">
        <v>1396</v>
      </c>
      <c r="D216" s="1" t="s">
        <v>1391</v>
      </c>
      <c r="E216" s="250">
        <v>11600.01</v>
      </c>
    </row>
    <row r="217" spans="2:5" x14ac:dyDescent="0.35">
      <c r="C217" s="1" t="s">
        <v>1395</v>
      </c>
      <c r="D217" s="1" t="s">
        <v>58</v>
      </c>
      <c r="E217" s="250">
        <v>11601.101000000001</v>
      </c>
    </row>
    <row r="218" spans="2:5" x14ac:dyDescent="0.35">
      <c r="C218" s="1" t="s">
        <v>1394</v>
      </c>
      <c r="D218" s="1" t="s">
        <v>58</v>
      </c>
      <c r="E218" s="250">
        <v>11601.106</v>
      </c>
    </row>
    <row r="219" spans="2:5" x14ac:dyDescent="0.35">
      <c r="C219" s="1" t="s">
        <v>1393</v>
      </c>
      <c r="D219" s="1" t="s">
        <v>58</v>
      </c>
      <c r="E219" s="250">
        <v>11601.368</v>
      </c>
    </row>
    <row r="220" spans="2:5" x14ac:dyDescent="0.35">
      <c r="C220" s="1" t="s">
        <v>1392</v>
      </c>
      <c r="D220" s="1" t="s">
        <v>1391</v>
      </c>
      <c r="E220" s="250">
        <v>11700.01</v>
      </c>
    </row>
    <row r="221" spans="2:5" x14ac:dyDescent="0.35">
      <c r="C221" s="1" t="s">
        <v>1390</v>
      </c>
      <c r="D221" s="1" t="s">
        <v>58</v>
      </c>
      <c r="E221" s="250">
        <v>11710.101000000001</v>
      </c>
    </row>
    <row r="222" spans="2:5" x14ac:dyDescent="0.35">
      <c r="C222" s="1" t="s">
        <v>1389</v>
      </c>
      <c r="D222" s="1" t="s">
        <v>58</v>
      </c>
      <c r="E222" s="250">
        <v>11710.111999999999</v>
      </c>
    </row>
    <row r="223" spans="2:5" x14ac:dyDescent="0.35">
      <c r="C223" s="1" t="s">
        <v>1388</v>
      </c>
      <c r="D223" s="1" t="s">
        <v>58</v>
      </c>
      <c r="E223" s="250">
        <v>11710.115</v>
      </c>
    </row>
    <row r="224" spans="2:5" x14ac:dyDescent="0.35">
      <c r="C224" s="1" t="s">
        <v>1387</v>
      </c>
      <c r="D224" s="1" t="s">
        <v>58</v>
      </c>
      <c r="E224" s="250">
        <v>11710.12</v>
      </c>
    </row>
    <row r="225" spans="3:5" x14ac:dyDescent="0.35">
      <c r="C225" s="1" t="s">
        <v>1386</v>
      </c>
      <c r="D225" s="1" t="s">
        <v>58</v>
      </c>
      <c r="E225" s="250">
        <v>11710.124</v>
      </c>
    </row>
    <row r="226" spans="3:5" x14ac:dyDescent="0.35">
      <c r="C226" s="1" t="s">
        <v>1385</v>
      </c>
      <c r="D226" s="1" t="s">
        <v>58</v>
      </c>
      <c r="E226" s="250">
        <v>11730.111000000001</v>
      </c>
    </row>
    <row r="227" spans="3:5" x14ac:dyDescent="0.35">
      <c r="C227" s="1" t="s">
        <v>1384</v>
      </c>
      <c r="D227" s="1" t="s">
        <v>58</v>
      </c>
      <c r="E227" s="250">
        <v>11780.200999999999</v>
      </c>
    </row>
    <row r="228" spans="3:5" x14ac:dyDescent="0.35">
      <c r="C228" s="1" t="s">
        <v>1383</v>
      </c>
      <c r="D228" s="1" t="s">
        <v>58</v>
      </c>
      <c r="E228" s="250">
        <v>11780.201999999999</v>
      </c>
    </row>
    <row r="229" spans="3:5" x14ac:dyDescent="0.35">
      <c r="C229" s="478" t="s">
        <v>1382</v>
      </c>
      <c r="D229" s="478" t="s">
        <v>58</v>
      </c>
      <c r="E229" s="479">
        <v>11780.245000000001</v>
      </c>
    </row>
  </sheetData>
  <mergeCells count="9">
    <mergeCell ref="J5:K5"/>
    <mergeCell ref="J6:K6"/>
    <mergeCell ref="J7:K7"/>
    <mergeCell ref="A3:B3"/>
    <mergeCell ref="D3:G3"/>
    <mergeCell ref="J3:K3"/>
    <mergeCell ref="P3:Q3"/>
    <mergeCell ref="A4:B4"/>
    <mergeCell ref="J4:K4"/>
  </mergeCells>
  <dataValidations count="1">
    <dataValidation type="list" allowBlank="1" showInputMessage="1" showErrorMessage="1" sqref="C16:C190" xr:uid="{56E552C8-79FC-4498-B991-9AFACD6E572E}">
      <formula1>$C$205:$C207</formula1>
    </dataValidation>
  </dataValidations>
  <hyperlinks>
    <hyperlink ref="D3" r:id="rId1" display="datamateapp@gmail.com" xr:uid="{0E6F5281-BC7C-4AEA-8AF6-DFC11E3012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58785" r:id="rId4" name="Button 1">
              <controlPr defaultSize="0" print="0" autoFill="0" autoPict="0" macro="SaveData">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758786" r:id="rId5" name="Button 2">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758787"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758788"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758789" r:id="rId8" name="Button 5">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758790" r:id="rId9" name="Button 6">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758791" r:id="rId10" name="Button 7">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758792" r:id="rId11" name="Button 8">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mc:AlternateContent xmlns:mc="http://schemas.openxmlformats.org/markup-compatibility/2006">
          <mc:Choice Requires="x14">
            <control shapeId="758793" r:id="rId12" name="Button 9">
              <controlPr defaultSize="0" print="0" autoFill="0" autoPict="0" macro="[0]!ExitSEC_117000">
                <anchor moveWithCells="1" sizeWithCells="1">
                  <from>
                    <xdr:col>16</xdr:col>
                    <xdr:colOff>0</xdr:colOff>
                    <xdr:row>0</xdr:row>
                    <xdr:rowOff>0</xdr:rowOff>
                  </from>
                  <to>
                    <xdr:col>16</xdr:col>
                    <xdr:colOff>1270000</xdr:colOff>
                    <xdr:row>2</xdr:row>
                    <xdr:rowOff>12700</xdr:rowOff>
                  </to>
                </anchor>
              </controlPr>
            </control>
          </mc:Choice>
        </mc:AlternateContent>
      </controls>
    </mc:Choice>
  </mc:AlternateContent>
</worksheet>
</file>

<file path=xl/worksheets/sheet1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8C0A6-70BE-4201-B386-1CC70A64690C}">
  <sheetPr codeName="Sheet143"/>
  <dimension ref="A1:Q216"/>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FACILITY MAINTENANCE AND OPERATION EQUIPMENT</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11 80 00</v>
      </c>
      <c r="C10" s="24" t="str">
        <f>C206</f>
        <v>FACILITY MAINTENANCE AND OPERATION EQUIPMENT</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FACILITY MAINTENANCE AND OPERATION EQUIPMENT</v>
      </c>
      <c r="D12" s="31"/>
      <c r="E12" s="32"/>
      <c r="F12" s="34"/>
      <c r="G12" s="33"/>
      <c r="H12" s="34"/>
      <c r="I12" s="33"/>
      <c r="J12" s="34"/>
      <c r="K12" s="34"/>
      <c r="L12" s="34"/>
      <c r="M12" s="33"/>
      <c r="N12" s="34"/>
      <c r="O12" s="35"/>
      <c r="P12" s="31"/>
      <c r="Q12" s="35"/>
    </row>
    <row r="13" spans="1:17" x14ac:dyDescent="0.35">
      <c r="A13" s="1"/>
      <c r="B13" s="1"/>
      <c r="C13" s="1"/>
      <c r="D13" s="1"/>
      <c r="E13" s="1"/>
      <c r="F13" s="1"/>
      <c r="G13" s="1"/>
      <c r="H13" s="1"/>
      <c r="I13" s="1"/>
      <c r="J13" s="1"/>
      <c r="K13" s="1"/>
      <c r="L13" s="1"/>
      <c r="M13" s="1"/>
      <c r="N13" s="1"/>
      <c r="O13" s="1"/>
      <c r="P13" s="1"/>
      <c r="Q13" s="1"/>
    </row>
    <row r="14" spans="1:17" x14ac:dyDescent="0.35">
      <c r="A14" s="1"/>
      <c r="B14" s="1"/>
      <c r="C14" s="1"/>
      <c r="D14" s="1"/>
      <c r="E14" s="1"/>
      <c r="F14" s="1"/>
      <c r="G14" s="1"/>
      <c r="H14" s="1"/>
      <c r="I14" s="1"/>
      <c r="J14" s="1"/>
      <c r="K14" s="1"/>
      <c r="L14" s="1"/>
      <c r="M14" s="1"/>
      <c r="N14" s="1"/>
      <c r="O14" s="1"/>
      <c r="P14" s="1"/>
      <c r="Q14" s="1"/>
    </row>
    <row r="15" spans="1:17" x14ac:dyDescent="0.35">
      <c r="A15" s="1"/>
      <c r="B15" s="1"/>
      <c r="C15" s="1"/>
      <c r="D15" s="1"/>
      <c r="E15" s="1"/>
      <c r="F15" s="1"/>
      <c r="G15" s="1"/>
      <c r="H15" s="1"/>
      <c r="I15" s="1"/>
      <c r="J15" s="1"/>
      <c r="K15" s="1"/>
      <c r="L15" s="1"/>
      <c r="M15" s="1"/>
      <c r="N15" s="1"/>
      <c r="O15" s="1"/>
      <c r="P15" s="1"/>
      <c r="Q15" s="1"/>
    </row>
    <row r="16" spans="1:17" x14ac:dyDescent="0.35">
      <c r="A16" s="1"/>
      <c r="B16" s="1"/>
      <c r="C16" s="1"/>
      <c r="D16" s="1"/>
      <c r="E16" s="1"/>
      <c r="F16" s="1"/>
      <c r="G16" s="1"/>
      <c r="H16" s="1"/>
      <c r="I16" s="1"/>
      <c r="J16" s="1"/>
      <c r="K16" s="1"/>
      <c r="L16" s="1"/>
      <c r="M16" s="1"/>
      <c r="N16" s="1"/>
      <c r="O16" s="1"/>
      <c r="P16" s="1"/>
      <c r="Q16" s="1"/>
    </row>
    <row r="17" spans="1:17" x14ac:dyDescent="0.35">
      <c r="A17" s="1"/>
      <c r="B17" s="1"/>
      <c r="C17" s="1"/>
      <c r="D17" s="1"/>
      <c r="E17" s="1"/>
      <c r="F17" s="1"/>
      <c r="G17" s="1"/>
      <c r="H17" s="1"/>
      <c r="I17" s="1"/>
      <c r="J17" s="1"/>
      <c r="K17" s="1"/>
      <c r="L17" s="1"/>
      <c r="M17" s="1"/>
      <c r="N17" s="1"/>
      <c r="O17" s="1"/>
      <c r="P17" s="1"/>
      <c r="Q17" s="1"/>
    </row>
    <row r="18" spans="1:17" x14ac:dyDescent="0.35">
      <c r="A18" s="1"/>
      <c r="B18" s="1"/>
      <c r="C18" s="1"/>
      <c r="D18" s="1"/>
      <c r="E18" s="1"/>
      <c r="F18" s="1"/>
      <c r="G18" s="1"/>
      <c r="H18" s="1"/>
      <c r="I18" s="1"/>
      <c r="J18" s="1"/>
      <c r="K18" s="1"/>
      <c r="L18" s="1"/>
      <c r="M18" s="1"/>
      <c r="N18" s="1"/>
      <c r="O18" s="1"/>
      <c r="P18" s="1"/>
      <c r="Q18" s="1"/>
    </row>
    <row r="19" spans="1:17" x14ac:dyDescent="0.35">
      <c r="A19" s="1"/>
      <c r="B19" s="1"/>
      <c r="C19" s="1"/>
      <c r="D19" s="1"/>
      <c r="E19" s="1"/>
      <c r="F19" s="1"/>
      <c r="G19" s="1"/>
      <c r="H19" s="1"/>
      <c r="I19" s="1"/>
      <c r="J19" s="1"/>
      <c r="K19" s="1"/>
      <c r="L19" s="1"/>
      <c r="M19" s="1"/>
      <c r="N19" s="1"/>
      <c r="O19" s="1"/>
      <c r="P19" s="1"/>
      <c r="Q19" s="1"/>
    </row>
    <row r="20" spans="1:17" x14ac:dyDescent="0.35">
      <c r="A20" s="1"/>
      <c r="B20" s="1"/>
      <c r="C20" s="1"/>
      <c r="D20" s="1"/>
      <c r="E20" s="1"/>
      <c r="F20" s="1"/>
      <c r="G20" s="1"/>
      <c r="H20" s="1"/>
      <c r="I20" s="1"/>
      <c r="J20" s="1"/>
      <c r="K20" s="1"/>
      <c r="L20" s="1"/>
      <c r="M20" s="1"/>
      <c r="N20" s="1"/>
      <c r="O20" s="1"/>
      <c r="P20" s="1"/>
      <c r="Q20" s="1"/>
    </row>
    <row r="21" spans="1:17" x14ac:dyDescent="0.35">
      <c r="A21" s="1"/>
      <c r="B21" s="1"/>
      <c r="C21" s="1"/>
      <c r="D21" s="1"/>
      <c r="E21" s="1"/>
      <c r="F21" s="1"/>
      <c r="G21" s="1"/>
      <c r="H21" s="1"/>
      <c r="I21" s="1"/>
      <c r="J21" s="1"/>
      <c r="K21" s="1"/>
      <c r="L21" s="1"/>
      <c r="M21" s="1"/>
      <c r="N21" s="1"/>
      <c r="O21" s="1"/>
      <c r="P21" s="1"/>
      <c r="Q21" s="1"/>
    </row>
    <row r="22" spans="1:17" x14ac:dyDescent="0.35">
      <c r="A22" s="1"/>
      <c r="B22" s="1"/>
      <c r="C22" s="1"/>
      <c r="D22" s="1"/>
      <c r="E22" s="1"/>
      <c r="F22" s="1"/>
      <c r="G22" s="1"/>
      <c r="H22" s="1"/>
      <c r="I22" s="1"/>
      <c r="J22" s="1"/>
      <c r="K22" s="1"/>
      <c r="L22" s="1"/>
      <c r="M22" s="1"/>
      <c r="N22" s="1"/>
      <c r="O22" s="1"/>
      <c r="P22" s="1"/>
      <c r="Q22" s="1"/>
    </row>
    <row r="23" spans="1:17" x14ac:dyDescent="0.35">
      <c r="A23" s="1"/>
      <c r="B23" s="1"/>
      <c r="C23" s="1"/>
      <c r="D23" s="1"/>
      <c r="E23" s="1"/>
      <c r="F23" s="1"/>
      <c r="G23" s="1"/>
      <c r="H23" s="1"/>
      <c r="I23" s="1"/>
      <c r="J23" s="1"/>
      <c r="K23" s="1"/>
      <c r="L23" s="1"/>
      <c r="M23" s="1"/>
      <c r="N23" s="1"/>
      <c r="O23" s="1"/>
      <c r="P23" s="1"/>
      <c r="Q23" s="1"/>
    </row>
    <row r="24" spans="1:17" x14ac:dyDescent="0.35">
      <c r="A24" s="1"/>
      <c r="B24" s="1"/>
      <c r="C24" s="1"/>
      <c r="D24" s="1"/>
      <c r="E24" s="1"/>
      <c r="F24" s="1"/>
      <c r="G24" s="1"/>
      <c r="H24" s="1"/>
      <c r="I24" s="1"/>
      <c r="J24" s="1"/>
      <c r="K24" s="1"/>
      <c r="L24" s="1"/>
      <c r="M24" s="1"/>
      <c r="N24" s="1"/>
      <c r="O24" s="1"/>
      <c r="P24" s="1"/>
      <c r="Q24" s="1"/>
    </row>
    <row r="25" spans="1:17" x14ac:dyDescent="0.35">
      <c r="A25" s="1"/>
      <c r="B25" s="1"/>
      <c r="C25" s="1"/>
      <c r="D25" s="1"/>
      <c r="E25" s="1"/>
      <c r="F25" s="1"/>
      <c r="G25" s="1"/>
      <c r="H25" s="1"/>
      <c r="I25" s="1"/>
      <c r="J25" s="1"/>
      <c r="K25" s="1"/>
      <c r="L25" s="1"/>
      <c r="M25" s="1"/>
      <c r="N25" s="1"/>
      <c r="O25" s="1"/>
      <c r="P25" s="1"/>
      <c r="Q25" s="1"/>
    </row>
    <row r="26" spans="1:17" x14ac:dyDescent="0.35">
      <c r="A26" s="1"/>
      <c r="B26" s="1"/>
      <c r="C26" s="1"/>
      <c r="D26" s="1"/>
      <c r="E26" s="1"/>
      <c r="F26" s="1"/>
      <c r="G26" s="1"/>
      <c r="H26" s="1"/>
      <c r="I26" s="1"/>
      <c r="J26" s="1"/>
      <c r="K26" s="1"/>
      <c r="L26" s="1"/>
      <c r="M26" s="1"/>
      <c r="N26" s="1"/>
      <c r="O26" s="1"/>
      <c r="P26" s="1"/>
      <c r="Q26" s="1"/>
    </row>
    <row r="27" spans="1:17" x14ac:dyDescent="0.35">
      <c r="A27" s="1"/>
      <c r="B27" s="1"/>
      <c r="C27" s="1"/>
      <c r="D27" s="1"/>
      <c r="E27" s="1"/>
      <c r="F27" s="1"/>
      <c r="G27" s="1"/>
      <c r="H27" s="1"/>
      <c r="I27" s="1"/>
      <c r="J27" s="1"/>
      <c r="K27" s="1"/>
      <c r="L27" s="1"/>
      <c r="M27" s="1"/>
      <c r="N27" s="1"/>
      <c r="O27" s="1"/>
      <c r="P27" s="1"/>
      <c r="Q27" s="1"/>
    </row>
    <row r="28" spans="1:17" x14ac:dyDescent="0.35">
      <c r="A28" s="1"/>
      <c r="B28" s="1"/>
      <c r="C28" s="1"/>
      <c r="D28" s="1"/>
      <c r="E28" s="1"/>
      <c r="F28" s="1"/>
      <c r="G28" s="1"/>
      <c r="H28" s="1"/>
      <c r="I28" s="1"/>
      <c r="J28" s="1"/>
      <c r="K28" s="1"/>
      <c r="L28" s="1"/>
      <c r="M28" s="1"/>
      <c r="N28" s="1"/>
      <c r="O28" s="1"/>
      <c r="P28" s="1"/>
      <c r="Q28" s="1"/>
    </row>
    <row r="29" spans="1:17" x14ac:dyDescent="0.35">
      <c r="A29" s="1"/>
      <c r="B29" s="1"/>
      <c r="C29" s="1"/>
      <c r="D29" s="1"/>
      <c r="E29" s="1"/>
      <c r="F29" s="1"/>
      <c r="G29" s="1"/>
      <c r="H29" s="1"/>
      <c r="I29" s="1"/>
      <c r="J29" s="1"/>
      <c r="K29" s="1"/>
      <c r="L29" s="1"/>
      <c r="M29" s="1"/>
      <c r="N29" s="1"/>
      <c r="O29" s="1"/>
      <c r="P29" s="1"/>
      <c r="Q29" s="1"/>
    </row>
    <row r="30" spans="1:17" x14ac:dyDescent="0.35">
      <c r="A30" s="1"/>
      <c r="B30" s="1"/>
      <c r="C30" s="1"/>
      <c r="D30" s="1"/>
      <c r="E30" s="1"/>
      <c r="F30" s="1"/>
      <c r="G30" s="1"/>
      <c r="H30" s="1"/>
      <c r="I30" s="1"/>
      <c r="J30" s="1"/>
      <c r="K30" s="1"/>
      <c r="L30" s="1"/>
      <c r="M30" s="1"/>
      <c r="N30" s="1"/>
      <c r="O30" s="1"/>
      <c r="P30" s="1"/>
      <c r="Q30" s="1"/>
    </row>
    <row r="31" spans="1:17" x14ac:dyDescent="0.35">
      <c r="A31" s="1"/>
      <c r="B31" s="1"/>
      <c r="C31" s="1"/>
      <c r="D31" s="1"/>
      <c r="E31" s="1"/>
      <c r="F31" s="1"/>
      <c r="G31" s="1"/>
      <c r="H31" s="1"/>
      <c r="I31" s="1"/>
      <c r="J31" s="1"/>
      <c r="K31" s="1"/>
      <c r="L31" s="1"/>
      <c r="M31" s="1"/>
      <c r="N31" s="1"/>
      <c r="O31" s="1"/>
      <c r="P31" s="1"/>
      <c r="Q31" s="1"/>
    </row>
    <row r="32" spans="1:17" x14ac:dyDescent="0.35">
      <c r="A32" s="1"/>
      <c r="B32" s="1"/>
      <c r="C32" s="1"/>
      <c r="D32" s="1"/>
      <c r="E32" s="1"/>
      <c r="F32" s="1"/>
      <c r="G32" s="1"/>
      <c r="H32" s="1"/>
      <c r="I32" s="1"/>
      <c r="J32" s="1"/>
      <c r="K32" s="1"/>
      <c r="L32" s="1"/>
      <c r="M32" s="1"/>
      <c r="N32" s="1"/>
      <c r="O32" s="1"/>
      <c r="P32" s="1"/>
      <c r="Q32" s="1"/>
    </row>
    <row r="33" spans="1:17" x14ac:dyDescent="0.35">
      <c r="A33" s="1"/>
      <c r="B33" s="1"/>
      <c r="C33" s="1"/>
      <c r="D33" s="1"/>
      <c r="E33" s="1"/>
      <c r="F33" s="1"/>
      <c r="G33" s="1"/>
      <c r="H33" s="1"/>
      <c r="I33" s="1"/>
      <c r="J33" s="1"/>
      <c r="K33" s="1"/>
      <c r="L33" s="1"/>
      <c r="M33" s="1"/>
      <c r="N33" s="1"/>
      <c r="O33" s="1"/>
      <c r="P33" s="1"/>
      <c r="Q33" s="1"/>
    </row>
    <row r="34" spans="1:17" x14ac:dyDescent="0.35">
      <c r="A34" s="1"/>
      <c r="B34" s="1"/>
      <c r="C34" s="1"/>
      <c r="D34" s="1"/>
      <c r="E34" s="1"/>
      <c r="F34" s="1"/>
      <c r="G34" s="1"/>
      <c r="H34" s="1"/>
      <c r="I34" s="1"/>
      <c r="J34" s="1"/>
      <c r="K34" s="1"/>
      <c r="L34" s="1"/>
      <c r="M34" s="1"/>
      <c r="N34" s="1"/>
      <c r="O34" s="1"/>
      <c r="P34" s="1"/>
      <c r="Q34" s="1"/>
    </row>
    <row r="35" spans="1:17" x14ac:dyDescent="0.35">
      <c r="A35" s="1"/>
      <c r="B35" s="1"/>
      <c r="C35" s="1"/>
      <c r="D35" s="1"/>
      <c r="E35" s="1"/>
      <c r="F35" s="1"/>
      <c r="G35" s="1"/>
      <c r="H35" s="1"/>
      <c r="I35" s="1"/>
      <c r="J35" s="1"/>
      <c r="K35" s="1"/>
      <c r="L35" s="1"/>
      <c r="M35" s="1"/>
      <c r="N35" s="1"/>
      <c r="O35" s="1"/>
      <c r="P35" s="1"/>
      <c r="Q35" s="1"/>
    </row>
    <row r="36" spans="1:17" x14ac:dyDescent="0.35">
      <c r="A36" s="1"/>
      <c r="B36" s="1"/>
      <c r="C36" s="1"/>
      <c r="D36" s="1"/>
      <c r="E36" s="1"/>
      <c r="F36" s="1"/>
      <c r="G36" s="1"/>
      <c r="H36" s="1"/>
      <c r="I36" s="1"/>
      <c r="J36" s="1"/>
      <c r="K36" s="1"/>
      <c r="L36" s="1"/>
      <c r="M36" s="1"/>
      <c r="N36" s="1"/>
      <c r="O36" s="1"/>
      <c r="P36" s="1"/>
      <c r="Q36" s="1"/>
    </row>
    <row r="37" spans="1:17" x14ac:dyDescent="0.35">
      <c r="A37" s="1"/>
      <c r="B37" s="1"/>
      <c r="C37" s="1"/>
      <c r="D37" s="1"/>
      <c r="E37" s="1"/>
      <c r="F37" s="1"/>
      <c r="G37" s="1"/>
      <c r="H37" s="1"/>
      <c r="I37" s="1"/>
      <c r="J37" s="1"/>
      <c r="K37" s="1"/>
      <c r="L37" s="1"/>
      <c r="M37" s="1"/>
      <c r="N37" s="1"/>
      <c r="O37" s="1"/>
      <c r="P37" s="1"/>
      <c r="Q37" s="1"/>
    </row>
    <row r="38" spans="1:17" x14ac:dyDescent="0.35">
      <c r="A38" s="1"/>
      <c r="B38" s="1"/>
      <c r="C38" s="1"/>
      <c r="D38" s="1"/>
      <c r="E38" s="1"/>
      <c r="F38" s="1"/>
      <c r="G38" s="1"/>
      <c r="H38" s="1"/>
      <c r="I38" s="1"/>
      <c r="J38" s="1"/>
      <c r="K38" s="1"/>
      <c r="L38" s="1"/>
      <c r="M38" s="1"/>
      <c r="N38" s="1"/>
      <c r="O38" s="1"/>
      <c r="P38" s="1"/>
      <c r="Q38" s="1"/>
    </row>
    <row r="39" spans="1:17" x14ac:dyDescent="0.35">
      <c r="A39" s="1"/>
      <c r="B39" s="1"/>
      <c r="C39" s="1"/>
      <c r="D39" s="1"/>
      <c r="E39" s="1"/>
      <c r="F39" s="1"/>
      <c r="G39" s="1"/>
      <c r="H39" s="1"/>
      <c r="I39" s="1"/>
      <c r="J39" s="1"/>
      <c r="K39" s="1"/>
      <c r="L39" s="1"/>
      <c r="M39" s="1"/>
      <c r="N39" s="1"/>
      <c r="O39" s="1"/>
      <c r="P39" s="1"/>
      <c r="Q39" s="1"/>
    </row>
    <row r="40" spans="1:17" x14ac:dyDescent="0.35">
      <c r="A40" s="1"/>
      <c r="B40" s="1"/>
      <c r="C40" s="1"/>
      <c r="D40" s="1"/>
      <c r="E40" s="1"/>
      <c r="F40" s="1"/>
      <c r="G40" s="1"/>
      <c r="H40" s="1"/>
      <c r="I40" s="1"/>
      <c r="J40" s="1"/>
      <c r="K40" s="1"/>
      <c r="L40" s="1"/>
      <c r="M40" s="1"/>
      <c r="N40" s="1"/>
      <c r="O40" s="1"/>
      <c r="P40" s="1"/>
      <c r="Q40" s="1"/>
    </row>
    <row r="41" spans="1:17" x14ac:dyDescent="0.35">
      <c r="A41" s="1"/>
      <c r="B41" s="1"/>
      <c r="C41" s="1"/>
      <c r="D41" s="1"/>
      <c r="E41" s="1"/>
      <c r="F41" s="1"/>
      <c r="G41" s="1"/>
      <c r="H41" s="1"/>
      <c r="I41" s="1"/>
      <c r="J41" s="1"/>
      <c r="K41" s="1"/>
      <c r="L41" s="1"/>
      <c r="M41" s="1"/>
      <c r="N41" s="1"/>
      <c r="O41" s="1"/>
      <c r="P41" s="1"/>
      <c r="Q41" s="1"/>
    </row>
    <row r="42" spans="1:17" x14ac:dyDescent="0.35">
      <c r="A42" s="1"/>
      <c r="B42" s="1"/>
      <c r="C42" s="1"/>
      <c r="D42" s="1"/>
      <c r="E42" s="1"/>
      <c r="F42" s="1"/>
      <c r="G42" s="1"/>
      <c r="H42" s="1"/>
      <c r="I42" s="1"/>
      <c r="J42" s="1"/>
      <c r="K42" s="1"/>
      <c r="L42" s="1"/>
      <c r="M42" s="1"/>
      <c r="N42" s="1"/>
      <c r="O42" s="1"/>
      <c r="P42" s="1"/>
      <c r="Q42" s="1"/>
    </row>
    <row r="43" spans="1:17" x14ac:dyDescent="0.35">
      <c r="A43" s="1"/>
      <c r="B43" s="1"/>
      <c r="C43" s="1"/>
      <c r="D43" s="1"/>
      <c r="E43" s="1"/>
      <c r="F43" s="1"/>
      <c r="G43" s="1"/>
      <c r="H43" s="1"/>
      <c r="I43" s="1"/>
      <c r="J43" s="1"/>
      <c r="K43" s="1"/>
      <c r="L43" s="1"/>
      <c r="M43" s="1"/>
      <c r="N43" s="1"/>
      <c r="O43" s="1"/>
      <c r="P43" s="1"/>
      <c r="Q43" s="1"/>
    </row>
    <row r="44" spans="1:17" x14ac:dyDescent="0.35">
      <c r="A44" s="1"/>
      <c r="B44" s="1"/>
      <c r="C44" s="1"/>
      <c r="D44" s="1"/>
      <c r="E44" s="1"/>
      <c r="F44" s="1"/>
      <c r="G44" s="1"/>
      <c r="H44" s="1"/>
      <c r="I44" s="1"/>
      <c r="J44" s="1"/>
      <c r="K44" s="1"/>
      <c r="L44" s="1"/>
      <c r="M44" s="1"/>
      <c r="N44" s="1"/>
      <c r="O44" s="1"/>
      <c r="P44" s="1"/>
      <c r="Q44" s="1"/>
    </row>
    <row r="45" spans="1:17" x14ac:dyDescent="0.35">
      <c r="A45" s="1"/>
      <c r="B45" s="1"/>
      <c r="C45" s="1"/>
      <c r="D45" s="1"/>
      <c r="E45" s="1"/>
      <c r="F45" s="1"/>
      <c r="G45" s="1"/>
      <c r="H45" s="1"/>
      <c r="I45" s="1"/>
      <c r="J45" s="1"/>
      <c r="K45" s="1"/>
      <c r="L45" s="1"/>
      <c r="M45" s="1"/>
      <c r="N45" s="1"/>
      <c r="O45" s="1"/>
      <c r="P45" s="1"/>
      <c r="Q45" s="1"/>
    </row>
    <row r="46" spans="1:17" x14ac:dyDescent="0.35">
      <c r="A46" s="1"/>
      <c r="B46" s="1"/>
      <c r="C46" s="1"/>
      <c r="D46" s="1"/>
      <c r="E46" s="1"/>
      <c r="F46" s="1"/>
      <c r="G46" s="1"/>
      <c r="H46" s="1"/>
      <c r="I46" s="1"/>
      <c r="J46" s="1"/>
      <c r="K46" s="1"/>
      <c r="L46" s="1"/>
      <c r="M46" s="1"/>
      <c r="N46" s="1"/>
      <c r="O46" s="1"/>
      <c r="P46" s="1"/>
      <c r="Q46" s="1"/>
    </row>
    <row r="47" spans="1:17" x14ac:dyDescent="0.35">
      <c r="A47" s="1"/>
      <c r="B47" s="1"/>
      <c r="C47" s="1"/>
      <c r="D47" s="1"/>
      <c r="E47" s="1"/>
      <c r="F47" s="1"/>
      <c r="G47" s="1"/>
      <c r="H47" s="1"/>
      <c r="I47" s="1"/>
      <c r="J47" s="1"/>
      <c r="K47" s="1"/>
      <c r="L47" s="1"/>
      <c r="M47" s="1"/>
      <c r="N47" s="1"/>
      <c r="O47" s="1"/>
      <c r="P47" s="1"/>
      <c r="Q47" s="1"/>
    </row>
    <row r="48" spans="1:17" x14ac:dyDescent="0.35">
      <c r="A48" s="1"/>
      <c r="B48" s="1"/>
      <c r="C48" s="1"/>
      <c r="D48" s="1"/>
      <c r="E48" s="1"/>
      <c r="F48" s="1"/>
      <c r="G48" s="1"/>
      <c r="H48" s="1"/>
      <c r="I48" s="1"/>
      <c r="J48" s="1"/>
      <c r="K48" s="1"/>
      <c r="L48" s="1"/>
      <c r="M48" s="1"/>
      <c r="N48" s="1"/>
      <c r="O48" s="1"/>
      <c r="P48" s="1"/>
      <c r="Q48" s="1"/>
    </row>
    <row r="49" spans="1:17" x14ac:dyDescent="0.35">
      <c r="A49" s="1"/>
      <c r="B49" s="1"/>
      <c r="C49" s="1"/>
      <c r="D49" s="1"/>
      <c r="E49" s="1"/>
      <c r="F49" s="1"/>
      <c r="G49" s="1"/>
      <c r="H49" s="1"/>
      <c r="I49" s="1"/>
      <c r="J49" s="1"/>
      <c r="K49" s="1"/>
      <c r="L49" s="1"/>
      <c r="M49" s="1"/>
      <c r="N49" s="1"/>
      <c r="O49" s="1"/>
      <c r="P49" s="1"/>
      <c r="Q49" s="1"/>
    </row>
    <row r="50" spans="1:17" x14ac:dyDescent="0.35">
      <c r="A50" s="1"/>
      <c r="B50" s="1"/>
      <c r="C50" s="1"/>
      <c r="D50" s="1"/>
      <c r="E50" s="1"/>
      <c r="F50" s="1"/>
      <c r="G50" s="1"/>
      <c r="H50" s="1"/>
      <c r="I50" s="1"/>
      <c r="J50" s="1"/>
      <c r="K50" s="1"/>
      <c r="L50" s="1"/>
      <c r="M50" s="1"/>
      <c r="N50" s="1"/>
      <c r="O50" s="1"/>
      <c r="P50" s="1"/>
      <c r="Q50" s="1"/>
    </row>
    <row r="51" spans="1:17" x14ac:dyDescent="0.35">
      <c r="A51" s="1"/>
      <c r="B51" s="1"/>
      <c r="C51" s="1"/>
      <c r="D51" s="1"/>
      <c r="E51" s="1"/>
      <c r="F51" s="1"/>
      <c r="G51" s="1"/>
      <c r="H51" s="1"/>
      <c r="I51" s="1"/>
      <c r="J51" s="1"/>
      <c r="K51" s="1"/>
      <c r="L51" s="1"/>
      <c r="M51" s="1"/>
      <c r="N51" s="1"/>
      <c r="O51" s="1"/>
      <c r="P51" s="1"/>
      <c r="Q51" s="1"/>
    </row>
    <row r="52" spans="1:17" x14ac:dyDescent="0.35">
      <c r="A52" s="1"/>
      <c r="B52" s="1"/>
      <c r="C52" s="1"/>
      <c r="D52" s="1"/>
      <c r="E52" s="1"/>
      <c r="F52" s="1"/>
      <c r="G52" s="1"/>
      <c r="H52" s="1"/>
      <c r="I52" s="1"/>
      <c r="J52" s="1"/>
      <c r="K52" s="1"/>
      <c r="L52" s="1"/>
      <c r="M52" s="1"/>
      <c r="N52" s="1"/>
      <c r="O52" s="1"/>
      <c r="P52" s="1"/>
      <c r="Q52" s="1"/>
    </row>
    <row r="53" spans="1:17" x14ac:dyDescent="0.35">
      <c r="A53" s="1"/>
      <c r="B53" s="1"/>
      <c r="C53" s="1"/>
      <c r="D53" s="1"/>
      <c r="E53" s="1"/>
      <c r="F53" s="1"/>
      <c r="G53" s="1"/>
      <c r="H53" s="1"/>
      <c r="I53" s="1"/>
      <c r="J53" s="1"/>
      <c r="K53" s="1"/>
      <c r="L53" s="1"/>
      <c r="M53" s="1"/>
      <c r="N53" s="1"/>
      <c r="O53" s="1"/>
      <c r="P53" s="1"/>
      <c r="Q53" s="1"/>
    </row>
    <row r="54" spans="1:17" x14ac:dyDescent="0.35">
      <c r="A54" s="1"/>
      <c r="B54" s="1"/>
      <c r="C54" s="1"/>
      <c r="D54" s="1"/>
      <c r="E54" s="1"/>
      <c r="F54" s="1"/>
      <c r="G54" s="1"/>
      <c r="H54" s="1"/>
      <c r="I54" s="1"/>
      <c r="J54" s="1"/>
      <c r="K54" s="1"/>
      <c r="L54" s="1"/>
      <c r="M54" s="1"/>
      <c r="N54" s="1"/>
      <c r="O54" s="1"/>
      <c r="P54" s="1"/>
      <c r="Q54" s="1"/>
    </row>
    <row r="55" spans="1:17" x14ac:dyDescent="0.35">
      <c r="A55" s="1"/>
      <c r="B55" s="1"/>
      <c r="C55" s="1"/>
      <c r="D55" s="1"/>
      <c r="E55" s="1"/>
      <c r="F55" s="1"/>
      <c r="G55" s="1"/>
      <c r="H55" s="1"/>
      <c r="I55" s="1"/>
      <c r="J55" s="1"/>
      <c r="K55" s="1"/>
      <c r="L55" s="1"/>
      <c r="M55" s="1"/>
      <c r="N55" s="1"/>
      <c r="O55" s="1"/>
      <c r="P55" s="1"/>
      <c r="Q55" s="1"/>
    </row>
    <row r="56" spans="1:17" x14ac:dyDescent="0.35">
      <c r="A56" s="1"/>
      <c r="B56" s="1"/>
      <c r="C56" s="1"/>
      <c r="D56" s="1"/>
      <c r="E56" s="1"/>
      <c r="F56" s="1"/>
      <c r="G56" s="1"/>
      <c r="H56" s="1"/>
      <c r="I56" s="1"/>
      <c r="J56" s="1"/>
      <c r="K56" s="1"/>
      <c r="L56" s="1"/>
      <c r="M56" s="1"/>
      <c r="N56" s="1"/>
      <c r="O56" s="1"/>
      <c r="P56" s="1"/>
      <c r="Q56" s="1"/>
    </row>
    <row r="57" spans="1:17" x14ac:dyDescent="0.35">
      <c r="A57" s="1"/>
      <c r="B57" s="1"/>
      <c r="C57" s="1"/>
      <c r="D57" s="1"/>
      <c r="E57" s="1"/>
      <c r="F57" s="1"/>
      <c r="G57" s="1"/>
      <c r="H57" s="1"/>
      <c r="I57" s="1"/>
      <c r="J57" s="1"/>
      <c r="K57" s="1"/>
      <c r="L57" s="1"/>
      <c r="M57" s="1"/>
      <c r="N57" s="1"/>
      <c r="O57" s="1"/>
      <c r="P57" s="1"/>
      <c r="Q57" s="1"/>
    </row>
    <row r="58" spans="1:17" x14ac:dyDescent="0.35">
      <c r="A58" s="1"/>
      <c r="B58" s="1"/>
      <c r="C58" s="1"/>
      <c r="D58" s="1"/>
      <c r="E58" s="1"/>
      <c r="F58" s="1"/>
      <c r="G58" s="1"/>
      <c r="H58" s="1"/>
      <c r="I58" s="1"/>
      <c r="J58" s="1"/>
      <c r="K58" s="1"/>
      <c r="L58" s="1"/>
      <c r="M58" s="1"/>
      <c r="N58" s="1"/>
      <c r="O58" s="1"/>
      <c r="P58" s="1"/>
      <c r="Q58" s="1"/>
    </row>
    <row r="59" spans="1:17" x14ac:dyDescent="0.35">
      <c r="A59" s="1"/>
      <c r="B59" s="1"/>
      <c r="C59" s="1"/>
      <c r="D59" s="1"/>
      <c r="E59" s="1"/>
      <c r="F59" s="1"/>
      <c r="G59" s="1"/>
      <c r="H59" s="1"/>
      <c r="I59" s="1"/>
      <c r="J59" s="1"/>
      <c r="K59" s="1"/>
      <c r="L59" s="1"/>
      <c r="M59" s="1"/>
      <c r="N59" s="1"/>
      <c r="O59" s="1"/>
      <c r="P59" s="1"/>
      <c r="Q59" s="1"/>
    </row>
    <row r="60" spans="1:17" x14ac:dyDescent="0.35">
      <c r="A60" s="1"/>
      <c r="B60" s="1"/>
      <c r="C60" s="1"/>
      <c r="D60" s="1"/>
      <c r="E60" s="1"/>
      <c r="F60" s="1"/>
      <c r="G60" s="1"/>
      <c r="H60" s="1"/>
      <c r="I60" s="1"/>
      <c r="J60" s="1"/>
      <c r="K60" s="1"/>
      <c r="L60" s="1"/>
      <c r="M60" s="1"/>
      <c r="N60" s="1"/>
      <c r="O60" s="1"/>
      <c r="P60" s="1"/>
      <c r="Q60" s="1"/>
    </row>
    <row r="61" spans="1:17" x14ac:dyDescent="0.35">
      <c r="A61" s="1"/>
      <c r="B61" s="1"/>
      <c r="C61" s="1"/>
      <c r="D61" s="1"/>
      <c r="E61" s="1"/>
      <c r="F61" s="1"/>
      <c r="G61" s="1"/>
      <c r="H61" s="1"/>
      <c r="I61" s="1"/>
      <c r="J61" s="1"/>
      <c r="K61" s="1"/>
      <c r="L61" s="1"/>
      <c r="M61" s="1"/>
      <c r="N61" s="1"/>
      <c r="O61" s="1"/>
      <c r="P61" s="1"/>
      <c r="Q61" s="1"/>
    </row>
    <row r="62" spans="1:17" x14ac:dyDescent="0.35">
      <c r="A62" s="1"/>
      <c r="B62" s="1"/>
      <c r="C62" s="1"/>
      <c r="D62" s="1"/>
      <c r="E62" s="1"/>
      <c r="F62" s="1"/>
      <c r="G62" s="1"/>
      <c r="H62" s="1"/>
      <c r="I62" s="1"/>
      <c r="J62" s="1"/>
      <c r="K62" s="1"/>
      <c r="L62" s="1"/>
      <c r="M62" s="1"/>
      <c r="N62" s="1"/>
      <c r="O62" s="1"/>
      <c r="P62" s="1"/>
      <c r="Q62" s="1"/>
    </row>
    <row r="63" spans="1:17" x14ac:dyDescent="0.35">
      <c r="A63" s="1"/>
      <c r="B63" s="1"/>
      <c r="C63" s="1"/>
      <c r="D63" s="1"/>
      <c r="E63" s="1"/>
      <c r="F63" s="1"/>
      <c r="G63" s="1"/>
      <c r="H63" s="1"/>
      <c r="I63" s="1"/>
      <c r="J63" s="1"/>
      <c r="K63" s="1"/>
      <c r="L63" s="1"/>
      <c r="M63" s="1"/>
      <c r="N63" s="1"/>
      <c r="O63" s="1"/>
      <c r="P63" s="1"/>
      <c r="Q63" s="1"/>
    </row>
    <row r="64" spans="1:17" x14ac:dyDescent="0.35">
      <c r="A64" s="1"/>
      <c r="B64" s="1"/>
      <c r="C64" s="1"/>
      <c r="D64" s="1"/>
      <c r="E64" s="1"/>
      <c r="F64" s="1"/>
      <c r="G64" s="1"/>
      <c r="H64" s="1"/>
      <c r="I64" s="1"/>
      <c r="J64" s="1"/>
      <c r="K64" s="1"/>
      <c r="L64" s="1"/>
      <c r="M64" s="1"/>
      <c r="N64" s="1"/>
      <c r="O64" s="1"/>
      <c r="P64" s="1"/>
      <c r="Q64" s="1"/>
    </row>
    <row r="65" spans="1:17" x14ac:dyDescent="0.35">
      <c r="A65" s="1"/>
      <c r="B65" s="1"/>
      <c r="C65" s="1"/>
      <c r="D65" s="1"/>
      <c r="E65" s="1"/>
      <c r="F65" s="1"/>
      <c r="G65" s="1"/>
      <c r="H65" s="1"/>
      <c r="I65" s="1"/>
      <c r="J65" s="1"/>
      <c r="K65" s="1"/>
      <c r="L65" s="1"/>
      <c r="M65" s="1"/>
      <c r="N65" s="1"/>
      <c r="O65" s="1"/>
      <c r="P65" s="1"/>
      <c r="Q65" s="1"/>
    </row>
    <row r="66" spans="1:17" x14ac:dyDescent="0.35">
      <c r="A66" s="1"/>
      <c r="B66" s="1"/>
      <c r="C66" s="1"/>
      <c r="D66" s="1"/>
      <c r="E66" s="1"/>
      <c r="F66" s="1"/>
      <c r="G66" s="1"/>
      <c r="H66" s="1"/>
      <c r="I66" s="1"/>
      <c r="J66" s="1"/>
      <c r="K66" s="1"/>
      <c r="L66" s="1"/>
      <c r="M66" s="1"/>
      <c r="N66" s="1"/>
      <c r="O66" s="1"/>
      <c r="P66" s="1"/>
      <c r="Q66" s="1"/>
    </row>
    <row r="67" spans="1:17" x14ac:dyDescent="0.35">
      <c r="A67" s="1"/>
      <c r="B67" s="1"/>
      <c r="C67" s="1"/>
      <c r="D67" s="1"/>
      <c r="E67" s="1"/>
      <c r="F67" s="1"/>
      <c r="G67" s="1"/>
      <c r="H67" s="1"/>
      <c r="I67" s="1"/>
      <c r="J67" s="1"/>
      <c r="K67" s="1"/>
      <c r="L67" s="1"/>
      <c r="M67" s="1"/>
      <c r="N67" s="1"/>
      <c r="O67" s="1"/>
      <c r="P67" s="1"/>
      <c r="Q67" s="1"/>
    </row>
    <row r="68" spans="1:17" x14ac:dyDescent="0.35">
      <c r="A68" s="1"/>
      <c r="B68" s="1"/>
      <c r="C68" s="1"/>
      <c r="D68" s="1"/>
      <c r="E68" s="1"/>
      <c r="F68" s="1"/>
      <c r="G68" s="1"/>
      <c r="H68" s="1"/>
      <c r="I68" s="1"/>
      <c r="J68" s="1"/>
      <c r="K68" s="1"/>
      <c r="L68" s="1"/>
      <c r="M68" s="1"/>
      <c r="N68" s="1"/>
      <c r="O68" s="1"/>
      <c r="P68" s="1"/>
      <c r="Q68" s="1"/>
    </row>
    <row r="69" spans="1:17" x14ac:dyDescent="0.35">
      <c r="A69" s="1"/>
      <c r="B69" s="1"/>
      <c r="C69" s="1"/>
      <c r="D69" s="1"/>
      <c r="E69" s="1"/>
      <c r="F69" s="1"/>
      <c r="G69" s="1"/>
      <c r="H69" s="1"/>
      <c r="I69" s="1"/>
      <c r="J69" s="1"/>
      <c r="K69" s="1"/>
      <c r="L69" s="1"/>
      <c r="M69" s="1"/>
      <c r="N69" s="1"/>
      <c r="O69" s="1"/>
      <c r="P69" s="1"/>
      <c r="Q69" s="1"/>
    </row>
    <row r="70" spans="1:17" x14ac:dyDescent="0.35">
      <c r="A70" s="1"/>
      <c r="B70" s="1"/>
      <c r="C70" s="1"/>
      <c r="D70" s="1"/>
      <c r="E70" s="1"/>
      <c r="F70" s="1"/>
      <c r="G70" s="1"/>
      <c r="H70" s="1"/>
      <c r="I70" s="1"/>
      <c r="J70" s="1"/>
      <c r="K70" s="1"/>
      <c r="L70" s="1"/>
      <c r="M70" s="1"/>
      <c r="N70" s="1"/>
      <c r="O70" s="1"/>
      <c r="P70" s="1"/>
      <c r="Q70" s="1"/>
    </row>
    <row r="71" spans="1:17" x14ac:dyDescent="0.35">
      <c r="A71" s="1"/>
      <c r="B71" s="1"/>
      <c r="C71" s="1"/>
      <c r="D71" s="1"/>
      <c r="E71" s="1"/>
      <c r="F71" s="1"/>
      <c r="G71" s="1"/>
      <c r="H71" s="1"/>
      <c r="I71" s="1"/>
      <c r="J71" s="1"/>
      <c r="K71" s="1"/>
      <c r="L71" s="1"/>
      <c r="M71" s="1"/>
      <c r="N71" s="1"/>
      <c r="O71" s="1"/>
      <c r="P71" s="1"/>
      <c r="Q71" s="1"/>
    </row>
    <row r="72" spans="1:17" x14ac:dyDescent="0.35">
      <c r="A72" s="1"/>
      <c r="B72" s="1"/>
      <c r="C72" s="1"/>
      <c r="D72" s="1"/>
      <c r="E72" s="1"/>
      <c r="F72" s="1"/>
      <c r="G72" s="1"/>
      <c r="H72" s="1"/>
      <c r="I72" s="1"/>
      <c r="J72" s="1"/>
      <c r="K72" s="1"/>
      <c r="L72" s="1"/>
      <c r="M72" s="1"/>
      <c r="N72" s="1"/>
      <c r="O72" s="1"/>
      <c r="P72" s="1"/>
      <c r="Q72" s="1"/>
    </row>
    <row r="73" spans="1:17" x14ac:dyDescent="0.35">
      <c r="A73" s="1"/>
      <c r="B73" s="1"/>
      <c r="C73" s="1"/>
      <c r="D73" s="1"/>
      <c r="E73" s="1"/>
      <c r="F73" s="1"/>
      <c r="G73" s="1"/>
      <c r="H73" s="1"/>
      <c r="I73" s="1"/>
      <c r="J73" s="1"/>
      <c r="K73" s="1"/>
      <c r="L73" s="1"/>
      <c r="M73" s="1"/>
      <c r="N73" s="1"/>
      <c r="O73" s="1"/>
      <c r="P73" s="1"/>
      <c r="Q73" s="1"/>
    </row>
    <row r="74" spans="1:17" x14ac:dyDescent="0.35">
      <c r="A74" s="1"/>
      <c r="B74" s="1"/>
      <c r="C74" s="1"/>
      <c r="D74" s="1"/>
      <c r="E74" s="1"/>
      <c r="F74" s="1"/>
      <c r="G74" s="1"/>
      <c r="H74" s="1"/>
      <c r="I74" s="1"/>
      <c r="J74" s="1"/>
      <c r="K74" s="1"/>
      <c r="L74" s="1"/>
      <c r="M74" s="1"/>
      <c r="N74" s="1"/>
      <c r="O74" s="1"/>
      <c r="P74" s="1"/>
      <c r="Q74" s="1"/>
    </row>
    <row r="75" spans="1:17" x14ac:dyDescent="0.35">
      <c r="A75" s="1"/>
      <c r="B75" s="1"/>
      <c r="C75" s="1"/>
      <c r="D75" s="1"/>
      <c r="E75" s="1"/>
      <c r="F75" s="1"/>
      <c r="G75" s="1"/>
      <c r="H75" s="1"/>
      <c r="I75" s="1"/>
      <c r="J75" s="1"/>
      <c r="K75" s="1"/>
      <c r="L75" s="1"/>
      <c r="M75" s="1"/>
      <c r="N75" s="1"/>
      <c r="O75" s="1"/>
      <c r="P75" s="1"/>
      <c r="Q75" s="1"/>
    </row>
    <row r="76" spans="1:17" x14ac:dyDescent="0.35">
      <c r="A76" s="1"/>
      <c r="B76" s="1"/>
      <c r="C76" s="1"/>
      <c r="D76" s="1"/>
      <c r="E76" s="1"/>
      <c r="F76" s="1"/>
      <c r="G76" s="1"/>
      <c r="H76" s="1"/>
      <c r="I76" s="1"/>
      <c r="J76" s="1"/>
      <c r="K76" s="1"/>
      <c r="L76" s="1"/>
      <c r="M76" s="1"/>
      <c r="N76" s="1"/>
      <c r="O76" s="1"/>
      <c r="P76" s="1"/>
      <c r="Q76" s="1"/>
    </row>
    <row r="77" spans="1:17" x14ac:dyDescent="0.35">
      <c r="A77" s="1"/>
      <c r="B77" s="1"/>
      <c r="C77" s="1"/>
      <c r="D77" s="1"/>
      <c r="E77" s="1"/>
      <c r="F77" s="1"/>
      <c r="G77" s="1"/>
      <c r="H77" s="1"/>
      <c r="I77" s="1"/>
      <c r="J77" s="1"/>
      <c r="K77" s="1"/>
      <c r="L77" s="1"/>
      <c r="M77" s="1"/>
      <c r="N77" s="1"/>
      <c r="O77" s="1"/>
      <c r="P77" s="1"/>
      <c r="Q77" s="1"/>
    </row>
    <row r="78" spans="1:17" x14ac:dyDescent="0.35">
      <c r="A78" s="1"/>
      <c r="B78" s="1"/>
      <c r="C78" s="1"/>
      <c r="D78" s="1"/>
      <c r="E78" s="1"/>
      <c r="F78" s="1"/>
      <c r="G78" s="1"/>
      <c r="H78" s="1"/>
      <c r="I78" s="1"/>
      <c r="J78" s="1"/>
      <c r="K78" s="1"/>
      <c r="L78" s="1"/>
      <c r="M78" s="1"/>
      <c r="N78" s="1"/>
      <c r="O78" s="1"/>
      <c r="P78" s="1"/>
      <c r="Q78" s="1"/>
    </row>
    <row r="79" spans="1:17" x14ac:dyDescent="0.35">
      <c r="A79" s="1"/>
      <c r="B79" s="1"/>
      <c r="C79" s="1"/>
      <c r="D79" s="1"/>
      <c r="E79" s="1"/>
      <c r="F79" s="1"/>
      <c r="G79" s="1"/>
      <c r="H79" s="1"/>
      <c r="I79" s="1"/>
      <c r="J79" s="1"/>
      <c r="K79" s="1"/>
      <c r="L79" s="1"/>
      <c r="M79" s="1"/>
      <c r="N79" s="1"/>
      <c r="O79" s="1"/>
      <c r="P79" s="1"/>
      <c r="Q79" s="1"/>
    </row>
    <row r="80" spans="1:17" x14ac:dyDescent="0.35">
      <c r="A80" s="1"/>
      <c r="B80" s="1"/>
      <c r="C80" s="1"/>
      <c r="D80" s="1"/>
      <c r="E80" s="1"/>
      <c r="F80" s="1"/>
      <c r="G80" s="1"/>
      <c r="H80" s="1"/>
      <c r="I80" s="1"/>
      <c r="J80" s="1"/>
      <c r="K80" s="1"/>
      <c r="L80" s="1"/>
      <c r="M80" s="1"/>
      <c r="N80" s="1"/>
      <c r="O80" s="1"/>
      <c r="P80" s="1"/>
      <c r="Q80" s="1"/>
    </row>
    <row r="81" spans="1:17" x14ac:dyDescent="0.35">
      <c r="A81" s="1"/>
      <c r="B81" s="1"/>
      <c r="C81" s="1"/>
      <c r="D81" s="1"/>
      <c r="E81" s="1"/>
      <c r="F81" s="1"/>
      <c r="G81" s="1"/>
      <c r="H81" s="1"/>
      <c r="I81" s="1"/>
      <c r="J81" s="1"/>
      <c r="K81" s="1"/>
      <c r="L81" s="1"/>
      <c r="M81" s="1"/>
      <c r="N81" s="1"/>
      <c r="O81" s="1"/>
      <c r="P81" s="1"/>
      <c r="Q81" s="1"/>
    </row>
    <row r="82" spans="1:17" x14ac:dyDescent="0.35">
      <c r="A82" s="1"/>
      <c r="B82" s="1"/>
      <c r="C82" s="1"/>
      <c r="D82" s="1"/>
      <c r="E82" s="1"/>
      <c r="F82" s="1"/>
      <c r="G82" s="1"/>
      <c r="H82" s="1"/>
      <c r="I82" s="1"/>
      <c r="J82" s="1"/>
      <c r="K82" s="1"/>
      <c r="L82" s="1"/>
      <c r="M82" s="1"/>
      <c r="N82" s="1"/>
      <c r="O82" s="1"/>
      <c r="P82" s="1"/>
      <c r="Q82" s="1"/>
    </row>
    <row r="83" spans="1:17" x14ac:dyDescent="0.35">
      <c r="A83" s="1"/>
      <c r="B83" s="1"/>
      <c r="C83" s="1"/>
      <c r="D83" s="1"/>
      <c r="E83" s="1"/>
      <c r="F83" s="1"/>
      <c r="G83" s="1"/>
      <c r="H83" s="1"/>
      <c r="I83" s="1"/>
      <c r="J83" s="1"/>
      <c r="K83" s="1"/>
      <c r="L83" s="1"/>
      <c r="M83" s="1"/>
      <c r="N83" s="1"/>
      <c r="O83" s="1"/>
      <c r="P83" s="1"/>
      <c r="Q83" s="1"/>
    </row>
    <row r="84" spans="1:17" x14ac:dyDescent="0.35">
      <c r="A84" s="1"/>
      <c r="B84" s="1"/>
      <c r="C84" s="1"/>
      <c r="D84" s="1"/>
      <c r="E84" s="1"/>
      <c r="F84" s="1"/>
      <c r="G84" s="1"/>
      <c r="H84" s="1"/>
      <c r="I84" s="1"/>
      <c r="J84" s="1"/>
      <c r="K84" s="1"/>
      <c r="L84" s="1"/>
      <c r="M84" s="1"/>
      <c r="N84" s="1"/>
      <c r="O84" s="1"/>
      <c r="P84" s="1"/>
      <c r="Q84" s="1"/>
    </row>
    <row r="85" spans="1:17" x14ac:dyDescent="0.35">
      <c r="A85" s="1"/>
      <c r="B85" s="1"/>
      <c r="C85" s="1"/>
      <c r="D85" s="1"/>
      <c r="E85" s="1"/>
      <c r="F85" s="1"/>
      <c r="G85" s="1"/>
      <c r="H85" s="1"/>
      <c r="I85" s="1"/>
      <c r="J85" s="1"/>
      <c r="K85" s="1"/>
      <c r="L85" s="1"/>
      <c r="M85" s="1"/>
      <c r="N85" s="1"/>
      <c r="O85" s="1"/>
      <c r="P85" s="1"/>
      <c r="Q85" s="1"/>
    </row>
    <row r="86" spans="1:17" x14ac:dyDescent="0.35">
      <c r="A86" s="1"/>
      <c r="B86" s="1"/>
      <c r="C86" s="1"/>
      <c r="D86" s="1"/>
      <c r="E86" s="1"/>
      <c r="F86" s="1"/>
      <c r="G86" s="1"/>
      <c r="H86" s="1"/>
      <c r="I86" s="1"/>
      <c r="J86" s="1"/>
      <c r="K86" s="1"/>
      <c r="L86" s="1"/>
      <c r="M86" s="1"/>
      <c r="N86" s="1"/>
      <c r="O86" s="1"/>
      <c r="P86" s="1"/>
      <c r="Q86" s="1"/>
    </row>
    <row r="87" spans="1:17" x14ac:dyDescent="0.35">
      <c r="A87" s="1"/>
      <c r="B87" s="1"/>
      <c r="C87" s="1"/>
      <c r="D87" s="1"/>
      <c r="E87" s="1"/>
      <c r="F87" s="1"/>
      <c r="G87" s="1"/>
      <c r="H87" s="1"/>
      <c r="I87" s="1"/>
      <c r="J87" s="1"/>
      <c r="K87" s="1"/>
      <c r="L87" s="1"/>
      <c r="M87" s="1"/>
      <c r="N87" s="1"/>
      <c r="O87" s="1"/>
      <c r="P87" s="1"/>
      <c r="Q87" s="1"/>
    </row>
    <row r="88" spans="1:17" x14ac:dyDescent="0.35">
      <c r="A88" s="1"/>
      <c r="B88" s="1"/>
      <c r="C88" s="1"/>
      <c r="D88" s="1"/>
      <c r="E88" s="1"/>
      <c r="F88" s="1"/>
      <c r="G88" s="1"/>
      <c r="H88" s="1"/>
      <c r="I88" s="1"/>
      <c r="J88" s="1"/>
      <c r="K88" s="1"/>
      <c r="L88" s="1"/>
      <c r="M88" s="1"/>
      <c r="N88" s="1"/>
      <c r="O88" s="1"/>
      <c r="P88" s="1"/>
      <c r="Q88" s="1"/>
    </row>
    <row r="89" spans="1:17" x14ac:dyDescent="0.35">
      <c r="A89" s="1"/>
      <c r="B89" s="1"/>
      <c r="C89" s="1"/>
      <c r="D89" s="1"/>
      <c r="E89" s="1"/>
      <c r="F89" s="1"/>
      <c r="G89" s="1"/>
      <c r="H89" s="1"/>
      <c r="I89" s="1"/>
      <c r="J89" s="1"/>
      <c r="K89" s="1"/>
      <c r="L89" s="1"/>
      <c r="M89" s="1"/>
      <c r="N89" s="1"/>
      <c r="O89" s="1"/>
      <c r="P89" s="1"/>
      <c r="Q89" s="1"/>
    </row>
    <row r="90" spans="1:17" x14ac:dyDescent="0.35">
      <c r="A90" s="1"/>
      <c r="B90" s="1"/>
      <c r="C90" s="1"/>
      <c r="D90" s="1"/>
      <c r="E90" s="1"/>
      <c r="F90" s="1"/>
      <c r="G90" s="1"/>
      <c r="H90" s="1"/>
      <c r="I90" s="1"/>
      <c r="J90" s="1"/>
      <c r="K90" s="1"/>
      <c r="L90" s="1"/>
      <c r="M90" s="1"/>
      <c r="N90" s="1"/>
      <c r="O90" s="1"/>
      <c r="P90" s="1"/>
      <c r="Q90" s="1"/>
    </row>
    <row r="91" spans="1:17" x14ac:dyDescent="0.35">
      <c r="A91" s="1"/>
      <c r="B91" s="1"/>
      <c r="C91" s="1"/>
      <c r="D91" s="1"/>
      <c r="E91" s="1"/>
      <c r="F91" s="1"/>
      <c r="G91" s="1"/>
      <c r="H91" s="1"/>
      <c r="I91" s="1"/>
      <c r="J91" s="1"/>
      <c r="K91" s="1"/>
      <c r="L91" s="1"/>
      <c r="M91" s="1"/>
      <c r="N91" s="1"/>
      <c r="O91" s="1"/>
      <c r="P91" s="1"/>
      <c r="Q91" s="1"/>
    </row>
    <row r="92" spans="1:17" x14ac:dyDescent="0.35">
      <c r="A92" s="1"/>
      <c r="B92" s="1"/>
      <c r="C92" s="1"/>
      <c r="D92" s="1"/>
      <c r="E92" s="1"/>
      <c r="F92" s="1"/>
      <c r="G92" s="1"/>
      <c r="H92" s="1"/>
      <c r="I92" s="1"/>
      <c r="J92" s="1"/>
      <c r="K92" s="1"/>
      <c r="L92" s="1"/>
      <c r="M92" s="1"/>
      <c r="N92" s="1"/>
      <c r="O92" s="1"/>
      <c r="P92" s="1"/>
      <c r="Q92" s="1"/>
    </row>
    <row r="93" spans="1:17" x14ac:dyDescent="0.35">
      <c r="A93" s="1"/>
      <c r="B93" s="1"/>
      <c r="C93" s="1"/>
      <c r="D93" s="1"/>
      <c r="E93" s="1"/>
      <c r="F93" s="1"/>
      <c r="G93" s="1"/>
      <c r="H93" s="1"/>
      <c r="I93" s="1"/>
      <c r="J93" s="1"/>
      <c r="K93" s="1"/>
      <c r="L93" s="1"/>
      <c r="M93" s="1"/>
      <c r="N93" s="1"/>
      <c r="O93" s="1"/>
      <c r="P93" s="1"/>
      <c r="Q93" s="1"/>
    </row>
    <row r="94" spans="1:17" x14ac:dyDescent="0.35">
      <c r="A94" s="1"/>
      <c r="B94" s="1"/>
      <c r="C94" s="1"/>
      <c r="D94" s="1"/>
      <c r="E94" s="1"/>
      <c r="F94" s="1"/>
      <c r="G94" s="1"/>
      <c r="H94" s="1"/>
      <c r="I94" s="1"/>
      <c r="J94" s="1"/>
      <c r="K94" s="1"/>
      <c r="L94" s="1"/>
      <c r="M94" s="1"/>
      <c r="N94" s="1"/>
      <c r="O94" s="1"/>
      <c r="P94" s="1"/>
      <c r="Q94" s="1"/>
    </row>
    <row r="95" spans="1:17" x14ac:dyDescent="0.35">
      <c r="A95" s="1"/>
      <c r="B95" s="1"/>
      <c r="C95" s="1"/>
      <c r="D95" s="1"/>
      <c r="E95" s="1"/>
      <c r="F95" s="1"/>
      <c r="G95" s="1"/>
      <c r="H95" s="1"/>
      <c r="I95" s="1"/>
      <c r="J95" s="1"/>
      <c r="K95" s="1"/>
      <c r="L95" s="1"/>
      <c r="M95" s="1"/>
      <c r="N95" s="1"/>
      <c r="O95" s="1"/>
      <c r="P95" s="1"/>
      <c r="Q95" s="1"/>
    </row>
    <row r="96" spans="1:17" x14ac:dyDescent="0.35">
      <c r="A96" s="1"/>
      <c r="B96" s="1"/>
      <c r="C96" s="1"/>
      <c r="D96" s="1"/>
      <c r="E96" s="1"/>
      <c r="F96" s="1"/>
      <c r="G96" s="1"/>
      <c r="H96" s="1"/>
      <c r="I96" s="1"/>
      <c r="J96" s="1"/>
      <c r="K96" s="1"/>
      <c r="L96" s="1"/>
      <c r="M96" s="1"/>
      <c r="N96" s="1"/>
      <c r="O96" s="1"/>
      <c r="P96" s="1"/>
      <c r="Q96" s="1"/>
    </row>
    <row r="97" spans="1:17" x14ac:dyDescent="0.35">
      <c r="A97" s="1"/>
      <c r="B97" s="1"/>
      <c r="C97" s="1"/>
      <c r="D97" s="1"/>
      <c r="E97" s="1"/>
      <c r="F97" s="1"/>
      <c r="G97" s="1"/>
      <c r="H97" s="1"/>
      <c r="I97" s="1"/>
      <c r="J97" s="1"/>
      <c r="K97" s="1"/>
      <c r="L97" s="1"/>
      <c r="M97" s="1"/>
      <c r="N97" s="1"/>
      <c r="O97" s="1"/>
      <c r="P97" s="1"/>
      <c r="Q97" s="1"/>
    </row>
    <row r="98" spans="1:17" x14ac:dyDescent="0.35">
      <c r="A98" s="1"/>
      <c r="B98" s="1"/>
      <c r="C98" s="1"/>
      <c r="D98" s="1"/>
      <c r="E98" s="1"/>
      <c r="F98" s="1"/>
      <c r="G98" s="1"/>
      <c r="H98" s="1"/>
      <c r="I98" s="1"/>
      <c r="J98" s="1"/>
      <c r="K98" s="1"/>
      <c r="L98" s="1"/>
      <c r="M98" s="1"/>
      <c r="N98" s="1"/>
      <c r="O98" s="1"/>
      <c r="P98" s="1"/>
      <c r="Q98" s="1"/>
    </row>
    <row r="99" spans="1:17" x14ac:dyDescent="0.35">
      <c r="A99" s="1"/>
      <c r="B99" s="1"/>
      <c r="C99" s="1"/>
      <c r="D99" s="1"/>
      <c r="E99" s="1"/>
      <c r="F99" s="1"/>
      <c r="G99" s="1"/>
      <c r="H99" s="1"/>
      <c r="I99" s="1"/>
      <c r="J99" s="1"/>
      <c r="K99" s="1"/>
      <c r="L99" s="1"/>
      <c r="M99" s="1"/>
      <c r="N99" s="1"/>
      <c r="O99" s="1"/>
      <c r="P99" s="1"/>
      <c r="Q99" s="1"/>
    </row>
    <row r="100" spans="1:17" x14ac:dyDescent="0.35">
      <c r="A100" s="1"/>
      <c r="B100" s="1"/>
      <c r="C100" s="1"/>
      <c r="D100" s="1"/>
      <c r="E100" s="1"/>
      <c r="F100" s="1"/>
      <c r="G100" s="1"/>
      <c r="H100" s="1"/>
      <c r="I100" s="1"/>
      <c r="J100" s="1"/>
      <c r="K100" s="1"/>
      <c r="L100" s="1"/>
      <c r="M100" s="1"/>
      <c r="N100" s="1"/>
      <c r="O100" s="1"/>
      <c r="P100" s="1"/>
      <c r="Q100" s="1"/>
    </row>
    <row r="101" spans="1:17" x14ac:dyDescent="0.35">
      <c r="A101" s="1"/>
      <c r="B101" s="1"/>
      <c r="C101" s="1"/>
      <c r="D101" s="1"/>
      <c r="E101" s="1"/>
      <c r="F101" s="1"/>
      <c r="G101" s="1"/>
      <c r="H101" s="1"/>
      <c r="I101" s="1"/>
      <c r="J101" s="1"/>
      <c r="K101" s="1"/>
      <c r="L101" s="1"/>
      <c r="M101" s="1"/>
      <c r="N101" s="1"/>
      <c r="O101" s="1"/>
      <c r="P101" s="1"/>
      <c r="Q101" s="1"/>
    </row>
    <row r="102" spans="1:17" x14ac:dyDescent="0.35">
      <c r="A102" s="1"/>
      <c r="B102" s="1"/>
      <c r="C102" s="1"/>
      <c r="D102" s="1"/>
      <c r="E102" s="1"/>
      <c r="F102" s="1"/>
      <c r="G102" s="1"/>
      <c r="H102" s="1"/>
      <c r="I102" s="1"/>
      <c r="J102" s="1"/>
      <c r="K102" s="1"/>
      <c r="L102" s="1"/>
      <c r="M102" s="1"/>
      <c r="N102" s="1"/>
      <c r="O102" s="1"/>
      <c r="P102" s="1"/>
      <c r="Q102" s="1"/>
    </row>
    <row r="103" spans="1:17" x14ac:dyDescent="0.35">
      <c r="A103" s="1"/>
      <c r="B103" s="1"/>
      <c r="C103" s="1"/>
      <c r="D103" s="1"/>
      <c r="E103" s="1"/>
      <c r="F103" s="1"/>
      <c r="G103" s="1"/>
      <c r="H103" s="1"/>
      <c r="I103" s="1"/>
      <c r="J103" s="1"/>
      <c r="K103" s="1"/>
      <c r="L103" s="1"/>
      <c r="M103" s="1"/>
      <c r="N103" s="1"/>
      <c r="O103" s="1"/>
      <c r="P103" s="1"/>
      <c r="Q103" s="1"/>
    </row>
    <row r="104" spans="1:17" x14ac:dyDescent="0.35">
      <c r="A104" s="1"/>
      <c r="B104" s="1"/>
      <c r="C104" s="1"/>
      <c r="D104" s="1"/>
      <c r="E104" s="1"/>
      <c r="F104" s="1"/>
      <c r="G104" s="1"/>
      <c r="H104" s="1"/>
      <c r="I104" s="1"/>
      <c r="J104" s="1"/>
      <c r="K104" s="1"/>
      <c r="L104" s="1"/>
      <c r="M104" s="1"/>
      <c r="N104" s="1"/>
      <c r="O104" s="1"/>
      <c r="P104" s="1"/>
      <c r="Q104" s="1"/>
    </row>
    <row r="105" spans="1:17" x14ac:dyDescent="0.35">
      <c r="A105" s="1"/>
      <c r="B105" s="1"/>
      <c r="C105" s="1"/>
      <c r="D105" s="1"/>
      <c r="E105" s="1"/>
      <c r="F105" s="1"/>
      <c r="G105" s="1"/>
      <c r="H105" s="1"/>
      <c r="I105" s="1"/>
      <c r="J105" s="1"/>
      <c r="K105" s="1"/>
      <c r="L105" s="1"/>
      <c r="M105" s="1"/>
      <c r="N105" s="1"/>
      <c r="O105" s="1"/>
      <c r="P105" s="1"/>
      <c r="Q105" s="1"/>
    </row>
    <row r="106" spans="1:17" x14ac:dyDescent="0.35">
      <c r="A106" s="1"/>
      <c r="B106" s="1"/>
      <c r="C106" s="1"/>
      <c r="D106" s="1"/>
      <c r="E106" s="1"/>
      <c r="F106" s="1"/>
      <c r="G106" s="1"/>
      <c r="H106" s="1"/>
      <c r="I106" s="1"/>
      <c r="J106" s="1"/>
      <c r="K106" s="1"/>
      <c r="L106" s="1"/>
      <c r="M106" s="1"/>
      <c r="N106" s="1"/>
      <c r="O106" s="1"/>
      <c r="P106" s="1"/>
      <c r="Q106" s="1"/>
    </row>
    <row r="107" spans="1:17" x14ac:dyDescent="0.35">
      <c r="A107" s="1"/>
      <c r="B107" s="1"/>
      <c r="C107" s="1"/>
      <c r="D107" s="1"/>
      <c r="E107" s="1"/>
      <c r="F107" s="1"/>
      <c r="G107" s="1"/>
      <c r="H107" s="1"/>
      <c r="I107" s="1"/>
      <c r="J107" s="1"/>
      <c r="K107" s="1"/>
      <c r="L107" s="1"/>
      <c r="M107" s="1"/>
      <c r="N107" s="1"/>
      <c r="O107" s="1"/>
      <c r="P107" s="1"/>
      <c r="Q107" s="1"/>
    </row>
    <row r="108" spans="1:17" x14ac:dyDescent="0.35">
      <c r="A108" s="1"/>
      <c r="B108" s="1"/>
      <c r="C108" s="1"/>
      <c r="D108" s="1"/>
      <c r="E108" s="1"/>
      <c r="F108" s="1"/>
      <c r="G108" s="1"/>
      <c r="H108" s="1"/>
      <c r="I108" s="1"/>
      <c r="J108" s="1"/>
      <c r="K108" s="1"/>
      <c r="L108" s="1"/>
      <c r="M108" s="1"/>
      <c r="N108" s="1"/>
      <c r="O108" s="1"/>
      <c r="P108" s="1"/>
      <c r="Q108" s="1"/>
    </row>
    <row r="109" spans="1:17" x14ac:dyDescent="0.35">
      <c r="A109" s="1"/>
      <c r="B109" s="1"/>
      <c r="C109" s="1"/>
      <c r="D109" s="1"/>
      <c r="E109" s="1"/>
      <c r="F109" s="1"/>
      <c r="G109" s="1"/>
      <c r="H109" s="1"/>
      <c r="I109" s="1"/>
      <c r="J109" s="1"/>
      <c r="K109" s="1"/>
      <c r="L109" s="1"/>
      <c r="M109" s="1"/>
      <c r="N109" s="1"/>
      <c r="O109" s="1"/>
      <c r="P109" s="1"/>
      <c r="Q109" s="1"/>
    </row>
    <row r="110" spans="1:17" x14ac:dyDescent="0.35">
      <c r="A110" s="1"/>
      <c r="B110" s="1"/>
      <c r="C110" s="1"/>
      <c r="D110" s="1"/>
      <c r="E110" s="1"/>
      <c r="F110" s="1"/>
      <c r="G110" s="1"/>
      <c r="H110" s="1"/>
      <c r="I110" s="1"/>
      <c r="J110" s="1"/>
      <c r="K110" s="1"/>
      <c r="L110" s="1"/>
      <c r="M110" s="1"/>
      <c r="N110" s="1"/>
      <c r="O110" s="1"/>
      <c r="P110" s="1"/>
      <c r="Q110" s="1"/>
    </row>
    <row r="111" spans="1:17" x14ac:dyDescent="0.35">
      <c r="A111" s="1"/>
      <c r="B111" s="1"/>
      <c r="C111" s="1"/>
      <c r="D111" s="1"/>
      <c r="E111" s="1"/>
      <c r="F111" s="1"/>
      <c r="G111" s="1"/>
      <c r="H111" s="1"/>
      <c r="I111" s="1"/>
      <c r="J111" s="1"/>
      <c r="K111" s="1"/>
      <c r="L111" s="1"/>
      <c r="M111" s="1"/>
      <c r="N111" s="1"/>
      <c r="O111" s="1"/>
      <c r="P111" s="1"/>
      <c r="Q111" s="1"/>
    </row>
    <row r="112" spans="1:17" x14ac:dyDescent="0.35">
      <c r="A112" s="1"/>
      <c r="B112" s="1"/>
      <c r="C112" s="1"/>
      <c r="D112" s="1"/>
      <c r="E112" s="1"/>
      <c r="F112" s="1"/>
      <c r="G112" s="1"/>
      <c r="H112" s="1"/>
      <c r="I112" s="1"/>
      <c r="J112" s="1"/>
      <c r="K112" s="1"/>
      <c r="L112" s="1"/>
      <c r="M112" s="1"/>
      <c r="N112" s="1"/>
      <c r="O112" s="1"/>
      <c r="P112" s="1"/>
      <c r="Q112" s="1"/>
    </row>
    <row r="113" spans="1:17" x14ac:dyDescent="0.35">
      <c r="A113" s="1"/>
      <c r="B113" s="1"/>
      <c r="C113" s="1"/>
      <c r="D113" s="1"/>
      <c r="E113" s="1"/>
      <c r="F113" s="1"/>
      <c r="G113" s="1"/>
      <c r="H113" s="1"/>
      <c r="I113" s="1"/>
      <c r="J113" s="1"/>
      <c r="K113" s="1"/>
      <c r="L113" s="1"/>
      <c r="M113" s="1"/>
      <c r="N113" s="1"/>
      <c r="O113" s="1"/>
      <c r="P113" s="1"/>
      <c r="Q113" s="1"/>
    </row>
    <row r="114" spans="1:17" x14ac:dyDescent="0.35">
      <c r="A114" s="1"/>
      <c r="B114" s="1"/>
      <c r="C114" s="1"/>
      <c r="D114" s="1"/>
      <c r="E114" s="1"/>
      <c r="F114" s="1"/>
      <c r="G114" s="1"/>
      <c r="H114" s="1"/>
      <c r="I114" s="1"/>
      <c r="J114" s="1"/>
      <c r="K114" s="1"/>
      <c r="L114" s="1"/>
      <c r="M114" s="1"/>
      <c r="N114" s="1"/>
      <c r="O114" s="1"/>
      <c r="P114" s="1"/>
      <c r="Q114" s="1"/>
    </row>
    <row r="115" spans="1:17" x14ac:dyDescent="0.35">
      <c r="A115" s="1"/>
      <c r="B115" s="1"/>
      <c r="C115" s="1"/>
      <c r="D115" s="1"/>
      <c r="E115" s="1"/>
      <c r="F115" s="1"/>
      <c r="G115" s="1"/>
      <c r="H115" s="1"/>
      <c r="I115" s="1"/>
      <c r="J115" s="1"/>
      <c r="K115" s="1"/>
      <c r="L115" s="1"/>
      <c r="M115" s="1"/>
      <c r="N115" s="1"/>
      <c r="O115" s="1"/>
      <c r="P115" s="1"/>
      <c r="Q115" s="1"/>
    </row>
    <row r="116" spans="1:17" x14ac:dyDescent="0.35">
      <c r="A116" s="1"/>
      <c r="B116" s="1"/>
      <c r="C116" s="1"/>
      <c r="D116" s="1"/>
      <c r="E116" s="1"/>
      <c r="F116" s="1"/>
      <c r="G116" s="1"/>
      <c r="H116" s="1"/>
      <c r="I116" s="1"/>
      <c r="J116" s="1"/>
      <c r="K116" s="1"/>
      <c r="L116" s="1"/>
      <c r="M116" s="1"/>
      <c r="N116" s="1"/>
      <c r="O116" s="1"/>
      <c r="P116" s="1"/>
      <c r="Q116" s="1"/>
    </row>
    <row r="117" spans="1:17" x14ac:dyDescent="0.35">
      <c r="A117" s="1"/>
      <c r="B117" s="1"/>
      <c r="C117" s="1"/>
      <c r="D117" s="1"/>
      <c r="E117" s="1"/>
      <c r="F117" s="1"/>
      <c r="G117" s="1"/>
      <c r="H117" s="1"/>
      <c r="I117" s="1"/>
      <c r="J117" s="1"/>
      <c r="K117" s="1"/>
      <c r="L117" s="1"/>
      <c r="M117" s="1"/>
      <c r="N117" s="1"/>
      <c r="O117" s="1"/>
      <c r="P117" s="1"/>
      <c r="Q117" s="1"/>
    </row>
    <row r="118" spans="1:17" x14ac:dyDescent="0.35">
      <c r="A118" s="1"/>
      <c r="B118" s="1"/>
      <c r="C118" s="1"/>
      <c r="D118" s="1"/>
      <c r="E118" s="1"/>
      <c r="F118" s="1"/>
      <c r="G118" s="1"/>
      <c r="H118" s="1"/>
      <c r="I118" s="1"/>
      <c r="J118" s="1"/>
      <c r="K118" s="1"/>
      <c r="L118" s="1"/>
      <c r="M118" s="1"/>
      <c r="N118" s="1"/>
      <c r="O118" s="1"/>
      <c r="P118" s="1"/>
      <c r="Q118" s="1"/>
    </row>
    <row r="119" spans="1:17" x14ac:dyDescent="0.35">
      <c r="A119" s="1"/>
      <c r="B119" s="1"/>
      <c r="C119" s="1"/>
      <c r="D119" s="1"/>
      <c r="E119" s="1"/>
      <c r="F119" s="1"/>
      <c r="G119" s="1"/>
      <c r="H119" s="1"/>
      <c r="I119" s="1"/>
      <c r="J119" s="1"/>
      <c r="K119" s="1"/>
      <c r="L119" s="1"/>
      <c r="M119" s="1"/>
      <c r="N119" s="1"/>
      <c r="O119" s="1"/>
      <c r="P119" s="1"/>
      <c r="Q119" s="1"/>
    </row>
    <row r="120" spans="1:17" x14ac:dyDescent="0.35">
      <c r="A120" s="1"/>
      <c r="B120" s="1"/>
      <c r="C120" s="1"/>
      <c r="D120" s="1"/>
      <c r="E120" s="1"/>
      <c r="F120" s="1"/>
      <c r="G120" s="1"/>
      <c r="H120" s="1"/>
      <c r="I120" s="1"/>
      <c r="J120" s="1"/>
      <c r="K120" s="1"/>
      <c r="L120" s="1"/>
      <c r="M120" s="1"/>
      <c r="N120" s="1"/>
      <c r="O120" s="1"/>
      <c r="P120" s="1"/>
      <c r="Q120" s="1"/>
    </row>
    <row r="121" spans="1:17" x14ac:dyDescent="0.35">
      <c r="A121" s="1"/>
      <c r="B121" s="1"/>
      <c r="C121" s="1"/>
      <c r="D121" s="1"/>
      <c r="E121" s="1"/>
      <c r="F121" s="1"/>
      <c r="G121" s="1"/>
      <c r="H121" s="1"/>
      <c r="I121" s="1"/>
      <c r="J121" s="1"/>
      <c r="K121" s="1"/>
      <c r="L121" s="1"/>
      <c r="M121" s="1"/>
      <c r="N121" s="1"/>
      <c r="O121" s="1"/>
      <c r="P121" s="1"/>
      <c r="Q121" s="1"/>
    </row>
    <row r="122" spans="1:17" x14ac:dyDescent="0.35">
      <c r="A122" s="1"/>
      <c r="B122" s="1"/>
      <c r="C122" s="1"/>
      <c r="D122" s="1"/>
      <c r="E122" s="1"/>
      <c r="F122" s="1"/>
      <c r="G122" s="1"/>
      <c r="H122" s="1"/>
      <c r="I122" s="1"/>
      <c r="J122" s="1"/>
      <c r="K122" s="1"/>
      <c r="L122" s="1"/>
      <c r="M122" s="1"/>
      <c r="N122" s="1"/>
      <c r="O122" s="1"/>
      <c r="P122" s="1"/>
      <c r="Q122" s="1"/>
    </row>
    <row r="123" spans="1:17" x14ac:dyDescent="0.35">
      <c r="A123" s="1"/>
      <c r="B123" s="1"/>
      <c r="C123" s="1"/>
      <c r="D123" s="1"/>
      <c r="E123" s="1"/>
      <c r="F123" s="1"/>
      <c r="G123" s="1"/>
      <c r="H123" s="1"/>
      <c r="I123" s="1"/>
      <c r="J123" s="1"/>
      <c r="K123" s="1"/>
      <c r="L123" s="1"/>
      <c r="M123" s="1"/>
      <c r="N123" s="1"/>
      <c r="O123" s="1"/>
      <c r="P123" s="1"/>
      <c r="Q123" s="1"/>
    </row>
    <row r="124" spans="1:17" x14ac:dyDescent="0.35">
      <c r="A124" s="1"/>
      <c r="B124" s="1"/>
      <c r="C124" s="1"/>
      <c r="D124" s="1"/>
      <c r="E124" s="1"/>
      <c r="F124" s="1"/>
      <c r="G124" s="1"/>
      <c r="H124" s="1"/>
      <c r="I124" s="1"/>
      <c r="J124" s="1"/>
      <c r="K124" s="1"/>
      <c r="L124" s="1"/>
      <c r="M124" s="1"/>
      <c r="N124" s="1"/>
      <c r="O124" s="1"/>
      <c r="P124" s="1"/>
      <c r="Q124" s="1"/>
    </row>
    <row r="125" spans="1:17" x14ac:dyDescent="0.35">
      <c r="A125" s="1"/>
      <c r="B125" s="1"/>
      <c r="C125" s="1"/>
      <c r="D125" s="1"/>
      <c r="E125" s="1"/>
      <c r="F125" s="1"/>
      <c r="G125" s="1"/>
      <c r="H125" s="1"/>
      <c r="I125" s="1"/>
      <c r="J125" s="1"/>
      <c r="K125" s="1"/>
      <c r="L125" s="1"/>
      <c r="M125" s="1"/>
      <c r="N125" s="1"/>
      <c r="O125" s="1"/>
      <c r="P125" s="1"/>
      <c r="Q125" s="1"/>
    </row>
    <row r="126" spans="1:17" x14ac:dyDescent="0.35">
      <c r="A126" s="1"/>
      <c r="B126" s="1"/>
      <c r="C126" s="1"/>
      <c r="D126" s="1"/>
      <c r="E126" s="1"/>
      <c r="F126" s="1"/>
      <c r="G126" s="1"/>
      <c r="H126" s="1"/>
      <c r="I126" s="1"/>
      <c r="J126" s="1"/>
      <c r="K126" s="1"/>
      <c r="L126" s="1"/>
      <c r="M126" s="1"/>
      <c r="N126" s="1"/>
      <c r="O126" s="1"/>
      <c r="P126" s="1"/>
      <c r="Q126" s="1"/>
    </row>
    <row r="127" spans="1:17" x14ac:dyDescent="0.35">
      <c r="A127" s="1"/>
      <c r="B127" s="1"/>
      <c r="C127" s="1"/>
      <c r="D127" s="1"/>
      <c r="E127" s="1"/>
      <c r="F127" s="1"/>
      <c r="G127" s="1"/>
      <c r="H127" s="1"/>
      <c r="I127" s="1"/>
      <c r="J127" s="1"/>
      <c r="K127" s="1"/>
      <c r="L127" s="1"/>
      <c r="M127" s="1"/>
      <c r="N127" s="1"/>
      <c r="O127" s="1"/>
      <c r="P127" s="1"/>
      <c r="Q127" s="1"/>
    </row>
    <row r="128" spans="1:17" x14ac:dyDescent="0.35">
      <c r="A128" s="1"/>
      <c r="B128" s="1"/>
      <c r="C128" s="1"/>
      <c r="D128" s="1"/>
      <c r="E128" s="1"/>
      <c r="F128" s="1"/>
      <c r="G128" s="1"/>
      <c r="H128" s="1"/>
      <c r="I128" s="1"/>
      <c r="J128" s="1"/>
      <c r="K128" s="1"/>
      <c r="L128" s="1"/>
      <c r="M128" s="1"/>
      <c r="N128" s="1"/>
      <c r="O128" s="1"/>
      <c r="P128" s="1"/>
      <c r="Q128" s="1"/>
    </row>
    <row r="129" spans="1:17" x14ac:dyDescent="0.35">
      <c r="A129" s="1"/>
      <c r="B129" s="1"/>
      <c r="C129" s="1"/>
      <c r="D129" s="1"/>
      <c r="E129" s="1"/>
      <c r="F129" s="1"/>
      <c r="G129" s="1"/>
      <c r="H129" s="1"/>
      <c r="I129" s="1"/>
      <c r="J129" s="1"/>
      <c r="K129" s="1"/>
      <c r="L129" s="1"/>
      <c r="M129" s="1"/>
      <c r="N129" s="1"/>
      <c r="O129" s="1"/>
      <c r="P129" s="1"/>
      <c r="Q129" s="1"/>
    </row>
    <row r="130" spans="1:17" x14ac:dyDescent="0.35">
      <c r="A130" s="1"/>
      <c r="B130" s="1"/>
      <c r="C130" s="1"/>
      <c r="D130" s="1"/>
      <c r="E130" s="1"/>
      <c r="F130" s="1"/>
      <c r="G130" s="1"/>
      <c r="H130" s="1"/>
      <c r="I130" s="1"/>
      <c r="J130" s="1"/>
      <c r="K130" s="1"/>
      <c r="L130" s="1"/>
      <c r="M130" s="1"/>
      <c r="N130" s="1"/>
      <c r="O130" s="1"/>
      <c r="P130" s="1"/>
      <c r="Q130" s="1"/>
    </row>
    <row r="131" spans="1:17" x14ac:dyDescent="0.35">
      <c r="A131" s="1"/>
      <c r="B131" s="1"/>
      <c r="C131" s="1"/>
      <c r="D131" s="1"/>
      <c r="E131" s="1"/>
      <c r="F131" s="1"/>
      <c r="G131" s="1"/>
      <c r="H131" s="1"/>
      <c r="I131" s="1"/>
      <c r="J131" s="1"/>
      <c r="K131" s="1"/>
      <c r="L131" s="1"/>
      <c r="M131" s="1"/>
      <c r="N131" s="1"/>
      <c r="O131" s="1"/>
      <c r="P131" s="1"/>
      <c r="Q131" s="1"/>
    </row>
    <row r="132" spans="1:17" x14ac:dyDescent="0.35">
      <c r="A132" s="1"/>
      <c r="B132" s="1"/>
      <c r="C132" s="1"/>
      <c r="D132" s="1"/>
      <c r="E132" s="1"/>
      <c r="F132" s="1"/>
      <c r="G132" s="1"/>
      <c r="H132" s="1"/>
      <c r="I132" s="1"/>
      <c r="J132" s="1"/>
      <c r="K132" s="1"/>
      <c r="L132" s="1"/>
      <c r="M132" s="1"/>
      <c r="N132" s="1"/>
      <c r="O132" s="1"/>
      <c r="P132" s="1"/>
      <c r="Q132" s="1"/>
    </row>
    <row r="133" spans="1:17" x14ac:dyDescent="0.35">
      <c r="A133" s="1"/>
      <c r="B133" s="1"/>
      <c r="C133" s="1"/>
      <c r="D133" s="1"/>
      <c r="E133" s="1"/>
      <c r="F133" s="1"/>
      <c r="G133" s="1"/>
      <c r="H133" s="1"/>
      <c r="I133" s="1"/>
      <c r="J133" s="1"/>
      <c r="K133" s="1"/>
      <c r="L133" s="1"/>
      <c r="M133" s="1"/>
      <c r="N133" s="1"/>
      <c r="O133" s="1"/>
      <c r="P133" s="1"/>
      <c r="Q133" s="1"/>
    </row>
    <row r="134" spans="1:17" x14ac:dyDescent="0.35">
      <c r="A134" s="1"/>
      <c r="B134" s="1"/>
      <c r="C134" s="1"/>
      <c r="D134" s="1"/>
      <c r="E134" s="1"/>
      <c r="F134" s="1"/>
      <c r="G134" s="1"/>
      <c r="H134" s="1"/>
      <c r="I134" s="1"/>
      <c r="J134" s="1"/>
      <c r="K134" s="1"/>
      <c r="L134" s="1"/>
      <c r="M134" s="1"/>
      <c r="N134" s="1"/>
      <c r="O134" s="1"/>
      <c r="P134" s="1"/>
      <c r="Q134" s="1"/>
    </row>
    <row r="135" spans="1:17" x14ac:dyDescent="0.35">
      <c r="A135" s="1"/>
      <c r="B135" s="1"/>
      <c r="C135" s="1"/>
      <c r="D135" s="1"/>
      <c r="E135" s="1"/>
      <c r="F135" s="1"/>
      <c r="G135" s="1"/>
      <c r="H135" s="1"/>
      <c r="I135" s="1"/>
      <c r="J135" s="1"/>
      <c r="K135" s="1"/>
      <c r="L135" s="1"/>
      <c r="M135" s="1"/>
      <c r="N135" s="1"/>
      <c r="O135" s="1"/>
      <c r="P135" s="1"/>
      <c r="Q135" s="1"/>
    </row>
    <row r="136" spans="1:17" x14ac:dyDescent="0.35">
      <c r="A136" s="1"/>
      <c r="B136" s="1"/>
      <c r="C136" s="1"/>
      <c r="D136" s="1"/>
      <c r="E136" s="1"/>
      <c r="F136" s="1"/>
      <c r="G136" s="1"/>
      <c r="H136" s="1"/>
      <c r="I136" s="1"/>
      <c r="J136" s="1"/>
      <c r="K136" s="1"/>
      <c r="L136" s="1"/>
      <c r="M136" s="1"/>
      <c r="N136" s="1"/>
      <c r="O136" s="1"/>
      <c r="P136" s="1"/>
      <c r="Q136" s="1"/>
    </row>
    <row r="137" spans="1:17" x14ac:dyDescent="0.35">
      <c r="A137" s="1"/>
      <c r="B137" s="1"/>
      <c r="C137" s="1"/>
      <c r="D137" s="1"/>
      <c r="E137" s="1"/>
      <c r="F137" s="1"/>
      <c r="G137" s="1"/>
      <c r="H137" s="1"/>
      <c r="I137" s="1"/>
      <c r="J137" s="1"/>
      <c r="K137" s="1"/>
      <c r="L137" s="1"/>
      <c r="M137" s="1"/>
      <c r="N137" s="1"/>
      <c r="O137" s="1"/>
      <c r="P137" s="1"/>
      <c r="Q137" s="1"/>
    </row>
    <row r="138" spans="1:17" x14ac:dyDescent="0.35">
      <c r="A138" s="1"/>
      <c r="B138" s="1"/>
      <c r="C138" s="1"/>
      <c r="D138" s="1"/>
      <c r="E138" s="1"/>
      <c r="F138" s="1"/>
      <c r="G138" s="1"/>
      <c r="H138" s="1"/>
      <c r="I138" s="1"/>
      <c r="J138" s="1"/>
      <c r="K138" s="1"/>
      <c r="L138" s="1"/>
      <c r="M138" s="1"/>
      <c r="N138" s="1"/>
      <c r="O138" s="1"/>
      <c r="P138" s="1"/>
      <c r="Q138" s="1"/>
    </row>
    <row r="139" spans="1:17" x14ac:dyDescent="0.35">
      <c r="A139" s="1"/>
      <c r="B139" s="1"/>
      <c r="C139" s="1"/>
      <c r="D139" s="1"/>
      <c r="E139" s="1"/>
      <c r="F139" s="1"/>
      <c r="G139" s="1"/>
      <c r="H139" s="1"/>
      <c r="I139" s="1"/>
      <c r="J139" s="1"/>
      <c r="K139" s="1"/>
      <c r="L139" s="1"/>
      <c r="M139" s="1"/>
      <c r="N139" s="1"/>
      <c r="O139" s="1"/>
      <c r="P139" s="1"/>
      <c r="Q139" s="1"/>
    </row>
    <row r="140" spans="1:17" x14ac:dyDescent="0.35">
      <c r="A140" s="1"/>
      <c r="B140" s="1"/>
      <c r="C140" s="1"/>
      <c r="D140" s="1"/>
      <c r="E140" s="1"/>
      <c r="F140" s="1"/>
      <c r="G140" s="1"/>
      <c r="H140" s="1"/>
      <c r="I140" s="1"/>
      <c r="J140" s="1"/>
      <c r="K140" s="1"/>
      <c r="L140" s="1"/>
      <c r="M140" s="1"/>
      <c r="N140" s="1"/>
      <c r="O140" s="1"/>
      <c r="P140" s="1"/>
      <c r="Q140" s="1"/>
    </row>
    <row r="141" spans="1:17" x14ac:dyDescent="0.35">
      <c r="A141" s="1"/>
      <c r="B141" s="1"/>
      <c r="C141" s="1"/>
      <c r="D141" s="1"/>
      <c r="E141" s="1"/>
      <c r="F141" s="1"/>
      <c r="G141" s="1"/>
      <c r="H141" s="1"/>
      <c r="I141" s="1"/>
      <c r="J141" s="1"/>
      <c r="K141" s="1"/>
      <c r="L141" s="1"/>
      <c r="M141" s="1"/>
      <c r="N141" s="1"/>
      <c r="O141" s="1"/>
      <c r="P141" s="1"/>
      <c r="Q141" s="1"/>
    </row>
    <row r="142" spans="1:17" x14ac:dyDescent="0.35">
      <c r="A142" s="1"/>
      <c r="B142" s="1"/>
      <c r="C142" s="1"/>
      <c r="D142" s="1"/>
      <c r="E142" s="1"/>
      <c r="F142" s="1"/>
      <c r="G142" s="1"/>
      <c r="H142" s="1"/>
      <c r="I142" s="1"/>
      <c r="J142" s="1"/>
      <c r="K142" s="1"/>
      <c r="L142" s="1"/>
      <c r="M142" s="1"/>
      <c r="N142" s="1"/>
      <c r="O142" s="1"/>
      <c r="P142" s="1"/>
      <c r="Q142" s="1"/>
    </row>
    <row r="143" spans="1:17" x14ac:dyDescent="0.35">
      <c r="A143" s="1"/>
      <c r="B143" s="1"/>
      <c r="C143" s="1"/>
      <c r="D143" s="1"/>
      <c r="E143" s="1"/>
      <c r="F143" s="1"/>
      <c r="G143" s="1"/>
      <c r="H143" s="1"/>
      <c r="I143" s="1"/>
      <c r="J143" s="1"/>
      <c r="K143" s="1"/>
      <c r="L143" s="1"/>
      <c r="M143" s="1"/>
      <c r="N143" s="1"/>
      <c r="O143" s="1"/>
      <c r="P143" s="1"/>
      <c r="Q143" s="1"/>
    </row>
    <row r="144" spans="1:17" x14ac:dyDescent="0.35">
      <c r="A144" s="1"/>
      <c r="B144" s="1"/>
      <c r="C144" s="1"/>
      <c r="D144" s="1"/>
      <c r="E144" s="1"/>
      <c r="F144" s="1"/>
      <c r="G144" s="1"/>
      <c r="H144" s="1"/>
      <c r="I144" s="1"/>
      <c r="J144" s="1"/>
      <c r="K144" s="1"/>
      <c r="L144" s="1"/>
      <c r="M144" s="1"/>
      <c r="N144" s="1"/>
      <c r="O144" s="1"/>
      <c r="P144" s="1"/>
      <c r="Q144" s="1"/>
    </row>
    <row r="145" spans="1:17" x14ac:dyDescent="0.35">
      <c r="A145" s="1"/>
      <c r="B145" s="1"/>
      <c r="C145" s="1"/>
      <c r="D145" s="1"/>
      <c r="E145" s="1"/>
      <c r="F145" s="1"/>
      <c r="G145" s="1"/>
      <c r="H145" s="1"/>
      <c r="I145" s="1"/>
      <c r="J145" s="1"/>
      <c r="K145" s="1"/>
      <c r="L145" s="1"/>
      <c r="M145" s="1"/>
      <c r="N145" s="1"/>
      <c r="O145" s="1"/>
      <c r="P145" s="1"/>
      <c r="Q145" s="1"/>
    </row>
    <row r="146" spans="1:17" x14ac:dyDescent="0.35">
      <c r="A146" s="1"/>
      <c r="B146" s="1"/>
      <c r="C146" s="1"/>
      <c r="D146" s="1"/>
      <c r="E146" s="1"/>
      <c r="F146" s="1"/>
      <c r="G146" s="1"/>
      <c r="H146" s="1"/>
      <c r="I146" s="1"/>
      <c r="J146" s="1"/>
      <c r="K146" s="1"/>
      <c r="L146" s="1"/>
      <c r="M146" s="1"/>
      <c r="N146" s="1"/>
      <c r="O146" s="1"/>
      <c r="P146" s="1"/>
      <c r="Q146" s="1"/>
    </row>
    <row r="147" spans="1:17" x14ac:dyDescent="0.35">
      <c r="A147" s="1"/>
      <c r="B147" s="1"/>
      <c r="C147" s="1"/>
      <c r="D147" s="1"/>
      <c r="E147" s="1"/>
      <c r="F147" s="1"/>
      <c r="G147" s="1"/>
      <c r="H147" s="1"/>
      <c r="I147" s="1"/>
      <c r="J147" s="1"/>
      <c r="K147" s="1"/>
      <c r="L147" s="1"/>
      <c r="M147" s="1"/>
      <c r="N147" s="1"/>
      <c r="O147" s="1"/>
      <c r="P147" s="1"/>
      <c r="Q147" s="1"/>
    </row>
    <row r="148" spans="1:17" x14ac:dyDescent="0.35">
      <c r="A148" s="1"/>
      <c r="B148" s="1"/>
      <c r="C148" s="1"/>
      <c r="D148" s="1"/>
      <c r="E148" s="1"/>
      <c r="F148" s="1"/>
      <c r="G148" s="1"/>
      <c r="H148" s="1"/>
      <c r="I148" s="1"/>
      <c r="J148" s="1"/>
      <c r="K148" s="1"/>
      <c r="L148" s="1"/>
      <c r="M148" s="1"/>
      <c r="N148" s="1"/>
      <c r="O148" s="1"/>
      <c r="P148" s="1"/>
      <c r="Q148" s="1"/>
    </row>
    <row r="149" spans="1:17" x14ac:dyDescent="0.35">
      <c r="A149" s="1"/>
      <c r="B149" s="1"/>
      <c r="C149" s="1"/>
      <c r="D149" s="1"/>
      <c r="E149" s="1"/>
      <c r="F149" s="1"/>
      <c r="G149" s="1"/>
      <c r="H149" s="1"/>
      <c r="I149" s="1"/>
      <c r="J149" s="1"/>
      <c r="K149" s="1"/>
      <c r="L149" s="1"/>
      <c r="M149" s="1"/>
      <c r="N149" s="1"/>
      <c r="O149" s="1"/>
      <c r="P149" s="1"/>
      <c r="Q149" s="1"/>
    </row>
    <row r="150" spans="1:17" x14ac:dyDescent="0.35">
      <c r="A150" s="1"/>
      <c r="B150" s="1"/>
      <c r="C150" s="1"/>
      <c r="D150" s="1"/>
      <c r="E150" s="1"/>
      <c r="F150" s="1"/>
      <c r="G150" s="1"/>
      <c r="H150" s="1"/>
      <c r="I150" s="1"/>
      <c r="J150" s="1"/>
      <c r="K150" s="1"/>
      <c r="L150" s="1"/>
      <c r="M150" s="1"/>
      <c r="N150" s="1"/>
      <c r="O150" s="1"/>
      <c r="P150" s="1"/>
      <c r="Q150" s="1"/>
    </row>
    <row r="151" spans="1:17" x14ac:dyDescent="0.35">
      <c r="A151" s="1"/>
      <c r="B151" s="1"/>
      <c r="C151" s="1"/>
      <c r="D151" s="1"/>
      <c r="E151" s="1"/>
      <c r="F151" s="1"/>
      <c r="G151" s="1"/>
      <c r="H151" s="1"/>
      <c r="I151" s="1"/>
      <c r="J151" s="1"/>
      <c r="K151" s="1"/>
      <c r="L151" s="1"/>
      <c r="M151" s="1"/>
      <c r="N151" s="1"/>
      <c r="O151" s="1"/>
      <c r="P151" s="1"/>
      <c r="Q151" s="1"/>
    </row>
    <row r="152" spans="1:17" x14ac:dyDescent="0.35">
      <c r="A152" s="1"/>
      <c r="B152" s="1"/>
      <c r="C152" s="1"/>
      <c r="D152" s="1"/>
      <c r="E152" s="1"/>
      <c r="F152" s="1"/>
      <c r="G152" s="1"/>
      <c r="H152" s="1"/>
      <c r="I152" s="1"/>
      <c r="J152" s="1"/>
      <c r="K152" s="1"/>
      <c r="L152" s="1"/>
      <c r="M152" s="1"/>
      <c r="N152" s="1"/>
      <c r="O152" s="1"/>
      <c r="P152" s="1"/>
      <c r="Q152" s="1"/>
    </row>
    <row r="153" spans="1:17" x14ac:dyDescent="0.35">
      <c r="A153" s="1"/>
      <c r="B153" s="1"/>
      <c r="C153" s="1"/>
      <c r="D153" s="1"/>
      <c r="E153" s="1"/>
      <c r="F153" s="1"/>
      <c r="G153" s="1"/>
      <c r="H153" s="1"/>
      <c r="I153" s="1"/>
      <c r="J153" s="1"/>
      <c r="K153" s="1"/>
      <c r="L153" s="1"/>
      <c r="M153" s="1"/>
      <c r="N153" s="1"/>
      <c r="O153" s="1"/>
      <c r="P153" s="1"/>
      <c r="Q153" s="1"/>
    </row>
    <row r="154" spans="1:17" x14ac:dyDescent="0.35">
      <c r="A154" s="1"/>
      <c r="B154" s="1"/>
      <c r="C154" s="1"/>
      <c r="D154" s="1"/>
      <c r="E154" s="1"/>
      <c r="F154" s="1"/>
      <c r="G154" s="1"/>
      <c r="H154" s="1"/>
      <c r="I154" s="1"/>
      <c r="J154" s="1"/>
      <c r="K154" s="1"/>
      <c r="L154" s="1"/>
      <c r="M154" s="1"/>
      <c r="N154" s="1"/>
      <c r="O154" s="1"/>
      <c r="P154" s="1"/>
      <c r="Q154" s="1"/>
    </row>
    <row r="155" spans="1:17" x14ac:dyDescent="0.35">
      <c r="A155" s="1"/>
      <c r="B155" s="1"/>
      <c r="C155" s="1"/>
      <c r="D155" s="1"/>
      <c r="E155" s="1"/>
      <c r="F155" s="1"/>
      <c r="G155" s="1"/>
      <c r="H155" s="1"/>
      <c r="I155" s="1"/>
      <c r="J155" s="1"/>
      <c r="K155" s="1"/>
      <c r="L155" s="1"/>
      <c r="M155" s="1"/>
      <c r="N155" s="1"/>
      <c r="O155" s="1"/>
      <c r="P155" s="1"/>
      <c r="Q155" s="1"/>
    </row>
    <row r="156" spans="1:17" x14ac:dyDescent="0.35">
      <c r="A156" s="1"/>
      <c r="B156" s="1"/>
      <c r="C156" s="1"/>
      <c r="D156" s="1"/>
      <c r="E156" s="1"/>
      <c r="F156" s="1"/>
      <c r="G156" s="1"/>
      <c r="H156" s="1"/>
      <c r="I156" s="1"/>
      <c r="J156" s="1"/>
      <c r="K156" s="1"/>
      <c r="L156" s="1"/>
      <c r="M156" s="1"/>
      <c r="N156" s="1"/>
      <c r="O156" s="1"/>
      <c r="P156" s="1"/>
      <c r="Q156" s="1"/>
    </row>
    <row r="157" spans="1:17" x14ac:dyDescent="0.35">
      <c r="A157" s="1"/>
      <c r="B157" s="1"/>
      <c r="C157" s="1"/>
      <c r="D157" s="1"/>
      <c r="E157" s="1"/>
      <c r="F157" s="1"/>
      <c r="G157" s="1"/>
      <c r="H157" s="1"/>
      <c r="I157" s="1"/>
      <c r="J157" s="1"/>
      <c r="K157" s="1"/>
      <c r="L157" s="1"/>
      <c r="M157" s="1"/>
      <c r="N157" s="1"/>
      <c r="O157" s="1"/>
      <c r="P157" s="1"/>
      <c r="Q157" s="1"/>
    </row>
    <row r="158" spans="1:17" x14ac:dyDescent="0.35">
      <c r="A158" s="1"/>
      <c r="B158" s="1"/>
      <c r="C158" s="1"/>
      <c r="D158" s="1"/>
      <c r="E158" s="1"/>
      <c r="F158" s="1"/>
      <c r="G158" s="1"/>
      <c r="H158" s="1"/>
      <c r="I158" s="1"/>
      <c r="J158" s="1"/>
      <c r="K158" s="1"/>
      <c r="L158" s="1"/>
      <c r="M158" s="1"/>
      <c r="N158" s="1"/>
      <c r="O158" s="1"/>
      <c r="P158" s="1"/>
      <c r="Q158" s="1"/>
    </row>
    <row r="159" spans="1:17" x14ac:dyDescent="0.35">
      <c r="A159" s="1"/>
      <c r="B159" s="1"/>
      <c r="C159" s="1"/>
      <c r="D159" s="1"/>
      <c r="E159" s="1"/>
      <c r="F159" s="1"/>
      <c r="G159" s="1"/>
      <c r="H159" s="1"/>
      <c r="I159" s="1"/>
      <c r="J159" s="1"/>
      <c r="K159" s="1"/>
      <c r="L159" s="1"/>
      <c r="M159" s="1"/>
      <c r="N159" s="1"/>
      <c r="O159" s="1"/>
      <c r="P159" s="1"/>
      <c r="Q159" s="1"/>
    </row>
    <row r="160" spans="1:17" x14ac:dyDescent="0.35">
      <c r="A160" s="1"/>
      <c r="B160" s="1"/>
      <c r="C160" s="1"/>
      <c r="D160" s="1"/>
      <c r="E160" s="1"/>
      <c r="F160" s="1"/>
      <c r="G160" s="1"/>
      <c r="H160" s="1"/>
      <c r="I160" s="1"/>
      <c r="J160" s="1"/>
      <c r="K160" s="1"/>
      <c r="L160" s="1"/>
      <c r="M160" s="1"/>
      <c r="N160" s="1"/>
      <c r="O160" s="1"/>
      <c r="P160" s="1"/>
      <c r="Q160" s="1"/>
    </row>
    <row r="161" spans="1:17" x14ac:dyDescent="0.35">
      <c r="A161" s="1"/>
      <c r="B161" s="1"/>
      <c r="C161" s="1"/>
      <c r="D161" s="1"/>
      <c r="E161" s="1"/>
      <c r="F161" s="1"/>
      <c r="G161" s="1"/>
      <c r="H161" s="1"/>
      <c r="I161" s="1"/>
      <c r="J161" s="1"/>
      <c r="K161" s="1"/>
      <c r="L161" s="1"/>
      <c r="M161" s="1"/>
      <c r="N161" s="1"/>
      <c r="O161" s="1"/>
      <c r="P161" s="1"/>
      <c r="Q161" s="1"/>
    </row>
    <row r="162" spans="1:17" x14ac:dyDescent="0.35">
      <c r="A162" s="1"/>
      <c r="B162" s="1"/>
      <c r="C162" s="1"/>
      <c r="D162" s="1"/>
      <c r="E162" s="1"/>
      <c r="F162" s="1"/>
      <c r="G162" s="1"/>
      <c r="H162" s="1"/>
      <c r="I162" s="1"/>
      <c r="J162" s="1"/>
      <c r="K162" s="1"/>
      <c r="L162" s="1"/>
      <c r="M162" s="1"/>
      <c r="N162" s="1"/>
      <c r="O162" s="1"/>
      <c r="P162" s="1"/>
      <c r="Q162" s="1"/>
    </row>
    <row r="163" spans="1:17" x14ac:dyDescent="0.35">
      <c r="A163" s="1"/>
      <c r="B163" s="1"/>
      <c r="C163" s="1"/>
      <c r="D163" s="1"/>
      <c r="E163" s="1"/>
      <c r="F163" s="1"/>
      <c r="G163" s="1"/>
      <c r="H163" s="1"/>
      <c r="I163" s="1"/>
      <c r="J163" s="1"/>
      <c r="K163" s="1"/>
      <c r="L163" s="1"/>
      <c r="M163" s="1"/>
      <c r="N163" s="1"/>
      <c r="O163" s="1"/>
      <c r="P163" s="1"/>
      <c r="Q163" s="1"/>
    </row>
    <row r="164" spans="1:17" x14ac:dyDescent="0.35">
      <c r="A164" s="1"/>
      <c r="B164" s="1"/>
      <c r="C164" s="1"/>
      <c r="D164" s="1"/>
      <c r="E164" s="1"/>
      <c r="F164" s="1"/>
      <c r="G164" s="1"/>
      <c r="H164" s="1"/>
      <c r="I164" s="1"/>
      <c r="J164" s="1"/>
      <c r="K164" s="1"/>
      <c r="L164" s="1"/>
      <c r="M164" s="1"/>
      <c r="N164" s="1"/>
      <c r="O164" s="1"/>
      <c r="P164" s="1"/>
      <c r="Q164" s="1"/>
    </row>
    <row r="165" spans="1:17" x14ac:dyDescent="0.35">
      <c r="A165" s="1"/>
      <c r="B165" s="1"/>
      <c r="C165" s="1"/>
      <c r="D165" s="1"/>
      <c r="E165" s="1"/>
      <c r="F165" s="1"/>
      <c r="G165" s="1"/>
      <c r="H165" s="1"/>
      <c r="I165" s="1"/>
      <c r="J165" s="1"/>
      <c r="K165" s="1"/>
      <c r="L165" s="1"/>
      <c r="M165" s="1"/>
      <c r="N165" s="1"/>
      <c r="O165" s="1"/>
      <c r="P165" s="1"/>
      <c r="Q165" s="1"/>
    </row>
    <row r="166" spans="1:17" x14ac:dyDescent="0.35">
      <c r="A166" s="1"/>
      <c r="B166" s="1"/>
      <c r="C166" s="1"/>
      <c r="D166" s="1"/>
      <c r="E166" s="1"/>
      <c r="F166" s="1"/>
      <c r="G166" s="1"/>
      <c r="H166" s="1"/>
      <c r="I166" s="1"/>
      <c r="J166" s="1"/>
      <c r="K166" s="1"/>
      <c r="L166" s="1"/>
      <c r="M166" s="1"/>
      <c r="N166" s="1"/>
      <c r="O166" s="1"/>
      <c r="P166" s="1"/>
      <c r="Q166" s="1"/>
    </row>
    <row r="167" spans="1:17" x14ac:dyDescent="0.35">
      <c r="A167" s="1"/>
      <c r="B167" s="1"/>
      <c r="C167" s="1"/>
      <c r="D167" s="1"/>
      <c r="E167" s="1"/>
      <c r="F167" s="1"/>
      <c r="G167" s="1"/>
      <c r="H167" s="1"/>
      <c r="I167" s="1"/>
      <c r="J167" s="1"/>
      <c r="K167" s="1"/>
      <c r="L167" s="1"/>
      <c r="M167" s="1"/>
      <c r="N167" s="1"/>
      <c r="O167" s="1"/>
      <c r="P167" s="1"/>
      <c r="Q167" s="1"/>
    </row>
    <row r="168" spans="1:17" x14ac:dyDescent="0.35">
      <c r="A168" s="1"/>
      <c r="B168" s="1"/>
      <c r="C168" s="1"/>
      <c r="D168" s="1"/>
      <c r="E168" s="1"/>
      <c r="F168" s="1"/>
      <c r="G168" s="1"/>
      <c r="H168" s="1"/>
      <c r="I168" s="1"/>
      <c r="J168" s="1"/>
      <c r="K168" s="1"/>
      <c r="L168" s="1"/>
      <c r="M168" s="1"/>
      <c r="N168" s="1"/>
      <c r="O168" s="1"/>
      <c r="P168" s="1"/>
      <c r="Q168" s="1"/>
    </row>
    <row r="169" spans="1:17" x14ac:dyDescent="0.35">
      <c r="A169" s="1"/>
      <c r="B169" s="1"/>
      <c r="C169" s="1"/>
      <c r="D169" s="1"/>
      <c r="E169" s="1"/>
      <c r="F169" s="1"/>
      <c r="G169" s="1"/>
      <c r="H169" s="1"/>
      <c r="I169" s="1"/>
      <c r="J169" s="1"/>
      <c r="K169" s="1"/>
      <c r="L169" s="1"/>
      <c r="M169" s="1"/>
      <c r="N169" s="1"/>
      <c r="O169" s="1"/>
      <c r="P169" s="1"/>
      <c r="Q169" s="1"/>
    </row>
    <row r="170" spans="1:17" x14ac:dyDescent="0.35">
      <c r="A170" s="1"/>
      <c r="B170" s="1"/>
      <c r="C170" s="1"/>
      <c r="D170" s="1"/>
      <c r="E170" s="1"/>
      <c r="F170" s="1"/>
      <c r="G170" s="1"/>
      <c r="H170" s="1"/>
      <c r="I170" s="1"/>
      <c r="J170" s="1"/>
      <c r="K170" s="1"/>
      <c r="L170" s="1"/>
      <c r="M170" s="1"/>
      <c r="N170" s="1"/>
      <c r="O170" s="1"/>
      <c r="P170" s="1"/>
      <c r="Q170" s="1"/>
    </row>
    <row r="171" spans="1:17" x14ac:dyDescent="0.35">
      <c r="A171" s="1"/>
      <c r="B171" s="1"/>
      <c r="C171" s="1"/>
      <c r="D171" s="1"/>
      <c r="E171" s="1"/>
      <c r="F171" s="1"/>
      <c r="G171" s="1"/>
      <c r="H171" s="1"/>
      <c r="I171" s="1"/>
      <c r="J171" s="1"/>
      <c r="K171" s="1"/>
      <c r="L171" s="1"/>
      <c r="M171" s="1"/>
      <c r="N171" s="1"/>
      <c r="O171" s="1"/>
      <c r="P171" s="1"/>
      <c r="Q171" s="1"/>
    </row>
    <row r="172" spans="1:17" x14ac:dyDescent="0.35">
      <c r="A172" s="1"/>
      <c r="B172" s="1"/>
      <c r="C172" s="1"/>
      <c r="D172" s="1"/>
      <c r="E172" s="1"/>
      <c r="F172" s="1"/>
      <c r="G172" s="1"/>
      <c r="H172" s="1"/>
      <c r="I172" s="1"/>
      <c r="J172" s="1"/>
      <c r="K172" s="1"/>
      <c r="L172" s="1"/>
      <c r="M172" s="1"/>
      <c r="N172" s="1"/>
      <c r="O172" s="1"/>
      <c r="P172" s="1"/>
      <c r="Q172" s="1"/>
    </row>
    <row r="173" spans="1:17" x14ac:dyDescent="0.35">
      <c r="A173" s="1"/>
      <c r="B173" s="1"/>
      <c r="C173" s="1"/>
      <c r="D173" s="1"/>
      <c r="E173" s="1"/>
      <c r="F173" s="1"/>
      <c r="G173" s="1"/>
      <c r="H173" s="1"/>
      <c r="I173" s="1"/>
      <c r="J173" s="1"/>
      <c r="K173" s="1"/>
      <c r="L173" s="1"/>
      <c r="M173" s="1"/>
      <c r="N173" s="1"/>
      <c r="O173" s="1"/>
      <c r="P173" s="1"/>
      <c r="Q173" s="1"/>
    </row>
    <row r="174" spans="1:17" x14ac:dyDescent="0.35">
      <c r="A174" s="1"/>
      <c r="B174" s="1"/>
      <c r="C174" s="1"/>
      <c r="D174" s="1"/>
      <c r="E174" s="1"/>
      <c r="F174" s="1"/>
      <c r="G174" s="1"/>
      <c r="H174" s="1"/>
      <c r="I174" s="1"/>
      <c r="J174" s="1"/>
      <c r="K174" s="1"/>
      <c r="L174" s="1"/>
      <c r="M174" s="1"/>
      <c r="N174" s="1"/>
      <c r="O174" s="1"/>
      <c r="P174" s="1"/>
      <c r="Q174" s="1"/>
    </row>
    <row r="175" spans="1:17" x14ac:dyDescent="0.35">
      <c r="A175" s="1"/>
      <c r="B175" s="1"/>
      <c r="C175" s="1"/>
      <c r="D175" s="1"/>
      <c r="E175" s="1"/>
      <c r="F175" s="1"/>
      <c r="G175" s="1"/>
      <c r="H175" s="1"/>
      <c r="I175" s="1"/>
      <c r="J175" s="1"/>
      <c r="K175" s="1"/>
      <c r="L175" s="1"/>
      <c r="M175" s="1"/>
      <c r="N175" s="1"/>
      <c r="O175" s="1"/>
      <c r="P175" s="1"/>
      <c r="Q175" s="1"/>
    </row>
    <row r="176" spans="1:17" x14ac:dyDescent="0.35">
      <c r="A176" s="1"/>
      <c r="B176" s="1"/>
      <c r="C176" s="1"/>
      <c r="D176" s="1"/>
      <c r="E176" s="1"/>
      <c r="F176" s="1"/>
      <c r="G176" s="1"/>
      <c r="H176" s="1"/>
      <c r="I176" s="1"/>
      <c r="J176" s="1"/>
      <c r="K176" s="1"/>
      <c r="L176" s="1"/>
      <c r="M176" s="1"/>
      <c r="N176" s="1"/>
      <c r="O176" s="1"/>
      <c r="P176" s="1"/>
      <c r="Q176" s="1"/>
    </row>
    <row r="177" spans="1:17" x14ac:dyDescent="0.35">
      <c r="A177" s="1"/>
      <c r="B177" s="1"/>
      <c r="C177" s="1"/>
      <c r="D177" s="1"/>
      <c r="E177" s="1"/>
      <c r="F177" s="1"/>
      <c r="G177" s="1"/>
      <c r="H177" s="1"/>
      <c r="I177" s="1"/>
      <c r="J177" s="1"/>
      <c r="K177" s="1"/>
      <c r="L177" s="1"/>
      <c r="M177" s="1"/>
      <c r="N177" s="1"/>
      <c r="O177" s="1"/>
      <c r="P177" s="1"/>
      <c r="Q177" s="1"/>
    </row>
    <row r="178" spans="1:17" x14ac:dyDescent="0.35">
      <c r="A178" s="1"/>
      <c r="B178" s="1"/>
      <c r="C178" s="1"/>
      <c r="D178" s="1"/>
      <c r="E178" s="1"/>
      <c r="F178" s="1"/>
      <c r="G178" s="1"/>
      <c r="H178" s="1"/>
      <c r="I178" s="1"/>
      <c r="J178" s="1"/>
      <c r="K178" s="1"/>
      <c r="L178" s="1"/>
      <c r="M178" s="1"/>
      <c r="N178" s="1"/>
      <c r="O178" s="1"/>
      <c r="P178" s="1"/>
      <c r="Q178" s="1"/>
    </row>
    <row r="179" spans="1:17" x14ac:dyDescent="0.35">
      <c r="A179" s="1"/>
      <c r="B179" s="1"/>
      <c r="C179" s="1"/>
      <c r="D179" s="1"/>
      <c r="E179" s="1"/>
      <c r="F179" s="1"/>
      <c r="G179" s="1"/>
      <c r="H179" s="1"/>
      <c r="I179" s="1"/>
      <c r="J179" s="1"/>
      <c r="K179" s="1"/>
      <c r="L179" s="1"/>
      <c r="M179" s="1"/>
      <c r="N179" s="1"/>
      <c r="O179" s="1"/>
      <c r="P179" s="1"/>
      <c r="Q179" s="1"/>
    </row>
    <row r="180" spans="1:17" x14ac:dyDescent="0.35">
      <c r="A180" s="1"/>
      <c r="B180" s="1"/>
      <c r="C180" s="1"/>
      <c r="D180" s="1"/>
      <c r="E180" s="1"/>
      <c r="F180" s="1"/>
      <c r="G180" s="1"/>
      <c r="H180" s="1"/>
      <c r="I180" s="1"/>
      <c r="J180" s="1"/>
      <c r="K180" s="1"/>
      <c r="L180" s="1"/>
      <c r="M180" s="1"/>
      <c r="N180" s="1"/>
      <c r="O180" s="1"/>
      <c r="P180" s="1"/>
      <c r="Q180" s="1"/>
    </row>
    <row r="181" spans="1:17" x14ac:dyDescent="0.35">
      <c r="A181" s="1"/>
      <c r="B181" s="1"/>
      <c r="C181" s="1"/>
      <c r="D181" s="1"/>
      <c r="E181" s="1"/>
      <c r="F181" s="1"/>
      <c r="G181" s="1"/>
      <c r="H181" s="1"/>
      <c r="I181" s="1"/>
      <c r="J181" s="1"/>
      <c r="K181" s="1"/>
      <c r="L181" s="1"/>
      <c r="M181" s="1"/>
      <c r="N181" s="1"/>
      <c r="O181" s="1"/>
      <c r="P181" s="1"/>
      <c r="Q181" s="1"/>
    </row>
    <row r="182" spans="1:17" x14ac:dyDescent="0.35">
      <c r="A182" s="1"/>
      <c r="B182" s="1"/>
      <c r="C182" s="1"/>
      <c r="D182" s="1"/>
      <c r="E182" s="1"/>
      <c r="F182" s="1"/>
      <c r="G182" s="1"/>
      <c r="H182" s="1"/>
      <c r="I182" s="1"/>
      <c r="J182" s="1"/>
      <c r="K182" s="1"/>
      <c r="L182" s="1"/>
      <c r="M182" s="1"/>
      <c r="N182" s="1"/>
      <c r="O182" s="1"/>
      <c r="P182" s="1"/>
      <c r="Q182" s="1"/>
    </row>
    <row r="183" spans="1:17" x14ac:dyDescent="0.35">
      <c r="A183" s="1"/>
      <c r="B183" s="1"/>
      <c r="C183" s="1"/>
      <c r="D183" s="1"/>
      <c r="E183" s="1"/>
      <c r="F183" s="1"/>
      <c r="G183" s="1"/>
      <c r="H183" s="1"/>
      <c r="I183" s="1"/>
      <c r="J183" s="1"/>
      <c r="K183" s="1"/>
      <c r="L183" s="1"/>
      <c r="M183" s="1"/>
      <c r="N183" s="1"/>
      <c r="O183" s="1"/>
      <c r="P183" s="1"/>
      <c r="Q183" s="1"/>
    </row>
    <row r="184" spans="1:17" x14ac:dyDescent="0.35">
      <c r="A184" s="1"/>
      <c r="B184" s="1"/>
      <c r="C184" s="1"/>
      <c r="D184" s="1"/>
      <c r="E184" s="1"/>
      <c r="F184" s="1"/>
      <c r="G184" s="1"/>
      <c r="H184" s="1"/>
      <c r="I184" s="1"/>
      <c r="J184" s="1"/>
      <c r="K184" s="1"/>
      <c r="L184" s="1"/>
      <c r="M184" s="1"/>
      <c r="N184" s="1"/>
      <c r="O184" s="1"/>
      <c r="P184" s="1"/>
      <c r="Q184" s="1"/>
    </row>
    <row r="185" spans="1:17" x14ac:dyDescent="0.35">
      <c r="A185" s="1"/>
      <c r="B185" s="1"/>
      <c r="C185" s="1"/>
      <c r="D185" s="1"/>
      <c r="E185" s="1"/>
      <c r="F185" s="1"/>
      <c r="G185" s="1"/>
      <c r="H185" s="1"/>
      <c r="I185" s="1"/>
      <c r="J185" s="1"/>
      <c r="K185" s="1"/>
      <c r="L185" s="1"/>
      <c r="M185" s="1"/>
      <c r="N185" s="1"/>
      <c r="O185" s="1"/>
      <c r="P185" s="1"/>
      <c r="Q185" s="1"/>
    </row>
    <row r="186" spans="1:17" x14ac:dyDescent="0.35">
      <c r="A186" s="1"/>
      <c r="B186" s="1"/>
      <c r="C186" s="1"/>
      <c r="D186" s="1"/>
      <c r="E186" s="1"/>
      <c r="F186" s="1"/>
      <c r="G186" s="1"/>
      <c r="H186" s="1"/>
      <c r="I186" s="1"/>
      <c r="J186" s="1"/>
      <c r="K186" s="1"/>
      <c r="L186" s="1"/>
      <c r="M186" s="1"/>
      <c r="N186" s="1"/>
      <c r="O186" s="1"/>
      <c r="P186" s="1"/>
      <c r="Q186" s="1"/>
    </row>
    <row r="187" spans="1:17" x14ac:dyDescent="0.35">
      <c r="A187" s="1"/>
      <c r="B187" s="1"/>
      <c r="C187" s="1"/>
      <c r="D187" s="1"/>
      <c r="E187" s="1"/>
      <c r="F187" s="1"/>
      <c r="G187" s="1"/>
      <c r="H187" s="1"/>
      <c r="I187" s="1"/>
      <c r="J187" s="1"/>
      <c r="K187" s="1"/>
      <c r="L187" s="1"/>
      <c r="M187" s="1"/>
      <c r="N187" s="1"/>
      <c r="O187" s="1"/>
      <c r="P187" s="1"/>
      <c r="Q187" s="1"/>
    </row>
    <row r="188" spans="1:17" x14ac:dyDescent="0.35">
      <c r="A188" s="1"/>
      <c r="B188" s="1"/>
      <c r="C188" s="1"/>
      <c r="D188" s="1"/>
      <c r="E188" s="1"/>
      <c r="F188" s="1"/>
      <c r="G188" s="1"/>
      <c r="H188" s="1"/>
      <c r="I188" s="1"/>
      <c r="J188" s="1"/>
      <c r="K188" s="1"/>
      <c r="L188" s="1"/>
      <c r="M188" s="1"/>
      <c r="N188" s="1"/>
      <c r="O188" s="1"/>
      <c r="P188" s="1"/>
      <c r="Q188" s="1"/>
    </row>
    <row r="189" spans="1:17" x14ac:dyDescent="0.35">
      <c r="A189" s="1"/>
      <c r="B189" s="1"/>
      <c r="C189" s="1"/>
      <c r="D189" s="1"/>
      <c r="E189" s="1"/>
      <c r="F189" s="1"/>
      <c r="G189" s="1"/>
      <c r="H189" s="1"/>
      <c r="I189" s="1"/>
      <c r="J189" s="1"/>
      <c r="K189" s="1"/>
      <c r="L189" s="1"/>
      <c r="M189" s="1"/>
      <c r="N189" s="1"/>
      <c r="O189" s="1"/>
      <c r="P189" s="1"/>
      <c r="Q189" s="1"/>
    </row>
    <row r="190" spans="1:17" x14ac:dyDescent="0.35">
      <c r="A190" s="1"/>
      <c r="B190" s="1"/>
      <c r="C190" s="1"/>
      <c r="D190" s="1"/>
      <c r="E190" s="1"/>
      <c r="F190" s="1"/>
      <c r="G190" s="1"/>
      <c r="H190" s="1"/>
      <c r="I190" s="1"/>
      <c r="J190" s="1"/>
      <c r="K190" s="1"/>
      <c r="L190" s="1"/>
      <c r="M190" s="1"/>
      <c r="N190" s="1"/>
      <c r="O190" s="1"/>
      <c r="P190" s="1"/>
      <c r="Q190" s="1"/>
    </row>
    <row r="191" spans="1:17" x14ac:dyDescent="0.35">
      <c r="A191" s="1"/>
      <c r="B191" s="1"/>
      <c r="C191" s="1"/>
      <c r="D191" s="1"/>
      <c r="E191" s="1"/>
      <c r="F191" s="1"/>
      <c r="G191" s="1"/>
      <c r="H191" s="1"/>
      <c r="I191" s="1"/>
      <c r="J191" s="1"/>
      <c r="K191" s="1"/>
      <c r="L191" s="1"/>
      <c r="M191" s="1"/>
      <c r="N191" s="1"/>
      <c r="O191" s="1"/>
      <c r="P191" s="1"/>
      <c r="Q191" s="1"/>
    </row>
    <row r="192" spans="1:17" x14ac:dyDescent="0.35">
      <c r="A192" s="1"/>
      <c r="B192" s="1"/>
      <c r="C192" s="1"/>
      <c r="D192" s="1"/>
      <c r="E192" s="1"/>
      <c r="F192" s="1"/>
      <c r="G192" s="1"/>
      <c r="H192" s="1"/>
      <c r="I192" s="1"/>
      <c r="J192" s="1"/>
      <c r="K192" s="1"/>
      <c r="L192" s="1"/>
      <c r="M192" s="1"/>
      <c r="N192" s="1"/>
      <c r="O192" s="1"/>
      <c r="P192" s="1"/>
      <c r="Q192" s="1"/>
    </row>
    <row r="193" spans="1:17" x14ac:dyDescent="0.35">
      <c r="A193" s="1"/>
      <c r="B193" s="1"/>
      <c r="C193" s="1"/>
      <c r="D193" s="1"/>
      <c r="E193" s="1"/>
      <c r="F193" s="1"/>
      <c r="G193" s="1"/>
      <c r="H193" s="1"/>
      <c r="I193" s="1"/>
      <c r="J193" s="1"/>
      <c r="K193" s="1"/>
      <c r="L193" s="1"/>
      <c r="M193" s="1"/>
      <c r="N193" s="1"/>
      <c r="O193" s="1"/>
      <c r="P193" s="1"/>
      <c r="Q193" s="1"/>
    </row>
    <row r="194" spans="1:17" x14ac:dyDescent="0.35">
      <c r="A194" s="1"/>
      <c r="B194" s="1"/>
      <c r="C194" s="1"/>
      <c r="D194" s="1"/>
      <c r="E194" s="1"/>
      <c r="F194" s="1"/>
      <c r="G194" s="1"/>
      <c r="H194" s="1"/>
      <c r="I194" s="1"/>
      <c r="J194" s="1"/>
      <c r="K194" s="1"/>
      <c r="L194" s="1"/>
      <c r="M194" s="1"/>
      <c r="N194" s="1"/>
      <c r="O194" s="1"/>
      <c r="P194" s="1"/>
      <c r="Q194" s="1"/>
    </row>
    <row r="195" spans="1:17" x14ac:dyDescent="0.35">
      <c r="A195" s="1"/>
      <c r="B195" s="1"/>
      <c r="C195" s="1"/>
      <c r="D195" s="1"/>
      <c r="E195" s="1"/>
      <c r="F195" s="1"/>
      <c r="G195" s="1"/>
      <c r="H195" s="1"/>
      <c r="I195" s="1"/>
      <c r="J195" s="1"/>
      <c r="K195" s="1"/>
      <c r="L195" s="1"/>
      <c r="M195" s="1"/>
      <c r="N195" s="1"/>
      <c r="O195" s="1"/>
      <c r="P195" s="1"/>
      <c r="Q195" s="1"/>
    </row>
    <row r="196" spans="1:17" x14ac:dyDescent="0.35">
      <c r="A196" s="1"/>
      <c r="B196" s="1"/>
      <c r="C196" s="1"/>
      <c r="D196" s="1"/>
      <c r="E196" s="1"/>
      <c r="F196" s="1"/>
      <c r="G196" s="1"/>
      <c r="H196" s="1"/>
      <c r="I196" s="1"/>
      <c r="J196" s="1"/>
      <c r="K196" s="1"/>
      <c r="L196" s="1"/>
      <c r="M196" s="1"/>
      <c r="N196" s="1"/>
      <c r="O196" s="1"/>
      <c r="P196" s="1"/>
      <c r="Q196" s="1"/>
    </row>
    <row r="197" spans="1:17" x14ac:dyDescent="0.35">
      <c r="A197" s="1"/>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1:17" x14ac:dyDescent="0.35">
      <c r="A198" s="1"/>
      <c r="B198" s="37"/>
      <c r="C198" s="38"/>
      <c r="D198" s="31"/>
      <c r="E198" s="32"/>
      <c r="F198" s="34"/>
      <c r="G198" s="33"/>
      <c r="H198" s="34"/>
      <c r="I198" s="33"/>
      <c r="J198" s="34"/>
      <c r="K198" s="34"/>
      <c r="L198" s="34"/>
      <c r="M198" s="33"/>
      <c r="N198" s="34"/>
      <c r="O198" s="35"/>
      <c r="P198" s="36"/>
      <c r="Q198" s="35"/>
    </row>
    <row r="199" spans="1:17" x14ac:dyDescent="0.35">
      <c r="A199" s="1"/>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1:17" x14ac:dyDescent="0.35">
      <c r="A200" s="1"/>
      <c r="B200" s="1"/>
      <c r="C200" s="1"/>
      <c r="D200" s="1"/>
      <c r="E200" s="1"/>
      <c r="F200" s="1"/>
      <c r="G200" s="1"/>
      <c r="H200" s="1"/>
      <c r="I200" s="1"/>
      <c r="J200" s="1"/>
      <c r="K200" s="1"/>
      <c r="L200" s="1"/>
      <c r="M200" s="1"/>
      <c r="N200" s="1"/>
      <c r="O200" s="1"/>
      <c r="P200" s="1"/>
      <c r="Q200" s="78" t="s">
        <v>21404</v>
      </c>
    </row>
    <row r="201" spans="1:17" x14ac:dyDescent="0.35">
      <c r="A201" s="1"/>
      <c r="B201" s="1"/>
      <c r="C201" s="78" t="s">
        <v>21592</v>
      </c>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77" t="s">
        <v>21399</v>
      </c>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t="s">
        <v>21398</v>
      </c>
      <c r="D205" s="1" t="s">
        <v>75</v>
      </c>
      <c r="E205" s="1" t="s">
        <v>13768</v>
      </c>
      <c r="F205" s="2" t="s">
        <v>21397</v>
      </c>
      <c r="G205" s="1" t="s">
        <v>9</v>
      </c>
      <c r="H205" s="1"/>
      <c r="I205" s="1"/>
      <c r="J205" s="1"/>
      <c r="K205" s="1"/>
      <c r="L205" s="1"/>
      <c r="M205" s="1"/>
      <c r="N205" s="1"/>
      <c r="O205" s="1"/>
      <c r="P205" s="1"/>
      <c r="Q205" s="1"/>
    </row>
    <row r="206" spans="1:17" x14ac:dyDescent="0.35">
      <c r="B206" s="49" t="s">
        <v>14845</v>
      </c>
      <c r="C206" s="352" t="s">
        <v>14846</v>
      </c>
    </row>
    <row r="207" spans="1:17" x14ac:dyDescent="0.35">
      <c r="B207" s="49" t="s">
        <v>14847</v>
      </c>
      <c r="C207" s="53" t="s">
        <v>14848</v>
      </c>
    </row>
    <row r="208" spans="1:17" x14ac:dyDescent="0.35">
      <c r="B208" s="49" t="s">
        <v>14849</v>
      </c>
      <c r="C208" s="53" t="s">
        <v>14850</v>
      </c>
    </row>
    <row r="209" spans="2:3" x14ac:dyDescent="0.35">
      <c r="B209" s="49" t="s">
        <v>14851</v>
      </c>
      <c r="C209" s="53" t="s">
        <v>14852</v>
      </c>
    </row>
    <row r="210" spans="2:3" x14ac:dyDescent="0.35">
      <c r="B210" s="49" t="s">
        <v>14853</v>
      </c>
      <c r="C210" s="53" t="s">
        <v>14854</v>
      </c>
    </row>
    <row r="211" spans="2:3" x14ac:dyDescent="0.35">
      <c r="B211" s="49" t="s">
        <v>14855</v>
      </c>
      <c r="C211" s="53" t="s">
        <v>14856</v>
      </c>
    </row>
    <row r="212" spans="2:3" x14ac:dyDescent="0.35">
      <c r="B212" s="49" t="s">
        <v>14857</v>
      </c>
      <c r="C212" s="53" t="s">
        <v>14858</v>
      </c>
    </row>
    <row r="213" spans="2:3" x14ac:dyDescent="0.35">
      <c r="B213" s="49" t="s">
        <v>14859</v>
      </c>
      <c r="C213" s="53" t="s">
        <v>14860</v>
      </c>
    </row>
    <row r="214" spans="2:3" x14ac:dyDescent="0.35">
      <c r="B214" s="49" t="s">
        <v>14861</v>
      </c>
      <c r="C214" s="53" t="s">
        <v>14862</v>
      </c>
    </row>
    <row r="215" spans="2:3" x14ac:dyDescent="0.35">
      <c r="B215" s="49" t="s">
        <v>14863</v>
      </c>
      <c r="C215" s="53" t="s">
        <v>14864</v>
      </c>
    </row>
    <row r="216" spans="2:3" x14ac:dyDescent="0.35">
      <c r="B216" s="49" t="s">
        <v>14865</v>
      </c>
      <c r="C216" s="53" t="s">
        <v>14866</v>
      </c>
    </row>
  </sheetData>
  <mergeCells count="9">
    <mergeCell ref="J5:K5"/>
    <mergeCell ref="J6:K6"/>
    <mergeCell ref="J7:K7"/>
    <mergeCell ref="A3:B3"/>
    <mergeCell ref="D3:G3"/>
    <mergeCell ref="J3:K3"/>
    <mergeCell ref="P3:Q3"/>
    <mergeCell ref="A4:B4"/>
    <mergeCell ref="J4:K4"/>
  </mergeCells>
  <dataValidations count="1">
    <dataValidation type="list" allowBlank="1" showInputMessage="1" showErrorMessage="1" sqref="C16:C190" xr:uid="{BE6B3C49-E059-4DF2-8209-5081FD5361BA}">
      <formula1>$C$205:$C207</formula1>
    </dataValidation>
  </dataValidations>
  <hyperlinks>
    <hyperlink ref="D3" r:id="rId1" display="datamateapp@gmail.com" xr:uid="{61F9CB7A-81FE-4D82-834F-6A73C9054DF0}"/>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59809" r:id="rId4" name="Button 1">
              <controlPr defaultSize="0" print="0" autoFill="0" autoPict="0" macro="SaveData">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759810" r:id="rId5" name="Button 2">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759811"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759812"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759813" r:id="rId8" name="Button 5">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759814" r:id="rId9" name="Button 6">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759815" r:id="rId10" name="Button 7">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759816" r:id="rId11" name="Button 8">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mc:AlternateContent xmlns:mc="http://schemas.openxmlformats.org/markup-compatibility/2006">
          <mc:Choice Requires="x14">
            <control shapeId="759817" r:id="rId12" name="Button 9">
              <controlPr defaultSize="0" print="0" autoFill="0" autoPict="0" macro="[0]!ExitSEC_118000">
                <anchor moveWithCells="1" sizeWithCells="1">
                  <from>
                    <xdr:col>16</xdr:col>
                    <xdr:colOff>0</xdr:colOff>
                    <xdr:row>0</xdr:row>
                    <xdr:rowOff>0</xdr:rowOff>
                  </from>
                  <to>
                    <xdr:col>16</xdr:col>
                    <xdr:colOff>1270000</xdr:colOff>
                    <xdr:row>2</xdr:row>
                    <xdr:rowOff>12700</xdr:rowOff>
                  </to>
                </anchor>
              </controlPr>
            </control>
          </mc:Choice>
        </mc:AlternateContent>
      </controls>
    </mc:Choice>
  </mc:AlternateContent>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61A14-6A4A-48D5-8C44-BAC5A7887C92}">
  <sheetPr codeName="Sheet191"/>
  <dimension ref="A1:Q205"/>
  <sheetViews>
    <sheetView zoomScale="75" zoomScaleNormal="75" workbookViewId="0">
      <selection activeCell="C49" sqref="C49"/>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f>C10</f>
        <v>0</v>
      </c>
      <c r="J2" s="59"/>
      <c r="K2" s="59"/>
      <c r="L2" s="1"/>
      <c r="M2" s="59"/>
      <c r="N2" s="59"/>
      <c r="O2" s="60"/>
      <c r="P2" s="57"/>
      <c r="Q2" s="57"/>
    </row>
    <row r="3" spans="1:17" ht="15" thickBot="1" x14ac:dyDescent="0.4">
      <c r="A3" s="446" t="s">
        <v>21561</v>
      </c>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40"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f>B206</f>
        <v>0</v>
      </c>
      <c r="C10" s="24">
        <f>C206</f>
        <v>0</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f>C10</f>
        <v>0</v>
      </c>
      <c r="D12" s="31"/>
      <c r="E12" s="32"/>
      <c r="F12" s="34"/>
      <c r="G12" s="33"/>
      <c r="H12" s="34"/>
      <c r="I12" s="33"/>
      <c r="J12" s="34"/>
      <c r="K12" s="34"/>
      <c r="L12" s="34"/>
      <c r="M12" s="33"/>
      <c r="N12" s="34"/>
      <c r="O12" s="35"/>
      <c r="P12" s="31"/>
      <c r="Q12" s="35"/>
    </row>
    <row r="13" spans="1:17" x14ac:dyDescent="0.35">
      <c r="A13" s="1"/>
      <c r="B13" s="1"/>
      <c r="C13" s="1"/>
      <c r="D13" s="1"/>
      <c r="E13" s="1"/>
      <c r="F13" s="1"/>
      <c r="G13" s="1"/>
      <c r="H13" s="1"/>
      <c r="I13" s="1"/>
      <c r="J13" s="1"/>
      <c r="K13" s="1"/>
      <c r="L13" s="1"/>
      <c r="M13" s="1"/>
      <c r="N13" s="1"/>
      <c r="O13" s="1"/>
      <c r="P13" s="1"/>
      <c r="Q13" s="1"/>
    </row>
    <row r="14" spans="1:17" x14ac:dyDescent="0.35">
      <c r="A14" s="1"/>
      <c r="B14" s="1"/>
      <c r="C14" s="1"/>
      <c r="D14" s="1"/>
      <c r="E14" s="1"/>
      <c r="F14" s="1"/>
      <c r="G14" s="1"/>
      <c r="H14" s="1"/>
      <c r="I14" s="1"/>
      <c r="J14" s="1"/>
      <c r="K14" s="1"/>
      <c r="L14" s="1"/>
      <c r="M14" s="1"/>
      <c r="N14" s="1"/>
      <c r="O14" s="1"/>
      <c r="P14" s="1"/>
      <c r="Q14" s="1"/>
    </row>
    <row r="15" spans="1:17" x14ac:dyDescent="0.35">
      <c r="A15" s="1"/>
      <c r="B15" s="1"/>
      <c r="C15" s="1"/>
      <c r="D15" s="1"/>
      <c r="E15" s="1"/>
      <c r="F15" s="1"/>
      <c r="G15" s="1"/>
      <c r="H15" s="1"/>
      <c r="I15" s="1"/>
      <c r="J15" s="1"/>
      <c r="K15" s="1"/>
      <c r="L15" s="1"/>
      <c r="M15" s="1"/>
      <c r="N15" s="1"/>
      <c r="O15" s="1"/>
      <c r="P15" s="1"/>
      <c r="Q15" s="1"/>
    </row>
    <row r="16" spans="1:17" x14ac:dyDescent="0.35">
      <c r="A16" s="1"/>
      <c r="B16" s="1"/>
      <c r="C16" s="1"/>
      <c r="D16" s="1"/>
      <c r="E16" s="1"/>
      <c r="F16" s="1"/>
      <c r="G16" s="1"/>
      <c r="H16" s="1"/>
      <c r="I16" s="1"/>
      <c r="J16" s="1"/>
      <c r="K16" s="1"/>
      <c r="L16" s="1"/>
      <c r="M16" s="1"/>
      <c r="N16" s="1"/>
      <c r="O16" s="1"/>
      <c r="P16" s="1"/>
      <c r="Q16" s="1"/>
    </row>
    <row r="17" spans="1:17" x14ac:dyDescent="0.35">
      <c r="A17" s="1"/>
      <c r="B17" s="1"/>
      <c r="C17" s="1"/>
      <c r="D17" s="1"/>
      <c r="E17" s="1"/>
      <c r="F17" s="1"/>
      <c r="G17" s="1"/>
      <c r="H17" s="1"/>
      <c r="I17" s="1"/>
      <c r="J17" s="1"/>
      <c r="K17" s="1"/>
      <c r="L17" s="1"/>
      <c r="M17" s="1"/>
      <c r="N17" s="1"/>
      <c r="O17" s="1"/>
      <c r="P17" s="1"/>
      <c r="Q17" s="1"/>
    </row>
    <row r="18" spans="1:17" x14ac:dyDescent="0.35">
      <c r="A18" s="1"/>
      <c r="B18" s="1"/>
      <c r="C18" s="1"/>
      <c r="D18" s="1"/>
      <c r="E18" s="1"/>
      <c r="F18" s="1"/>
      <c r="G18" s="1"/>
      <c r="H18" s="1"/>
      <c r="I18" s="1"/>
      <c r="J18" s="1"/>
      <c r="K18" s="1"/>
      <c r="L18" s="1"/>
      <c r="M18" s="1"/>
      <c r="N18" s="1"/>
      <c r="O18" s="1"/>
      <c r="P18" s="1"/>
      <c r="Q18" s="1"/>
    </row>
    <row r="19" spans="1:17" x14ac:dyDescent="0.35">
      <c r="A19" s="1"/>
      <c r="B19" s="1"/>
      <c r="C19" s="1"/>
      <c r="D19" s="1"/>
      <c r="E19" s="1"/>
      <c r="F19" s="1"/>
      <c r="G19" s="1"/>
      <c r="H19" s="1"/>
      <c r="I19" s="1"/>
      <c r="J19" s="1"/>
      <c r="K19" s="1"/>
      <c r="L19" s="1"/>
      <c r="M19" s="1"/>
      <c r="N19" s="1"/>
      <c r="O19" s="1"/>
      <c r="P19" s="1"/>
      <c r="Q19" s="1"/>
    </row>
    <row r="20" spans="1:17" x14ac:dyDescent="0.35">
      <c r="A20" s="1"/>
      <c r="B20" s="1"/>
      <c r="C20" s="1"/>
      <c r="D20" s="1"/>
      <c r="E20" s="1"/>
      <c r="F20" s="1"/>
      <c r="G20" s="1"/>
      <c r="H20" s="1"/>
      <c r="I20" s="1"/>
      <c r="J20" s="1"/>
      <c r="K20" s="1"/>
      <c r="L20" s="1"/>
      <c r="M20" s="1"/>
      <c r="N20" s="1"/>
      <c r="O20" s="1"/>
      <c r="P20" s="1"/>
      <c r="Q20" s="1"/>
    </row>
    <row r="21" spans="1:17" x14ac:dyDescent="0.35">
      <c r="A21" s="1"/>
      <c r="B21" s="1"/>
      <c r="C21" s="1"/>
      <c r="D21" s="1"/>
      <c r="E21" s="1"/>
      <c r="F21" s="1"/>
      <c r="G21" s="1"/>
      <c r="H21" s="1"/>
      <c r="I21" s="1"/>
      <c r="J21" s="1"/>
      <c r="K21" s="1"/>
      <c r="L21" s="1"/>
      <c r="M21" s="1"/>
      <c r="N21" s="1"/>
      <c r="O21" s="1"/>
      <c r="P21" s="1"/>
      <c r="Q21" s="1"/>
    </row>
    <row r="22" spans="1:17" x14ac:dyDescent="0.35">
      <c r="A22" s="1"/>
      <c r="B22" s="1"/>
      <c r="C22" s="1"/>
      <c r="D22" s="1"/>
      <c r="E22" s="1"/>
      <c r="F22" s="1"/>
      <c r="G22" s="1"/>
      <c r="H22" s="1"/>
      <c r="I22" s="1"/>
      <c r="J22" s="1"/>
      <c r="K22" s="1"/>
      <c r="L22" s="1"/>
      <c r="M22" s="1"/>
      <c r="N22" s="1"/>
      <c r="O22" s="1"/>
      <c r="P22" s="1"/>
      <c r="Q22" s="1"/>
    </row>
    <row r="23" spans="1:17" x14ac:dyDescent="0.35">
      <c r="A23" s="1"/>
      <c r="B23" s="1"/>
      <c r="C23" s="1"/>
      <c r="D23" s="1"/>
      <c r="E23" s="1"/>
      <c r="F23" s="1"/>
      <c r="G23" s="1"/>
      <c r="H23" s="1"/>
      <c r="I23" s="1"/>
      <c r="J23" s="1"/>
      <c r="K23" s="1"/>
      <c r="L23" s="1"/>
      <c r="M23" s="1"/>
      <c r="N23" s="1"/>
      <c r="O23" s="1"/>
      <c r="P23" s="1"/>
      <c r="Q23" s="1"/>
    </row>
    <row r="24" spans="1:17" x14ac:dyDescent="0.35">
      <c r="A24" s="1"/>
      <c r="B24" s="1"/>
      <c r="C24" s="1"/>
      <c r="D24" s="1"/>
      <c r="E24" s="1"/>
      <c r="F24" s="1"/>
      <c r="G24" s="1"/>
      <c r="H24" s="1"/>
      <c r="I24" s="1"/>
      <c r="J24" s="1"/>
      <c r="K24" s="1"/>
      <c r="L24" s="1"/>
      <c r="M24" s="1"/>
      <c r="N24" s="1"/>
      <c r="O24" s="1"/>
      <c r="P24" s="1"/>
      <c r="Q24" s="1"/>
    </row>
    <row r="25" spans="1:17" x14ac:dyDescent="0.35">
      <c r="A25" s="1"/>
      <c r="B25" s="1"/>
      <c r="C25" s="1"/>
      <c r="D25" s="1"/>
      <c r="E25" s="1"/>
      <c r="F25" s="1"/>
      <c r="G25" s="1"/>
      <c r="H25" s="1"/>
      <c r="I25" s="1"/>
      <c r="J25" s="1"/>
      <c r="K25" s="1"/>
      <c r="L25" s="1"/>
      <c r="M25" s="1"/>
      <c r="N25" s="1"/>
      <c r="O25" s="1"/>
      <c r="P25" s="1"/>
      <c r="Q25" s="1"/>
    </row>
    <row r="26" spans="1:17" x14ac:dyDescent="0.35">
      <c r="A26" s="1"/>
      <c r="B26" s="1"/>
      <c r="C26" s="1"/>
      <c r="D26" s="1"/>
      <c r="E26" s="1"/>
      <c r="F26" s="1"/>
      <c r="G26" s="1"/>
      <c r="H26" s="1"/>
      <c r="I26" s="1"/>
      <c r="J26" s="1"/>
      <c r="K26" s="1"/>
      <c r="L26" s="1"/>
      <c r="M26" s="1"/>
      <c r="N26" s="1"/>
      <c r="O26" s="1"/>
      <c r="P26" s="1"/>
      <c r="Q26" s="1"/>
    </row>
    <row r="27" spans="1:17" x14ac:dyDescent="0.35">
      <c r="A27" s="1"/>
      <c r="B27" s="1"/>
      <c r="C27" s="1"/>
      <c r="D27" s="1"/>
      <c r="E27" s="1"/>
      <c r="F27" s="1"/>
      <c r="G27" s="1"/>
      <c r="H27" s="1"/>
      <c r="I27" s="1"/>
      <c r="J27" s="1"/>
      <c r="K27" s="1"/>
      <c r="L27" s="1"/>
      <c r="M27" s="1"/>
      <c r="N27" s="1"/>
      <c r="O27" s="1"/>
      <c r="P27" s="1"/>
      <c r="Q27" s="1"/>
    </row>
    <row r="28" spans="1:17" x14ac:dyDescent="0.35">
      <c r="A28" s="1"/>
      <c r="B28" s="1"/>
      <c r="C28" s="1"/>
      <c r="D28" s="1"/>
      <c r="E28" s="1"/>
      <c r="F28" s="1"/>
      <c r="G28" s="1"/>
      <c r="H28" s="1"/>
      <c r="I28" s="1"/>
      <c r="J28" s="1"/>
      <c r="K28" s="1"/>
      <c r="L28" s="1"/>
      <c r="M28" s="1"/>
      <c r="N28" s="1"/>
      <c r="O28" s="1"/>
      <c r="P28" s="1"/>
      <c r="Q28" s="1"/>
    </row>
    <row r="29" spans="1:17" x14ac:dyDescent="0.35">
      <c r="A29" s="1"/>
      <c r="B29" s="1"/>
      <c r="C29" s="1"/>
      <c r="D29" s="1"/>
      <c r="E29" s="1"/>
      <c r="F29" s="1"/>
      <c r="G29" s="1"/>
      <c r="H29" s="1"/>
      <c r="I29" s="1"/>
      <c r="J29" s="1"/>
      <c r="K29" s="1"/>
      <c r="L29" s="1"/>
      <c r="M29" s="1"/>
      <c r="N29" s="1"/>
      <c r="O29" s="1"/>
      <c r="P29" s="1"/>
      <c r="Q29" s="1"/>
    </row>
    <row r="30" spans="1:17" x14ac:dyDescent="0.35">
      <c r="A30" s="1"/>
      <c r="B30" s="1"/>
      <c r="C30" s="1"/>
      <c r="D30" s="1"/>
      <c r="E30" s="1"/>
      <c r="F30" s="1"/>
      <c r="G30" s="1"/>
      <c r="H30" s="1"/>
      <c r="I30" s="1"/>
      <c r="J30" s="1"/>
      <c r="K30" s="1"/>
      <c r="L30" s="1"/>
      <c r="M30" s="1"/>
      <c r="N30" s="1"/>
      <c r="O30" s="1"/>
      <c r="P30" s="1"/>
      <c r="Q30" s="1"/>
    </row>
    <row r="31" spans="1:17" x14ac:dyDescent="0.35">
      <c r="A31" s="1"/>
      <c r="B31" s="1"/>
      <c r="C31" s="1"/>
      <c r="D31" s="1"/>
      <c r="E31" s="1"/>
      <c r="F31" s="1"/>
      <c r="G31" s="1"/>
      <c r="H31" s="1"/>
      <c r="I31" s="1"/>
      <c r="J31" s="1"/>
      <c r="K31" s="1"/>
      <c r="L31" s="1"/>
      <c r="M31" s="1"/>
      <c r="N31" s="1"/>
      <c r="O31" s="1"/>
      <c r="P31" s="1"/>
      <c r="Q31" s="1"/>
    </row>
    <row r="32" spans="1:17" x14ac:dyDescent="0.35">
      <c r="A32" s="1"/>
      <c r="B32" s="1"/>
      <c r="C32" s="1"/>
      <c r="D32" s="1"/>
      <c r="E32" s="1"/>
      <c r="F32" s="1"/>
      <c r="G32" s="1"/>
      <c r="H32" s="1"/>
      <c r="I32" s="1"/>
      <c r="J32" s="1"/>
      <c r="K32" s="1"/>
      <c r="L32" s="1"/>
      <c r="M32" s="1"/>
      <c r="N32" s="1"/>
      <c r="O32" s="1"/>
      <c r="P32" s="1"/>
      <c r="Q32" s="1"/>
    </row>
    <row r="33" spans="1:17" x14ac:dyDescent="0.35">
      <c r="A33" s="1"/>
      <c r="B33" s="1"/>
      <c r="C33" s="1"/>
      <c r="D33" s="1"/>
      <c r="E33" s="1"/>
      <c r="F33" s="1"/>
      <c r="G33" s="1"/>
      <c r="H33" s="1"/>
      <c r="I33" s="1"/>
      <c r="J33" s="1"/>
      <c r="K33" s="1"/>
      <c r="L33" s="1"/>
      <c r="M33" s="1"/>
      <c r="N33" s="1"/>
      <c r="O33" s="1"/>
      <c r="P33" s="1"/>
      <c r="Q33" s="1"/>
    </row>
    <row r="34" spans="1:17" x14ac:dyDescent="0.35">
      <c r="A34" s="1"/>
      <c r="B34" s="1"/>
      <c r="C34" s="1"/>
      <c r="D34" s="1"/>
      <c r="E34" s="1"/>
      <c r="F34" s="1"/>
      <c r="G34" s="1"/>
      <c r="H34" s="1"/>
      <c r="I34" s="1"/>
      <c r="J34" s="1"/>
      <c r="K34" s="1"/>
      <c r="L34" s="1"/>
      <c r="M34" s="1"/>
      <c r="N34" s="1"/>
      <c r="O34" s="1"/>
      <c r="P34" s="1"/>
      <c r="Q34" s="1"/>
    </row>
    <row r="35" spans="1:17" x14ac:dyDescent="0.35">
      <c r="A35" s="1"/>
      <c r="B35" s="1"/>
      <c r="C35" s="1"/>
      <c r="D35" s="1"/>
      <c r="E35" s="1"/>
      <c r="F35" s="1"/>
      <c r="G35" s="1"/>
      <c r="H35" s="1"/>
      <c r="I35" s="1"/>
      <c r="J35" s="1"/>
      <c r="K35" s="1"/>
      <c r="L35" s="1"/>
      <c r="M35" s="1"/>
      <c r="N35" s="1"/>
      <c r="O35" s="1"/>
      <c r="P35" s="1"/>
      <c r="Q35" s="1"/>
    </row>
    <row r="36" spans="1:17" x14ac:dyDescent="0.35">
      <c r="A36" s="1"/>
      <c r="B36" s="1"/>
      <c r="C36" s="1"/>
      <c r="D36" s="1"/>
      <c r="E36" s="1"/>
      <c r="F36" s="1"/>
      <c r="G36" s="1"/>
      <c r="H36" s="1"/>
      <c r="I36" s="1"/>
      <c r="J36" s="1"/>
      <c r="K36" s="1"/>
      <c r="L36" s="1"/>
      <c r="M36" s="1"/>
      <c r="N36" s="1"/>
      <c r="O36" s="1"/>
      <c r="P36" s="1"/>
      <c r="Q36" s="1"/>
    </row>
    <row r="37" spans="1:17" x14ac:dyDescent="0.35">
      <c r="A37" s="1"/>
      <c r="B37" s="1"/>
      <c r="C37" s="1"/>
      <c r="D37" s="1"/>
      <c r="E37" s="1"/>
      <c r="F37" s="1"/>
      <c r="G37" s="1"/>
      <c r="H37" s="1"/>
      <c r="I37" s="1"/>
      <c r="J37" s="1"/>
      <c r="K37" s="1"/>
      <c r="L37" s="1"/>
      <c r="M37" s="1"/>
      <c r="N37" s="1"/>
      <c r="O37" s="1"/>
      <c r="P37" s="1"/>
      <c r="Q37" s="1"/>
    </row>
    <row r="38" spans="1:17" x14ac:dyDescent="0.35">
      <c r="A38" s="1"/>
      <c r="B38" s="1"/>
      <c r="C38" s="1"/>
      <c r="D38" s="1"/>
      <c r="E38" s="1"/>
      <c r="F38" s="1"/>
      <c r="G38" s="1"/>
      <c r="H38" s="1"/>
      <c r="I38" s="1"/>
      <c r="J38" s="1"/>
      <c r="K38" s="1"/>
      <c r="L38" s="1"/>
      <c r="M38" s="1"/>
      <c r="N38" s="1"/>
      <c r="O38" s="1"/>
      <c r="P38" s="1"/>
      <c r="Q38" s="1"/>
    </row>
    <row r="39" spans="1:17" x14ac:dyDescent="0.35">
      <c r="A39" s="1"/>
      <c r="B39" s="1"/>
      <c r="C39" s="1"/>
      <c r="D39" s="1"/>
      <c r="E39" s="1"/>
      <c r="F39" s="1"/>
      <c r="G39" s="1"/>
      <c r="H39" s="1"/>
      <c r="I39" s="1"/>
      <c r="J39" s="1"/>
      <c r="K39" s="1"/>
      <c r="L39" s="1"/>
      <c r="M39" s="1"/>
      <c r="N39" s="1"/>
      <c r="O39" s="1"/>
      <c r="P39" s="1"/>
      <c r="Q39" s="1"/>
    </row>
    <row r="40" spans="1:17" x14ac:dyDescent="0.35">
      <c r="A40" s="1"/>
      <c r="B40" s="1"/>
      <c r="C40" s="1"/>
      <c r="D40" s="1"/>
      <c r="E40" s="1"/>
      <c r="F40" s="1"/>
      <c r="G40" s="1"/>
      <c r="H40" s="1"/>
      <c r="I40" s="1"/>
      <c r="J40" s="1"/>
      <c r="K40" s="1"/>
      <c r="L40" s="1"/>
      <c r="M40" s="1"/>
      <c r="N40" s="1"/>
      <c r="O40" s="1"/>
      <c r="P40" s="1"/>
      <c r="Q40" s="1"/>
    </row>
    <row r="41" spans="1:17" x14ac:dyDescent="0.35">
      <c r="A41" s="1"/>
      <c r="B41" s="1"/>
      <c r="C41" s="1"/>
      <c r="D41" s="1"/>
      <c r="E41" s="1"/>
      <c r="F41" s="1"/>
      <c r="G41" s="1"/>
      <c r="H41" s="1"/>
      <c r="I41" s="1"/>
      <c r="J41" s="1"/>
      <c r="K41" s="1"/>
      <c r="L41" s="1"/>
      <c r="M41" s="1"/>
      <c r="N41" s="1"/>
      <c r="O41" s="1"/>
      <c r="P41" s="1"/>
      <c r="Q41" s="1"/>
    </row>
    <row r="42" spans="1:17" x14ac:dyDescent="0.35">
      <c r="A42" s="1"/>
      <c r="B42" s="1"/>
      <c r="C42" s="1"/>
      <c r="D42" s="1"/>
      <c r="E42" s="1"/>
      <c r="F42" s="1"/>
      <c r="G42" s="1"/>
      <c r="H42" s="1"/>
      <c r="I42" s="1"/>
      <c r="J42" s="1"/>
      <c r="K42" s="1"/>
      <c r="L42" s="1"/>
      <c r="M42" s="1"/>
      <c r="N42" s="1"/>
      <c r="O42" s="1"/>
      <c r="P42" s="1"/>
      <c r="Q42" s="1"/>
    </row>
    <row r="43" spans="1:17" x14ac:dyDescent="0.35">
      <c r="A43" s="1"/>
      <c r="B43" s="1"/>
      <c r="C43" s="1"/>
      <c r="D43" s="1"/>
      <c r="E43" s="1"/>
      <c r="F43" s="1"/>
      <c r="G43" s="1"/>
      <c r="H43" s="1"/>
      <c r="I43" s="1"/>
      <c r="J43" s="1"/>
      <c r="K43" s="1"/>
      <c r="L43" s="1"/>
      <c r="M43" s="1"/>
      <c r="N43" s="1"/>
      <c r="O43" s="1"/>
      <c r="P43" s="1"/>
      <c r="Q43" s="1"/>
    </row>
    <row r="44" spans="1:17" x14ac:dyDescent="0.35">
      <c r="A44" s="1"/>
      <c r="B44" s="1"/>
      <c r="C44" s="1"/>
      <c r="D44" s="1"/>
      <c r="E44" s="1"/>
      <c r="F44" s="1"/>
      <c r="G44" s="1"/>
      <c r="H44" s="1"/>
      <c r="I44" s="1"/>
      <c r="J44" s="1"/>
      <c r="K44" s="1"/>
      <c r="L44" s="1"/>
      <c r="M44" s="1"/>
      <c r="N44" s="1"/>
      <c r="O44" s="1"/>
      <c r="P44" s="1"/>
      <c r="Q44" s="1"/>
    </row>
    <row r="45" spans="1:17" x14ac:dyDescent="0.35">
      <c r="A45" s="1"/>
      <c r="B45" s="1"/>
      <c r="C45" s="1"/>
      <c r="D45" s="1"/>
      <c r="E45" s="1"/>
      <c r="F45" s="1"/>
      <c r="G45" s="1"/>
      <c r="H45" s="1"/>
      <c r="I45" s="1"/>
      <c r="J45" s="1"/>
      <c r="K45" s="1"/>
      <c r="L45" s="1"/>
      <c r="M45" s="1"/>
      <c r="N45" s="1"/>
      <c r="O45" s="1"/>
      <c r="P45" s="1"/>
      <c r="Q45" s="1"/>
    </row>
    <row r="46" spans="1:17" x14ac:dyDescent="0.35">
      <c r="A46" s="1"/>
      <c r="B46" s="1"/>
      <c r="C46" s="1"/>
      <c r="D46" s="1"/>
      <c r="E46" s="1"/>
      <c r="F46" s="1"/>
      <c r="G46" s="1"/>
      <c r="H46" s="1"/>
      <c r="I46" s="1"/>
      <c r="J46" s="1"/>
      <c r="K46" s="1"/>
      <c r="L46" s="1"/>
      <c r="M46" s="1"/>
      <c r="N46" s="1"/>
      <c r="O46" s="1"/>
      <c r="P46" s="1"/>
      <c r="Q46" s="1"/>
    </row>
    <row r="47" spans="1:17" x14ac:dyDescent="0.35">
      <c r="A47" s="1"/>
      <c r="B47" s="1"/>
      <c r="C47" s="1"/>
      <c r="D47" s="1"/>
      <c r="E47" s="1"/>
      <c r="F47" s="1"/>
      <c r="G47" s="1"/>
      <c r="H47" s="1"/>
      <c r="I47" s="1"/>
      <c r="J47" s="1"/>
      <c r="K47" s="1"/>
      <c r="L47" s="1"/>
      <c r="M47" s="1"/>
      <c r="N47" s="1"/>
      <c r="O47" s="1"/>
      <c r="P47" s="1"/>
      <c r="Q47" s="1"/>
    </row>
    <row r="48" spans="1:17" x14ac:dyDescent="0.35">
      <c r="A48" s="1"/>
      <c r="B48" s="1"/>
      <c r="C48" s="1"/>
      <c r="D48" s="1"/>
      <c r="E48" s="1"/>
      <c r="F48" s="1"/>
      <c r="G48" s="1"/>
      <c r="H48" s="1"/>
      <c r="I48" s="1"/>
      <c r="J48" s="1"/>
      <c r="K48" s="1"/>
      <c r="L48" s="1"/>
      <c r="M48" s="1"/>
      <c r="N48" s="1"/>
      <c r="O48" s="1"/>
      <c r="P48" s="1"/>
      <c r="Q48" s="1"/>
    </row>
    <row r="49" spans="1:17" x14ac:dyDescent="0.35">
      <c r="A49" s="1"/>
      <c r="B49" s="1"/>
      <c r="C49" s="1"/>
      <c r="D49" s="1"/>
      <c r="E49" s="1"/>
      <c r="F49" s="1"/>
      <c r="G49" s="1"/>
      <c r="H49" s="1"/>
      <c r="I49" s="1"/>
      <c r="J49" s="1"/>
      <c r="K49" s="1"/>
      <c r="L49" s="1"/>
      <c r="M49" s="1"/>
      <c r="N49" s="1"/>
      <c r="O49" s="1"/>
      <c r="P49" s="1"/>
      <c r="Q49" s="1"/>
    </row>
    <row r="50" spans="1:17" x14ac:dyDescent="0.35">
      <c r="A50" s="1"/>
      <c r="B50" s="1"/>
      <c r="C50" s="1"/>
      <c r="D50" s="1"/>
      <c r="E50" s="1"/>
      <c r="F50" s="1"/>
      <c r="G50" s="1"/>
      <c r="H50" s="1"/>
      <c r="I50" s="1"/>
      <c r="J50" s="1"/>
      <c r="K50" s="1"/>
      <c r="L50" s="1"/>
      <c r="M50" s="1"/>
      <c r="N50" s="1"/>
      <c r="O50" s="1"/>
      <c r="P50" s="1"/>
      <c r="Q50" s="1"/>
    </row>
    <row r="51" spans="1:17" x14ac:dyDescent="0.35">
      <c r="A51" s="1"/>
      <c r="B51" s="1"/>
      <c r="C51" s="1"/>
      <c r="D51" s="1"/>
      <c r="E51" s="1"/>
      <c r="F51" s="1"/>
      <c r="G51" s="1"/>
      <c r="H51" s="1"/>
      <c r="I51" s="1"/>
      <c r="J51" s="1"/>
      <c r="K51" s="1"/>
      <c r="L51" s="1"/>
      <c r="M51" s="1"/>
      <c r="N51" s="1"/>
      <c r="O51" s="1"/>
      <c r="P51" s="1"/>
      <c r="Q51" s="1"/>
    </row>
    <row r="52" spans="1:17" x14ac:dyDescent="0.35">
      <c r="A52" s="1"/>
      <c r="B52" s="1"/>
      <c r="C52" s="1"/>
      <c r="D52" s="1"/>
      <c r="E52" s="1"/>
      <c r="F52" s="1"/>
      <c r="G52" s="1"/>
      <c r="H52" s="1"/>
      <c r="I52" s="1"/>
      <c r="J52" s="1"/>
      <c r="K52" s="1"/>
      <c r="L52" s="1"/>
      <c r="M52" s="1"/>
      <c r="N52" s="1"/>
      <c r="O52" s="1"/>
      <c r="P52" s="1"/>
      <c r="Q52" s="1"/>
    </row>
    <row r="53" spans="1:17" x14ac:dyDescent="0.35">
      <c r="A53" s="1"/>
      <c r="B53" s="1"/>
      <c r="C53" s="1"/>
      <c r="D53" s="1"/>
      <c r="E53" s="1"/>
      <c r="F53" s="1"/>
      <c r="G53" s="1"/>
      <c r="H53" s="1"/>
      <c r="I53" s="1"/>
      <c r="J53" s="1"/>
      <c r="K53" s="1"/>
      <c r="L53" s="1"/>
      <c r="M53" s="1"/>
      <c r="N53" s="1"/>
      <c r="O53" s="1"/>
      <c r="P53" s="1"/>
      <c r="Q53" s="1"/>
    </row>
    <row r="54" spans="1:17" x14ac:dyDescent="0.35">
      <c r="A54" s="1"/>
      <c r="B54" s="1"/>
      <c r="C54" s="1"/>
      <c r="D54" s="1"/>
      <c r="E54" s="1"/>
      <c r="F54" s="1"/>
      <c r="G54" s="1"/>
      <c r="H54" s="1"/>
      <c r="I54" s="1"/>
      <c r="J54" s="1"/>
      <c r="K54" s="1"/>
      <c r="L54" s="1"/>
      <c r="M54" s="1"/>
      <c r="N54" s="1"/>
      <c r="O54" s="1"/>
      <c r="P54" s="1"/>
      <c r="Q54" s="1"/>
    </row>
    <row r="55" spans="1:17" x14ac:dyDescent="0.35">
      <c r="A55" s="1"/>
      <c r="B55" s="1"/>
      <c r="C55" s="1"/>
      <c r="D55" s="1"/>
      <c r="E55" s="1"/>
      <c r="F55" s="1"/>
      <c r="G55" s="1"/>
      <c r="H55" s="1"/>
      <c r="I55" s="1"/>
      <c r="J55" s="1"/>
      <c r="K55" s="1"/>
      <c r="L55" s="1"/>
      <c r="M55" s="1"/>
      <c r="N55" s="1"/>
      <c r="O55" s="1"/>
      <c r="P55" s="1"/>
      <c r="Q55" s="1"/>
    </row>
    <row r="56" spans="1:17" x14ac:dyDescent="0.35">
      <c r="A56" s="1"/>
      <c r="B56" s="1"/>
      <c r="C56" s="1"/>
      <c r="D56" s="1"/>
      <c r="E56" s="1"/>
      <c r="F56" s="1"/>
      <c r="G56" s="1"/>
      <c r="H56" s="1"/>
      <c r="I56" s="1"/>
      <c r="J56" s="1"/>
      <c r="K56" s="1"/>
      <c r="L56" s="1"/>
      <c r="M56" s="1"/>
      <c r="N56" s="1"/>
      <c r="O56" s="1"/>
      <c r="P56" s="1"/>
      <c r="Q56" s="1"/>
    </row>
    <row r="57" spans="1:17" x14ac:dyDescent="0.35">
      <c r="A57" s="1"/>
      <c r="B57" s="1"/>
      <c r="C57" s="1"/>
      <c r="D57" s="1"/>
      <c r="E57" s="1"/>
      <c r="F57" s="1"/>
      <c r="G57" s="1"/>
      <c r="H57" s="1"/>
      <c r="I57" s="1"/>
      <c r="J57" s="1"/>
      <c r="K57" s="1"/>
      <c r="L57" s="1"/>
      <c r="M57" s="1"/>
      <c r="N57" s="1"/>
      <c r="O57" s="1"/>
      <c r="P57" s="1"/>
      <c r="Q57" s="1"/>
    </row>
    <row r="58" spans="1:17" x14ac:dyDescent="0.35">
      <c r="A58" s="1"/>
      <c r="B58" s="1"/>
      <c r="C58" s="1"/>
      <c r="D58" s="1"/>
      <c r="E58" s="1"/>
      <c r="F58" s="1"/>
      <c r="G58" s="1"/>
      <c r="H58" s="1"/>
      <c r="I58" s="1"/>
      <c r="J58" s="1"/>
      <c r="K58" s="1"/>
      <c r="L58" s="1"/>
      <c r="M58" s="1"/>
      <c r="N58" s="1"/>
      <c r="O58" s="1"/>
      <c r="P58" s="1"/>
      <c r="Q58" s="1"/>
    </row>
    <row r="59" spans="1:17" x14ac:dyDescent="0.35">
      <c r="A59" s="1"/>
      <c r="B59" s="1"/>
      <c r="C59" s="1"/>
      <c r="D59" s="1"/>
      <c r="E59" s="1"/>
      <c r="F59" s="1"/>
      <c r="G59" s="1"/>
      <c r="H59" s="1"/>
      <c r="I59" s="1"/>
      <c r="J59" s="1"/>
      <c r="K59" s="1"/>
      <c r="L59" s="1"/>
      <c r="M59" s="1"/>
      <c r="N59" s="1"/>
      <c r="O59" s="1"/>
      <c r="P59" s="1"/>
      <c r="Q59" s="1"/>
    </row>
    <row r="60" spans="1:17" x14ac:dyDescent="0.35">
      <c r="A60" s="1"/>
      <c r="B60" s="1"/>
      <c r="C60" s="1"/>
      <c r="D60" s="1"/>
      <c r="E60" s="1"/>
      <c r="F60" s="1"/>
      <c r="G60" s="1"/>
      <c r="H60" s="1"/>
      <c r="I60" s="1"/>
      <c r="J60" s="1"/>
      <c r="K60" s="1"/>
      <c r="L60" s="1"/>
      <c r="M60" s="1"/>
      <c r="N60" s="1"/>
      <c r="O60" s="1"/>
      <c r="P60" s="1"/>
      <c r="Q60" s="1"/>
    </row>
    <row r="61" spans="1:17" x14ac:dyDescent="0.35">
      <c r="A61" s="1"/>
      <c r="B61" s="1"/>
      <c r="C61" s="1"/>
      <c r="D61" s="1"/>
      <c r="E61" s="1"/>
      <c r="F61" s="1"/>
      <c r="G61" s="1"/>
      <c r="H61" s="1"/>
      <c r="I61" s="1"/>
      <c r="J61" s="1"/>
      <c r="K61" s="1"/>
      <c r="L61" s="1"/>
      <c r="M61" s="1"/>
      <c r="N61" s="1"/>
      <c r="O61" s="1"/>
      <c r="P61" s="1"/>
      <c r="Q61" s="1"/>
    </row>
    <row r="62" spans="1:17" x14ac:dyDescent="0.35">
      <c r="A62" s="1"/>
      <c r="B62" s="1"/>
      <c r="C62" s="1"/>
      <c r="D62" s="1"/>
      <c r="E62" s="1"/>
      <c r="F62" s="1"/>
      <c r="G62" s="1"/>
      <c r="H62" s="1"/>
      <c r="I62" s="1"/>
      <c r="J62" s="1"/>
      <c r="K62" s="1"/>
      <c r="L62" s="1"/>
      <c r="M62" s="1"/>
      <c r="N62" s="1"/>
      <c r="O62" s="1"/>
      <c r="P62" s="1"/>
      <c r="Q62" s="1"/>
    </row>
    <row r="63" spans="1:17" x14ac:dyDescent="0.35">
      <c r="A63" s="1"/>
      <c r="B63" s="1"/>
      <c r="C63" s="1"/>
      <c r="D63" s="1"/>
      <c r="E63" s="1"/>
      <c r="F63" s="1"/>
      <c r="G63" s="1"/>
      <c r="H63" s="1"/>
      <c r="I63" s="1"/>
      <c r="J63" s="1"/>
      <c r="K63" s="1"/>
      <c r="L63" s="1"/>
      <c r="M63" s="1"/>
      <c r="N63" s="1"/>
      <c r="O63" s="1"/>
      <c r="P63" s="1"/>
      <c r="Q63" s="1"/>
    </row>
    <row r="64" spans="1:17" x14ac:dyDescent="0.35">
      <c r="A64" s="1"/>
      <c r="B64" s="1"/>
      <c r="C64" s="1"/>
      <c r="D64" s="1"/>
      <c r="E64" s="1"/>
      <c r="F64" s="1"/>
      <c r="G64" s="1"/>
      <c r="H64" s="1"/>
      <c r="I64" s="1"/>
      <c r="J64" s="1"/>
      <c r="K64" s="1"/>
      <c r="L64" s="1"/>
      <c r="M64" s="1"/>
      <c r="N64" s="1"/>
      <c r="O64" s="1"/>
      <c r="P64" s="1"/>
      <c r="Q64" s="1"/>
    </row>
    <row r="65" spans="1:17" x14ac:dyDescent="0.35">
      <c r="A65" s="1"/>
      <c r="B65" s="1"/>
      <c r="C65" s="1"/>
      <c r="D65" s="1"/>
      <c r="E65" s="1"/>
      <c r="F65" s="1"/>
      <c r="G65" s="1"/>
      <c r="H65" s="1"/>
      <c r="I65" s="1"/>
      <c r="J65" s="1"/>
      <c r="K65" s="1"/>
      <c r="L65" s="1"/>
      <c r="M65" s="1"/>
      <c r="N65" s="1"/>
      <c r="O65" s="1"/>
      <c r="P65" s="1"/>
      <c r="Q65" s="1"/>
    </row>
    <row r="66" spans="1:17" x14ac:dyDescent="0.35">
      <c r="A66" s="1"/>
      <c r="B66" s="1"/>
      <c r="C66" s="1"/>
      <c r="D66" s="1"/>
      <c r="E66" s="1"/>
      <c r="F66" s="1"/>
      <c r="G66" s="1"/>
      <c r="H66" s="1"/>
      <c r="I66" s="1"/>
      <c r="J66" s="1"/>
      <c r="K66" s="1"/>
      <c r="L66" s="1"/>
      <c r="M66" s="1"/>
      <c r="N66" s="1"/>
      <c r="O66" s="1"/>
      <c r="P66" s="1"/>
      <c r="Q66" s="1"/>
    </row>
    <row r="67" spans="1:17" x14ac:dyDescent="0.35">
      <c r="A67" s="1"/>
      <c r="B67" s="1"/>
      <c r="C67" s="1"/>
      <c r="D67" s="1"/>
      <c r="E67" s="1"/>
      <c r="F67" s="1"/>
      <c r="G67" s="1"/>
      <c r="H67" s="1"/>
      <c r="I67" s="1"/>
      <c r="J67" s="1"/>
      <c r="K67" s="1"/>
      <c r="L67" s="1"/>
      <c r="M67" s="1"/>
      <c r="N67" s="1"/>
      <c r="O67" s="1"/>
      <c r="P67" s="1"/>
      <c r="Q67" s="1"/>
    </row>
    <row r="68" spans="1:17" x14ac:dyDescent="0.35">
      <c r="A68" s="1"/>
      <c r="B68" s="1"/>
      <c r="C68" s="1"/>
      <c r="D68" s="1"/>
      <c r="E68" s="1"/>
      <c r="F68" s="1"/>
      <c r="G68" s="1"/>
      <c r="H68" s="1"/>
      <c r="I68" s="1"/>
      <c r="J68" s="1"/>
      <c r="K68" s="1"/>
      <c r="L68" s="1"/>
      <c r="M68" s="1"/>
      <c r="N68" s="1"/>
      <c r="O68" s="1"/>
      <c r="P68" s="1"/>
      <c r="Q68" s="1"/>
    </row>
    <row r="69" spans="1:17" x14ac:dyDescent="0.35">
      <c r="A69" s="1"/>
      <c r="B69" s="1"/>
      <c r="C69" s="1"/>
      <c r="D69" s="1"/>
      <c r="E69" s="1"/>
      <c r="F69" s="1"/>
      <c r="G69" s="1"/>
      <c r="H69" s="1"/>
      <c r="I69" s="1"/>
      <c r="J69" s="1"/>
      <c r="K69" s="1"/>
      <c r="L69" s="1"/>
      <c r="M69" s="1"/>
      <c r="N69" s="1"/>
      <c r="O69" s="1"/>
      <c r="P69" s="1"/>
      <c r="Q69" s="1"/>
    </row>
    <row r="70" spans="1:17" x14ac:dyDescent="0.35">
      <c r="A70" s="1"/>
      <c r="B70" s="1"/>
      <c r="C70" s="1"/>
      <c r="D70" s="1"/>
      <c r="E70" s="1"/>
      <c r="F70" s="1"/>
      <c r="G70" s="1"/>
      <c r="H70" s="1"/>
      <c r="I70" s="1"/>
      <c r="J70" s="1"/>
      <c r="K70" s="1"/>
      <c r="L70" s="1"/>
      <c r="M70" s="1"/>
      <c r="N70" s="1"/>
      <c r="O70" s="1"/>
      <c r="P70" s="1"/>
      <c r="Q70" s="1"/>
    </row>
    <row r="71" spans="1:17" x14ac:dyDescent="0.35">
      <c r="A71" s="1"/>
      <c r="B71" s="1"/>
      <c r="C71" s="1"/>
      <c r="D71" s="1"/>
      <c r="E71" s="1"/>
      <c r="F71" s="1"/>
      <c r="G71" s="1"/>
      <c r="H71" s="1"/>
      <c r="I71" s="1"/>
      <c r="J71" s="1"/>
      <c r="K71" s="1"/>
      <c r="L71" s="1"/>
      <c r="M71" s="1"/>
      <c r="N71" s="1"/>
      <c r="O71" s="1"/>
      <c r="P71" s="1"/>
      <c r="Q71" s="1"/>
    </row>
    <row r="72" spans="1:17" x14ac:dyDescent="0.35">
      <c r="A72" s="1"/>
      <c r="B72" s="1"/>
      <c r="C72" s="1"/>
      <c r="D72" s="1"/>
      <c r="E72" s="1"/>
      <c r="F72" s="1"/>
      <c r="G72" s="1"/>
      <c r="H72" s="1"/>
      <c r="I72" s="1"/>
      <c r="J72" s="1"/>
      <c r="K72" s="1"/>
      <c r="L72" s="1"/>
      <c r="M72" s="1"/>
      <c r="N72" s="1"/>
      <c r="O72" s="1"/>
      <c r="P72" s="1"/>
      <c r="Q72" s="1"/>
    </row>
    <row r="73" spans="1:17" x14ac:dyDescent="0.35">
      <c r="A73" s="1"/>
      <c r="B73" s="1"/>
      <c r="C73" s="1"/>
      <c r="D73" s="1"/>
      <c r="E73" s="1"/>
      <c r="F73" s="1"/>
      <c r="G73" s="1"/>
      <c r="H73" s="1"/>
      <c r="I73" s="1"/>
      <c r="J73" s="1"/>
      <c r="K73" s="1"/>
      <c r="L73" s="1"/>
      <c r="M73" s="1"/>
      <c r="N73" s="1"/>
      <c r="O73" s="1"/>
      <c r="P73" s="1"/>
      <c r="Q73" s="1"/>
    </row>
    <row r="74" spans="1:17" x14ac:dyDescent="0.35">
      <c r="A74" s="1"/>
      <c r="B74" s="1"/>
      <c r="C74" s="1"/>
      <c r="D74" s="1"/>
      <c r="E74" s="1"/>
      <c r="F74" s="1"/>
      <c r="G74" s="1"/>
      <c r="H74" s="1"/>
      <c r="I74" s="1"/>
      <c r="J74" s="1"/>
      <c r="K74" s="1"/>
      <c r="L74" s="1"/>
      <c r="M74" s="1"/>
      <c r="N74" s="1"/>
      <c r="O74" s="1"/>
      <c r="P74" s="1"/>
      <c r="Q74" s="1"/>
    </row>
    <row r="75" spans="1:17" x14ac:dyDescent="0.35">
      <c r="A75" s="1"/>
      <c r="B75" s="1"/>
      <c r="C75" s="1"/>
      <c r="D75" s="1"/>
      <c r="E75" s="1"/>
      <c r="F75" s="1"/>
      <c r="G75" s="1"/>
      <c r="H75" s="1"/>
      <c r="I75" s="1"/>
      <c r="J75" s="1"/>
      <c r="K75" s="1"/>
      <c r="L75" s="1"/>
      <c r="M75" s="1"/>
      <c r="N75" s="1"/>
      <c r="O75" s="1"/>
      <c r="P75" s="1"/>
      <c r="Q75" s="1"/>
    </row>
    <row r="76" spans="1:17" x14ac:dyDescent="0.35">
      <c r="A76" s="1"/>
      <c r="B76" s="1"/>
      <c r="C76" s="1"/>
      <c r="D76" s="1"/>
      <c r="E76" s="1"/>
      <c r="F76" s="1"/>
      <c r="G76" s="1"/>
      <c r="H76" s="1"/>
      <c r="I76" s="1"/>
      <c r="J76" s="1"/>
      <c r="K76" s="1"/>
      <c r="L76" s="1"/>
      <c r="M76" s="1"/>
      <c r="N76" s="1"/>
      <c r="O76" s="1"/>
      <c r="P76" s="1"/>
      <c r="Q76" s="1"/>
    </row>
    <row r="77" spans="1:17" x14ac:dyDescent="0.35">
      <c r="A77" s="1"/>
      <c r="B77" s="1"/>
      <c r="C77" s="1"/>
      <c r="D77" s="1"/>
      <c r="E77" s="1"/>
      <c r="F77" s="1"/>
      <c r="G77" s="1"/>
      <c r="H77" s="1"/>
      <c r="I77" s="1"/>
      <c r="J77" s="1"/>
      <c r="K77" s="1"/>
      <c r="L77" s="1"/>
      <c r="M77" s="1"/>
      <c r="N77" s="1"/>
      <c r="O77" s="1"/>
      <c r="P77" s="1"/>
      <c r="Q77" s="1"/>
    </row>
    <row r="78" spans="1:17" x14ac:dyDescent="0.35">
      <c r="A78" s="1"/>
      <c r="B78" s="1"/>
      <c r="C78" s="1"/>
      <c r="D78" s="1"/>
      <c r="E78" s="1"/>
      <c r="F78" s="1"/>
      <c r="G78" s="1"/>
      <c r="H78" s="1"/>
      <c r="I78" s="1"/>
      <c r="J78" s="1"/>
      <c r="K78" s="1"/>
      <c r="L78" s="1"/>
      <c r="M78" s="1"/>
      <c r="N78" s="1"/>
      <c r="O78" s="1"/>
      <c r="P78" s="1"/>
      <c r="Q78" s="1"/>
    </row>
    <row r="79" spans="1:17" x14ac:dyDescent="0.35">
      <c r="A79" s="1"/>
      <c r="B79" s="1"/>
      <c r="C79" s="1"/>
      <c r="D79" s="1"/>
      <c r="E79" s="1"/>
      <c r="F79" s="1"/>
      <c r="G79" s="1"/>
      <c r="H79" s="1"/>
      <c r="I79" s="1"/>
      <c r="J79" s="1"/>
      <c r="K79" s="1"/>
      <c r="L79" s="1"/>
      <c r="M79" s="1"/>
      <c r="N79" s="1"/>
      <c r="O79" s="1"/>
      <c r="P79" s="1"/>
      <c r="Q79" s="1"/>
    </row>
    <row r="80" spans="1:17" x14ac:dyDescent="0.35">
      <c r="A80" s="1"/>
      <c r="B80" s="1"/>
      <c r="C80" s="1"/>
      <c r="D80" s="1"/>
      <c r="E80" s="1"/>
      <c r="F80" s="1"/>
      <c r="G80" s="1"/>
      <c r="H80" s="1"/>
      <c r="I80" s="1"/>
      <c r="J80" s="1"/>
      <c r="K80" s="1"/>
      <c r="L80" s="1"/>
      <c r="M80" s="1"/>
      <c r="N80" s="1"/>
      <c r="O80" s="1"/>
      <c r="P80" s="1"/>
      <c r="Q80" s="1"/>
    </row>
    <row r="81" spans="1:17" x14ac:dyDescent="0.35">
      <c r="A81" s="1"/>
      <c r="B81" s="1"/>
      <c r="C81" s="1"/>
      <c r="D81" s="1"/>
      <c r="E81" s="1"/>
      <c r="F81" s="1"/>
      <c r="G81" s="1"/>
      <c r="H81" s="1"/>
      <c r="I81" s="1"/>
      <c r="J81" s="1"/>
      <c r="K81" s="1"/>
      <c r="L81" s="1"/>
      <c r="M81" s="1"/>
      <c r="N81" s="1"/>
      <c r="O81" s="1"/>
      <c r="P81" s="1"/>
      <c r="Q81" s="1"/>
    </row>
    <row r="82" spans="1:17" x14ac:dyDescent="0.35">
      <c r="A82" s="1"/>
      <c r="B82" s="1"/>
      <c r="C82" s="1"/>
      <c r="D82" s="1"/>
      <c r="E82" s="1"/>
      <c r="F82" s="1"/>
      <c r="G82" s="1"/>
      <c r="H82" s="1"/>
      <c r="I82" s="1"/>
      <c r="J82" s="1"/>
      <c r="K82" s="1"/>
      <c r="L82" s="1"/>
      <c r="M82" s="1"/>
      <c r="N82" s="1"/>
      <c r="O82" s="1"/>
      <c r="P82" s="1"/>
      <c r="Q82" s="1"/>
    </row>
    <row r="83" spans="1:17" x14ac:dyDescent="0.35">
      <c r="A83" s="1"/>
      <c r="B83" s="1"/>
      <c r="C83" s="1"/>
      <c r="D83" s="1"/>
      <c r="E83" s="1"/>
      <c r="F83" s="1"/>
      <c r="G83" s="1"/>
      <c r="H83" s="1"/>
      <c r="I83" s="1"/>
      <c r="J83" s="1"/>
      <c r="K83" s="1"/>
      <c r="L83" s="1"/>
      <c r="M83" s="1"/>
      <c r="N83" s="1"/>
      <c r="O83" s="1"/>
      <c r="P83" s="1"/>
      <c r="Q83" s="1"/>
    </row>
    <row r="84" spans="1:17" x14ac:dyDescent="0.35">
      <c r="A84" s="1"/>
      <c r="B84" s="1"/>
      <c r="C84" s="1"/>
      <c r="D84" s="1"/>
      <c r="E84" s="1"/>
      <c r="F84" s="1"/>
      <c r="G84" s="1"/>
      <c r="H84" s="1"/>
      <c r="I84" s="1"/>
      <c r="J84" s="1"/>
      <c r="K84" s="1"/>
      <c r="L84" s="1"/>
      <c r="M84" s="1"/>
      <c r="N84" s="1"/>
      <c r="O84" s="1"/>
      <c r="P84" s="1"/>
      <c r="Q84" s="1"/>
    </row>
    <row r="85" spans="1:17" x14ac:dyDescent="0.35">
      <c r="A85" s="1"/>
      <c r="B85" s="1"/>
      <c r="C85" s="1"/>
      <c r="D85" s="1"/>
      <c r="E85" s="1"/>
      <c r="F85" s="1"/>
      <c r="G85" s="1"/>
      <c r="H85" s="1"/>
      <c r="I85" s="1"/>
      <c r="J85" s="1"/>
      <c r="K85" s="1"/>
      <c r="L85" s="1"/>
      <c r="M85" s="1"/>
      <c r="N85" s="1"/>
      <c r="O85" s="1"/>
      <c r="P85" s="1"/>
      <c r="Q85" s="1"/>
    </row>
    <row r="86" spans="1:17" x14ac:dyDescent="0.35">
      <c r="A86" s="1"/>
      <c r="B86" s="1"/>
      <c r="C86" s="1"/>
      <c r="D86" s="1"/>
      <c r="E86" s="1"/>
      <c r="F86" s="1"/>
      <c r="G86" s="1"/>
      <c r="H86" s="1"/>
      <c r="I86" s="1"/>
      <c r="J86" s="1"/>
      <c r="K86" s="1"/>
      <c r="L86" s="1"/>
      <c r="M86" s="1"/>
      <c r="N86" s="1"/>
      <c r="O86" s="1"/>
      <c r="P86" s="1"/>
      <c r="Q86" s="1"/>
    </row>
    <row r="87" spans="1:17" x14ac:dyDescent="0.35">
      <c r="A87" s="1"/>
      <c r="B87" s="1"/>
      <c r="C87" s="1"/>
      <c r="D87" s="1"/>
      <c r="E87" s="1"/>
      <c r="F87" s="1"/>
      <c r="G87" s="1"/>
      <c r="H87" s="1"/>
      <c r="I87" s="1"/>
      <c r="J87" s="1"/>
      <c r="K87" s="1"/>
      <c r="L87" s="1"/>
      <c r="M87" s="1"/>
      <c r="N87" s="1"/>
      <c r="O87" s="1"/>
      <c r="P87" s="1"/>
      <c r="Q87" s="1"/>
    </row>
    <row r="88" spans="1:17" x14ac:dyDescent="0.35">
      <c r="A88" s="1"/>
      <c r="B88" s="1"/>
      <c r="C88" s="1"/>
      <c r="D88" s="1"/>
      <c r="E88" s="1"/>
      <c r="F88" s="1"/>
      <c r="G88" s="1"/>
      <c r="H88" s="1"/>
      <c r="I88" s="1"/>
      <c r="J88" s="1"/>
      <c r="K88" s="1"/>
      <c r="L88" s="1"/>
      <c r="M88" s="1"/>
      <c r="N88" s="1"/>
      <c r="O88" s="1"/>
      <c r="P88" s="1"/>
      <c r="Q88" s="1"/>
    </row>
    <row r="89" spans="1:17" x14ac:dyDescent="0.35">
      <c r="A89" s="1"/>
      <c r="B89" s="1"/>
      <c r="C89" s="1"/>
      <c r="D89" s="1"/>
      <c r="E89" s="1"/>
      <c r="F89" s="1"/>
      <c r="G89" s="1"/>
      <c r="H89" s="1"/>
      <c r="I89" s="1"/>
      <c r="J89" s="1"/>
      <c r="K89" s="1"/>
      <c r="L89" s="1"/>
      <c r="M89" s="1"/>
      <c r="N89" s="1"/>
      <c r="O89" s="1"/>
      <c r="P89" s="1"/>
      <c r="Q89" s="1"/>
    </row>
    <row r="90" spans="1:17" x14ac:dyDescent="0.35">
      <c r="A90" s="1"/>
      <c r="B90" s="1"/>
      <c r="C90" s="1"/>
      <c r="D90" s="1"/>
      <c r="E90" s="1"/>
      <c r="F90" s="1"/>
      <c r="G90" s="1"/>
      <c r="H90" s="1"/>
      <c r="I90" s="1"/>
      <c r="J90" s="1"/>
      <c r="K90" s="1"/>
      <c r="L90" s="1"/>
      <c r="M90" s="1"/>
      <c r="N90" s="1"/>
      <c r="O90" s="1"/>
      <c r="P90" s="1"/>
      <c r="Q90" s="1"/>
    </row>
    <row r="91" spans="1:17" x14ac:dyDescent="0.35">
      <c r="A91" s="1"/>
      <c r="B91" s="1"/>
      <c r="C91" s="1"/>
      <c r="D91" s="1"/>
      <c r="E91" s="1"/>
      <c r="F91" s="1"/>
      <c r="G91" s="1"/>
      <c r="H91" s="1"/>
      <c r="I91" s="1"/>
      <c r="J91" s="1"/>
      <c r="K91" s="1"/>
      <c r="L91" s="1"/>
      <c r="M91" s="1"/>
      <c r="N91" s="1"/>
      <c r="O91" s="1"/>
      <c r="P91" s="1"/>
      <c r="Q91" s="1"/>
    </row>
    <row r="92" spans="1:17" x14ac:dyDescent="0.35">
      <c r="A92" s="1"/>
      <c r="B92" s="1"/>
      <c r="C92" s="1"/>
      <c r="D92" s="1"/>
      <c r="E92" s="1"/>
      <c r="F92" s="1"/>
      <c r="G92" s="1"/>
      <c r="H92" s="1"/>
      <c r="I92" s="1"/>
      <c r="J92" s="1"/>
      <c r="K92" s="1"/>
      <c r="L92" s="1"/>
      <c r="M92" s="1"/>
      <c r="N92" s="1"/>
      <c r="O92" s="1"/>
      <c r="P92" s="1"/>
      <c r="Q92" s="1"/>
    </row>
    <row r="93" spans="1:17" x14ac:dyDescent="0.35">
      <c r="A93" s="1"/>
      <c r="B93" s="1"/>
      <c r="C93" s="1"/>
      <c r="D93" s="1"/>
      <c r="E93" s="1"/>
      <c r="F93" s="1"/>
      <c r="G93" s="1"/>
      <c r="H93" s="1"/>
      <c r="I93" s="1"/>
      <c r="J93" s="1"/>
      <c r="K93" s="1"/>
      <c r="L93" s="1"/>
      <c r="M93" s="1"/>
      <c r="N93" s="1"/>
      <c r="O93" s="1"/>
      <c r="P93" s="1"/>
      <c r="Q93" s="1"/>
    </row>
    <row r="94" spans="1:17" x14ac:dyDescent="0.35">
      <c r="A94" s="1"/>
      <c r="B94" s="1"/>
      <c r="C94" s="1"/>
      <c r="D94" s="1"/>
      <c r="E94" s="1"/>
      <c r="F94" s="1"/>
      <c r="G94" s="1"/>
      <c r="H94" s="1"/>
      <c r="I94" s="1"/>
      <c r="J94" s="1"/>
      <c r="K94" s="1"/>
      <c r="L94" s="1"/>
      <c r="M94" s="1"/>
      <c r="N94" s="1"/>
      <c r="O94" s="1"/>
      <c r="P94" s="1"/>
      <c r="Q94" s="1"/>
    </row>
    <row r="95" spans="1:17" x14ac:dyDescent="0.35">
      <c r="A95" s="1"/>
      <c r="B95" s="1"/>
      <c r="C95" s="1"/>
      <c r="D95" s="1"/>
      <c r="E95" s="1"/>
      <c r="F95" s="1"/>
      <c r="G95" s="1"/>
      <c r="H95" s="1"/>
      <c r="I95" s="1"/>
      <c r="J95" s="1"/>
      <c r="K95" s="1"/>
      <c r="L95" s="1"/>
      <c r="M95" s="1"/>
      <c r="N95" s="1"/>
      <c r="O95" s="1"/>
      <c r="P95" s="1"/>
      <c r="Q95" s="1"/>
    </row>
    <row r="96" spans="1:17" x14ac:dyDescent="0.35">
      <c r="A96" s="1"/>
      <c r="B96" s="1"/>
      <c r="C96" s="1"/>
      <c r="D96" s="1"/>
      <c r="E96" s="1"/>
      <c r="F96" s="1"/>
      <c r="G96" s="1"/>
      <c r="H96" s="1"/>
      <c r="I96" s="1"/>
      <c r="J96" s="1"/>
      <c r="K96" s="1"/>
      <c r="L96" s="1"/>
      <c r="M96" s="1"/>
      <c r="N96" s="1"/>
      <c r="O96" s="1"/>
      <c r="P96" s="1"/>
      <c r="Q96" s="1"/>
    </row>
    <row r="97" spans="1:17" x14ac:dyDescent="0.35">
      <c r="A97" s="1"/>
      <c r="B97" s="1"/>
      <c r="C97" s="1"/>
      <c r="D97" s="1"/>
      <c r="E97" s="1"/>
      <c r="F97" s="1"/>
      <c r="G97" s="1"/>
      <c r="H97" s="1"/>
      <c r="I97" s="1"/>
      <c r="J97" s="1"/>
      <c r="K97" s="1"/>
      <c r="L97" s="1"/>
      <c r="M97" s="1"/>
      <c r="N97" s="1"/>
      <c r="O97" s="1"/>
      <c r="P97" s="1"/>
      <c r="Q97" s="1"/>
    </row>
    <row r="98" spans="1:17" x14ac:dyDescent="0.35">
      <c r="A98" s="1"/>
      <c r="B98" s="1"/>
      <c r="C98" s="1"/>
      <c r="D98" s="1"/>
      <c r="E98" s="1"/>
      <c r="F98" s="1"/>
      <c r="G98" s="1"/>
      <c r="H98" s="1"/>
      <c r="I98" s="1"/>
      <c r="J98" s="1"/>
      <c r="K98" s="1"/>
      <c r="L98" s="1"/>
      <c r="M98" s="1"/>
      <c r="N98" s="1"/>
      <c r="O98" s="1"/>
      <c r="P98" s="1"/>
      <c r="Q98" s="1"/>
    </row>
    <row r="99" spans="1:17" x14ac:dyDescent="0.35">
      <c r="A99" s="1"/>
      <c r="B99" s="1"/>
      <c r="C99" s="1"/>
      <c r="D99" s="1"/>
      <c r="E99" s="1"/>
      <c r="F99" s="1"/>
      <c r="G99" s="1"/>
      <c r="H99" s="1"/>
      <c r="I99" s="1"/>
      <c r="J99" s="1"/>
      <c r="K99" s="1"/>
      <c r="L99" s="1"/>
      <c r="M99" s="1"/>
      <c r="N99" s="1"/>
      <c r="O99" s="1"/>
      <c r="P99" s="1"/>
      <c r="Q99" s="1"/>
    </row>
    <row r="100" spans="1:17" x14ac:dyDescent="0.35">
      <c r="A100" s="1"/>
      <c r="B100" s="1"/>
      <c r="C100" s="1"/>
      <c r="D100" s="1"/>
      <c r="E100" s="1"/>
      <c r="F100" s="1"/>
      <c r="G100" s="1"/>
      <c r="H100" s="1"/>
      <c r="I100" s="1"/>
      <c r="J100" s="1"/>
      <c r="K100" s="1"/>
      <c r="L100" s="1"/>
      <c r="M100" s="1"/>
      <c r="N100" s="1"/>
      <c r="O100" s="1"/>
      <c r="P100" s="1"/>
      <c r="Q100" s="1"/>
    </row>
    <row r="101" spans="1:17" x14ac:dyDescent="0.35">
      <c r="A101" s="1"/>
      <c r="B101" s="1"/>
      <c r="C101" s="1"/>
      <c r="D101" s="1"/>
      <c r="E101" s="1"/>
      <c r="F101" s="1"/>
      <c r="G101" s="1"/>
      <c r="H101" s="1"/>
      <c r="I101" s="1"/>
      <c r="J101" s="1"/>
      <c r="K101" s="1"/>
      <c r="L101" s="1"/>
      <c r="M101" s="1"/>
      <c r="N101" s="1"/>
      <c r="O101" s="1"/>
      <c r="P101" s="1"/>
      <c r="Q101" s="1"/>
    </row>
    <row r="102" spans="1:17" x14ac:dyDescent="0.35">
      <c r="A102" s="1"/>
      <c r="B102" s="1"/>
      <c r="C102" s="1"/>
      <c r="D102" s="1"/>
      <c r="E102" s="1"/>
      <c r="F102" s="1"/>
      <c r="G102" s="1"/>
      <c r="H102" s="1"/>
      <c r="I102" s="1"/>
      <c r="J102" s="1"/>
      <c r="K102" s="1"/>
      <c r="L102" s="1"/>
      <c r="M102" s="1"/>
      <c r="N102" s="1"/>
      <c r="O102" s="1"/>
      <c r="P102" s="1"/>
      <c r="Q102" s="1"/>
    </row>
    <row r="103" spans="1:17" x14ac:dyDescent="0.35">
      <c r="A103" s="1"/>
      <c r="B103" s="1"/>
      <c r="C103" s="1"/>
      <c r="D103" s="1"/>
      <c r="E103" s="1"/>
      <c r="F103" s="1"/>
      <c r="G103" s="1"/>
      <c r="H103" s="1"/>
      <c r="I103" s="1"/>
      <c r="J103" s="1"/>
      <c r="K103" s="1"/>
      <c r="L103" s="1"/>
      <c r="M103" s="1"/>
      <c r="N103" s="1"/>
      <c r="O103" s="1"/>
      <c r="P103" s="1"/>
      <c r="Q103" s="1"/>
    </row>
    <row r="104" spans="1:17" x14ac:dyDescent="0.35">
      <c r="A104" s="1"/>
      <c r="B104" s="1"/>
      <c r="C104" s="1"/>
      <c r="D104" s="1"/>
      <c r="E104" s="1"/>
      <c r="F104" s="1"/>
      <c r="G104" s="1"/>
      <c r="H104" s="1"/>
      <c r="I104" s="1"/>
      <c r="J104" s="1"/>
      <c r="K104" s="1"/>
      <c r="L104" s="1"/>
      <c r="M104" s="1"/>
      <c r="N104" s="1"/>
      <c r="O104" s="1"/>
      <c r="P104" s="1"/>
      <c r="Q104" s="1"/>
    </row>
    <row r="105" spans="1:17" x14ac:dyDescent="0.35">
      <c r="A105" s="1"/>
      <c r="B105" s="1"/>
      <c r="C105" s="1"/>
      <c r="D105" s="1"/>
      <c r="E105" s="1"/>
      <c r="F105" s="1"/>
      <c r="G105" s="1"/>
      <c r="H105" s="1"/>
      <c r="I105" s="1"/>
      <c r="J105" s="1"/>
      <c r="K105" s="1"/>
      <c r="L105" s="1"/>
      <c r="M105" s="1"/>
      <c r="N105" s="1"/>
      <c r="O105" s="1"/>
      <c r="P105" s="1"/>
      <c r="Q105" s="1"/>
    </row>
    <row r="106" spans="1:17" x14ac:dyDescent="0.35">
      <c r="A106" s="1"/>
      <c r="B106" s="1"/>
      <c r="C106" s="1"/>
      <c r="D106" s="1"/>
      <c r="E106" s="1"/>
      <c r="F106" s="1"/>
      <c r="G106" s="1"/>
      <c r="H106" s="1"/>
      <c r="I106" s="1"/>
      <c r="J106" s="1"/>
      <c r="K106" s="1"/>
      <c r="L106" s="1"/>
      <c r="M106" s="1"/>
      <c r="N106" s="1"/>
      <c r="O106" s="1"/>
      <c r="P106" s="1"/>
      <c r="Q106" s="1"/>
    </row>
    <row r="107" spans="1:17" x14ac:dyDescent="0.35">
      <c r="A107" s="1"/>
      <c r="B107" s="1"/>
      <c r="C107" s="1"/>
      <c r="D107" s="1"/>
      <c r="E107" s="1"/>
      <c r="F107" s="1"/>
      <c r="G107" s="1"/>
      <c r="H107" s="1"/>
      <c r="I107" s="1"/>
      <c r="J107" s="1"/>
      <c r="K107" s="1"/>
      <c r="L107" s="1"/>
      <c r="M107" s="1"/>
      <c r="N107" s="1"/>
      <c r="O107" s="1"/>
      <c r="P107" s="1"/>
      <c r="Q107" s="1"/>
    </row>
    <row r="108" spans="1:17" x14ac:dyDescent="0.35">
      <c r="A108" s="1"/>
      <c r="B108" s="1"/>
      <c r="C108" s="1"/>
      <c r="D108" s="1"/>
      <c r="E108" s="1"/>
      <c r="F108" s="1"/>
      <c r="G108" s="1"/>
      <c r="H108" s="1"/>
      <c r="I108" s="1"/>
      <c r="J108" s="1"/>
      <c r="K108" s="1"/>
      <c r="L108" s="1"/>
      <c r="M108" s="1"/>
      <c r="N108" s="1"/>
      <c r="O108" s="1"/>
      <c r="P108" s="1"/>
      <c r="Q108" s="1"/>
    </row>
    <row r="109" spans="1:17" x14ac:dyDescent="0.35">
      <c r="A109" s="1"/>
      <c r="B109" s="1"/>
      <c r="C109" s="1"/>
      <c r="D109" s="1"/>
      <c r="E109" s="1"/>
      <c r="F109" s="1"/>
      <c r="G109" s="1"/>
      <c r="H109" s="1"/>
      <c r="I109" s="1"/>
      <c r="J109" s="1"/>
      <c r="K109" s="1"/>
      <c r="L109" s="1"/>
      <c r="M109" s="1"/>
      <c r="N109" s="1"/>
      <c r="O109" s="1"/>
      <c r="P109" s="1"/>
      <c r="Q109" s="1"/>
    </row>
    <row r="110" spans="1:17" x14ac:dyDescent="0.35">
      <c r="A110" s="1"/>
      <c r="B110" s="1"/>
      <c r="C110" s="1"/>
      <c r="D110" s="1"/>
      <c r="E110" s="1"/>
      <c r="F110" s="1"/>
      <c r="G110" s="1"/>
      <c r="H110" s="1"/>
      <c r="I110" s="1"/>
      <c r="J110" s="1"/>
      <c r="K110" s="1"/>
      <c r="L110" s="1"/>
      <c r="M110" s="1"/>
      <c r="N110" s="1"/>
      <c r="O110" s="1"/>
      <c r="P110" s="1"/>
      <c r="Q110" s="1"/>
    </row>
    <row r="111" spans="1:17" x14ac:dyDescent="0.35">
      <c r="A111" s="1"/>
      <c r="B111" s="1"/>
      <c r="C111" s="1"/>
      <c r="D111" s="1"/>
      <c r="E111" s="1"/>
      <c r="F111" s="1"/>
      <c r="G111" s="1"/>
      <c r="H111" s="1"/>
      <c r="I111" s="1"/>
      <c r="J111" s="1"/>
      <c r="K111" s="1"/>
      <c r="L111" s="1"/>
      <c r="M111" s="1"/>
      <c r="N111" s="1"/>
      <c r="O111" s="1"/>
      <c r="P111" s="1"/>
      <c r="Q111" s="1"/>
    </row>
    <row r="112" spans="1:17" x14ac:dyDescent="0.35">
      <c r="A112" s="1"/>
      <c r="B112" s="1"/>
      <c r="C112" s="1"/>
      <c r="D112" s="1"/>
      <c r="E112" s="1"/>
      <c r="F112" s="1"/>
      <c r="G112" s="1"/>
      <c r="H112" s="1"/>
      <c r="I112" s="1"/>
      <c r="J112" s="1"/>
      <c r="K112" s="1"/>
      <c r="L112" s="1"/>
      <c r="M112" s="1"/>
      <c r="N112" s="1"/>
      <c r="O112" s="1"/>
      <c r="P112" s="1"/>
      <c r="Q112" s="1"/>
    </row>
    <row r="113" spans="1:17" x14ac:dyDescent="0.35">
      <c r="A113" s="1"/>
      <c r="B113" s="1"/>
      <c r="C113" s="1"/>
      <c r="D113" s="1"/>
      <c r="E113" s="1"/>
      <c r="F113" s="1"/>
      <c r="G113" s="1"/>
      <c r="H113" s="1"/>
      <c r="I113" s="1"/>
      <c r="J113" s="1"/>
      <c r="K113" s="1"/>
      <c r="L113" s="1"/>
      <c r="M113" s="1"/>
      <c r="N113" s="1"/>
      <c r="O113" s="1"/>
      <c r="P113" s="1"/>
      <c r="Q113" s="1"/>
    </row>
    <row r="114" spans="1:17" x14ac:dyDescent="0.35">
      <c r="A114" s="1"/>
      <c r="B114" s="1"/>
      <c r="C114" s="1"/>
      <c r="D114" s="1"/>
      <c r="E114" s="1"/>
      <c r="F114" s="1"/>
      <c r="G114" s="1"/>
      <c r="H114" s="1"/>
      <c r="I114" s="1"/>
      <c r="J114" s="1"/>
      <c r="K114" s="1"/>
      <c r="L114" s="1"/>
      <c r="M114" s="1"/>
      <c r="N114" s="1"/>
      <c r="O114" s="1"/>
      <c r="P114" s="1"/>
      <c r="Q114" s="1"/>
    </row>
    <row r="115" spans="1:17" x14ac:dyDescent="0.35">
      <c r="A115" s="1"/>
      <c r="B115" s="1"/>
      <c r="C115" s="1"/>
      <c r="D115" s="1"/>
      <c r="E115" s="1"/>
      <c r="F115" s="1"/>
      <c r="G115" s="1"/>
      <c r="H115" s="1"/>
      <c r="I115" s="1"/>
      <c r="J115" s="1"/>
      <c r="K115" s="1"/>
      <c r="L115" s="1"/>
      <c r="M115" s="1"/>
      <c r="N115" s="1"/>
      <c r="O115" s="1"/>
      <c r="P115" s="1"/>
      <c r="Q115" s="1"/>
    </row>
    <row r="116" spans="1:17" x14ac:dyDescent="0.35">
      <c r="A116" s="1"/>
      <c r="B116" s="1"/>
      <c r="C116" s="1"/>
      <c r="D116" s="1"/>
      <c r="E116" s="1"/>
      <c r="F116" s="1"/>
      <c r="G116" s="1"/>
      <c r="H116" s="1"/>
      <c r="I116" s="1"/>
      <c r="J116" s="1"/>
      <c r="K116" s="1"/>
      <c r="L116" s="1"/>
      <c r="M116" s="1"/>
      <c r="N116" s="1"/>
      <c r="O116" s="1"/>
      <c r="P116" s="1"/>
      <c r="Q116" s="1"/>
    </row>
    <row r="117" spans="1:17" x14ac:dyDescent="0.35">
      <c r="A117" s="1"/>
      <c r="B117" s="1"/>
      <c r="C117" s="1"/>
      <c r="D117" s="1"/>
      <c r="E117" s="1"/>
      <c r="F117" s="1"/>
      <c r="G117" s="1"/>
      <c r="H117" s="1"/>
      <c r="I117" s="1"/>
      <c r="J117" s="1"/>
      <c r="K117" s="1"/>
      <c r="L117" s="1"/>
      <c r="M117" s="1"/>
      <c r="N117" s="1"/>
      <c r="O117" s="1"/>
      <c r="P117" s="1"/>
      <c r="Q117" s="1"/>
    </row>
    <row r="118" spans="1:17" x14ac:dyDescent="0.35">
      <c r="A118" s="1"/>
      <c r="B118" s="1"/>
      <c r="C118" s="1"/>
      <c r="D118" s="1"/>
      <c r="E118" s="1"/>
      <c r="F118" s="1"/>
      <c r="G118" s="1"/>
      <c r="H118" s="1"/>
      <c r="I118" s="1"/>
      <c r="J118" s="1"/>
      <c r="K118" s="1"/>
      <c r="L118" s="1"/>
      <c r="M118" s="1"/>
      <c r="N118" s="1"/>
      <c r="O118" s="1"/>
      <c r="P118" s="1"/>
      <c r="Q118" s="1"/>
    </row>
    <row r="119" spans="1:17" x14ac:dyDescent="0.35">
      <c r="A119" s="1"/>
      <c r="B119" s="1"/>
      <c r="C119" s="1"/>
      <c r="D119" s="1"/>
      <c r="E119" s="1"/>
      <c r="F119" s="1"/>
      <c r="G119" s="1"/>
      <c r="H119" s="1"/>
      <c r="I119" s="1"/>
      <c r="J119" s="1"/>
      <c r="K119" s="1"/>
      <c r="L119" s="1"/>
      <c r="M119" s="1"/>
      <c r="N119" s="1"/>
      <c r="O119" s="1"/>
      <c r="P119" s="1"/>
      <c r="Q119" s="1"/>
    </row>
    <row r="120" spans="1:17" x14ac:dyDescent="0.35">
      <c r="A120" s="1"/>
      <c r="B120" s="1"/>
      <c r="C120" s="1"/>
      <c r="D120" s="1"/>
      <c r="E120" s="1"/>
      <c r="F120" s="1"/>
      <c r="G120" s="1"/>
      <c r="H120" s="1"/>
      <c r="I120" s="1"/>
      <c r="J120" s="1"/>
      <c r="K120" s="1"/>
      <c r="L120" s="1"/>
      <c r="M120" s="1"/>
      <c r="N120" s="1"/>
      <c r="O120" s="1"/>
      <c r="P120" s="1"/>
      <c r="Q120" s="1"/>
    </row>
    <row r="121" spans="1:17" x14ac:dyDescent="0.35">
      <c r="A121" s="1"/>
      <c r="B121" s="1"/>
      <c r="C121" s="1"/>
      <c r="D121" s="1"/>
      <c r="E121" s="1"/>
      <c r="F121" s="1"/>
      <c r="G121" s="1"/>
      <c r="H121" s="1"/>
      <c r="I121" s="1"/>
      <c r="J121" s="1"/>
      <c r="K121" s="1"/>
      <c r="L121" s="1"/>
      <c r="M121" s="1"/>
      <c r="N121" s="1"/>
      <c r="O121" s="1"/>
      <c r="P121" s="1"/>
      <c r="Q121" s="1"/>
    </row>
    <row r="122" spans="1:17" x14ac:dyDescent="0.35">
      <c r="A122" s="1"/>
      <c r="B122" s="1"/>
      <c r="C122" s="1"/>
      <c r="D122" s="1"/>
      <c r="E122" s="1"/>
      <c r="F122" s="1"/>
      <c r="G122" s="1"/>
      <c r="H122" s="1"/>
      <c r="I122" s="1"/>
      <c r="J122" s="1"/>
      <c r="K122" s="1"/>
      <c r="L122" s="1"/>
      <c r="M122" s="1"/>
      <c r="N122" s="1"/>
      <c r="O122" s="1"/>
      <c r="P122" s="1"/>
      <c r="Q122" s="1"/>
    </row>
    <row r="123" spans="1:17" x14ac:dyDescent="0.35">
      <c r="A123" s="1"/>
      <c r="B123" s="1"/>
      <c r="C123" s="1"/>
      <c r="D123" s="1"/>
      <c r="E123" s="1"/>
      <c r="F123" s="1"/>
      <c r="G123" s="1"/>
      <c r="H123" s="1"/>
      <c r="I123" s="1"/>
      <c r="J123" s="1"/>
      <c r="K123" s="1"/>
      <c r="L123" s="1"/>
      <c r="M123" s="1"/>
      <c r="N123" s="1"/>
      <c r="O123" s="1"/>
      <c r="P123" s="1"/>
      <c r="Q123" s="1"/>
    </row>
    <row r="124" spans="1:17" x14ac:dyDescent="0.35">
      <c r="A124" s="1"/>
      <c r="B124" s="1"/>
      <c r="C124" s="1"/>
      <c r="D124" s="1"/>
      <c r="E124" s="1"/>
      <c r="F124" s="1"/>
      <c r="G124" s="1"/>
      <c r="H124" s="1"/>
      <c r="I124" s="1"/>
      <c r="J124" s="1"/>
      <c r="K124" s="1"/>
      <c r="L124" s="1"/>
      <c r="M124" s="1"/>
      <c r="N124" s="1"/>
      <c r="O124" s="1"/>
      <c r="P124" s="1"/>
      <c r="Q124" s="1"/>
    </row>
    <row r="125" spans="1:17" x14ac:dyDescent="0.35">
      <c r="A125" s="1"/>
      <c r="B125" s="1"/>
      <c r="C125" s="1"/>
      <c r="D125" s="1"/>
      <c r="E125" s="1"/>
      <c r="F125" s="1"/>
      <c r="G125" s="1"/>
      <c r="H125" s="1"/>
      <c r="I125" s="1"/>
      <c r="J125" s="1"/>
      <c r="K125" s="1"/>
      <c r="L125" s="1"/>
      <c r="M125" s="1"/>
      <c r="N125" s="1"/>
      <c r="O125" s="1"/>
      <c r="P125" s="1"/>
      <c r="Q125" s="1"/>
    </row>
    <row r="126" spans="1:17" x14ac:dyDescent="0.35">
      <c r="A126" s="1"/>
      <c r="B126" s="1"/>
      <c r="C126" s="1"/>
      <c r="D126" s="1"/>
      <c r="E126" s="1"/>
      <c r="F126" s="1"/>
      <c r="G126" s="1"/>
      <c r="H126" s="1"/>
      <c r="I126" s="1"/>
      <c r="J126" s="1"/>
      <c r="K126" s="1"/>
      <c r="L126" s="1"/>
      <c r="M126" s="1"/>
      <c r="N126" s="1"/>
      <c r="O126" s="1"/>
      <c r="P126" s="1"/>
      <c r="Q126" s="1"/>
    </row>
    <row r="127" spans="1:17" x14ac:dyDescent="0.35">
      <c r="A127" s="1"/>
      <c r="B127" s="1"/>
      <c r="C127" s="1"/>
      <c r="D127" s="1"/>
      <c r="E127" s="1"/>
      <c r="F127" s="1"/>
      <c r="G127" s="1"/>
      <c r="H127" s="1"/>
      <c r="I127" s="1"/>
      <c r="J127" s="1"/>
      <c r="K127" s="1"/>
      <c r="L127" s="1"/>
      <c r="M127" s="1"/>
      <c r="N127" s="1"/>
      <c r="O127" s="1"/>
      <c r="P127" s="1"/>
      <c r="Q127" s="1"/>
    </row>
    <row r="128" spans="1:17" x14ac:dyDescent="0.35">
      <c r="A128" s="1"/>
      <c r="B128" s="1"/>
      <c r="C128" s="1"/>
      <c r="D128" s="1"/>
      <c r="E128" s="1"/>
      <c r="F128" s="1"/>
      <c r="G128" s="1"/>
      <c r="H128" s="1"/>
      <c r="I128" s="1"/>
      <c r="J128" s="1"/>
      <c r="K128" s="1"/>
      <c r="L128" s="1"/>
      <c r="M128" s="1"/>
      <c r="N128" s="1"/>
      <c r="O128" s="1"/>
      <c r="P128" s="1"/>
      <c r="Q128" s="1"/>
    </row>
    <row r="129" spans="1:17" x14ac:dyDescent="0.35">
      <c r="A129" s="1"/>
      <c r="B129" s="1"/>
      <c r="C129" s="1"/>
      <c r="D129" s="1"/>
      <c r="E129" s="1"/>
      <c r="F129" s="1"/>
      <c r="G129" s="1"/>
      <c r="H129" s="1"/>
      <c r="I129" s="1"/>
      <c r="J129" s="1"/>
      <c r="K129" s="1"/>
      <c r="L129" s="1"/>
      <c r="M129" s="1"/>
      <c r="N129" s="1"/>
      <c r="O129" s="1"/>
      <c r="P129" s="1"/>
      <c r="Q129" s="1"/>
    </row>
    <row r="130" spans="1:17" x14ac:dyDescent="0.35">
      <c r="A130" s="1"/>
      <c r="B130" s="1"/>
      <c r="C130" s="1"/>
      <c r="D130" s="1"/>
      <c r="E130" s="1"/>
      <c r="F130" s="1"/>
      <c r="G130" s="1"/>
      <c r="H130" s="1"/>
      <c r="I130" s="1"/>
      <c r="J130" s="1"/>
      <c r="K130" s="1"/>
      <c r="L130" s="1"/>
      <c r="M130" s="1"/>
      <c r="N130" s="1"/>
      <c r="O130" s="1"/>
      <c r="P130" s="1"/>
      <c r="Q130" s="1"/>
    </row>
    <row r="131" spans="1:17" x14ac:dyDescent="0.35">
      <c r="A131" s="1"/>
      <c r="B131" s="1"/>
      <c r="C131" s="1"/>
      <c r="D131" s="1"/>
      <c r="E131" s="1"/>
      <c r="F131" s="1"/>
      <c r="G131" s="1"/>
      <c r="H131" s="1"/>
      <c r="I131" s="1"/>
      <c r="J131" s="1"/>
      <c r="K131" s="1"/>
      <c r="L131" s="1"/>
      <c r="M131" s="1"/>
      <c r="N131" s="1"/>
      <c r="O131" s="1"/>
      <c r="P131" s="1"/>
      <c r="Q131" s="1"/>
    </row>
    <row r="132" spans="1:17" x14ac:dyDescent="0.35">
      <c r="A132" s="1"/>
      <c r="B132" s="1"/>
      <c r="C132" s="1"/>
      <c r="D132" s="1"/>
      <c r="E132" s="1"/>
      <c r="F132" s="1"/>
      <c r="G132" s="1"/>
      <c r="H132" s="1"/>
      <c r="I132" s="1"/>
      <c r="J132" s="1"/>
      <c r="K132" s="1"/>
      <c r="L132" s="1"/>
      <c r="M132" s="1"/>
      <c r="N132" s="1"/>
      <c r="O132" s="1"/>
      <c r="P132" s="1"/>
      <c r="Q132" s="1"/>
    </row>
    <row r="133" spans="1:17" x14ac:dyDescent="0.35">
      <c r="A133" s="1"/>
      <c r="B133" s="1"/>
      <c r="C133" s="1"/>
      <c r="D133" s="1"/>
      <c r="E133" s="1"/>
      <c r="F133" s="1"/>
      <c r="G133" s="1"/>
      <c r="H133" s="1"/>
      <c r="I133" s="1"/>
      <c r="J133" s="1"/>
      <c r="K133" s="1"/>
      <c r="L133" s="1"/>
      <c r="M133" s="1"/>
      <c r="N133" s="1"/>
      <c r="O133" s="1"/>
      <c r="P133" s="1"/>
      <c r="Q133" s="1"/>
    </row>
    <row r="134" spans="1:17" x14ac:dyDescent="0.35">
      <c r="A134" s="1"/>
      <c r="B134" s="1"/>
      <c r="C134" s="1"/>
      <c r="D134" s="1"/>
      <c r="E134" s="1"/>
      <c r="F134" s="1"/>
      <c r="G134" s="1"/>
      <c r="H134" s="1"/>
      <c r="I134" s="1"/>
      <c r="J134" s="1"/>
      <c r="K134" s="1"/>
      <c r="L134" s="1"/>
      <c r="M134" s="1"/>
      <c r="N134" s="1"/>
      <c r="O134" s="1"/>
      <c r="P134" s="1"/>
      <c r="Q134" s="1"/>
    </row>
    <row r="135" spans="1:17" x14ac:dyDescent="0.35">
      <c r="A135" s="1"/>
      <c r="B135" s="1"/>
      <c r="C135" s="1"/>
      <c r="D135" s="1"/>
      <c r="E135" s="1"/>
      <c r="F135" s="1"/>
      <c r="G135" s="1"/>
      <c r="H135" s="1"/>
      <c r="I135" s="1"/>
      <c r="J135" s="1"/>
      <c r="K135" s="1"/>
      <c r="L135" s="1"/>
      <c r="M135" s="1"/>
      <c r="N135" s="1"/>
      <c r="O135" s="1"/>
      <c r="P135" s="1"/>
      <c r="Q135" s="1"/>
    </row>
    <row r="136" spans="1:17" x14ac:dyDescent="0.35">
      <c r="A136" s="1"/>
      <c r="B136" s="1"/>
      <c r="C136" s="1"/>
      <c r="D136" s="1"/>
      <c r="E136" s="1"/>
      <c r="F136" s="1"/>
      <c r="G136" s="1"/>
      <c r="H136" s="1"/>
      <c r="I136" s="1"/>
      <c r="J136" s="1"/>
      <c r="K136" s="1"/>
      <c r="L136" s="1"/>
      <c r="M136" s="1"/>
      <c r="N136" s="1"/>
      <c r="O136" s="1"/>
      <c r="P136" s="1"/>
      <c r="Q136" s="1"/>
    </row>
    <row r="137" spans="1:17" x14ac:dyDescent="0.35">
      <c r="A137" s="1"/>
      <c r="B137" s="1"/>
      <c r="C137" s="1"/>
      <c r="D137" s="1"/>
      <c r="E137" s="1"/>
      <c r="F137" s="1"/>
      <c r="G137" s="1"/>
      <c r="H137" s="1"/>
      <c r="I137" s="1"/>
      <c r="J137" s="1"/>
      <c r="K137" s="1"/>
      <c r="L137" s="1"/>
      <c r="M137" s="1"/>
      <c r="N137" s="1"/>
      <c r="O137" s="1"/>
      <c r="P137" s="1"/>
      <c r="Q137" s="1"/>
    </row>
    <row r="138" spans="1:17" x14ac:dyDescent="0.35">
      <c r="A138" s="1"/>
      <c r="B138" s="1"/>
      <c r="C138" s="1"/>
      <c r="D138" s="1"/>
      <c r="E138" s="1"/>
      <c r="F138" s="1"/>
      <c r="G138" s="1"/>
      <c r="H138" s="1"/>
      <c r="I138" s="1"/>
      <c r="J138" s="1"/>
      <c r="K138" s="1"/>
      <c r="L138" s="1"/>
      <c r="M138" s="1"/>
      <c r="N138" s="1"/>
      <c r="O138" s="1"/>
      <c r="P138" s="1"/>
      <c r="Q138" s="1"/>
    </row>
    <row r="139" spans="1:17" x14ac:dyDescent="0.35">
      <c r="A139" s="1"/>
      <c r="B139" s="1"/>
      <c r="C139" s="1"/>
      <c r="D139" s="1"/>
      <c r="E139" s="1"/>
      <c r="F139" s="1"/>
      <c r="G139" s="1"/>
      <c r="H139" s="1"/>
      <c r="I139" s="1"/>
      <c r="J139" s="1"/>
      <c r="K139" s="1"/>
      <c r="L139" s="1"/>
      <c r="M139" s="1"/>
      <c r="N139" s="1"/>
      <c r="O139" s="1"/>
      <c r="P139" s="1"/>
      <c r="Q139" s="1"/>
    </row>
    <row r="140" spans="1:17" x14ac:dyDescent="0.35">
      <c r="A140" s="1"/>
      <c r="B140" s="1"/>
      <c r="C140" s="1"/>
      <c r="D140" s="1"/>
      <c r="E140" s="1"/>
      <c r="F140" s="1"/>
      <c r="G140" s="1"/>
      <c r="H140" s="1"/>
      <c r="I140" s="1"/>
      <c r="J140" s="1"/>
      <c r="K140" s="1"/>
      <c r="L140" s="1"/>
      <c r="M140" s="1"/>
      <c r="N140" s="1"/>
      <c r="O140" s="1"/>
      <c r="P140" s="1"/>
      <c r="Q140" s="1"/>
    </row>
    <row r="141" spans="1:17" x14ac:dyDescent="0.35">
      <c r="A141" s="1"/>
      <c r="B141" s="1"/>
      <c r="C141" s="1"/>
      <c r="D141" s="1"/>
      <c r="E141" s="1"/>
      <c r="F141" s="1"/>
      <c r="G141" s="1"/>
      <c r="H141" s="1"/>
      <c r="I141" s="1"/>
      <c r="J141" s="1"/>
      <c r="K141" s="1"/>
      <c r="L141" s="1"/>
      <c r="M141" s="1"/>
      <c r="N141" s="1"/>
      <c r="O141" s="1"/>
      <c r="P141" s="1"/>
      <c r="Q141" s="1"/>
    </row>
    <row r="142" spans="1:17" x14ac:dyDescent="0.35">
      <c r="A142" s="1"/>
      <c r="B142" s="1"/>
      <c r="C142" s="1"/>
      <c r="D142" s="1"/>
      <c r="E142" s="1"/>
      <c r="F142" s="1"/>
      <c r="G142" s="1"/>
      <c r="H142" s="1"/>
      <c r="I142" s="1"/>
      <c r="J142" s="1"/>
      <c r="K142" s="1"/>
      <c r="L142" s="1"/>
      <c r="M142" s="1"/>
      <c r="N142" s="1"/>
      <c r="O142" s="1"/>
      <c r="P142" s="1"/>
      <c r="Q142" s="1"/>
    </row>
    <row r="143" spans="1:17" x14ac:dyDescent="0.35">
      <c r="A143" s="1"/>
      <c r="B143" s="1"/>
      <c r="C143" s="1"/>
      <c r="D143" s="1"/>
      <c r="E143" s="1"/>
      <c r="F143" s="1"/>
      <c r="G143" s="1"/>
      <c r="H143" s="1"/>
      <c r="I143" s="1"/>
      <c r="J143" s="1"/>
      <c r="K143" s="1"/>
      <c r="L143" s="1"/>
      <c r="M143" s="1"/>
      <c r="N143" s="1"/>
      <c r="O143" s="1"/>
      <c r="P143" s="1"/>
      <c r="Q143" s="1"/>
    </row>
    <row r="144" spans="1:17" x14ac:dyDescent="0.35">
      <c r="A144" s="1"/>
      <c r="B144" s="1"/>
      <c r="C144" s="1"/>
      <c r="D144" s="1"/>
      <c r="E144" s="1"/>
      <c r="F144" s="1"/>
      <c r="G144" s="1"/>
      <c r="H144" s="1"/>
      <c r="I144" s="1"/>
      <c r="J144" s="1"/>
      <c r="K144" s="1"/>
      <c r="L144" s="1"/>
      <c r="M144" s="1"/>
      <c r="N144" s="1"/>
      <c r="O144" s="1"/>
      <c r="P144" s="1"/>
      <c r="Q144" s="1"/>
    </row>
    <row r="145" spans="1:17" x14ac:dyDescent="0.35">
      <c r="A145" s="1"/>
      <c r="B145" s="1"/>
      <c r="C145" s="1"/>
      <c r="D145" s="1"/>
      <c r="E145" s="1"/>
      <c r="F145" s="1"/>
      <c r="G145" s="1"/>
      <c r="H145" s="1"/>
      <c r="I145" s="1"/>
      <c r="J145" s="1"/>
      <c r="K145" s="1"/>
      <c r="L145" s="1"/>
      <c r="M145" s="1"/>
      <c r="N145" s="1"/>
      <c r="O145" s="1"/>
      <c r="P145" s="1"/>
      <c r="Q145" s="1"/>
    </row>
    <row r="146" spans="1:17" x14ac:dyDescent="0.35">
      <c r="A146" s="1"/>
      <c r="B146" s="1"/>
      <c r="C146" s="1"/>
      <c r="D146" s="1"/>
      <c r="E146" s="1"/>
      <c r="F146" s="1"/>
      <c r="G146" s="1"/>
      <c r="H146" s="1"/>
      <c r="I146" s="1"/>
      <c r="J146" s="1"/>
      <c r="K146" s="1"/>
      <c r="L146" s="1"/>
      <c r="M146" s="1"/>
      <c r="N146" s="1"/>
      <c r="O146" s="1"/>
      <c r="P146" s="1"/>
      <c r="Q146" s="1"/>
    </row>
    <row r="147" spans="1:17" x14ac:dyDescent="0.35">
      <c r="A147" s="1"/>
      <c r="B147" s="1"/>
      <c r="C147" s="1"/>
      <c r="D147" s="1"/>
      <c r="E147" s="1"/>
      <c r="F147" s="1"/>
      <c r="G147" s="1"/>
      <c r="H147" s="1"/>
      <c r="I147" s="1"/>
      <c r="J147" s="1"/>
      <c r="K147" s="1"/>
      <c r="L147" s="1"/>
      <c r="M147" s="1"/>
      <c r="N147" s="1"/>
      <c r="O147" s="1"/>
      <c r="P147" s="1"/>
      <c r="Q147" s="1"/>
    </row>
    <row r="148" spans="1:17" x14ac:dyDescent="0.35">
      <c r="A148" s="1"/>
      <c r="B148" s="1"/>
      <c r="C148" s="1"/>
      <c r="D148" s="1"/>
      <c r="E148" s="1"/>
      <c r="F148" s="1"/>
      <c r="G148" s="1"/>
      <c r="H148" s="1"/>
      <c r="I148" s="1"/>
      <c r="J148" s="1"/>
      <c r="K148" s="1"/>
      <c r="L148" s="1"/>
      <c r="M148" s="1"/>
      <c r="N148" s="1"/>
      <c r="O148" s="1"/>
      <c r="P148" s="1"/>
      <c r="Q148" s="1"/>
    </row>
    <row r="149" spans="1:17" x14ac:dyDescent="0.35">
      <c r="A149" s="1"/>
      <c r="B149" s="1"/>
      <c r="C149" s="1"/>
      <c r="D149" s="1"/>
      <c r="E149" s="1"/>
      <c r="F149" s="1"/>
      <c r="G149" s="1"/>
      <c r="H149" s="1"/>
      <c r="I149" s="1"/>
      <c r="J149" s="1"/>
      <c r="K149" s="1"/>
      <c r="L149" s="1"/>
      <c r="M149" s="1"/>
      <c r="N149" s="1"/>
      <c r="O149" s="1"/>
      <c r="P149" s="1"/>
      <c r="Q149" s="1"/>
    </row>
    <row r="150" spans="1:17" x14ac:dyDescent="0.35">
      <c r="A150" s="1"/>
      <c r="B150" s="1"/>
      <c r="C150" s="1"/>
      <c r="D150" s="1"/>
      <c r="E150" s="1"/>
      <c r="F150" s="1"/>
      <c r="G150" s="1"/>
      <c r="H150" s="1"/>
      <c r="I150" s="1"/>
      <c r="J150" s="1"/>
      <c r="K150" s="1"/>
      <c r="L150" s="1"/>
      <c r="M150" s="1"/>
      <c r="N150" s="1"/>
      <c r="O150" s="1"/>
      <c r="P150" s="1"/>
      <c r="Q150" s="1"/>
    </row>
    <row r="151" spans="1:17" x14ac:dyDescent="0.35">
      <c r="A151" s="1"/>
      <c r="B151" s="1"/>
      <c r="C151" s="1"/>
      <c r="D151" s="1"/>
      <c r="E151" s="1"/>
      <c r="F151" s="1"/>
      <c r="G151" s="1"/>
      <c r="H151" s="1"/>
      <c r="I151" s="1"/>
      <c r="J151" s="1"/>
      <c r="K151" s="1"/>
      <c r="L151" s="1"/>
      <c r="M151" s="1"/>
      <c r="N151" s="1"/>
      <c r="O151" s="1"/>
      <c r="P151" s="1"/>
      <c r="Q151" s="1"/>
    </row>
    <row r="152" spans="1:17" x14ac:dyDescent="0.35">
      <c r="A152" s="1"/>
      <c r="B152" s="1"/>
      <c r="C152" s="1"/>
      <c r="D152" s="1"/>
      <c r="E152" s="1"/>
      <c r="F152" s="1"/>
      <c r="G152" s="1"/>
      <c r="H152" s="1"/>
      <c r="I152" s="1"/>
      <c r="J152" s="1"/>
      <c r="K152" s="1"/>
      <c r="L152" s="1"/>
      <c r="M152" s="1"/>
      <c r="N152" s="1"/>
      <c r="O152" s="1"/>
      <c r="P152" s="1"/>
      <c r="Q152" s="1"/>
    </row>
    <row r="153" spans="1:17" x14ac:dyDescent="0.35">
      <c r="A153" s="1"/>
      <c r="B153" s="1"/>
      <c r="C153" s="1"/>
      <c r="D153" s="1"/>
      <c r="E153" s="1"/>
      <c r="F153" s="1"/>
      <c r="G153" s="1"/>
      <c r="H153" s="1"/>
      <c r="I153" s="1"/>
      <c r="J153" s="1"/>
      <c r="K153" s="1"/>
      <c r="L153" s="1"/>
      <c r="M153" s="1"/>
      <c r="N153" s="1"/>
      <c r="O153" s="1"/>
      <c r="P153" s="1"/>
      <c r="Q153" s="1"/>
    </row>
    <row r="154" spans="1:17" x14ac:dyDescent="0.35">
      <c r="A154" s="1"/>
      <c r="B154" s="1"/>
      <c r="C154" s="1"/>
      <c r="D154" s="1"/>
      <c r="E154" s="1"/>
      <c r="F154" s="1"/>
      <c r="G154" s="1"/>
      <c r="H154" s="1"/>
      <c r="I154" s="1"/>
      <c r="J154" s="1"/>
      <c r="K154" s="1"/>
      <c r="L154" s="1"/>
      <c r="M154" s="1"/>
      <c r="N154" s="1"/>
      <c r="O154" s="1"/>
      <c r="P154" s="1"/>
      <c r="Q154" s="1"/>
    </row>
    <row r="155" spans="1:17" x14ac:dyDescent="0.35">
      <c r="A155" s="1"/>
      <c r="B155" s="1"/>
      <c r="C155" s="1"/>
      <c r="D155" s="1"/>
      <c r="E155" s="1"/>
      <c r="F155" s="1"/>
      <c r="G155" s="1"/>
      <c r="H155" s="1"/>
      <c r="I155" s="1"/>
      <c r="J155" s="1"/>
      <c r="K155" s="1"/>
      <c r="L155" s="1"/>
      <c r="M155" s="1"/>
      <c r="N155" s="1"/>
      <c r="O155" s="1"/>
      <c r="P155" s="1"/>
      <c r="Q155" s="1"/>
    </row>
    <row r="156" spans="1:17" x14ac:dyDescent="0.35">
      <c r="A156" s="1"/>
      <c r="B156" s="1"/>
      <c r="C156" s="1"/>
      <c r="D156" s="1"/>
      <c r="E156" s="1"/>
      <c r="F156" s="1"/>
      <c r="G156" s="1"/>
      <c r="H156" s="1"/>
      <c r="I156" s="1"/>
      <c r="J156" s="1"/>
      <c r="K156" s="1"/>
      <c r="L156" s="1"/>
      <c r="M156" s="1"/>
      <c r="N156" s="1"/>
      <c r="O156" s="1"/>
      <c r="P156" s="1"/>
      <c r="Q156" s="1"/>
    </row>
    <row r="157" spans="1:17" x14ac:dyDescent="0.35">
      <c r="A157" s="1"/>
      <c r="B157" s="1"/>
      <c r="C157" s="1"/>
      <c r="D157" s="1"/>
      <c r="E157" s="1"/>
      <c r="F157" s="1"/>
      <c r="G157" s="1"/>
      <c r="H157" s="1"/>
      <c r="I157" s="1"/>
      <c r="J157" s="1"/>
      <c r="K157" s="1"/>
      <c r="L157" s="1"/>
      <c r="M157" s="1"/>
      <c r="N157" s="1"/>
      <c r="O157" s="1"/>
      <c r="P157" s="1"/>
      <c r="Q157" s="1"/>
    </row>
    <row r="158" spans="1:17" x14ac:dyDescent="0.35">
      <c r="A158" s="1"/>
      <c r="B158" s="1"/>
      <c r="C158" s="1"/>
      <c r="D158" s="1"/>
      <c r="E158" s="1"/>
      <c r="F158" s="1"/>
      <c r="G158" s="1"/>
      <c r="H158" s="1"/>
      <c r="I158" s="1"/>
      <c r="J158" s="1"/>
      <c r="K158" s="1"/>
      <c r="L158" s="1"/>
      <c r="M158" s="1"/>
      <c r="N158" s="1"/>
      <c r="O158" s="1"/>
      <c r="P158" s="1"/>
      <c r="Q158" s="1"/>
    </row>
    <row r="159" spans="1:17" x14ac:dyDescent="0.35">
      <c r="A159" s="1"/>
      <c r="B159" s="1"/>
      <c r="C159" s="1"/>
      <c r="D159" s="1"/>
      <c r="E159" s="1"/>
      <c r="F159" s="1"/>
      <c r="G159" s="1"/>
      <c r="H159" s="1"/>
      <c r="I159" s="1"/>
      <c r="J159" s="1"/>
      <c r="K159" s="1"/>
      <c r="L159" s="1"/>
      <c r="M159" s="1"/>
      <c r="N159" s="1"/>
      <c r="O159" s="1"/>
      <c r="P159" s="1"/>
      <c r="Q159" s="1"/>
    </row>
    <row r="160" spans="1:17" x14ac:dyDescent="0.35">
      <c r="A160" s="1"/>
      <c r="B160" s="1"/>
      <c r="C160" s="1"/>
      <c r="D160" s="1"/>
      <c r="E160" s="1"/>
      <c r="F160" s="1"/>
      <c r="G160" s="1"/>
      <c r="H160" s="1"/>
      <c r="I160" s="1"/>
      <c r="J160" s="1"/>
      <c r="K160" s="1"/>
      <c r="L160" s="1"/>
      <c r="M160" s="1"/>
      <c r="N160" s="1"/>
      <c r="O160" s="1"/>
      <c r="P160" s="1"/>
      <c r="Q160" s="1"/>
    </row>
    <row r="161" spans="1:17" x14ac:dyDescent="0.35">
      <c r="A161" s="1"/>
      <c r="B161" s="1"/>
      <c r="C161" s="1"/>
      <c r="D161" s="1"/>
      <c r="E161" s="1"/>
      <c r="F161" s="1"/>
      <c r="G161" s="1"/>
      <c r="H161" s="1"/>
      <c r="I161" s="1"/>
      <c r="J161" s="1"/>
      <c r="K161" s="1"/>
      <c r="L161" s="1"/>
      <c r="M161" s="1"/>
      <c r="N161" s="1"/>
      <c r="O161" s="1"/>
      <c r="P161" s="1"/>
      <c r="Q161" s="1"/>
    </row>
    <row r="162" spans="1:17" x14ac:dyDescent="0.35">
      <c r="A162" s="1"/>
      <c r="B162" s="1"/>
      <c r="C162" s="1"/>
      <c r="D162" s="1"/>
      <c r="E162" s="1"/>
      <c r="F162" s="1"/>
      <c r="G162" s="1"/>
      <c r="H162" s="1"/>
      <c r="I162" s="1"/>
      <c r="J162" s="1"/>
      <c r="K162" s="1"/>
      <c r="L162" s="1"/>
      <c r="M162" s="1"/>
      <c r="N162" s="1"/>
      <c r="O162" s="1"/>
      <c r="P162" s="1"/>
      <c r="Q162" s="1"/>
    </row>
    <row r="163" spans="1:17" x14ac:dyDescent="0.35">
      <c r="A163" s="1"/>
      <c r="B163" s="1"/>
      <c r="C163" s="1"/>
      <c r="D163" s="1"/>
      <c r="E163" s="1"/>
      <c r="F163" s="1"/>
      <c r="G163" s="1"/>
      <c r="H163" s="1"/>
      <c r="I163" s="1"/>
      <c r="J163" s="1"/>
      <c r="K163" s="1"/>
      <c r="L163" s="1"/>
      <c r="M163" s="1"/>
      <c r="N163" s="1"/>
      <c r="O163" s="1"/>
      <c r="P163" s="1"/>
      <c r="Q163" s="1"/>
    </row>
    <row r="164" spans="1:17" x14ac:dyDescent="0.35">
      <c r="A164" s="1"/>
      <c r="B164" s="1"/>
      <c r="C164" s="1"/>
      <c r="D164" s="1"/>
      <c r="E164" s="1"/>
      <c r="F164" s="1"/>
      <c r="G164" s="1"/>
      <c r="H164" s="1"/>
      <c r="I164" s="1"/>
      <c r="J164" s="1"/>
      <c r="K164" s="1"/>
      <c r="L164" s="1"/>
      <c r="M164" s="1"/>
      <c r="N164" s="1"/>
      <c r="O164" s="1"/>
      <c r="P164" s="1"/>
      <c r="Q164" s="1"/>
    </row>
    <row r="165" spans="1:17" x14ac:dyDescent="0.35">
      <c r="A165" s="1"/>
      <c r="B165" s="1"/>
      <c r="C165" s="1"/>
      <c r="D165" s="1"/>
      <c r="E165" s="1"/>
      <c r="F165" s="1"/>
      <c r="G165" s="1"/>
      <c r="H165" s="1"/>
      <c r="I165" s="1"/>
      <c r="J165" s="1"/>
      <c r="K165" s="1"/>
      <c r="L165" s="1"/>
      <c r="M165" s="1"/>
      <c r="N165" s="1"/>
      <c r="O165" s="1"/>
      <c r="P165" s="1"/>
      <c r="Q165" s="1"/>
    </row>
    <row r="166" spans="1:17" x14ac:dyDescent="0.35">
      <c r="A166" s="1"/>
      <c r="B166" s="1"/>
      <c r="C166" s="1"/>
      <c r="D166" s="1"/>
      <c r="E166" s="1"/>
      <c r="F166" s="1"/>
      <c r="G166" s="1"/>
      <c r="H166" s="1"/>
      <c r="I166" s="1"/>
      <c r="J166" s="1"/>
      <c r="K166" s="1"/>
      <c r="L166" s="1"/>
      <c r="M166" s="1"/>
      <c r="N166" s="1"/>
      <c r="O166" s="1"/>
      <c r="P166" s="1"/>
      <c r="Q166" s="1"/>
    </row>
    <row r="167" spans="1:17" x14ac:dyDescent="0.35">
      <c r="A167" s="1"/>
      <c r="B167" s="1"/>
      <c r="C167" s="1"/>
      <c r="D167" s="1"/>
      <c r="E167" s="1"/>
      <c r="F167" s="1"/>
      <c r="G167" s="1"/>
      <c r="H167" s="1"/>
      <c r="I167" s="1"/>
      <c r="J167" s="1"/>
      <c r="K167" s="1"/>
      <c r="L167" s="1"/>
      <c r="M167" s="1"/>
      <c r="N167" s="1"/>
      <c r="O167" s="1"/>
      <c r="P167" s="1"/>
      <c r="Q167" s="1"/>
    </row>
    <row r="168" spans="1:17" x14ac:dyDescent="0.35">
      <c r="A168" s="1"/>
      <c r="B168" s="1"/>
      <c r="C168" s="1"/>
      <c r="D168" s="1"/>
      <c r="E168" s="1"/>
      <c r="F168" s="1"/>
      <c r="G168" s="1"/>
      <c r="H168" s="1"/>
      <c r="I168" s="1"/>
      <c r="J168" s="1"/>
      <c r="K168" s="1"/>
      <c r="L168" s="1"/>
      <c r="M168" s="1"/>
      <c r="N168" s="1"/>
      <c r="O168" s="1"/>
      <c r="P168" s="1"/>
      <c r="Q168" s="1"/>
    </row>
    <row r="169" spans="1:17" x14ac:dyDescent="0.35">
      <c r="A169" s="1"/>
      <c r="B169" s="1"/>
      <c r="C169" s="1"/>
      <c r="D169" s="1"/>
      <c r="E169" s="1"/>
      <c r="F169" s="1"/>
      <c r="G169" s="1"/>
      <c r="H169" s="1"/>
      <c r="I169" s="1"/>
      <c r="J169" s="1"/>
      <c r="K169" s="1"/>
      <c r="L169" s="1"/>
      <c r="M169" s="1"/>
      <c r="N169" s="1"/>
      <c r="O169" s="1"/>
      <c r="P169" s="1"/>
      <c r="Q169" s="1"/>
    </row>
    <row r="170" spans="1:17" x14ac:dyDescent="0.35">
      <c r="A170" s="1"/>
      <c r="B170" s="1"/>
      <c r="C170" s="1"/>
      <c r="D170" s="1"/>
      <c r="E170" s="1"/>
      <c r="F170" s="1"/>
      <c r="G170" s="1"/>
      <c r="H170" s="1"/>
      <c r="I170" s="1"/>
      <c r="J170" s="1"/>
      <c r="K170" s="1"/>
      <c r="L170" s="1"/>
      <c r="M170" s="1"/>
      <c r="N170" s="1"/>
      <c r="O170" s="1"/>
      <c r="P170" s="1"/>
      <c r="Q170" s="1"/>
    </row>
    <row r="171" spans="1:17" x14ac:dyDescent="0.35">
      <c r="A171" s="1"/>
      <c r="B171" s="1"/>
      <c r="C171" s="1"/>
      <c r="D171" s="1"/>
      <c r="E171" s="1"/>
      <c r="F171" s="1"/>
      <c r="G171" s="1"/>
      <c r="H171" s="1"/>
      <c r="I171" s="1"/>
      <c r="J171" s="1"/>
      <c r="K171" s="1"/>
      <c r="L171" s="1"/>
      <c r="M171" s="1"/>
      <c r="N171" s="1"/>
      <c r="O171" s="1"/>
      <c r="P171" s="1"/>
      <c r="Q171" s="1"/>
    </row>
    <row r="172" spans="1:17" x14ac:dyDescent="0.35">
      <c r="A172" s="1"/>
      <c r="B172" s="1"/>
      <c r="C172" s="1"/>
      <c r="D172" s="1"/>
      <c r="E172" s="1"/>
      <c r="F172" s="1"/>
      <c r="G172" s="1"/>
      <c r="H172" s="1"/>
      <c r="I172" s="1"/>
      <c r="J172" s="1"/>
      <c r="K172" s="1"/>
      <c r="L172" s="1"/>
      <c r="M172" s="1"/>
      <c r="N172" s="1"/>
      <c r="O172" s="1"/>
      <c r="P172" s="1"/>
      <c r="Q172" s="1"/>
    </row>
    <row r="173" spans="1:17" x14ac:dyDescent="0.35">
      <c r="A173" s="1"/>
      <c r="B173" s="1"/>
      <c r="C173" s="1"/>
      <c r="D173" s="1"/>
      <c r="E173" s="1"/>
      <c r="F173" s="1"/>
      <c r="G173" s="1"/>
      <c r="H173" s="1"/>
      <c r="I173" s="1"/>
      <c r="J173" s="1"/>
      <c r="K173" s="1"/>
      <c r="L173" s="1"/>
      <c r="M173" s="1"/>
      <c r="N173" s="1"/>
      <c r="O173" s="1"/>
      <c r="P173" s="1"/>
      <c r="Q173" s="1"/>
    </row>
    <row r="174" spans="1:17" x14ac:dyDescent="0.35">
      <c r="A174" s="1"/>
      <c r="B174" s="1"/>
      <c r="C174" s="1"/>
      <c r="D174" s="1"/>
      <c r="E174" s="1"/>
      <c r="F174" s="1"/>
      <c r="G174" s="1"/>
      <c r="H174" s="1"/>
      <c r="I174" s="1"/>
      <c r="J174" s="1"/>
      <c r="K174" s="1"/>
      <c r="L174" s="1"/>
      <c r="M174" s="1"/>
      <c r="N174" s="1"/>
      <c r="O174" s="1"/>
      <c r="P174" s="1"/>
      <c r="Q174" s="1"/>
    </row>
    <row r="175" spans="1:17" x14ac:dyDescent="0.35">
      <c r="A175" s="1"/>
      <c r="B175" s="1"/>
      <c r="C175" s="1"/>
      <c r="D175" s="1"/>
      <c r="E175" s="1"/>
      <c r="F175" s="1"/>
      <c r="G175" s="1"/>
      <c r="H175" s="1"/>
      <c r="I175" s="1"/>
      <c r="J175" s="1"/>
      <c r="K175" s="1"/>
      <c r="L175" s="1"/>
      <c r="M175" s="1"/>
      <c r="N175" s="1"/>
      <c r="O175" s="1"/>
      <c r="P175" s="1"/>
      <c r="Q175" s="1"/>
    </row>
    <row r="176" spans="1:17" x14ac:dyDescent="0.35">
      <c r="A176" s="1"/>
      <c r="B176" s="1"/>
      <c r="C176" s="1"/>
      <c r="D176" s="1"/>
      <c r="E176" s="1"/>
      <c r="F176" s="1"/>
      <c r="G176" s="1"/>
      <c r="H176" s="1"/>
      <c r="I176" s="1"/>
      <c r="J176" s="1"/>
      <c r="K176" s="1"/>
      <c r="L176" s="1"/>
      <c r="M176" s="1"/>
      <c r="N176" s="1"/>
      <c r="O176" s="1"/>
      <c r="P176" s="1"/>
      <c r="Q176" s="1"/>
    </row>
    <row r="177" spans="1:17" x14ac:dyDescent="0.35">
      <c r="A177" s="1"/>
      <c r="B177" s="1"/>
      <c r="C177" s="1"/>
      <c r="D177" s="1"/>
      <c r="E177" s="1"/>
      <c r="F177" s="1"/>
      <c r="G177" s="1"/>
      <c r="H177" s="1"/>
      <c r="I177" s="1"/>
      <c r="J177" s="1"/>
      <c r="K177" s="1"/>
      <c r="L177" s="1"/>
      <c r="M177" s="1"/>
      <c r="N177" s="1"/>
      <c r="O177" s="1"/>
      <c r="P177" s="1"/>
      <c r="Q177" s="1"/>
    </row>
    <row r="178" spans="1:17" x14ac:dyDescent="0.35">
      <c r="A178" s="1"/>
      <c r="B178" s="1"/>
      <c r="C178" s="1"/>
      <c r="D178" s="1"/>
      <c r="E178" s="1"/>
      <c r="F178" s="1"/>
      <c r="G178" s="1"/>
      <c r="H178" s="1"/>
      <c r="I178" s="1"/>
      <c r="J178" s="1"/>
      <c r="K178" s="1"/>
      <c r="L178" s="1"/>
      <c r="M178" s="1"/>
      <c r="N178" s="1"/>
      <c r="O178" s="1"/>
      <c r="P178" s="1"/>
      <c r="Q178" s="1"/>
    </row>
    <row r="179" spans="1:17" x14ac:dyDescent="0.35">
      <c r="A179" s="1"/>
      <c r="B179" s="1"/>
      <c r="C179" s="1"/>
      <c r="D179" s="1"/>
      <c r="E179" s="1"/>
      <c r="F179" s="1"/>
      <c r="G179" s="1"/>
      <c r="H179" s="1"/>
      <c r="I179" s="1"/>
      <c r="J179" s="1"/>
      <c r="K179" s="1"/>
      <c r="L179" s="1"/>
      <c r="M179" s="1"/>
      <c r="N179" s="1"/>
      <c r="O179" s="1"/>
      <c r="P179" s="1"/>
      <c r="Q179" s="1"/>
    </row>
    <row r="180" spans="1:17" x14ac:dyDescent="0.35">
      <c r="A180" s="1"/>
      <c r="B180" s="1"/>
      <c r="C180" s="1"/>
      <c r="D180" s="1"/>
      <c r="E180" s="1"/>
      <c r="F180" s="1"/>
      <c r="G180" s="1"/>
      <c r="H180" s="1"/>
      <c r="I180" s="1"/>
      <c r="J180" s="1"/>
      <c r="K180" s="1"/>
      <c r="L180" s="1"/>
      <c r="M180" s="1"/>
      <c r="N180" s="1"/>
      <c r="O180" s="1"/>
      <c r="P180" s="1"/>
      <c r="Q180" s="1"/>
    </row>
    <row r="181" spans="1:17" x14ac:dyDescent="0.35">
      <c r="A181" s="1"/>
      <c r="B181" s="1"/>
      <c r="C181" s="1"/>
      <c r="D181" s="1"/>
      <c r="E181" s="1"/>
      <c r="F181" s="1"/>
      <c r="G181" s="1"/>
      <c r="H181" s="1"/>
      <c r="I181" s="1"/>
      <c r="J181" s="1"/>
      <c r="K181" s="1"/>
      <c r="L181" s="1"/>
      <c r="M181" s="1"/>
      <c r="N181" s="1"/>
      <c r="O181" s="1"/>
      <c r="P181" s="1"/>
      <c r="Q181" s="1"/>
    </row>
    <row r="182" spans="1:17" x14ac:dyDescent="0.35">
      <c r="A182" s="1"/>
      <c r="B182" s="1"/>
      <c r="C182" s="1"/>
      <c r="D182" s="1"/>
      <c r="E182" s="1"/>
      <c r="F182" s="1"/>
      <c r="G182" s="1"/>
      <c r="H182" s="1"/>
      <c r="I182" s="1"/>
      <c r="J182" s="1"/>
      <c r="K182" s="1"/>
      <c r="L182" s="1"/>
      <c r="M182" s="1"/>
      <c r="N182" s="1"/>
      <c r="O182" s="1"/>
      <c r="P182" s="1"/>
      <c r="Q182" s="1"/>
    </row>
    <row r="183" spans="1:17" x14ac:dyDescent="0.35">
      <c r="A183" s="1"/>
      <c r="B183" s="1"/>
      <c r="C183" s="1"/>
      <c r="D183" s="1"/>
      <c r="E183" s="1"/>
      <c r="F183" s="1"/>
      <c r="G183" s="1"/>
      <c r="H183" s="1"/>
      <c r="I183" s="1"/>
      <c r="J183" s="1"/>
      <c r="K183" s="1"/>
      <c r="L183" s="1"/>
      <c r="M183" s="1"/>
      <c r="N183" s="1"/>
      <c r="O183" s="1"/>
      <c r="P183" s="1"/>
      <c r="Q183" s="1"/>
    </row>
    <row r="184" spans="1:17" x14ac:dyDescent="0.35">
      <c r="A184" s="1"/>
      <c r="B184" s="1"/>
      <c r="C184" s="1"/>
      <c r="D184" s="1"/>
      <c r="E184" s="1"/>
      <c r="F184" s="1"/>
      <c r="G184" s="1"/>
      <c r="H184" s="1"/>
      <c r="I184" s="1"/>
      <c r="J184" s="1"/>
      <c r="K184" s="1"/>
      <c r="L184" s="1"/>
      <c r="M184" s="1"/>
      <c r="N184" s="1"/>
      <c r="O184" s="1"/>
      <c r="P184" s="1"/>
      <c r="Q184" s="1"/>
    </row>
    <row r="185" spans="1:17" x14ac:dyDescent="0.35">
      <c r="A185" s="1"/>
      <c r="B185" s="1"/>
      <c r="C185" s="1"/>
      <c r="D185" s="1"/>
      <c r="E185" s="1"/>
      <c r="F185" s="1"/>
      <c r="G185" s="1"/>
      <c r="H185" s="1"/>
      <c r="I185" s="1"/>
      <c r="J185" s="1"/>
      <c r="K185" s="1"/>
      <c r="L185" s="1"/>
      <c r="M185" s="1"/>
      <c r="N185" s="1"/>
      <c r="O185" s="1"/>
      <c r="P185" s="1"/>
      <c r="Q185" s="1"/>
    </row>
    <row r="186" spans="1:17" x14ac:dyDescent="0.35">
      <c r="A186" s="1"/>
      <c r="B186" s="1"/>
      <c r="C186" s="1"/>
      <c r="D186" s="1"/>
      <c r="E186" s="1"/>
      <c r="F186" s="1"/>
      <c r="G186" s="1"/>
      <c r="H186" s="1"/>
      <c r="I186" s="1"/>
      <c r="J186" s="1"/>
      <c r="K186" s="1"/>
      <c r="L186" s="1"/>
      <c r="M186" s="1"/>
      <c r="N186" s="1"/>
      <c r="O186" s="1"/>
      <c r="P186" s="1"/>
      <c r="Q186" s="1"/>
    </row>
    <row r="187" spans="1:17" x14ac:dyDescent="0.35">
      <c r="A187" s="1"/>
      <c r="B187" s="1"/>
      <c r="C187" s="1"/>
      <c r="D187" s="1"/>
      <c r="E187" s="1"/>
      <c r="F187" s="1"/>
      <c r="G187" s="1"/>
      <c r="H187" s="1"/>
      <c r="I187" s="1"/>
      <c r="J187" s="1"/>
      <c r="K187" s="1"/>
      <c r="L187" s="1"/>
      <c r="M187" s="1"/>
      <c r="N187" s="1"/>
      <c r="O187" s="1"/>
      <c r="P187" s="1"/>
      <c r="Q187" s="1"/>
    </row>
    <row r="188" spans="1:17" x14ac:dyDescent="0.35">
      <c r="A188" s="1"/>
      <c r="B188" s="1"/>
      <c r="C188" s="1"/>
      <c r="D188" s="1"/>
      <c r="E188" s="1"/>
      <c r="F188" s="1"/>
      <c r="G188" s="1"/>
      <c r="H188" s="1"/>
      <c r="I188" s="1"/>
      <c r="J188" s="1"/>
      <c r="K188" s="1"/>
      <c r="L188" s="1"/>
      <c r="M188" s="1"/>
      <c r="N188" s="1"/>
      <c r="O188" s="1"/>
      <c r="P188" s="1"/>
      <c r="Q188" s="1"/>
    </row>
    <row r="189" spans="1:17" x14ac:dyDescent="0.35">
      <c r="A189" s="1"/>
      <c r="B189" s="1"/>
      <c r="C189" s="1"/>
      <c r="D189" s="1"/>
      <c r="E189" s="1"/>
      <c r="F189" s="1"/>
      <c r="G189" s="1"/>
      <c r="H189" s="1"/>
      <c r="I189" s="1"/>
      <c r="J189" s="1"/>
      <c r="K189" s="1"/>
      <c r="L189" s="1"/>
      <c r="M189" s="1"/>
      <c r="N189" s="1"/>
      <c r="O189" s="1"/>
      <c r="P189" s="1"/>
      <c r="Q189" s="1"/>
    </row>
    <row r="190" spans="1:17" x14ac:dyDescent="0.35">
      <c r="A190" s="1"/>
      <c r="B190" s="1"/>
      <c r="C190" s="1"/>
      <c r="D190" s="1"/>
      <c r="E190" s="1"/>
      <c r="F190" s="1"/>
      <c r="G190" s="1"/>
      <c r="H190" s="1"/>
      <c r="I190" s="1"/>
      <c r="J190" s="1"/>
      <c r="K190" s="1"/>
      <c r="L190" s="1"/>
      <c r="M190" s="1"/>
      <c r="N190" s="1"/>
      <c r="O190" s="1"/>
      <c r="P190" s="1"/>
      <c r="Q190" s="1"/>
    </row>
    <row r="191" spans="1:17" x14ac:dyDescent="0.35">
      <c r="A191" s="1"/>
      <c r="B191" s="1"/>
      <c r="C191" s="1"/>
      <c r="D191" s="1"/>
      <c r="E191" s="1"/>
      <c r="F191" s="1"/>
      <c r="G191" s="1"/>
      <c r="H191" s="1"/>
      <c r="I191" s="1"/>
      <c r="J191" s="1"/>
      <c r="K191" s="1"/>
      <c r="L191" s="1"/>
      <c r="M191" s="1"/>
      <c r="N191" s="1"/>
      <c r="O191" s="1"/>
      <c r="P191" s="1"/>
      <c r="Q191" s="1"/>
    </row>
    <row r="192" spans="1:17" x14ac:dyDescent="0.35">
      <c r="A192" s="1"/>
      <c r="B192" s="1"/>
      <c r="C192" s="1"/>
      <c r="D192" s="1"/>
      <c r="E192" s="1"/>
      <c r="F192" s="1"/>
      <c r="G192" s="1"/>
      <c r="H192" s="1"/>
      <c r="I192" s="1"/>
      <c r="J192" s="1"/>
      <c r="K192" s="1"/>
      <c r="L192" s="1"/>
      <c r="M192" s="1"/>
      <c r="N192" s="1"/>
      <c r="O192" s="1"/>
      <c r="P192" s="1"/>
      <c r="Q192" s="1"/>
    </row>
    <row r="193" spans="1:17" x14ac:dyDescent="0.35">
      <c r="A193" s="1"/>
      <c r="B193" s="1"/>
      <c r="C193" s="1"/>
      <c r="D193" s="1"/>
      <c r="E193" s="1"/>
      <c r="F193" s="1"/>
      <c r="G193" s="1"/>
      <c r="H193" s="1"/>
      <c r="I193" s="1"/>
      <c r="J193" s="1"/>
      <c r="K193" s="1"/>
      <c r="L193" s="1"/>
      <c r="M193" s="1"/>
      <c r="N193" s="1"/>
      <c r="O193" s="1"/>
      <c r="P193" s="1"/>
      <c r="Q193" s="1"/>
    </row>
    <row r="194" spans="1:17" x14ac:dyDescent="0.35">
      <c r="A194" s="1"/>
      <c r="B194" s="1"/>
      <c r="C194" s="1"/>
      <c r="D194" s="1"/>
      <c r="E194" s="1"/>
      <c r="F194" s="1"/>
      <c r="G194" s="1"/>
      <c r="H194" s="1"/>
      <c r="I194" s="1"/>
      <c r="J194" s="1"/>
      <c r="K194" s="1"/>
      <c r="L194" s="1"/>
      <c r="M194" s="1"/>
      <c r="N194" s="1"/>
      <c r="O194" s="1"/>
      <c r="P194" s="1"/>
      <c r="Q194" s="1"/>
    </row>
    <row r="195" spans="1:17" x14ac:dyDescent="0.35">
      <c r="A195" s="1"/>
      <c r="B195" s="1"/>
      <c r="C195" s="1"/>
      <c r="D195" s="1"/>
      <c r="E195" s="1"/>
      <c r="F195" s="1"/>
      <c r="G195" s="1"/>
      <c r="H195" s="1"/>
      <c r="I195" s="1"/>
      <c r="J195" s="1"/>
      <c r="K195" s="1"/>
      <c r="L195" s="1"/>
      <c r="M195" s="1"/>
      <c r="N195" s="1"/>
      <c r="O195" s="1"/>
      <c r="P195" s="1"/>
      <c r="Q195" s="1"/>
    </row>
    <row r="196" spans="1:17" x14ac:dyDescent="0.35">
      <c r="A196" s="1"/>
      <c r="B196" s="1"/>
      <c r="C196" s="1"/>
      <c r="D196" s="1"/>
      <c r="E196" s="1"/>
      <c r="F196" s="1"/>
      <c r="G196" s="1"/>
      <c r="H196" s="1"/>
      <c r="I196" s="1"/>
      <c r="J196" s="1"/>
      <c r="K196" s="1"/>
      <c r="L196" s="1"/>
      <c r="M196" s="1"/>
      <c r="N196" s="1"/>
      <c r="O196" s="1"/>
      <c r="P196" s="1"/>
      <c r="Q196" s="1"/>
    </row>
    <row r="197" spans="1:17" x14ac:dyDescent="0.35">
      <c r="A197" s="1"/>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1:17" x14ac:dyDescent="0.35">
      <c r="A198" s="1"/>
      <c r="B198" s="37"/>
      <c r="C198" s="38"/>
      <c r="D198" s="31"/>
      <c r="E198" s="32"/>
      <c r="F198" s="34"/>
      <c r="G198" s="33"/>
      <c r="H198" s="34"/>
      <c r="I198" s="33"/>
      <c r="J198" s="34"/>
      <c r="K198" s="34"/>
      <c r="L198" s="34"/>
      <c r="M198" s="33"/>
      <c r="N198" s="34"/>
      <c r="O198" s="35"/>
      <c r="P198" s="36"/>
      <c r="Q198" s="35"/>
    </row>
    <row r="199" spans="1:17" x14ac:dyDescent="0.35">
      <c r="A199" s="1"/>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1:17" x14ac:dyDescent="0.35">
      <c r="A200" s="1"/>
      <c r="B200" s="1"/>
      <c r="C200" s="1"/>
      <c r="D200" s="1"/>
      <c r="E200" s="1"/>
      <c r="F200" s="1"/>
      <c r="G200" s="1"/>
      <c r="H200" s="1"/>
      <c r="I200" s="1"/>
      <c r="J200" s="1"/>
      <c r="K200" s="1"/>
      <c r="L200" s="1"/>
      <c r="M200" s="1"/>
      <c r="N200" s="1"/>
      <c r="O200" s="1"/>
      <c r="P200" s="1"/>
      <c r="Q200" s="78" t="s">
        <v>21404</v>
      </c>
    </row>
    <row r="201" spans="1:17" x14ac:dyDescent="0.35">
      <c r="A201" s="1"/>
      <c r="B201" s="1"/>
      <c r="C201" s="78" t="s">
        <v>21592</v>
      </c>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77" t="s">
        <v>21399</v>
      </c>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t="s">
        <v>21398</v>
      </c>
      <c r="D205" s="1" t="s">
        <v>75</v>
      </c>
      <c r="E205" s="1" t="s">
        <v>13768</v>
      </c>
      <c r="F205" s="2" t="s">
        <v>21397</v>
      </c>
      <c r="G205" s="1" t="s">
        <v>9</v>
      </c>
      <c r="H205" s="1"/>
      <c r="I205" s="1"/>
      <c r="J205" s="1"/>
      <c r="K205" s="1"/>
      <c r="L205" s="1"/>
      <c r="M205" s="1"/>
      <c r="N205" s="1"/>
      <c r="O205" s="1"/>
      <c r="P205" s="1"/>
      <c r="Q205" s="1"/>
    </row>
  </sheetData>
  <mergeCells count="9">
    <mergeCell ref="J5:K5"/>
    <mergeCell ref="J6:K6"/>
    <mergeCell ref="J7:K7"/>
    <mergeCell ref="A3:B3"/>
    <mergeCell ref="D3:G3"/>
    <mergeCell ref="J3:K3"/>
    <mergeCell ref="P3:Q3"/>
    <mergeCell ref="A4:B4"/>
    <mergeCell ref="J4:K4"/>
  </mergeCells>
  <dataValidations count="1">
    <dataValidation type="list" allowBlank="1" showInputMessage="1" showErrorMessage="1" sqref="C16:C190" xr:uid="{6CBB1869-9DDF-40FD-BC10-3191E476D1F4}">
      <formula1>$C$205:$C207</formula1>
    </dataValidation>
  </dataValidations>
  <hyperlinks>
    <hyperlink ref="D3" r:id="rId1" display="datamateapp@gmail.com" xr:uid="{EE9110F6-8E85-4F97-90A0-5F8BF6978D7A}"/>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97697" r:id="rId4" name="Button 1">
              <controlPr defaultSize="0" print="0" autoFill="0" autoPict="0" macro="SaveData">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797698" r:id="rId5" name="Button 2">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797699"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797700"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797701" r:id="rId8" name="Button 5">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797702" r:id="rId9" name="Button 6">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797703" r:id="rId10" name="Button 7">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797704" r:id="rId11" name="Button 8">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controls>
    </mc:Choice>
  </mc:AlternateContent>
</worksheet>
</file>

<file path=xl/worksheets/sheet1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BBEDD-CED1-47DA-82C5-23CF018B5E1D}">
  <sheetPr codeName="Sheet192"/>
  <dimension ref="A1:Q207"/>
  <sheetViews>
    <sheetView zoomScale="75" zoomScaleNormal="75" workbookViewId="0"/>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7" t="str">
        <f>DIV_12View_Print!B2</f>
        <v>AREA/FLOOR/ZONE- Page- SUB COST- MAT COST- LAB COST- EQUIP COST- Total Cost- Date- Description- Log 10- Log 11- Log 12</v>
      </c>
      <c r="B1" s="57"/>
      <c r="C1" s="57"/>
      <c r="D1" s="57"/>
      <c r="E1" s="57"/>
      <c r="F1" s="57"/>
      <c r="G1" s="57"/>
      <c r="H1" s="57"/>
      <c r="I1" s="57"/>
      <c r="J1" s="57"/>
      <c r="K1" s="57"/>
      <c r="L1" s="57"/>
      <c r="M1" s="57" t="str">
        <f>DIV_02Input!M1</f>
        <v>Update 1</v>
      </c>
      <c r="N1" s="57" t="str">
        <f>DIV_02Input!N1</f>
        <v>Update 2</v>
      </c>
      <c r="O1" s="57" t="str">
        <f>DIV_02Input!O1</f>
        <v>Update 3</v>
      </c>
      <c r="P1" s="57"/>
      <c r="Q1" s="57"/>
    </row>
    <row r="2" spans="1:17" x14ac:dyDescent="0.35">
      <c r="A2" s="57"/>
      <c r="B2" s="436" t="s">
        <v>21420</v>
      </c>
      <c r="C2" s="436"/>
      <c r="D2" s="436"/>
      <c r="E2" s="436"/>
      <c r="F2" s="436"/>
      <c r="G2" s="436"/>
      <c r="H2" s="436"/>
      <c r="I2" s="436"/>
      <c r="J2" s="436"/>
      <c r="K2" s="436"/>
      <c r="L2" s="436"/>
      <c r="M2" s="1"/>
      <c r="N2" s="1"/>
      <c r="O2" s="1"/>
      <c r="P2" s="57"/>
      <c r="Q2" s="57"/>
    </row>
    <row r="3" spans="1:17" ht="15" thickBot="1" x14ac:dyDescent="0.4">
      <c r="A3" s="446" t="e">
        <f>VLOOKUP(A1,DIV_12Data!$A$1:$DZU$1000000,36,FALSE)</f>
        <v>#N/A</v>
      </c>
      <c r="B3" s="425"/>
      <c r="C3" s="103" t="e">
        <f>VLOOKUP(A1,DIV_12Data!$A$1:$DZU$1000000,38,FALSE)</f>
        <v>#N/A</v>
      </c>
      <c r="D3" s="447" t="e">
        <f>VLOOKUP(A1,DIV_12Data!$A$1:$DZU$1000000,39,FALSE)</f>
        <v>#N/A</v>
      </c>
      <c r="E3" s="448"/>
      <c r="F3" s="448"/>
      <c r="G3" s="448"/>
      <c r="H3" s="6" t="e">
        <f>VLOOKUP(A1,DIV_12Data!$A$1:$DZU$1000000,43,FALSE)</f>
        <v>#N/A</v>
      </c>
      <c r="I3" s="6" t="e">
        <f>VLOOKUP(A1,DIV_12Data!$A$1:$DZU$1000000,44,FALSE)</f>
        <v>#N/A</v>
      </c>
      <c r="J3" s="449" t="e">
        <f>VLOOKUP(A1,DIV_12Data!$A$1:$DZU$1000000,45,FALSE)</f>
        <v>#N/A</v>
      </c>
      <c r="K3" s="450"/>
      <c r="L3" s="100" t="e">
        <f>VLOOKUP(A1,DIV_12Data!$A$1:$DZU$1000000,47,FALSE)</f>
        <v>#N/A</v>
      </c>
      <c r="M3" s="8" t="e">
        <f>VLOOKUP(A1,DIV_12Data!$A$1:$DZU$1000000,48,FALSE)</f>
        <v>#N/A</v>
      </c>
      <c r="N3" s="6" t="e">
        <f>VLOOKUP(A1,DIV_12Data!$A$1:$DZU$1000000,49,FALSE)</f>
        <v>#N/A</v>
      </c>
      <c r="O3" s="8" t="e">
        <f>VLOOKUP(A1,DIV_12Data!$A$1:$DZU$1000000,50,FALSE)</f>
        <v>#N/A</v>
      </c>
      <c r="P3" s="7" t="e">
        <f>VLOOKUP(A1,DIV_12Data!$A$1:$DZU$1000000,51,FALSE)</f>
        <v>#N/A</v>
      </c>
      <c r="Q3" s="8" t="e">
        <f>VLOOKUP(A1,DIV_12Data!$A$1:$DZU$1000000,52,FALSE)</f>
        <v>#N/A</v>
      </c>
    </row>
    <row r="4" spans="1:17" ht="15" thickBot="1" x14ac:dyDescent="0.4">
      <c r="A4" s="451" t="e">
        <f>VLOOKUP(A1,DIV_12Data!$A$1:$DZU$1000000,53,FALSE)</f>
        <v>#N/A</v>
      </c>
      <c r="B4" s="452"/>
      <c r="C4" s="79" t="e">
        <f>VLOOKUP(A1,DIV_12Data!$A$1:$DZU$1000000,55,FALSE)</f>
        <v>#N/A</v>
      </c>
      <c r="D4" s="6" t="e">
        <f>VLOOKUP(A1,DIV_12Data!$A$1:$DZU$1000000,56,FALSE)</f>
        <v>#N/A</v>
      </c>
      <c r="E4" s="5" t="e">
        <f>VLOOKUP(A1,DIV_12Data!$A$1:$DZU$1000000,57,FALSE)</f>
        <v>#N/A</v>
      </c>
      <c r="F4" s="61" t="e">
        <f>VLOOKUP(A1,DIV_12Data!$A$1:$DZU$1000000,58,FALSE)</f>
        <v>#N/A</v>
      </c>
      <c r="G4" s="8" t="e">
        <f>VLOOKUP(A1,DIV_12Data!$A$1:$DZU$1000000,59,FALSE)</f>
        <v>#N/A</v>
      </c>
      <c r="H4" s="6" t="e">
        <f>VLOOKUP(A1,DIV_12Data!$A$1:$DZU$1000000,60,FALSE)</f>
        <v>#N/A</v>
      </c>
      <c r="I4" s="6" t="e">
        <f>VLOOKUP(A1,DIV_12Data!$A$1:$DZU$1000000,61,FALSE)</f>
        <v>#N/A</v>
      </c>
      <c r="J4" s="443" t="e">
        <f>VLOOKUP(A1,DIV_12Data!$A$1:$DZU$1000000,62,FALSE)</f>
        <v>#N/A</v>
      </c>
      <c r="K4" s="444"/>
      <c r="L4" s="102" t="e">
        <f>VLOOKUP(A1,DIV_12Data!$A$1:$DZU$1000000,64,FALSE)</f>
        <v>#N/A</v>
      </c>
      <c r="M4" s="9" t="e">
        <f>VLOOKUP(A1,DIV_12Data!$A$1:$DZU$1000000,65,FALSE)</f>
        <v>#N/A</v>
      </c>
      <c r="N4" s="31" t="e">
        <f>VLOOKUP(A1,DIV_12Data!$A$1:$DZU$1000000,66,FALSE)</f>
        <v>#N/A</v>
      </c>
      <c r="O4" s="98" t="e">
        <f>VLOOKUP(A1,DIV_12Data!$A$1:$DZU$1000000,67,FALSE)</f>
        <v>#N/A</v>
      </c>
      <c r="P4" s="7" t="e">
        <f>VLOOKUP(A1,DIV_12Data!$A$1:$DZU$1000000,68,FALSE)</f>
        <v>#N/A</v>
      </c>
      <c r="Q4" s="10" t="e">
        <f>VLOOKUP(A1,DIV_12Data!$A$1:$DZU$1000000,69,FALSE)</f>
        <v>#N/A</v>
      </c>
    </row>
    <row r="5" spans="1:17" ht="15" thickBot="1" x14ac:dyDescent="0.4">
      <c r="A5" s="3" t="e">
        <f>VLOOKUP(A1,DIV_12Data!$A$1:$DZU$1000000,70,FALSE)</f>
        <v>#N/A</v>
      </c>
      <c r="B5" s="4" t="e">
        <f>VLOOKUP(A1,DIV_12Data!$A$1:$DZU$1000000,71,FALSE)</f>
        <v>#N/A</v>
      </c>
      <c r="C5" s="5" t="e">
        <f>VLOOKUP(A1,DIV_12Data!$A$1:$DZU$1000000,72,FALSE)</f>
        <v>#N/A</v>
      </c>
      <c r="D5" s="6" t="e">
        <f>VLOOKUP(A1,DIV_12Data!$A$1:$DZU$1000000,73,FALSE)</f>
        <v>#N/A</v>
      </c>
      <c r="E5" s="7" t="e">
        <f>VLOOKUP(A1,DIV_12Data!$A$1:$DZU$1000000,74,FALSE)</f>
        <v>#N/A</v>
      </c>
      <c r="F5" s="6" t="e">
        <f>VLOOKUP(A1,DIV_12Data!$A$1:$DZU$1000000,75,FALSE)</f>
        <v>#N/A</v>
      </c>
      <c r="G5" s="8" t="e">
        <f>VLOOKUP(A1,DIV_12Data!$A$1:$DZU$1000000,76,FALSE)</f>
        <v>#N/A</v>
      </c>
      <c r="H5" s="6" t="e">
        <f>VLOOKUP(A1,DIV_12Data!$A$1:$DZU$1000000,77,FALSE)</f>
        <v>#N/A</v>
      </c>
      <c r="I5" s="6" t="e">
        <f>VLOOKUP(A1,DIV_12Data!$A$1:$DZU$1000000,78,FALSE)</f>
        <v>#N/A</v>
      </c>
      <c r="J5" s="443" t="e">
        <f>VLOOKUP(A1,DIV_12Data!$A$1:$DZU$1000000,79,FALSE)</f>
        <v>#N/A</v>
      </c>
      <c r="K5" s="444"/>
      <c r="L5" s="11" t="e">
        <f>VLOOKUP(A1,DIV_12Data!$A$1:$DZU$1000000,81,FALSE)</f>
        <v>#N/A</v>
      </c>
      <c r="M5" s="91" t="e">
        <f>VLOOKUP(A1,DIV_12Data!$A$1:$DZU$1000000,82,FALSE)</f>
        <v>#N/A</v>
      </c>
      <c r="N5" s="31" t="e">
        <f>VLOOKUP(A1,DIV_12Data!$A$1:$DZU$1000000,83,FALSE)</f>
        <v>#N/A</v>
      </c>
      <c r="O5" s="96" t="e">
        <f>VLOOKUP(A1,DIV_12Data!$A$1:$DZU$1000000,84,FALSE)</f>
        <v>#N/A</v>
      </c>
      <c r="P5" s="86" t="e">
        <f>VLOOKUP(A1,DIV_12Data!$A$1:$DZU$1000000,85,FALSE)</f>
        <v>#N/A</v>
      </c>
      <c r="Q5" s="8" t="e">
        <f>VLOOKUP(A1,DIV_12Data!$A$1:$DZU$1000000,86,FALSE)</f>
        <v>#N/A</v>
      </c>
    </row>
    <row r="6" spans="1:17" ht="15" thickBot="1" x14ac:dyDescent="0.4">
      <c r="A6" s="3" t="e">
        <f>VLOOKUP(A1,DIV_12Data!$A$1:$DZU$1000000,87,FALSE)</f>
        <v>#N/A</v>
      </c>
      <c r="B6" s="4" t="e">
        <f>VLOOKUP(A1,DIV_12Data!$A$1:$DZU$1000000,88,FALSE)</f>
        <v>#N/A</v>
      </c>
      <c r="C6" s="5" t="e">
        <f>VLOOKUP(A1,DIV_12Data!$A$1:$DZU$1000000,89,FALSE)</f>
        <v>#N/A</v>
      </c>
      <c r="D6" s="6" t="e">
        <f>VLOOKUP(A1,DIV_12Data!$A$1:$DZU$1000000,90,FALSE)</f>
        <v>#N/A</v>
      </c>
      <c r="E6" s="7" t="e">
        <f>VLOOKUP(A1,DIV_12Data!$A$1:$DZU$1000000,91,FALSE)</f>
        <v>#N/A</v>
      </c>
      <c r="F6" s="6" t="e">
        <f>VLOOKUP(A1,DIV_12Data!$A$1:$DZU$1000000,92,FALSE)</f>
        <v>#N/A</v>
      </c>
      <c r="G6" s="10" t="e">
        <f>VLOOKUP(A1,DIV_12Data!$A$1:$DZU$1000000,93,FALSE)</f>
        <v>#N/A</v>
      </c>
      <c r="H6" s="12" t="e">
        <f>VLOOKUP(A1,DIV_12Data!$A$1:$DZU$1000000,94,FALSE)</f>
        <v>#N/A</v>
      </c>
      <c r="I6" s="13" t="e">
        <f>VLOOKUP(A1,DIV_12Data!$A$1:$DZU$1000000,95,FALSE)</f>
        <v>#N/A</v>
      </c>
      <c r="J6" s="445" t="e">
        <f>VLOOKUP(A1,DIV_12Data!$A$1:$DZU$1000000,96,FALSE)</f>
        <v>#N/A</v>
      </c>
      <c r="K6" s="444"/>
      <c r="L6" s="11" t="e">
        <f>VLOOKUP(A1,DIV_12Data!$A$1:$DZU$1000000,98,FALSE)</f>
        <v>#N/A</v>
      </c>
      <c r="M6" s="9" t="e">
        <f>VLOOKUP(A1,DIV_12Data!$A$1:$DZU$1000000,99,FALSE)</f>
        <v>#N/A</v>
      </c>
      <c r="N6" s="31" t="e">
        <f>VLOOKUP(A1,DIV_12Data!$A$1:$DZU$1000000,100,FALSE)</f>
        <v>#N/A</v>
      </c>
      <c r="O6" s="97" t="e">
        <f>VLOOKUP(A1,DIV_12Data!$A$1:$DZU$1000000,101,FALSE)</f>
        <v>#N/A</v>
      </c>
      <c r="P6" s="7" t="e">
        <f>VLOOKUP(A1,DIV_12Data!$A$1:$DZU$1000000,102,FALSE)</f>
        <v>#N/A</v>
      </c>
      <c r="Q6" s="8" t="e">
        <f>VLOOKUP(A1,DIV_12Data!$A$1:$DZU$1000000,103,FALSE)</f>
        <v>#N/A</v>
      </c>
    </row>
    <row r="7" spans="1:17" x14ac:dyDescent="0.35">
      <c r="A7" s="3" t="e">
        <f>VLOOKUP(A1,DIV_12Data!$A$1:$DZU$1000000,104,FALSE)</f>
        <v>#N/A</v>
      </c>
      <c r="B7" s="4" t="e">
        <f>VLOOKUP(A1,DIV_12Data!$A$1:$DZU$1000000,105,FALSE)</f>
        <v>#N/A</v>
      </c>
      <c r="C7" s="84" t="e">
        <f>VLOOKUP(A1,DIV_12Data!$A$1:$DZU$1000000,106,FALSE)</f>
        <v>#N/A</v>
      </c>
      <c r="D7" s="6" t="e">
        <f>VLOOKUP(A1,DIV_12Data!$A$1:$DZU$1000000,107,FALSE)</f>
        <v>#N/A</v>
      </c>
      <c r="E7" s="7" t="e">
        <f>VLOOKUP(A1,DIV_12Data!$A$1:$DZU$1000000,108,FALSE)</f>
        <v>#N/A</v>
      </c>
      <c r="F7" s="6" t="e">
        <f>VLOOKUP(A1,DIV_12Data!$A$1:$DZU$1000000,109,FALSE)</f>
        <v>#N/A</v>
      </c>
      <c r="G7" s="7" t="e">
        <f>VLOOKUP(A1,DIV_12Data!$A$1:$DZU$1000000,110,FALSE)</f>
        <v>#N/A</v>
      </c>
      <c r="H7" s="14" t="e">
        <f>VLOOKUP(A1,DIV_12Data!$A$1:$DZU$1000000,111,FALSE)</f>
        <v>#N/A</v>
      </c>
      <c r="I7" s="6" t="e">
        <f>VLOOKUP(A1,DIV_12Data!$A$1:$DZU$1000000,112,FALSE)</f>
        <v>#N/A</v>
      </c>
      <c r="J7" s="443" t="e">
        <f>VLOOKUP(A1,DIV_12Data!$A$1:$DZU$1000000,113,FALSE)</f>
        <v>#N/A</v>
      </c>
      <c r="K7" s="444"/>
      <c r="L7" s="11" t="e">
        <f>VLOOKUP(A1,DIV_12Data!$A$1:$DZU$1000000,115,FALSE)</f>
        <v>#N/A</v>
      </c>
      <c r="M7" s="6" t="e">
        <f>VLOOKUP(A1,DIV_12Data!$A$1:$DZU$1000000,116,FALSE)</f>
        <v>#N/A</v>
      </c>
      <c r="N7" s="31" t="e">
        <f>VLOOKUP(A1,DIV_12Data!$A$1:$DZU$1000000,117,FALSE)</f>
        <v>#N/A</v>
      </c>
      <c r="O7" s="96" t="e">
        <f>VLOOKUP(A1,DIV_12Data!$A$1:$DZU$1000000,118,FALSE)</f>
        <v>#N/A</v>
      </c>
      <c r="P7" s="90" t="e">
        <f>VLOOKUP(A1,DIV_12Data!$A$1:$DZU$1000000,119,FALSE)</f>
        <v>#N/A</v>
      </c>
      <c r="Q7" s="90" t="e">
        <f>VLOOKUP(A1,DIV_12Data!$A$1:$DZU$1000000,120,FALSE)</f>
        <v>#N/A</v>
      </c>
    </row>
    <row r="8" spans="1:17" ht="15" thickBot="1" x14ac:dyDescent="0.4">
      <c r="A8" s="3" t="e">
        <f>VLOOKUP(A1,DIV_12Data!$A$1:$DZU$1000000,121,FALSE)</f>
        <v>#N/A</v>
      </c>
      <c r="B8" s="4" t="e">
        <f>VLOOKUP(A1,DIV_12Data!$A$1:$DZU$1000000,122,FALSE)</f>
        <v>#N/A</v>
      </c>
      <c r="C8" s="86" t="e">
        <f>VLOOKUP(A1,DIV_12Data!$A$1:$DZU$1000000,123,FALSE)</f>
        <v>#N/A</v>
      </c>
      <c r="D8" s="6" t="e">
        <f>VLOOKUP(A1,DIV_12Data!$A$1:$DZU$1000000,124,FALSE)</f>
        <v>#N/A</v>
      </c>
      <c r="E8" s="7" t="e">
        <f>VLOOKUP(A1,DIV_12Data!$A$1:$DZU$1000000,125,FALSE)</f>
        <v>#N/A</v>
      </c>
      <c r="F8" s="6" t="e">
        <f>VLOOKUP(A1,DIV_12Data!$A$1:$DZU$1000000,126,FALSE)</f>
        <v>#N/A</v>
      </c>
      <c r="G8" s="6" t="e">
        <f>VLOOKUP(A1,DIV_12Data!$A$1:$DZU$1000000,127,FALSE)</f>
        <v>#N/A</v>
      </c>
      <c r="H8" s="6" t="e">
        <f>VLOOKUP(A1,DIV_12Data!$A$1:$DZU$1000000,128,FALSE)</f>
        <v>#N/A</v>
      </c>
      <c r="I8" s="6" t="e">
        <f>VLOOKUP(A1,DIV_12Data!$A$1:$DZU$1000000,129,FALSE)</f>
        <v>#N/A</v>
      </c>
      <c r="J8" s="6" t="e">
        <f>VLOOKUP(A1,DIV_12Data!$A$1:$DZU$1000000,130,FALSE)</f>
        <v>#N/A</v>
      </c>
      <c r="K8" s="6" t="e">
        <f>VLOOKUP(A1,DIV_12Data!$A$1:$DZU$1000000,131,FALSE)</f>
        <v>#N/A</v>
      </c>
      <c r="L8" s="83" t="e">
        <f>VLOOKUP(A1,DIV_12Data!$A$1:$DZU$1000000,132,FALSE)</f>
        <v>#N/A</v>
      </c>
      <c r="M8" s="6" t="e">
        <f>VLOOKUP(A1,DIV_12Data!$A$1:$DZU$1000000,133,FALSE)</f>
        <v>#N/A</v>
      </c>
      <c r="N8" s="6" t="e">
        <f>VLOOKUP(A1,DIV_12Data!$A$1:$DZU$1000000,134,FALSE)</f>
        <v>#N/A</v>
      </c>
      <c r="O8" s="95" t="e">
        <f>VLOOKUP(A1,DIV_12Data!$A$1:$DZU$1000000,135,FALSE)</f>
        <v>#N/A</v>
      </c>
      <c r="P8" s="6" t="e">
        <f>VLOOKUP(A1,DIV_12Data!$A$1:$DZU$1000000,136,FALSE)</f>
        <v>#N/A</v>
      </c>
      <c r="Q8" s="6" t="e">
        <f>VLOOKUP(A1,DIV_12Data!$A$1:$DZU$1000000,137,FALSE)</f>
        <v>#N/A</v>
      </c>
    </row>
    <row r="9" spans="1:17" ht="15" thickBot="1" x14ac:dyDescent="0.4">
      <c r="A9" s="15" t="e">
        <f>VLOOKUP(A1,DIV_12Data!$A$1:$DZU$1000000,138,FALSE)</f>
        <v>#N/A</v>
      </c>
      <c r="B9" s="16" t="e">
        <f>VLOOKUP(A1,DIV_12Data!$A$1:$DZU$1000000,139,FALSE)</f>
        <v>#N/A</v>
      </c>
      <c r="C9" s="17" t="e">
        <f>VLOOKUP(A1,DIV_12Data!$A$1:$DZU$1000000,140,FALSE)</f>
        <v>#N/A</v>
      </c>
      <c r="D9" s="18" t="e">
        <f>VLOOKUP(A1,DIV_12Data!$A$1:$DZU$1000000,141,FALSE)</f>
        <v>#N/A</v>
      </c>
      <c r="E9" s="19" t="e">
        <f>VLOOKUP(A1,DIV_12Data!$A$1:$DZU$1000000,142,FALSE)</f>
        <v>#N/A</v>
      </c>
      <c r="F9" s="16" t="e">
        <f>VLOOKUP(A1,DIV_12Data!$A$1:$DZU$1000000,143,FALSE)</f>
        <v>#N/A</v>
      </c>
      <c r="G9" s="20" t="e">
        <f>VLOOKUP(A1,DIV_12Data!$A$1:$DZU$1000000,144,FALSE)</f>
        <v>#N/A</v>
      </c>
      <c r="H9" s="16" t="e">
        <f>VLOOKUP(A1,DIV_12Data!$A$1:$DZU$1000000,145,FALSE)</f>
        <v>#N/A</v>
      </c>
      <c r="I9" s="20" t="e">
        <f>VLOOKUP(A1,DIV_12Data!$A$1:$DZU$1000000,146,FALSE)</f>
        <v>#N/A</v>
      </c>
      <c r="J9" s="21" t="e">
        <f>VLOOKUP(A1,DIV_12Data!$A$1:$DZU$1000000,147,FALSE)</f>
        <v>#N/A</v>
      </c>
      <c r="K9" s="16" t="e">
        <f>VLOOKUP(A1,DIV_12Data!$A$1:$DZU$1000000,148,FALSE)</f>
        <v>#N/A</v>
      </c>
      <c r="L9" s="21" t="e">
        <f>VLOOKUP(A1,DIV_12Data!$A$1:$DZU$1000000,149,FALSE)</f>
        <v>#N/A</v>
      </c>
      <c r="M9" s="20" t="e">
        <f>VLOOKUP(A1,DIV_12Data!$A$1:$DZU$1000000,150,FALSE)</f>
        <v>#N/A</v>
      </c>
      <c r="N9" s="16" t="e">
        <f>VLOOKUP(A1,DIV_12Data!$A$1:$DZU$1000000,151,FALSE)</f>
        <v>#N/A</v>
      </c>
      <c r="O9" s="20" t="e">
        <f>VLOOKUP(A1,DIV_12Data!$A$1:$DZU$1000000,152,FALSE)</f>
        <v>#N/A</v>
      </c>
      <c r="P9" s="18" t="e">
        <f>VLOOKUP(A1,DIV_12Data!$A$1:$DZU$1000000,153,FALSE)</f>
        <v>#N/A</v>
      </c>
      <c r="Q9" s="20" t="e">
        <f>VLOOKUP(A1,DIV_12Data!$A$1:$DZU$1000000,154,FALSE)</f>
        <v>#N/A</v>
      </c>
    </row>
    <row r="10" spans="1:17" ht="15" thickBot="1" x14ac:dyDescent="0.4">
      <c r="A10" s="22" t="e">
        <f>VLOOKUP(A1,DIV_12Data!$A$1:$DZU$1000000,155,FALSE)</f>
        <v>#N/A</v>
      </c>
      <c r="B10" s="23" t="e">
        <f>VLOOKUP(A1,DIV_12Data!$A$1:$DZU$1000000,156,FALSE)</f>
        <v>#N/A</v>
      </c>
      <c r="C10" s="24" t="e">
        <f>VLOOKUP(A1,DIV_12Data!$A$1:$DZU$1000000,157,FALSE)</f>
        <v>#N/A</v>
      </c>
      <c r="D10" s="25" t="e">
        <f>VLOOKUP(A1,DIV_12Data!$A$1:$DZU$1000000,158,FALSE)</f>
        <v>#N/A</v>
      </c>
      <c r="E10" s="26" t="e">
        <f>VLOOKUP(A1,DIV_12Data!$A$1:$DZU$1000000,159,FALSE)</f>
        <v>#N/A</v>
      </c>
      <c r="F10" s="27" t="e">
        <f>VLOOKUP(A1,DIV_12Data!$A$1:$DZU$1000000,160,FALSE)</f>
        <v>#N/A</v>
      </c>
      <c r="G10" s="28" t="e">
        <f>VLOOKUP(A1,DIV_12Data!$A$1:$DZU$1000000,161,FALSE)</f>
        <v>#N/A</v>
      </c>
      <c r="H10" s="27" t="e">
        <f>VLOOKUP(A1,DIV_12Data!$A$1:$DZU$1000000,162,FALSE)</f>
        <v>#N/A</v>
      </c>
      <c r="I10" s="28" t="e">
        <f>VLOOKUP(A1,DIV_12Data!$A$1:$DZU$1000000,163,FALSE)</f>
        <v>#N/A</v>
      </c>
      <c r="J10" s="27" t="e">
        <f>VLOOKUP(A1,DIV_12Data!$A$1:$DZU$1000000,164,FALSE)</f>
        <v>#N/A</v>
      </c>
      <c r="K10" s="27" t="e">
        <f>VLOOKUP(A1,DIV_12Data!$A$1:$DZU$1000000,165,FALSE)</f>
        <v>#N/A</v>
      </c>
      <c r="L10" s="27" t="e">
        <f>VLOOKUP(A1,DIV_12Data!$A$1:$DZU$1000000,166,FALSE)</f>
        <v>#N/A</v>
      </c>
      <c r="M10" s="28" t="e">
        <f>VLOOKUP(A1,DIV_12Data!$A$1:$DZU$1000000,167,FALSE)</f>
        <v>#N/A</v>
      </c>
      <c r="N10" s="27" t="e">
        <f>VLOOKUP(A1,DIV_12Data!$A$1:$DZU$1000000,168,FALSE)</f>
        <v>#N/A</v>
      </c>
      <c r="O10" s="28" t="e">
        <f>VLOOKUP(A1,DIV_12Data!$A$1:$DZU$1000000,169,FALSE)</f>
        <v>#N/A</v>
      </c>
      <c r="P10" s="25" t="e">
        <f>VLOOKUP(A1,DIV_12Data!$A$1:$DZU$1000000,170,FALSE)</f>
        <v>#N/A</v>
      </c>
      <c r="Q10" s="28" t="e">
        <f>VLOOKUP(A1,DIV_12Data!$A$1:$DZU$1000000,171,FALSE)</f>
        <v>#N/A</v>
      </c>
    </row>
    <row r="11" spans="1:17" x14ac:dyDescent="0.35">
      <c r="A11" s="22" t="e">
        <f>VLOOKUP(A1,DIV_12Data!$A$1:$DZU$1000000,172,FALSE)</f>
        <v>#N/A</v>
      </c>
      <c r="B11" s="29" t="e">
        <f>VLOOKUP(A1,DIV_12Data!$A$1:$DZU$1000000,173,FALSE)</f>
        <v>#N/A</v>
      </c>
      <c r="C11" s="30" t="e">
        <f>VLOOKUP(A1,DIV_12Data!$A$1:$DZU$1000000,174,FALSE)</f>
        <v>#N/A</v>
      </c>
      <c r="D11" s="31" t="e">
        <f>VLOOKUP(A1,DIV_12Data!$A$1:$DZU$1000000,175,FALSE)</f>
        <v>#N/A</v>
      </c>
      <c r="E11" s="32" t="e">
        <f>VLOOKUP(A1,DIV_12Data!$A$1:$DZU$1000000,176,FALSE)</f>
        <v>#N/A</v>
      </c>
      <c r="F11" s="34" t="e">
        <f>VLOOKUP(A1,DIV_12Data!$A$1:$DZU$1000000,177,FALSE)</f>
        <v>#N/A</v>
      </c>
      <c r="G11" s="33" t="e">
        <f>VLOOKUP(A1,DIV_12Data!$A$1:$DZU$1000000,178,FALSE)</f>
        <v>#N/A</v>
      </c>
      <c r="H11" s="34" t="e">
        <f>VLOOKUP(A1,DIV_12Data!$A$1:$DZU$1000000,179,FALSE)</f>
        <v>#N/A</v>
      </c>
      <c r="I11" s="33" t="e">
        <f>VLOOKUP(A1,DIV_12Data!$A$1:$DZU$1000000,180,FALSE)</f>
        <v>#N/A</v>
      </c>
      <c r="J11" s="34" t="e">
        <f>VLOOKUP(A1,DIV_12Data!$A$1:$DZU$1000000,181,FALSE)</f>
        <v>#N/A</v>
      </c>
      <c r="K11" s="34" t="e">
        <f>VLOOKUP(A1,DIV_12Data!$A$1:$DZU$1000000,182,FALSE)</f>
        <v>#N/A</v>
      </c>
      <c r="L11" s="34" t="e">
        <f>VLOOKUP(A1,DIV_12Data!$A$1:$DZU$1000000,183,FALSE)</f>
        <v>#N/A</v>
      </c>
      <c r="M11" s="33" t="e">
        <f>VLOOKUP(A1,DIV_12Data!$A$1:$DZU$1000000,184,FALSE)</f>
        <v>#N/A</v>
      </c>
      <c r="N11" s="34" t="e">
        <f>VLOOKUP(A1,DIV_12Data!$A$1:$DZU$1000000,185,FALSE)</f>
        <v>#N/A</v>
      </c>
      <c r="O11" s="35" t="e">
        <f>VLOOKUP(A1,DIV_12Data!$A$1:$DZU$1000000,186,FALSE)</f>
        <v>#N/A</v>
      </c>
      <c r="P11" s="31" t="e">
        <f>VLOOKUP(A1,DIV_12Data!$A$1:$DZU$1000000,187,FALSE)</f>
        <v>#N/A</v>
      </c>
      <c r="Q11" s="35" t="e">
        <f>VLOOKUP(A1,DIV_12Data!$A$1:$DZU$1000000,188,FALSE)</f>
        <v>#N/A</v>
      </c>
    </row>
    <row r="12" spans="1:17" x14ac:dyDescent="0.35">
      <c r="A12" s="22" t="e">
        <f>VLOOKUP(A1,DIV_12Data!$A$1:$DZU$1000000,189,FALSE)</f>
        <v>#N/A</v>
      </c>
      <c r="B12" s="29" t="e">
        <f>VLOOKUP(A1,DIV_12Data!$A$1:$DZU$1000000,190,FALSE)</f>
        <v>#N/A</v>
      </c>
      <c r="C12" s="30" t="e">
        <f>VLOOKUP(A1,DIV_12Data!$A$1:$DZU$1000000,191,FALSE)</f>
        <v>#N/A</v>
      </c>
      <c r="D12" s="31" t="e">
        <f>VLOOKUP(A1,DIV_12Data!$A$1:$DZU$1000000,192,FALSE)</f>
        <v>#N/A</v>
      </c>
      <c r="E12" s="32" t="e">
        <f>VLOOKUP(A1,DIV_12Data!$A$1:$DZU$1000000,193,FALSE)</f>
        <v>#N/A</v>
      </c>
      <c r="F12" s="34" t="e">
        <f>VLOOKUP(A1,DIV_12Data!$A$1:$DZU$1000000,194,FALSE)</f>
        <v>#N/A</v>
      </c>
      <c r="G12" s="33" t="e">
        <f>VLOOKUP(A1,DIV_12Data!$A$1:$DZU$1000000,195,FALSE)</f>
        <v>#N/A</v>
      </c>
      <c r="H12" s="34" t="e">
        <f>VLOOKUP(A1,DIV_12Data!$A$1:$DZU$1000000,196,FALSE)</f>
        <v>#N/A</v>
      </c>
      <c r="I12" s="33" t="e">
        <f>VLOOKUP(A1,DIV_12Data!$A$1:$DZU$1000000,197,FALSE)</f>
        <v>#N/A</v>
      </c>
      <c r="J12" s="34" t="e">
        <f>VLOOKUP(A1,DIV_12Data!$A$1:$DZU$1000000,198,FALSE)</f>
        <v>#N/A</v>
      </c>
      <c r="K12" s="34" t="e">
        <f>VLOOKUP(A1,DIV_12Data!$A$1:$DZU$1000000,199,FALSE)</f>
        <v>#N/A</v>
      </c>
      <c r="L12" s="34" t="e">
        <f>VLOOKUP(A1,DIV_12Data!$A$1:$DZU$1000000,200,FALSE)</f>
        <v>#N/A</v>
      </c>
      <c r="M12" s="33" t="e">
        <f>VLOOKUP(A1,DIV_12Data!$A$1:$DZU$1000000,201,FALSE)</f>
        <v>#N/A</v>
      </c>
      <c r="N12" s="34" t="e">
        <f>VLOOKUP(A1,DIV_12Data!$A$1:$DZU$1000000,202,FALSE)</f>
        <v>#N/A</v>
      </c>
      <c r="O12" s="35" t="e">
        <f>VLOOKUP(A1,DIV_12Data!$A$1:$DZU$1000000,203,FALSE)</f>
        <v>#N/A</v>
      </c>
      <c r="P12" s="31" t="e">
        <f>VLOOKUP(A1,DIV_12Data!$A$1:$DZU$1000000,204,FALSE)</f>
        <v>#N/A</v>
      </c>
      <c r="Q12" s="35" t="e">
        <f>VLOOKUP(A1,DIV_12Data!$A$1:$DZU$1000000,205,FALSE)</f>
        <v>#N/A</v>
      </c>
    </row>
    <row r="13" spans="1:17" x14ac:dyDescent="0.35">
      <c r="A13" s="22" t="e">
        <f>VLOOKUP(A1,DIV_12Data!$A$1:$DZU$1000000,206,FALSE)</f>
        <v>#N/A</v>
      </c>
      <c r="B13" s="37" t="e">
        <f>VLOOKUP(A1,DIV_12Data!$A$1:$DZU$1000000,207,FALSE)</f>
        <v>#N/A</v>
      </c>
      <c r="C13" s="38" t="e">
        <f>VLOOKUP(A1,DIV_12Data!$A$1:$DZU$1000000,208,FALSE)</f>
        <v>#N/A</v>
      </c>
      <c r="D13" s="31" t="e">
        <f>VLOOKUP(A1,DIV_12Data!$A$1:$DZU$1000000,209,FALSE)</f>
        <v>#N/A</v>
      </c>
      <c r="E13" s="32" t="e">
        <f>VLOOKUP(A1,DIV_12Data!$A$1:$DZU$1000000,210,FALSE)</f>
        <v>#N/A</v>
      </c>
      <c r="F13" s="93" t="e">
        <f>VLOOKUP(A1,DIV_12Data!$A$1:$DZU$1000000,211,FALSE)</f>
        <v>#N/A</v>
      </c>
      <c r="G13" s="33" t="e">
        <f>VLOOKUP(A1,DIV_12Data!$A$1:$DZU$1000000,212,FALSE)</f>
        <v>#N/A</v>
      </c>
      <c r="H13" s="93" t="e">
        <f>VLOOKUP(A1,DIV_12Data!$A$1:$DZU$1000000,213,FALSE)</f>
        <v>#N/A</v>
      </c>
      <c r="I13" s="33" t="e">
        <f>VLOOKUP(A1,DIV_12Data!$A$1:$DZU$1000000,214,FALSE)</f>
        <v>#N/A</v>
      </c>
      <c r="J13" s="34" t="e">
        <f>VLOOKUP(A1,DIV_12Data!$A$1:$DZU$1000000,215,FALSE)</f>
        <v>#N/A</v>
      </c>
      <c r="K13" s="34" t="e">
        <f>VLOOKUP(A1,DIV_12Data!$A$1:$DZU$1000000,216,FALSE)</f>
        <v>#N/A</v>
      </c>
      <c r="L13" s="93" t="e">
        <f>VLOOKUP(A1,DIV_12Data!$A$1:$DZU$1000000,217,FALSE)</f>
        <v>#N/A</v>
      </c>
      <c r="M13" s="33" t="e">
        <f>VLOOKUP(A1,DIV_12Data!$A$1:$DZU$1000000,218,FALSE)</f>
        <v>#N/A</v>
      </c>
      <c r="N13" s="93" t="e">
        <f>VLOOKUP(A1,DIV_12Data!$A$1:$DZU$1000000,219,FALSE)</f>
        <v>#N/A</v>
      </c>
      <c r="O13" s="33" t="e">
        <f>VLOOKUP(A1,DIV_12Data!$A$1:$DZU$1000000,220,FALSE)</f>
        <v>#N/A</v>
      </c>
      <c r="P13" s="46" t="e">
        <f>VLOOKUP(A1,DIV_12Data!$A$1:$DZU$1000000,221,FALSE)</f>
        <v>#N/A</v>
      </c>
      <c r="Q13" s="33" t="e">
        <f>VLOOKUP(A1,DIV_12Data!$A$1:$DZU$1000000,222,FALSE)</f>
        <v>#N/A</v>
      </c>
    </row>
    <row r="14" spans="1:17" x14ac:dyDescent="0.35">
      <c r="A14" s="22" t="e">
        <f>VLOOKUP(A1,DIV_12Data!$A$1:$DZU$1000000,223,FALSE)</f>
        <v>#N/A</v>
      </c>
      <c r="B14" s="37" t="e">
        <f>VLOOKUP(A1,DIV_12Data!$A$1:$DZU$1000000,224,FALSE)</f>
        <v>#N/A</v>
      </c>
      <c r="C14" s="38" t="e">
        <f>VLOOKUP(A1,DIV_12Data!$A$1:$DZU$1000000,225,FALSE)</f>
        <v>#N/A</v>
      </c>
      <c r="D14" s="31" t="e">
        <f>VLOOKUP(A1,DIV_12Data!$A$1:$DZU$1000000,226,FALSE)</f>
        <v>#N/A</v>
      </c>
      <c r="E14" s="32" t="e">
        <f>VLOOKUP(A1,DIV_12Data!$A$1:$DZU$1000000,227,FALSE)</f>
        <v>#N/A</v>
      </c>
      <c r="F14" s="34" t="e">
        <f>VLOOKUP(A1,DIV_12Data!$A$1:$DZU$1000000,228,FALSE)</f>
        <v>#N/A</v>
      </c>
      <c r="G14" s="33" t="e">
        <f>VLOOKUP(A1,DIV_12Data!$A$1:$DZU$1000000,229,FALSE)</f>
        <v>#N/A</v>
      </c>
      <c r="H14" s="34" t="e">
        <f>VLOOKUP(A1,DIV_12Data!$A$1:$DZU$1000000,230,FALSE)</f>
        <v>#N/A</v>
      </c>
      <c r="I14" s="33" t="e">
        <f>VLOOKUP(A1,DIV_12Data!$A$1:$DZU$1000000,231,FALSE)</f>
        <v>#N/A</v>
      </c>
      <c r="J14" s="34" t="e">
        <f>VLOOKUP(A1,DIV_12Data!$A$1:$DZU$1000000,232,FALSE)</f>
        <v>#N/A</v>
      </c>
      <c r="K14" s="34" t="e">
        <f>VLOOKUP(A1,DIV_12Data!$A$1:$DZU$1000000,233,FALSE)</f>
        <v>#N/A</v>
      </c>
      <c r="L14" s="34" t="e">
        <f>VLOOKUP(A1,DIV_12Data!$A$1:$DZU$1000000,234,FALSE)</f>
        <v>#N/A</v>
      </c>
      <c r="M14" s="33" t="e">
        <f>VLOOKUP(A1,DIV_12Data!$A$1:$DZU$1000000,235,FALSE)</f>
        <v>#N/A</v>
      </c>
      <c r="N14" s="34" t="e">
        <f>VLOOKUP(A1,DIV_12Data!$A$1:$DZU$1000000,236,FALSE)</f>
        <v>#N/A</v>
      </c>
      <c r="O14" s="33" t="e">
        <f>VLOOKUP(A1,DIV_12Data!$A$1:$DZU$1000000,237,FALSE)</f>
        <v>#N/A</v>
      </c>
      <c r="P14" s="46" t="e">
        <f>VLOOKUP(A1,DIV_12Data!$A$1:$DZU$1000000,238,FALSE)</f>
        <v>#N/A</v>
      </c>
      <c r="Q14" s="33" t="e">
        <f>VLOOKUP(A1,DIV_12Data!$A$1:$DZU$1000000,239,FALSE)</f>
        <v>#N/A</v>
      </c>
    </row>
    <row r="15" spans="1:17" x14ac:dyDescent="0.35">
      <c r="A15" s="22" t="e">
        <f>VLOOKUP(A1,DIV_12Data!$A$1:$DZU$1000000,240,FALSE)</f>
        <v>#N/A</v>
      </c>
      <c r="B15" s="37" t="e">
        <f>VLOOKUP(A1,DIV_12Data!$A$1:$DZU$1000000,241,FALSE)</f>
        <v>#N/A</v>
      </c>
      <c r="C15" s="38" t="e">
        <f>VLOOKUP(A1,DIV_12Data!$A$1:$DZU$1000000,242,FALSE)</f>
        <v>#N/A</v>
      </c>
      <c r="D15" s="31" t="e">
        <f>VLOOKUP(A1,DIV_12Data!$A$1:$DZU$1000000,243,FALSE)</f>
        <v>#N/A</v>
      </c>
      <c r="E15" s="32" t="e">
        <f>VLOOKUP(A1,DIV_12Data!$A$1:$DZU$1000000,244,FALSE)</f>
        <v>#N/A</v>
      </c>
      <c r="F15" s="34" t="e">
        <f>VLOOKUP(A1,DIV_12Data!$A$1:$DZU$1000000,245,FALSE)</f>
        <v>#N/A</v>
      </c>
      <c r="G15" s="33" t="e">
        <f>VLOOKUP(A1,DIV_12Data!$A$1:$DZU$1000000,246,FALSE)</f>
        <v>#N/A</v>
      </c>
      <c r="H15" s="34" t="e">
        <f>VLOOKUP(A1,DIV_12Data!$A$1:$DZU$1000000,247,FALSE)</f>
        <v>#N/A</v>
      </c>
      <c r="I15" s="33" t="e">
        <f>VLOOKUP(A1,DIV_12Data!$A$1:$DZU$1000000,248,FALSE)</f>
        <v>#N/A</v>
      </c>
      <c r="J15" s="34" t="e">
        <f>VLOOKUP(A1,DIV_12Data!$A$1:$DZU$1000000,249,FALSE)</f>
        <v>#N/A</v>
      </c>
      <c r="K15" s="34" t="e">
        <f>VLOOKUP(A1,DIV_12Data!$A$1:$DZU$1000000,250,FALSE)</f>
        <v>#N/A</v>
      </c>
      <c r="L15" s="34" t="e">
        <f>VLOOKUP(A1,DIV_12Data!$A$1:$DZU$1000000,251,FALSE)</f>
        <v>#N/A</v>
      </c>
      <c r="M15" s="33" t="e">
        <f>VLOOKUP(A1,DIV_12Data!$A$1:$DZU$1000000,252,FALSE)</f>
        <v>#N/A</v>
      </c>
      <c r="N15" s="34" t="e">
        <f>VLOOKUP(A1,DIV_12Data!$A$1:$DZU$1000000,253,FALSE)</f>
        <v>#N/A</v>
      </c>
      <c r="O15" s="33" t="e">
        <f>VLOOKUP(A1,DIV_12Data!$A$1:$DZU$1000000,254,FALSE)</f>
        <v>#N/A</v>
      </c>
      <c r="P15" s="31" t="e">
        <f>VLOOKUP(A1,DIV_12Data!$A$1:$DZU$1000000,255,FALSE)</f>
        <v>#N/A</v>
      </c>
      <c r="Q15" s="33" t="e">
        <f>VLOOKUP(A1,DIV_12Data!$A$1:$DZU$1000000,256,FALSE)</f>
        <v>#N/A</v>
      </c>
    </row>
    <row r="16" spans="1:17" x14ac:dyDescent="0.35">
      <c r="A16" s="22" t="e">
        <f>VLOOKUP(A1,DIV_12Data!$A$1:$DZU$1000000,257,FALSE)</f>
        <v>#N/A</v>
      </c>
      <c r="B16" s="37" t="e">
        <f>VLOOKUP(A1,DIV_12Data!$A$1:$DZU$1000000,258,FALSE)</f>
        <v>#N/A</v>
      </c>
      <c r="C16" s="38" t="e">
        <f>VLOOKUP(A1,DIV_12Data!$A$1:$DZU$1000000,259,FALSE)</f>
        <v>#N/A</v>
      </c>
      <c r="D16" s="31" t="e">
        <f>VLOOKUP(A1,DIV_12Data!$A$1:$DZU$1000000,260,FALSE)</f>
        <v>#N/A</v>
      </c>
      <c r="E16" s="32" t="e">
        <f>VLOOKUP(A1,DIV_12Data!$A$1:$DZU$1000000,261,FALSE)</f>
        <v>#N/A</v>
      </c>
      <c r="F16" s="34" t="e">
        <f>VLOOKUP(A1,DIV_12Data!$A$1:$DZU$1000000,262,FALSE)</f>
        <v>#N/A</v>
      </c>
      <c r="G16" s="33" t="e">
        <f>VLOOKUP(A1,DIV_12Data!$A$1:$DZU$1000000,263,FALSE)</f>
        <v>#N/A</v>
      </c>
      <c r="H16" s="34" t="e">
        <f>VLOOKUP(A1,DIV_12Data!$A$1:$DZU$1000000,264,FALSE)</f>
        <v>#N/A</v>
      </c>
      <c r="I16" s="33" t="e">
        <f>VLOOKUP(A1,DIV_12Data!$A$1:$DZU$1000000,265,FALSE)</f>
        <v>#N/A</v>
      </c>
      <c r="J16" s="34" t="e">
        <f>VLOOKUP(A1,DIV_12Data!$A$1:$DZU$1000000,266,FALSE)</f>
        <v>#N/A</v>
      </c>
      <c r="K16" s="34" t="e">
        <f>VLOOKUP(A1,DIV_12Data!$A$1:$DZU$1000000,267,FALSE)</f>
        <v>#N/A</v>
      </c>
      <c r="L16" s="93" t="e">
        <f>VLOOKUP(A1,DIV_12Data!$A$1:$DZU$1000000,268,FALSE)</f>
        <v>#N/A</v>
      </c>
      <c r="M16" s="33" t="e">
        <f>VLOOKUP(A1,DIV_12Data!$A$1:$DZU$1000000,269,FALSE)</f>
        <v>#N/A</v>
      </c>
      <c r="N16" s="34" t="e">
        <f>VLOOKUP(A1,DIV_12Data!$A$1:$DZU$1000000,270,FALSE)</f>
        <v>#N/A</v>
      </c>
      <c r="O16" s="33" t="e">
        <f>VLOOKUP(A1,DIV_12Data!$A$1:$DZU$1000000,271,FALSE)</f>
        <v>#N/A</v>
      </c>
      <c r="P16" s="46" t="e">
        <f>VLOOKUP(A1,DIV_12Data!$A$1:$DZU$1000000,272,FALSE)</f>
        <v>#N/A</v>
      </c>
      <c r="Q16" s="33" t="e">
        <f>VLOOKUP(A1,DIV_12Data!$A$1:$DZU$1000000,273,FALSE)</f>
        <v>#N/A</v>
      </c>
    </row>
    <row r="17" spans="1:17" x14ac:dyDescent="0.35">
      <c r="A17" s="22" t="e">
        <f>VLOOKUP(A1,DIV_12Data!$A$1:$DZU$1000000,274,FALSE)</f>
        <v>#N/A</v>
      </c>
      <c r="B17" s="37" t="e">
        <f>VLOOKUP(A1,DIV_12Data!$A$1:$DZU$1000000,275,FALSE)</f>
        <v>#N/A</v>
      </c>
      <c r="C17" s="38" t="e">
        <f>VLOOKUP(A1,DIV_12Data!$A$1:$DZU$1000000,276,FALSE)</f>
        <v>#N/A</v>
      </c>
      <c r="D17" s="31" t="e">
        <f>VLOOKUP(A1,DIV_12Data!$A$1:$DZU$1000000,277,FALSE)</f>
        <v>#N/A</v>
      </c>
      <c r="E17" s="32" t="e">
        <f>VLOOKUP(A1,DIV_12Data!$A$1:$DZU$1000000,278,FALSE)</f>
        <v>#N/A</v>
      </c>
      <c r="F17" s="34" t="e">
        <f>VLOOKUP(A1,DIV_12Data!$A$1:$DZU$1000000,279,FALSE)</f>
        <v>#N/A</v>
      </c>
      <c r="G17" s="33" t="e">
        <f>VLOOKUP(A1,DIV_12Data!$A$1:$DZU$1000000,280,FALSE)</f>
        <v>#N/A</v>
      </c>
      <c r="H17" s="34" t="e">
        <f>VLOOKUP(A1,DIV_12Data!$A$1:$DZU$1000000,281,FALSE)</f>
        <v>#N/A</v>
      </c>
      <c r="I17" s="33" t="e">
        <f>VLOOKUP(A1,DIV_12Data!$A$1:$DZU$1000000,282,FALSE)</f>
        <v>#N/A</v>
      </c>
      <c r="J17" s="34" t="e">
        <f>VLOOKUP(A1,DIV_12Data!$A$1:$DZU$1000000,283,FALSE)</f>
        <v>#N/A</v>
      </c>
      <c r="K17" s="34" t="e">
        <f>VLOOKUP(A1,DIV_12Data!$A$1:$DZU$1000000,284,FALSE)</f>
        <v>#N/A</v>
      </c>
      <c r="L17" s="93" t="e">
        <f>VLOOKUP(A1,DIV_12Data!$A$1:$DZU$1000000,285,FALSE)</f>
        <v>#N/A</v>
      </c>
      <c r="M17" s="33" t="e">
        <f>VLOOKUP(A1,DIV_12Data!$A$1:$DZU$1000000,286,FALSE)</f>
        <v>#N/A</v>
      </c>
      <c r="N17" s="34" t="e">
        <f>VLOOKUP(A1,DIV_12Data!$A$1:$DZU$1000000,287,FALSE)</f>
        <v>#N/A</v>
      </c>
      <c r="O17" s="33" t="e">
        <f>VLOOKUP(A1,DIV_12Data!$A$1:$DZU$1000000,288,FALSE)</f>
        <v>#N/A</v>
      </c>
      <c r="P17" s="46" t="e">
        <f>VLOOKUP(A1,DIV_12Data!$A$1:$DZU$1000000,289,FALSE)</f>
        <v>#N/A</v>
      </c>
      <c r="Q17" s="33" t="e">
        <f>VLOOKUP(A1,DIV_12Data!$A$1:$DZU$1000000,290,FALSE)</f>
        <v>#N/A</v>
      </c>
    </row>
    <row r="18" spans="1:17" x14ac:dyDescent="0.35">
      <c r="A18" s="22" t="e">
        <f>VLOOKUP(A1,DIV_12Data!$A$1:$DZU$1000000,291,FALSE)</f>
        <v>#N/A</v>
      </c>
      <c r="B18" s="37" t="e">
        <f>VLOOKUP(A1,DIV_12Data!$A$1:$DZU$1000000,292,FALSE)</f>
        <v>#N/A</v>
      </c>
      <c r="C18" s="38" t="e">
        <f>VLOOKUP(A1,DIV_12Data!$A$1:$DZU$1000000,293,FALSE)</f>
        <v>#N/A</v>
      </c>
      <c r="D18" s="31" t="e">
        <f>VLOOKUP(A1,DIV_12Data!$A$1:$DZU$1000000,294,FALSE)</f>
        <v>#N/A</v>
      </c>
      <c r="E18" s="32" t="e">
        <f>VLOOKUP(A1,DIV_12Data!$A$1:$DZU$1000000,295,FALSE)</f>
        <v>#N/A</v>
      </c>
      <c r="F18" s="34" t="e">
        <f>VLOOKUP(A1,DIV_12Data!$A$1:$DZU$1000000,296,FALSE)</f>
        <v>#N/A</v>
      </c>
      <c r="G18" s="33" t="e">
        <f>VLOOKUP(A1,DIV_12Data!$A$1:$DZU$1000000,297,FALSE)</f>
        <v>#N/A</v>
      </c>
      <c r="H18" s="34" t="e">
        <f>VLOOKUP(A1,DIV_12Data!$A$1:$DZU$1000000,298,FALSE)</f>
        <v>#N/A</v>
      </c>
      <c r="I18" s="33" t="e">
        <f>VLOOKUP(A1,DIV_12Data!$A$1:$DZU$1000000,299,FALSE)</f>
        <v>#N/A</v>
      </c>
      <c r="J18" s="34" t="e">
        <f>VLOOKUP(A1,DIV_12Data!$A$1:$DZU$1000000,300,FALSE)</f>
        <v>#N/A</v>
      </c>
      <c r="K18" s="34" t="e">
        <f>VLOOKUP(A1,DIV_12Data!$A$1:$DZU$1000000,301,FALSE)</f>
        <v>#N/A</v>
      </c>
      <c r="L18" s="93" t="e">
        <f>VLOOKUP(A1,DIV_12Data!$A$1:$DZU$1000000,302,FALSE)</f>
        <v>#N/A</v>
      </c>
      <c r="M18" s="33" t="e">
        <f>VLOOKUP(A1,DIV_12Data!$A$1:$DZU$1000000,303,FALSE)</f>
        <v>#N/A</v>
      </c>
      <c r="N18" s="34" t="e">
        <f>VLOOKUP(A1,DIV_12Data!$A$1:$DZU$1000000,304,FALSE)</f>
        <v>#N/A</v>
      </c>
      <c r="O18" s="33" t="e">
        <f>VLOOKUP(A1,DIV_12Data!$A$1:$DZU$1000000,305,FALSE)</f>
        <v>#N/A</v>
      </c>
      <c r="P18" s="46" t="e">
        <f>VLOOKUP(A1,DIV_12Data!$A$1:$DZU$1000000,306,FALSE)</f>
        <v>#N/A</v>
      </c>
      <c r="Q18" s="33" t="e">
        <f>VLOOKUP(A1,DIV_12Data!$A$1:$DZU$1000000,307,FALSE)</f>
        <v>#N/A</v>
      </c>
    </row>
    <row r="19" spans="1:17" x14ac:dyDescent="0.35">
      <c r="A19" s="22" t="e">
        <f>VLOOKUP(A1,DIV_12Data!$A$1:$DZU$1000000,308,FALSE)</f>
        <v>#N/A</v>
      </c>
      <c r="B19" s="37" t="e">
        <f>VLOOKUP(A1,DIV_12Data!$A$1:$DZU$1000000,309,FALSE)</f>
        <v>#N/A</v>
      </c>
      <c r="C19" s="38" t="e">
        <f>VLOOKUP(A1,DIV_12Data!$A$1:$DZU$1000000,310,FALSE)</f>
        <v>#N/A</v>
      </c>
      <c r="D19" s="31" t="e">
        <f>VLOOKUP(A1,DIV_12Data!$A$1:$DZU$1000000,311,FALSE)</f>
        <v>#N/A</v>
      </c>
      <c r="E19" s="32" t="e">
        <f>VLOOKUP(A1,DIV_12Data!$A$1:$DZU$1000000,312,FALSE)</f>
        <v>#N/A</v>
      </c>
      <c r="F19" s="34" t="e">
        <f>VLOOKUP(A1,DIV_12Data!$A$1:$DZU$1000000,313,FALSE)</f>
        <v>#N/A</v>
      </c>
      <c r="G19" s="33" t="e">
        <f>VLOOKUP(A1,DIV_12Data!$A$1:$DZU$1000000,314,FALSE)</f>
        <v>#N/A</v>
      </c>
      <c r="H19" s="34" t="e">
        <f>VLOOKUP(A1,DIV_12Data!$A$1:$DZU$1000000,315,FALSE)</f>
        <v>#N/A</v>
      </c>
      <c r="I19" s="33" t="e">
        <f>VLOOKUP(A1,DIV_12Data!$A$1:$DZU$1000000,316,FALSE)</f>
        <v>#N/A</v>
      </c>
      <c r="J19" s="34" t="e">
        <f>VLOOKUP(A1,DIV_12Data!$A$1:$DZU$1000000,317,FALSE)</f>
        <v>#N/A</v>
      </c>
      <c r="K19" s="34" t="e">
        <f>VLOOKUP(A1,DIV_12Data!$A$1:$DZU$1000000,318,FALSE)</f>
        <v>#N/A</v>
      </c>
      <c r="L19" s="93" t="e">
        <f>VLOOKUP(A1,DIV_12Data!$A$1:$DZU$1000000,319,FALSE)</f>
        <v>#N/A</v>
      </c>
      <c r="M19" s="33" t="e">
        <f>VLOOKUP(A1,DIV_12Data!$A$1:$DZU$1000000,320,FALSE)</f>
        <v>#N/A</v>
      </c>
      <c r="N19" s="34" t="e">
        <f>VLOOKUP(A1,DIV_12Data!$A$1:$DZU$1000000,321,FALSE)</f>
        <v>#N/A</v>
      </c>
      <c r="O19" s="33" t="e">
        <f>VLOOKUP(A1,DIV_12Data!$A$1:$DZU$1000000,322,FALSE)</f>
        <v>#N/A</v>
      </c>
      <c r="P19" s="46" t="e">
        <f>VLOOKUP(A1,DIV_12Data!$A$1:$DZU$1000000,323,FALSE)</f>
        <v>#N/A</v>
      </c>
      <c r="Q19" s="33" t="e">
        <f>VLOOKUP(A1,DIV_12Data!$A$1:$DZU$1000000,324,FALSE)</f>
        <v>#N/A</v>
      </c>
    </row>
    <row r="20" spans="1:17" x14ac:dyDescent="0.35">
      <c r="A20" s="22" t="e">
        <f>VLOOKUP(A1,DIV_12Data!$A$1:$DZU$1000000,325,FALSE)</f>
        <v>#N/A</v>
      </c>
      <c r="B20" s="37" t="e">
        <f>VLOOKUP(A1,DIV_12Data!$A$1:$DZU$1000000,326,FALSE)</f>
        <v>#N/A</v>
      </c>
      <c r="C20" s="38" t="e">
        <f>VLOOKUP(A1,DIV_12Data!$A$1:$DZU$1000000,327,FALSE)</f>
        <v>#N/A</v>
      </c>
      <c r="D20" s="31" t="e">
        <f>VLOOKUP(A1,DIV_12Data!$A$1:$DZU$1000000,328,FALSE)</f>
        <v>#N/A</v>
      </c>
      <c r="E20" s="32" t="e">
        <f>VLOOKUP(A1,DIV_12Data!$A$1:$DZU$1000000,329,FALSE)</f>
        <v>#N/A</v>
      </c>
      <c r="F20" s="34" t="e">
        <f>VLOOKUP(A1,DIV_12Data!$A$1:$DZU$1000000,330,FALSE)</f>
        <v>#N/A</v>
      </c>
      <c r="G20" s="33" t="e">
        <f>VLOOKUP(A1,DIV_12Data!$A$1:$DZU$1000000,331,FALSE)</f>
        <v>#N/A</v>
      </c>
      <c r="H20" s="34" t="e">
        <f>VLOOKUP(A1,DIV_12Data!$A$1:$DZU$1000000,332,FALSE)</f>
        <v>#N/A</v>
      </c>
      <c r="I20" s="33" t="e">
        <f>VLOOKUP(A1,DIV_12Data!$A$1:$DZU$1000000,333,FALSE)</f>
        <v>#N/A</v>
      </c>
      <c r="J20" s="34" t="e">
        <f>VLOOKUP(A1,DIV_12Data!$A$1:$DZU$1000000,334,FALSE)</f>
        <v>#N/A</v>
      </c>
      <c r="K20" s="34" t="e">
        <f>VLOOKUP(A1,DIV_12Data!$A$1:$DZU$1000000,335,FALSE)</f>
        <v>#N/A</v>
      </c>
      <c r="L20" s="93" t="e">
        <f>VLOOKUP(A1,DIV_12Data!$A$1:$DZU$1000000,336,FALSE)</f>
        <v>#N/A</v>
      </c>
      <c r="M20" s="33" t="e">
        <f>VLOOKUP(A1,DIV_12Data!$A$1:$DZU$1000000,337,FALSE)</f>
        <v>#N/A</v>
      </c>
      <c r="N20" s="34" t="e">
        <f>VLOOKUP(A1,DIV_12Data!$A$1:$DZU$1000000,338,FALSE)</f>
        <v>#N/A</v>
      </c>
      <c r="O20" s="33" t="e">
        <f>VLOOKUP(A1,DIV_12Data!$A$1:$DZU$1000000,339,FALSE)</f>
        <v>#N/A</v>
      </c>
      <c r="P20" s="46" t="e">
        <f>VLOOKUP(A1,DIV_12Data!$A$1:$DZU$1000000,340,FALSE)</f>
        <v>#N/A</v>
      </c>
      <c r="Q20" s="33" t="e">
        <f>VLOOKUP(A1,DIV_12Data!$A$1:$DZU$1000000,341,FALSE)</f>
        <v>#N/A</v>
      </c>
    </row>
    <row r="21" spans="1:17" x14ac:dyDescent="0.35">
      <c r="A21" s="22" t="e">
        <f>VLOOKUP(A1,DIV_12Data!$A$1:$DZU$1000000,342,FALSE)</f>
        <v>#N/A</v>
      </c>
      <c r="B21" s="37" t="e">
        <f>VLOOKUP(A1,DIV_12Data!$A$1:$DZU$1000000,343,FALSE)</f>
        <v>#N/A</v>
      </c>
      <c r="C21" s="38" t="e">
        <f>VLOOKUP(A1,DIV_12Data!$A$1:$DZU$1000000,344,FALSE)</f>
        <v>#N/A</v>
      </c>
      <c r="D21" s="31" t="e">
        <f>VLOOKUP(A1,DIV_12Data!$A$1:$DZU$1000000,345,FALSE)</f>
        <v>#N/A</v>
      </c>
      <c r="E21" s="32" t="e">
        <f>VLOOKUP(A1,DIV_12Data!$A$1:$DZU$1000000,346,FALSE)</f>
        <v>#N/A</v>
      </c>
      <c r="F21" s="34" t="e">
        <f>VLOOKUP(A1,DIV_12Data!$A$1:$DZU$1000000,347,FALSE)</f>
        <v>#N/A</v>
      </c>
      <c r="G21" s="33" t="e">
        <f>VLOOKUP(A1,DIV_12Data!$A$1:$DZU$1000000,348,FALSE)</f>
        <v>#N/A</v>
      </c>
      <c r="H21" s="34" t="e">
        <f>VLOOKUP(A1,DIV_12Data!$A$1:$DZU$1000000,349,FALSE)</f>
        <v>#N/A</v>
      </c>
      <c r="I21" s="33" t="e">
        <f>VLOOKUP(A1,DIV_12Data!$A$1:$DZU$1000000,350,FALSE)</f>
        <v>#N/A</v>
      </c>
      <c r="J21" s="34" t="e">
        <f>VLOOKUP(A1,DIV_12Data!$A$1:$DZU$1000000,351,FALSE)</f>
        <v>#N/A</v>
      </c>
      <c r="K21" s="34" t="e">
        <f>VLOOKUP(A1,DIV_12Data!$A$1:$DZU$1000000,352,FALSE)</f>
        <v>#N/A</v>
      </c>
      <c r="L21" s="93" t="e">
        <f>VLOOKUP(A1,DIV_12Data!$A$1:$DZU$1000000,353,FALSE)</f>
        <v>#N/A</v>
      </c>
      <c r="M21" s="33" t="e">
        <f>VLOOKUP(A1,DIV_12Data!$A$1:$DZU$1000000,354,FALSE)</f>
        <v>#N/A</v>
      </c>
      <c r="N21" s="34" t="e">
        <f>VLOOKUP(A1,DIV_12Data!$A$1:$DZU$1000000,355,FALSE)</f>
        <v>#N/A</v>
      </c>
      <c r="O21" s="33" t="e">
        <f>VLOOKUP(A1,DIV_12Data!$A$1:$DZU$1000000,356,FALSE)</f>
        <v>#N/A</v>
      </c>
      <c r="P21" s="46" t="e">
        <f>VLOOKUP(A1,DIV_12Data!$A$1:$DZU$1000000,357,FALSE)</f>
        <v>#N/A</v>
      </c>
      <c r="Q21" s="33" t="e">
        <f>VLOOKUP(A1,DIV_12Data!$A$1:$DZU$1000000,358,FALSE)</f>
        <v>#N/A</v>
      </c>
    </row>
    <row r="22" spans="1:17" x14ac:dyDescent="0.35">
      <c r="A22" s="22" t="e">
        <f>VLOOKUP(A1,DIV_12Data!$A$1:$DZU$1000000,359,FALSE)</f>
        <v>#N/A</v>
      </c>
      <c r="B22" s="37" t="e">
        <f>VLOOKUP(A1,DIV_12Data!$A$1:$DZU$1000000,360,FALSE)</f>
        <v>#N/A</v>
      </c>
      <c r="C22" s="38" t="e">
        <f>VLOOKUP(A1,DIV_12Data!$A$1:$DZU$1000000,361,FALSE)</f>
        <v>#N/A</v>
      </c>
      <c r="D22" s="31" t="e">
        <f>VLOOKUP(A1,DIV_12Data!$A$1:$DZU$1000000,362,FALSE)</f>
        <v>#N/A</v>
      </c>
      <c r="E22" s="32" t="e">
        <f>VLOOKUP(A1,DIV_12Data!$A$1:$DZU$1000000,363,FALSE)</f>
        <v>#N/A</v>
      </c>
      <c r="F22" s="34" t="e">
        <f>VLOOKUP(A1,DIV_12Data!$A$1:$DZU$1000000,364,FALSE)</f>
        <v>#N/A</v>
      </c>
      <c r="G22" s="33" t="e">
        <f>VLOOKUP(A1,DIV_12Data!$A$1:$DZU$1000000,365,FALSE)</f>
        <v>#N/A</v>
      </c>
      <c r="H22" s="34" t="e">
        <f>VLOOKUP(A1,DIV_12Data!$A$1:$DZU$1000000,366,FALSE)</f>
        <v>#N/A</v>
      </c>
      <c r="I22" s="33" t="e">
        <f>VLOOKUP(A1,DIV_12Data!$A$1:$DZU$1000000,367,FALSE)</f>
        <v>#N/A</v>
      </c>
      <c r="J22" s="34" t="e">
        <f>VLOOKUP(A1,DIV_12Data!$A$1:$DZU$1000000,368,FALSE)</f>
        <v>#N/A</v>
      </c>
      <c r="K22" s="34" t="e">
        <f>VLOOKUP(A1,DIV_12Data!$A$1:$DZU$1000000,369,FALSE)</f>
        <v>#N/A</v>
      </c>
      <c r="L22" s="93" t="e">
        <f>VLOOKUP(A1,DIV_12Data!$A$1:$DZU$1000000,370,FALSE)</f>
        <v>#N/A</v>
      </c>
      <c r="M22" s="33" t="e">
        <f>VLOOKUP(A1,DIV_12Data!$A$1:$DZU$1000000,371,FALSE)</f>
        <v>#N/A</v>
      </c>
      <c r="N22" s="34" t="e">
        <f>VLOOKUP(A1,DIV_12Data!$A$1:$DZU$1000000,372,FALSE)</f>
        <v>#N/A</v>
      </c>
      <c r="O22" s="33" t="e">
        <f>VLOOKUP(A1,DIV_12Data!$A$1:$DZU$1000000,373,FALSE)</f>
        <v>#N/A</v>
      </c>
      <c r="P22" s="46" t="e">
        <f>VLOOKUP(A1,DIV_12Data!$A$1:$DZU$1000000,374,FALSE)</f>
        <v>#N/A</v>
      </c>
      <c r="Q22" s="33" t="e">
        <f>VLOOKUP(A1,DIV_12Data!$A$1:$DZU$1000000,375,FALSE)</f>
        <v>#N/A</v>
      </c>
    </row>
    <row r="23" spans="1:17" x14ac:dyDescent="0.35">
      <c r="A23" s="22" t="e">
        <f>VLOOKUP(A1,DIV_12Data!$A$1:$DZU$1000000,376,FALSE)</f>
        <v>#N/A</v>
      </c>
      <c r="B23" s="37" t="e">
        <f>VLOOKUP(A1,DIV_12Data!$A$1:$DZU$1000000,377,FALSE)</f>
        <v>#N/A</v>
      </c>
      <c r="C23" s="38" t="e">
        <f>VLOOKUP(A1,DIV_12Data!$A$1:$DZU$1000000,378,FALSE)</f>
        <v>#N/A</v>
      </c>
      <c r="D23" s="31" t="e">
        <f>VLOOKUP(A1,DIV_12Data!$A$1:$DZU$1000000,379,FALSE)</f>
        <v>#N/A</v>
      </c>
      <c r="E23" s="32" t="e">
        <f>VLOOKUP(A1,DIV_12Data!$A$1:$DZU$1000000,380,FALSE)</f>
        <v>#N/A</v>
      </c>
      <c r="F23" s="34" t="e">
        <f>VLOOKUP(A1,DIV_12Data!$A$1:$DZU$1000000,381,FALSE)</f>
        <v>#N/A</v>
      </c>
      <c r="G23" s="33" t="e">
        <f>VLOOKUP(A1,DIV_12Data!$A$1:$DZU$1000000,382,FALSE)</f>
        <v>#N/A</v>
      </c>
      <c r="H23" s="34" t="e">
        <f>VLOOKUP(A1,DIV_12Data!$A$1:$DZU$1000000,383,FALSE)</f>
        <v>#N/A</v>
      </c>
      <c r="I23" s="33" t="e">
        <f>VLOOKUP(A1,DIV_12Data!$A$1:$DZU$1000000,384,FALSE)</f>
        <v>#N/A</v>
      </c>
      <c r="J23" s="34" t="e">
        <f>VLOOKUP(A1,DIV_12Data!$A$1:$DZU$1000000,385,FALSE)</f>
        <v>#N/A</v>
      </c>
      <c r="K23" s="34" t="e">
        <f>VLOOKUP(A1,DIV_12Data!$A$1:$DZU$1000000,386,FALSE)</f>
        <v>#N/A</v>
      </c>
      <c r="L23" s="93" t="e">
        <f>VLOOKUP(A1,DIV_12Data!$A$1:$DZU$1000000,387,FALSE)</f>
        <v>#N/A</v>
      </c>
      <c r="M23" s="33" t="e">
        <f>VLOOKUP(A1,DIV_12Data!$A$1:$DZU$1000000,388,FALSE)</f>
        <v>#N/A</v>
      </c>
      <c r="N23" s="34" t="e">
        <f>VLOOKUP(A1,DIV_12Data!$A$1:$DZU$1000000,389,FALSE)</f>
        <v>#N/A</v>
      </c>
      <c r="O23" s="33" t="e">
        <f>VLOOKUP(A1,DIV_12Data!$A$1:$DZU$1000000,390,FALSE)</f>
        <v>#N/A</v>
      </c>
      <c r="P23" s="46" t="e">
        <f>VLOOKUP(A1,DIV_12Data!$A$1:$DZU$1000000,391,FALSE)</f>
        <v>#N/A</v>
      </c>
      <c r="Q23" s="33" t="e">
        <f>VLOOKUP(A1,DIV_12Data!$A$1:$DZU$1000000,392,FALSE)</f>
        <v>#N/A</v>
      </c>
    </row>
    <row r="24" spans="1:17" x14ac:dyDescent="0.35">
      <c r="A24" s="22" t="e">
        <f>VLOOKUP(A1,DIV_12Data!$A$1:$DZU$1000000,393,FALSE)</f>
        <v>#N/A</v>
      </c>
      <c r="B24" s="37" t="e">
        <f>VLOOKUP(A1,DIV_12Data!$A$1:$DZU$1000000,394,FALSE)</f>
        <v>#N/A</v>
      </c>
      <c r="C24" s="38" t="e">
        <f>VLOOKUP(A1,DIV_12Data!$A$1:$DZU$1000000,395,FALSE)</f>
        <v>#N/A</v>
      </c>
      <c r="D24" s="31" t="e">
        <f>VLOOKUP(A1,DIV_12Data!$A$1:$DZU$1000000,396,FALSE)</f>
        <v>#N/A</v>
      </c>
      <c r="E24" s="32" t="e">
        <f>VLOOKUP(A1,DIV_12Data!$A$1:$DZU$1000000,397,FALSE)</f>
        <v>#N/A</v>
      </c>
      <c r="F24" s="34" t="e">
        <f>VLOOKUP(A1,DIV_12Data!$A$1:$DZU$1000000,398,FALSE)</f>
        <v>#N/A</v>
      </c>
      <c r="G24" s="33" t="e">
        <f>VLOOKUP(A1,DIV_12Data!$A$1:$DZU$1000000,399,FALSE)</f>
        <v>#N/A</v>
      </c>
      <c r="H24" s="34" t="e">
        <f>VLOOKUP(A1,DIV_12Data!$A$1:$DZU$1000000,400,FALSE)</f>
        <v>#N/A</v>
      </c>
      <c r="I24" s="33" t="e">
        <f>VLOOKUP(A1,DIV_12Data!$A$1:$DZU$1000000,401,FALSE)</f>
        <v>#N/A</v>
      </c>
      <c r="J24" s="34" t="e">
        <f>VLOOKUP(A1,DIV_12Data!$A$1:$DZU$1000000,402,FALSE)</f>
        <v>#N/A</v>
      </c>
      <c r="K24" s="34" t="e">
        <f>VLOOKUP(A1,DIV_12Data!$A$1:$DZU$1000000,403,FALSE)</f>
        <v>#N/A</v>
      </c>
      <c r="L24" s="93" t="e">
        <f>VLOOKUP(A1,DIV_12Data!$A$1:$DZU$1000000,404,FALSE)</f>
        <v>#N/A</v>
      </c>
      <c r="M24" s="33" t="e">
        <f>VLOOKUP(A1,DIV_12Data!$A$1:$DZU$1000000,405,FALSE)</f>
        <v>#N/A</v>
      </c>
      <c r="N24" s="34" t="e">
        <f>VLOOKUP(A1,DIV_12Data!$A$1:$DZU$1000000,406,FALSE)</f>
        <v>#N/A</v>
      </c>
      <c r="O24" s="33" t="e">
        <f>VLOOKUP(A1,DIV_12Data!$A$1:$DZU$1000000,407,FALSE)</f>
        <v>#N/A</v>
      </c>
      <c r="P24" s="46" t="e">
        <f>VLOOKUP(A1,DIV_12Data!$A$1:$DZU$1000000,408,FALSE)</f>
        <v>#N/A</v>
      </c>
      <c r="Q24" s="33" t="e">
        <f>VLOOKUP(A1,DIV_12Data!$A$1:$DZU$1000000,409,FALSE)</f>
        <v>#N/A</v>
      </c>
    </row>
    <row r="25" spans="1:17" x14ac:dyDescent="0.35">
      <c r="A25" s="22" t="e">
        <f>VLOOKUP(A1,DIV_12Data!$A$1:$DZU$1000000,410,FALSE)</f>
        <v>#N/A</v>
      </c>
      <c r="B25" s="37" t="e">
        <f>VLOOKUP(A1,DIV_12Data!$A$1:$DZU$1000000,411,FALSE)</f>
        <v>#N/A</v>
      </c>
      <c r="C25" s="38" t="e">
        <f>VLOOKUP(A1,DIV_12Data!$A$1:$DZU$1000000,412,FALSE)</f>
        <v>#N/A</v>
      </c>
      <c r="D25" s="31" t="e">
        <f>VLOOKUP(A1,DIV_12Data!$A$1:$DZU$1000000,413,FALSE)</f>
        <v>#N/A</v>
      </c>
      <c r="E25" s="32" t="e">
        <f>VLOOKUP(A1,DIV_12Data!$A$1:$DZU$1000000,414,FALSE)</f>
        <v>#N/A</v>
      </c>
      <c r="F25" s="34" t="e">
        <f>VLOOKUP(A1,DIV_12Data!$A$1:$DZU$1000000,415,FALSE)</f>
        <v>#N/A</v>
      </c>
      <c r="G25" s="33" t="e">
        <f>VLOOKUP(A1,DIV_12Data!$A$1:$DZU$1000000,416,FALSE)</f>
        <v>#N/A</v>
      </c>
      <c r="H25" s="34" t="e">
        <f>VLOOKUP(A1,DIV_12Data!$A$1:$DZU$1000000,417,FALSE)</f>
        <v>#N/A</v>
      </c>
      <c r="I25" s="33" t="e">
        <f>VLOOKUP(A1,DIV_12Data!$A$1:$DZU$1000000,418,FALSE)</f>
        <v>#N/A</v>
      </c>
      <c r="J25" s="34" t="e">
        <f>VLOOKUP(A1,DIV_12Data!$A$1:$DZU$1000000,419,FALSE)</f>
        <v>#N/A</v>
      </c>
      <c r="K25" s="34" t="e">
        <f>VLOOKUP(A1,DIV_12Data!$A$1:$DZU$1000000,420,FALSE)</f>
        <v>#N/A</v>
      </c>
      <c r="L25" s="93" t="e">
        <f>VLOOKUP(A1,DIV_12Data!$A$1:$DZU$1000000,421,FALSE)</f>
        <v>#N/A</v>
      </c>
      <c r="M25" s="33" t="e">
        <f>VLOOKUP(A1,DIV_12Data!$A$1:$DZU$1000000,422,FALSE)</f>
        <v>#N/A</v>
      </c>
      <c r="N25" s="34" t="e">
        <f>VLOOKUP(A1,DIV_12Data!$A$1:$DZU$1000000,423,FALSE)</f>
        <v>#N/A</v>
      </c>
      <c r="O25" s="33" t="e">
        <f>VLOOKUP(A1,DIV_12Data!$A$1:$DZU$1000000,424,FALSE)</f>
        <v>#N/A</v>
      </c>
      <c r="P25" s="46" t="e">
        <f>VLOOKUP(A1,DIV_12Data!$A$1:$DZU$1000000,425,FALSE)</f>
        <v>#N/A</v>
      </c>
      <c r="Q25" s="33" t="e">
        <f>VLOOKUP(A1,DIV_12Data!$A$1:$DZU$1000000,426,FALSE)</f>
        <v>#N/A</v>
      </c>
    </row>
    <row r="26" spans="1:17" x14ac:dyDescent="0.35">
      <c r="A26" s="22" t="e">
        <f>VLOOKUP(A1,DIV_12Data!$A$1:$DZU$1000000,427,FALSE)</f>
        <v>#N/A</v>
      </c>
      <c r="B26" s="37" t="e">
        <f>VLOOKUP(A1,DIV_12Data!$A$1:$DZU$1000000,428,FALSE)</f>
        <v>#N/A</v>
      </c>
      <c r="C26" s="38" t="e">
        <f>VLOOKUP(A1,DIV_12Data!$A$1:$DZU$1000000,429,FALSE)</f>
        <v>#N/A</v>
      </c>
      <c r="D26" s="31" t="e">
        <f>VLOOKUP(A1,DIV_12Data!$A$1:$DZU$1000000,430,FALSE)</f>
        <v>#N/A</v>
      </c>
      <c r="E26" s="32" t="e">
        <f>VLOOKUP(A1,DIV_12Data!$A$1:$DZU$1000000,431,FALSE)</f>
        <v>#N/A</v>
      </c>
      <c r="F26" s="34" t="e">
        <f>VLOOKUP(A1,DIV_12Data!$A$1:$DZU$1000000,432,FALSE)</f>
        <v>#N/A</v>
      </c>
      <c r="G26" s="33" t="e">
        <f>VLOOKUP(A1,DIV_12Data!$A$1:$DZU$1000000,433,FALSE)</f>
        <v>#N/A</v>
      </c>
      <c r="H26" s="34" t="e">
        <f>VLOOKUP(A1,DIV_12Data!$A$1:$DZU$1000000,434,FALSE)</f>
        <v>#N/A</v>
      </c>
      <c r="I26" s="33" t="e">
        <f>VLOOKUP(A1,DIV_12Data!$A$1:$DZU$1000000,435,FALSE)</f>
        <v>#N/A</v>
      </c>
      <c r="J26" s="34" t="e">
        <f>VLOOKUP(A1,DIV_12Data!$A$1:$DZU$1000000,436,FALSE)</f>
        <v>#N/A</v>
      </c>
      <c r="K26" s="34" t="e">
        <f>VLOOKUP(A1,DIV_12Data!$A$1:$DZU$1000000,437,FALSE)</f>
        <v>#N/A</v>
      </c>
      <c r="L26" s="93" t="e">
        <f>VLOOKUP(A1,DIV_12Data!$A$1:$DZU$1000000,438,FALSE)</f>
        <v>#N/A</v>
      </c>
      <c r="M26" s="33" t="e">
        <f>VLOOKUP(A1,DIV_12Data!$A$1:$DZU$1000000,439,FALSE)</f>
        <v>#N/A</v>
      </c>
      <c r="N26" s="34" t="e">
        <f>VLOOKUP(A1,DIV_12Data!$A$1:$DZU$1000000,440,FALSE)</f>
        <v>#N/A</v>
      </c>
      <c r="O26" s="33" t="e">
        <f>VLOOKUP(A1,DIV_12Data!$A$1:$DZU$1000000,441,FALSE)</f>
        <v>#N/A</v>
      </c>
      <c r="P26" s="46" t="e">
        <f>VLOOKUP(A1,DIV_12Data!$A$1:$DZU$1000000,442,FALSE)</f>
        <v>#N/A</v>
      </c>
      <c r="Q26" s="33" t="e">
        <f>VLOOKUP(A1,DIV_12Data!$A$1:$DZU$1000000,443,FALSE)</f>
        <v>#N/A</v>
      </c>
    </row>
    <row r="27" spans="1:17" x14ac:dyDescent="0.35">
      <c r="A27" s="22" t="e">
        <f>VLOOKUP(A1,DIV_12Data!$A$1:$DZU$1000000,444,FALSE)</f>
        <v>#N/A</v>
      </c>
      <c r="B27" s="37" t="e">
        <f>VLOOKUP(A1,DIV_12Data!$A$1:$DZU$1000000,445,FALSE)</f>
        <v>#N/A</v>
      </c>
      <c r="C27" s="38" t="e">
        <f>VLOOKUP(A1,DIV_12Data!$A$1:$DZU$1000000,446,FALSE)</f>
        <v>#N/A</v>
      </c>
      <c r="D27" s="31" t="e">
        <f>VLOOKUP(A1,DIV_12Data!$A$1:$DZU$1000000,447,FALSE)</f>
        <v>#N/A</v>
      </c>
      <c r="E27" s="32" t="e">
        <f>VLOOKUP(A1,DIV_12Data!$A$1:$DZU$1000000,448,FALSE)</f>
        <v>#N/A</v>
      </c>
      <c r="F27" s="34" t="e">
        <f>VLOOKUP(A1,DIV_12Data!$A$1:$DZU$1000000,449,FALSE)</f>
        <v>#N/A</v>
      </c>
      <c r="G27" s="33" t="e">
        <f>VLOOKUP(A1,DIV_12Data!$A$1:$DZU$1000000,450,FALSE)</f>
        <v>#N/A</v>
      </c>
      <c r="H27" s="34" t="e">
        <f>VLOOKUP(A1,DIV_12Data!$A$1:$DZU$1000000,451,FALSE)</f>
        <v>#N/A</v>
      </c>
      <c r="I27" s="33" t="e">
        <f>VLOOKUP(A1,DIV_12Data!$A$1:$DZU$1000000,452,FALSE)</f>
        <v>#N/A</v>
      </c>
      <c r="J27" s="34" t="e">
        <f>VLOOKUP(A1,DIV_12Data!$A$1:$DZU$1000000,453,FALSE)</f>
        <v>#N/A</v>
      </c>
      <c r="K27" s="34" t="e">
        <f>VLOOKUP(A1,DIV_12Data!$A$1:$DZU$1000000,454,FALSE)</f>
        <v>#N/A</v>
      </c>
      <c r="L27" s="93" t="e">
        <f>VLOOKUP(A1,DIV_12Data!$A$1:$DZU$1000000,455,FALSE)</f>
        <v>#N/A</v>
      </c>
      <c r="M27" s="33" t="e">
        <f>VLOOKUP(A1,DIV_12Data!$A$1:$DZU$1000000,456,FALSE)</f>
        <v>#N/A</v>
      </c>
      <c r="N27" s="34" t="e">
        <f>VLOOKUP(A1,DIV_12Data!$A$1:$DZU$1000000,457,FALSE)</f>
        <v>#N/A</v>
      </c>
      <c r="O27" s="33" t="e">
        <f>VLOOKUP(A1,DIV_12Data!$A$1:$DZU$1000000,458,FALSE)</f>
        <v>#N/A</v>
      </c>
      <c r="P27" s="46" t="e">
        <f>VLOOKUP(A1,DIV_12Data!$A$1:$DZU$1000000,459,FALSE)</f>
        <v>#N/A</v>
      </c>
      <c r="Q27" s="33" t="e">
        <f>VLOOKUP(A1,DIV_12Data!$A$1:$DZU$1000000,460,FALSE)</f>
        <v>#N/A</v>
      </c>
    </row>
    <row r="28" spans="1:17" x14ac:dyDescent="0.35">
      <c r="A28" s="22" t="e">
        <f>VLOOKUP(A1,DIV_12Data!$A$1:$DZU$1000000,461,FALSE)</f>
        <v>#N/A</v>
      </c>
      <c r="B28" s="37" t="e">
        <f>VLOOKUP(A1,DIV_12Data!$A$1:$DZU$1000000,462,FALSE)</f>
        <v>#N/A</v>
      </c>
      <c r="C28" s="38" t="e">
        <f>VLOOKUP(A1,DIV_12Data!$A$1:$DZU$1000000,463,FALSE)</f>
        <v>#N/A</v>
      </c>
      <c r="D28" s="31" t="e">
        <f>VLOOKUP(A1,DIV_12Data!$A$1:$DZU$1000000,464,FALSE)</f>
        <v>#N/A</v>
      </c>
      <c r="E28" s="32" t="e">
        <f>VLOOKUP(A1,DIV_12Data!$A$1:$DZU$1000000,465,FALSE)</f>
        <v>#N/A</v>
      </c>
      <c r="F28" s="34" t="e">
        <f>VLOOKUP(A1,DIV_12Data!$A$1:$DZU$1000000,466,FALSE)</f>
        <v>#N/A</v>
      </c>
      <c r="G28" s="33" t="e">
        <f>VLOOKUP(A1,DIV_12Data!$A$1:$DZU$1000000,467,FALSE)</f>
        <v>#N/A</v>
      </c>
      <c r="H28" s="34" t="e">
        <f>VLOOKUP(A1,DIV_12Data!$A$1:$DZU$1000000,468,FALSE)</f>
        <v>#N/A</v>
      </c>
      <c r="I28" s="33" t="e">
        <f>VLOOKUP(A1,DIV_12Data!$A$1:$DZU$1000000,469,FALSE)</f>
        <v>#N/A</v>
      </c>
      <c r="J28" s="34" t="e">
        <f>VLOOKUP(A1,DIV_12Data!$A$1:$DZU$1000000,470,FALSE)</f>
        <v>#N/A</v>
      </c>
      <c r="K28" s="34" t="e">
        <f>VLOOKUP(A1,DIV_12Data!$A$1:$DZU$1000000,471,FALSE)</f>
        <v>#N/A</v>
      </c>
      <c r="L28" s="93" t="e">
        <f>VLOOKUP(A1,DIV_12Data!$A$1:$DZU$1000000,472,FALSE)</f>
        <v>#N/A</v>
      </c>
      <c r="M28" s="33" t="e">
        <f>VLOOKUP(A1,DIV_12Data!$A$1:$DZU$1000000,473,FALSE)</f>
        <v>#N/A</v>
      </c>
      <c r="N28" s="34" t="e">
        <f>VLOOKUP(A1,DIV_12Data!$A$1:$DZU$1000000,474,FALSE)</f>
        <v>#N/A</v>
      </c>
      <c r="O28" s="33" t="e">
        <f>VLOOKUP(A1,DIV_12Data!$A$1:$DZU$1000000,475,FALSE)</f>
        <v>#N/A</v>
      </c>
      <c r="P28" s="46" t="e">
        <f>VLOOKUP(A1,DIV_12Data!$A$1:$DZU$1000000,476,FALSE)</f>
        <v>#N/A</v>
      </c>
      <c r="Q28" s="33" t="e">
        <f>VLOOKUP(A1,DIV_12Data!$A$1:$DZU$1000000,477,FALSE)</f>
        <v>#N/A</v>
      </c>
    </row>
    <row r="29" spans="1:17" x14ac:dyDescent="0.35">
      <c r="A29" s="22" t="e">
        <f>VLOOKUP(A1,DIV_12Data!$A$1:$DZU$1000000,478,FALSE)</f>
        <v>#N/A</v>
      </c>
      <c r="B29" s="37" t="e">
        <f>VLOOKUP(A1,DIV_12Data!$A$1:$DZU$1000000,479,FALSE)</f>
        <v>#N/A</v>
      </c>
      <c r="C29" s="38" t="e">
        <f>VLOOKUP(A1,DIV_12Data!$A$1:$DZU$1000000,480,FALSE)</f>
        <v>#N/A</v>
      </c>
      <c r="D29" s="31" t="e">
        <f>VLOOKUP(A1,DIV_12Data!$A$1:$DZU$1000000,481,FALSE)</f>
        <v>#N/A</v>
      </c>
      <c r="E29" s="32" t="e">
        <f>VLOOKUP(A1,DIV_12Data!$A$1:$DZU$1000000,482,FALSE)</f>
        <v>#N/A</v>
      </c>
      <c r="F29" s="34" t="e">
        <f>VLOOKUP(A1,DIV_12Data!$A$1:$DZU$1000000,483,FALSE)</f>
        <v>#N/A</v>
      </c>
      <c r="G29" s="33" t="e">
        <f>VLOOKUP(A1,DIV_12Data!$A$1:$DZU$1000000,484,FALSE)</f>
        <v>#N/A</v>
      </c>
      <c r="H29" s="34" t="e">
        <f>VLOOKUP(A1,DIV_12Data!$A$1:$DZU$1000000,485,FALSE)</f>
        <v>#N/A</v>
      </c>
      <c r="I29" s="33" t="e">
        <f>VLOOKUP(A1,DIV_12Data!$A$1:$DZU$1000000,486,FALSE)</f>
        <v>#N/A</v>
      </c>
      <c r="J29" s="34" t="e">
        <f>VLOOKUP(A1,DIV_12Data!$A$1:$DZU$1000000,487,FALSE)</f>
        <v>#N/A</v>
      </c>
      <c r="K29" s="34" t="e">
        <f>VLOOKUP(A1,DIV_12Data!$A$1:$DZU$1000000,488,FALSE)</f>
        <v>#N/A</v>
      </c>
      <c r="L29" s="93" t="e">
        <f>VLOOKUP(A1,DIV_12Data!$A$1:$DZU$1000000,489,FALSE)</f>
        <v>#N/A</v>
      </c>
      <c r="M29" s="33" t="e">
        <f>VLOOKUP(A1,DIV_12Data!$A$1:$DZU$1000000,490,FALSE)</f>
        <v>#N/A</v>
      </c>
      <c r="N29" s="34" t="e">
        <f>VLOOKUP(A1,DIV_12Data!$A$1:$DZU$1000000,491,FALSE)</f>
        <v>#N/A</v>
      </c>
      <c r="O29" s="33" t="e">
        <f>VLOOKUP(A1,DIV_12Data!$A$1:$DZU$1000000,492,FALSE)</f>
        <v>#N/A</v>
      </c>
      <c r="P29" s="46" t="e">
        <f>VLOOKUP(A1,DIV_12Data!$A$1:$DZU$1000000,493,FALSE)</f>
        <v>#N/A</v>
      </c>
      <c r="Q29" s="33" t="e">
        <f>VLOOKUP(A1,DIV_12Data!$A$1:$DZU$1000000,494,FALSE)</f>
        <v>#N/A</v>
      </c>
    </row>
    <row r="30" spans="1:17" x14ac:dyDescent="0.35">
      <c r="A30" s="22" t="e">
        <f>VLOOKUP(A1,DIV_12Data!$A$1:$DZU$1000000,495,FALSE)</f>
        <v>#N/A</v>
      </c>
      <c r="B30" s="37" t="e">
        <f>VLOOKUP(A1,DIV_12Data!$A$1:$DZU$1000000,496,FALSE)</f>
        <v>#N/A</v>
      </c>
      <c r="C30" s="38" t="e">
        <f>VLOOKUP(A1,DIV_12Data!$A$1:$DZU$1000000,497,FALSE)</f>
        <v>#N/A</v>
      </c>
      <c r="D30" s="31" t="e">
        <f>VLOOKUP(A1,DIV_12Data!$A$1:$DZU$1000000,498,FALSE)</f>
        <v>#N/A</v>
      </c>
      <c r="E30" s="32" t="e">
        <f>VLOOKUP(A1,DIV_12Data!$A$1:$DZU$1000000,499,FALSE)</f>
        <v>#N/A</v>
      </c>
      <c r="F30" s="34" t="e">
        <f>VLOOKUP(A1,DIV_12Data!$A$1:$DZU$1000000,500,FALSE)</f>
        <v>#N/A</v>
      </c>
      <c r="G30" s="33" t="e">
        <f>VLOOKUP(A1,DIV_12Data!$A$1:$DZU$1000000,501,FALSE)</f>
        <v>#N/A</v>
      </c>
      <c r="H30" s="34" t="e">
        <f>VLOOKUP(A1,DIV_12Data!$A$1:$DZU$1000000,502,FALSE)</f>
        <v>#N/A</v>
      </c>
      <c r="I30" s="33" t="e">
        <f>VLOOKUP(A1,DIV_12Data!$A$1:$DZU$1000000,503,FALSE)</f>
        <v>#N/A</v>
      </c>
      <c r="J30" s="34" t="e">
        <f>VLOOKUP(A1,DIV_12Data!$A$1:$DZU$1000000,504,FALSE)</f>
        <v>#N/A</v>
      </c>
      <c r="K30" s="34" t="e">
        <f>VLOOKUP(A1,DIV_12Data!$A$1:$DZU$1000000,505,FALSE)</f>
        <v>#N/A</v>
      </c>
      <c r="L30" s="93" t="e">
        <f>VLOOKUP(A1,DIV_12Data!$A$1:$DZU$1000000,506,FALSE)</f>
        <v>#N/A</v>
      </c>
      <c r="M30" s="33" t="e">
        <f>VLOOKUP(A1,DIV_12Data!$A$1:$DZU$1000000,507,FALSE)</f>
        <v>#N/A</v>
      </c>
      <c r="N30" s="34" t="e">
        <f>VLOOKUP(A1,DIV_12Data!$A$1:$DZU$1000000,508,FALSE)</f>
        <v>#N/A</v>
      </c>
      <c r="O30" s="33" t="e">
        <f>VLOOKUP(A1,DIV_12Data!$A$1:$DZU$1000000,509,FALSE)</f>
        <v>#N/A</v>
      </c>
      <c r="P30" s="46" t="e">
        <f>VLOOKUP(A1,DIV_12Data!$A$1:$DZU$1000000,510,FALSE)</f>
        <v>#N/A</v>
      </c>
      <c r="Q30" s="33" t="e">
        <f>VLOOKUP(A1,DIV_12Data!$A$1:$DZU$1000000,511,FALSE)</f>
        <v>#N/A</v>
      </c>
    </row>
    <row r="31" spans="1:17" x14ac:dyDescent="0.35">
      <c r="A31" s="22" t="e">
        <f>VLOOKUP(A1,DIV_12Data!$A$1:$DZU$1000000,512,FALSE)</f>
        <v>#N/A</v>
      </c>
      <c r="B31" s="37" t="e">
        <f>VLOOKUP(A1,DIV_12Data!$A$1:$DZU$1000000,513,FALSE)</f>
        <v>#N/A</v>
      </c>
      <c r="C31" s="38" t="e">
        <f>VLOOKUP(A1,DIV_12Data!$A$1:$DZU$1000000,514,FALSE)</f>
        <v>#N/A</v>
      </c>
      <c r="D31" s="31" t="e">
        <f>VLOOKUP(A1,DIV_12Data!$A$1:$DZU$1000000,515,FALSE)</f>
        <v>#N/A</v>
      </c>
      <c r="E31" s="32" t="e">
        <f>VLOOKUP(A1,DIV_12Data!$A$1:$DZU$1000000,516,FALSE)</f>
        <v>#N/A</v>
      </c>
      <c r="F31" s="34" t="e">
        <f>VLOOKUP(A1,DIV_12Data!$A$1:$DZU$1000000,517,FALSE)</f>
        <v>#N/A</v>
      </c>
      <c r="G31" s="33" t="e">
        <f>VLOOKUP(A1,DIV_12Data!$A$1:$DZU$1000000,518,FALSE)</f>
        <v>#N/A</v>
      </c>
      <c r="H31" s="34" t="e">
        <f>VLOOKUP(A1,DIV_12Data!$A$1:$DZU$1000000,519,FALSE)</f>
        <v>#N/A</v>
      </c>
      <c r="I31" s="33" t="e">
        <f>VLOOKUP(A1,DIV_12Data!$A$1:$DZU$1000000,520,FALSE)</f>
        <v>#N/A</v>
      </c>
      <c r="J31" s="34" t="e">
        <f>VLOOKUP(A1,DIV_12Data!$A$1:$DZU$1000000,521,FALSE)</f>
        <v>#N/A</v>
      </c>
      <c r="K31" s="34" t="e">
        <f>VLOOKUP(A1,DIV_12Data!$A$1:$DZU$1000000,522,FALSE)</f>
        <v>#N/A</v>
      </c>
      <c r="L31" s="93" t="e">
        <f>VLOOKUP(A1,DIV_12Data!$A$1:$DZU$1000000,523,FALSE)</f>
        <v>#N/A</v>
      </c>
      <c r="M31" s="33" t="e">
        <f>VLOOKUP(A1,DIV_12Data!$A$1:$DZU$1000000,524,FALSE)</f>
        <v>#N/A</v>
      </c>
      <c r="N31" s="34" t="e">
        <f>VLOOKUP(A1,DIV_12Data!$A$1:$DZU$1000000,525,FALSE)</f>
        <v>#N/A</v>
      </c>
      <c r="O31" s="33" t="e">
        <f>VLOOKUP(A1,DIV_12Data!$A$1:$DZU$1000000,526,FALSE)</f>
        <v>#N/A</v>
      </c>
      <c r="P31" s="46" t="e">
        <f>VLOOKUP(A1,DIV_12Data!$A$1:$DZU$1000000,527,FALSE)</f>
        <v>#N/A</v>
      </c>
      <c r="Q31" s="33" t="e">
        <f>VLOOKUP(A1,DIV_12Data!$A$1:$DZU$1000000,528,FALSE)</f>
        <v>#N/A</v>
      </c>
    </row>
    <row r="32" spans="1:17" x14ac:dyDescent="0.35">
      <c r="A32" s="22" t="e">
        <f>VLOOKUP(A1,DIV_12Data!$A$1:$DZU$1000000,529,FALSE)</f>
        <v>#N/A</v>
      </c>
      <c r="B32" s="37" t="e">
        <f>VLOOKUP(A1,DIV_12Data!$A$1:$DZU$1000000,530,FALSE)</f>
        <v>#N/A</v>
      </c>
      <c r="C32" s="38" t="e">
        <f>VLOOKUP(A1,DIV_12Data!$A$1:$DZU$1000000,531,FALSE)</f>
        <v>#N/A</v>
      </c>
      <c r="D32" s="31" t="e">
        <f>VLOOKUP(A1,DIV_12Data!$A$1:$DZU$1000000,532,FALSE)</f>
        <v>#N/A</v>
      </c>
      <c r="E32" s="32" t="e">
        <f>VLOOKUP(A1,DIV_12Data!$A$1:$DZU$1000000,533,FALSE)</f>
        <v>#N/A</v>
      </c>
      <c r="F32" s="34" t="e">
        <f>VLOOKUP(A1,DIV_12Data!$A$1:$DZU$1000000,534,FALSE)</f>
        <v>#N/A</v>
      </c>
      <c r="G32" s="33" t="e">
        <f>VLOOKUP(A1,DIV_12Data!$A$1:$DZU$1000000,535,FALSE)</f>
        <v>#N/A</v>
      </c>
      <c r="H32" s="34" t="e">
        <f>VLOOKUP(A1,DIV_12Data!$A$1:$DZU$1000000,536,FALSE)</f>
        <v>#N/A</v>
      </c>
      <c r="I32" s="33" t="e">
        <f>VLOOKUP(A1,DIV_12Data!$A$1:$DZU$1000000,537,FALSE)</f>
        <v>#N/A</v>
      </c>
      <c r="J32" s="34" t="e">
        <f>VLOOKUP(A1,DIV_12Data!$A$1:$DZU$1000000,538,FALSE)</f>
        <v>#N/A</v>
      </c>
      <c r="K32" s="34" t="e">
        <f>VLOOKUP(A1,DIV_12Data!$A$1:$DZU$1000000,539,FALSE)</f>
        <v>#N/A</v>
      </c>
      <c r="L32" s="93" t="e">
        <f>VLOOKUP(A1,DIV_12Data!$A$1:$DZU$1000000,540,FALSE)</f>
        <v>#N/A</v>
      </c>
      <c r="M32" s="33" t="e">
        <f>VLOOKUP(A1,DIV_12Data!$A$1:$DZU$1000000,541,FALSE)</f>
        <v>#N/A</v>
      </c>
      <c r="N32" s="34" t="e">
        <f>VLOOKUP(A1,DIV_12Data!$A$1:$DZU$1000000,542,FALSE)</f>
        <v>#N/A</v>
      </c>
      <c r="O32" s="33" t="e">
        <f>VLOOKUP(A1,DIV_12Data!$A$1:$DZU$1000000,543,FALSE)</f>
        <v>#N/A</v>
      </c>
      <c r="P32" s="46" t="e">
        <f>VLOOKUP(A1,DIV_12Data!$A$1:$DZU$1000000,544,FALSE)</f>
        <v>#N/A</v>
      </c>
      <c r="Q32" s="33" t="e">
        <f>VLOOKUP(A1,DIV_12Data!$A$1:$DZU$1000000,545,FALSE)</f>
        <v>#N/A</v>
      </c>
    </row>
    <row r="33" spans="1:17" x14ac:dyDescent="0.35">
      <c r="A33" s="22" t="e">
        <f>VLOOKUP(A1,DIV_12Data!$A$1:$DZU$1000000,546,FALSE)</f>
        <v>#N/A</v>
      </c>
      <c r="B33" s="37" t="e">
        <f>VLOOKUP(A1,DIV_12Data!$A$1:$DZU$1000000,547,FALSE)</f>
        <v>#N/A</v>
      </c>
      <c r="C33" s="38" t="e">
        <f>VLOOKUP(A1,DIV_12Data!$A$1:$DZU$1000000,548,FALSE)</f>
        <v>#N/A</v>
      </c>
      <c r="D33" s="31" t="e">
        <f>VLOOKUP(A1,DIV_12Data!$A$1:$DZU$1000000,549,FALSE)</f>
        <v>#N/A</v>
      </c>
      <c r="E33" s="32" t="e">
        <f>VLOOKUP(A1,DIV_12Data!$A$1:$DZU$1000000,550,FALSE)</f>
        <v>#N/A</v>
      </c>
      <c r="F33" s="34" t="e">
        <f>VLOOKUP(A1,DIV_12Data!$A$1:$DZU$1000000,551,FALSE)</f>
        <v>#N/A</v>
      </c>
      <c r="G33" s="33" t="e">
        <f>VLOOKUP(A1,DIV_12Data!$A$1:$DZU$1000000,552,FALSE)</f>
        <v>#N/A</v>
      </c>
      <c r="H33" s="34" t="e">
        <f>VLOOKUP(A1,DIV_12Data!$A$1:$DZU$1000000,553,FALSE)</f>
        <v>#N/A</v>
      </c>
      <c r="I33" s="33" t="e">
        <f>VLOOKUP(A1,DIV_12Data!$A$1:$DZU$1000000,554,FALSE)</f>
        <v>#N/A</v>
      </c>
      <c r="J33" s="34" t="e">
        <f>VLOOKUP(A1,DIV_12Data!$A$1:$DZU$1000000,555,FALSE)</f>
        <v>#N/A</v>
      </c>
      <c r="K33" s="34" t="e">
        <f>VLOOKUP(A1,DIV_12Data!$A$1:$DZU$1000000,556,FALSE)</f>
        <v>#N/A</v>
      </c>
      <c r="L33" s="93" t="e">
        <f>VLOOKUP(A1,DIV_12Data!$A$1:$DZU$1000000,557,FALSE)</f>
        <v>#N/A</v>
      </c>
      <c r="M33" s="33" t="e">
        <f>VLOOKUP(A1,DIV_12Data!$A$1:$DZU$1000000,558,FALSE)</f>
        <v>#N/A</v>
      </c>
      <c r="N33" s="34" t="e">
        <f>VLOOKUP(A1,DIV_12Data!$A$1:$DZU$1000000,559,FALSE)</f>
        <v>#N/A</v>
      </c>
      <c r="O33" s="33" t="e">
        <f>VLOOKUP(A1,DIV_12Data!$A$1:$DZU$1000000,560,FALSE)</f>
        <v>#N/A</v>
      </c>
      <c r="P33" s="46" t="e">
        <f>VLOOKUP(A1,DIV_12Data!$A$1:$DZU$1000000,561,FALSE)</f>
        <v>#N/A</v>
      </c>
      <c r="Q33" s="33" t="e">
        <f>VLOOKUP(A1,DIV_12Data!$A$1:$DZU$1000000,562,FALSE)</f>
        <v>#N/A</v>
      </c>
    </row>
    <row r="34" spans="1:17" x14ac:dyDescent="0.35">
      <c r="A34" s="22" t="e">
        <f>VLOOKUP(A1,DIV_12Data!$A$1:$DZU$1000000,563,FALSE)</f>
        <v>#N/A</v>
      </c>
      <c r="B34" s="37" t="e">
        <f>VLOOKUP(A1,DIV_12Data!$A$1:$DZU$1000000,564,FALSE)</f>
        <v>#N/A</v>
      </c>
      <c r="C34" s="38" t="e">
        <f>VLOOKUP(A1,DIV_12Data!$A$1:$DZU$1000000,565,FALSE)</f>
        <v>#N/A</v>
      </c>
      <c r="D34" s="31" t="e">
        <f>VLOOKUP(A1,DIV_12Data!$A$1:$DZU$1000000,566,FALSE)</f>
        <v>#N/A</v>
      </c>
      <c r="E34" s="32" t="e">
        <f>VLOOKUP(A1,DIV_12Data!$A$1:$DZU$1000000,567,FALSE)</f>
        <v>#N/A</v>
      </c>
      <c r="F34" s="34" t="e">
        <f>VLOOKUP(A1,DIV_12Data!$A$1:$DZU$1000000,568,FALSE)</f>
        <v>#N/A</v>
      </c>
      <c r="G34" s="33" t="e">
        <f>VLOOKUP(A1,DIV_12Data!$A$1:$DZU$1000000,569,FALSE)</f>
        <v>#N/A</v>
      </c>
      <c r="H34" s="34" t="e">
        <f>VLOOKUP(A1,DIV_12Data!$A$1:$DZU$1000000,570,FALSE)</f>
        <v>#N/A</v>
      </c>
      <c r="I34" s="33" t="e">
        <f>VLOOKUP(A1,DIV_12Data!$A$1:$DZU$1000000,571,FALSE)</f>
        <v>#N/A</v>
      </c>
      <c r="J34" s="34" t="e">
        <f>VLOOKUP(A1,DIV_12Data!$A$1:$DZU$1000000,572,FALSE)</f>
        <v>#N/A</v>
      </c>
      <c r="K34" s="34" t="e">
        <f>VLOOKUP(A1,DIV_12Data!$A$1:$DZU$1000000,573,FALSE)</f>
        <v>#N/A</v>
      </c>
      <c r="L34" s="93" t="e">
        <f>VLOOKUP(A1,DIV_12Data!$A$1:$DZU$1000000,574,FALSE)</f>
        <v>#N/A</v>
      </c>
      <c r="M34" s="33" t="e">
        <f>VLOOKUP(A1,DIV_12Data!$A$1:$DZU$1000000,575,FALSE)</f>
        <v>#N/A</v>
      </c>
      <c r="N34" s="34" t="e">
        <f>VLOOKUP(A1,DIV_12Data!$A$1:$DZU$1000000,576,FALSE)</f>
        <v>#N/A</v>
      </c>
      <c r="O34" s="33" t="e">
        <f>VLOOKUP(A1,DIV_12Data!$A$1:$DZU$1000000,577,FALSE)</f>
        <v>#N/A</v>
      </c>
      <c r="P34" s="46" t="e">
        <f>VLOOKUP(A1,DIV_12Data!$A$1:$DZU$1000000,578,FALSE)</f>
        <v>#N/A</v>
      </c>
      <c r="Q34" s="33" t="e">
        <f>VLOOKUP(A1,DIV_12Data!$A$1:$DZU$1000000,579,FALSE)</f>
        <v>#N/A</v>
      </c>
    </row>
    <row r="35" spans="1:17" x14ac:dyDescent="0.35">
      <c r="A35" s="22" t="e">
        <f>VLOOKUP(A1,DIV_12Data!$A$1:$DZU$1000000,580,FALSE)</f>
        <v>#N/A</v>
      </c>
      <c r="B35" s="37" t="e">
        <f>VLOOKUP(A1,DIV_12Data!$A$1:$DZU$1000000,581,FALSE)</f>
        <v>#N/A</v>
      </c>
      <c r="C35" s="38" t="e">
        <f>VLOOKUP(A1,DIV_12Data!$A$1:$DZU$1000000,582,FALSE)</f>
        <v>#N/A</v>
      </c>
      <c r="D35" s="31" t="e">
        <f>VLOOKUP(A1,DIV_12Data!$A$1:$DZU$1000000,583,FALSE)</f>
        <v>#N/A</v>
      </c>
      <c r="E35" s="32" t="e">
        <f>VLOOKUP(A1,DIV_12Data!$A$1:$DZU$1000000,584,FALSE)</f>
        <v>#N/A</v>
      </c>
      <c r="F35" s="34" t="e">
        <f>VLOOKUP(A1,DIV_12Data!$A$1:$DZU$1000000,585,FALSE)</f>
        <v>#N/A</v>
      </c>
      <c r="G35" s="33" t="e">
        <f>VLOOKUP(A1,DIV_12Data!$A$1:$DZU$1000000,586,FALSE)</f>
        <v>#N/A</v>
      </c>
      <c r="H35" s="34" t="e">
        <f>VLOOKUP(A1,DIV_12Data!$A$1:$DZU$1000000,587,FALSE)</f>
        <v>#N/A</v>
      </c>
      <c r="I35" s="33" t="e">
        <f>VLOOKUP(A1,DIV_12Data!$A$1:$DZU$1000000,588,FALSE)</f>
        <v>#N/A</v>
      </c>
      <c r="J35" s="34" t="e">
        <f>VLOOKUP(A1,DIV_12Data!$A$1:$DZU$1000000,589,FALSE)</f>
        <v>#N/A</v>
      </c>
      <c r="K35" s="34" t="e">
        <f>VLOOKUP(A1,DIV_12Data!$A$1:$DZU$1000000,590,FALSE)</f>
        <v>#N/A</v>
      </c>
      <c r="L35" s="93" t="e">
        <f>VLOOKUP(A1,DIV_12Data!$A$1:$DZU$1000000,591,FALSE)</f>
        <v>#N/A</v>
      </c>
      <c r="M35" s="33" t="e">
        <f>VLOOKUP(A1,DIV_12Data!$A$1:$DZU$1000000,592,FALSE)</f>
        <v>#N/A</v>
      </c>
      <c r="N35" s="34" t="e">
        <f>VLOOKUP(A1,DIV_12Data!$A$1:$DZU$1000000,593,FALSE)</f>
        <v>#N/A</v>
      </c>
      <c r="O35" s="33" t="e">
        <f>VLOOKUP(A1,DIV_12Data!$A$1:$DZU$1000000,594,FALSE)</f>
        <v>#N/A</v>
      </c>
      <c r="P35" s="46" t="e">
        <f>VLOOKUP(A1,DIV_12Data!$A$1:$DZU$1000000,595,FALSE)</f>
        <v>#N/A</v>
      </c>
      <c r="Q35" s="33" t="e">
        <f>VLOOKUP(A1,DIV_12Data!$A$1:$DZU$1000000,596,FALSE)</f>
        <v>#N/A</v>
      </c>
    </row>
    <row r="36" spans="1:17" x14ac:dyDescent="0.35">
      <c r="A36" s="22" t="e">
        <f>VLOOKUP(A1,DIV_12Data!$A$1:$DZU$1000000,597,FALSE)</f>
        <v>#N/A</v>
      </c>
      <c r="B36" s="37" t="e">
        <f>VLOOKUP(A1,DIV_12Data!$A$1:$DZU$1000000,598,FALSE)</f>
        <v>#N/A</v>
      </c>
      <c r="C36" s="38" t="e">
        <f>VLOOKUP(A1,DIV_12Data!$A$1:$DZU$1000000,599,FALSE)</f>
        <v>#N/A</v>
      </c>
      <c r="D36" s="31" t="e">
        <f>VLOOKUP(A1,DIV_12Data!$A$1:$DZU$1000000,600,FALSE)</f>
        <v>#N/A</v>
      </c>
      <c r="E36" s="32" t="e">
        <f>VLOOKUP(A1,DIV_12Data!$A$1:$DZU$1000000,601,FALSE)</f>
        <v>#N/A</v>
      </c>
      <c r="F36" s="34" t="e">
        <f>VLOOKUP(A1,DIV_12Data!$A$1:$DZU$1000000,602,FALSE)</f>
        <v>#N/A</v>
      </c>
      <c r="G36" s="33" t="e">
        <f>VLOOKUP(A1,DIV_12Data!$A$1:$DZU$1000000,603,FALSE)</f>
        <v>#N/A</v>
      </c>
      <c r="H36" s="34" t="e">
        <f>VLOOKUP(A1,DIV_12Data!$A$1:$DZU$1000000,604,FALSE)</f>
        <v>#N/A</v>
      </c>
      <c r="I36" s="33" t="e">
        <f>VLOOKUP(A1,DIV_12Data!$A$1:$DZU$1000000,605,FALSE)</f>
        <v>#N/A</v>
      </c>
      <c r="J36" s="34" t="e">
        <f>VLOOKUP(A1,DIV_12Data!$A$1:$DZU$1000000,606,FALSE)</f>
        <v>#N/A</v>
      </c>
      <c r="K36" s="34" t="e">
        <f>VLOOKUP(A1,DIV_12Data!$A$1:$DZU$1000000,607,FALSE)</f>
        <v>#N/A</v>
      </c>
      <c r="L36" s="93" t="e">
        <f>VLOOKUP(A1,DIV_12Data!$A$1:$DZU$1000000,608,FALSE)</f>
        <v>#N/A</v>
      </c>
      <c r="M36" s="33" t="e">
        <f>VLOOKUP(A1,DIV_12Data!$A$1:$DZU$1000000,609,FALSE)</f>
        <v>#N/A</v>
      </c>
      <c r="N36" s="34" t="e">
        <f>VLOOKUP(A1,DIV_12Data!$A$1:$DZU$1000000,610,FALSE)</f>
        <v>#N/A</v>
      </c>
      <c r="O36" s="33" t="e">
        <f>VLOOKUP(A1,DIV_12Data!$A$1:$DZU$1000000,611,FALSE)</f>
        <v>#N/A</v>
      </c>
      <c r="P36" s="46" t="e">
        <f>VLOOKUP(A1,DIV_12Data!$A$1:$DZU$1000000,612,FALSE)</f>
        <v>#N/A</v>
      </c>
      <c r="Q36" s="33" t="e">
        <f>VLOOKUP(A1,DIV_12Data!$A$1:$DZU$1000000,613,FALSE)</f>
        <v>#N/A</v>
      </c>
    </row>
    <row r="37" spans="1:17" x14ac:dyDescent="0.35">
      <c r="A37" s="22" t="e">
        <f>VLOOKUP(A1,DIV_12Data!$A$1:$DZU$1000000,614,FALSE)</f>
        <v>#N/A</v>
      </c>
      <c r="B37" s="37" t="e">
        <f>VLOOKUP(A1,DIV_12Data!$A$1:$DZU$1000000,615,FALSE)</f>
        <v>#N/A</v>
      </c>
      <c r="C37" s="38" t="e">
        <f>VLOOKUP(A1,DIV_12Data!$A$1:$DZU$1000000,616,FALSE)</f>
        <v>#N/A</v>
      </c>
      <c r="D37" s="31" t="e">
        <f>VLOOKUP(A1,DIV_12Data!$A$1:$DZU$1000000,617,FALSE)</f>
        <v>#N/A</v>
      </c>
      <c r="E37" s="32" t="e">
        <f>VLOOKUP(A1,DIV_12Data!$A$1:$DZU$1000000,618,FALSE)</f>
        <v>#N/A</v>
      </c>
      <c r="F37" s="34" t="e">
        <f>VLOOKUP(A1,DIV_12Data!$A$1:$DZU$1000000,619,FALSE)</f>
        <v>#N/A</v>
      </c>
      <c r="G37" s="33" t="e">
        <f>VLOOKUP(A1,DIV_12Data!$A$1:$DZU$1000000,620,FALSE)</f>
        <v>#N/A</v>
      </c>
      <c r="H37" s="34" t="e">
        <f>VLOOKUP(A1,DIV_12Data!$A$1:$DZU$1000000,621,FALSE)</f>
        <v>#N/A</v>
      </c>
      <c r="I37" s="33" t="e">
        <f>VLOOKUP(A1,DIV_12Data!$A$1:$DZU$1000000,622,FALSE)</f>
        <v>#N/A</v>
      </c>
      <c r="J37" s="34" t="e">
        <f>VLOOKUP(A1,DIV_12Data!$A$1:$DZU$1000000,623,FALSE)</f>
        <v>#N/A</v>
      </c>
      <c r="K37" s="34" t="e">
        <f>VLOOKUP(A1,DIV_12Data!$A$1:$DZU$1000000,624,FALSE)</f>
        <v>#N/A</v>
      </c>
      <c r="L37" s="93" t="e">
        <f>VLOOKUP(A1,DIV_12Data!$A$1:$DZU$1000000,625,FALSE)</f>
        <v>#N/A</v>
      </c>
      <c r="M37" s="33" t="e">
        <f>VLOOKUP(A1,DIV_12Data!$A$1:$DZU$1000000,626,FALSE)</f>
        <v>#N/A</v>
      </c>
      <c r="N37" s="34" t="e">
        <f>VLOOKUP(A1,DIV_12Data!$A$1:$DZU$1000000,627,FALSE)</f>
        <v>#N/A</v>
      </c>
      <c r="O37" s="33" t="e">
        <f>VLOOKUP(A1,DIV_12Data!$A$1:$DZU$1000000,628,FALSE)</f>
        <v>#N/A</v>
      </c>
      <c r="P37" s="46" t="e">
        <f>VLOOKUP(A1,DIV_12Data!$A$1:$DZU$1000000,629,FALSE)</f>
        <v>#N/A</v>
      </c>
      <c r="Q37" s="33" t="e">
        <f>VLOOKUP(A1,DIV_12Data!$A$1:$DZU$1000000,630,FALSE)</f>
        <v>#N/A</v>
      </c>
    </row>
    <row r="38" spans="1:17" x14ac:dyDescent="0.35">
      <c r="A38" s="22" t="e">
        <f>VLOOKUP(A1,DIV_12Data!$A$1:$DZU$1000000,631,FALSE)</f>
        <v>#N/A</v>
      </c>
      <c r="B38" s="37" t="e">
        <f>VLOOKUP(A1,DIV_12Data!$A$1:$DZU$1000000,632,FALSE)</f>
        <v>#N/A</v>
      </c>
      <c r="C38" s="38" t="e">
        <f>VLOOKUP(A1,DIV_12Data!$A$1:$DZU$1000000,633,FALSE)</f>
        <v>#N/A</v>
      </c>
      <c r="D38" s="31" t="e">
        <f>VLOOKUP(A1,DIV_12Data!$A$1:$DZU$1000000,634,FALSE)</f>
        <v>#N/A</v>
      </c>
      <c r="E38" s="32" t="e">
        <f>VLOOKUP(A1,DIV_12Data!$A$1:$DZU$1000000,635,FALSE)</f>
        <v>#N/A</v>
      </c>
      <c r="F38" s="34" t="e">
        <f>VLOOKUP(A1,DIV_12Data!$A$1:$DZU$1000000,636,FALSE)</f>
        <v>#N/A</v>
      </c>
      <c r="G38" s="33" t="e">
        <f>VLOOKUP(A1,DIV_12Data!$A$1:$DZU$1000000,637,FALSE)</f>
        <v>#N/A</v>
      </c>
      <c r="H38" s="34" t="e">
        <f>VLOOKUP(A1,DIV_12Data!$A$1:$DZU$1000000,638,FALSE)</f>
        <v>#N/A</v>
      </c>
      <c r="I38" s="33" t="e">
        <f>VLOOKUP(A1,DIV_12Data!$A$1:$DZU$1000000,639,FALSE)</f>
        <v>#N/A</v>
      </c>
      <c r="J38" s="34" t="e">
        <f>VLOOKUP(A1,DIV_12Data!$A$1:$DZU$1000000,640,FALSE)</f>
        <v>#N/A</v>
      </c>
      <c r="K38" s="34" t="e">
        <f>VLOOKUP(A1,DIV_12Data!$A$1:$DZU$1000000,641,FALSE)</f>
        <v>#N/A</v>
      </c>
      <c r="L38" s="93" t="e">
        <f>VLOOKUP(A1,DIV_12Data!$A$1:$DZU$1000000,642,FALSE)</f>
        <v>#N/A</v>
      </c>
      <c r="M38" s="33" t="e">
        <f>VLOOKUP(A1,DIV_12Data!$A$1:$DZU$1000000,643,FALSE)</f>
        <v>#N/A</v>
      </c>
      <c r="N38" s="34" t="e">
        <f>VLOOKUP(A1,DIV_12Data!$A$1:$DZU$1000000,644,FALSE)</f>
        <v>#N/A</v>
      </c>
      <c r="O38" s="33" t="e">
        <f>VLOOKUP(A1,DIV_12Data!$A$1:$DZU$1000000,645,FALSE)</f>
        <v>#N/A</v>
      </c>
      <c r="P38" s="46" t="e">
        <f>VLOOKUP(A1,DIV_12Data!$A$1:$DZU$1000000,646,FALSE)</f>
        <v>#N/A</v>
      </c>
      <c r="Q38" s="33" t="e">
        <f>VLOOKUP(A1,DIV_12Data!$A$1:$DZU$1000000,647,FALSE)</f>
        <v>#N/A</v>
      </c>
    </row>
    <row r="39" spans="1:17" x14ac:dyDescent="0.35">
      <c r="A39" s="22" t="e">
        <f>VLOOKUP(A1,DIV_12Data!$A$1:$DZU$1000000,648,FALSE)</f>
        <v>#N/A</v>
      </c>
      <c r="B39" s="37" t="e">
        <f>VLOOKUP(A1,DIV_12Data!$A$1:$DZU$1000000,649,FALSE)</f>
        <v>#N/A</v>
      </c>
      <c r="C39" s="38" t="e">
        <f>VLOOKUP(A1,DIV_12Data!$A$1:$DZU$1000000,650,FALSE)</f>
        <v>#N/A</v>
      </c>
      <c r="D39" s="31" t="e">
        <f>VLOOKUP(A1,DIV_12Data!$A$1:$DZU$1000000,651,FALSE)</f>
        <v>#N/A</v>
      </c>
      <c r="E39" s="32" t="e">
        <f>VLOOKUP(A1,DIV_12Data!$A$1:$DZU$1000000,652,FALSE)</f>
        <v>#N/A</v>
      </c>
      <c r="F39" s="34" t="e">
        <f>VLOOKUP(A1,DIV_12Data!$A$1:$DZU$1000000,653,FALSE)</f>
        <v>#N/A</v>
      </c>
      <c r="G39" s="33" t="e">
        <f>VLOOKUP(A1,DIV_12Data!$A$1:$DZU$1000000,654,FALSE)</f>
        <v>#N/A</v>
      </c>
      <c r="H39" s="34" t="e">
        <f>VLOOKUP(A1,DIV_12Data!$A$1:$DZU$1000000,655,FALSE)</f>
        <v>#N/A</v>
      </c>
      <c r="I39" s="33" t="e">
        <f>VLOOKUP(A1,DIV_12Data!$A$1:$DZU$1000000,656,FALSE)</f>
        <v>#N/A</v>
      </c>
      <c r="J39" s="34" t="e">
        <f>VLOOKUP(A1,DIV_12Data!$A$1:$DZU$1000000,657,FALSE)</f>
        <v>#N/A</v>
      </c>
      <c r="K39" s="34" t="e">
        <f>VLOOKUP(A1,DIV_12Data!$A$1:$DZU$1000000,658,FALSE)</f>
        <v>#N/A</v>
      </c>
      <c r="L39" s="93" t="e">
        <f>VLOOKUP(A1,DIV_12Data!$A$1:$DZU$1000000,659,FALSE)</f>
        <v>#N/A</v>
      </c>
      <c r="M39" s="33" t="e">
        <f>VLOOKUP(A1,DIV_12Data!$A$1:$DZU$1000000,660,FALSE)</f>
        <v>#N/A</v>
      </c>
      <c r="N39" s="34" t="e">
        <f>VLOOKUP(A1,DIV_12Data!$A$1:$DZU$1000000,661,FALSE)</f>
        <v>#N/A</v>
      </c>
      <c r="O39" s="33" t="e">
        <f>VLOOKUP(A1,DIV_12Data!$A$1:$DZU$1000000,662,FALSE)</f>
        <v>#N/A</v>
      </c>
      <c r="P39" s="46" t="e">
        <f>VLOOKUP(A1,DIV_12Data!$A$1:$DZU$1000000,663,FALSE)</f>
        <v>#N/A</v>
      </c>
      <c r="Q39" s="33" t="e">
        <f>VLOOKUP(A1,DIV_12Data!$A$1:$DZU$1000000,664,FALSE)</f>
        <v>#N/A</v>
      </c>
    </row>
    <row r="40" spans="1:17" x14ac:dyDescent="0.35">
      <c r="A40" s="22" t="e">
        <f>VLOOKUP(A1,DIV_12Data!$A$1:$DZU$1000000,665,FALSE)</f>
        <v>#N/A</v>
      </c>
      <c r="B40" s="37" t="e">
        <f>VLOOKUP(A1,DIV_12Data!$A$1:$DZU$1000000,666,FALSE)</f>
        <v>#N/A</v>
      </c>
      <c r="C40" s="38" t="e">
        <f>VLOOKUP(A1,DIV_12Data!$A$1:$DZU$1000000,667,FALSE)</f>
        <v>#N/A</v>
      </c>
      <c r="D40" s="31" t="e">
        <f>VLOOKUP(A1,DIV_12Data!$A$1:$DZU$1000000,668,FALSE)</f>
        <v>#N/A</v>
      </c>
      <c r="E40" s="32" t="e">
        <f>VLOOKUP(A1,DIV_12Data!$A$1:$DZU$1000000,669,FALSE)</f>
        <v>#N/A</v>
      </c>
      <c r="F40" s="34" t="e">
        <f>VLOOKUP(A1,DIV_12Data!$A$1:$DZU$1000000,670,FALSE)</f>
        <v>#N/A</v>
      </c>
      <c r="G40" s="33" t="e">
        <f>VLOOKUP(A1,DIV_12Data!$A$1:$DZU$1000000,671,FALSE)</f>
        <v>#N/A</v>
      </c>
      <c r="H40" s="34" t="e">
        <f>VLOOKUP(A1,DIV_12Data!$A$1:$DZU$1000000,672,FALSE)</f>
        <v>#N/A</v>
      </c>
      <c r="I40" s="33" t="e">
        <f>VLOOKUP(A1,DIV_12Data!$A$1:$DZU$1000000,673,FALSE)</f>
        <v>#N/A</v>
      </c>
      <c r="J40" s="34" t="e">
        <f>VLOOKUP(A1,DIV_12Data!$A$1:$DZU$1000000,674,FALSE)</f>
        <v>#N/A</v>
      </c>
      <c r="K40" s="34" t="e">
        <f>VLOOKUP(A1,DIV_12Data!$A$1:$DZU$1000000,675,FALSE)</f>
        <v>#N/A</v>
      </c>
      <c r="L40" s="93" t="e">
        <f>VLOOKUP(A1,DIV_12Data!$A$1:$DZU$1000000,676,FALSE)</f>
        <v>#N/A</v>
      </c>
      <c r="M40" s="33" t="e">
        <f>VLOOKUP(A1,DIV_12Data!$A$1:$DZU$1000000,677,FALSE)</f>
        <v>#N/A</v>
      </c>
      <c r="N40" s="34" t="e">
        <f>VLOOKUP(A1,DIV_12Data!$A$1:$DZU$1000000,678,FALSE)</f>
        <v>#N/A</v>
      </c>
      <c r="O40" s="33" t="e">
        <f>VLOOKUP(A1,DIV_12Data!$A$1:$DZU$1000000,679,FALSE)</f>
        <v>#N/A</v>
      </c>
      <c r="P40" s="46" t="e">
        <f>VLOOKUP(A1,DIV_12Data!$A$1:$DZU$1000000,680,FALSE)</f>
        <v>#N/A</v>
      </c>
      <c r="Q40" s="33" t="e">
        <f>VLOOKUP(A1,DIV_12Data!$A$1:$DZU$1000000,681,FALSE)</f>
        <v>#N/A</v>
      </c>
    </row>
    <row r="41" spans="1:17" x14ac:dyDescent="0.35">
      <c r="A41" s="22" t="e">
        <f>VLOOKUP(A1,DIV_12Data!$A$1:$DZU$1000000,682,FALSE)</f>
        <v>#N/A</v>
      </c>
      <c r="B41" s="37" t="e">
        <f>VLOOKUP(A1,DIV_12Data!$A$1:$DZU$1000000,683,FALSE)</f>
        <v>#N/A</v>
      </c>
      <c r="C41" s="38" t="e">
        <f>VLOOKUP(A1,DIV_12Data!$A$1:$DZU$1000000,684,FALSE)</f>
        <v>#N/A</v>
      </c>
      <c r="D41" s="31" t="e">
        <f>VLOOKUP(A1,DIV_12Data!$A$1:$DZU$1000000,685,FALSE)</f>
        <v>#N/A</v>
      </c>
      <c r="E41" s="32" t="e">
        <f>VLOOKUP(A1,DIV_12Data!$A$1:$DZU$1000000,686,FALSE)</f>
        <v>#N/A</v>
      </c>
      <c r="F41" s="34" t="e">
        <f>VLOOKUP(A1,DIV_12Data!$A$1:$DZU$1000000,687,FALSE)</f>
        <v>#N/A</v>
      </c>
      <c r="G41" s="33" t="e">
        <f>VLOOKUP(A1,DIV_12Data!$A$1:$DZU$1000000,688,FALSE)</f>
        <v>#N/A</v>
      </c>
      <c r="H41" s="34" t="e">
        <f>VLOOKUP(A1,DIV_12Data!$A$1:$DZU$1000000,689,FALSE)</f>
        <v>#N/A</v>
      </c>
      <c r="I41" s="33" t="e">
        <f>VLOOKUP(A1,DIV_12Data!$A$1:$DZU$1000000,690,FALSE)</f>
        <v>#N/A</v>
      </c>
      <c r="J41" s="34" t="e">
        <f>VLOOKUP(A1,DIV_12Data!$A$1:$DZU$1000000,691,FALSE)</f>
        <v>#N/A</v>
      </c>
      <c r="K41" s="34" t="e">
        <f>VLOOKUP(A1,DIV_12Data!$A$1:$DZU$1000000,692,FALSE)</f>
        <v>#N/A</v>
      </c>
      <c r="L41" s="93" t="e">
        <f>VLOOKUP(A1,DIV_12Data!$A$1:$DZU$1000000,693,FALSE)</f>
        <v>#N/A</v>
      </c>
      <c r="M41" s="33" t="e">
        <f>VLOOKUP(A1,DIV_12Data!$A$1:$DZU$1000000,694,FALSE)</f>
        <v>#N/A</v>
      </c>
      <c r="N41" s="34" t="e">
        <f>VLOOKUP(A1,DIV_12Data!$A$1:$DZU$1000000,695,FALSE)</f>
        <v>#N/A</v>
      </c>
      <c r="O41" s="33" t="e">
        <f>VLOOKUP(A1,DIV_12Data!$A$1:$DZU$1000000,696,FALSE)</f>
        <v>#N/A</v>
      </c>
      <c r="P41" s="46" t="e">
        <f>VLOOKUP(A1,DIV_12Data!$A$1:$DZU$1000000,697,FALSE)</f>
        <v>#N/A</v>
      </c>
      <c r="Q41" s="33" t="e">
        <f>VLOOKUP(A1,DIV_12Data!$A$1:$DZU$1000000,698,FALSE)</f>
        <v>#N/A</v>
      </c>
    </row>
    <row r="42" spans="1:17" x14ac:dyDescent="0.35">
      <c r="A42" s="22" t="e">
        <f>VLOOKUP(A1,DIV_12Data!$A$1:$DZU$1000000,699,FALSE)</f>
        <v>#N/A</v>
      </c>
      <c r="B42" s="37" t="e">
        <f>VLOOKUP(A1,DIV_12Data!$A$1:$DZU$1000000,700,FALSE)</f>
        <v>#N/A</v>
      </c>
      <c r="C42" s="38" t="e">
        <f>VLOOKUP(A1,DIV_12Data!$A$1:$DZU$1000000,701,FALSE)</f>
        <v>#N/A</v>
      </c>
      <c r="D42" s="31" t="e">
        <f>VLOOKUP(A1,DIV_12Data!$A$1:$DZU$1000000,702,FALSE)</f>
        <v>#N/A</v>
      </c>
      <c r="E42" s="32" t="e">
        <f>VLOOKUP(A1,DIV_12Data!$A$1:$DZU$1000000,703,FALSE)</f>
        <v>#N/A</v>
      </c>
      <c r="F42" s="34" t="e">
        <f>VLOOKUP(A1,DIV_12Data!$A$1:$DZU$1000000,704,FALSE)</f>
        <v>#N/A</v>
      </c>
      <c r="G42" s="33" t="e">
        <f>VLOOKUP(A1,DIV_12Data!$A$1:$DZU$1000000,705,FALSE)</f>
        <v>#N/A</v>
      </c>
      <c r="H42" s="34" t="e">
        <f>VLOOKUP(A1,DIV_12Data!$A$1:$DZU$1000000,706,FALSE)</f>
        <v>#N/A</v>
      </c>
      <c r="I42" s="33" t="e">
        <f>VLOOKUP(A1,DIV_12Data!$A$1:$DZU$1000000,707,FALSE)</f>
        <v>#N/A</v>
      </c>
      <c r="J42" s="34" t="e">
        <f>VLOOKUP(A1,DIV_12Data!$A$1:$DZU$1000000,708,FALSE)</f>
        <v>#N/A</v>
      </c>
      <c r="K42" s="34" t="e">
        <f>VLOOKUP(A1,DIV_12Data!$A$1:$DZU$1000000,709,FALSE)</f>
        <v>#N/A</v>
      </c>
      <c r="L42" s="93" t="e">
        <f>VLOOKUP(A1,DIV_12Data!$A$1:$DZU$1000000,710,FALSE)</f>
        <v>#N/A</v>
      </c>
      <c r="M42" s="33" t="e">
        <f>VLOOKUP(A1,DIV_12Data!$A$1:$DZU$1000000,711,FALSE)</f>
        <v>#N/A</v>
      </c>
      <c r="N42" s="34" t="e">
        <f>VLOOKUP(A1,DIV_12Data!$A$1:$DZU$1000000,712,FALSE)</f>
        <v>#N/A</v>
      </c>
      <c r="O42" s="33" t="e">
        <f>VLOOKUP(A1,DIV_12Data!$A$1:$DZU$1000000,713,FALSE)</f>
        <v>#N/A</v>
      </c>
      <c r="P42" s="46" t="e">
        <f>VLOOKUP(A1,DIV_12Data!$A$1:$DZU$1000000,714,FALSE)</f>
        <v>#N/A</v>
      </c>
      <c r="Q42" s="33" t="e">
        <f>VLOOKUP(A1,DIV_12Data!$A$1:$DZU$1000000,715,FALSE)</f>
        <v>#N/A</v>
      </c>
    </row>
    <row r="43" spans="1:17" x14ac:dyDescent="0.35">
      <c r="A43" s="22" t="e">
        <f>VLOOKUP(A1,DIV_12Data!$A$1:$DZU$1000000,716,FALSE)</f>
        <v>#N/A</v>
      </c>
      <c r="B43" s="37" t="e">
        <f>VLOOKUP(A1,DIV_12Data!$A$1:$DZU$1000000,717,FALSE)</f>
        <v>#N/A</v>
      </c>
      <c r="C43" s="38" t="e">
        <f>VLOOKUP(A1,DIV_12Data!$A$1:$DZU$1000000,718,FALSE)</f>
        <v>#N/A</v>
      </c>
      <c r="D43" s="31" t="e">
        <f>VLOOKUP(A1,DIV_12Data!$A$1:$DZU$1000000,719,FALSE)</f>
        <v>#N/A</v>
      </c>
      <c r="E43" s="32" t="e">
        <f>VLOOKUP(A1,DIV_12Data!$A$1:$DZU$1000000,720,FALSE)</f>
        <v>#N/A</v>
      </c>
      <c r="F43" s="34" t="e">
        <f>VLOOKUP(A1,DIV_12Data!$A$1:$DZU$1000000,721,FALSE)</f>
        <v>#N/A</v>
      </c>
      <c r="G43" s="33" t="e">
        <f>VLOOKUP(A1,DIV_12Data!$A$1:$DZU$1000000,722,FALSE)</f>
        <v>#N/A</v>
      </c>
      <c r="H43" s="34" t="e">
        <f>VLOOKUP(A1,DIV_12Data!$A$1:$DZU$1000000,723,FALSE)</f>
        <v>#N/A</v>
      </c>
      <c r="I43" s="33" t="e">
        <f>VLOOKUP(A1,DIV_12Data!$A$1:$DZU$1000000,724,FALSE)</f>
        <v>#N/A</v>
      </c>
      <c r="J43" s="34" t="e">
        <f>VLOOKUP(A1,DIV_12Data!$A$1:$DZU$1000000,725,FALSE)</f>
        <v>#N/A</v>
      </c>
      <c r="K43" s="34" t="e">
        <f>VLOOKUP(A1,DIV_12Data!$A$1:$DZU$1000000,726,FALSE)</f>
        <v>#N/A</v>
      </c>
      <c r="L43" s="93" t="e">
        <f>VLOOKUP(A1,DIV_12Data!$A$1:$DZU$1000000,727,FALSE)</f>
        <v>#N/A</v>
      </c>
      <c r="M43" s="33" t="e">
        <f>VLOOKUP(A1,DIV_12Data!$A$1:$DZU$1000000,728,FALSE)</f>
        <v>#N/A</v>
      </c>
      <c r="N43" s="34" t="e">
        <f>VLOOKUP(A1,DIV_12Data!$A$1:$DZU$1000000,729,FALSE)</f>
        <v>#N/A</v>
      </c>
      <c r="O43" s="33" t="e">
        <f>VLOOKUP(A1,DIV_12Data!$A$1:$DZU$1000000,730,FALSE)</f>
        <v>#N/A</v>
      </c>
      <c r="P43" s="46" t="e">
        <f>VLOOKUP(A1,DIV_12Data!$A$1:$DZU$1000000,731,FALSE)</f>
        <v>#N/A</v>
      </c>
      <c r="Q43" s="33" t="e">
        <f>VLOOKUP(A1,DIV_12Data!$A$1:$DZU$1000000,732,FALSE)</f>
        <v>#N/A</v>
      </c>
    </row>
    <row r="44" spans="1:17" x14ac:dyDescent="0.35">
      <c r="A44" s="22" t="e">
        <f>VLOOKUP(A1,DIV_12Data!$A$1:$DZU$1000000,733,FALSE)</f>
        <v>#N/A</v>
      </c>
      <c r="B44" s="37" t="e">
        <f>VLOOKUP(A1,DIV_12Data!$A$1:$DZU$1000000,734,FALSE)</f>
        <v>#N/A</v>
      </c>
      <c r="C44" s="38" t="e">
        <f>VLOOKUP(A1,DIV_12Data!$A$1:$DZU$1000000,735,FALSE)</f>
        <v>#N/A</v>
      </c>
      <c r="D44" s="31" t="e">
        <f>VLOOKUP(A1,DIV_12Data!$A$1:$DZU$1000000,736,FALSE)</f>
        <v>#N/A</v>
      </c>
      <c r="E44" s="32" t="e">
        <f>VLOOKUP(A1,DIV_12Data!$A$1:$DZU$1000000,737,FALSE)</f>
        <v>#N/A</v>
      </c>
      <c r="F44" s="34" t="e">
        <f>VLOOKUP(A1,DIV_12Data!$A$1:$DZU$1000000,738,FALSE)</f>
        <v>#N/A</v>
      </c>
      <c r="G44" s="33" t="e">
        <f>VLOOKUP(A1,DIV_12Data!$A$1:$DZU$1000000,739,FALSE)</f>
        <v>#N/A</v>
      </c>
      <c r="H44" s="34" t="e">
        <f>VLOOKUP(A1,DIV_12Data!$A$1:$DZU$1000000,740,FALSE)</f>
        <v>#N/A</v>
      </c>
      <c r="I44" s="33" t="e">
        <f>VLOOKUP(A1,DIV_12Data!$A$1:$DZU$1000000,741,FALSE)</f>
        <v>#N/A</v>
      </c>
      <c r="J44" s="34" t="e">
        <f>VLOOKUP(A1,DIV_12Data!$A$1:$DZU$1000000,742,FALSE)</f>
        <v>#N/A</v>
      </c>
      <c r="K44" s="34" t="e">
        <f>VLOOKUP(A1,DIV_12Data!$A$1:$DZU$1000000,743,FALSE)</f>
        <v>#N/A</v>
      </c>
      <c r="L44" s="93" t="e">
        <f>VLOOKUP(A1,DIV_12Data!$A$1:$DZU$1000000,744,FALSE)</f>
        <v>#N/A</v>
      </c>
      <c r="M44" s="33" t="e">
        <f>VLOOKUP(A1,DIV_12Data!$A$1:$DZU$1000000,745,FALSE)</f>
        <v>#N/A</v>
      </c>
      <c r="N44" s="34" t="e">
        <f>VLOOKUP(A1,DIV_12Data!$A$1:$DZU$1000000,746,FALSE)</f>
        <v>#N/A</v>
      </c>
      <c r="O44" s="33" t="e">
        <f>VLOOKUP(A1,DIV_12Data!$A$1:$DZU$1000000,747,FALSE)</f>
        <v>#N/A</v>
      </c>
      <c r="P44" s="46" t="e">
        <f>VLOOKUP(A1,DIV_12Data!$A$1:$DZU$1000000,748,FALSE)</f>
        <v>#N/A</v>
      </c>
      <c r="Q44" s="33" t="e">
        <f>VLOOKUP(A1,DIV_12Data!$A$1:$DZU$1000000,749,FALSE)</f>
        <v>#N/A</v>
      </c>
    </row>
    <row r="45" spans="1:17" x14ac:dyDescent="0.35">
      <c r="A45" s="22" t="e">
        <f>VLOOKUP(A1,DIV_12Data!$A$1:$DZU$1000000,750,FALSE)</f>
        <v>#N/A</v>
      </c>
      <c r="B45" s="37" t="e">
        <f>VLOOKUP(A1,DIV_12Data!$A$1:$DZU$1000000,751,FALSE)</f>
        <v>#N/A</v>
      </c>
      <c r="C45" s="38" t="e">
        <f>VLOOKUP(A1,DIV_12Data!$A$1:$DZU$1000000,752,FALSE)</f>
        <v>#N/A</v>
      </c>
      <c r="D45" s="31" t="e">
        <f>VLOOKUP(A1,DIV_12Data!$A$1:$DZU$1000000,753,FALSE)</f>
        <v>#N/A</v>
      </c>
      <c r="E45" s="32" t="e">
        <f>VLOOKUP(A1,DIV_12Data!$A$1:$DZU$1000000,754,FALSE)</f>
        <v>#N/A</v>
      </c>
      <c r="F45" s="34" t="e">
        <f>VLOOKUP(A1,DIV_12Data!$A$1:$DZU$1000000,755,FALSE)</f>
        <v>#N/A</v>
      </c>
      <c r="G45" s="33" t="e">
        <f>VLOOKUP(A1,DIV_12Data!$A$1:$DZU$1000000,756,FALSE)</f>
        <v>#N/A</v>
      </c>
      <c r="H45" s="34" t="e">
        <f>VLOOKUP(A1,DIV_12Data!$A$1:$DZU$1000000,757,FALSE)</f>
        <v>#N/A</v>
      </c>
      <c r="I45" s="33" t="e">
        <f>VLOOKUP(A1,DIV_12Data!$A$1:$DZU$1000000,758,FALSE)</f>
        <v>#N/A</v>
      </c>
      <c r="J45" s="34" t="e">
        <f>VLOOKUP(A1,DIV_12Data!$A$1:$DZU$1000000,759,FALSE)</f>
        <v>#N/A</v>
      </c>
      <c r="K45" s="34" t="e">
        <f>VLOOKUP(A1,DIV_12Data!$A$1:$DZU$1000000,760,FALSE)</f>
        <v>#N/A</v>
      </c>
      <c r="L45" s="93" t="e">
        <f>VLOOKUP(A1,DIV_12Data!$A$1:$DZU$1000000,761,FALSE)</f>
        <v>#N/A</v>
      </c>
      <c r="M45" s="33" t="e">
        <f>VLOOKUP(A1,DIV_12Data!$A$1:$DZU$1000000,762,FALSE)</f>
        <v>#N/A</v>
      </c>
      <c r="N45" s="34" t="e">
        <f>VLOOKUP(A1,DIV_12Data!$A$1:$DZU$1000000,763,FALSE)</f>
        <v>#N/A</v>
      </c>
      <c r="O45" s="33" t="e">
        <f>VLOOKUP(A1,DIV_12Data!$A$1:$DZU$1000000,764,FALSE)</f>
        <v>#N/A</v>
      </c>
      <c r="P45" s="46" t="e">
        <f>VLOOKUP(A1,DIV_12Data!$A$1:$DZU$1000000,765,FALSE)</f>
        <v>#N/A</v>
      </c>
      <c r="Q45" s="33" t="e">
        <f>VLOOKUP(A1,DIV_12Data!$A$1:$DZU$1000000,766,FALSE)</f>
        <v>#N/A</v>
      </c>
    </row>
    <row r="46" spans="1:17" x14ac:dyDescent="0.35">
      <c r="A46" s="22" t="e">
        <f>VLOOKUP(A1,DIV_12Data!$A$1:$DZU$1000000,767,FALSE)</f>
        <v>#N/A</v>
      </c>
      <c r="B46" s="37" t="e">
        <f>VLOOKUP(A1,DIV_12Data!$A$1:$DZU$1000000,768,FALSE)</f>
        <v>#N/A</v>
      </c>
      <c r="C46" s="38" t="e">
        <f>VLOOKUP(A1,DIV_12Data!$A$1:$DZU$1000000,769,FALSE)</f>
        <v>#N/A</v>
      </c>
      <c r="D46" s="31" t="e">
        <f>VLOOKUP(A1,DIV_12Data!$A$1:$DZU$1000000,770,FALSE)</f>
        <v>#N/A</v>
      </c>
      <c r="E46" s="32" t="e">
        <f>VLOOKUP(A1,DIV_12Data!$A$1:$DZU$1000000,771,FALSE)</f>
        <v>#N/A</v>
      </c>
      <c r="F46" s="34" t="e">
        <f>VLOOKUP(A1,DIV_12Data!$A$1:$DZU$1000000,772,FALSE)</f>
        <v>#N/A</v>
      </c>
      <c r="G46" s="33" t="e">
        <f>VLOOKUP(A1,DIV_12Data!$A$1:$DZU$1000000,773,FALSE)</f>
        <v>#N/A</v>
      </c>
      <c r="H46" s="34" t="e">
        <f>VLOOKUP(A1,DIV_12Data!$A$1:$DZU$1000000,774,FALSE)</f>
        <v>#N/A</v>
      </c>
      <c r="I46" s="33" t="e">
        <f>VLOOKUP(A1,DIV_12Data!$A$1:$DZU$1000000,775,FALSE)</f>
        <v>#N/A</v>
      </c>
      <c r="J46" s="34" t="e">
        <f>VLOOKUP(A1,DIV_12Data!$A$1:$DZU$1000000,776,FALSE)</f>
        <v>#N/A</v>
      </c>
      <c r="K46" s="34" t="e">
        <f>VLOOKUP(A1,DIV_12Data!$A$1:$DZU$1000000,777,FALSE)</f>
        <v>#N/A</v>
      </c>
      <c r="L46" s="93" t="e">
        <f>VLOOKUP(A1,DIV_12Data!$A$1:$DZU$1000000,778,FALSE)</f>
        <v>#N/A</v>
      </c>
      <c r="M46" s="33" t="e">
        <f>VLOOKUP(A1,DIV_12Data!$A$1:$DZU$1000000,779,FALSE)</f>
        <v>#N/A</v>
      </c>
      <c r="N46" s="34" t="e">
        <f>VLOOKUP(A1,DIV_12Data!$A$1:$DZU$1000000,780,FALSE)</f>
        <v>#N/A</v>
      </c>
      <c r="O46" s="33" t="e">
        <f>VLOOKUP(A1,DIV_12Data!$A$1:$DZU$1000000,781,FALSE)</f>
        <v>#N/A</v>
      </c>
      <c r="P46" s="46" t="e">
        <f>VLOOKUP(A1,DIV_12Data!$A$1:$DZU$1000000,782,FALSE)</f>
        <v>#N/A</v>
      </c>
      <c r="Q46" s="33" t="e">
        <f>VLOOKUP(A1,DIV_12Data!$A$1:$DZU$1000000,783,FALSE)</f>
        <v>#N/A</v>
      </c>
    </row>
    <row r="47" spans="1:17" x14ac:dyDescent="0.35">
      <c r="A47" s="22" t="e">
        <f>VLOOKUP(A1,DIV_12Data!$A$1:$DZU$1000000,784,FALSE)</f>
        <v>#N/A</v>
      </c>
      <c r="B47" s="37" t="e">
        <f>VLOOKUP(A1,DIV_12Data!$A$1:$DZU$1000000,785,FALSE)</f>
        <v>#N/A</v>
      </c>
      <c r="C47" s="38" t="e">
        <f>VLOOKUP(A1,DIV_12Data!$A$1:$DZU$1000000,786,FALSE)</f>
        <v>#N/A</v>
      </c>
      <c r="D47" s="31" t="e">
        <f>VLOOKUP(A1,DIV_12Data!$A$1:$DZU$1000000,787,FALSE)</f>
        <v>#N/A</v>
      </c>
      <c r="E47" s="32" t="e">
        <f>VLOOKUP(A1,DIV_12Data!$A$1:$DZU$1000000,788,FALSE)</f>
        <v>#N/A</v>
      </c>
      <c r="F47" s="34" t="e">
        <f>VLOOKUP(A1,DIV_12Data!$A$1:$DZU$1000000,789,FALSE)</f>
        <v>#N/A</v>
      </c>
      <c r="G47" s="33" t="e">
        <f>VLOOKUP(A1,DIV_12Data!$A$1:$DZU$1000000,790,FALSE)</f>
        <v>#N/A</v>
      </c>
      <c r="H47" s="34" t="e">
        <f>VLOOKUP(A1,DIV_12Data!$A$1:$DZU$1000000,791,FALSE)</f>
        <v>#N/A</v>
      </c>
      <c r="I47" s="33" t="e">
        <f>VLOOKUP(A1,DIV_12Data!$A$1:$DZU$1000000,792,FALSE)</f>
        <v>#N/A</v>
      </c>
      <c r="J47" s="34" t="e">
        <f>VLOOKUP(A1,DIV_12Data!$A$1:$DZU$1000000,793,FALSE)</f>
        <v>#N/A</v>
      </c>
      <c r="K47" s="34" t="e">
        <f>VLOOKUP(A1,DIV_12Data!$A$1:$DZU$1000000,794,FALSE)</f>
        <v>#N/A</v>
      </c>
      <c r="L47" s="93" t="e">
        <f>VLOOKUP(A1,DIV_12Data!$A$1:$DZU$1000000,795,FALSE)</f>
        <v>#N/A</v>
      </c>
      <c r="M47" s="33" t="e">
        <f>VLOOKUP(A1,DIV_12Data!$A$1:$DZU$1000000,796,FALSE)</f>
        <v>#N/A</v>
      </c>
      <c r="N47" s="34" t="e">
        <f>VLOOKUP(A1,DIV_12Data!$A$1:$DZU$1000000,797,FALSE)</f>
        <v>#N/A</v>
      </c>
      <c r="O47" s="33" t="e">
        <f>VLOOKUP(A1,DIV_12Data!$A$1:$DZU$1000000,798,FALSE)</f>
        <v>#N/A</v>
      </c>
      <c r="P47" s="46" t="e">
        <f>VLOOKUP(A1,DIV_12Data!$A$1:$DZU$1000000,799,FALSE)</f>
        <v>#N/A</v>
      </c>
      <c r="Q47" s="33" t="e">
        <f>VLOOKUP(A1,DIV_12Data!$A$1:$DZU$1000000,800,FALSE)</f>
        <v>#N/A</v>
      </c>
    </row>
    <row r="48" spans="1:17" x14ac:dyDescent="0.35">
      <c r="A48" s="22" t="e">
        <f>VLOOKUP(A1,DIV_12Data!$A$1:$DZU$1000000,801,FALSE)</f>
        <v>#N/A</v>
      </c>
      <c r="B48" s="37" t="e">
        <f>VLOOKUP(A1,DIV_12Data!$A$1:$DZU$1000000,802,FALSE)</f>
        <v>#N/A</v>
      </c>
      <c r="C48" s="38" t="e">
        <f>VLOOKUP(A1,DIV_12Data!$A$1:$DZU$1000000,803,FALSE)</f>
        <v>#N/A</v>
      </c>
      <c r="D48" s="31" t="e">
        <f>VLOOKUP(A1,DIV_12Data!$A$1:$DZU$1000000,804,FALSE)</f>
        <v>#N/A</v>
      </c>
      <c r="E48" s="32" t="e">
        <f>VLOOKUP(A1,DIV_12Data!$A$1:$DZU$1000000,805,FALSE)</f>
        <v>#N/A</v>
      </c>
      <c r="F48" s="34" t="e">
        <f>VLOOKUP(A1,DIV_12Data!$A$1:$DZU$1000000,806,FALSE)</f>
        <v>#N/A</v>
      </c>
      <c r="G48" s="33" t="e">
        <f>VLOOKUP(A1,DIV_12Data!$A$1:$DZU$1000000,807,FALSE)</f>
        <v>#N/A</v>
      </c>
      <c r="H48" s="34" t="e">
        <f>VLOOKUP(A1,DIV_12Data!$A$1:$DZU$1000000,808,FALSE)</f>
        <v>#N/A</v>
      </c>
      <c r="I48" s="33" t="e">
        <f>VLOOKUP(A1,DIV_12Data!$A$1:$DZU$1000000,809,FALSE)</f>
        <v>#N/A</v>
      </c>
      <c r="J48" s="34" t="e">
        <f>VLOOKUP(A1,DIV_12Data!$A$1:$DZU$1000000,810,FALSE)</f>
        <v>#N/A</v>
      </c>
      <c r="K48" s="34" t="e">
        <f>VLOOKUP(A1,DIV_12Data!$A$1:$DZU$1000000,811,FALSE)</f>
        <v>#N/A</v>
      </c>
      <c r="L48" s="93" t="e">
        <f>VLOOKUP(A1,DIV_12Data!$A$1:$DZU$1000000,812,FALSE)</f>
        <v>#N/A</v>
      </c>
      <c r="M48" s="33" t="e">
        <f>VLOOKUP(A1,DIV_12Data!$A$1:$DZU$1000000,813,FALSE)</f>
        <v>#N/A</v>
      </c>
      <c r="N48" s="34" t="e">
        <f>VLOOKUP(A1,DIV_12Data!$A$1:$DZU$1000000,814,FALSE)</f>
        <v>#N/A</v>
      </c>
      <c r="O48" s="33" t="e">
        <f>VLOOKUP(A1,DIV_12Data!$A$1:$DZU$1000000,815,FALSE)</f>
        <v>#N/A</v>
      </c>
      <c r="P48" s="46" t="e">
        <f>VLOOKUP(A1,DIV_12Data!$A$1:$DZU$1000000,816,FALSE)</f>
        <v>#N/A</v>
      </c>
      <c r="Q48" s="33" t="e">
        <f>VLOOKUP(A1,DIV_12Data!$A$1:$DZU$1000000,817,FALSE)</f>
        <v>#N/A</v>
      </c>
    </row>
    <row r="49" spans="1:17" x14ac:dyDescent="0.35">
      <c r="A49" s="22" t="e">
        <f>VLOOKUP(A1,DIV_12Data!$A$1:$DZU$1000000,818,FALSE)</f>
        <v>#N/A</v>
      </c>
      <c r="B49" s="37" t="e">
        <f>VLOOKUP(A1,DIV_12Data!$A$1:$DZU$1000000,819,FALSE)</f>
        <v>#N/A</v>
      </c>
      <c r="C49" s="38" t="e">
        <f>VLOOKUP(A1,DIV_12Data!$A$1:$DZU$1000000,820,FALSE)</f>
        <v>#N/A</v>
      </c>
      <c r="D49" s="31" t="e">
        <f>VLOOKUP(A1,DIV_12Data!$A$1:$DZU$1000000,821,FALSE)</f>
        <v>#N/A</v>
      </c>
      <c r="E49" s="32" t="e">
        <f>VLOOKUP(A1,DIV_12Data!$A$1:$DZU$1000000,822,FALSE)</f>
        <v>#N/A</v>
      </c>
      <c r="F49" s="34" t="e">
        <f>VLOOKUP(A1,DIV_12Data!$A$1:$DZU$1000000,823,FALSE)</f>
        <v>#N/A</v>
      </c>
      <c r="G49" s="33" t="e">
        <f>VLOOKUP(A1,DIV_12Data!$A$1:$DZU$1000000,824,FALSE)</f>
        <v>#N/A</v>
      </c>
      <c r="H49" s="34" t="e">
        <f>VLOOKUP(A1,DIV_12Data!$A$1:$DZU$1000000,825,FALSE)</f>
        <v>#N/A</v>
      </c>
      <c r="I49" s="33" t="e">
        <f>VLOOKUP(A1,DIV_12Data!$A$1:$DZU$1000000,826,FALSE)</f>
        <v>#N/A</v>
      </c>
      <c r="J49" s="34" t="e">
        <f>VLOOKUP(A1,DIV_12Data!$A$1:$DZU$1000000,827,FALSE)</f>
        <v>#N/A</v>
      </c>
      <c r="K49" s="34" t="e">
        <f>VLOOKUP(A1,DIV_12Data!$A$1:$DZU$1000000,828,FALSE)</f>
        <v>#N/A</v>
      </c>
      <c r="L49" s="93" t="e">
        <f>VLOOKUP(A1,DIV_12Data!$A$1:$DZU$1000000,829,FALSE)</f>
        <v>#N/A</v>
      </c>
      <c r="M49" s="33" t="e">
        <f>VLOOKUP(A1,DIV_12Data!$A$1:$DZU$1000000,830,FALSE)</f>
        <v>#N/A</v>
      </c>
      <c r="N49" s="34" t="e">
        <f>VLOOKUP(A1,DIV_12Data!$A$1:$DZU$1000000,831,FALSE)</f>
        <v>#N/A</v>
      </c>
      <c r="O49" s="33" t="e">
        <f>VLOOKUP(A1,DIV_12Data!$A$1:$DZU$1000000,832,FALSE)</f>
        <v>#N/A</v>
      </c>
      <c r="P49" s="46" t="e">
        <f>VLOOKUP(A1,DIV_12Data!$A$1:$DZU$1000000,833,FALSE)</f>
        <v>#N/A</v>
      </c>
      <c r="Q49" s="33" t="e">
        <f>VLOOKUP(A1,DIV_12Data!$A$1:$DZU$1000000,834,FALSE)</f>
        <v>#N/A</v>
      </c>
    </row>
    <row r="50" spans="1:17" x14ac:dyDescent="0.35">
      <c r="A50" s="22" t="e">
        <f>VLOOKUP(A1,DIV_12Data!$A$1:$DZU$1000000,835,FALSE)</f>
        <v>#N/A</v>
      </c>
      <c r="B50" s="37" t="e">
        <f>VLOOKUP(A1,DIV_12Data!$A$1:$DZU$1000000,836,FALSE)</f>
        <v>#N/A</v>
      </c>
      <c r="C50" s="38" t="e">
        <f>VLOOKUP(A1,DIV_12Data!$A$1:$DZU$1000000,837,FALSE)</f>
        <v>#N/A</v>
      </c>
      <c r="D50" s="31" t="e">
        <f>VLOOKUP(A1,DIV_12Data!$A$1:$DZU$1000000,838,FALSE)</f>
        <v>#N/A</v>
      </c>
      <c r="E50" s="32" t="e">
        <f>VLOOKUP(A1,DIV_12Data!$A$1:$DZU$1000000,839,FALSE)</f>
        <v>#N/A</v>
      </c>
      <c r="F50" s="34" t="e">
        <f>VLOOKUP(A1,DIV_12Data!$A$1:$DZU$1000000,840,FALSE)</f>
        <v>#N/A</v>
      </c>
      <c r="G50" s="33" t="e">
        <f>VLOOKUP(A1,DIV_12Data!$A$1:$DZU$1000000,841,FALSE)</f>
        <v>#N/A</v>
      </c>
      <c r="H50" s="34" t="e">
        <f>VLOOKUP(A1,DIV_12Data!$A$1:$DZU$1000000,842,FALSE)</f>
        <v>#N/A</v>
      </c>
      <c r="I50" s="33" t="e">
        <f>VLOOKUP(A1,DIV_12Data!$A$1:$DZU$1000000,843,FALSE)</f>
        <v>#N/A</v>
      </c>
      <c r="J50" s="34" t="e">
        <f>VLOOKUP(A1,DIV_12Data!$A$1:$DZU$1000000,844,FALSE)</f>
        <v>#N/A</v>
      </c>
      <c r="K50" s="34" t="e">
        <f>VLOOKUP(A1,DIV_12Data!$A$1:$DZU$1000000,845,FALSE)</f>
        <v>#N/A</v>
      </c>
      <c r="L50" s="93" t="e">
        <f>VLOOKUP(A1,DIV_12Data!$A$1:$DZU$1000000,846,FALSE)</f>
        <v>#N/A</v>
      </c>
      <c r="M50" s="33" t="e">
        <f>VLOOKUP(A1,DIV_12Data!$A$1:$DZU$1000000,847,FALSE)</f>
        <v>#N/A</v>
      </c>
      <c r="N50" s="34" t="e">
        <f>VLOOKUP(A1,DIV_12Data!$A$1:$DZU$1000000,848,FALSE)</f>
        <v>#N/A</v>
      </c>
      <c r="O50" s="33" t="e">
        <f>VLOOKUP(A1,DIV_12Data!$A$1:$DZU$1000000,849,FALSE)</f>
        <v>#N/A</v>
      </c>
      <c r="P50" s="46" t="e">
        <f>VLOOKUP(A1,DIV_12Data!$A$1:$DZU$1000000,850,FALSE)</f>
        <v>#N/A</v>
      </c>
      <c r="Q50" s="33" t="e">
        <f>VLOOKUP(A1,DIV_12Data!$A$1:$DZU$1000000,851,FALSE)</f>
        <v>#N/A</v>
      </c>
    </row>
    <row r="51" spans="1:17" x14ac:dyDescent="0.35">
      <c r="A51" s="22" t="e">
        <f>VLOOKUP(A1,DIV_12Data!$A$1:$DZU$1000000,852,FALSE)</f>
        <v>#N/A</v>
      </c>
      <c r="B51" s="37" t="e">
        <f>VLOOKUP(A1,DIV_12Data!$A$1:$DZU$1000000,853,FALSE)</f>
        <v>#N/A</v>
      </c>
      <c r="C51" s="38" t="e">
        <f>VLOOKUP(A1,DIV_12Data!$A$1:$DZU$1000000,854,FALSE)</f>
        <v>#N/A</v>
      </c>
      <c r="D51" s="31" t="e">
        <f>VLOOKUP(A1,DIV_12Data!$A$1:$DZU$1000000,855,FALSE)</f>
        <v>#N/A</v>
      </c>
      <c r="E51" s="32" t="e">
        <f>VLOOKUP(A1,DIV_12Data!$A$1:$DZU$1000000,856,FALSE)</f>
        <v>#N/A</v>
      </c>
      <c r="F51" s="34" t="e">
        <f>VLOOKUP(A1,DIV_12Data!$A$1:$DZU$1000000,857,FALSE)</f>
        <v>#N/A</v>
      </c>
      <c r="G51" s="33" t="e">
        <f>VLOOKUP(A1,DIV_12Data!$A$1:$DZU$1000000,858,FALSE)</f>
        <v>#N/A</v>
      </c>
      <c r="H51" s="34" t="e">
        <f>VLOOKUP(A1,DIV_12Data!$A$1:$DZU$1000000,859,FALSE)</f>
        <v>#N/A</v>
      </c>
      <c r="I51" s="33" t="e">
        <f>VLOOKUP(A1,DIV_12Data!$A$1:$DZU$1000000,860,FALSE)</f>
        <v>#N/A</v>
      </c>
      <c r="J51" s="34" t="e">
        <f>VLOOKUP(A1,DIV_12Data!$A$1:$DZU$1000000,861,FALSE)</f>
        <v>#N/A</v>
      </c>
      <c r="K51" s="34" t="e">
        <f>VLOOKUP(A1,DIV_12Data!$A$1:$DZU$1000000,862,FALSE)</f>
        <v>#N/A</v>
      </c>
      <c r="L51" s="93" t="e">
        <f>VLOOKUP(A1,DIV_12Data!$A$1:$DZU$1000000,863,FALSE)</f>
        <v>#N/A</v>
      </c>
      <c r="M51" s="33" t="e">
        <f>VLOOKUP(A1,DIV_12Data!$A$1:$DZU$1000000,864,FALSE)</f>
        <v>#N/A</v>
      </c>
      <c r="N51" s="34" t="e">
        <f>VLOOKUP(A1,DIV_12Data!$A$1:$DZU$1000000,865,FALSE)</f>
        <v>#N/A</v>
      </c>
      <c r="O51" s="33" t="e">
        <f>VLOOKUP(A1,DIV_12Data!$A$1:$DZU$1000000,866,FALSE)</f>
        <v>#N/A</v>
      </c>
      <c r="P51" s="46" t="e">
        <f>VLOOKUP(A1,DIV_12Data!$A$1:$DZU$1000000,867,FALSE)</f>
        <v>#N/A</v>
      </c>
      <c r="Q51" s="33" t="e">
        <f>VLOOKUP(A1,DIV_12Data!$A$1:$DZU$1000000,868,FALSE)</f>
        <v>#N/A</v>
      </c>
    </row>
    <row r="52" spans="1:17" x14ac:dyDescent="0.35">
      <c r="A52" s="22" t="e">
        <f>VLOOKUP(A1,DIV_12Data!$A$1:$DZU$1000000,869,FALSE)</f>
        <v>#N/A</v>
      </c>
      <c r="B52" s="37" t="e">
        <f>VLOOKUP(A1,DIV_12Data!$A$1:$DZU$1000000,870,FALSE)</f>
        <v>#N/A</v>
      </c>
      <c r="C52" s="38" t="e">
        <f>VLOOKUP(A1,DIV_12Data!$A$1:$DZU$1000000,871,FALSE)</f>
        <v>#N/A</v>
      </c>
      <c r="D52" s="31" t="e">
        <f>VLOOKUP(A1,DIV_12Data!$A$1:$DZU$1000000,872,FALSE)</f>
        <v>#N/A</v>
      </c>
      <c r="E52" s="32" t="e">
        <f>VLOOKUP(A1,DIV_12Data!$A$1:$DZU$1000000,873,FALSE)</f>
        <v>#N/A</v>
      </c>
      <c r="F52" s="34" t="e">
        <f>VLOOKUP(A1,DIV_12Data!$A$1:$DZU$1000000,874,FALSE)</f>
        <v>#N/A</v>
      </c>
      <c r="G52" s="33" t="e">
        <f>VLOOKUP(A1,DIV_12Data!$A$1:$DZU$1000000,875,FALSE)</f>
        <v>#N/A</v>
      </c>
      <c r="H52" s="34" t="e">
        <f>VLOOKUP(A1,DIV_12Data!$A$1:$DZU$1000000,876,FALSE)</f>
        <v>#N/A</v>
      </c>
      <c r="I52" s="33" t="e">
        <f>VLOOKUP(A1,DIV_12Data!$A$1:$DZU$1000000,877,FALSE)</f>
        <v>#N/A</v>
      </c>
      <c r="J52" s="34" t="e">
        <f>VLOOKUP(A1,DIV_12Data!$A$1:$DZU$1000000,878,FALSE)</f>
        <v>#N/A</v>
      </c>
      <c r="K52" s="34" t="e">
        <f>VLOOKUP(A1,DIV_12Data!$A$1:$DZU$1000000,879,FALSE)</f>
        <v>#N/A</v>
      </c>
      <c r="L52" s="93" t="e">
        <f>VLOOKUP(A1,DIV_12Data!$A$1:$DZU$1000000,880,FALSE)</f>
        <v>#N/A</v>
      </c>
      <c r="M52" s="33" t="e">
        <f>VLOOKUP(A1,DIV_12Data!$A$1:$DZU$1000000,881,FALSE)</f>
        <v>#N/A</v>
      </c>
      <c r="N52" s="34" t="e">
        <f>VLOOKUP(A1,DIV_12Data!$A$1:$DZU$1000000,882,FALSE)</f>
        <v>#N/A</v>
      </c>
      <c r="O52" s="33" t="e">
        <f>VLOOKUP(A1,DIV_12Data!$A$1:$DZU$1000000,883,FALSE)</f>
        <v>#N/A</v>
      </c>
      <c r="P52" s="46" t="e">
        <f>VLOOKUP(A1,DIV_12Data!$A$1:$DZU$1000000,884,FALSE)</f>
        <v>#N/A</v>
      </c>
      <c r="Q52" s="33" t="e">
        <f>VLOOKUP(A1,DIV_12Data!$A$1:$DZU$1000000,885,FALSE)</f>
        <v>#N/A</v>
      </c>
    </row>
    <row r="53" spans="1:17" x14ac:dyDescent="0.35">
      <c r="A53" s="22" t="e">
        <f>VLOOKUP(A1,DIV_12Data!$A$1:$DZU$1000000,886,FALSE)</f>
        <v>#N/A</v>
      </c>
      <c r="B53" s="37" t="e">
        <f>VLOOKUP(A1,DIV_12Data!$A$1:$DZU$1000000,887,FALSE)</f>
        <v>#N/A</v>
      </c>
      <c r="C53" s="38" t="e">
        <f>VLOOKUP(A1,DIV_12Data!$A$1:$DZU$1000000,888,FALSE)</f>
        <v>#N/A</v>
      </c>
      <c r="D53" s="31" t="e">
        <f>VLOOKUP(A1,DIV_12Data!$A$1:$DZU$1000000,889,FALSE)</f>
        <v>#N/A</v>
      </c>
      <c r="E53" s="32" t="e">
        <f>VLOOKUP(A1,DIV_12Data!$A$1:$DZU$1000000,890,FALSE)</f>
        <v>#N/A</v>
      </c>
      <c r="F53" s="34" t="e">
        <f>VLOOKUP(A1,DIV_12Data!$A$1:$DZU$1000000,891,FALSE)</f>
        <v>#N/A</v>
      </c>
      <c r="G53" s="33" t="e">
        <f>VLOOKUP(A1,DIV_12Data!$A$1:$DZU$1000000,892,FALSE)</f>
        <v>#N/A</v>
      </c>
      <c r="H53" s="34" t="e">
        <f>VLOOKUP(A1,DIV_12Data!$A$1:$DZU$1000000,893,FALSE)</f>
        <v>#N/A</v>
      </c>
      <c r="I53" s="33" t="e">
        <f>VLOOKUP(A1,DIV_12Data!$A$1:$DZU$1000000,894,FALSE)</f>
        <v>#N/A</v>
      </c>
      <c r="J53" s="34" t="e">
        <f>VLOOKUP(A1,DIV_12Data!$A$1:$DZU$1000000,895,FALSE)</f>
        <v>#N/A</v>
      </c>
      <c r="K53" s="34" t="e">
        <f>VLOOKUP(A1,DIV_12Data!$A$1:$DZU$1000000,896,FALSE)</f>
        <v>#N/A</v>
      </c>
      <c r="L53" s="93" t="e">
        <f>VLOOKUP(A1,DIV_12Data!$A$1:$DZU$1000000,897,FALSE)</f>
        <v>#N/A</v>
      </c>
      <c r="M53" s="33" t="e">
        <f>VLOOKUP(A1,DIV_12Data!$A$1:$DZU$1000000,898,FALSE)</f>
        <v>#N/A</v>
      </c>
      <c r="N53" s="34" t="e">
        <f>VLOOKUP(A1,DIV_12Data!$A$1:$DZU$1000000,899,FALSE)</f>
        <v>#N/A</v>
      </c>
      <c r="O53" s="33" t="e">
        <f>VLOOKUP(A1,DIV_12Data!$A$1:$DZU$1000000,900,FALSE)</f>
        <v>#N/A</v>
      </c>
      <c r="P53" s="46" t="e">
        <f>VLOOKUP(A1,DIV_12Data!$A$1:$DZU$1000000,901,FALSE)</f>
        <v>#N/A</v>
      </c>
      <c r="Q53" s="33" t="e">
        <f>VLOOKUP(A1,DIV_12Data!$A$1:$DZU$1000000,902,FALSE)</f>
        <v>#N/A</v>
      </c>
    </row>
    <row r="54" spans="1:17" x14ac:dyDescent="0.35">
      <c r="A54" s="22" t="e">
        <f>VLOOKUP(A1,DIV_12Data!$A$1:$DZU$1000000,903,FALSE)</f>
        <v>#N/A</v>
      </c>
      <c r="B54" s="37" t="e">
        <f>VLOOKUP(A1,DIV_12Data!$A$1:$DZU$1000000,904,FALSE)</f>
        <v>#N/A</v>
      </c>
      <c r="C54" s="38" t="e">
        <f>VLOOKUP(A1,DIV_12Data!$A$1:$DZU$1000000,905,FALSE)</f>
        <v>#N/A</v>
      </c>
      <c r="D54" s="31" t="e">
        <f>VLOOKUP(A1,DIV_12Data!$A$1:$DZU$1000000,906,FALSE)</f>
        <v>#N/A</v>
      </c>
      <c r="E54" s="32" t="e">
        <f>VLOOKUP(A1,DIV_12Data!$A$1:$DZU$1000000,907,FALSE)</f>
        <v>#N/A</v>
      </c>
      <c r="F54" s="34" t="e">
        <f>VLOOKUP(A1,DIV_12Data!$A$1:$DZU$1000000,908,FALSE)</f>
        <v>#N/A</v>
      </c>
      <c r="G54" s="33" t="e">
        <f>VLOOKUP(A1,DIV_12Data!$A$1:$DZU$1000000,909,FALSE)</f>
        <v>#N/A</v>
      </c>
      <c r="H54" s="34" t="e">
        <f>VLOOKUP(A1,DIV_12Data!$A$1:$DZU$1000000,910,FALSE)</f>
        <v>#N/A</v>
      </c>
      <c r="I54" s="33" t="e">
        <f>VLOOKUP(A1,DIV_12Data!$A$1:$DZU$1000000,911,FALSE)</f>
        <v>#N/A</v>
      </c>
      <c r="J54" s="34" t="e">
        <f>VLOOKUP(A1,DIV_12Data!$A$1:$DZU$1000000,912,FALSE)</f>
        <v>#N/A</v>
      </c>
      <c r="K54" s="34" t="e">
        <f>VLOOKUP(A1,DIV_12Data!$A$1:$DZU$1000000,913,FALSE)</f>
        <v>#N/A</v>
      </c>
      <c r="L54" s="93" t="e">
        <f>VLOOKUP(A1,DIV_12Data!$A$1:$DZU$1000000,914,FALSE)</f>
        <v>#N/A</v>
      </c>
      <c r="M54" s="33" t="e">
        <f>VLOOKUP(A1,DIV_12Data!$A$1:$DZU$1000000,915,FALSE)</f>
        <v>#N/A</v>
      </c>
      <c r="N54" s="34" t="e">
        <f>VLOOKUP(A1,DIV_12Data!$A$1:$DZU$1000000,916,FALSE)</f>
        <v>#N/A</v>
      </c>
      <c r="O54" s="33" t="e">
        <f>VLOOKUP(A1,DIV_12Data!$A$1:$DZU$1000000,917,FALSE)</f>
        <v>#N/A</v>
      </c>
      <c r="P54" s="46" t="e">
        <f>VLOOKUP(A1,DIV_12Data!$A$1:$DZU$1000000,918,FALSE)</f>
        <v>#N/A</v>
      </c>
      <c r="Q54" s="33" t="e">
        <f>VLOOKUP(A1,DIV_12Data!$A$1:$DZU$1000000,919,FALSE)</f>
        <v>#N/A</v>
      </c>
    </row>
    <row r="55" spans="1:17" x14ac:dyDescent="0.35">
      <c r="A55" s="22" t="e">
        <f>VLOOKUP(A1,DIV_12Data!$A$1:$DZU$1000000,920,FALSE)</f>
        <v>#N/A</v>
      </c>
      <c r="B55" s="37" t="e">
        <f>VLOOKUP(A1,DIV_12Data!$A$1:$DZU$1000000,921,FALSE)</f>
        <v>#N/A</v>
      </c>
      <c r="C55" s="38" t="e">
        <f>VLOOKUP(A1,DIV_12Data!$A$1:$DZU$1000000,922,FALSE)</f>
        <v>#N/A</v>
      </c>
      <c r="D55" s="31" t="e">
        <f>VLOOKUP(A1,DIV_12Data!$A$1:$DZU$1000000,923,FALSE)</f>
        <v>#N/A</v>
      </c>
      <c r="E55" s="32" t="e">
        <f>VLOOKUP(A1,DIV_12Data!$A$1:$DZU$1000000,924,FALSE)</f>
        <v>#N/A</v>
      </c>
      <c r="F55" s="34" t="e">
        <f>VLOOKUP(A1,DIV_12Data!$A$1:$DZU$1000000,925,FALSE)</f>
        <v>#N/A</v>
      </c>
      <c r="G55" s="33" t="e">
        <f>VLOOKUP(A1,DIV_12Data!$A$1:$DZU$1000000,926,FALSE)</f>
        <v>#N/A</v>
      </c>
      <c r="H55" s="34" t="e">
        <f>VLOOKUP(A1,DIV_12Data!$A$1:$DZU$1000000,927,FALSE)</f>
        <v>#N/A</v>
      </c>
      <c r="I55" s="33" t="e">
        <f>VLOOKUP(A1,DIV_12Data!$A$1:$DZU$1000000,928,FALSE)</f>
        <v>#N/A</v>
      </c>
      <c r="J55" s="34" t="e">
        <f>VLOOKUP(A1,DIV_12Data!$A$1:$DZU$1000000,929,FALSE)</f>
        <v>#N/A</v>
      </c>
      <c r="K55" s="34" t="e">
        <f>VLOOKUP(A1,DIV_12Data!$A$1:$DZU$1000000,930,FALSE)</f>
        <v>#N/A</v>
      </c>
      <c r="L55" s="93" t="e">
        <f>VLOOKUP(A1,DIV_12Data!$A$1:$DZU$1000000,931,FALSE)</f>
        <v>#N/A</v>
      </c>
      <c r="M55" s="33" t="e">
        <f>VLOOKUP(A1,DIV_12Data!$A$1:$DZU$1000000,932,FALSE)</f>
        <v>#N/A</v>
      </c>
      <c r="N55" s="34" t="e">
        <f>VLOOKUP(A1,DIV_12Data!$A$1:$DZU$1000000,933,FALSE)</f>
        <v>#N/A</v>
      </c>
      <c r="O55" s="33" t="e">
        <f>VLOOKUP(A1,DIV_12Data!$A$1:$DZU$1000000,934,FALSE)</f>
        <v>#N/A</v>
      </c>
      <c r="P55" s="46" t="e">
        <f>VLOOKUP(A1,DIV_12Data!$A$1:$DZU$1000000,935,FALSE)</f>
        <v>#N/A</v>
      </c>
      <c r="Q55" s="33" t="e">
        <f>VLOOKUP(A1,DIV_12Data!$A$1:$DZU$1000000,936,FALSE)</f>
        <v>#N/A</v>
      </c>
    </row>
    <row r="56" spans="1:17" x14ac:dyDescent="0.35">
      <c r="A56" s="22" t="e">
        <f>VLOOKUP(A1,DIV_12Data!$A$1:$DZU$1000000,937,FALSE)</f>
        <v>#N/A</v>
      </c>
      <c r="B56" s="37" t="e">
        <f>VLOOKUP(A1,DIV_12Data!$A$1:$DZU$1000000,938,FALSE)</f>
        <v>#N/A</v>
      </c>
      <c r="C56" s="38" t="e">
        <f>VLOOKUP(A1,DIV_12Data!$A$1:$DZU$1000000,939,FALSE)</f>
        <v>#N/A</v>
      </c>
      <c r="D56" s="31" t="e">
        <f>VLOOKUP(A1,DIV_12Data!$A$1:$DZU$1000000,940,FALSE)</f>
        <v>#N/A</v>
      </c>
      <c r="E56" s="32" t="e">
        <f>VLOOKUP(A1,DIV_12Data!$A$1:$DZU$1000000,941,FALSE)</f>
        <v>#N/A</v>
      </c>
      <c r="F56" s="34" t="e">
        <f>VLOOKUP(A1,DIV_12Data!$A$1:$DZU$1000000,942,FALSE)</f>
        <v>#N/A</v>
      </c>
      <c r="G56" s="33" t="e">
        <f>VLOOKUP(A1,DIV_12Data!$A$1:$DZU$1000000,943,FALSE)</f>
        <v>#N/A</v>
      </c>
      <c r="H56" s="34" t="e">
        <f>VLOOKUP(A1,DIV_12Data!$A$1:$DZU$1000000,944,FALSE)</f>
        <v>#N/A</v>
      </c>
      <c r="I56" s="33" t="e">
        <f>VLOOKUP(A1,DIV_12Data!$A$1:$DZU$1000000,945,FALSE)</f>
        <v>#N/A</v>
      </c>
      <c r="J56" s="34" t="e">
        <f>VLOOKUP(A1,DIV_12Data!$A$1:$DZU$1000000,946,FALSE)</f>
        <v>#N/A</v>
      </c>
      <c r="K56" s="34" t="e">
        <f>VLOOKUP(A1,DIV_12Data!$A$1:$DZU$1000000,947,FALSE)</f>
        <v>#N/A</v>
      </c>
      <c r="L56" s="93" t="e">
        <f>VLOOKUP(A1,DIV_12Data!$A$1:$DZU$1000000,948,FALSE)</f>
        <v>#N/A</v>
      </c>
      <c r="M56" s="33" t="e">
        <f>VLOOKUP(A1,DIV_12Data!$A$1:$DZU$1000000,949,FALSE)</f>
        <v>#N/A</v>
      </c>
      <c r="N56" s="34" t="e">
        <f>VLOOKUP(A1,DIV_12Data!$A$1:$DZU$1000000,950,FALSE)</f>
        <v>#N/A</v>
      </c>
      <c r="O56" s="33" t="e">
        <f>VLOOKUP(A1,DIV_12Data!$A$1:$DZU$1000000,951,FALSE)</f>
        <v>#N/A</v>
      </c>
      <c r="P56" s="46" t="e">
        <f>VLOOKUP(A1,DIV_12Data!$A$1:$DZU$1000000,952,FALSE)</f>
        <v>#N/A</v>
      </c>
      <c r="Q56" s="33" t="e">
        <f>VLOOKUP(A1,DIV_12Data!$A$1:$DZU$1000000,953,FALSE)</f>
        <v>#N/A</v>
      </c>
    </row>
    <row r="57" spans="1:17" x14ac:dyDescent="0.35">
      <c r="A57" s="22" t="e">
        <f>VLOOKUP(A1,DIV_12Data!$A$1:$DZU$1000000,954,FALSE)</f>
        <v>#N/A</v>
      </c>
      <c r="B57" s="37" t="e">
        <f>VLOOKUP(A1,DIV_12Data!$A$1:$DZU$1000000,955,FALSE)</f>
        <v>#N/A</v>
      </c>
      <c r="C57" s="38" t="e">
        <f>VLOOKUP(A1,DIV_12Data!$A$1:$DZU$1000000,956,FALSE)</f>
        <v>#N/A</v>
      </c>
      <c r="D57" s="31" t="e">
        <f>VLOOKUP(A1,DIV_12Data!$A$1:$DZU$1000000,957,FALSE)</f>
        <v>#N/A</v>
      </c>
      <c r="E57" s="32" t="e">
        <f>VLOOKUP(A1,DIV_12Data!$A$1:$DZU$1000000,958,FALSE)</f>
        <v>#N/A</v>
      </c>
      <c r="F57" s="34" t="e">
        <f>VLOOKUP(A1,DIV_12Data!$A$1:$DZU$1000000,959,FALSE)</f>
        <v>#N/A</v>
      </c>
      <c r="G57" s="33" t="e">
        <f>VLOOKUP(A1,DIV_12Data!$A$1:$DZU$1000000,960,FALSE)</f>
        <v>#N/A</v>
      </c>
      <c r="H57" s="34" t="e">
        <f>VLOOKUP(A1,DIV_12Data!$A$1:$DZU$1000000,961,FALSE)</f>
        <v>#N/A</v>
      </c>
      <c r="I57" s="33" t="e">
        <f>VLOOKUP(A1,DIV_12Data!$A$1:$DZU$1000000,962,FALSE)</f>
        <v>#N/A</v>
      </c>
      <c r="J57" s="34" t="e">
        <f>VLOOKUP(A1,DIV_12Data!$A$1:$DZU$1000000,963,FALSE)</f>
        <v>#N/A</v>
      </c>
      <c r="K57" s="34" t="e">
        <f>VLOOKUP(A1,DIV_12Data!$A$1:$DZU$1000000,964,FALSE)</f>
        <v>#N/A</v>
      </c>
      <c r="L57" s="93" t="e">
        <f>VLOOKUP(A1,DIV_12Data!$A$1:$DZU$1000000,965,FALSE)</f>
        <v>#N/A</v>
      </c>
      <c r="M57" s="33" t="e">
        <f>VLOOKUP(A1,DIV_12Data!$A$1:$DZU$1000000,966,FALSE)</f>
        <v>#N/A</v>
      </c>
      <c r="N57" s="34" t="e">
        <f>VLOOKUP(A1,DIV_12Data!$A$1:$DZU$1000000,967,FALSE)</f>
        <v>#N/A</v>
      </c>
      <c r="O57" s="33" t="e">
        <f>VLOOKUP(A1,DIV_12Data!$A$1:$DZU$1000000,968,FALSE)</f>
        <v>#N/A</v>
      </c>
      <c r="P57" s="46" t="e">
        <f>VLOOKUP(A1,DIV_12Data!$A$1:$DZU$1000000,969,FALSE)</f>
        <v>#N/A</v>
      </c>
      <c r="Q57" s="33" t="e">
        <f>VLOOKUP(A1,DIV_12Data!$A$1:$DZU$1000000,970,FALSE)</f>
        <v>#N/A</v>
      </c>
    </row>
    <row r="58" spans="1:17" x14ac:dyDescent="0.35">
      <c r="A58" s="22" t="e">
        <f>VLOOKUP(A1,DIV_12Data!$A$1:$DZU$1000000,971,FALSE)</f>
        <v>#N/A</v>
      </c>
      <c r="B58" s="37" t="e">
        <f>VLOOKUP(A1,DIV_12Data!$A$1:$DZU$1000000,972,FALSE)</f>
        <v>#N/A</v>
      </c>
      <c r="C58" s="38" t="e">
        <f>VLOOKUP(A1,DIV_12Data!$A$1:$DZU$1000000,973,FALSE)</f>
        <v>#N/A</v>
      </c>
      <c r="D58" s="31" t="e">
        <f>VLOOKUP(A1,DIV_12Data!$A$1:$DZU$1000000,974,FALSE)</f>
        <v>#N/A</v>
      </c>
      <c r="E58" s="32" t="e">
        <f>VLOOKUP(A1,DIV_12Data!$A$1:$DZU$1000000,975,FALSE)</f>
        <v>#N/A</v>
      </c>
      <c r="F58" s="34" t="e">
        <f>VLOOKUP(A1,DIV_12Data!$A$1:$DZU$1000000,976,FALSE)</f>
        <v>#N/A</v>
      </c>
      <c r="G58" s="33" t="e">
        <f>VLOOKUP(A1,DIV_12Data!$A$1:$DZU$1000000,977,FALSE)</f>
        <v>#N/A</v>
      </c>
      <c r="H58" s="34" t="e">
        <f>VLOOKUP(A1,DIV_12Data!$A$1:$DZU$1000000,978,FALSE)</f>
        <v>#N/A</v>
      </c>
      <c r="I58" s="33" t="e">
        <f>VLOOKUP(A1,DIV_12Data!$A$1:$DZU$1000000,979,FALSE)</f>
        <v>#N/A</v>
      </c>
      <c r="J58" s="34" t="e">
        <f>VLOOKUP(A1,DIV_12Data!$A$1:$DZU$1000000,980,FALSE)</f>
        <v>#N/A</v>
      </c>
      <c r="K58" s="34" t="e">
        <f>VLOOKUP(A1,DIV_12Data!$A$1:$DZU$1000000,981,FALSE)</f>
        <v>#N/A</v>
      </c>
      <c r="L58" s="93" t="e">
        <f>VLOOKUP(A1,DIV_12Data!$A$1:$DZU$1000000,982,FALSE)</f>
        <v>#N/A</v>
      </c>
      <c r="M58" s="33" t="e">
        <f>VLOOKUP(A1,DIV_12Data!$A$1:$DZU$1000000,983,FALSE)</f>
        <v>#N/A</v>
      </c>
      <c r="N58" s="34" t="e">
        <f>VLOOKUP(A1,DIV_12Data!$A$1:$DZU$1000000,984,FALSE)</f>
        <v>#N/A</v>
      </c>
      <c r="O58" s="33" t="e">
        <f>VLOOKUP(A1,DIV_12Data!$A$1:$DZU$1000000,985,FALSE)</f>
        <v>#N/A</v>
      </c>
      <c r="P58" s="46" t="e">
        <f>VLOOKUP(A1,DIV_12Data!$A$1:$DZU$1000000,986,FALSE)</f>
        <v>#N/A</v>
      </c>
      <c r="Q58" s="33" t="e">
        <f>VLOOKUP(A1,DIV_12Data!$A$1:$DZU$1000000,987,FALSE)</f>
        <v>#N/A</v>
      </c>
    </row>
    <row r="59" spans="1:17" x14ac:dyDescent="0.35">
      <c r="A59" s="22" t="e">
        <f>VLOOKUP(A1,DIV_12Data!$A$1:$DZU$1000000,988,FALSE)</f>
        <v>#N/A</v>
      </c>
      <c r="B59" s="37" t="e">
        <f>VLOOKUP(A1,DIV_12Data!$A$1:$DZU$1000000,989,FALSE)</f>
        <v>#N/A</v>
      </c>
      <c r="C59" s="38" t="e">
        <f>VLOOKUP(A1,DIV_12Data!$A$1:$DZU$1000000,990,FALSE)</f>
        <v>#N/A</v>
      </c>
      <c r="D59" s="31" t="e">
        <f>VLOOKUP(A1,DIV_12Data!$A$1:$DZU$1000000,991,FALSE)</f>
        <v>#N/A</v>
      </c>
      <c r="E59" s="32" t="e">
        <f>VLOOKUP(A1,DIV_12Data!$A$1:$DZU$1000000,992,FALSE)</f>
        <v>#N/A</v>
      </c>
      <c r="F59" s="34" t="e">
        <f>VLOOKUP(A1,DIV_12Data!$A$1:$DZU$1000000,993,FALSE)</f>
        <v>#N/A</v>
      </c>
      <c r="G59" s="33" t="e">
        <f>VLOOKUP(A1,DIV_12Data!$A$1:$DZU$1000000,994,FALSE)</f>
        <v>#N/A</v>
      </c>
      <c r="H59" s="34" t="e">
        <f>VLOOKUP(A1,DIV_12Data!$A$1:$DZU$1000000,995,FALSE)</f>
        <v>#N/A</v>
      </c>
      <c r="I59" s="33" t="e">
        <f>VLOOKUP(A1,DIV_12Data!$A$1:$DZU$1000000,996,FALSE)</f>
        <v>#N/A</v>
      </c>
      <c r="J59" s="34" t="e">
        <f>VLOOKUP(A1,DIV_12Data!$A$1:$DZU$1000000,997,FALSE)</f>
        <v>#N/A</v>
      </c>
      <c r="K59" s="34" t="e">
        <f>VLOOKUP(A1,DIV_12Data!$A$1:$DZU$1000000,998,FALSE)</f>
        <v>#N/A</v>
      </c>
      <c r="L59" s="93" t="e">
        <f>VLOOKUP(A1,DIV_12Data!$A$1:$DZU$1000000,999,FALSE)</f>
        <v>#N/A</v>
      </c>
      <c r="M59" s="33" t="e">
        <f>VLOOKUP(A1,DIV_12Data!$A$1:$DZU$1000000,1000,FALSE)</f>
        <v>#N/A</v>
      </c>
      <c r="N59" s="34" t="e">
        <f>VLOOKUP(A1,DIV_12Data!$A$1:$DZU$1000000,1001,FALSE)</f>
        <v>#N/A</v>
      </c>
      <c r="O59" s="33" t="e">
        <f>VLOOKUP(A1,DIV_12Data!$A$1:$DZU$1000000,1002,FALSE)</f>
        <v>#N/A</v>
      </c>
      <c r="P59" s="46" t="e">
        <f>VLOOKUP(A1,DIV_12Data!$A$1:$DZU$1000000,1003,FALSE)</f>
        <v>#N/A</v>
      </c>
      <c r="Q59" s="33" t="e">
        <f>VLOOKUP(A1,DIV_12Data!$A$1:$DZU$1000000,1004,FALSE)</f>
        <v>#N/A</v>
      </c>
    </row>
    <row r="60" spans="1:17" x14ac:dyDescent="0.35">
      <c r="A60" s="22" t="e">
        <f>VLOOKUP(A1,DIV_12Data!$A$1:$DZU$1000000,1005,FALSE)</f>
        <v>#N/A</v>
      </c>
      <c r="B60" s="37" t="e">
        <f>VLOOKUP(A1,DIV_12Data!$A$1:$DZU$1000000,1006,FALSE)</f>
        <v>#N/A</v>
      </c>
      <c r="C60" s="38" t="e">
        <f>VLOOKUP(A1,DIV_12Data!$A$1:$DZU$1000000,1007,FALSE)</f>
        <v>#N/A</v>
      </c>
      <c r="D60" s="31" t="e">
        <f>VLOOKUP(A1,DIV_12Data!$A$1:$DZU$1000000,1008,FALSE)</f>
        <v>#N/A</v>
      </c>
      <c r="E60" s="32" t="e">
        <f>VLOOKUP(A1,DIV_12Data!$A$1:$DZU$1000000,1009,FALSE)</f>
        <v>#N/A</v>
      </c>
      <c r="F60" s="34" t="e">
        <f>VLOOKUP(A1,DIV_12Data!$A$1:$DZU$1000000,1010,FALSE)</f>
        <v>#N/A</v>
      </c>
      <c r="G60" s="33" t="e">
        <f>VLOOKUP(A1,DIV_12Data!$A$1:$DZU$1000000,1011,FALSE)</f>
        <v>#N/A</v>
      </c>
      <c r="H60" s="34" t="e">
        <f>VLOOKUP(A1,DIV_12Data!$A$1:$DZU$1000000,1012,FALSE)</f>
        <v>#N/A</v>
      </c>
      <c r="I60" s="33" t="e">
        <f>VLOOKUP(A1,DIV_12Data!$A$1:$DZU$1000000,1013,FALSE)</f>
        <v>#N/A</v>
      </c>
      <c r="J60" s="34" t="e">
        <f>VLOOKUP(A1,DIV_12Data!$A$1:$DZU$1000000,1014,FALSE)</f>
        <v>#N/A</v>
      </c>
      <c r="K60" s="34" t="e">
        <f>VLOOKUP(A1,DIV_12Data!$A$1:$DZU$1000000,1015,FALSE)</f>
        <v>#N/A</v>
      </c>
      <c r="L60" s="93" t="e">
        <f>VLOOKUP(A1,DIV_12Data!$A$1:$DZU$1000000,1016,FALSE)</f>
        <v>#N/A</v>
      </c>
      <c r="M60" s="33" t="e">
        <f>VLOOKUP(A1,DIV_12Data!$A$1:$DZU$1000000,1017,FALSE)</f>
        <v>#N/A</v>
      </c>
      <c r="N60" s="34" t="e">
        <f>VLOOKUP(A1,DIV_12Data!$A$1:$DZU$1000000,1018,FALSE)</f>
        <v>#N/A</v>
      </c>
      <c r="O60" s="33" t="e">
        <f>VLOOKUP(A1,DIV_12Data!$A$1:$DZU$1000000,1019,FALSE)</f>
        <v>#N/A</v>
      </c>
      <c r="P60" s="46" t="e">
        <f>VLOOKUP(A1,DIV_12Data!$A$1:$DZU$1000000,1020,FALSE)</f>
        <v>#N/A</v>
      </c>
      <c r="Q60" s="33" t="e">
        <f>VLOOKUP(A1,DIV_12Data!$A$1:$DZU$1000000,1021,FALSE)</f>
        <v>#N/A</v>
      </c>
    </row>
    <row r="61" spans="1:17" x14ac:dyDescent="0.35">
      <c r="A61" s="22" t="e">
        <f>VLOOKUP(A1,DIV_12Data!$A$1:$DZU$1000000,1022,FALSE)</f>
        <v>#N/A</v>
      </c>
      <c r="B61" s="37" t="e">
        <f>VLOOKUP(A1,DIV_12Data!$A$1:$DZU$1000000,1023,FALSE)</f>
        <v>#N/A</v>
      </c>
      <c r="C61" s="38" t="e">
        <f>VLOOKUP(A1,DIV_12Data!$A$1:$DZU$1000000,1024,FALSE)</f>
        <v>#N/A</v>
      </c>
      <c r="D61" s="31" t="e">
        <f>VLOOKUP(A1,DIV_12Data!$A$1:$DZU$1000000,1025,FALSE)</f>
        <v>#N/A</v>
      </c>
      <c r="E61" s="32" t="e">
        <f>VLOOKUP(A1,DIV_12Data!$A$1:$DZU$1000000,1026,FALSE)</f>
        <v>#N/A</v>
      </c>
      <c r="F61" s="34" t="e">
        <f>VLOOKUP(A1,DIV_12Data!$A$1:$DZU$1000000,1027,FALSE)</f>
        <v>#N/A</v>
      </c>
      <c r="G61" s="33" t="e">
        <f>VLOOKUP(A1,DIV_12Data!$A$1:$DZU$1000000,1028,FALSE)</f>
        <v>#N/A</v>
      </c>
      <c r="H61" s="34" t="e">
        <f>VLOOKUP(A1,DIV_12Data!$A$1:$DZU$1000000,1029,FALSE)</f>
        <v>#N/A</v>
      </c>
      <c r="I61" s="33" t="e">
        <f>VLOOKUP(A1,DIV_12Data!$A$1:$DZU$1000000,1030,FALSE)</f>
        <v>#N/A</v>
      </c>
      <c r="J61" s="34" t="e">
        <f>VLOOKUP(A1,DIV_12Data!$A$1:$DZU$1000000,1031,FALSE)</f>
        <v>#N/A</v>
      </c>
      <c r="K61" s="34" t="e">
        <f>VLOOKUP(A1,DIV_12Data!$A$1:$DZU$1000000,1032,FALSE)</f>
        <v>#N/A</v>
      </c>
      <c r="L61" s="93" t="e">
        <f>VLOOKUP(A1,DIV_12Data!$A$1:$DZU$1000000,1033,FALSE)</f>
        <v>#N/A</v>
      </c>
      <c r="M61" s="33" t="e">
        <f>VLOOKUP(A1,DIV_12Data!$A$1:$DZU$1000000,1034,FALSE)</f>
        <v>#N/A</v>
      </c>
      <c r="N61" s="34" t="e">
        <f>VLOOKUP(A1,DIV_12Data!$A$1:$DZU$1000000,1035,FALSE)</f>
        <v>#N/A</v>
      </c>
      <c r="O61" s="33" t="e">
        <f>VLOOKUP(A1,DIV_12Data!$A$1:$DZU$1000000,1036,FALSE)</f>
        <v>#N/A</v>
      </c>
      <c r="P61" s="46" t="e">
        <f>VLOOKUP(A1,DIV_12Data!$A$1:$DZU$1000000,1037,FALSE)</f>
        <v>#N/A</v>
      </c>
      <c r="Q61" s="33" t="e">
        <f>VLOOKUP(A1,DIV_12Data!$A$1:$DZU$1000000,1038,FALSE)</f>
        <v>#N/A</v>
      </c>
    </row>
    <row r="62" spans="1:17" x14ac:dyDescent="0.35">
      <c r="A62" s="22" t="e">
        <f>VLOOKUP(A1,DIV_12Data!$A$1:$DZU$1000000,1039,FALSE)</f>
        <v>#N/A</v>
      </c>
      <c r="B62" s="37" t="e">
        <f>VLOOKUP(A1,DIV_12Data!$A$1:$DZU$1000000,1040,FALSE)</f>
        <v>#N/A</v>
      </c>
      <c r="C62" s="38" t="e">
        <f>VLOOKUP(A1,DIV_12Data!$A$1:$DZU$1000000,1041,FALSE)</f>
        <v>#N/A</v>
      </c>
      <c r="D62" s="31" t="e">
        <f>VLOOKUP(A1,DIV_12Data!$A$1:$DZU$1000000,1042,FALSE)</f>
        <v>#N/A</v>
      </c>
      <c r="E62" s="32" t="e">
        <f>VLOOKUP(A1,DIV_12Data!$A$1:$DZU$1000000,1043,FALSE)</f>
        <v>#N/A</v>
      </c>
      <c r="F62" s="34" t="e">
        <f>VLOOKUP(A1,DIV_12Data!$A$1:$DZU$1000000,1044,FALSE)</f>
        <v>#N/A</v>
      </c>
      <c r="G62" s="33" t="e">
        <f>VLOOKUP(A1,DIV_12Data!$A$1:$DZU$1000000,1045,FALSE)</f>
        <v>#N/A</v>
      </c>
      <c r="H62" s="34" t="e">
        <f>VLOOKUP(A1,DIV_12Data!$A$1:$DZU$1000000,1046,FALSE)</f>
        <v>#N/A</v>
      </c>
      <c r="I62" s="33" t="e">
        <f>VLOOKUP(A1,DIV_12Data!$A$1:$DZU$1000000,1047,FALSE)</f>
        <v>#N/A</v>
      </c>
      <c r="J62" s="34" t="e">
        <f>VLOOKUP(A1,DIV_12Data!$A$1:$DZU$1000000,1048,FALSE)</f>
        <v>#N/A</v>
      </c>
      <c r="K62" s="34" t="e">
        <f>VLOOKUP(A1,DIV_12Data!$A$1:$DZU$1000000,1049,FALSE)</f>
        <v>#N/A</v>
      </c>
      <c r="L62" s="93" t="e">
        <f>VLOOKUP(A1,DIV_12Data!$A$1:$DZU$1000000,1050,FALSE)</f>
        <v>#N/A</v>
      </c>
      <c r="M62" s="33" t="e">
        <f>VLOOKUP(A1,DIV_12Data!$A$1:$DZU$1000000,1051,FALSE)</f>
        <v>#N/A</v>
      </c>
      <c r="N62" s="34" t="e">
        <f>VLOOKUP(A1,DIV_12Data!$A$1:$DZU$1000000,1052,FALSE)</f>
        <v>#N/A</v>
      </c>
      <c r="O62" s="33" t="e">
        <f>VLOOKUP(A1,DIV_12Data!$A$1:$DZU$1000000,1053,FALSE)</f>
        <v>#N/A</v>
      </c>
      <c r="P62" s="46" t="e">
        <f>VLOOKUP(A1,DIV_12Data!$A$1:$DZU$1000000,1054,FALSE)</f>
        <v>#N/A</v>
      </c>
      <c r="Q62" s="33" t="e">
        <f>VLOOKUP(A1,DIV_12Data!$A$1:$DZU$1000000,1055,FALSE)</f>
        <v>#N/A</v>
      </c>
    </row>
    <row r="63" spans="1:17" x14ac:dyDescent="0.35">
      <c r="A63" s="22" t="e">
        <f>VLOOKUP(A1,DIV_12Data!$A$1:$DZU$1000000,1056,FALSE)</f>
        <v>#N/A</v>
      </c>
      <c r="B63" s="37" t="e">
        <f>VLOOKUP(A1,DIV_12Data!$A$1:$DZU$1000000,1057,FALSE)</f>
        <v>#N/A</v>
      </c>
      <c r="C63" s="38" t="e">
        <f>VLOOKUP(A1,DIV_12Data!$A$1:$DZU$1000000,1058,FALSE)</f>
        <v>#N/A</v>
      </c>
      <c r="D63" s="31" t="e">
        <f>VLOOKUP(A1,DIV_12Data!$A$1:$DZU$1000000,1059,FALSE)</f>
        <v>#N/A</v>
      </c>
      <c r="E63" s="32" t="e">
        <f>VLOOKUP(A1,DIV_12Data!$A$1:$DZU$1000000,1060,FALSE)</f>
        <v>#N/A</v>
      </c>
      <c r="F63" s="34" t="e">
        <f>VLOOKUP(A1,DIV_12Data!$A$1:$DZU$1000000,1061,FALSE)</f>
        <v>#N/A</v>
      </c>
      <c r="G63" s="33" t="e">
        <f>VLOOKUP(A1,DIV_12Data!$A$1:$DZU$1000000,1062,FALSE)</f>
        <v>#N/A</v>
      </c>
      <c r="H63" s="34" t="e">
        <f>VLOOKUP(A1,DIV_12Data!$A$1:$DZU$1000000,1063,FALSE)</f>
        <v>#N/A</v>
      </c>
      <c r="I63" s="33" t="e">
        <f>VLOOKUP(A1,DIV_12Data!$A$1:$DZU$1000000,1064,FALSE)</f>
        <v>#N/A</v>
      </c>
      <c r="J63" s="34" t="e">
        <f>VLOOKUP(A1,DIV_12Data!$A$1:$DZU$1000000,1065,FALSE)</f>
        <v>#N/A</v>
      </c>
      <c r="K63" s="34" t="e">
        <f>VLOOKUP(A1,DIV_12Data!$A$1:$DZU$1000000,1066,FALSE)</f>
        <v>#N/A</v>
      </c>
      <c r="L63" s="93" t="e">
        <f>VLOOKUP(A1,DIV_12Data!$A$1:$DZU$1000000,1067,FALSE)</f>
        <v>#N/A</v>
      </c>
      <c r="M63" s="33" t="e">
        <f>VLOOKUP(A1,DIV_12Data!$A$1:$DZU$1000000,1068,FALSE)</f>
        <v>#N/A</v>
      </c>
      <c r="N63" s="34" t="e">
        <f>VLOOKUP(A1,DIV_12Data!$A$1:$DZU$1000000,1069,FALSE)</f>
        <v>#N/A</v>
      </c>
      <c r="O63" s="33" t="e">
        <f>VLOOKUP(A1,DIV_12Data!$A$1:$DZU$1000000,1070,FALSE)</f>
        <v>#N/A</v>
      </c>
      <c r="P63" s="46" t="e">
        <f>VLOOKUP(A1,DIV_12Data!$A$1:$DZU$1000000,1071,FALSE)</f>
        <v>#N/A</v>
      </c>
      <c r="Q63" s="33" t="e">
        <f>VLOOKUP(A1,DIV_12Data!$A$1:$DZU$1000000,1072,FALSE)</f>
        <v>#N/A</v>
      </c>
    </row>
    <row r="64" spans="1:17" x14ac:dyDescent="0.35">
      <c r="A64" s="22" t="e">
        <f>VLOOKUP(A1,DIV_12Data!$A$1:$DZU$1000000,1073,FALSE)</f>
        <v>#N/A</v>
      </c>
      <c r="B64" s="37" t="e">
        <f>VLOOKUP(A1,DIV_12Data!$A$1:$DZU$1000000,1074,FALSE)</f>
        <v>#N/A</v>
      </c>
      <c r="C64" s="38" t="e">
        <f>VLOOKUP(A1,DIV_12Data!$A$1:$DZU$1000000,1075,FALSE)</f>
        <v>#N/A</v>
      </c>
      <c r="D64" s="31" t="e">
        <f>VLOOKUP(A1,DIV_12Data!$A$1:$DZU$1000000,1076,FALSE)</f>
        <v>#N/A</v>
      </c>
      <c r="E64" s="32" t="e">
        <f>VLOOKUP(A1,DIV_12Data!$A$1:$DZU$1000000,1077,FALSE)</f>
        <v>#N/A</v>
      </c>
      <c r="F64" s="34" t="e">
        <f>VLOOKUP(A1,DIV_12Data!$A$1:$DZU$1000000,1078,FALSE)</f>
        <v>#N/A</v>
      </c>
      <c r="G64" s="33" t="e">
        <f>VLOOKUP(A1,DIV_12Data!$A$1:$DZU$1000000,1079,FALSE)</f>
        <v>#N/A</v>
      </c>
      <c r="H64" s="34" t="e">
        <f>VLOOKUP(A1,DIV_12Data!$A$1:$DZU$1000000,1080,FALSE)</f>
        <v>#N/A</v>
      </c>
      <c r="I64" s="33" t="e">
        <f>VLOOKUP(A1,DIV_12Data!$A$1:$DZU$1000000,1081,FALSE)</f>
        <v>#N/A</v>
      </c>
      <c r="J64" s="34" t="e">
        <f>VLOOKUP(A1,DIV_12Data!$A$1:$DZU$1000000,1082,FALSE)</f>
        <v>#N/A</v>
      </c>
      <c r="K64" s="34" t="e">
        <f>VLOOKUP(A1,DIV_12Data!$A$1:$DZU$1000000,1083,FALSE)</f>
        <v>#N/A</v>
      </c>
      <c r="L64" s="93" t="e">
        <f>VLOOKUP(A1,DIV_12Data!$A$1:$DZU$1000000,1084,FALSE)</f>
        <v>#N/A</v>
      </c>
      <c r="M64" s="33" t="e">
        <f>VLOOKUP(A1,DIV_12Data!$A$1:$DZU$1000000,1085,FALSE)</f>
        <v>#N/A</v>
      </c>
      <c r="N64" s="34" t="e">
        <f>VLOOKUP(A1,DIV_12Data!$A$1:$DZU$1000000,1086,FALSE)</f>
        <v>#N/A</v>
      </c>
      <c r="O64" s="33" t="e">
        <f>VLOOKUP(A1,DIV_12Data!$A$1:$DZU$1000000,1087,FALSE)</f>
        <v>#N/A</v>
      </c>
      <c r="P64" s="46" t="e">
        <f>VLOOKUP(A1,DIV_12Data!$A$1:$DZU$1000000,1088,FALSE)</f>
        <v>#N/A</v>
      </c>
      <c r="Q64" s="33" t="e">
        <f>VLOOKUP(A1,DIV_12Data!$A$1:$DZU$1000000,1089,FALSE)</f>
        <v>#N/A</v>
      </c>
    </row>
    <row r="65" spans="1:17" x14ac:dyDescent="0.35">
      <c r="A65" s="22" t="e">
        <f>VLOOKUP(A1,DIV_12Data!$A$1:$DZU$1000000,1090,FALSE)</f>
        <v>#N/A</v>
      </c>
      <c r="B65" s="37" t="e">
        <f>VLOOKUP(A1,DIV_12Data!$A$1:$DZU$1000000,1091,FALSE)</f>
        <v>#N/A</v>
      </c>
      <c r="C65" s="38" t="e">
        <f>VLOOKUP(A1,DIV_12Data!$A$1:$DZU$1000000,1092,FALSE)</f>
        <v>#N/A</v>
      </c>
      <c r="D65" s="31" t="e">
        <f>VLOOKUP(A1,DIV_12Data!$A$1:$DZU$1000000,1093,FALSE)</f>
        <v>#N/A</v>
      </c>
      <c r="E65" s="32" t="e">
        <f>VLOOKUP(A1,DIV_12Data!$A$1:$DZU$1000000,1094,FALSE)</f>
        <v>#N/A</v>
      </c>
      <c r="F65" s="34" t="e">
        <f>VLOOKUP(A1,DIV_12Data!$A$1:$DZU$1000000,1095,FALSE)</f>
        <v>#N/A</v>
      </c>
      <c r="G65" s="33" t="e">
        <f>VLOOKUP(A1,DIV_12Data!$A$1:$DZU$1000000,1096,FALSE)</f>
        <v>#N/A</v>
      </c>
      <c r="H65" s="34" t="e">
        <f>VLOOKUP(A1,DIV_12Data!$A$1:$DZU$1000000,1097,FALSE)</f>
        <v>#N/A</v>
      </c>
      <c r="I65" s="33" t="e">
        <f>VLOOKUP(A1,DIV_12Data!$A$1:$DZU$1000000,1098,FALSE)</f>
        <v>#N/A</v>
      </c>
      <c r="J65" s="34" t="e">
        <f>VLOOKUP(A1,DIV_12Data!$A$1:$DZU$1000000,1099,FALSE)</f>
        <v>#N/A</v>
      </c>
      <c r="K65" s="34" t="e">
        <f>VLOOKUP(A1,DIV_12Data!$A$1:$DZU$1000000,1100,FALSE)</f>
        <v>#N/A</v>
      </c>
      <c r="L65" s="93" t="e">
        <f>VLOOKUP(A1,DIV_12Data!$A$1:$DZU$1000000,1101,FALSE)</f>
        <v>#N/A</v>
      </c>
      <c r="M65" s="33" t="e">
        <f>VLOOKUP(A1,DIV_12Data!$A$1:$DZU$1000000,1102,FALSE)</f>
        <v>#N/A</v>
      </c>
      <c r="N65" s="34" t="e">
        <f>VLOOKUP(A1,DIV_12Data!$A$1:$DZU$1000000,1103,FALSE)</f>
        <v>#N/A</v>
      </c>
      <c r="O65" s="33" t="e">
        <f>VLOOKUP(A1,DIV_12Data!$A$1:$DZU$1000000,1104,FALSE)</f>
        <v>#N/A</v>
      </c>
      <c r="P65" s="46" t="e">
        <f>VLOOKUP(A1,DIV_12Data!$A$1:$DZU$1000000,1105,FALSE)</f>
        <v>#N/A</v>
      </c>
      <c r="Q65" s="33" t="e">
        <f>VLOOKUP(A1,DIV_12Data!$A$1:$DZU$1000000,1106,FALSE)</f>
        <v>#N/A</v>
      </c>
    </row>
    <row r="66" spans="1:17" x14ac:dyDescent="0.35">
      <c r="A66" s="22" t="e">
        <f>VLOOKUP(A1,DIV_12Data!$A$1:$DZU$1000000,1107,FALSE)</f>
        <v>#N/A</v>
      </c>
      <c r="B66" s="37" t="e">
        <f>VLOOKUP(A1,DIV_12Data!$A$1:$DZU$1000000,1108,FALSE)</f>
        <v>#N/A</v>
      </c>
      <c r="C66" s="38" t="e">
        <f>VLOOKUP(A1,DIV_12Data!$A$1:$DZU$1000000,1109,FALSE)</f>
        <v>#N/A</v>
      </c>
      <c r="D66" s="31" t="e">
        <f>VLOOKUP(A1,DIV_12Data!$A$1:$DZU$1000000,1110,FALSE)</f>
        <v>#N/A</v>
      </c>
      <c r="E66" s="32" t="e">
        <f>VLOOKUP(A1,DIV_12Data!$A$1:$DZU$1000000,1111,FALSE)</f>
        <v>#N/A</v>
      </c>
      <c r="F66" s="34" t="e">
        <f>VLOOKUP(A1,DIV_12Data!$A$1:$DZU$1000000,1112,FALSE)</f>
        <v>#N/A</v>
      </c>
      <c r="G66" s="33" t="e">
        <f>VLOOKUP(A1,DIV_12Data!$A$1:$DZU$1000000,1113,FALSE)</f>
        <v>#N/A</v>
      </c>
      <c r="H66" s="34" t="e">
        <f>VLOOKUP(A1,DIV_12Data!$A$1:$DZU$1000000,1114,FALSE)</f>
        <v>#N/A</v>
      </c>
      <c r="I66" s="33" t="e">
        <f>VLOOKUP(A1,DIV_12Data!$A$1:$DZU$1000000,1115,FALSE)</f>
        <v>#N/A</v>
      </c>
      <c r="J66" s="34" t="e">
        <f>VLOOKUP(A1,DIV_12Data!$A$1:$DZU$1000000,1116,FALSE)</f>
        <v>#N/A</v>
      </c>
      <c r="K66" s="34" t="e">
        <f>VLOOKUP(A1,DIV_12Data!$A$1:$DZU$1000000,1117,FALSE)</f>
        <v>#N/A</v>
      </c>
      <c r="L66" s="93" t="e">
        <f>VLOOKUP(A1,DIV_12Data!$A$1:$DZU$1000000,1118,FALSE)</f>
        <v>#N/A</v>
      </c>
      <c r="M66" s="33" t="e">
        <f>VLOOKUP(A1,DIV_12Data!$A$1:$DZU$1000000,1119,FALSE)</f>
        <v>#N/A</v>
      </c>
      <c r="N66" s="34" t="e">
        <f>VLOOKUP(A1,DIV_12Data!$A$1:$DZU$1000000,1120,FALSE)</f>
        <v>#N/A</v>
      </c>
      <c r="O66" s="33" t="e">
        <f>VLOOKUP(A1,DIV_12Data!$A$1:$DZU$1000000,1121,FALSE)</f>
        <v>#N/A</v>
      </c>
      <c r="P66" s="46" t="e">
        <f>VLOOKUP(A1,DIV_12Data!$A$1:$DZU$1000000,1122,FALSE)</f>
        <v>#N/A</v>
      </c>
      <c r="Q66" s="33" t="e">
        <f>VLOOKUP(A1,DIV_12Data!$A$1:$DZU$1000000,1123,FALSE)</f>
        <v>#N/A</v>
      </c>
    </row>
    <row r="67" spans="1:17" x14ac:dyDescent="0.35">
      <c r="A67" s="22" t="e">
        <f>VLOOKUP(A1,DIV_12Data!$A$1:$DZU$1000000,1124,FALSE)</f>
        <v>#N/A</v>
      </c>
      <c r="B67" s="37" t="e">
        <f>VLOOKUP(A1,DIV_12Data!$A$1:$DZU$1000000,1125,FALSE)</f>
        <v>#N/A</v>
      </c>
      <c r="C67" s="38" t="e">
        <f>VLOOKUP(A1,DIV_12Data!$A$1:$DZU$1000000,1126,FALSE)</f>
        <v>#N/A</v>
      </c>
      <c r="D67" s="31" t="e">
        <f>VLOOKUP(A1,DIV_12Data!$A$1:$DZU$1000000,1127,FALSE)</f>
        <v>#N/A</v>
      </c>
      <c r="E67" s="32" t="e">
        <f>VLOOKUP(A1,DIV_12Data!$A$1:$DZU$1000000,1128,FALSE)</f>
        <v>#N/A</v>
      </c>
      <c r="F67" s="34" t="e">
        <f>VLOOKUP(A1,DIV_12Data!$A$1:$DZU$1000000,1129,FALSE)</f>
        <v>#N/A</v>
      </c>
      <c r="G67" s="33" t="e">
        <f>VLOOKUP(A1,DIV_12Data!$A$1:$DZU$1000000,1130,FALSE)</f>
        <v>#N/A</v>
      </c>
      <c r="H67" s="34" t="e">
        <f>VLOOKUP(A1,DIV_12Data!$A$1:$DZU$1000000,1131,FALSE)</f>
        <v>#N/A</v>
      </c>
      <c r="I67" s="33" t="e">
        <f>VLOOKUP(A1,DIV_12Data!$A$1:$DZU$1000000,1132,FALSE)</f>
        <v>#N/A</v>
      </c>
      <c r="J67" s="34" t="e">
        <f>VLOOKUP(A1,DIV_12Data!$A$1:$DZU$1000000,1133,FALSE)</f>
        <v>#N/A</v>
      </c>
      <c r="K67" s="34" t="e">
        <f>VLOOKUP(A1,DIV_12Data!$A$1:$DZU$1000000,1134,FALSE)</f>
        <v>#N/A</v>
      </c>
      <c r="L67" s="93" t="e">
        <f>VLOOKUP(A1,DIV_12Data!$A$1:$DZU$1000000,1135,FALSE)</f>
        <v>#N/A</v>
      </c>
      <c r="M67" s="33" t="e">
        <f>VLOOKUP(A1,DIV_12Data!$A$1:$DZU$1000000,1136,FALSE)</f>
        <v>#N/A</v>
      </c>
      <c r="N67" s="34" t="e">
        <f>VLOOKUP(A1,DIV_12Data!$A$1:$DZU$1000000,1137,FALSE)</f>
        <v>#N/A</v>
      </c>
      <c r="O67" s="33" t="e">
        <f>VLOOKUP(A1,DIV_12Data!$A$1:$DZU$1000000,1138,FALSE)</f>
        <v>#N/A</v>
      </c>
      <c r="P67" s="46" t="e">
        <f>VLOOKUP(A1,DIV_12Data!$A$1:$DZU$1000000,1139,FALSE)</f>
        <v>#N/A</v>
      </c>
      <c r="Q67" s="33" t="e">
        <f>VLOOKUP(A1,DIV_12Data!$A$1:$DZU$1000000,1140,FALSE)</f>
        <v>#N/A</v>
      </c>
    </row>
    <row r="68" spans="1:17" x14ac:dyDescent="0.35">
      <c r="A68" s="22" t="e">
        <f>VLOOKUP(A1,DIV_12Data!$A$1:$DZU$1000000,1141,FALSE)</f>
        <v>#N/A</v>
      </c>
      <c r="B68" s="37" t="e">
        <f>VLOOKUP(A1,DIV_12Data!$A$1:$DZU$1000000,1142,FALSE)</f>
        <v>#N/A</v>
      </c>
      <c r="C68" s="38" t="e">
        <f>VLOOKUP(A1,DIV_12Data!$A$1:$DZU$1000000,1143,FALSE)</f>
        <v>#N/A</v>
      </c>
      <c r="D68" s="31" t="e">
        <f>VLOOKUP(A1,DIV_12Data!$A$1:$DZU$1000000,1144,FALSE)</f>
        <v>#N/A</v>
      </c>
      <c r="E68" s="32" t="e">
        <f>VLOOKUP(A1,DIV_12Data!$A$1:$DZU$1000000,1145,FALSE)</f>
        <v>#N/A</v>
      </c>
      <c r="F68" s="34" t="e">
        <f>VLOOKUP(A1,DIV_12Data!$A$1:$DZU$1000000,1146,FALSE)</f>
        <v>#N/A</v>
      </c>
      <c r="G68" s="33" t="e">
        <f>VLOOKUP(A1,DIV_12Data!$A$1:$DZU$1000000,1147,FALSE)</f>
        <v>#N/A</v>
      </c>
      <c r="H68" s="34" t="e">
        <f>VLOOKUP(A1,DIV_12Data!$A$1:$DZU$1000000,1148,FALSE)</f>
        <v>#N/A</v>
      </c>
      <c r="I68" s="33" t="e">
        <f>VLOOKUP(A1,DIV_12Data!$A$1:$DZU$1000000,1149,FALSE)</f>
        <v>#N/A</v>
      </c>
      <c r="J68" s="34" t="e">
        <f>VLOOKUP(A1,DIV_12Data!$A$1:$DZU$1000000,1150,FALSE)</f>
        <v>#N/A</v>
      </c>
      <c r="K68" s="34" t="e">
        <f>VLOOKUP(A1,DIV_12Data!$A$1:$DZU$1000000,1151,FALSE)</f>
        <v>#N/A</v>
      </c>
      <c r="L68" s="93" t="e">
        <f>VLOOKUP(A1,DIV_12Data!$A$1:$DZU$1000000,1152,FALSE)</f>
        <v>#N/A</v>
      </c>
      <c r="M68" s="33" t="e">
        <f>VLOOKUP(A1,DIV_12Data!$A$1:$DZU$1000000,1153,FALSE)</f>
        <v>#N/A</v>
      </c>
      <c r="N68" s="34" t="e">
        <f>VLOOKUP(A1,DIV_12Data!$A$1:$DZU$1000000,1154,FALSE)</f>
        <v>#N/A</v>
      </c>
      <c r="O68" s="33" t="e">
        <f>VLOOKUP(A1,DIV_12Data!$A$1:$DZU$1000000,1155,FALSE)</f>
        <v>#N/A</v>
      </c>
      <c r="P68" s="46" t="e">
        <f>VLOOKUP(A1,DIV_12Data!$A$1:$DZU$1000000,1156,FALSE)</f>
        <v>#N/A</v>
      </c>
      <c r="Q68" s="33" t="e">
        <f>VLOOKUP(A1,DIV_12Data!$A$1:$DZU$1000000,1157,FALSE)</f>
        <v>#N/A</v>
      </c>
    </row>
    <row r="69" spans="1:17" x14ac:dyDescent="0.35">
      <c r="A69" s="22" t="e">
        <f>VLOOKUP(A1,DIV_12Data!$A$1:$DZU$1000000,1158,FALSE)</f>
        <v>#N/A</v>
      </c>
      <c r="B69" s="37" t="e">
        <f>VLOOKUP(A1,DIV_12Data!$A$1:$DZU$1000000,1159,FALSE)</f>
        <v>#N/A</v>
      </c>
      <c r="C69" s="38" t="e">
        <f>VLOOKUP(A1,DIV_12Data!$A$1:$DZU$1000000,1160,FALSE)</f>
        <v>#N/A</v>
      </c>
      <c r="D69" s="31" t="e">
        <f>VLOOKUP(A1,DIV_12Data!$A$1:$DZU$1000000,1161,FALSE)</f>
        <v>#N/A</v>
      </c>
      <c r="E69" s="32" t="e">
        <f>VLOOKUP(A1,DIV_12Data!$A$1:$DZU$1000000,1162,FALSE)</f>
        <v>#N/A</v>
      </c>
      <c r="F69" s="34" t="e">
        <f>VLOOKUP(A1,DIV_12Data!$A$1:$DZU$1000000,1163,FALSE)</f>
        <v>#N/A</v>
      </c>
      <c r="G69" s="33" t="e">
        <f>VLOOKUP(A1,DIV_12Data!$A$1:$DZU$1000000,1164,FALSE)</f>
        <v>#N/A</v>
      </c>
      <c r="H69" s="34" t="e">
        <f>VLOOKUP(A1,DIV_12Data!$A$1:$DZU$1000000,1165,FALSE)</f>
        <v>#N/A</v>
      </c>
      <c r="I69" s="33" t="e">
        <f>VLOOKUP(A1,DIV_12Data!$A$1:$DZU$1000000,1166,FALSE)</f>
        <v>#N/A</v>
      </c>
      <c r="J69" s="34" t="e">
        <f>VLOOKUP(A1,DIV_12Data!$A$1:$DZU$1000000,1167,FALSE)</f>
        <v>#N/A</v>
      </c>
      <c r="K69" s="34" t="e">
        <f>VLOOKUP(A1,DIV_12Data!$A$1:$DZU$1000000,1168,FALSE)</f>
        <v>#N/A</v>
      </c>
      <c r="L69" s="93" t="e">
        <f>VLOOKUP(A1,DIV_12Data!$A$1:$DZU$1000000,1169,FALSE)</f>
        <v>#N/A</v>
      </c>
      <c r="M69" s="33" t="e">
        <f>VLOOKUP(A1,DIV_12Data!$A$1:$DZU$1000000,1170,FALSE)</f>
        <v>#N/A</v>
      </c>
      <c r="N69" s="34" t="e">
        <f>VLOOKUP(A1,DIV_12Data!$A$1:$DZU$1000000,1171,FALSE)</f>
        <v>#N/A</v>
      </c>
      <c r="O69" s="33" t="e">
        <f>VLOOKUP(A1,DIV_12Data!$A$1:$DZU$1000000,1172,FALSE)</f>
        <v>#N/A</v>
      </c>
      <c r="P69" s="46" t="e">
        <f>VLOOKUP(A1,DIV_12Data!$A$1:$DZU$1000000,1173,FALSE)</f>
        <v>#N/A</v>
      </c>
      <c r="Q69" s="33" t="e">
        <f>VLOOKUP(A1,DIV_12Data!$A$1:$DZU$1000000,1174,FALSE)</f>
        <v>#N/A</v>
      </c>
    </row>
    <row r="70" spans="1:17" x14ac:dyDescent="0.35">
      <c r="A70" s="22" t="e">
        <f>VLOOKUP(A1,DIV_12Data!$A$1:$DZU$1000000,1175,FALSE)</f>
        <v>#N/A</v>
      </c>
      <c r="B70" s="37" t="e">
        <f>VLOOKUP(A1,DIV_12Data!$A$1:$DZU$1000000,1176,FALSE)</f>
        <v>#N/A</v>
      </c>
      <c r="C70" s="38" t="e">
        <f>VLOOKUP(A1,DIV_12Data!$A$1:$DZU$1000000,1177,FALSE)</f>
        <v>#N/A</v>
      </c>
      <c r="D70" s="31" t="e">
        <f>VLOOKUP(A1,DIV_12Data!$A$1:$DZU$1000000,1178,FALSE)</f>
        <v>#N/A</v>
      </c>
      <c r="E70" s="32" t="e">
        <f>VLOOKUP(A1,DIV_12Data!$A$1:$DZU$1000000,1179,FALSE)</f>
        <v>#N/A</v>
      </c>
      <c r="F70" s="34" t="e">
        <f>VLOOKUP(A1,DIV_12Data!$A$1:$DZU$1000000,1180,FALSE)</f>
        <v>#N/A</v>
      </c>
      <c r="G70" s="33" t="e">
        <f>VLOOKUP(A1,DIV_12Data!$A$1:$DZU$1000000,1181,FALSE)</f>
        <v>#N/A</v>
      </c>
      <c r="H70" s="34" t="e">
        <f>VLOOKUP(A1,DIV_12Data!$A$1:$DZU$1000000,1182,FALSE)</f>
        <v>#N/A</v>
      </c>
      <c r="I70" s="33" t="e">
        <f>VLOOKUP(A1,DIV_12Data!$A$1:$DZU$1000000,1183,FALSE)</f>
        <v>#N/A</v>
      </c>
      <c r="J70" s="34" t="e">
        <f>VLOOKUP(A1,DIV_12Data!$A$1:$DZU$1000000,1184,FALSE)</f>
        <v>#N/A</v>
      </c>
      <c r="K70" s="34" t="e">
        <f>VLOOKUP(A1,DIV_12Data!$A$1:$DZU$1000000,1185,FALSE)</f>
        <v>#N/A</v>
      </c>
      <c r="L70" s="93" t="e">
        <f>VLOOKUP(A1,DIV_12Data!$A$1:$DZU$1000000,1186,FALSE)</f>
        <v>#N/A</v>
      </c>
      <c r="M70" s="33" t="e">
        <f>VLOOKUP(A1,DIV_12Data!$A$1:$DZU$1000000,1187,FALSE)</f>
        <v>#N/A</v>
      </c>
      <c r="N70" s="34" t="e">
        <f>VLOOKUP(A1,DIV_12Data!$A$1:$DZU$1000000,1188,FALSE)</f>
        <v>#N/A</v>
      </c>
      <c r="O70" s="33" t="e">
        <f>VLOOKUP(A1,DIV_12Data!$A$1:$DZU$1000000,1189,FALSE)</f>
        <v>#N/A</v>
      </c>
      <c r="P70" s="46" t="e">
        <f>VLOOKUP(A1,DIV_12Data!$A$1:$DZU$1000000,1190,FALSE)</f>
        <v>#N/A</v>
      </c>
      <c r="Q70" s="33" t="e">
        <f>VLOOKUP(A1,DIV_12Data!$A$1:$DZU$1000000,1191,FALSE)</f>
        <v>#N/A</v>
      </c>
    </row>
    <row r="71" spans="1:17" x14ac:dyDescent="0.35">
      <c r="A71" s="22" t="e">
        <f>VLOOKUP(A1,DIV_12Data!$A$1:$DZU$1000000,1192,FALSE)</f>
        <v>#N/A</v>
      </c>
      <c r="B71" s="37" t="e">
        <f>VLOOKUP(A1,DIV_12Data!$A$1:$DZU$1000000,1193,FALSE)</f>
        <v>#N/A</v>
      </c>
      <c r="C71" s="38" t="e">
        <f>VLOOKUP(A1,DIV_12Data!$A$1:$DZU$1000000,1194,FALSE)</f>
        <v>#N/A</v>
      </c>
      <c r="D71" s="31" t="e">
        <f>VLOOKUP(A1,DIV_12Data!$A$1:$DZU$1000000,1195,FALSE)</f>
        <v>#N/A</v>
      </c>
      <c r="E71" s="32" t="e">
        <f>VLOOKUP(A1,DIV_12Data!$A$1:$DZU$1000000,1196,FALSE)</f>
        <v>#N/A</v>
      </c>
      <c r="F71" s="34" t="e">
        <f>VLOOKUP(A1,DIV_12Data!$A$1:$DZU$1000000,1197,FALSE)</f>
        <v>#N/A</v>
      </c>
      <c r="G71" s="33" t="e">
        <f>VLOOKUP(A1,DIV_12Data!$A$1:$DZU$1000000,1198,FALSE)</f>
        <v>#N/A</v>
      </c>
      <c r="H71" s="34" t="e">
        <f>VLOOKUP(A1,DIV_12Data!$A$1:$DZU$1000000,1199,FALSE)</f>
        <v>#N/A</v>
      </c>
      <c r="I71" s="33" t="e">
        <f>VLOOKUP(A1,DIV_12Data!$A$1:$DZU$1000000,1200,FALSE)</f>
        <v>#N/A</v>
      </c>
      <c r="J71" s="34" t="e">
        <f>VLOOKUP(A1,DIV_12Data!$A$1:$DZU$1000000,1201,FALSE)</f>
        <v>#N/A</v>
      </c>
      <c r="K71" s="34" t="e">
        <f>VLOOKUP(A1,DIV_12Data!$A$1:$DZU$1000000,1202,FALSE)</f>
        <v>#N/A</v>
      </c>
      <c r="L71" s="93" t="e">
        <f>VLOOKUP(A1,DIV_12Data!$A$1:$DZU$1000000,1203,FALSE)</f>
        <v>#N/A</v>
      </c>
      <c r="M71" s="33" t="e">
        <f>VLOOKUP(A1,DIV_12Data!$A$1:$DZU$1000000,1204,FALSE)</f>
        <v>#N/A</v>
      </c>
      <c r="N71" s="34" t="e">
        <f>VLOOKUP(A1,DIV_12Data!$A$1:$DZU$1000000,1205,FALSE)</f>
        <v>#N/A</v>
      </c>
      <c r="O71" s="33" t="e">
        <f>VLOOKUP(A1,DIV_12Data!$A$1:$DZU$1000000,1206,FALSE)</f>
        <v>#N/A</v>
      </c>
      <c r="P71" s="46" t="e">
        <f>VLOOKUP(A1,DIV_12Data!$A$1:$DZU$1000000,1207,FALSE)</f>
        <v>#N/A</v>
      </c>
      <c r="Q71" s="33" t="e">
        <f>VLOOKUP(A1,DIV_12Data!$A$1:$DZU$1000000,1208,FALSE)</f>
        <v>#N/A</v>
      </c>
    </row>
    <row r="72" spans="1:17" x14ac:dyDescent="0.35">
      <c r="A72" s="22" t="e">
        <f>VLOOKUP(A1,DIV_12Data!$A$1:$DZU$1000000,1209,FALSE)</f>
        <v>#N/A</v>
      </c>
      <c r="B72" s="37" t="e">
        <f>VLOOKUP(A1,DIV_12Data!$A$1:$DZU$1000000,1210,FALSE)</f>
        <v>#N/A</v>
      </c>
      <c r="C72" s="38" t="e">
        <f>VLOOKUP(A1,DIV_12Data!$A$1:$DZU$1000000,1211,FALSE)</f>
        <v>#N/A</v>
      </c>
      <c r="D72" s="31" t="e">
        <f>VLOOKUP(A1,DIV_12Data!$A$1:$DZU$1000000,1212,FALSE)</f>
        <v>#N/A</v>
      </c>
      <c r="E72" s="32" t="e">
        <f>VLOOKUP(A1,DIV_12Data!$A$1:$DZU$1000000,1213,FALSE)</f>
        <v>#N/A</v>
      </c>
      <c r="F72" s="34" t="e">
        <f>VLOOKUP(A1,DIV_12Data!$A$1:$DZU$1000000,1214,FALSE)</f>
        <v>#N/A</v>
      </c>
      <c r="G72" s="33" t="e">
        <f>VLOOKUP(A1,DIV_12Data!$A$1:$DZU$1000000,1215,FALSE)</f>
        <v>#N/A</v>
      </c>
      <c r="H72" s="34" t="e">
        <f>VLOOKUP(A1,DIV_12Data!$A$1:$DZU$1000000,1216,FALSE)</f>
        <v>#N/A</v>
      </c>
      <c r="I72" s="33" t="e">
        <f>VLOOKUP(A1,DIV_12Data!$A$1:$DZU$1000000,1217,FALSE)</f>
        <v>#N/A</v>
      </c>
      <c r="J72" s="34" t="e">
        <f>VLOOKUP(A1,DIV_12Data!$A$1:$DZU$1000000,1218,FALSE)</f>
        <v>#N/A</v>
      </c>
      <c r="K72" s="34" t="e">
        <f>VLOOKUP(A1,DIV_12Data!$A$1:$DZU$1000000,1219,FALSE)</f>
        <v>#N/A</v>
      </c>
      <c r="L72" s="93" t="e">
        <f>VLOOKUP(A1,DIV_12Data!$A$1:$DZU$1000000,1220,FALSE)</f>
        <v>#N/A</v>
      </c>
      <c r="M72" s="33" t="e">
        <f>VLOOKUP(A1,DIV_12Data!$A$1:$DZU$1000000,1221,FALSE)</f>
        <v>#N/A</v>
      </c>
      <c r="N72" s="34" t="e">
        <f>VLOOKUP(A1,DIV_12Data!$A$1:$DZU$1000000,1222,FALSE)</f>
        <v>#N/A</v>
      </c>
      <c r="O72" s="33" t="e">
        <f>VLOOKUP(A1,DIV_12Data!$A$1:$DZU$1000000,1223,FALSE)</f>
        <v>#N/A</v>
      </c>
      <c r="P72" s="46" t="e">
        <f>VLOOKUP(A1,DIV_12Data!$A$1:$DZU$1000000,1224,FALSE)</f>
        <v>#N/A</v>
      </c>
      <c r="Q72" s="33" t="e">
        <f>VLOOKUP(A1,DIV_12Data!$A$1:$DZU$1000000,1225,FALSE)</f>
        <v>#N/A</v>
      </c>
    </row>
    <row r="73" spans="1:17" x14ac:dyDescent="0.35">
      <c r="A73" s="22" t="e">
        <f>VLOOKUP(A1,DIV_12Data!$A$1:$DZU$1000000,1226,FALSE)</f>
        <v>#N/A</v>
      </c>
      <c r="B73" s="37" t="e">
        <f>VLOOKUP(A1,DIV_12Data!$A$1:$DZU$1000000,1227,FALSE)</f>
        <v>#N/A</v>
      </c>
      <c r="C73" s="38" t="e">
        <f>VLOOKUP(A1,DIV_12Data!$A$1:$DZU$1000000,1228,FALSE)</f>
        <v>#N/A</v>
      </c>
      <c r="D73" s="31" t="e">
        <f>VLOOKUP(A1,DIV_12Data!$A$1:$DZU$1000000,1229,FALSE)</f>
        <v>#N/A</v>
      </c>
      <c r="E73" s="32" t="e">
        <f>VLOOKUP(A1,DIV_12Data!$A$1:$DZU$1000000,1230,FALSE)</f>
        <v>#N/A</v>
      </c>
      <c r="F73" s="34" t="e">
        <f>VLOOKUP(A1,DIV_12Data!$A$1:$DZU$1000000,1231,FALSE)</f>
        <v>#N/A</v>
      </c>
      <c r="G73" s="33" t="e">
        <f>VLOOKUP(A1,DIV_12Data!$A$1:$DZU$1000000,1232,FALSE)</f>
        <v>#N/A</v>
      </c>
      <c r="H73" s="34" t="e">
        <f>VLOOKUP(A1,DIV_12Data!$A$1:$DZU$1000000,1233,FALSE)</f>
        <v>#N/A</v>
      </c>
      <c r="I73" s="33" t="e">
        <f>VLOOKUP(A1,DIV_12Data!$A$1:$DZU$1000000,1234,FALSE)</f>
        <v>#N/A</v>
      </c>
      <c r="J73" s="34" t="e">
        <f>VLOOKUP(A1,DIV_12Data!$A$1:$DZU$1000000,1235,FALSE)</f>
        <v>#N/A</v>
      </c>
      <c r="K73" s="34" t="e">
        <f>VLOOKUP(A1,DIV_12Data!$A$1:$DZU$1000000,1236,FALSE)</f>
        <v>#N/A</v>
      </c>
      <c r="L73" s="93" t="e">
        <f>VLOOKUP(A1,DIV_12Data!$A$1:$DZU$1000000,1237,FALSE)</f>
        <v>#N/A</v>
      </c>
      <c r="M73" s="33" t="e">
        <f>VLOOKUP(A1,DIV_12Data!$A$1:$DZU$1000000,1238,FALSE)</f>
        <v>#N/A</v>
      </c>
      <c r="N73" s="34" t="e">
        <f>VLOOKUP(A1,DIV_12Data!$A$1:$DZU$1000000,1239,FALSE)</f>
        <v>#N/A</v>
      </c>
      <c r="O73" s="33" t="e">
        <f>VLOOKUP(A1,DIV_12Data!$A$1:$DZU$1000000,1240,FALSE)</f>
        <v>#N/A</v>
      </c>
      <c r="P73" s="46" t="e">
        <f>VLOOKUP(A1,DIV_12Data!$A$1:$DZU$1000000,1241,FALSE)</f>
        <v>#N/A</v>
      </c>
      <c r="Q73" s="33" t="e">
        <f>VLOOKUP(A1,DIV_12Data!$A$1:$DZU$1000000,1242,FALSE)</f>
        <v>#N/A</v>
      </c>
    </row>
    <row r="74" spans="1:17" x14ac:dyDescent="0.35">
      <c r="A74" s="22" t="e">
        <f>VLOOKUP(A1,DIV_12Data!$A$1:$DZU$1000000,1243,FALSE)</f>
        <v>#N/A</v>
      </c>
      <c r="B74" s="37" t="e">
        <f>VLOOKUP(A1,DIV_12Data!$A$1:$DZU$1000000,1244,FALSE)</f>
        <v>#N/A</v>
      </c>
      <c r="C74" s="38" t="e">
        <f>VLOOKUP(A1,DIV_12Data!$A$1:$DZU$1000000,1245,FALSE)</f>
        <v>#N/A</v>
      </c>
      <c r="D74" s="31" t="e">
        <f>VLOOKUP(A1,DIV_12Data!$A$1:$DZU$1000000,1246,FALSE)</f>
        <v>#N/A</v>
      </c>
      <c r="E74" s="32" t="e">
        <f>VLOOKUP(A1,DIV_12Data!$A$1:$DZU$1000000,1247,FALSE)</f>
        <v>#N/A</v>
      </c>
      <c r="F74" s="34" t="e">
        <f>VLOOKUP(A1,DIV_12Data!$A$1:$DZU$1000000,1248,FALSE)</f>
        <v>#N/A</v>
      </c>
      <c r="G74" s="33" t="e">
        <f>VLOOKUP(A1,DIV_12Data!$A$1:$DZU$1000000,1249,FALSE)</f>
        <v>#N/A</v>
      </c>
      <c r="H74" s="34" t="e">
        <f>VLOOKUP(A1,DIV_12Data!$A$1:$DZU$1000000,1250,FALSE)</f>
        <v>#N/A</v>
      </c>
      <c r="I74" s="33" t="e">
        <f>VLOOKUP(A1,DIV_12Data!$A$1:$DZU$1000000,1251,FALSE)</f>
        <v>#N/A</v>
      </c>
      <c r="J74" s="34" t="e">
        <f>VLOOKUP(A1,DIV_12Data!$A$1:$DZU$1000000,1252,FALSE)</f>
        <v>#N/A</v>
      </c>
      <c r="K74" s="34" t="e">
        <f>VLOOKUP(A1,DIV_12Data!$A$1:$DZU$1000000,1253,FALSE)</f>
        <v>#N/A</v>
      </c>
      <c r="L74" s="93" t="e">
        <f>VLOOKUP(A1,DIV_12Data!$A$1:$DZU$1000000,1254,FALSE)</f>
        <v>#N/A</v>
      </c>
      <c r="M74" s="33" t="e">
        <f>VLOOKUP(A1,DIV_12Data!$A$1:$DZU$1000000,1255,FALSE)</f>
        <v>#N/A</v>
      </c>
      <c r="N74" s="34" t="e">
        <f>VLOOKUP(A1,DIV_12Data!$A$1:$DZU$1000000,1256,FALSE)</f>
        <v>#N/A</v>
      </c>
      <c r="O74" s="33" t="e">
        <f>VLOOKUP(A1,DIV_12Data!$A$1:$DZU$1000000,1257,FALSE)</f>
        <v>#N/A</v>
      </c>
      <c r="P74" s="46" t="e">
        <f>VLOOKUP(A1,DIV_12Data!$A$1:$DZU$1000000,1258,FALSE)</f>
        <v>#N/A</v>
      </c>
      <c r="Q74" s="33" t="e">
        <f>VLOOKUP(A1,DIV_12Data!$A$1:$DZU$1000000,1259,FALSE)</f>
        <v>#N/A</v>
      </c>
    </row>
    <row r="75" spans="1:17" x14ac:dyDescent="0.35">
      <c r="A75" s="22" t="e">
        <f>VLOOKUP(A1,DIV_12Data!$A$1:$DZU$1000000,1260,FALSE)</f>
        <v>#N/A</v>
      </c>
      <c r="B75" s="37" t="e">
        <f>VLOOKUP(A1,DIV_12Data!$A$1:$DZU$1000000,1261,FALSE)</f>
        <v>#N/A</v>
      </c>
      <c r="C75" s="38" t="e">
        <f>VLOOKUP(A1,DIV_12Data!$A$1:$DZU$1000000,1262,FALSE)</f>
        <v>#N/A</v>
      </c>
      <c r="D75" s="31" t="e">
        <f>VLOOKUP(A1,DIV_12Data!$A$1:$DZU$1000000,1263,FALSE)</f>
        <v>#N/A</v>
      </c>
      <c r="E75" s="32" t="e">
        <f>VLOOKUP(A1,DIV_12Data!$A$1:$DZU$1000000,1264,FALSE)</f>
        <v>#N/A</v>
      </c>
      <c r="F75" s="34" t="e">
        <f>VLOOKUP(A1,DIV_12Data!$A$1:$DZU$1000000,1265,FALSE)</f>
        <v>#N/A</v>
      </c>
      <c r="G75" s="33" t="e">
        <f>VLOOKUP(A1,DIV_12Data!$A$1:$DZU$1000000,1266,FALSE)</f>
        <v>#N/A</v>
      </c>
      <c r="H75" s="34" t="e">
        <f>VLOOKUP(A1,DIV_12Data!$A$1:$DZU$1000000,1267,FALSE)</f>
        <v>#N/A</v>
      </c>
      <c r="I75" s="33" t="e">
        <f>VLOOKUP(A1,DIV_12Data!$A$1:$DZU$1000000,1268,FALSE)</f>
        <v>#N/A</v>
      </c>
      <c r="J75" s="34" t="e">
        <f>VLOOKUP(A1,DIV_12Data!$A$1:$DZU$1000000,1269,FALSE)</f>
        <v>#N/A</v>
      </c>
      <c r="K75" s="34" t="e">
        <f>VLOOKUP(A1,DIV_12Data!$A$1:$DZU$1000000,1270,FALSE)</f>
        <v>#N/A</v>
      </c>
      <c r="L75" s="93" t="e">
        <f>VLOOKUP(A1,DIV_12Data!$A$1:$DZU$1000000,1271,FALSE)</f>
        <v>#N/A</v>
      </c>
      <c r="M75" s="33" t="e">
        <f>VLOOKUP(A1,DIV_12Data!$A$1:$DZU$1000000,1272,FALSE)</f>
        <v>#N/A</v>
      </c>
      <c r="N75" s="34" t="e">
        <f>VLOOKUP(A1,DIV_12Data!$A$1:$DZU$1000000,1273,FALSE)</f>
        <v>#N/A</v>
      </c>
      <c r="O75" s="33" t="e">
        <f>VLOOKUP(A1,DIV_12Data!$A$1:$DZU$1000000,1274,FALSE)</f>
        <v>#N/A</v>
      </c>
      <c r="P75" s="46" t="e">
        <f>VLOOKUP(A1,DIV_12Data!$A$1:$DZU$1000000,1275,FALSE)</f>
        <v>#N/A</v>
      </c>
      <c r="Q75" s="33" t="e">
        <f>VLOOKUP(A1,DIV_12Data!$A$1:$DZU$1000000,1276,FALSE)</f>
        <v>#N/A</v>
      </c>
    </row>
    <row r="76" spans="1:17" x14ac:dyDescent="0.35">
      <c r="A76" s="22" t="e">
        <f>VLOOKUP(A1,DIV_12Data!$A$1:$DZU$1000000,1277,FALSE)</f>
        <v>#N/A</v>
      </c>
      <c r="B76" s="37" t="e">
        <f>VLOOKUP(A1,DIV_12Data!$A$1:$DZU$1000000,1278,FALSE)</f>
        <v>#N/A</v>
      </c>
      <c r="C76" s="38" t="e">
        <f>VLOOKUP(A1,DIV_12Data!$A$1:$DZU$1000000,1279,FALSE)</f>
        <v>#N/A</v>
      </c>
      <c r="D76" s="31" t="e">
        <f>VLOOKUP(A1,DIV_12Data!$A$1:$DZU$1000000,1280,FALSE)</f>
        <v>#N/A</v>
      </c>
      <c r="E76" s="32" t="e">
        <f>VLOOKUP(A1,DIV_12Data!$A$1:$DZU$1000000,1281,FALSE)</f>
        <v>#N/A</v>
      </c>
      <c r="F76" s="34" t="e">
        <f>VLOOKUP(A1,DIV_12Data!$A$1:$DZU$1000000,1282,FALSE)</f>
        <v>#N/A</v>
      </c>
      <c r="G76" s="33" t="e">
        <f>VLOOKUP(A1,DIV_12Data!$A$1:$DZU$1000000,1283,FALSE)</f>
        <v>#N/A</v>
      </c>
      <c r="H76" s="34" t="e">
        <f>VLOOKUP(A1,DIV_12Data!$A$1:$DZU$1000000,1284,FALSE)</f>
        <v>#N/A</v>
      </c>
      <c r="I76" s="33" t="e">
        <f>VLOOKUP(A1,DIV_12Data!$A$1:$DZU$1000000,1285,FALSE)</f>
        <v>#N/A</v>
      </c>
      <c r="J76" s="34" t="e">
        <f>VLOOKUP(A1,DIV_12Data!$A$1:$DZU$1000000,1286,FALSE)</f>
        <v>#N/A</v>
      </c>
      <c r="K76" s="34" t="e">
        <f>VLOOKUP(A1,DIV_12Data!$A$1:$DZU$1000000,1287,FALSE)</f>
        <v>#N/A</v>
      </c>
      <c r="L76" s="93" t="e">
        <f>VLOOKUP(A1,DIV_12Data!$A$1:$DZU$1000000,1288,FALSE)</f>
        <v>#N/A</v>
      </c>
      <c r="M76" s="33" t="e">
        <f>VLOOKUP(A1,DIV_12Data!$A$1:$DZU$1000000,1289,FALSE)</f>
        <v>#N/A</v>
      </c>
      <c r="N76" s="34" t="e">
        <f>VLOOKUP(A1,DIV_12Data!$A$1:$DZU$1000000,1290,FALSE)</f>
        <v>#N/A</v>
      </c>
      <c r="O76" s="33" t="e">
        <f>VLOOKUP(A1,DIV_12Data!$A$1:$DZU$1000000,1291,FALSE)</f>
        <v>#N/A</v>
      </c>
      <c r="P76" s="46" t="e">
        <f>VLOOKUP(A1,DIV_12Data!$A$1:$DZU$1000000,1292,FALSE)</f>
        <v>#N/A</v>
      </c>
      <c r="Q76" s="33" t="e">
        <f>VLOOKUP(A1,DIV_12Data!$A$1:$DZU$1000000,1293,FALSE)</f>
        <v>#N/A</v>
      </c>
    </row>
    <row r="77" spans="1:17" x14ac:dyDescent="0.35">
      <c r="A77" s="22" t="e">
        <f>VLOOKUP(A1,DIV_12Data!$A$1:$DZU$1000000,1294,FALSE)</f>
        <v>#N/A</v>
      </c>
      <c r="B77" s="37" t="e">
        <f>VLOOKUP(A1,DIV_12Data!$A$1:$DZU$1000000,1295,FALSE)</f>
        <v>#N/A</v>
      </c>
      <c r="C77" s="38" t="e">
        <f>VLOOKUP(A1,DIV_12Data!$A$1:$DZU$1000000,1296,FALSE)</f>
        <v>#N/A</v>
      </c>
      <c r="D77" s="31" t="e">
        <f>VLOOKUP(A1,DIV_12Data!$A$1:$DZU$1000000,1297,FALSE)</f>
        <v>#N/A</v>
      </c>
      <c r="E77" s="32" t="e">
        <f>VLOOKUP(A1,DIV_12Data!$A$1:$DZU$1000000,1298,FALSE)</f>
        <v>#N/A</v>
      </c>
      <c r="F77" s="34" t="e">
        <f>VLOOKUP(A1,DIV_12Data!$A$1:$DZU$1000000,1299,FALSE)</f>
        <v>#N/A</v>
      </c>
      <c r="G77" s="33" t="e">
        <f>VLOOKUP(A1,DIV_12Data!$A$1:$DZU$1000000,1300,FALSE)</f>
        <v>#N/A</v>
      </c>
      <c r="H77" s="34" t="e">
        <f>VLOOKUP(A1,DIV_12Data!$A$1:$DZU$1000000,1301,FALSE)</f>
        <v>#N/A</v>
      </c>
      <c r="I77" s="33" t="e">
        <f>VLOOKUP(A1,DIV_12Data!$A$1:$DZU$1000000,1302,FALSE)</f>
        <v>#N/A</v>
      </c>
      <c r="J77" s="34" t="e">
        <f>VLOOKUP(A1,DIV_12Data!$A$1:$DZU$1000000,1303,FALSE)</f>
        <v>#N/A</v>
      </c>
      <c r="K77" s="34" t="e">
        <f>VLOOKUP(A1,DIV_12Data!$A$1:$DZU$1000000,1304,FALSE)</f>
        <v>#N/A</v>
      </c>
      <c r="L77" s="93" t="e">
        <f>VLOOKUP(A1,DIV_12Data!$A$1:$DZU$1000000,1305,FALSE)</f>
        <v>#N/A</v>
      </c>
      <c r="M77" s="33" t="e">
        <f>VLOOKUP(A1,DIV_12Data!$A$1:$DZU$1000000,1306,FALSE)</f>
        <v>#N/A</v>
      </c>
      <c r="N77" s="34" t="e">
        <f>VLOOKUP(A1,DIV_12Data!$A$1:$DZU$1000000,1307,FALSE)</f>
        <v>#N/A</v>
      </c>
      <c r="O77" s="33" t="e">
        <f>VLOOKUP(A1,DIV_12Data!$A$1:$DZU$1000000,1308,FALSE)</f>
        <v>#N/A</v>
      </c>
      <c r="P77" s="46" t="e">
        <f>VLOOKUP(A1,DIV_12Data!$A$1:$DZU$1000000,1309,FALSE)</f>
        <v>#N/A</v>
      </c>
      <c r="Q77" s="33" t="e">
        <f>VLOOKUP(A1,DIV_12Data!$A$1:$DZU$1000000,1310,FALSE)</f>
        <v>#N/A</v>
      </c>
    </row>
    <row r="78" spans="1:17" x14ac:dyDescent="0.35">
      <c r="A78" s="22" t="e">
        <f>VLOOKUP(A1,DIV_12Data!$A$1:$DZU$1000000,1311,FALSE)</f>
        <v>#N/A</v>
      </c>
      <c r="B78" s="37" t="e">
        <f>VLOOKUP(A1,DIV_12Data!$A$1:$DZU$1000000,1312,FALSE)</f>
        <v>#N/A</v>
      </c>
      <c r="C78" s="38" t="e">
        <f>VLOOKUP(A1,DIV_12Data!$A$1:$DZU$1000000,1313,FALSE)</f>
        <v>#N/A</v>
      </c>
      <c r="D78" s="31" t="e">
        <f>VLOOKUP(A1,DIV_12Data!$A$1:$DZU$1000000,1314,FALSE)</f>
        <v>#N/A</v>
      </c>
      <c r="E78" s="32" t="e">
        <f>VLOOKUP(A1,DIV_12Data!$A$1:$DZU$1000000,1315,FALSE)</f>
        <v>#N/A</v>
      </c>
      <c r="F78" s="34" t="e">
        <f>VLOOKUP(A1,DIV_12Data!$A$1:$DZU$1000000,1316,FALSE)</f>
        <v>#N/A</v>
      </c>
      <c r="G78" s="33" t="e">
        <f>VLOOKUP(A1,DIV_12Data!$A$1:$DZU$1000000,1317,FALSE)</f>
        <v>#N/A</v>
      </c>
      <c r="H78" s="34" t="e">
        <f>VLOOKUP(A1,DIV_12Data!$A$1:$DZU$1000000,1318,FALSE)</f>
        <v>#N/A</v>
      </c>
      <c r="I78" s="33" t="e">
        <f>VLOOKUP(A1,DIV_12Data!$A$1:$DZU$1000000,1319,FALSE)</f>
        <v>#N/A</v>
      </c>
      <c r="J78" s="34" t="e">
        <f>VLOOKUP(A1,DIV_12Data!$A$1:$DZU$1000000,1320,FALSE)</f>
        <v>#N/A</v>
      </c>
      <c r="K78" s="34" t="e">
        <f>VLOOKUP(A1,DIV_12Data!$A$1:$DZU$1000000,1321,FALSE)</f>
        <v>#N/A</v>
      </c>
      <c r="L78" s="93" t="e">
        <f>VLOOKUP(A1,DIV_12Data!$A$1:$DZU$1000000,1322,FALSE)</f>
        <v>#N/A</v>
      </c>
      <c r="M78" s="33" t="e">
        <f>VLOOKUP(A1,DIV_12Data!$A$1:$DZU$1000000,1323,FALSE)</f>
        <v>#N/A</v>
      </c>
      <c r="N78" s="34" t="e">
        <f>VLOOKUP(A1,DIV_12Data!$A$1:$DZU$1000000,1324,FALSE)</f>
        <v>#N/A</v>
      </c>
      <c r="O78" s="33" t="e">
        <f>VLOOKUP(A1,DIV_12Data!$A$1:$DZU$1000000,1325,FALSE)</f>
        <v>#N/A</v>
      </c>
      <c r="P78" s="46" t="e">
        <f>VLOOKUP(A1,DIV_12Data!$A$1:$DZU$1000000,1326,FALSE)</f>
        <v>#N/A</v>
      </c>
      <c r="Q78" s="33" t="e">
        <f>VLOOKUP(A1,DIV_12Data!$A$1:$DZU$1000000,1327,FALSE)</f>
        <v>#N/A</v>
      </c>
    </row>
    <row r="79" spans="1:17" x14ac:dyDescent="0.35">
      <c r="A79" s="22" t="e">
        <f>VLOOKUP(A1,DIV_12Data!$A$1:$DZU$1000000,1328,FALSE)</f>
        <v>#N/A</v>
      </c>
      <c r="B79" s="37" t="e">
        <f>VLOOKUP(A1,DIV_12Data!$A$1:$DZU$1000000,1329,FALSE)</f>
        <v>#N/A</v>
      </c>
      <c r="C79" s="38" t="e">
        <f>VLOOKUP(A1,DIV_12Data!$A$1:$DZU$1000000,1330,FALSE)</f>
        <v>#N/A</v>
      </c>
      <c r="D79" s="31" t="e">
        <f>VLOOKUP(A1,DIV_12Data!$A$1:$DZU$1000000,1331,FALSE)</f>
        <v>#N/A</v>
      </c>
      <c r="E79" s="32" t="e">
        <f>VLOOKUP(A1,DIV_12Data!$A$1:$DZU$1000000,1332,FALSE)</f>
        <v>#N/A</v>
      </c>
      <c r="F79" s="34" t="e">
        <f>VLOOKUP(A1,DIV_12Data!$A$1:$DZU$1000000,1333,FALSE)</f>
        <v>#N/A</v>
      </c>
      <c r="G79" s="33" t="e">
        <f>VLOOKUP(A1,DIV_12Data!$A$1:$DZU$1000000,1334,FALSE)</f>
        <v>#N/A</v>
      </c>
      <c r="H79" s="34" t="e">
        <f>VLOOKUP(A1,DIV_12Data!$A$1:$DZU$1000000,1335,FALSE)</f>
        <v>#N/A</v>
      </c>
      <c r="I79" s="33" t="e">
        <f>VLOOKUP(A1,DIV_12Data!$A$1:$DZU$1000000,1336,FALSE)</f>
        <v>#N/A</v>
      </c>
      <c r="J79" s="34" t="e">
        <f>VLOOKUP(A1,DIV_12Data!$A$1:$DZU$1000000,1337,FALSE)</f>
        <v>#N/A</v>
      </c>
      <c r="K79" s="34" t="e">
        <f>VLOOKUP(A1,DIV_12Data!$A$1:$DZU$1000000,1338,FALSE)</f>
        <v>#N/A</v>
      </c>
      <c r="L79" s="93" t="e">
        <f>VLOOKUP(A1,DIV_12Data!$A$1:$DZU$1000000,1339,FALSE)</f>
        <v>#N/A</v>
      </c>
      <c r="M79" s="33" t="e">
        <f>VLOOKUP(A1,DIV_12Data!$A$1:$DZU$1000000,1340,FALSE)</f>
        <v>#N/A</v>
      </c>
      <c r="N79" s="34" t="e">
        <f>VLOOKUP(A1,DIV_12Data!$A$1:$DZU$1000000,1341,FALSE)</f>
        <v>#N/A</v>
      </c>
      <c r="O79" s="33" t="e">
        <f>VLOOKUP(A1,DIV_12Data!$A$1:$DZU$1000000,1342,FALSE)</f>
        <v>#N/A</v>
      </c>
      <c r="P79" s="46" t="e">
        <f>VLOOKUP(A1,DIV_12Data!$A$1:$DZU$1000000,1343,FALSE)</f>
        <v>#N/A</v>
      </c>
      <c r="Q79" s="33" t="e">
        <f>VLOOKUP(A1,DIV_12Data!$A$1:$DZU$1000000,1344,FALSE)</f>
        <v>#N/A</v>
      </c>
    </row>
    <row r="80" spans="1:17" x14ac:dyDescent="0.35">
      <c r="A80" s="22" t="e">
        <f>VLOOKUP(A1,DIV_12Data!$A$1:$DZU$1000000,1345,FALSE)</f>
        <v>#N/A</v>
      </c>
      <c r="B80" s="37" t="e">
        <f>VLOOKUP(A1,DIV_12Data!$A$1:$DZU$1000000,1346,FALSE)</f>
        <v>#N/A</v>
      </c>
      <c r="C80" s="38" t="e">
        <f>VLOOKUP(A1,DIV_12Data!$A$1:$DZU$1000000,1347,FALSE)</f>
        <v>#N/A</v>
      </c>
      <c r="D80" s="31" t="e">
        <f>VLOOKUP(A1,DIV_12Data!$A$1:$DZU$1000000,1348,FALSE)</f>
        <v>#N/A</v>
      </c>
      <c r="E80" s="32" t="e">
        <f>VLOOKUP(A1,DIV_12Data!$A$1:$DZU$1000000,1349,FALSE)</f>
        <v>#N/A</v>
      </c>
      <c r="F80" s="34" t="e">
        <f>VLOOKUP(A1,DIV_12Data!$A$1:$DZU$1000000,1350,FALSE)</f>
        <v>#N/A</v>
      </c>
      <c r="G80" s="33" t="e">
        <f>VLOOKUP(A1,DIV_12Data!$A$1:$DZU$1000000,1351,FALSE)</f>
        <v>#N/A</v>
      </c>
      <c r="H80" s="34" t="e">
        <f>VLOOKUP(A1,DIV_12Data!$A$1:$DZU$1000000,1352,FALSE)</f>
        <v>#N/A</v>
      </c>
      <c r="I80" s="33" t="e">
        <f>VLOOKUP(A1,DIV_12Data!$A$1:$DZU$1000000,1353,FALSE)</f>
        <v>#N/A</v>
      </c>
      <c r="J80" s="34" t="e">
        <f>VLOOKUP(A1,DIV_12Data!$A$1:$DZU$1000000,1354,FALSE)</f>
        <v>#N/A</v>
      </c>
      <c r="K80" s="34" t="e">
        <f>VLOOKUP(A1,DIV_12Data!$A$1:$DZU$1000000,1355,FALSE)</f>
        <v>#N/A</v>
      </c>
      <c r="L80" s="93" t="e">
        <f>VLOOKUP(A1,DIV_12Data!$A$1:$DZU$1000000,1356,FALSE)</f>
        <v>#N/A</v>
      </c>
      <c r="M80" s="33" t="e">
        <f>VLOOKUP(A1,DIV_12Data!$A$1:$DZU$1000000,1357,FALSE)</f>
        <v>#N/A</v>
      </c>
      <c r="N80" s="34" t="e">
        <f>VLOOKUP(A1,DIV_12Data!$A$1:$DZU$1000000,1358,FALSE)</f>
        <v>#N/A</v>
      </c>
      <c r="O80" s="33" t="e">
        <f>VLOOKUP(A1,DIV_12Data!$A$1:$DZU$1000000,1359,FALSE)</f>
        <v>#N/A</v>
      </c>
      <c r="P80" s="46" t="e">
        <f>VLOOKUP(A1,DIV_12Data!$A$1:$DZU$1000000,1360,FALSE)</f>
        <v>#N/A</v>
      </c>
      <c r="Q80" s="33" t="e">
        <f>VLOOKUP(A1,DIV_12Data!$A$1:$DZU$1000000,1361,FALSE)</f>
        <v>#N/A</v>
      </c>
    </row>
    <row r="81" spans="1:17" x14ac:dyDescent="0.35">
      <c r="A81" s="22" t="e">
        <f>VLOOKUP(A1,DIV_12Data!$A$1:$DZU$1000000,1362,FALSE)</f>
        <v>#N/A</v>
      </c>
      <c r="B81" s="37" t="e">
        <f>VLOOKUP(A1,DIV_12Data!$A$1:$DZU$1000000,1363,FALSE)</f>
        <v>#N/A</v>
      </c>
      <c r="C81" s="38" t="e">
        <f>VLOOKUP(A1,DIV_12Data!$A$1:$DZU$1000000,1364,FALSE)</f>
        <v>#N/A</v>
      </c>
      <c r="D81" s="31" t="e">
        <f>VLOOKUP(A1,DIV_12Data!$A$1:$DZU$1000000,1365,FALSE)</f>
        <v>#N/A</v>
      </c>
      <c r="E81" s="32" t="e">
        <f>VLOOKUP(A1,DIV_12Data!$A$1:$DZU$1000000,1366,FALSE)</f>
        <v>#N/A</v>
      </c>
      <c r="F81" s="34" t="e">
        <f>VLOOKUP(A1,DIV_12Data!$A$1:$DZU$1000000,1367,FALSE)</f>
        <v>#N/A</v>
      </c>
      <c r="G81" s="33" t="e">
        <f>VLOOKUP(A1,DIV_12Data!$A$1:$DZU$1000000,1368,FALSE)</f>
        <v>#N/A</v>
      </c>
      <c r="H81" s="34" t="e">
        <f>VLOOKUP(A1,DIV_12Data!$A$1:$DZU$1000000,1369,FALSE)</f>
        <v>#N/A</v>
      </c>
      <c r="I81" s="33" t="e">
        <f>VLOOKUP(A1,DIV_12Data!$A$1:$DZU$1000000,1370,FALSE)</f>
        <v>#N/A</v>
      </c>
      <c r="J81" s="34" t="e">
        <f>VLOOKUP(A1,DIV_12Data!$A$1:$DZU$1000000,1371,FALSE)</f>
        <v>#N/A</v>
      </c>
      <c r="K81" s="34" t="e">
        <f>VLOOKUP(A1,DIV_12Data!$A$1:$DZU$1000000,1372,FALSE)</f>
        <v>#N/A</v>
      </c>
      <c r="L81" s="93" t="e">
        <f>VLOOKUP(A1,DIV_12Data!$A$1:$DZU$1000000,1373,FALSE)</f>
        <v>#N/A</v>
      </c>
      <c r="M81" s="33" t="e">
        <f>VLOOKUP(A1,DIV_12Data!$A$1:$DZU$1000000,1374,FALSE)</f>
        <v>#N/A</v>
      </c>
      <c r="N81" s="34" t="e">
        <f>VLOOKUP(A1,DIV_12Data!$A$1:$DZU$1000000,1375,FALSE)</f>
        <v>#N/A</v>
      </c>
      <c r="O81" s="33" t="e">
        <f>VLOOKUP(A1,DIV_12Data!$A$1:$DZU$1000000,1376,FALSE)</f>
        <v>#N/A</v>
      </c>
      <c r="P81" s="46" t="e">
        <f>VLOOKUP(A1,DIV_12Data!$A$1:$DZU$1000000,1377,FALSE)</f>
        <v>#N/A</v>
      </c>
      <c r="Q81" s="33" t="e">
        <f>VLOOKUP(A1,DIV_12Data!$A$1:$DZU$1000000,1378,FALSE)</f>
        <v>#N/A</v>
      </c>
    </row>
    <row r="82" spans="1:17" x14ac:dyDescent="0.35">
      <c r="A82" s="22" t="e">
        <f>VLOOKUP(A1,DIV_12Data!$A$1:$DZU$1000000,1379,FALSE)</f>
        <v>#N/A</v>
      </c>
      <c r="B82" s="37" t="e">
        <f>VLOOKUP(A1,DIV_12Data!$A$1:$DZU$1000000,1380,FALSE)</f>
        <v>#N/A</v>
      </c>
      <c r="C82" s="38" t="e">
        <f>VLOOKUP(A1,DIV_12Data!$A$1:$DZU$1000000,1381,FALSE)</f>
        <v>#N/A</v>
      </c>
      <c r="D82" s="31" t="e">
        <f>VLOOKUP(A1,DIV_12Data!$A$1:$DZU$1000000,1382,FALSE)</f>
        <v>#N/A</v>
      </c>
      <c r="E82" s="32" t="e">
        <f>VLOOKUP(A1,DIV_12Data!$A$1:$DZU$1000000,1383,FALSE)</f>
        <v>#N/A</v>
      </c>
      <c r="F82" s="34" t="e">
        <f>VLOOKUP(A1,DIV_12Data!$A$1:$DZU$1000000,1384,FALSE)</f>
        <v>#N/A</v>
      </c>
      <c r="G82" s="33" t="e">
        <f>VLOOKUP(A1,DIV_12Data!$A$1:$DZU$1000000,1385,FALSE)</f>
        <v>#N/A</v>
      </c>
      <c r="H82" s="34" t="e">
        <f>VLOOKUP(A1,DIV_12Data!$A$1:$DZU$1000000,1386,FALSE)</f>
        <v>#N/A</v>
      </c>
      <c r="I82" s="33" t="e">
        <f>VLOOKUP(A1,DIV_12Data!$A$1:$DZU$1000000,1387,FALSE)</f>
        <v>#N/A</v>
      </c>
      <c r="J82" s="34" t="e">
        <f>VLOOKUP(A1,DIV_12Data!$A$1:$DZU$1000000,1388,FALSE)</f>
        <v>#N/A</v>
      </c>
      <c r="K82" s="34" t="e">
        <f>VLOOKUP(A1,DIV_12Data!$A$1:$DZU$1000000,1389,FALSE)</f>
        <v>#N/A</v>
      </c>
      <c r="L82" s="93" t="e">
        <f>VLOOKUP(A1,DIV_12Data!$A$1:$DZU$1000000,1390,FALSE)</f>
        <v>#N/A</v>
      </c>
      <c r="M82" s="33" t="e">
        <f>VLOOKUP(A1,DIV_12Data!$A$1:$DZU$1000000,1391,FALSE)</f>
        <v>#N/A</v>
      </c>
      <c r="N82" s="34" t="e">
        <f>VLOOKUP(A1,DIV_12Data!$A$1:$DZU$1000000,1392,FALSE)</f>
        <v>#N/A</v>
      </c>
      <c r="O82" s="33" t="e">
        <f>VLOOKUP(A1,DIV_12Data!$A$1:$DZU$1000000,1393,FALSE)</f>
        <v>#N/A</v>
      </c>
      <c r="P82" s="46" t="e">
        <f>VLOOKUP(A1,DIV_12Data!$A$1:$DZU$1000000,1394,FALSE)</f>
        <v>#N/A</v>
      </c>
      <c r="Q82" s="33" t="e">
        <f>VLOOKUP(A1,DIV_12Data!$A$1:$DZU$1000000,1395,FALSE)</f>
        <v>#N/A</v>
      </c>
    </row>
    <row r="83" spans="1:17" x14ac:dyDescent="0.35">
      <c r="A83" s="22" t="e">
        <f>VLOOKUP(A1,DIV_12Data!$A$1:$DZU$1000000,1396,FALSE)</f>
        <v>#N/A</v>
      </c>
      <c r="B83" s="37" t="e">
        <f>VLOOKUP(A1,DIV_12Data!$A$1:$DZU$1000000,1397,FALSE)</f>
        <v>#N/A</v>
      </c>
      <c r="C83" s="38" t="e">
        <f>VLOOKUP(A1,DIV_12Data!$A$1:$DZU$1000000,1398,FALSE)</f>
        <v>#N/A</v>
      </c>
      <c r="D83" s="31" t="e">
        <f>VLOOKUP(A1,DIV_12Data!$A$1:$DZU$1000000,1399,FALSE)</f>
        <v>#N/A</v>
      </c>
      <c r="E83" s="32" t="e">
        <f>VLOOKUP(A1,DIV_12Data!$A$1:$DZU$1000000,1400,FALSE)</f>
        <v>#N/A</v>
      </c>
      <c r="F83" s="34" t="e">
        <f>VLOOKUP(A1,DIV_12Data!$A$1:$DZU$1000000,1401,FALSE)</f>
        <v>#N/A</v>
      </c>
      <c r="G83" s="33" t="e">
        <f>VLOOKUP(A1,DIV_12Data!$A$1:$DZU$1000000,1402,FALSE)</f>
        <v>#N/A</v>
      </c>
      <c r="H83" s="34" t="e">
        <f>VLOOKUP(A1,DIV_12Data!$A$1:$DZU$1000000,1403,FALSE)</f>
        <v>#N/A</v>
      </c>
      <c r="I83" s="33" t="e">
        <f>VLOOKUP(A1,DIV_12Data!$A$1:$DZU$1000000,1404,FALSE)</f>
        <v>#N/A</v>
      </c>
      <c r="J83" s="34" t="e">
        <f>VLOOKUP(A1,DIV_12Data!$A$1:$DZU$1000000,1405,FALSE)</f>
        <v>#N/A</v>
      </c>
      <c r="K83" s="34" t="e">
        <f>VLOOKUP(A1,DIV_12Data!$A$1:$DZU$1000000,1406,FALSE)</f>
        <v>#N/A</v>
      </c>
      <c r="L83" s="93" t="e">
        <f>VLOOKUP(A1,DIV_12Data!$A$1:$DZU$1000000,1407,FALSE)</f>
        <v>#N/A</v>
      </c>
      <c r="M83" s="33" t="e">
        <f>VLOOKUP(A1,DIV_12Data!$A$1:$DZU$1000000,1408,FALSE)</f>
        <v>#N/A</v>
      </c>
      <c r="N83" s="34" t="e">
        <f>VLOOKUP(A1,DIV_12Data!$A$1:$DZU$1000000,1409,FALSE)</f>
        <v>#N/A</v>
      </c>
      <c r="O83" s="33" t="e">
        <f>VLOOKUP(A1,DIV_12Data!$A$1:$DZU$1000000,1410,FALSE)</f>
        <v>#N/A</v>
      </c>
      <c r="P83" s="46" t="e">
        <f>VLOOKUP(A1,DIV_12Data!$A$1:$DZU$1000000,1411,FALSE)</f>
        <v>#N/A</v>
      </c>
      <c r="Q83" s="33" t="e">
        <f>VLOOKUP(A1,DIV_12Data!$A$1:$DZU$1000000,1412,FALSE)</f>
        <v>#N/A</v>
      </c>
    </row>
    <row r="84" spans="1:17" x14ac:dyDescent="0.35">
      <c r="A84" s="22" t="e">
        <f>VLOOKUP(A1,DIV_12Data!$A$1:$DZU$1000000,1413,FALSE)</f>
        <v>#N/A</v>
      </c>
      <c r="B84" s="37" t="e">
        <f>VLOOKUP(A1,DIV_12Data!$A$1:$DZU$1000000,1414,FALSE)</f>
        <v>#N/A</v>
      </c>
      <c r="C84" s="38" t="e">
        <f>VLOOKUP(A1,DIV_12Data!$A$1:$DZU$1000000,1415,FALSE)</f>
        <v>#N/A</v>
      </c>
      <c r="D84" s="31" t="e">
        <f>VLOOKUP(A1,DIV_12Data!$A$1:$DZU$1000000,1416,FALSE)</f>
        <v>#N/A</v>
      </c>
      <c r="E84" s="32" t="e">
        <f>VLOOKUP(A1,DIV_12Data!$A$1:$DZU$1000000,1417,FALSE)</f>
        <v>#N/A</v>
      </c>
      <c r="F84" s="34" t="e">
        <f>VLOOKUP(A1,DIV_12Data!$A$1:$DZU$1000000,1418,FALSE)</f>
        <v>#N/A</v>
      </c>
      <c r="G84" s="33" t="e">
        <f>VLOOKUP(A1,DIV_12Data!$A$1:$DZU$1000000,1419,FALSE)</f>
        <v>#N/A</v>
      </c>
      <c r="H84" s="34" t="e">
        <f>VLOOKUP(A1,DIV_12Data!$A$1:$DZU$1000000,1420,FALSE)</f>
        <v>#N/A</v>
      </c>
      <c r="I84" s="33" t="e">
        <f>VLOOKUP(A1,DIV_12Data!$A$1:$DZU$1000000,1421,FALSE)</f>
        <v>#N/A</v>
      </c>
      <c r="J84" s="34" t="e">
        <f>VLOOKUP(A1,DIV_12Data!$A$1:$DZU$1000000,1422,FALSE)</f>
        <v>#N/A</v>
      </c>
      <c r="K84" s="34" t="e">
        <f>VLOOKUP(A1,DIV_12Data!$A$1:$DZU$1000000,1423,FALSE)</f>
        <v>#N/A</v>
      </c>
      <c r="L84" s="93" t="e">
        <f>VLOOKUP(A1,DIV_12Data!$A$1:$DZU$1000000,1424,FALSE)</f>
        <v>#N/A</v>
      </c>
      <c r="M84" s="33" t="e">
        <f>VLOOKUP(A1,DIV_12Data!$A$1:$DZU$1000000,1425,FALSE)</f>
        <v>#N/A</v>
      </c>
      <c r="N84" s="34" t="e">
        <f>VLOOKUP(A1,DIV_12Data!$A$1:$DZU$1000000,1426,FALSE)</f>
        <v>#N/A</v>
      </c>
      <c r="O84" s="33" t="e">
        <f>VLOOKUP(A1,DIV_12Data!$A$1:$DZU$1000000,1427,FALSE)</f>
        <v>#N/A</v>
      </c>
      <c r="P84" s="46" t="e">
        <f>VLOOKUP(A1,DIV_12Data!$A$1:$DZU$1000000,1428,FALSE)</f>
        <v>#N/A</v>
      </c>
      <c r="Q84" s="33" t="e">
        <f>VLOOKUP(A1,DIV_12Data!$A$1:$DZU$1000000,1429,FALSE)</f>
        <v>#N/A</v>
      </c>
    </row>
    <row r="85" spans="1:17" x14ac:dyDescent="0.35">
      <c r="A85" s="22" t="e">
        <f>VLOOKUP(A1,DIV_12Data!$A$1:$DZU$1000000,1430,FALSE)</f>
        <v>#N/A</v>
      </c>
      <c r="B85" s="37" t="e">
        <f>VLOOKUP(A1,DIV_12Data!$A$1:$DZU$1000000,1431,FALSE)</f>
        <v>#N/A</v>
      </c>
      <c r="C85" s="38" t="e">
        <f>VLOOKUP(A1,DIV_12Data!$A$1:$DZU$1000000,1432,FALSE)</f>
        <v>#N/A</v>
      </c>
      <c r="D85" s="31" t="e">
        <f>VLOOKUP(A1,DIV_12Data!$A$1:$DZU$1000000,1433,FALSE)</f>
        <v>#N/A</v>
      </c>
      <c r="E85" s="32" t="e">
        <f>VLOOKUP(A1,DIV_12Data!$A$1:$DZU$1000000,1434,FALSE)</f>
        <v>#N/A</v>
      </c>
      <c r="F85" s="34" t="e">
        <f>VLOOKUP(A1,DIV_12Data!$A$1:$DZU$1000000,1435,FALSE)</f>
        <v>#N/A</v>
      </c>
      <c r="G85" s="33" t="e">
        <f>VLOOKUP(A1,DIV_12Data!$A$1:$DZU$1000000,1436,FALSE)</f>
        <v>#N/A</v>
      </c>
      <c r="H85" s="34" t="e">
        <f>VLOOKUP(A1,DIV_12Data!$A$1:$DZU$1000000,1437,FALSE)</f>
        <v>#N/A</v>
      </c>
      <c r="I85" s="33" t="e">
        <f>VLOOKUP(A1,DIV_12Data!$A$1:$DZU$1000000,1438,FALSE)</f>
        <v>#N/A</v>
      </c>
      <c r="J85" s="34" t="e">
        <f>VLOOKUP(A1,DIV_12Data!$A$1:$DZU$1000000,1439,FALSE)</f>
        <v>#N/A</v>
      </c>
      <c r="K85" s="34" t="e">
        <f>VLOOKUP(A1,DIV_12Data!$A$1:$DZU$1000000,1440,FALSE)</f>
        <v>#N/A</v>
      </c>
      <c r="L85" s="93" t="e">
        <f>VLOOKUP(A1,DIV_12Data!$A$1:$DZU$1000000,1441,FALSE)</f>
        <v>#N/A</v>
      </c>
      <c r="M85" s="33" t="e">
        <f>VLOOKUP(A1,DIV_12Data!$A$1:$DZU$1000000,1442,FALSE)</f>
        <v>#N/A</v>
      </c>
      <c r="N85" s="34" t="e">
        <f>VLOOKUP(A1,DIV_12Data!$A$1:$DZU$1000000,1443,FALSE)</f>
        <v>#N/A</v>
      </c>
      <c r="O85" s="33" t="e">
        <f>VLOOKUP(A1,DIV_12Data!$A$1:$DZU$1000000,1444,FALSE)</f>
        <v>#N/A</v>
      </c>
      <c r="P85" s="46" t="e">
        <f>VLOOKUP(A1,DIV_12Data!$A$1:$DZU$1000000,1445,FALSE)</f>
        <v>#N/A</v>
      </c>
      <c r="Q85" s="33" t="e">
        <f>VLOOKUP(A1,DIV_12Data!$A$1:$DZU$1000000,1446,FALSE)</f>
        <v>#N/A</v>
      </c>
    </row>
    <row r="86" spans="1:17" x14ac:dyDescent="0.35">
      <c r="A86" s="22" t="e">
        <f>VLOOKUP(A1,DIV_12Data!$A$1:$DZU$1000000,1447,FALSE)</f>
        <v>#N/A</v>
      </c>
      <c r="B86" s="37" t="e">
        <f>VLOOKUP(A1,DIV_12Data!$A$1:$DZU$1000000,1448,FALSE)</f>
        <v>#N/A</v>
      </c>
      <c r="C86" s="38" t="e">
        <f>VLOOKUP(A1,DIV_12Data!$A$1:$DZU$1000000,1449,FALSE)</f>
        <v>#N/A</v>
      </c>
      <c r="D86" s="31" t="e">
        <f>VLOOKUP(A1,DIV_12Data!$A$1:$DZU$1000000,1450,FALSE)</f>
        <v>#N/A</v>
      </c>
      <c r="E86" s="32" t="e">
        <f>VLOOKUP(A1,DIV_12Data!$A$1:$DZU$1000000,1451,FALSE)</f>
        <v>#N/A</v>
      </c>
      <c r="F86" s="34" t="e">
        <f>VLOOKUP(A1,DIV_12Data!$A$1:$DZU$1000000,1452,FALSE)</f>
        <v>#N/A</v>
      </c>
      <c r="G86" s="33" t="e">
        <f>VLOOKUP(A1,DIV_12Data!$A$1:$DZU$1000000,1453,FALSE)</f>
        <v>#N/A</v>
      </c>
      <c r="H86" s="34" t="e">
        <f>VLOOKUP(A1,DIV_12Data!$A$1:$DZU$1000000,1454,FALSE)</f>
        <v>#N/A</v>
      </c>
      <c r="I86" s="33" t="e">
        <f>VLOOKUP(A1,DIV_12Data!$A$1:$DZU$1000000,1455,FALSE)</f>
        <v>#N/A</v>
      </c>
      <c r="J86" s="34" t="e">
        <f>VLOOKUP(A1,DIV_12Data!$A$1:$DZU$1000000,1456,FALSE)</f>
        <v>#N/A</v>
      </c>
      <c r="K86" s="34" t="e">
        <f>VLOOKUP(A1,DIV_12Data!$A$1:$DZU$1000000,1457,FALSE)</f>
        <v>#N/A</v>
      </c>
      <c r="L86" s="93" t="e">
        <f>VLOOKUP(A1,DIV_12Data!$A$1:$DZU$1000000,1458,FALSE)</f>
        <v>#N/A</v>
      </c>
      <c r="M86" s="33" t="e">
        <f>VLOOKUP(A1,DIV_12Data!$A$1:$DZU$1000000,1459,FALSE)</f>
        <v>#N/A</v>
      </c>
      <c r="N86" s="34" t="e">
        <f>VLOOKUP(A1,DIV_12Data!$A$1:$DZU$1000000,1460,FALSE)</f>
        <v>#N/A</v>
      </c>
      <c r="O86" s="33" t="e">
        <f>VLOOKUP(A1,DIV_12Data!$A$1:$DZU$1000000,1461,FALSE)</f>
        <v>#N/A</v>
      </c>
      <c r="P86" s="46" t="e">
        <f>VLOOKUP(A1,DIV_12Data!$A$1:$DZU$1000000,1462,FALSE)</f>
        <v>#N/A</v>
      </c>
      <c r="Q86" s="33" t="e">
        <f>VLOOKUP(A1,DIV_12Data!$A$1:$DZU$1000000,1463,FALSE)</f>
        <v>#N/A</v>
      </c>
    </row>
    <row r="87" spans="1:17" x14ac:dyDescent="0.35">
      <c r="A87" s="22" t="e">
        <f>VLOOKUP(A1,DIV_12Data!$A$1:$DZU$1000000,1464,FALSE)</f>
        <v>#N/A</v>
      </c>
      <c r="B87" s="37" t="e">
        <f>VLOOKUP(A1,DIV_12Data!$A$1:$DZU$1000000,1465,FALSE)</f>
        <v>#N/A</v>
      </c>
      <c r="C87" s="38" t="e">
        <f>VLOOKUP(A1,DIV_12Data!$A$1:$DZU$1000000,1466,FALSE)</f>
        <v>#N/A</v>
      </c>
      <c r="D87" s="31" t="e">
        <f>VLOOKUP(A1,DIV_12Data!$A$1:$DZU$1000000,1467,FALSE)</f>
        <v>#N/A</v>
      </c>
      <c r="E87" s="32" t="e">
        <f>VLOOKUP(A1,DIV_12Data!$A$1:$DZU$1000000,1468,FALSE)</f>
        <v>#N/A</v>
      </c>
      <c r="F87" s="34" t="e">
        <f>VLOOKUP(A1,DIV_12Data!$A$1:$DZU$1000000,1469,FALSE)</f>
        <v>#N/A</v>
      </c>
      <c r="G87" s="33" t="e">
        <f>VLOOKUP(A1,DIV_12Data!$A$1:$DZU$1000000,1470,FALSE)</f>
        <v>#N/A</v>
      </c>
      <c r="H87" s="34" t="e">
        <f>VLOOKUP(A1,DIV_12Data!$A$1:$DZU$1000000,1471,FALSE)</f>
        <v>#N/A</v>
      </c>
      <c r="I87" s="33" t="e">
        <f>VLOOKUP(A1,DIV_12Data!$A$1:$DZU$1000000,1472,FALSE)</f>
        <v>#N/A</v>
      </c>
      <c r="J87" s="34" t="e">
        <f>VLOOKUP(A1,DIV_12Data!$A$1:$DZU$1000000,1473,FALSE)</f>
        <v>#N/A</v>
      </c>
      <c r="K87" s="34" t="e">
        <f>VLOOKUP(A1,DIV_12Data!$A$1:$DZU$1000000,1474,FALSE)</f>
        <v>#N/A</v>
      </c>
      <c r="L87" s="93" t="e">
        <f>VLOOKUP(A1,DIV_12Data!$A$1:$DZU$1000000,1475,FALSE)</f>
        <v>#N/A</v>
      </c>
      <c r="M87" s="33" t="e">
        <f>VLOOKUP(A1,DIV_12Data!$A$1:$DZU$1000000,1476,FALSE)</f>
        <v>#N/A</v>
      </c>
      <c r="N87" s="34" t="e">
        <f>VLOOKUP(A1,DIV_12Data!$A$1:$DZU$1000000,1477,FALSE)</f>
        <v>#N/A</v>
      </c>
      <c r="O87" s="33" t="e">
        <f>VLOOKUP(A1,DIV_12Data!$A$1:$DZU$1000000,1478,FALSE)</f>
        <v>#N/A</v>
      </c>
      <c r="P87" s="46" t="e">
        <f>VLOOKUP(A1,DIV_12Data!$A$1:$DZU$1000000,1479,FALSE)</f>
        <v>#N/A</v>
      </c>
      <c r="Q87" s="33" t="e">
        <f>VLOOKUP(A1,DIV_12Data!$A$1:$DZU$1000000,1480,FALSE)</f>
        <v>#N/A</v>
      </c>
    </row>
    <row r="88" spans="1:17" x14ac:dyDescent="0.35">
      <c r="A88" s="22" t="e">
        <f>VLOOKUP(A1,DIV_12Data!$A$1:$DZU$1000000,1481,FALSE)</f>
        <v>#N/A</v>
      </c>
      <c r="B88" s="37" t="e">
        <f>VLOOKUP(A1,DIV_12Data!$A$1:$DZU$1000000,1482,FALSE)</f>
        <v>#N/A</v>
      </c>
      <c r="C88" s="38" t="e">
        <f>VLOOKUP(A1,DIV_12Data!$A$1:$DZU$1000000,1483,FALSE)</f>
        <v>#N/A</v>
      </c>
      <c r="D88" s="31" t="e">
        <f>VLOOKUP(A1,DIV_12Data!$A$1:$DZU$1000000,1484,FALSE)</f>
        <v>#N/A</v>
      </c>
      <c r="E88" s="32" t="e">
        <f>VLOOKUP(A1,DIV_12Data!$A$1:$DZU$1000000,1485,FALSE)</f>
        <v>#N/A</v>
      </c>
      <c r="F88" s="34" t="e">
        <f>VLOOKUP(A1,DIV_12Data!$A$1:$DZU$1000000,1486,FALSE)</f>
        <v>#N/A</v>
      </c>
      <c r="G88" s="33" t="e">
        <f>VLOOKUP(A1,DIV_12Data!$A$1:$DZU$1000000,1487,FALSE)</f>
        <v>#N/A</v>
      </c>
      <c r="H88" s="34" t="e">
        <f>VLOOKUP(A1,DIV_12Data!$A$1:$DZU$1000000,1488,FALSE)</f>
        <v>#N/A</v>
      </c>
      <c r="I88" s="33" t="e">
        <f>VLOOKUP(A1,DIV_12Data!$A$1:$DZU$1000000,1489,FALSE)</f>
        <v>#N/A</v>
      </c>
      <c r="J88" s="34" t="e">
        <f>VLOOKUP(A1,DIV_12Data!$A$1:$DZU$1000000,1490,FALSE)</f>
        <v>#N/A</v>
      </c>
      <c r="K88" s="34" t="e">
        <f>VLOOKUP(A1,DIV_12Data!$A$1:$DZU$1000000,1491,FALSE)</f>
        <v>#N/A</v>
      </c>
      <c r="L88" s="93" t="e">
        <f>VLOOKUP(A1,DIV_12Data!$A$1:$DZU$1000000,1492,FALSE)</f>
        <v>#N/A</v>
      </c>
      <c r="M88" s="33" t="e">
        <f>VLOOKUP(A1,DIV_12Data!$A$1:$DZU$1000000,1493,FALSE)</f>
        <v>#N/A</v>
      </c>
      <c r="N88" s="34" t="e">
        <f>VLOOKUP(A1,DIV_12Data!$A$1:$DZU$1000000,1494,FALSE)</f>
        <v>#N/A</v>
      </c>
      <c r="O88" s="33" t="e">
        <f>VLOOKUP(A1,DIV_12Data!$A$1:$DZU$1000000,1495,FALSE)</f>
        <v>#N/A</v>
      </c>
      <c r="P88" s="46" t="e">
        <f>VLOOKUP(A1,DIV_12Data!$A$1:$DZU$1000000,1496,FALSE)</f>
        <v>#N/A</v>
      </c>
      <c r="Q88" s="33" t="e">
        <f>VLOOKUP(A1,DIV_12Data!$A$1:$DZU$1000000,1497,FALSE)</f>
        <v>#N/A</v>
      </c>
    </row>
    <row r="89" spans="1:17" x14ac:dyDescent="0.35">
      <c r="A89" s="22" t="e">
        <f>VLOOKUP(A1,DIV_12Data!$A$1:$DZU$1000000,1498,FALSE)</f>
        <v>#N/A</v>
      </c>
      <c r="B89" s="37" t="e">
        <f>VLOOKUP(A1,DIV_12Data!$A$1:$DZU$1000000,1499,FALSE)</f>
        <v>#N/A</v>
      </c>
      <c r="C89" s="38" t="e">
        <f>VLOOKUP(A1,DIV_12Data!$A$1:$DZU$1000000,1500,FALSE)</f>
        <v>#N/A</v>
      </c>
      <c r="D89" s="31" t="e">
        <f>VLOOKUP(A1,DIV_12Data!$A$1:$DZU$1000000,1501,FALSE)</f>
        <v>#N/A</v>
      </c>
      <c r="E89" s="32" t="e">
        <f>VLOOKUP(A1,DIV_12Data!$A$1:$DZU$1000000,1502,FALSE)</f>
        <v>#N/A</v>
      </c>
      <c r="F89" s="34" t="e">
        <f>VLOOKUP(A1,DIV_12Data!$A$1:$DZU$1000000,1503,FALSE)</f>
        <v>#N/A</v>
      </c>
      <c r="G89" s="33" t="e">
        <f>VLOOKUP(A1,DIV_12Data!$A$1:$DZU$1000000,1504,FALSE)</f>
        <v>#N/A</v>
      </c>
      <c r="H89" s="34" t="e">
        <f>VLOOKUP(A1,DIV_12Data!$A$1:$DZU$1000000,1505,FALSE)</f>
        <v>#N/A</v>
      </c>
      <c r="I89" s="33" t="e">
        <f>VLOOKUP(A1,DIV_12Data!$A$1:$DZU$1000000,1506,FALSE)</f>
        <v>#N/A</v>
      </c>
      <c r="J89" s="34" t="e">
        <f>VLOOKUP(A1,DIV_12Data!$A$1:$DZU$1000000,1507,FALSE)</f>
        <v>#N/A</v>
      </c>
      <c r="K89" s="34" t="e">
        <f>VLOOKUP(A1,DIV_12Data!$A$1:$DZU$1000000,1508,FALSE)</f>
        <v>#N/A</v>
      </c>
      <c r="L89" s="93" t="e">
        <f>VLOOKUP(A1,DIV_12Data!$A$1:$DZU$1000000,1509,FALSE)</f>
        <v>#N/A</v>
      </c>
      <c r="M89" s="33" t="e">
        <f>VLOOKUP(A1,DIV_12Data!$A$1:$DZU$1000000,1510,FALSE)</f>
        <v>#N/A</v>
      </c>
      <c r="N89" s="34" t="e">
        <f>VLOOKUP(A1,DIV_12Data!$A$1:$DZU$1000000,1511,FALSE)</f>
        <v>#N/A</v>
      </c>
      <c r="O89" s="33" t="e">
        <f>VLOOKUP(A1,DIV_12Data!$A$1:$DZU$1000000,1512,FALSE)</f>
        <v>#N/A</v>
      </c>
      <c r="P89" s="46" t="e">
        <f>VLOOKUP(A1,DIV_12Data!$A$1:$DZU$1000000,1513,FALSE)</f>
        <v>#N/A</v>
      </c>
      <c r="Q89" s="33" t="e">
        <f>VLOOKUP(A1,DIV_12Data!$A$1:$DZU$1000000,1514,FALSE)</f>
        <v>#N/A</v>
      </c>
    </row>
    <row r="90" spans="1:17" x14ac:dyDescent="0.35">
      <c r="A90" s="22" t="e">
        <f>VLOOKUP(A1,DIV_12Data!$A$1:$DZU$1000000,1515,FALSE)</f>
        <v>#N/A</v>
      </c>
      <c r="B90" s="37" t="e">
        <f>VLOOKUP(A1,DIV_12Data!$A$1:$DZU$1000000,1516,FALSE)</f>
        <v>#N/A</v>
      </c>
      <c r="C90" s="38" t="e">
        <f>VLOOKUP(A1,DIV_12Data!$A$1:$DZU$1000000,1517,FALSE)</f>
        <v>#N/A</v>
      </c>
      <c r="D90" s="31" t="e">
        <f>VLOOKUP(A1,DIV_12Data!$A$1:$DZU$1000000,1518,FALSE)</f>
        <v>#N/A</v>
      </c>
      <c r="E90" s="32" t="e">
        <f>VLOOKUP(A1,DIV_12Data!$A$1:$DZU$1000000,1519,FALSE)</f>
        <v>#N/A</v>
      </c>
      <c r="F90" s="34" t="e">
        <f>VLOOKUP(A1,DIV_12Data!$A$1:$DZU$1000000,1520,FALSE)</f>
        <v>#N/A</v>
      </c>
      <c r="G90" s="33" t="e">
        <f>VLOOKUP(A1,DIV_12Data!$A$1:$DZU$1000000,1521,FALSE)</f>
        <v>#N/A</v>
      </c>
      <c r="H90" s="34" t="e">
        <f>VLOOKUP(A1,DIV_12Data!$A$1:$DZU$1000000,1522,FALSE)</f>
        <v>#N/A</v>
      </c>
      <c r="I90" s="33" t="e">
        <f>VLOOKUP(A1,DIV_12Data!$A$1:$DZU$1000000,1523,FALSE)</f>
        <v>#N/A</v>
      </c>
      <c r="J90" s="34" t="e">
        <f>VLOOKUP(A1,DIV_12Data!$A$1:$DZU$1000000,1524,FALSE)</f>
        <v>#N/A</v>
      </c>
      <c r="K90" s="34" t="e">
        <f>VLOOKUP(A1,DIV_12Data!$A$1:$DZU$1000000,1525,FALSE)</f>
        <v>#N/A</v>
      </c>
      <c r="L90" s="93" t="e">
        <f>VLOOKUP(A1,DIV_12Data!$A$1:$DZU$1000000,1526,FALSE)</f>
        <v>#N/A</v>
      </c>
      <c r="M90" s="33" t="e">
        <f>VLOOKUP(A1,DIV_12Data!$A$1:$DZU$1000000,1527,FALSE)</f>
        <v>#N/A</v>
      </c>
      <c r="N90" s="34" t="e">
        <f>VLOOKUP(A1,DIV_12Data!$A$1:$DZU$1000000,1528,FALSE)</f>
        <v>#N/A</v>
      </c>
      <c r="O90" s="33" t="e">
        <f>VLOOKUP(A1,DIV_12Data!$A$1:$DZU$1000000,1529,FALSE)</f>
        <v>#N/A</v>
      </c>
      <c r="P90" s="46" t="e">
        <f>VLOOKUP(A1,DIV_12Data!$A$1:$DZU$1000000,1530,FALSE)</f>
        <v>#N/A</v>
      </c>
      <c r="Q90" s="33" t="e">
        <f>VLOOKUP(A1,DIV_12Data!$A$1:$DZU$1000000,1531,FALSE)</f>
        <v>#N/A</v>
      </c>
    </row>
    <row r="91" spans="1:17" x14ac:dyDescent="0.35">
      <c r="A91" s="22" t="e">
        <f>VLOOKUP(A1,DIV_12Data!$A$1:$DZU$1000000,1532,FALSE)</f>
        <v>#N/A</v>
      </c>
      <c r="B91" s="37" t="e">
        <f>VLOOKUP(A1,DIV_12Data!$A$1:$DZU$1000000,1533,FALSE)</f>
        <v>#N/A</v>
      </c>
      <c r="C91" s="38" t="e">
        <f>VLOOKUP(A1,DIV_12Data!$A$1:$DZU$1000000,1534,FALSE)</f>
        <v>#N/A</v>
      </c>
      <c r="D91" s="31" t="e">
        <f>VLOOKUP(A1,DIV_12Data!$A$1:$DZU$1000000,1535,FALSE)</f>
        <v>#N/A</v>
      </c>
      <c r="E91" s="32" t="e">
        <f>VLOOKUP(A1,DIV_12Data!$A$1:$DZU$1000000,1536,FALSE)</f>
        <v>#N/A</v>
      </c>
      <c r="F91" s="34" t="e">
        <f>VLOOKUP(A1,DIV_12Data!$A$1:$DZU$1000000,1537,FALSE)</f>
        <v>#N/A</v>
      </c>
      <c r="G91" s="33" t="e">
        <f>VLOOKUP(A1,DIV_12Data!$A$1:$DZU$1000000,1538,FALSE)</f>
        <v>#N/A</v>
      </c>
      <c r="H91" s="34" t="e">
        <f>VLOOKUP(A1,DIV_12Data!$A$1:$DZU$1000000,1539,FALSE)</f>
        <v>#N/A</v>
      </c>
      <c r="I91" s="33" t="e">
        <f>VLOOKUP(A1,DIV_12Data!$A$1:$DZU$1000000,1540,FALSE)</f>
        <v>#N/A</v>
      </c>
      <c r="J91" s="34" t="e">
        <f>VLOOKUP(A1,DIV_12Data!$A$1:$DZU$1000000,1541,FALSE)</f>
        <v>#N/A</v>
      </c>
      <c r="K91" s="34" t="e">
        <f>VLOOKUP(A1,DIV_12Data!$A$1:$DZU$1000000,1542,FALSE)</f>
        <v>#N/A</v>
      </c>
      <c r="L91" s="93" t="e">
        <f>VLOOKUP(A1,DIV_12Data!$A$1:$DZU$1000000,1543,FALSE)</f>
        <v>#N/A</v>
      </c>
      <c r="M91" s="33" t="e">
        <f>VLOOKUP(A1,DIV_12Data!$A$1:$DZU$1000000,1544,FALSE)</f>
        <v>#N/A</v>
      </c>
      <c r="N91" s="34" t="e">
        <f>VLOOKUP(A1,DIV_12Data!$A$1:$DZU$1000000,1545,FALSE)</f>
        <v>#N/A</v>
      </c>
      <c r="O91" s="33" t="e">
        <f>VLOOKUP(A1,DIV_12Data!$A$1:$DZU$1000000,1546,FALSE)</f>
        <v>#N/A</v>
      </c>
      <c r="P91" s="46" t="e">
        <f>VLOOKUP(A1,DIV_12Data!$A$1:$DZU$1000000,1547,FALSE)</f>
        <v>#N/A</v>
      </c>
      <c r="Q91" s="33" t="e">
        <f>VLOOKUP(A1,DIV_12Data!$A$1:$DZU$1000000,1548,FALSE)</f>
        <v>#N/A</v>
      </c>
    </row>
    <row r="92" spans="1:17" x14ac:dyDescent="0.35">
      <c r="A92" s="22" t="e">
        <f>VLOOKUP(A1,DIV_12Data!$A$1:$DZU$1000000,1549,FALSE)</f>
        <v>#N/A</v>
      </c>
      <c r="B92" s="37" t="e">
        <f>VLOOKUP(A1,DIV_12Data!$A$1:$DZU$1000000,1550,FALSE)</f>
        <v>#N/A</v>
      </c>
      <c r="C92" s="38" t="e">
        <f>VLOOKUP(A1,DIV_12Data!$A$1:$DZU$1000000,1551,FALSE)</f>
        <v>#N/A</v>
      </c>
      <c r="D92" s="31" t="e">
        <f>VLOOKUP(A1,DIV_12Data!$A$1:$DZU$1000000,1552,FALSE)</f>
        <v>#N/A</v>
      </c>
      <c r="E92" s="32" t="e">
        <f>VLOOKUP(A1,DIV_12Data!$A$1:$DZU$1000000,1553,FALSE)</f>
        <v>#N/A</v>
      </c>
      <c r="F92" s="34" t="e">
        <f>VLOOKUP(A1,DIV_12Data!$A$1:$DZU$1000000,1554,FALSE)</f>
        <v>#N/A</v>
      </c>
      <c r="G92" s="33" t="e">
        <f>VLOOKUP(A1,DIV_12Data!$A$1:$DZU$1000000,1555,FALSE)</f>
        <v>#N/A</v>
      </c>
      <c r="H92" s="34" t="e">
        <f>VLOOKUP(A1,DIV_12Data!$A$1:$DZU$1000000,1556,FALSE)</f>
        <v>#N/A</v>
      </c>
      <c r="I92" s="33" t="e">
        <f>VLOOKUP(A1,DIV_12Data!$A$1:$DZU$1000000,1557,FALSE)</f>
        <v>#N/A</v>
      </c>
      <c r="J92" s="34" t="e">
        <f>VLOOKUP(A1,DIV_12Data!$A$1:$DZU$1000000,1558,FALSE)</f>
        <v>#N/A</v>
      </c>
      <c r="K92" s="34" t="e">
        <f>VLOOKUP(A1,DIV_12Data!$A$1:$DZU$1000000,1559,FALSE)</f>
        <v>#N/A</v>
      </c>
      <c r="L92" s="93" t="e">
        <f>VLOOKUP(A1,DIV_12Data!$A$1:$DZU$1000000,1560,FALSE)</f>
        <v>#N/A</v>
      </c>
      <c r="M92" s="33" t="e">
        <f>VLOOKUP(A1,DIV_12Data!$A$1:$DZU$1000000,1561,FALSE)</f>
        <v>#N/A</v>
      </c>
      <c r="N92" s="34" t="e">
        <f>VLOOKUP(A1,DIV_12Data!$A$1:$DZU$1000000,1562,FALSE)</f>
        <v>#N/A</v>
      </c>
      <c r="O92" s="33" t="e">
        <f>VLOOKUP(A1,DIV_12Data!$A$1:$DZU$1000000,1563,FALSE)</f>
        <v>#N/A</v>
      </c>
      <c r="P92" s="46" t="e">
        <f>VLOOKUP(A1,DIV_12Data!$A$1:$DZU$1000000,1564,FALSE)</f>
        <v>#N/A</v>
      </c>
      <c r="Q92" s="33" t="e">
        <f>VLOOKUP(A1,DIV_12Data!$A$1:$DZU$1000000,1565,FALSE)</f>
        <v>#N/A</v>
      </c>
    </row>
    <row r="93" spans="1:17" x14ac:dyDescent="0.35">
      <c r="A93" s="22" t="e">
        <f>VLOOKUP(A1,DIV_12Data!$A$1:$DZU$1000000,1566,FALSE)</f>
        <v>#N/A</v>
      </c>
      <c r="B93" s="37" t="e">
        <f>VLOOKUP(A1,DIV_12Data!$A$1:$DZU$1000000,1567,FALSE)</f>
        <v>#N/A</v>
      </c>
      <c r="C93" s="38" t="e">
        <f>VLOOKUP(A1,DIV_12Data!$A$1:$DZU$1000000,1568,FALSE)</f>
        <v>#N/A</v>
      </c>
      <c r="D93" s="31" t="e">
        <f>VLOOKUP(A1,DIV_12Data!$A$1:$DZU$1000000,1569,FALSE)</f>
        <v>#N/A</v>
      </c>
      <c r="E93" s="32" t="e">
        <f>VLOOKUP(A1,DIV_12Data!$A$1:$DZU$1000000,1570,FALSE)</f>
        <v>#N/A</v>
      </c>
      <c r="F93" s="34" t="e">
        <f>VLOOKUP(A1,DIV_12Data!$A$1:$DZU$1000000,1571,FALSE)</f>
        <v>#N/A</v>
      </c>
      <c r="G93" s="33" t="e">
        <f>VLOOKUP(A1,DIV_12Data!$A$1:$DZU$1000000,1572,FALSE)</f>
        <v>#N/A</v>
      </c>
      <c r="H93" s="34" t="e">
        <f>VLOOKUP(A1,DIV_12Data!$A$1:$DZU$1000000,1573,FALSE)</f>
        <v>#N/A</v>
      </c>
      <c r="I93" s="33" t="e">
        <f>VLOOKUP(A1,DIV_12Data!$A$1:$DZU$1000000,1574,FALSE)</f>
        <v>#N/A</v>
      </c>
      <c r="J93" s="34" t="e">
        <f>VLOOKUP(A1,DIV_12Data!$A$1:$DZU$1000000,1575,FALSE)</f>
        <v>#N/A</v>
      </c>
      <c r="K93" s="34" t="e">
        <f>VLOOKUP(A1,DIV_12Data!$A$1:$DZU$1000000,1576,FALSE)</f>
        <v>#N/A</v>
      </c>
      <c r="L93" s="93" t="e">
        <f>VLOOKUP(A1,DIV_12Data!$A$1:$DZU$1000000,1577,FALSE)</f>
        <v>#N/A</v>
      </c>
      <c r="M93" s="33" t="e">
        <f>VLOOKUP(A1,DIV_12Data!$A$1:$DZU$1000000,1578,FALSE)</f>
        <v>#N/A</v>
      </c>
      <c r="N93" s="34" t="e">
        <f>VLOOKUP(A1,DIV_12Data!$A$1:$DZU$1000000,1579,FALSE)</f>
        <v>#N/A</v>
      </c>
      <c r="O93" s="33" t="e">
        <f>VLOOKUP(A1,DIV_12Data!$A$1:$DZU$1000000,1580,FALSE)</f>
        <v>#N/A</v>
      </c>
      <c r="P93" s="46" t="e">
        <f>VLOOKUP(A1,DIV_12Data!$A$1:$DZU$1000000,1581,FALSE)</f>
        <v>#N/A</v>
      </c>
      <c r="Q93" s="33" t="e">
        <f>VLOOKUP(A1,DIV_12Data!$A$1:$DZU$1000000,1582,FALSE)</f>
        <v>#N/A</v>
      </c>
    </row>
    <row r="94" spans="1:17" x14ac:dyDescent="0.35">
      <c r="A94" s="22" t="e">
        <f>VLOOKUP(A1,DIV_12Data!$A$1:$DZU$1000000,1583,FALSE)</f>
        <v>#N/A</v>
      </c>
      <c r="B94" s="37" t="e">
        <f>VLOOKUP(A1,DIV_12Data!$A$1:$DZU$1000000,1584,FALSE)</f>
        <v>#N/A</v>
      </c>
      <c r="C94" s="38" t="e">
        <f>VLOOKUP(A1,DIV_12Data!$A$1:$DZU$1000000,1585,FALSE)</f>
        <v>#N/A</v>
      </c>
      <c r="D94" s="31" t="e">
        <f>VLOOKUP(A1,DIV_12Data!$A$1:$DZU$1000000,1586,FALSE)</f>
        <v>#N/A</v>
      </c>
      <c r="E94" s="32" t="e">
        <f>VLOOKUP(A1,DIV_12Data!$A$1:$DZU$1000000,1587,FALSE)</f>
        <v>#N/A</v>
      </c>
      <c r="F94" s="34" t="e">
        <f>VLOOKUP(A1,DIV_12Data!$A$1:$DZU$1000000,1588,FALSE)</f>
        <v>#N/A</v>
      </c>
      <c r="G94" s="33" t="e">
        <f>VLOOKUP(A1,DIV_12Data!$A$1:$DZU$1000000,1589,FALSE)</f>
        <v>#N/A</v>
      </c>
      <c r="H94" s="34" t="e">
        <f>VLOOKUP(A1,DIV_12Data!$A$1:$DZU$1000000,1590,FALSE)</f>
        <v>#N/A</v>
      </c>
      <c r="I94" s="33" t="e">
        <f>VLOOKUP(A1,DIV_12Data!$A$1:$DZU$1000000,1591,FALSE)</f>
        <v>#N/A</v>
      </c>
      <c r="J94" s="34" t="e">
        <f>VLOOKUP(A1,DIV_12Data!$A$1:$DZU$1000000,1592,FALSE)</f>
        <v>#N/A</v>
      </c>
      <c r="K94" s="34" t="e">
        <f>VLOOKUP(A1,DIV_12Data!$A$1:$DZU$1000000,1593,FALSE)</f>
        <v>#N/A</v>
      </c>
      <c r="L94" s="93" t="e">
        <f>VLOOKUP(A1,DIV_12Data!$A$1:$DZU$1000000,1594,FALSE)</f>
        <v>#N/A</v>
      </c>
      <c r="M94" s="33" t="e">
        <f>VLOOKUP(A1,DIV_12Data!$A$1:$DZU$1000000,1595,FALSE)</f>
        <v>#N/A</v>
      </c>
      <c r="N94" s="34" t="e">
        <f>VLOOKUP(A1,DIV_12Data!$A$1:$DZU$1000000,1596,FALSE)</f>
        <v>#N/A</v>
      </c>
      <c r="O94" s="33" t="e">
        <f>VLOOKUP(A1,DIV_12Data!$A$1:$DZU$1000000,1597,FALSE)</f>
        <v>#N/A</v>
      </c>
      <c r="P94" s="46" t="e">
        <f>VLOOKUP(A1,DIV_12Data!$A$1:$DZU$1000000,1598,FALSE)</f>
        <v>#N/A</v>
      </c>
      <c r="Q94" s="33" t="e">
        <f>VLOOKUP(A1,DIV_12Data!$A$1:$DZU$1000000,1599,FALSE)</f>
        <v>#N/A</v>
      </c>
    </row>
    <row r="95" spans="1:17" x14ac:dyDescent="0.35">
      <c r="A95" s="22" t="e">
        <f>VLOOKUP(A1,DIV_12Data!$A$1:$DZU$1000000,1600,FALSE)</f>
        <v>#N/A</v>
      </c>
      <c r="B95" s="37" t="e">
        <f>VLOOKUP(A1,DIV_12Data!$A$1:$DZU$1000000,1601,FALSE)</f>
        <v>#N/A</v>
      </c>
      <c r="C95" s="38" t="e">
        <f>VLOOKUP(A1,DIV_12Data!$A$1:$DZU$1000000,1602,FALSE)</f>
        <v>#N/A</v>
      </c>
      <c r="D95" s="31" t="e">
        <f>VLOOKUP(A1,DIV_12Data!$A$1:$DZU$1000000,1603,FALSE)</f>
        <v>#N/A</v>
      </c>
      <c r="E95" s="32" t="e">
        <f>VLOOKUP(A1,DIV_12Data!$A$1:$DZU$1000000,1604,FALSE)</f>
        <v>#N/A</v>
      </c>
      <c r="F95" s="34" t="e">
        <f>VLOOKUP(A1,DIV_12Data!$A$1:$DZU$1000000,1605,FALSE)</f>
        <v>#N/A</v>
      </c>
      <c r="G95" s="33" t="e">
        <f>VLOOKUP(A1,DIV_12Data!$A$1:$DZU$1000000,1606,FALSE)</f>
        <v>#N/A</v>
      </c>
      <c r="H95" s="34" t="e">
        <f>VLOOKUP(A1,DIV_12Data!$A$1:$DZU$1000000,1607,FALSE)</f>
        <v>#N/A</v>
      </c>
      <c r="I95" s="33" t="e">
        <f>VLOOKUP(A1,DIV_12Data!$A$1:$DZU$1000000,1608,FALSE)</f>
        <v>#N/A</v>
      </c>
      <c r="J95" s="34" t="e">
        <f>VLOOKUP(A1,DIV_12Data!$A$1:$DZU$1000000,1609,FALSE)</f>
        <v>#N/A</v>
      </c>
      <c r="K95" s="34" t="e">
        <f>VLOOKUP(A1,DIV_12Data!$A$1:$DZU$1000000,1610,FALSE)</f>
        <v>#N/A</v>
      </c>
      <c r="L95" s="93" t="e">
        <f>VLOOKUP(A1,DIV_12Data!$A$1:$DZU$1000000,1611,FALSE)</f>
        <v>#N/A</v>
      </c>
      <c r="M95" s="33" t="e">
        <f>VLOOKUP(A1,DIV_12Data!$A$1:$DZU$1000000,1612,FALSE)</f>
        <v>#N/A</v>
      </c>
      <c r="N95" s="34" t="e">
        <f>VLOOKUP(A1,DIV_12Data!$A$1:$DZU$1000000,1613,FALSE)</f>
        <v>#N/A</v>
      </c>
      <c r="O95" s="33" t="e">
        <f>VLOOKUP(A1,DIV_12Data!$A$1:$DZU$1000000,1614,FALSE)</f>
        <v>#N/A</v>
      </c>
      <c r="P95" s="46" t="e">
        <f>VLOOKUP(A1,DIV_12Data!$A$1:$DZU$1000000,1615,FALSE)</f>
        <v>#N/A</v>
      </c>
      <c r="Q95" s="33" t="e">
        <f>VLOOKUP(A1,DIV_12Data!$A$1:$DZU$1000000,1616,FALSE)</f>
        <v>#N/A</v>
      </c>
    </row>
    <row r="96" spans="1:17" x14ac:dyDescent="0.35">
      <c r="A96" s="22" t="e">
        <f>VLOOKUP(A1,DIV_12Data!$A$1:$DZU$1000000,1617,FALSE)</f>
        <v>#N/A</v>
      </c>
      <c r="B96" s="37" t="e">
        <f>VLOOKUP(A1,DIV_12Data!$A$1:$DZU$1000000,1618,FALSE)</f>
        <v>#N/A</v>
      </c>
      <c r="C96" s="38" t="e">
        <f>VLOOKUP(A1,DIV_12Data!$A$1:$DZU$1000000,1619,FALSE)</f>
        <v>#N/A</v>
      </c>
      <c r="D96" s="31" t="e">
        <f>VLOOKUP(A1,DIV_12Data!$A$1:$DZU$1000000,1620,FALSE)</f>
        <v>#N/A</v>
      </c>
      <c r="E96" s="32" t="e">
        <f>VLOOKUP(A1,DIV_12Data!$A$1:$DZU$1000000,1621,FALSE)</f>
        <v>#N/A</v>
      </c>
      <c r="F96" s="34" t="e">
        <f>VLOOKUP(A1,DIV_12Data!$A$1:$DZU$1000000,1622,FALSE)</f>
        <v>#N/A</v>
      </c>
      <c r="G96" s="33" t="e">
        <f>VLOOKUP(A1,DIV_12Data!$A$1:$DZU$1000000,1623,FALSE)</f>
        <v>#N/A</v>
      </c>
      <c r="H96" s="34" t="e">
        <f>VLOOKUP(A1,DIV_12Data!$A$1:$DZU$1000000,1624,FALSE)</f>
        <v>#N/A</v>
      </c>
      <c r="I96" s="33" t="e">
        <f>VLOOKUP(A1,DIV_12Data!$A$1:$DZU$1000000,1625,FALSE)</f>
        <v>#N/A</v>
      </c>
      <c r="J96" s="34" t="e">
        <f>VLOOKUP(A1,DIV_12Data!$A$1:$DZU$1000000,1626,FALSE)</f>
        <v>#N/A</v>
      </c>
      <c r="K96" s="34" t="e">
        <f>VLOOKUP(A1,DIV_12Data!$A$1:$DZU$1000000,1627,FALSE)</f>
        <v>#N/A</v>
      </c>
      <c r="L96" s="93" t="e">
        <f>VLOOKUP(A1,DIV_12Data!$A$1:$DZU$1000000,1628,FALSE)</f>
        <v>#N/A</v>
      </c>
      <c r="M96" s="33" t="e">
        <f>VLOOKUP(A1,DIV_12Data!$A$1:$DZU$1000000,1629,FALSE)</f>
        <v>#N/A</v>
      </c>
      <c r="N96" s="34" t="e">
        <f>VLOOKUP(A1,DIV_12Data!$A$1:$DZU$1000000,1630,FALSE)</f>
        <v>#N/A</v>
      </c>
      <c r="O96" s="33" t="e">
        <f>VLOOKUP(A1,DIV_12Data!$A$1:$DZU$1000000,1631,FALSE)</f>
        <v>#N/A</v>
      </c>
      <c r="P96" s="46" t="e">
        <f>VLOOKUP(A1,DIV_12Data!$A$1:$DZU$1000000,1632,FALSE)</f>
        <v>#N/A</v>
      </c>
      <c r="Q96" s="33" t="e">
        <f>VLOOKUP(A1,DIV_12Data!$A$1:$DZU$1000000,1633,FALSE)</f>
        <v>#N/A</v>
      </c>
    </row>
    <row r="97" spans="1:17" x14ac:dyDescent="0.35">
      <c r="A97" s="22" t="e">
        <f>VLOOKUP(A1,DIV_12Data!$A$1:$DZU$1000000,1634,FALSE)</f>
        <v>#N/A</v>
      </c>
      <c r="B97" s="37" t="e">
        <f>VLOOKUP(A1,DIV_12Data!$A$1:$DZU$1000000,1635,FALSE)</f>
        <v>#N/A</v>
      </c>
      <c r="C97" s="38" t="e">
        <f>VLOOKUP(A1,DIV_12Data!$A$1:$DZU$1000000,1636,FALSE)</f>
        <v>#N/A</v>
      </c>
      <c r="D97" s="31" t="e">
        <f>VLOOKUP(A1,DIV_12Data!$A$1:$DZU$1000000,1637,FALSE)</f>
        <v>#N/A</v>
      </c>
      <c r="E97" s="32" t="e">
        <f>VLOOKUP(A1,DIV_12Data!$A$1:$DZU$1000000,1638,FALSE)</f>
        <v>#N/A</v>
      </c>
      <c r="F97" s="34" t="e">
        <f>VLOOKUP(A1,DIV_12Data!$A$1:$DZU$1000000,1639,FALSE)</f>
        <v>#N/A</v>
      </c>
      <c r="G97" s="33" t="e">
        <f>VLOOKUP(A1,DIV_12Data!$A$1:$DZU$1000000,1640,FALSE)</f>
        <v>#N/A</v>
      </c>
      <c r="H97" s="34" t="e">
        <f>VLOOKUP(A1,DIV_12Data!$A$1:$DZU$1000000,1641,FALSE)</f>
        <v>#N/A</v>
      </c>
      <c r="I97" s="33" t="e">
        <f>VLOOKUP(A1,DIV_12Data!$A$1:$DZU$1000000,1642,FALSE)</f>
        <v>#N/A</v>
      </c>
      <c r="J97" s="34" t="e">
        <f>VLOOKUP(A1,DIV_12Data!$A$1:$DZU$1000000,1643,FALSE)</f>
        <v>#N/A</v>
      </c>
      <c r="K97" s="34" t="e">
        <f>VLOOKUP(A1,DIV_12Data!$A$1:$DZU$1000000,1644,FALSE)</f>
        <v>#N/A</v>
      </c>
      <c r="L97" s="93" t="e">
        <f>VLOOKUP(A1,DIV_12Data!$A$1:$DZU$1000000,1645,FALSE)</f>
        <v>#N/A</v>
      </c>
      <c r="M97" s="33" t="e">
        <f>VLOOKUP(A1,DIV_12Data!$A$1:$DZU$1000000,1646,FALSE)</f>
        <v>#N/A</v>
      </c>
      <c r="N97" s="34" t="e">
        <f>VLOOKUP(A1,DIV_12Data!$A$1:$DZU$1000000,1647,FALSE)</f>
        <v>#N/A</v>
      </c>
      <c r="O97" s="33" t="e">
        <f>VLOOKUP(A1,DIV_12Data!$A$1:$DZU$1000000,1648,FALSE)</f>
        <v>#N/A</v>
      </c>
      <c r="P97" s="46" t="e">
        <f>VLOOKUP(A1,DIV_12Data!$A$1:$DZU$1000000,1649,FALSE)</f>
        <v>#N/A</v>
      </c>
      <c r="Q97" s="33" t="e">
        <f>VLOOKUP(A1,DIV_12Data!$A$1:$DZU$1000000,1650,FALSE)</f>
        <v>#N/A</v>
      </c>
    </row>
    <row r="98" spans="1:17" x14ac:dyDescent="0.35">
      <c r="A98" s="22" t="e">
        <f>VLOOKUP(A1,DIV_12Data!$A$1:$DZU$1000000,1651,FALSE)</f>
        <v>#N/A</v>
      </c>
      <c r="B98" s="37" t="e">
        <f>VLOOKUP(A1,DIV_12Data!$A$1:$DZU$1000000,1652,FALSE)</f>
        <v>#N/A</v>
      </c>
      <c r="C98" s="38" t="e">
        <f>VLOOKUP(A1,DIV_12Data!$A$1:$DZU$1000000,1653,FALSE)</f>
        <v>#N/A</v>
      </c>
      <c r="D98" s="31" t="e">
        <f>VLOOKUP(A1,DIV_12Data!$A$1:$DZU$1000000,1654,FALSE)</f>
        <v>#N/A</v>
      </c>
      <c r="E98" s="32" t="e">
        <f>VLOOKUP(A1,DIV_12Data!$A$1:$DZU$1000000,1655,FALSE)</f>
        <v>#N/A</v>
      </c>
      <c r="F98" s="34" t="e">
        <f>VLOOKUP(A1,DIV_12Data!$A$1:$DZU$1000000,1656,FALSE)</f>
        <v>#N/A</v>
      </c>
      <c r="G98" s="33" t="e">
        <f>VLOOKUP(A1,DIV_12Data!$A$1:$DZU$1000000,1657,FALSE)</f>
        <v>#N/A</v>
      </c>
      <c r="H98" s="34" t="e">
        <f>VLOOKUP(A1,DIV_12Data!$A$1:$DZU$1000000,1658,FALSE)</f>
        <v>#N/A</v>
      </c>
      <c r="I98" s="33" t="e">
        <f>VLOOKUP(A1,DIV_12Data!$A$1:$DZU$1000000,1659,FALSE)</f>
        <v>#N/A</v>
      </c>
      <c r="J98" s="34" t="e">
        <f>VLOOKUP(A1,DIV_12Data!$A$1:$DZU$1000000,1660,FALSE)</f>
        <v>#N/A</v>
      </c>
      <c r="K98" s="34" t="e">
        <f>VLOOKUP(A1,DIV_12Data!$A$1:$DZU$1000000,1661,FALSE)</f>
        <v>#N/A</v>
      </c>
      <c r="L98" s="93" t="e">
        <f>VLOOKUP(A1,DIV_12Data!$A$1:$DZU$1000000,1662,FALSE)</f>
        <v>#N/A</v>
      </c>
      <c r="M98" s="33" t="e">
        <f>VLOOKUP(A1,DIV_12Data!$A$1:$DZU$1000000,1663,FALSE)</f>
        <v>#N/A</v>
      </c>
      <c r="N98" s="34" t="e">
        <f>VLOOKUP(A1,DIV_12Data!$A$1:$DZU$1000000,1664,FALSE)</f>
        <v>#N/A</v>
      </c>
      <c r="O98" s="33" t="e">
        <f>VLOOKUP(A1,DIV_12Data!$A$1:$DZU$1000000,1665,FALSE)</f>
        <v>#N/A</v>
      </c>
      <c r="P98" s="46" t="e">
        <f>VLOOKUP(A1,DIV_12Data!$A$1:$DZU$1000000,1666,FALSE)</f>
        <v>#N/A</v>
      </c>
      <c r="Q98" s="33" t="e">
        <f>VLOOKUP(A1,DIV_12Data!$A$1:$DZU$1000000,1667,FALSE)</f>
        <v>#N/A</v>
      </c>
    </row>
    <row r="99" spans="1:17" x14ac:dyDescent="0.35">
      <c r="A99" s="22" t="e">
        <f>VLOOKUP(A1,DIV_12Data!$A$1:$DZU$1000000,1668,FALSE)</f>
        <v>#N/A</v>
      </c>
      <c r="B99" s="37" t="e">
        <f>VLOOKUP(A1,DIV_12Data!$A$1:$DZU$1000000,1669,FALSE)</f>
        <v>#N/A</v>
      </c>
      <c r="C99" s="38" t="e">
        <f>VLOOKUP(A1,DIV_12Data!$A$1:$DZU$1000000,1670,FALSE)</f>
        <v>#N/A</v>
      </c>
      <c r="D99" s="31" t="e">
        <f>VLOOKUP(A1,DIV_12Data!$A$1:$DZU$1000000,1671,FALSE)</f>
        <v>#N/A</v>
      </c>
      <c r="E99" s="32" t="e">
        <f>VLOOKUP(A1,DIV_12Data!$A$1:$DZU$1000000,1672,FALSE)</f>
        <v>#N/A</v>
      </c>
      <c r="F99" s="34" t="e">
        <f>VLOOKUP(A1,DIV_12Data!$A$1:$DZU$1000000,1673,FALSE)</f>
        <v>#N/A</v>
      </c>
      <c r="G99" s="33" t="e">
        <f>VLOOKUP(A1,DIV_12Data!$A$1:$DZU$1000000,1674,FALSE)</f>
        <v>#N/A</v>
      </c>
      <c r="H99" s="34" t="e">
        <f>VLOOKUP(A1,DIV_12Data!$A$1:$DZU$1000000,1675,FALSE)</f>
        <v>#N/A</v>
      </c>
      <c r="I99" s="33" t="e">
        <f>VLOOKUP(A1,DIV_12Data!$A$1:$DZU$1000000,1676,FALSE)</f>
        <v>#N/A</v>
      </c>
      <c r="J99" s="34" t="e">
        <f>VLOOKUP(A1,DIV_12Data!$A$1:$DZU$1000000,1677,FALSE)</f>
        <v>#N/A</v>
      </c>
      <c r="K99" s="34" t="e">
        <f>VLOOKUP(A1,DIV_12Data!$A$1:$DZU$1000000,1678,FALSE)</f>
        <v>#N/A</v>
      </c>
      <c r="L99" s="93" t="e">
        <f>VLOOKUP(A1,DIV_12Data!$A$1:$DZU$1000000,1679,FALSE)</f>
        <v>#N/A</v>
      </c>
      <c r="M99" s="33" t="e">
        <f>VLOOKUP(A1,DIV_12Data!$A$1:$DZU$1000000,1680,FALSE)</f>
        <v>#N/A</v>
      </c>
      <c r="N99" s="34" t="e">
        <f>VLOOKUP(A1,DIV_12Data!$A$1:$DZU$1000000,1681,FALSE)</f>
        <v>#N/A</v>
      </c>
      <c r="O99" s="33" t="e">
        <f>VLOOKUP(A1,DIV_12Data!$A$1:$DZU$1000000,1682,FALSE)</f>
        <v>#N/A</v>
      </c>
      <c r="P99" s="46" t="e">
        <f>VLOOKUP(A1,DIV_12Data!$A$1:$DZU$1000000,1683,FALSE)</f>
        <v>#N/A</v>
      </c>
      <c r="Q99" s="33" t="e">
        <f>VLOOKUP(A1,DIV_12Data!$A$1:$DZU$1000000,1684,FALSE)</f>
        <v>#N/A</v>
      </c>
    </row>
    <row r="100" spans="1:17" x14ac:dyDescent="0.35">
      <c r="A100" s="22" t="e">
        <f>VLOOKUP(A1,DIV_12Data!$A$1:$DZU$1000000,1685,FALSE)</f>
        <v>#N/A</v>
      </c>
      <c r="B100" s="37" t="e">
        <f>VLOOKUP(A1,DIV_12Data!$A$1:$DZU$1000000,1686,FALSE)</f>
        <v>#N/A</v>
      </c>
      <c r="C100" s="38" t="e">
        <f>VLOOKUP(A1,DIV_12Data!$A$1:$DZU$1000000,1687,FALSE)</f>
        <v>#N/A</v>
      </c>
      <c r="D100" s="31" t="e">
        <f>VLOOKUP(A1,DIV_12Data!$A$1:$DZU$1000000,1688,FALSE)</f>
        <v>#N/A</v>
      </c>
      <c r="E100" s="32" t="e">
        <f>VLOOKUP(A1,DIV_12Data!$A$1:$DZU$1000000,1689,FALSE)</f>
        <v>#N/A</v>
      </c>
      <c r="F100" s="34" t="e">
        <f>VLOOKUP(A1,DIV_12Data!$A$1:$DZU$1000000,1690,FALSE)</f>
        <v>#N/A</v>
      </c>
      <c r="G100" s="33" t="e">
        <f>VLOOKUP(A1,DIV_12Data!$A$1:$DZU$1000000,1691,FALSE)</f>
        <v>#N/A</v>
      </c>
      <c r="H100" s="34" t="e">
        <f>VLOOKUP(A1,DIV_12Data!$A$1:$DZU$1000000,1692,FALSE)</f>
        <v>#N/A</v>
      </c>
      <c r="I100" s="33" t="e">
        <f>VLOOKUP(A1,DIV_12Data!$A$1:$DZU$1000000,1693,FALSE)</f>
        <v>#N/A</v>
      </c>
      <c r="J100" s="34" t="e">
        <f>VLOOKUP(A1,DIV_12Data!$A$1:$DZU$1000000,1694,FALSE)</f>
        <v>#N/A</v>
      </c>
      <c r="K100" s="34" t="e">
        <f>VLOOKUP(A1,DIV_12Data!$A$1:$DZU$1000000,1695,FALSE)</f>
        <v>#N/A</v>
      </c>
      <c r="L100" s="93" t="e">
        <f>VLOOKUP(A1,DIV_12Data!$A$1:$DZU$1000000,1696,FALSE)</f>
        <v>#N/A</v>
      </c>
      <c r="M100" s="33" t="e">
        <f>VLOOKUP(A1,DIV_12Data!$A$1:$DZU$1000000,1697,FALSE)</f>
        <v>#N/A</v>
      </c>
      <c r="N100" s="34" t="e">
        <f>VLOOKUP(A1,DIV_12Data!$A$1:$DZU$1000000,1698,FALSE)</f>
        <v>#N/A</v>
      </c>
      <c r="O100" s="33" t="e">
        <f>VLOOKUP(A1,DIV_12Data!$A$1:$DZU$1000000,1699,FALSE)</f>
        <v>#N/A</v>
      </c>
      <c r="P100" s="46" t="e">
        <f>VLOOKUP(A1,DIV_12Data!$A$1:$DZU$1000000,1700,FALSE)</f>
        <v>#N/A</v>
      </c>
      <c r="Q100" s="33" t="e">
        <f>VLOOKUP(A1,DIV_12Data!$A$1:$DZU$1000000,1701,FALSE)</f>
        <v>#N/A</v>
      </c>
    </row>
    <row r="101" spans="1:17" x14ac:dyDescent="0.35">
      <c r="A101" s="22" t="e">
        <f>VLOOKUP(A1,DIV_12Data!$A$1:$DZU$1000000,1702,FALSE)</f>
        <v>#N/A</v>
      </c>
      <c r="B101" s="37" t="e">
        <f>VLOOKUP(A1,DIV_12Data!$A$1:$DZU$1000000,1703,FALSE)</f>
        <v>#N/A</v>
      </c>
      <c r="C101" s="38" t="e">
        <f>VLOOKUP(A1,DIV_12Data!$A$1:$DZU$1000000,1704,FALSE)</f>
        <v>#N/A</v>
      </c>
      <c r="D101" s="31" t="e">
        <f>VLOOKUP(A1,DIV_12Data!$A$1:$DZU$1000000,1705,FALSE)</f>
        <v>#N/A</v>
      </c>
      <c r="E101" s="32" t="e">
        <f>VLOOKUP(A1,DIV_12Data!$A$1:$DZU$1000000,1706,FALSE)</f>
        <v>#N/A</v>
      </c>
      <c r="F101" s="34" t="e">
        <f>VLOOKUP(A1,DIV_12Data!$A$1:$DZU$1000000,1707,FALSE)</f>
        <v>#N/A</v>
      </c>
      <c r="G101" s="33" t="e">
        <f>VLOOKUP(A1,DIV_12Data!$A$1:$DZU$1000000,1708,FALSE)</f>
        <v>#N/A</v>
      </c>
      <c r="H101" s="34" t="e">
        <f>VLOOKUP(A1,DIV_12Data!$A$1:$DZU$1000000,1709,FALSE)</f>
        <v>#N/A</v>
      </c>
      <c r="I101" s="33" t="e">
        <f>VLOOKUP(A1,DIV_12Data!$A$1:$DZU$1000000,1710,FALSE)</f>
        <v>#N/A</v>
      </c>
      <c r="J101" s="34" t="e">
        <f>VLOOKUP(A1,DIV_12Data!$A$1:$DZU$1000000,1711,FALSE)</f>
        <v>#N/A</v>
      </c>
      <c r="K101" s="34" t="e">
        <f>VLOOKUP(A1,DIV_12Data!$A$1:$DZU$1000000,1712,FALSE)</f>
        <v>#N/A</v>
      </c>
      <c r="L101" s="93" t="e">
        <f>VLOOKUP(A1,DIV_12Data!$A$1:$DZU$1000000,1713,FALSE)</f>
        <v>#N/A</v>
      </c>
      <c r="M101" s="33" t="e">
        <f>VLOOKUP(A1,DIV_12Data!$A$1:$DZU$1000000,1714,FALSE)</f>
        <v>#N/A</v>
      </c>
      <c r="N101" s="34" t="e">
        <f>VLOOKUP(A1,DIV_12Data!$A$1:$DZU$1000000,1715,FALSE)</f>
        <v>#N/A</v>
      </c>
      <c r="O101" s="33" t="e">
        <f>VLOOKUP(A1,DIV_12Data!$A$1:$DZU$1000000,1716,FALSE)</f>
        <v>#N/A</v>
      </c>
      <c r="P101" s="46" t="e">
        <f>VLOOKUP(A1,DIV_12Data!$A$1:$DZU$1000000,1717,FALSE)</f>
        <v>#N/A</v>
      </c>
      <c r="Q101" s="33" t="e">
        <f>VLOOKUP(A1,DIV_12Data!$A$1:$DZU$1000000,1718,FALSE)</f>
        <v>#N/A</v>
      </c>
    </row>
    <row r="102" spans="1:17" x14ac:dyDescent="0.35">
      <c r="A102" s="22" t="e">
        <f>VLOOKUP(A1,DIV_12Data!$A$1:$DZU$1000000,1719,FALSE)</f>
        <v>#N/A</v>
      </c>
      <c r="B102" s="37" t="e">
        <f>VLOOKUP(A1,DIV_12Data!$A$1:$DZU$1000000,1720,FALSE)</f>
        <v>#N/A</v>
      </c>
      <c r="C102" s="38" t="e">
        <f>VLOOKUP(A1,DIV_12Data!$A$1:$DZU$1000000,1721,FALSE)</f>
        <v>#N/A</v>
      </c>
      <c r="D102" s="31" t="e">
        <f>VLOOKUP(A1,DIV_12Data!$A$1:$DZU$1000000,1722,FALSE)</f>
        <v>#N/A</v>
      </c>
      <c r="E102" s="32" t="e">
        <f>VLOOKUP(A1,DIV_12Data!$A$1:$DZU$1000000,1723,FALSE)</f>
        <v>#N/A</v>
      </c>
      <c r="F102" s="34" t="e">
        <f>VLOOKUP(A1,DIV_12Data!$A$1:$DZU$1000000,1724,FALSE)</f>
        <v>#N/A</v>
      </c>
      <c r="G102" s="33" t="e">
        <f>VLOOKUP(A1,DIV_12Data!$A$1:$DZU$1000000,1725,FALSE)</f>
        <v>#N/A</v>
      </c>
      <c r="H102" s="34" t="e">
        <f>VLOOKUP(A1,DIV_12Data!$A$1:$DZU$1000000,1726,FALSE)</f>
        <v>#N/A</v>
      </c>
      <c r="I102" s="33" t="e">
        <f>VLOOKUP(A1,DIV_12Data!$A$1:$DZU$1000000,1727,FALSE)</f>
        <v>#N/A</v>
      </c>
      <c r="J102" s="34" t="e">
        <f>VLOOKUP(A1,DIV_12Data!$A$1:$DZU$1000000,1728,FALSE)</f>
        <v>#N/A</v>
      </c>
      <c r="K102" s="34" t="e">
        <f>VLOOKUP(A1,DIV_12Data!$A$1:$DZU$1000000,1729,FALSE)</f>
        <v>#N/A</v>
      </c>
      <c r="L102" s="93" t="e">
        <f>VLOOKUP(A1,DIV_12Data!$A$1:$DZU$1000000,1730,FALSE)</f>
        <v>#N/A</v>
      </c>
      <c r="M102" s="33" t="e">
        <f>VLOOKUP(A1,DIV_12Data!$A$1:$DZU$1000000,1731,FALSE)</f>
        <v>#N/A</v>
      </c>
      <c r="N102" s="34" t="e">
        <f>VLOOKUP(A1,DIV_12Data!$A$1:$DZU$1000000,1732,FALSE)</f>
        <v>#N/A</v>
      </c>
      <c r="O102" s="33" t="e">
        <f>VLOOKUP(A1,DIV_12Data!$A$1:$DZU$1000000,1733,FALSE)</f>
        <v>#N/A</v>
      </c>
      <c r="P102" s="46" t="e">
        <f>VLOOKUP(A1,DIV_12Data!$A$1:$DZU$1000000,1734,FALSE)</f>
        <v>#N/A</v>
      </c>
      <c r="Q102" s="33" t="e">
        <f>VLOOKUP(A1,DIV_12Data!$A$1:$DZU$1000000,1735,FALSE)</f>
        <v>#N/A</v>
      </c>
    </row>
    <row r="103" spans="1:17" x14ac:dyDescent="0.35">
      <c r="A103" s="22" t="e">
        <f>VLOOKUP(A1,DIV_12Data!$A$1:$DZU$1000000,1736,FALSE)</f>
        <v>#N/A</v>
      </c>
      <c r="B103" s="37" t="e">
        <f>VLOOKUP(A1,DIV_12Data!$A$1:$DZU$1000000,1737,FALSE)</f>
        <v>#N/A</v>
      </c>
      <c r="C103" s="38" t="e">
        <f>VLOOKUP(A1,DIV_12Data!$A$1:$DZU$1000000,1738,FALSE)</f>
        <v>#N/A</v>
      </c>
      <c r="D103" s="31" t="e">
        <f>VLOOKUP(A1,DIV_12Data!$A$1:$DZU$1000000,1739,FALSE)</f>
        <v>#N/A</v>
      </c>
      <c r="E103" s="32" t="e">
        <f>VLOOKUP(A1,DIV_12Data!$A$1:$DZU$1000000,1740,FALSE)</f>
        <v>#N/A</v>
      </c>
      <c r="F103" s="34" t="e">
        <f>VLOOKUP(A1,DIV_12Data!$A$1:$DZU$1000000,1741,FALSE)</f>
        <v>#N/A</v>
      </c>
      <c r="G103" s="33" t="e">
        <f>VLOOKUP(A1,DIV_12Data!$A$1:$DZU$1000000,1742,FALSE)</f>
        <v>#N/A</v>
      </c>
      <c r="H103" s="34" t="e">
        <f>VLOOKUP(A1,DIV_12Data!$A$1:$DZU$1000000,1743,FALSE)</f>
        <v>#N/A</v>
      </c>
      <c r="I103" s="33" t="e">
        <f>VLOOKUP(A1,DIV_12Data!$A$1:$DZU$1000000,1744,FALSE)</f>
        <v>#N/A</v>
      </c>
      <c r="J103" s="34" t="e">
        <f>VLOOKUP(A1,DIV_12Data!$A$1:$DZU$1000000,1745,FALSE)</f>
        <v>#N/A</v>
      </c>
      <c r="K103" s="34" t="e">
        <f>VLOOKUP(A1,DIV_12Data!$A$1:$DZU$1000000,1746,FALSE)</f>
        <v>#N/A</v>
      </c>
      <c r="L103" s="93" t="e">
        <f>VLOOKUP(A1,DIV_12Data!$A$1:$DZU$1000000,1747,FALSE)</f>
        <v>#N/A</v>
      </c>
      <c r="M103" s="33" t="e">
        <f>VLOOKUP(A1,DIV_12Data!$A$1:$DZU$1000000,1748,FALSE)</f>
        <v>#N/A</v>
      </c>
      <c r="N103" s="34" t="e">
        <f>VLOOKUP(A1,DIV_12Data!$A$1:$DZU$1000000,1749,FALSE)</f>
        <v>#N/A</v>
      </c>
      <c r="O103" s="33" t="e">
        <f>VLOOKUP(A1,DIV_12Data!$A$1:$DZU$1000000,1750,FALSE)</f>
        <v>#N/A</v>
      </c>
      <c r="P103" s="46" t="e">
        <f>VLOOKUP(A1,DIV_12Data!$A$1:$DZU$1000000,1751,FALSE)</f>
        <v>#N/A</v>
      </c>
      <c r="Q103" s="33" t="e">
        <f>VLOOKUP(A1,DIV_12Data!$A$1:$DZU$1000000,1752,FALSE)</f>
        <v>#N/A</v>
      </c>
    </row>
    <row r="104" spans="1:17" x14ac:dyDescent="0.35">
      <c r="A104" s="22" t="e">
        <f>VLOOKUP(A1,DIV_12Data!$A$1:$DZU$1000000,1753,FALSE)</f>
        <v>#N/A</v>
      </c>
      <c r="B104" s="37" t="e">
        <f>VLOOKUP(A1,DIV_12Data!$A$1:$DZU$1000000,1754,FALSE)</f>
        <v>#N/A</v>
      </c>
      <c r="C104" s="38" t="e">
        <f>VLOOKUP(A1,DIV_12Data!$A$1:$DZU$1000000,1755,FALSE)</f>
        <v>#N/A</v>
      </c>
      <c r="D104" s="31" t="e">
        <f>VLOOKUP(A1,DIV_12Data!$A$1:$DZU$1000000,1756,FALSE)</f>
        <v>#N/A</v>
      </c>
      <c r="E104" s="32" t="e">
        <f>VLOOKUP(A1,DIV_12Data!$A$1:$DZU$1000000,1757,FALSE)</f>
        <v>#N/A</v>
      </c>
      <c r="F104" s="34" t="e">
        <f>VLOOKUP(A1,DIV_12Data!$A$1:$DZU$1000000,1758,FALSE)</f>
        <v>#N/A</v>
      </c>
      <c r="G104" s="33" t="e">
        <f>VLOOKUP(A1,DIV_12Data!$A$1:$DZU$1000000,1759,FALSE)</f>
        <v>#N/A</v>
      </c>
      <c r="H104" s="34" t="e">
        <f>VLOOKUP(A1,DIV_12Data!$A$1:$DZU$1000000,1760,FALSE)</f>
        <v>#N/A</v>
      </c>
      <c r="I104" s="33" t="e">
        <f>VLOOKUP(A1,DIV_12Data!$A$1:$DZU$1000000,1761,FALSE)</f>
        <v>#N/A</v>
      </c>
      <c r="J104" s="34" t="e">
        <f>VLOOKUP(A1,DIV_12Data!$A$1:$DZU$1000000,1762,FALSE)</f>
        <v>#N/A</v>
      </c>
      <c r="K104" s="34" t="e">
        <f>VLOOKUP(A1,DIV_12Data!$A$1:$DZU$1000000,1763,FALSE)</f>
        <v>#N/A</v>
      </c>
      <c r="L104" s="93" t="e">
        <f>VLOOKUP(A1,DIV_12Data!$A$1:$DZU$1000000,1764,FALSE)</f>
        <v>#N/A</v>
      </c>
      <c r="M104" s="33" t="e">
        <f>VLOOKUP(A1,DIV_12Data!$A$1:$DZU$1000000,1765,FALSE)</f>
        <v>#N/A</v>
      </c>
      <c r="N104" s="34" t="e">
        <f>VLOOKUP(A1,DIV_12Data!$A$1:$DZU$1000000,1766,FALSE)</f>
        <v>#N/A</v>
      </c>
      <c r="O104" s="33" t="e">
        <f>VLOOKUP(A1,DIV_12Data!$A$1:$DZU$1000000,1767,FALSE)</f>
        <v>#N/A</v>
      </c>
      <c r="P104" s="46" t="e">
        <f>VLOOKUP(A1,DIV_12Data!$A$1:$DZU$1000000,1768,FALSE)</f>
        <v>#N/A</v>
      </c>
      <c r="Q104" s="33" t="e">
        <f>VLOOKUP(A1,DIV_12Data!$A$1:$DZU$1000000,1769,FALSE)</f>
        <v>#N/A</v>
      </c>
    </row>
    <row r="105" spans="1:17" x14ac:dyDescent="0.35">
      <c r="A105" s="22" t="e">
        <f>VLOOKUP(A1,DIV_12Data!$A$1:$DZU$1000000,1770,FALSE)</f>
        <v>#N/A</v>
      </c>
      <c r="B105" s="37" t="e">
        <f>VLOOKUP(A1,DIV_12Data!$A$1:$DZU$1000000,1771,FALSE)</f>
        <v>#N/A</v>
      </c>
      <c r="C105" s="38" t="e">
        <f>VLOOKUP(A1,DIV_12Data!$A$1:$DZU$1000000,1772,FALSE)</f>
        <v>#N/A</v>
      </c>
      <c r="D105" s="31" t="e">
        <f>VLOOKUP(A1,DIV_12Data!$A$1:$DZU$1000000,1773,FALSE)</f>
        <v>#N/A</v>
      </c>
      <c r="E105" s="32" t="e">
        <f>VLOOKUP(A1,DIV_12Data!$A$1:$DZU$1000000,1774,FALSE)</f>
        <v>#N/A</v>
      </c>
      <c r="F105" s="34" t="e">
        <f>VLOOKUP(A1,DIV_12Data!$A$1:$DZU$1000000,1775,FALSE)</f>
        <v>#N/A</v>
      </c>
      <c r="G105" s="33" t="e">
        <f>VLOOKUP(A1,DIV_12Data!$A$1:$DZU$1000000,1776,FALSE)</f>
        <v>#N/A</v>
      </c>
      <c r="H105" s="34" t="e">
        <f>VLOOKUP(A1,DIV_12Data!$A$1:$DZU$1000000,1777,FALSE)</f>
        <v>#N/A</v>
      </c>
      <c r="I105" s="33" t="e">
        <f>VLOOKUP(A1,DIV_12Data!$A$1:$DZU$1000000,1778,FALSE)</f>
        <v>#N/A</v>
      </c>
      <c r="J105" s="34" t="e">
        <f>VLOOKUP(A1,DIV_12Data!$A$1:$DZU$1000000,1779,FALSE)</f>
        <v>#N/A</v>
      </c>
      <c r="K105" s="34" t="e">
        <f>VLOOKUP(A1,DIV_12Data!$A$1:$DZU$1000000,1780,FALSE)</f>
        <v>#N/A</v>
      </c>
      <c r="L105" s="93" t="e">
        <f>VLOOKUP(A1,DIV_12Data!$A$1:$DZU$1000000,1781,FALSE)</f>
        <v>#N/A</v>
      </c>
      <c r="M105" s="33" t="e">
        <f>VLOOKUP(A1,DIV_12Data!$A$1:$DZU$1000000,1782,FALSE)</f>
        <v>#N/A</v>
      </c>
      <c r="N105" s="34" t="e">
        <f>VLOOKUP(A1,DIV_12Data!$A$1:$DZU$1000000,1783,FALSE)</f>
        <v>#N/A</v>
      </c>
      <c r="O105" s="33" t="e">
        <f>VLOOKUP(A1,DIV_12Data!$A$1:$DZU$1000000,1784,FALSE)</f>
        <v>#N/A</v>
      </c>
      <c r="P105" s="46" t="e">
        <f>VLOOKUP(A1,DIV_12Data!$A$1:$DZU$1000000,1785,FALSE)</f>
        <v>#N/A</v>
      </c>
      <c r="Q105" s="33" t="e">
        <f>VLOOKUP(A1,DIV_12Data!$A$1:$DZU$1000000,1786,FALSE)</f>
        <v>#N/A</v>
      </c>
    </row>
    <row r="106" spans="1:17" x14ac:dyDescent="0.35">
      <c r="A106" s="22" t="e">
        <f>VLOOKUP(A1,DIV_12Data!$A$1:$DZU$1000000,1787,FALSE)</f>
        <v>#N/A</v>
      </c>
      <c r="B106" s="37" t="e">
        <f>VLOOKUP(A1,DIV_12Data!$A$1:$DZU$1000000,1788,FALSE)</f>
        <v>#N/A</v>
      </c>
      <c r="C106" s="38" t="e">
        <f>VLOOKUP(A1,DIV_12Data!$A$1:$DZU$1000000,1789,FALSE)</f>
        <v>#N/A</v>
      </c>
      <c r="D106" s="31" t="e">
        <f>VLOOKUP(A1,DIV_12Data!$A$1:$DZU$1000000,1790,FALSE)</f>
        <v>#N/A</v>
      </c>
      <c r="E106" s="32" t="e">
        <f>VLOOKUP(A1,DIV_12Data!$A$1:$DZU$1000000,1791,FALSE)</f>
        <v>#N/A</v>
      </c>
      <c r="F106" s="34" t="e">
        <f>VLOOKUP(A1,DIV_12Data!$A$1:$DZU$1000000,1792,FALSE)</f>
        <v>#N/A</v>
      </c>
      <c r="G106" s="33" t="e">
        <f>VLOOKUP(A1,DIV_12Data!$A$1:$DZU$1000000,1793,FALSE)</f>
        <v>#N/A</v>
      </c>
      <c r="H106" s="34" t="e">
        <f>VLOOKUP(A1,DIV_12Data!$A$1:$DZU$1000000,1794,FALSE)</f>
        <v>#N/A</v>
      </c>
      <c r="I106" s="33" t="e">
        <f>VLOOKUP(A1,DIV_12Data!$A$1:$DZU$1000000,1795,FALSE)</f>
        <v>#N/A</v>
      </c>
      <c r="J106" s="34" t="e">
        <f>VLOOKUP(A1,DIV_12Data!$A$1:$DZU$1000000,1796,FALSE)</f>
        <v>#N/A</v>
      </c>
      <c r="K106" s="34" t="e">
        <f>VLOOKUP(A1,DIV_12Data!$A$1:$DZU$1000000,1797,FALSE)</f>
        <v>#N/A</v>
      </c>
      <c r="L106" s="93" t="e">
        <f>VLOOKUP(A1,DIV_12Data!$A$1:$DZU$1000000,1798,FALSE)</f>
        <v>#N/A</v>
      </c>
      <c r="M106" s="33" t="e">
        <f>VLOOKUP(A1,DIV_12Data!$A$1:$DZU$1000000,1799,FALSE)</f>
        <v>#N/A</v>
      </c>
      <c r="N106" s="34" t="e">
        <f>VLOOKUP(A1,DIV_12Data!$A$1:$DZU$1000000,1800,FALSE)</f>
        <v>#N/A</v>
      </c>
      <c r="O106" s="33" t="e">
        <f>VLOOKUP(A1,DIV_12Data!$A$1:$DZU$1000000,1801,FALSE)</f>
        <v>#N/A</v>
      </c>
      <c r="P106" s="46" t="e">
        <f>VLOOKUP(A1,DIV_12Data!$A$1:$DZU$1000000,1802,FALSE)</f>
        <v>#N/A</v>
      </c>
      <c r="Q106" s="33" t="e">
        <f>VLOOKUP(A1,DIV_12Data!$A$1:$DZU$1000000,1803,FALSE)</f>
        <v>#N/A</v>
      </c>
    </row>
    <row r="107" spans="1:17" x14ac:dyDescent="0.35">
      <c r="A107" s="22" t="e">
        <f>VLOOKUP(A1,DIV_12Data!$A$1:$DZU$1000000,1804,FALSE)</f>
        <v>#N/A</v>
      </c>
      <c r="B107" s="37" t="e">
        <f>VLOOKUP(A1,DIV_12Data!$A$1:$DZU$1000000,1805,FALSE)</f>
        <v>#N/A</v>
      </c>
      <c r="C107" s="38" t="e">
        <f>VLOOKUP(A1,DIV_12Data!$A$1:$DZU$1000000,1806,FALSE)</f>
        <v>#N/A</v>
      </c>
      <c r="D107" s="31" t="e">
        <f>VLOOKUP(A1,DIV_12Data!$A$1:$DZU$1000000,1807,FALSE)</f>
        <v>#N/A</v>
      </c>
      <c r="E107" s="32" t="e">
        <f>VLOOKUP(A1,DIV_12Data!$A$1:$DZU$1000000,1808,FALSE)</f>
        <v>#N/A</v>
      </c>
      <c r="F107" s="34" t="e">
        <f>VLOOKUP(A1,DIV_12Data!$A$1:$DZU$1000000,1809,FALSE)</f>
        <v>#N/A</v>
      </c>
      <c r="G107" s="33" t="e">
        <f>VLOOKUP(A1,DIV_12Data!$A$1:$DZU$1000000,1810,FALSE)</f>
        <v>#N/A</v>
      </c>
      <c r="H107" s="34" t="e">
        <f>VLOOKUP(A1,DIV_12Data!$A$1:$DZU$1000000,1811,FALSE)</f>
        <v>#N/A</v>
      </c>
      <c r="I107" s="33" t="e">
        <f>VLOOKUP(A1,DIV_12Data!$A$1:$DZU$1000000,1812,FALSE)</f>
        <v>#N/A</v>
      </c>
      <c r="J107" s="34" t="e">
        <f>VLOOKUP(A1,DIV_12Data!$A$1:$DZU$1000000,1813,FALSE)</f>
        <v>#N/A</v>
      </c>
      <c r="K107" s="34" t="e">
        <f>VLOOKUP(A1,DIV_12Data!$A$1:$DZU$1000000,1814,FALSE)</f>
        <v>#N/A</v>
      </c>
      <c r="L107" s="93" t="e">
        <f>VLOOKUP(A1,DIV_12Data!$A$1:$DZU$1000000,1815,FALSE)</f>
        <v>#N/A</v>
      </c>
      <c r="M107" s="33" t="e">
        <f>VLOOKUP(A1,DIV_12Data!$A$1:$DZU$1000000,1816,FALSE)</f>
        <v>#N/A</v>
      </c>
      <c r="N107" s="34" t="e">
        <f>VLOOKUP(A1,DIV_12Data!$A$1:$DZU$1000000,1817,FALSE)</f>
        <v>#N/A</v>
      </c>
      <c r="O107" s="33" t="e">
        <f>VLOOKUP(A1,DIV_12Data!$A$1:$DZU$1000000,1818,FALSE)</f>
        <v>#N/A</v>
      </c>
      <c r="P107" s="46" t="e">
        <f>VLOOKUP(A1,DIV_12Data!$A$1:$DZU$1000000,1819,FALSE)</f>
        <v>#N/A</v>
      </c>
      <c r="Q107" s="33" t="e">
        <f>VLOOKUP(A1,DIV_12Data!$A$1:$DZU$1000000,1820,FALSE)</f>
        <v>#N/A</v>
      </c>
    </row>
    <row r="108" spans="1:17" x14ac:dyDescent="0.35">
      <c r="A108" s="22" t="e">
        <f>VLOOKUP(A1,DIV_12Data!$A$1:$DZU$1000000,1821,FALSE)</f>
        <v>#N/A</v>
      </c>
      <c r="B108" s="37" t="e">
        <f>VLOOKUP(A1,DIV_12Data!$A$1:$DZU$1000000,1822,FALSE)</f>
        <v>#N/A</v>
      </c>
      <c r="C108" s="38" t="e">
        <f>VLOOKUP(A1,DIV_12Data!$A$1:$DZU$1000000,1823,FALSE)</f>
        <v>#N/A</v>
      </c>
      <c r="D108" s="31" t="e">
        <f>VLOOKUP(A1,DIV_12Data!$A$1:$DZU$1000000,1824,FALSE)</f>
        <v>#N/A</v>
      </c>
      <c r="E108" s="32" t="e">
        <f>VLOOKUP(A1,DIV_12Data!$A$1:$DZU$1000000,1825,FALSE)</f>
        <v>#N/A</v>
      </c>
      <c r="F108" s="34" t="e">
        <f>VLOOKUP(A1,DIV_12Data!$A$1:$DZU$1000000,1826,FALSE)</f>
        <v>#N/A</v>
      </c>
      <c r="G108" s="33" t="e">
        <f>VLOOKUP(A1,DIV_12Data!$A$1:$DZU$1000000,1827,FALSE)</f>
        <v>#N/A</v>
      </c>
      <c r="H108" s="34" t="e">
        <f>VLOOKUP(A1,DIV_12Data!$A$1:$DZU$1000000,1828,FALSE)</f>
        <v>#N/A</v>
      </c>
      <c r="I108" s="33" t="e">
        <f>VLOOKUP(A1,DIV_12Data!$A$1:$DZU$1000000,1829,FALSE)</f>
        <v>#N/A</v>
      </c>
      <c r="J108" s="34" t="e">
        <f>VLOOKUP(A1,DIV_12Data!$A$1:$DZU$1000000,1830,FALSE)</f>
        <v>#N/A</v>
      </c>
      <c r="K108" s="34" t="e">
        <f>VLOOKUP(A1,DIV_12Data!$A$1:$DZU$1000000,1831,FALSE)</f>
        <v>#N/A</v>
      </c>
      <c r="L108" s="93" t="e">
        <f>VLOOKUP(A1,DIV_12Data!$A$1:$DZU$1000000,1832,FALSE)</f>
        <v>#N/A</v>
      </c>
      <c r="M108" s="33" t="e">
        <f>VLOOKUP(A1,DIV_12Data!$A$1:$DZU$1000000,1833,FALSE)</f>
        <v>#N/A</v>
      </c>
      <c r="N108" s="34" t="e">
        <f>VLOOKUP(A1,DIV_12Data!$A$1:$DZU$1000000,1834,FALSE)</f>
        <v>#N/A</v>
      </c>
      <c r="O108" s="33" t="e">
        <f>VLOOKUP(A1,DIV_12Data!$A$1:$DZU$1000000,1835,FALSE)</f>
        <v>#N/A</v>
      </c>
      <c r="P108" s="46" t="e">
        <f>VLOOKUP(A1,DIV_12Data!$A$1:$DZU$1000000,1836,FALSE)</f>
        <v>#N/A</v>
      </c>
      <c r="Q108" s="33" t="e">
        <f>VLOOKUP(A1,DIV_12Data!$A$1:$DZU$1000000,1837,FALSE)</f>
        <v>#N/A</v>
      </c>
    </row>
    <row r="109" spans="1:17" x14ac:dyDescent="0.35">
      <c r="A109" s="22" t="e">
        <f>VLOOKUP(A1,DIV_12Data!$A$1:$DZU$1000000,1838,FALSE)</f>
        <v>#N/A</v>
      </c>
      <c r="B109" s="37" t="e">
        <f>VLOOKUP(A1,DIV_12Data!$A$1:$DZU$1000000,1839,FALSE)</f>
        <v>#N/A</v>
      </c>
      <c r="C109" s="38" t="e">
        <f>VLOOKUP(A1,DIV_12Data!$A$1:$DZU$1000000,1840,FALSE)</f>
        <v>#N/A</v>
      </c>
      <c r="D109" s="31" t="e">
        <f>VLOOKUP(A1,DIV_12Data!$A$1:$DZU$1000000,1841,FALSE)</f>
        <v>#N/A</v>
      </c>
      <c r="E109" s="32" t="e">
        <f>VLOOKUP(A1,DIV_12Data!$A$1:$DZU$1000000,1842,FALSE)</f>
        <v>#N/A</v>
      </c>
      <c r="F109" s="34" t="e">
        <f>VLOOKUP(A1,DIV_12Data!$A$1:$DZU$1000000,1843,FALSE)</f>
        <v>#N/A</v>
      </c>
      <c r="G109" s="33" t="e">
        <f>VLOOKUP(A1,DIV_12Data!$A$1:$DZU$1000000,1844,FALSE)</f>
        <v>#N/A</v>
      </c>
      <c r="H109" s="34" t="e">
        <f>VLOOKUP(A1,DIV_12Data!$A$1:$DZU$1000000,1845,FALSE)</f>
        <v>#N/A</v>
      </c>
      <c r="I109" s="33" t="e">
        <f>VLOOKUP(A1,DIV_12Data!$A$1:$DZU$1000000,1846,FALSE)</f>
        <v>#N/A</v>
      </c>
      <c r="J109" s="34" t="e">
        <f>VLOOKUP(A1,DIV_12Data!$A$1:$DZU$1000000,1847,FALSE)</f>
        <v>#N/A</v>
      </c>
      <c r="K109" s="34" t="e">
        <f>VLOOKUP(A1,DIV_12Data!$A$1:$DZU$1000000,1848,FALSE)</f>
        <v>#N/A</v>
      </c>
      <c r="L109" s="93" t="e">
        <f>VLOOKUP(A1,DIV_12Data!$A$1:$DZU$1000000,1849,FALSE)</f>
        <v>#N/A</v>
      </c>
      <c r="M109" s="33" t="e">
        <f>VLOOKUP(A1,DIV_12Data!$A$1:$DZU$1000000,1850,FALSE)</f>
        <v>#N/A</v>
      </c>
      <c r="N109" s="34" t="e">
        <f>VLOOKUP(A1,DIV_12Data!$A$1:$DZU$1000000,1851,FALSE)</f>
        <v>#N/A</v>
      </c>
      <c r="O109" s="33" t="e">
        <f>VLOOKUP(A1,DIV_12Data!$A$1:$DZU$1000000,1852,FALSE)</f>
        <v>#N/A</v>
      </c>
      <c r="P109" s="46" t="e">
        <f>VLOOKUP(A1,DIV_12Data!$A$1:$DZU$1000000,1853,FALSE)</f>
        <v>#N/A</v>
      </c>
      <c r="Q109" s="33" t="e">
        <f>VLOOKUP(A1,DIV_12Data!$A$1:$DZU$1000000,1854,FALSE)</f>
        <v>#N/A</v>
      </c>
    </row>
    <row r="110" spans="1:17" x14ac:dyDescent="0.35">
      <c r="A110" s="22" t="e">
        <f>VLOOKUP(A1,DIV_12Data!$A$1:$DZU$1000000,1855,FALSE)</f>
        <v>#N/A</v>
      </c>
      <c r="B110" s="37" t="e">
        <f>VLOOKUP(A1,DIV_12Data!$A$1:$DZU$1000000,1856,FALSE)</f>
        <v>#N/A</v>
      </c>
      <c r="C110" s="38" t="e">
        <f>VLOOKUP(A1,DIV_12Data!$A$1:$DZU$1000000,1857,FALSE)</f>
        <v>#N/A</v>
      </c>
      <c r="D110" s="31" t="e">
        <f>VLOOKUP(A1,DIV_12Data!$A$1:$DZU$1000000,1858,FALSE)</f>
        <v>#N/A</v>
      </c>
      <c r="E110" s="32" t="e">
        <f>VLOOKUP(A1,DIV_12Data!$A$1:$DZU$1000000,1859,FALSE)</f>
        <v>#N/A</v>
      </c>
      <c r="F110" s="34" t="e">
        <f>VLOOKUP(A1,DIV_12Data!$A$1:$DZU$1000000,1860,FALSE)</f>
        <v>#N/A</v>
      </c>
      <c r="G110" s="33" t="e">
        <f>VLOOKUP(A1,DIV_12Data!$A$1:$DZU$1000000,1861,FALSE)</f>
        <v>#N/A</v>
      </c>
      <c r="H110" s="34" t="e">
        <f>VLOOKUP(A1,DIV_12Data!$A$1:$DZU$1000000,1862,FALSE)</f>
        <v>#N/A</v>
      </c>
      <c r="I110" s="33" t="e">
        <f>VLOOKUP(A1,DIV_12Data!$A$1:$DZU$1000000,1863,FALSE)</f>
        <v>#N/A</v>
      </c>
      <c r="J110" s="34" t="e">
        <f>VLOOKUP(A1,DIV_12Data!$A$1:$DZU$1000000,1864,FALSE)</f>
        <v>#N/A</v>
      </c>
      <c r="K110" s="34" t="e">
        <f>VLOOKUP(A1,DIV_12Data!$A$1:$DZU$1000000,1865,FALSE)</f>
        <v>#N/A</v>
      </c>
      <c r="L110" s="93" t="e">
        <f>VLOOKUP(A1,DIV_12Data!$A$1:$DZU$1000000,1866,FALSE)</f>
        <v>#N/A</v>
      </c>
      <c r="M110" s="33" t="e">
        <f>VLOOKUP(A1,DIV_12Data!$A$1:$DZU$1000000,1867,FALSE)</f>
        <v>#N/A</v>
      </c>
      <c r="N110" s="34" t="e">
        <f>VLOOKUP(A1,DIV_12Data!$A$1:$DZU$1000000,1868,FALSE)</f>
        <v>#N/A</v>
      </c>
      <c r="O110" s="33" t="e">
        <f>VLOOKUP(A1,DIV_12Data!$A$1:$DZU$1000000,1869,FALSE)</f>
        <v>#N/A</v>
      </c>
      <c r="P110" s="46" t="e">
        <f>VLOOKUP(A1,DIV_12Data!$A$1:$DZU$1000000,1870,FALSE)</f>
        <v>#N/A</v>
      </c>
      <c r="Q110" s="33" t="e">
        <f>VLOOKUP(A1,DIV_12Data!$A$1:$DZU$1000000,1871,FALSE)</f>
        <v>#N/A</v>
      </c>
    </row>
    <row r="111" spans="1:17" x14ac:dyDescent="0.35">
      <c r="A111" s="22" t="e">
        <f>VLOOKUP(A1,DIV_12Data!$A$1:$DZU$1000000,1872,FALSE)</f>
        <v>#N/A</v>
      </c>
      <c r="B111" s="37" t="e">
        <f>VLOOKUP(A1,DIV_12Data!$A$1:$DZU$1000000,1873,FALSE)</f>
        <v>#N/A</v>
      </c>
      <c r="C111" s="38" t="e">
        <f>VLOOKUP(A1,DIV_12Data!$A$1:$DZU$1000000,1874,FALSE)</f>
        <v>#N/A</v>
      </c>
      <c r="D111" s="31" t="e">
        <f>VLOOKUP(A1,DIV_12Data!$A$1:$DZU$1000000,1875,FALSE)</f>
        <v>#N/A</v>
      </c>
      <c r="E111" s="32" t="e">
        <f>VLOOKUP(A1,DIV_12Data!$A$1:$DZU$1000000,1876,FALSE)</f>
        <v>#N/A</v>
      </c>
      <c r="F111" s="34" t="e">
        <f>VLOOKUP(A1,DIV_12Data!$A$1:$DZU$1000000,1877,FALSE)</f>
        <v>#N/A</v>
      </c>
      <c r="G111" s="33" t="e">
        <f>VLOOKUP(A1,DIV_12Data!$A$1:$DZU$1000000,1878,FALSE)</f>
        <v>#N/A</v>
      </c>
      <c r="H111" s="34" t="e">
        <f>VLOOKUP(A1,DIV_12Data!$A$1:$DZU$1000000,1879,FALSE)</f>
        <v>#N/A</v>
      </c>
      <c r="I111" s="33" t="e">
        <f>VLOOKUP(A1,DIV_12Data!$A$1:$DZU$1000000,1880,FALSE)</f>
        <v>#N/A</v>
      </c>
      <c r="J111" s="34" t="e">
        <f>VLOOKUP(A1,DIV_12Data!$A$1:$DZU$1000000,1881,FALSE)</f>
        <v>#N/A</v>
      </c>
      <c r="K111" s="34" t="e">
        <f>VLOOKUP(A1,DIV_12Data!$A$1:$DZU$1000000,1882,FALSE)</f>
        <v>#N/A</v>
      </c>
      <c r="L111" s="93" t="e">
        <f>VLOOKUP(A1,DIV_12Data!$A$1:$DZU$1000000,1883,FALSE)</f>
        <v>#N/A</v>
      </c>
      <c r="M111" s="33" t="e">
        <f>VLOOKUP(A1,DIV_12Data!$A$1:$DZU$1000000,1884,FALSE)</f>
        <v>#N/A</v>
      </c>
      <c r="N111" s="34" t="e">
        <f>VLOOKUP(A1,DIV_12Data!$A$1:$DZU$1000000,1885,FALSE)</f>
        <v>#N/A</v>
      </c>
      <c r="O111" s="33" t="e">
        <f>VLOOKUP(A1,DIV_12Data!$A$1:$DZU$1000000,1886,FALSE)</f>
        <v>#N/A</v>
      </c>
      <c r="P111" s="46" t="e">
        <f>VLOOKUP(A1,DIV_12Data!$A$1:$DZU$1000000,1887,FALSE)</f>
        <v>#N/A</v>
      </c>
      <c r="Q111" s="33" t="e">
        <f>VLOOKUP(A1,DIV_12Data!$A$1:$DZU$1000000,1888,FALSE)</f>
        <v>#N/A</v>
      </c>
    </row>
    <row r="112" spans="1:17" x14ac:dyDescent="0.35">
      <c r="A112" s="22" t="e">
        <f>VLOOKUP(A1,DIV_12Data!$A$1:$DZU$1000000,1889,FALSE)</f>
        <v>#N/A</v>
      </c>
      <c r="B112" s="37" t="e">
        <f>VLOOKUP(A1,DIV_12Data!$A$1:$DZU$1000000,1890,FALSE)</f>
        <v>#N/A</v>
      </c>
      <c r="C112" s="38" t="e">
        <f>VLOOKUP(A1,DIV_12Data!$A$1:$DZU$1000000,1891,FALSE)</f>
        <v>#N/A</v>
      </c>
      <c r="D112" s="31" t="e">
        <f>VLOOKUP(A1,DIV_12Data!$A$1:$DZU$1000000,1892,FALSE)</f>
        <v>#N/A</v>
      </c>
      <c r="E112" s="32" t="e">
        <f>VLOOKUP(A1,DIV_12Data!$A$1:$DZU$1000000,1893,FALSE)</f>
        <v>#N/A</v>
      </c>
      <c r="F112" s="34" t="e">
        <f>VLOOKUP(A1,DIV_12Data!$A$1:$DZU$1000000,1894,FALSE)</f>
        <v>#N/A</v>
      </c>
      <c r="G112" s="33" t="e">
        <f>VLOOKUP(A1,DIV_12Data!$A$1:$DZU$1000000,1895,FALSE)</f>
        <v>#N/A</v>
      </c>
      <c r="H112" s="34" t="e">
        <f>VLOOKUP(A1,DIV_12Data!$A$1:$DZU$1000000,1896,FALSE)</f>
        <v>#N/A</v>
      </c>
      <c r="I112" s="33" t="e">
        <f>VLOOKUP(A1,DIV_12Data!$A$1:$DZU$1000000,1897,FALSE)</f>
        <v>#N/A</v>
      </c>
      <c r="J112" s="34" t="e">
        <f>VLOOKUP(A1,DIV_12Data!$A$1:$DZU$1000000,1898,FALSE)</f>
        <v>#N/A</v>
      </c>
      <c r="K112" s="34" t="e">
        <f>VLOOKUP(A1,DIV_12Data!$A$1:$DZU$1000000,1899,FALSE)</f>
        <v>#N/A</v>
      </c>
      <c r="L112" s="93" t="e">
        <f>VLOOKUP(A1,DIV_12Data!$A$1:$DZU$1000000,1900,FALSE)</f>
        <v>#N/A</v>
      </c>
      <c r="M112" s="33" t="e">
        <f>VLOOKUP(A1,DIV_12Data!$A$1:$DZU$1000000,1901,FALSE)</f>
        <v>#N/A</v>
      </c>
      <c r="N112" s="34" t="e">
        <f>VLOOKUP(A1,DIV_12Data!$A$1:$DZU$1000000,1902,FALSE)</f>
        <v>#N/A</v>
      </c>
      <c r="O112" s="33" t="e">
        <f>VLOOKUP(A1,DIV_12Data!$A$1:$DZU$1000000,1903,FALSE)</f>
        <v>#N/A</v>
      </c>
      <c r="P112" s="46" t="e">
        <f>VLOOKUP(A1,DIV_12Data!$A$1:$DZU$1000000,1904,FALSE)</f>
        <v>#N/A</v>
      </c>
      <c r="Q112" s="33" t="e">
        <f>VLOOKUP(A1,DIV_12Data!$A$1:$DZU$1000000,1905,FALSE)</f>
        <v>#N/A</v>
      </c>
    </row>
    <row r="113" spans="1:17" x14ac:dyDescent="0.35">
      <c r="A113" s="22" t="e">
        <f>VLOOKUP(A1,DIV_12Data!$A$1:$DZU$1000000,1906,FALSE)</f>
        <v>#N/A</v>
      </c>
      <c r="B113" s="37" t="e">
        <f>VLOOKUP(A1,DIV_12Data!$A$1:$DZU$1000000,1907,FALSE)</f>
        <v>#N/A</v>
      </c>
      <c r="C113" s="38" t="e">
        <f>VLOOKUP(A1,DIV_12Data!$A$1:$DZU$1000000,1908,FALSE)</f>
        <v>#N/A</v>
      </c>
      <c r="D113" s="31" t="e">
        <f>VLOOKUP(A1,DIV_12Data!$A$1:$DZU$1000000,1909,FALSE)</f>
        <v>#N/A</v>
      </c>
      <c r="E113" s="32" t="e">
        <f>VLOOKUP(A1,DIV_12Data!$A$1:$DZU$1000000,1910,FALSE)</f>
        <v>#N/A</v>
      </c>
      <c r="F113" s="34" t="e">
        <f>VLOOKUP(A1,DIV_12Data!$A$1:$DZU$1000000,1911,FALSE)</f>
        <v>#N/A</v>
      </c>
      <c r="G113" s="33" t="e">
        <f>VLOOKUP(A1,DIV_12Data!$A$1:$DZU$1000000,1912,FALSE)</f>
        <v>#N/A</v>
      </c>
      <c r="H113" s="34" t="e">
        <f>VLOOKUP(A1,DIV_12Data!$A$1:$DZU$1000000,1913,FALSE)</f>
        <v>#N/A</v>
      </c>
      <c r="I113" s="33" t="e">
        <f>VLOOKUP(A1,DIV_12Data!$A$1:$DZU$1000000,1914,FALSE)</f>
        <v>#N/A</v>
      </c>
      <c r="J113" s="34" t="e">
        <f>VLOOKUP(A1,DIV_12Data!$A$1:$DZU$1000000,1915,FALSE)</f>
        <v>#N/A</v>
      </c>
      <c r="K113" s="34" t="e">
        <f>VLOOKUP(A1,DIV_12Data!$A$1:$DZU$1000000,1916,FALSE)</f>
        <v>#N/A</v>
      </c>
      <c r="L113" s="93" t="e">
        <f>VLOOKUP(A1,DIV_12Data!$A$1:$DZU$1000000,1917,FALSE)</f>
        <v>#N/A</v>
      </c>
      <c r="M113" s="33" t="e">
        <f>VLOOKUP(A1,DIV_12Data!$A$1:$DZU$1000000,1918,FALSE)</f>
        <v>#N/A</v>
      </c>
      <c r="N113" s="34" t="e">
        <f>VLOOKUP(A1,DIV_12Data!$A$1:$DZU$1000000,1919,FALSE)</f>
        <v>#N/A</v>
      </c>
      <c r="O113" s="33" t="e">
        <f>VLOOKUP(A1,DIV_12Data!$A$1:$DZU$1000000,1920,FALSE)</f>
        <v>#N/A</v>
      </c>
      <c r="P113" s="46" t="e">
        <f>VLOOKUP(A1,DIV_12Data!$A$1:$DZU$1000000,1921,FALSE)</f>
        <v>#N/A</v>
      </c>
      <c r="Q113" s="33" t="e">
        <f>VLOOKUP(A1,DIV_12Data!$A$1:$DZU$1000000,1922,FALSE)</f>
        <v>#N/A</v>
      </c>
    </row>
    <row r="114" spans="1:17" x14ac:dyDescent="0.35">
      <c r="A114" s="22" t="e">
        <f>VLOOKUP(A1,DIV_12Data!$A$1:$DZU$1000000,1923,FALSE)</f>
        <v>#N/A</v>
      </c>
      <c r="B114" s="37" t="e">
        <f>VLOOKUP(A1,DIV_12Data!$A$1:$DZU$1000000,1924,FALSE)</f>
        <v>#N/A</v>
      </c>
      <c r="C114" s="38" t="e">
        <f>VLOOKUP(A1,DIV_12Data!$A$1:$DZU$1000000,1925,FALSE)</f>
        <v>#N/A</v>
      </c>
      <c r="D114" s="31" t="e">
        <f>VLOOKUP(A1,DIV_12Data!$A$1:$DZU$1000000,1926,FALSE)</f>
        <v>#N/A</v>
      </c>
      <c r="E114" s="32" t="e">
        <f>VLOOKUP(A1,DIV_12Data!$A$1:$DZU$1000000,1927,FALSE)</f>
        <v>#N/A</v>
      </c>
      <c r="F114" s="34" t="e">
        <f>VLOOKUP(A1,DIV_12Data!$A$1:$DZU$1000000,1928,FALSE)</f>
        <v>#N/A</v>
      </c>
      <c r="G114" s="33" t="e">
        <f>VLOOKUP(A1,DIV_12Data!$A$1:$DZU$1000000,1929,FALSE)</f>
        <v>#N/A</v>
      </c>
      <c r="H114" s="34" t="e">
        <f>VLOOKUP(A1,DIV_12Data!$A$1:$DZU$1000000,1930,FALSE)</f>
        <v>#N/A</v>
      </c>
      <c r="I114" s="33" t="e">
        <f>VLOOKUP(A1,DIV_12Data!$A$1:$DZU$1000000,1931,FALSE)</f>
        <v>#N/A</v>
      </c>
      <c r="J114" s="34" t="e">
        <f>VLOOKUP(A1,DIV_12Data!$A$1:$DZU$1000000,1932,FALSE)</f>
        <v>#N/A</v>
      </c>
      <c r="K114" s="34" t="e">
        <f>VLOOKUP(A1,DIV_12Data!$A$1:$DZU$1000000,1933,FALSE)</f>
        <v>#N/A</v>
      </c>
      <c r="L114" s="93" t="e">
        <f>VLOOKUP(A1,DIV_12Data!$A$1:$DZU$1000000,1934,FALSE)</f>
        <v>#N/A</v>
      </c>
      <c r="M114" s="33" t="e">
        <f>VLOOKUP(A1,DIV_12Data!$A$1:$DZU$1000000,1935,FALSE)</f>
        <v>#N/A</v>
      </c>
      <c r="N114" s="34" t="e">
        <f>VLOOKUP(A1,DIV_12Data!$A$1:$DZU$1000000,1936,FALSE)</f>
        <v>#N/A</v>
      </c>
      <c r="O114" s="33" t="e">
        <f>VLOOKUP(A1,DIV_12Data!$A$1:$DZU$1000000,1937,FALSE)</f>
        <v>#N/A</v>
      </c>
      <c r="P114" s="46" t="e">
        <f>VLOOKUP(A1,DIV_12Data!$A$1:$DZU$1000000,1938,FALSE)</f>
        <v>#N/A</v>
      </c>
      <c r="Q114" s="33" t="e">
        <f>VLOOKUP(A1,DIV_12Data!$A$1:$DZU$1000000,1939,FALSE)</f>
        <v>#N/A</v>
      </c>
    </row>
    <row r="115" spans="1:17" x14ac:dyDescent="0.35">
      <c r="A115" s="22" t="e">
        <f>VLOOKUP(A1,DIV_12Data!$A$1:$DZU$1000000,1940,FALSE)</f>
        <v>#N/A</v>
      </c>
      <c r="B115" s="37" t="e">
        <f>VLOOKUP(A1,DIV_12Data!$A$1:$DZU$1000000,1941,FALSE)</f>
        <v>#N/A</v>
      </c>
      <c r="C115" s="38" t="e">
        <f>VLOOKUP(A1,DIV_12Data!$A$1:$DZU$1000000,1942,FALSE)</f>
        <v>#N/A</v>
      </c>
      <c r="D115" s="31" t="e">
        <f>VLOOKUP(A1,DIV_12Data!$A$1:$DZU$1000000,1943,FALSE)</f>
        <v>#N/A</v>
      </c>
      <c r="E115" s="32" t="e">
        <f>VLOOKUP(A1,DIV_12Data!$A$1:$DZU$1000000,1944,FALSE)</f>
        <v>#N/A</v>
      </c>
      <c r="F115" s="34" t="e">
        <f>VLOOKUP(A1,DIV_12Data!$A$1:$DZU$1000000,1945,FALSE)</f>
        <v>#N/A</v>
      </c>
      <c r="G115" s="33" t="e">
        <f>VLOOKUP(A1,DIV_12Data!$A$1:$DZU$1000000,1946,FALSE)</f>
        <v>#N/A</v>
      </c>
      <c r="H115" s="34" t="e">
        <f>VLOOKUP(A1,DIV_12Data!$A$1:$DZU$1000000,1947,FALSE)</f>
        <v>#N/A</v>
      </c>
      <c r="I115" s="33" t="e">
        <f>VLOOKUP(A1,DIV_12Data!$A$1:$DZU$1000000,1948,FALSE)</f>
        <v>#N/A</v>
      </c>
      <c r="J115" s="34" t="e">
        <f>VLOOKUP(A1,DIV_12Data!$A$1:$DZU$1000000,1949,FALSE)</f>
        <v>#N/A</v>
      </c>
      <c r="K115" s="34" t="e">
        <f>VLOOKUP(A1,DIV_12Data!$A$1:$DZU$1000000,1950,FALSE)</f>
        <v>#N/A</v>
      </c>
      <c r="L115" s="93" t="e">
        <f>VLOOKUP(A1,DIV_12Data!$A$1:$DZU$1000000,1951,FALSE)</f>
        <v>#N/A</v>
      </c>
      <c r="M115" s="33" t="e">
        <f>VLOOKUP(A1,DIV_12Data!$A$1:$DZU$1000000,1952,FALSE)</f>
        <v>#N/A</v>
      </c>
      <c r="N115" s="34" t="e">
        <f>VLOOKUP(A1,DIV_12Data!$A$1:$DZU$1000000,1953,FALSE)</f>
        <v>#N/A</v>
      </c>
      <c r="O115" s="33" t="e">
        <f>VLOOKUP(A1,DIV_12Data!$A$1:$DZU$1000000,1954,FALSE)</f>
        <v>#N/A</v>
      </c>
      <c r="P115" s="46" t="e">
        <f>VLOOKUP(A1,DIV_12Data!$A$1:$DZU$1000000,1955,FALSE)</f>
        <v>#N/A</v>
      </c>
      <c r="Q115" s="33" t="e">
        <f>VLOOKUP(A1,DIV_12Data!$A$1:$DZU$1000000,1956,FALSE)</f>
        <v>#N/A</v>
      </c>
    </row>
    <row r="116" spans="1:17" x14ac:dyDescent="0.35">
      <c r="A116" s="22" t="e">
        <f>VLOOKUP(A1,DIV_12Data!$A$1:$DZU$1000000,1957,FALSE)</f>
        <v>#N/A</v>
      </c>
      <c r="B116" s="37" t="e">
        <f>VLOOKUP(A1,DIV_12Data!$A$1:$DZU$1000000,1958,FALSE)</f>
        <v>#N/A</v>
      </c>
      <c r="C116" s="38" t="e">
        <f>VLOOKUP(A1,DIV_12Data!$A$1:$DZU$1000000,1959,FALSE)</f>
        <v>#N/A</v>
      </c>
      <c r="D116" s="31" t="e">
        <f>VLOOKUP(A1,DIV_12Data!$A$1:$DZU$1000000,1960,FALSE)</f>
        <v>#N/A</v>
      </c>
      <c r="E116" s="32" t="e">
        <f>VLOOKUP(A1,DIV_12Data!$A$1:$DZU$1000000,1961,FALSE)</f>
        <v>#N/A</v>
      </c>
      <c r="F116" s="34" t="e">
        <f>VLOOKUP(A1,DIV_12Data!$A$1:$DZU$1000000,1962,FALSE)</f>
        <v>#N/A</v>
      </c>
      <c r="G116" s="33" t="e">
        <f>VLOOKUP(A1,DIV_12Data!$A$1:$DZU$1000000,1963,FALSE)</f>
        <v>#N/A</v>
      </c>
      <c r="H116" s="34" t="e">
        <f>VLOOKUP(A1,DIV_12Data!$A$1:$DZU$1000000,1964,FALSE)</f>
        <v>#N/A</v>
      </c>
      <c r="I116" s="33" t="e">
        <f>VLOOKUP(A1,DIV_12Data!$A$1:$DZU$1000000,1965,FALSE)</f>
        <v>#N/A</v>
      </c>
      <c r="J116" s="34" t="e">
        <f>VLOOKUP(A1,DIV_12Data!$A$1:$DZU$1000000,1966,FALSE)</f>
        <v>#N/A</v>
      </c>
      <c r="K116" s="34" t="e">
        <f>VLOOKUP(A1,DIV_12Data!$A$1:$DZU$1000000,1967,FALSE)</f>
        <v>#N/A</v>
      </c>
      <c r="L116" s="93" t="e">
        <f>VLOOKUP(A1,DIV_12Data!$A$1:$DZU$1000000,1968,FALSE)</f>
        <v>#N/A</v>
      </c>
      <c r="M116" s="33" t="e">
        <f>VLOOKUP(A1,DIV_12Data!$A$1:$DZU$1000000,1969,FALSE)</f>
        <v>#N/A</v>
      </c>
      <c r="N116" s="34" t="e">
        <f>VLOOKUP(A1,DIV_12Data!$A$1:$DZU$1000000,1970,FALSE)</f>
        <v>#N/A</v>
      </c>
      <c r="O116" s="33" t="e">
        <f>VLOOKUP(A1,DIV_12Data!$A$1:$DZU$1000000,1971,FALSE)</f>
        <v>#N/A</v>
      </c>
      <c r="P116" s="46" t="e">
        <f>VLOOKUP(A1,DIV_12Data!$A$1:$DZU$1000000,1972,FALSE)</f>
        <v>#N/A</v>
      </c>
      <c r="Q116" s="33" t="e">
        <f>VLOOKUP(A1,DIV_12Data!$A$1:$DZU$1000000,1973,FALSE)</f>
        <v>#N/A</v>
      </c>
    </row>
    <row r="117" spans="1:17" x14ac:dyDescent="0.35">
      <c r="A117" s="22" t="e">
        <f>VLOOKUP(A1,DIV_12Data!$A$1:$DZU$1000000,1974,FALSE)</f>
        <v>#N/A</v>
      </c>
      <c r="B117" s="37" t="e">
        <f>VLOOKUP(A1,DIV_12Data!$A$1:$DZU$1000000,1975,FALSE)</f>
        <v>#N/A</v>
      </c>
      <c r="C117" s="38" t="e">
        <f>VLOOKUP(A1,DIV_12Data!$A$1:$DZU$1000000,1976,FALSE)</f>
        <v>#N/A</v>
      </c>
      <c r="D117" s="31" t="e">
        <f>VLOOKUP(A1,DIV_12Data!$A$1:$DZU$1000000,1977,FALSE)</f>
        <v>#N/A</v>
      </c>
      <c r="E117" s="32" t="e">
        <f>VLOOKUP(A1,DIV_12Data!$A$1:$DZU$1000000,1978,FALSE)</f>
        <v>#N/A</v>
      </c>
      <c r="F117" s="34" t="e">
        <f>VLOOKUP(A1,DIV_12Data!$A$1:$DZU$1000000,1979,FALSE)</f>
        <v>#N/A</v>
      </c>
      <c r="G117" s="33" t="e">
        <f>VLOOKUP(A1,DIV_12Data!$A$1:$DZU$1000000,1980,FALSE)</f>
        <v>#N/A</v>
      </c>
      <c r="H117" s="34" t="e">
        <f>VLOOKUP(A1,DIV_12Data!$A$1:$DZU$1000000,1981,FALSE)</f>
        <v>#N/A</v>
      </c>
      <c r="I117" s="33" t="e">
        <f>VLOOKUP(A1,DIV_12Data!$A$1:$DZU$1000000,1982,FALSE)</f>
        <v>#N/A</v>
      </c>
      <c r="J117" s="34" t="e">
        <f>VLOOKUP(A1,DIV_12Data!$A$1:$DZU$1000000,1983,FALSE)</f>
        <v>#N/A</v>
      </c>
      <c r="K117" s="34" t="e">
        <f>VLOOKUP(A1,DIV_12Data!$A$1:$DZU$1000000,1984,FALSE)</f>
        <v>#N/A</v>
      </c>
      <c r="L117" s="93" t="e">
        <f>VLOOKUP(A1,DIV_12Data!$A$1:$DZU$1000000,1985,FALSE)</f>
        <v>#N/A</v>
      </c>
      <c r="M117" s="33" t="e">
        <f>VLOOKUP(A1,DIV_12Data!$A$1:$DZU$1000000,1986,FALSE)</f>
        <v>#N/A</v>
      </c>
      <c r="N117" s="34" t="e">
        <f>VLOOKUP(A1,DIV_12Data!$A$1:$DZU$1000000,1987,FALSE)</f>
        <v>#N/A</v>
      </c>
      <c r="O117" s="33" t="e">
        <f>VLOOKUP(A1,DIV_12Data!$A$1:$DZU$1000000,1988,FALSE)</f>
        <v>#N/A</v>
      </c>
      <c r="P117" s="46" t="e">
        <f>VLOOKUP(A1,DIV_12Data!$A$1:$DZU$1000000,1989,FALSE)</f>
        <v>#N/A</v>
      </c>
      <c r="Q117" s="33" t="e">
        <f>VLOOKUP(A1,DIV_12Data!$A$1:$DZU$1000000,1990,FALSE)</f>
        <v>#N/A</v>
      </c>
    </row>
    <row r="118" spans="1:17" x14ac:dyDescent="0.35">
      <c r="A118" s="22" t="e">
        <f>VLOOKUP(A1,DIV_12Data!$A$1:$DZU$1000000,1991,FALSE)</f>
        <v>#N/A</v>
      </c>
      <c r="B118" s="37" t="e">
        <f>VLOOKUP(A1,DIV_12Data!$A$1:$DZU$1000000,1992,FALSE)</f>
        <v>#N/A</v>
      </c>
      <c r="C118" s="38" t="e">
        <f>VLOOKUP(A1,DIV_12Data!$A$1:$DZU$1000000,1993,FALSE)</f>
        <v>#N/A</v>
      </c>
      <c r="D118" s="31" t="e">
        <f>VLOOKUP(A1,DIV_12Data!$A$1:$DZU$1000000,1994,FALSE)</f>
        <v>#N/A</v>
      </c>
      <c r="E118" s="32" t="e">
        <f>VLOOKUP(A1,DIV_12Data!$A$1:$DZU$1000000,1995,FALSE)</f>
        <v>#N/A</v>
      </c>
      <c r="F118" s="34" t="e">
        <f>VLOOKUP(A1,DIV_12Data!$A$1:$DZU$1000000,1996,FALSE)</f>
        <v>#N/A</v>
      </c>
      <c r="G118" s="33" t="e">
        <f>VLOOKUP(A1,DIV_12Data!$A$1:$DZU$1000000,1997,FALSE)</f>
        <v>#N/A</v>
      </c>
      <c r="H118" s="34" t="e">
        <f>VLOOKUP(A1,DIV_12Data!$A$1:$DZU$1000000,1998,FALSE)</f>
        <v>#N/A</v>
      </c>
      <c r="I118" s="33" t="e">
        <f>VLOOKUP(A1,DIV_12Data!$A$1:$DZU$1000000,1999,FALSE)</f>
        <v>#N/A</v>
      </c>
      <c r="J118" s="34" t="e">
        <f>VLOOKUP(A1,DIV_12Data!$A$1:$DZU$1000000,2000,FALSE)</f>
        <v>#N/A</v>
      </c>
      <c r="K118" s="34" t="e">
        <f>VLOOKUP(A1,DIV_12Data!$A$1:$DZU$1000000,2001,FALSE)</f>
        <v>#N/A</v>
      </c>
      <c r="L118" s="93" t="e">
        <f>VLOOKUP(A1,DIV_12Data!$A$1:$DZU$1000000,2002,FALSE)</f>
        <v>#N/A</v>
      </c>
      <c r="M118" s="33" t="e">
        <f>VLOOKUP(A1,DIV_12Data!$A$1:$DZU$1000000,2003,FALSE)</f>
        <v>#N/A</v>
      </c>
      <c r="N118" s="34" t="e">
        <f>VLOOKUP(A1,DIV_12Data!$A$1:$DZU$1000000,2004,FALSE)</f>
        <v>#N/A</v>
      </c>
      <c r="O118" s="33" t="e">
        <f>VLOOKUP(A1,DIV_12Data!$A$1:$DZU$1000000,2005,FALSE)</f>
        <v>#N/A</v>
      </c>
      <c r="P118" s="46" t="e">
        <f>VLOOKUP(A1,DIV_12Data!$A$1:$DZU$1000000,2006,FALSE)</f>
        <v>#N/A</v>
      </c>
      <c r="Q118" s="33" t="e">
        <f>VLOOKUP(A1,DIV_12Data!$A$1:$DZU$1000000,2007,FALSE)</f>
        <v>#N/A</v>
      </c>
    </row>
    <row r="119" spans="1:17" x14ac:dyDescent="0.35">
      <c r="A119" s="22" t="e">
        <f>VLOOKUP(A1,DIV_12Data!$A$1:$DZU$1000000,2008,FALSE)</f>
        <v>#N/A</v>
      </c>
      <c r="B119" s="37" t="e">
        <f>VLOOKUP(A1,DIV_12Data!$A$1:$DZU$1000000,2009,FALSE)</f>
        <v>#N/A</v>
      </c>
      <c r="C119" s="38" t="e">
        <f>VLOOKUP(A1,DIV_12Data!$A$1:$DZU$1000000,2010,FALSE)</f>
        <v>#N/A</v>
      </c>
      <c r="D119" s="31" t="e">
        <f>VLOOKUP(A1,DIV_12Data!$A$1:$DZU$1000000,2011,FALSE)</f>
        <v>#N/A</v>
      </c>
      <c r="E119" s="32" t="e">
        <f>VLOOKUP(A1,DIV_12Data!$A$1:$DZU$1000000,2012,FALSE)</f>
        <v>#N/A</v>
      </c>
      <c r="F119" s="34" t="e">
        <f>VLOOKUP(A1,DIV_12Data!$A$1:$DZU$1000000,2013,FALSE)</f>
        <v>#N/A</v>
      </c>
      <c r="G119" s="33" t="e">
        <f>VLOOKUP(A1,DIV_12Data!$A$1:$DZU$1000000,2014,FALSE)</f>
        <v>#N/A</v>
      </c>
      <c r="H119" s="34" t="e">
        <f>VLOOKUP(A1,DIV_12Data!$A$1:$DZU$1000000,2015,FALSE)</f>
        <v>#N/A</v>
      </c>
      <c r="I119" s="33" t="e">
        <f>VLOOKUP(A1,DIV_12Data!$A$1:$DZU$1000000,2016,FALSE)</f>
        <v>#N/A</v>
      </c>
      <c r="J119" s="34" t="e">
        <f>VLOOKUP(A1,DIV_12Data!$A$1:$DZU$1000000,2017,FALSE)</f>
        <v>#N/A</v>
      </c>
      <c r="K119" s="34" t="e">
        <f>VLOOKUP(A1,DIV_12Data!$A$1:$DZU$1000000,2018,FALSE)</f>
        <v>#N/A</v>
      </c>
      <c r="L119" s="93" t="e">
        <f>VLOOKUP(A1,DIV_12Data!$A$1:$DZU$1000000,2019,FALSE)</f>
        <v>#N/A</v>
      </c>
      <c r="M119" s="33" t="e">
        <f>VLOOKUP(A1,DIV_12Data!$A$1:$DZU$1000000,2020,FALSE)</f>
        <v>#N/A</v>
      </c>
      <c r="N119" s="34" t="e">
        <f>VLOOKUP(A1,DIV_12Data!$A$1:$DZU$1000000,2021,FALSE)</f>
        <v>#N/A</v>
      </c>
      <c r="O119" s="33" t="e">
        <f>VLOOKUP(A1,DIV_12Data!$A$1:$DZU$1000000,2022,FALSE)</f>
        <v>#N/A</v>
      </c>
      <c r="P119" s="46" t="e">
        <f>VLOOKUP(A1,DIV_12Data!$A$1:$DZU$1000000,2023,FALSE)</f>
        <v>#N/A</v>
      </c>
      <c r="Q119" s="33" t="e">
        <f>VLOOKUP(A1,DIV_12Data!$A$1:$DZU$1000000,2024,FALSE)</f>
        <v>#N/A</v>
      </c>
    </row>
    <row r="120" spans="1:17" x14ac:dyDescent="0.35">
      <c r="A120" s="22" t="e">
        <f>VLOOKUP(A1,DIV_12Data!$A$1:$DZU$1000000,2025,FALSE)</f>
        <v>#N/A</v>
      </c>
      <c r="B120" s="37" t="e">
        <f>VLOOKUP(A1,DIV_12Data!$A$1:$DZU$1000000,2026,FALSE)</f>
        <v>#N/A</v>
      </c>
      <c r="C120" s="38" t="e">
        <f>VLOOKUP(A1,DIV_12Data!$A$1:$DZU$1000000,2027,FALSE)</f>
        <v>#N/A</v>
      </c>
      <c r="D120" s="31" t="e">
        <f>VLOOKUP(A1,DIV_12Data!$A$1:$DZU$1000000,2028,FALSE)</f>
        <v>#N/A</v>
      </c>
      <c r="E120" s="32" t="e">
        <f>VLOOKUP(A1,DIV_12Data!$A$1:$DZU$1000000,2029,FALSE)</f>
        <v>#N/A</v>
      </c>
      <c r="F120" s="34" t="e">
        <f>VLOOKUP(A1,DIV_12Data!$A$1:$DZU$1000000,2030,FALSE)</f>
        <v>#N/A</v>
      </c>
      <c r="G120" s="33" t="e">
        <f>VLOOKUP(A1,DIV_12Data!$A$1:$DZU$1000000,2031,FALSE)</f>
        <v>#N/A</v>
      </c>
      <c r="H120" s="34" t="e">
        <f>VLOOKUP(A1,DIV_12Data!$A$1:$DZU$1000000,2032,FALSE)</f>
        <v>#N/A</v>
      </c>
      <c r="I120" s="33" t="e">
        <f>VLOOKUP(A1,DIV_12Data!$A$1:$DZU$1000000,2033,FALSE)</f>
        <v>#N/A</v>
      </c>
      <c r="J120" s="34" t="e">
        <f>VLOOKUP(A1,DIV_12Data!$A$1:$DZU$1000000,2034,FALSE)</f>
        <v>#N/A</v>
      </c>
      <c r="K120" s="34" t="e">
        <f>VLOOKUP(A1,DIV_12Data!$A$1:$DZU$1000000,2035,FALSE)</f>
        <v>#N/A</v>
      </c>
      <c r="L120" s="93" t="e">
        <f>VLOOKUP(A1,DIV_12Data!$A$1:$DZU$1000000,2036,FALSE)</f>
        <v>#N/A</v>
      </c>
      <c r="M120" s="33" t="e">
        <f>VLOOKUP(A1,DIV_12Data!$A$1:$DZU$1000000,2037,FALSE)</f>
        <v>#N/A</v>
      </c>
      <c r="N120" s="34" t="e">
        <f>VLOOKUP(A1,DIV_12Data!$A$1:$DZU$1000000,2038,FALSE)</f>
        <v>#N/A</v>
      </c>
      <c r="O120" s="33" t="e">
        <f>VLOOKUP(A1,DIV_12Data!$A$1:$DZU$1000000,2039,FALSE)</f>
        <v>#N/A</v>
      </c>
      <c r="P120" s="46" t="e">
        <f>VLOOKUP(A1,DIV_12Data!$A$1:$DZU$1000000,2040,FALSE)</f>
        <v>#N/A</v>
      </c>
      <c r="Q120" s="33" t="e">
        <f>VLOOKUP(A1,DIV_12Data!$A$1:$DZU$1000000,2041,FALSE)</f>
        <v>#N/A</v>
      </c>
    </row>
    <row r="121" spans="1:17" x14ac:dyDescent="0.35">
      <c r="A121" s="22" t="e">
        <f>VLOOKUP(A1,DIV_12Data!$A$1:$DZU$1000000,2042,FALSE)</f>
        <v>#N/A</v>
      </c>
      <c r="B121" s="37" t="e">
        <f>VLOOKUP(A1,DIV_12Data!$A$1:$DZU$1000000,2043,FALSE)</f>
        <v>#N/A</v>
      </c>
      <c r="C121" s="38" t="e">
        <f>VLOOKUP(A1,DIV_12Data!$A$1:$DZU$1000000,2044,FALSE)</f>
        <v>#N/A</v>
      </c>
      <c r="D121" s="31" t="e">
        <f>VLOOKUP(A1,DIV_12Data!$A$1:$DZU$1000000,2045,FALSE)</f>
        <v>#N/A</v>
      </c>
      <c r="E121" s="32" t="e">
        <f>VLOOKUP(A1,DIV_12Data!$A$1:$DZU$1000000,2046,FALSE)</f>
        <v>#N/A</v>
      </c>
      <c r="F121" s="34" t="e">
        <f>VLOOKUP(A1,DIV_12Data!$A$1:$DZU$1000000,2047,FALSE)</f>
        <v>#N/A</v>
      </c>
      <c r="G121" s="33" t="e">
        <f>VLOOKUP(A1,DIV_12Data!$A$1:$DZU$1000000,2048,FALSE)</f>
        <v>#N/A</v>
      </c>
      <c r="H121" s="34" t="e">
        <f>VLOOKUP(A1,DIV_12Data!$A$1:$DZU$1000000,2049,FALSE)</f>
        <v>#N/A</v>
      </c>
      <c r="I121" s="33" t="e">
        <f>VLOOKUP(A1,DIV_12Data!$A$1:$DZU$1000000,2050,FALSE)</f>
        <v>#N/A</v>
      </c>
      <c r="J121" s="34" t="e">
        <f>VLOOKUP(A1,DIV_12Data!$A$1:$DZU$1000000,2051,FALSE)</f>
        <v>#N/A</v>
      </c>
      <c r="K121" s="34" t="e">
        <f>VLOOKUP(A1,DIV_12Data!$A$1:$DZU$1000000,2052,FALSE)</f>
        <v>#N/A</v>
      </c>
      <c r="L121" s="93" t="e">
        <f>VLOOKUP(A1,DIV_12Data!$A$1:$DZU$1000000,2053,FALSE)</f>
        <v>#N/A</v>
      </c>
      <c r="M121" s="33" t="e">
        <f>VLOOKUP(A1,DIV_12Data!$A$1:$DZU$1000000,2054,FALSE)</f>
        <v>#N/A</v>
      </c>
      <c r="N121" s="34" t="e">
        <f>VLOOKUP(A1,DIV_12Data!$A$1:$DZU$1000000,2055,FALSE)</f>
        <v>#N/A</v>
      </c>
      <c r="O121" s="33" t="e">
        <f>VLOOKUP(A1,DIV_12Data!$A$1:$DZU$1000000,2056,FALSE)</f>
        <v>#N/A</v>
      </c>
      <c r="P121" s="46" t="e">
        <f>VLOOKUP(A1,DIV_12Data!$A$1:$DZU$1000000,2057,FALSE)</f>
        <v>#N/A</v>
      </c>
      <c r="Q121" s="33" t="e">
        <f>VLOOKUP(A1,DIV_12Data!$A$1:$DZU$1000000,2058,FALSE)</f>
        <v>#N/A</v>
      </c>
    </row>
    <row r="122" spans="1:17" x14ac:dyDescent="0.35">
      <c r="A122" s="22" t="e">
        <f>VLOOKUP(A1,DIV_12Data!$A$1:$DZU$1000000,2059,FALSE)</f>
        <v>#N/A</v>
      </c>
      <c r="B122" s="37" t="e">
        <f>VLOOKUP(A1,DIV_12Data!$A$1:$DZU$1000000,2060,FALSE)</f>
        <v>#N/A</v>
      </c>
      <c r="C122" s="38" t="e">
        <f>VLOOKUP(A1,DIV_12Data!$A$1:$DZU$1000000,2061,FALSE)</f>
        <v>#N/A</v>
      </c>
      <c r="D122" s="31" t="e">
        <f>VLOOKUP(A1,DIV_12Data!$A$1:$DZU$1000000,2062,FALSE)</f>
        <v>#N/A</v>
      </c>
      <c r="E122" s="32" t="e">
        <f>VLOOKUP(A1,DIV_12Data!$A$1:$DZU$1000000,2063,FALSE)</f>
        <v>#N/A</v>
      </c>
      <c r="F122" s="34" t="e">
        <f>VLOOKUP(A1,DIV_12Data!$A$1:$DZU$1000000,2064,FALSE)</f>
        <v>#N/A</v>
      </c>
      <c r="G122" s="33" t="e">
        <f>VLOOKUP(A1,DIV_12Data!$A$1:$DZU$1000000,2065,FALSE)</f>
        <v>#N/A</v>
      </c>
      <c r="H122" s="34" t="e">
        <f>VLOOKUP(A1,DIV_12Data!$A$1:$DZU$1000000,2066,FALSE)</f>
        <v>#N/A</v>
      </c>
      <c r="I122" s="33" t="e">
        <f>VLOOKUP(A1,DIV_12Data!$A$1:$DZU$1000000,2067,FALSE)</f>
        <v>#N/A</v>
      </c>
      <c r="J122" s="34" t="e">
        <f>VLOOKUP(A1,DIV_12Data!$A$1:$DZU$1000000,2068,FALSE)</f>
        <v>#N/A</v>
      </c>
      <c r="K122" s="34" t="e">
        <f>VLOOKUP(A1,DIV_12Data!$A$1:$DZU$1000000,2069,FALSE)</f>
        <v>#N/A</v>
      </c>
      <c r="L122" s="93" t="e">
        <f>VLOOKUP(A1,DIV_12Data!$A$1:$DZU$1000000,2070,FALSE)</f>
        <v>#N/A</v>
      </c>
      <c r="M122" s="33" t="e">
        <f>VLOOKUP(A1,DIV_12Data!$A$1:$DZU$1000000,2071,FALSE)</f>
        <v>#N/A</v>
      </c>
      <c r="N122" s="34" t="e">
        <f>VLOOKUP(A1,DIV_12Data!$A$1:$DZU$1000000,2072,FALSE)</f>
        <v>#N/A</v>
      </c>
      <c r="O122" s="33" t="e">
        <f>VLOOKUP(A1,DIV_12Data!$A$1:$DZU$1000000,2073,FALSE)</f>
        <v>#N/A</v>
      </c>
      <c r="P122" s="46" t="e">
        <f>VLOOKUP(A1,DIV_12Data!$A$1:$DZU$1000000,2074,FALSE)</f>
        <v>#N/A</v>
      </c>
      <c r="Q122" s="33" t="e">
        <f>VLOOKUP(A1,DIV_12Data!$A$1:$DZU$1000000,2075,FALSE)</f>
        <v>#N/A</v>
      </c>
    </row>
    <row r="123" spans="1:17" x14ac:dyDescent="0.35">
      <c r="A123" s="22" t="e">
        <f>VLOOKUP(A1,DIV_12Data!$A$1:$DZU$1000000,2076,FALSE)</f>
        <v>#N/A</v>
      </c>
      <c r="B123" s="37" t="e">
        <f>VLOOKUP(A1,DIV_12Data!$A$1:$DZU$1000000,2077,FALSE)</f>
        <v>#N/A</v>
      </c>
      <c r="C123" s="38" t="e">
        <f>VLOOKUP(A1,DIV_12Data!$A$1:$DZU$1000000,2078,FALSE)</f>
        <v>#N/A</v>
      </c>
      <c r="D123" s="31" t="e">
        <f>VLOOKUP(A1,DIV_12Data!$A$1:$DZU$1000000,2079,FALSE)</f>
        <v>#N/A</v>
      </c>
      <c r="E123" s="32" t="e">
        <f>VLOOKUP(A1,DIV_12Data!$A$1:$DZU$1000000,2080,FALSE)</f>
        <v>#N/A</v>
      </c>
      <c r="F123" s="34" t="e">
        <f>VLOOKUP(A1,DIV_12Data!$A$1:$DZU$1000000,2081,FALSE)</f>
        <v>#N/A</v>
      </c>
      <c r="G123" s="33" t="e">
        <f>VLOOKUP(A1,DIV_12Data!$A$1:$DZU$1000000,2082,FALSE)</f>
        <v>#N/A</v>
      </c>
      <c r="H123" s="34" t="e">
        <f>VLOOKUP(A1,DIV_12Data!$A$1:$DZU$1000000,2083,FALSE)</f>
        <v>#N/A</v>
      </c>
      <c r="I123" s="33" t="e">
        <f>VLOOKUP(A1,DIV_12Data!$A$1:$DZU$1000000,2084,FALSE)</f>
        <v>#N/A</v>
      </c>
      <c r="J123" s="34" t="e">
        <f>VLOOKUP(A1,DIV_12Data!$A$1:$DZU$1000000,2085,FALSE)</f>
        <v>#N/A</v>
      </c>
      <c r="K123" s="34" t="e">
        <f>VLOOKUP(A1,DIV_12Data!$A$1:$DZU$1000000,2086,FALSE)</f>
        <v>#N/A</v>
      </c>
      <c r="L123" s="93" t="e">
        <f>VLOOKUP(A1,DIV_12Data!$A$1:$DZU$1000000,2087,FALSE)</f>
        <v>#N/A</v>
      </c>
      <c r="M123" s="33" t="e">
        <f>VLOOKUP(A1,DIV_12Data!$A$1:$DZU$1000000,2088,FALSE)</f>
        <v>#N/A</v>
      </c>
      <c r="N123" s="34" t="e">
        <f>VLOOKUP(A1,DIV_12Data!$A$1:$DZU$1000000,2089,FALSE)</f>
        <v>#N/A</v>
      </c>
      <c r="O123" s="33" t="e">
        <f>VLOOKUP(A1,DIV_12Data!$A$1:$DZU$1000000,2090,FALSE)</f>
        <v>#N/A</v>
      </c>
      <c r="P123" s="46" t="e">
        <f>VLOOKUP(A1,DIV_12Data!$A$1:$DZU$1000000,2091,FALSE)</f>
        <v>#N/A</v>
      </c>
      <c r="Q123" s="33" t="e">
        <f>VLOOKUP(A1,DIV_12Data!$A$1:$DZU$1000000,2092,FALSE)</f>
        <v>#N/A</v>
      </c>
    </row>
    <row r="124" spans="1:17" x14ac:dyDescent="0.35">
      <c r="A124" s="22" t="e">
        <f>VLOOKUP(A1,DIV_12Data!$A$1:$DZU$1000000,2093,FALSE)</f>
        <v>#N/A</v>
      </c>
      <c r="B124" s="37" t="e">
        <f>VLOOKUP(A1,DIV_12Data!$A$1:$DZU$1000000,2094,FALSE)</f>
        <v>#N/A</v>
      </c>
      <c r="C124" s="38" t="e">
        <f>VLOOKUP(A1,DIV_12Data!$A$1:$DZU$1000000,2095,FALSE)</f>
        <v>#N/A</v>
      </c>
      <c r="D124" s="31" t="e">
        <f>VLOOKUP(A1,DIV_12Data!$A$1:$DZU$1000000,2096,FALSE)</f>
        <v>#N/A</v>
      </c>
      <c r="E124" s="32" t="e">
        <f>VLOOKUP(A1,DIV_12Data!$A$1:$DZU$1000000,2097,FALSE)</f>
        <v>#N/A</v>
      </c>
      <c r="F124" s="34" t="e">
        <f>VLOOKUP(A1,DIV_12Data!$A$1:$DZU$1000000,2098,FALSE)</f>
        <v>#N/A</v>
      </c>
      <c r="G124" s="33" t="e">
        <f>VLOOKUP(A1,DIV_12Data!$A$1:$DZU$1000000,2099,FALSE)</f>
        <v>#N/A</v>
      </c>
      <c r="H124" s="34" t="e">
        <f>VLOOKUP(A1,DIV_12Data!$A$1:$DZU$1000000,2100,FALSE)</f>
        <v>#N/A</v>
      </c>
      <c r="I124" s="33" t="e">
        <f>VLOOKUP(A1,DIV_12Data!$A$1:$DZU$1000000,2101,FALSE)</f>
        <v>#N/A</v>
      </c>
      <c r="J124" s="34" t="e">
        <f>VLOOKUP(A1,DIV_12Data!$A$1:$DZU$1000000,2102,FALSE)</f>
        <v>#N/A</v>
      </c>
      <c r="K124" s="34" t="e">
        <f>VLOOKUP(A1,DIV_12Data!$A$1:$DZU$1000000,2103,FALSE)</f>
        <v>#N/A</v>
      </c>
      <c r="L124" s="93" t="e">
        <f>VLOOKUP(A1,DIV_12Data!$A$1:$DZU$1000000,2104,FALSE)</f>
        <v>#N/A</v>
      </c>
      <c r="M124" s="33" t="e">
        <f>VLOOKUP(A1,DIV_12Data!$A$1:$DZU$1000000,2105,FALSE)</f>
        <v>#N/A</v>
      </c>
      <c r="N124" s="34" t="e">
        <f>VLOOKUP(A1,DIV_12Data!$A$1:$DZU$1000000,2106,FALSE)</f>
        <v>#N/A</v>
      </c>
      <c r="O124" s="33" t="e">
        <f>VLOOKUP(A1,DIV_12Data!$A$1:$DZU$1000000,2107,FALSE)</f>
        <v>#N/A</v>
      </c>
      <c r="P124" s="46" t="e">
        <f>VLOOKUP(A1,DIV_12Data!$A$1:$DZU$1000000,2108,FALSE)</f>
        <v>#N/A</v>
      </c>
      <c r="Q124" s="33" t="e">
        <f>VLOOKUP(A1,DIV_12Data!$A$1:$DZU$1000000,2109,FALSE)</f>
        <v>#N/A</v>
      </c>
    </row>
    <row r="125" spans="1:17" x14ac:dyDescent="0.35">
      <c r="A125" s="22" t="e">
        <f>VLOOKUP(A1,DIV_12Data!$A$1:$DZU$1000000,2110,FALSE)</f>
        <v>#N/A</v>
      </c>
      <c r="B125" s="37" t="e">
        <f>VLOOKUP(A1,DIV_12Data!$A$1:$DZU$1000000,2111,FALSE)</f>
        <v>#N/A</v>
      </c>
      <c r="C125" s="38" t="e">
        <f>VLOOKUP(A1,DIV_12Data!$A$1:$DZU$1000000,2112,FALSE)</f>
        <v>#N/A</v>
      </c>
      <c r="D125" s="31" t="e">
        <f>VLOOKUP(A1,DIV_12Data!$A$1:$DZU$1000000,2113,FALSE)</f>
        <v>#N/A</v>
      </c>
      <c r="E125" s="32" t="e">
        <f>VLOOKUP(A1,DIV_12Data!$A$1:$DZU$1000000,2114,FALSE)</f>
        <v>#N/A</v>
      </c>
      <c r="F125" s="34" t="e">
        <f>VLOOKUP(A1,DIV_12Data!$A$1:$DZU$1000000,2115,FALSE)</f>
        <v>#N/A</v>
      </c>
      <c r="G125" s="33" t="e">
        <f>VLOOKUP(A1,DIV_12Data!$A$1:$DZU$1000000,2116,FALSE)</f>
        <v>#N/A</v>
      </c>
      <c r="H125" s="34" t="e">
        <f>VLOOKUP(A1,DIV_12Data!$A$1:$DZU$1000000,2117,FALSE)</f>
        <v>#N/A</v>
      </c>
      <c r="I125" s="33" t="e">
        <f>VLOOKUP(A1,DIV_12Data!$A$1:$DZU$1000000,2118,FALSE)</f>
        <v>#N/A</v>
      </c>
      <c r="J125" s="34" t="e">
        <f>VLOOKUP(A1,DIV_12Data!$A$1:$DZU$1000000,2119,FALSE)</f>
        <v>#N/A</v>
      </c>
      <c r="K125" s="34" t="e">
        <f>VLOOKUP(A1,DIV_12Data!$A$1:$DZU$1000000,2120,FALSE)</f>
        <v>#N/A</v>
      </c>
      <c r="L125" s="93" t="e">
        <f>VLOOKUP(A1,DIV_12Data!$A$1:$DZU$1000000,2121,FALSE)</f>
        <v>#N/A</v>
      </c>
      <c r="M125" s="33" t="e">
        <f>VLOOKUP(A1,DIV_12Data!$A$1:$DZU$1000000,2122,FALSE)</f>
        <v>#N/A</v>
      </c>
      <c r="N125" s="34" t="e">
        <f>VLOOKUP(A1,DIV_12Data!$A$1:$DZU$1000000,2123,FALSE)</f>
        <v>#N/A</v>
      </c>
      <c r="O125" s="33" t="e">
        <f>VLOOKUP(A1,DIV_12Data!$A$1:$DZU$1000000,2124,FALSE)</f>
        <v>#N/A</v>
      </c>
      <c r="P125" s="46" t="e">
        <f>VLOOKUP(A1,DIV_12Data!$A$1:$DZU$1000000,2125,FALSE)</f>
        <v>#N/A</v>
      </c>
      <c r="Q125" s="33" t="e">
        <f>VLOOKUP(A1,DIV_12Data!$A$1:$DZU$1000000,2126,FALSE)</f>
        <v>#N/A</v>
      </c>
    </row>
    <row r="126" spans="1:17" x14ac:dyDescent="0.35">
      <c r="A126" s="22" t="e">
        <f>VLOOKUP(A1,DIV_12Data!$A$1:$DZU$1000000,2127,FALSE)</f>
        <v>#N/A</v>
      </c>
      <c r="B126" s="37" t="e">
        <f>VLOOKUP(A1,DIV_12Data!$A$1:$DZU$1000000,2128,FALSE)</f>
        <v>#N/A</v>
      </c>
      <c r="C126" s="38" t="e">
        <f>VLOOKUP(A1,DIV_12Data!$A$1:$DZU$1000000,2129,FALSE)</f>
        <v>#N/A</v>
      </c>
      <c r="D126" s="31" t="e">
        <f>VLOOKUP(A1,DIV_12Data!$A$1:$DZU$1000000,2130,FALSE)</f>
        <v>#N/A</v>
      </c>
      <c r="E126" s="32" t="e">
        <f>VLOOKUP(A1,DIV_12Data!$A$1:$DZU$1000000,2131,FALSE)</f>
        <v>#N/A</v>
      </c>
      <c r="F126" s="34" t="e">
        <f>VLOOKUP(A1,DIV_12Data!$A$1:$DZU$1000000,2132,FALSE)</f>
        <v>#N/A</v>
      </c>
      <c r="G126" s="33" t="e">
        <f>VLOOKUP(A1,DIV_12Data!$A$1:$DZU$1000000,2133,FALSE)</f>
        <v>#N/A</v>
      </c>
      <c r="H126" s="34" t="e">
        <f>VLOOKUP(A1,DIV_12Data!$A$1:$DZU$1000000,2134,FALSE)</f>
        <v>#N/A</v>
      </c>
      <c r="I126" s="33" t="e">
        <f>VLOOKUP(A1,DIV_12Data!$A$1:$DZU$1000000,2135,FALSE)</f>
        <v>#N/A</v>
      </c>
      <c r="J126" s="34" t="e">
        <f>VLOOKUP(A1,DIV_12Data!$A$1:$DZU$1000000,2136,FALSE)</f>
        <v>#N/A</v>
      </c>
      <c r="K126" s="34" t="e">
        <f>VLOOKUP(A1,DIV_12Data!$A$1:$DZU$1000000,2137,FALSE)</f>
        <v>#N/A</v>
      </c>
      <c r="L126" s="93" t="e">
        <f>VLOOKUP(A1,DIV_12Data!$A$1:$DZU$1000000,2138,FALSE)</f>
        <v>#N/A</v>
      </c>
      <c r="M126" s="33" t="e">
        <f>VLOOKUP(A1,DIV_12Data!$A$1:$DZU$1000000,2139,FALSE)</f>
        <v>#N/A</v>
      </c>
      <c r="N126" s="34" t="e">
        <f>VLOOKUP(A1,DIV_12Data!$A$1:$DZU$1000000,2140,FALSE)</f>
        <v>#N/A</v>
      </c>
      <c r="O126" s="33" t="e">
        <f>VLOOKUP(A1,DIV_12Data!$A$1:$DZU$1000000,2141,FALSE)</f>
        <v>#N/A</v>
      </c>
      <c r="P126" s="46" t="e">
        <f>VLOOKUP(A1,DIV_12Data!$A$1:$DZU$1000000,2142,FALSE)</f>
        <v>#N/A</v>
      </c>
      <c r="Q126" s="33" t="e">
        <f>VLOOKUP(A1,DIV_12Data!$A$1:$DZU$1000000,2143,FALSE)</f>
        <v>#N/A</v>
      </c>
    </row>
    <row r="127" spans="1:17" x14ac:dyDescent="0.35">
      <c r="A127" s="22" t="e">
        <f>VLOOKUP(A1,DIV_12Data!$A$1:$DZU$1000000,2144,FALSE)</f>
        <v>#N/A</v>
      </c>
      <c r="B127" s="37" t="e">
        <f>VLOOKUP(A1,DIV_12Data!$A$1:$DZU$1000000,2145,FALSE)</f>
        <v>#N/A</v>
      </c>
      <c r="C127" s="38" t="e">
        <f>VLOOKUP(A1,DIV_12Data!$A$1:$DZU$1000000,2146,FALSE)</f>
        <v>#N/A</v>
      </c>
      <c r="D127" s="31" t="e">
        <f>VLOOKUP(A1,DIV_12Data!$A$1:$DZU$1000000,2147,FALSE)</f>
        <v>#N/A</v>
      </c>
      <c r="E127" s="32" t="e">
        <f>VLOOKUP(A1,DIV_12Data!$A$1:$DZU$1000000,2148,FALSE)</f>
        <v>#N/A</v>
      </c>
      <c r="F127" s="34" t="e">
        <f>VLOOKUP(A1,DIV_12Data!$A$1:$DZU$1000000,2149,FALSE)</f>
        <v>#N/A</v>
      </c>
      <c r="G127" s="33" t="e">
        <f>VLOOKUP(A1,DIV_12Data!$A$1:$DZU$1000000,2150,FALSE)</f>
        <v>#N/A</v>
      </c>
      <c r="H127" s="34" t="e">
        <f>VLOOKUP(A1,DIV_12Data!$A$1:$DZU$1000000,2151,FALSE)</f>
        <v>#N/A</v>
      </c>
      <c r="I127" s="33" t="e">
        <f>VLOOKUP(A1,DIV_12Data!$A$1:$DZU$1000000,2152,FALSE)</f>
        <v>#N/A</v>
      </c>
      <c r="J127" s="34" t="e">
        <f>VLOOKUP(A1,DIV_12Data!$A$1:$DZU$1000000,2153,FALSE)</f>
        <v>#N/A</v>
      </c>
      <c r="K127" s="34" t="e">
        <f>VLOOKUP(A1,DIV_12Data!$A$1:$DZU$1000000,2154,FALSE)</f>
        <v>#N/A</v>
      </c>
      <c r="L127" s="93" t="e">
        <f>VLOOKUP(A1,DIV_12Data!$A$1:$DZU$1000000,2155,FALSE)</f>
        <v>#N/A</v>
      </c>
      <c r="M127" s="33" t="e">
        <f>VLOOKUP(A1,DIV_12Data!$A$1:$DZU$1000000,2156,FALSE)</f>
        <v>#N/A</v>
      </c>
      <c r="N127" s="34" t="e">
        <f>VLOOKUP(A1,DIV_12Data!$A$1:$DZU$1000000,2157,FALSE)</f>
        <v>#N/A</v>
      </c>
      <c r="O127" s="33" t="e">
        <f>VLOOKUP(A1,DIV_12Data!$A$1:$DZU$1000000,2158,FALSE)</f>
        <v>#N/A</v>
      </c>
      <c r="P127" s="46" t="e">
        <f>VLOOKUP(A1,DIV_12Data!$A$1:$DZU$1000000,2159,FALSE)</f>
        <v>#N/A</v>
      </c>
      <c r="Q127" s="33" t="e">
        <f>VLOOKUP(A1,DIV_12Data!$A$1:$DZU$1000000,2160,FALSE)</f>
        <v>#N/A</v>
      </c>
    </row>
    <row r="128" spans="1:17" x14ac:dyDescent="0.35">
      <c r="A128" s="22" t="e">
        <f>VLOOKUP(A1,DIV_12Data!$A$1:$DZU$1000000,2161,FALSE)</f>
        <v>#N/A</v>
      </c>
      <c r="B128" s="37" t="e">
        <f>VLOOKUP(A1,DIV_12Data!$A$1:$DZU$1000000,2162,FALSE)</f>
        <v>#N/A</v>
      </c>
      <c r="C128" s="38" t="e">
        <f>VLOOKUP(A1,DIV_12Data!$A$1:$DZU$1000000,2163,FALSE)</f>
        <v>#N/A</v>
      </c>
      <c r="D128" s="31" t="e">
        <f>VLOOKUP(A1,DIV_12Data!$A$1:$DZU$1000000,2164,FALSE)</f>
        <v>#N/A</v>
      </c>
      <c r="E128" s="32" t="e">
        <f>VLOOKUP(A1,DIV_12Data!$A$1:$DZU$1000000,2165,FALSE)</f>
        <v>#N/A</v>
      </c>
      <c r="F128" s="34" t="e">
        <f>VLOOKUP(A1,DIV_12Data!$A$1:$DZU$1000000,2166,FALSE)</f>
        <v>#N/A</v>
      </c>
      <c r="G128" s="33" t="e">
        <f>VLOOKUP(A1,DIV_12Data!$A$1:$DZU$1000000,2167,FALSE)</f>
        <v>#N/A</v>
      </c>
      <c r="H128" s="34" t="e">
        <f>VLOOKUP(A1,DIV_12Data!$A$1:$DZU$1000000,2168,FALSE)</f>
        <v>#N/A</v>
      </c>
      <c r="I128" s="33" t="e">
        <f>VLOOKUP(A1,DIV_12Data!$A$1:$DZU$1000000,2169,FALSE)</f>
        <v>#N/A</v>
      </c>
      <c r="J128" s="34" t="e">
        <f>VLOOKUP(A1,DIV_12Data!$A$1:$DZU$1000000,2170,FALSE)</f>
        <v>#N/A</v>
      </c>
      <c r="K128" s="34" t="e">
        <f>VLOOKUP(A1,DIV_12Data!$A$1:$DZU$1000000,2171,FALSE)</f>
        <v>#N/A</v>
      </c>
      <c r="L128" s="93" t="e">
        <f>VLOOKUP(A1,DIV_12Data!$A$1:$DZU$1000000,2172,FALSE)</f>
        <v>#N/A</v>
      </c>
      <c r="M128" s="33" t="e">
        <f>VLOOKUP(A1,DIV_12Data!$A$1:$DZU$1000000,2173,FALSE)</f>
        <v>#N/A</v>
      </c>
      <c r="N128" s="34" t="e">
        <f>VLOOKUP(A1,DIV_12Data!$A$1:$DZU$1000000,2174,FALSE)</f>
        <v>#N/A</v>
      </c>
      <c r="O128" s="33" t="e">
        <f>VLOOKUP(A1,DIV_12Data!$A$1:$DZU$1000000,2175,FALSE)</f>
        <v>#N/A</v>
      </c>
      <c r="P128" s="46" t="e">
        <f>VLOOKUP(A1,DIV_12Data!$A$1:$DZU$1000000,2176,FALSE)</f>
        <v>#N/A</v>
      </c>
      <c r="Q128" s="33" t="e">
        <f>VLOOKUP(A1,DIV_12Data!$A$1:$DZU$1000000,2177,FALSE)</f>
        <v>#N/A</v>
      </c>
    </row>
    <row r="129" spans="1:17" x14ac:dyDescent="0.35">
      <c r="A129" s="22" t="e">
        <f>VLOOKUP(A1,DIV_12Data!$A$1:$DZU$1000000,2178,FALSE)</f>
        <v>#N/A</v>
      </c>
      <c r="B129" s="37" t="e">
        <f>VLOOKUP(A1,DIV_12Data!$A$1:$DZU$1000000,2179,FALSE)</f>
        <v>#N/A</v>
      </c>
      <c r="C129" s="38" t="e">
        <f>VLOOKUP(A1,DIV_12Data!$A$1:$DZU$1000000,2180,FALSE)</f>
        <v>#N/A</v>
      </c>
      <c r="D129" s="31" t="e">
        <f>VLOOKUP(A1,DIV_12Data!$A$1:$DZU$1000000,2181,FALSE)</f>
        <v>#N/A</v>
      </c>
      <c r="E129" s="32" t="e">
        <f>VLOOKUP(A1,DIV_12Data!$A$1:$DZU$1000000,2182,FALSE)</f>
        <v>#N/A</v>
      </c>
      <c r="F129" s="34" t="e">
        <f>VLOOKUP(A1,DIV_12Data!$A$1:$DZU$1000000,2183,FALSE)</f>
        <v>#N/A</v>
      </c>
      <c r="G129" s="33" t="e">
        <f>VLOOKUP(A1,DIV_12Data!$A$1:$DZU$1000000,2184,FALSE)</f>
        <v>#N/A</v>
      </c>
      <c r="H129" s="34" t="e">
        <f>VLOOKUP(A1,DIV_12Data!$A$1:$DZU$1000000,2185,FALSE)</f>
        <v>#N/A</v>
      </c>
      <c r="I129" s="33" t="e">
        <f>VLOOKUP(A1,DIV_12Data!$A$1:$DZU$1000000,2186,FALSE)</f>
        <v>#N/A</v>
      </c>
      <c r="J129" s="34" t="e">
        <f>VLOOKUP(A1,DIV_12Data!$A$1:$DZU$1000000,2187,FALSE)</f>
        <v>#N/A</v>
      </c>
      <c r="K129" s="34" t="e">
        <f>VLOOKUP(A1,DIV_12Data!$A$1:$DZU$1000000,2188,FALSE)</f>
        <v>#N/A</v>
      </c>
      <c r="L129" s="93" t="e">
        <f>VLOOKUP(A1,DIV_12Data!$A$1:$DZU$1000000,2189,FALSE)</f>
        <v>#N/A</v>
      </c>
      <c r="M129" s="33" t="e">
        <f>VLOOKUP(A1,DIV_12Data!$A$1:$DZU$1000000,2190,FALSE)</f>
        <v>#N/A</v>
      </c>
      <c r="N129" s="34" t="e">
        <f>VLOOKUP(A1,DIV_12Data!$A$1:$DZU$1000000,2191,FALSE)</f>
        <v>#N/A</v>
      </c>
      <c r="O129" s="33" t="e">
        <f>VLOOKUP(A1,DIV_12Data!$A$1:$DZU$1000000,2192,FALSE)</f>
        <v>#N/A</v>
      </c>
      <c r="P129" s="46" t="e">
        <f>VLOOKUP(A1,DIV_12Data!$A$1:$DZU$1000000,2193,FALSE)</f>
        <v>#N/A</v>
      </c>
      <c r="Q129" s="33" t="e">
        <f>VLOOKUP(A1,DIV_12Data!$A$1:$DZU$1000000,2194,FALSE)</f>
        <v>#N/A</v>
      </c>
    </row>
    <row r="130" spans="1:17" x14ac:dyDescent="0.35">
      <c r="A130" s="22" t="e">
        <f>VLOOKUP(A1,DIV_12Data!$A$1:$DZU$1000000,2195,FALSE)</f>
        <v>#N/A</v>
      </c>
      <c r="B130" s="37" t="e">
        <f>VLOOKUP(A1,DIV_12Data!$A$1:$DZU$1000000,2196,FALSE)</f>
        <v>#N/A</v>
      </c>
      <c r="C130" s="38" t="e">
        <f>VLOOKUP(A1,DIV_12Data!$A$1:$DZU$1000000,2197,FALSE)</f>
        <v>#N/A</v>
      </c>
      <c r="D130" s="31" t="e">
        <f>VLOOKUP(A1,DIV_12Data!$A$1:$DZU$1000000,2198,FALSE)</f>
        <v>#N/A</v>
      </c>
      <c r="E130" s="32" t="e">
        <f>VLOOKUP(A1,DIV_12Data!$A$1:$DZU$1000000,2199,FALSE)</f>
        <v>#N/A</v>
      </c>
      <c r="F130" s="34" t="e">
        <f>VLOOKUP(A1,DIV_12Data!$A$1:$DZU$1000000,2200,FALSE)</f>
        <v>#N/A</v>
      </c>
      <c r="G130" s="33" t="e">
        <f>VLOOKUP(A1,DIV_12Data!$A$1:$DZU$1000000,2201,FALSE)</f>
        <v>#N/A</v>
      </c>
      <c r="H130" s="34" t="e">
        <f>VLOOKUP(A1,DIV_12Data!$A$1:$DZU$1000000,2202,FALSE)</f>
        <v>#N/A</v>
      </c>
      <c r="I130" s="33" t="e">
        <f>VLOOKUP(A1,DIV_12Data!$A$1:$DZU$1000000,2203,FALSE)</f>
        <v>#N/A</v>
      </c>
      <c r="J130" s="34" t="e">
        <f>VLOOKUP(A1,DIV_12Data!$A$1:$DZU$1000000,2204,FALSE)</f>
        <v>#N/A</v>
      </c>
      <c r="K130" s="34" t="e">
        <f>VLOOKUP(A1,DIV_12Data!$A$1:$DZU$1000000,2205,FALSE)</f>
        <v>#N/A</v>
      </c>
      <c r="L130" s="93" t="e">
        <f>VLOOKUP(A1,DIV_12Data!$A$1:$DZU$1000000,2206,FALSE)</f>
        <v>#N/A</v>
      </c>
      <c r="M130" s="33" t="e">
        <f>VLOOKUP(A1,DIV_12Data!$A$1:$DZU$1000000,2207,FALSE)</f>
        <v>#N/A</v>
      </c>
      <c r="N130" s="34" t="e">
        <f>VLOOKUP(A1,DIV_12Data!$A$1:$DZU$1000000,2208,FALSE)</f>
        <v>#N/A</v>
      </c>
      <c r="O130" s="33" t="e">
        <f>VLOOKUP(A1,DIV_12Data!$A$1:$DZU$1000000,2209,FALSE)</f>
        <v>#N/A</v>
      </c>
      <c r="P130" s="46" t="e">
        <f>VLOOKUP(A1,DIV_12Data!$A$1:$DZU$1000000,2210,FALSE)</f>
        <v>#N/A</v>
      </c>
      <c r="Q130" s="33" t="e">
        <f>VLOOKUP(A1,DIV_12Data!$A$1:$DZU$1000000,2211,FALSE)</f>
        <v>#N/A</v>
      </c>
    </row>
    <row r="131" spans="1:17" x14ac:dyDescent="0.35">
      <c r="A131" s="22" t="e">
        <f>VLOOKUP(A1,DIV_12Data!$A$1:$DZU$1000000,2212,FALSE)</f>
        <v>#N/A</v>
      </c>
      <c r="B131" s="37" t="e">
        <f>VLOOKUP(A1,DIV_12Data!$A$1:$DZU$1000000,2213,FALSE)</f>
        <v>#N/A</v>
      </c>
      <c r="C131" s="38" t="e">
        <f>VLOOKUP(A1,DIV_12Data!$A$1:$DZU$1000000,2214,FALSE)</f>
        <v>#N/A</v>
      </c>
      <c r="D131" s="31" t="e">
        <f>VLOOKUP(A1,DIV_12Data!$A$1:$DZU$1000000,2215,FALSE)</f>
        <v>#N/A</v>
      </c>
      <c r="E131" s="32" t="e">
        <f>VLOOKUP(A1,DIV_12Data!$A$1:$DZU$1000000,2216,FALSE)</f>
        <v>#N/A</v>
      </c>
      <c r="F131" s="34" t="e">
        <f>VLOOKUP(A1,DIV_12Data!$A$1:$DZU$1000000,2217,FALSE)</f>
        <v>#N/A</v>
      </c>
      <c r="G131" s="33" t="e">
        <f>VLOOKUP(A1,DIV_12Data!$A$1:$DZU$1000000,2218,FALSE)</f>
        <v>#N/A</v>
      </c>
      <c r="H131" s="34" t="e">
        <f>VLOOKUP(A1,DIV_12Data!$A$1:$DZU$1000000,2219,FALSE)</f>
        <v>#N/A</v>
      </c>
      <c r="I131" s="33" t="e">
        <f>VLOOKUP(A1,DIV_12Data!$A$1:$DZU$1000000,2220,FALSE)</f>
        <v>#N/A</v>
      </c>
      <c r="J131" s="34" t="e">
        <f>VLOOKUP(A1,DIV_12Data!$A$1:$DZU$1000000,2221,FALSE)</f>
        <v>#N/A</v>
      </c>
      <c r="K131" s="34" t="e">
        <f>VLOOKUP(A1,DIV_12Data!$A$1:$DZU$1000000,2222,FALSE)</f>
        <v>#N/A</v>
      </c>
      <c r="L131" s="93" t="e">
        <f>VLOOKUP(A1,DIV_12Data!$A$1:$DZU$1000000,2223,FALSE)</f>
        <v>#N/A</v>
      </c>
      <c r="M131" s="33" t="e">
        <f>VLOOKUP(A1,DIV_12Data!$A$1:$DZU$1000000,2224,FALSE)</f>
        <v>#N/A</v>
      </c>
      <c r="N131" s="34" t="e">
        <f>VLOOKUP(A1,DIV_12Data!$A$1:$DZU$1000000,2225,FALSE)</f>
        <v>#N/A</v>
      </c>
      <c r="O131" s="33" t="e">
        <f>VLOOKUP(A1,DIV_12Data!$A$1:$DZU$1000000,2226,FALSE)</f>
        <v>#N/A</v>
      </c>
      <c r="P131" s="46" t="e">
        <f>VLOOKUP(A1,DIV_12Data!$A$1:$DZU$1000000,2227,FALSE)</f>
        <v>#N/A</v>
      </c>
      <c r="Q131" s="33" t="e">
        <f>VLOOKUP(A1,DIV_12Data!$A$1:$DZU$1000000,2228,FALSE)</f>
        <v>#N/A</v>
      </c>
    </row>
    <row r="132" spans="1:17" x14ac:dyDescent="0.35">
      <c r="A132" s="22" t="e">
        <f>VLOOKUP(A1,DIV_12Data!$A$1:$DZU$1000000,2229,FALSE)</f>
        <v>#N/A</v>
      </c>
      <c r="B132" s="37" t="e">
        <f>VLOOKUP(A1,DIV_12Data!$A$1:$DZU$1000000,2230,FALSE)</f>
        <v>#N/A</v>
      </c>
      <c r="C132" s="38" t="e">
        <f>VLOOKUP(A1,DIV_12Data!$A$1:$DZU$1000000,2231,FALSE)</f>
        <v>#N/A</v>
      </c>
      <c r="D132" s="31" t="e">
        <f>VLOOKUP(A1,DIV_12Data!$A$1:$DZU$1000000,2232,FALSE)</f>
        <v>#N/A</v>
      </c>
      <c r="E132" s="32" t="e">
        <f>VLOOKUP(A1,DIV_12Data!$A$1:$DZU$1000000,2233,FALSE)</f>
        <v>#N/A</v>
      </c>
      <c r="F132" s="34" t="e">
        <f>VLOOKUP(A1,DIV_12Data!$A$1:$DZU$1000000,2234,FALSE)</f>
        <v>#N/A</v>
      </c>
      <c r="G132" s="33" t="e">
        <f>VLOOKUP(A1,DIV_12Data!$A$1:$DZU$1000000,2235,FALSE)</f>
        <v>#N/A</v>
      </c>
      <c r="H132" s="34" t="e">
        <f>VLOOKUP(A1,DIV_12Data!$A$1:$DZU$1000000,2236,FALSE)</f>
        <v>#N/A</v>
      </c>
      <c r="I132" s="33" t="e">
        <f>VLOOKUP(A1,DIV_12Data!$A$1:$DZU$1000000,2237,FALSE)</f>
        <v>#N/A</v>
      </c>
      <c r="J132" s="34" t="e">
        <f>VLOOKUP(A1,DIV_12Data!$A$1:$DZU$1000000,2238,FALSE)</f>
        <v>#N/A</v>
      </c>
      <c r="K132" s="34" t="e">
        <f>VLOOKUP(A1,DIV_12Data!$A$1:$DZU$1000000,2239,FALSE)</f>
        <v>#N/A</v>
      </c>
      <c r="L132" s="93" t="e">
        <f>VLOOKUP(A1,DIV_12Data!$A$1:$DZU$1000000,2240,FALSE)</f>
        <v>#N/A</v>
      </c>
      <c r="M132" s="33" t="e">
        <f>VLOOKUP(A1,DIV_12Data!$A$1:$DZU$1000000,2241,FALSE)</f>
        <v>#N/A</v>
      </c>
      <c r="N132" s="34" t="e">
        <f>VLOOKUP(A1,DIV_12Data!$A$1:$DZU$1000000,2242,FALSE)</f>
        <v>#N/A</v>
      </c>
      <c r="O132" s="33" t="e">
        <f>VLOOKUP(A1,DIV_12Data!$A$1:$DZU$1000000,2243,FALSE)</f>
        <v>#N/A</v>
      </c>
      <c r="P132" s="46" t="e">
        <f>VLOOKUP(A1,DIV_12Data!$A$1:$DZU$1000000,2244,FALSE)</f>
        <v>#N/A</v>
      </c>
      <c r="Q132" s="33" t="e">
        <f>VLOOKUP(A1,DIV_12Data!$A$1:$DZU$1000000,2245,FALSE)</f>
        <v>#N/A</v>
      </c>
    </row>
    <row r="133" spans="1:17" x14ac:dyDescent="0.35">
      <c r="A133" s="22" t="e">
        <f>VLOOKUP(A1,DIV_12Data!$A$1:$DZU$1000000,2246,FALSE)</f>
        <v>#N/A</v>
      </c>
      <c r="B133" s="37" t="e">
        <f>VLOOKUP(A1,DIV_12Data!$A$1:$DZU$1000000,2247,FALSE)</f>
        <v>#N/A</v>
      </c>
      <c r="C133" s="38" t="e">
        <f>VLOOKUP(A1,DIV_12Data!$A$1:$DZU$1000000,2248,FALSE)</f>
        <v>#N/A</v>
      </c>
      <c r="D133" s="31" t="e">
        <f>VLOOKUP(A1,DIV_12Data!$A$1:$DZU$1000000,2249,FALSE)</f>
        <v>#N/A</v>
      </c>
      <c r="E133" s="32" t="e">
        <f>VLOOKUP(A1,DIV_12Data!$A$1:$DZU$1000000,2250,FALSE)</f>
        <v>#N/A</v>
      </c>
      <c r="F133" s="34" t="e">
        <f>VLOOKUP(A1,DIV_12Data!$A$1:$DZU$1000000,2251,FALSE)</f>
        <v>#N/A</v>
      </c>
      <c r="G133" s="33" t="e">
        <f>VLOOKUP(A1,DIV_12Data!$A$1:$DZU$1000000,2252,FALSE)</f>
        <v>#N/A</v>
      </c>
      <c r="H133" s="34" t="e">
        <f>VLOOKUP(A1,DIV_12Data!$A$1:$DZU$1000000,2253,FALSE)</f>
        <v>#N/A</v>
      </c>
      <c r="I133" s="33" t="e">
        <f>VLOOKUP(A1,DIV_12Data!$A$1:$DZU$1000000,2254,FALSE)</f>
        <v>#N/A</v>
      </c>
      <c r="J133" s="34" t="e">
        <f>VLOOKUP(A1,DIV_12Data!$A$1:$DZU$1000000,2255,FALSE)</f>
        <v>#N/A</v>
      </c>
      <c r="K133" s="34" t="e">
        <f>VLOOKUP(A1,DIV_12Data!$A$1:$DZU$1000000,2256,FALSE)</f>
        <v>#N/A</v>
      </c>
      <c r="L133" s="93" t="e">
        <f>VLOOKUP(A1,DIV_12Data!$A$1:$DZU$1000000,2257,FALSE)</f>
        <v>#N/A</v>
      </c>
      <c r="M133" s="33" t="e">
        <f>VLOOKUP(A1,DIV_12Data!$A$1:$DZU$1000000,2258,FALSE)</f>
        <v>#N/A</v>
      </c>
      <c r="N133" s="34" t="e">
        <f>VLOOKUP(A1,DIV_12Data!$A$1:$DZU$1000000,2259,FALSE)</f>
        <v>#N/A</v>
      </c>
      <c r="O133" s="33" t="e">
        <f>VLOOKUP(A1,DIV_12Data!$A$1:$DZU$1000000,2260,FALSE)</f>
        <v>#N/A</v>
      </c>
      <c r="P133" s="46" t="e">
        <f>VLOOKUP(A1,DIV_12Data!$A$1:$DZU$1000000,2261,FALSE)</f>
        <v>#N/A</v>
      </c>
      <c r="Q133" s="33" t="e">
        <f>VLOOKUP(A1,DIV_12Data!$A$1:$DZU$1000000,2262,FALSE)</f>
        <v>#N/A</v>
      </c>
    </row>
    <row r="134" spans="1:17" x14ac:dyDescent="0.35">
      <c r="A134" s="22" t="e">
        <f>VLOOKUP(A1,DIV_12Data!$A$1:$DZU$1000000,2263,FALSE)</f>
        <v>#N/A</v>
      </c>
      <c r="B134" s="37" t="e">
        <f>VLOOKUP(A1,DIV_12Data!$A$1:$DZU$1000000,2264,FALSE)</f>
        <v>#N/A</v>
      </c>
      <c r="C134" s="38" t="e">
        <f>VLOOKUP(A1,DIV_12Data!$A$1:$DZU$1000000,2265,FALSE)</f>
        <v>#N/A</v>
      </c>
      <c r="D134" s="31" t="e">
        <f>VLOOKUP(A1,DIV_12Data!$A$1:$DZU$1000000,2266,FALSE)</f>
        <v>#N/A</v>
      </c>
      <c r="E134" s="32" t="e">
        <f>VLOOKUP(A1,DIV_12Data!$A$1:$DZU$1000000,2267,FALSE)</f>
        <v>#N/A</v>
      </c>
      <c r="F134" s="34" t="e">
        <f>VLOOKUP(A1,DIV_12Data!$A$1:$DZU$1000000,2268,FALSE)</f>
        <v>#N/A</v>
      </c>
      <c r="G134" s="33" t="e">
        <f>VLOOKUP(A1,DIV_12Data!$A$1:$DZU$1000000,2269,FALSE)</f>
        <v>#N/A</v>
      </c>
      <c r="H134" s="34" t="e">
        <f>VLOOKUP(A1,DIV_12Data!$A$1:$DZU$1000000,2270,FALSE)</f>
        <v>#N/A</v>
      </c>
      <c r="I134" s="33" t="e">
        <f>VLOOKUP(A1,DIV_12Data!$A$1:$DZU$1000000,2271,FALSE)</f>
        <v>#N/A</v>
      </c>
      <c r="J134" s="34" t="e">
        <f>VLOOKUP(A1,DIV_12Data!$A$1:$DZU$1000000,2272,FALSE)</f>
        <v>#N/A</v>
      </c>
      <c r="K134" s="34" t="e">
        <f>VLOOKUP(A1,DIV_12Data!$A$1:$DZU$1000000,2273,FALSE)</f>
        <v>#N/A</v>
      </c>
      <c r="L134" s="93" t="e">
        <f>VLOOKUP(A1,DIV_12Data!$A$1:$DZU$1000000,2274,FALSE)</f>
        <v>#N/A</v>
      </c>
      <c r="M134" s="33" t="e">
        <f>VLOOKUP(A1,DIV_12Data!$A$1:$DZU$1000000,2275,FALSE)</f>
        <v>#N/A</v>
      </c>
      <c r="N134" s="34" t="e">
        <f>VLOOKUP(A1,DIV_12Data!$A$1:$DZU$1000000,2276,FALSE)</f>
        <v>#N/A</v>
      </c>
      <c r="O134" s="33" t="e">
        <f>VLOOKUP(A1,DIV_12Data!$A$1:$DZU$1000000,2277,FALSE)</f>
        <v>#N/A</v>
      </c>
      <c r="P134" s="46" t="e">
        <f>VLOOKUP(A1,DIV_12Data!$A$1:$DZU$1000000,2278,FALSE)</f>
        <v>#N/A</v>
      </c>
      <c r="Q134" s="33" t="e">
        <f>VLOOKUP(A1,DIV_12Data!$A$1:$DZU$1000000,2279,FALSE)</f>
        <v>#N/A</v>
      </c>
    </row>
    <row r="135" spans="1:17" x14ac:dyDescent="0.35">
      <c r="A135" s="22" t="e">
        <f>VLOOKUP(A1,DIV_12Data!$A$1:$DZU$1000000,2280,FALSE)</f>
        <v>#N/A</v>
      </c>
      <c r="B135" s="37" t="e">
        <f>VLOOKUP(A1,DIV_12Data!$A$1:$DZU$1000000,2281,FALSE)</f>
        <v>#N/A</v>
      </c>
      <c r="C135" s="38" t="e">
        <f>VLOOKUP(A1,DIV_12Data!$A$1:$DZU$1000000,2282,FALSE)</f>
        <v>#N/A</v>
      </c>
      <c r="D135" s="31" t="e">
        <f>VLOOKUP(A1,DIV_12Data!$A$1:$DZU$1000000,2283,FALSE)</f>
        <v>#N/A</v>
      </c>
      <c r="E135" s="32" t="e">
        <f>VLOOKUP(A1,DIV_12Data!$A$1:$DZU$1000000,2284,FALSE)</f>
        <v>#N/A</v>
      </c>
      <c r="F135" s="34" t="e">
        <f>VLOOKUP(A1,DIV_12Data!$A$1:$DZU$1000000,2285,FALSE)</f>
        <v>#N/A</v>
      </c>
      <c r="G135" s="33" t="e">
        <f>VLOOKUP(A1,DIV_12Data!$A$1:$DZU$1000000,2286,FALSE)</f>
        <v>#N/A</v>
      </c>
      <c r="H135" s="34" t="e">
        <f>VLOOKUP(A1,DIV_12Data!$A$1:$DZU$1000000,2287,FALSE)</f>
        <v>#N/A</v>
      </c>
      <c r="I135" s="33" t="e">
        <f>VLOOKUP(A1,DIV_12Data!$A$1:$DZU$1000000,2288,FALSE)</f>
        <v>#N/A</v>
      </c>
      <c r="J135" s="34" t="e">
        <f>VLOOKUP(A1,DIV_12Data!$A$1:$DZU$1000000,2289,FALSE)</f>
        <v>#N/A</v>
      </c>
      <c r="K135" s="34" t="e">
        <f>VLOOKUP(A1,DIV_12Data!$A$1:$DZU$1000000,2290,FALSE)</f>
        <v>#N/A</v>
      </c>
      <c r="L135" s="93" t="e">
        <f>VLOOKUP(A1,DIV_12Data!$A$1:$DZU$1000000,2291,FALSE)</f>
        <v>#N/A</v>
      </c>
      <c r="M135" s="33" t="e">
        <f>VLOOKUP(A1,DIV_12Data!$A$1:$DZU$1000000,2292,FALSE)</f>
        <v>#N/A</v>
      </c>
      <c r="N135" s="34" t="e">
        <f>VLOOKUP(A1,DIV_12Data!$A$1:$DZU$1000000,2293,FALSE)</f>
        <v>#N/A</v>
      </c>
      <c r="O135" s="33" t="e">
        <f>VLOOKUP(A1,DIV_12Data!$A$1:$DZU$1000000,2294,FALSE)</f>
        <v>#N/A</v>
      </c>
      <c r="P135" s="46" t="e">
        <f>VLOOKUP(A1,DIV_12Data!$A$1:$DZU$1000000,2295,FALSE)</f>
        <v>#N/A</v>
      </c>
      <c r="Q135" s="33" t="e">
        <f>VLOOKUP(A1,DIV_12Data!$A$1:$DZU$1000000,2296,FALSE)</f>
        <v>#N/A</v>
      </c>
    </row>
    <row r="136" spans="1:17" x14ac:dyDescent="0.35">
      <c r="A136" s="22" t="e">
        <f>VLOOKUP(A1,DIV_12Data!$A$1:$DZU$1000000,2297,FALSE)</f>
        <v>#N/A</v>
      </c>
      <c r="B136" s="37" t="e">
        <f>VLOOKUP(A1,DIV_12Data!$A$1:$DZU$1000000,2298,FALSE)</f>
        <v>#N/A</v>
      </c>
      <c r="C136" s="38" t="e">
        <f>VLOOKUP(A1,DIV_12Data!$A$1:$DZU$1000000,2299,FALSE)</f>
        <v>#N/A</v>
      </c>
      <c r="D136" s="31" t="e">
        <f>VLOOKUP(A1,DIV_12Data!$A$1:$DZU$1000000,2300,FALSE)</f>
        <v>#N/A</v>
      </c>
      <c r="E136" s="32" t="e">
        <f>VLOOKUP(A1,DIV_12Data!$A$1:$DZU$1000000,2301,FALSE)</f>
        <v>#N/A</v>
      </c>
      <c r="F136" s="34" t="e">
        <f>VLOOKUP(A1,DIV_12Data!$A$1:$DZU$1000000,2302,FALSE)</f>
        <v>#N/A</v>
      </c>
      <c r="G136" s="33" t="e">
        <f>VLOOKUP(A1,DIV_12Data!$A$1:$DZU$1000000,2303,FALSE)</f>
        <v>#N/A</v>
      </c>
      <c r="H136" s="34" t="e">
        <f>VLOOKUP(A1,DIV_12Data!$A$1:$DZU$1000000,2304,FALSE)</f>
        <v>#N/A</v>
      </c>
      <c r="I136" s="33" t="e">
        <f>VLOOKUP(A1,DIV_12Data!$A$1:$DZU$1000000,2305,FALSE)</f>
        <v>#N/A</v>
      </c>
      <c r="J136" s="34" t="e">
        <f>VLOOKUP(A1,DIV_12Data!$A$1:$DZU$1000000,2306,FALSE)</f>
        <v>#N/A</v>
      </c>
      <c r="K136" s="34" t="e">
        <f>VLOOKUP(A1,DIV_12Data!$A$1:$DZU$1000000,2307,FALSE)</f>
        <v>#N/A</v>
      </c>
      <c r="L136" s="93" t="e">
        <f>VLOOKUP(A1,DIV_12Data!$A$1:$DZU$1000000,2308,FALSE)</f>
        <v>#N/A</v>
      </c>
      <c r="M136" s="33" t="e">
        <f>VLOOKUP(A1,DIV_12Data!$A$1:$DZU$1000000,2309,FALSE)</f>
        <v>#N/A</v>
      </c>
      <c r="N136" s="34" t="e">
        <f>VLOOKUP(A1,DIV_12Data!$A$1:$DZU$1000000,2310,FALSE)</f>
        <v>#N/A</v>
      </c>
      <c r="O136" s="33" t="e">
        <f>VLOOKUP(A1,DIV_12Data!$A$1:$DZU$1000000,2311,FALSE)</f>
        <v>#N/A</v>
      </c>
      <c r="P136" s="46" t="e">
        <f>VLOOKUP(A1,DIV_12Data!$A$1:$DZU$1000000,2312,FALSE)</f>
        <v>#N/A</v>
      </c>
      <c r="Q136" s="33" t="e">
        <f>VLOOKUP(A1,DIV_12Data!$A$1:$DZU$1000000,2313,FALSE)</f>
        <v>#N/A</v>
      </c>
    </row>
    <row r="137" spans="1:17" x14ac:dyDescent="0.35">
      <c r="A137" s="22" t="e">
        <f>VLOOKUP(A1,DIV_12Data!$A$1:$DZU$1000000,2314,FALSE)</f>
        <v>#N/A</v>
      </c>
      <c r="B137" s="37" t="e">
        <f>VLOOKUP(A1,DIV_12Data!$A$1:$DZU$1000000,2315,FALSE)</f>
        <v>#N/A</v>
      </c>
      <c r="C137" s="38" t="e">
        <f>VLOOKUP(A1,DIV_12Data!$A$1:$DZU$1000000,2316,FALSE)</f>
        <v>#N/A</v>
      </c>
      <c r="D137" s="31" t="e">
        <f>VLOOKUP(A1,DIV_12Data!$A$1:$DZU$1000000,2317,FALSE)</f>
        <v>#N/A</v>
      </c>
      <c r="E137" s="32" t="e">
        <f>VLOOKUP(A1,DIV_12Data!$A$1:$DZU$1000000,2318,FALSE)</f>
        <v>#N/A</v>
      </c>
      <c r="F137" s="34" t="e">
        <f>VLOOKUP(A1,DIV_12Data!$A$1:$DZU$1000000,2319,FALSE)</f>
        <v>#N/A</v>
      </c>
      <c r="G137" s="33" t="e">
        <f>VLOOKUP(A1,DIV_12Data!$A$1:$DZU$1000000,2320,FALSE)</f>
        <v>#N/A</v>
      </c>
      <c r="H137" s="34" t="e">
        <f>VLOOKUP(A1,DIV_12Data!$A$1:$DZU$1000000,2321,FALSE)</f>
        <v>#N/A</v>
      </c>
      <c r="I137" s="33" t="e">
        <f>VLOOKUP(A1,DIV_12Data!$A$1:$DZU$1000000,2322,FALSE)</f>
        <v>#N/A</v>
      </c>
      <c r="J137" s="34" t="e">
        <f>VLOOKUP(A1,DIV_12Data!$A$1:$DZU$1000000,2323,FALSE)</f>
        <v>#N/A</v>
      </c>
      <c r="K137" s="34" t="e">
        <f>VLOOKUP(A1,DIV_12Data!$A$1:$DZU$1000000,2324,FALSE)</f>
        <v>#N/A</v>
      </c>
      <c r="L137" s="93" t="e">
        <f>VLOOKUP(A1,DIV_12Data!$A$1:$DZU$1000000,2325,FALSE)</f>
        <v>#N/A</v>
      </c>
      <c r="M137" s="33" t="e">
        <f>VLOOKUP(A1,DIV_12Data!$A$1:$DZU$1000000,2326,FALSE)</f>
        <v>#N/A</v>
      </c>
      <c r="N137" s="34" t="e">
        <f>VLOOKUP(A1,DIV_12Data!$A$1:$DZU$1000000,2327,FALSE)</f>
        <v>#N/A</v>
      </c>
      <c r="O137" s="33" t="e">
        <f>VLOOKUP(A1,DIV_12Data!$A$1:$DZU$1000000,2328,FALSE)</f>
        <v>#N/A</v>
      </c>
      <c r="P137" s="46" t="e">
        <f>VLOOKUP(A1,DIV_12Data!$A$1:$DZU$1000000,2329,FALSE)</f>
        <v>#N/A</v>
      </c>
      <c r="Q137" s="33" t="e">
        <f>VLOOKUP(A1,DIV_12Data!$A$1:$DZU$1000000,2330,FALSE)</f>
        <v>#N/A</v>
      </c>
    </row>
    <row r="138" spans="1:17" x14ac:dyDescent="0.35">
      <c r="A138" s="22" t="e">
        <f>VLOOKUP(A1,DIV_12Data!$A$1:$DZU$1000000,2331,FALSE)</f>
        <v>#N/A</v>
      </c>
      <c r="B138" s="37" t="e">
        <f>VLOOKUP(A1,DIV_12Data!$A$1:$DZU$1000000,2332,FALSE)</f>
        <v>#N/A</v>
      </c>
      <c r="C138" s="38" t="e">
        <f>VLOOKUP(A1,DIV_12Data!$A$1:$DZU$1000000,2333,FALSE)</f>
        <v>#N/A</v>
      </c>
      <c r="D138" s="31" t="e">
        <f>VLOOKUP(A1,DIV_12Data!$A$1:$DZU$1000000,2334,FALSE)</f>
        <v>#N/A</v>
      </c>
      <c r="E138" s="32" t="e">
        <f>VLOOKUP(A1,DIV_12Data!$A$1:$DZU$1000000,2335,FALSE)</f>
        <v>#N/A</v>
      </c>
      <c r="F138" s="34" t="e">
        <f>VLOOKUP(A1,DIV_12Data!$A$1:$DZU$1000000,2336,FALSE)</f>
        <v>#N/A</v>
      </c>
      <c r="G138" s="33" t="e">
        <f>VLOOKUP(A1,DIV_12Data!$A$1:$DZU$1000000,2337,FALSE)</f>
        <v>#N/A</v>
      </c>
      <c r="H138" s="34" t="e">
        <f>VLOOKUP(A1,DIV_12Data!$A$1:$DZU$1000000,2338,FALSE)</f>
        <v>#N/A</v>
      </c>
      <c r="I138" s="33" t="e">
        <f>VLOOKUP(A1,DIV_12Data!$A$1:$DZU$1000000,2339,FALSE)</f>
        <v>#N/A</v>
      </c>
      <c r="J138" s="34" t="e">
        <f>VLOOKUP(A1,DIV_12Data!$A$1:$DZU$1000000,2340,FALSE)</f>
        <v>#N/A</v>
      </c>
      <c r="K138" s="34" t="e">
        <f>VLOOKUP(A1,DIV_12Data!$A$1:$DZU$1000000,2341,FALSE)</f>
        <v>#N/A</v>
      </c>
      <c r="L138" s="93" t="e">
        <f>VLOOKUP(A1,DIV_12Data!$A$1:$DZU$1000000,2342,FALSE)</f>
        <v>#N/A</v>
      </c>
      <c r="M138" s="33" t="e">
        <f>VLOOKUP(A1,DIV_12Data!$A$1:$DZU$1000000,2343,FALSE)</f>
        <v>#N/A</v>
      </c>
      <c r="N138" s="34" t="e">
        <f>VLOOKUP(A1,DIV_12Data!$A$1:$DZU$1000000,2344,FALSE)</f>
        <v>#N/A</v>
      </c>
      <c r="O138" s="33" t="e">
        <f>VLOOKUP(A1,DIV_12Data!$A$1:$DZU$1000000,2345,FALSE)</f>
        <v>#N/A</v>
      </c>
      <c r="P138" s="46" t="e">
        <f>VLOOKUP(A1,DIV_12Data!$A$1:$DZU$1000000,2346,FALSE)</f>
        <v>#N/A</v>
      </c>
      <c r="Q138" s="33" t="e">
        <f>VLOOKUP(A1,DIV_12Data!$A$1:$DZU$1000000,2347,FALSE)</f>
        <v>#N/A</v>
      </c>
    </row>
    <row r="139" spans="1:17" x14ac:dyDescent="0.35">
      <c r="A139" s="22" t="e">
        <f>VLOOKUP(A1,DIV_12Data!$A$1:$DZU$1000000,2348,FALSE)</f>
        <v>#N/A</v>
      </c>
      <c r="B139" s="37" t="e">
        <f>VLOOKUP(A1,DIV_12Data!$A$1:$DZU$1000000,2349,FALSE)</f>
        <v>#N/A</v>
      </c>
      <c r="C139" s="38" t="e">
        <f>VLOOKUP(A1,DIV_12Data!$A$1:$DZU$1000000,2350,FALSE)</f>
        <v>#N/A</v>
      </c>
      <c r="D139" s="31" t="e">
        <f>VLOOKUP(A1,DIV_12Data!$A$1:$DZU$1000000,2351,FALSE)</f>
        <v>#N/A</v>
      </c>
      <c r="E139" s="32" t="e">
        <f>VLOOKUP(A1,DIV_12Data!$A$1:$DZU$1000000,2352,FALSE)</f>
        <v>#N/A</v>
      </c>
      <c r="F139" s="34" t="e">
        <f>VLOOKUP(A1,DIV_12Data!$A$1:$DZU$1000000,2353,FALSE)</f>
        <v>#N/A</v>
      </c>
      <c r="G139" s="33" t="e">
        <f>VLOOKUP(A1,DIV_12Data!$A$1:$DZU$1000000,2354,FALSE)</f>
        <v>#N/A</v>
      </c>
      <c r="H139" s="34" t="e">
        <f>VLOOKUP(A1,DIV_12Data!$A$1:$DZU$1000000,2355,FALSE)</f>
        <v>#N/A</v>
      </c>
      <c r="I139" s="33" t="e">
        <f>VLOOKUP(A1,DIV_12Data!$A$1:$DZU$1000000,2356,FALSE)</f>
        <v>#N/A</v>
      </c>
      <c r="J139" s="34" t="e">
        <f>VLOOKUP(A1,DIV_12Data!$A$1:$DZU$1000000,2357,FALSE)</f>
        <v>#N/A</v>
      </c>
      <c r="K139" s="34" t="e">
        <f>VLOOKUP(A1,DIV_12Data!$A$1:$DZU$1000000,2358,FALSE)</f>
        <v>#N/A</v>
      </c>
      <c r="L139" s="93" t="e">
        <f>VLOOKUP(A1,DIV_12Data!$A$1:$DZU$1000000,2359,FALSE)</f>
        <v>#N/A</v>
      </c>
      <c r="M139" s="33" t="e">
        <f>VLOOKUP(A1,DIV_12Data!$A$1:$DZU$1000000,2360,FALSE)</f>
        <v>#N/A</v>
      </c>
      <c r="N139" s="34" t="e">
        <f>VLOOKUP(A1,DIV_12Data!$A$1:$DZU$1000000,2361,FALSE)</f>
        <v>#N/A</v>
      </c>
      <c r="O139" s="33" t="e">
        <f>VLOOKUP(A1,DIV_12Data!$A$1:$DZU$1000000,2362,FALSE)</f>
        <v>#N/A</v>
      </c>
      <c r="P139" s="46" t="e">
        <f>VLOOKUP(A1,DIV_12Data!$A$1:$DZU$1000000,2363,FALSE)</f>
        <v>#N/A</v>
      </c>
      <c r="Q139" s="33" t="e">
        <f>VLOOKUP(A1,DIV_12Data!$A$1:$DZU$1000000,2364,FALSE)</f>
        <v>#N/A</v>
      </c>
    </row>
    <row r="140" spans="1:17" x14ac:dyDescent="0.35">
      <c r="A140" s="22" t="e">
        <f>VLOOKUP(A1,DIV_12Data!$A$1:$DZU$1000000,2365,FALSE)</f>
        <v>#N/A</v>
      </c>
      <c r="B140" s="37" t="e">
        <f>VLOOKUP(A1,DIV_12Data!$A$1:$DZU$1000000,2366,FALSE)</f>
        <v>#N/A</v>
      </c>
      <c r="C140" s="38" t="e">
        <f>VLOOKUP(A1,DIV_12Data!$A$1:$DZU$1000000,2367,FALSE)</f>
        <v>#N/A</v>
      </c>
      <c r="D140" s="31" t="e">
        <f>VLOOKUP(A1,DIV_12Data!$A$1:$DZU$1000000,2368,FALSE)</f>
        <v>#N/A</v>
      </c>
      <c r="E140" s="32" t="e">
        <f>VLOOKUP(A1,DIV_12Data!$A$1:$DZU$1000000,2369,FALSE)</f>
        <v>#N/A</v>
      </c>
      <c r="F140" s="34" t="e">
        <f>VLOOKUP(A1,DIV_12Data!$A$1:$DZU$1000000,2370,FALSE)</f>
        <v>#N/A</v>
      </c>
      <c r="G140" s="33" t="e">
        <f>VLOOKUP(A1,DIV_12Data!$A$1:$DZU$1000000,2371,FALSE)</f>
        <v>#N/A</v>
      </c>
      <c r="H140" s="34" t="e">
        <f>VLOOKUP(A1,DIV_12Data!$A$1:$DZU$1000000,2372,FALSE)</f>
        <v>#N/A</v>
      </c>
      <c r="I140" s="33" t="e">
        <f>VLOOKUP(A1,DIV_12Data!$A$1:$DZU$1000000,2373,FALSE)</f>
        <v>#N/A</v>
      </c>
      <c r="J140" s="34" t="e">
        <f>VLOOKUP(A1,DIV_12Data!$A$1:$DZU$1000000,2374,FALSE)</f>
        <v>#N/A</v>
      </c>
      <c r="K140" s="34" t="e">
        <f>VLOOKUP(A1,DIV_12Data!$A$1:$DZU$1000000,2375,FALSE)</f>
        <v>#N/A</v>
      </c>
      <c r="L140" s="93" t="e">
        <f>VLOOKUP(A1,DIV_12Data!$A$1:$DZU$1000000,2376,FALSE)</f>
        <v>#N/A</v>
      </c>
      <c r="M140" s="33" t="e">
        <f>VLOOKUP(A1,DIV_12Data!$A$1:$DZU$1000000,2377,FALSE)</f>
        <v>#N/A</v>
      </c>
      <c r="N140" s="34" t="e">
        <f>VLOOKUP(A1,DIV_12Data!$A$1:$DZU$1000000,2378,FALSE)</f>
        <v>#N/A</v>
      </c>
      <c r="O140" s="33" t="e">
        <f>VLOOKUP(A1,DIV_12Data!$A$1:$DZU$1000000,2379,FALSE)</f>
        <v>#N/A</v>
      </c>
      <c r="P140" s="46" t="e">
        <f>VLOOKUP(A1,DIV_12Data!$A$1:$DZU$1000000,2380,FALSE)</f>
        <v>#N/A</v>
      </c>
      <c r="Q140" s="33" t="e">
        <f>VLOOKUP(A1,DIV_12Data!$A$1:$DZU$1000000,2381,FALSE)</f>
        <v>#N/A</v>
      </c>
    </row>
    <row r="141" spans="1:17" x14ac:dyDescent="0.35">
      <c r="A141" s="22" t="e">
        <f>VLOOKUP(A1,DIV_12Data!$A$1:$DZU$1000000,2382,FALSE)</f>
        <v>#N/A</v>
      </c>
      <c r="B141" s="37" t="e">
        <f>VLOOKUP(A1,DIV_12Data!$A$1:$DZU$1000000,2383,FALSE)</f>
        <v>#N/A</v>
      </c>
      <c r="C141" s="38" t="e">
        <f>VLOOKUP(A1,DIV_12Data!$A$1:$DZU$1000000,2384,FALSE)</f>
        <v>#N/A</v>
      </c>
      <c r="D141" s="31" t="e">
        <f>VLOOKUP(A1,DIV_12Data!$A$1:$DZU$1000000,2385,FALSE)</f>
        <v>#N/A</v>
      </c>
      <c r="E141" s="32" t="e">
        <f>VLOOKUP(A1,DIV_12Data!$A$1:$DZU$1000000,2386,FALSE)</f>
        <v>#N/A</v>
      </c>
      <c r="F141" s="34" t="e">
        <f>VLOOKUP(A1,DIV_12Data!$A$1:$DZU$1000000,2387,FALSE)</f>
        <v>#N/A</v>
      </c>
      <c r="G141" s="33" t="e">
        <f>VLOOKUP(A1,DIV_12Data!$A$1:$DZU$1000000,2388,FALSE)</f>
        <v>#N/A</v>
      </c>
      <c r="H141" s="34" t="e">
        <f>VLOOKUP(A1,DIV_12Data!$A$1:$DZU$1000000,2389,FALSE)</f>
        <v>#N/A</v>
      </c>
      <c r="I141" s="33" t="e">
        <f>VLOOKUP(A1,DIV_12Data!$A$1:$DZU$1000000,2390,FALSE)</f>
        <v>#N/A</v>
      </c>
      <c r="J141" s="34" t="e">
        <f>VLOOKUP(A1,DIV_12Data!$A$1:$DZU$1000000,2391,FALSE)</f>
        <v>#N/A</v>
      </c>
      <c r="K141" s="34" t="e">
        <f>VLOOKUP(A1,DIV_12Data!$A$1:$DZU$1000000,2392,FALSE)</f>
        <v>#N/A</v>
      </c>
      <c r="L141" s="93" t="e">
        <f>VLOOKUP(A1,DIV_12Data!$A$1:$DZU$1000000,2393,FALSE)</f>
        <v>#N/A</v>
      </c>
      <c r="M141" s="33" t="e">
        <f>VLOOKUP(A1,DIV_12Data!$A$1:$DZU$1000000,2394,FALSE)</f>
        <v>#N/A</v>
      </c>
      <c r="N141" s="34" t="e">
        <f>VLOOKUP(A1,DIV_12Data!$A$1:$DZU$1000000,2395,FALSE)</f>
        <v>#N/A</v>
      </c>
      <c r="O141" s="33" t="e">
        <f>VLOOKUP(A1,DIV_12Data!$A$1:$DZU$1000000,2396,FALSE)</f>
        <v>#N/A</v>
      </c>
      <c r="P141" s="46" t="e">
        <f>VLOOKUP(A1,DIV_12Data!$A$1:$DZU$1000000,2397,FALSE)</f>
        <v>#N/A</v>
      </c>
      <c r="Q141" s="33" t="e">
        <f>VLOOKUP(A1,DIV_12Data!$A$1:$DZU$1000000,2398,FALSE)</f>
        <v>#N/A</v>
      </c>
    </row>
    <row r="142" spans="1:17" x14ac:dyDescent="0.35">
      <c r="A142" s="22" t="e">
        <f>VLOOKUP(A1,DIV_12Data!$A$1:$DZU$1000000,2399,FALSE)</f>
        <v>#N/A</v>
      </c>
      <c r="B142" s="37" t="e">
        <f>VLOOKUP(A1,DIV_12Data!$A$1:$DZU$1000000,2400,FALSE)</f>
        <v>#N/A</v>
      </c>
      <c r="C142" s="38" t="e">
        <f>VLOOKUP(A1,DIV_12Data!$A$1:$DZU$1000000,2401,FALSE)</f>
        <v>#N/A</v>
      </c>
      <c r="D142" s="31" t="e">
        <f>VLOOKUP(A1,DIV_12Data!$A$1:$DZU$1000000,2402,FALSE)</f>
        <v>#N/A</v>
      </c>
      <c r="E142" s="32" t="e">
        <f>VLOOKUP(A1,DIV_12Data!$A$1:$DZU$1000000,2403,FALSE)</f>
        <v>#N/A</v>
      </c>
      <c r="F142" s="34" t="e">
        <f>VLOOKUP(A1,DIV_12Data!$A$1:$DZU$1000000,2404,FALSE)</f>
        <v>#N/A</v>
      </c>
      <c r="G142" s="33" t="e">
        <f>VLOOKUP(A1,DIV_12Data!$A$1:$DZU$1000000,2405,FALSE)</f>
        <v>#N/A</v>
      </c>
      <c r="H142" s="34" t="e">
        <f>VLOOKUP(A1,DIV_12Data!$A$1:$DZU$1000000,2406,FALSE)</f>
        <v>#N/A</v>
      </c>
      <c r="I142" s="33" t="e">
        <f>VLOOKUP(A1,DIV_12Data!$A$1:$DZU$1000000,2407,FALSE)</f>
        <v>#N/A</v>
      </c>
      <c r="J142" s="34" t="e">
        <f>VLOOKUP(A1,DIV_12Data!$A$1:$DZU$1000000,2408,FALSE)</f>
        <v>#N/A</v>
      </c>
      <c r="K142" s="34" t="e">
        <f>VLOOKUP(A1,DIV_12Data!$A$1:$DZU$1000000,2409,FALSE)</f>
        <v>#N/A</v>
      </c>
      <c r="L142" s="93" t="e">
        <f>VLOOKUP(A1,DIV_12Data!$A$1:$DZU$1000000,2410,FALSE)</f>
        <v>#N/A</v>
      </c>
      <c r="M142" s="33" t="e">
        <f>VLOOKUP(A1,DIV_12Data!$A$1:$DZU$1000000,2411,FALSE)</f>
        <v>#N/A</v>
      </c>
      <c r="N142" s="34" t="e">
        <f>VLOOKUP(A1,DIV_12Data!$A$1:$DZU$1000000,2412,FALSE)</f>
        <v>#N/A</v>
      </c>
      <c r="O142" s="33" t="e">
        <f>VLOOKUP(A1,DIV_12Data!$A$1:$DZU$1000000,2413,FALSE)</f>
        <v>#N/A</v>
      </c>
      <c r="P142" s="46" t="e">
        <f>VLOOKUP(A1,DIV_12Data!$A$1:$DZU$1000000,2414,FALSE)</f>
        <v>#N/A</v>
      </c>
      <c r="Q142" s="33" t="e">
        <f>VLOOKUP(A1,DIV_12Data!$A$1:$DZU$1000000,2415,FALSE)</f>
        <v>#N/A</v>
      </c>
    </row>
    <row r="143" spans="1:17" x14ac:dyDescent="0.35">
      <c r="A143" s="22" t="e">
        <f>VLOOKUP(A1,DIV_12Data!$A$1:$DZU$1000000,2416,FALSE)</f>
        <v>#N/A</v>
      </c>
      <c r="B143" s="37" t="e">
        <f>VLOOKUP(A1,DIV_12Data!$A$1:$DZU$1000000,2417,FALSE)</f>
        <v>#N/A</v>
      </c>
      <c r="C143" s="38" t="e">
        <f>VLOOKUP(A1,DIV_12Data!$A$1:$DZU$1000000,2418,FALSE)</f>
        <v>#N/A</v>
      </c>
      <c r="D143" s="31" t="e">
        <f>VLOOKUP(A1,DIV_12Data!$A$1:$DZU$1000000,2419,FALSE)</f>
        <v>#N/A</v>
      </c>
      <c r="E143" s="32" t="e">
        <f>VLOOKUP(A1,DIV_12Data!$A$1:$DZU$1000000,2420,FALSE)</f>
        <v>#N/A</v>
      </c>
      <c r="F143" s="34" t="e">
        <f>VLOOKUP(A1,DIV_12Data!$A$1:$DZU$1000000,2421,FALSE)</f>
        <v>#N/A</v>
      </c>
      <c r="G143" s="33" t="e">
        <f>VLOOKUP(A1,DIV_12Data!$A$1:$DZU$1000000,2422,FALSE)</f>
        <v>#N/A</v>
      </c>
      <c r="H143" s="34" t="e">
        <f>VLOOKUP(A1,DIV_12Data!$A$1:$DZU$1000000,2423,FALSE)</f>
        <v>#N/A</v>
      </c>
      <c r="I143" s="33" t="e">
        <f>VLOOKUP(A1,DIV_12Data!$A$1:$DZU$1000000,2424,FALSE)</f>
        <v>#N/A</v>
      </c>
      <c r="J143" s="34" t="e">
        <f>VLOOKUP(A1,DIV_12Data!$A$1:$DZU$1000000,2425,FALSE)</f>
        <v>#N/A</v>
      </c>
      <c r="K143" s="34" t="e">
        <f>VLOOKUP(A1,DIV_12Data!$A$1:$DZU$1000000,2426,FALSE)</f>
        <v>#N/A</v>
      </c>
      <c r="L143" s="93" t="e">
        <f>VLOOKUP(A1,DIV_12Data!$A$1:$DZU$1000000,2427,FALSE)</f>
        <v>#N/A</v>
      </c>
      <c r="M143" s="33" t="e">
        <f>VLOOKUP(A1,DIV_12Data!$A$1:$DZU$1000000,2428,FALSE)</f>
        <v>#N/A</v>
      </c>
      <c r="N143" s="34" t="e">
        <f>VLOOKUP(A1,DIV_12Data!$A$1:$DZU$1000000,2429,FALSE)</f>
        <v>#N/A</v>
      </c>
      <c r="O143" s="33" t="e">
        <f>VLOOKUP(A1,DIV_12Data!$A$1:$DZU$1000000,2430,FALSE)</f>
        <v>#N/A</v>
      </c>
      <c r="P143" s="46" t="e">
        <f>VLOOKUP(A1,DIV_12Data!$A$1:$DZU$1000000,2431,FALSE)</f>
        <v>#N/A</v>
      </c>
      <c r="Q143" s="33" t="e">
        <f>VLOOKUP(A1,DIV_12Data!$A$1:$DZU$1000000,2432,FALSE)</f>
        <v>#N/A</v>
      </c>
    </row>
    <row r="144" spans="1:17" x14ac:dyDescent="0.35">
      <c r="A144" s="22" t="e">
        <f>VLOOKUP(A1,DIV_12Data!$A$1:$DZU$1000000,2433,FALSE)</f>
        <v>#N/A</v>
      </c>
      <c r="B144" s="37" t="e">
        <f>VLOOKUP(A1,DIV_12Data!$A$1:$DZU$1000000,2434,FALSE)</f>
        <v>#N/A</v>
      </c>
      <c r="C144" s="38" t="e">
        <f>VLOOKUP(A1,DIV_12Data!$A$1:$DZU$1000000,2435,FALSE)</f>
        <v>#N/A</v>
      </c>
      <c r="D144" s="31" t="e">
        <f>VLOOKUP(A1,DIV_12Data!$A$1:$DZU$1000000,2436,FALSE)</f>
        <v>#N/A</v>
      </c>
      <c r="E144" s="32" t="e">
        <f>VLOOKUP(A1,DIV_12Data!$A$1:$DZU$1000000,2437,FALSE)</f>
        <v>#N/A</v>
      </c>
      <c r="F144" s="34" t="e">
        <f>VLOOKUP(A1,DIV_12Data!$A$1:$DZU$1000000,2438,FALSE)</f>
        <v>#N/A</v>
      </c>
      <c r="G144" s="33" t="e">
        <f>VLOOKUP(A1,DIV_12Data!$A$1:$DZU$1000000,2439,FALSE)</f>
        <v>#N/A</v>
      </c>
      <c r="H144" s="34" t="e">
        <f>VLOOKUP(A1,DIV_12Data!$A$1:$DZU$1000000,2440,FALSE)</f>
        <v>#N/A</v>
      </c>
      <c r="I144" s="33" t="e">
        <f>VLOOKUP(A1,DIV_12Data!$A$1:$DZU$1000000,2441,FALSE)</f>
        <v>#N/A</v>
      </c>
      <c r="J144" s="34" t="e">
        <f>VLOOKUP(A1,DIV_12Data!$A$1:$DZU$1000000,2442,FALSE)</f>
        <v>#N/A</v>
      </c>
      <c r="K144" s="34" t="e">
        <f>VLOOKUP(A1,DIV_12Data!$A$1:$DZU$1000000,2443,FALSE)</f>
        <v>#N/A</v>
      </c>
      <c r="L144" s="93" t="e">
        <f>VLOOKUP(A1,DIV_12Data!$A$1:$DZU$1000000,2444,FALSE)</f>
        <v>#N/A</v>
      </c>
      <c r="M144" s="33" t="e">
        <f>VLOOKUP(A1,DIV_12Data!$A$1:$DZU$1000000,2445,FALSE)</f>
        <v>#N/A</v>
      </c>
      <c r="N144" s="34" t="e">
        <f>VLOOKUP(A1,DIV_12Data!$A$1:$DZU$1000000,2446,FALSE)</f>
        <v>#N/A</v>
      </c>
      <c r="O144" s="33" t="e">
        <f>VLOOKUP(A1,DIV_12Data!$A$1:$DZU$1000000,2447,FALSE)</f>
        <v>#N/A</v>
      </c>
      <c r="P144" s="46" t="e">
        <f>VLOOKUP(A1,DIV_12Data!$A$1:$DZU$1000000,2448,FALSE)</f>
        <v>#N/A</v>
      </c>
      <c r="Q144" s="33" t="e">
        <f>VLOOKUP(A1,DIV_12Data!$A$1:$DZU$1000000,2449,FALSE)</f>
        <v>#N/A</v>
      </c>
    </row>
    <row r="145" spans="1:17" x14ac:dyDescent="0.35">
      <c r="A145" s="22" t="e">
        <f>VLOOKUP(A1,DIV_12Data!$A$1:$DZU$1000000,2450,FALSE)</f>
        <v>#N/A</v>
      </c>
      <c r="B145" s="37" t="e">
        <f>VLOOKUP(A1,DIV_12Data!$A$1:$DZU$1000000,2451,FALSE)</f>
        <v>#N/A</v>
      </c>
      <c r="C145" s="38" t="e">
        <f>VLOOKUP(A1,DIV_12Data!$A$1:$DZU$1000000,2452,FALSE)</f>
        <v>#N/A</v>
      </c>
      <c r="D145" s="31" t="e">
        <f>VLOOKUP(A1,DIV_12Data!$A$1:$DZU$1000000,2453,FALSE)</f>
        <v>#N/A</v>
      </c>
      <c r="E145" s="32" t="e">
        <f>VLOOKUP(A1,DIV_12Data!$A$1:$DZU$1000000,2454,FALSE)</f>
        <v>#N/A</v>
      </c>
      <c r="F145" s="34" t="e">
        <f>VLOOKUP(A1,DIV_12Data!$A$1:$DZU$1000000,2455,FALSE)</f>
        <v>#N/A</v>
      </c>
      <c r="G145" s="33" t="e">
        <f>VLOOKUP(A1,DIV_12Data!$A$1:$DZU$1000000,2456,FALSE)</f>
        <v>#N/A</v>
      </c>
      <c r="H145" s="34" t="e">
        <f>VLOOKUP(A1,DIV_12Data!$A$1:$DZU$1000000,2457,FALSE)</f>
        <v>#N/A</v>
      </c>
      <c r="I145" s="33" t="e">
        <f>VLOOKUP(A1,DIV_12Data!$A$1:$DZU$1000000,2458,FALSE)</f>
        <v>#N/A</v>
      </c>
      <c r="J145" s="34" t="e">
        <f>VLOOKUP(A1,DIV_12Data!$A$1:$DZU$1000000,2459,FALSE)</f>
        <v>#N/A</v>
      </c>
      <c r="K145" s="34" t="e">
        <f>VLOOKUP(A1,DIV_12Data!$A$1:$DZU$1000000,2460,FALSE)</f>
        <v>#N/A</v>
      </c>
      <c r="L145" s="93" t="e">
        <f>VLOOKUP(A1,DIV_12Data!$A$1:$DZU$1000000,2461,FALSE)</f>
        <v>#N/A</v>
      </c>
      <c r="M145" s="33" t="e">
        <f>VLOOKUP(A1,DIV_12Data!$A$1:$DZU$1000000,2462,FALSE)</f>
        <v>#N/A</v>
      </c>
      <c r="N145" s="34" t="e">
        <f>VLOOKUP(A1,DIV_12Data!$A$1:$DZU$1000000,2463,FALSE)</f>
        <v>#N/A</v>
      </c>
      <c r="O145" s="33" t="e">
        <f>VLOOKUP(A1,DIV_12Data!$A$1:$DZU$1000000,2464,FALSE)</f>
        <v>#N/A</v>
      </c>
      <c r="P145" s="46" t="e">
        <f>VLOOKUP(A1,DIV_12Data!$A$1:$DZU$1000000,2465,FALSE)</f>
        <v>#N/A</v>
      </c>
      <c r="Q145" s="33" t="e">
        <f>VLOOKUP(A1,DIV_12Data!$A$1:$DZU$1000000,2466,FALSE)</f>
        <v>#N/A</v>
      </c>
    </row>
    <row r="146" spans="1:17" x14ac:dyDescent="0.35">
      <c r="A146" s="22" t="e">
        <f>VLOOKUP(A1,DIV_12Data!$A$1:$DZU$1000000,2467,FALSE)</f>
        <v>#N/A</v>
      </c>
      <c r="B146" s="37" t="e">
        <f>VLOOKUP(A1,DIV_12Data!$A$1:$DZU$1000000,2468,FALSE)</f>
        <v>#N/A</v>
      </c>
      <c r="C146" s="38" t="e">
        <f>VLOOKUP(A1,DIV_12Data!$A$1:$DZU$1000000,2469,FALSE)</f>
        <v>#N/A</v>
      </c>
      <c r="D146" s="31" t="e">
        <f>VLOOKUP(A1,DIV_12Data!$A$1:$DZU$1000000,2470,FALSE)</f>
        <v>#N/A</v>
      </c>
      <c r="E146" s="32" t="e">
        <f>VLOOKUP(A1,DIV_12Data!$A$1:$DZU$1000000,2471,FALSE)</f>
        <v>#N/A</v>
      </c>
      <c r="F146" s="34" t="e">
        <f>VLOOKUP(A1,DIV_12Data!$A$1:$DZU$1000000,2472,FALSE)</f>
        <v>#N/A</v>
      </c>
      <c r="G146" s="33" t="e">
        <f>VLOOKUP(A1,DIV_12Data!$A$1:$DZU$1000000,2473,FALSE)</f>
        <v>#N/A</v>
      </c>
      <c r="H146" s="34" t="e">
        <f>VLOOKUP(A1,DIV_12Data!$A$1:$DZU$1000000,2474,FALSE)</f>
        <v>#N/A</v>
      </c>
      <c r="I146" s="33" t="e">
        <f>VLOOKUP(A1,DIV_12Data!$A$1:$DZU$1000000,2475,FALSE)</f>
        <v>#N/A</v>
      </c>
      <c r="J146" s="34" t="e">
        <f>VLOOKUP(A1,DIV_12Data!$A$1:$DZU$1000000,2476,FALSE)</f>
        <v>#N/A</v>
      </c>
      <c r="K146" s="34" t="e">
        <f>VLOOKUP(A1,DIV_12Data!$A$1:$DZU$1000000,2477,FALSE)</f>
        <v>#N/A</v>
      </c>
      <c r="L146" s="93" t="e">
        <f>VLOOKUP(A1,DIV_12Data!$A$1:$DZU$1000000,2478,FALSE)</f>
        <v>#N/A</v>
      </c>
      <c r="M146" s="33" t="e">
        <f>VLOOKUP(A1,DIV_12Data!$A$1:$DZU$1000000,2479,FALSE)</f>
        <v>#N/A</v>
      </c>
      <c r="N146" s="34" t="e">
        <f>VLOOKUP(A1,DIV_12Data!$A$1:$DZU$1000000,2480,FALSE)</f>
        <v>#N/A</v>
      </c>
      <c r="O146" s="33" t="e">
        <f>VLOOKUP(A1,DIV_12Data!$A$1:$DZU$1000000,2481,FALSE)</f>
        <v>#N/A</v>
      </c>
      <c r="P146" s="46" t="e">
        <f>VLOOKUP(A1,DIV_12Data!$A$1:$DZU$1000000,2482,FALSE)</f>
        <v>#N/A</v>
      </c>
      <c r="Q146" s="33" t="e">
        <f>VLOOKUP(A1,DIV_12Data!$A$1:$DZU$1000000,2483,FALSE)</f>
        <v>#N/A</v>
      </c>
    </row>
    <row r="147" spans="1:17" x14ac:dyDescent="0.35">
      <c r="A147" s="22" t="e">
        <f>VLOOKUP(A1,DIV_12Data!$A$1:$DZU$1000000,2484,FALSE)</f>
        <v>#N/A</v>
      </c>
      <c r="B147" s="37" t="e">
        <f>VLOOKUP(A1,DIV_12Data!$A$1:$DZU$1000000,2485,FALSE)</f>
        <v>#N/A</v>
      </c>
      <c r="C147" s="38" t="e">
        <f>VLOOKUP(A1,DIV_12Data!$A$1:$DZU$1000000,2486,FALSE)</f>
        <v>#N/A</v>
      </c>
      <c r="D147" s="31" t="e">
        <f>VLOOKUP(A1,DIV_12Data!$A$1:$DZU$1000000,2487,FALSE)</f>
        <v>#N/A</v>
      </c>
      <c r="E147" s="32" t="e">
        <f>VLOOKUP(A1,DIV_12Data!$A$1:$DZU$1000000,2488,FALSE)</f>
        <v>#N/A</v>
      </c>
      <c r="F147" s="34" t="e">
        <f>VLOOKUP(A1,DIV_12Data!$A$1:$DZU$1000000,2489,FALSE)</f>
        <v>#N/A</v>
      </c>
      <c r="G147" s="33" t="e">
        <f>VLOOKUP(A1,DIV_12Data!$A$1:$DZU$1000000,2490,FALSE)</f>
        <v>#N/A</v>
      </c>
      <c r="H147" s="34" t="e">
        <f>VLOOKUP(A1,DIV_12Data!$A$1:$DZU$1000000,2491,FALSE)</f>
        <v>#N/A</v>
      </c>
      <c r="I147" s="33" t="e">
        <f>VLOOKUP(A1,DIV_12Data!$A$1:$DZU$1000000,2492,FALSE)</f>
        <v>#N/A</v>
      </c>
      <c r="J147" s="34" t="e">
        <f>VLOOKUP(A1,DIV_12Data!$A$1:$DZU$1000000,2493,FALSE)</f>
        <v>#N/A</v>
      </c>
      <c r="K147" s="34" t="e">
        <f>VLOOKUP(A1,DIV_12Data!$A$1:$DZU$1000000,2494,FALSE)</f>
        <v>#N/A</v>
      </c>
      <c r="L147" s="93" t="e">
        <f>VLOOKUP(A1,DIV_12Data!$A$1:$DZU$1000000,2495,FALSE)</f>
        <v>#N/A</v>
      </c>
      <c r="M147" s="33" t="e">
        <f>VLOOKUP(A1,DIV_12Data!$A$1:$DZU$1000000,2496,FALSE)</f>
        <v>#N/A</v>
      </c>
      <c r="N147" s="34" t="e">
        <f>VLOOKUP(A1,DIV_12Data!$A$1:$DZU$1000000,2497,FALSE)</f>
        <v>#N/A</v>
      </c>
      <c r="O147" s="33" t="e">
        <f>VLOOKUP(A1,DIV_12Data!$A$1:$DZU$1000000,2498,FALSE)</f>
        <v>#N/A</v>
      </c>
      <c r="P147" s="46" t="e">
        <f>VLOOKUP(A1,DIV_12Data!$A$1:$DZU$1000000,2499,FALSE)</f>
        <v>#N/A</v>
      </c>
      <c r="Q147" s="33" t="e">
        <f>VLOOKUP(A1,DIV_12Data!$A$1:$DZU$1000000,2500,FALSE)</f>
        <v>#N/A</v>
      </c>
    </row>
    <row r="148" spans="1:17" x14ac:dyDescent="0.35">
      <c r="A148" s="22" t="e">
        <f>VLOOKUP(A1,DIV_12Data!$A$1:$DZU$1000000,2501,FALSE)</f>
        <v>#N/A</v>
      </c>
      <c r="B148" s="37" t="e">
        <f>VLOOKUP(A1,DIV_12Data!$A$1:$DZU$1000000,2502,FALSE)</f>
        <v>#N/A</v>
      </c>
      <c r="C148" s="38" t="e">
        <f>VLOOKUP(A1,DIV_12Data!$A$1:$DZU$1000000,2503,FALSE)</f>
        <v>#N/A</v>
      </c>
      <c r="D148" s="31" t="e">
        <f>VLOOKUP(A1,DIV_12Data!$A$1:$DZU$1000000,2504,FALSE)</f>
        <v>#N/A</v>
      </c>
      <c r="E148" s="32" t="e">
        <f>VLOOKUP(A1,DIV_12Data!$A$1:$DZU$1000000,2505,FALSE)</f>
        <v>#N/A</v>
      </c>
      <c r="F148" s="34" t="e">
        <f>VLOOKUP(A1,DIV_12Data!$A$1:$DZU$1000000,2506,FALSE)</f>
        <v>#N/A</v>
      </c>
      <c r="G148" s="33" t="e">
        <f>VLOOKUP(A1,DIV_12Data!$A$1:$DZU$1000000,2507,FALSE)</f>
        <v>#N/A</v>
      </c>
      <c r="H148" s="34" t="e">
        <f>VLOOKUP(A1,DIV_12Data!$A$1:$DZU$1000000,2508,FALSE)</f>
        <v>#N/A</v>
      </c>
      <c r="I148" s="33" t="e">
        <f>VLOOKUP(A1,DIV_12Data!$A$1:$DZU$1000000,2509,FALSE)</f>
        <v>#N/A</v>
      </c>
      <c r="J148" s="34" t="e">
        <f>VLOOKUP(A1,DIV_12Data!$A$1:$DZU$1000000,2510,FALSE)</f>
        <v>#N/A</v>
      </c>
      <c r="K148" s="34" t="e">
        <f>VLOOKUP(A1,DIV_12Data!$A$1:$DZU$1000000,2511,FALSE)</f>
        <v>#N/A</v>
      </c>
      <c r="L148" s="93" t="e">
        <f>VLOOKUP(A1,DIV_12Data!$A$1:$DZU$1000000,2512,FALSE)</f>
        <v>#N/A</v>
      </c>
      <c r="M148" s="33" t="e">
        <f>VLOOKUP(A1,DIV_12Data!$A$1:$DZU$1000000,2513,FALSE)</f>
        <v>#N/A</v>
      </c>
      <c r="N148" s="34" t="e">
        <f>VLOOKUP(A1,DIV_12Data!$A$1:$DZU$1000000,2514,FALSE)</f>
        <v>#N/A</v>
      </c>
      <c r="O148" s="33" t="e">
        <f>VLOOKUP(A1,DIV_12Data!$A$1:$DZU$1000000,2515,FALSE)</f>
        <v>#N/A</v>
      </c>
      <c r="P148" s="46" t="e">
        <f>VLOOKUP(A1,DIV_12Data!$A$1:$DZU$1000000,2516,FALSE)</f>
        <v>#N/A</v>
      </c>
      <c r="Q148" s="33" t="e">
        <f>VLOOKUP(A1,DIV_12Data!$A$1:$DZU$1000000,2517,FALSE)</f>
        <v>#N/A</v>
      </c>
    </row>
    <row r="149" spans="1:17" x14ac:dyDescent="0.35">
      <c r="A149" s="22" t="e">
        <f>VLOOKUP(A1,DIV_12Data!$A$1:$DZU$1000000,2518,FALSE)</f>
        <v>#N/A</v>
      </c>
      <c r="B149" s="37" t="e">
        <f>VLOOKUP(A1,DIV_12Data!$A$1:$DZU$1000000,2519,FALSE)</f>
        <v>#N/A</v>
      </c>
      <c r="C149" s="38" t="e">
        <f>VLOOKUP(A1,DIV_12Data!$A$1:$DZU$1000000,2520,FALSE)</f>
        <v>#N/A</v>
      </c>
      <c r="D149" s="31" t="e">
        <f>VLOOKUP(A1,DIV_12Data!$A$1:$DZU$1000000,2521,FALSE)</f>
        <v>#N/A</v>
      </c>
      <c r="E149" s="32" t="e">
        <f>VLOOKUP(A1,DIV_12Data!$A$1:$DZU$1000000,2522,FALSE)</f>
        <v>#N/A</v>
      </c>
      <c r="F149" s="34" t="e">
        <f>VLOOKUP(A1,DIV_12Data!$A$1:$DZU$1000000,2523,FALSE)</f>
        <v>#N/A</v>
      </c>
      <c r="G149" s="33" t="e">
        <f>VLOOKUP(A1,DIV_12Data!$A$1:$DZU$1000000,2524,FALSE)</f>
        <v>#N/A</v>
      </c>
      <c r="H149" s="34" t="e">
        <f>VLOOKUP(A1,DIV_12Data!$A$1:$DZU$1000000,2525,FALSE)</f>
        <v>#N/A</v>
      </c>
      <c r="I149" s="33" t="e">
        <f>VLOOKUP(A1,DIV_12Data!$A$1:$DZU$1000000,2526,FALSE)</f>
        <v>#N/A</v>
      </c>
      <c r="J149" s="34" t="e">
        <f>VLOOKUP(A1,DIV_12Data!$A$1:$DZU$1000000,2527,FALSE)</f>
        <v>#N/A</v>
      </c>
      <c r="K149" s="34" t="e">
        <f>VLOOKUP(A1,DIV_12Data!$A$1:$DZU$1000000,2528,FALSE)</f>
        <v>#N/A</v>
      </c>
      <c r="L149" s="93" t="e">
        <f>VLOOKUP(A1,DIV_12Data!$A$1:$DZU$1000000,2529,FALSE)</f>
        <v>#N/A</v>
      </c>
      <c r="M149" s="33" t="e">
        <f>VLOOKUP(A1,DIV_12Data!$A$1:$DZU$1000000,2530,FALSE)</f>
        <v>#N/A</v>
      </c>
      <c r="N149" s="34" t="e">
        <f>VLOOKUP(A1,DIV_12Data!$A$1:$DZU$1000000,2531,FALSE)</f>
        <v>#N/A</v>
      </c>
      <c r="O149" s="33" t="e">
        <f>VLOOKUP(A1,DIV_12Data!$A$1:$DZU$1000000,2532,FALSE)</f>
        <v>#N/A</v>
      </c>
      <c r="P149" s="46" t="e">
        <f>VLOOKUP(A1,DIV_12Data!$A$1:$DZU$1000000,2533,FALSE)</f>
        <v>#N/A</v>
      </c>
      <c r="Q149" s="33" t="e">
        <f>VLOOKUP(A1,DIV_12Data!$A$1:$DZU$1000000,2534,FALSE)</f>
        <v>#N/A</v>
      </c>
    </row>
    <row r="150" spans="1:17" x14ac:dyDescent="0.35">
      <c r="A150" s="22" t="e">
        <f>VLOOKUP(A1,DIV_12Data!$A$1:$DZU$1000000,2535,FALSE)</f>
        <v>#N/A</v>
      </c>
      <c r="B150" s="37" t="e">
        <f>VLOOKUP(A1,DIV_12Data!$A$1:$DZU$1000000,2536,FALSE)</f>
        <v>#N/A</v>
      </c>
      <c r="C150" s="38" t="e">
        <f>VLOOKUP(A1,DIV_12Data!$A$1:$DZU$1000000,2537,FALSE)</f>
        <v>#N/A</v>
      </c>
      <c r="D150" s="31" t="e">
        <f>VLOOKUP(A1,DIV_12Data!$A$1:$DZU$1000000,2538,FALSE)</f>
        <v>#N/A</v>
      </c>
      <c r="E150" s="32" t="e">
        <f>VLOOKUP(A1,DIV_12Data!$A$1:$DZU$1000000,2539,FALSE)</f>
        <v>#N/A</v>
      </c>
      <c r="F150" s="34" t="e">
        <f>VLOOKUP(A1,DIV_12Data!$A$1:$DZU$1000000,2540,FALSE)</f>
        <v>#N/A</v>
      </c>
      <c r="G150" s="33" t="e">
        <f>VLOOKUP(A1,DIV_12Data!$A$1:$DZU$1000000,2541,FALSE)</f>
        <v>#N/A</v>
      </c>
      <c r="H150" s="34" t="e">
        <f>VLOOKUP(A1,DIV_12Data!$A$1:$DZU$1000000,2542,FALSE)</f>
        <v>#N/A</v>
      </c>
      <c r="I150" s="33" t="e">
        <f>VLOOKUP(A1,DIV_12Data!$A$1:$DZU$1000000,2543,FALSE)</f>
        <v>#N/A</v>
      </c>
      <c r="J150" s="34" t="e">
        <f>VLOOKUP(A1,DIV_12Data!$A$1:$DZU$1000000,2544,FALSE)</f>
        <v>#N/A</v>
      </c>
      <c r="K150" s="34" t="e">
        <f>VLOOKUP(A1,DIV_12Data!$A$1:$DZU$1000000,2545,FALSE)</f>
        <v>#N/A</v>
      </c>
      <c r="L150" s="93" t="e">
        <f>VLOOKUP(A1,DIV_12Data!$A$1:$DZU$1000000,2546,FALSE)</f>
        <v>#N/A</v>
      </c>
      <c r="M150" s="33" t="e">
        <f>VLOOKUP(A1,DIV_12Data!$A$1:$DZU$1000000,2547,FALSE)</f>
        <v>#N/A</v>
      </c>
      <c r="N150" s="34" t="e">
        <f>VLOOKUP(A1,DIV_12Data!$A$1:$DZU$1000000,2548,FALSE)</f>
        <v>#N/A</v>
      </c>
      <c r="O150" s="33" t="e">
        <f>VLOOKUP(A1,DIV_12Data!$A$1:$DZU$1000000,2549,FALSE)</f>
        <v>#N/A</v>
      </c>
      <c r="P150" s="46" t="e">
        <f>VLOOKUP(A1,DIV_12Data!$A$1:$DZU$1000000,2550,FALSE)</f>
        <v>#N/A</v>
      </c>
      <c r="Q150" s="33" t="e">
        <f>VLOOKUP(A1,DIV_12Data!$A$1:$DZU$1000000,2551,FALSE)</f>
        <v>#N/A</v>
      </c>
    </row>
    <row r="151" spans="1:17" x14ac:dyDescent="0.35">
      <c r="A151" s="22" t="e">
        <f>VLOOKUP(A1,DIV_12Data!$A$1:$DZU$1000000,2552,FALSE)</f>
        <v>#N/A</v>
      </c>
      <c r="B151" s="37" t="e">
        <f>VLOOKUP(A1,DIV_12Data!$A$1:$DZU$1000000,2553,FALSE)</f>
        <v>#N/A</v>
      </c>
      <c r="C151" s="38" t="e">
        <f>VLOOKUP(A1,DIV_12Data!$A$1:$DZU$1000000,2554,FALSE)</f>
        <v>#N/A</v>
      </c>
      <c r="D151" s="31" t="e">
        <f>VLOOKUP(A1,DIV_12Data!$A$1:$DZU$1000000,2555,FALSE)</f>
        <v>#N/A</v>
      </c>
      <c r="E151" s="32" t="e">
        <f>VLOOKUP(A1,DIV_12Data!$A$1:$DZU$1000000,2556,FALSE)</f>
        <v>#N/A</v>
      </c>
      <c r="F151" s="34" t="e">
        <f>VLOOKUP(A1,DIV_12Data!$A$1:$DZU$1000000,2557,FALSE)</f>
        <v>#N/A</v>
      </c>
      <c r="G151" s="33" t="e">
        <f>VLOOKUP(A1,DIV_12Data!$A$1:$DZU$1000000,2558,FALSE)</f>
        <v>#N/A</v>
      </c>
      <c r="H151" s="34" t="e">
        <f>VLOOKUP(A1,DIV_12Data!$A$1:$DZU$1000000,2559,FALSE)</f>
        <v>#N/A</v>
      </c>
      <c r="I151" s="33" t="e">
        <f>VLOOKUP(A1,DIV_12Data!$A$1:$DZU$1000000,2560,FALSE)</f>
        <v>#N/A</v>
      </c>
      <c r="J151" s="34" t="e">
        <f>VLOOKUP(A1,DIV_12Data!$A$1:$DZU$1000000,2561,FALSE)</f>
        <v>#N/A</v>
      </c>
      <c r="K151" s="34" t="e">
        <f>VLOOKUP(A1,DIV_12Data!$A$1:$DZU$1000000,2562,FALSE)</f>
        <v>#N/A</v>
      </c>
      <c r="L151" s="93" t="e">
        <f>VLOOKUP(A1,DIV_12Data!$A$1:$DZU$1000000,2563,FALSE)</f>
        <v>#N/A</v>
      </c>
      <c r="M151" s="33" t="e">
        <f>VLOOKUP(A1,DIV_12Data!$A$1:$DZU$1000000,2564,FALSE)</f>
        <v>#N/A</v>
      </c>
      <c r="N151" s="34" t="e">
        <f>VLOOKUP(A1,DIV_12Data!$A$1:$DZU$1000000,2565,FALSE)</f>
        <v>#N/A</v>
      </c>
      <c r="O151" s="33" t="e">
        <f>VLOOKUP(A1,DIV_12Data!$A$1:$DZU$1000000,2566,FALSE)</f>
        <v>#N/A</v>
      </c>
      <c r="P151" s="46" t="e">
        <f>VLOOKUP(A1,DIV_12Data!$A$1:$DZU$1000000,2567,FALSE)</f>
        <v>#N/A</v>
      </c>
      <c r="Q151" s="33" t="e">
        <f>VLOOKUP(A1,DIV_12Data!$A$1:$DZU$1000000,2568,FALSE)</f>
        <v>#N/A</v>
      </c>
    </row>
    <row r="152" spans="1:17" x14ac:dyDescent="0.35">
      <c r="A152" s="22" t="e">
        <f>VLOOKUP(A1,DIV_12Data!$A$1:$DZU$1000000,2569,FALSE)</f>
        <v>#N/A</v>
      </c>
      <c r="B152" s="37" t="e">
        <f>VLOOKUP(A1,DIV_12Data!$A$1:$DZU$1000000,2570,FALSE)</f>
        <v>#N/A</v>
      </c>
      <c r="C152" s="38" t="e">
        <f>VLOOKUP(A1,DIV_12Data!$A$1:$DZU$1000000,2571,FALSE)</f>
        <v>#N/A</v>
      </c>
      <c r="D152" s="31" t="e">
        <f>VLOOKUP(A1,DIV_12Data!$A$1:$DZU$1000000,2572,FALSE)</f>
        <v>#N/A</v>
      </c>
      <c r="E152" s="32" t="e">
        <f>VLOOKUP(A1,DIV_12Data!$A$1:$DZU$1000000,2573,FALSE)</f>
        <v>#N/A</v>
      </c>
      <c r="F152" s="34" t="e">
        <f>VLOOKUP(A1,DIV_12Data!$A$1:$DZU$1000000,2574,FALSE)</f>
        <v>#N/A</v>
      </c>
      <c r="G152" s="33" t="e">
        <f>VLOOKUP(A1,DIV_12Data!$A$1:$DZU$1000000,2575,FALSE)</f>
        <v>#N/A</v>
      </c>
      <c r="H152" s="34" t="e">
        <f>VLOOKUP(A1,DIV_12Data!$A$1:$DZU$1000000,2576,FALSE)</f>
        <v>#N/A</v>
      </c>
      <c r="I152" s="33" t="e">
        <f>VLOOKUP(A1,DIV_12Data!$A$1:$DZU$1000000,2577,FALSE)</f>
        <v>#N/A</v>
      </c>
      <c r="J152" s="34" t="e">
        <f>VLOOKUP(A1,DIV_12Data!$A$1:$DZU$1000000,2578,FALSE)</f>
        <v>#N/A</v>
      </c>
      <c r="K152" s="34" t="e">
        <f>VLOOKUP(A1,DIV_12Data!$A$1:$DZU$1000000,2579,FALSE)</f>
        <v>#N/A</v>
      </c>
      <c r="L152" s="93" t="e">
        <f>VLOOKUP(A1,DIV_12Data!$A$1:$DZU$1000000,2580,FALSE)</f>
        <v>#N/A</v>
      </c>
      <c r="M152" s="33" t="e">
        <f>VLOOKUP(A1,DIV_12Data!$A$1:$DZU$1000000,2581,FALSE)</f>
        <v>#N/A</v>
      </c>
      <c r="N152" s="34" t="e">
        <f>VLOOKUP(A1,DIV_12Data!$A$1:$DZU$1000000,2582,FALSE)</f>
        <v>#N/A</v>
      </c>
      <c r="O152" s="33" t="e">
        <f>VLOOKUP(A1,DIV_12Data!$A$1:$DZU$1000000,2583,FALSE)</f>
        <v>#N/A</v>
      </c>
      <c r="P152" s="46" t="e">
        <f>VLOOKUP(A1,DIV_12Data!$A$1:$DZU$1000000,2584,FALSE)</f>
        <v>#N/A</v>
      </c>
      <c r="Q152" s="33" t="e">
        <f>VLOOKUP(A1,DIV_12Data!$A$1:$DZU$1000000,2585,FALSE)</f>
        <v>#N/A</v>
      </c>
    </row>
    <row r="153" spans="1:17" x14ac:dyDescent="0.35">
      <c r="A153" s="22" t="e">
        <f>VLOOKUP(A1,DIV_12Data!$A$1:$DZU$1000000,2586,FALSE)</f>
        <v>#N/A</v>
      </c>
      <c r="B153" s="37" t="e">
        <f>VLOOKUP(A1,DIV_12Data!$A$1:$DZU$1000000,2587,FALSE)</f>
        <v>#N/A</v>
      </c>
      <c r="C153" s="38" t="e">
        <f>VLOOKUP(A1,DIV_12Data!$A$1:$DZU$1000000,2588,FALSE)</f>
        <v>#N/A</v>
      </c>
      <c r="D153" s="31" t="e">
        <f>VLOOKUP(A1,DIV_12Data!$A$1:$DZU$1000000,2589,FALSE)</f>
        <v>#N/A</v>
      </c>
      <c r="E153" s="32" t="e">
        <f>VLOOKUP(A1,DIV_12Data!$A$1:$DZU$1000000,2590,FALSE)</f>
        <v>#N/A</v>
      </c>
      <c r="F153" s="34" t="e">
        <f>VLOOKUP(A1,DIV_12Data!$A$1:$DZU$1000000,2591,FALSE)</f>
        <v>#N/A</v>
      </c>
      <c r="G153" s="33" t="e">
        <f>VLOOKUP(A1,DIV_12Data!$A$1:$DZU$1000000,2592,FALSE)</f>
        <v>#N/A</v>
      </c>
      <c r="H153" s="34" t="e">
        <f>VLOOKUP(A1,DIV_12Data!$A$1:$DZU$1000000,2593,FALSE)</f>
        <v>#N/A</v>
      </c>
      <c r="I153" s="33" t="e">
        <f>VLOOKUP(A1,DIV_12Data!$A$1:$DZU$1000000,2594,FALSE)</f>
        <v>#N/A</v>
      </c>
      <c r="J153" s="34" t="e">
        <f>VLOOKUP(A1,DIV_12Data!$A$1:$DZU$1000000,2595,FALSE)</f>
        <v>#N/A</v>
      </c>
      <c r="K153" s="34" t="e">
        <f>VLOOKUP(A1,DIV_12Data!$A$1:$DZU$1000000,2596,FALSE)</f>
        <v>#N/A</v>
      </c>
      <c r="L153" s="93" t="e">
        <f>VLOOKUP(A1,DIV_12Data!$A$1:$DZU$1000000,2597,FALSE)</f>
        <v>#N/A</v>
      </c>
      <c r="M153" s="33" t="e">
        <f>VLOOKUP(A1,DIV_12Data!$A$1:$DZU$1000000,2598,FALSE)</f>
        <v>#N/A</v>
      </c>
      <c r="N153" s="34" t="e">
        <f>VLOOKUP(A1,DIV_12Data!$A$1:$DZU$1000000,2599,FALSE)</f>
        <v>#N/A</v>
      </c>
      <c r="O153" s="33" t="e">
        <f>VLOOKUP(A1,DIV_12Data!$A$1:$DZU$1000000,2600,FALSE)</f>
        <v>#N/A</v>
      </c>
      <c r="P153" s="46" t="e">
        <f>VLOOKUP(A1,DIV_12Data!$A$1:$DZU$1000000,2601,FALSE)</f>
        <v>#N/A</v>
      </c>
      <c r="Q153" s="33" t="e">
        <f>VLOOKUP(A1,DIV_12Data!$A$1:$DZU$1000000,2602,FALSE)</f>
        <v>#N/A</v>
      </c>
    </row>
    <row r="154" spans="1:17" x14ac:dyDescent="0.35">
      <c r="A154" s="22" t="e">
        <f>VLOOKUP(A1,DIV_12Data!$A$1:$DZU$1000000,2603,FALSE)</f>
        <v>#N/A</v>
      </c>
      <c r="B154" s="37" t="e">
        <f>VLOOKUP(A1,DIV_12Data!$A$1:$DZU$1000000,2604,FALSE)</f>
        <v>#N/A</v>
      </c>
      <c r="C154" s="38" t="e">
        <f>VLOOKUP(A1,DIV_12Data!$A$1:$DZU$1000000,2605,FALSE)</f>
        <v>#N/A</v>
      </c>
      <c r="D154" s="31" t="e">
        <f>VLOOKUP(A1,DIV_12Data!$A$1:$DZU$1000000,2606,FALSE)</f>
        <v>#N/A</v>
      </c>
      <c r="E154" s="32" t="e">
        <f>VLOOKUP(A1,DIV_12Data!$A$1:$DZU$1000000,2607,FALSE)</f>
        <v>#N/A</v>
      </c>
      <c r="F154" s="34" t="e">
        <f>VLOOKUP(A1,DIV_12Data!$A$1:$DZU$1000000,2608,FALSE)</f>
        <v>#N/A</v>
      </c>
      <c r="G154" s="33" t="e">
        <f>VLOOKUP(A1,DIV_12Data!$A$1:$DZU$1000000,2609,FALSE)</f>
        <v>#N/A</v>
      </c>
      <c r="H154" s="34" t="e">
        <f>VLOOKUP(A1,DIV_12Data!$A$1:$DZU$1000000,2610,FALSE)</f>
        <v>#N/A</v>
      </c>
      <c r="I154" s="33" t="e">
        <f>VLOOKUP(A1,DIV_12Data!$A$1:$DZU$1000000,2611,FALSE)</f>
        <v>#N/A</v>
      </c>
      <c r="J154" s="34" t="e">
        <f>VLOOKUP(A1,DIV_12Data!$A$1:$DZU$1000000,2612,FALSE)</f>
        <v>#N/A</v>
      </c>
      <c r="K154" s="34" t="e">
        <f>VLOOKUP(A1,DIV_12Data!$A$1:$DZU$1000000,2613,FALSE)</f>
        <v>#N/A</v>
      </c>
      <c r="L154" s="93" t="e">
        <f>VLOOKUP(A1,DIV_12Data!$A$1:$DZU$1000000,2614,FALSE)</f>
        <v>#N/A</v>
      </c>
      <c r="M154" s="33" t="e">
        <f>VLOOKUP(A1,DIV_12Data!$A$1:$DZU$1000000,2615,FALSE)</f>
        <v>#N/A</v>
      </c>
      <c r="N154" s="34" t="e">
        <f>VLOOKUP(A1,DIV_12Data!$A$1:$DZU$1000000,2616,FALSE)</f>
        <v>#N/A</v>
      </c>
      <c r="O154" s="33" t="e">
        <f>VLOOKUP(A1,DIV_12Data!$A$1:$DZU$1000000,2617,FALSE)</f>
        <v>#N/A</v>
      </c>
      <c r="P154" s="46" t="e">
        <f>VLOOKUP(A1,DIV_12Data!$A$1:$DZU$1000000,2618,FALSE)</f>
        <v>#N/A</v>
      </c>
      <c r="Q154" s="33" t="e">
        <f>VLOOKUP(A1,DIV_12Data!$A$1:$DZU$1000000,2619,FALSE)</f>
        <v>#N/A</v>
      </c>
    </row>
    <row r="155" spans="1:17" x14ac:dyDescent="0.35">
      <c r="A155" s="22" t="e">
        <f>VLOOKUP(A1,DIV_12Data!$A$1:$DZU$1000000,2620,FALSE)</f>
        <v>#N/A</v>
      </c>
      <c r="B155" s="37" t="e">
        <f>VLOOKUP(A1,DIV_12Data!$A$1:$DZU$1000000,2621,FALSE)</f>
        <v>#N/A</v>
      </c>
      <c r="C155" s="38" t="e">
        <f>VLOOKUP(A1,DIV_12Data!$A$1:$DZU$1000000,2622,FALSE)</f>
        <v>#N/A</v>
      </c>
      <c r="D155" s="31" t="e">
        <f>VLOOKUP(A1,DIV_12Data!$A$1:$DZU$1000000,2623,FALSE)</f>
        <v>#N/A</v>
      </c>
      <c r="E155" s="32" t="e">
        <f>VLOOKUP(A1,DIV_12Data!$A$1:$DZU$1000000,2624,FALSE)</f>
        <v>#N/A</v>
      </c>
      <c r="F155" s="34" t="e">
        <f>VLOOKUP(A1,DIV_12Data!$A$1:$DZU$1000000,2625,FALSE)</f>
        <v>#N/A</v>
      </c>
      <c r="G155" s="33" t="e">
        <f>VLOOKUP(A1,DIV_12Data!$A$1:$DZU$1000000,2626,FALSE)</f>
        <v>#N/A</v>
      </c>
      <c r="H155" s="34" t="e">
        <f>VLOOKUP(A1,DIV_12Data!$A$1:$DZU$1000000,2627,FALSE)</f>
        <v>#N/A</v>
      </c>
      <c r="I155" s="33" t="e">
        <f>VLOOKUP(A1,DIV_12Data!$A$1:$DZU$1000000,2628,FALSE)</f>
        <v>#N/A</v>
      </c>
      <c r="J155" s="34" t="e">
        <f>VLOOKUP(A1,DIV_12Data!$A$1:$DZU$1000000,2629,FALSE)</f>
        <v>#N/A</v>
      </c>
      <c r="K155" s="34" t="e">
        <f>VLOOKUP(A1,DIV_12Data!$A$1:$DZU$1000000,2630,FALSE)</f>
        <v>#N/A</v>
      </c>
      <c r="L155" s="93" t="e">
        <f>VLOOKUP(A1,DIV_12Data!$A$1:$DZU$1000000,2631,FALSE)</f>
        <v>#N/A</v>
      </c>
      <c r="M155" s="33" t="e">
        <f>VLOOKUP(A1,DIV_12Data!$A$1:$DZU$1000000,2632,FALSE)</f>
        <v>#N/A</v>
      </c>
      <c r="N155" s="34" t="e">
        <f>VLOOKUP(A1,DIV_12Data!$A$1:$DZU$1000000,2633,FALSE)</f>
        <v>#N/A</v>
      </c>
      <c r="O155" s="33" t="e">
        <f>VLOOKUP(A1,DIV_12Data!$A$1:$DZU$1000000,2634,FALSE)</f>
        <v>#N/A</v>
      </c>
      <c r="P155" s="46" t="e">
        <f>VLOOKUP(A1,DIV_12Data!$A$1:$DZU$1000000,2635,FALSE)</f>
        <v>#N/A</v>
      </c>
      <c r="Q155" s="33" t="e">
        <f>VLOOKUP(A1,DIV_12Data!$A$1:$DZU$1000000,2636,FALSE)</f>
        <v>#N/A</v>
      </c>
    </row>
    <row r="156" spans="1:17" x14ac:dyDescent="0.35">
      <c r="A156" s="22" t="e">
        <f>VLOOKUP(A1,DIV_12Data!$A$1:$DZU$1000000,2637,FALSE)</f>
        <v>#N/A</v>
      </c>
      <c r="B156" s="37" t="e">
        <f>VLOOKUP(A1,DIV_12Data!$A$1:$DZU$1000000,2638,FALSE)</f>
        <v>#N/A</v>
      </c>
      <c r="C156" s="38" t="e">
        <f>VLOOKUP(A1,DIV_12Data!$A$1:$DZU$1000000,2639,FALSE)</f>
        <v>#N/A</v>
      </c>
      <c r="D156" s="31" t="e">
        <f>VLOOKUP(A1,DIV_12Data!$A$1:$DZU$1000000,2640,FALSE)</f>
        <v>#N/A</v>
      </c>
      <c r="E156" s="32" t="e">
        <f>VLOOKUP(A1,DIV_12Data!$A$1:$DZU$1000000,2641,FALSE)</f>
        <v>#N/A</v>
      </c>
      <c r="F156" s="34" t="e">
        <f>VLOOKUP(A1,DIV_12Data!$A$1:$DZU$1000000,2642,FALSE)</f>
        <v>#N/A</v>
      </c>
      <c r="G156" s="33" t="e">
        <f>VLOOKUP(A1,DIV_12Data!$A$1:$DZU$1000000,2643,FALSE)</f>
        <v>#N/A</v>
      </c>
      <c r="H156" s="34" t="e">
        <f>VLOOKUP(A1,DIV_12Data!$A$1:$DZU$1000000,2644,FALSE)</f>
        <v>#N/A</v>
      </c>
      <c r="I156" s="33" t="e">
        <f>VLOOKUP(A1,DIV_12Data!$A$1:$DZU$1000000,2645,FALSE)</f>
        <v>#N/A</v>
      </c>
      <c r="J156" s="34" t="e">
        <f>VLOOKUP(A1,DIV_12Data!$A$1:$DZU$1000000,2646,FALSE)</f>
        <v>#N/A</v>
      </c>
      <c r="K156" s="34" t="e">
        <f>VLOOKUP(A1,DIV_12Data!$A$1:$DZU$1000000,2647,FALSE)</f>
        <v>#N/A</v>
      </c>
      <c r="L156" s="93" t="e">
        <f>VLOOKUP(A1,DIV_12Data!$A$1:$DZU$1000000,2648,FALSE)</f>
        <v>#N/A</v>
      </c>
      <c r="M156" s="33" t="e">
        <f>VLOOKUP(A1,DIV_12Data!$A$1:$DZU$1000000,2649,FALSE)</f>
        <v>#N/A</v>
      </c>
      <c r="N156" s="34" t="e">
        <f>VLOOKUP(A1,DIV_12Data!$A$1:$DZU$1000000,2650,FALSE)</f>
        <v>#N/A</v>
      </c>
      <c r="O156" s="33" t="e">
        <f>VLOOKUP(A1,DIV_12Data!$A$1:$DZU$1000000,2651,FALSE)</f>
        <v>#N/A</v>
      </c>
      <c r="P156" s="46" t="e">
        <f>VLOOKUP(A1,DIV_12Data!$A$1:$DZU$1000000,2652,FALSE)</f>
        <v>#N/A</v>
      </c>
      <c r="Q156" s="33" t="e">
        <f>VLOOKUP(A1,DIV_12Data!$A$1:$DZU$1000000,2653,FALSE)</f>
        <v>#N/A</v>
      </c>
    </row>
    <row r="157" spans="1:17" x14ac:dyDescent="0.35">
      <c r="A157" s="22" t="e">
        <f>VLOOKUP(A1,DIV_12Data!$A$1:$DZU$1000000,2654,FALSE)</f>
        <v>#N/A</v>
      </c>
      <c r="B157" s="37" t="e">
        <f>VLOOKUP(A1,DIV_12Data!$A$1:$DZU$1000000,2655,FALSE)</f>
        <v>#N/A</v>
      </c>
      <c r="C157" s="38" t="e">
        <f>VLOOKUP(A1,DIV_12Data!$A$1:$DZU$1000000,2656,FALSE)</f>
        <v>#N/A</v>
      </c>
      <c r="D157" s="31" t="e">
        <f>VLOOKUP(A1,DIV_12Data!$A$1:$DZU$1000000,2657,FALSE)</f>
        <v>#N/A</v>
      </c>
      <c r="E157" s="32" t="e">
        <f>VLOOKUP(A1,DIV_12Data!$A$1:$DZU$1000000,2658,FALSE)</f>
        <v>#N/A</v>
      </c>
      <c r="F157" s="34" t="e">
        <f>VLOOKUP(A1,DIV_12Data!$A$1:$DZU$1000000,2659,FALSE)</f>
        <v>#N/A</v>
      </c>
      <c r="G157" s="33" t="e">
        <f>VLOOKUP(A1,DIV_12Data!$A$1:$DZU$1000000,2660,FALSE)</f>
        <v>#N/A</v>
      </c>
      <c r="H157" s="34" t="e">
        <f>VLOOKUP(A1,DIV_12Data!$A$1:$DZU$1000000,2661,FALSE)</f>
        <v>#N/A</v>
      </c>
      <c r="I157" s="33" t="e">
        <f>VLOOKUP(A1,DIV_12Data!$A$1:$DZU$1000000,2662,FALSE)</f>
        <v>#N/A</v>
      </c>
      <c r="J157" s="34" t="e">
        <f>VLOOKUP(A1,DIV_12Data!$A$1:$DZU$1000000,2663,FALSE)</f>
        <v>#N/A</v>
      </c>
      <c r="K157" s="34" t="e">
        <f>VLOOKUP(A1,DIV_12Data!$A$1:$DZU$1000000,2664,FALSE)</f>
        <v>#N/A</v>
      </c>
      <c r="L157" s="93" t="e">
        <f>VLOOKUP(A1,DIV_12Data!$A$1:$DZU$1000000,2665,FALSE)</f>
        <v>#N/A</v>
      </c>
      <c r="M157" s="33" t="e">
        <f>VLOOKUP(A1,DIV_12Data!$A$1:$DZU$1000000,2666,FALSE)</f>
        <v>#N/A</v>
      </c>
      <c r="N157" s="34" t="e">
        <f>VLOOKUP(A1,DIV_12Data!$A$1:$DZU$1000000,2667,FALSE)</f>
        <v>#N/A</v>
      </c>
      <c r="O157" s="33" t="e">
        <f>VLOOKUP(A1,DIV_12Data!$A$1:$DZU$1000000,2668,FALSE)</f>
        <v>#N/A</v>
      </c>
      <c r="P157" s="46" t="e">
        <f>VLOOKUP(A1,DIV_12Data!$A$1:$DZU$1000000,2669,FALSE)</f>
        <v>#N/A</v>
      </c>
      <c r="Q157" s="33" t="e">
        <f>VLOOKUP(A1,DIV_12Data!$A$1:$DZU$1000000,2670,FALSE)</f>
        <v>#N/A</v>
      </c>
    </row>
    <row r="158" spans="1:17" x14ac:dyDescent="0.35">
      <c r="A158" s="22" t="e">
        <f>VLOOKUP(A1,DIV_12Data!$A$1:$DZU$1000000,2671,FALSE)</f>
        <v>#N/A</v>
      </c>
      <c r="B158" s="37" t="e">
        <f>VLOOKUP(A1,DIV_12Data!$A$1:$DZU$1000000,2672,FALSE)</f>
        <v>#N/A</v>
      </c>
      <c r="C158" s="38" t="e">
        <f>VLOOKUP(A1,DIV_12Data!$A$1:$DZU$1000000,2673,FALSE)</f>
        <v>#N/A</v>
      </c>
      <c r="D158" s="31" t="e">
        <f>VLOOKUP(A1,DIV_12Data!$A$1:$DZU$1000000,2674,FALSE)</f>
        <v>#N/A</v>
      </c>
      <c r="E158" s="32" t="e">
        <f>VLOOKUP(A1,DIV_12Data!$A$1:$DZU$1000000,2675,FALSE)</f>
        <v>#N/A</v>
      </c>
      <c r="F158" s="34" t="e">
        <f>VLOOKUP(A1,DIV_12Data!$A$1:$DZU$1000000,2676,FALSE)</f>
        <v>#N/A</v>
      </c>
      <c r="G158" s="33" t="e">
        <f>VLOOKUP(A1,DIV_12Data!$A$1:$DZU$1000000,2677,FALSE)</f>
        <v>#N/A</v>
      </c>
      <c r="H158" s="34" t="e">
        <f>VLOOKUP(A1,DIV_12Data!$A$1:$DZU$1000000,2678,FALSE)</f>
        <v>#N/A</v>
      </c>
      <c r="I158" s="33" t="e">
        <f>VLOOKUP(A1,DIV_12Data!$A$1:$DZU$1000000,2679,FALSE)</f>
        <v>#N/A</v>
      </c>
      <c r="J158" s="34" t="e">
        <f>VLOOKUP(A1,DIV_12Data!$A$1:$DZU$1000000,2680,FALSE)</f>
        <v>#N/A</v>
      </c>
      <c r="K158" s="34" t="e">
        <f>VLOOKUP(A1,DIV_12Data!$A$1:$DZU$1000000,2681,FALSE)</f>
        <v>#N/A</v>
      </c>
      <c r="L158" s="93" t="e">
        <f>VLOOKUP(A1,DIV_12Data!$A$1:$DZU$1000000,2682,FALSE)</f>
        <v>#N/A</v>
      </c>
      <c r="M158" s="33" t="e">
        <f>VLOOKUP(A1,DIV_12Data!$A$1:$DZU$1000000,2683,FALSE)</f>
        <v>#N/A</v>
      </c>
      <c r="N158" s="34" t="e">
        <f>VLOOKUP(A1,DIV_12Data!$A$1:$DZU$1000000,2684,FALSE)</f>
        <v>#N/A</v>
      </c>
      <c r="O158" s="33" t="e">
        <f>VLOOKUP(A1,DIV_12Data!$A$1:$DZU$1000000,2685,FALSE)</f>
        <v>#N/A</v>
      </c>
      <c r="P158" s="46" t="e">
        <f>VLOOKUP(A1,DIV_12Data!$A$1:$DZU$1000000,2686,FALSE)</f>
        <v>#N/A</v>
      </c>
      <c r="Q158" s="33" t="e">
        <f>VLOOKUP(A1,DIV_12Data!$A$1:$DZU$1000000,2687,FALSE)</f>
        <v>#N/A</v>
      </c>
    </row>
    <row r="159" spans="1:17" x14ac:dyDescent="0.35">
      <c r="A159" s="22" t="e">
        <f>VLOOKUP(A1,DIV_12Data!$A$1:$DZU$1000000,2688,FALSE)</f>
        <v>#N/A</v>
      </c>
      <c r="B159" s="37" t="e">
        <f>VLOOKUP(A1,DIV_12Data!$A$1:$DZU$1000000,2689,FALSE)</f>
        <v>#N/A</v>
      </c>
      <c r="C159" s="38" t="e">
        <f>VLOOKUP(A1,DIV_12Data!$A$1:$DZU$1000000,2690,FALSE)</f>
        <v>#N/A</v>
      </c>
      <c r="D159" s="31" t="e">
        <f>VLOOKUP(A1,DIV_12Data!$A$1:$DZU$1000000,2691,FALSE)</f>
        <v>#N/A</v>
      </c>
      <c r="E159" s="32" t="e">
        <f>VLOOKUP(A1,DIV_12Data!$A$1:$DZU$1000000,2692,FALSE)</f>
        <v>#N/A</v>
      </c>
      <c r="F159" s="34" t="e">
        <f>VLOOKUP(A1,DIV_12Data!$A$1:$DZU$1000000,2693,FALSE)</f>
        <v>#N/A</v>
      </c>
      <c r="G159" s="33" t="e">
        <f>VLOOKUP(A1,DIV_12Data!$A$1:$DZU$1000000,2694,FALSE)</f>
        <v>#N/A</v>
      </c>
      <c r="H159" s="34" t="e">
        <f>VLOOKUP(A1,DIV_12Data!$A$1:$DZU$1000000,2695,FALSE)</f>
        <v>#N/A</v>
      </c>
      <c r="I159" s="33" t="e">
        <f>VLOOKUP(A1,DIV_12Data!$A$1:$DZU$1000000,2696,FALSE)</f>
        <v>#N/A</v>
      </c>
      <c r="J159" s="34" t="e">
        <f>VLOOKUP(A1,DIV_12Data!$A$1:$DZU$1000000,2697,FALSE)</f>
        <v>#N/A</v>
      </c>
      <c r="K159" s="34" t="e">
        <f>VLOOKUP(A1,DIV_12Data!$A$1:$DZU$1000000,2698,FALSE)</f>
        <v>#N/A</v>
      </c>
      <c r="L159" s="93" t="e">
        <f>VLOOKUP(A1,DIV_12Data!$A$1:$DZU$1000000,2699,FALSE)</f>
        <v>#N/A</v>
      </c>
      <c r="M159" s="33" t="e">
        <f>VLOOKUP(A1,DIV_12Data!$A$1:$DZU$1000000,2700,FALSE)</f>
        <v>#N/A</v>
      </c>
      <c r="N159" s="34" t="e">
        <f>VLOOKUP(A1,DIV_12Data!$A$1:$DZU$1000000,2701,FALSE)</f>
        <v>#N/A</v>
      </c>
      <c r="O159" s="33" t="e">
        <f>VLOOKUP(A1,DIV_12Data!$A$1:$DZU$1000000,2702,FALSE)</f>
        <v>#N/A</v>
      </c>
      <c r="P159" s="46" t="e">
        <f>VLOOKUP(A1,DIV_12Data!$A$1:$DZU$1000000,2703,FALSE)</f>
        <v>#N/A</v>
      </c>
      <c r="Q159" s="33" t="e">
        <f>VLOOKUP(A1,DIV_12Data!$A$1:$DZU$1000000,2704,FALSE)</f>
        <v>#N/A</v>
      </c>
    </row>
    <row r="160" spans="1:17" x14ac:dyDescent="0.35">
      <c r="A160" s="22" t="e">
        <f>VLOOKUP(A1,DIV_12Data!$A$1:$DZU$1000000,2705,FALSE)</f>
        <v>#N/A</v>
      </c>
      <c r="B160" s="37" t="e">
        <f>VLOOKUP(A1,DIV_12Data!$A$1:$DZU$1000000,2706,FALSE)</f>
        <v>#N/A</v>
      </c>
      <c r="C160" s="38" t="e">
        <f>VLOOKUP(A1,DIV_12Data!$A$1:$DZU$1000000,2707,FALSE)</f>
        <v>#N/A</v>
      </c>
      <c r="D160" s="31" t="e">
        <f>VLOOKUP(A1,DIV_12Data!$A$1:$DZU$1000000,2708,FALSE)</f>
        <v>#N/A</v>
      </c>
      <c r="E160" s="32" t="e">
        <f>VLOOKUP(A1,DIV_12Data!$A$1:$DZU$1000000,2709,FALSE)</f>
        <v>#N/A</v>
      </c>
      <c r="F160" s="34" t="e">
        <f>VLOOKUP(A1,DIV_12Data!$A$1:$DZU$1000000,2710,FALSE)</f>
        <v>#N/A</v>
      </c>
      <c r="G160" s="33" t="e">
        <f>VLOOKUP(A1,DIV_12Data!$A$1:$DZU$1000000,2711,FALSE)</f>
        <v>#N/A</v>
      </c>
      <c r="H160" s="34" t="e">
        <f>VLOOKUP(A1,DIV_12Data!$A$1:$DZU$1000000,2712,FALSE)</f>
        <v>#N/A</v>
      </c>
      <c r="I160" s="33" t="e">
        <f>VLOOKUP(A1,DIV_12Data!$A$1:$DZU$1000000,2713,FALSE)</f>
        <v>#N/A</v>
      </c>
      <c r="J160" s="34" t="e">
        <f>VLOOKUP(A1,DIV_12Data!$A$1:$DZU$1000000,2714,FALSE)</f>
        <v>#N/A</v>
      </c>
      <c r="K160" s="34" t="e">
        <f>VLOOKUP(A1,DIV_12Data!$A$1:$DZU$1000000,2715,FALSE)</f>
        <v>#N/A</v>
      </c>
      <c r="L160" s="93" t="e">
        <f>VLOOKUP(A1,DIV_12Data!$A$1:$DZU$1000000,2716,FALSE)</f>
        <v>#N/A</v>
      </c>
      <c r="M160" s="33" t="e">
        <f>VLOOKUP(A1,DIV_12Data!$A$1:$DZU$1000000,2717,FALSE)</f>
        <v>#N/A</v>
      </c>
      <c r="N160" s="34" t="e">
        <f>VLOOKUP(A1,DIV_12Data!$A$1:$DZU$1000000,2718,FALSE)</f>
        <v>#N/A</v>
      </c>
      <c r="O160" s="33" t="e">
        <f>VLOOKUP(A1,DIV_12Data!$A$1:$DZU$1000000,2719,FALSE)</f>
        <v>#N/A</v>
      </c>
      <c r="P160" s="46" t="e">
        <f>VLOOKUP(A1,DIV_12Data!$A$1:$DZU$1000000,2720,FALSE)</f>
        <v>#N/A</v>
      </c>
      <c r="Q160" s="33" t="e">
        <f>VLOOKUP(A1,DIV_12Data!$A$1:$DZU$1000000,2721,FALSE)</f>
        <v>#N/A</v>
      </c>
    </row>
    <row r="161" spans="1:17" x14ac:dyDescent="0.35">
      <c r="A161" s="22" t="e">
        <f>VLOOKUP(A1,DIV_12Data!$A$1:$DZU$1000000,2722,FALSE)</f>
        <v>#N/A</v>
      </c>
      <c r="B161" s="37" t="e">
        <f>VLOOKUP(A1,DIV_12Data!$A$1:$DZU$1000000,2723,FALSE)</f>
        <v>#N/A</v>
      </c>
      <c r="C161" s="38" t="e">
        <f>VLOOKUP(A1,DIV_12Data!$A$1:$DZU$1000000,2724,FALSE)</f>
        <v>#N/A</v>
      </c>
      <c r="D161" s="31" t="e">
        <f>VLOOKUP(A1,DIV_12Data!$A$1:$DZU$1000000,2725,FALSE)</f>
        <v>#N/A</v>
      </c>
      <c r="E161" s="32" t="e">
        <f>VLOOKUP(A1,DIV_12Data!$A$1:$DZU$1000000,2726,FALSE)</f>
        <v>#N/A</v>
      </c>
      <c r="F161" s="34" t="e">
        <f>VLOOKUP(A1,DIV_12Data!$A$1:$DZU$1000000,2727,FALSE)</f>
        <v>#N/A</v>
      </c>
      <c r="G161" s="33" t="e">
        <f>VLOOKUP(A1,DIV_12Data!$A$1:$DZU$1000000,2728,FALSE)</f>
        <v>#N/A</v>
      </c>
      <c r="H161" s="34" t="e">
        <f>VLOOKUP(A1,DIV_12Data!$A$1:$DZU$1000000,2729,FALSE)</f>
        <v>#N/A</v>
      </c>
      <c r="I161" s="33" t="e">
        <f>VLOOKUP(A1,DIV_12Data!$A$1:$DZU$1000000,2730,FALSE)</f>
        <v>#N/A</v>
      </c>
      <c r="J161" s="34" t="e">
        <f>VLOOKUP(A1,DIV_12Data!$A$1:$DZU$1000000,2731,FALSE)</f>
        <v>#N/A</v>
      </c>
      <c r="K161" s="34" t="e">
        <f>VLOOKUP(A1,DIV_12Data!$A$1:$DZU$1000000,2732,FALSE)</f>
        <v>#N/A</v>
      </c>
      <c r="L161" s="93" t="e">
        <f>VLOOKUP(A1,DIV_12Data!$A$1:$DZU$1000000,2733,FALSE)</f>
        <v>#N/A</v>
      </c>
      <c r="M161" s="33" t="e">
        <f>VLOOKUP(A1,DIV_12Data!$A$1:$DZU$1000000,2734,FALSE)</f>
        <v>#N/A</v>
      </c>
      <c r="N161" s="34" t="e">
        <f>VLOOKUP(A1,DIV_12Data!$A$1:$DZU$1000000,2735,FALSE)</f>
        <v>#N/A</v>
      </c>
      <c r="O161" s="33" t="e">
        <f>VLOOKUP(A1,DIV_12Data!$A$1:$DZU$1000000,2736,FALSE)</f>
        <v>#N/A</v>
      </c>
      <c r="P161" s="46" t="e">
        <f>VLOOKUP(A1,DIV_12Data!$A$1:$DZU$1000000,2737,FALSE)</f>
        <v>#N/A</v>
      </c>
      <c r="Q161" s="33" t="e">
        <f>VLOOKUP(A1,DIV_12Data!$A$1:$DZU$1000000,2738,FALSE)</f>
        <v>#N/A</v>
      </c>
    </row>
    <row r="162" spans="1:17" x14ac:dyDescent="0.35">
      <c r="A162" s="22" t="e">
        <f>VLOOKUP(A1,DIV_12Data!$A$1:$DZU$1000000,2739,FALSE)</f>
        <v>#N/A</v>
      </c>
      <c r="B162" s="37" t="e">
        <f>VLOOKUP(A1,DIV_12Data!$A$1:$DZU$1000000,2740,FALSE)</f>
        <v>#N/A</v>
      </c>
      <c r="C162" s="38" t="e">
        <f>VLOOKUP(A1,DIV_12Data!$A$1:$DZU$1000000,2741,FALSE)</f>
        <v>#N/A</v>
      </c>
      <c r="D162" s="31" t="e">
        <f>VLOOKUP(A1,DIV_12Data!$A$1:$DZU$1000000,2742,FALSE)</f>
        <v>#N/A</v>
      </c>
      <c r="E162" s="32" t="e">
        <f>VLOOKUP(A1,DIV_12Data!$A$1:$DZU$1000000,2743,FALSE)</f>
        <v>#N/A</v>
      </c>
      <c r="F162" s="34" t="e">
        <f>VLOOKUP(A1,DIV_12Data!$A$1:$DZU$1000000,2744,FALSE)</f>
        <v>#N/A</v>
      </c>
      <c r="G162" s="33" t="e">
        <f>VLOOKUP(A1,DIV_12Data!$A$1:$DZU$1000000,2745,FALSE)</f>
        <v>#N/A</v>
      </c>
      <c r="H162" s="34" t="e">
        <f>VLOOKUP(A1,DIV_12Data!$A$1:$DZU$1000000,2746,FALSE)</f>
        <v>#N/A</v>
      </c>
      <c r="I162" s="33" t="e">
        <f>VLOOKUP(A1,DIV_12Data!$A$1:$DZU$1000000,2747,FALSE)</f>
        <v>#N/A</v>
      </c>
      <c r="J162" s="34" t="e">
        <f>VLOOKUP(A1,DIV_12Data!$A$1:$DZU$1000000,2748,FALSE)</f>
        <v>#N/A</v>
      </c>
      <c r="K162" s="34" t="e">
        <f>VLOOKUP(A1,DIV_12Data!$A$1:$DZU$1000000,2749,FALSE)</f>
        <v>#N/A</v>
      </c>
      <c r="L162" s="93" t="e">
        <f>VLOOKUP(A1,DIV_12Data!$A$1:$DZU$1000000,2750,FALSE)</f>
        <v>#N/A</v>
      </c>
      <c r="M162" s="33" t="e">
        <f>VLOOKUP(A1,DIV_12Data!$A$1:$DZU$1000000,2751,FALSE)</f>
        <v>#N/A</v>
      </c>
      <c r="N162" s="34" t="e">
        <f>VLOOKUP(A1,DIV_12Data!$A$1:$DZU$1000000,2752,FALSE)</f>
        <v>#N/A</v>
      </c>
      <c r="O162" s="33" t="e">
        <f>VLOOKUP(A1,DIV_12Data!$A$1:$DZU$1000000,2753,FALSE)</f>
        <v>#N/A</v>
      </c>
      <c r="P162" s="46" t="e">
        <f>VLOOKUP(A1,DIV_12Data!$A$1:$DZU$1000000,2754,FALSE)</f>
        <v>#N/A</v>
      </c>
      <c r="Q162" s="33" t="e">
        <f>VLOOKUP(A1,DIV_12Data!$A$1:$DZU$1000000,2755,FALSE)</f>
        <v>#N/A</v>
      </c>
    </row>
    <row r="163" spans="1:17" x14ac:dyDescent="0.35">
      <c r="A163" s="22" t="e">
        <f>VLOOKUP(A1,DIV_12Data!$A$1:$DZU$1000000,2756,FALSE)</f>
        <v>#N/A</v>
      </c>
      <c r="B163" s="37" t="e">
        <f>VLOOKUP(A1,DIV_12Data!$A$1:$DZU$1000000,2757,FALSE)</f>
        <v>#N/A</v>
      </c>
      <c r="C163" s="38" t="e">
        <f>VLOOKUP(A1,DIV_12Data!$A$1:$DZU$1000000,2758,FALSE)</f>
        <v>#N/A</v>
      </c>
      <c r="D163" s="31" t="e">
        <f>VLOOKUP(A1,DIV_12Data!$A$1:$DZU$1000000,2759,FALSE)</f>
        <v>#N/A</v>
      </c>
      <c r="E163" s="32" t="e">
        <f>VLOOKUP(A1,DIV_12Data!$A$1:$DZU$1000000,2760,FALSE)</f>
        <v>#N/A</v>
      </c>
      <c r="F163" s="34" t="e">
        <f>VLOOKUP(A1,DIV_12Data!$A$1:$DZU$1000000,2761,FALSE)</f>
        <v>#N/A</v>
      </c>
      <c r="G163" s="33" t="e">
        <f>VLOOKUP(A1,DIV_12Data!$A$1:$DZU$1000000,2762,FALSE)</f>
        <v>#N/A</v>
      </c>
      <c r="H163" s="34" t="e">
        <f>VLOOKUP(A1,DIV_12Data!$A$1:$DZU$1000000,2763,FALSE)</f>
        <v>#N/A</v>
      </c>
      <c r="I163" s="33" t="e">
        <f>VLOOKUP(A1,DIV_12Data!$A$1:$DZU$1000000,2764,FALSE)</f>
        <v>#N/A</v>
      </c>
      <c r="J163" s="34" t="e">
        <f>VLOOKUP(A1,DIV_12Data!$A$1:$DZU$1000000,2765,FALSE)</f>
        <v>#N/A</v>
      </c>
      <c r="K163" s="34" t="e">
        <f>VLOOKUP(A1,DIV_12Data!$A$1:$DZU$1000000,2766,FALSE)</f>
        <v>#N/A</v>
      </c>
      <c r="L163" s="93" t="e">
        <f>VLOOKUP(A1,DIV_12Data!$A$1:$DZU$1000000,2767,FALSE)</f>
        <v>#N/A</v>
      </c>
      <c r="M163" s="33" t="e">
        <f>VLOOKUP(A1,DIV_12Data!$A$1:$DZU$1000000,2768,FALSE)</f>
        <v>#N/A</v>
      </c>
      <c r="N163" s="34" t="e">
        <f>VLOOKUP(A1,DIV_12Data!$A$1:$DZU$1000000,2769,FALSE)</f>
        <v>#N/A</v>
      </c>
      <c r="O163" s="33" t="e">
        <f>VLOOKUP(A1,DIV_12Data!$A$1:$DZU$1000000,2770,FALSE)</f>
        <v>#N/A</v>
      </c>
      <c r="P163" s="46" t="e">
        <f>VLOOKUP(A1,DIV_12Data!$A$1:$DZU$1000000,2771,FALSE)</f>
        <v>#N/A</v>
      </c>
      <c r="Q163" s="33" t="e">
        <f>VLOOKUP(A1,DIV_12Data!$A$1:$DZU$1000000,2772,FALSE)</f>
        <v>#N/A</v>
      </c>
    </row>
    <row r="164" spans="1:17" x14ac:dyDescent="0.35">
      <c r="A164" s="22" t="e">
        <f>VLOOKUP(A1,DIV_12Data!$A$1:$DZU$1000000,2773,FALSE)</f>
        <v>#N/A</v>
      </c>
      <c r="B164" s="37" t="e">
        <f>VLOOKUP(A1,DIV_12Data!$A$1:$DZU$1000000,2774,FALSE)</f>
        <v>#N/A</v>
      </c>
      <c r="C164" s="38" t="e">
        <f>VLOOKUP(A1,DIV_12Data!$A$1:$DZU$1000000,2775,FALSE)</f>
        <v>#N/A</v>
      </c>
      <c r="D164" s="31" t="e">
        <f>VLOOKUP(A1,DIV_12Data!$A$1:$DZU$1000000,2776,FALSE)</f>
        <v>#N/A</v>
      </c>
      <c r="E164" s="32" t="e">
        <f>VLOOKUP(A1,DIV_12Data!$A$1:$DZU$1000000,2777,FALSE)</f>
        <v>#N/A</v>
      </c>
      <c r="F164" s="34" t="e">
        <f>VLOOKUP(A1,DIV_12Data!$A$1:$DZU$1000000,2778,FALSE)</f>
        <v>#N/A</v>
      </c>
      <c r="G164" s="33" t="e">
        <f>VLOOKUP(A1,DIV_12Data!$A$1:$DZU$1000000,2779,FALSE)</f>
        <v>#N/A</v>
      </c>
      <c r="H164" s="34" t="e">
        <f>VLOOKUP(A1,DIV_12Data!$A$1:$DZU$1000000,2780,FALSE)</f>
        <v>#N/A</v>
      </c>
      <c r="I164" s="33" t="e">
        <f>VLOOKUP(A1,DIV_12Data!$A$1:$DZU$1000000,2781,FALSE)</f>
        <v>#N/A</v>
      </c>
      <c r="J164" s="34" t="e">
        <f>VLOOKUP(A1,DIV_12Data!$A$1:$DZU$1000000,2782,FALSE)</f>
        <v>#N/A</v>
      </c>
      <c r="K164" s="34" t="e">
        <f>VLOOKUP(A1,DIV_12Data!$A$1:$DZU$1000000,2783,FALSE)</f>
        <v>#N/A</v>
      </c>
      <c r="L164" s="93" t="e">
        <f>VLOOKUP(A1,DIV_12Data!$A$1:$DZU$1000000,2784,FALSE)</f>
        <v>#N/A</v>
      </c>
      <c r="M164" s="33" t="e">
        <f>VLOOKUP(A1,DIV_12Data!$A$1:$DZU$1000000,2785,FALSE)</f>
        <v>#N/A</v>
      </c>
      <c r="N164" s="34" t="e">
        <f>VLOOKUP(A1,DIV_12Data!$A$1:$DZU$1000000,2786,FALSE)</f>
        <v>#N/A</v>
      </c>
      <c r="O164" s="33" t="e">
        <f>VLOOKUP(A1,DIV_12Data!$A$1:$DZU$1000000,2787,FALSE)</f>
        <v>#N/A</v>
      </c>
      <c r="P164" s="46" t="e">
        <f>VLOOKUP(A1,DIV_12Data!$A$1:$DZU$1000000,2788,FALSE)</f>
        <v>#N/A</v>
      </c>
      <c r="Q164" s="33" t="e">
        <f>VLOOKUP(A1,DIV_12Data!$A$1:$DZU$1000000,2789,FALSE)</f>
        <v>#N/A</v>
      </c>
    </row>
    <row r="165" spans="1:17" x14ac:dyDescent="0.35">
      <c r="A165" s="22" t="e">
        <f>VLOOKUP(A1,DIV_12Data!$A$1:$DZU$1000000,2790,FALSE)</f>
        <v>#N/A</v>
      </c>
      <c r="B165" s="37" t="e">
        <f>VLOOKUP(A1,DIV_12Data!$A$1:$DZU$1000000,2791,FALSE)</f>
        <v>#N/A</v>
      </c>
      <c r="C165" s="38" t="e">
        <f>VLOOKUP(A1,DIV_12Data!$A$1:$DZU$1000000,2792,FALSE)</f>
        <v>#N/A</v>
      </c>
      <c r="D165" s="31" t="e">
        <f>VLOOKUP(A1,DIV_12Data!$A$1:$DZU$1000000,2793,FALSE)</f>
        <v>#N/A</v>
      </c>
      <c r="E165" s="32" t="e">
        <f>VLOOKUP(A1,DIV_12Data!$A$1:$DZU$1000000,2794,FALSE)</f>
        <v>#N/A</v>
      </c>
      <c r="F165" s="34" t="e">
        <f>VLOOKUP(A1,DIV_12Data!$A$1:$DZU$1000000,2795,FALSE)</f>
        <v>#N/A</v>
      </c>
      <c r="G165" s="33" t="e">
        <f>VLOOKUP(A1,DIV_12Data!$A$1:$DZU$1000000,2796,FALSE)</f>
        <v>#N/A</v>
      </c>
      <c r="H165" s="34" t="e">
        <f>VLOOKUP(A1,DIV_12Data!$A$1:$DZU$1000000,2797,FALSE)</f>
        <v>#N/A</v>
      </c>
      <c r="I165" s="33" t="e">
        <f>VLOOKUP(A1,DIV_12Data!$A$1:$DZU$1000000,2798,FALSE)</f>
        <v>#N/A</v>
      </c>
      <c r="J165" s="34" t="e">
        <f>VLOOKUP(A1,DIV_12Data!$A$1:$DZU$1000000,2799,FALSE)</f>
        <v>#N/A</v>
      </c>
      <c r="K165" s="34" t="e">
        <f>VLOOKUP(A1,DIV_12Data!$A$1:$DZU$1000000,2800,FALSE)</f>
        <v>#N/A</v>
      </c>
      <c r="L165" s="93" t="e">
        <f>VLOOKUP(A1,DIV_12Data!$A$1:$DZU$1000000,2801,FALSE)</f>
        <v>#N/A</v>
      </c>
      <c r="M165" s="33" t="e">
        <f>VLOOKUP(A1,DIV_12Data!$A$1:$DZU$1000000,2802,FALSE)</f>
        <v>#N/A</v>
      </c>
      <c r="N165" s="34" t="e">
        <f>VLOOKUP(A1,DIV_12Data!$A$1:$DZU$1000000,2803,FALSE)</f>
        <v>#N/A</v>
      </c>
      <c r="O165" s="33" t="e">
        <f>VLOOKUP(A1,DIV_12Data!$A$1:$DZU$1000000,2804,FALSE)</f>
        <v>#N/A</v>
      </c>
      <c r="P165" s="46" t="e">
        <f>VLOOKUP(A1,DIV_12Data!$A$1:$DZU$1000000,2805,FALSE)</f>
        <v>#N/A</v>
      </c>
      <c r="Q165" s="33" t="e">
        <f>VLOOKUP(A1,DIV_12Data!$A$1:$DZU$1000000,2806,FALSE)</f>
        <v>#N/A</v>
      </c>
    </row>
    <row r="166" spans="1:17" x14ac:dyDescent="0.35">
      <c r="A166" s="22" t="e">
        <f>VLOOKUP(A1,DIV_12Data!$A$1:$DZU$1000000,2807,FALSE)</f>
        <v>#N/A</v>
      </c>
      <c r="B166" s="37" t="e">
        <f>VLOOKUP(A1,DIV_12Data!$A$1:$DZU$1000000,2808,FALSE)</f>
        <v>#N/A</v>
      </c>
      <c r="C166" s="38" t="e">
        <f>VLOOKUP(A1,DIV_12Data!$A$1:$DZU$1000000,2809,FALSE)</f>
        <v>#N/A</v>
      </c>
      <c r="D166" s="31" t="e">
        <f>VLOOKUP(A1,DIV_12Data!$A$1:$DZU$1000000,2810,FALSE)</f>
        <v>#N/A</v>
      </c>
      <c r="E166" s="32" t="e">
        <f>VLOOKUP(A1,DIV_12Data!$A$1:$DZU$1000000,2811,FALSE)</f>
        <v>#N/A</v>
      </c>
      <c r="F166" s="34" t="e">
        <f>VLOOKUP(A1,DIV_12Data!$A$1:$DZU$1000000,2812,FALSE)</f>
        <v>#N/A</v>
      </c>
      <c r="G166" s="33" t="e">
        <f>VLOOKUP(A1,DIV_12Data!$A$1:$DZU$1000000,2813,FALSE)</f>
        <v>#N/A</v>
      </c>
      <c r="H166" s="34" t="e">
        <f>VLOOKUP(A1,DIV_12Data!$A$1:$DZU$1000000,2814,FALSE)</f>
        <v>#N/A</v>
      </c>
      <c r="I166" s="33" t="e">
        <f>VLOOKUP(A1,DIV_12Data!$A$1:$DZU$1000000,2815,FALSE)</f>
        <v>#N/A</v>
      </c>
      <c r="J166" s="34" t="e">
        <f>VLOOKUP(A1,DIV_12Data!$A$1:$DZU$1000000,2816,FALSE)</f>
        <v>#N/A</v>
      </c>
      <c r="K166" s="34" t="e">
        <f>VLOOKUP(A1,DIV_12Data!$A$1:$DZU$1000000,2817,FALSE)</f>
        <v>#N/A</v>
      </c>
      <c r="L166" s="93" t="e">
        <f>VLOOKUP(A1,DIV_12Data!$A$1:$DZU$1000000,2818,FALSE)</f>
        <v>#N/A</v>
      </c>
      <c r="M166" s="33" t="e">
        <f>VLOOKUP(A1,DIV_12Data!$A$1:$DZU$1000000,2819,FALSE)</f>
        <v>#N/A</v>
      </c>
      <c r="N166" s="34" t="e">
        <f>VLOOKUP(A1,DIV_12Data!$A$1:$DZU$1000000,2820,FALSE)</f>
        <v>#N/A</v>
      </c>
      <c r="O166" s="33" t="e">
        <f>VLOOKUP(A1,DIV_12Data!$A$1:$DZU$1000000,2821,FALSE)</f>
        <v>#N/A</v>
      </c>
      <c r="P166" s="46" t="e">
        <f>VLOOKUP(A1,DIV_12Data!$A$1:$DZU$1000000,2822,FALSE)</f>
        <v>#N/A</v>
      </c>
      <c r="Q166" s="33" t="e">
        <f>VLOOKUP(A1,DIV_12Data!$A$1:$DZU$1000000,2823,FALSE)</f>
        <v>#N/A</v>
      </c>
    </row>
    <row r="167" spans="1:17" x14ac:dyDescent="0.35">
      <c r="A167" s="22" t="e">
        <f>VLOOKUP(A1,DIV_12Data!$A$1:$DZU$1000000,2824,FALSE)</f>
        <v>#N/A</v>
      </c>
      <c r="B167" s="37" t="e">
        <f>VLOOKUP(A1,DIV_12Data!$A$1:$DZU$1000000,2825,FALSE)</f>
        <v>#N/A</v>
      </c>
      <c r="C167" s="38" t="e">
        <f>VLOOKUP(A1,DIV_12Data!$A$1:$DZU$1000000,2826,FALSE)</f>
        <v>#N/A</v>
      </c>
      <c r="D167" s="31" t="e">
        <f>VLOOKUP(A1,DIV_12Data!$A$1:$DZU$1000000,2827,FALSE)</f>
        <v>#N/A</v>
      </c>
      <c r="E167" s="32" t="e">
        <f>VLOOKUP(A1,DIV_12Data!$A$1:$DZU$1000000,2828,FALSE)</f>
        <v>#N/A</v>
      </c>
      <c r="F167" s="34" t="e">
        <f>VLOOKUP(A1,DIV_12Data!$A$1:$DZU$1000000,2829,FALSE)</f>
        <v>#N/A</v>
      </c>
      <c r="G167" s="33" t="e">
        <f>VLOOKUP(A1,DIV_12Data!$A$1:$DZU$1000000,2830,FALSE)</f>
        <v>#N/A</v>
      </c>
      <c r="H167" s="34" t="e">
        <f>VLOOKUP(A1,DIV_12Data!$A$1:$DZU$1000000,2831,FALSE)</f>
        <v>#N/A</v>
      </c>
      <c r="I167" s="33" t="e">
        <f>VLOOKUP(A1,DIV_12Data!$A$1:$DZU$1000000,2832,FALSE)</f>
        <v>#N/A</v>
      </c>
      <c r="J167" s="34" t="e">
        <f>VLOOKUP(A1,DIV_12Data!$A$1:$DZU$1000000,2833,FALSE)</f>
        <v>#N/A</v>
      </c>
      <c r="K167" s="34" t="e">
        <f>VLOOKUP(A1,DIV_12Data!$A$1:$DZU$1000000,2834,FALSE)</f>
        <v>#N/A</v>
      </c>
      <c r="L167" s="93" t="e">
        <f>VLOOKUP(A1,DIV_12Data!$A$1:$DZU$1000000,2835,FALSE)</f>
        <v>#N/A</v>
      </c>
      <c r="M167" s="33" t="e">
        <f>VLOOKUP(A1,DIV_12Data!$A$1:$DZU$1000000,2836,FALSE)</f>
        <v>#N/A</v>
      </c>
      <c r="N167" s="34" t="e">
        <f>VLOOKUP(A1,DIV_12Data!$A$1:$DZU$1000000,2837,FALSE)</f>
        <v>#N/A</v>
      </c>
      <c r="O167" s="33" t="e">
        <f>VLOOKUP(A1,DIV_12Data!$A$1:$DZU$1000000,2838,FALSE)</f>
        <v>#N/A</v>
      </c>
      <c r="P167" s="46" t="e">
        <f>VLOOKUP(A1,DIV_12Data!$A$1:$DZU$1000000,2839,FALSE)</f>
        <v>#N/A</v>
      </c>
      <c r="Q167" s="33" t="e">
        <f>VLOOKUP(A1,DIV_12Data!$A$1:$DZU$1000000,2840,FALSE)</f>
        <v>#N/A</v>
      </c>
    </row>
    <row r="168" spans="1:17" x14ac:dyDescent="0.35">
      <c r="A168" s="22" t="e">
        <f>VLOOKUP(A1,DIV_12Data!$A$1:$DZU$1000000,2841,FALSE)</f>
        <v>#N/A</v>
      </c>
      <c r="B168" s="37" t="e">
        <f>VLOOKUP(A1,DIV_12Data!$A$1:$DZU$1000000,2842,FALSE)</f>
        <v>#N/A</v>
      </c>
      <c r="C168" s="38" t="e">
        <f>VLOOKUP(A1,DIV_12Data!$A$1:$DZU$1000000,2843,FALSE)</f>
        <v>#N/A</v>
      </c>
      <c r="D168" s="31" t="e">
        <f>VLOOKUP(A1,DIV_12Data!$A$1:$DZU$1000000,2844,FALSE)</f>
        <v>#N/A</v>
      </c>
      <c r="E168" s="32" t="e">
        <f>VLOOKUP(A1,DIV_12Data!$A$1:$DZU$1000000,2845,FALSE)</f>
        <v>#N/A</v>
      </c>
      <c r="F168" s="34" t="e">
        <f>VLOOKUP(A1,DIV_12Data!$A$1:$DZU$1000000,2846,FALSE)</f>
        <v>#N/A</v>
      </c>
      <c r="G168" s="33" t="e">
        <f>VLOOKUP(A1,DIV_12Data!$A$1:$DZU$1000000,2847,FALSE)</f>
        <v>#N/A</v>
      </c>
      <c r="H168" s="34" t="e">
        <f>VLOOKUP(A1,DIV_12Data!$A$1:$DZU$1000000,2848,FALSE)</f>
        <v>#N/A</v>
      </c>
      <c r="I168" s="33" t="e">
        <f>VLOOKUP(A1,DIV_12Data!$A$1:$DZU$1000000,2849,FALSE)</f>
        <v>#N/A</v>
      </c>
      <c r="J168" s="34" t="e">
        <f>VLOOKUP(A1,DIV_12Data!$A$1:$DZU$1000000,2850,FALSE)</f>
        <v>#N/A</v>
      </c>
      <c r="K168" s="34" t="e">
        <f>VLOOKUP(A1,DIV_12Data!$A$1:$DZU$1000000,2851,FALSE)</f>
        <v>#N/A</v>
      </c>
      <c r="L168" s="93" t="e">
        <f>VLOOKUP(A1,DIV_12Data!$A$1:$DZU$1000000,2852,FALSE)</f>
        <v>#N/A</v>
      </c>
      <c r="M168" s="33" t="e">
        <f>VLOOKUP(A1,DIV_12Data!$A$1:$DZU$1000000,2853,FALSE)</f>
        <v>#N/A</v>
      </c>
      <c r="N168" s="34" t="e">
        <f>VLOOKUP(A1,DIV_12Data!$A$1:$DZU$1000000,2854,FALSE)</f>
        <v>#N/A</v>
      </c>
      <c r="O168" s="33" t="e">
        <f>VLOOKUP(A1,DIV_12Data!$A$1:$DZU$1000000,2855,FALSE)</f>
        <v>#N/A</v>
      </c>
      <c r="P168" s="46" t="e">
        <f>VLOOKUP(A1,DIV_12Data!$A$1:$DZU$1000000,2856,FALSE)</f>
        <v>#N/A</v>
      </c>
      <c r="Q168" s="33" t="e">
        <f>VLOOKUP(A1,DIV_12Data!$A$1:$DZU$1000000,2857,FALSE)</f>
        <v>#N/A</v>
      </c>
    </row>
    <row r="169" spans="1:17" x14ac:dyDescent="0.35">
      <c r="A169" s="22" t="e">
        <f>VLOOKUP(A1,DIV_12Data!$A$1:$DZU$1000000,2858,FALSE)</f>
        <v>#N/A</v>
      </c>
      <c r="B169" s="37" t="e">
        <f>VLOOKUP(A1,DIV_12Data!$A$1:$DZU$1000000,2859,FALSE)</f>
        <v>#N/A</v>
      </c>
      <c r="C169" s="38" t="e">
        <f>VLOOKUP(A1,DIV_12Data!$A$1:$DZU$1000000,2860,FALSE)</f>
        <v>#N/A</v>
      </c>
      <c r="D169" s="31" t="e">
        <f>VLOOKUP(A1,DIV_12Data!$A$1:$DZU$1000000,2861,FALSE)</f>
        <v>#N/A</v>
      </c>
      <c r="E169" s="32" t="e">
        <f>VLOOKUP(A1,DIV_12Data!$A$1:$DZU$1000000,2862,FALSE)</f>
        <v>#N/A</v>
      </c>
      <c r="F169" s="34" t="e">
        <f>VLOOKUP(A1,DIV_12Data!$A$1:$DZU$1000000,2863,FALSE)</f>
        <v>#N/A</v>
      </c>
      <c r="G169" s="33" t="e">
        <f>VLOOKUP(A1,DIV_12Data!$A$1:$DZU$1000000,2864,FALSE)</f>
        <v>#N/A</v>
      </c>
      <c r="H169" s="34" t="e">
        <f>VLOOKUP(A1,DIV_12Data!$A$1:$DZU$1000000,2865,FALSE)</f>
        <v>#N/A</v>
      </c>
      <c r="I169" s="33" t="e">
        <f>VLOOKUP(A1,DIV_12Data!$A$1:$DZU$1000000,2866,FALSE)</f>
        <v>#N/A</v>
      </c>
      <c r="J169" s="34" t="e">
        <f>VLOOKUP(A1,DIV_12Data!$A$1:$DZU$1000000,2867,FALSE)</f>
        <v>#N/A</v>
      </c>
      <c r="K169" s="34" t="e">
        <f>VLOOKUP(A1,DIV_12Data!$A$1:$DZU$1000000,2868,FALSE)</f>
        <v>#N/A</v>
      </c>
      <c r="L169" s="93" t="e">
        <f>VLOOKUP(A1,DIV_12Data!$A$1:$DZU$1000000,2869,FALSE)</f>
        <v>#N/A</v>
      </c>
      <c r="M169" s="33" t="e">
        <f>VLOOKUP(A1,DIV_12Data!$A$1:$DZU$1000000,2870,FALSE)</f>
        <v>#N/A</v>
      </c>
      <c r="N169" s="34" t="e">
        <f>VLOOKUP(A1,DIV_12Data!$A$1:$DZU$1000000,2871,FALSE)</f>
        <v>#N/A</v>
      </c>
      <c r="O169" s="33" t="e">
        <f>VLOOKUP(A1,DIV_12Data!$A$1:$DZU$1000000,2872,FALSE)</f>
        <v>#N/A</v>
      </c>
      <c r="P169" s="46" t="e">
        <f>VLOOKUP(A1,DIV_12Data!$A$1:$DZU$1000000,2873,FALSE)</f>
        <v>#N/A</v>
      </c>
      <c r="Q169" s="33" t="e">
        <f>VLOOKUP(A1,DIV_12Data!$A$1:$DZU$1000000,2874,FALSE)</f>
        <v>#N/A</v>
      </c>
    </row>
    <row r="170" spans="1:17" x14ac:dyDescent="0.35">
      <c r="A170" s="22" t="e">
        <f>VLOOKUP(A1,DIV_12Data!$A$1:$DZU$1000000,2875,FALSE)</f>
        <v>#N/A</v>
      </c>
      <c r="B170" s="37" t="e">
        <f>VLOOKUP(A1,DIV_12Data!$A$1:$DZU$1000000,2876,FALSE)</f>
        <v>#N/A</v>
      </c>
      <c r="C170" s="38" t="e">
        <f>VLOOKUP(A1,DIV_12Data!$A$1:$DZU$1000000,2877,FALSE)</f>
        <v>#N/A</v>
      </c>
      <c r="D170" s="31" t="e">
        <f>VLOOKUP(A1,DIV_12Data!$A$1:$DZU$1000000,2878,FALSE)</f>
        <v>#N/A</v>
      </c>
      <c r="E170" s="32" t="e">
        <f>VLOOKUP(A1,DIV_12Data!$A$1:$DZU$1000000,2879,FALSE)</f>
        <v>#N/A</v>
      </c>
      <c r="F170" s="34" t="e">
        <f>VLOOKUP(A1,DIV_12Data!$A$1:$DZU$1000000,2880,FALSE)</f>
        <v>#N/A</v>
      </c>
      <c r="G170" s="33" t="e">
        <f>VLOOKUP(A1,DIV_12Data!$A$1:$DZU$1000000,2881,FALSE)</f>
        <v>#N/A</v>
      </c>
      <c r="H170" s="34" t="e">
        <f>VLOOKUP(A1,DIV_12Data!$A$1:$DZU$1000000,2882,FALSE)</f>
        <v>#N/A</v>
      </c>
      <c r="I170" s="33" t="e">
        <f>VLOOKUP(A1,DIV_12Data!$A$1:$DZU$1000000,2883,FALSE)</f>
        <v>#N/A</v>
      </c>
      <c r="J170" s="34" t="e">
        <f>VLOOKUP(A1,DIV_12Data!$A$1:$DZU$1000000,2884,FALSE)</f>
        <v>#N/A</v>
      </c>
      <c r="K170" s="34" t="e">
        <f>VLOOKUP(A1,DIV_12Data!$A$1:$DZU$1000000,2885,FALSE)</f>
        <v>#N/A</v>
      </c>
      <c r="L170" s="93" t="e">
        <f>VLOOKUP(A1,DIV_12Data!$A$1:$DZU$1000000,2886,FALSE)</f>
        <v>#N/A</v>
      </c>
      <c r="M170" s="33" t="e">
        <f>VLOOKUP(A1,DIV_12Data!$A$1:$DZU$1000000,2887,FALSE)</f>
        <v>#N/A</v>
      </c>
      <c r="N170" s="34" t="e">
        <f>VLOOKUP(A1,DIV_12Data!$A$1:$DZU$1000000,2888,FALSE)</f>
        <v>#N/A</v>
      </c>
      <c r="O170" s="33" t="e">
        <f>VLOOKUP(A1,DIV_12Data!$A$1:$DZU$1000000,2889,FALSE)</f>
        <v>#N/A</v>
      </c>
      <c r="P170" s="46" t="e">
        <f>VLOOKUP(A1,DIV_12Data!$A$1:$DZU$1000000,2890,FALSE)</f>
        <v>#N/A</v>
      </c>
      <c r="Q170" s="33" t="e">
        <f>VLOOKUP(A1,DIV_12Data!$A$1:$DZU$1000000,2891,FALSE)</f>
        <v>#N/A</v>
      </c>
    </row>
    <row r="171" spans="1:17" x14ac:dyDescent="0.35">
      <c r="A171" s="22" t="e">
        <f>VLOOKUP(A1,DIV_12Data!$A$1:$DZU$1000000,2892,FALSE)</f>
        <v>#N/A</v>
      </c>
      <c r="B171" s="37" t="e">
        <f>VLOOKUP(A1,DIV_12Data!$A$1:$DZU$1000000,2893,FALSE)</f>
        <v>#N/A</v>
      </c>
      <c r="C171" s="38" t="e">
        <f>VLOOKUP(A1,DIV_12Data!$A$1:$DZU$1000000,2894,FALSE)</f>
        <v>#N/A</v>
      </c>
      <c r="D171" s="31" t="e">
        <f>VLOOKUP(A1,DIV_12Data!$A$1:$DZU$1000000,2895,FALSE)</f>
        <v>#N/A</v>
      </c>
      <c r="E171" s="32" t="e">
        <f>VLOOKUP(A1,DIV_12Data!$A$1:$DZU$1000000,2896,FALSE)</f>
        <v>#N/A</v>
      </c>
      <c r="F171" s="34" t="e">
        <f>VLOOKUP(A1,DIV_12Data!$A$1:$DZU$1000000,2897,FALSE)</f>
        <v>#N/A</v>
      </c>
      <c r="G171" s="33" t="e">
        <f>VLOOKUP(A1,DIV_12Data!$A$1:$DZU$1000000,2898,FALSE)</f>
        <v>#N/A</v>
      </c>
      <c r="H171" s="34" t="e">
        <f>VLOOKUP(A1,DIV_12Data!$A$1:$DZU$1000000,2899,FALSE)</f>
        <v>#N/A</v>
      </c>
      <c r="I171" s="33" t="e">
        <f>VLOOKUP(A1,DIV_12Data!$A$1:$DZU$1000000,2900,FALSE)</f>
        <v>#N/A</v>
      </c>
      <c r="J171" s="34" t="e">
        <f>VLOOKUP(A1,DIV_12Data!$A$1:$DZU$1000000,2901,FALSE)</f>
        <v>#N/A</v>
      </c>
      <c r="K171" s="34" t="e">
        <f>VLOOKUP(A1,DIV_12Data!$A$1:$DZU$1000000,2902,FALSE)</f>
        <v>#N/A</v>
      </c>
      <c r="L171" s="93" t="e">
        <f>VLOOKUP(A1,DIV_12Data!$A$1:$DZU$1000000,2903,FALSE)</f>
        <v>#N/A</v>
      </c>
      <c r="M171" s="33" t="e">
        <f>VLOOKUP(A1,DIV_12Data!$A$1:$DZU$1000000,2904,FALSE)</f>
        <v>#N/A</v>
      </c>
      <c r="N171" s="34" t="e">
        <f>VLOOKUP(A1,DIV_12Data!$A$1:$DZU$1000000,2905,FALSE)</f>
        <v>#N/A</v>
      </c>
      <c r="O171" s="33" t="e">
        <f>VLOOKUP(A1,DIV_12Data!$A$1:$DZU$1000000,2906,FALSE)</f>
        <v>#N/A</v>
      </c>
      <c r="P171" s="46" t="e">
        <f>VLOOKUP(A1,DIV_12Data!$A$1:$DZU$1000000,2907,FALSE)</f>
        <v>#N/A</v>
      </c>
      <c r="Q171" s="33" t="e">
        <f>VLOOKUP(A1,DIV_12Data!$A$1:$DZU$1000000,2908,FALSE)</f>
        <v>#N/A</v>
      </c>
    </row>
    <row r="172" spans="1:17" x14ac:dyDescent="0.35">
      <c r="A172" s="22" t="e">
        <f>VLOOKUP(A1,DIV_12Data!$A$1:$DZU$1000000,2909,FALSE)</f>
        <v>#N/A</v>
      </c>
      <c r="B172" s="37" t="e">
        <f>VLOOKUP(A1,DIV_12Data!$A$1:$DZU$1000000,2910,FALSE)</f>
        <v>#N/A</v>
      </c>
      <c r="C172" s="38" t="e">
        <f>VLOOKUP(A1,DIV_12Data!$A$1:$DZU$1000000,2911,FALSE)</f>
        <v>#N/A</v>
      </c>
      <c r="D172" s="31" t="e">
        <f>VLOOKUP(A1,DIV_12Data!$A$1:$DZU$1000000,2912,FALSE)</f>
        <v>#N/A</v>
      </c>
      <c r="E172" s="32" t="e">
        <f>VLOOKUP(A1,DIV_12Data!$A$1:$DZU$1000000,2913,FALSE)</f>
        <v>#N/A</v>
      </c>
      <c r="F172" s="34" t="e">
        <f>VLOOKUP(A1,DIV_12Data!$A$1:$DZU$1000000,2914,FALSE)</f>
        <v>#N/A</v>
      </c>
      <c r="G172" s="33" t="e">
        <f>VLOOKUP(A1,DIV_12Data!$A$1:$DZU$1000000,2915,FALSE)</f>
        <v>#N/A</v>
      </c>
      <c r="H172" s="34" t="e">
        <f>VLOOKUP(A1,DIV_12Data!$A$1:$DZU$1000000,2916,FALSE)</f>
        <v>#N/A</v>
      </c>
      <c r="I172" s="33" t="e">
        <f>VLOOKUP(A1,DIV_12Data!$A$1:$DZU$1000000,2917,FALSE)</f>
        <v>#N/A</v>
      </c>
      <c r="J172" s="34" t="e">
        <f>VLOOKUP(A1,DIV_12Data!$A$1:$DZU$1000000,2918,FALSE)</f>
        <v>#N/A</v>
      </c>
      <c r="K172" s="34" t="e">
        <f>VLOOKUP(A1,DIV_12Data!$A$1:$DZU$1000000,2919,FALSE)</f>
        <v>#N/A</v>
      </c>
      <c r="L172" s="93" t="e">
        <f>VLOOKUP(A1,DIV_12Data!$A$1:$DZU$1000000,2920,FALSE)</f>
        <v>#N/A</v>
      </c>
      <c r="M172" s="33" t="e">
        <f>VLOOKUP(A1,DIV_12Data!$A$1:$DZU$1000000,2921,FALSE)</f>
        <v>#N/A</v>
      </c>
      <c r="N172" s="34" t="e">
        <f>VLOOKUP(A1,DIV_12Data!$A$1:$DZU$1000000,2922,FALSE)</f>
        <v>#N/A</v>
      </c>
      <c r="O172" s="33" t="e">
        <f>VLOOKUP(A1,DIV_12Data!$A$1:$DZU$1000000,2923,FALSE)</f>
        <v>#N/A</v>
      </c>
      <c r="P172" s="46" t="e">
        <f>VLOOKUP(A1,DIV_12Data!$A$1:$DZU$1000000,2924,FALSE)</f>
        <v>#N/A</v>
      </c>
      <c r="Q172" s="33" t="e">
        <f>VLOOKUP(A1,DIV_12Data!$A$1:$DZU$1000000,2925,FALSE)</f>
        <v>#N/A</v>
      </c>
    </row>
    <row r="173" spans="1:17" x14ac:dyDescent="0.35">
      <c r="A173" s="22" t="e">
        <f>VLOOKUP(A1,DIV_12Data!$A$1:$DZU$1000000,2926,FALSE)</f>
        <v>#N/A</v>
      </c>
      <c r="B173" s="37" t="e">
        <f>VLOOKUP(A1,DIV_12Data!$A$1:$DZU$1000000,2927,FALSE)</f>
        <v>#N/A</v>
      </c>
      <c r="C173" s="38" t="e">
        <f>VLOOKUP(A1,DIV_12Data!$A$1:$DZU$1000000,2928,FALSE)</f>
        <v>#N/A</v>
      </c>
      <c r="D173" s="31" t="e">
        <f>VLOOKUP(A1,DIV_12Data!$A$1:$DZU$1000000,2929,FALSE)</f>
        <v>#N/A</v>
      </c>
      <c r="E173" s="32" t="e">
        <f>VLOOKUP(A1,DIV_12Data!$A$1:$DZU$1000000,2930,FALSE)</f>
        <v>#N/A</v>
      </c>
      <c r="F173" s="34" t="e">
        <f>VLOOKUP(A1,DIV_12Data!$A$1:$DZU$1000000,2931,FALSE)</f>
        <v>#N/A</v>
      </c>
      <c r="G173" s="33" t="e">
        <f>VLOOKUP(A1,DIV_12Data!$A$1:$DZU$1000000,2932,FALSE)</f>
        <v>#N/A</v>
      </c>
      <c r="H173" s="34" t="e">
        <f>VLOOKUP(A1,DIV_12Data!$A$1:$DZU$1000000,2933,FALSE)</f>
        <v>#N/A</v>
      </c>
      <c r="I173" s="33" t="e">
        <f>VLOOKUP(A1,DIV_12Data!$A$1:$DZU$1000000,2934,FALSE)</f>
        <v>#N/A</v>
      </c>
      <c r="J173" s="34" t="e">
        <f>VLOOKUP(A1,DIV_12Data!$A$1:$DZU$1000000,2935,FALSE)</f>
        <v>#N/A</v>
      </c>
      <c r="K173" s="34" t="e">
        <f>VLOOKUP(A1,DIV_12Data!$A$1:$DZU$1000000,2936,FALSE)</f>
        <v>#N/A</v>
      </c>
      <c r="L173" s="93" t="e">
        <f>VLOOKUP(A1,DIV_12Data!$A$1:$DZU$1000000,2937,FALSE)</f>
        <v>#N/A</v>
      </c>
      <c r="M173" s="33" t="e">
        <f>VLOOKUP(A1,DIV_12Data!$A$1:$DZU$1000000,2938,FALSE)</f>
        <v>#N/A</v>
      </c>
      <c r="N173" s="34" t="e">
        <f>VLOOKUP(A1,DIV_12Data!$A$1:$DZU$1000000,2939,FALSE)</f>
        <v>#N/A</v>
      </c>
      <c r="O173" s="33" t="e">
        <f>VLOOKUP(A1,DIV_12Data!$A$1:$DZU$1000000,2940,FALSE)</f>
        <v>#N/A</v>
      </c>
      <c r="P173" s="46" t="e">
        <f>VLOOKUP(A1,DIV_12Data!$A$1:$DZU$1000000,2941,FALSE)</f>
        <v>#N/A</v>
      </c>
      <c r="Q173" s="33" t="e">
        <f>VLOOKUP(A1,DIV_12Data!$A$1:$DZU$1000000,2942,FALSE)</f>
        <v>#N/A</v>
      </c>
    </row>
    <row r="174" spans="1:17" x14ac:dyDescent="0.35">
      <c r="A174" s="22" t="e">
        <f>VLOOKUP(A1,DIV_12Data!$A$1:$DZU$1000000,2943,FALSE)</f>
        <v>#N/A</v>
      </c>
      <c r="B174" s="37" t="e">
        <f>VLOOKUP(A1,DIV_12Data!$A$1:$DZU$1000000,2944,FALSE)</f>
        <v>#N/A</v>
      </c>
      <c r="C174" s="38" t="e">
        <f>VLOOKUP(A1,DIV_12Data!$A$1:$DZU$1000000,2945,FALSE)</f>
        <v>#N/A</v>
      </c>
      <c r="D174" s="31" t="e">
        <f>VLOOKUP(A1,DIV_12Data!$A$1:$DZU$1000000,2946,FALSE)</f>
        <v>#N/A</v>
      </c>
      <c r="E174" s="32" t="e">
        <f>VLOOKUP(A1,DIV_12Data!$A$1:$DZU$1000000,2947,FALSE)</f>
        <v>#N/A</v>
      </c>
      <c r="F174" s="34" t="e">
        <f>VLOOKUP(A1,DIV_12Data!$A$1:$DZU$1000000,2948,FALSE)</f>
        <v>#N/A</v>
      </c>
      <c r="G174" s="33" t="e">
        <f>VLOOKUP(A1,DIV_12Data!$A$1:$DZU$1000000,2949,FALSE)</f>
        <v>#N/A</v>
      </c>
      <c r="H174" s="34" t="e">
        <f>VLOOKUP(A1,DIV_12Data!$A$1:$DZU$1000000,2950,FALSE)</f>
        <v>#N/A</v>
      </c>
      <c r="I174" s="33" t="e">
        <f>VLOOKUP(A1,DIV_12Data!$A$1:$DZU$1000000,2951,FALSE)</f>
        <v>#N/A</v>
      </c>
      <c r="J174" s="34" t="e">
        <f>VLOOKUP(A1,DIV_12Data!$A$1:$DZU$1000000,2952,FALSE)</f>
        <v>#N/A</v>
      </c>
      <c r="K174" s="34" t="e">
        <f>VLOOKUP(A1,DIV_12Data!$A$1:$DZU$1000000,2953,FALSE)</f>
        <v>#N/A</v>
      </c>
      <c r="L174" s="93" t="e">
        <f>VLOOKUP(A1,DIV_12Data!$A$1:$DZU$1000000,2954,FALSE)</f>
        <v>#N/A</v>
      </c>
      <c r="M174" s="33" t="e">
        <f>VLOOKUP(A1,DIV_12Data!$A$1:$DZU$1000000,2955,FALSE)</f>
        <v>#N/A</v>
      </c>
      <c r="N174" s="34" t="e">
        <f>VLOOKUP(A1,DIV_12Data!$A$1:$DZU$1000000,2956,FALSE)</f>
        <v>#N/A</v>
      </c>
      <c r="O174" s="33" t="e">
        <f>VLOOKUP(A1,DIV_12Data!$A$1:$DZU$1000000,2957,FALSE)</f>
        <v>#N/A</v>
      </c>
      <c r="P174" s="46" t="e">
        <f>VLOOKUP(A1,DIV_12Data!$A$1:$DZU$1000000,2958,FALSE)</f>
        <v>#N/A</v>
      </c>
      <c r="Q174" s="33" t="e">
        <f>VLOOKUP(A1,DIV_12Data!$A$1:$DZU$1000000,2959,FALSE)</f>
        <v>#N/A</v>
      </c>
    </row>
    <row r="175" spans="1:17" x14ac:dyDescent="0.35">
      <c r="A175" s="22" t="e">
        <f>VLOOKUP(A1,DIV_12Data!$A$1:$DZU$1000000,2960,FALSE)</f>
        <v>#N/A</v>
      </c>
      <c r="B175" s="37" t="e">
        <f>VLOOKUP(A1,DIV_12Data!$A$1:$DZU$1000000,2961,FALSE)</f>
        <v>#N/A</v>
      </c>
      <c r="C175" s="38" t="e">
        <f>VLOOKUP(A1,DIV_12Data!$A$1:$DZU$1000000,2962,FALSE)</f>
        <v>#N/A</v>
      </c>
      <c r="D175" s="31" t="e">
        <f>VLOOKUP(A1,DIV_12Data!$A$1:$DZU$1000000,2963,FALSE)</f>
        <v>#N/A</v>
      </c>
      <c r="E175" s="32" t="e">
        <f>VLOOKUP(A1,DIV_12Data!$A$1:$DZU$1000000,2964,FALSE)</f>
        <v>#N/A</v>
      </c>
      <c r="F175" s="34" t="e">
        <f>VLOOKUP(A1,DIV_12Data!$A$1:$DZU$1000000,2965,FALSE)</f>
        <v>#N/A</v>
      </c>
      <c r="G175" s="33" t="e">
        <f>VLOOKUP(A1,DIV_12Data!$A$1:$DZU$1000000,2966,FALSE)</f>
        <v>#N/A</v>
      </c>
      <c r="H175" s="34" t="e">
        <f>VLOOKUP(A1,DIV_12Data!$A$1:$DZU$1000000,2967,FALSE)</f>
        <v>#N/A</v>
      </c>
      <c r="I175" s="33" t="e">
        <f>VLOOKUP(A1,DIV_12Data!$A$1:$DZU$1000000,2968,FALSE)</f>
        <v>#N/A</v>
      </c>
      <c r="J175" s="34" t="e">
        <f>VLOOKUP(A1,DIV_12Data!$A$1:$DZU$1000000,2969,FALSE)</f>
        <v>#N/A</v>
      </c>
      <c r="K175" s="34" t="e">
        <f>VLOOKUP(A1,DIV_12Data!$A$1:$DZU$1000000,2970,FALSE)</f>
        <v>#N/A</v>
      </c>
      <c r="L175" s="93" t="e">
        <f>VLOOKUP(A1,DIV_12Data!$A$1:$DZU$1000000,2971,FALSE)</f>
        <v>#N/A</v>
      </c>
      <c r="M175" s="33" t="e">
        <f>VLOOKUP(A1,DIV_12Data!$A$1:$DZU$1000000,2972,FALSE)</f>
        <v>#N/A</v>
      </c>
      <c r="N175" s="34" t="e">
        <f>VLOOKUP(A1,DIV_12Data!$A$1:$DZU$1000000,2973,FALSE)</f>
        <v>#N/A</v>
      </c>
      <c r="O175" s="33" t="e">
        <f>VLOOKUP(A1,DIV_12Data!$A$1:$DZU$1000000,2974,FALSE)</f>
        <v>#N/A</v>
      </c>
      <c r="P175" s="46" t="e">
        <f>VLOOKUP(A1,DIV_12Data!$A$1:$DZU$1000000,2975,FALSE)</f>
        <v>#N/A</v>
      </c>
      <c r="Q175" s="33" t="e">
        <f>VLOOKUP(A1,DIV_12Data!$A$1:$DZU$1000000,2976,FALSE)</f>
        <v>#N/A</v>
      </c>
    </row>
    <row r="176" spans="1:17" x14ac:dyDescent="0.35">
      <c r="A176" s="22" t="e">
        <f>VLOOKUP(A1,DIV_12Data!$A$1:$DZU$1000000,2977,FALSE)</f>
        <v>#N/A</v>
      </c>
      <c r="B176" s="37" t="e">
        <f>VLOOKUP(A1,DIV_12Data!$A$1:$DZU$1000000,2978,FALSE)</f>
        <v>#N/A</v>
      </c>
      <c r="C176" s="38" t="e">
        <f>VLOOKUP(A1,DIV_12Data!$A$1:$DZU$1000000,2979,FALSE)</f>
        <v>#N/A</v>
      </c>
      <c r="D176" s="31" t="e">
        <f>VLOOKUP(A1,DIV_12Data!$A$1:$DZU$1000000,2980,FALSE)</f>
        <v>#N/A</v>
      </c>
      <c r="E176" s="32" t="e">
        <f>VLOOKUP(A1,DIV_12Data!$A$1:$DZU$1000000,2981,FALSE)</f>
        <v>#N/A</v>
      </c>
      <c r="F176" s="34" t="e">
        <f>VLOOKUP(A1,DIV_12Data!$A$1:$DZU$1000000,2982,FALSE)</f>
        <v>#N/A</v>
      </c>
      <c r="G176" s="33" t="e">
        <f>VLOOKUP(A1,DIV_12Data!$A$1:$DZU$1000000,2983,FALSE)</f>
        <v>#N/A</v>
      </c>
      <c r="H176" s="34" t="e">
        <f>VLOOKUP(A1,DIV_12Data!$A$1:$DZU$1000000,2984,FALSE)</f>
        <v>#N/A</v>
      </c>
      <c r="I176" s="33" t="e">
        <f>VLOOKUP(A1,DIV_12Data!$A$1:$DZU$1000000,2985,FALSE)</f>
        <v>#N/A</v>
      </c>
      <c r="J176" s="34" t="e">
        <f>VLOOKUP(A1,DIV_12Data!$A$1:$DZU$1000000,2986,FALSE)</f>
        <v>#N/A</v>
      </c>
      <c r="K176" s="34" t="e">
        <f>VLOOKUP(A1,DIV_12Data!$A$1:$DZU$1000000,2987,FALSE)</f>
        <v>#N/A</v>
      </c>
      <c r="L176" s="93" t="e">
        <f>VLOOKUP(A1,DIV_12Data!$A$1:$DZU$1000000,2988,FALSE)</f>
        <v>#N/A</v>
      </c>
      <c r="M176" s="33" t="e">
        <f>VLOOKUP(A1,DIV_12Data!$A$1:$DZU$1000000,2989,FALSE)</f>
        <v>#N/A</v>
      </c>
      <c r="N176" s="34" t="e">
        <f>VLOOKUP(A1,DIV_12Data!$A$1:$DZU$1000000,2990,FALSE)</f>
        <v>#N/A</v>
      </c>
      <c r="O176" s="33" t="e">
        <f>VLOOKUP(A1,DIV_12Data!$A$1:$DZU$1000000,2991,FALSE)</f>
        <v>#N/A</v>
      </c>
      <c r="P176" s="46" t="e">
        <f>VLOOKUP(A1,DIV_12Data!$A$1:$DZU$1000000,2992,FALSE)</f>
        <v>#N/A</v>
      </c>
      <c r="Q176" s="33" t="e">
        <f>VLOOKUP(A1,DIV_12Data!$A$1:$DZU$1000000,2993,FALSE)</f>
        <v>#N/A</v>
      </c>
    </row>
    <row r="177" spans="1:17" x14ac:dyDescent="0.35">
      <c r="A177" s="22" t="e">
        <f>VLOOKUP(A1,DIV_12Data!$A$1:$DZU$1000000,2994,FALSE)</f>
        <v>#N/A</v>
      </c>
      <c r="B177" s="37" t="e">
        <f>VLOOKUP(A1,DIV_12Data!$A$1:$DZU$1000000,2995,FALSE)</f>
        <v>#N/A</v>
      </c>
      <c r="C177" s="38" t="e">
        <f>VLOOKUP(A1,DIV_12Data!$A$1:$DZU$1000000,2996,FALSE)</f>
        <v>#N/A</v>
      </c>
      <c r="D177" s="31" t="e">
        <f>VLOOKUP(A1,DIV_12Data!$A$1:$DZU$1000000,2997,FALSE)</f>
        <v>#N/A</v>
      </c>
      <c r="E177" s="32" t="e">
        <f>VLOOKUP(A1,DIV_12Data!$A$1:$DZU$1000000,2998,FALSE)</f>
        <v>#N/A</v>
      </c>
      <c r="F177" s="34" t="e">
        <f>VLOOKUP(A1,DIV_12Data!$A$1:$DZU$1000000,2999,FALSE)</f>
        <v>#N/A</v>
      </c>
      <c r="G177" s="33" t="e">
        <f>VLOOKUP(A1,DIV_12Data!$A$1:$DZU$1000000,3000,FALSE)</f>
        <v>#N/A</v>
      </c>
      <c r="H177" s="34" t="e">
        <f>VLOOKUP(A1,DIV_12Data!$A$1:$DZU$1000000,3001,FALSE)</f>
        <v>#N/A</v>
      </c>
      <c r="I177" s="33" t="e">
        <f>VLOOKUP(A1,DIV_12Data!$A$1:$DZU$1000000,3002,FALSE)</f>
        <v>#N/A</v>
      </c>
      <c r="J177" s="34" t="e">
        <f>VLOOKUP(A1,DIV_12Data!$A$1:$DZU$1000000,3003,FALSE)</f>
        <v>#N/A</v>
      </c>
      <c r="K177" s="34" t="e">
        <f>VLOOKUP(A1,DIV_12Data!$A$1:$DZU$1000000,3004,FALSE)</f>
        <v>#N/A</v>
      </c>
      <c r="L177" s="93" t="e">
        <f>VLOOKUP(A1,DIV_12Data!$A$1:$DZU$1000000,3005,FALSE)</f>
        <v>#N/A</v>
      </c>
      <c r="M177" s="33" t="e">
        <f>VLOOKUP(A1,DIV_12Data!$A$1:$DZU$1000000,3006,FALSE)</f>
        <v>#N/A</v>
      </c>
      <c r="N177" s="34" t="e">
        <f>VLOOKUP(A1,DIV_12Data!$A$1:$DZU$1000000,3007,FALSE)</f>
        <v>#N/A</v>
      </c>
      <c r="O177" s="33" t="e">
        <f>VLOOKUP(A1,DIV_12Data!$A$1:$DZU$1000000,3008,FALSE)</f>
        <v>#N/A</v>
      </c>
      <c r="P177" s="46" t="e">
        <f>VLOOKUP(A1,DIV_12Data!$A$1:$DZU$1000000,3009,FALSE)</f>
        <v>#N/A</v>
      </c>
      <c r="Q177" s="33" t="e">
        <f>VLOOKUP(A1,DIV_12Data!$A$1:$DZU$1000000,3010,FALSE)</f>
        <v>#N/A</v>
      </c>
    </row>
    <row r="178" spans="1:17" x14ac:dyDescent="0.35">
      <c r="A178" s="22" t="e">
        <f>VLOOKUP(A1,DIV_12Data!$A$1:$DZU$1000000,3011,FALSE)</f>
        <v>#N/A</v>
      </c>
      <c r="B178" s="37" t="e">
        <f>VLOOKUP(A1,DIV_12Data!$A$1:$DZU$1000000,3012,FALSE)</f>
        <v>#N/A</v>
      </c>
      <c r="C178" s="38" t="e">
        <f>VLOOKUP(A1,DIV_12Data!$A$1:$DZU$1000000,3013,FALSE)</f>
        <v>#N/A</v>
      </c>
      <c r="D178" s="31" t="e">
        <f>VLOOKUP(A1,DIV_12Data!$A$1:$DZU$1000000,3014,FALSE)</f>
        <v>#N/A</v>
      </c>
      <c r="E178" s="32" t="e">
        <f>VLOOKUP(A1,DIV_12Data!$A$1:$DZU$1000000,3015,FALSE)</f>
        <v>#N/A</v>
      </c>
      <c r="F178" s="34" t="e">
        <f>VLOOKUP(A1,DIV_12Data!$A$1:$DZU$1000000,3016,FALSE)</f>
        <v>#N/A</v>
      </c>
      <c r="G178" s="33" t="e">
        <f>VLOOKUP(A1,DIV_12Data!$A$1:$DZU$1000000,3017,FALSE)</f>
        <v>#N/A</v>
      </c>
      <c r="H178" s="34" t="e">
        <f>VLOOKUP(A1,DIV_12Data!$A$1:$DZU$1000000,3018,FALSE)</f>
        <v>#N/A</v>
      </c>
      <c r="I178" s="33" t="e">
        <f>VLOOKUP(A1,DIV_12Data!$A$1:$DZU$1000000,3019,FALSE)</f>
        <v>#N/A</v>
      </c>
      <c r="J178" s="34" t="e">
        <f>VLOOKUP(A1,DIV_12Data!$A$1:$DZU$1000000,3020,FALSE)</f>
        <v>#N/A</v>
      </c>
      <c r="K178" s="34" t="e">
        <f>VLOOKUP(A1,DIV_12Data!$A$1:$DZU$1000000,3021,FALSE)</f>
        <v>#N/A</v>
      </c>
      <c r="L178" s="93" t="e">
        <f>VLOOKUP(A1,DIV_12Data!$A$1:$DZU$1000000,3022,FALSE)</f>
        <v>#N/A</v>
      </c>
      <c r="M178" s="33" t="e">
        <f>VLOOKUP(A1,DIV_12Data!$A$1:$DZU$1000000,3023,FALSE)</f>
        <v>#N/A</v>
      </c>
      <c r="N178" s="34" t="e">
        <f>VLOOKUP(A1,DIV_12Data!$A$1:$DZU$1000000,3024,FALSE)</f>
        <v>#N/A</v>
      </c>
      <c r="O178" s="33" t="e">
        <f>VLOOKUP(A1,DIV_12Data!$A$1:$DZU$1000000,3025,FALSE)</f>
        <v>#N/A</v>
      </c>
      <c r="P178" s="46" t="e">
        <f>VLOOKUP(A1,DIV_12Data!$A$1:$DZU$1000000,3026,FALSE)</f>
        <v>#N/A</v>
      </c>
      <c r="Q178" s="33" t="e">
        <f>VLOOKUP(A1,DIV_12Data!$A$1:$DZU$1000000,3027,FALSE)</f>
        <v>#N/A</v>
      </c>
    </row>
    <row r="179" spans="1:17" x14ac:dyDescent="0.35">
      <c r="A179" s="22" t="e">
        <f>VLOOKUP(A1,DIV_12Data!$A$1:$DZU$1000000,3028,FALSE)</f>
        <v>#N/A</v>
      </c>
      <c r="B179" s="37" t="e">
        <f>VLOOKUP(A1,DIV_12Data!$A$1:$DZU$1000000,3029,FALSE)</f>
        <v>#N/A</v>
      </c>
      <c r="C179" s="38" t="e">
        <f>VLOOKUP(A1,DIV_12Data!$A$1:$DZU$1000000,3030,FALSE)</f>
        <v>#N/A</v>
      </c>
      <c r="D179" s="31" t="e">
        <f>VLOOKUP(A1,DIV_12Data!$A$1:$DZU$1000000,3031,FALSE)</f>
        <v>#N/A</v>
      </c>
      <c r="E179" s="32" t="e">
        <f>VLOOKUP(A1,DIV_12Data!$A$1:$DZU$1000000,3032,FALSE)</f>
        <v>#N/A</v>
      </c>
      <c r="F179" s="34" t="e">
        <f>VLOOKUP(A1,DIV_12Data!$A$1:$DZU$1000000,3033,FALSE)</f>
        <v>#N/A</v>
      </c>
      <c r="G179" s="33" t="e">
        <f>VLOOKUP(A1,DIV_12Data!$A$1:$DZU$1000000,3034,FALSE)</f>
        <v>#N/A</v>
      </c>
      <c r="H179" s="34" t="e">
        <f>VLOOKUP(A1,DIV_12Data!$A$1:$DZU$1000000,3035,FALSE)</f>
        <v>#N/A</v>
      </c>
      <c r="I179" s="33" t="e">
        <f>VLOOKUP(A1,DIV_12Data!$A$1:$DZU$1000000,3036,FALSE)</f>
        <v>#N/A</v>
      </c>
      <c r="J179" s="34" t="e">
        <f>VLOOKUP(A1,DIV_12Data!$A$1:$DZU$1000000,3037,FALSE)</f>
        <v>#N/A</v>
      </c>
      <c r="K179" s="34" t="e">
        <f>VLOOKUP(A1,DIV_12Data!$A$1:$DZU$1000000,3038,FALSE)</f>
        <v>#N/A</v>
      </c>
      <c r="L179" s="93" t="e">
        <f>VLOOKUP(A1,DIV_12Data!$A$1:$DZU$1000000,3039,FALSE)</f>
        <v>#N/A</v>
      </c>
      <c r="M179" s="33" t="e">
        <f>VLOOKUP(A1,DIV_12Data!$A$1:$DZU$1000000,3040,FALSE)</f>
        <v>#N/A</v>
      </c>
      <c r="N179" s="34" t="e">
        <f>VLOOKUP(A1,DIV_12Data!$A$1:$DZU$1000000,3041,FALSE)</f>
        <v>#N/A</v>
      </c>
      <c r="O179" s="33" t="e">
        <f>VLOOKUP(A1,DIV_12Data!$A$1:$DZU$1000000,3042,FALSE)</f>
        <v>#N/A</v>
      </c>
      <c r="P179" s="46" t="e">
        <f>VLOOKUP(A1,DIV_12Data!$A$1:$DZU$1000000,3043,FALSE)</f>
        <v>#N/A</v>
      </c>
      <c r="Q179" s="33" t="e">
        <f>VLOOKUP(A1,DIV_12Data!$A$1:$DZU$1000000,3044,FALSE)</f>
        <v>#N/A</v>
      </c>
    </row>
    <row r="180" spans="1:17" x14ac:dyDescent="0.35">
      <c r="A180" s="22" t="e">
        <f>VLOOKUP(A1,DIV_12Data!$A$1:$DZU$1000000,3045,FALSE)</f>
        <v>#N/A</v>
      </c>
      <c r="B180" s="37" t="e">
        <f>VLOOKUP(A1,DIV_12Data!$A$1:$DZU$1000000,3046,FALSE)</f>
        <v>#N/A</v>
      </c>
      <c r="C180" s="38" t="e">
        <f>VLOOKUP(A1,DIV_12Data!$A$1:$DZU$1000000,3047,FALSE)</f>
        <v>#N/A</v>
      </c>
      <c r="D180" s="31" t="e">
        <f>VLOOKUP(A1,DIV_12Data!$A$1:$DZU$1000000,3048,FALSE)</f>
        <v>#N/A</v>
      </c>
      <c r="E180" s="32" t="e">
        <f>VLOOKUP(A1,DIV_12Data!$A$1:$DZU$1000000,3049,FALSE)</f>
        <v>#N/A</v>
      </c>
      <c r="F180" s="34" t="e">
        <f>VLOOKUP(A1,DIV_12Data!$A$1:$DZU$1000000,3050,FALSE)</f>
        <v>#N/A</v>
      </c>
      <c r="G180" s="33" t="e">
        <f>VLOOKUP(A1,DIV_12Data!$A$1:$DZU$1000000,3051,FALSE)</f>
        <v>#N/A</v>
      </c>
      <c r="H180" s="34" t="e">
        <f>VLOOKUP(A1,DIV_12Data!$A$1:$DZU$1000000,3052,FALSE)</f>
        <v>#N/A</v>
      </c>
      <c r="I180" s="33" t="e">
        <f>VLOOKUP(A1,DIV_12Data!$A$1:$DZU$1000000,3053,FALSE)</f>
        <v>#N/A</v>
      </c>
      <c r="J180" s="34" t="e">
        <f>VLOOKUP(A1,DIV_12Data!$A$1:$DZU$1000000,3054,FALSE)</f>
        <v>#N/A</v>
      </c>
      <c r="K180" s="34" t="e">
        <f>VLOOKUP(A1,DIV_12Data!$A$1:$DZU$1000000,3055,FALSE)</f>
        <v>#N/A</v>
      </c>
      <c r="L180" s="93" t="e">
        <f>VLOOKUP(A1,DIV_12Data!$A$1:$DZU$1000000,3056,FALSE)</f>
        <v>#N/A</v>
      </c>
      <c r="M180" s="33" t="e">
        <f>VLOOKUP(A1,DIV_12Data!$A$1:$DZU$1000000,3057,FALSE)</f>
        <v>#N/A</v>
      </c>
      <c r="N180" s="34" t="e">
        <f>VLOOKUP(A1,DIV_12Data!$A$1:$DZU$1000000,3058,FALSE)</f>
        <v>#N/A</v>
      </c>
      <c r="O180" s="33" t="e">
        <f>VLOOKUP(A1,DIV_12Data!$A$1:$DZU$1000000,3059,FALSE)</f>
        <v>#N/A</v>
      </c>
      <c r="P180" s="46" t="e">
        <f>VLOOKUP(A1,DIV_12Data!$A$1:$DZU$1000000,3060,FALSE)</f>
        <v>#N/A</v>
      </c>
      <c r="Q180" s="33" t="e">
        <f>VLOOKUP(A1,DIV_12Data!$A$1:$DZU$1000000,3061,FALSE)</f>
        <v>#N/A</v>
      </c>
    </row>
    <row r="181" spans="1:17" x14ac:dyDescent="0.35">
      <c r="A181" s="22" t="e">
        <f>VLOOKUP(A1,DIV_12Data!$A$1:$DZU$1000000,3062,FALSE)</f>
        <v>#N/A</v>
      </c>
      <c r="B181" s="37" t="e">
        <f>VLOOKUP(A1,DIV_12Data!$A$1:$DZU$1000000,3063,FALSE)</f>
        <v>#N/A</v>
      </c>
      <c r="C181" s="38" t="e">
        <f>VLOOKUP(A1,DIV_12Data!$A$1:$DZU$1000000,3064,FALSE)</f>
        <v>#N/A</v>
      </c>
      <c r="D181" s="31" t="e">
        <f>VLOOKUP(A1,DIV_12Data!$A$1:$DZU$1000000,3065,FALSE)</f>
        <v>#N/A</v>
      </c>
      <c r="E181" s="32" t="e">
        <f>VLOOKUP(A1,DIV_12Data!$A$1:$DZU$1000000,3066,FALSE)</f>
        <v>#N/A</v>
      </c>
      <c r="F181" s="34" t="e">
        <f>VLOOKUP(A1,DIV_12Data!$A$1:$DZU$1000000,3067,FALSE)</f>
        <v>#N/A</v>
      </c>
      <c r="G181" s="33" t="e">
        <f>VLOOKUP(A1,DIV_12Data!$A$1:$DZU$1000000,3068,FALSE)</f>
        <v>#N/A</v>
      </c>
      <c r="H181" s="34" t="e">
        <f>VLOOKUP(A1,DIV_12Data!$A$1:$DZU$1000000,3069,FALSE)</f>
        <v>#N/A</v>
      </c>
      <c r="I181" s="33" t="e">
        <f>VLOOKUP(A1,DIV_12Data!$A$1:$DZU$1000000,3070,FALSE)</f>
        <v>#N/A</v>
      </c>
      <c r="J181" s="34" t="e">
        <f>VLOOKUP(A1,DIV_12Data!$A$1:$DZU$1000000,3071,FALSE)</f>
        <v>#N/A</v>
      </c>
      <c r="K181" s="34" t="e">
        <f>VLOOKUP(A1,DIV_12Data!$A$1:$DZU$1000000,3072,FALSE)</f>
        <v>#N/A</v>
      </c>
      <c r="L181" s="93" t="e">
        <f>VLOOKUP(A1,DIV_12Data!$A$1:$DZU$1000000,3073,FALSE)</f>
        <v>#N/A</v>
      </c>
      <c r="M181" s="33" t="e">
        <f>VLOOKUP(A1,DIV_12Data!$A$1:$DZU$1000000,3074,FALSE)</f>
        <v>#N/A</v>
      </c>
      <c r="N181" s="34" t="e">
        <f>VLOOKUP(A1,DIV_12Data!$A$1:$DZU$1000000,3075,FALSE)</f>
        <v>#N/A</v>
      </c>
      <c r="O181" s="33" t="e">
        <f>VLOOKUP(A1,DIV_12Data!$A$1:$DZU$1000000,3076,FALSE)</f>
        <v>#N/A</v>
      </c>
      <c r="P181" s="46" t="e">
        <f>VLOOKUP(A1,DIV_12Data!$A$1:$DZU$1000000,3077,FALSE)</f>
        <v>#N/A</v>
      </c>
      <c r="Q181" s="33" t="e">
        <f>VLOOKUP(A1,DIV_12Data!$A$1:$DZU$1000000,3078,FALSE)</f>
        <v>#N/A</v>
      </c>
    </row>
    <row r="182" spans="1:17" x14ac:dyDescent="0.35">
      <c r="A182" s="22" t="e">
        <f>VLOOKUP(A1,DIV_12Data!$A$1:$DZU$1000000,3079,FALSE)</f>
        <v>#N/A</v>
      </c>
      <c r="B182" s="37" t="e">
        <f>VLOOKUP(A1,DIV_12Data!$A$1:$DZU$1000000,3080,FALSE)</f>
        <v>#N/A</v>
      </c>
      <c r="C182" s="38" t="e">
        <f>VLOOKUP(A1,DIV_12Data!$A$1:$DZU$1000000,3081,FALSE)</f>
        <v>#N/A</v>
      </c>
      <c r="D182" s="31" t="e">
        <f>VLOOKUP(A1,DIV_12Data!$A$1:$DZU$1000000,3082,FALSE)</f>
        <v>#N/A</v>
      </c>
      <c r="E182" s="32" t="e">
        <f>VLOOKUP(A1,DIV_12Data!$A$1:$DZU$1000000,3083,FALSE)</f>
        <v>#N/A</v>
      </c>
      <c r="F182" s="34" t="e">
        <f>VLOOKUP(A1,DIV_12Data!$A$1:$DZU$1000000,3084,FALSE)</f>
        <v>#N/A</v>
      </c>
      <c r="G182" s="33" t="e">
        <f>VLOOKUP(A1,DIV_12Data!$A$1:$DZU$1000000,3085,FALSE)</f>
        <v>#N/A</v>
      </c>
      <c r="H182" s="34" t="e">
        <f>VLOOKUP(A1,DIV_12Data!$A$1:$DZU$1000000,3086,FALSE)</f>
        <v>#N/A</v>
      </c>
      <c r="I182" s="33" t="e">
        <f>VLOOKUP(A1,DIV_12Data!$A$1:$DZU$1000000,3087,FALSE)</f>
        <v>#N/A</v>
      </c>
      <c r="J182" s="34" t="e">
        <f>VLOOKUP(A1,DIV_12Data!$A$1:$DZU$1000000,3088,FALSE)</f>
        <v>#N/A</v>
      </c>
      <c r="K182" s="34" t="e">
        <f>VLOOKUP(A1,DIV_12Data!$A$1:$DZU$1000000,3089,FALSE)</f>
        <v>#N/A</v>
      </c>
      <c r="L182" s="93" t="e">
        <f>VLOOKUP(A1,DIV_12Data!$A$1:$DZU$1000000,3090,FALSE)</f>
        <v>#N/A</v>
      </c>
      <c r="M182" s="33" t="e">
        <f>VLOOKUP(A1,DIV_12Data!$A$1:$DZU$1000000,3091,FALSE)</f>
        <v>#N/A</v>
      </c>
      <c r="N182" s="34" t="e">
        <f>VLOOKUP(A1,DIV_12Data!$A$1:$DZU$1000000,3092,FALSE)</f>
        <v>#N/A</v>
      </c>
      <c r="O182" s="33" t="e">
        <f>VLOOKUP(A1,DIV_12Data!$A$1:$DZU$1000000,3093,FALSE)</f>
        <v>#N/A</v>
      </c>
      <c r="P182" s="46" t="e">
        <f>VLOOKUP(A1,DIV_12Data!$A$1:$DZU$1000000,3094,FALSE)</f>
        <v>#N/A</v>
      </c>
      <c r="Q182" s="33" t="e">
        <f>VLOOKUP(A1,DIV_12Data!$A$1:$DZU$1000000,3095,FALSE)</f>
        <v>#N/A</v>
      </c>
    </row>
    <row r="183" spans="1:17" x14ac:dyDescent="0.35">
      <c r="A183" s="22" t="e">
        <f>VLOOKUP(A1,DIV_12Data!$A$1:$DZU$1000000,3096,FALSE)</f>
        <v>#N/A</v>
      </c>
      <c r="B183" s="37" t="e">
        <f>VLOOKUP(A1,DIV_12Data!$A$1:$DZU$1000000,3097,FALSE)</f>
        <v>#N/A</v>
      </c>
      <c r="C183" s="38" t="e">
        <f>VLOOKUP(A1,DIV_12Data!$A$1:$DZU$1000000,3098,FALSE)</f>
        <v>#N/A</v>
      </c>
      <c r="D183" s="31" t="e">
        <f>VLOOKUP(A1,DIV_12Data!$A$1:$DZU$1000000,3099,FALSE)</f>
        <v>#N/A</v>
      </c>
      <c r="E183" s="32" t="e">
        <f>VLOOKUP(A1,DIV_12Data!$A$1:$DZU$1000000,3100,FALSE)</f>
        <v>#N/A</v>
      </c>
      <c r="F183" s="34" t="e">
        <f>VLOOKUP(A1,DIV_12Data!$A$1:$DZU$1000000,3101,FALSE)</f>
        <v>#N/A</v>
      </c>
      <c r="G183" s="33" t="e">
        <f>VLOOKUP(A1,DIV_12Data!$A$1:$DZU$1000000,3102,FALSE)</f>
        <v>#N/A</v>
      </c>
      <c r="H183" s="34" t="e">
        <f>VLOOKUP(A1,DIV_12Data!$A$1:$DZU$1000000,3103,FALSE)</f>
        <v>#N/A</v>
      </c>
      <c r="I183" s="33" t="e">
        <f>VLOOKUP(A1,DIV_12Data!$A$1:$DZU$1000000,3104,FALSE)</f>
        <v>#N/A</v>
      </c>
      <c r="J183" s="34" t="e">
        <f>VLOOKUP(A1,DIV_12Data!$A$1:$DZU$1000000,3105,FALSE)</f>
        <v>#N/A</v>
      </c>
      <c r="K183" s="34" t="e">
        <f>VLOOKUP(A1,DIV_12Data!$A$1:$DZU$1000000,3106,FALSE)</f>
        <v>#N/A</v>
      </c>
      <c r="L183" s="93" t="e">
        <f>VLOOKUP(A1,DIV_12Data!$A$1:$DZU$1000000,3107,FALSE)</f>
        <v>#N/A</v>
      </c>
      <c r="M183" s="33" t="e">
        <f>VLOOKUP(A1,DIV_12Data!$A$1:$DZU$1000000,3108,FALSE)</f>
        <v>#N/A</v>
      </c>
      <c r="N183" s="34" t="e">
        <f>VLOOKUP(A1,DIV_12Data!$A$1:$DZU$1000000,3109,FALSE)</f>
        <v>#N/A</v>
      </c>
      <c r="O183" s="33" t="e">
        <f>VLOOKUP(A1,DIV_12Data!$A$1:$DZU$1000000,3110,FALSE)</f>
        <v>#N/A</v>
      </c>
      <c r="P183" s="46" t="e">
        <f>VLOOKUP(A1,DIV_12Data!$A$1:$DZU$1000000,3111,FALSE)</f>
        <v>#N/A</v>
      </c>
      <c r="Q183" s="33" t="e">
        <f>VLOOKUP(A1,DIV_12Data!$A$1:$DZU$1000000,3112,FALSE)</f>
        <v>#N/A</v>
      </c>
    </row>
    <row r="184" spans="1:17" x14ac:dyDescent="0.35">
      <c r="A184" s="22" t="e">
        <f>VLOOKUP(A1,DIV_12Data!$A$1:$DZU$1000000,3113,FALSE)</f>
        <v>#N/A</v>
      </c>
      <c r="B184" s="37" t="e">
        <f>VLOOKUP(A1,DIV_12Data!$A$1:$DZU$1000000,3114,FALSE)</f>
        <v>#N/A</v>
      </c>
      <c r="C184" s="38" t="e">
        <f>VLOOKUP(A1,DIV_12Data!$A$1:$DZU$1000000,3115,FALSE)</f>
        <v>#N/A</v>
      </c>
      <c r="D184" s="31" t="e">
        <f>VLOOKUP(A1,DIV_12Data!$A$1:$DZU$1000000,3116,FALSE)</f>
        <v>#N/A</v>
      </c>
      <c r="E184" s="32" t="e">
        <f>VLOOKUP(A1,DIV_12Data!$A$1:$DZU$1000000,3117,FALSE)</f>
        <v>#N/A</v>
      </c>
      <c r="F184" s="34" t="e">
        <f>VLOOKUP(A1,DIV_12Data!$A$1:$DZU$1000000,3118,FALSE)</f>
        <v>#N/A</v>
      </c>
      <c r="G184" s="33" t="e">
        <f>VLOOKUP(A1,DIV_12Data!$A$1:$DZU$1000000,3119,FALSE)</f>
        <v>#N/A</v>
      </c>
      <c r="H184" s="34" t="e">
        <f>VLOOKUP(A1,DIV_12Data!$A$1:$DZU$1000000,3120,FALSE)</f>
        <v>#N/A</v>
      </c>
      <c r="I184" s="33" t="e">
        <f>VLOOKUP(A1,DIV_12Data!$A$1:$DZU$1000000,3121,FALSE)</f>
        <v>#N/A</v>
      </c>
      <c r="J184" s="34" t="e">
        <f>VLOOKUP(A1,DIV_12Data!$A$1:$DZU$1000000,3122,FALSE)</f>
        <v>#N/A</v>
      </c>
      <c r="K184" s="34" t="e">
        <f>VLOOKUP(A1,DIV_12Data!$A$1:$DZU$1000000,3123,FALSE)</f>
        <v>#N/A</v>
      </c>
      <c r="L184" s="93" t="e">
        <f>VLOOKUP(A1,DIV_12Data!$A$1:$DZU$1000000,3124,FALSE)</f>
        <v>#N/A</v>
      </c>
      <c r="M184" s="33" t="e">
        <f>VLOOKUP(A1,DIV_12Data!$A$1:$DZU$1000000,3125,FALSE)</f>
        <v>#N/A</v>
      </c>
      <c r="N184" s="34" t="e">
        <f>VLOOKUP(A1,DIV_12Data!$A$1:$DZU$1000000,3126,FALSE)</f>
        <v>#N/A</v>
      </c>
      <c r="O184" s="33" t="e">
        <f>VLOOKUP(A1,DIV_12Data!$A$1:$DZU$1000000,3127,FALSE)</f>
        <v>#N/A</v>
      </c>
      <c r="P184" s="46" t="e">
        <f>VLOOKUP(A1,DIV_12Data!$A$1:$DZU$1000000,3128,FALSE)</f>
        <v>#N/A</v>
      </c>
      <c r="Q184" s="33" t="e">
        <f>VLOOKUP(A1,DIV_12Data!$A$1:$DZU$1000000,3129,FALSE)</f>
        <v>#N/A</v>
      </c>
    </row>
    <row r="185" spans="1:17" x14ac:dyDescent="0.35">
      <c r="A185" s="22" t="e">
        <f>VLOOKUP(A1,DIV_12Data!$A$1:$DZU$1000000,3130,FALSE)</f>
        <v>#N/A</v>
      </c>
      <c r="B185" s="37" t="e">
        <f>VLOOKUP(A1,DIV_12Data!$A$1:$DZU$1000000,3131,FALSE)</f>
        <v>#N/A</v>
      </c>
      <c r="C185" s="38" t="e">
        <f>VLOOKUP(A1,DIV_12Data!$A$1:$DZU$1000000,3132,FALSE)</f>
        <v>#N/A</v>
      </c>
      <c r="D185" s="31" t="e">
        <f>VLOOKUP(A1,DIV_12Data!$A$1:$DZU$1000000,3133,FALSE)</f>
        <v>#N/A</v>
      </c>
      <c r="E185" s="32" t="e">
        <f>VLOOKUP(A1,DIV_12Data!$A$1:$DZU$1000000,3134,FALSE)</f>
        <v>#N/A</v>
      </c>
      <c r="F185" s="34" t="e">
        <f>VLOOKUP(A1,DIV_12Data!$A$1:$DZU$1000000,3135,FALSE)</f>
        <v>#N/A</v>
      </c>
      <c r="G185" s="33" t="e">
        <f>VLOOKUP(A1,DIV_12Data!$A$1:$DZU$1000000,3136,FALSE)</f>
        <v>#N/A</v>
      </c>
      <c r="H185" s="34" t="e">
        <f>VLOOKUP(A1,DIV_12Data!$A$1:$DZU$1000000,3137,FALSE)</f>
        <v>#N/A</v>
      </c>
      <c r="I185" s="33" t="e">
        <f>VLOOKUP(A1,DIV_12Data!$A$1:$DZU$1000000,3138,FALSE)</f>
        <v>#N/A</v>
      </c>
      <c r="J185" s="34" t="e">
        <f>VLOOKUP(A1,DIV_12Data!$A$1:$DZU$1000000,3139,FALSE)</f>
        <v>#N/A</v>
      </c>
      <c r="K185" s="34" t="e">
        <f>VLOOKUP(A1,DIV_12Data!$A$1:$DZU$1000000,3140,FALSE)</f>
        <v>#N/A</v>
      </c>
      <c r="L185" s="93" t="e">
        <f>VLOOKUP(A1,DIV_12Data!$A$1:$DZU$1000000,3141,FALSE)</f>
        <v>#N/A</v>
      </c>
      <c r="M185" s="33" t="e">
        <f>VLOOKUP(A1,DIV_12Data!$A$1:$DZU$1000000,3142,FALSE)</f>
        <v>#N/A</v>
      </c>
      <c r="N185" s="34" t="e">
        <f>VLOOKUP(A1,DIV_12Data!$A$1:$DZU$1000000,3143,FALSE)</f>
        <v>#N/A</v>
      </c>
      <c r="O185" s="33" t="e">
        <f>VLOOKUP(A1,DIV_12Data!$A$1:$DZU$1000000,3144,FALSE)</f>
        <v>#N/A</v>
      </c>
      <c r="P185" s="46" t="e">
        <f>VLOOKUP(A1,DIV_12Data!$A$1:$DZU$1000000,3145,FALSE)</f>
        <v>#N/A</v>
      </c>
      <c r="Q185" s="33" t="e">
        <f>VLOOKUP(A1,DIV_12Data!$A$1:$DZU$1000000,3146,FALSE)</f>
        <v>#N/A</v>
      </c>
    </row>
    <row r="186" spans="1:17" x14ac:dyDescent="0.35">
      <c r="A186" s="22" t="e">
        <f>VLOOKUP(A1,DIV_12Data!$A$1:$DZU$1000000,3147,FALSE)</f>
        <v>#N/A</v>
      </c>
      <c r="B186" s="37" t="e">
        <f>VLOOKUP(A1,DIV_12Data!$A$1:$DZU$1000000,3148,FALSE)</f>
        <v>#N/A</v>
      </c>
      <c r="C186" s="38" t="e">
        <f>VLOOKUP(A1,DIV_12Data!$A$1:$DZU$1000000,3149,FALSE)</f>
        <v>#N/A</v>
      </c>
      <c r="D186" s="31" t="e">
        <f>VLOOKUP(A1,DIV_12Data!$A$1:$DZU$1000000,3150,FALSE)</f>
        <v>#N/A</v>
      </c>
      <c r="E186" s="32" t="e">
        <f>VLOOKUP(A1,DIV_12Data!$A$1:$DZU$1000000,3151,FALSE)</f>
        <v>#N/A</v>
      </c>
      <c r="F186" s="34" t="e">
        <f>VLOOKUP(A1,DIV_12Data!$A$1:$DZU$1000000,3152,FALSE)</f>
        <v>#N/A</v>
      </c>
      <c r="G186" s="33" t="e">
        <f>VLOOKUP(A1,DIV_12Data!$A$1:$DZU$1000000,3153,FALSE)</f>
        <v>#N/A</v>
      </c>
      <c r="H186" s="34" t="e">
        <f>VLOOKUP(A1,DIV_12Data!$A$1:$DZU$1000000,3154,FALSE)</f>
        <v>#N/A</v>
      </c>
      <c r="I186" s="33" t="e">
        <f>VLOOKUP(A1,DIV_12Data!$A$1:$DZU$1000000,3155,FALSE)</f>
        <v>#N/A</v>
      </c>
      <c r="J186" s="34" t="e">
        <f>VLOOKUP(A1,DIV_12Data!$A$1:$DZU$1000000,3156,FALSE)</f>
        <v>#N/A</v>
      </c>
      <c r="K186" s="34" t="e">
        <f>VLOOKUP(A1,DIV_12Data!$A$1:$DZU$1000000,3157,FALSE)</f>
        <v>#N/A</v>
      </c>
      <c r="L186" s="93" t="e">
        <f>VLOOKUP(A1,DIV_12Data!$A$1:$DZU$1000000,3158,FALSE)</f>
        <v>#N/A</v>
      </c>
      <c r="M186" s="33" t="e">
        <f>VLOOKUP(A1,DIV_12Data!$A$1:$DZU$1000000,3159,FALSE)</f>
        <v>#N/A</v>
      </c>
      <c r="N186" s="34" t="e">
        <f>VLOOKUP(A1,DIV_12Data!$A$1:$DZU$1000000,3160,FALSE)</f>
        <v>#N/A</v>
      </c>
      <c r="O186" s="33" t="e">
        <f>VLOOKUP(A1,DIV_12Data!$A$1:$DZU$1000000,3161,FALSE)</f>
        <v>#N/A</v>
      </c>
      <c r="P186" s="46" t="e">
        <f>VLOOKUP(A1,DIV_12Data!$A$1:$DZU$1000000,3162,FALSE)</f>
        <v>#N/A</v>
      </c>
      <c r="Q186" s="33" t="e">
        <f>VLOOKUP(A1,DIV_12Data!$A$1:$DZU$1000000,3163,FALSE)</f>
        <v>#N/A</v>
      </c>
    </row>
    <row r="187" spans="1:17" x14ac:dyDescent="0.35">
      <c r="A187" s="22" t="e">
        <f>VLOOKUP(A1,DIV_12Data!$A$1:$DZU$1000000,3164,FALSE)</f>
        <v>#N/A</v>
      </c>
      <c r="B187" s="37" t="e">
        <f>VLOOKUP(A1,DIV_12Data!$A$1:$DZU$1000000,3165,FALSE)</f>
        <v>#N/A</v>
      </c>
      <c r="C187" s="38" t="e">
        <f>VLOOKUP(A1,DIV_12Data!$A$1:$DZU$1000000,3166,FALSE)</f>
        <v>#N/A</v>
      </c>
      <c r="D187" s="31" t="e">
        <f>VLOOKUP(A1,DIV_12Data!$A$1:$DZU$1000000,3167,FALSE)</f>
        <v>#N/A</v>
      </c>
      <c r="E187" s="32" t="e">
        <f>VLOOKUP(A1,DIV_12Data!$A$1:$DZU$1000000,3168,FALSE)</f>
        <v>#N/A</v>
      </c>
      <c r="F187" s="34" t="e">
        <f>VLOOKUP(A1,DIV_12Data!$A$1:$DZU$1000000,3169,FALSE)</f>
        <v>#N/A</v>
      </c>
      <c r="G187" s="33" t="e">
        <f>VLOOKUP(A1,DIV_12Data!$A$1:$DZU$1000000,3170,FALSE)</f>
        <v>#N/A</v>
      </c>
      <c r="H187" s="34" t="e">
        <f>VLOOKUP(A1,DIV_12Data!$A$1:$DZU$1000000,3171,FALSE)</f>
        <v>#N/A</v>
      </c>
      <c r="I187" s="33" t="e">
        <f>VLOOKUP(A1,DIV_12Data!$A$1:$DZU$1000000,3172,FALSE)</f>
        <v>#N/A</v>
      </c>
      <c r="J187" s="34" t="e">
        <f>VLOOKUP(A1,DIV_12Data!$A$1:$DZU$1000000,3173,FALSE)</f>
        <v>#N/A</v>
      </c>
      <c r="K187" s="34" t="e">
        <f>VLOOKUP(A1,DIV_12Data!$A$1:$DZU$1000000,3174,FALSE)</f>
        <v>#N/A</v>
      </c>
      <c r="L187" s="93" t="e">
        <f>VLOOKUP(A1,DIV_12Data!$A$1:$DZU$1000000,3175,FALSE)</f>
        <v>#N/A</v>
      </c>
      <c r="M187" s="33" t="e">
        <f>VLOOKUP(A1,DIV_12Data!$A$1:$DZU$1000000,3176,FALSE)</f>
        <v>#N/A</v>
      </c>
      <c r="N187" s="34" t="e">
        <f>VLOOKUP(A1,DIV_12Data!$A$1:$DZU$1000000,3177,FALSE)</f>
        <v>#N/A</v>
      </c>
      <c r="O187" s="33" t="e">
        <f>VLOOKUP(A1,DIV_12Data!$A$1:$DZU$1000000,3178,FALSE)</f>
        <v>#N/A</v>
      </c>
      <c r="P187" s="46" t="e">
        <f>VLOOKUP(A1,DIV_12Data!$A$1:$DZU$1000000,3179,FALSE)</f>
        <v>#N/A</v>
      </c>
      <c r="Q187" s="33" t="e">
        <f>VLOOKUP(A1,DIV_12Data!$A$1:$DZU$1000000,3180,FALSE)</f>
        <v>#N/A</v>
      </c>
    </row>
    <row r="188" spans="1:17" x14ac:dyDescent="0.35">
      <c r="A188" s="22" t="e">
        <f>VLOOKUP(A1,DIV_12Data!$A$1:$DZU$1000000,3181,FALSE)</f>
        <v>#N/A</v>
      </c>
      <c r="B188" s="37" t="e">
        <f>VLOOKUP(A1,DIV_12Data!$A$1:$DZU$1000000,3182,FALSE)</f>
        <v>#N/A</v>
      </c>
      <c r="C188" s="38" t="e">
        <f>VLOOKUP(A1,DIV_12Data!$A$1:$DZU$1000000,3183,FALSE)</f>
        <v>#N/A</v>
      </c>
      <c r="D188" s="31" t="e">
        <f>VLOOKUP(A1,DIV_12Data!$A$1:$DZU$1000000,3184,FALSE)</f>
        <v>#N/A</v>
      </c>
      <c r="E188" s="32" t="e">
        <f>VLOOKUP(A1,DIV_12Data!$A$1:$DZU$1000000,3185,FALSE)</f>
        <v>#N/A</v>
      </c>
      <c r="F188" s="34" t="e">
        <f>VLOOKUP(A1,DIV_12Data!$A$1:$DZU$1000000,3186,FALSE)</f>
        <v>#N/A</v>
      </c>
      <c r="G188" s="33" t="e">
        <f>VLOOKUP(A1,DIV_12Data!$A$1:$DZU$1000000,3187,FALSE)</f>
        <v>#N/A</v>
      </c>
      <c r="H188" s="34" t="e">
        <f>VLOOKUP(A1,DIV_12Data!$A$1:$DZU$1000000,3188,FALSE)</f>
        <v>#N/A</v>
      </c>
      <c r="I188" s="33" t="e">
        <f>VLOOKUP(A1,DIV_12Data!$A$1:$DZU$1000000,3189,FALSE)</f>
        <v>#N/A</v>
      </c>
      <c r="J188" s="34" t="e">
        <f>VLOOKUP(A1,DIV_12Data!$A$1:$DZU$1000000,3190,FALSE)</f>
        <v>#N/A</v>
      </c>
      <c r="K188" s="34" t="e">
        <f>VLOOKUP(A1,DIV_12Data!$A$1:$DZU$1000000,3191,FALSE)</f>
        <v>#N/A</v>
      </c>
      <c r="L188" s="93" t="e">
        <f>VLOOKUP(A1,DIV_12Data!$A$1:$DZU$1000000,3192,FALSE)</f>
        <v>#N/A</v>
      </c>
      <c r="M188" s="33" t="e">
        <f>VLOOKUP(A1,DIV_12Data!$A$1:$DZU$1000000,3193,FALSE)</f>
        <v>#N/A</v>
      </c>
      <c r="N188" s="34" t="e">
        <f>VLOOKUP(A1,DIV_12Data!$A$1:$DZU$1000000,3194,FALSE)</f>
        <v>#N/A</v>
      </c>
      <c r="O188" s="33" t="e">
        <f>VLOOKUP(A1,DIV_12Data!$A$1:$DZU$1000000,3195,FALSE)</f>
        <v>#N/A</v>
      </c>
      <c r="P188" s="46" t="e">
        <f>VLOOKUP(A1,DIV_12Data!$A$1:$DZU$1000000,3196,FALSE)</f>
        <v>#N/A</v>
      </c>
      <c r="Q188" s="33" t="e">
        <f>VLOOKUP(A1,DIV_12Data!$A$1:$DZU$1000000,3197,FALSE)</f>
        <v>#N/A</v>
      </c>
    </row>
    <row r="189" spans="1:17" x14ac:dyDescent="0.35">
      <c r="A189" s="22" t="e">
        <f>VLOOKUP(A1,DIV_12Data!$A$1:$DZU$1000000,3198,FALSE)</f>
        <v>#N/A</v>
      </c>
      <c r="B189" s="37" t="e">
        <f>VLOOKUP(A1,DIV_12Data!$A$1:$DZU$1000000,3199,FALSE)</f>
        <v>#N/A</v>
      </c>
      <c r="C189" s="38" t="e">
        <f>VLOOKUP(A1,DIV_12Data!$A$1:$DZU$1000000,3200,FALSE)</f>
        <v>#N/A</v>
      </c>
      <c r="D189" s="31" t="e">
        <f>VLOOKUP(A1,DIV_12Data!$A$1:$DZU$1000000,3201,FALSE)</f>
        <v>#N/A</v>
      </c>
      <c r="E189" s="32" t="e">
        <f>VLOOKUP(A1,DIV_12Data!$A$1:$DZU$1000000,3202,FALSE)</f>
        <v>#N/A</v>
      </c>
      <c r="F189" s="34" t="e">
        <f>VLOOKUP(A1,DIV_12Data!$A$1:$DZU$1000000,3203,FALSE)</f>
        <v>#N/A</v>
      </c>
      <c r="G189" s="33" t="e">
        <f>VLOOKUP(A1,DIV_12Data!$A$1:$DZU$1000000,3204,FALSE)</f>
        <v>#N/A</v>
      </c>
      <c r="H189" s="34" t="e">
        <f>VLOOKUP(A1,DIV_12Data!$A$1:$DZU$1000000,3205,FALSE)</f>
        <v>#N/A</v>
      </c>
      <c r="I189" s="33" t="e">
        <f>VLOOKUP(A1,DIV_12Data!$A$1:$DZU$1000000,3206,FALSE)</f>
        <v>#N/A</v>
      </c>
      <c r="J189" s="34" t="e">
        <f>VLOOKUP(A1,DIV_12Data!$A$1:$DZU$1000000,3207,FALSE)</f>
        <v>#N/A</v>
      </c>
      <c r="K189" s="34" t="e">
        <f>VLOOKUP(A1,DIV_12Data!$A$1:$DZU$1000000,3208,FALSE)</f>
        <v>#N/A</v>
      </c>
      <c r="L189" s="93" t="e">
        <f>VLOOKUP(A1,DIV_12Data!$A$1:$DZU$1000000,3209,FALSE)</f>
        <v>#N/A</v>
      </c>
      <c r="M189" s="33" t="e">
        <f>VLOOKUP(A1,DIV_12Data!$A$1:$DZU$1000000,3210,FALSE)</f>
        <v>#N/A</v>
      </c>
      <c r="N189" s="34" t="e">
        <f>VLOOKUP(A1,DIV_12Data!$A$1:$DZU$1000000,3211,FALSE)</f>
        <v>#N/A</v>
      </c>
      <c r="O189" s="33" t="e">
        <f>VLOOKUP(A1,DIV_12Data!$A$1:$DZU$1000000,3212,FALSE)</f>
        <v>#N/A</v>
      </c>
      <c r="P189" s="46" t="e">
        <f>VLOOKUP(A1,DIV_12Data!$A$1:$DZU$1000000,3213,FALSE)</f>
        <v>#N/A</v>
      </c>
      <c r="Q189" s="33" t="e">
        <f>VLOOKUP(A1,DIV_12Data!$A$1:$DZU$1000000,3214,FALSE)</f>
        <v>#N/A</v>
      </c>
    </row>
    <row r="190" spans="1:17" x14ac:dyDescent="0.35">
      <c r="A190" s="22" t="e">
        <f>VLOOKUP(A1,DIV_12Data!$A$1:$DZU$1000000,3215,FALSE)</f>
        <v>#N/A</v>
      </c>
      <c r="B190" s="37" t="e">
        <f>VLOOKUP(A1,DIV_12Data!$A$1:$DZU$1000000,3216,FALSE)</f>
        <v>#N/A</v>
      </c>
      <c r="C190" s="38" t="e">
        <f>VLOOKUP(A1,DIV_12Data!$A$1:$DZU$1000000,3217,FALSE)</f>
        <v>#N/A</v>
      </c>
      <c r="D190" s="31" t="e">
        <f>VLOOKUP(A1,DIV_12Data!$A$1:$DZU$1000000,3218,FALSE)</f>
        <v>#N/A</v>
      </c>
      <c r="E190" s="32" t="e">
        <f>VLOOKUP(A1,DIV_12Data!$A$1:$DZU$1000000,3219,FALSE)</f>
        <v>#N/A</v>
      </c>
      <c r="F190" s="34" t="e">
        <f>VLOOKUP(A1,DIV_12Data!$A$1:$DZU$1000000,3220,FALSE)</f>
        <v>#N/A</v>
      </c>
      <c r="G190" s="33" t="e">
        <f>VLOOKUP(A1,DIV_12Data!$A$1:$DZU$1000000,3221,FALSE)</f>
        <v>#N/A</v>
      </c>
      <c r="H190" s="34" t="e">
        <f>VLOOKUP(A1,DIV_12Data!$A$1:$DZU$1000000,3222,FALSE)</f>
        <v>#N/A</v>
      </c>
      <c r="I190" s="33" t="e">
        <f>VLOOKUP(A1,DIV_12Data!$A$1:$DZU$1000000,3223,FALSE)</f>
        <v>#N/A</v>
      </c>
      <c r="J190" s="34" t="e">
        <f>VLOOKUP(A1,DIV_12Data!$A$1:$DZU$1000000,3224,FALSE)</f>
        <v>#N/A</v>
      </c>
      <c r="K190" s="34" t="e">
        <f>VLOOKUP(A1,DIV_12Data!$A$1:$DZU$1000000,3225,FALSE)</f>
        <v>#N/A</v>
      </c>
      <c r="L190" s="93" t="e">
        <f>VLOOKUP(A1,DIV_12Data!$A$1:$DZU$1000000,3226,FALSE)</f>
        <v>#N/A</v>
      </c>
      <c r="M190" s="33" t="e">
        <f>VLOOKUP(A1,DIV_12Data!$A$1:$DZU$1000000,3227,FALSE)</f>
        <v>#N/A</v>
      </c>
      <c r="N190" s="34" t="e">
        <f>VLOOKUP(A1,DIV_12Data!$A$1:$DZU$1000000,3228,FALSE)</f>
        <v>#N/A</v>
      </c>
      <c r="O190" s="33" t="e">
        <f>VLOOKUP(A1,DIV_12Data!$A$1:$DZU$1000000,3229,FALSE)</f>
        <v>#N/A</v>
      </c>
      <c r="P190" s="46" t="e">
        <f>VLOOKUP(A1,DIV_12Data!$A$1:$DZU$1000000,3230,FALSE)</f>
        <v>#N/A</v>
      </c>
      <c r="Q190" s="33" t="e">
        <f>VLOOKUP(A1,DIV_12Data!$A$1:$DZU$1000000,3231,FALSE)</f>
        <v>#N/A</v>
      </c>
    </row>
    <row r="191" spans="1:17" x14ac:dyDescent="0.35">
      <c r="A191" s="22" t="e">
        <f>VLOOKUP(A1,DIV_12Data!$A$1:$DZU$1000000,3232,FALSE)</f>
        <v>#N/A</v>
      </c>
      <c r="B191" s="37" t="e">
        <f>VLOOKUP(A1,DIV_12Data!$A$1:$DZU$1000000,3233,FALSE)</f>
        <v>#N/A</v>
      </c>
      <c r="C191" s="43" t="e">
        <f>VLOOKUP(A1,DIV_12Data!$A$1:$DZU$1000000,3234,FALSE)</f>
        <v>#N/A</v>
      </c>
      <c r="D191" s="31" t="e">
        <f>VLOOKUP(A1,DIV_12Data!$A$1:$DZU$1000000,3235,FALSE)</f>
        <v>#N/A</v>
      </c>
      <c r="E191" s="32" t="e">
        <f>VLOOKUP(A1,DIV_12Data!$A$1:$DZU$1000000,3236,FALSE)</f>
        <v>#N/A</v>
      </c>
      <c r="F191" s="44" t="e">
        <f>VLOOKUP(A1,DIV_12Data!$A$1:$DZU$1000000,3237,FALSE)</f>
        <v>#N/A</v>
      </c>
      <c r="G191" s="45" t="e">
        <f>VLOOKUP(A1,DIV_12Data!$A$1:$DZU$1000000,3238,FALSE)</f>
        <v>#N/A</v>
      </c>
      <c r="H191" s="44" t="e">
        <f>VLOOKUP(A1,DIV_12Data!$A$1:$DZU$1000000,3239,FALSE)</f>
        <v>#N/A</v>
      </c>
      <c r="I191" s="45" t="e">
        <f>VLOOKUP(A1,DIV_12Data!$A$1:$DZU$1000000,3240,FALSE)</f>
        <v>#N/A</v>
      </c>
      <c r="J191" s="34" t="e">
        <f>VLOOKUP(A1,DIV_12Data!$A$1:$DZU$1000000,3241,FALSE)</f>
        <v>#N/A</v>
      </c>
      <c r="K191" s="43" t="e">
        <f>VLOOKUP(A1,DIV_12Data!$A$1:$DZU$1000000,3242,FALSE)</f>
        <v>#N/A</v>
      </c>
      <c r="L191" s="44" t="e">
        <f>VLOOKUP(A1,DIV_12Data!$A$1:$DZU$1000000,3243,FALSE)</f>
        <v>#N/A</v>
      </c>
      <c r="M191" s="45" t="e">
        <f>VLOOKUP(A1,DIV_12Data!$A$1:$DZU$1000000,3244,FALSE)</f>
        <v>#N/A</v>
      </c>
      <c r="N191" s="44" t="e">
        <f>VLOOKUP(A1,DIV_12Data!$A$1:$DZU$1000000,3245,FALSE)</f>
        <v>#N/A</v>
      </c>
      <c r="O191" s="45" t="e">
        <f>VLOOKUP(A1,DIV_12Data!$A$1:$DZU$1000000,3246,FALSE)</f>
        <v>#N/A</v>
      </c>
      <c r="P191" s="46" t="e">
        <f>VLOOKUP(A1,DIV_12Data!$A$1:$DZU$1000000,3247,FALSE)</f>
        <v>#N/A</v>
      </c>
      <c r="Q191" s="45" t="e">
        <f>VLOOKUP(A1,DIV_12Data!$A$1:$DZU$1000000,3248,FALSE)</f>
        <v>#N/A</v>
      </c>
    </row>
    <row r="192" spans="1:17" x14ac:dyDescent="0.35">
      <c r="A192" s="22" t="e">
        <f>VLOOKUP(A1,DIV_12Data!$A$1:$DZU$1000000,3249,FALSE)</f>
        <v>#N/A</v>
      </c>
      <c r="B192" s="37" t="e">
        <f>VLOOKUP(A1,DIV_12Data!$A$1:$DZU$1000000,3250,FALSE)</f>
        <v>#N/A</v>
      </c>
      <c r="C192" s="38" t="e">
        <f>VLOOKUP(A1,DIV_12Data!$A$1:$DZU$1000000,3251,FALSE)</f>
        <v>#N/A</v>
      </c>
      <c r="D192" s="31" t="e">
        <f>VLOOKUP(A1,DIV_12Data!$A$1:$DZU$1000000,3252,FALSE)</f>
        <v>#N/A</v>
      </c>
      <c r="E192" s="32" t="e">
        <f>VLOOKUP(A1,DIV_12Data!$A$1:$DZU$1000000,3253,FALSE)</f>
        <v>#N/A</v>
      </c>
      <c r="F192" s="34" t="e">
        <f>VLOOKUP(A1,DIV_12Data!$A$1:$DZU$1000000,3254,FALSE)</f>
        <v>#N/A</v>
      </c>
      <c r="G192" s="33" t="e">
        <f>VLOOKUP(A1,DIV_12Data!$A$1:$DZU$1000000,3255,FALSE)</f>
        <v>#N/A</v>
      </c>
      <c r="H192" s="34" t="e">
        <f>VLOOKUP(A1,DIV_12Data!$A$1:$DZU$1000000,3256,FALSE)</f>
        <v>#N/A</v>
      </c>
      <c r="I192" s="33" t="e">
        <f>VLOOKUP(A1,DIV_12Data!$A$1:$DZU$1000000,3257,FALSE)</f>
        <v>#N/A</v>
      </c>
      <c r="J192" s="34" t="e">
        <f>VLOOKUP(A1,DIV_12Data!$A$1:$DZU$1000000,3258,FALSE)</f>
        <v>#N/A</v>
      </c>
      <c r="K192" s="34" t="e">
        <f>VLOOKUP(A1,DIV_12Data!$A$1:$DZU$1000000,3259,FALSE)</f>
        <v>#N/A</v>
      </c>
      <c r="L192" s="34" t="e">
        <f>VLOOKUP(A1,DIV_12Data!$A$1:$DZU$1000000,3260,FALSE)</f>
        <v>#N/A</v>
      </c>
      <c r="M192" s="33" t="e">
        <f>VLOOKUP(A1,DIV_12Data!$A$1:$DZU$1000000,3261,FALSE)</f>
        <v>#N/A</v>
      </c>
      <c r="N192" s="34" t="e">
        <f>VLOOKUP(A1,DIV_12Data!$A$1:$DZU$1000000,3262,FALSE)</f>
        <v>#N/A</v>
      </c>
      <c r="O192" s="33" t="e">
        <f>VLOOKUP(A1,DIV_12Data!$A$1:$DZU$1000000,3263,FALSE)</f>
        <v>#N/A</v>
      </c>
      <c r="P192" s="46" t="e">
        <f>VLOOKUP(A1,DIV_12Data!$A$1:$DZU$1000000,3264,FALSE)</f>
        <v>#N/A</v>
      </c>
      <c r="Q192" s="33" t="e">
        <f>VLOOKUP(A1,DIV_12Data!$A$1:$DZU$1000000,3265,FALSE)</f>
        <v>#N/A</v>
      </c>
    </row>
    <row r="193" spans="1:17" x14ac:dyDescent="0.35">
      <c r="A193" s="22" t="e">
        <f>VLOOKUP(A1,DIV_12Data!$A$1:$DZU$1000000,3266,FALSE)</f>
        <v>#N/A</v>
      </c>
      <c r="B193" s="37" t="e">
        <f>VLOOKUP(A1,DIV_12Data!$A$1:$DZU$1000000,3267,FALSE)</f>
        <v>#N/A</v>
      </c>
      <c r="C193" s="30" t="e">
        <f>VLOOKUP(A1,DIV_12Data!$A$1:$DZU$1000000,3268,FALSE)</f>
        <v>#N/A</v>
      </c>
      <c r="D193" s="31" t="e">
        <f>VLOOKUP(A1,DIV_12Data!$A$1:$DZU$1000000,3269,FALSE)</f>
        <v>#N/A</v>
      </c>
      <c r="E193" s="32" t="e">
        <f>VLOOKUP(A1,DIV_12Data!$A$1:$DZU$1000000,3270,FALSE)</f>
        <v>#N/A</v>
      </c>
      <c r="F193" s="34" t="e">
        <f>VLOOKUP(A1,DIV_12Data!$A$1:$DZU$1000000,3271,FALSE)</f>
        <v>#N/A</v>
      </c>
      <c r="G193" s="33" t="e">
        <f>VLOOKUP(A1,DIV_12Data!$A$1:$DZU$1000000,3272,FALSE)</f>
        <v>#N/A</v>
      </c>
      <c r="H193" s="34" t="e">
        <f>VLOOKUP(A1,DIV_12Data!$A$1:$DZU$1000000,3273,FALSE)</f>
        <v>#N/A</v>
      </c>
      <c r="I193" s="33" t="e">
        <f>VLOOKUP(A1,DIV_12Data!$A$1:$DZU$1000000,3274,FALSE)</f>
        <v>#N/A</v>
      </c>
      <c r="J193" s="34" t="e">
        <f>VLOOKUP(A1,DIV_12Data!$A$1:$DZU$1000000,3275,FALSE)</f>
        <v>#N/A</v>
      </c>
      <c r="K193" s="34" t="e">
        <f>VLOOKUP(A1,DIV_12Data!$A$1:$DZU$1000000,3276,FALSE)</f>
        <v>#N/A</v>
      </c>
      <c r="L193" s="34" t="e">
        <f>VLOOKUP(A1,DIV_12Data!$A$1:$DZU$1000000,3277,FALSE)</f>
        <v>#N/A</v>
      </c>
      <c r="M193" s="33" t="e">
        <f>VLOOKUP(A1,DIV_12Data!$A$1:$DZU$1000000,3278,FALSE)</f>
        <v>#N/A</v>
      </c>
      <c r="N193" s="34" t="e">
        <f>VLOOKUP(A1,DIV_12Data!$A$1:$DZU$1000000,3279,FALSE)</f>
        <v>#N/A</v>
      </c>
      <c r="O193" s="33" t="e">
        <f>VLOOKUP(A1,DIV_12Data!$A$1:$DZU$1000000,3280,FALSE)</f>
        <v>#N/A</v>
      </c>
      <c r="P193" s="46" t="e">
        <f>VLOOKUP(A1,DIV_12Data!$A$1:$DZU$1000000,3281,FALSE)</f>
        <v>#N/A</v>
      </c>
      <c r="Q193" s="33" t="e">
        <f>VLOOKUP(A1,DIV_12Data!$A$1:$DZU$1000000,3282,FALSE)</f>
        <v>#N/A</v>
      </c>
    </row>
    <row r="194" spans="1:17" x14ac:dyDescent="0.35">
      <c r="A194" s="22" t="e">
        <f>VLOOKUP(A1,DIV_12Data!$A$1:$DZU$1000000,3283,FALSE)</f>
        <v>#N/A</v>
      </c>
      <c r="B194" s="37" t="e">
        <f>VLOOKUP(A1,DIV_12Data!$A$1:$DZU$1000000,3284,FALSE)</f>
        <v>#N/A</v>
      </c>
      <c r="C194" s="38" t="e">
        <f>VLOOKUP(A1,DIV_12Data!$A$1:$DZU$1000000,3285,FALSE)</f>
        <v>#N/A</v>
      </c>
      <c r="D194" s="31" t="e">
        <f>VLOOKUP(A1,DIV_12Data!$A$1:$DZU$1000000,3286,FALSE)</f>
        <v>#N/A</v>
      </c>
      <c r="E194" s="32" t="e">
        <f>VLOOKUP(A1,DIV_12Data!$A$1:$DZU$1000000,3287,FALSE)</f>
        <v>#N/A</v>
      </c>
      <c r="F194" s="34" t="e">
        <f>VLOOKUP(A1,DIV_12Data!$A$1:$DZU$1000000,3288,FALSE)</f>
        <v>#N/A</v>
      </c>
      <c r="G194" s="33" t="e">
        <f>VLOOKUP(A1,DIV_12Data!$A$1:$DZU$1000000,3289,FALSE)</f>
        <v>#N/A</v>
      </c>
      <c r="H194" s="34" t="e">
        <f>VLOOKUP(A1,DIV_12Data!$A$1:$DZU$1000000,3290,FALSE)</f>
        <v>#N/A</v>
      </c>
      <c r="I194" s="33" t="e">
        <f>VLOOKUP(A1,DIV_12Data!$A$1:$DZU$1000000,3291,FALSE)</f>
        <v>#N/A</v>
      </c>
      <c r="J194" s="34" t="e">
        <f>VLOOKUP(A1,DIV_12Data!$A$1:$DZU$1000000,3292,FALSE)</f>
        <v>#N/A</v>
      </c>
      <c r="K194" s="34" t="e">
        <f>VLOOKUP(A1,DIV_12Data!$A$1:$DZU$1000000,3293,FALSE)</f>
        <v>#N/A</v>
      </c>
      <c r="L194" s="93" t="e">
        <f>VLOOKUP(A1,DIV_12Data!$A$1:$DZU$1000000,3294,FALSE)</f>
        <v>#N/A</v>
      </c>
      <c r="M194" s="33" t="e">
        <f>VLOOKUP(A1,DIV_12Data!$A$1:$DZU$1000000,3295,FALSE)</f>
        <v>#N/A</v>
      </c>
      <c r="N194" s="34" t="e">
        <f>VLOOKUP(A1,DIV_12Data!$A$1:$DZU$1000000,3296,FALSE)</f>
        <v>#N/A</v>
      </c>
      <c r="O194" s="33" t="e">
        <f>VLOOKUP(A1,DIV_12Data!$A$1:$DZU$1000000,3297,FALSE)</f>
        <v>#N/A</v>
      </c>
      <c r="P194" s="46" t="e">
        <f>VLOOKUP(A1,DIV_12Data!$A$1:$DZU$1000000,3298,FALSE)</f>
        <v>#N/A</v>
      </c>
      <c r="Q194" s="33" t="e">
        <f>VLOOKUP(A1,DIV_12Data!$A$1:$DZU$1000000,3299,FALSE)</f>
        <v>#N/A</v>
      </c>
    </row>
    <row r="195" spans="1:17" x14ac:dyDescent="0.35">
      <c r="A195" s="22" t="e">
        <f>VLOOKUP(A1,DIV_12Data!$A$1:$DZU$1000000,3300,FALSE)</f>
        <v>#N/A</v>
      </c>
      <c r="B195" s="37" t="e">
        <f>VLOOKUP(A1,DIV_12Data!$A$1:$DZU$1000000,3301,FALSE)</f>
        <v>#N/A</v>
      </c>
      <c r="C195" s="38" t="e">
        <f>VLOOKUP(A1,DIV_12Data!$A$1:$DZU$1000000,3302,FALSE)</f>
        <v>#N/A</v>
      </c>
      <c r="D195" s="31" t="e">
        <f>VLOOKUP(A1,DIV_12Data!$A$1:$DZU$1000000,3303,FALSE)</f>
        <v>#N/A</v>
      </c>
      <c r="E195" s="32" t="e">
        <f>VLOOKUP(A1,DIV_12Data!$A$1:$DZU$1000000,3304,FALSE)</f>
        <v>#N/A</v>
      </c>
      <c r="F195" s="34" t="e">
        <f>VLOOKUP(A1,DIV_12Data!$A$1:$DZU$1000000,3305,FALSE)</f>
        <v>#N/A</v>
      </c>
      <c r="G195" s="33" t="e">
        <f>VLOOKUP(A1,DIV_12Data!$A$1:$DZU$1000000,3306,FALSE)</f>
        <v>#N/A</v>
      </c>
      <c r="H195" s="34" t="e">
        <f>VLOOKUP(A1,DIV_12Data!$A$1:$DZU$1000000,3307,FALSE)</f>
        <v>#N/A</v>
      </c>
      <c r="I195" s="33" t="e">
        <f>VLOOKUP(A1,DIV_12Data!$A$1:$DZU$1000000,3308,FALSE)</f>
        <v>#N/A</v>
      </c>
      <c r="J195" s="34" t="e">
        <f>VLOOKUP(A1,DIV_12Data!$A$1:$DZU$1000000,3309,FALSE)</f>
        <v>#N/A</v>
      </c>
      <c r="K195" s="34" t="e">
        <f>VLOOKUP(A1,DIV_12Data!$A$1:$DZU$1000000,3310,FALSE)</f>
        <v>#N/A</v>
      </c>
      <c r="L195" s="93" t="e">
        <f>VLOOKUP(A1,DIV_12Data!$A$1:$DZU$1000000,3311,FALSE)</f>
        <v>#N/A</v>
      </c>
      <c r="M195" s="33" t="e">
        <f>VLOOKUP(A1,DIV_12Data!$A$1:$DZU$1000000,3312,FALSE)</f>
        <v>#N/A</v>
      </c>
      <c r="N195" s="34" t="e">
        <f>VLOOKUP(A1,DIV_12Data!$A$1:$DZU$1000000,3313,FALSE)</f>
        <v>#N/A</v>
      </c>
      <c r="O195" s="33" t="e">
        <f>VLOOKUP(A1,DIV_12Data!$A$1:$DZU$1000000,3314,FALSE)</f>
        <v>#N/A</v>
      </c>
      <c r="P195" s="46" t="e">
        <f>VLOOKUP(A1,DIV_12Data!$A$1:$DZU$1000000,3315,FALSE)</f>
        <v>#N/A</v>
      </c>
      <c r="Q195" s="33" t="e">
        <f>VLOOKUP(A1,DIV_12Data!$A$1:$DZU$1000000,3316,FALSE)</f>
        <v>#N/A</v>
      </c>
    </row>
    <row r="196" spans="1:17" x14ac:dyDescent="0.35">
      <c r="A196" s="22" t="e">
        <f>VLOOKUP(A1,DIV_12Data!$A$1:$DZU$1000000,3317,FALSE)</f>
        <v>#N/A</v>
      </c>
      <c r="B196" s="37" t="e">
        <f>VLOOKUP(A1,DIV_12Data!$A$1:$DZU$1000000,3318,FALSE)</f>
        <v>#N/A</v>
      </c>
      <c r="C196" s="38" t="e">
        <f>VLOOKUP(A1,DIV_12Data!$A$1:$DZU$1000000,3319,FALSE)</f>
        <v>#N/A</v>
      </c>
      <c r="D196" s="31" t="e">
        <f>VLOOKUP(A1,DIV_12Data!$A$1:$DZU$1000000,3320,FALSE)</f>
        <v>#N/A</v>
      </c>
      <c r="E196" s="32" t="e">
        <f>VLOOKUP(A1,DIV_12Data!$A$1:$DZU$1000000,3321,FALSE)</f>
        <v>#N/A</v>
      </c>
      <c r="F196" s="34" t="e">
        <f>VLOOKUP(A1,DIV_12Data!$A$1:$DZU$1000000,3322,FALSE)</f>
        <v>#N/A</v>
      </c>
      <c r="G196" s="33" t="e">
        <f>VLOOKUP(A1,DIV_12Data!$A$1:$DZU$1000000,3323,FALSE)</f>
        <v>#N/A</v>
      </c>
      <c r="H196" s="34" t="e">
        <f>VLOOKUP(A1,DIV_12Data!$A$1:$DZU$1000000,3324,FALSE)</f>
        <v>#N/A</v>
      </c>
      <c r="I196" s="33" t="e">
        <f>VLOOKUP(A1,DIV_12Data!$A$1:$DZU$1000000,3325,FALSE)</f>
        <v>#N/A</v>
      </c>
      <c r="J196" s="34" t="e">
        <f>VLOOKUP(A1,DIV_12Data!$A$1:$DZU$1000000,3326,FALSE)</f>
        <v>#N/A</v>
      </c>
      <c r="K196" s="34" t="e">
        <f>VLOOKUP(A1,DIV_12Data!$A$1:$DZU$1000000,3327,FALSE)</f>
        <v>#N/A</v>
      </c>
      <c r="L196" s="93" t="e">
        <f>VLOOKUP(A1,DIV_12Data!$A$1:$DZU$1000000,3328,FALSE)</f>
        <v>#N/A</v>
      </c>
      <c r="M196" s="33" t="e">
        <f>VLOOKUP(A1,DIV_12Data!$A$1:$DZU$1000000,3329,FALSE)</f>
        <v>#N/A</v>
      </c>
      <c r="N196" s="34" t="e">
        <f>VLOOKUP(A1,DIV_12Data!$A$1:$DZU$1000000,3330,FALSE)</f>
        <v>#N/A</v>
      </c>
      <c r="O196" s="33" t="e">
        <f>VLOOKUP(A1,DIV_12Data!$A$1:$DZU$1000000,3331,FALSE)</f>
        <v>#N/A</v>
      </c>
      <c r="P196" s="46" t="e">
        <f>VLOOKUP(A1,DIV_12Data!$A$1:$DZU$1000000,3332,FALSE)</f>
        <v>#N/A</v>
      </c>
      <c r="Q196" s="33" t="e">
        <f>VLOOKUP(A1,DIV_12Data!$A$1:$DZU$1000000,3333,FALSE)</f>
        <v>#N/A</v>
      </c>
    </row>
    <row r="197" spans="1:17" x14ac:dyDescent="0.35">
      <c r="A197" s="22" t="e">
        <f>VLOOKUP(A1,DIV_12Data!$A$1:$DZU$1000000,3334,FALSE)</f>
        <v>#N/A</v>
      </c>
      <c r="B197" s="37" t="e">
        <f>VLOOKUP(A1,DIV_12Data!$A$1:$DZU$1000000,3335,FALSE)</f>
        <v>#N/A</v>
      </c>
      <c r="C197" s="43" t="e">
        <f>VLOOKUP(A1,DIV_12Data!$A$1:$DZU$1000000,3336,FALSE)</f>
        <v>#N/A</v>
      </c>
      <c r="D197" s="31" t="e">
        <f>VLOOKUP(A1,DIV_12Data!$A$1:$DZU$1000000,3337,FALSE)</f>
        <v>#N/A</v>
      </c>
      <c r="E197" s="32" t="e">
        <f>VLOOKUP(A1,DIV_12Data!$A$1:$DZU$1000000,3338,FALSE)</f>
        <v>#N/A</v>
      </c>
      <c r="F197" s="44" t="e">
        <f>VLOOKUP(A1,DIV_12Data!$A$1:$DZU$1000000,3339,FALSE)</f>
        <v>#N/A</v>
      </c>
      <c r="G197" s="45" t="e">
        <f>VLOOKUP(A1,DIV_12Data!$A$1:$DZU$1000000,3340,FALSE)</f>
        <v>#N/A</v>
      </c>
      <c r="H197" s="44" t="e">
        <f>VLOOKUP(A1,DIV_12Data!$A$1:$DZU$1000000,3341,FALSE)</f>
        <v>#N/A</v>
      </c>
      <c r="I197" s="45" t="e">
        <f>VLOOKUP(A1,DIV_12Data!$A$1:$DZU$1000000,3342,FALSE)</f>
        <v>#N/A</v>
      </c>
      <c r="J197" s="34" t="e">
        <f>VLOOKUP(A1,DIV_12Data!$A$1:$DZU$1000000,3343,FALSE)</f>
        <v>#N/A</v>
      </c>
      <c r="K197" s="43" t="e">
        <f>VLOOKUP(A1,DIV_12Data!$A$1:$DZU$1000000,3344,FALSE)</f>
        <v>#N/A</v>
      </c>
      <c r="L197" s="44" t="e">
        <f>VLOOKUP(A1,DIV_12Data!$A$1:$DZU$1000000,3345,FALSE)</f>
        <v>#N/A</v>
      </c>
      <c r="M197" s="45" t="e">
        <f>VLOOKUP(A1,DIV_12Data!$A$1:$DZU$1000000,3346,FALSE)</f>
        <v>#N/A</v>
      </c>
      <c r="N197" s="44" t="e">
        <f>VLOOKUP(A1,DIV_12Data!$A$1:$DZU$1000000,3347,FALSE)</f>
        <v>#N/A</v>
      </c>
      <c r="O197" s="45" t="e">
        <f>VLOOKUP(A1,DIV_12Data!$A$1:$DZU$1000000,3348,FALSE)</f>
        <v>#N/A</v>
      </c>
      <c r="P197" s="36" t="e">
        <f>VLOOKUP(A1,DIV_12Data!$A$1:$DZU$1000000,3349,FALSE)</f>
        <v>#N/A</v>
      </c>
      <c r="Q197" s="45" t="e">
        <f>VLOOKUP(A1,DIV_12Data!$A$1:$DZU$1000000,3350,FALSE)</f>
        <v>#N/A</v>
      </c>
    </row>
    <row r="198" spans="1:17" x14ac:dyDescent="0.35">
      <c r="A198" s="22" t="e">
        <f>VLOOKUP(A1,DIV_12Data!$A$1:$DZU$1000000,3351,FALSE)</f>
        <v>#N/A</v>
      </c>
      <c r="B198" s="37" t="e">
        <f>VLOOKUP(A1,DIV_12Data!$A$1:$DZU$1000000,3352,FALSE)</f>
        <v>#N/A</v>
      </c>
      <c r="C198" s="38" t="e">
        <f>VLOOKUP(A1,DIV_12Data!$A$1:$DZU$1000000,3353,FALSE)</f>
        <v>#N/A</v>
      </c>
      <c r="D198" s="31" t="e">
        <f>VLOOKUP(A1,DIV_12Data!$A$1:$DZU$1000000,3354,FALSE)</f>
        <v>#N/A</v>
      </c>
      <c r="E198" s="32" t="e">
        <f>VLOOKUP(A1,DIV_12Data!$A$1:$DZU$1000000,3355,FALSE)</f>
        <v>#N/A</v>
      </c>
      <c r="F198" s="34" t="e">
        <f>VLOOKUP(A1,DIV_12Data!$A$1:$DZU$1000000,3356,FALSE)</f>
        <v>#N/A</v>
      </c>
      <c r="G198" s="33" t="e">
        <f>VLOOKUP(A1,DIV_12Data!$A$1:$DZU$1000000,3357,FALSE)</f>
        <v>#N/A</v>
      </c>
      <c r="H198" s="34" t="e">
        <f>VLOOKUP(A1,DIV_12Data!$A$1:$DZU$1000000,3358,FALSE)</f>
        <v>#N/A</v>
      </c>
      <c r="I198" s="33" t="e">
        <f>VLOOKUP(A1,DIV_12Data!$A$1:$DZU$1000000,3359,FALSE)</f>
        <v>#N/A</v>
      </c>
      <c r="J198" s="34" t="e">
        <f>VLOOKUP(A1,DIV_12Data!$A$1:$DZU$1000000,3360,FALSE)</f>
        <v>#N/A</v>
      </c>
      <c r="K198" s="34" t="e">
        <f>VLOOKUP(A1,DIV_12Data!$A$1:$DZU$1000000,3361,FALSE)</f>
        <v>#N/A</v>
      </c>
      <c r="L198" s="34" t="e">
        <f>VLOOKUP(A1,DIV_12Data!$A$1:$DZU$1000000,3362,FALSE)</f>
        <v>#N/A</v>
      </c>
      <c r="M198" s="33" t="e">
        <f>VLOOKUP(A1,DIV_12Data!$A$1:$DZU$1000000,3363,FALSE)</f>
        <v>#N/A</v>
      </c>
      <c r="N198" s="34" t="e">
        <f>VLOOKUP(A1,DIV_12Data!$A$1:$DZU$1000000,3364,FALSE)</f>
        <v>#N/A</v>
      </c>
      <c r="O198" s="35" t="e">
        <f>VLOOKUP(A1,DIV_12Data!$A$1:$DZU$1000000,3365,FALSE)</f>
        <v>#N/A</v>
      </c>
      <c r="P198" s="36" t="e">
        <f>VLOOKUP(A1,DIV_12Data!$A$1:$DZU$1000000,3366,FALSE)</f>
        <v>#N/A</v>
      </c>
      <c r="Q198" s="35" t="e">
        <f>VLOOKUP(A1,DIV_12Data!$A$1:$DZU$1000000,3367,FALSE)</f>
        <v>#N/A</v>
      </c>
    </row>
    <row r="199" spans="1:17" x14ac:dyDescent="0.35">
      <c r="A199" s="62" t="e">
        <f>VLOOKUP(A1,DIV_12Data!$A$1:$DZU$1000000,3368,FALSE)</f>
        <v>#N/A</v>
      </c>
      <c r="B199" s="63" t="e">
        <f>VLOOKUP(A1,DIV_12Data!$A$1:$DZU$1000000,3369,FALSE)</f>
        <v>#N/A</v>
      </c>
      <c r="C199" s="64" t="e">
        <f>VLOOKUP(A1,DIV_12Data!$A$1:$DZU$1000000,3370,FALSE)</f>
        <v>#N/A</v>
      </c>
      <c r="D199" s="65" t="e">
        <f>VLOOKUP(A1,DIV_12Data!$A$1:$DZU$1000000,3371,FALSE)</f>
        <v>#N/A</v>
      </c>
      <c r="E199" s="66" t="e">
        <f>VLOOKUP(A1,DIV_12Data!$A$1:$DZU$1000000,3372,FALSE)</f>
        <v>#N/A</v>
      </c>
      <c r="F199" s="67" t="e">
        <f>VLOOKUP(A1,DIV_12Data!$A$1:$DZU$1000000,3373,FALSE)</f>
        <v>#N/A</v>
      </c>
      <c r="G199" s="68" t="e">
        <f>VLOOKUP(A1,DIV_12Data!$A$1:$DZU$1000000,3374,FALSE)</f>
        <v>#N/A</v>
      </c>
      <c r="H199" s="67" t="e">
        <f>VLOOKUP(A1,DIV_12Data!$A$1:$DZU$1000000,3375,FALSE)</f>
        <v>#N/A</v>
      </c>
      <c r="I199" s="68" t="e">
        <f>VLOOKUP(A1,DIV_12Data!$A$1:$DZU$1000000,3376,FALSE)</f>
        <v>#N/A</v>
      </c>
      <c r="J199" s="67" t="e">
        <f>VLOOKUP(A1,DIV_12Data!$A$1:$DZU$1000000,3377,FALSE)</f>
        <v>#N/A</v>
      </c>
      <c r="K199" s="69" t="e">
        <f>VLOOKUP(A1,DIV_12Data!$A$1:$DZU$1000000,3378,FALSE)</f>
        <v>#N/A</v>
      </c>
      <c r="L199" s="67" t="e">
        <f>VLOOKUP(A1,DIV_12Data!$A$1:$DZU$1000000,3379,FALSE)</f>
        <v>#N/A</v>
      </c>
      <c r="M199" s="68" t="e">
        <f>VLOOKUP(A1,DIV_12Data!$A$1:$DZU$1000000,3380,FALSE)</f>
        <v>#N/A</v>
      </c>
      <c r="N199" s="67" t="e">
        <f>VLOOKUP(A1,DIV_12Data!$A$1:$DZU$1000000,3381,FALSE)</f>
        <v>#N/A</v>
      </c>
      <c r="O199" s="68" t="e">
        <f>VLOOKUP(A1,DIV_12Data!$A$1:$DZU$1000000,3382,FALSE)</f>
        <v>#N/A</v>
      </c>
      <c r="P199" s="70" t="e">
        <f>VLOOKUP(A1,DIV_12Data!$A$1:$DZU$1000000,3383,FALSE)</f>
        <v>#N/A</v>
      </c>
      <c r="Q199" s="68" t="e">
        <f>VLOOKUP(A1,DIV_12Data!$A$1:$DZU$1000000,3384,FALSE)</f>
        <v>#N/A</v>
      </c>
    </row>
    <row r="200" spans="1:17" x14ac:dyDescent="0.35">
      <c r="A200" s="1" t="e">
        <f>VLOOKUP(A1,DIV_12Data!$A$1:$DZU$1000000,3385,FALSE)</f>
        <v>#N/A</v>
      </c>
      <c r="B200" s="1" t="e">
        <f>VLOOKUP(A1,DIV_12Data!$A$1:$DZU$1000000,3386,FALSE)</f>
        <v>#N/A</v>
      </c>
      <c r="C200" s="1" t="e">
        <f>VLOOKUP(A1,DIV_12Data!$A$1:$DZU$1000000,3387,FALSE)</f>
        <v>#N/A</v>
      </c>
      <c r="D200" s="1" t="e">
        <f>VLOOKUP(A1,DIV_12Data!$A$1:$DZU$1000000,3388,FALSE)</f>
        <v>#N/A</v>
      </c>
      <c r="E200" s="1" t="e">
        <f>VLOOKUP(A1,DIV_12Data!$A$1:$DZU$1000000,3389,FALSE)</f>
        <v>#N/A</v>
      </c>
      <c r="F200" s="1" t="e">
        <f>VLOOKUP(A1,DIV_12Data!$A$1:$DZU$1000000,3390,FALSE)</f>
        <v>#N/A</v>
      </c>
      <c r="G200" s="1" t="e">
        <f>VLOOKUP(A1,DIV_12Data!$A$1:$DZU$1000000,3391,FALSE)</f>
        <v>#N/A</v>
      </c>
      <c r="H200" s="1" t="e">
        <f>VLOOKUP(A1,DIV_12Data!$A$1:$DZU$1000000,3392,FALSE)</f>
        <v>#N/A</v>
      </c>
      <c r="I200" s="1" t="e">
        <f>VLOOKUP(A1,DIV_12Data!$A$1:$DZU$1000000,3393,FALSE)</f>
        <v>#N/A</v>
      </c>
      <c r="J200" s="1" t="e">
        <f>VLOOKUP(A1,DIV_12Data!$A$1:$DZU$1000000,3394,FALSE)</f>
        <v>#N/A</v>
      </c>
      <c r="K200" s="1" t="e">
        <f>VLOOKUP(A1,DIV_12Data!$A$1:$DZU$1000000,3395,FALSE)</f>
        <v>#N/A</v>
      </c>
      <c r="L200" s="1" t="e">
        <f>VLOOKUP(A1,DIV_12Data!$A$1:$DZU$1000000,3396,FALSE)</f>
        <v>#N/A</v>
      </c>
      <c r="M200" s="1" t="e">
        <f>VLOOKUP(A1,DIV_12Data!$A$1:$DZU$1000000,3397,FALSE)</f>
        <v>#N/A</v>
      </c>
      <c r="N200" s="1" t="e">
        <f>VLOOKUP(A1,DIV_12Data!$A$1:$DZU$1000000,3398,FALSE)</f>
        <v>#N/A</v>
      </c>
      <c r="O200" s="1" t="e">
        <f>VLOOKUP(A1,DIV_12Data!$A$1:$DZU$1000000,3399,FALSE)</f>
        <v>#N/A</v>
      </c>
      <c r="P200" s="1" t="e">
        <f>VLOOKUP(A1,DIV_12Data!$A$1:$DZU$1000000,3400,FALSE)</f>
        <v>#N/A</v>
      </c>
      <c r="Q200" s="78" t="e">
        <f>VLOOKUP(A1,DIV_12Data!$A$1:$DZU$1000000,3401,FALSE)</f>
        <v>#N/A</v>
      </c>
    </row>
    <row r="201" spans="1:17" x14ac:dyDescent="0.35">
      <c r="A201" s="1"/>
      <c r="B201" s="1"/>
      <c r="C201" s="1"/>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1"/>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c r="D205" s="1"/>
      <c r="E205" s="1"/>
      <c r="F205" s="1"/>
      <c r="G205" s="1"/>
      <c r="H205" s="1"/>
      <c r="I205" s="1"/>
      <c r="J205" s="1"/>
      <c r="K205" s="1"/>
      <c r="L205" s="1"/>
      <c r="M205" s="1"/>
      <c r="N205" s="1"/>
      <c r="O205" s="1"/>
      <c r="P205" s="1"/>
      <c r="Q205" s="1"/>
    </row>
    <row r="206" spans="1:17" x14ac:dyDescent="0.35">
      <c r="A206" s="1"/>
      <c r="B206" s="1"/>
      <c r="C206" s="1"/>
      <c r="D206" s="1"/>
      <c r="E206" s="1"/>
      <c r="F206" s="1"/>
      <c r="G206" s="1"/>
      <c r="H206" s="1"/>
      <c r="I206" s="1"/>
      <c r="J206" s="1"/>
      <c r="K206" s="1"/>
      <c r="L206" s="1"/>
      <c r="M206" s="1"/>
      <c r="N206" s="1"/>
      <c r="O206" s="1"/>
      <c r="P206" s="1"/>
      <c r="Q206" s="1"/>
    </row>
    <row r="207" spans="1:17" x14ac:dyDescent="0.35">
      <c r="A207" s="1"/>
      <c r="B207" s="1"/>
      <c r="C207" s="1"/>
      <c r="D207" s="1"/>
      <c r="E207" s="1"/>
      <c r="F207" s="1"/>
      <c r="G207" s="1"/>
      <c r="H207" s="1"/>
      <c r="I207" s="1"/>
      <c r="J207" s="1"/>
      <c r="K207" s="1"/>
      <c r="L207" s="1"/>
      <c r="M207" s="1"/>
      <c r="N207" s="1"/>
      <c r="O207" s="1"/>
      <c r="P207" s="1"/>
      <c r="Q207" s="1"/>
    </row>
  </sheetData>
  <mergeCells count="9">
    <mergeCell ref="J5:K5"/>
    <mergeCell ref="J6:K6"/>
    <mergeCell ref="J7:K7"/>
    <mergeCell ref="B2:L2"/>
    <mergeCell ref="A3:B3"/>
    <mergeCell ref="D3:G3"/>
    <mergeCell ref="J3:K3"/>
    <mergeCell ref="A4:B4"/>
    <mergeCell ref="J4:K4"/>
  </mergeCells>
  <dataValidations count="1">
    <dataValidation type="list" allowBlank="1" showInputMessage="1" showErrorMessage="1" sqref="C16:C190" xr:uid="{803C71A1-23B6-4C4F-B6B9-C5711ED642BD}">
      <formula1>$C$205:$C207</formula1>
    </dataValidation>
  </dataValidations>
  <hyperlinks>
    <hyperlink ref="D3" r:id="rId1" display="datamateapp@gmail.com" xr:uid="{2A5D7BDB-F007-4774-9157-19BF9D2DADD9}"/>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98721" r:id="rId4" name="Button 1">
              <controlPr defaultSize="0" print="0" autoFill="0" autoPict="0" macro="[0]!ViewInput">
                <anchor moveWithCells="1" sizeWithCells="1">
                  <from>
                    <xdr:col>17</xdr:col>
                    <xdr:colOff>0</xdr:colOff>
                    <xdr:row>2</xdr:row>
                    <xdr:rowOff>50800</xdr:rowOff>
                  </from>
                  <to>
                    <xdr:col>19</xdr:col>
                    <xdr:colOff>50800</xdr:colOff>
                    <xdr:row>4</xdr:row>
                    <xdr:rowOff>101600</xdr:rowOff>
                  </to>
                </anchor>
              </controlPr>
            </control>
          </mc:Choice>
        </mc:AlternateContent>
        <mc:AlternateContent xmlns:mc="http://schemas.openxmlformats.org/markup-compatibility/2006">
          <mc:Choice Requires="x14">
            <control shapeId="798722" r:id="rId5" name="Button 2">
              <controlPr defaultSize="0" print="0" autoFill="0" autoPict="0" macro="[0]!ViewLog">
                <anchor moveWithCells="1" sizeWithCells="1">
                  <from>
                    <xdr:col>17</xdr:col>
                    <xdr:colOff>0</xdr:colOff>
                    <xdr:row>5</xdr:row>
                    <xdr:rowOff>50800</xdr:rowOff>
                  </from>
                  <to>
                    <xdr:col>19</xdr:col>
                    <xdr:colOff>50800</xdr:colOff>
                    <xdr:row>7</xdr:row>
                    <xdr:rowOff>57150</xdr:rowOff>
                  </to>
                </anchor>
              </controlPr>
            </control>
          </mc:Choice>
        </mc:AlternateContent>
        <mc:AlternateContent xmlns:mc="http://schemas.openxmlformats.org/markup-compatibility/2006">
          <mc:Choice Requires="x14">
            <control shapeId="798723" r:id="rId6" name="Button 3">
              <controlPr defaultSize="0" print="0" autoFill="0" autoPict="0" macro="[0]!OpenDataMateAppPage">
                <anchor moveWithCells="1" sizeWithCells="1">
                  <from>
                    <xdr:col>17</xdr:col>
                    <xdr:colOff>0</xdr:colOff>
                    <xdr:row>7</xdr:row>
                    <xdr:rowOff>171450</xdr:rowOff>
                  </from>
                  <to>
                    <xdr:col>19</xdr:col>
                    <xdr:colOff>50800</xdr:colOff>
                    <xdr:row>9</xdr:row>
                    <xdr:rowOff>171450</xdr:rowOff>
                  </to>
                </anchor>
              </controlPr>
            </control>
          </mc:Choice>
        </mc:AlternateContent>
        <mc:AlternateContent xmlns:mc="http://schemas.openxmlformats.org/markup-compatibility/2006">
          <mc:Choice Requires="x14">
            <control shapeId="798724" r:id="rId7" name="Button 4">
              <controlPr defaultSize="0" print="0" autoFill="0" autoPict="0" macro="RefreshView">
                <anchor moveWithCells="1" sizeWithCells="1">
                  <from>
                    <xdr:col>17</xdr:col>
                    <xdr:colOff>0</xdr:colOff>
                    <xdr:row>0</xdr:row>
                    <xdr:rowOff>0</xdr:rowOff>
                  </from>
                  <to>
                    <xdr:col>19</xdr:col>
                    <xdr:colOff>50800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9F61F8-8896-47C0-8B3C-D2D2BD017009}">
          <x14:formula1>
            <xm:f>DIV_02Data!$A:$A</xm:f>
          </x14:formula1>
          <xm:sqref>B2:L2</xm:sqref>
        </x14:dataValidation>
      </x14:dataValidations>
    </ext>
  </extLst>
</worksheet>
</file>

<file path=xl/worksheets/sheet1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8AF9AD-3843-4FA7-A0FB-DD3401601672}">
  <sheetPr codeName="Sheet193"/>
  <dimension ref="A1:Q12"/>
  <sheetViews>
    <sheetView zoomScale="75" zoomScaleNormal="75" workbookViewId="0"/>
  </sheetViews>
  <sheetFormatPr defaultRowHeight="14.5" x14ac:dyDescent="0.35"/>
  <cols>
    <col min="1" max="1" width="28.26953125" customWidth="1"/>
    <col min="2" max="8" width="13.36328125" customWidth="1"/>
    <col min="9" max="9" width="50.36328125" customWidth="1"/>
    <col min="13" max="15" width="10.26953125" customWidth="1"/>
  </cols>
  <sheetData>
    <row r="1" spans="1:17" x14ac:dyDescent="0.35">
      <c r="A1" s="1"/>
      <c r="B1" s="1"/>
      <c r="C1" s="1"/>
      <c r="D1" s="1"/>
      <c r="E1" s="1"/>
      <c r="F1" s="1"/>
      <c r="G1" s="1"/>
      <c r="H1" s="1"/>
      <c r="I1" s="1"/>
      <c r="J1" s="1"/>
      <c r="K1" s="1"/>
      <c r="L1" s="1"/>
      <c r="M1" s="1"/>
      <c r="N1" s="1"/>
      <c r="O1" s="1"/>
      <c r="P1" s="1"/>
      <c r="Q1" s="1"/>
    </row>
    <row r="2" spans="1:17" ht="18.5" x14ac:dyDescent="0.45">
      <c r="A2" s="71" t="e">
        <f>[2]Blank!A3</f>
        <v>#REF!</v>
      </c>
      <c r="B2" s="1"/>
      <c r="C2" s="1"/>
      <c r="D2" s="1"/>
      <c r="E2" s="1"/>
      <c r="F2" s="1"/>
      <c r="G2" s="1"/>
      <c r="H2" s="1"/>
      <c r="I2" s="1"/>
      <c r="J2" s="1"/>
      <c r="K2" s="1"/>
      <c r="L2" s="1"/>
      <c r="M2" s="1"/>
      <c r="N2" s="1"/>
      <c r="O2" s="1"/>
      <c r="P2" s="1"/>
      <c r="Q2" s="1"/>
    </row>
    <row r="3" spans="1:17" x14ac:dyDescent="0.35">
      <c r="A3" s="1" t="s">
        <v>21395</v>
      </c>
      <c r="B3" s="246">
        <f ca="1">TODAY()</f>
        <v>45603</v>
      </c>
      <c r="C3" s="1"/>
      <c r="D3" s="1"/>
      <c r="E3" s="1"/>
      <c r="F3" s="1"/>
      <c r="G3" s="1"/>
      <c r="H3" s="1"/>
      <c r="I3" s="1"/>
      <c r="J3" s="1"/>
      <c r="K3" s="1"/>
      <c r="L3" s="1"/>
      <c r="M3" s="1"/>
      <c r="N3" s="1"/>
      <c r="O3" s="1"/>
      <c r="P3" s="1"/>
      <c r="Q3" s="1"/>
    </row>
    <row r="4" spans="1:17" x14ac:dyDescent="0.35">
      <c r="A4" s="1"/>
      <c r="B4" s="1"/>
      <c r="C4" s="1"/>
      <c r="D4" s="1"/>
      <c r="E4" s="1"/>
      <c r="F4" s="1"/>
      <c r="G4" s="1"/>
      <c r="H4" s="1"/>
      <c r="I4" s="1"/>
      <c r="J4" s="1"/>
      <c r="K4" s="1"/>
      <c r="L4" s="1"/>
      <c r="M4" s="1"/>
      <c r="N4" s="1"/>
      <c r="O4" s="1"/>
      <c r="P4" s="1"/>
      <c r="Q4" s="1"/>
    </row>
    <row r="5" spans="1:17" x14ac:dyDescent="0.35">
      <c r="A5" s="1"/>
      <c r="B5" s="1"/>
      <c r="C5" s="1"/>
      <c r="D5" s="1"/>
      <c r="E5" s="1"/>
      <c r="F5" s="1"/>
      <c r="G5" s="1"/>
      <c r="H5" s="1"/>
      <c r="I5" s="1"/>
      <c r="J5" s="1"/>
      <c r="K5" s="1"/>
      <c r="L5" s="1"/>
      <c r="M5" s="1"/>
      <c r="N5" s="1"/>
      <c r="O5" s="1"/>
      <c r="P5" s="1"/>
      <c r="Q5" s="1"/>
    </row>
    <row r="6" spans="1:17" x14ac:dyDescent="0.35">
      <c r="A6" s="1"/>
      <c r="B6" s="1"/>
      <c r="C6" s="1"/>
      <c r="D6" s="1"/>
      <c r="E6" s="1"/>
      <c r="F6" s="1"/>
      <c r="G6" s="1"/>
      <c r="H6" s="1"/>
      <c r="I6" s="1"/>
      <c r="J6" s="1"/>
      <c r="K6" s="1"/>
      <c r="L6" s="1"/>
      <c r="M6" s="1"/>
      <c r="N6" s="1"/>
      <c r="O6" s="1"/>
      <c r="P6" s="1"/>
      <c r="Q6" s="1"/>
    </row>
    <row r="7" spans="1:17" x14ac:dyDescent="0.35">
      <c r="A7" s="1"/>
      <c r="B7" s="1"/>
      <c r="C7" s="1"/>
      <c r="D7" s="1"/>
      <c r="E7" s="1"/>
      <c r="F7" s="1"/>
      <c r="G7" s="1"/>
      <c r="H7" s="1"/>
      <c r="I7" s="1"/>
      <c r="J7" s="1"/>
      <c r="K7" s="1"/>
      <c r="L7" s="1"/>
      <c r="M7" s="1"/>
      <c r="N7" s="1"/>
      <c r="O7" s="1"/>
      <c r="P7" s="1"/>
      <c r="Q7" s="1"/>
    </row>
    <row r="8" spans="1:17" x14ac:dyDescent="0.35">
      <c r="A8" s="1"/>
      <c r="B8" s="1"/>
      <c r="C8" s="1"/>
      <c r="D8" s="1"/>
      <c r="E8" s="1"/>
      <c r="F8" s="1"/>
      <c r="G8" s="1"/>
      <c r="H8" s="1"/>
      <c r="I8" s="1"/>
      <c r="J8" s="1"/>
      <c r="K8" s="1"/>
      <c r="L8" s="1"/>
      <c r="M8" s="1"/>
      <c r="N8" s="1"/>
      <c r="O8" s="1"/>
      <c r="P8" s="1"/>
      <c r="Q8" s="1"/>
    </row>
    <row r="9" spans="1:17" x14ac:dyDescent="0.35">
      <c r="A9" s="1"/>
      <c r="B9" s="1"/>
      <c r="C9" s="1"/>
      <c r="D9" s="1"/>
      <c r="E9" s="1"/>
      <c r="F9" s="1"/>
      <c r="G9" s="1"/>
      <c r="H9" s="1"/>
      <c r="I9" s="1"/>
      <c r="J9" s="1"/>
      <c r="K9" s="1"/>
      <c r="L9" s="1"/>
      <c r="M9" s="1"/>
      <c r="N9" s="1"/>
      <c r="O9" s="1"/>
      <c r="P9" s="1"/>
      <c r="Q9" s="1"/>
    </row>
    <row r="10" spans="1:17" x14ac:dyDescent="0.35">
      <c r="A10" s="1"/>
      <c r="B10" s="1"/>
      <c r="C10" s="1"/>
      <c r="D10" s="1"/>
      <c r="E10" s="1"/>
      <c r="F10" s="1"/>
      <c r="G10" s="1"/>
      <c r="H10" s="1"/>
      <c r="I10" s="1"/>
      <c r="J10" s="1"/>
      <c r="K10" s="1"/>
      <c r="L10" s="1"/>
      <c r="M10" s="1"/>
      <c r="N10" s="1"/>
      <c r="O10" s="1"/>
      <c r="P10" s="1"/>
      <c r="Q10" s="1"/>
    </row>
    <row r="11" spans="1:17" x14ac:dyDescent="0.35">
      <c r="A11" s="1"/>
      <c r="B11" s="1"/>
      <c r="C11" s="1"/>
      <c r="D11" s="1"/>
      <c r="E11" s="1"/>
      <c r="F11" s="1"/>
      <c r="G11" s="1"/>
      <c r="H11" s="1"/>
      <c r="I11" s="1"/>
      <c r="J11" s="1"/>
      <c r="K11" s="1"/>
      <c r="L11" s="1"/>
      <c r="M11" s="1"/>
      <c r="N11" s="1"/>
      <c r="O11" s="1"/>
      <c r="P11" s="1"/>
      <c r="Q11" s="1"/>
    </row>
    <row r="12" spans="1:17" x14ac:dyDescent="0.35">
      <c r="A12" s="1"/>
      <c r="B12" s="1"/>
      <c r="C12" s="1"/>
      <c r="D12" s="1"/>
      <c r="E12" s="1"/>
      <c r="F12" s="1"/>
      <c r="G12" s="1"/>
      <c r="H12" s="1"/>
      <c r="I12" s="1"/>
      <c r="J12" s="1"/>
      <c r="K12" s="1"/>
      <c r="L12" s="1"/>
      <c r="M12" s="1"/>
      <c r="N12" s="1"/>
      <c r="O12" s="1"/>
      <c r="P12" s="1"/>
      <c r="Q12"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99745" r:id="rId3" name="Button 1">
              <controlPr defaultSize="0" print="0" autoFill="0" autoPict="0" macro="[0]!ViewInput">
                <anchor moveWithCells="1" sizeWithCells="1">
                  <from>
                    <xdr:col>16</xdr:col>
                    <xdr:colOff>603250</xdr:colOff>
                    <xdr:row>0</xdr:row>
                    <xdr:rowOff>0</xdr:rowOff>
                  </from>
                  <to>
                    <xdr:col>19</xdr:col>
                    <xdr:colOff>44450</xdr:colOff>
                    <xdr:row>2</xdr:row>
                    <xdr:rowOff>12700</xdr:rowOff>
                  </to>
                </anchor>
              </controlPr>
            </control>
          </mc:Choice>
        </mc:AlternateContent>
        <mc:AlternateContent xmlns:mc="http://schemas.openxmlformats.org/markup-compatibility/2006">
          <mc:Choice Requires="x14">
            <control shapeId="799746" r:id="rId4" name="Button 2">
              <controlPr defaultSize="0" print="0" autoFill="0" autoPict="0" macro="[0]!ViewView_Print">
                <anchor moveWithCells="1" sizeWithCells="1">
                  <from>
                    <xdr:col>16</xdr:col>
                    <xdr:colOff>603250</xdr:colOff>
                    <xdr:row>2</xdr:row>
                    <xdr:rowOff>38100</xdr:rowOff>
                  </from>
                  <to>
                    <xdr:col>19</xdr:col>
                    <xdr:colOff>44450</xdr:colOff>
                    <xdr:row>4</xdr:row>
                    <xdr:rowOff>50800</xdr:rowOff>
                  </to>
                </anchor>
              </controlPr>
            </control>
          </mc:Choice>
        </mc:AlternateContent>
        <mc:AlternateContent xmlns:mc="http://schemas.openxmlformats.org/markup-compatibility/2006">
          <mc:Choice Requires="x14">
            <control shapeId="799747" r:id="rId5" name="Button 3">
              <controlPr defaultSize="0" print="0" autoFill="0" autoPict="0" macro="[0]!ViewUpdate">
                <anchor moveWithCells="1" sizeWithCells="1">
                  <from>
                    <xdr:col>16</xdr:col>
                    <xdr:colOff>603250</xdr:colOff>
                    <xdr:row>4</xdr:row>
                    <xdr:rowOff>76200</xdr:rowOff>
                  </from>
                  <to>
                    <xdr:col>19</xdr:col>
                    <xdr:colOff>44450</xdr:colOff>
                    <xdr:row>6</xdr:row>
                    <xdr:rowOff>88900</xdr:rowOff>
                  </to>
                </anchor>
              </controlPr>
            </control>
          </mc:Choice>
        </mc:AlternateContent>
      </controls>
    </mc:Choice>
  </mc:AlternateContent>
</worksheet>
</file>

<file path=xl/worksheets/sheet1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177DB-DA54-45C1-99D7-1DC68D4FD897}">
  <sheetPr codeName="Sheet194"/>
  <dimension ref="A1:Q207"/>
  <sheetViews>
    <sheetView workbookViewId="0"/>
  </sheetViews>
  <sheetFormatPr defaultRowHeight="14.5" x14ac:dyDescent="0.35"/>
  <cols>
    <col min="1" max="1" width="8.7265625" style="248"/>
    <col min="5" max="5" width="22.08984375" style="248" customWidth="1"/>
    <col min="6" max="6" width="8.7265625" style="248"/>
    <col min="7" max="11" width="11.6328125" style="248" customWidth="1"/>
    <col min="12" max="12" width="12.26953125" style="248" customWidth="1"/>
    <col min="13" max="13" width="34.54296875" style="248" customWidth="1"/>
    <col min="14" max="16" width="8.7265625" style="248"/>
  </cols>
  <sheetData>
    <row r="1" spans="1:17" x14ac:dyDescent="0.35">
      <c r="A1" s="76"/>
      <c r="B1" s="73" t="str">
        <f>DIV_08View_Print!M1</f>
        <v>Update 1</v>
      </c>
      <c r="C1" s="73" t="str">
        <f>DIV_08View_Print!N1</f>
        <v>Update 2</v>
      </c>
      <c r="D1" s="73" t="str">
        <f>DIV_08View_Print!O1</f>
        <v>Update 3</v>
      </c>
      <c r="E1" s="74" t="str">
        <f>SEC_081000!A1</f>
        <v>AREA/FLOOR/ZONE</v>
      </c>
      <c r="F1" s="74" t="str">
        <f>SEC_081000!B1</f>
        <v>Page</v>
      </c>
      <c r="G1" s="74" t="str">
        <f>SEC_081000!C1</f>
        <v>SUB COST</v>
      </c>
      <c r="H1" s="74" t="str">
        <f>SEC_081000!D1</f>
        <v>MAT COST</v>
      </c>
      <c r="I1" s="74" t="str">
        <f>SEC_081000!E1</f>
        <v>LAB COST</v>
      </c>
      <c r="J1" s="74" t="str">
        <f>SEC_081000!F1</f>
        <v>EQUIP COST</v>
      </c>
      <c r="K1" s="74" t="str">
        <f>SEC_081000!G1</f>
        <v>Total Cost</v>
      </c>
      <c r="L1" s="74" t="str">
        <f>SEC_081000!H1</f>
        <v>Date</v>
      </c>
      <c r="M1" s="74" t="str">
        <f>SEC_081000!I1</f>
        <v>Description</v>
      </c>
      <c r="N1" s="74" t="str">
        <f>SEC_081000!J1</f>
        <v>Log 10</v>
      </c>
      <c r="O1" s="74" t="str">
        <f>SEC_081000!K1</f>
        <v>Log 11</v>
      </c>
      <c r="P1" s="75" t="str">
        <f>SEC_081000!L1</f>
        <v>Log 12</v>
      </c>
      <c r="Q1" s="1"/>
    </row>
    <row r="2" spans="1:17" x14ac:dyDescent="0.35">
      <c r="A2" s="76"/>
      <c r="B2" s="1"/>
      <c r="C2" s="1"/>
      <c r="D2" s="1"/>
      <c r="E2" s="76"/>
      <c r="F2" s="76"/>
      <c r="G2" s="76"/>
      <c r="H2" s="76"/>
      <c r="I2" s="76"/>
      <c r="J2" s="76"/>
      <c r="K2" s="76"/>
      <c r="L2" s="76"/>
      <c r="M2" s="76"/>
      <c r="N2" s="76"/>
      <c r="O2" s="76"/>
      <c r="P2" s="76"/>
      <c r="Q2" s="1"/>
    </row>
    <row r="3" spans="1:17" x14ac:dyDescent="0.35">
      <c r="A3" s="76"/>
      <c r="B3" s="1"/>
      <c r="C3" s="1"/>
      <c r="D3" s="1"/>
      <c r="E3" s="76"/>
      <c r="F3" s="76"/>
      <c r="G3" s="76"/>
      <c r="H3" s="76"/>
      <c r="I3" s="76"/>
      <c r="J3" s="76"/>
      <c r="K3" s="76"/>
      <c r="L3" s="76"/>
      <c r="M3" s="76"/>
      <c r="N3" s="76"/>
      <c r="O3" s="76"/>
      <c r="P3" s="76"/>
      <c r="Q3" s="1"/>
    </row>
    <row r="4" spans="1:17" x14ac:dyDescent="0.35">
      <c r="A4" s="76"/>
      <c r="B4" s="1"/>
      <c r="C4" s="1"/>
      <c r="D4" s="1"/>
      <c r="E4" s="76"/>
      <c r="F4" s="76"/>
      <c r="G4" s="76"/>
      <c r="H4" s="76"/>
      <c r="I4" s="76"/>
      <c r="J4" s="76"/>
      <c r="K4" s="76"/>
      <c r="L4" s="76"/>
      <c r="M4" s="76"/>
      <c r="N4" s="76"/>
      <c r="O4" s="76"/>
      <c r="P4" s="76"/>
      <c r="Q4" s="1"/>
    </row>
    <row r="5" spans="1:17" x14ac:dyDescent="0.35">
      <c r="A5" s="76"/>
      <c r="B5" s="1"/>
      <c r="C5" s="1"/>
      <c r="D5" s="1"/>
      <c r="E5" s="76"/>
      <c r="F5" s="76"/>
      <c r="G5" s="76"/>
      <c r="H5" s="76"/>
      <c r="I5" s="76"/>
      <c r="J5" s="76"/>
      <c r="K5" s="76"/>
      <c r="L5" s="76"/>
      <c r="M5" s="76"/>
      <c r="N5" s="76"/>
      <c r="O5" s="76"/>
      <c r="P5" s="76"/>
      <c r="Q5" s="1"/>
    </row>
    <row r="6" spans="1:17" x14ac:dyDescent="0.35">
      <c r="A6" s="76"/>
      <c r="B6" s="1"/>
      <c r="C6" s="1"/>
      <c r="D6" s="1"/>
      <c r="E6" s="76"/>
      <c r="F6" s="76"/>
      <c r="G6" s="76"/>
      <c r="H6" s="76"/>
      <c r="I6" s="76"/>
      <c r="J6" s="76"/>
      <c r="K6" s="76"/>
      <c r="L6" s="76"/>
      <c r="M6" s="76"/>
      <c r="N6" s="76"/>
      <c r="O6" s="76"/>
      <c r="P6" s="76"/>
      <c r="Q6" s="1"/>
    </row>
    <row r="7" spans="1:17" x14ac:dyDescent="0.35">
      <c r="A7" s="76"/>
      <c r="B7" s="1"/>
      <c r="C7" s="1"/>
      <c r="D7" s="1"/>
      <c r="E7" s="76"/>
      <c r="F7" s="76"/>
      <c r="G7" s="76"/>
      <c r="H7" s="76"/>
      <c r="I7" s="76"/>
      <c r="J7" s="76"/>
      <c r="K7" s="76"/>
      <c r="L7" s="76"/>
      <c r="M7" s="76"/>
      <c r="N7" s="76"/>
      <c r="O7" s="76"/>
      <c r="P7" s="76"/>
      <c r="Q7" s="1"/>
    </row>
    <row r="8" spans="1:17" x14ac:dyDescent="0.35">
      <c r="A8" s="76"/>
      <c r="B8" s="1"/>
      <c r="C8" s="1"/>
      <c r="D8" s="1"/>
      <c r="E8" s="76"/>
      <c r="F8" s="76"/>
      <c r="G8" s="76"/>
      <c r="H8" s="76"/>
      <c r="I8" s="76"/>
      <c r="J8" s="76"/>
      <c r="K8" s="76"/>
      <c r="L8" s="76"/>
      <c r="M8" s="76"/>
      <c r="N8" s="76"/>
      <c r="O8" s="76"/>
      <c r="P8" s="76"/>
      <c r="Q8" s="1"/>
    </row>
    <row r="9" spans="1:17" x14ac:dyDescent="0.35">
      <c r="A9" s="76"/>
      <c r="B9" s="1"/>
      <c r="C9" s="1"/>
      <c r="D9" s="1"/>
      <c r="E9" s="76"/>
      <c r="F9" s="76"/>
      <c r="G9" s="76"/>
      <c r="H9" s="76"/>
      <c r="I9" s="76"/>
      <c r="J9" s="76"/>
      <c r="K9" s="76"/>
      <c r="L9" s="76"/>
      <c r="M9" s="76"/>
      <c r="N9" s="76"/>
      <c r="O9" s="76"/>
      <c r="P9" s="76"/>
      <c r="Q9" s="1"/>
    </row>
    <row r="10" spans="1:17" x14ac:dyDescent="0.35">
      <c r="A10" s="76"/>
      <c r="B10" s="1"/>
      <c r="C10" s="1"/>
      <c r="D10" s="1"/>
      <c r="E10" s="76"/>
      <c r="F10" s="76"/>
      <c r="G10" s="76"/>
      <c r="H10" s="76"/>
      <c r="I10" s="76"/>
      <c r="J10" s="76"/>
      <c r="K10" s="76"/>
      <c r="L10" s="76"/>
      <c r="M10" s="76"/>
      <c r="N10" s="76"/>
      <c r="O10" s="76"/>
      <c r="P10" s="76"/>
      <c r="Q10" s="1"/>
    </row>
    <row r="11" spans="1:17" x14ac:dyDescent="0.35">
      <c r="A11" s="76"/>
      <c r="B11" s="1"/>
      <c r="C11" s="1"/>
      <c r="D11" s="1"/>
      <c r="E11" s="76"/>
      <c r="F11" s="76"/>
      <c r="G11" s="76"/>
      <c r="H11" s="76"/>
      <c r="I11" s="76"/>
      <c r="J11" s="76"/>
      <c r="K11" s="76"/>
      <c r="L11" s="76"/>
      <c r="M11" s="76"/>
      <c r="N11" s="76"/>
      <c r="O11" s="76"/>
      <c r="P11" s="76"/>
      <c r="Q11" s="1"/>
    </row>
    <row r="12" spans="1:17" x14ac:dyDescent="0.35">
      <c r="A12" s="76"/>
      <c r="B12" s="1"/>
      <c r="C12" s="1"/>
      <c r="D12" s="1"/>
      <c r="E12" s="76"/>
      <c r="F12" s="76"/>
      <c r="G12" s="76"/>
      <c r="H12" s="76"/>
      <c r="I12" s="76"/>
      <c r="J12" s="76"/>
      <c r="K12" s="76"/>
      <c r="L12" s="76"/>
      <c r="M12" s="76"/>
      <c r="N12" s="76"/>
      <c r="O12" s="76"/>
      <c r="P12" s="76"/>
      <c r="Q12" s="1"/>
    </row>
    <row r="13" spans="1:17" x14ac:dyDescent="0.35">
      <c r="A13" s="76"/>
      <c r="B13" s="1"/>
      <c r="C13" s="1"/>
      <c r="D13" s="1"/>
      <c r="E13" s="76"/>
      <c r="F13" s="76"/>
      <c r="G13" s="76"/>
      <c r="H13" s="76"/>
      <c r="I13" s="76"/>
      <c r="J13" s="76"/>
      <c r="K13" s="76"/>
      <c r="L13" s="76"/>
      <c r="M13" s="76"/>
      <c r="N13" s="76"/>
      <c r="O13" s="76"/>
      <c r="P13" s="76"/>
      <c r="Q13" s="1"/>
    </row>
    <row r="14" spans="1:17" x14ac:dyDescent="0.35">
      <c r="A14" s="76"/>
      <c r="B14" s="1"/>
      <c r="C14" s="1"/>
      <c r="D14" s="1"/>
      <c r="E14" s="76"/>
      <c r="F14" s="76"/>
      <c r="G14" s="76"/>
      <c r="H14" s="76"/>
      <c r="I14" s="76"/>
      <c r="J14" s="76"/>
      <c r="K14" s="76"/>
      <c r="L14" s="76"/>
      <c r="M14" s="76"/>
      <c r="N14" s="76"/>
      <c r="O14" s="76"/>
      <c r="P14" s="76"/>
      <c r="Q14" s="1"/>
    </row>
    <row r="15" spans="1:17" x14ac:dyDescent="0.35">
      <c r="A15" s="76"/>
      <c r="B15" s="1"/>
      <c r="C15" s="1"/>
      <c r="D15" s="1"/>
      <c r="E15" s="76"/>
      <c r="F15" s="76"/>
      <c r="G15" s="76"/>
      <c r="H15" s="76"/>
      <c r="I15" s="76"/>
      <c r="J15" s="76"/>
      <c r="K15" s="76"/>
      <c r="L15" s="76"/>
      <c r="M15" s="76"/>
      <c r="N15" s="76"/>
      <c r="O15" s="76"/>
      <c r="P15" s="76"/>
      <c r="Q15" s="1"/>
    </row>
    <row r="16" spans="1:17" x14ac:dyDescent="0.35">
      <c r="A16" s="76"/>
      <c r="B16" s="1"/>
      <c r="C16" s="1"/>
      <c r="D16" s="1"/>
      <c r="E16" s="76"/>
      <c r="F16" s="76"/>
      <c r="G16" s="76"/>
      <c r="H16" s="76"/>
      <c r="I16" s="76"/>
      <c r="J16" s="76"/>
      <c r="K16" s="76"/>
      <c r="L16" s="76"/>
      <c r="M16" s="76"/>
      <c r="N16" s="76"/>
      <c r="O16" s="76"/>
      <c r="P16" s="76"/>
      <c r="Q16" s="1"/>
    </row>
    <row r="17" spans="1:17" x14ac:dyDescent="0.35">
      <c r="A17" s="76"/>
      <c r="B17" s="1"/>
      <c r="C17" s="1"/>
      <c r="D17" s="1"/>
      <c r="E17" s="76"/>
      <c r="F17" s="76"/>
      <c r="G17" s="76"/>
      <c r="H17" s="76"/>
      <c r="I17" s="76"/>
      <c r="J17" s="76"/>
      <c r="K17" s="76"/>
      <c r="L17" s="76"/>
      <c r="M17" s="76"/>
      <c r="N17" s="76"/>
      <c r="O17" s="76"/>
      <c r="P17" s="76"/>
      <c r="Q17" s="1"/>
    </row>
    <row r="18" spans="1:17" x14ac:dyDescent="0.35">
      <c r="A18" s="76"/>
      <c r="B18" s="1"/>
      <c r="C18" s="1"/>
      <c r="D18" s="1"/>
      <c r="E18" s="76"/>
      <c r="F18" s="76"/>
      <c r="G18" s="76"/>
      <c r="H18" s="76"/>
      <c r="I18" s="76"/>
      <c r="J18" s="76"/>
      <c r="K18" s="76"/>
      <c r="L18" s="76"/>
      <c r="M18" s="76"/>
      <c r="N18" s="76"/>
      <c r="O18" s="76"/>
      <c r="P18" s="76"/>
      <c r="Q18" s="1"/>
    </row>
    <row r="19" spans="1:17" x14ac:dyDescent="0.35">
      <c r="A19" s="76"/>
      <c r="B19" s="1"/>
      <c r="C19" s="1"/>
      <c r="D19" s="1"/>
      <c r="E19" s="76"/>
      <c r="F19" s="76"/>
      <c r="G19" s="76"/>
      <c r="H19" s="76"/>
      <c r="I19" s="76"/>
      <c r="J19" s="76"/>
      <c r="K19" s="76"/>
      <c r="L19" s="76"/>
      <c r="M19" s="76"/>
      <c r="N19" s="76"/>
      <c r="O19" s="76"/>
      <c r="P19" s="76"/>
      <c r="Q19" s="1"/>
    </row>
    <row r="20" spans="1:17" x14ac:dyDescent="0.35">
      <c r="A20" s="76"/>
      <c r="B20" s="1"/>
      <c r="C20" s="1"/>
      <c r="D20" s="1"/>
      <c r="E20" s="76"/>
      <c r="F20" s="76"/>
      <c r="G20" s="76"/>
      <c r="H20" s="76"/>
      <c r="I20" s="76"/>
      <c r="J20" s="76"/>
      <c r="K20" s="76"/>
      <c r="L20" s="76"/>
      <c r="M20" s="76"/>
      <c r="N20" s="76"/>
      <c r="O20" s="76"/>
      <c r="P20" s="76"/>
      <c r="Q20" s="1"/>
    </row>
    <row r="21" spans="1:17" x14ac:dyDescent="0.35">
      <c r="A21" s="76"/>
      <c r="B21" s="1"/>
      <c r="C21" s="1"/>
      <c r="D21" s="1"/>
      <c r="E21" s="76"/>
      <c r="F21" s="76"/>
      <c r="G21" s="76"/>
      <c r="H21" s="76"/>
      <c r="I21" s="76"/>
      <c r="J21" s="76"/>
      <c r="K21" s="76"/>
      <c r="L21" s="76"/>
      <c r="M21" s="76"/>
      <c r="N21" s="76"/>
      <c r="O21" s="76"/>
      <c r="P21" s="76"/>
      <c r="Q21" s="1"/>
    </row>
    <row r="22" spans="1:17" x14ac:dyDescent="0.35">
      <c r="A22" s="76"/>
      <c r="B22" s="1"/>
      <c r="C22" s="1"/>
      <c r="D22" s="1"/>
      <c r="E22" s="76"/>
      <c r="F22" s="76"/>
      <c r="G22" s="76"/>
      <c r="H22" s="76"/>
      <c r="I22" s="76"/>
      <c r="J22" s="76"/>
      <c r="K22" s="76"/>
      <c r="L22" s="76"/>
      <c r="M22" s="76"/>
      <c r="N22" s="76"/>
      <c r="O22" s="76"/>
      <c r="P22" s="76"/>
      <c r="Q22" s="1"/>
    </row>
    <row r="23" spans="1:17" x14ac:dyDescent="0.35">
      <c r="A23" s="76"/>
      <c r="B23" s="1"/>
      <c r="C23" s="1"/>
      <c r="D23" s="1"/>
      <c r="E23" s="76"/>
      <c r="F23" s="76"/>
      <c r="G23" s="76"/>
      <c r="H23" s="76"/>
      <c r="I23" s="76"/>
      <c r="J23" s="76"/>
      <c r="K23" s="76"/>
      <c r="L23" s="76"/>
      <c r="M23" s="76"/>
      <c r="N23" s="76"/>
      <c r="O23" s="76"/>
      <c r="P23" s="76"/>
      <c r="Q23" s="1"/>
    </row>
    <row r="24" spans="1:17" x14ac:dyDescent="0.35">
      <c r="A24" s="76"/>
      <c r="B24" s="1"/>
      <c r="C24" s="1"/>
      <c r="D24" s="1"/>
      <c r="E24" s="76"/>
      <c r="F24" s="76"/>
      <c r="G24" s="76"/>
      <c r="H24" s="76"/>
      <c r="I24" s="76"/>
      <c r="J24" s="76"/>
      <c r="K24" s="76"/>
      <c r="L24" s="76"/>
      <c r="M24" s="76"/>
      <c r="N24" s="76"/>
      <c r="O24" s="76"/>
      <c r="P24" s="76"/>
      <c r="Q24" s="1"/>
    </row>
    <row r="25" spans="1:17" x14ac:dyDescent="0.35">
      <c r="A25" s="76"/>
      <c r="B25" s="1"/>
      <c r="C25" s="1"/>
      <c r="D25" s="1"/>
      <c r="E25" s="76"/>
      <c r="F25" s="76"/>
      <c r="G25" s="76"/>
      <c r="H25" s="76"/>
      <c r="I25" s="76"/>
      <c r="J25" s="76"/>
      <c r="K25" s="76"/>
      <c r="L25" s="76"/>
      <c r="M25" s="76"/>
      <c r="N25" s="76"/>
      <c r="O25" s="76"/>
      <c r="P25" s="76"/>
      <c r="Q25" s="1"/>
    </row>
    <row r="26" spans="1:17" x14ac:dyDescent="0.35">
      <c r="A26" s="76"/>
      <c r="B26" s="1"/>
      <c r="C26" s="1"/>
      <c r="D26" s="1"/>
      <c r="E26" s="76"/>
      <c r="F26" s="76"/>
      <c r="G26" s="76"/>
      <c r="H26" s="76"/>
      <c r="I26" s="76"/>
      <c r="J26" s="76"/>
      <c r="K26" s="76"/>
      <c r="L26" s="76"/>
      <c r="M26" s="76"/>
      <c r="N26" s="76"/>
      <c r="O26" s="76"/>
      <c r="P26" s="76"/>
      <c r="Q26" s="1"/>
    </row>
    <row r="27" spans="1:17" x14ac:dyDescent="0.35">
      <c r="A27" s="76"/>
      <c r="B27" s="1"/>
      <c r="C27" s="1"/>
      <c r="D27" s="1"/>
      <c r="E27" s="76"/>
      <c r="F27" s="76"/>
      <c r="G27" s="76"/>
      <c r="H27" s="76"/>
      <c r="I27" s="76"/>
      <c r="J27" s="76"/>
      <c r="K27" s="76"/>
      <c r="L27" s="76"/>
      <c r="M27" s="76"/>
      <c r="N27" s="76"/>
      <c r="O27" s="76"/>
      <c r="P27" s="76"/>
      <c r="Q27" s="1"/>
    </row>
    <row r="28" spans="1:17" x14ac:dyDescent="0.35">
      <c r="A28" s="76"/>
      <c r="B28" s="1"/>
      <c r="C28" s="1"/>
      <c r="D28" s="1"/>
      <c r="E28" s="76"/>
      <c r="F28" s="76"/>
      <c r="G28" s="76"/>
      <c r="H28" s="76"/>
      <c r="I28" s="76"/>
      <c r="J28" s="76"/>
      <c r="K28" s="76"/>
      <c r="L28" s="76"/>
      <c r="M28" s="76"/>
      <c r="N28" s="76"/>
      <c r="O28" s="76"/>
      <c r="P28" s="76"/>
      <c r="Q28" s="1"/>
    </row>
    <row r="29" spans="1:17" x14ac:dyDescent="0.35">
      <c r="A29" s="76"/>
      <c r="B29" s="1"/>
      <c r="C29" s="1"/>
      <c r="D29" s="1"/>
      <c r="E29" s="76"/>
      <c r="F29" s="76"/>
      <c r="G29" s="76"/>
      <c r="H29" s="76"/>
      <c r="I29" s="76"/>
      <c r="J29" s="76"/>
      <c r="K29" s="76"/>
      <c r="L29" s="76"/>
      <c r="M29" s="76"/>
      <c r="N29" s="76"/>
      <c r="O29" s="76"/>
      <c r="P29" s="76"/>
      <c r="Q29" s="1"/>
    </row>
    <row r="30" spans="1:17" x14ac:dyDescent="0.35">
      <c r="A30" s="76"/>
      <c r="B30" s="1"/>
      <c r="C30" s="1"/>
      <c r="D30" s="1"/>
      <c r="E30" s="76"/>
      <c r="F30" s="76"/>
      <c r="G30" s="76"/>
      <c r="H30" s="76"/>
      <c r="I30" s="76"/>
      <c r="J30" s="76"/>
      <c r="K30" s="76"/>
      <c r="L30" s="76"/>
      <c r="M30" s="76"/>
      <c r="N30" s="76"/>
      <c r="O30" s="76"/>
      <c r="P30" s="76"/>
      <c r="Q30" s="1"/>
    </row>
    <row r="31" spans="1:17" x14ac:dyDescent="0.35">
      <c r="A31" s="76"/>
      <c r="B31" s="1"/>
      <c r="C31" s="1"/>
      <c r="D31" s="1"/>
      <c r="E31" s="76"/>
      <c r="F31" s="76"/>
      <c r="G31" s="76"/>
      <c r="H31" s="76"/>
      <c r="I31" s="76"/>
      <c r="J31" s="76"/>
      <c r="K31" s="76"/>
      <c r="L31" s="76"/>
      <c r="M31" s="76"/>
      <c r="N31" s="76"/>
      <c r="O31" s="76"/>
      <c r="P31" s="76"/>
      <c r="Q31" s="1"/>
    </row>
    <row r="32" spans="1:17" x14ac:dyDescent="0.35">
      <c r="A32" s="76"/>
      <c r="B32" s="1"/>
      <c r="C32" s="1"/>
      <c r="D32" s="1"/>
      <c r="E32" s="76"/>
      <c r="F32" s="76"/>
      <c r="G32" s="76"/>
      <c r="H32" s="76"/>
      <c r="I32" s="76"/>
      <c r="J32" s="76"/>
      <c r="K32" s="76"/>
      <c r="L32" s="76"/>
      <c r="M32" s="76"/>
      <c r="N32" s="76"/>
      <c r="O32" s="76"/>
      <c r="P32" s="76"/>
      <c r="Q32" s="1"/>
    </row>
    <row r="33" spans="1:17" x14ac:dyDescent="0.35">
      <c r="A33" s="76"/>
      <c r="B33" s="1"/>
      <c r="C33" s="1"/>
      <c r="D33" s="1"/>
      <c r="E33" s="76"/>
      <c r="F33" s="76"/>
      <c r="G33" s="76"/>
      <c r="H33" s="76"/>
      <c r="I33" s="76"/>
      <c r="J33" s="76"/>
      <c r="K33" s="76"/>
      <c r="L33" s="76"/>
      <c r="M33" s="76"/>
      <c r="N33" s="76"/>
      <c r="O33" s="76"/>
      <c r="P33" s="76"/>
      <c r="Q33" s="1"/>
    </row>
    <row r="34" spans="1:17" x14ac:dyDescent="0.35">
      <c r="A34" s="76"/>
      <c r="B34" s="1"/>
      <c r="C34" s="1"/>
      <c r="D34" s="1"/>
      <c r="E34" s="76"/>
      <c r="F34" s="76"/>
      <c r="G34" s="76"/>
      <c r="H34" s="76"/>
      <c r="I34" s="76"/>
      <c r="J34" s="76"/>
      <c r="K34" s="76"/>
      <c r="L34" s="76"/>
      <c r="M34" s="76"/>
      <c r="N34" s="76"/>
      <c r="O34" s="76"/>
      <c r="P34" s="76"/>
      <c r="Q34" s="1"/>
    </row>
    <row r="35" spans="1:17" x14ac:dyDescent="0.35">
      <c r="A35" s="76"/>
      <c r="B35" s="1"/>
      <c r="C35" s="1"/>
      <c r="D35" s="1"/>
      <c r="E35" s="76"/>
      <c r="F35" s="76"/>
      <c r="G35" s="76"/>
      <c r="H35" s="76"/>
      <c r="I35" s="76"/>
      <c r="J35" s="76"/>
      <c r="K35" s="76"/>
      <c r="L35" s="76"/>
      <c r="M35" s="76"/>
      <c r="N35" s="76"/>
      <c r="O35" s="76"/>
      <c r="P35" s="76"/>
      <c r="Q35" s="1"/>
    </row>
    <row r="36" spans="1:17" x14ac:dyDescent="0.35">
      <c r="A36" s="76"/>
      <c r="B36" s="1"/>
      <c r="C36" s="1"/>
      <c r="D36" s="1"/>
      <c r="E36" s="76"/>
      <c r="F36" s="76"/>
      <c r="G36" s="76"/>
      <c r="H36" s="76"/>
      <c r="I36" s="76"/>
      <c r="J36" s="76"/>
      <c r="K36" s="76"/>
      <c r="L36" s="76"/>
      <c r="M36" s="76"/>
      <c r="N36" s="76"/>
      <c r="O36" s="76"/>
      <c r="P36" s="76"/>
      <c r="Q36" s="1"/>
    </row>
    <row r="37" spans="1:17" x14ac:dyDescent="0.35">
      <c r="A37" s="76"/>
      <c r="B37" s="1"/>
      <c r="C37" s="1"/>
      <c r="D37" s="1"/>
      <c r="E37" s="76"/>
      <c r="F37" s="76"/>
      <c r="G37" s="76"/>
      <c r="H37" s="76"/>
      <c r="I37" s="76"/>
      <c r="J37" s="76"/>
      <c r="K37" s="76"/>
      <c r="L37" s="76"/>
      <c r="M37" s="76"/>
      <c r="N37" s="76"/>
      <c r="O37" s="76"/>
      <c r="P37" s="76"/>
      <c r="Q37" s="1"/>
    </row>
    <row r="38" spans="1:17" x14ac:dyDescent="0.35">
      <c r="A38" s="76"/>
      <c r="B38" s="1"/>
      <c r="C38" s="1"/>
      <c r="D38" s="1"/>
      <c r="E38" s="76"/>
      <c r="F38" s="76"/>
      <c r="G38" s="76"/>
      <c r="H38" s="76"/>
      <c r="I38" s="76"/>
      <c r="J38" s="76"/>
      <c r="K38" s="76"/>
      <c r="L38" s="76"/>
      <c r="M38" s="76"/>
      <c r="N38" s="76"/>
      <c r="O38" s="76"/>
      <c r="P38" s="76"/>
      <c r="Q38" s="1"/>
    </row>
    <row r="39" spans="1:17" x14ac:dyDescent="0.35">
      <c r="A39" s="76"/>
      <c r="B39" s="1"/>
      <c r="C39" s="1"/>
      <c r="D39" s="1"/>
      <c r="E39" s="76"/>
      <c r="F39" s="76"/>
      <c r="G39" s="76"/>
      <c r="H39" s="76"/>
      <c r="I39" s="76"/>
      <c r="J39" s="76"/>
      <c r="K39" s="76"/>
      <c r="L39" s="76"/>
      <c r="M39" s="76"/>
      <c r="N39" s="76"/>
      <c r="O39" s="76"/>
      <c r="P39" s="76"/>
      <c r="Q39" s="1"/>
    </row>
    <row r="40" spans="1:17" x14ac:dyDescent="0.35">
      <c r="A40" s="76"/>
      <c r="B40" s="1"/>
      <c r="C40" s="1"/>
      <c r="D40" s="1"/>
      <c r="E40" s="76"/>
      <c r="F40" s="76"/>
      <c r="G40" s="76"/>
      <c r="H40" s="76"/>
      <c r="I40" s="76"/>
      <c r="J40" s="76"/>
      <c r="K40" s="76"/>
      <c r="L40" s="76"/>
      <c r="M40" s="76"/>
      <c r="N40" s="76"/>
      <c r="O40" s="76"/>
      <c r="P40" s="76"/>
      <c r="Q40" s="1"/>
    </row>
    <row r="41" spans="1:17" x14ac:dyDescent="0.35">
      <c r="A41" s="76"/>
      <c r="B41" s="1"/>
      <c r="C41" s="1"/>
      <c r="D41" s="1"/>
      <c r="E41" s="76"/>
      <c r="F41" s="76"/>
      <c r="G41" s="76"/>
      <c r="H41" s="76"/>
      <c r="I41" s="76"/>
      <c r="J41" s="76"/>
      <c r="K41" s="76"/>
      <c r="L41" s="76"/>
      <c r="M41" s="76"/>
      <c r="N41" s="76"/>
      <c r="O41" s="76"/>
      <c r="P41" s="76"/>
      <c r="Q41" s="1"/>
    </row>
    <row r="42" spans="1:17" x14ac:dyDescent="0.35">
      <c r="A42" s="76"/>
      <c r="B42" s="1"/>
      <c r="C42" s="1"/>
      <c r="D42" s="1"/>
      <c r="E42" s="76"/>
      <c r="F42" s="76"/>
      <c r="G42" s="76"/>
      <c r="H42" s="76"/>
      <c r="I42" s="76"/>
      <c r="J42" s="76"/>
      <c r="K42" s="76"/>
      <c r="L42" s="76"/>
      <c r="M42" s="76"/>
      <c r="N42" s="76"/>
      <c r="O42" s="76"/>
      <c r="P42" s="76"/>
      <c r="Q42" s="1"/>
    </row>
    <row r="43" spans="1:17" x14ac:dyDescent="0.35">
      <c r="A43" s="76"/>
      <c r="B43" s="1"/>
      <c r="C43" s="1"/>
      <c r="D43" s="1"/>
      <c r="E43" s="76"/>
      <c r="F43" s="76"/>
      <c r="G43" s="76"/>
      <c r="H43" s="76"/>
      <c r="I43" s="76"/>
      <c r="J43" s="76"/>
      <c r="K43" s="76"/>
      <c r="L43" s="76"/>
      <c r="M43" s="76"/>
      <c r="N43" s="76"/>
      <c r="O43" s="76"/>
      <c r="P43" s="76"/>
      <c r="Q43" s="1"/>
    </row>
    <row r="44" spans="1:17" x14ac:dyDescent="0.35">
      <c r="A44" s="76"/>
      <c r="B44" s="1"/>
      <c r="C44" s="1"/>
      <c r="D44" s="1"/>
      <c r="E44" s="76"/>
      <c r="F44" s="76"/>
      <c r="G44" s="76"/>
      <c r="H44" s="76"/>
      <c r="I44" s="76"/>
      <c r="J44" s="76"/>
      <c r="K44" s="76"/>
      <c r="L44" s="76"/>
      <c r="M44" s="76"/>
      <c r="N44" s="76"/>
      <c r="O44" s="76"/>
      <c r="P44" s="76"/>
      <c r="Q44" s="1"/>
    </row>
    <row r="45" spans="1:17" x14ac:dyDescent="0.35">
      <c r="A45" s="76"/>
      <c r="B45" s="1"/>
      <c r="C45" s="1"/>
      <c r="D45" s="1"/>
      <c r="E45" s="76"/>
      <c r="F45" s="76"/>
      <c r="G45" s="76"/>
      <c r="H45" s="76"/>
      <c r="I45" s="76"/>
      <c r="J45" s="76"/>
      <c r="K45" s="76"/>
      <c r="L45" s="76"/>
      <c r="M45" s="76"/>
      <c r="N45" s="76"/>
      <c r="O45" s="76"/>
      <c r="P45" s="76"/>
      <c r="Q45" s="1"/>
    </row>
    <row r="46" spans="1:17" x14ac:dyDescent="0.35">
      <c r="A46" s="76"/>
      <c r="B46" s="1"/>
      <c r="C46" s="1"/>
      <c r="D46" s="1"/>
      <c r="E46" s="76"/>
      <c r="F46" s="76"/>
      <c r="G46" s="76"/>
      <c r="H46" s="76"/>
      <c r="I46" s="76"/>
      <c r="J46" s="76"/>
      <c r="K46" s="76"/>
      <c r="L46" s="76"/>
      <c r="M46" s="76"/>
      <c r="N46" s="76"/>
      <c r="O46" s="76"/>
      <c r="P46" s="76"/>
      <c r="Q46" s="1"/>
    </row>
    <row r="47" spans="1:17" x14ac:dyDescent="0.35">
      <c r="A47" s="76"/>
      <c r="B47" s="1"/>
      <c r="C47" s="1"/>
      <c r="D47" s="1"/>
      <c r="E47" s="76"/>
      <c r="F47" s="76"/>
      <c r="G47" s="76"/>
      <c r="H47" s="76"/>
      <c r="I47" s="76"/>
      <c r="J47" s="76"/>
      <c r="K47" s="76"/>
      <c r="L47" s="76"/>
      <c r="M47" s="76"/>
      <c r="N47" s="76"/>
      <c r="O47" s="76"/>
      <c r="P47" s="76"/>
      <c r="Q47" s="1"/>
    </row>
    <row r="48" spans="1:17" x14ac:dyDescent="0.35">
      <c r="A48" s="76"/>
      <c r="B48" s="1"/>
      <c r="C48" s="1"/>
      <c r="D48" s="1"/>
      <c r="E48" s="76"/>
      <c r="F48" s="76"/>
      <c r="G48" s="76"/>
      <c r="H48" s="76"/>
      <c r="I48" s="76"/>
      <c r="J48" s="76"/>
      <c r="K48" s="76"/>
      <c r="L48" s="76"/>
      <c r="M48" s="76"/>
      <c r="N48" s="76"/>
      <c r="O48" s="76"/>
      <c r="P48" s="76"/>
      <c r="Q48" s="1"/>
    </row>
    <row r="49" spans="1:17" x14ac:dyDescent="0.35">
      <c r="A49" s="76"/>
      <c r="B49" s="1"/>
      <c r="C49" s="1"/>
      <c r="D49" s="1"/>
      <c r="E49" s="76"/>
      <c r="F49" s="76"/>
      <c r="G49" s="76"/>
      <c r="H49" s="76"/>
      <c r="I49" s="76"/>
      <c r="J49" s="76"/>
      <c r="K49" s="76"/>
      <c r="L49" s="76"/>
      <c r="M49" s="76"/>
      <c r="N49" s="76"/>
      <c r="O49" s="76"/>
      <c r="P49" s="76"/>
      <c r="Q49" s="1"/>
    </row>
    <row r="50" spans="1:17" x14ac:dyDescent="0.35">
      <c r="A50" s="76"/>
      <c r="B50" s="1"/>
      <c r="C50" s="1"/>
      <c r="D50" s="1"/>
      <c r="E50" s="76"/>
      <c r="F50" s="76"/>
      <c r="G50" s="76"/>
      <c r="H50" s="76"/>
      <c r="I50" s="76"/>
      <c r="J50" s="76"/>
      <c r="K50" s="76"/>
      <c r="L50" s="76"/>
      <c r="M50" s="76"/>
      <c r="N50" s="76"/>
      <c r="O50" s="76"/>
      <c r="P50" s="76"/>
      <c r="Q50" s="1"/>
    </row>
    <row r="51" spans="1:17" x14ac:dyDescent="0.35">
      <c r="A51" s="76"/>
      <c r="B51" s="1"/>
      <c r="C51" s="1"/>
      <c r="D51" s="1"/>
      <c r="E51" s="76"/>
      <c r="F51" s="76"/>
      <c r="G51" s="76"/>
      <c r="H51" s="76"/>
      <c r="I51" s="76"/>
      <c r="J51" s="76"/>
      <c r="K51" s="76"/>
      <c r="L51" s="76"/>
      <c r="M51" s="76"/>
      <c r="N51" s="76"/>
      <c r="O51" s="76"/>
      <c r="P51" s="76"/>
      <c r="Q51" s="1"/>
    </row>
    <row r="52" spans="1:17" x14ac:dyDescent="0.35">
      <c r="A52" s="76"/>
      <c r="B52" s="1"/>
      <c r="C52" s="1"/>
      <c r="D52" s="1"/>
      <c r="E52" s="76"/>
      <c r="F52" s="76"/>
      <c r="G52" s="76"/>
      <c r="H52" s="76"/>
      <c r="I52" s="76"/>
      <c r="J52" s="76"/>
      <c r="K52" s="76"/>
      <c r="L52" s="76"/>
      <c r="M52" s="76"/>
      <c r="N52" s="76"/>
      <c r="O52" s="76"/>
      <c r="P52" s="76"/>
      <c r="Q52" s="1"/>
    </row>
    <row r="53" spans="1:17" x14ac:dyDescent="0.35">
      <c r="A53" s="76"/>
      <c r="B53" s="1"/>
      <c r="C53" s="1"/>
      <c r="D53" s="1"/>
      <c r="E53" s="76"/>
      <c r="F53" s="76"/>
      <c r="G53" s="76"/>
      <c r="H53" s="76"/>
      <c r="I53" s="76"/>
      <c r="J53" s="76"/>
      <c r="K53" s="76"/>
      <c r="L53" s="76"/>
      <c r="M53" s="76"/>
      <c r="N53" s="76"/>
      <c r="O53" s="76"/>
      <c r="P53" s="76"/>
      <c r="Q53" s="1"/>
    </row>
    <row r="54" spans="1:17" x14ac:dyDescent="0.35">
      <c r="A54" s="76"/>
      <c r="B54" s="1"/>
      <c r="C54" s="1"/>
      <c r="D54" s="1"/>
      <c r="E54" s="76"/>
      <c r="F54" s="76"/>
      <c r="G54" s="76"/>
      <c r="H54" s="76"/>
      <c r="I54" s="76"/>
      <c r="J54" s="76"/>
      <c r="K54" s="76"/>
      <c r="L54" s="76"/>
      <c r="M54" s="76"/>
      <c r="N54" s="76"/>
      <c r="O54" s="76"/>
      <c r="P54" s="76"/>
      <c r="Q54" s="1"/>
    </row>
    <row r="55" spans="1:17" x14ac:dyDescent="0.35">
      <c r="A55" s="76"/>
      <c r="B55" s="1"/>
      <c r="C55" s="1"/>
      <c r="D55" s="1"/>
      <c r="E55" s="76"/>
      <c r="F55" s="76"/>
      <c r="G55" s="76"/>
      <c r="H55" s="76"/>
      <c r="I55" s="76"/>
      <c r="J55" s="76"/>
      <c r="K55" s="76"/>
      <c r="L55" s="76"/>
      <c r="M55" s="76"/>
      <c r="N55" s="76"/>
      <c r="O55" s="76"/>
      <c r="P55" s="76"/>
      <c r="Q55" s="1"/>
    </row>
    <row r="56" spans="1:17" x14ac:dyDescent="0.35">
      <c r="A56" s="76"/>
      <c r="B56" s="1"/>
      <c r="C56" s="1"/>
      <c r="D56" s="1"/>
      <c r="E56" s="76"/>
      <c r="F56" s="76"/>
      <c r="G56" s="76"/>
      <c r="H56" s="76"/>
      <c r="I56" s="76"/>
      <c r="J56" s="76"/>
      <c r="K56" s="76"/>
      <c r="L56" s="76"/>
      <c r="M56" s="76"/>
      <c r="N56" s="76"/>
      <c r="O56" s="76"/>
      <c r="P56" s="76"/>
      <c r="Q56" s="1"/>
    </row>
    <row r="57" spans="1:17" x14ac:dyDescent="0.35">
      <c r="A57" s="76"/>
      <c r="B57" s="1"/>
      <c r="C57" s="1"/>
      <c r="D57" s="1"/>
      <c r="E57" s="76"/>
      <c r="F57" s="76"/>
      <c r="G57" s="76"/>
      <c r="H57" s="76"/>
      <c r="I57" s="76"/>
      <c r="J57" s="76"/>
      <c r="K57" s="76"/>
      <c r="L57" s="76"/>
      <c r="M57" s="76"/>
      <c r="N57" s="76"/>
      <c r="O57" s="76"/>
      <c r="P57" s="76"/>
      <c r="Q57" s="1"/>
    </row>
    <row r="58" spans="1:17" x14ac:dyDescent="0.35">
      <c r="A58" s="76"/>
      <c r="B58" s="1"/>
      <c r="C58" s="1"/>
      <c r="D58" s="1"/>
      <c r="E58" s="76"/>
      <c r="F58" s="76"/>
      <c r="G58" s="76"/>
      <c r="H58" s="76"/>
      <c r="I58" s="76"/>
      <c r="J58" s="76"/>
      <c r="K58" s="76"/>
      <c r="L58" s="76"/>
      <c r="M58" s="76"/>
      <c r="N58" s="76"/>
      <c r="O58" s="76"/>
      <c r="P58" s="76"/>
      <c r="Q58" s="1"/>
    </row>
    <row r="59" spans="1:17" x14ac:dyDescent="0.35">
      <c r="A59" s="76"/>
      <c r="B59" s="1"/>
      <c r="C59" s="1"/>
      <c r="D59" s="1"/>
      <c r="E59" s="76"/>
      <c r="F59" s="76"/>
      <c r="G59" s="76"/>
      <c r="H59" s="76"/>
      <c r="I59" s="76"/>
      <c r="J59" s="76"/>
      <c r="K59" s="76"/>
      <c r="L59" s="76"/>
      <c r="M59" s="76"/>
      <c r="N59" s="76"/>
      <c r="O59" s="76"/>
      <c r="P59" s="76"/>
      <c r="Q59" s="1"/>
    </row>
    <row r="60" spans="1:17" x14ac:dyDescent="0.35">
      <c r="A60" s="76"/>
      <c r="B60" s="1"/>
      <c r="C60" s="1"/>
      <c r="D60" s="1"/>
      <c r="E60" s="76"/>
      <c r="F60" s="76"/>
      <c r="G60" s="76"/>
      <c r="H60" s="76"/>
      <c r="I60" s="76"/>
      <c r="J60" s="76"/>
      <c r="K60" s="76"/>
      <c r="L60" s="76"/>
      <c r="M60" s="76"/>
      <c r="N60" s="76"/>
      <c r="O60" s="76"/>
      <c r="P60" s="76"/>
      <c r="Q60" s="1"/>
    </row>
    <row r="61" spans="1:17" x14ac:dyDescent="0.35">
      <c r="A61" s="76"/>
      <c r="B61" s="1"/>
      <c r="C61" s="1"/>
      <c r="D61" s="1"/>
      <c r="E61" s="76"/>
      <c r="F61" s="76"/>
      <c r="G61" s="76"/>
      <c r="H61" s="76"/>
      <c r="I61" s="76"/>
      <c r="J61" s="76"/>
      <c r="K61" s="76"/>
      <c r="L61" s="76"/>
      <c r="M61" s="76"/>
      <c r="N61" s="76"/>
      <c r="O61" s="76"/>
      <c r="P61" s="76"/>
      <c r="Q61" s="1"/>
    </row>
    <row r="62" spans="1:17" x14ac:dyDescent="0.35">
      <c r="A62" s="76"/>
      <c r="B62" s="1"/>
      <c r="C62" s="1"/>
      <c r="D62" s="1"/>
      <c r="E62" s="76"/>
      <c r="F62" s="76"/>
      <c r="G62" s="76"/>
      <c r="H62" s="76"/>
      <c r="I62" s="76"/>
      <c r="J62" s="76"/>
      <c r="K62" s="76"/>
      <c r="L62" s="76"/>
      <c r="M62" s="76"/>
      <c r="N62" s="76"/>
      <c r="O62" s="76"/>
      <c r="P62" s="76"/>
      <c r="Q62" s="1"/>
    </row>
    <row r="63" spans="1:17" x14ac:dyDescent="0.35">
      <c r="A63" s="76"/>
      <c r="B63" s="1"/>
      <c r="C63" s="1"/>
      <c r="D63" s="1"/>
      <c r="E63" s="76"/>
      <c r="F63" s="76"/>
      <c r="G63" s="76"/>
      <c r="H63" s="76"/>
      <c r="I63" s="76"/>
      <c r="J63" s="76"/>
      <c r="K63" s="76"/>
      <c r="L63" s="76"/>
      <c r="M63" s="76"/>
      <c r="N63" s="76"/>
      <c r="O63" s="76"/>
      <c r="P63" s="76"/>
      <c r="Q63" s="1"/>
    </row>
    <row r="64" spans="1:17" x14ac:dyDescent="0.35">
      <c r="A64" s="76"/>
      <c r="B64" s="1"/>
      <c r="C64" s="1"/>
      <c r="D64" s="1"/>
      <c r="E64" s="76"/>
      <c r="F64" s="76"/>
      <c r="G64" s="76"/>
      <c r="H64" s="76"/>
      <c r="I64" s="76"/>
      <c r="J64" s="76"/>
      <c r="K64" s="76"/>
      <c r="L64" s="76"/>
      <c r="M64" s="76"/>
      <c r="N64" s="76"/>
      <c r="O64" s="76"/>
      <c r="P64" s="76"/>
      <c r="Q64" s="1"/>
    </row>
    <row r="65" spans="1:17" x14ac:dyDescent="0.35">
      <c r="A65" s="76"/>
      <c r="B65" s="1"/>
      <c r="C65" s="1"/>
      <c r="D65" s="1"/>
      <c r="E65" s="76"/>
      <c r="F65" s="76"/>
      <c r="G65" s="76"/>
      <c r="H65" s="76"/>
      <c r="I65" s="76"/>
      <c r="J65" s="76"/>
      <c r="K65" s="76"/>
      <c r="L65" s="76"/>
      <c r="M65" s="76"/>
      <c r="N65" s="76"/>
      <c r="O65" s="76"/>
      <c r="P65" s="76"/>
      <c r="Q65" s="1"/>
    </row>
    <row r="66" spans="1:17" x14ac:dyDescent="0.35">
      <c r="A66" s="76"/>
      <c r="B66" s="1"/>
      <c r="C66" s="1"/>
      <c r="D66" s="1"/>
      <c r="E66" s="76"/>
      <c r="F66" s="76"/>
      <c r="G66" s="76"/>
      <c r="H66" s="76"/>
      <c r="I66" s="76"/>
      <c r="J66" s="76"/>
      <c r="K66" s="76"/>
      <c r="L66" s="76"/>
      <c r="M66" s="76"/>
      <c r="N66" s="76"/>
      <c r="O66" s="76"/>
      <c r="P66" s="76"/>
      <c r="Q66" s="1"/>
    </row>
    <row r="67" spans="1:17" x14ac:dyDescent="0.35">
      <c r="A67" s="76"/>
      <c r="B67" s="1"/>
      <c r="C67" s="1"/>
      <c r="D67" s="1"/>
      <c r="E67" s="76"/>
      <c r="F67" s="76"/>
      <c r="G67" s="76"/>
      <c r="H67" s="76"/>
      <c r="I67" s="76"/>
      <c r="J67" s="76"/>
      <c r="K67" s="76"/>
      <c r="L67" s="76"/>
      <c r="M67" s="76"/>
      <c r="N67" s="76"/>
      <c r="O67" s="76"/>
      <c r="P67" s="76"/>
      <c r="Q67" s="1"/>
    </row>
    <row r="68" spans="1:17" x14ac:dyDescent="0.35">
      <c r="A68" s="76"/>
      <c r="B68" s="1"/>
      <c r="C68" s="1"/>
      <c r="D68" s="1"/>
      <c r="E68" s="76"/>
      <c r="F68" s="76"/>
      <c r="G68" s="76"/>
      <c r="H68" s="76"/>
      <c r="I68" s="76"/>
      <c r="J68" s="76"/>
      <c r="K68" s="76"/>
      <c r="L68" s="76"/>
      <c r="M68" s="76"/>
      <c r="N68" s="76"/>
      <c r="O68" s="76"/>
      <c r="P68" s="76"/>
      <c r="Q68" s="1"/>
    </row>
    <row r="69" spans="1:17" x14ac:dyDescent="0.35">
      <c r="A69" s="76"/>
      <c r="B69" s="1"/>
      <c r="C69" s="1"/>
      <c r="D69" s="1"/>
      <c r="E69" s="76"/>
      <c r="F69" s="76"/>
      <c r="G69" s="76"/>
      <c r="H69" s="76"/>
      <c r="I69" s="76"/>
      <c r="J69" s="76"/>
      <c r="K69" s="76"/>
      <c r="L69" s="76"/>
      <c r="M69" s="76"/>
      <c r="N69" s="76"/>
      <c r="O69" s="76"/>
      <c r="P69" s="76"/>
      <c r="Q69" s="1"/>
    </row>
    <row r="70" spans="1:17" x14ac:dyDescent="0.35">
      <c r="A70" s="76"/>
      <c r="B70" s="1"/>
      <c r="C70" s="1"/>
      <c r="D70" s="1"/>
      <c r="E70" s="76"/>
      <c r="F70" s="76"/>
      <c r="G70" s="76"/>
      <c r="H70" s="76"/>
      <c r="I70" s="76"/>
      <c r="J70" s="76"/>
      <c r="K70" s="76"/>
      <c r="L70" s="76"/>
      <c r="M70" s="76"/>
      <c r="N70" s="76"/>
      <c r="O70" s="76"/>
      <c r="P70" s="76"/>
      <c r="Q70" s="1"/>
    </row>
    <row r="71" spans="1:17" x14ac:dyDescent="0.35">
      <c r="A71" s="76"/>
      <c r="B71" s="1"/>
      <c r="C71" s="1"/>
      <c r="D71" s="1"/>
      <c r="E71" s="76"/>
      <c r="F71" s="76"/>
      <c r="G71" s="76"/>
      <c r="H71" s="76"/>
      <c r="I71" s="76"/>
      <c r="J71" s="76"/>
      <c r="K71" s="76"/>
      <c r="L71" s="76"/>
      <c r="M71" s="76"/>
      <c r="N71" s="76"/>
      <c r="O71" s="76"/>
      <c r="P71" s="76"/>
      <c r="Q71" s="1"/>
    </row>
    <row r="72" spans="1:17" x14ac:dyDescent="0.35">
      <c r="A72" s="76"/>
      <c r="B72" s="1"/>
      <c r="C72" s="1"/>
      <c r="D72" s="1"/>
      <c r="E72" s="76"/>
      <c r="F72" s="76"/>
      <c r="G72" s="76"/>
      <c r="H72" s="76"/>
      <c r="I72" s="76"/>
      <c r="J72" s="76"/>
      <c r="K72" s="76"/>
      <c r="L72" s="76"/>
      <c r="M72" s="76"/>
      <c r="N72" s="76"/>
      <c r="O72" s="76"/>
      <c r="P72" s="76"/>
      <c r="Q72" s="1"/>
    </row>
    <row r="73" spans="1:17" x14ac:dyDescent="0.35">
      <c r="A73" s="76"/>
      <c r="B73" s="1"/>
      <c r="C73" s="1"/>
      <c r="D73" s="1"/>
      <c r="E73" s="76"/>
      <c r="F73" s="76"/>
      <c r="G73" s="76"/>
      <c r="H73" s="76"/>
      <c r="I73" s="76"/>
      <c r="J73" s="76"/>
      <c r="K73" s="76"/>
      <c r="L73" s="76"/>
      <c r="M73" s="76"/>
      <c r="N73" s="76"/>
      <c r="O73" s="76"/>
      <c r="P73" s="76"/>
      <c r="Q73" s="1"/>
    </row>
    <row r="74" spans="1:17" x14ac:dyDescent="0.35">
      <c r="A74" s="76"/>
      <c r="B74" s="1"/>
      <c r="C74" s="1"/>
      <c r="D74" s="1"/>
      <c r="E74" s="76"/>
      <c r="F74" s="76"/>
      <c r="G74" s="76"/>
      <c r="H74" s="76"/>
      <c r="I74" s="76"/>
      <c r="J74" s="76"/>
      <c r="K74" s="76"/>
      <c r="L74" s="76"/>
      <c r="M74" s="76"/>
      <c r="N74" s="76"/>
      <c r="O74" s="76"/>
      <c r="P74" s="76"/>
      <c r="Q74" s="1"/>
    </row>
    <row r="75" spans="1:17" x14ac:dyDescent="0.35">
      <c r="A75" s="76"/>
      <c r="B75" s="1"/>
      <c r="C75" s="1"/>
      <c r="D75" s="1"/>
      <c r="E75" s="76"/>
      <c r="F75" s="76"/>
      <c r="G75" s="76"/>
      <c r="H75" s="76"/>
      <c r="I75" s="76"/>
      <c r="J75" s="76"/>
      <c r="K75" s="76"/>
      <c r="L75" s="76"/>
      <c r="M75" s="76"/>
      <c r="N75" s="76"/>
      <c r="O75" s="76"/>
      <c r="P75" s="76"/>
      <c r="Q75" s="1"/>
    </row>
    <row r="76" spans="1:17" x14ac:dyDescent="0.35">
      <c r="A76" s="76"/>
      <c r="B76" s="1"/>
      <c r="C76" s="1"/>
      <c r="D76" s="1"/>
      <c r="E76" s="76"/>
      <c r="F76" s="76"/>
      <c r="G76" s="76"/>
      <c r="H76" s="76"/>
      <c r="I76" s="76"/>
      <c r="J76" s="76"/>
      <c r="K76" s="76"/>
      <c r="L76" s="76"/>
      <c r="M76" s="76"/>
      <c r="N76" s="76"/>
      <c r="O76" s="76"/>
      <c r="P76" s="76"/>
      <c r="Q76" s="1"/>
    </row>
    <row r="77" spans="1:17" x14ac:dyDescent="0.35">
      <c r="A77" s="76"/>
      <c r="B77" s="1"/>
      <c r="C77" s="1"/>
      <c r="D77" s="1"/>
      <c r="E77" s="76"/>
      <c r="F77" s="76"/>
      <c r="G77" s="76"/>
      <c r="H77" s="76"/>
      <c r="I77" s="76"/>
      <c r="J77" s="76"/>
      <c r="K77" s="76"/>
      <c r="L77" s="76"/>
      <c r="M77" s="76"/>
      <c r="N77" s="76"/>
      <c r="O77" s="76"/>
      <c r="P77" s="76"/>
      <c r="Q77" s="1"/>
    </row>
    <row r="78" spans="1:17" x14ac:dyDescent="0.35">
      <c r="A78" s="76"/>
      <c r="B78" s="1"/>
      <c r="C78" s="1"/>
      <c r="D78" s="1"/>
      <c r="E78" s="76"/>
      <c r="F78" s="76"/>
      <c r="G78" s="76"/>
      <c r="H78" s="76"/>
      <c r="I78" s="76"/>
      <c r="J78" s="76"/>
      <c r="K78" s="76"/>
      <c r="L78" s="76"/>
      <c r="M78" s="76"/>
      <c r="N78" s="76"/>
      <c r="O78" s="76"/>
      <c r="P78" s="76"/>
      <c r="Q78" s="1"/>
    </row>
    <row r="79" spans="1:17" x14ac:dyDescent="0.35">
      <c r="A79" s="76"/>
      <c r="B79" s="1"/>
      <c r="C79" s="1"/>
      <c r="D79" s="1"/>
      <c r="E79" s="76"/>
      <c r="F79" s="76"/>
      <c r="G79" s="76"/>
      <c r="H79" s="76"/>
      <c r="I79" s="76"/>
      <c r="J79" s="76"/>
      <c r="K79" s="76"/>
      <c r="L79" s="76"/>
      <c r="M79" s="76"/>
      <c r="N79" s="76"/>
      <c r="O79" s="76"/>
      <c r="P79" s="76"/>
      <c r="Q79" s="1"/>
    </row>
    <row r="80" spans="1:17" x14ac:dyDescent="0.35">
      <c r="A80" s="76"/>
      <c r="B80" s="1"/>
      <c r="C80" s="1"/>
      <c r="D80" s="1"/>
      <c r="E80" s="76"/>
      <c r="F80" s="76"/>
      <c r="G80" s="76"/>
      <c r="H80" s="76"/>
      <c r="I80" s="76"/>
      <c r="J80" s="76"/>
      <c r="K80" s="76"/>
      <c r="L80" s="76"/>
      <c r="M80" s="76"/>
      <c r="N80" s="76"/>
      <c r="O80" s="76"/>
      <c r="P80" s="76"/>
      <c r="Q80" s="1"/>
    </row>
    <row r="81" spans="1:17" x14ac:dyDescent="0.35">
      <c r="A81" s="76"/>
      <c r="B81" s="1"/>
      <c r="C81" s="1"/>
      <c r="D81" s="1"/>
      <c r="E81" s="76"/>
      <c r="F81" s="76"/>
      <c r="G81" s="76"/>
      <c r="H81" s="76"/>
      <c r="I81" s="76"/>
      <c r="J81" s="76"/>
      <c r="K81" s="76"/>
      <c r="L81" s="76"/>
      <c r="M81" s="76"/>
      <c r="N81" s="76"/>
      <c r="O81" s="76"/>
      <c r="P81" s="76"/>
      <c r="Q81" s="1"/>
    </row>
    <row r="82" spans="1:17" x14ac:dyDescent="0.35">
      <c r="A82" s="76"/>
      <c r="B82" s="1"/>
      <c r="C82" s="1"/>
      <c r="D82" s="1"/>
      <c r="E82" s="76"/>
      <c r="F82" s="76"/>
      <c r="G82" s="76"/>
      <c r="H82" s="76"/>
      <c r="I82" s="76"/>
      <c r="J82" s="76"/>
      <c r="K82" s="76"/>
      <c r="L82" s="76"/>
      <c r="M82" s="76"/>
      <c r="N82" s="76"/>
      <c r="O82" s="76"/>
      <c r="P82" s="76"/>
      <c r="Q82" s="1"/>
    </row>
    <row r="83" spans="1:17" x14ac:dyDescent="0.35">
      <c r="A83" s="76"/>
      <c r="B83" s="1"/>
      <c r="C83" s="1"/>
      <c r="D83" s="1"/>
      <c r="E83" s="76"/>
      <c r="F83" s="76"/>
      <c r="G83" s="76"/>
      <c r="H83" s="76"/>
      <c r="I83" s="76"/>
      <c r="J83" s="76"/>
      <c r="K83" s="76"/>
      <c r="L83" s="76"/>
      <c r="M83" s="76"/>
      <c r="N83" s="76"/>
      <c r="O83" s="76"/>
      <c r="P83" s="76"/>
      <c r="Q83" s="1"/>
    </row>
    <row r="84" spans="1:17" x14ac:dyDescent="0.35">
      <c r="A84" s="76"/>
      <c r="B84" s="1"/>
      <c r="C84" s="1"/>
      <c r="D84" s="1"/>
      <c r="E84" s="76"/>
      <c r="F84" s="76"/>
      <c r="G84" s="76"/>
      <c r="H84" s="76"/>
      <c r="I84" s="76"/>
      <c r="J84" s="76"/>
      <c r="K84" s="76"/>
      <c r="L84" s="76"/>
      <c r="M84" s="76"/>
      <c r="N84" s="76"/>
      <c r="O84" s="76"/>
      <c r="P84" s="76"/>
      <c r="Q84" s="1"/>
    </row>
    <row r="85" spans="1:17" x14ac:dyDescent="0.35">
      <c r="A85" s="76"/>
      <c r="B85" s="1"/>
      <c r="C85" s="1"/>
      <c r="D85" s="1"/>
      <c r="E85" s="76"/>
      <c r="F85" s="76"/>
      <c r="G85" s="76"/>
      <c r="H85" s="76"/>
      <c r="I85" s="76"/>
      <c r="J85" s="76"/>
      <c r="K85" s="76"/>
      <c r="L85" s="76"/>
      <c r="M85" s="76"/>
      <c r="N85" s="76"/>
      <c r="O85" s="76"/>
      <c r="P85" s="76"/>
      <c r="Q85" s="1"/>
    </row>
    <row r="86" spans="1:17" x14ac:dyDescent="0.35">
      <c r="A86" s="76"/>
      <c r="B86" s="1"/>
      <c r="C86" s="1"/>
      <c r="D86" s="1"/>
      <c r="E86" s="76"/>
      <c r="F86" s="76"/>
      <c r="G86" s="76"/>
      <c r="H86" s="76"/>
      <c r="I86" s="76"/>
      <c r="J86" s="76"/>
      <c r="K86" s="76"/>
      <c r="L86" s="76"/>
      <c r="M86" s="76"/>
      <c r="N86" s="76"/>
      <c r="O86" s="76"/>
      <c r="P86" s="76"/>
      <c r="Q86" s="1"/>
    </row>
    <row r="87" spans="1:17" x14ac:dyDescent="0.35">
      <c r="A87" s="76"/>
      <c r="B87" s="1"/>
      <c r="C87" s="1"/>
      <c r="D87" s="1"/>
      <c r="E87" s="76"/>
      <c r="F87" s="76"/>
      <c r="G87" s="76"/>
      <c r="H87" s="76"/>
      <c r="I87" s="76"/>
      <c r="J87" s="76"/>
      <c r="K87" s="76"/>
      <c r="L87" s="76"/>
      <c r="M87" s="76"/>
      <c r="N87" s="76"/>
      <c r="O87" s="76"/>
      <c r="P87" s="76"/>
      <c r="Q87" s="1"/>
    </row>
    <row r="88" spans="1:17" x14ac:dyDescent="0.35">
      <c r="A88" s="76"/>
      <c r="B88" s="1"/>
      <c r="C88" s="1"/>
      <c r="D88" s="1"/>
      <c r="E88" s="76"/>
      <c r="F88" s="76"/>
      <c r="G88" s="76"/>
      <c r="H88" s="76"/>
      <c r="I88" s="76"/>
      <c r="J88" s="76"/>
      <c r="K88" s="76"/>
      <c r="L88" s="76"/>
      <c r="M88" s="76"/>
      <c r="N88" s="76"/>
      <c r="O88" s="76"/>
      <c r="P88" s="76"/>
      <c r="Q88" s="1"/>
    </row>
    <row r="89" spans="1:17" x14ac:dyDescent="0.35">
      <c r="A89" s="76"/>
      <c r="B89" s="1"/>
      <c r="C89" s="1"/>
      <c r="D89" s="1"/>
      <c r="E89" s="76"/>
      <c r="F89" s="76"/>
      <c r="G89" s="76"/>
      <c r="H89" s="76"/>
      <c r="I89" s="76"/>
      <c r="J89" s="76"/>
      <c r="K89" s="76"/>
      <c r="L89" s="76"/>
      <c r="M89" s="76"/>
      <c r="N89" s="76"/>
      <c r="O89" s="76"/>
      <c r="P89" s="76"/>
      <c r="Q89" s="1"/>
    </row>
    <row r="90" spans="1:17" x14ac:dyDescent="0.35">
      <c r="A90" s="76"/>
      <c r="B90" s="1"/>
      <c r="C90" s="1"/>
      <c r="D90" s="1"/>
      <c r="E90" s="76"/>
      <c r="F90" s="76"/>
      <c r="G90" s="76"/>
      <c r="H90" s="76"/>
      <c r="I90" s="76"/>
      <c r="J90" s="76"/>
      <c r="K90" s="76"/>
      <c r="L90" s="76"/>
      <c r="M90" s="76"/>
      <c r="N90" s="76"/>
      <c r="O90" s="76"/>
      <c r="P90" s="76"/>
      <c r="Q90" s="1"/>
    </row>
    <row r="91" spans="1:17" x14ac:dyDescent="0.35">
      <c r="A91" s="76"/>
      <c r="B91" s="1"/>
      <c r="C91" s="1"/>
      <c r="D91" s="1"/>
      <c r="E91" s="76"/>
      <c r="F91" s="76"/>
      <c r="G91" s="76"/>
      <c r="H91" s="76"/>
      <c r="I91" s="76"/>
      <c r="J91" s="76"/>
      <c r="K91" s="76"/>
      <c r="L91" s="76"/>
      <c r="M91" s="76"/>
      <c r="N91" s="76"/>
      <c r="O91" s="76"/>
      <c r="P91" s="76"/>
      <c r="Q91" s="1"/>
    </row>
    <row r="92" spans="1:17" x14ac:dyDescent="0.35">
      <c r="A92" s="76"/>
      <c r="B92" s="1"/>
      <c r="C92" s="1"/>
      <c r="D92" s="1"/>
      <c r="E92" s="76"/>
      <c r="F92" s="76"/>
      <c r="G92" s="76"/>
      <c r="H92" s="76"/>
      <c r="I92" s="76"/>
      <c r="J92" s="76"/>
      <c r="K92" s="76"/>
      <c r="L92" s="76"/>
      <c r="M92" s="76"/>
      <c r="N92" s="76"/>
      <c r="O92" s="76"/>
      <c r="P92" s="76"/>
      <c r="Q92" s="1"/>
    </row>
    <row r="93" spans="1:17" x14ac:dyDescent="0.35">
      <c r="A93" s="76"/>
      <c r="B93" s="1"/>
      <c r="C93" s="1"/>
      <c r="D93" s="1"/>
      <c r="E93" s="76"/>
      <c r="F93" s="76"/>
      <c r="G93" s="76"/>
      <c r="H93" s="76"/>
      <c r="I93" s="76"/>
      <c r="J93" s="76"/>
      <c r="K93" s="76"/>
      <c r="L93" s="76"/>
      <c r="M93" s="76"/>
      <c r="N93" s="76"/>
      <c r="O93" s="76"/>
      <c r="P93" s="76"/>
      <c r="Q93" s="1"/>
    </row>
    <row r="94" spans="1:17" x14ac:dyDescent="0.35">
      <c r="A94" s="76"/>
      <c r="B94" s="1"/>
      <c r="C94" s="1"/>
      <c r="D94" s="1"/>
      <c r="E94" s="76"/>
      <c r="F94" s="76"/>
      <c r="G94" s="76"/>
      <c r="H94" s="76"/>
      <c r="I94" s="76"/>
      <c r="J94" s="76"/>
      <c r="K94" s="76"/>
      <c r="L94" s="76"/>
      <c r="M94" s="76"/>
      <c r="N94" s="76"/>
      <c r="O94" s="76"/>
      <c r="P94" s="76"/>
      <c r="Q94" s="1"/>
    </row>
    <row r="95" spans="1:17" x14ac:dyDescent="0.35">
      <c r="A95" s="76"/>
      <c r="B95" s="1"/>
      <c r="C95" s="1"/>
      <c r="D95" s="1"/>
      <c r="E95" s="76"/>
      <c r="F95" s="76"/>
      <c r="G95" s="76"/>
      <c r="H95" s="76"/>
      <c r="I95" s="76"/>
      <c r="J95" s="76"/>
      <c r="K95" s="76"/>
      <c r="L95" s="76"/>
      <c r="M95" s="76"/>
      <c r="N95" s="76"/>
      <c r="O95" s="76"/>
      <c r="P95" s="76"/>
      <c r="Q95" s="1"/>
    </row>
    <row r="96" spans="1:17" x14ac:dyDescent="0.35">
      <c r="A96" s="76"/>
      <c r="B96" s="1"/>
      <c r="C96" s="1"/>
      <c r="D96" s="1"/>
      <c r="E96" s="76"/>
      <c r="F96" s="76"/>
      <c r="G96" s="76"/>
      <c r="H96" s="76"/>
      <c r="I96" s="76"/>
      <c r="J96" s="76"/>
      <c r="K96" s="76"/>
      <c r="L96" s="76"/>
      <c r="M96" s="76"/>
      <c r="N96" s="76"/>
      <c r="O96" s="76"/>
      <c r="P96" s="76"/>
      <c r="Q96" s="1"/>
    </row>
    <row r="97" spans="1:17" x14ac:dyDescent="0.35">
      <c r="A97" s="76"/>
      <c r="B97" s="1"/>
      <c r="C97" s="1"/>
      <c r="D97" s="1"/>
      <c r="E97" s="76"/>
      <c r="F97" s="76"/>
      <c r="G97" s="76"/>
      <c r="H97" s="76"/>
      <c r="I97" s="76"/>
      <c r="J97" s="76"/>
      <c r="K97" s="76"/>
      <c r="L97" s="76"/>
      <c r="M97" s="76"/>
      <c r="N97" s="76"/>
      <c r="O97" s="76"/>
      <c r="P97" s="76"/>
      <c r="Q97" s="1"/>
    </row>
    <row r="98" spans="1:17" x14ac:dyDescent="0.35">
      <c r="A98" s="76"/>
      <c r="B98" s="1"/>
      <c r="C98" s="1"/>
      <c r="D98" s="1"/>
      <c r="E98" s="76"/>
      <c r="F98" s="76"/>
      <c r="G98" s="76"/>
      <c r="H98" s="76"/>
      <c r="I98" s="76"/>
      <c r="J98" s="76"/>
      <c r="K98" s="76"/>
      <c r="L98" s="76"/>
      <c r="M98" s="76"/>
      <c r="N98" s="76"/>
      <c r="O98" s="76"/>
      <c r="P98" s="76"/>
      <c r="Q98" s="1"/>
    </row>
    <row r="99" spans="1:17" x14ac:dyDescent="0.35">
      <c r="A99" s="76"/>
      <c r="B99" s="1"/>
      <c r="C99" s="1"/>
      <c r="D99" s="1"/>
      <c r="E99" s="76"/>
      <c r="F99" s="76"/>
      <c r="G99" s="76"/>
      <c r="H99" s="76"/>
      <c r="I99" s="76"/>
      <c r="J99" s="76"/>
      <c r="K99" s="76"/>
      <c r="L99" s="76"/>
      <c r="M99" s="76"/>
      <c r="N99" s="76"/>
      <c r="O99" s="76"/>
      <c r="P99" s="76"/>
      <c r="Q99" s="1"/>
    </row>
    <row r="100" spans="1:17" x14ac:dyDescent="0.35">
      <c r="A100" s="76"/>
      <c r="B100" s="1"/>
      <c r="C100" s="1"/>
      <c r="D100" s="1"/>
      <c r="E100" s="76"/>
      <c r="F100" s="76"/>
      <c r="G100" s="76"/>
      <c r="H100" s="76"/>
      <c r="I100" s="76"/>
      <c r="J100" s="76"/>
      <c r="K100" s="76"/>
      <c r="L100" s="76"/>
      <c r="M100" s="76"/>
      <c r="N100" s="76"/>
      <c r="O100" s="76"/>
      <c r="P100" s="76"/>
      <c r="Q100" s="1"/>
    </row>
    <row r="101" spans="1:17" x14ac:dyDescent="0.35">
      <c r="A101" s="76"/>
      <c r="B101" s="1"/>
      <c r="C101" s="1"/>
      <c r="D101" s="1"/>
      <c r="E101" s="76"/>
      <c r="F101" s="76"/>
      <c r="G101" s="76"/>
      <c r="H101" s="76"/>
      <c r="I101" s="76"/>
      <c r="J101" s="76"/>
      <c r="K101" s="76"/>
      <c r="L101" s="76"/>
      <c r="M101" s="76"/>
      <c r="N101" s="76"/>
      <c r="O101" s="76"/>
      <c r="P101" s="76"/>
      <c r="Q101" s="1"/>
    </row>
    <row r="102" spans="1:17" x14ac:dyDescent="0.35">
      <c r="A102" s="76"/>
      <c r="B102" s="1"/>
      <c r="C102" s="1"/>
      <c r="D102" s="1"/>
      <c r="E102" s="76"/>
      <c r="F102" s="76"/>
      <c r="G102" s="76"/>
      <c r="H102" s="76"/>
      <c r="I102" s="76"/>
      <c r="J102" s="76"/>
      <c r="K102" s="76"/>
      <c r="L102" s="76"/>
      <c r="M102" s="76"/>
      <c r="N102" s="76"/>
      <c r="O102" s="76"/>
      <c r="P102" s="76"/>
      <c r="Q102" s="1"/>
    </row>
    <row r="103" spans="1:17" x14ac:dyDescent="0.35">
      <c r="A103" s="76"/>
      <c r="B103" s="1"/>
      <c r="C103" s="1"/>
      <c r="D103" s="1"/>
      <c r="E103" s="76"/>
      <c r="F103" s="76"/>
      <c r="G103" s="76"/>
      <c r="H103" s="76"/>
      <c r="I103" s="76"/>
      <c r="J103" s="76"/>
      <c r="K103" s="76"/>
      <c r="L103" s="76"/>
      <c r="M103" s="76"/>
      <c r="N103" s="76"/>
      <c r="O103" s="76"/>
      <c r="P103" s="76"/>
      <c r="Q103" s="1"/>
    </row>
    <row r="104" spans="1:17" x14ac:dyDescent="0.35">
      <c r="A104" s="76"/>
      <c r="B104" s="1"/>
      <c r="C104" s="1"/>
      <c r="D104" s="1"/>
      <c r="E104" s="76"/>
      <c r="F104" s="76"/>
      <c r="G104" s="76"/>
      <c r="H104" s="76"/>
      <c r="I104" s="76"/>
      <c r="J104" s="76"/>
      <c r="K104" s="76"/>
      <c r="L104" s="76"/>
      <c r="M104" s="76"/>
      <c r="N104" s="76"/>
      <c r="O104" s="76"/>
      <c r="P104" s="76"/>
      <c r="Q104" s="1"/>
    </row>
    <row r="105" spans="1:17" x14ac:dyDescent="0.35">
      <c r="A105" s="76"/>
      <c r="B105" s="1"/>
      <c r="C105" s="1"/>
      <c r="D105" s="1"/>
      <c r="E105" s="76"/>
      <c r="F105" s="76"/>
      <c r="G105" s="76"/>
      <c r="H105" s="76"/>
      <c r="I105" s="76"/>
      <c r="J105" s="76"/>
      <c r="K105" s="76"/>
      <c r="L105" s="76"/>
      <c r="M105" s="76"/>
      <c r="N105" s="76"/>
      <c r="O105" s="76"/>
      <c r="P105" s="76"/>
      <c r="Q105" s="1"/>
    </row>
    <row r="106" spans="1:17" x14ac:dyDescent="0.35">
      <c r="A106" s="76"/>
      <c r="B106" s="1"/>
      <c r="C106" s="1"/>
      <c r="D106" s="1"/>
      <c r="E106" s="76"/>
      <c r="F106" s="76"/>
      <c r="G106" s="76"/>
      <c r="H106" s="76"/>
      <c r="I106" s="76"/>
      <c r="J106" s="76"/>
      <c r="K106" s="76"/>
      <c r="L106" s="76"/>
      <c r="M106" s="76"/>
      <c r="N106" s="76"/>
      <c r="O106" s="76"/>
      <c r="P106" s="76"/>
      <c r="Q106" s="1"/>
    </row>
    <row r="107" spans="1:17" x14ac:dyDescent="0.35">
      <c r="A107" s="76"/>
      <c r="B107" s="1"/>
      <c r="C107" s="1"/>
      <c r="D107" s="1"/>
      <c r="E107" s="76"/>
      <c r="F107" s="76"/>
      <c r="G107" s="76"/>
      <c r="H107" s="76"/>
      <c r="I107" s="76"/>
      <c r="J107" s="76"/>
      <c r="K107" s="76"/>
      <c r="L107" s="76"/>
      <c r="M107" s="76"/>
      <c r="N107" s="76"/>
      <c r="O107" s="76"/>
      <c r="P107" s="76"/>
      <c r="Q107" s="1"/>
    </row>
    <row r="108" spans="1:17" x14ac:dyDescent="0.35">
      <c r="A108" s="76"/>
      <c r="B108" s="1"/>
      <c r="C108" s="1"/>
      <c r="D108" s="1"/>
      <c r="E108" s="76"/>
      <c r="F108" s="76"/>
      <c r="G108" s="76"/>
      <c r="H108" s="76"/>
      <c r="I108" s="76"/>
      <c r="J108" s="76"/>
      <c r="K108" s="76"/>
      <c r="L108" s="76"/>
      <c r="M108" s="76"/>
      <c r="N108" s="76"/>
      <c r="O108" s="76"/>
      <c r="P108" s="76"/>
      <c r="Q108" s="1"/>
    </row>
    <row r="109" spans="1:17" x14ac:dyDescent="0.35">
      <c r="A109" s="76"/>
      <c r="B109" s="1"/>
      <c r="C109" s="1"/>
      <c r="D109" s="1"/>
      <c r="E109" s="76"/>
      <c r="F109" s="76"/>
      <c r="G109" s="76"/>
      <c r="H109" s="76"/>
      <c r="I109" s="76"/>
      <c r="J109" s="76"/>
      <c r="K109" s="76"/>
      <c r="L109" s="76"/>
      <c r="M109" s="76"/>
      <c r="N109" s="76"/>
      <c r="O109" s="76"/>
      <c r="P109" s="76"/>
      <c r="Q109" s="1"/>
    </row>
    <row r="110" spans="1:17" x14ac:dyDescent="0.35">
      <c r="A110" s="76"/>
      <c r="B110" s="1"/>
      <c r="C110" s="1"/>
      <c r="D110" s="1"/>
      <c r="E110" s="76"/>
      <c r="F110" s="76"/>
      <c r="G110" s="76"/>
      <c r="H110" s="76"/>
      <c r="I110" s="76"/>
      <c r="J110" s="76"/>
      <c r="K110" s="76"/>
      <c r="L110" s="76"/>
      <c r="M110" s="76"/>
      <c r="N110" s="76"/>
      <c r="O110" s="76"/>
      <c r="P110" s="76"/>
      <c r="Q110" s="1"/>
    </row>
    <row r="111" spans="1:17" x14ac:dyDescent="0.35">
      <c r="A111" s="76"/>
      <c r="B111" s="1"/>
      <c r="C111" s="1"/>
      <c r="D111" s="1"/>
      <c r="E111" s="76"/>
      <c r="F111" s="76"/>
      <c r="G111" s="76"/>
      <c r="H111" s="76"/>
      <c r="I111" s="76"/>
      <c r="J111" s="76"/>
      <c r="K111" s="76"/>
      <c r="L111" s="76"/>
      <c r="M111" s="76"/>
      <c r="N111" s="76"/>
      <c r="O111" s="76"/>
      <c r="P111" s="76"/>
      <c r="Q111" s="1"/>
    </row>
    <row r="112" spans="1:17" x14ac:dyDescent="0.35">
      <c r="A112" s="76"/>
      <c r="B112" s="1"/>
      <c r="C112" s="1"/>
      <c r="D112" s="1"/>
      <c r="E112" s="76"/>
      <c r="F112" s="76"/>
      <c r="G112" s="76"/>
      <c r="H112" s="76"/>
      <c r="I112" s="76"/>
      <c r="J112" s="76"/>
      <c r="K112" s="76"/>
      <c r="L112" s="76"/>
      <c r="M112" s="76"/>
      <c r="N112" s="76"/>
      <c r="O112" s="76"/>
      <c r="P112" s="76"/>
      <c r="Q112" s="1"/>
    </row>
    <row r="113" spans="1:17" x14ac:dyDescent="0.35">
      <c r="A113" s="76"/>
      <c r="B113" s="1"/>
      <c r="C113" s="1"/>
      <c r="D113" s="1"/>
      <c r="E113" s="76"/>
      <c r="F113" s="76"/>
      <c r="G113" s="76"/>
      <c r="H113" s="76"/>
      <c r="I113" s="76"/>
      <c r="J113" s="76"/>
      <c r="K113" s="76"/>
      <c r="L113" s="76"/>
      <c r="M113" s="76"/>
      <c r="N113" s="76"/>
      <c r="O113" s="76"/>
      <c r="P113" s="76"/>
      <c r="Q113" s="1"/>
    </row>
    <row r="114" spans="1:17" x14ac:dyDescent="0.35">
      <c r="A114" s="76"/>
      <c r="B114" s="1"/>
      <c r="C114" s="1"/>
      <c r="D114" s="1"/>
      <c r="E114" s="76"/>
      <c r="F114" s="76"/>
      <c r="G114" s="76"/>
      <c r="H114" s="76"/>
      <c r="I114" s="76"/>
      <c r="J114" s="76"/>
      <c r="K114" s="76"/>
      <c r="L114" s="76"/>
      <c r="M114" s="76"/>
      <c r="N114" s="76"/>
      <c r="O114" s="76"/>
      <c r="P114" s="76"/>
      <c r="Q114" s="1"/>
    </row>
    <row r="115" spans="1:17" x14ac:dyDescent="0.35">
      <c r="A115" s="76"/>
      <c r="B115" s="1"/>
      <c r="C115" s="1"/>
      <c r="D115" s="1"/>
      <c r="E115" s="76"/>
      <c r="F115" s="76"/>
      <c r="G115" s="76"/>
      <c r="H115" s="76"/>
      <c r="I115" s="76"/>
      <c r="J115" s="76"/>
      <c r="K115" s="76"/>
      <c r="L115" s="76"/>
      <c r="M115" s="76"/>
      <c r="N115" s="76"/>
      <c r="O115" s="76"/>
      <c r="P115" s="76"/>
      <c r="Q115" s="1"/>
    </row>
    <row r="116" spans="1:17" x14ac:dyDescent="0.35">
      <c r="A116" s="76"/>
      <c r="B116" s="1"/>
      <c r="C116" s="1"/>
      <c r="D116" s="1"/>
      <c r="E116" s="76"/>
      <c r="F116" s="76"/>
      <c r="G116" s="76"/>
      <c r="H116" s="76"/>
      <c r="I116" s="76"/>
      <c r="J116" s="76"/>
      <c r="K116" s="76"/>
      <c r="L116" s="76"/>
      <c r="M116" s="76"/>
      <c r="N116" s="76"/>
      <c r="O116" s="76"/>
      <c r="P116" s="76"/>
      <c r="Q116" s="1"/>
    </row>
    <row r="117" spans="1:17" x14ac:dyDescent="0.35">
      <c r="A117" s="76"/>
      <c r="B117" s="1"/>
      <c r="C117" s="1"/>
      <c r="D117" s="1"/>
      <c r="E117" s="76"/>
      <c r="F117" s="76"/>
      <c r="G117" s="76"/>
      <c r="H117" s="76"/>
      <c r="I117" s="76"/>
      <c r="J117" s="76"/>
      <c r="K117" s="76"/>
      <c r="L117" s="76"/>
      <c r="M117" s="76"/>
      <c r="N117" s="76"/>
      <c r="O117" s="76"/>
      <c r="P117" s="76"/>
      <c r="Q117" s="1"/>
    </row>
    <row r="118" spans="1:17" x14ac:dyDescent="0.35">
      <c r="A118" s="76"/>
      <c r="B118" s="1"/>
      <c r="C118" s="1"/>
      <c r="D118" s="1"/>
      <c r="E118" s="76"/>
      <c r="F118" s="76"/>
      <c r="G118" s="76"/>
      <c r="H118" s="76"/>
      <c r="I118" s="76"/>
      <c r="J118" s="76"/>
      <c r="K118" s="76"/>
      <c r="L118" s="76"/>
      <c r="M118" s="76"/>
      <c r="N118" s="76"/>
      <c r="O118" s="76"/>
      <c r="P118" s="76"/>
      <c r="Q118" s="1"/>
    </row>
    <row r="119" spans="1:17" x14ac:dyDescent="0.35">
      <c r="A119" s="76"/>
      <c r="B119" s="1"/>
      <c r="C119" s="1"/>
      <c r="D119" s="1"/>
      <c r="E119" s="76"/>
      <c r="F119" s="76"/>
      <c r="G119" s="76"/>
      <c r="H119" s="76"/>
      <c r="I119" s="76"/>
      <c r="J119" s="76"/>
      <c r="K119" s="76"/>
      <c r="L119" s="76"/>
      <c r="M119" s="76"/>
      <c r="N119" s="76"/>
      <c r="O119" s="76"/>
      <c r="P119" s="76"/>
      <c r="Q119" s="1"/>
    </row>
    <row r="120" spans="1:17" x14ac:dyDescent="0.35">
      <c r="A120" s="76"/>
      <c r="B120" s="1"/>
      <c r="C120" s="1"/>
      <c r="D120" s="1"/>
      <c r="E120" s="76"/>
      <c r="F120" s="76"/>
      <c r="G120" s="76"/>
      <c r="H120" s="76"/>
      <c r="I120" s="76"/>
      <c r="J120" s="76"/>
      <c r="K120" s="76"/>
      <c r="L120" s="76"/>
      <c r="M120" s="76"/>
      <c r="N120" s="76"/>
      <c r="O120" s="76"/>
      <c r="P120" s="76"/>
      <c r="Q120" s="1"/>
    </row>
    <row r="121" spans="1:17" x14ac:dyDescent="0.35">
      <c r="A121" s="76"/>
      <c r="B121" s="1"/>
      <c r="C121" s="1"/>
      <c r="D121" s="1"/>
      <c r="E121" s="76"/>
      <c r="F121" s="76"/>
      <c r="G121" s="76"/>
      <c r="H121" s="76"/>
      <c r="I121" s="76"/>
      <c r="J121" s="76"/>
      <c r="K121" s="76"/>
      <c r="L121" s="76"/>
      <c r="M121" s="76"/>
      <c r="N121" s="76"/>
      <c r="O121" s="76"/>
      <c r="P121" s="76"/>
      <c r="Q121" s="1"/>
    </row>
    <row r="122" spans="1:17" x14ac:dyDescent="0.35">
      <c r="A122" s="76"/>
      <c r="B122" s="1"/>
      <c r="C122" s="1"/>
      <c r="D122" s="1"/>
      <c r="E122" s="76"/>
      <c r="F122" s="76"/>
      <c r="G122" s="76"/>
      <c r="H122" s="76"/>
      <c r="I122" s="76"/>
      <c r="J122" s="76"/>
      <c r="K122" s="76"/>
      <c r="L122" s="76"/>
      <c r="M122" s="76"/>
      <c r="N122" s="76"/>
      <c r="O122" s="76"/>
      <c r="P122" s="76"/>
      <c r="Q122" s="1"/>
    </row>
    <row r="123" spans="1:17" x14ac:dyDescent="0.35">
      <c r="A123" s="76"/>
      <c r="B123" s="1"/>
      <c r="C123" s="1"/>
      <c r="D123" s="1"/>
      <c r="E123" s="76"/>
      <c r="F123" s="76"/>
      <c r="G123" s="76"/>
      <c r="H123" s="76"/>
      <c r="I123" s="76"/>
      <c r="J123" s="76"/>
      <c r="K123" s="76"/>
      <c r="L123" s="76"/>
      <c r="M123" s="76"/>
      <c r="N123" s="76"/>
      <c r="O123" s="76"/>
      <c r="P123" s="76"/>
      <c r="Q123" s="1"/>
    </row>
    <row r="124" spans="1:17" x14ac:dyDescent="0.35">
      <c r="A124" s="76"/>
      <c r="B124" s="1"/>
      <c r="C124" s="1"/>
      <c r="D124" s="1"/>
      <c r="E124" s="76"/>
      <c r="F124" s="76"/>
      <c r="G124" s="76"/>
      <c r="H124" s="76"/>
      <c r="I124" s="76"/>
      <c r="J124" s="76"/>
      <c r="K124" s="76"/>
      <c r="L124" s="76"/>
      <c r="M124" s="76"/>
      <c r="N124" s="76"/>
      <c r="O124" s="76"/>
      <c r="P124" s="76"/>
      <c r="Q124" s="1"/>
    </row>
    <row r="125" spans="1:17" x14ac:dyDescent="0.35">
      <c r="A125" s="76"/>
      <c r="B125" s="1"/>
      <c r="C125" s="1"/>
      <c r="D125" s="1"/>
      <c r="E125" s="76"/>
      <c r="F125" s="76"/>
      <c r="G125" s="76"/>
      <c r="H125" s="76"/>
      <c r="I125" s="76"/>
      <c r="J125" s="76"/>
      <c r="K125" s="76"/>
      <c r="L125" s="76"/>
      <c r="M125" s="76"/>
      <c r="N125" s="76"/>
      <c r="O125" s="76"/>
      <c r="P125" s="76"/>
      <c r="Q125" s="1"/>
    </row>
    <row r="126" spans="1:17" x14ac:dyDescent="0.35">
      <c r="A126" s="76"/>
      <c r="B126" s="1"/>
      <c r="C126" s="1"/>
      <c r="D126" s="1"/>
      <c r="E126" s="76"/>
      <c r="F126" s="76"/>
      <c r="G126" s="76"/>
      <c r="H126" s="76"/>
      <c r="I126" s="76"/>
      <c r="J126" s="76"/>
      <c r="K126" s="76"/>
      <c r="L126" s="76"/>
      <c r="M126" s="76"/>
      <c r="N126" s="76"/>
      <c r="O126" s="76"/>
      <c r="P126" s="76"/>
      <c r="Q126" s="1"/>
    </row>
    <row r="127" spans="1:17" x14ac:dyDescent="0.35">
      <c r="A127" s="76"/>
      <c r="B127" s="1"/>
      <c r="C127" s="1"/>
      <c r="D127" s="1"/>
      <c r="E127" s="76"/>
      <c r="F127" s="76"/>
      <c r="G127" s="76"/>
      <c r="H127" s="76"/>
      <c r="I127" s="76"/>
      <c r="J127" s="76"/>
      <c r="K127" s="76"/>
      <c r="L127" s="76"/>
      <c r="M127" s="76"/>
      <c r="N127" s="76"/>
      <c r="O127" s="76"/>
      <c r="P127" s="76"/>
      <c r="Q127" s="1"/>
    </row>
    <row r="128" spans="1:17" x14ac:dyDescent="0.35">
      <c r="A128" s="76"/>
      <c r="B128" s="1"/>
      <c r="C128" s="1"/>
      <c r="D128" s="1"/>
      <c r="E128" s="76"/>
      <c r="F128" s="76"/>
      <c r="G128" s="76"/>
      <c r="H128" s="76"/>
      <c r="I128" s="76"/>
      <c r="J128" s="76"/>
      <c r="K128" s="76"/>
      <c r="L128" s="76"/>
      <c r="M128" s="76"/>
      <c r="N128" s="76"/>
      <c r="O128" s="76"/>
      <c r="P128" s="76"/>
      <c r="Q128" s="1"/>
    </row>
    <row r="129" spans="1:17" x14ac:dyDescent="0.35">
      <c r="A129" s="76"/>
      <c r="B129" s="1"/>
      <c r="C129" s="1"/>
      <c r="D129" s="1"/>
      <c r="E129" s="76"/>
      <c r="F129" s="76"/>
      <c r="G129" s="76"/>
      <c r="H129" s="76"/>
      <c r="I129" s="76"/>
      <c r="J129" s="76"/>
      <c r="K129" s="76"/>
      <c r="L129" s="76"/>
      <c r="M129" s="76"/>
      <c r="N129" s="76"/>
      <c r="O129" s="76"/>
      <c r="P129" s="76"/>
      <c r="Q129" s="1"/>
    </row>
    <row r="130" spans="1:17" x14ac:dyDescent="0.35">
      <c r="A130" s="76"/>
      <c r="B130" s="1"/>
      <c r="C130" s="1"/>
      <c r="D130" s="1"/>
      <c r="E130" s="76"/>
      <c r="F130" s="76"/>
      <c r="G130" s="76"/>
      <c r="H130" s="76"/>
      <c r="I130" s="76"/>
      <c r="J130" s="76"/>
      <c r="K130" s="76"/>
      <c r="L130" s="76"/>
      <c r="M130" s="76"/>
      <c r="N130" s="76"/>
      <c r="O130" s="76"/>
      <c r="P130" s="76"/>
      <c r="Q130" s="1"/>
    </row>
    <row r="131" spans="1:17" x14ac:dyDescent="0.35">
      <c r="A131" s="76"/>
      <c r="B131" s="1"/>
      <c r="C131" s="1"/>
      <c r="D131" s="1"/>
      <c r="E131" s="76"/>
      <c r="F131" s="76"/>
      <c r="G131" s="76"/>
      <c r="H131" s="76"/>
      <c r="I131" s="76"/>
      <c r="J131" s="76"/>
      <c r="K131" s="76"/>
      <c r="L131" s="76"/>
      <c r="M131" s="76"/>
      <c r="N131" s="76"/>
      <c r="O131" s="76"/>
      <c r="P131" s="76"/>
      <c r="Q131" s="1"/>
    </row>
    <row r="132" spans="1:17" x14ac:dyDescent="0.35">
      <c r="A132" s="76"/>
      <c r="B132" s="1"/>
      <c r="C132" s="1"/>
      <c r="D132" s="1"/>
      <c r="E132" s="76"/>
      <c r="F132" s="76"/>
      <c r="G132" s="76"/>
      <c r="H132" s="76"/>
      <c r="I132" s="76"/>
      <c r="J132" s="76"/>
      <c r="K132" s="76"/>
      <c r="L132" s="76"/>
      <c r="M132" s="76"/>
      <c r="N132" s="76"/>
      <c r="O132" s="76"/>
      <c r="P132" s="76"/>
      <c r="Q132" s="1"/>
    </row>
    <row r="133" spans="1:17" x14ac:dyDescent="0.35">
      <c r="A133" s="76"/>
      <c r="B133" s="1"/>
      <c r="C133" s="1"/>
      <c r="D133" s="1"/>
      <c r="E133" s="76"/>
      <c r="F133" s="76"/>
      <c r="G133" s="76"/>
      <c r="H133" s="76"/>
      <c r="I133" s="76"/>
      <c r="J133" s="76"/>
      <c r="K133" s="76"/>
      <c r="L133" s="76"/>
      <c r="M133" s="76"/>
      <c r="N133" s="76"/>
      <c r="O133" s="76"/>
      <c r="P133" s="76"/>
      <c r="Q133" s="1"/>
    </row>
    <row r="134" spans="1:17" x14ac:dyDescent="0.35">
      <c r="A134" s="76"/>
      <c r="B134" s="1"/>
      <c r="C134" s="1"/>
      <c r="D134" s="1"/>
      <c r="E134" s="76"/>
      <c r="F134" s="76"/>
      <c r="G134" s="76"/>
      <c r="H134" s="76"/>
      <c r="I134" s="76"/>
      <c r="J134" s="76"/>
      <c r="K134" s="76"/>
      <c r="L134" s="76"/>
      <c r="M134" s="76"/>
      <c r="N134" s="76"/>
      <c r="O134" s="76"/>
      <c r="P134" s="76"/>
      <c r="Q134" s="1"/>
    </row>
    <row r="135" spans="1:17" x14ac:dyDescent="0.35">
      <c r="A135" s="76"/>
      <c r="B135" s="1"/>
      <c r="C135" s="1"/>
      <c r="D135" s="1"/>
      <c r="E135" s="76"/>
      <c r="F135" s="76"/>
      <c r="G135" s="76"/>
      <c r="H135" s="76"/>
      <c r="I135" s="76"/>
      <c r="J135" s="76"/>
      <c r="K135" s="76"/>
      <c r="L135" s="76"/>
      <c r="M135" s="76"/>
      <c r="N135" s="76"/>
      <c r="O135" s="76"/>
      <c r="P135" s="76"/>
      <c r="Q135" s="1"/>
    </row>
    <row r="136" spans="1:17" x14ac:dyDescent="0.35">
      <c r="A136" s="76"/>
      <c r="B136" s="1"/>
      <c r="C136" s="1"/>
      <c r="D136" s="1"/>
      <c r="E136" s="76"/>
      <c r="F136" s="76"/>
      <c r="G136" s="76"/>
      <c r="H136" s="76"/>
      <c r="I136" s="76"/>
      <c r="J136" s="76"/>
      <c r="K136" s="76"/>
      <c r="L136" s="76"/>
      <c r="M136" s="76"/>
      <c r="N136" s="76"/>
      <c r="O136" s="76"/>
      <c r="P136" s="76"/>
      <c r="Q136" s="1"/>
    </row>
    <row r="137" spans="1:17" x14ac:dyDescent="0.35">
      <c r="A137" s="76"/>
      <c r="B137" s="1"/>
      <c r="C137" s="1"/>
      <c r="D137" s="1"/>
      <c r="E137" s="76"/>
      <c r="F137" s="76"/>
      <c r="G137" s="76"/>
      <c r="H137" s="76"/>
      <c r="I137" s="76"/>
      <c r="J137" s="76"/>
      <c r="K137" s="76"/>
      <c r="L137" s="76"/>
      <c r="M137" s="76"/>
      <c r="N137" s="76"/>
      <c r="O137" s="76"/>
      <c r="P137" s="76"/>
      <c r="Q137" s="1"/>
    </row>
    <row r="138" spans="1:17" x14ac:dyDescent="0.35">
      <c r="A138" s="76"/>
      <c r="B138" s="1"/>
      <c r="C138" s="1"/>
      <c r="D138" s="1"/>
      <c r="E138" s="76"/>
      <c r="F138" s="76"/>
      <c r="G138" s="76"/>
      <c r="H138" s="76"/>
      <c r="I138" s="76"/>
      <c r="J138" s="76"/>
      <c r="K138" s="76"/>
      <c r="L138" s="76"/>
      <c r="M138" s="76"/>
      <c r="N138" s="76"/>
      <c r="O138" s="76"/>
      <c r="P138" s="76"/>
      <c r="Q138" s="1"/>
    </row>
    <row r="139" spans="1:17" x14ac:dyDescent="0.35">
      <c r="A139" s="76"/>
      <c r="B139" s="1"/>
      <c r="C139" s="1"/>
      <c r="D139" s="1"/>
      <c r="E139" s="76"/>
      <c r="F139" s="76"/>
      <c r="G139" s="76"/>
      <c r="H139" s="76"/>
      <c r="I139" s="76"/>
      <c r="J139" s="76"/>
      <c r="K139" s="76"/>
      <c r="L139" s="76"/>
      <c r="M139" s="76"/>
      <c r="N139" s="76"/>
      <c r="O139" s="76"/>
      <c r="P139" s="76"/>
      <c r="Q139" s="1"/>
    </row>
    <row r="140" spans="1:17" x14ac:dyDescent="0.35">
      <c r="A140" s="76"/>
      <c r="B140" s="1"/>
      <c r="C140" s="1"/>
      <c r="D140" s="1"/>
      <c r="E140" s="76"/>
      <c r="F140" s="76"/>
      <c r="G140" s="76"/>
      <c r="H140" s="76"/>
      <c r="I140" s="76"/>
      <c r="J140" s="76"/>
      <c r="K140" s="76"/>
      <c r="L140" s="76"/>
      <c r="M140" s="76"/>
      <c r="N140" s="76"/>
      <c r="O140" s="76"/>
      <c r="P140" s="76"/>
      <c r="Q140" s="1"/>
    </row>
    <row r="141" spans="1:17" x14ac:dyDescent="0.35">
      <c r="A141" s="76"/>
      <c r="B141" s="1"/>
      <c r="C141" s="1"/>
      <c r="D141" s="1"/>
      <c r="E141" s="76"/>
      <c r="F141" s="76"/>
      <c r="G141" s="76"/>
      <c r="H141" s="76"/>
      <c r="I141" s="76"/>
      <c r="J141" s="76"/>
      <c r="K141" s="76"/>
      <c r="L141" s="76"/>
      <c r="M141" s="76"/>
      <c r="N141" s="76"/>
      <c r="O141" s="76"/>
      <c r="P141" s="76"/>
      <c r="Q141" s="1"/>
    </row>
    <row r="142" spans="1:17" x14ac:dyDescent="0.35">
      <c r="A142" s="76"/>
      <c r="B142" s="1"/>
      <c r="C142" s="1"/>
      <c r="D142" s="1"/>
      <c r="E142" s="76"/>
      <c r="F142" s="76"/>
      <c r="G142" s="76"/>
      <c r="H142" s="76"/>
      <c r="I142" s="76"/>
      <c r="J142" s="76"/>
      <c r="K142" s="76"/>
      <c r="L142" s="76"/>
      <c r="M142" s="76"/>
      <c r="N142" s="76"/>
      <c r="O142" s="76"/>
      <c r="P142" s="76"/>
      <c r="Q142" s="1"/>
    </row>
    <row r="143" spans="1:17" x14ac:dyDescent="0.35">
      <c r="A143" s="76"/>
      <c r="B143" s="1"/>
      <c r="C143" s="1"/>
      <c r="D143" s="1"/>
      <c r="E143" s="76"/>
      <c r="F143" s="76"/>
      <c r="G143" s="76"/>
      <c r="H143" s="76"/>
      <c r="I143" s="76"/>
      <c r="J143" s="76"/>
      <c r="K143" s="76"/>
      <c r="L143" s="76"/>
      <c r="M143" s="76"/>
      <c r="N143" s="76"/>
      <c r="O143" s="76"/>
      <c r="P143" s="76"/>
      <c r="Q143" s="1"/>
    </row>
    <row r="144" spans="1:17" x14ac:dyDescent="0.35">
      <c r="A144" s="76"/>
      <c r="B144" s="1"/>
      <c r="C144" s="1"/>
      <c r="D144" s="1"/>
      <c r="E144" s="76"/>
      <c r="F144" s="76"/>
      <c r="G144" s="76"/>
      <c r="H144" s="76"/>
      <c r="I144" s="76"/>
      <c r="J144" s="76"/>
      <c r="K144" s="76"/>
      <c r="L144" s="76"/>
      <c r="M144" s="76"/>
      <c r="N144" s="76"/>
      <c r="O144" s="76"/>
      <c r="P144" s="76"/>
      <c r="Q144" s="1"/>
    </row>
    <row r="145" spans="1:17" x14ac:dyDescent="0.35">
      <c r="A145" s="76"/>
      <c r="B145" s="1"/>
      <c r="C145" s="1"/>
      <c r="D145" s="1"/>
      <c r="E145" s="76"/>
      <c r="F145" s="76"/>
      <c r="G145" s="76"/>
      <c r="H145" s="76"/>
      <c r="I145" s="76"/>
      <c r="J145" s="76"/>
      <c r="K145" s="76"/>
      <c r="L145" s="76"/>
      <c r="M145" s="76"/>
      <c r="N145" s="76"/>
      <c r="O145" s="76"/>
      <c r="P145" s="76"/>
      <c r="Q145" s="1"/>
    </row>
    <row r="146" spans="1:17" x14ac:dyDescent="0.35">
      <c r="A146" s="76"/>
      <c r="B146" s="1"/>
      <c r="C146" s="1"/>
      <c r="D146" s="1"/>
      <c r="E146" s="76"/>
      <c r="F146" s="76"/>
      <c r="G146" s="76"/>
      <c r="H146" s="76"/>
      <c r="I146" s="76"/>
      <c r="J146" s="76"/>
      <c r="K146" s="76"/>
      <c r="L146" s="76"/>
      <c r="M146" s="76"/>
      <c r="N146" s="76"/>
      <c r="O146" s="76"/>
      <c r="P146" s="76"/>
      <c r="Q146" s="1"/>
    </row>
    <row r="147" spans="1:17" x14ac:dyDescent="0.35">
      <c r="A147" s="76"/>
      <c r="B147" s="1"/>
      <c r="C147" s="1"/>
      <c r="D147" s="1"/>
      <c r="E147" s="76"/>
      <c r="F147" s="76"/>
      <c r="G147" s="76"/>
      <c r="H147" s="76"/>
      <c r="I147" s="76"/>
      <c r="J147" s="76"/>
      <c r="K147" s="76"/>
      <c r="L147" s="76"/>
      <c r="M147" s="76"/>
      <c r="N147" s="76"/>
      <c r="O147" s="76"/>
      <c r="P147" s="76"/>
      <c r="Q147" s="1"/>
    </row>
    <row r="148" spans="1:17" x14ac:dyDescent="0.35">
      <c r="A148" s="76"/>
      <c r="B148" s="1"/>
      <c r="C148" s="1"/>
      <c r="D148" s="1"/>
      <c r="E148" s="76"/>
      <c r="F148" s="76"/>
      <c r="G148" s="76"/>
      <c r="H148" s="76"/>
      <c r="I148" s="76"/>
      <c r="J148" s="76"/>
      <c r="K148" s="76"/>
      <c r="L148" s="76"/>
      <c r="M148" s="76"/>
      <c r="N148" s="76"/>
      <c r="O148" s="76"/>
      <c r="P148" s="76"/>
      <c r="Q148" s="1"/>
    </row>
    <row r="149" spans="1:17" x14ac:dyDescent="0.35">
      <c r="A149" s="76"/>
      <c r="B149" s="1"/>
      <c r="C149" s="1"/>
      <c r="D149" s="1"/>
      <c r="E149" s="76"/>
      <c r="F149" s="76"/>
      <c r="G149" s="76"/>
      <c r="H149" s="76"/>
      <c r="I149" s="76"/>
      <c r="J149" s="76"/>
      <c r="K149" s="76"/>
      <c r="L149" s="76"/>
      <c r="M149" s="76"/>
      <c r="N149" s="76"/>
      <c r="O149" s="76"/>
      <c r="P149" s="76"/>
      <c r="Q149" s="1"/>
    </row>
    <row r="150" spans="1:17" x14ac:dyDescent="0.35">
      <c r="A150" s="76"/>
      <c r="B150" s="1"/>
      <c r="C150" s="1"/>
      <c r="D150" s="1"/>
      <c r="E150" s="76"/>
      <c r="F150" s="76"/>
      <c r="G150" s="76"/>
      <c r="H150" s="76"/>
      <c r="I150" s="76"/>
      <c r="J150" s="76"/>
      <c r="K150" s="76"/>
      <c r="L150" s="76"/>
      <c r="M150" s="76"/>
      <c r="N150" s="76"/>
      <c r="O150" s="76"/>
      <c r="P150" s="76"/>
      <c r="Q150" s="1"/>
    </row>
    <row r="151" spans="1:17" x14ac:dyDescent="0.35">
      <c r="A151" s="76"/>
      <c r="B151" s="1"/>
      <c r="C151" s="1"/>
      <c r="D151" s="1"/>
      <c r="E151" s="76"/>
      <c r="F151" s="76"/>
      <c r="G151" s="76"/>
      <c r="H151" s="76"/>
      <c r="I151" s="76"/>
      <c r="J151" s="76"/>
      <c r="K151" s="76"/>
      <c r="L151" s="76"/>
      <c r="M151" s="76"/>
      <c r="N151" s="76"/>
      <c r="O151" s="76"/>
      <c r="P151" s="76"/>
      <c r="Q151" s="1"/>
    </row>
    <row r="152" spans="1:17" x14ac:dyDescent="0.35">
      <c r="A152" s="76"/>
      <c r="B152" s="1"/>
      <c r="C152" s="1"/>
      <c r="D152" s="1"/>
      <c r="E152" s="76"/>
      <c r="F152" s="76"/>
      <c r="G152" s="76"/>
      <c r="H152" s="76"/>
      <c r="I152" s="76"/>
      <c r="J152" s="76"/>
      <c r="K152" s="76"/>
      <c r="L152" s="76"/>
      <c r="M152" s="76"/>
      <c r="N152" s="76"/>
      <c r="O152" s="76"/>
      <c r="P152" s="76"/>
      <c r="Q152" s="1"/>
    </row>
    <row r="153" spans="1:17" x14ac:dyDescent="0.35">
      <c r="A153" s="76"/>
      <c r="B153" s="1"/>
      <c r="C153" s="1"/>
      <c r="D153" s="1"/>
      <c r="E153" s="76"/>
      <c r="F153" s="76"/>
      <c r="G153" s="76"/>
      <c r="H153" s="76"/>
      <c r="I153" s="76"/>
      <c r="J153" s="76"/>
      <c r="K153" s="76"/>
      <c r="L153" s="76"/>
      <c r="M153" s="76"/>
      <c r="N153" s="76"/>
      <c r="O153" s="76"/>
      <c r="P153" s="76"/>
      <c r="Q153" s="1"/>
    </row>
    <row r="154" spans="1:17" x14ac:dyDescent="0.35">
      <c r="A154" s="76"/>
      <c r="B154" s="1"/>
      <c r="C154" s="1"/>
      <c r="D154" s="1"/>
      <c r="E154" s="76"/>
      <c r="F154" s="76"/>
      <c r="G154" s="76"/>
      <c r="H154" s="76"/>
      <c r="I154" s="76"/>
      <c r="J154" s="76"/>
      <c r="K154" s="76"/>
      <c r="L154" s="76"/>
      <c r="M154" s="76"/>
      <c r="N154" s="76"/>
      <c r="O154" s="76"/>
      <c r="P154" s="76"/>
      <c r="Q154" s="1"/>
    </row>
    <row r="155" spans="1:17" x14ac:dyDescent="0.35">
      <c r="A155" s="76"/>
      <c r="B155" s="1"/>
      <c r="C155" s="1"/>
      <c r="D155" s="1"/>
      <c r="E155" s="76"/>
      <c r="F155" s="76"/>
      <c r="G155" s="76"/>
      <c r="H155" s="76"/>
      <c r="I155" s="76"/>
      <c r="J155" s="76"/>
      <c r="K155" s="76"/>
      <c r="L155" s="76"/>
      <c r="M155" s="76"/>
      <c r="N155" s="76"/>
      <c r="O155" s="76"/>
      <c r="P155" s="76"/>
      <c r="Q155" s="1"/>
    </row>
    <row r="156" spans="1:17" x14ac:dyDescent="0.35">
      <c r="A156" s="76"/>
      <c r="B156" s="1"/>
      <c r="C156" s="1"/>
      <c r="D156" s="1"/>
      <c r="E156" s="76"/>
      <c r="F156" s="76"/>
      <c r="G156" s="76"/>
      <c r="H156" s="76"/>
      <c r="I156" s="76"/>
      <c r="J156" s="76"/>
      <c r="K156" s="76"/>
      <c r="L156" s="76"/>
      <c r="M156" s="76"/>
      <c r="N156" s="76"/>
      <c r="O156" s="76"/>
      <c r="P156" s="76"/>
      <c r="Q156" s="1"/>
    </row>
    <row r="157" spans="1:17" x14ac:dyDescent="0.35">
      <c r="A157" s="76"/>
      <c r="B157" s="1"/>
      <c r="C157" s="1"/>
      <c r="D157" s="1"/>
      <c r="E157" s="76"/>
      <c r="F157" s="76"/>
      <c r="G157" s="76"/>
      <c r="H157" s="76"/>
      <c r="I157" s="76"/>
      <c r="J157" s="76"/>
      <c r="K157" s="76"/>
      <c r="L157" s="76"/>
      <c r="M157" s="76"/>
      <c r="N157" s="76"/>
      <c r="O157" s="76"/>
      <c r="P157" s="76"/>
      <c r="Q157" s="1"/>
    </row>
    <row r="158" spans="1:17" x14ac:dyDescent="0.35">
      <c r="A158" s="76"/>
      <c r="B158" s="1"/>
      <c r="C158" s="1"/>
      <c r="D158" s="1"/>
      <c r="E158" s="76"/>
      <c r="F158" s="76"/>
      <c r="G158" s="76"/>
      <c r="H158" s="76"/>
      <c r="I158" s="76"/>
      <c r="J158" s="76"/>
      <c r="K158" s="76"/>
      <c r="L158" s="76"/>
      <c r="M158" s="76"/>
      <c r="N158" s="76"/>
      <c r="O158" s="76"/>
      <c r="P158" s="76"/>
      <c r="Q158" s="1"/>
    </row>
    <row r="159" spans="1:17" x14ac:dyDescent="0.35">
      <c r="A159" s="76"/>
      <c r="B159" s="1"/>
      <c r="C159" s="1"/>
      <c r="D159" s="1"/>
      <c r="E159" s="76"/>
      <c r="F159" s="76"/>
      <c r="G159" s="76"/>
      <c r="H159" s="76"/>
      <c r="I159" s="76"/>
      <c r="J159" s="76"/>
      <c r="K159" s="76"/>
      <c r="L159" s="76"/>
      <c r="M159" s="76"/>
      <c r="N159" s="76"/>
      <c r="O159" s="76"/>
      <c r="P159" s="76"/>
      <c r="Q159" s="1"/>
    </row>
    <row r="160" spans="1:17" x14ac:dyDescent="0.35">
      <c r="A160" s="76"/>
      <c r="B160" s="1"/>
      <c r="C160" s="1"/>
      <c r="D160" s="1"/>
      <c r="E160" s="76"/>
      <c r="F160" s="76"/>
      <c r="G160" s="76"/>
      <c r="H160" s="76"/>
      <c r="I160" s="76"/>
      <c r="J160" s="76"/>
      <c r="K160" s="76"/>
      <c r="L160" s="76"/>
      <c r="M160" s="76"/>
      <c r="N160" s="76"/>
      <c r="O160" s="76"/>
      <c r="P160" s="76"/>
      <c r="Q160" s="1"/>
    </row>
    <row r="161" spans="1:17" x14ac:dyDescent="0.35">
      <c r="A161" s="76"/>
      <c r="B161" s="1"/>
      <c r="C161" s="1"/>
      <c r="D161" s="1"/>
      <c r="E161" s="76"/>
      <c r="F161" s="76"/>
      <c r="G161" s="76"/>
      <c r="H161" s="76"/>
      <c r="I161" s="76"/>
      <c r="J161" s="76"/>
      <c r="K161" s="76"/>
      <c r="L161" s="76"/>
      <c r="M161" s="76"/>
      <c r="N161" s="76"/>
      <c r="O161" s="76"/>
      <c r="P161" s="76"/>
      <c r="Q161" s="1"/>
    </row>
    <row r="162" spans="1:17" x14ac:dyDescent="0.35">
      <c r="A162" s="76"/>
      <c r="B162" s="1"/>
      <c r="C162" s="1"/>
      <c r="D162" s="1"/>
      <c r="E162" s="76"/>
      <c r="F162" s="76"/>
      <c r="G162" s="76"/>
      <c r="H162" s="76"/>
      <c r="I162" s="76"/>
      <c r="J162" s="76"/>
      <c r="K162" s="76"/>
      <c r="L162" s="76"/>
      <c r="M162" s="76"/>
      <c r="N162" s="76"/>
      <c r="O162" s="76"/>
      <c r="P162" s="76"/>
      <c r="Q162" s="1"/>
    </row>
    <row r="163" spans="1:17" x14ac:dyDescent="0.35">
      <c r="A163" s="76"/>
      <c r="B163" s="1"/>
      <c r="C163" s="1"/>
      <c r="D163" s="1"/>
      <c r="E163" s="76"/>
      <c r="F163" s="76"/>
      <c r="G163" s="76"/>
      <c r="H163" s="76"/>
      <c r="I163" s="76"/>
      <c r="J163" s="76"/>
      <c r="K163" s="76"/>
      <c r="L163" s="76"/>
      <c r="M163" s="76"/>
      <c r="N163" s="76"/>
      <c r="O163" s="76"/>
      <c r="P163" s="76"/>
      <c r="Q163" s="1"/>
    </row>
    <row r="164" spans="1:17" x14ac:dyDescent="0.35">
      <c r="A164" s="76"/>
      <c r="B164" s="1"/>
      <c r="C164" s="1"/>
      <c r="D164" s="1"/>
      <c r="E164" s="76"/>
      <c r="F164" s="76"/>
      <c r="G164" s="76"/>
      <c r="H164" s="76"/>
      <c r="I164" s="76"/>
      <c r="J164" s="76"/>
      <c r="K164" s="76"/>
      <c r="L164" s="76"/>
      <c r="M164" s="76"/>
      <c r="N164" s="76"/>
      <c r="O164" s="76"/>
      <c r="P164" s="76"/>
      <c r="Q164" s="1"/>
    </row>
    <row r="165" spans="1:17" x14ac:dyDescent="0.35">
      <c r="A165" s="76"/>
      <c r="B165" s="1"/>
      <c r="C165" s="1"/>
      <c r="D165" s="1"/>
      <c r="E165" s="76"/>
      <c r="F165" s="76"/>
      <c r="G165" s="76"/>
      <c r="H165" s="76"/>
      <c r="I165" s="76"/>
      <c r="J165" s="76"/>
      <c r="K165" s="76"/>
      <c r="L165" s="76"/>
      <c r="M165" s="76"/>
      <c r="N165" s="76"/>
      <c r="O165" s="76"/>
      <c r="P165" s="76"/>
      <c r="Q165" s="1"/>
    </row>
    <row r="166" spans="1:17" x14ac:dyDescent="0.35">
      <c r="A166" s="76"/>
      <c r="B166" s="1"/>
      <c r="C166" s="1"/>
      <c r="D166" s="1"/>
      <c r="E166" s="76"/>
      <c r="F166" s="76"/>
      <c r="G166" s="76"/>
      <c r="H166" s="76"/>
      <c r="I166" s="76"/>
      <c r="J166" s="76"/>
      <c r="K166" s="76"/>
      <c r="L166" s="76"/>
      <c r="M166" s="76"/>
      <c r="N166" s="76"/>
      <c r="O166" s="76"/>
      <c r="P166" s="76"/>
      <c r="Q166" s="1"/>
    </row>
    <row r="167" spans="1:17" x14ac:dyDescent="0.35">
      <c r="A167" s="76"/>
      <c r="B167" s="1"/>
      <c r="C167" s="1"/>
      <c r="D167" s="1"/>
      <c r="E167" s="76"/>
      <c r="F167" s="76"/>
      <c r="G167" s="76"/>
      <c r="H167" s="76"/>
      <c r="I167" s="76"/>
      <c r="J167" s="76"/>
      <c r="K167" s="76"/>
      <c r="L167" s="76"/>
      <c r="M167" s="76"/>
      <c r="N167" s="76"/>
      <c r="O167" s="76"/>
      <c r="P167" s="76"/>
      <c r="Q167" s="1"/>
    </row>
    <row r="168" spans="1:17" x14ac:dyDescent="0.35">
      <c r="A168" s="76"/>
      <c r="B168" s="1"/>
      <c r="C168" s="1"/>
      <c r="D168" s="1"/>
      <c r="E168" s="76"/>
      <c r="F168" s="76"/>
      <c r="G168" s="76"/>
      <c r="H168" s="76"/>
      <c r="I168" s="76"/>
      <c r="J168" s="76"/>
      <c r="K168" s="76"/>
      <c r="L168" s="76"/>
      <c r="M168" s="76"/>
      <c r="N168" s="76"/>
      <c r="O168" s="76"/>
      <c r="P168" s="76"/>
      <c r="Q168" s="1"/>
    </row>
    <row r="169" spans="1:17" x14ac:dyDescent="0.35">
      <c r="A169" s="76"/>
      <c r="B169" s="1"/>
      <c r="C169" s="1"/>
      <c r="D169" s="1"/>
      <c r="E169" s="76"/>
      <c r="F169" s="76"/>
      <c r="G169" s="76"/>
      <c r="H169" s="76"/>
      <c r="I169" s="76"/>
      <c r="J169" s="76"/>
      <c r="K169" s="76"/>
      <c r="L169" s="76"/>
      <c r="M169" s="76"/>
      <c r="N169" s="76"/>
      <c r="O169" s="76"/>
      <c r="P169" s="76"/>
      <c r="Q169" s="1"/>
    </row>
    <row r="170" spans="1:17" x14ac:dyDescent="0.35">
      <c r="A170" s="76"/>
      <c r="B170" s="1"/>
      <c r="C170" s="1"/>
      <c r="D170" s="1"/>
      <c r="E170" s="76"/>
      <c r="F170" s="76"/>
      <c r="G170" s="76"/>
      <c r="H170" s="76"/>
      <c r="I170" s="76"/>
      <c r="J170" s="76"/>
      <c r="K170" s="76"/>
      <c r="L170" s="76"/>
      <c r="M170" s="76"/>
      <c r="N170" s="76"/>
      <c r="O170" s="76"/>
      <c r="P170" s="76"/>
      <c r="Q170" s="1"/>
    </row>
    <row r="171" spans="1:17" x14ac:dyDescent="0.35">
      <c r="A171" s="76"/>
      <c r="B171" s="1"/>
      <c r="C171" s="1"/>
      <c r="D171" s="1"/>
      <c r="E171" s="76"/>
      <c r="F171" s="76"/>
      <c r="G171" s="76"/>
      <c r="H171" s="76"/>
      <c r="I171" s="76"/>
      <c r="J171" s="76"/>
      <c r="K171" s="76"/>
      <c r="L171" s="76"/>
      <c r="M171" s="76"/>
      <c r="N171" s="76"/>
      <c r="O171" s="76"/>
      <c r="P171" s="76"/>
      <c r="Q171" s="1"/>
    </row>
    <row r="172" spans="1:17" x14ac:dyDescent="0.35">
      <c r="A172" s="76"/>
      <c r="B172" s="1"/>
      <c r="C172" s="1"/>
      <c r="D172" s="1"/>
      <c r="E172" s="76"/>
      <c r="F172" s="76"/>
      <c r="G172" s="76"/>
      <c r="H172" s="76"/>
      <c r="I172" s="76"/>
      <c r="J172" s="76"/>
      <c r="K172" s="76"/>
      <c r="L172" s="76"/>
      <c r="M172" s="76"/>
      <c r="N172" s="76"/>
      <c r="O172" s="76"/>
      <c r="P172" s="76"/>
      <c r="Q172" s="1"/>
    </row>
    <row r="173" spans="1:17" x14ac:dyDescent="0.35">
      <c r="A173" s="76"/>
      <c r="B173" s="1"/>
      <c r="C173" s="1"/>
      <c r="D173" s="1"/>
      <c r="E173" s="76"/>
      <c r="F173" s="76"/>
      <c r="G173" s="76"/>
      <c r="H173" s="76"/>
      <c r="I173" s="76"/>
      <c r="J173" s="76"/>
      <c r="K173" s="76"/>
      <c r="L173" s="76"/>
      <c r="M173" s="76"/>
      <c r="N173" s="76"/>
      <c r="O173" s="76"/>
      <c r="P173" s="76"/>
      <c r="Q173" s="1"/>
    </row>
    <row r="174" spans="1:17" x14ac:dyDescent="0.35">
      <c r="A174" s="76"/>
      <c r="B174" s="1"/>
      <c r="C174" s="1"/>
      <c r="D174" s="1"/>
      <c r="E174" s="76"/>
      <c r="F174" s="76"/>
      <c r="G174" s="76"/>
      <c r="H174" s="76"/>
      <c r="I174" s="76"/>
      <c r="J174" s="76"/>
      <c r="K174" s="76"/>
      <c r="L174" s="76"/>
      <c r="M174" s="76"/>
      <c r="N174" s="76"/>
      <c r="O174" s="76"/>
      <c r="P174" s="76"/>
      <c r="Q174" s="1"/>
    </row>
    <row r="175" spans="1:17" x14ac:dyDescent="0.35">
      <c r="A175" s="76"/>
      <c r="B175" s="1"/>
      <c r="C175" s="1"/>
      <c r="D175" s="1"/>
      <c r="E175" s="76"/>
      <c r="F175" s="76"/>
      <c r="G175" s="76"/>
      <c r="H175" s="76"/>
      <c r="I175" s="76"/>
      <c r="J175" s="76"/>
      <c r="K175" s="76"/>
      <c r="L175" s="76"/>
      <c r="M175" s="76"/>
      <c r="N175" s="76"/>
      <c r="O175" s="76"/>
      <c r="P175" s="76"/>
      <c r="Q175" s="1"/>
    </row>
    <row r="176" spans="1:17" x14ac:dyDescent="0.35">
      <c r="A176" s="76"/>
      <c r="B176" s="1"/>
      <c r="C176" s="1"/>
      <c r="D176" s="1"/>
      <c r="E176" s="76"/>
      <c r="F176" s="76"/>
      <c r="G176" s="76"/>
      <c r="H176" s="76"/>
      <c r="I176" s="76"/>
      <c r="J176" s="76"/>
      <c r="K176" s="76"/>
      <c r="L176" s="76"/>
      <c r="M176" s="76"/>
      <c r="N176" s="76"/>
      <c r="O176" s="76"/>
      <c r="P176" s="76"/>
      <c r="Q176" s="1"/>
    </row>
    <row r="177" spans="1:17" x14ac:dyDescent="0.35">
      <c r="A177" s="76"/>
      <c r="B177" s="1"/>
      <c r="C177" s="1"/>
      <c r="D177" s="1"/>
      <c r="E177" s="76"/>
      <c r="F177" s="76"/>
      <c r="G177" s="76"/>
      <c r="H177" s="76"/>
      <c r="I177" s="76"/>
      <c r="J177" s="76"/>
      <c r="K177" s="76"/>
      <c r="L177" s="76"/>
      <c r="M177" s="76"/>
      <c r="N177" s="76"/>
      <c r="O177" s="76"/>
      <c r="P177" s="76"/>
      <c r="Q177" s="1"/>
    </row>
    <row r="178" spans="1:17" x14ac:dyDescent="0.35">
      <c r="A178" s="76"/>
      <c r="B178" s="1"/>
      <c r="C178" s="1"/>
      <c r="D178" s="1"/>
      <c r="E178" s="76"/>
      <c r="F178" s="76"/>
      <c r="G178" s="76"/>
      <c r="H178" s="76"/>
      <c r="I178" s="76"/>
      <c r="J178" s="76"/>
      <c r="K178" s="76"/>
      <c r="L178" s="76"/>
      <c r="M178" s="76"/>
      <c r="N178" s="76"/>
      <c r="O178" s="76"/>
      <c r="P178" s="76"/>
      <c r="Q178" s="1"/>
    </row>
    <row r="179" spans="1:17" x14ac:dyDescent="0.35">
      <c r="A179" s="76"/>
      <c r="B179" s="1"/>
      <c r="C179" s="1"/>
      <c r="D179" s="1"/>
      <c r="E179" s="76"/>
      <c r="F179" s="76"/>
      <c r="G179" s="76"/>
      <c r="H179" s="76"/>
      <c r="I179" s="76"/>
      <c r="J179" s="76"/>
      <c r="K179" s="76"/>
      <c r="L179" s="76"/>
      <c r="M179" s="76"/>
      <c r="N179" s="76"/>
      <c r="O179" s="76"/>
      <c r="P179" s="76"/>
      <c r="Q179" s="1"/>
    </row>
    <row r="180" spans="1:17" x14ac:dyDescent="0.35">
      <c r="A180" s="76"/>
      <c r="B180" s="1"/>
      <c r="C180" s="1"/>
      <c r="D180" s="1"/>
      <c r="E180" s="76"/>
      <c r="F180" s="76"/>
      <c r="G180" s="76"/>
      <c r="H180" s="76"/>
      <c r="I180" s="76"/>
      <c r="J180" s="76"/>
      <c r="K180" s="76"/>
      <c r="L180" s="76"/>
      <c r="M180" s="76"/>
      <c r="N180" s="76"/>
      <c r="O180" s="76"/>
      <c r="P180" s="76"/>
      <c r="Q180" s="1"/>
    </row>
    <row r="181" spans="1:17" x14ac:dyDescent="0.35">
      <c r="A181" s="76"/>
      <c r="B181" s="1"/>
      <c r="C181" s="1"/>
      <c r="D181" s="1"/>
      <c r="E181" s="76"/>
      <c r="F181" s="76"/>
      <c r="G181" s="76"/>
      <c r="H181" s="76"/>
      <c r="I181" s="76"/>
      <c r="J181" s="76"/>
      <c r="K181" s="76"/>
      <c r="L181" s="76"/>
      <c r="M181" s="76"/>
      <c r="N181" s="76"/>
      <c r="O181" s="76"/>
      <c r="P181" s="76"/>
      <c r="Q181" s="1"/>
    </row>
    <row r="182" spans="1:17" x14ac:dyDescent="0.35">
      <c r="A182" s="76"/>
      <c r="B182" s="1"/>
      <c r="C182" s="1"/>
      <c r="D182" s="1"/>
      <c r="E182" s="76"/>
      <c r="F182" s="76"/>
      <c r="G182" s="76"/>
      <c r="H182" s="76"/>
      <c r="I182" s="76"/>
      <c r="J182" s="76"/>
      <c r="K182" s="76"/>
      <c r="L182" s="76"/>
      <c r="M182" s="76"/>
      <c r="N182" s="76"/>
      <c r="O182" s="76"/>
      <c r="P182" s="76"/>
      <c r="Q182" s="1"/>
    </row>
    <row r="183" spans="1:17" x14ac:dyDescent="0.35">
      <c r="A183" s="76"/>
      <c r="B183" s="1"/>
      <c r="C183" s="1"/>
      <c r="D183" s="1"/>
      <c r="E183" s="76"/>
      <c r="F183" s="76"/>
      <c r="G183" s="76"/>
      <c r="H183" s="76"/>
      <c r="I183" s="76"/>
      <c r="J183" s="76"/>
      <c r="K183" s="76"/>
      <c r="L183" s="76"/>
      <c r="M183" s="76"/>
      <c r="N183" s="76"/>
      <c r="O183" s="76"/>
      <c r="P183" s="76"/>
      <c r="Q183" s="1"/>
    </row>
    <row r="184" spans="1:17" x14ac:dyDescent="0.35">
      <c r="A184" s="76"/>
      <c r="B184" s="1"/>
      <c r="C184" s="1"/>
      <c r="D184" s="1"/>
      <c r="E184" s="76"/>
      <c r="F184" s="76"/>
      <c r="G184" s="76"/>
      <c r="H184" s="76"/>
      <c r="I184" s="76"/>
      <c r="J184" s="76"/>
      <c r="K184" s="76"/>
      <c r="L184" s="76"/>
      <c r="M184" s="76"/>
      <c r="N184" s="76"/>
      <c r="O184" s="76"/>
      <c r="P184" s="76"/>
      <c r="Q184" s="1"/>
    </row>
    <row r="185" spans="1:17" x14ac:dyDescent="0.35">
      <c r="A185" s="76"/>
      <c r="B185" s="1"/>
      <c r="C185" s="1"/>
      <c r="D185" s="1"/>
      <c r="E185" s="76"/>
      <c r="F185" s="76"/>
      <c r="G185" s="76"/>
      <c r="H185" s="76"/>
      <c r="I185" s="76"/>
      <c r="J185" s="76"/>
      <c r="K185" s="76"/>
      <c r="L185" s="76"/>
      <c r="M185" s="76"/>
      <c r="N185" s="76"/>
      <c r="O185" s="76"/>
      <c r="P185" s="76"/>
      <c r="Q185" s="1"/>
    </row>
    <row r="186" spans="1:17" x14ac:dyDescent="0.35">
      <c r="A186" s="76"/>
      <c r="B186" s="1"/>
      <c r="C186" s="1"/>
      <c r="D186" s="1"/>
      <c r="E186" s="76"/>
      <c r="F186" s="76"/>
      <c r="G186" s="76"/>
      <c r="H186" s="76"/>
      <c r="I186" s="76"/>
      <c r="J186" s="76"/>
      <c r="K186" s="76"/>
      <c r="L186" s="76"/>
      <c r="M186" s="76"/>
      <c r="N186" s="76"/>
      <c r="O186" s="76"/>
      <c r="P186" s="76"/>
      <c r="Q186" s="1"/>
    </row>
    <row r="187" spans="1:17" x14ac:dyDescent="0.35">
      <c r="A187" s="76"/>
      <c r="B187" s="1"/>
      <c r="C187" s="1"/>
      <c r="D187" s="1"/>
      <c r="E187" s="76"/>
      <c r="F187" s="76"/>
      <c r="G187" s="76"/>
      <c r="H187" s="76"/>
      <c r="I187" s="76"/>
      <c r="J187" s="76"/>
      <c r="K187" s="76"/>
      <c r="L187" s="76"/>
      <c r="M187" s="76"/>
      <c r="N187" s="76"/>
      <c r="O187" s="76"/>
      <c r="P187" s="76"/>
      <c r="Q187" s="1"/>
    </row>
    <row r="188" spans="1:17" x14ac:dyDescent="0.35">
      <c r="A188" s="76"/>
      <c r="B188" s="1"/>
      <c r="C188" s="1"/>
      <c r="D188" s="1"/>
      <c r="E188" s="76"/>
      <c r="F188" s="76"/>
      <c r="G188" s="76"/>
      <c r="H188" s="76"/>
      <c r="I188" s="76"/>
      <c r="J188" s="76"/>
      <c r="K188" s="76"/>
      <c r="L188" s="76"/>
      <c r="M188" s="76"/>
      <c r="N188" s="76"/>
      <c r="O188" s="76"/>
      <c r="P188" s="76"/>
      <c r="Q188" s="1"/>
    </row>
    <row r="189" spans="1:17" x14ac:dyDescent="0.35">
      <c r="A189" s="76"/>
      <c r="B189" s="1"/>
      <c r="C189" s="1"/>
      <c r="D189" s="1"/>
      <c r="E189" s="76"/>
      <c r="F189" s="76"/>
      <c r="G189" s="76"/>
      <c r="H189" s="76"/>
      <c r="I189" s="76"/>
      <c r="J189" s="76"/>
      <c r="K189" s="76"/>
      <c r="L189" s="76"/>
      <c r="M189" s="76"/>
      <c r="N189" s="76"/>
      <c r="O189" s="76"/>
      <c r="P189" s="76"/>
      <c r="Q189" s="1"/>
    </row>
    <row r="190" spans="1:17" x14ac:dyDescent="0.35">
      <c r="A190" s="76"/>
      <c r="B190" s="1"/>
      <c r="C190" s="1"/>
      <c r="D190" s="1"/>
      <c r="E190" s="76"/>
      <c r="F190" s="76"/>
      <c r="G190" s="76"/>
      <c r="H190" s="76"/>
      <c r="I190" s="76"/>
      <c r="J190" s="76"/>
      <c r="K190" s="76"/>
      <c r="L190" s="76"/>
      <c r="M190" s="76"/>
      <c r="N190" s="76"/>
      <c r="O190" s="76"/>
      <c r="P190" s="76"/>
      <c r="Q190" s="1"/>
    </row>
    <row r="191" spans="1:17" x14ac:dyDescent="0.35">
      <c r="A191" s="76"/>
      <c r="B191" s="1"/>
      <c r="C191" s="1"/>
      <c r="D191" s="1"/>
      <c r="E191" s="76"/>
      <c r="F191" s="76"/>
      <c r="G191" s="76"/>
      <c r="H191" s="76"/>
      <c r="I191" s="76"/>
      <c r="J191" s="76"/>
      <c r="K191" s="76"/>
      <c r="L191" s="76"/>
      <c r="M191" s="76"/>
      <c r="N191" s="76"/>
      <c r="O191" s="76"/>
      <c r="P191" s="76"/>
      <c r="Q191" s="1"/>
    </row>
    <row r="192" spans="1:17" x14ac:dyDescent="0.35">
      <c r="A192" s="76"/>
      <c r="B192" s="1"/>
      <c r="C192" s="1"/>
      <c r="D192" s="1"/>
      <c r="E192" s="76"/>
      <c r="F192" s="76"/>
      <c r="G192" s="76"/>
      <c r="H192" s="76"/>
      <c r="I192" s="76"/>
      <c r="J192" s="76"/>
      <c r="K192" s="76"/>
      <c r="L192" s="76"/>
      <c r="M192" s="76"/>
      <c r="N192" s="76"/>
      <c r="O192" s="76"/>
      <c r="P192" s="76"/>
      <c r="Q192" s="1"/>
    </row>
    <row r="193" spans="1:17" x14ac:dyDescent="0.35">
      <c r="A193" s="76"/>
      <c r="B193" s="1"/>
      <c r="C193" s="1"/>
      <c r="D193" s="1"/>
      <c r="E193" s="76"/>
      <c r="F193" s="76"/>
      <c r="G193" s="76"/>
      <c r="H193" s="76"/>
      <c r="I193" s="76"/>
      <c r="J193" s="76"/>
      <c r="K193" s="76"/>
      <c r="L193" s="76"/>
      <c r="M193" s="76"/>
      <c r="N193" s="76"/>
      <c r="O193" s="76"/>
      <c r="P193" s="76"/>
      <c r="Q193" s="1"/>
    </row>
    <row r="194" spans="1:17" x14ac:dyDescent="0.35">
      <c r="A194" s="76"/>
      <c r="B194" s="1"/>
      <c r="C194" s="1"/>
      <c r="D194" s="1"/>
      <c r="E194" s="76"/>
      <c r="F194" s="76"/>
      <c r="G194" s="76"/>
      <c r="H194" s="76"/>
      <c r="I194" s="76"/>
      <c r="J194" s="76"/>
      <c r="K194" s="76"/>
      <c r="L194" s="76"/>
      <c r="M194" s="76"/>
      <c r="N194" s="76"/>
      <c r="O194" s="76"/>
      <c r="P194" s="76"/>
      <c r="Q194" s="1"/>
    </row>
    <row r="195" spans="1:17" x14ac:dyDescent="0.35">
      <c r="A195" s="76"/>
      <c r="B195" s="1"/>
      <c r="C195" s="1"/>
      <c r="D195" s="1"/>
      <c r="E195" s="76"/>
      <c r="F195" s="76"/>
      <c r="G195" s="76"/>
      <c r="H195" s="76"/>
      <c r="I195" s="76"/>
      <c r="J195" s="76"/>
      <c r="K195" s="76"/>
      <c r="L195" s="76"/>
      <c r="M195" s="76"/>
      <c r="N195" s="76"/>
      <c r="O195" s="76"/>
      <c r="P195" s="76"/>
      <c r="Q195" s="1"/>
    </row>
    <row r="196" spans="1:17" x14ac:dyDescent="0.35">
      <c r="A196" s="76"/>
      <c r="B196" s="1"/>
      <c r="C196" s="1"/>
      <c r="D196" s="1"/>
      <c r="E196" s="76"/>
      <c r="F196" s="76"/>
      <c r="G196" s="76"/>
      <c r="H196" s="76"/>
      <c r="I196" s="76"/>
      <c r="J196" s="76"/>
      <c r="K196" s="76"/>
      <c r="L196" s="76"/>
      <c r="M196" s="76"/>
      <c r="N196" s="76"/>
      <c r="O196" s="76"/>
      <c r="P196" s="76"/>
      <c r="Q196" s="1"/>
    </row>
    <row r="197" spans="1:17" x14ac:dyDescent="0.35">
      <c r="A197" s="76"/>
      <c r="B197" s="1"/>
      <c r="C197" s="1"/>
      <c r="D197" s="1"/>
      <c r="E197" s="76"/>
      <c r="F197" s="76"/>
      <c r="G197" s="76"/>
      <c r="H197" s="76"/>
      <c r="I197" s="76"/>
      <c r="J197" s="76"/>
      <c r="K197" s="76"/>
      <c r="L197" s="76"/>
      <c r="M197" s="76"/>
      <c r="N197" s="76"/>
      <c r="O197" s="76"/>
      <c r="P197" s="76"/>
      <c r="Q197" s="1"/>
    </row>
    <row r="198" spans="1:17" x14ac:dyDescent="0.35">
      <c r="A198" s="76"/>
      <c r="B198" s="1"/>
      <c r="C198" s="1"/>
      <c r="D198" s="1"/>
      <c r="E198" s="76"/>
      <c r="F198" s="76"/>
      <c r="G198" s="76"/>
      <c r="H198" s="76"/>
      <c r="I198" s="76"/>
      <c r="J198" s="76"/>
      <c r="K198" s="76"/>
      <c r="L198" s="76"/>
      <c r="M198" s="76"/>
      <c r="N198" s="76"/>
      <c r="O198" s="76"/>
      <c r="P198" s="76"/>
      <c r="Q198" s="1"/>
    </row>
    <row r="199" spans="1:17" x14ac:dyDescent="0.35">
      <c r="A199" s="76"/>
      <c r="B199" s="1"/>
      <c r="C199" s="1"/>
      <c r="D199" s="1"/>
      <c r="E199" s="76"/>
      <c r="F199" s="76"/>
      <c r="G199" s="76"/>
      <c r="H199" s="76"/>
      <c r="I199" s="76"/>
      <c r="J199" s="76"/>
      <c r="K199" s="76"/>
      <c r="L199" s="76"/>
      <c r="M199" s="76"/>
      <c r="N199" s="76"/>
      <c r="O199" s="76"/>
      <c r="P199" s="76"/>
      <c r="Q199" s="1"/>
    </row>
    <row r="200" spans="1:17" x14ac:dyDescent="0.35">
      <c r="A200" s="76"/>
      <c r="B200" s="1"/>
      <c r="C200" s="1"/>
      <c r="D200" s="1"/>
      <c r="E200" s="76"/>
      <c r="F200" s="76"/>
      <c r="G200" s="76"/>
      <c r="H200" s="76"/>
      <c r="I200" s="76"/>
      <c r="J200" s="76"/>
      <c r="K200" s="76"/>
      <c r="L200" s="76"/>
      <c r="M200" s="76"/>
      <c r="N200" s="76"/>
      <c r="O200" s="76"/>
      <c r="P200" s="76"/>
      <c r="Q200" s="1"/>
    </row>
    <row r="201" spans="1:17" x14ac:dyDescent="0.35">
      <c r="A201" s="76"/>
      <c r="B201" s="1"/>
      <c r="C201" s="1"/>
      <c r="D201" s="1"/>
      <c r="E201" s="76"/>
      <c r="F201" s="76"/>
      <c r="G201" s="76"/>
      <c r="H201" s="76"/>
      <c r="I201" s="76"/>
      <c r="J201" s="76"/>
      <c r="K201" s="76"/>
      <c r="L201" s="76"/>
      <c r="M201" s="76"/>
      <c r="N201" s="76"/>
      <c r="O201" s="76"/>
      <c r="P201" s="76"/>
      <c r="Q201" s="1"/>
    </row>
    <row r="202" spans="1:17" x14ac:dyDescent="0.35">
      <c r="A202" s="76"/>
      <c r="B202" s="1"/>
      <c r="C202" s="1"/>
      <c r="D202" s="1"/>
      <c r="E202" s="76"/>
      <c r="F202" s="76"/>
      <c r="G202" s="76"/>
      <c r="H202" s="76"/>
      <c r="I202" s="76"/>
      <c r="J202" s="76"/>
      <c r="K202" s="76"/>
      <c r="L202" s="76"/>
      <c r="M202" s="76"/>
      <c r="N202" s="76"/>
      <c r="O202" s="76"/>
      <c r="P202" s="76"/>
      <c r="Q202" s="1"/>
    </row>
    <row r="203" spans="1:17" x14ac:dyDescent="0.35">
      <c r="A203" s="76"/>
      <c r="B203" s="1"/>
      <c r="C203" s="1"/>
      <c r="D203" s="1"/>
      <c r="E203" s="76"/>
      <c r="F203" s="76"/>
      <c r="G203" s="76"/>
      <c r="H203" s="76"/>
      <c r="I203" s="76"/>
      <c r="J203" s="76"/>
      <c r="K203" s="76"/>
      <c r="L203" s="76"/>
      <c r="M203" s="76"/>
      <c r="N203" s="76"/>
      <c r="O203" s="76"/>
      <c r="P203" s="76"/>
      <c r="Q203" s="1"/>
    </row>
    <row r="204" spans="1:17" x14ac:dyDescent="0.35">
      <c r="A204" s="76"/>
      <c r="B204" s="1"/>
      <c r="C204" s="1"/>
      <c r="D204" s="1"/>
      <c r="E204" s="76"/>
      <c r="F204" s="76"/>
      <c r="G204" s="76"/>
      <c r="H204" s="76"/>
      <c r="I204" s="76"/>
      <c r="J204" s="76"/>
      <c r="K204" s="76"/>
      <c r="L204" s="76"/>
      <c r="M204" s="76"/>
      <c r="N204" s="76"/>
      <c r="O204" s="76"/>
      <c r="P204" s="76"/>
      <c r="Q204" s="1"/>
    </row>
    <row r="205" spans="1:17" x14ac:dyDescent="0.35">
      <c r="A205" s="76"/>
      <c r="B205" s="1"/>
      <c r="C205" s="1"/>
      <c r="D205" s="1"/>
      <c r="E205" s="76"/>
      <c r="F205" s="76"/>
      <c r="G205" s="76"/>
      <c r="H205" s="76"/>
      <c r="I205" s="76"/>
      <c r="J205" s="76"/>
      <c r="K205" s="76"/>
      <c r="L205" s="76"/>
      <c r="M205" s="76"/>
      <c r="N205" s="76"/>
      <c r="O205" s="76"/>
      <c r="P205" s="76"/>
      <c r="Q205" s="1"/>
    </row>
    <row r="206" spans="1:17" x14ac:dyDescent="0.35">
      <c r="A206" s="76"/>
      <c r="B206" s="1"/>
      <c r="C206" s="1"/>
      <c r="D206" s="1"/>
      <c r="E206" s="76"/>
      <c r="F206" s="76"/>
      <c r="G206" s="76"/>
      <c r="H206" s="76"/>
      <c r="I206" s="76"/>
      <c r="J206" s="76"/>
      <c r="K206" s="76"/>
      <c r="L206" s="76"/>
      <c r="M206" s="76"/>
      <c r="N206" s="76"/>
      <c r="O206" s="76"/>
      <c r="P206" s="76"/>
      <c r="Q206" s="1"/>
    </row>
    <row r="207" spans="1:17" x14ac:dyDescent="0.35">
      <c r="A207" s="76"/>
      <c r="B207" s="1"/>
      <c r="C207" s="1"/>
      <c r="D207" s="1"/>
      <c r="E207" s="76"/>
      <c r="F207" s="76"/>
      <c r="G207" s="76"/>
      <c r="H207" s="76"/>
      <c r="I207" s="76"/>
      <c r="J207" s="76"/>
      <c r="K207" s="76"/>
      <c r="L207" s="76"/>
      <c r="M207" s="76"/>
      <c r="N207" s="76"/>
      <c r="O207" s="76"/>
      <c r="P207" s="76"/>
      <c r="Q207"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00769" r:id="rId3" name="Button 1">
              <controlPr defaultSize="0" print="0" autoFill="0" autoPict="0" macro="[0]!ViewLog">
                <anchor moveWithCells="1" sizeWithCells="1">
                  <from>
                    <xdr:col>17</xdr:col>
                    <xdr:colOff>0</xdr:colOff>
                    <xdr:row>0</xdr:row>
                    <xdr:rowOff>50800</xdr:rowOff>
                  </from>
                  <to>
                    <xdr:col>18</xdr:col>
                    <xdr:colOff>228600</xdr:colOff>
                    <xdr:row>1</xdr:row>
                    <xdr:rowOff>146050</xdr:rowOff>
                  </to>
                </anchor>
              </controlPr>
            </control>
          </mc:Choice>
        </mc:AlternateContent>
      </controls>
    </mc:Choice>
  </mc:AlternateContent>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3DA1B3-B91C-422E-A4D0-DB8A5EFEC6A5}">
  <sheetPr codeName="Sheet195"/>
  <dimension ref="S1:AG1"/>
  <sheetViews>
    <sheetView workbookViewId="0"/>
  </sheetViews>
  <sheetFormatPr defaultRowHeight="14.5" x14ac:dyDescent="0.35"/>
  <sheetData>
    <row r="1" spans="19:33" x14ac:dyDescent="0.35">
      <c r="S1" t="str">
        <f>DIV_12Input!A1</f>
        <v>AREA/FLOOR/ZONE</v>
      </c>
      <c r="T1" t="str">
        <f>DIV_12Input!B1</f>
        <v>Page</v>
      </c>
      <c r="U1" t="str">
        <f>DIV_12Input!C1</f>
        <v>SUB COST</v>
      </c>
      <c r="V1" t="str">
        <f>DIV_12Input!D1</f>
        <v>MAT COST</v>
      </c>
      <c r="W1" t="str">
        <f>DIV_12Input!E1</f>
        <v>LAB COST</v>
      </c>
      <c r="X1" t="str">
        <f>DIV_12Input!F1</f>
        <v>EQUIP COST</v>
      </c>
      <c r="Y1" t="str">
        <f>DIV_12Input!G1</f>
        <v>Total Cost</v>
      </c>
      <c r="Z1" t="str">
        <f>DIV_12Input!H1</f>
        <v>Date</v>
      </c>
      <c r="AA1" t="str">
        <f>DIV_12Input!I1</f>
        <v>Description</v>
      </c>
      <c r="AB1" t="str">
        <f>DIV_12Input!J1</f>
        <v>Log 10</v>
      </c>
      <c r="AC1" t="str">
        <f>DIV_12Input!K1</f>
        <v>Log 11</v>
      </c>
      <c r="AD1" t="str">
        <f>DIV_12Input!L1</f>
        <v>Log 12</v>
      </c>
      <c r="AE1" t="str">
        <f>DIV_12Input!M1</f>
        <v>Update 1</v>
      </c>
      <c r="AF1" t="str">
        <f>DIV_12Input!N1</f>
        <v>Update 2</v>
      </c>
      <c r="AG1" t="str">
        <f>DIV_12Input!O1</f>
        <v>Update 3</v>
      </c>
    </row>
  </sheetData>
  <pageMargins left="0.7" right="0.7" top="0.75" bottom="0.75" header="0.3" footer="0.3"/>
</worksheet>
</file>

<file path=xl/worksheets/sheet1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E4F5B7-E4D0-422D-BF33-E65D194700CA}">
  <sheetPr codeName="Sheet162"/>
  <dimension ref="A1:Q211"/>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ART</v>
      </c>
      <c r="J2" s="59"/>
      <c r="K2" s="59"/>
      <c r="L2" s="1"/>
      <c r="M2" s="59"/>
      <c r="N2" s="59"/>
      <c r="O2" s="60"/>
      <c r="P2" s="57"/>
      <c r="Q2" s="57"/>
    </row>
    <row r="3" spans="1:17" ht="15" thickBot="1" x14ac:dyDescent="0.4">
      <c r="A3" s="446" t="s">
        <v>21561</v>
      </c>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12 10 00</v>
      </c>
      <c r="C10" s="24" t="str">
        <f>C206</f>
        <v>ART</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ART</v>
      </c>
      <c r="D12" s="31"/>
      <c r="E12" s="32"/>
      <c r="F12" s="34"/>
      <c r="G12" s="33"/>
      <c r="H12" s="34"/>
      <c r="I12" s="33"/>
      <c r="J12" s="34"/>
      <c r="K12" s="34"/>
      <c r="L12" s="34"/>
      <c r="M12" s="33"/>
      <c r="N12" s="34"/>
      <c r="O12" s="35"/>
      <c r="P12" s="31"/>
      <c r="Q12" s="35"/>
    </row>
    <row r="13" spans="1:17" x14ac:dyDescent="0.35">
      <c r="A13" s="1"/>
      <c r="B13" s="1"/>
      <c r="C13" s="1"/>
      <c r="D13" s="1"/>
      <c r="E13" s="1"/>
      <c r="F13" s="1"/>
      <c r="G13" s="1"/>
      <c r="H13" s="1"/>
      <c r="I13" s="1"/>
      <c r="J13" s="1"/>
      <c r="K13" s="1"/>
      <c r="L13" s="1"/>
      <c r="M13" s="1"/>
      <c r="N13" s="1"/>
      <c r="O13" s="1"/>
      <c r="P13" s="1"/>
      <c r="Q13" s="1"/>
    </row>
    <row r="14" spans="1:17" x14ac:dyDescent="0.35">
      <c r="A14" s="1"/>
      <c r="B14" s="1"/>
      <c r="C14" s="1"/>
      <c r="D14" s="1"/>
      <c r="E14" s="1"/>
      <c r="F14" s="1"/>
      <c r="G14" s="1"/>
      <c r="H14" s="1"/>
      <c r="I14" s="1"/>
      <c r="J14" s="1"/>
      <c r="K14" s="1"/>
      <c r="L14" s="1"/>
      <c r="M14" s="1"/>
      <c r="N14" s="1"/>
      <c r="O14" s="1"/>
      <c r="P14" s="1"/>
      <c r="Q14" s="1"/>
    </row>
    <row r="15" spans="1:17" x14ac:dyDescent="0.35">
      <c r="A15" s="1"/>
      <c r="B15" s="1"/>
      <c r="C15" s="1"/>
      <c r="D15" s="1"/>
      <c r="E15" s="1"/>
      <c r="F15" s="1"/>
      <c r="G15" s="1"/>
      <c r="H15" s="1"/>
      <c r="I15" s="1"/>
      <c r="J15" s="1"/>
      <c r="K15" s="1"/>
      <c r="L15" s="1"/>
      <c r="M15" s="1"/>
      <c r="N15" s="1"/>
      <c r="O15" s="1"/>
      <c r="P15" s="1"/>
      <c r="Q15" s="1"/>
    </row>
    <row r="16" spans="1:17" x14ac:dyDescent="0.35">
      <c r="A16" s="1"/>
      <c r="B16" s="1"/>
      <c r="C16" s="1"/>
      <c r="D16" s="1"/>
      <c r="E16" s="1"/>
      <c r="F16" s="1"/>
      <c r="G16" s="1"/>
      <c r="H16" s="1"/>
      <c r="I16" s="1"/>
      <c r="J16" s="1"/>
      <c r="K16" s="1"/>
      <c r="L16" s="1"/>
      <c r="M16" s="1"/>
      <c r="N16" s="1"/>
      <c r="O16" s="1"/>
      <c r="P16" s="1"/>
      <c r="Q16" s="1"/>
    </row>
    <row r="17" spans="1:17" x14ac:dyDescent="0.35">
      <c r="A17" s="1"/>
      <c r="B17" s="1"/>
      <c r="C17" s="1"/>
      <c r="D17" s="1"/>
      <c r="E17" s="1"/>
      <c r="F17" s="1"/>
      <c r="G17" s="1"/>
      <c r="H17" s="1"/>
      <c r="I17" s="1"/>
      <c r="J17" s="1"/>
      <c r="K17" s="1"/>
      <c r="L17" s="1"/>
      <c r="M17" s="1"/>
      <c r="N17" s="1"/>
      <c r="O17" s="1"/>
      <c r="P17" s="1"/>
      <c r="Q17" s="1"/>
    </row>
    <row r="18" spans="1:17" x14ac:dyDescent="0.35">
      <c r="A18" s="1"/>
      <c r="B18" s="1"/>
      <c r="C18" s="1"/>
      <c r="D18" s="1"/>
      <c r="E18" s="1"/>
      <c r="F18" s="1"/>
      <c r="G18" s="1"/>
      <c r="H18" s="1"/>
      <c r="I18" s="1"/>
      <c r="J18" s="1"/>
      <c r="K18" s="1"/>
      <c r="L18" s="1"/>
      <c r="M18" s="1"/>
      <c r="N18" s="1"/>
      <c r="O18" s="1"/>
      <c r="P18" s="1"/>
      <c r="Q18" s="1"/>
    </row>
    <row r="19" spans="1:17" x14ac:dyDescent="0.35">
      <c r="A19" s="1"/>
      <c r="B19" s="1"/>
      <c r="C19" s="1"/>
      <c r="D19" s="1"/>
      <c r="E19" s="1"/>
      <c r="F19" s="1"/>
      <c r="G19" s="1"/>
      <c r="H19" s="1"/>
      <c r="I19" s="1"/>
      <c r="J19" s="1"/>
      <c r="K19" s="1"/>
      <c r="L19" s="1"/>
      <c r="M19" s="1"/>
      <c r="N19" s="1"/>
      <c r="O19" s="1"/>
      <c r="P19" s="1"/>
      <c r="Q19" s="1"/>
    </row>
    <row r="20" spans="1:17" x14ac:dyDescent="0.35">
      <c r="A20" s="1"/>
      <c r="B20" s="1"/>
      <c r="C20" s="1"/>
      <c r="D20" s="1"/>
      <c r="E20" s="1"/>
      <c r="F20" s="1"/>
      <c r="G20" s="1"/>
      <c r="H20" s="1"/>
      <c r="I20" s="1"/>
      <c r="J20" s="1"/>
      <c r="K20" s="1"/>
      <c r="L20" s="1"/>
      <c r="M20" s="1"/>
      <c r="N20" s="1"/>
      <c r="O20" s="1"/>
      <c r="P20" s="1"/>
      <c r="Q20" s="1"/>
    </row>
    <row r="21" spans="1:17" x14ac:dyDescent="0.35">
      <c r="A21" s="1"/>
      <c r="B21" s="1"/>
      <c r="C21" s="1"/>
      <c r="D21" s="1"/>
      <c r="E21" s="1"/>
      <c r="F21" s="1"/>
      <c r="G21" s="1"/>
      <c r="H21" s="1"/>
      <c r="I21" s="1"/>
      <c r="J21" s="1"/>
      <c r="K21" s="1"/>
      <c r="L21" s="1"/>
      <c r="M21" s="1"/>
      <c r="N21" s="1"/>
      <c r="O21" s="1"/>
      <c r="P21" s="1"/>
      <c r="Q21" s="1"/>
    </row>
    <row r="22" spans="1:17" x14ac:dyDescent="0.35">
      <c r="A22" s="1"/>
      <c r="B22" s="1"/>
      <c r="C22" s="1"/>
      <c r="D22" s="1"/>
      <c r="E22" s="1"/>
      <c r="F22" s="1"/>
      <c r="G22" s="1"/>
      <c r="H22" s="1"/>
      <c r="I22" s="1"/>
      <c r="J22" s="1"/>
      <c r="K22" s="1"/>
      <c r="L22" s="1"/>
      <c r="M22" s="1"/>
      <c r="N22" s="1"/>
      <c r="O22" s="1"/>
      <c r="P22" s="1"/>
      <c r="Q22" s="1"/>
    </row>
    <row r="23" spans="1:17" x14ac:dyDescent="0.35">
      <c r="A23" s="1"/>
      <c r="B23" s="1"/>
      <c r="C23" s="1"/>
      <c r="D23" s="1"/>
      <c r="E23" s="1"/>
      <c r="F23" s="1"/>
      <c r="G23" s="1"/>
      <c r="H23" s="1"/>
      <c r="I23" s="1"/>
      <c r="J23" s="1"/>
      <c r="K23" s="1"/>
      <c r="L23" s="1"/>
      <c r="M23" s="1"/>
      <c r="N23" s="1"/>
      <c r="O23" s="1"/>
      <c r="P23" s="1"/>
      <c r="Q23" s="1"/>
    </row>
    <row r="24" spans="1:17" x14ac:dyDescent="0.35">
      <c r="A24" s="1"/>
      <c r="B24" s="1"/>
      <c r="C24" s="1"/>
      <c r="D24" s="1"/>
      <c r="E24" s="1"/>
      <c r="F24" s="1"/>
      <c r="G24" s="1"/>
      <c r="H24" s="1"/>
      <c r="I24" s="1"/>
      <c r="J24" s="1"/>
      <c r="K24" s="1"/>
      <c r="L24" s="1"/>
      <c r="M24" s="1"/>
      <c r="N24" s="1"/>
      <c r="O24" s="1"/>
      <c r="P24" s="1"/>
      <c r="Q24" s="1"/>
    </row>
    <row r="25" spans="1:17" x14ac:dyDescent="0.35">
      <c r="A25" s="1"/>
      <c r="B25" s="1"/>
      <c r="C25" s="1"/>
      <c r="D25" s="1"/>
      <c r="E25" s="1"/>
      <c r="F25" s="1"/>
      <c r="G25" s="1"/>
      <c r="H25" s="1"/>
      <c r="I25" s="1"/>
      <c r="J25" s="1"/>
      <c r="K25" s="1"/>
      <c r="L25" s="1"/>
      <c r="M25" s="1"/>
      <c r="N25" s="1"/>
      <c r="O25" s="1"/>
      <c r="P25" s="1"/>
      <c r="Q25" s="1"/>
    </row>
    <row r="26" spans="1:17" x14ac:dyDescent="0.35">
      <c r="A26" s="1"/>
      <c r="B26" s="1"/>
      <c r="C26" s="1"/>
      <c r="D26" s="1"/>
      <c r="E26" s="1"/>
      <c r="F26" s="1"/>
      <c r="G26" s="1"/>
      <c r="H26" s="1"/>
      <c r="I26" s="1"/>
      <c r="J26" s="1"/>
      <c r="K26" s="1"/>
      <c r="L26" s="1"/>
      <c r="M26" s="1"/>
      <c r="N26" s="1"/>
      <c r="O26" s="1"/>
      <c r="P26" s="1"/>
      <c r="Q26" s="1"/>
    </row>
    <row r="27" spans="1:17" x14ac:dyDescent="0.35">
      <c r="A27" s="1"/>
      <c r="B27" s="1"/>
      <c r="C27" s="1"/>
      <c r="D27" s="1"/>
      <c r="E27" s="1"/>
      <c r="F27" s="1"/>
      <c r="G27" s="1"/>
      <c r="H27" s="1"/>
      <c r="I27" s="1"/>
      <c r="J27" s="1"/>
      <c r="K27" s="1"/>
      <c r="L27" s="1"/>
      <c r="M27" s="1"/>
      <c r="N27" s="1"/>
      <c r="O27" s="1"/>
      <c r="P27" s="1"/>
      <c r="Q27" s="1"/>
    </row>
    <row r="28" spans="1:17" x14ac:dyDescent="0.35">
      <c r="A28" s="1"/>
      <c r="B28" s="1"/>
      <c r="C28" s="1"/>
      <c r="D28" s="1"/>
      <c r="E28" s="1"/>
      <c r="F28" s="1"/>
      <c r="G28" s="1"/>
      <c r="H28" s="1"/>
      <c r="I28" s="1"/>
      <c r="J28" s="1"/>
      <c r="K28" s="1"/>
      <c r="L28" s="1"/>
      <c r="M28" s="1"/>
      <c r="N28" s="1"/>
      <c r="O28" s="1"/>
      <c r="P28" s="1"/>
      <c r="Q28" s="1"/>
    </row>
    <row r="29" spans="1:17" x14ac:dyDescent="0.35">
      <c r="A29" s="1"/>
      <c r="B29" s="1"/>
      <c r="C29" s="1"/>
      <c r="D29" s="1"/>
      <c r="E29" s="1"/>
      <c r="F29" s="1"/>
      <c r="G29" s="1"/>
      <c r="H29" s="1"/>
      <c r="I29" s="1"/>
      <c r="J29" s="1"/>
      <c r="K29" s="1"/>
      <c r="L29" s="1"/>
      <c r="M29" s="1"/>
      <c r="N29" s="1"/>
      <c r="O29" s="1"/>
      <c r="P29" s="1"/>
      <c r="Q29" s="1"/>
    </row>
    <row r="30" spans="1:17" x14ac:dyDescent="0.35">
      <c r="A30" s="1"/>
      <c r="B30" s="1"/>
      <c r="C30" s="1"/>
      <c r="D30" s="1"/>
      <c r="E30" s="1"/>
      <c r="F30" s="1"/>
      <c r="G30" s="1"/>
      <c r="H30" s="1"/>
      <c r="I30" s="1"/>
      <c r="J30" s="1"/>
      <c r="K30" s="1"/>
      <c r="L30" s="1"/>
      <c r="M30" s="1"/>
      <c r="N30" s="1"/>
      <c r="O30" s="1"/>
      <c r="P30" s="1"/>
      <c r="Q30" s="1"/>
    </row>
    <row r="31" spans="1:17" x14ac:dyDescent="0.35">
      <c r="A31" s="1"/>
      <c r="B31" s="1"/>
      <c r="C31" s="1"/>
      <c r="D31" s="1"/>
      <c r="E31" s="1"/>
      <c r="F31" s="1"/>
      <c r="G31" s="1"/>
      <c r="H31" s="1"/>
      <c r="I31" s="1"/>
      <c r="J31" s="1"/>
      <c r="K31" s="1"/>
      <c r="L31" s="1"/>
      <c r="M31" s="1"/>
      <c r="N31" s="1"/>
      <c r="O31" s="1"/>
      <c r="P31" s="1"/>
      <c r="Q31" s="1"/>
    </row>
    <row r="32" spans="1:17" x14ac:dyDescent="0.35">
      <c r="A32" s="1"/>
      <c r="B32" s="1"/>
      <c r="C32" s="1"/>
      <c r="D32" s="1"/>
      <c r="E32" s="1"/>
      <c r="F32" s="1"/>
      <c r="G32" s="1"/>
      <c r="H32" s="1"/>
      <c r="I32" s="1"/>
      <c r="J32" s="1"/>
      <c r="K32" s="1"/>
      <c r="L32" s="1"/>
      <c r="M32" s="1"/>
      <c r="N32" s="1"/>
      <c r="O32" s="1"/>
      <c r="P32" s="1"/>
      <c r="Q32" s="1"/>
    </row>
    <row r="33" spans="1:17" x14ac:dyDescent="0.35">
      <c r="A33" s="1"/>
      <c r="B33" s="1"/>
      <c r="C33" s="1"/>
      <c r="D33" s="1"/>
      <c r="E33" s="1"/>
      <c r="F33" s="1"/>
      <c r="G33" s="1"/>
      <c r="H33" s="1"/>
      <c r="I33" s="1"/>
      <c r="J33" s="1"/>
      <c r="K33" s="1"/>
      <c r="L33" s="1"/>
      <c r="M33" s="1"/>
      <c r="N33" s="1"/>
      <c r="O33" s="1"/>
      <c r="P33" s="1"/>
      <c r="Q33" s="1"/>
    </row>
    <row r="34" spans="1:17" x14ac:dyDescent="0.35">
      <c r="A34" s="1"/>
      <c r="B34" s="1"/>
      <c r="C34" s="1"/>
      <c r="D34" s="1"/>
      <c r="E34" s="1"/>
      <c r="F34" s="1"/>
      <c r="G34" s="1"/>
      <c r="H34" s="1"/>
      <c r="I34" s="1"/>
      <c r="J34" s="1"/>
      <c r="K34" s="1"/>
      <c r="L34" s="1"/>
      <c r="M34" s="1"/>
      <c r="N34" s="1"/>
      <c r="O34" s="1"/>
      <c r="P34" s="1"/>
      <c r="Q34" s="1"/>
    </row>
    <row r="35" spans="1:17" x14ac:dyDescent="0.35">
      <c r="A35" s="1"/>
      <c r="B35" s="1"/>
      <c r="C35" s="1"/>
      <c r="D35" s="1"/>
      <c r="E35" s="1"/>
      <c r="F35" s="1"/>
      <c r="G35" s="1"/>
      <c r="H35" s="1"/>
      <c r="I35" s="1"/>
      <c r="J35" s="1"/>
      <c r="K35" s="1"/>
      <c r="L35" s="1"/>
      <c r="M35" s="1"/>
      <c r="N35" s="1"/>
      <c r="O35" s="1"/>
      <c r="P35" s="1"/>
      <c r="Q35" s="1"/>
    </row>
    <row r="36" spans="1:17" x14ac:dyDescent="0.35">
      <c r="A36" s="1"/>
      <c r="B36" s="1"/>
      <c r="C36" s="1"/>
      <c r="D36" s="1"/>
      <c r="E36" s="1"/>
      <c r="F36" s="1"/>
      <c r="G36" s="1"/>
      <c r="H36" s="1"/>
      <c r="I36" s="1"/>
      <c r="J36" s="1"/>
      <c r="K36" s="1"/>
      <c r="L36" s="1"/>
      <c r="M36" s="1"/>
      <c r="N36" s="1"/>
      <c r="O36" s="1"/>
      <c r="P36" s="1"/>
      <c r="Q36" s="1"/>
    </row>
    <row r="37" spans="1:17" x14ac:dyDescent="0.35">
      <c r="A37" s="1"/>
      <c r="B37" s="1"/>
      <c r="C37" s="1"/>
      <c r="D37" s="1"/>
      <c r="E37" s="1"/>
      <c r="F37" s="1"/>
      <c r="G37" s="1"/>
      <c r="H37" s="1"/>
      <c r="I37" s="1"/>
      <c r="J37" s="1"/>
      <c r="K37" s="1"/>
      <c r="L37" s="1"/>
      <c r="M37" s="1"/>
      <c r="N37" s="1"/>
      <c r="O37" s="1"/>
      <c r="P37" s="1"/>
      <c r="Q37" s="1"/>
    </row>
    <row r="38" spans="1:17" x14ac:dyDescent="0.35">
      <c r="A38" s="1"/>
      <c r="B38" s="1"/>
      <c r="C38" s="1"/>
      <c r="D38" s="1"/>
      <c r="E38" s="1"/>
      <c r="F38" s="1"/>
      <c r="G38" s="1"/>
      <c r="H38" s="1"/>
      <c r="I38" s="1"/>
      <c r="J38" s="1"/>
      <c r="K38" s="1"/>
      <c r="L38" s="1"/>
      <c r="M38" s="1"/>
      <c r="N38" s="1"/>
      <c r="O38" s="1"/>
      <c r="P38" s="1"/>
      <c r="Q38" s="1"/>
    </row>
    <row r="39" spans="1:17" x14ac:dyDescent="0.35">
      <c r="A39" s="1"/>
      <c r="B39" s="1"/>
      <c r="C39" s="1"/>
      <c r="D39" s="1"/>
      <c r="E39" s="1"/>
      <c r="F39" s="1"/>
      <c r="G39" s="1"/>
      <c r="H39" s="1"/>
      <c r="I39" s="1"/>
      <c r="J39" s="1"/>
      <c r="K39" s="1"/>
      <c r="L39" s="1"/>
      <c r="M39" s="1"/>
      <c r="N39" s="1"/>
      <c r="O39" s="1"/>
      <c r="P39" s="1"/>
      <c r="Q39" s="1"/>
    </row>
    <row r="40" spans="1:17" x14ac:dyDescent="0.35">
      <c r="A40" s="1"/>
      <c r="B40" s="1"/>
      <c r="C40" s="1"/>
      <c r="D40" s="1"/>
      <c r="E40" s="1"/>
      <c r="F40" s="1"/>
      <c r="G40" s="1"/>
      <c r="H40" s="1"/>
      <c r="I40" s="1"/>
      <c r="J40" s="1"/>
      <c r="K40" s="1"/>
      <c r="L40" s="1"/>
      <c r="M40" s="1"/>
      <c r="N40" s="1"/>
      <c r="O40" s="1"/>
      <c r="P40" s="1"/>
      <c r="Q40" s="1"/>
    </row>
    <row r="41" spans="1:17" x14ac:dyDescent="0.35">
      <c r="A41" s="1"/>
      <c r="B41" s="1"/>
      <c r="C41" s="1"/>
      <c r="D41" s="1"/>
      <c r="E41" s="1"/>
      <c r="F41" s="1"/>
      <c r="G41" s="1"/>
      <c r="H41" s="1"/>
      <c r="I41" s="1"/>
      <c r="J41" s="1"/>
      <c r="K41" s="1"/>
      <c r="L41" s="1"/>
      <c r="M41" s="1"/>
      <c r="N41" s="1"/>
      <c r="O41" s="1"/>
      <c r="P41" s="1"/>
      <c r="Q41" s="1"/>
    </row>
    <row r="42" spans="1:17" x14ac:dyDescent="0.35">
      <c r="A42" s="1"/>
      <c r="B42" s="1"/>
      <c r="C42" s="1"/>
      <c r="D42" s="1"/>
      <c r="E42" s="1"/>
      <c r="F42" s="1"/>
      <c r="G42" s="1"/>
      <c r="H42" s="1"/>
      <c r="I42" s="1"/>
      <c r="J42" s="1"/>
      <c r="K42" s="1"/>
      <c r="L42" s="1"/>
      <c r="M42" s="1"/>
      <c r="N42" s="1"/>
      <c r="O42" s="1"/>
      <c r="P42" s="1"/>
      <c r="Q42" s="1"/>
    </row>
    <row r="43" spans="1:17" x14ac:dyDescent="0.35">
      <c r="A43" s="1"/>
      <c r="B43" s="1"/>
      <c r="C43" s="1"/>
      <c r="D43" s="1"/>
      <c r="E43" s="1"/>
      <c r="F43" s="1"/>
      <c r="G43" s="1"/>
      <c r="H43" s="1"/>
      <c r="I43" s="1"/>
      <c r="J43" s="1"/>
      <c r="K43" s="1"/>
      <c r="L43" s="1"/>
      <c r="M43" s="1"/>
      <c r="N43" s="1"/>
      <c r="O43" s="1"/>
      <c r="P43" s="1"/>
      <c r="Q43" s="1"/>
    </row>
    <row r="44" spans="1:17" x14ac:dyDescent="0.35">
      <c r="A44" s="1"/>
      <c r="B44" s="1"/>
      <c r="C44" s="1"/>
      <c r="D44" s="1"/>
      <c r="E44" s="1"/>
      <c r="F44" s="1"/>
      <c r="G44" s="1"/>
      <c r="H44" s="1"/>
      <c r="I44" s="1"/>
      <c r="J44" s="1"/>
      <c r="K44" s="1"/>
      <c r="L44" s="1"/>
      <c r="M44" s="1"/>
      <c r="N44" s="1"/>
      <c r="O44" s="1"/>
      <c r="P44" s="1"/>
      <c r="Q44" s="1"/>
    </row>
    <row r="45" spans="1:17" x14ac:dyDescent="0.35">
      <c r="A45" s="1"/>
      <c r="B45" s="1"/>
      <c r="C45" s="1"/>
      <c r="D45" s="1"/>
      <c r="E45" s="1"/>
      <c r="F45" s="1"/>
      <c r="G45" s="1"/>
      <c r="H45" s="1"/>
      <c r="I45" s="1"/>
      <c r="J45" s="1"/>
      <c r="K45" s="1"/>
      <c r="L45" s="1"/>
      <c r="M45" s="1"/>
      <c r="N45" s="1"/>
      <c r="O45" s="1"/>
      <c r="P45" s="1"/>
      <c r="Q45" s="1"/>
    </row>
    <row r="46" spans="1:17" x14ac:dyDescent="0.35">
      <c r="A46" s="1"/>
      <c r="B46" s="1"/>
      <c r="C46" s="1"/>
      <c r="D46" s="1"/>
      <c r="E46" s="1"/>
      <c r="F46" s="1"/>
      <c r="G46" s="1"/>
      <c r="H46" s="1"/>
      <c r="I46" s="1"/>
      <c r="J46" s="1"/>
      <c r="K46" s="1"/>
      <c r="L46" s="1"/>
      <c r="M46" s="1"/>
      <c r="N46" s="1"/>
      <c r="O46" s="1"/>
      <c r="P46" s="1"/>
      <c r="Q46" s="1"/>
    </row>
    <row r="47" spans="1:17" x14ac:dyDescent="0.35">
      <c r="A47" s="1"/>
      <c r="B47" s="1"/>
      <c r="C47" s="1"/>
      <c r="D47" s="1"/>
      <c r="E47" s="1"/>
      <c r="F47" s="1"/>
      <c r="G47" s="1"/>
      <c r="H47" s="1"/>
      <c r="I47" s="1"/>
      <c r="J47" s="1"/>
      <c r="K47" s="1"/>
      <c r="L47" s="1"/>
      <c r="M47" s="1"/>
      <c r="N47" s="1"/>
      <c r="O47" s="1"/>
      <c r="P47" s="1"/>
      <c r="Q47" s="1"/>
    </row>
    <row r="48" spans="1:17" x14ac:dyDescent="0.35">
      <c r="A48" s="1"/>
      <c r="B48" s="1"/>
      <c r="C48" s="1"/>
      <c r="D48" s="1"/>
      <c r="E48" s="1"/>
      <c r="F48" s="1"/>
      <c r="G48" s="1"/>
      <c r="H48" s="1"/>
      <c r="I48" s="1"/>
      <c r="J48" s="1"/>
      <c r="K48" s="1"/>
      <c r="L48" s="1"/>
      <c r="M48" s="1"/>
      <c r="N48" s="1"/>
      <c r="O48" s="1"/>
      <c r="P48" s="1"/>
      <c r="Q48" s="1"/>
    </row>
    <row r="49" spans="1:17" x14ac:dyDescent="0.35">
      <c r="A49" s="1"/>
      <c r="B49" s="1"/>
      <c r="C49" s="1"/>
      <c r="D49" s="1"/>
      <c r="E49" s="1"/>
      <c r="F49" s="1"/>
      <c r="G49" s="1"/>
      <c r="H49" s="1"/>
      <c r="I49" s="1"/>
      <c r="J49" s="1"/>
      <c r="K49" s="1"/>
      <c r="L49" s="1"/>
      <c r="M49" s="1"/>
      <c r="N49" s="1"/>
      <c r="O49" s="1"/>
      <c r="P49" s="1"/>
      <c r="Q49" s="1"/>
    </row>
    <row r="50" spans="1:17" x14ac:dyDescent="0.35">
      <c r="A50" s="1"/>
      <c r="B50" s="1"/>
      <c r="C50" s="1"/>
      <c r="D50" s="1"/>
      <c r="E50" s="1"/>
      <c r="F50" s="1"/>
      <c r="G50" s="1"/>
      <c r="H50" s="1"/>
      <c r="I50" s="1"/>
      <c r="J50" s="1"/>
      <c r="K50" s="1"/>
      <c r="L50" s="1"/>
      <c r="M50" s="1"/>
      <c r="N50" s="1"/>
      <c r="O50" s="1"/>
      <c r="P50" s="1"/>
      <c r="Q50" s="1"/>
    </row>
    <row r="51" spans="1:17" x14ac:dyDescent="0.35">
      <c r="A51" s="1"/>
      <c r="B51" s="1"/>
      <c r="C51" s="1"/>
      <c r="D51" s="1"/>
      <c r="E51" s="1"/>
      <c r="F51" s="1"/>
      <c r="G51" s="1"/>
      <c r="H51" s="1"/>
      <c r="I51" s="1"/>
      <c r="J51" s="1"/>
      <c r="K51" s="1"/>
      <c r="L51" s="1"/>
      <c r="M51" s="1"/>
      <c r="N51" s="1"/>
      <c r="O51" s="1"/>
      <c r="P51" s="1"/>
      <c r="Q51" s="1"/>
    </row>
    <row r="52" spans="1:17" x14ac:dyDescent="0.35">
      <c r="A52" s="1"/>
      <c r="B52" s="1"/>
      <c r="C52" s="1"/>
      <c r="D52" s="1"/>
      <c r="E52" s="1"/>
      <c r="F52" s="1"/>
      <c r="G52" s="1"/>
      <c r="H52" s="1"/>
      <c r="I52" s="1"/>
      <c r="J52" s="1"/>
      <c r="K52" s="1"/>
      <c r="L52" s="1"/>
      <c r="M52" s="1"/>
      <c r="N52" s="1"/>
      <c r="O52" s="1"/>
      <c r="P52" s="1"/>
      <c r="Q52" s="1"/>
    </row>
    <row r="53" spans="1:17" x14ac:dyDescent="0.35">
      <c r="A53" s="1"/>
      <c r="B53" s="1"/>
      <c r="C53" s="1"/>
      <c r="D53" s="1"/>
      <c r="E53" s="1"/>
      <c r="F53" s="1"/>
      <c r="G53" s="1"/>
      <c r="H53" s="1"/>
      <c r="I53" s="1"/>
      <c r="J53" s="1"/>
      <c r="K53" s="1"/>
      <c r="L53" s="1"/>
      <c r="M53" s="1"/>
      <c r="N53" s="1"/>
      <c r="O53" s="1"/>
      <c r="P53" s="1"/>
      <c r="Q53" s="1"/>
    </row>
    <row r="54" spans="1:17" x14ac:dyDescent="0.35">
      <c r="A54" s="1"/>
      <c r="B54" s="1"/>
      <c r="C54" s="1"/>
      <c r="D54" s="1"/>
      <c r="E54" s="1"/>
      <c r="F54" s="1"/>
      <c r="G54" s="1"/>
      <c r="H54" s="1"/>
      <c r="I54" s="1"/>
      <c r="J54" s="1"/>
      <c r="K54" s="1"/>
      <c r="L54" s="1"/>
      <c r="M54" s="1"/>
      <c r="N54" s="1"/>
      <c r="O54" s="1"/>
      <c r="P54" s="1"/>
      <c r="Q54" s="1"/>
    </row>
    <row r="55" spans="1:17" x14ac:dyDescent="0.35">
      <c r="A55" s="1"/>
      <c r="B55" s="1"/>
      <c r="C55" s="1"/>
      <c r="D55" s="1"/>
      <c r="E55" s="1"/>
      <c r="F55" s="1"/>
      <c r="G55" s="1"/>
      <c r="H55" s="1"/>
      <c r="I55" s="1"/>
      <c r="J55" s="1"/>
      <c r="K55" s="1"/>
      <c r="L55" s="1"/>
      <c r="M55" s="1"/>
      <c r="N55" s="1"/>
      <c r="O55" s="1"/>
      <c r="P55" s="1"/>
      <c r="Q55" s="1"/>
    </row>
    <row r="56" spans="1:17" x14ac:dyDescent="0.35">
      <c r="A56" s="1"/>
      <c r="B56" s="1"/>
      <c r="C56" s="1"/>
      <c r="D56" s="1"/>
      <c r="E56" s="1"/>
      <c r="F56" s="1"/>
      <c r="G56" s="1"/>
      <c r="H56" s="1"/>
      <c r="I56" s="1"/>
      <c r="J56" s="1"/>
      <c r="K56" s="1"/>
      <c r="L56" s="1"/>
      <c r="M56" s="1"/>
      <c r="N56" s="1"/>
      <c r="O56" s="1"/>
      <c r="P56" s="1"/>
      <c r="Q56" s="1"/>
    </row>
    <row r="57" spans="1:17" x14ac:dyDescent="0.35">
      <c r="A57" s="1"/>
      <c r="B57" s="1"/>
      <c r="C57" s="1"/>
      <c r="D57" s="1"/>
      <c r="E57" s="1"/>
      <c r="F57" s="1"/>
      <c r="G57" s="1"/>
      <c r="H57" s="1"/>
      <c r="I57" s="1"/>
      <c r="J57" s="1"/>
      <c r="K57" s="1"/>
      <c r="L57" s="1"/>
      <c r="M57" s="1"/>
      <c r="N57" s="1"/>
      <c r="O57" s="1"/>
      <c r="P57" s="1"/>
      <c r="Q57" s="1"/>
    </row>
    <row r="58" spans="1:17" x14ac:dyDescent="0.35">
      <c r="A58" s="1"/>
      <c r="B58" s="1"/>
      <c r="C58" s="1"/>
      <c r="D58" s="1"/>
      <c r="E58" s="1"/>
      <c r="F58" s="1"/>
      <c r="G58" s="1"/>
      <c r="H58" s="1"/>
      <c r="I58" s="1"/>
      <c r="J58" s="1"/>
      <c r="K58" s="1"/>
      <c r="L58" s="1"/>
      <c r="M58" s="1"/>
      <c r="N58" s="1"/>
      <c r="O58" s="1"/>
      <c r="P58" s="1"/>
      <c r="Q58" s="1"/>
    </row>
    <row r="59" spans="1:17" x14ac:dyDescent="0.35">
      <c r="A59" s="1"/>
      <c r="B59" s="1"/>
      <c r="C59" s="1"/>
      <c r="D59" s="1"/>
      <c r="E59" s="1"/>
      <c r="F59" s="1"/>
      <c r="G59" s="1"/>
      <c r="H59" s="1"/>
      <c r="I59" s="1"/>
      <c r="J59" s="1"/>
      <c r="K59" s="1"/>
      <c r="L59" s="1"/>
      <c r="M59" s="1"/>
      <c r="N59" s="1"/>
      <c r="O59" s="1"/>
      <c r="P59" s="1"/>
      <c r="Q59" s="1"/>
    </row>
    <row r="60" spans="1:17" x14ac:dyDescent="0.35">
      <c r="A60" s="1"/>
      <c r="B60" s="1"/>
      <c r="C60" s="1"/>
      <c r="D60" s="1"/>
      <c r="E60" s="1"/>
      <c r="F60" s="1"/>
      <c r="G60" s="1"/>
      <c r="H60" s="1"/>
      <c r="I60" s="1"/>
      <c r="J60" s="1"/>
      <c r="K60" s="1"/>
      <c r="L60" s="1"/>
      <c r="M60" s="1"/>
      <c r="N60" s="1"/>
      <c r="O60" s="1"/>
      <c r="P60" s="1"/>
      <c r="Q60" s="1"/>
    </row>
    <row r="61" spans="1:17" x14ac:dyDescent="0.35">
      <c r="A61" s="1"/>
      <c r="B61" s="1"/>
      <c r="C61" s="1"/>
      <c r="D61" s="1"/>
      <c r="E61" s="1"/>
      <c r="F61" s="1"/>
      <c r="G61" s="1"/>
      <c r="H61" s="1"/>
      <c r="I61" s="1"/>
      <c r="J61" s="1"/>
      <c r="K61" s="1"/>
      <c r="L61" s="1"/>
      <c r="M61" s="1"/>
      <c r="N61" s="1"/>
      <c r="O61" s="1"/>
      <c r="P61" s="1"/>
      <c r="Q61" s="1"/>
    </row>
    <row r="62" spans="1:17" x14ac:dyDescent="0.35">
      <c r="A62" s="1"/>
      <c r="B62" s="1"/>
      <c r="C62" s="1"/>
      <c r="D62" s="1"/>
      <c r="E62" s="1"/>
      <c r="F62" s="1"/>
      <c r="G62" s="1"/>
      <c r="H62" s="1"/>
      <c r="I62" s="1"/>
      <c r="J62" s="1"/>
      <c r="K62" s="1"/>
      <c r="L62" s="1"/>
      <c r="M62" s="1"/>
      <c r="N62" s="1"/>
      <c r="O62" s="1"/>
      <c r="P62" s="1"/>
      <c r="Q62" s="1"/>
    </row>
    <row r="63" spans="1:17" x14ac:dyDescent="0.35">
      <c r="A63" s="1"/>
      <c r="B63" s="1"/>
      <c r="C63" s="1"/>
      <c r="D63" s="1"/>
      <c r="E63" s="1"/>
      <c r="F63" s="1"/>
      <c r="G63" s="1"/>
      <c r="H63" s="1"/>
      <c r="I63" s="1"/>
      <c r="J63" s="1"/>
      <c r="K63" s="1"/>
      <c r="L63" s="1"/>
      <c r="M63" s="1"/>
      <c r="N63" s="1"/>
      <c r="O63" s="1"/>
      <c r="P63" s="1"/>
      <c r="Q63" s="1"/>
    </row>
    <row r="64" spans="1:17" x14ac:dyDescent="0.35">
      <c r="A64" s="1"/>
      <c r="B64" s="1"/>
      <c r="C64" s="1"/>
      <c r="D64" s="1"/>
      <c r="E64" s="1"/>
      <c r="F64" s="1"/>
      <c r="G64" s="1"/>
      <c r="H64" s="1"/>
      <c r="I64" s="1"/>
      <c r="J64" s="1"/>
      <c r="K64" s="1"/>
      <c r="L64" s="1"/>
      <c r="M64" s="1"/>
      <c r="N64" s="1"/>
      <c r="O64" s="1"/>
      <c r="P64" s="1"/>
      <c r="Q64" s="1"/>
    </row>
    <row r="65" spans="1:17" x14ac:dyDescent="0.35">
      <c r="A65" s="1"/>
      <c r="B65" s="1"/>
      <c r="C65" s="1"/>
      <c r="D65" s="1"/>
      <c r="E65" s="1"/>
      <c r="F65" s="1"/>
      <c r="G65" s="1"/>
      <c r="H65" s="1"/>
      <c r="I65" s="1"/>
      <c r="J65" s="1"/>
      <c r="K65" s="1"/>
      <c r="L65" s="1"/>
      <c r="M65" s="1"/>
      <c r="N65" s="1"/>
      <c r="O65" s="1"/>
      <c r="P65" s="1"/>
      <c r="Q65" s="1"/>
    </row>
    <row r="66" spans="1:17" x14ac:dyDescent="0.35">
      <c r="A66" s="1"/>
      <c r="B66" s="1"/>
      <c r="C66" s="1"/>
      <c r="D66" s="1"/>
      <c r="E66" s="1"/>
      <c r="F66" s="1"/>
      <c r="G66" s="1"/>
      <c r="H66" s="1"/>
      <c r="I66" s="1"/>
      <c r="J66" s="1"/>
      <c r="K66" s="1"/>
      <c r="L66" s="1"/>
      <c r="M66" s="1"/>
      <c r="N66" s="1"/>
      <c r="O66" s="1"/>
      <c r="P66" s="1"/>
      <c r="Q66" s="1"/>
    </row>
    <row r="67" spans="1:17" x14ac:dyDescent="0.35">
      <c r="A67" s="1"/>
      <c r="B67" s="1"/>
      <c r="C67" s="1"/>
      <c r="D67" s="1"/>
      <c r="E67" s="1"/>
      <c r="F67" s="1"/>
      <c r="G67" s="1"/>
      <c r="H67" s="1"/>
      <c r="I67" s="1"/>
      <c r="J67" s="1"/>
      <c r="K67" s="1"/>
      <c r="L67" s="1"/>
      <c r="M67" s="1"/>
      <c r="N67" s="1"/>
      <c r="O67" s="1"/>
      <c r="P67" s="1"/>
      <c r="Q67" s="1"/>
    </row>
    <row r="68" spans="1:17" x14ac:dyDescent="0.35">
      <c r="A68" s="1"/>
      <c r="B68" s="1"/>
      <c r="C68" s="1"/>
      <c r="D68" s="1"/>
      <c r="E68" s="1"/>
      <c r="F68" s="1"/>
      <c r="G68" s="1"/>
      <c r="H68" s="1"/>
      <c r="I68" s="1"/>
      <c r="J68" s="1"/>
      <c r="K68" s="1"/>
      <c r="L68" s="1"/>
      <c r="M68" s="1"/>
      <c r="N68" s="1"/>
      <c r="O68" s="1"/>
      <c r="P68" s="1"/>
      <c r="Q68" s="1"/>
    </row>
    <row r="69" spans="1:17" x14ac:dyDescent="0.35">
      <c r="A69" s="1"/>
      <c r="B69" s="1"/>
      <c r="C69" s="1"/>
      <c r="D69" s="1"/>
      <c r="E69" s="1"/>
      <c r="F69" s="1"/>
      <c r="G69" s="1"/>
      <c r="H69" s="1"/>
      <c r="I69" s="1"/>
      <c r="J69" s="1"/>
      <c r="K69" s="1"/>
      <c r="L69" s="1"/>
      <c r="M69" s="1"/>
      <c r="N69" s="1"/>
      <c r="O69" s="1"/>
      <c r="P69" s="1"/>
      <c r="Q69" s="1"/>
    </row>
    <row r="70" spans="1:17" x14ac:dyDescent="0.35">
      <c r="A70" s="1"/>
      <c r="B70" s="1"/>
      <c r="C70" s="1"/>
      <c r="D70" s="1"/>
      <c r="E70" s="1"/>
      <c r="F70" s="1"/>
      <c r="G70" s="1"/>
      <c r="H70" s="1"/>
      <c r="I70" s="1"/>
      <c r="J70" s="1"/>
      <c r="K70" s="1"/>
      <c r="L70" s="1"/>
      <c r="M70" s="1"/>
      <c r="N70" s="1"/>
      <c r="O70" s="1"/>
      <c r="P70" s="1"/>
      <c r="Q70" s="1"/>
    </row>
    <row r="71" spans="1:17" x14ac:dyDescent="0.35">
      <c r="A71" s="1"/>
      <c r="B71" s="1"/>
      <c r="C71" s="1"/>
      <c r="D71" s="1"/>
      <c r="E71" s="1"/>
      <c r="F71" s="1"/>
      <c r="G71" s="1"/>
      <c r="H71" s="1"/>
      <c r="I71" s="1"/>
      <c r="J71" s="1"/>
      <c r="K71" s="1"/>
      <c r="L71" s="1"/>
      <c r="M71" s="1"/>
      <c r="N71" s="1"/>
      <c r="O71" s="1"/>
      <c r="P71" s="1"/>
      <c r="Q71" s="1"/>
    </row>
    <row r="72" spans="1:17" x14ac:dyDescent="0.35">
      <c r="A72" s="1"/>
      <c r="B72" s="1"/>
      <c r="C72" s="1"/>
      <c r="D72" s="1"/>
      <c r="E72" s="1"/>
      <c r="F72" s="1"/>
      <c r="G72" s="1"/>
      <c r="H72" s="1"/>
      <c r="I72" s="1"/>
      <c r="J72" s="1"/>
      <c r="K72" s="1"/>
      <c r="L72" s="1"/>
      <c r="M72" s="1"/>
      <c r="N72" s="1"/>
      <c r="O72" s="1"/>
      <c r="P72" s="1"/>
      <c r="Q72" s="1"/>
    </row>
    <row r="73" spans="1:17" x14ac:dyDescent="0.35">
      <c r="A73" s="1"/>
      <c r="B73" s="1"/>
      <c r="C73" s="1"/>
      <c r="D73" s="1"/>
      <c r="E73" s="1"/>
      <c r="F73" s="1"/>
      <c r="G73" s="1"/>
      <c r="H73" s="1"/>
      <c r="I73" s="1"/>
      <c r="J73" s="1"/>
      <c r="K73" s="1"/>
      <c r="L73" s="1"/>
      <c r="M73" s="1"/>
      <c r="N73" s="1"/>
      <c r="O73" s="1"/>
      <c r="P73" s="1"/>
      <c r="Q73" s="1"/>
    </row>
    <row r="74" spans="1:17" x14ac:dyDescent="0.35">
      <c r="A74" s="1"/>
      <c r="B74" s="1"/>
      <c r="C74" s="1"/>
      <c r="D74" s="1"/>
      <c r="E74" s="1"/>
      <c r="F74" s="1"/>
      <c r="G74" s="1"/>
      <c r="H74" s="1"/>
      <c r="I74" s="1"/>
      <c r="J74" s="1"/>
      <c r="K74" s="1"/>
      <c r="L74" s="1"/>
      <c r="M74" s="1"/>
      <c r="N74" s="1"/>
      <c r="O74" s="1"/>
      <c r="P74" s="1"/>
      <c r="Q74" s="1"/>
    </row>
    <row r="75" spans="1:17" x14ac:dyDescent="0.35">
      <c r="A75" s="1"/>
      <c r="B75" s="1"/>
      <c r="C75" s="1"/>
      <c r="D75" s="1"/>
      <c r="E75" s="1"/>
      <c r="F75" s="1"/>
      <c r="G75" s="1"/>
      <c r="H75" s="1"/>
      <c r="I75" s="1"/>
      <c r="J75" s="1"/>
      <c r="K75" s="1"/>
      <c r="L75" s="1"/>
      <c r="M75" s="1"/>
      <c r="N75" s="1"/>
      <c r="O75" s="1"/>
      <c r="P75" s="1"/>
      <c r="Q75" s="1"/>
    </row>
    <row r="76" spans="1:17" x14ac:dyDescent="0.35">
      <c r="A76" s="1"/>
      <c r="B76" s="1"/>
      <c r="C76" s="1"/>
      <c r="D76" s="1"/>
      <c r="E76" s="1"/>
      <c r="F76" s="1"/>
      <c r="G76" s="1"/>
      <c r="H76" s="1"/>
      <c r="I76" s="1"/>
      <c r="J76" s="1"/>
      <c r="K76" s="1"/>
      <c r="L76" s="1"/>
      <c r="M76" s="1"/>
      <c r="N76" s="1"/>
      <c r="O76" s="1"/>
      <c r="P76" s="1"/>
      <c r="Q76" s="1"/>
    </row>
    <row r="77" spans="1:17" x14ac:dyDescent="0.35">
      <c r="A77" s="1"/>
      <c r="B77" s="1"/>
      <c r="C77" s="1"/>
      <c r="D77" s="1"/>
      <c r="E77" s="1"/>
      <c r="F77" s="1"/>
      <c r="G77" s="1"/>
      <c r="H77" s="1"/>
      <c r="I77" s="1"/>
      <c r="J77" s="1"/>
      <c r="K77" s="1"/>
      <c r="L77" s="1"/>
      <c r="M77" s="1"/>
      <c r="N77" s="1"/>
      <c r="O77" s="1"/>
      <c r="P77" s="1"/>
      <c r="Q77" s="1"/>
    </row>
    <row r="78" spans="1:17" x14ac:dyDescent="0.35">
      <c r="A78" s="1"/>
      <c r="B78" s="1"/>
      <c r="C78" s="1"/>
      <c r="D78" s="1"/>
      <c r="E78" s="1"/>
      <c r="F78" s="1"/>
      <c r="G78" s="1"/>
      <c r="H78" s="1"/>
      <c r="I78" s="1"/>
      <c r="J78" s="1"/>
      <c r="K78" s="1"/>
      <c r="L78" s="1"/>
      <c r="M78" s="1"/>
      <c r="N78" s="1"/>
      <c r="O78" s="1"/>
      <c r="P78" s="1"/>
      <c r="Q78" s="1"/>
    </row>
    <row r="79" spans="1:17" x14ac:dyDescent="0.35">
      <c r="A79" s="1"/>
      <c r="B79" s="1"/>
      <c r="C79" s="1"/>
      <c r="D79" s="1"/>
      <c r="E79" s="1"/>
      <c r="F79" s="1"/>
      <c r="G79" s="1"/>
      <c r="H79" s="1"/>
      <c r="I79" s="1"/>
      <c r="J79" s="1"/>
      <c r="K79" s="1"/>
      <c r="L79" s="1"/>
      <c r="M79" s="1"/>
      <c r="N79" s="1"/>
      <c r="O79" s="1"/>
      <c r="P79" s="1"/>
      <c r="Q79" s="1"/>
    </row>
    <row r="80" spans="1:17" x14ac:dyDescent="0.35">
      <c r="A80" s="1"/>
      <c r="B80" s="1"/>
      <c r="C80" s="1"/>
      <c r="D80" s="1"/>
      <c r="E80" s="1"/>
      <c r="F80" s="1"/>
      <c r="G80" s="1"/>
      <c r="H80" s="1"/>
      <c r="I80" s="1"/>
      <c r="J80" s="1"/>
      <c r="K80" s="1"/>
      <c r="L80" s="1"/>
      <c r="M80" s="1"/>
      <c r="N80" s="1"/>
      <c r="O80" s="1"/>
      <c r="P80" s="1"/>
      <c r="Q80" s="1"/>
    </row>
    <row r="81" spans="1:17" x14ac:dyDescent="0.35">
      <c r="A81" s="1"/>
      <c r="B81" s="1"/>
      <c r="C81" s="1"/>
      <c r="D81" s="1"/>
      <c r="E81" s="1"/>
      <c r="F81" s="1"/>
      <c r="G81" s="1"/>
      <c r="H81" s="1"/>
      <c r="I81" s="1"/>
      <c r="J81" s="1"/>
      <c r="K81" s="1"/>
      <c r="L81" s="1"/>
      <c r="M81" s="1"/>
      <c r="N81" s="1"/>
      <c r="O81" s="1"/>
      <c r="P81" s="1"/>
      <c r="Q81" s="1"/>
    </row>
    <row r="82" spans="1:17" x14ac:dyDescent="0.35">
      <c r="A82" s="1"/>
      <c r="B82" s="1"/>
      <c r="C82" s="1"/>
      <c r="D82" s="1"/>
      <c r="E82" s="1"/>
      <c r="F82" s="1"/>
      <c r="G82" s="1"/>
      <c r="H82" s="1"/>
      <c r="I82" s="1"/>
      <c r="J82" s="1"/>
      <c r="K82" s="1"/>
      <c r="L82" s="1"/>
      <c r="M82" s="1"/>
      <c r="N82" s="1"/>
      <c r="O82" s="1"/>
      <c r="P82" s="1"/>
      <c r="Q82" s="1"/>
    </row>
    <row r="83" spans="1:17" x14ac:dyDescent="0.35">
      <c r="A83" s="1"/>
      <c r="B83" s="1"/>
      <c r="C83" s="1"/>
      <c r="D83" s="1"/>
      <c r="E83" s="1"/>
      <c r="F83" s="1"/>
      <c r="G83" s="1"/>
      <c r="H83" s="1"/>
      <c r="I83" s="1"/>
      <c r="J83" s="1"/>
      <c r="K83" s="1"/>
      <c r="L83" s="1"/>
      <c r="M83" s="1"/>
      <c r="N83" s="1"/>
      <c r="O83" s="1"/>
      <c r="P83" s="1"/>
      <c r="Q83" s="1"/>
    </row>
    <row r="84" spans="1:17" x14ac:dyDescent="0.35">
      <c r="A84" s="1"/>
      <c r="B84" s="1"/>
      <c r="C84" s="1"/>
      <c r="D84" s="1"/>
      <c r="E84" s="1"/>
      <c r="F84" s="1"/>
      <c r="G84" s="1"/>
      <c r="H84" s="1"/>
      <c r="I84" s="1"/>
      <c r="J84" s="1"/>
      <c r="K84" s="1"/>
      <c r="L84" s="1"/>
      <c r="M84" s="1"/>
      <c r="N84" s="1"/>
      <c r="O84" s="1"/>
      <c r="P84" s="1"/>
      <c r="Q84" s="1"/>
    </row>
    <row r="85" spans="1:17" x14ac:dyDescent="0.35">
      <c r="A85" s="1"/>
      <c r="B85" s="1"/>
      <c r="C85" s="1"/>
      <c r="D85" s="1"/>
      <c r="E85" s="1"/>
      <c r="F85" s="1"/>
      <c r="G85" s="1"/>
      <c r="H85" s="1"/>
      <c r="I85" s="1"/>
      <c r="J85" s="1"/>
      <c r="K85" s="1"/>
      <c r="L85" s="1"/>
      <c r="M85" s="1"/>
      <c r="N85" s="1"/>
      <c r="O85" s="1"/>
      <c r="P85" s="1"/>
      <c r="Q85" s="1"/>
    </row>
    <row r="86" spans="1:17" x14ac:dyDescent="0.35">
      <c r="A86" s="1"/>
      <c r="B86" s="1"/>
      <c r="C86" s="1"/>
      <c r="D86" s="1"/>
      <c r="E86" s="1"/>
      <c r="F86" s="1"/>
      <c r="G86" s="1"/>
      <c r="H86" s="1"/>
      <c r="I86" s="1"/>
      <c r="J86" s="1"/>
      <c r="K86" s="1"/>
      <c r="L86" s="1"/>
      <c r="M86" s="1"/>
      <c r="N86" s="1"/>
      <c r="O86" s="1"/>
      <c r="P86" s="1"/>
      <c r="Q86" s="1"/>
    </row>
    <row r="87" spans="1:17" x14ac:dyDescent="0.35">
      <c r="A87" s="1"/>
      <c r="B87" s="1"/>
      <c r="C87" s="1"/>
      <c r="D87" s="1"/>
      <c r="E87" s="1"/>
      <c r="F87" s="1"/>
      <c r="G87" s="1"/>
      <c r="H87" s="1"/>
      <c r="I87" s="1"/>
      <c r="J87" s="1"/>
      <c r="K87" s="1"/>
      <c r="L87" s="1"/>
      <c r="M87" s="1"/>
      <c r="N87" s="1"/>
      <c r="O87" s="1"/>
      <c r="P87" s="1"/>
      <c r="Q87" s="1"/>
    </row>
    <row r="88" spans="1:17" x14ac:dyDescent="0.35">
      <c r="A88" s="1"/>
      <c r="B88" s="1"/>
      <c r="C88" s="1"/>
      <c r="D88" s="1"/>
      <c r="E88" s="1"/>
      <c r="F88" s="1"/>
      <c r="G88" s="1"/>
      <c r="H88" s="1"/>
      <c r="I88" s="1"/>
      <c r="J88" s="1"/>
      <c r="K88" s="1"/>
      <c r="L88" s="1"/>
      <c r="M88" s="1"/>
      <c r="N88" s="1"/>
      <c r="O88" s="1"/>
      <c r="P88" s="1"/>
      <c r="Q88" s="1"/>
    </row>
    <row r="89" spans="1:17" x14ac:dyDescent="0.35">
      <c r="A89" s="1"/>
      <c r="B89" s="1"/>
      <c r="C89" s="1"/>
      <c r="D89" s="1"/>
      <c r="E89" s="1"/>
      <c r="F89" s="1"/>
      <c r="G89" s="1"/>
      <c r="H89" s="1"/>
      <c r="I89" s="1"/>
      <c r="J89" s="1"/>
      <c r="K89" s="1"/>
      <c r="L89" s="1"/>
      <c r="M89" s="1"/>
      <c r="N89" s="1"/>
      <c r="O89" s="1"/>
      <c r="P89" s="1"/>
      <c r="Q89" s="1"/>
    </row>
    <row r="90" spans="1:17" x14ac:dyDescent="0.35">
      <c r="A90" s="1"/>
      <c r="B90" s="1"/>
      <c r="C90" s="1"/>
      <c r="D90" s="1"/>
      <c r="E90" s="1"/>
      <c r="F90" s="1"/>
      <c r="G90" s="1"/>
      <c r="H90" s="1"/>
      <c r="I90" s="1"/>
      <c r="J90" s="1"/>
      <c r="K90" s="1"/>
      <c r="L90" s="1"/>
      <c r="M90" s="1"/>
      <c r="N90" s="1"/>
      <c r="O90" s="1"/>
      <c r="P90" s="1"/>
      <c r="Q90" s="1"/>
    </row>
    <row r="91" spans="1:17" x14ac:dyDescent="0.35">
      <c r="A91" s="1"/>
      <c r="B91" s="1"/>
      <c r="C91" s="1"/>
      <c r="D91" s="1"/>
      <c r="E91" s="1"/>
      <c r="F91" s="1"/>
      <c r="G91" s="1"/>
      <c r="H91" s="1"/>
      <c r="I91" s="1"/>
      <c r="J91" s="1"/>
      <c r="K91" s="1"/>
      <c r="L91" s="1"/>
      <c r="M91" s="1"/>
      <c r="N91" s="1"/>
      <c r="O91" s="1"/>
      <c r="P91" s="1"/>
      <c r="Q91" s="1"/>
    </row>
    <row r="92" spans="1:17" x14ac:dyDescent="0.35">
      <c r="A92" s="1"/>
      <c r="B92" s="1"/>
      <c r="C92" s="1"/>
      <c r="D92" s="1"/>
      <c r="E92" s="1"/>
      <c r="F92" s="1"/>
      <c r="G92" s="1"/>
      <c r="H92" s="1"/>
      <c r="I92" s="1"/>
      <c r="J92" s="1"/>
      <c r="K92" s="1"/>
      <c r="L92" s="1"/>
      <c r="M92" s="1"/>
      <c r="N92" s="1"/>
      <c r="O92" s="1"/>
      <c r="P92" s="1"/>
      <c r="Q92" s="1"/>
    </row>
    <row r="93" spans="1:17" x14ac:dyDescent="0.35">
      <c r="A93" s="1"/>
      <c r="B93" s="1"/>
      <c r="C93" s="1"/>
      <c r="D93" s="1"/>
      <c r="E93" s="1"/>
      <c r="F93" s="1"/>
      <c r="G93" s="1"/>
      <c r="H93" s="1"/>
      <c r="I93" s="1"/>
      <c r="J93" s="1"/>
      <c r="K93" s="1"/>
      <c r="L93" s="1"/>
      <c r="M93" s="1"/>
      <c r="N93" s="1"/>
      <c r="O93" s="1"/>
      <c r="P93" s="1"/>
      <c r="Q93" s="1"/>
    </row>
    <row r="94" spans="1:17" x14ac:dyDescent="0.35">
      <c r="A94" s="1"/>
      <c r="B94" s="1"/>
      <c r="C94" s="1"/>
      <c r="D94" s="1"/>
      <c r="E94" s="1"/>
      <c r="F94" s="1"/>
      <c r="G94" s="1"/>
      <c r="H94" s="1"/>
      <c r="I94" s="1"/>
      <c r="J94" s="1"/>
      <c r="K94" s="1"/>
      <c r="L94" s="1"/>
      <c r="M94" s="1"/>
      <c r="N94" s="1"/>
      <c r="O94" s="1"/>
      <c r="P94" s="1"/>
      <c r="Q94" s="1"/>
    </row>
    <row r="95" spans="1:17" x14ac:dyDescent="0.35">
      <c r="A95" s="1"/>
      <c r="B95" s="1"/>
      <c r="C95" s="1"/>
      <c r="D95" s="1"/>
      <c r="E95" s="1"/>
      <c r="F95" s="1"/>
      <c r="G95" s="1"/>
      <c r="H95" s="1"/>
      <c r="I95" s="1"/>
      <c r="J95" s="1"/>
      <c r="K95" s="1"/>
      <c r="L95" s="1"/>
      <c r="M95" s="1"/>
      <c r="N95" s="1"/>
      <c r="O95" s="1"/>
      <c r="P95" s="1"/>
      <c r="Q95" s="1"/>
    </row>
    <row r="96" spans="1:17" x14ac:dyDescent="0.35">
      <c r="A96" s="1"/>
      <c r="B96" s="1"/>
      <c r="C96" s="1"/>
      <c r="D96" s="1"/>
      <c r="E96" s="1"/>
      <c r="F96" s="1"/>
      <c r="G96" s="1"/>
      <c r="H96" s="1"/>
      <c r="I96" s="1"/>
      <c r="J96" s="1"/>
      <c r="K96" s="1"/>
      <c r="L96" s="1"/>
      <c r="M96" s="1"/>
      <c r="N96" s="1"/>
      <c r="O96" s="1"/>
      <c r="P96" s="1"/>
      <c r="Q96" s="1"/>
    </row>
    <row r="97" spans="1:17" x14ac:dyDescent="0.35">
      <c r="A97" s="1"/>
      <c r="B97" s="1"/>
      <c r="C97" s="1"/>
      <c r="D97" s="1"/>
      <c r="E97" s="1"/>
      <c r="F97" s="1"/>
      <c r="G97" s="1"/>
      <c r="H97" s="1"/>
      <c r="I97" s="1"/>
      <c r="J97" s="1"/>
      <c r="K97" s="1"/>
      <c r="L97" s="1"/>
      <c r="M97" s="1"/>
      <c r="N97" s="1"/>
      <c r="O97" s="1"/>
      <c r="P97" s="1"/>
      <c r="Q97" s="1"/>
    </row>
    <row r="98" spans="1:17" x14ac:dyDescent="0.35">
      <c r="A98" s="1"/>
      <c r="B98" s="1"/>
      <c r="C98" s="1"/>
      <c r="D98" s="1"/>
      <c r="E98" s="1"/>
      <c r="F98" s="1"/>
      <c r="G98" s="1"/>
      <c r="H98" s="1"/>
      <c r="I98" s="1"/>
      <c r="J98" s="1"/>
      <c r="K98" s="1"/>
      <c r="L98" s="1"/>
      <c r="M98" s="1"/>
      <c r="N98" s="1"/>
      <c r="O98" s="1"/>
      <c r="P98" s="1"/>
      <c r="Q98" s="1"/>
    </row>
    <row r="99" spans="1:17" x14ac:dyDescent="0.35">
      <c r="A99" s="1"/>
      <c r="B99" s="1"/>
      <c r="C99" s="1"/>
      <c r="D99" s="1"/>
      <c r="E99" s="1"/>
      <c r="F99" s="1"/>
      <c r="G99" s="1"/>
      <c r="H99" s="1"/>
      <c r="I99" s="1"/>
      <c r="J99" s="1"/>
      <c r="K99" s="1"/>
      <c r="L99" s="1"/>
      <c r="M99" s="1"/>
      <c r="N99" s="1"/>
      <c r="O99" s="1"/>
      <c r="P99" s="1"/>
      <c r="Q99" s="1"/>
    </row>
    <row r="100" spans="1:17" x14ac:dyDescent="0.35">
      <c r="A100" s="1"/>
      <c r="B100" s="1"/>
      <c r="C100" s="1"/>
      <c r="D100" s="1"/>
      <c r="E100" s="1"/>
      <c r="F100" s="1"/>
      <c r="G100" s="1"/>
      <c r="H100" s="1"/>
      <c r="I100" s="1"/>
      <c r="J100" s="1"/>
      <c r="K100" s="1"/>
      <c r="L100" s="1"/>
      <c r="M100" s="1"/>
      <c r="N100" s="1"/>
      <c r="O100" s="1"/>
      <c r="P100" s="1"/>
      <c r="Q100" s="1"/>
    </row>
    <row r="101" spans="1:17" x14ac:dyDescent="0.35">
      <c r="A101" s="1"/>
      <c r="B101" s="1"/>
      <c r="C101" s="1"/>
      <c r="D101" s="1"/>
      <c r="E101" s="1"/>
      <c r="F101" s="1"/>
      <c r="G101" s="1"/>
      <c r="H101" s="1"/>
      <c r="I101" s="1"/>
      <c r="J101" s="1"/>
      <c r="K101" s="1"/>
      <c r="L101" s="1"/>
      <c r="M101" s="1"/>
      <c r="N101" s="1"/>
      <c r="O101" s="1"/>
      <c r="P101" s="1"/>
      <c r="Q101" s="1"/>
    </row>
    <row r="102" spans="1:17" x14ac:dyDescent="0.35">
      <c r="A102" s="1"/>
      <c r="B102" s="1"/>
      <c r="C102" s="1"/>
      <c r="D102" s="1"/>
      <c r="E102" s="1"/>
      <c r="F102" s="1"/>
      <c r="G102" s="1"/>
      <c r="H102" s="1"/>
      <c r="I102" s="1"/>
      <c r="J102" s="1"/>
      <c r="K102" s="1"/>
      <c r="L102" s="1"/>
      <c r="M102" s="1"/>
      <c r="N102" s="1"/>
      <c r="O102" s="1"/>
      <c r="P102" s="1"/>
      <c r="Q102" s="1"/>
    </row>
    <row r="103" spans="1:17" x14ac:dyDescent="0.35">
      <c r="A103" s="1"/>
      <c r="B103" s="1"/>
      <c r="C103" s="1"/>
      <c r="D103" s="1"/>
      <c r="E103" s="1"/>
      <c r="F103" s="1"/>
      <c r="G103" s="1"/>
      <c r="H103" s="1"/>
      <c r="I103" s="1"/>
      <c r="J103" s="1"/>
      <c r="K103" s="1"/>
      <c r="L103" s="1"/>
      <c r="M103" s="1"/>
      <c r="N103" s="1"/>
      <c r="O103" s="1"/>
      <c r="P103" s="1"/>
      <c r="Q103" s="1"/>
    </row>
    <row r="104" spans="1:17" x14ac:dyDescent="0.35">
      <c r="A104" s="1"/>
      <c r="B104" s="1"/>
      <c r="C104" s="1"/>
      <c r="D104" s="1"/>
      <c r="E104" s="1"/>
      <c r="F104" s="1"/>
      <c r="G104" s="1"/>
      <c r="H104" s="1"/>
      <c r="I104" s="1"/>
      <c r="J104" s="1"/>
      <c r="K104" s="1"/>
      <c r="L104" s="1"/>
      <c r="M104" s="1"/>
      <c r="N104" s="1"/>
      <c r="O104" s="1"/>
      <c r="P104" s="1"/>
      <c r="Q104" s="1"/>
    </row>
    <row r="105" spans="1:17" x14ac:dyDescent="0.35">
      <c r="A105" s="1"/>
      <c r="B105" s="1"/>
      <c r="C105" s="1"/>
      <c r="D105" s="1"/>
      <c r="E105" s="1"/>
      <c r="F105" s="1"/>
      <c r="G105" s="1"/>
      <c r="H105" s="1"/>
      <c r="I105" s="1"/>
      <c r="J105" s="1"/>
      <c r="K105" s="1"/>
      <c r="L105" s="1"/>
      <c r="M105" s="1"/>
      <c r="N105" s="1"/>
      <c r="O105" s="1"/>
      <c r="P105" s="1"/>
      <c r="Q105" s="1"/>
    </row>
    <row r="106" spans="1:17" x14ac:dyDescent="0.35">
      <c r="A106" s="1"/>
      <c r="B106" s="1"/>
      <c r="C106" s="1"/>
      <c r="D106" s="1"/>
      <c r="E106" s="1"/>
      <c r="F106" s="1"/>
      <c r="G106" s="1"/>
      <c r="H106" s="1"/>
      <c r="I106" s="1"/>
      <c r="J106" s="1"/>
      <c r="K106" s="1"/>
      <c r="L106" s="1"/>
      <c r="M106" s="1"/>
      <c r="N106" s="1"/>
      <c r="O106" s="1"/>
      <c r="P106" s="1"/>
      <c r="Q106" s="1"/>
    </row>
    <row r="107" spans="1:17" x14ac:dyDescent="0.35">
      <c r="A107" s="1"/>
      <c r="B107" s="1"/>
      <c r="C107" s="1"/>
      <c r="D107" s="1"/>
      <c r="E107" s="1"/>
      <c r="F107" s="1"/>
      <c r="G107" s="1"/>
      <c r="H107" s="1"/>
      <c r="I107" s="1"/>
      <c r="J107" s="1"/>
      <c r="K107" s="1"/>
      <c r="L107" s="1"/>
      <c r="M107" s="1"/>
      <c r="N107" s="1"/>
      <c r="O107" s="1"/>
      <c r="P107" s="1"/>
      <c r="Q107" s="1"/>
    </row>
    <row r="108" spans="1:17" x14ac:dyDescent="0.35">
      <c r="A108" s="1"/>
      <c r="B108" s="1"/>
      <c r="C108" s="1"/>
      <c r="D108" s="1"/>
      <c r="E108" s="1"/>
      <c r="F108" s="1"/>
      <c r="G108" s="1"/>
      <c r="H108" s="1"/>
      <c r="I108" s="1"/>
      <c r="J108" s="1"/>
      <c r="K108" s="1"/>
      <c r="L108" s="1"/>
      <c r="M108" s="1"/>
      <c r="N108" s="1"/>
      <c r="O108" s="1"/>
      <c r="P108" s="1"/>
      <c r="Q108" s="1"/>
    </row>
    <row r="109" spans="1:17" x14ac:dyDescent="0.35">
      <c r="A109" s="1"/>
      <c r="B109" s="1"/>
      <c r="C109" s="1"/>
      <c r="D109" s="1"/>
      <c r="E109" s="1"/>
      <c r="F109" s="1"/>
      <c r="G109" s="1"/>
      <c r="H109" s="1"/>
      <c r="I109" s="1"/>
      <c r="J109" s="1"/>
      <c r="K109" s="1"/>
      <c r="L109" s="1"/>
      <c r="M109" s="1"/>
      <c r="N109" s="1"/>
      <c r="O109" s="1"/>
      <c r="P109" s="1"/>
      <c r="Q109" s="1"/>
    </row>
    <row r="110" spans="1:17" x14ac:dyDescent="0.35">
      <c r="A110" s="1"/>
      <c r="B110" s="1"/>
      <c r="C110" s="1"/>
      <c r="D110" s="1"/>
      <c r="E110" s="1"/>
      <c r="F110" s="1"/>
      <c r="G110" s="1"/>
      <c r="H110" s="1"/>
      <c r="I110" s="1"/>
      <c r="J110" s="1"/>
      <c r="K110" s="1"/>
      <c r="L110" s="1"/>
      <c r="M110" s="1"/>
      <c r="N110" s="1"/>
      <c r="O110" s="1"/>
      <c r="P110" s="1"/>
      <c r="Q110" s="1"/>
    </row>
    <row r="111" spans="1:17" x14ac:dyDescent="0.35">
      <c r="A111" s="1"/>
      <c r="B111" s="1"/>
      <c r="C111" s="1"/>
      <c r="D111" s="1"/>
      <c r="E111" s="1"/>
      <c r="F111" s="1"/>
      <c r="G111" s="1"/>
      <c r="H111" s="1"/>
      <c r="I111" s="1"/>
      <c r="J111" s="1"/>
      <c r="K111" s="1"/>
      <c r="L111" s="1"/>
      <c r="M111" s="1"/>
      <c r="N111" s="1"/>
      <c r="O111" s="1"/>
      <c r="P111" s="1"/>
      <c r="Q111" s="1"/>
    </row>
    <row r="112" spans="1:17" x14ac:dyDescent="0.35">
      <c r="A112" s="1"/>
      <c r="B112" s="1"/>
      <c r="C112" s="1"/>
      <c r="D112" s="1"/>
      <c r="E112" s="1"/>
      <c r="F112" s="1"/>
      <c r="G112" s="1"/>
      <c r="H112" s="1"/>
      <c r="I112" s="1"/>
      <c r="J112" s="1"/>
      <c r="K112" s="1"/>
      <c r="L112" s="1"/>
      <c r="M112" s="1"/>
      <c r="N112" s="1"/>
      <c r="O112" s="1"/>
      <c r="P112" s="1"/>
      <c r="Q112" s="1"/>
    </row>
    <row r="113" spans="1:17" x14ac:dyDescent="0.35">
      <c r="A113" s="1"/>
      <c r="B113" s="1"/>
      <c r="C113" s="1"/>
      <c r="D113" s="1"/>
      <c r="E113" s="1"/>
      <c r="F113" s="1"/>
      <c r="G113" s="1"/>
      <c r="H113" s="1"/>
      <c r="I113" s="1"/>
      <c r="J113" s="1"/>
      <c r="K113" s="1"/>
      <c r="L113" s="1"/>
      <c r="M113" s="1"/>
      <c r="N113" s="1"/>
      <c r="O113" s="1"/>
      <c r="P113" s="1"/>
      <c r="Q113" s="1"/>
    </row>
    <row r="114" spans="1:17" x14ac:dyDescent="0.35">
      <c r="A114" s="1"/>
      <c r="B114" s="1"/>
      <c r="C114" s="1"/>
      <c r="D114" s="1"/>
      <c r="E114" s="1"/>
      <c r="F114" s="1"/>
      <c r="G114" s="1"/>
      <c r="H114" s="1"/>
      <c r="I114" s="1"/>
      <c r="J114" s="1"/>
      <c r="K114" s="1"/>
      <c r="L114" s="1"/>
      <c r="M114" s="1"/>
      <c r="N114" s="1"/>
      <c r="O114" s="1"/>
      <c r="P114" s="1"/>
      <c r="Q114" s="1"/>
    </row>
    <row r="115" spans="1:17" x14ac:dyDescent="0.35">
      <c r="A115" s="1"/>
      <c r="B115" s="1"/>
      <c r="C115" s="1"/>
      <c r="D115" s="1"/>
      <c r="E115" s="1"/>
      <c r="F115" s="1"/>
      <c r="G115" s="1"/>
      <c r="H115" s="1"/>
      <c r="I115" s="1"/>
      <c r="J115" s="1"/>
      <c r="K115" s="1"/>
      <c r="L115" s="1"/>
      <c r="M115" s="1"/>
      <c r="N115" s="1"/>
      <c r="O115" s="1"/>
      <c r="P115" s="1"/>
      <c r="Q115" s="1"/>
    </row>
    <row r="116" spans="1:17" x14ac:dyDescent="0.35">
      <c r="A116" s="1"/>
      <c r="B116" s="1"/>
      <c r="C116" s="1"/>
      <c r="D116" s="1"/>
      <c r="E116" s="1"/>
      <c r="F116" s="1"/>
      <c r="G116" s="1"/>
      <c r="H116" s="1"/>
      <c r="I116" s="1"/>
      <c r="J116" s="1"/>
      <c r="K116" s="1"/>
      <c r="L116" s="1"/>
      <c r="M116" s="1"/>
      <c r="N116" s="1"/>
      <c r="O116" s="1"/>
      <c r="P116" s="1"/>
      <c r="Q116" s="1"/>
    </row>
    <row r="117" spans="1:17" x14ac:dyDescent="0.35">
      <c r="A117" s="1"/>
      <c r="B117" s="1"/>
      <c r="C117" s="1"/>
      <c r="D117" s="1"/>
      <c r="E117" s="1"/>
      <c r="F117" s="1"/>
      <c r="G117" s="1"/>
      <c r="H117" s="1"/>
      <c r="I117" s="1"/>
      <c r="J117" s="1"/>
      <c r="K117" s="1"/>
      <c r="L117" s="1"/>
      <c r="M117" s="1"/>
      <c r="N117" s="1"/>
      <c r="O117" s="1"/>
      <c r="P117" s="1"/>
      <c r="Q117" s="1"/>
    </row>
    <row r="118" spans="1:17" x14ac:dyDescent="0.35">
      <c r="A118" s="1"/>
      <c r="B118" s="1"/>
      <c r="C118" s="1"/>
      <c r="D118" s="1"/>
      <c r="E118" s="1"/>
      <c r="F118" s="1"/>
      <c r="G118" s="1"/>
      <c r="H118" s="1"/>
      <c r="I118" s="1"/>
      <c r="J118" s="1"/>
      <c r="K118" s="1"/>
      <c r="L118" s="1"/>
      <c r="M118" s="1"/>
      <c r="N118" s="1"/>
      <c r="O118" s="1"/>
      <c r="P118" s="1"/>
      <c r="Q118" s="1"/>
    </row>
    <row r="119" spans="1:17" x14ac:dyDescent="0.35">
      <c r="A119" s="1"/>
      <c r="B119" s="1"/>
      <c r="C119" s="1"/>
      <c r="D119" s="1"/>
      <c r="E119" s="1"/>
      <c r="F119" s="1"/>
      <c r="G119" s="1"/>
      <c r="H119" s="1"/>
      <c r="I119" s="1"/>
      <c r="J119" s="1"/>
      <c r="K119" s="1"/>
      <c r="L119" s="1"/>
      <c r="M119" s="1"/>
      <c r="N119" s="1"/>
      <c r="O119" s="1"/>
      <c r="P119" s="1"/>
      <c r="Q119" s="1"/>
    </row>
    <row r="120" spans="1:17" x14ac:dyDescent="0.35">
      <c r="A120" s="1"/>
      <c r="B120" s="1"/>
      <c r="C120" s="1"/>
      <c r="D120" s="1"/>
      <c r="E120" s="1"/>
      <c r="F120" s="1"/>
      <c r="G120" s="1"/>
      <c r="H120" s="1"/>
      <c r="I120" s="1"/>
      <c r="J120" s="1"/>
      <c r="K120" s="1"/>
      <c r="L120" s="1"/>
      <c r="M120" s="1"/>
      <c r="N120" s="1"/>
      <c r="O120" s="1"/>
      <c r="P120" s="1"/>
      <c r="Q120" s="1"/>
    </row>
    <row r="121" spans="1:17" x14ac:dyDescent="0.35">
      <c r="A121" s="1"/>
      <c r="B121" s="1"/>
      <c r="C121" s="1"/>
      <c r="D121" s="1"/>
      <c r="E121" s="1"/>
      <c r="F121" s="1"/>
      <c r="G121" s="1"/>
      <c r="H121" s="1"/>
      <c r="I121" s="1"/>
      <c r="J121" s="1"/>
      <c r="K121" s="1"/>
      <c r="L121" s="1"/>
      <c r="M121" s="1"/>
      <c r="N121" s="1"/>
      <c r="O121" s="1"/>
      <c r="P121" s="1"/>
      <c r="Q121" s="1"/>
    </row>
    <row r="122" spans="1:17" x14ac:dyDescent="0.35">
      <c r="A122" s="1"/>
      <c r="B122" s="1"/>
      <c r="C122" s="1"/>
      <c r="D122" s="1"/>
      <c r="E122" s="1"/>
      <c r="F122" s="1"/>
      <c r="G122" s="1"/>
      <c r="H122" s="1"/>
      <c r="I122" s="1"/>
      <c r="J122" s="1"/>
      <c r="K122" s="1"/>
      <c r="L122" s="1"/>
      <c r="M122" s="1"/>
      <c r="N122" s="1"/>
      <c r="O122" s="1"/>
      <c r="P122" s="1"/>
      <c r="Q122" s="1"/>
    </row>
    <row r="123" spans="1:17" x14ac:dyDescent="0.35">
      <c r="A123" s="1"/>
      <c r="B123" s="1"/>
      <c r="C123" s="1"/>
      <c r="D123" s="1"/>
      <c r="E123" s="1"/>
      <c r="F123" s="1"/>
      <c r="G123" s="1"/>
      <c r="H123" s="1"/>
      <c r="I123" s="1"/>
      <c r="J123" s="1"/>
      <c r="K123" s="1"/>
      <c r="L123" s="1"/>
      <c r="M123" s="1"/>
      <c r="N123" s="1"/>
      <c r="O123" s="1"/>
      <c r="P123" s="1"/>
      <c r="Q123" s="1"/>
    </row>
    <row r="124" spans="1:17" x14ac:dyDescent="0.35">
      <c r="A124" s="1"/>
      <c r="B124" s="1"/>
      <c r="C124" s="1"/>
      <c r="D124" s="1"/>
      <c r="E124" s="1"/>
      <c r="F124" s="1"/>
      <c r="G124" s="1"/>
      <c r="H124" s="1"/>
      <c r="I124" s="1"/>
      <c r="J124" s="1"/>
      <c r="K124" s="1"/>
      <c r="L124" s="1"/>
      <c r="M124" s="1"/>
      <c r="N124" s="1"/>
      <c r="O124" s="1"/>
      <c r="P124" s="1"/>
      <c r="Q124" s="1"/>
    </row>
    <row r="125" spans="1:17" x14ac:dyDescent="0.35">
      <c r="A125" s="1"/>
      <c r="B125" s="1"/>
      <c r="C125" s="1"/>
      <c r="D125" s="1"/>
      <c r="E125" s="1"/>
      <c r="F125" s="1"/>
      <c r="G125" s="1"/>
      <c r="H125" s="1"/>
      <c r="I125" s="1"/>
      <c r="J125" s="1"/>
      <c r="K125" s="1"/>
      <c r="L125" s="1"/>
      <c r="M125" s="1"/>
      <c r="N125" s="1"/>
      <c r="O125" s="1"/>
      <c r="P125" s="1"/>
      <c r="Q125" s="1"/>
    </row>
    <row r="126" spans="1:17" x14ac:dyDescent="0.35">
      <c r="A126" s="1"/>
      <c r="B126" s="1"/>
      <c r="C126" s="1"/>
      <c r="D126" s="1"/>
      <c r="E126" s="1"/>
      <c r="F126" s="1"/>
      <c r="G126" s="1"/>
      <c r="H126" s="1"/>
      <c r="I126" s="1"/>
      <c r="J126" s="1"/>
      <c r="K126" s="1"/>
      <c r="L126" s="1"/>
      <c r="M126" s="1"/>
      <c r="N126" s="1"/>
      <c r="O126" s="1"/>
      <c r="P126" s="1"/>
      <c r="Q126" s="1"/>
    </row>
    <row r="127" spans="1:17" x14ac:dyDescent="0.35">
      <c r="A127" s="1"/>
      <c r="B127" s="1"/>
      <c r="C127" s="1"/>
      <c r="D127" s="1"/>
      <c r="E127" s="1"/>
      <c r="F127" s="1"/>
      <c r="G127" s="1"/>
      <c r="H127" s="1"/>
      <c r="I127" s="1"/>
      <c r="J127" s="1"/>
      <c r="K127" s="1"/>
      <c r="L127" s="1"/>
      <c r="M127" s="1"/>
      <c r="N127" s="1"/>
      <c r="O127" s="1"/>
      <c r="P127" s="1"/>
      <c r="Q127" s="1"/>
    </row>
    <row r="128" spans="1:17" x14ac:dyDescent="0.35">
      <c r="A128" s="1"/>
      <c r="B128" s="1"/>
      <c r="C128" s="1"/>
      <c r="D128" s="1"/>
      <c r="E128" s="1"/>
      <c r="F128" s="1"/>
      <c r="G128" s="1"/>
      <c r="H128" s="1"/>
      <c r="I128" s="1"/>
      <c r="J128" s="1"/>
      <c r="K128" s="1"/>
      <c r="L128" s="1"/>
      <c r="M128" s="1"/>
      <c r="N128" s="1"/>
      <c r="O128" s="1"/>
      <c r="P128" s="1"/>
      <c r="Q128" s="1"/>
    </row>
    <row r="129" spans="1:17" x14ac:dyDescent="0.35">
      <c r="A129" s="1"/>
      <c r="B129" s="1"/>
      <c r="C129" s="1"/>
      <c r="D129" s="1"/>
      <c r="E129" s="1"/>
      <c r="F129" s="1"/>
      <c r="G129" s="1"/>
      <c r="H129" s="1"/>
      <c r="I129" s="1"/>
      <c r="J129" s="1"/>
      <c r="K129" s="1"/>
      <c r="L129" s="1"/>
      <c r="M129" s="1"/>
      <c r="N129" s="1"/>
      <c r="O129" s="1"/>
      <c r="P129" s="1"/>
      <c r="Q129" s="1"/>
    </row>
    <row r="130" spans="1:17" x14ac:dyDescent="0.35">
      <c r="A130" s="1"/>
      <c r="B130" s="1"/>
      <c r="C130" s="1"/>
      <c r="D130" s="1"/>
      <c r="E130" s="1"/>
      <c r="F130" s="1"/>
      <c r="G130" s="1"/>
      <c r="H130" s="1"/>
      <c r="I130" s="1"/>
      <c r="J130" s="1"/>
      <c r="K130" s="1"/>
      <c r="L130" s="1"/>
      <c r="M130" s="1"/>
      <c r="N130" s="1"/>
      <c r="O130" s="1"/>
      <c r="P130" s="1"/>
      <c r="Q130" s="1"/>
    </row>
    <row r="131" spans="1:17" x14ac:dyDescent="0.35">
      <c r="A131" s="1"/>
      <c r="B131" s="1"/>
      <c r="C131" s="1"/>
      <c r="D131" s="1"/>
      <c r="E131" s="1"/>
      <c r="F131" s="1"/>
      <c r="G131" s="1"/>
      <c r="H131" s="1"/>
      <c r="I131" s="1"/>
      <c r="J131" s="1"/>
      <c r="K131" s="1"/>
      <c r="L131" s="1"/>
      <c r="M131" s="1"/>
      <c r="N131" s="1"/>
      <c r="O131" s="1"/>
      <c r="P131" s="1"/>
      <c r="Q131" s="1"/>
    </row>
    <row r="132" spans="1:17" x14ac:dyDescent="0.35">
      <c r="A132" s="1"/>
      <c r="B132" s="1"/>
      <c r="C132" s="1"/>
      <c r="D132" s="1"/>
      <c r="E132" s="1"/>
      <c r="F132" s="1"/>
      <c r="G132" s="1"/>
      <c r="H132" s="1"/>
      <c r="I132" s="1"/>
      <c r="J132" s="1"/>
      <c r="K132" s="1"/>
      <c r="L132" s="1"/>
      <c r="M132" s="1"/>
      <c r="N132" s="1"/>
      <c r="O132" s="1"/>
      <c r="P132" s="1"/>
      <c r="Q132" s="1"/>
    </row>
    <row r="133" spans="1:17" x14ac:dyDescent="0.35">
      <c r="A133" s="1"/>
      <c r="B133" s="1"/>
      <c r="C133" s="1"/>
      <c r="D133" s="1"/>
      <c r="E133" s="1"/>
      <c r="F133" s="1"/>
      <c r="G133" s="1"/>
      <c r="H133" s="1"/>
      <c r="I133" s="1"/>
      <c r="J133" s="1"/>
      <c r="K133" s="1"/>
      <c r="L133" s="1"/>
      <c r="M133" s="1"/>
      <c r="N133" s="1"/>
      <c r="O133" s="1"/>
      <c r="P133" s="1"/>
      <c r="Q133" s="1"/>
    </row>
    <row r="134" spans="1:17" x14ac:dyDescent="0.35">
      <c r="A134" s="1"/>
      <c r="B134" s="1"/>
      <c r="C134" s="1"/>
      <c r="D134" s="1"/>
      <c r="E134" s="1"/>
      <c r="F134" s="1"/>
      <c r="G134" s="1"/>
      <c r="H134" s="1"/>
      <c r="I134" s="1"/>
      <c r="J134" s="1"/>
      <c r="K134" s="1"/>
      <c r="L134" s="1"/>
      <c r="M134" s="1"/>
      <c r="N134" s="1"/>
      <c r="O134" s="1"/>
      <c r="P134" s="1"/>
      <c r="Q134" s="1"/>
    </row>
    <row r="135" spans="1:17" x14ac:dyDescent="0.35">
      <c r="A135" s="1"/>
      <c r="B135" s="1"/>
      <c r="C135" s="1"/>
      <c r="D135" s="1"/>
      <c r="E135" s="1"/>
      <c r="F135" s="1"/>
      <c r="G135" s="1"/>
      <c r="H135" s="1"/>
      <c r="I135" s="1"/>
      <c r="J135" s="1"/>
      <c r="K135" s="1"/>
      <c r="L135" s="1"/>
      <c r="M135" s="1"/>
      <c r="N135" s="1"/>
      <c r="O135" s="1"/>
      <c r="P135" s="1"/>
      <c r="Q135" s="1"/>
    </row>
    <row r="136" spans="1:17" x14ac:dyDescent="0.35">
      <c r="A136" s="1"/>
      <c r="B136" s="1"/>
      <c r="C136" s="1"/>
      <c r="D136" s="1"/>
      <c r="E136" s="1"/>
      <c r="F136" s="1"/>
      <c r="G136" s="1"/>
      <c r="H136" s="1"/>
      <c r="I136" s="1"/>
      <c r="J136" s="1"/>
      <c r="K136" s="1"/>
      <c r="L136" s="1"/>
      <c r="M136" s="1"/>
      <c r="N136" s="1"/>
      <c r="O136" s="1"/>
      <c r="P136" s="1"/>
      <c r="Q136" s="1"/>
    </row>
    <row r="137" spans="1:17" x14ac:dyDescent="0.35">
      <c r="A137" s="1"/>
      <c r="B137" s="1"/>
      <c r="C137" s="1"/>
      <c r="D137" s="1"/>
      <c r="E137" s="1"/>
      <c r="F137" s="1"/>
      <c r="G137" s="1"/>
      <c r="H137" s="1"/>
      <c r="I137" s="1"/>
      <c r="J137" s="1"/>
      <c r="K137" s="1"/>
      <c r="L137" s="1"/>
      <c r="M137" s="1"/>
      <c r="N137" s="1"/>
      <c r="O137" s="1"/>
      <c r="P137" s="1"/>
      <c r="Q137" s="1"/>
    </row>
    <row r="138" spans="1:17" x14ac:dyDescent="0.35">
      <c r="A138" s="1"/>
      <c r="B138" s="1"/>
      <c r="C138" s="1"/>
      <c r="D138" s="1"/>
      <c r="E138" s="1"/>
      <c r="F138" s="1"/>
      <c r="G138" s="1"/>
      <c r="H138" s="1"/>
      <c r="I138" s="1"/>
      <c r="J138" s="1"/>
      <c r="K138" s="1"/>
      <c r="L138" s="1"/>
      <c r="M138" s="1"/>
      <c r="N138" s="1"/>
      <c r="O138" s="1"/>
      <c r="P138" s="1"/>
      <c r="Q138" s="1"/>
    </row>
    <row r="139" spans="1:17" x14ac:dyDescent="0.35">
      <c r="A139" s="1"/>
      <c r="B139" s="1"/>
      <c r="C139" s="1"/>
      <c r="D139" s="1"/>
      <c r="E139" s="1"/>
      <c r="F139" s="1"/>
      <c r="G139" s="1"/>
      <c r="H139" s="1"/>
      <c r="I139" s="1"/>
      <c r="J139" s="1"/>
      <c r="K139" s="1"/>
      <c r="L139" s="1"/>
      <c r="M139" s="1"/>
      <c r="N139" s="1"/>
      <c r="O139" s="1"/>
      <c r="P139" s="1"/>
      <c r="Q139" s="1"/>
    </row>
    <row r="140" spans="1:17" x14ac:dyDescent="0.35">
      <c r="A140" s="1"/>
      <c r="B140" s="1"/>
      <c r="C140" s="1"/>
      <c r="D140" s="1"/>
      <c r="E140" s="1"/>
      <c r="F140" s="1"/>
      <c r="G140" s="1"/>
      <c r="H140" s="1"/>
      <c r="I140" s="1"/>
      <c r="J140" s="1"/>
      <c r="K140" s="1"/>
      <c r="L140" s="1"/>
      <c r="M140" s="1"/>
      <c r="N140" s="1"/>
      <c r="O140" s="1"/>
      <c r="P140" s="1"/>
      <c r="Q140" s="1"/>
    </row>
    <row r="141" spans="1:17" x14ac:dyDescent="0.35">
      <c r="A141" s="1"/>
      <c r="B141" s="1"/>
      <c r="C141" s="1"/>
      <c r="D141" s="1"/>
      <c r="E141" s="1"/>
      <c r="F141" s="1"/>
      <c r="G141" s="1"/>
      <c r="H141" s="1"/>
      <c r="I141" s="1"/>
      <c r="J141" s="1"/>
      <c r="K141" s="1"/>
      <c r="L141" s="1"/>
      <c r="M141" s="1"/>
      <c r="N141" s="1"/>
      <c r="O141" s="1"/>
      <c r="P141" s="1"/>
      <c r="Q141" s="1"/>
    </row>
    <row r="142" spans="1:17" x14ac:dyDescent="0.35">
      <c r="A142" s="1"/>
      <c r="B142" s="1"/>
      <c r="C142" s="1"/>
      <c r="D142" s="1"/>
      <c r="E142" s="1"/>
      <c r="F142" s="1"/>
      <c r="G142" s="1"/>
      <c r="H142" s="1"/>
      <c r="I142" s="1"/>
      <c r="J142" s="1"/>
      <c r="K142" s="1"/>
      <c r="L142" s="1"/>
      <c r="M142" s="1"/>
      <c r="N142" s="1"/>
      <c r="O142" s="1"/>
      <c r="P142" s="1"/>
      <c r="Q142" s="1"/>
    </row>
    <row r="143" spans="1:17" x14ac:dyDescent="0.35">
      <c r="A143" s="1"/>
      <c r="B143" s="1"/>
      <c r="C143" s="1"/>
      <c r="D143" s="1"/>
      <c r="E143" s="1"/>
      <c r="F143" s="1"/>
      <c r="G143" s="1"/>
      <c r="H143" s="1"/>
      <c r="I143" s="1"/>
      <c r="J143" s="1"/>
      <c r="K143" s="1"/>
      <c r="L143" s="1"/>
      <c r="M143" s="1"/>
      <c r="N143" s="1"/>
      <c r="O143" s="1"/>
      <c r="P143" s="1"/>
      <c r="Q143" s="1"/>
    </row>
    <row r="144" spans="1:17" x14ac:dyDescent="0.35">
      <c r="A144" s="1"/>
      <c r="B144" s="1"/>
      <c r="C144" s="1"/>
      <c r="D144" s="1"/>
      <c r="E144" s="1"/>
      <c r="F144" s="1"/>
      <c r="G144" s="1"/>
      <c r="H144" s="1"/>
      <c r="I144" s="1"/>
      <c r="J144" s="1"/>
      <c r="K144" s="1"/>
      <c r="L144" s="1"/>
      <c r="M144" s="1"/>
      <c r="N144" s="1"/>
      <c r="O144" s="1"/>
      <c r="P144" s="1"/>
      <c r="Q144" s="1"/>
    </row>
    <row r="145" spans="1:17" x14ac:dyDescent="0.35">
      <c r="A145" s="1"/>
      <c r="B145" s="1"/>
      <c r="C145" s="1"/>
      <c r="D145" s="1"/>
      <c r="E145" s="1"/>
      <c r="F145" s="1"/>
      <c r="G145" s="1"/>
      <c r="H145" s="1"/>
      <c r="I145" s="1"/>
      <c r="J145" s="1"/>
      <c r="K145" s="1"/>
      <c r="L145" s="1"/>
      <c r="M145" s="1"/>
      <c r="N145" s="1"/>
      <c r="O145" s="1"/>
      <c r="P145" s="1"/>
      <c r="Q145" s="1"/>
    </row>
    <row r="146" spans="1:17" x14ac:dyDescent="0.35">
      <c r="A146" s="1"/>
      <c r="B146" s="1"/>
      <c r="C146" s="1"/>
      <c r="D146" s="1"/>
      <c r="E146" s="1"/>
      <c r="F146" s="1"/>
      <c r="G146" s="1"/>
      <c r="H146" s="1"/>
      <c r="I146" s="1"/>
      <c r="J146" s="1"/>
      <c r="K146" s="1"/>
      <c r="L146" s="1"/>
      <c r="M146" s="1"/>
      <c r="N146" s="1"/>
      <c r="O146" s="1"/>
      <c r="P146" s="1"/>
      <c r="Q146" s="1"/>
    </row>
    <row r="147" spans="1:17" x14ac:dyDescent="0.35">
      <c r="A147" s="1"/>
      <c r="B147" s="1"/>
      <c r="C147" s="1"/>
      <c r="D147" s="1"/>
      <c r="E147" s="1"/>
      <c r="F147" s="1"/>
      <c r="G147" s="1"/>
      <c r="H147" s="1"/>
      <c r="I147" s="1"/>
      <c r="J147" s="1"/>
      <c r="K147" s="1"/>
      <c r="L147" s="1"/>
      <c r="M147" s="1"/>
      <c r="N147" s="1"/>
      <c r="O147" s="1"/>
      <c r="P147" s="1"/>
      <c r="Q147" s="1"/>
    </row>
    <row r="148" spans="1:17" x14ac:dyDescent="0.35">
      <c r="A148" s="1"/>
      <c r="B148" s="1"/>
      <c r="C148" s="1"/>
      <c r="D148" s="1"/>
      <c r="E148" s="1"/>
      <c r="F148" s="1"/>
      <c r="G148" s="1"/>
      <c r="H148" s="1"/>
      <c r="I148" s="1"/>
      <c r="J148" s="1"/>
      <c r="K148" s="1"/>
      <c r="L148" s="1"/>
      <c r="M148" s="1"/>
      <c r="N148" s="1"/>
      <c r="O148" s="1"/>
      <c r="P148" s="1"/>
      <c r="Q148" s="1"/>
    </row>
    <row r="149" spans="1:17" x14ac:dyDescent="0.35">
      <c r="A149" s="1"/>
      <c r="B149" s="1"/>
      <c r="C149" s="1"/>
      <c r="D149" s="1"/>
      <c r="E149" s="1"/>
      <c r="F149" s="1"/>
      <c r="G149" s="1"/>
      <c r="H149" s="1"/>
      <c r="I149" s="1"/>
      <c r="J149" s="1"/>
      <c r="K149" s="1"/>
      <c r="L149" s="1"/>
      <c r="M149" s="1"/>
      <c r="N149" s="1"/>
      <c r="O149" s="1"/>
      <c r="P149" s="1"/>
      <c r="Q149" s="1"/>
    </row>
    <row r="150" spans="1:17" x14ac:dyDescent="0.35">
      <c r="A150" s="1"/>
      <c r="B150" s="1"/>
      <c r="C150" s="1"/>
      <c r="D150" s="1"/>
      <c r="E150" s="1"/>
      <c r="F150" s="1"/>
      <c r="G150" s="1"/>
      <c r="H150" s="1"/>
      <c r="I150" s="1"/>
      <c r="J150" s="1"/>
      <c r="K150" s="1"/>
      <c r="L150" s="1"/>
      <c r="M150" s="1"/>
      <c r="N150" s="1"/>
      <c r="O150" s="1"/>
      <c r="P150" s="1"/>
      <c r="Q150" s="1"/>
    </row>
    <row r="151" spans="1:17" x14ac:dyDescent="0.35">
      <c r="A151" s="1"/>
      <c r="B151" s="1"/>
      <c r="C151" s="1"/>
      <c r="D151" s="1"/>
      <c r="E151" s="1"/>
      <c r="F151" s="1"/>
      <c r="G151" s="1"/>
      <c r="H151" s="1"/>
      <c r="I151" s="1"/>
      <c r="J151" s="1"/>
      <c r="K151" s="1"/>
      <c r="L151" s="1"/>
      <c r="M151" s="1"/>
      <c r="N151" s="1"/>
      <c r="O151" s="1"/>
      <c r="P151" s="1"/>
      <c r="Q151" s="1"/>
    </row>
    <row r="152" spans="1:17" x14ac:dyDescent="0.35">
      <c r="A152" s="1"/>
      <c r="B152" s="1"/>
      <c r="C152" s="1"/>
      <c r="D152" s="1"/>
      <c r="E152" s="1"/>
      <c r="F152" s="1"/>
      <c r="G152" s="1"/>
      <c r="H152" s="1"/>
      <c r="I152" s="1"/>
      <c r="J152" s="1"/>
      <c r="K152" s="1"/>
      <c r="L152" s="1"/>
      <c r="M152" s="1"/>
      <c r="N152" s="1"/>
      <c r="O152" s="1"/>
      <c r="P152" s="1"/>
      <c r="Q152" s="1"/>
    </row>
    <row r="153" spans="1:17" x14ac:dyDescent="0.35">
      <c r="A153" s="1"/>
      <c r="B153" s="1"/>
      <c r="C153" s="1"/>
      <c r="D153" s="1"/>
      <c r="E153" s="1"/>
      <c r="F153" s="1"/>
      <c r="G153" s="1"/>
      <c r="H153" s="1"/>
      <c r="I153" s="1"/>
      <c r="J153" s="1"/>
      <c r="K153" s="1"/>
      <c r="L153" s="1"/>
      <c r="M153" s="1"/>
      <c r="N153" s="1"/>
      <c r="O153" s="1"/>
      <c r="P153" s="1"/>
      <c r="Q153" s="1"/>
    </row>
    <row r="154" spans="1:17" x14ac:dyDescent="0.35">
      <c r="A154" s="1"/>
      <c r="B154" s="1"/>
      <c r="C154" s="1"/>
      <c r="D154" s="1"/>
      <c r="E154" s="1"/>
      <c r="F154" s="1"/>
      <c r="G154" s="1"/>
      <c r="H154" s="1"/>
      <c r="I154" s="1"/>
      <c r="J154" s="1"/>
      <c r="K154" s="1"/>
      <c r="L154" s="1"/>
      <c r="M154" s="1"/>
      <c r="N154" s="1"/>
      <c r="O154" s="1"/>
      <c r="P154" s="1"/>
      <c r="Q154" s="1"/>
    </row>
    <row r="155" spans="1:17" x14ac:dyDescent="0.35">
      <c r="A155" s="1"/>
      <c r="B155" s="1"/>
      <c r="C155" s="1"/>
      <c r="D155" s="1"/>
      <c r="E155" s="1"/>
      <c r="F155" s="1"/>
      <c r="G155" s="1"/>
      <c r="H155" s="1"/>
      <c r="I155" s="1"/>
      <c r="J155" s="1"/>
      <c r="K155" s="1"/>
      <c r="L155" s="1"/>
      <c r="M155" s="1"/>
      <c r="N155" s="1"/>
      <c r="O155" s="1"/>
      <c r="P155" s="1"/>
      <c r="Q155" s="1"/>
    </row>
    <row r="156" spans="1:17" x14ac:dyDescent="0.35">
      <c r="A156" s="1"/>
      <c r="B156" s="1"/>
      <c r="C156" s="1"/>
      <c r="D156" s="1"/>
      <c r="E156" s="1"/>
      <c r="F156" s="1"/>
      <c r="G156" s="1"/>
      <c r="H156" s="1"/>
      <c r="I156" s="1"/>
      <c r="J156" s="1"/>
      <c r="K156" s="1"/>
      <c r="L156" s="1"/>
      <c r="M156" s="1"/>
      <c r="N156" s="1"/>
      <c r="O156" s="1"/>
      <c r="P156" s="1"/>
      <c r="Q156" s="1"/>
    </row>
    <row r="157" spans="1:17" x14ac:dyDescent="0.35">
      <c r="A157" s="1"/>
      <c r="B157" s="1"/>
      <c r="C157" s="1"/>
      <c r="D157" s="1"/>
      <c r="E157" s="1"/>
      <c r="F157" s="1"/>
      <c r="G157" s="1"/>
      <c r="H157" s="1"/>
      <c r="I157" s="1"/>
      <c r="J157" s="1"/>
      <c r="K157" s="1"/>
      <c r="L157" s="1"/>
      <c r="M157" s="1"/>
      <c r="N157" s="1"/>
      <c r="O157" s="1"/>
      <c r="P157" s="1"/>
      <c r="Q157" s="1"/>
    </row>
    <row r="158" spans="1:17" x14ac:dyDescent="0.35">
      <c r="A158" s="1"/>
      <c r="B158" s="1"/>
      <c r="C158" s="1"/>
      <c r="D158" s="1"/>
      <c r="E158" s="1"/>
      <c r="F158" s="1"/>
      <c r="G158" s="1"/>
      <c r="H158" s="1"/>
      <c r="I158" s="1"/>
      <c r="J158" s="1"/>
      <c r="K158" s="1"/>
      <c r="L158" s="1"/>
      <c r="M158" s="1"/>
      <c r="N158" s="1"/>
      <c r="O158" s="1"/>
      <c r="P158" s="1"/>
      <c r="Q158" s="1"/>
    </row>
    <row r="159" spans="1:17" x14ac:dyDescent="0.35">
      <c r="A159" s="1"/>
      <c r="B159" s="1"/>
      <c r="C159" s="1"/>
      <c r="D159" s="1"/>
      <c r="E159" s="1"/>
      <c r="F159" s="1"/>
      <c r="G159" s="1"/>
      <c r="H159" s="1"/>
      <c r="I159" s="1"/>
      <c r="J159" s="1"/>
      <c r="K159" s="1"/>
      <c r="L159" s="1"/>
      <c r="M159" s="1"/>
      <c r="N159" s="1"/>
      <c r="O159" s="1"/>
      <c r="P159" s="1"/>
      <c r="Q159" s="1"/>
    </row>
    <row r="160" spans="1:17" x14ac:dyDescent="0.35">
      <c r="A160" s="1"/>
      <c r="B160" s="1"/>
      <c r="C160" s="1"/>
      <c r="D160" s="1"/>
      <c r="E160" s="1"/>
      <c r="F160" s="1"/>
      <c r="G160" s="1"/>
      <c r="H160" s="1"/>
      <c r="I160" s="1"/>
      <c r="J160" s="1"/>
      <c r="K160" s="1"/>
      <c r="L160" s="1"/>
      <c r="M160" s="1"/>
      <c r="N160" s="1"/>
      <c r="O160" s="1"/>
      <c r="P160" s="1"/>
      <c r="Q160" s="1"/>
    </row>
    <row r="161" spans="1:17" x14ac:dyDescent="0.35">
      <c r="A161" s="1"/>
      <c r="B161" s="1"/>
      <c r="C161" s="1"/>
      <c r="D161" s="1"/>
      <c r="E161" s="1"/>
      <c r="F161" s="1"/>
      <c r="G161" s="1"/>
      <c r="H161" s="1"/>
      <c r="I161" s="1"/>
      <c r="J161" s="1"/>
      <c r="K161" s="1"/>
      <c r="L161" s="1"/>
      <c r="M161" s="1"/>
      <c r="N161" s="1"/>
      <c r="O161" s="1"/>
      <c r="P161" s="1"/>
      <c r="Q161" s="1"/>
    </row>
    <row r="162" spans="1:17" x14ac:dyDescent="0.35">
      <c r="A162" s="1"/>
      <c r="B162" s="1"/>
      <c r="C162" s="1"/>
      <c r="D162" s="1"/>
      <c r="E162" s="1"/>
      <c r="F162" s="1"/>
      <c r="G162" s="1"/>
      <c r="H162" s="1"/>
      <c r="I162" s="1"/>
      <c r="J162" s="1"/>
      <c r="K162" s="1"/>
      <c r="L162" s="1"/>
      <c r="M162" s="1"/>
      <c r="N162" s="1"/>
      <c r="O162" s="1"/>
      <c r="P162" s="1"/>
      <c r="Q162" s="1"/>
    </row>
    <row r="163" spans="1:17" x14ac:dyDescent="0.35">
      <c r="A163" s="1"/>
      <c r="B163" s="1"/>
      <c r="C163" s="1"/>
      <c r="D163" s="1"/>
      <c r="E163" s="1"/>
      <c r="F163" s="1"/>
      <c r="G163" s="1"/>
      <c r="H163" s="1"/>
      <c r="I163" s="1"/>
      <c r="J163" s="1"/>
      <c r="K163" s="1"/>
      <c r="L163" s="1"/>
      <c r="M163" s="1"/>
      <c r="N163" s="1"/>
      <c r="O163" s="1"/>
      <c r="P163" s="1"/>
      <c r="Q163" s="1"/>
    </row>
    <row r="164" spans="1:17" x14ac:dyDescent="0.35">
      <c r="A164" s="1"/>
      <c r="B164" s="1"/>
      <c r="C164" s="1"/>
      <c r="D164" s="1"/>
      <c r="E164" s="1"/>
      <c r="F164" s="1"/>
      <c r="G164" s="1"/>
      <c r="H164" s="1"/>
      <c r="I164" s="1"/>
      <c r="J164" s="1"/>
      <c r="K164" s="1"/>
      <c r="L164" s="1"/>
      <c r="M164" s="1"/>
      <c r="N164" s="1"/>
      <c r="O164" s="1"/>
      <c r="P164" s="1"/>
      <c r="Q164" s="1"/>
    </row>
    <row r="165" spans="1:17" x14ac:dyDescent="0.35">
      <c r="A165" s="1"/>
      <c r="B165" s="1"/>
      <c r="C165" s="1"/>
      <c r="D165" s="1"/>
      <c r="E165" s="1"/>
      <c r="F165" s="1"/>
      <c r="G165" s="1"/>
      <c r="H165" s="1"/>
      <c r="I165" s="1"/>
      <c r="J165" s="1"/>
      <c r="K165" s="1"/>
      <c r="L165" s="1"/>
      <c r="M165" s="1"/>
      <c r="N165" s="1"/>
      <c r="O165" s="1"/>
      <c r="P165" s="1"/>
      <c r="Q165" s="1"/>
    </row>
    <row r="166" spans="1:17" x14ac:dyDescent="0.35">
      <c r="A166" s="1"/>
      <c r="B166" s="1"/>
      <c r="C166" s="1"/>
      <c r="D166" s="1"/>
      <c r="E166" s="1"/>
      <c r="F166" s="1"/>
      <c r="G166" s="1"/>
      <c r="H166" s="1"/>
      <c r="I166" s="1"/>
      <c r="J166" s="1"/>
      <c r="K166" s="1"/>
      <c r="L166" s="1"/>
      <c r="M166" s="1"/>
      <c r="N166" s="1"/>
      <c r="O166" s="1"/>
      <c r="P166" s="1"/>
      <c r="Q166" s="1"/>
    </row>
    <row r="167" spans="1:17" x14ac:dyDescent="0.35">
      <c r="A167" s="1"/>
      <c r="B167" s="1"/>
      <c r="C167" s="1"/>
      <c r="D167" s="1"/>
      <c r="E167" s="1"/>
      <c r="F167" s="1"/>
      <c r="G167" s="1"/>
      <c r="H167" s="1"/>
      <c r="I167" s="1"/>
      <c r="J167" s="1"/>
      <c r="K167" s="1"/>
      <c r="L167" s="1"/>
      <c r="M167" s="1"/>
      <c r="N167" s="1"/>
      <c r="O167" s="1"/>
      <c r="P167" s="1"/>
      <c r="Q167" s="1"/>
    </row>
    <row r="168" spans="1:17" x14ac:dyDescent="0.35">
      <c r="A168" s="1"/>
      <c r="B168" s="1"/>
      <c r="C168" s="1"/>
      <c r="D168" s="1"/>
      <c r="E168" s="1"/>
      <c r="F168" s="1"/>
      <c r="G168" s="1"/>
      <c r="H168" s="1"/>
      <c r="I168" s="1"/>
      <c r="J168" s="1"/>
      <c r="K168" s="1"/>
      <c r="L168" s="1"/>
      <c r="M168" s="1"/>
      <c r="N168" s="1"/>
      <c r="O168" s="1"/>
      <c r="P168" s="1"/>
      <c r="Q168" s="1"/>
    </row>
    <row r="169" spans="1:17" x14ac:dyDescent="0.35">
      <c r="A169" s="1"/>
      <c r="B169" s="1"/>
      <c r="C169" s="1"/>
      <c r="D169" s="1"/>
      <c r="E169" s="1"/>
      <c r="F169" s="1"/>
      <c r="G169" s="1"/>
      <c r="H169" s="1"/>
      <c r="I169" s="1"/>
      <c r="J169" s="1"/>
      <c r="K169" s="1"/>
      <c r="L169" s="1"/>
      <c r="M169" s="1"/>
      <c r="N169" s="1"/>
      <c r="O169" s="1"/>
      <c r="P169" s="1"/>
      <c r="Q169" s="1"/>
    </row>
    <row r="170" spans="1:17" x14ac:dyDescent="0.35">
      <c r="A170" s="1"/>
      <c r="B170" s="1"/>
      <c r="C170" s="1"/>
      <c r="D170" s="1"/>
      <c r="E170" s="1"/>
      <c r="F170" s="1"/>
      <c r="G170" s="1"/>
      <c r="H170" s="1"/>
      <c r="I170" s="1"/>
      <c r="J170" s="1"/>
      <c r="K170" s="1"/>
      <c r="L170" s="1"/>
      <c r="M170" s="1"/>
      <c r="N170" s="1"/>
      <c r="O170" s="1"/>
      <c r="P170" s="1"/>
      <c r="Q170" s="1"/>
    </row>
    <row r="171" spans="1:17" x14ac:dyDescent="0.35">
      <c r="A171" s="1"/>
      <c r="B171" s="1"/>
      <c r="C171" s="1"/>
      <c r="D171" s="1"/>
      <c r="E171" s="1"/>
      <c r="F171" s="1"/>
      <c r="G171" s="1"/>
      <c r="H171" s="1"/>
      <c r="I171" s="1"/>
      <c r="J171" s="1"/>
      <c r="K171" s="1"/>
      <c r="L171" s="1"/>
      <c r="M171" s="1"/>
      <c r="N171" s="1"/>
      <c r="O171" s="1"/>
      <c r="P171" s="1"/>
      <c r="Q171" s="1"/>
    </row>
    <row r="172" spans="1:17" x14ac:dyDescent="0.35">
      <c r="A172" s="1"/>
      <c r="B172" s="1"/>
      <c r="C172" s="1"/>
      <c r="D172" s="1"/>
      <c r="E172" s="1"/>
      <c r="F172" s="1"/>
      <c r="G172" s="1"/>
      <c r="H172" s="1"/>
      <c r="I172" s="1"/>
      <c r="J172" s="1"/>
      <c r="K172" s="1"/>
      <c r="L172" s="1"/>
      <c r="M172" s="1"/>
      <c r="N172" s="1"/>
      <c r="O172" s="1"/>
      <c r="P172" s="1"/>
      <c r="Q172" s="1"/>
    </row>
    <row r="173" spans="1:17" x14ac:dyDescent="0.35">
      <c r="A173" s="1"/>
      <c r="B173" s="1"/>
      <c r="C173" s="1"/>
      <c r="D173" s="1"/>
      <c r="E173" s="1"/>
      <c r="F173" s="1"/>
      <c r="G173" s="1"/>
      <c r="H173" s="1"/>
      <c r="I173" s="1"/>
      <c r="J173" s="1"/>
      <c r="K173" s="1"/>
      <c r="L173" s="1"/>
      <c r="M173" s="1"/>
      <c r="N173" s="1"/>
      <c r="O173" s="1"/>
      <c r="P173" s="1"/>
      <c r="Q173" s="1"/>
    </row>
    <row r="174" spans="1:17" x14ac:dyDescent="0.35">
      <c r="A174" s="1"/>
      <c r="B174" s="1"/>
      <c r="C174" s="1"/>
      <c r="D174" s="1"/>
      <c r="E174" s="1"/>
      <c r="F174" s="1"/>
      <c r="G174" s="1"/>
      <c r="H174" s="1"/>
      <c r="I174" s="1"/>
      <c r="J174" s="1"/>
      <c r="K174" s="1"/>
      <c r="L174" s="1"/>
      <c r="M174" s="1"/>
      <c r="N174" s="1"/>
      <c r="O174" s="1"/>
      <c r="P174" s="1"/>
      <c r="Q174" s="1"/>
    </row>
    <row r="175" spans="1:17" x14ac:dyDescent="0.35">
      <c r="A175" s="1"/>
      <c r="B175" s="1"/>
      <c r="C175" s="1"/>
      <c r="D175" s="1"/>
      <c r="E175" s="1"/>
      <c r="F175" s="1"/>
      <c r="G175" s="1"/>
      <c r="H175" s="1"/>
      <c r="I175" s="1"/>
      <c r="J175" s="1"/>
      <c r="K175" s="1"/>
      <c r="L175" s="1"/>
      <c r="M175" s="1"/>
      <c r="N175" s="1"/>
      <c r="O175" s="1"/>
      <c r="P175" s="1"/>
      <c r="Q175" s="1"/>
    </row>
    <row r="176" spans="1:17" x14ac:dyDescent="0.35">
      <c r="A176" s="1"/>
      <c r="B176" s="1"/>
      <c r="C176" s="1"/>
      <c r="D176" s="1"/>
      <c r="E176" s="1"/>
      <c r="F176" s="1"/>
      <c r="G176" s="1"/>
      <c r="H176" s="1"/>
      <c r="I176" s="1"/>
      <c r="J176" s="1"/>
      <c r="K176" s="1"/>
      <c r="L176" s="1"/>
      <c r="M176" s="1"/>
      <c r="N176" s="1"/>
      <c r="O176" s="1"/>
      <c r="P176" s="1"/>
      <c r="Q176" s="1"/>
    </row>
    <row r="177" spans="1:17" x14ac:dyDescent="0.35">
      <c r="A177" s="1"/>
      <c r="B177" s="1"/>
      <c r="C177" s="1"/>
      <c r="D177" s="1"/>
      <c r="E177" s="1"/>
      <c r="F177" s="1"/>
      <c r="G177" s="1"/>
      <c r="H177" s="1"/>
      <c r="I177" s="1"/>
      <c r="J177" s="1"/>
      <c r="K177" s="1"/>
      <c r="L177" s="1"/>
      <c r="M177" s="1"/>
      <c r="N177" s="1"/>
      <c r="O177" s="1"/>
      <c r="P177" s="1"/>
      <c r="Q177" s="1"/>
    </row>
    <row r="178" spans="1:17" x14ac:dyDescent="0.35">
      <c r="A178" s="1"/>
      <c r="B178" s="1"/>
      <c r="C178" s="1"/>
      <c r="D178" s="1"/>
      <c r="E178" s="1"/>
      <c r="F178" s="1"/>
      <c r="G178" s="1"/>
      <c r="H178" s="1"/>
      <c r="I178" s="1"/>
      <c r="J178" s="1"/>
      <c r="K178" s="1"/>
      <c r="L178" s="1"/>
      <c r="M178" s="1"/>
      <c r="N178" s="1"/>
      <c r="O178" s="1"/>
      <c r="P178" s="1"/>
      <c r="Q178" s="1"/>
    </row>
    <row r="179" spans="1:17" x14ac:dyDescent="0.35">
      <c r="A179" s="1"/>
      <c r="B179" s="1"/>
      <c r="C179" s="1"/>
      <c r="D179" s="1"/>
      <c r="E179" s="1"/>
      <c r="F179" s="1"/>
      <c r="G179" s="1"/>
      <c r="H179" s="1"/>
      <c r="I179" s="1"/>
      <c r="J179" s="1"/>
      <c r="K179" s="1"/>
      <c r="L179" s="1"/>
      <c r="M179" s="1"/>
      <c r="N179" s="1"/>
      <c r="O179" s="1"/>
      <c r="P179" s="1"/>
      <c r="Q179" s="1"/>
    </row>
    <row r="180" spans="1:17" x14ac:dyDescent="0.35">
      <c r="A180" s="1"/>
      <c r="B180" s="1"/>
      <c r="C180" s="1"/>
      <c r="D180" s="1"/>
      <c r="E180" s="1"/>
      <c r="F180" s="1"/>
      <c r="G180" s="1"/>
      <c r="H180" s="1"/>
      <c r="I180" s="1"/>
      <c r="J180" s="1"/>
      <c r="K180" s="1"/>
      <c r="L180" s="1"/>
      <c r="M180" s="1"/>
      <c r="N180" s="1"/>
      <c r="O180" s="1"/>
      <c r="P180" s="1"/>
      <c r="Q180" s="1"/>
    </row>
    <row r="181" spans="1:17" x14ac:dyDescent="0.35">
      <c r="A181" s="1"/>
      <c r="B181" s="1"/>
      <c r="C181" s="1"/>
      <c r="D181" s="1"/>
      <c r="E181" s="1"/>
      <c r="F181" s="1"/>
      <c r="G181" s="1"/>
      <c r="H181" s="1"/>
      <c r="I181" s="1"/>
      <c r="J181" s="1"/>
      <c r="K181" s="1"/>
      <c r="L181" s="1"/>
      <c r="M181" s="1"/>
      <c r="N181" s="1"/>
      <c r="O181" s="1"/>
      <c r="P181" s="1"/>
      <c r="Q181" s="1"/>
    </row>
    <row r="182" spans="1:17" x14ac:dyDescent="0.35">
      <c r="A182" s="1"/>
      <c r="B182" s="1"/>
      <c r="C182" s="1"/>
      <c r="D182" s="1"/>
      <c r="E182" s="1"/>
      <c r="F182" s="1"/>
      <c r="G182" s="1"/>
      <c r="H182" s="1"/>
      <c r="I182" s="1"/>
      <c r="J182" s="1"/>
      <c r="K182" s="1"/>
      <c r="L182" s="1"/>
      <c r="M182" s="1"/>
      <c r="N182" s="1"/>
      <c r="O182" s="1"/>
      <c r="P182" s="1"/>
      <c r="Q182" s="1"/>
    </row>
    <row r="183" spans="1:17" x14ac:dyDescent="0.35">
      <c r="A183" s="1"/>
      <c r="B183" s="1"/>
      <c r="C183" s="1"/>
      <c r="D183" s="1"/>
      <c r="E183" s="1"/>
      <c r="F183" s="1"/>
      <c r="G183" s="1"/>
      <c r="H183" s="1"/>
      <c r="I183" s="1"/>
      <c r="J183" s="1"/>
      <c r="K183" s="1"/>
      <c r="L183" s="1"/>
      <c r="M183" s="1"/>
      <c r="N183" s="1"/>
      <c r="O183" s="1"/>
      <c r="P183" s="1"/>
      <c r="Q183" s="1"/>
    </row>
    <row r="184" spans="1:17" x14ac:dyDescent="0.35">
      <c r="A184" s="1"/>
      <c r="B184" s="1"/>
      <c r="C184" s="1"/>
      <c r="D184" s="1"/>
      <c r="E184" s="1"/>
      <c r="F184" s="1"/>
      <c r="G184" s="1"/>
      <c r="H184" s="1"/>
      <c r="I184" s="1"/>
      <c r="J184" s="1"/>
      <c r="K184" s="1"/>
      <c r="L184" s="1"/>
      <c r="M184" s="1"/>
      <c r="N184" s="1"/>
      <c r="O184" s="1"/>
      <c r="P184" s="1"/>
      <c r="Q184" s="1"/>
    </row>
    <row r="185" spans="1:17" x14ac:dyDescent="0.35">
      <c r="A185" s="1"/>
      <c r="B185" s="1"/>
      <c r="C185" s="1"/>
      <c r="D185" s="1"/>
      <c r="E185" s="1"/>
      <c r="F185" s="1"/>
      <c r="G185" s="1"/>
      <c r="H185" s="1"/>
      <c r="I185" s="1"/>
      <c r="J185" s="1"/>
      <c r="K185" s="1"/>
      <c r="L185" s="1"/>
      <c r="M185" s="1"/>
      <c r="N185" s="1"/>
      <c r="O185" s="1"/>
      <c r="P185" s="1"/>
      <c r="Q185" s="1"/>
    </row>
    <row r="186" spans="1:17" x14ac:dyDescent="0.35">
      <c r="A186" s="1"/>
      <c r="B186" s="1"/>
      <c r="C186" s="1"/>
      <c r="D186" s="1"/>
      <c r="E186" s="1"/>
      <c r="F186" s="1"/>
      <c r="G186" s="1"/>
      <c r="H186" s="1"/>
      <c r="I186" s="1"/>
      <c r="J186" s="1"/>
      <c r="K186" s="1"/>
      <c r="L186" s="1"/>
      <c r="M186" s="1"/>
      <c r="N186" s="1"/>
      <c r="O186" s="1"/>
      <c r="P186" s="1"/>
      <c r="Q186" s="1"/>
    </row>
    <row r="187" spans="1:17" x14ac:dyDescent="0.35">
      <c r="A187" s="1"/>
      <c r="B187" s="1"/>
      <c r="C187" s="1"/>
      <c r="D187" s="1"/>
      <c r="E187" s="1"/>
      <c r="F187" s="1"/>
      <c r="G187" s="1"/>
      <c r="H187" s="1"/>
      <c r="I187" s="1"/>
      <c r="J187" s="1"/>
      <c r="K187" s="1"/>
      <c r="L187" s="1"/>
      <c r="M187" s="1"/>
      <c r="N187" s="1"/>
      <c r="O187" s="1"/>
      <c r="P187" s="1"/>
      <c r="Q187" s="1"/>
    </row>
    <row r="188" spans="1:17" x14ac:dyDescent="0.35">
      <c r="A188" s="1"/>
      <c r="B188" s="1"/>
      <c r="C188" s="1"/>
      <c r="D188" s="1"/>
      <c r="E188" s="1"/>
      <c r="F188" s="1"/>
      <c r="G188" s="1"/>
      <c r="H188" s="1"/>
      <c r="I188" s="1"/>
      <c r="J188" s="1"/>
      <c r="K188" s="1"/>
      <c r="L188" s="1"/>
      <c r="M188" s="1"/>
      <c r="N188" s="1"/>
      <c r="O188" s="1"/>
      <c r="P188" s="1"/>
      <c r="Q188" s="1"/>
    </row>
    <row r="189" spans="1:17" x14ac:dyDescent="0.35">
      <c r="A189" s="1"/>
      <c r="B189" s="1"/>
      <c r="C189" s="1"/>
      <c r="D189" s="1"/>
      <c r="E189" s="1"/>
      <c r="F189" s="1"/>
      <c r="G189" s="1"/>
      <c r="H189" s="1"/>
      <c r="I189" s="1"/>
      <c r="J189" s="1"/>
      <c r="K189" s="1"/>
      <c r="L189" s="1"/>
      <c r="M189" s="1"/>
      <c r="N189" s="1"/>
      <c r="O189" s="1"/>
      <c r="P189" s="1"/>
      <c r="Q189" s="1"/>
    </row>
    <row r="190" spans="1:17" x14ac:dyDescent="0.35">
      <c r="A190" s="1"/>
      <c r="B190" s="1"/>
      <c r="C190" s="1"/>
      <c r="D190" s="1"/>
      <c r="E190" s="1"/>
      <c r="F190" s="1"/>
      <c r="G190" s="1"/>
      <c r="H190" s="1"/>
      <c r="I190" s="1"/>
      <c r="J190" s="1"/>
      <c r="K190" s="1"/>
      <c r="L190" s="1"/>
      <c r="M190" s="1"/>
      <c r="N190" s="1"/>
      <c r="O190" s="1"/>
      <c r="P190" s="1"/>
      <c r="Q190" s="1"/>
    </row>
    <row r="191" spans="1:17" x14ac:dyDescent="0.35">
      <c r="A191" s="1"/>
      <c r="B191" s="1"/>
      <c r="C191" s="1"/>
      <c r="D191" s="1"/>
      <c r="E191" s="1"/>
      <c r="F191" s="1"/>
      <c r="G191" s="1"/>
      <c r="H191" s="1"/>
      <c r="I191" s="1"/>
      <c r="J191" s="1"/>
      <c r="K191" s="1"/>
      <c r="L191" s="1"/>
      <c r="M191" s="1"/>
      <c r="N191" s="1"/>
      <c r="O191" s="1"/>
      <c r="P191" s="1"/>
      <c r="Q191" s="1"/>
    </row>
    <row r="192" spans="1:17" x14ac:dyDescent="0.35">
      <c r="A192" s="1"/>
      <c r="B192" s="1"/>
      <c r="C192" s="1"/>
      <c r="D192" s="1"/>
      <c r="E192" s="1"/>
      <c r="F192" s="1"/>
      <c r="G192" s="1"/>
      <c r="H192" s="1"/>
      <c r="I192" s="1"/>
      <c r="J192" s="1"/>
      <c r="K192" s="1"/>
      <c r="L192" s="1"/>
      <c r="M192" s="1"/>
      <c r="N192" s="1"/>
      <c r="O192" s="1"/>
      <c r="P192" s="1"/>
      <c r="Q192" s="1"/>
    </row>
    <row r="193" spans="1:17" x14ac:dyDescent="0.35">
      <c r="A193" s="1"/>
      <c r="B193" s="1"/>
      <c r="C193" s="1"/>
      <c r="D193" s="1"/>
      <c r="E193" s="1"/>
      <c r="F193" s="1"/>
      <c r="G193" s="1"/>
      <c r="H193" s="1"/>
      <c r="I193" s="1"/>
      <c r="J193" s="1"/>
      <c r="K193" s="1"/>
      <c r="L193" s="1"/>
      <c r="M193" s="1"/>
      <c r="N193" s="1"/>
      <c r="O193" s="1"/>
      <c r="P193" s="1"/>
      <c r="Q193" s="1"/>
    </row>
    <row r="194" spans="1:17" x14ac:dyDescent="0.35">
      <c r="A194" s="1"/>
      <c r="B194" s="1"/>
      <c r="C194" s="1"/>
      <c r="D194" s="1"/>
      <c r="E194" s="1"/>
      <c r="F194" s="1"/>
      <c r="G194" s="1"/>
      <c r="H194" s="1"/>
      <c r="I194" s="1"/>
      <c r="J194" s="1"/>
      <c r="K194" s="1"/>
      <c r="L194" s="1"/>
      <c r="M194" s="1"/>
      <c r="N194" s="1"/>
      <c r="O194" s="1"/>
      <c r="P194" s="1"/>
      <c r="Q194" s="1"/>
    </row>
    <row r="195" spans="1:17" x14ac:dyDescent="0.35">
      <c r="A195" s="1"/>
      <c r="B195" s="1"/>
      <c r="C195" s="1"/>
      <c r="D195" s="1"/>
      <c r="E195" s="1"/>
      <c r="F195" s="1"/>
      <c r="G195" s="1"/>
      <c r="H195" s="1"/>
      <c r="I195" s="1"/>
      <c r="J195" s="1"/>
      <c r="K195" s="1"/>
      <c r="L195" s="1"/>
      <c r="M195" s="1"/>
      <c r="N195" s="1"/>
      <c r="O195" s="1"/>
      <c r="P195" s="1"/>
      <c r="Q195" s="1"/>
    </row>
    <row r="196" spans="1:17" x14ac:dyDescent="0.35">
      <c r="A196" s="1"/>
      <c r="B196" s="1"/>
      <c r="C196" s="1"/>
      <c r="D196" s="1"/>
      <c r="E196" s="1"/>
      <c r="F196" s="1"/>
      <c r="G196" s="1"/>
      <c r="H196" s="1"/>
      <c r="I196" s="1"/>
      <c r="J196" s="1"/>
      <c r="K196" s="1"/>
      <c r="L196" s="1"/>
      <c r="M196" s="1"/>
      <c r="N196" s="1"/>
      <c r="O196" s="1"/>
      <c r="P196" s="1"/>
      <c r="Q196" s="1"/>
    </row>
    <row r="197" spans="1:17" x14ac:dyDescent="0.35">
      <c r="A197" s="1"/>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1:17" x14ac:dyDescent="0.35">
      <c r="A198" s="1"/>
      <c r="B198" s="37"/>
      <c r="C198" s="38"/>
      <c r="D198" s="31"/>
      <c r="E198" s="32"/>
      <c r="F198" s="34"/>
      <c r="G198" s="33"/>
      <c r="H198" s="34"/>
      <c r="I198" s="33"/>
      <c r="J198" s="34"/>
      <c r="K198" s="34"/>
      <c r="L198" s="34"/>
      <c r="M198" s="33"/>
      <c r="N198" s="34"/>
      <c r="O198" s="35"/>
      <c r="P198" s="36"/>
      <c r="Q198" s="35"/>
    </row>
    <row r="199" spans="1:17" x14ac:dyDescent="0.35">
      <c r="A199" s="1"/>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1:17" x14ac:dyDescent="0.35">
      <c r="A200" s="1"/>
      <c r="B200" s="1"/>
      <c r="C200" s="1"/>
      <c r="D200" s="1"/>
      <c r="E200" s="1"/>
      <c r="F200" s="1"/>
      <c r="G200" s="1"/>
      <c r="H200" s="1"/>
      <c r="I200" s="1"/>
      <c r="J200" s="1"/>
      <c r="K200" s="1"/>
      <c r="L200" s="1"/>
      <c r="M200" s="1"/>
      <c r="N200" s="1"/>
      <c r="O200" s="1"/>
      <c r="P200" s="1"/>
      <c r="Q200" s="78" t="s">
        <v>21404</v>
      </c>
    </row>
    <row r="201" spans="1:17" x14ac:dyDescent="0.35">
      <c r="A201" s="1"/>
      <c r="B201" s="1"/>
      <c r="C201" s="78" t="s">
        <v>21592</v>
      </c>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77" t="s">
        <v>21399</v>
      </c>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t="s">
        <v>21398</v>
      </c>
      <c r="D205" s="1" t="s">
        <v>75</v>
      </c>
      <c r="E205" s="1" t="s">
        <v>13768</v>
      </c>
      <c r="F205" s="2" t="s">
        <v>21397</v>
      </c>
      <c r="G205" s="1" t="s">
        <v>9</v>
      </c>
      <c r="H205" s="1"/>
      <c r="I205" s="1"/>
      <c r="J205" s="1"/>
      <c r="K205" s="1"/>
      <c r="L205" s="1"/>
      <c r="M205" s="1"/>
      <c r="N205" s="1"/>
      <c r="O205" s="1"/>
      <c r="P205" s="1"/>
      <c r="Q205" s="1"/>
    </row>
    <row r="206" spans="1:17" x14ac:dyDescent="0.35">
      <c r="B206" s="49" t="s">
        <v>14870</v>
      </c>
      <c r="C206" s="352" t="s">
        <v>14871</v>
      </c>
    </row>
    <row r="207" spans="1:17" x14ac:dyDescent="0.35">
      <c r="B207" s="49" t="s">
        <v>14872</v>
      </c>
      <c r="C207" s="53" t="s">
        <v>14873</v>
      </c>
    </row>
    <row r="208" spans="1:17" x14ac:dyDescent="0.35">
      <c r="B208" s="49" t="s">
        <v>14874</v>
      </c>
      <c r="C208" s="53" t="s">
        <v>14875</v>
      </c>
    </row>
    <row r="209" spans="2:3" x14ac:dyDescent="0.35">
      <c r="B209" s="49" t="s">
        <v>14876</v>
      </c>
      <c r="C209" s="53" t="s">
        <v>14877</v>
      </c>
    </row>
    <row r="210" spans="2:3" x14ac:dyDescent="0.35">
      <c r="B210" s="49" t="s">
        <v>14878</v>
      </c>
      <c r="C210" s="53" t="s">
        <v>14879</v>
      </c>
    </row>
    <row r="211" spans="2:3" x14ac:dyDescent="0.35">
      <c r="B211" s="49" t="s">
        <v>14880</v>
      </c>
      <c r="C211" s="53" t="s">
        <v>14881</v>
      </c>
    </row>
  </sheetData>
  <mergeCells count="9">
    <mergeCell ref="J5:K5"/>
    <mergeCell ref="J6:K6"/>
    <mergeCell ref="J7:K7"/>
    <mergeCell ref="A3:B3"/>
    <mergeCell ref="D3:G3"/>
    <mergeCell ref="J3:K3"/>
    <mergeCell ref="P3:Q3"/>
    <mergeCell ref="A4:B4"/>
    <mergeCell ref="J4:K4"/>
  </mergeCells>
  <dataValidations count="1">
    <dataValidation type="list" allowBlank="1" showInputMessage="1" showErrorMessage="1" sqref="C16:C190" xr:uid="{AC7A2896-1C97-4A53-B66C-C8C3CE1B274C}">
      <formula1>$C$205:$C207</formula1>
    </dataValidation>
  </dataValidations>
  <hyperlinks>
    <hyperlink ref="D3" r:id="rId1" display="datamateapp@gmail.com" xr:uid="{E1A84167-4498-4DE5-B56D-B591727A5C14}"/>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65953" r:id="rId4" name="Button 1">
              <controlPr defaultSize="0" print="0" autoFill="0" autoPict="0" macro="SaveData">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765954" r:id="rId5" name="Button 2">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765955"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765956"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765957" r:id="rId8" name="Button 5">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765958" r:id="rId9" name="Button 6">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765959" r:id="rId10" name="Button 7">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765960" r:id="rId11" name="Button 8">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mc:AlternateContent xmlns:mc="http://schemas.openxmlformats.org/markup-compatibility/2006">
          <mc:Choice Requires="x14">
            <control shapeId="765962" r:id="rId12" name="Button 10">
              <controlPr defaultSize="0" print="0" autoFill="0" autoPict="0" macro="[0]!ExitSEC_121000">
                <anchor moveWithCells="1" sizeWithCells="1">
                  <from>
                    <xdr:col>16</xdr:col>
                    <xdr:colOff>0</xdr:colOff>
                    <xdr:row>0</xdr:row>
                    <xdr:rowOff>0</xdr:rowOff>
                  </from>
                  <to>
                    <xdr:col>16</xdr:col>
                    <xdr:colOff>1270000</xdr:colOff>
                    <xdr:row>2</xdr:row>
                    <xdr:rowOff>12700</xdr:rowOff>
                  </to>
                </anchor>
              </controlPr>
            </control>
          </mc:Choice>
        </mc:AlternateContent>
      </controls>
    </mc:Choice>
  </mc:AlternateContent>
</worksheet>
</file>

<file path=xl/worksheets/sheet1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0514B-A614-426A-81DA-7263BCAE141D}">
  <sheetPr codeName="Sheet163"/>
  <dimension ref="A1:Q212"/>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WINDOW TREATMENTS</v>
      </c>
      <c r="J2" s="59"/>
      <c r="K2" s="59"/>
      <c r="L2" s="1"/>
      <c r="M2" s="59"/>
      <c r="N2" s="59"/>
      <c r="O2" s="60"/>
      <c r="P2" s="57"/>
      <c r="Q2" s="57"/>
    </row>
    <row r="3" spans="1:17" ht="15" thickBot="1" x14ac:dyDescent="0.4">
      <c r="A3" s="446" t="s">
        <v>21561</v>
      </c>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12 20 00</v>
      </c>
      <c r="C10" s="24" t="str">
        <f>C206</f>
        <v>WINDOW TREATMENTS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WINDOW TREATMENTS</v>
      </c>
      <c r="D12" s="31"/>
      <c r="E12" s="32"/>
      <c r="F12" s="34"/>
      <c r="G12" s="33"/>
      <c r="H12" s="34"/>
      <c r="I12" s="33"/>
      <c r="J12" s="34"/>
      <c r="K12" s="34"/>
      <c r="L12" s="34"/>
      <c r="M12" s="33"/>
      <c r="N12" s="34"/>
      <c r="O12" s="35"/>
      <c r="P12" s="31"/>
      <c r="Q12" s="35"/>
    </row>
    <row r="13" spans="1:17" x14ac:dyDescent="0.35">
      <c r="A13" s="1"/>
      <c r="B13" s="1"/>
      <c r="C13" s="1"/>
      <c r="D13" s="1"/>
      <c r="E13" s="1"/>
      <c r="F13" s="1"/>
      <c r="G13" s="1"/>
      <c r="H13" s="1"/>
      <c r="I13" s="1"/>
      <c r="J13" s="1"/>
      <c r="K13" s="1"/>
      <c r="L13" s="1"/>
      <c r="M13" s="1"/>
      <c r="N13" s="1"/>
      <c r="O13" s="1"/>
      <c r="P13" s="1"/>
      <c r="Q13" s="1"/>
    </row>
    <row r="14" spans="1:17" x14ac:dyDescent="0.35">
      <c r="A14" s="1"/>
      <c r="B14" s="1"/>
      <c r="C14" s="1"/>
      <c r="D14" s="1"/>
      <c r="E14" s="1"/>
      <c r="F14" s="1"/>
      <c r="G14" s="1"/>
      <c r="H14" s="1"/>
      <c r="I14" s="1"/>
      <c r="J14" s="1"/>
      <c r="K14" s="1"/>
      <c r="L14" s="1"/>
      <c r="M14" s="1"/>
      <c r="N14" s="1"/>
      <c r="O14" s="1"/>
      <c r="P14" s="1"/>
      <c r="Q14" s="1"/>
    </row>
    <row r="15" spans="1:17" x14ac:dyDescent="0.35">
      <c r="A15" s="1"/>
      <c r="B15" s="1"/>
      <c r="C15" s="1"/>
      <c r="D15" s="1"/>
      <c r="E15" s="1"/>
      <c r="F15" s="1"/>
      <c r="G15" s="1"/>
      <c r="H15" s="1"/>
      <c r="I15" s="1"/>
      <c r="J15" s="1"/>
      <c r="K15" s="1"/>
      <c r="L15" s="1"/>
      <c r="M15" s="1"/>
      <c r="N15" s="1"/>
      <c r="O15" s="1"/>
      <c r="P15" s="1"/>
      <c r="Q15" s="1"/>
    </row>
    <row r="16" spans="1:17" x14ac:dyDescent="0.35">
      <c r="A16" s="1"/>
      <c r="B16" s="1"/>
      <c r="C16" s="1"/>
      <c r="D16" s="1"/>
      <c r="E16" s="1"/>
      <c r="F16" s="1"/>
      <c r="G16" s="1"/>
      <c r="H16" s="1"/>
      <c r="I16" s="1"/>
      <c r="J16" s="1"/>
      <c r="K16" s="1"/>
      <c r="L16" s="1"/>
      <c r="M16" s="1"/>
      <c r="N16" s="1"/>
      <c r="O16" s="1"/>
      <c r="P16" s="1"/>
      <c r="Q16" s="1"/>
    </row>
    <row r="17" spans="1:17" x14ac:dyDescent="0.35">
      <c r="A17" s="1"/>
      <c r="B17" s="1"/>
      <c r="C17" s="1"/>
      <c r="D17" s="1"/>
      <c r="E17" s="1"/>
      <c r="F17" s="1"/>
      <c r="G17" s="1"/>
      <c r="H17" s="1"/>
      <c r="I17" s="1"/>
      <c r="J17" s="1"/>
      <c r="K17" s="1"/>
      <c r="L17" s="1"/>
      <c r="M17" s="1"/>
      <c r="N17" s="1"/>
      <c r="O17" s="1"/>
      <c r="P17" s="1"/>
      <c r="Q17" s="1"/>
    </row>
    <row r="18" spans="1:17" x14ac:dyDescent="0.35">
      <c r="A18" s="1"/>
      <c r="B18" s="1"/>
      <c r="C18" s="1"/>
      <c r="D18" s="1"/>
      <c r="E18" s="1"/>
      <c r="F18" s="1"/>
      <c r="G18" s="1"/>
      <c r="H18" s="1"/>
      <c r="I18" s="1"/>
      <c r="J18" s="1"/>
      <c r="K18" s="1"/>
      <c r="L18" s="1"/>
      <c r="M18" s="1"/>
      <c r="N18" s="1"/>
      <c r="O18" s="1"/>
      <c r="P18" s="1"/>
      <c r="Q18" s="1"/>
    </row>
    <row r="19" spans="1:17" x14ac:dyDescent="0.35">
      <c r="A19" s="1"/>
      <c r="B19" s="1"/>
      <c r="C19" s="1"/>
      <c r="D19" s="1"/>
      <c r="E19" s="1"/>
      <c r="F19" s="1"/>
      <c r="G19" s="1"/>
      <c r="H19" s="1"/>
      <c r="I19" s="1"/>
      <c r="J19" s="1"/>
      <c r="K19" s="1"/>
      <c r="L19" s="1"/>
      <c r="M19" s="1"/>
      <c r="N19" s="1"/>
      <c r="O19" s="1"/>
      <c r="P19" s="1"/>
      <c r="Q19" s="1"/>
    </row>
    <row r="20" spans="1:17" x14ac:dyDescent="0.35">
      <c r="A20" s="1"/>
      <c r="B20" s="1"/>
      <c r="C20" s="1"/>
      <c r="D20" s="1"/>
      <c r="E20" s="1"/>
      <c r="F20" s="1"/>
      <c r="G20" s="1"/>
      <c r="H20" s="1"/>
      <c r="I20" s="1"/>
      <c r="J20" s="1"/>
      <c r="K20" s="1"/>
      <c r="L20" s="1"/>
      <c r="M20" s="1"/>
      <c r="N20" s="1"/>
      <c r="O20" s="1"/>
      <c r="P20" s="1"/>
      <c r="Q20" s="1"/>
    </row>
    <row r="21" spans="1:17" x14ac:dyDescent="0.35">
      <c r="A21" s="1"/>
      <c r="B21" s="1"/>
      <c r="C21" s="1"/>
      <c r="D21" s="1"/>
      <c r="E21" s="1"/>
      <c r="F21" s="1"/>
      <c r="G21" s="1"/>
      <c r="H21" s="1"/>
      <c r="I21" s="1"/>
      <c r="J21" s="1"/>
      <c r="K21" s="1"/>
      <c r="L21" s="1"/>
      <c r="M21" s="1"/>
      <c r="N21" s="1"/>
      <c r="O21" s="1"/>
      <c r="P21" s="1"/>
      <c r="Q21" s="1"/>
    </row>
    <row r="22" spans="1:17" x14ac:dyDescent="0.35">
      <c r="A22" s="1"/>
      <c r="B22" s="1"/>
      <c r="C22" s="1"/>
      <c r="D22" s="1"/>
      <c r="E22" s="1"/>
      <c r="F22" s="1"/>
      <c r="G22" s="1"/>
      <c r="H22" s="1"/>
      <c r="I22" s="1"/>
      <c r="J22" s="1"/>
      <c r="K22" s="1"/>
      <c r="L22" s="1"/>
      <c r="M22" s="1"/>
      <c r="N22" s="1"/>
      <c r="O22" s="1"/>
      <c r="P22" s="1"/>
      <c r="Q22" s="1"/>
    </row>
    <row r="23" spans="1:17" x14ac:dyDescent="0.35">
      <c r="A23" s="1"/>
      <c r="B23" s="1"/>
      <c r="C23" s="1"/>
      <c r="D23" s="1"/>
      <c r="E23" s="1"/>
      <c r="F23" s="1"/>
      <c r="G23" s="1"/>
      <c r="H23" s="1"/>
      <c r="I23" s="1"/>
      <c r="J23" s="1"/>
      <c r="K23" s="1"/>
      <c r="L23" s="1"/>
      <c r="M23" s="1"/>
      <c r="N23" s="1"/>
      <c r="O23" s="1"/>
      <c r="P23" s="1"/>
      <c r="Q23" s="1"/>
    </row>
    <row r="24" spans="1:17" x14ac:dyDescent="0.35">
      <c r="A24" s="1"/>
      <c r="B24" s="1"/>
      <c r="C24" s="1"/>
      <c r="D24" s="1"/>
      <c r="E24" s="1"/>
      <c r="F24" s="1"/>
      <c r="G24" s="1"/>
      <c r="H24" s="1"/>
      <c r="I24" s="1"/>
      <c r="J24" s="1"/>
      <c r="K24" s="1"/>
      <c r="L24" s="1"/>
      <c r="M24" s="1"/>
      <c r="N24" s="1"/>
      <c r="O24" s="1"/>
      <c r="P24" s="1"/>
      <c r="Q24" s="1"/>
    </row>
    <row r="25" spans="1:17" x14ac:dyDescent="0.35">
      <c r="A25" s="1"/>
      <c r="B25" s="1"/>
      <c r="C25" s="1"/>
      <c r="D25" s="1"/>
      <c r="E25" s="1"/>
      <c r="F25" s="1"/>
      <c r="G25" s="1"/>
      <c r="H25" s="1"/>
      <c r="I25" s="1"/>
      <c r="J25" s="1"/>
      <c r="K25" s="1"/>
      <c r="L25" s="1"/>
      <c r="M25" s="1"/>
      <c r="N25" s="1"/>
      <c r="O25" s="1"/>
      <c r="P25" s="1"/>
      <c r="Q25" s="1"/>
    </row>
    <row r="26" spans="1:17" x14ac:dyDescent="0.35">
      <c r="A26" s="1"/>
      <c r="B26" s="1"/>
      <c r="C26" s="1"/>
      <c r="D26" s="1"/>
      <c r="E26" s="1"/>
      <c r="F26" s="1"/>
      <c r="G26" s="1"/>
      <c r="H26" s="1"/>
      <c r="I26" s="1"/>
      <c r="J26" s="1"/>
      <c r="K26" s="1"/>
      <c r="L26" s="1"/>
      <c r="M26" s="1"/>
      <c r="N26" s="1"/>
      <c r="O26" s="1"/>
      <c r="P26" s="1"/>
      <c r="Q26" s="1"/>
    </row>
    <row r="27" spans="1:17" x14ac:dyDescent="0.35">
      <c r="A27" s="1"/>
      <c r="B27" s="1"/>
      <c r="C27" s="1"/>
      <c r="D27" s="1"/>
      <c r="E27" s="1"/>
      <c r="F27" s="1"/>
      <c r="G27" s="1"/>
      <c r="H27" s="1"/>
      <c r="I27" s="1"/>
      <c r="J27" s="1"/>
      <c r="K27" s="1"/>
      <c r="L27" s="1"/>
      <c r="M27" s="1"/>
      <c r="N27" s="1"/>
      <c r="O27" s="1"/>
      <c r="P27" s="1"/>
      <c r="Q27" s="1"/>
    </row>
    <row r="28" spans="1:17" x14ac:dyDescent="0.35">
      <c r="A28" s="1"/>
      <c r="B28" s="1"/>
      <c r="C28" s="1"/>
      <c r="D28" s="1"/>
      <c r="E28" s="1"/>
      <c r="F28" s="1"/>
      <c r="G28" s="1"/>
      <c r="H28" s="1"/>
      <c r="I28" s="1"/>
      <c r="J28" s="1"/>
      <c r="K28" s="1"/>
      <c r="L28" s="1"/>
      <c r="M28" s="1"/>
      <c r="N28" s="1"/>
      <c r="O28" s="1"/>
      <c r="P28" s="1"/>
      <c r="Q28" s="1"/>
    </row>
    <row r="29" spans="1:17" x14ac:dyDescent="0.35">
      <c r="A29" s="1"/>
      <c r="B29" s="1"/>
      <c r="C29" s="1"/>
      <c r="D29" s="1"/>
      <c r="E29" s="1"/>
      <c r="F29" s="1"/>
      <c r="G29" s="1"/>
      <c r="H29" s="1"/>
      <c r="I29" s="1"/>
      <c r="J29" s="1"/>
      <c r="K29" s="1"/>
      <c r="L29" s="1"/>
      <c r="M29" s="1"/>
      <c r="N29" s="1"/>
      <c r="O29" s="1"/>
      <c r="P29" s="1"/>
      <c r="Q29" s="1"/>
    </row>
    <row r="30" spans="1:17" x14ac:dyDescent="0.35">
      <c r="A30" s="1"/>
      <c r="B30" s="1"/>
      <c r="C30" s="1"/>
      <c r="D30" s="1"/>
      <c r="E30" s="1"/>
      <c r="F30" s="1"/>
      <c r="G30" s="1"/>
      <c r="H30" s="1"/>
      <c r="I30" s="1"/>
      <c r="J30" s="1"/>
      <c r="K30" s="1"/>
      <c r="L30" s="1"/>
      <c r="M30" s="1"/>
      <c r="N30" s="1"/>
      <c r="O30" s="1"/>
      <c r="P30" s="1"/>
      <c r="Q30" s="1"/>
    </row>
    <row r="31" spans="1:17" x14ac:dyDescent="0.35">
      <c r="A31" s="1"/>
      <c r="B31" s="1"/>
      <c r="C31" s="1"/>
      <c r="D31" s="1"/>
      <c r="E31" s="1"/>
      <c r="F31" s="1"/>
      <c r="G31" s="1"/>
      <c r="H31" s="1"/>
      <c r="I31" s="1"/>
      <c r="J31" s="1"/>
      <c r="K31" s="1"/>
      <c r="L31" s="1"/>
      <c r="M31" s="1"/>
      <c r="N31" s="1"/>
      <c r="O31" s="1"/>
      <c r="P31" s="1"/>
      <c r="Q31" s="1"/>
    </row>
    <row r="32" spans="1:17" x14ac:dyDescent="0.35">
      <c r="A32" s="1"/>
      <c r="B32" s="1"/>
      <c r="C32" s="1"/>
      <c r="D32" s="1"/>
      <c r="E32" s="1"/>
      <c r="F32" s="1"/>
      <c r="G32" s="1"/>
      <c r="H32" s="1"/>
      <c r="I32" s="1"/>
      <c r="J32" s="1"/>
      <c r="K32" s="1"/>
      <c r="L32" s="1"/>
      <c r="M32" s="1"/>
      <c r="N32" s="1"/>
      <c r="O32" s="1"/>
      <c r="P32" s="1"/>
      <c r="Q32" s="1"/>
    </row>
    <row r="33" spans="1:17" x14ac:dyDescent="0.35">
      <c r="A33" s="1"/>
      <c r="B33" s="1"/>
      <c r="C33" s="1"/>
      <c r="D33" s="1"/>
      <c r="E33" s="1"/>
      <c r="F33" s="1"/>
      <c r="G33" s="1"/>
      <c r="H33" s="1"/>
      <c r="I33" s="1"/>
      <c r="J33" s="1"/>
      <c r="K33" s="1"/>
      <c r="L33" s="1"/>
      <c r="M33" s="1"/>
      <c r="N33" s="1"/>
      <c r="O33" s="1"/>
      <c r="P33" s="1"/>
      <c r="Q33" s="1"/>
    </row>
    <row r="34" spans="1:17" x14ac:dyDescent="0.35">
      <c r="A34" s="1"/>
      <c r="B34" s="1"/>
      <c r="C34" s="1"/>
      <c r="D34" s="1"/>
      <c r="E34" s="1"/>
      <c r="F34" s="1"/>
      <c r="G34" s="1"/>
      <c r="H34" s="1"/>
      <c r="I34" s="1"/>
      <c r="J34" s="1"/>
      <c r="K34" s="1"/>
      <c r="L34" s="1"/>
      <c r="M34" s="1"/>
      <c r="N34" s="1"/>
      <c r="O34" s="1"/>
      <c r="P34" s="1"/>
      <c r="Q34" s="1"/>
    </row>
    <row r="35" spans="1:17" x14ac:dyDescent="0.35">
      <c r="A35" s="1"/>
      <c r="B35" s="1"/>
      <c r="C35" s="1"/>
      <c r="D35" s="1"/>
      <c r="E35" s="1"/>
      <c r="F35" s="1"/>
      <c r="G35" s="1"/>
      <c r="H35" s="1"/>
      <c r="I35" s="1"/>
      <c r="J35" s="1"/>
      <c r="K35" s="1"/>
      <c r="L35" s="1"/>
      <c r="M35" s="1"/>
      <c r="N35" s="1"/>
      <c r="O35" s="1"/>
      <c r="P35" s="1"/>
      <c r="Q35" s="1"/>
    </row>
    <row r="36" spans="1:17" x14ac:dyDescent="0.35">
      <c r="A36" s="1"/>
      <c r="B36" s="1"/>
      <c r="C36" s="1"/>
      <c r="D36" s="1"/>
      <c r="E36" s="1"/>
      <c r="F36" s="1"/>
      <c r="G36" s="1"/>
      <c r="H36" s="1"/>
      <c r="I36" s="1"/>
      <c r="J36" s="1"/>
      <c r="K36" s="1"/>
      <c r="L36" s="1"/>
      <c r="M36" s="1"/>
      <c r="N36" s="1"/>
      <c r="O36" s="1"/>
      <c r="P36" s="1"/>
      <c r="Q36" s="1"/>
    </row>
    <row r="37" spans="1:17" x14ac:dyDescent="0.35">
      <c r="A37" s="1"/>
      <c r="B37" s="1"/>
      <c r="C37" s="1"/>
      <c r="D37" s="1"/>
      <c r="E37" s="1"/>
      <c r="F37" s="1"/>
      <c r="G37" s="1"/>
      <c r="H37" s="1"/>
      <c r="I37" s="1"/>
      <c r="J37" s="1"/>
      <c r="K37" s="1"/>
      <c r="L37" s="1"/>
      <c r="M37" s="1"/>
      <c r="N37" s="1"/>
      <c r="O37" s="1"/>
      <c r="P37" s="1"/>
      <c r="Q37" s="1"/>
    </row>
    <row r="38" spans="1:17" x14ac:dyDescent="0.35">
      <c r="A38" s="1"/>
      <c r="B38" s="1"/>
      <c r="C38" s="1"/>
      <c r="D38" s="1"/>
      <c r="E38" s="1"/>
      <c r="F38" s="1"/>
      <c r="G38" s="1"/>
      <c r="H38" s="1"/>
      <c r="I38" s="1"/>
      <c r="J38" s="1"/>
      <c r="K38" s="1"/>
      <c r="L38" s="1"/>
      <c r="M38" s="1"/>
      <c r="N38" s="1"/>
      <c r="O38" s="1"/>
      <c r="P38" s="1"/>
      <c r="Q38" s="1"/>
    </row>
    <row r="39" spans="1:17" x14ac:dyDescent="0.35">
      <c r="A39" s="1"/>
      <c r="B39" s="1"/>
      <c r="C39" s="1"/>
      <c r="D39" s="1"/>
      <c r="E39" s="1"/>
      <c r="F39" s="1"/>
      <c r="G39" s="1"/>
      <c r="H39" s="1"/>
      <c r="I39" s="1"/>
      <c r="J39" s="1"/>
      <c r="K39" s="1"/>
      <c r="L39" s="1"/>
      <c r="M39" s="1"/>
      <c r="N39" s="1"/>
      <c r="O39" s="1"/>
      <c r="P39" s="1"/>
      <c r="Q39" s="1"/>
    </row>
    <row r="40" spans="1:17" x14ac:dyDescent="0.35">
      <c r="A40" s="1"/>
      <c r="B40" s="1"/>
      <c r="C40" s="1"/>
      <c r="D40" s="1"/>
      <c r="E40" s="1"/>
      <c r="F40" s="1"/>
      <c r="G40" s="1"/>
      <c r="H40" s="1"/>
      <c r="I40" s="1"/>
      <c r="J40" s="1"/>
      <c r="K40" s="1"/>
      <c r="L40" s="1"/>
      <c r="M40" s="1"/>
      <c r="N40" s="1"/>
      <c r="O40" s="1"/>
      <c r="P40" s="1"/>
      <c r="Q40" s="1"/>
    </row>
    <row r="41" spans="1:17" x14ac:dyDescent="0.35">
      <c r="A41" s="1"/>
      <c r="B41" s="1"/>
      <c r="C41" s="1"/>
      <c r="D41" s="1"/>
      <c r="E41" s="1"/>
      <c r="F41" s="1"/>
      <c r="G41" s="1"/>
      <c r="H41" s="1"/>
      <c r="I41" s="1"/>
      <c r="J41" s="1"/>
      <c r="K41" s="1"/>
      <c r="L41" s="1"/>
      <c r="M41" s="1"/>
      <c r="N41" s="1"/>
      <c r="O41" s="1"/>
      <c r="P41" s="1"/>
      <c r="Q41" s="1"/>
    </row>
    <row r="42" spans="1:17" x14ac:dyDescent="0.35">
      <c r="A42" s="1"/>
      <c r="B42" s="1"/>
      <c r="C42" s="1"/>
      <c r="D42" s="1"/>
      <c r="E42" s="1"/>
      <c r="F42" s="1"/>
      <c r="G42" s="1"/>
      <c r="H42" s="1"/>
      <c r="I42" s="1"/>
      <c r="J42" s="1"/>
      <c r="K42" s="1"/>
      <c r="L42" s="1"/>
      <c r="M42" s="1"/>
      <c r="N42" s="1"/>
      <c r="O42" s="1"/>
      <c r="P42" s="1"/>
      <c r="Q42" s="1"/>
    </row>
    <row r="43" spans="1:17" x14ac:dyDescent="0.35">
      <c r="A43" s="1"/>
      <c r="B43" s="1"/>
      <c r="C43" s="1"/>
      <c r="D43" s="1"/>
      <c r="E43" s="1"/>
      <c r="F43" s="1"/>
      <c r="G43" s="1"/>
      <c r="H43" s="1"/>
      <c r="I43" s="1"/>
      <c r="J43" s="1"/>
      <c r="K43" s="1"/>
      <c r="L43" s="1"/>
      <c r="M43" s="1"/>
      <c r="N43" s="1"/>
      <c r="O43" s="1"/>
      <c r="P43" s="1"/>
      <c r="Q43" s="1"/>
    </row>
    <row r="44" spans="1:17" x14ac:dyDescent="0.35">
      <c r="A44" s="1"/>
      <c r="B44" s="1"/>
      <c r="C44" s="1"/>
      <c r="D44" s="1"/>
      <c r="E44" s="1"/>
      <c r="F44" s="1"/>
      <c r="G44" s="1"/>
      <c r="H44" s="1"/>
      <c r="I44" s="1"/>
      <c r="J44" s="1"/>
      <c r="K44" s="1"/>
      <c r="L44" s="1"/>
      <c r="M44" s="1"/>
      <c r="N44" s="1"/>
      <c r="O44" s="1"/>
      <c r="P44" s="1"/>
      <c r="Q44" s="1"/>
    </row>
    <row r="45" spans="1:17" x14ac:dyDescent="0.35">
      <c r="A45" s="1"/>
      <c r="B45" s="1"/>
      <c r="C45" s="1"/>
      <c r="D45" s="1"/>
      <c r="E45" s="1"/>
      <c r="F45" s="1"/>
      <c r="G45" s="1"/>
      <c r="H45" s="1"/>
      <c r="I45" s="1"/>
      <c r="J45" s="1"/>
      <c r="K45" s="1"/>
      <c r="L45" s="1"/>
      <c r="M45" s="1"/>
      <c r="N45" s="1"/>
      <c r="O45" s="1"/>
      <c r="P45" s="1"/>
      <c r="Q45" s="1"/>
    </row>
    <row r="46" spans="1:17" x14ac:dyDescent="0.35">
      <c r="A46" s="1"/>
      <c r="B46" s="1"/>
      <c r="C46" s="1"/>
      <c r="D46" s="1"/>
      <c r="E46" s="1"/>
      <c r="F46" s="1"/>
      <c r="G46" s="1"/>
      <c r="H46" s="1"/>
      <c r="I46" s="1"/>
      <c r="J46" s="1"/>
      <c r="K46" s="1"/>
      <c r="L46" s="1"/>
      <c r="M46" s="1"/>
      <c r="N46" s="1"/>
      <c r="O46" s="1"/>
      <c r="P46" s="1"/>
      <c r="Q46" s="1"/>
    </row>
    <row r="47" spans="1:17" x14ac:dyDescent="0.35">
      <c r="A47" s="1"/>
      <c r="B47" s="1"/>
      <c r="C47" s="1"/>
      <c r="D47" s="1"/>
      <c r="E47" s="1"/>
      <c r="F47" s="1"/>
      <c r="G47" s="1"/>
      <c r="H47" s="1"/>
      <c r="I47" s="1"/>
      <c r="J47" s="1"/>
      <c r="K47" s="1"/>
      <c r="L47" s="1"/>
      <c r="M47" s="1"/>
      <c r="N47" s="1"/>
      <c r="O47" s="1"/>
      <c r="P47" s="1"/>
      <c r="Q47" s="1"/>
    </row>
    <row r="48" spans="1:17" x14ac:dyDescent="0.35">
      <c r="A48" s="1"/>
      <c r="B48" s="1"/>
      <c r="C48" s="1"/>
      <c r="D48" s="1"/>
      <c r="E48" s="1"/>
      <c r="F48" s="1"/>
      <c r="G48" s="1"/>
      <c r="H48" s="1"/>
      <c r="I48" s="1"/>
      <c r="J48" s="1"/>
      <c r="K48" s="1"/>
      <c r="L48" s="1"/>
      <c r="M48" s="1"/>
      <c r="N48" s="1"/>
      <c r="O48" s="1"/>
      <c r="P48" s="1"/>
      <c r="Q48" s="1"/>
    </row>
    <row r="49" spans="1:17" x14ac:dyDescent="0.35">
      <c r="A49" s="1"/>
      <c r="B49" s="1"/>
      <c r="C49" s="1"/>
      <c r="D49" s="1"/>
      <c r="E49" s="1"/>
      <c r="F49" s="1"/>
      <c r="G49" s="1"/>
      <c r="H49" s="1"/>
      <c r="I49" s="1"/>
      <c r="J49" s="1"/>
      <c r="K49" s="1"/>
      <c r="L49" s="1"/>
      <c r="M49" s="1"/>
      <c r="N49" s="1"/>
      <c r="O49" s="1"/>
      <c r="P49" s="1"/>
      <c r="Q49" s="1"/>
    </row>
    <row r="50" spans="1:17" x14ac:dyDescent="0.35">
      <c r="A50" s="1"/>
      <c r="B50" s="1"/>
      <c r="C50" s="1"/>
      <c r="D50" s="1"/>
      <c r="E50" s="1"/>
      <c r="F50" s="1"/>
      <c r="G50" s="1"/>
      <c r="H50" s="1"/>
      <c r="I50" s="1"/>
      <c r="J50" s="1"/>
      <c r="K50" s="1"/>
      <c r="L50" s="1"/>
      <c r="M50" s="1"/>
      <c r="N50" s="1"/>
      <c r="O50" s="1"/>
      <c r="P50" s="1"/>
      <c r="Q50" s="1"/>
    </row>
    <row r="51" spans="1:17" x14ac:dyDescent="0.35">
      <c r="A51" s="1"/>
      <c r="B51" s="1"/>
      <c r="C51" s="1"/>
      <c r="D51" s="1"/>
      <c r="E51" s="1"/>
      <c r="F51" s="1"/>
      <c r="G51" s="1"/>
      <c r="H51" s="1"/>
      <c r="I51" s="1"/>
      <c r="J51" s="1"/>
      <c r="K51" s="1"/>
      <c r="L51" s="1"/>
      <c r="M51" s="1"/>
      <c r="N51" s="1"/>
      <c r="O51" s="1"/>
      <c r="P51" s="1"/>
      <c r="Q51" s="1"/>
    </row>
    <row r="52" spans="1:17" x14ac:dyDescent="0.35">
      <c r="A52" s="1"/>
      <c r="B52" s="1"/>
      <c r="C52" s="1"/>
      <c r="D52" s="1"/>
      <c r="E52" s="1"/>
      <c r="F52" s="1"/>
      <c r="G52" s="1"/>
      <c r="H52" s="1"/>
      <c r="I52" s="1"/>
      <c r="J52" s="1"/>
      <c r="K52" s="1"/>
      <c r="L52" s="1"/>
      <c r="M52" s="1"/>
      <c r="N52" s="1"/>
      <c r="O52" s="1"/>
      <c r="P52" s="1"/>
      <c r="Q52" s="1"/>
    </row>
    <row r="53" spans="1:17" x14ac:dyDescent="0.35">
      <c r="A53" s="1"/>
      <c r="B53" s="1"/>
      <c r="C53" s="1"/>
      <c r="D53" s="1"/>
      <c r="E53" s="1"/>
      <c r="F53" s="1"/>
      <c r="G53" s="1"/>
      <c r="H53" s="1"/>
      <c r="I53" s="1"/>
      <c r="J53" s="1"/>
      <c r="K53" s="1"/>
      <c r="L53" s="1"/>
      <c r="M53" s="1"/>
      <c r="N53" s="1"/>
      <c r="O53" s="1"/>
      <c r="P53" s="1"/>
      <c r="Q53" s="1"/>
    </row>
    <row r="54" spans="1:17" x14ac:dyDescent="0.35">
      <c r="A54" s="1"/>
      <c r="B54" s="1"/>
      <c r="C54" s="1"/>
      <c r="D54" s="1"/>
      <c r="E54" s="1"/>
      <c r="F54" s="1"/>
      <c r="G54" s="1"/>
      <c r="H54" s="1"/>
      <c r="I54" s="1"/>
      <c r="J54" s="1"/>
      <c r="K54" s="1"/>
      <c r="L54" s="1"/>
      <c r="M54" s="1"/>
      <c r="N54" s="1"/>
      <c r="O54" s="1"/>
      <c r="P54" s="1"/>
      <c r="Q54" s="1"/>
    </row>
    <row r="55" spans="1:17" x14ac:dyDescent="0.35">
      <c r="A55" s="1"/>
      <c r="B55" s="1"/>
      <c r="C55" s="1"/>
      <c r="D55" s="1"/>
      <c r="E55" s="1"/>
      <c r="F55" s="1"/>
      <c r="G55" s="1"/>
      <c r="H55" s="1"/>
      <c r="I55" s="1"/>
      <c r="J55" s="1"/>
      <c r="K55" s="1"/>
      <c r="L55" s="1"/>
      <c r="M55" s="1"/>
      <c r="N55" s="1"/>
      <c r="O55" s="1"/>
      <c r="P55" s="1"/>
      <c r="Q55" s="1"/>
    </row>
    <row r="56" spans="1:17" x14ac:dyDescent="0.35">
      <c r="A56" s="1"/>
      <c r="B56" s="1"/>
      <c r="C56" s="1"/>
      <c r="D56" s="1"/>
      <c r="E56" s="1"/>
      <c r="F56" s="1"/>
      <c r="G56" s="1"/>
      <c r="H56" s="1"/>
      <c r="I56" s="1"/>
      <c r="J56" s="1"/>
      <c r="K56" s="1"/>
      <c r="L56" s="1"/>
      <c r="M56" s="1"/>
      <c r="N56" s="1"/>
      <c r="O56" s="1"/>
      <c r="P56" s="1"/>
      <c r="Q56" s="1"/>
    </row>
    <row r="57" spans="1:17" x14ac:dyDescent="0.35">
      <c r="A57" s="1"/>
      <c r="B57" s="1"/>
      <c r="C57" s="1"/>
      <c r="D57" s="1"/>
      <c r="E57" s="1"/>
      <c r="F57" s="1"/>
      <c r="G57" s="1"/>
      <c r="H57" s="1"/>
      <c r="I57" s="1"/>
      <c r="J57" s="1"/>
      <c r="K57" s="1"/>
      <c r="L57" s="1"/>
      <c r="M57" s="1"/>
      <c r="N57" s="1"/>
      <c r="O57" s="1"/>
      <c r="P57" s="1"/>
      <c r="Q57" s="1"/>
    </row>
    <row r="58" spans="1:17" x14ac:dyDescent="0.35">
      <c r="A58" s="1"/>
      <c r="B58" s="1"/>
      <c r="C58" s="1"/>
      <c r="D58" s="1"/>
      <c r="E58" s="1"/>
      <c r="F58" s="1"/>
      <c r="G58" s="1"/>
      <c r="H58" s="1"/>
      <c r="I58" s="1"/>
      <c r="J58" s="1"/>
      <c r="K58" s="1"/>
      <c r="L58" s="1"/>
      <c r="M58" s="1"/>
      <c r="N58" s="1"/>
      <c r="O58" s="1"/>
      <c r="P58" s="1"/>
      <c r="Q58" s="1"/>
    </row>
    <row r="59" spans="1:17" x14ac:dyDescent="0.35">
      <c r="A59" s="1"/>
      <c r="B59" s="1"/>
      <c r="C59" s="1"/>
      <c r="D59" s="1"/>
      <c r="E59" s="1"/>
      <c r="F59" s="1"/>
      <c r="G59" s="1"/>
      <c r="H59" s="1"/>
      <c r="I59" s="1"/>
      <c r="J59" s="1"/>
      <c r="K59" s="1"/>
      <c r="L59" s="1"/>
      <c r="M59" s="1"/>
      <c r="N59" s="1"/>
      <c r="O59" s="1"/>
      <c r="P59" s="1"/>
      <c r="Q59" s="1"/>
    </row>
    <row r="60" spans="1:17" x14ac:dyDescent="0.35">
      <c r="A60" s="1"/>
      <c r="B60" s="1"/>
      <c r="C60" s="1"/>
      <c r="D60" s="1"/>
      <c r="E60" s="1"/>
      <c r="F60" s="1"/>
      <c r="G60" s="1"/>
      <c r="H60" s="1"/>
      <c r="I60" s="1"/>
      <c r="J60" s="1"/>
      <c r="K60" s="1"/>
      <c r="L60" s="1"/>
      <c r="M60" s="1"/>
      <c r="N60" s="1"/>
      <c r="O60" s="1"/>
      <c r="P60" s="1"/>
      <c r="Q60" s="1"/>
    </row>
    <row r="61" spans="1:17" x14ac:dyDescent="0.35">
      <c r="A61" s="1"/>
      <c r="B61" s="1"/>
      <c r="C61" s="1"/>
      <c r="D61" s="1"/>
      <c r="E61" s="1"/>
      <c r="F61" s="1"/>
      <c r="G61" s="1"/>
      <c r="H61" s="1"/>
      <c r="I61" s="1"/>
      <c r="J61" s="1"/>
      <c r="K61" s="1"/>
      <c r="L61" s="1"/>
      <c r="M61" s="1"/>
      <c r="N61" s="1"/>
      <c r="O61" s="1"/>
      <c r="P61" s="1"/>
      <c r="Q61" s="1"/>
    </row>
    <row r="62" spans="1:17" x14ac:dyDescent="0.35">
      <c r="A62" s="1"/>
      <c r="B62" s="1"/>
      <c r="C62" s="1"/>
      <c r="D62" s="1"/>
      <c r="E62" s="1"/>
      <c r="F62" s="1"/>
      <c r="G62" s="1"/>
      <c r="H62" s="1"/>
      <c r="I62" s="1"/>
      <c r="J62" s="1"/>
      <c r="K62" s="1"/>
      <c r="L62" s="1"/>
      <c r="M62" s="1"/>
      <c r="N62" s="1"/>
      <c r="O62" s="1"/>
      <c r="P62" s="1"/>
      <c r="Q62" s="1"/>
    </row>
    <row r="63" spans="1:17" x14ac:dyDescent="0.35">
      <c r="A63" s="1"/>
      <c r="B63" s="1"/>
      <c r="C63" s="1"/>
      <c r="D63" s="1"/>
      <c r="E63" s="1"/>
      <c r="F63" s="1"/>
      <c r="G63" s="1"/>
      <c r="H63" s="1"/>
      <c r="I63" s="1"/>
      <c r="J63" s="1"/>
      <c r="K63" s="1"/>
      <c r="L63" s="1"/>
      <c r="M63" s="1"/>
      <c r="N63" s="1"/>
      <c r="O63" s="1"/>
      <c r="P63" s="1"/>
      <c r="Q63" s="1"/>
    </row>
    <row r="64" spans="1:17" x14ac:dyDescent="0.35">
      <c r="A64" s="1"/>
      <c r="B64" s="1"/>
      <c r="C64" s="1"/>
      <c r="D64" s="1"/>
      <c r="E64" s="1"/>
      <c r="F64" s="1"/>
      <c r="G64" s="1"/>
      <c r="H64" s="1"/>
      <c r="I64" s="1"/>
      <c r="J64" s="1"/>
      <c r="K64" s="1"/>
      <c r="L64" s="1"/>
      <c r="M64" s="1"/>
      <c r="N64" s="1"/>
      <c r="O64" s="1"/>
      <c r="P64" s="1"/>
      <c r="Q64" s="1"/>
    </row>
    <row r="65" spans="1:17" x14ac:dyDescent="0.35">
      <c r="A65" s="1"/>
      <c r="B65" s="1"/>
      <c r="C65" s="1"/>
      <c r="D65" s="1"/>
      <c r="E65" s="1"/>
      <c r="F65" s="1"/>
      <c r="G65" s="1"/>
      <c r="H65" s="1"/>
      <c r="I65" s="1"/>
      <c r="J65" s="1"/>
      <c r="K65" s="1"/>
      <c r="L65" s="1"/>
      <c r="M65" s="1"/>
      <c r="N65" s="1"/>
      <c r="O65" s="1"/>
      <c r="P65" s="1"/>
      <c r="Q65" s="1"/>
    </row>
    <row r="66" spans="1:17" x14ac:dyDescent="0.35">
      <c r="A66" s="1"/>
      <c r="B66" s="1"/>
      <c r="C66" s="1"/>
      <c r="D66" s="1"/>
      <c r="E66" s="1"/>
      <c r="F66" s="1"/>
      <c r="G66" s="1"/>
      <c r="H66" s="1"/>
      <c r="I66" s="1"/>
      <c r="J66" s="1"/>
      <c r="K66" s="1"/>
      <c r="L66" s="1"/>
      <c r="M66" s="1"/>
      <c r="N66" s="1"/>
      <c r="O66" s="1"/>
      <c r="P66" s="1"/>
      <c r="Q66" s="1"/>
    </row>
    <row r="67" spans="1:17" x14ac:dyDescent="0.35">
      <c r="A67" s="1"/>
      <c r="B67" s="1"/>
      <c r="C67" s="1"/>
      <c r="D67" s="1"/>
      <c r="E67" s="1"/>
      <c r="F67" s="1"/>
      <c r="G67" s="1"/>
      <c r="H67" s="1"/>
      <c r="I67" s="1"/>
      <c r="J67" s="1"/>
      <c r="K67" s="1"/>
      <c r="L67" s="1"/>
      <c r="M67" s="1"/>
      <c r="N67" s="1"/>
      <c r="O67" s="1"/>
      <c r="P67" s="1"/>
      <c r="Q67" s="1"/>
    </row>
    <row r="68" spans="1:17" x14ac:dyDescent="0.35">
      <c r="A68" s="1"/>
      <c r="B68" s="1"/>
      <c r="C68" s="1"/>
      <c r="D68" s="1"/>
      <c r="E68" s="1"/>
      <c r="F68" s="1"/>
      <c r="G68" s="1"/>
      <c r="H68" s="1"/>
      <c r="I68" s="1"/>
      <c r="J68" s="1"/>
      <c r="K68" s="1"/>
      <c r="L68" s="1"/>
      <c r="M68" s="1"/>
      <c r="N68" s="1"/>
      <c r="O68" s="1"/>
      <c r="P68" s="1"/>
      <c r="Q68" s="1"/>
    </row>
    <row r="69" spans="1:17" x14ac:dyDescent="0.35">
      <c r="A69" s="1"/>
      <c r="B69" s="1"/>
      <c r="C69" s="1"/>
      <c r="D69" s="1"/>
      <c r="E69" s="1"/>
      <c r="F69" s="1"/>
      <c r="G69" s="1"/>
      <c r="H69" s="1"/>
      <c r="I69" s="1"/>
      <c r="J69" s="1"/>
      <c r="K69" s="1"/>
      <c r="L69" s="1"/>
      <c r="M69" s="1"/>
      <c r="N69" s="1"/>
      <c r="O69" s="1"/>
      <c r="P69" s="1"/>
      <c r="Q69" s="1"/>
    </row>
    <row r="70" spans="1:17" x14ac:dyDescent="0.35">
      <c r="A70" s="1"/>
      <c r="B70" s="1"/>
      <c r="C70" s="1"/>
      <c r="D70" s="1"/>
      <c r="E70" s="1"/>
      <c r="F70" s="1"/>
      <c r="G70" s="1"/>
      <c r="H70" s="1"/>
      <c r="I70" s="1"/>
      <c r="J70" s="1"/>
      <c r="K70" s="1"/>
      <c r="L70" s="1"/>
      <c r="M70" s="1"/>
      <c r="N70" s="1"/>
      <c r="O70" s="1"/>
      <c r="P70" s="1"/>
      <c r="Q70" s="1"/>
    </row>
    <row r="71" spans="1:17" x14ac:dyDescent="0.35">
      <c r="A71" s="1"/>
      <c r="B71" s="1"/>
      <c r="C71" s="1"/>
      <c r="D71" s="1"/>
      <c r="E71" s="1"/>
      <c r="F71" s="1"/>
      <c r="G71" s="1"/>
      <c r="H71" s="1"/>
      <c r="I71" s="1"/>
      <c r="J71" s="1"/>
      <c r="K71" s="1"/>
      <c r="L71" s="1"/>
      <c r="M71" s="1"/>
      <c r="N71" s="1"/>
      <c r="O71" s="1"/>
      <c r="P71" s="1"/>
      <c r="Q71" s="1"/>
    </row>
    <row r="72" spans="1:17" x14ac:dyDescent="0.35">
      <c r="A72" s="1"/>
      <c r="B72" s="1"/>
      <c r="C72" s="1"/>
      <c r="D72" s="1"/>
      <c r="E72" s="1"/>
      <c r="F72" s="1"/>
      <c r="G72" s="1"/>
      <c r="H72" s="1"/>
      <c r="I72" s="1"/>
      <c r="J72" s="1"/>
      <c r="K72" s="1"/>
      <c r="L72" s="1"/>
      <c r="M72" s="1"/>
      <c r="N72" s="1"/>
      <c r="O72" s="1"/>
      <c r="P72" s="1"/>
      <c r="Q72" s="1"/>
    </row>
    <row r="73" spans="1:17" x14ac:dyDescent="0.35">
      <c r="A73" s="1"/>
      <c r="B73" s="1"/>
      <c r="C73" s="1"/>
      <c r="D73" s="1"/>
      <c r="E73" s="1"/>
      <c r="F73" s="1"/>
      <c r="G73" s="1"/>
      <c r="H73" s="1"/>
      <c r="I73" s="1"/>
      <c r="J73" s="1"/>
      <c r="K73" s="1"/>
      <c r="L73" s="1"/>
      <c r="M73" s="1"/>
      <c r="N73" s="1"/>
      <c r="O73" s="1"/>
      <c r="P73" s="1"/>
      <c r="Q73" s="1"/>
    </row>
    <row r="74" spans="1:17" x14ac:dyDescent="0.35">
      <c r="A74" s="1"/>
      <c r="B74" s="1"/>
      <c r="C74" s="1"/>
      <c r="D74" s="1"/>
      <c r="E74" s="1"/>
      <c r="F74" s="1"/>
      <c r="G74" s="1"/>
      <c r="H74" s="1"/>
      <c r="I74" s="1"/>
      <c r="J74" s="1"/>
      <c r="K74" s="1"/>
      <c r="L74" s="1"/>
      <c r="M74" s="1"/>
      <c r="N74" s="1"/>
      <c r="O74" s="1"/>
      <c r="P74" s="1"/>
      <c r="Q74" s="1"/>
    </row>
    <row r="75" spans="1:17" x14ac:dyDescent="0.35">
      <c r="A75" s="1"/>
      <c r="B75" s="1"/>
      <c r="C75" s="1"/>
      <c r="D75" s="1"/>
      <c r="E75" s="1"/>
      <c r="F75" s="1"/>
      <c r="G75" s="1"/>
      <c r="H75" s="1"/>
      <c r="I75" s="1"/>
      <c r="J75" s="1"/>
      <c r="K75" s="1"/>
      <c r="L75" s="1"/>
      <c r="M75" s="1"/>
      <c r="N75" s="1"/>
      <c r="O75" s="1"/>
      <c r="P75" s="1"/>
      <c r="Q75" s="1"/>
    </row>
    <row r="76" spans="1:17" x14ac:dyDescent="0.35">
      <c r="A76" s="1"/>
      <c r="B76" s="1"/>
      <c r="C76" s="1"/>
      <c r="D76" s="1"/>
      <c r="E76" s="1"/>
      <c r="F76" s="1"/>
      <c r="G76" s="1"/>
      <c r="H76" s="1"/>
      <c r="I76" s="1"/>
      <c r="J76" s="1"/>
      <c r="K76" s="1"/>
      <c r="L76" s="1"/>
      <c r="M76" s="1"/>
      <c r="N76" s="1"/>
      <c r="O76" s="1"/>
      <c r="P76" s="1"/>
      <c r="Q76" s="1"/>
    </row>
    <row r="77" spans="1:17" x14ac:dyDescent="0.35">
      <c r="A77" s="1"/>
      <c r="B77" s="1"/>
      <c r="C77" s="1"/>
      <c r="D77" s="1"/>
      <c r="E77" s="1"/>
      <c r="F77" s="1"/>
      <c r="G77" s="1"/>
      <c r="H77" s="1"/>
      <c r="I77" s="1"/>
      <c r="J77" s="1"/>
      <c r="K77" s="1"/>
      <c r="L77" s="1"/>
      <c r="M77" s="1"/>
      <c r="N77" s="1"/>
      <c r="O77" s="1"/>
      <c r="P77" s="1"/>
      <c r="Q77" s="1"/>
    </row>
    <row r="78" spans="1:17" x14ac:dyDescent="0.35">
      <c r="A78" s="1"/>
      <c r="B78" s="1"/>
      <c r="C78" s="1"/>
      <c r="D78" s="1"/>
      <c r="E78" s="1"/>
      <c r="F78" s="1"/>
      <c r="G78" s="1"/>
      <c r="H78" s="1"/>
      <c r="I78" s="1"/>
      <c r="J78" s="1"/>
      <c r="K78" s="1"/>
      <c r="L78" s="1"/>
      <c r="M78" s="1"/>
      <c r="N78" s="1"/>
      <c r="O78" s="1"/>
      <c r="P78" s="1"/>
      <c r="Q78" s="1"/>
    </row>
    <row r="79" spans="1:17" x14ac:dyDescent="0.35">
      <c r="A79" s="1"/>
      <c r="B79" s="1"/>
      <c r="C79" s="1"/>
      <c r="D79" s="1"/>
      <c r="E79" s="1"/>
      <c r="F79" s="1"/>
      <c r="G79" s="1"/>
      <c r="H79" s="1"/>
      <c r="I79" s="1"/>
      <c r="J79" s="1"/>
      <c r="K79" s="1"/>
      <c r="L79" s="1"/>
      <c r="M79" s="1"/>
      <c r="N79" s="1"/>
      <c r="O79" s="1"/>
      <c r="P79" s="1"/>
      <c r="Q79" s="1"/>
    </row>
    <row r="80" spans="1:17" x14ac:dyDescent="0.35">
      <c r="A80" s="1"/>
      <c r="B80" s="1"/>
      <c r="C80" s="1"/>
      <c r="D80" s="1"/>
      <c r="E80" s="1"/>
      <c r="F80" s="1"/>
      <c r="G80" s="1"/>
      <c r="H80" s="1"/>
      <c r="I80" s="1"/>
      <c r="J80" s="1"/>
      <c r="K80" s="1"/>
      <c r="L80" s="1"/>
      <c r="M80" s="1"/>
      <c r="N80" s="1"/>
      <c r="O80" s="1"/>
      <c r="P80" s="1"/>
      <c r="Q80" s="1"/>
    </row>
    <row r="81" spans="1:17" x14ac:dyDescent="0.35">
      <c r="A81" s="1"/>
      <c r="B81" s="1"/>
      <c r="C81" s="1"/>
      <c r="D81" s="1"/>
      <c r="E81" s="1"/>
      <c r="F81" s="1"/>
      <c r="G81" s="1"/>
      <c r="H81" s="1"/>
      <c r="I81" s="1"/>
      <c r="J81" s="1"/>
      <c r="K81" s="1"/>
      <c r="L81" s="1"/>
      <c r="M81" s="1"/>
      <c r="N81" s="1"/>
      <c r="O81" s="1"/>
      <c r="P81" s="1"/>
      <c r="Q81" s="1"/>
    </row>
    <row r="82" spans="1:17" x14ac:dyDescent="0.35">
      <c r="A82" s="1"/>
      <c r="B82" s="1"/>
      <c r="C82" s="1"/>
      <c r="D82" s="1"/>
      <c r="E82" s="1"/>
      <c r="F82" s="1"/>
      <c r="G82" s="1"/>
      <c r="H82" s="1"/>
      <c r="I82" s="1"/>
      <c r="J82" s="1"/>
      <c r="K82" s="1"/>
      <c r="L82" s="1"/>
      <c r="M82" s="1"/>
      <c r="N82" s="1"/>
      <c r="O82" s="1"/>
      <c r="P82" s="1"/>
      <c r="Q82" s="1"/>
    </row>
    <row r="83" spans="1:17" x14ac:dyDescent="0.35">
      <c r="A83" s="1"/>
      <c r="B83" s="1"/>
      <c r="C83" s="1"/>
      <c r="D83" s="1"/>
      <c r="E83" s="1"/>
      <c r="F83" s="1"/>
      <c r="G83" s="1"/>
      <c r="H83" s="1"/>
      <c r="I83" s="1"/>
      <c r="J83" s="1"/>
      <c r="K83" s="1"/>
      <c r="L83" s="1"/>
      <c r="M83" s="1"/>
      <c r="N83" s="1"/>
      <c r="O83" s="1"/>
      <c r="P83" s="1"/>
      <c r="Q83" s="1"/>
    </row>
    <row r="84" spans="1:17" x14ac:dyDescent="0.35">
      <c r="A84" s="1"/>
      <c r="B84" s="1"/>
      <c r="C84" s="1"/>
      <c r="D84" s="1"/>
      <c r="E84" s="1"/>
      <c r="F84" s="1"/>
      <c r="G84" s="1"/>
      <c r="H84" s="1"/>
      <c r="I84" s="1"/>
      <c r="J84" s="1"/>
      <c r="K84" s="1"/>
      <c r="L84" s="1"/>
      <c r="M84" s="1"/>
      <c r="N84" s="1"/>
      <c r="O84" s="1"/>
      <c r="P84" s="1"/>
      <c r="Q84" s="1"/>
    </row>
    <row r="85" spans="1:17" x14ac:dyDescent="0.35">
      <c r="A85" s="1"/>
      <c r="B85" s="1"/>
      <c r="C85" s="1"/>
      <c r="D85" s="1"/>
      <c r="E85" s="1"/>
      <c r="F85" s="1"/>
      <c r="G85" s="1"/>
      <c r="H85" s="1"/>
      <c r="I85" s="1"/>
      <c r="J85" s="1"/>
      <c r="K85" s="1"/>
      <c r="L85" s="1"/>
      <c r="M85" s="1"/>
      <c r="N85" s="1"/>
      <c r="O85" s="1"/>
      <c r="P85" s="1"/>
      <c r="Q85" s="1"/>
    </row>
    <row r="86" spans="1:17" x14ac:dyDescent="0.35">
      <c r="A86" s="1"/>
      <c r="B86" s="1"/>
      <c r="C86" s="1"/>
      <c r="D86" s="1"/>
      <c r="E86" s="1"/>
      <c r="F86" s="1"/>
      <c r="G86" s="1"/>
      <c r="H86" s="1"/>
      <c r="I86" s="1"/>
      <c r="J86" s="1"/>
      <c r="K86" s="1"/>
      <c r="L86" s="1"/>
      <c r="M86" s="1"/>
      <c r="N86" s="1"/>
      <c r="O86" s="1"/>
      <c r="P86" s="1"/>
      <c r="Q86" s="1"/>
    </row>
    <row r="87" spans="1:17" x14ac:dyDescent="0.35">
      <c r="A87" s="1"/>
      <c r="B87" s="1"/>
      <c r="C87" s="1"/>
      <c r="D87" s="1"/>
      <c r="E87" s="1"/>
      <c r="F87" s="1"/>
      <c r="G87" s="1"/>
      <c r="H87" s="1"/>
      <c r="I87" s="1"/>
      <c r="J87" s="1"/>
      <c r="K87" s="1"/>
      <c r="L87" s="1"/>
      <c r="M87" s="1"/>
      <c r="N87" s="1"/>
      <c r="O87" s="1"/>
      <c r="P87" s="1"/>
      <c r="Q87" s="1"/>
    </row>
    <row r="88" spans="1:17" x14ac:dyDescent="0.35">
      <c r="A88" s="1"/>
      <c r="B88" s="1"/>
      <c r="C88" s="1"/>
      <c r="D88" s="1"/>
      <c r="E88" s="1"/>
      <c r="F88" s="1"/>
      <c r="G88" s="1"/>
      <c r="H88" s="1"/>
      <c r="I88" s="1"/>
      <c r="J88" s="1"/>
      <c r="K88" s="1"/>
      <c r="L88" s="1"/>
      <c r="M88" s="1"/>
      <c r="N88" s="1"/>
      <c r="O88" s="1"/>
      <c r="P88" s="1"/>
      <c r="Q88" s="1"/>
    </row>
    <row r="89" spans="1:17" x14ac:dyDescent="0.35">
      <c r="A89" s="1"/>
      <c r="B89" s="1"/>
      <c r="C89" s="1"/>
      <c r="D89" s="1"/>
      <c r="E89" s="1"/>
      <c r="F89" s="1"/>
      <c r="G89" s="1"/>
      <c r="H89" s="1"/>
      <c r="I89" s="1"/>
      <c r="J89" s="1"/>
      <c r="K89" s="1"/>
      <c r="L89" s="1"/>
      <c r="M89" s="1"/>
      <c r="N89" s="1"/>
      <c r="O89" s="1"/>
      <c r="P89" s="1"/>
      <c r="Q89" s="1"/>
    </row>
    <row r="90" spans="1:17" x14ac:dyDescent="0.35">
      <c r="A90" s="1"/>
      <c r="B90" s="1"/>
      <c r="C90" s="1"/>
      <c r="D90" s="1"/>
      <c r="E90" s="1"/>
      <c r="F90" s="1"/>
      <c r="G90" s="1"/>
      <c r="H90" s="1"/>
      <c r="I90" s="1"/>
      <c r="J90" s="1"/>
      <c r="K90" s="1"/>
      <c r="L90" s="1"/>
      <c r="M90" s="1"/>
      <c r="N90" s="1"/>
      <c r="O90" s="1"/>
      <c r="P90" s="1"/>
      <c r="Q90" s="1"/>
    </row>
    <row r="91" spans="1:17" x14ac:dyDescent="0.35">
      <c r="A91" s="1"/>
      <c r="B91" s="1"/>
      <c r="C91" s="1"/>
      <c r="D91" s="1"/>
      <c r="E91" s="1"/>
      <c r="F91" s="1"/>
      <c r="G91" s="1"/>
      <c r="H91" s="1"/>
      <c r="I91" s="1"/>
      <c r="J91" s="1"/>
      <c r="K91" s="1"/>
      <c r="L91" s="1"/>
      <c r="M91" s="1"/>
      <c r="N91" s="1"/>
      <c r="O91" s="1"/>
      <c r="P91" s="1"/>
      <c r="Q91" s="1"/>
    </row>
    <row r="92" spans="1:17" x14ac:dyDescent="0.35">
      <c r="A92" s="1"/>
      <c r="B92" s="1"/>
      <c r="C92" s="1"/>
      <c r="D92" s="1"/>
      <c r="E92" s="1"/>
      <c r="F92" s="1"/>
      <c r="G92" s="1"/>
      <c r="H92" s="1"/>
      <c r="I92" s="1"/>
      <c r="J92" s="1"/>
      <c r="K92" s="1"/>
      <c r="L92" s="1"/>
      <c r="M92" s="1"/>
      <c r="N92" s="1"/>
      <c r="O92" s="1"/>
      <c r="P92" s="1"/>
      <c r="Q92" s="1"/>
    </row>
    <row r="93" spans="1:17" x14ac:dyDescent="0.35">
      <c r="A93" s="1"/>
      <c r="B93" s="1"/>
      <c r="C93" s="1"/>
      <c r="D93" s="1"/>
      <c r="E93" s="1"/>
      <c r="F93" s="1"/>
      <c r="G93" s="1"/>
      <c r="H93" s="1"/>
      <c r="I93" s="1"/>
      <c r="J93" s="1"/>
      <c r="K93" s="1"/>
      <c r="L93" s="1"/>
      <c r="M93" s="1"/>
      <c r="N93" s="1"/>
      <c r="O93" s="1"/>
      <c r="P93" s="1"/>
      <c r="Q93" s="1"/>
    </row>
    <row r="94" spans="1:17" x14ac:dyDescent="0.35">
      <c r="A94" s="1"/>
      <c r="B94" s="1"/>
      <c r="C94" s="1"/>
      <c r="D94" s="1"/>
      <c r="E94" s="1"/>
      <c r="F94" s="1"/>
      <c r="G94" s="1"/>
      <c r="H94" s="1"/>
      <c r="I94" s="1"/>
      <c r="J94" s="1"/>
      <c r="K94" s="1"/>
      <c r="L94" s="1"/>
      <c r="M94" s="1"/>
      <c r="N94" s="1"/>
      <c r="O94" s="1"/>
      <c r="P94" s="1"/>
      <c r="Q94" s="1"/>
    </row>
    <row r="95" spans="1:17" x14ac:dyDescent="0.35">
      <c r="A95" s="1"/>
      <c r="B95" s="1"/>
      <c r="C95" s="1"/>
      <c r="D95" s="1"/>
      <c r="E95" s="1"/>
      <c r="F95" s="1"/>
      <c r="G95" s="1"/>
      <c r="H95" s="1"/>
      <c r="I95" s="1"/>
      <c r="J95" s="1"/>
      <c r="K95" s="1"/>
      <c r="L95" s="1"/>
      <c r="M95" s="1"/>
      <c r="N95" s="1"/>
      <c r="O95" s="1"/>
      <c r="P95" s="1"/>
      <c r="Q95" s="1"/>
    </row>
    <row r="96" spans="1:17" x14ac:dyDescent="0.35">
      <c r="A96" s="1"/>
      <c r="B96" s="1"/>
      <c r="C96" s="1"/>
      <c r="D96" s="1"/>
      <c r="E96" s="1"/>
      <c r="F96" s="1"/>
      <c r="G96" s="1"/>
      <c r="H96" s="1"/>
      <c r="I96" s="1"/>
      <c r="J96" s="1"/>
      <c r="K96" s="1"/>
      <c r="L96" s="1"/>
      <c r="M96" s="1"/>
      <c r="N96" s="1"/>
      <c r="O96" s="1"/>
      <c r="P96" s="1"/>
      <c r="Q96" s="1"/>
    </row>
    <row r="97" spans="1:17" x14ac:dyDescent="0.35">
      <c r="A97" s="1"/>
      <c r="B97" s="1"/>
      <c r="C97" s="1"/>
      <c r="D97" s="1"/>
      <c r="E97" s="1"/>
      <c r="F97" s="1"/>
      <c r="G97" s="1"/>
      <c r="H97" s="1"/>
      <c r="I97" s="1"/>
      <c r="J97" s="1"/>
      <c r="K97" s="1"/>
      <c r="L97" s="1"/>
      <c r="M97" s="1"/>
      <c r="N97" s="1"/>
      <c r="O97" s="1"/>
      <c r="P97" s="1"/>
      <c r="Q97" s="1"/>
    </row>
    <row r="98" spans="1:17" x14ac:dyDescent="0.35">
      <c r="A98" s="1"/>
      <c r="B98" s="1"/>
      <c r="C98" s="1"/>
      <c r="D98" s="1"/>
      <c r="E98" s="1"/>
      <c r="F98" s="1"/>
      <c r="G98" s="1"/>
      <c r="H98" s="1"/>
      <c r="I98" s="1"/>
      <c r="J98" s="1"/>
      <c r="K98" s="1"/>
      <c r="L98" s="1"/>
      <c r="M98" s="1"/>
      <c r="N98" s="1"/>
      <c r="O98" s="1"/>
      <c r="P98" s="1"/>
      <c r="Q98" s="1"/>
    </row>
    <row r="99" spans="1:17" x14ac:dyDescent="0.35">
      <c r="A99" s="1"/>
      <c r="B99" s="1"/>
      <c r="C99" s="1"/>
      <c r="D99" s="1"/>
      <c r="E99" s="1"/>
      <c r="F99" s="1"/>
      <c r="G99" s="1"/>
      <c r="H99" s="1"/>
      <c r="I99" s="1"/>
      <c r="J99" s="1"/>
      <c r="K99" s="1"/>
      <c r="L99" s="1"/>
      <c r="M99" s="1"/>
      <c r="N99" s="1"/>
      <c r="O99" s="1"/>
      <c r="P99" s="1"/>
      <c r="Q99" s="1"/>
    </row>
    <row r="100" spans="1:17" x14ac:dyDescent="0.35">
      <c r="A100" s="1"/>
      <c r="B100" s="1"/>
      <c r="C100" s="1"/>
      <c r="D100" s="1"/>
      <c r="E100" s="1"/>
      <c r="F100" s="1"/>
      <c r="G100" s="1"/>
      <c r="H100" s="1"/>
      <c r="I100" s="1"/>
      <c r="J100" s="1"/>
      <c r="K100" s="1"/>
      <c r="L100" s="1"/>
      <c r="M100" s="1"/>
      <c r="N100" s="1"/>
      <c r="O100" s="1"/>
      <c r="P100" s="1"/>
      <c r="Q100" s="1"/>
    </row>
    <row r="101" spans="1:17" x14ac:dyDescent="0.35">
      <c r="A101" s="1"/>
      <c r="B101" s="1"/>
      <c r="C101" s="1"/>
      <c r="D101" s="1"/>
      <c r="E101" s="1"/>
      <c r="F101" s="1"/>
      <c r="G101" s="1"/>
      <c r="H101" s="1"/>
      <c r="I101" s="1"/>
      <c r="J101" s="1"/>
      <c r="K101" s="1"/>
      <c r="L101" s="1"/>
      <c r="M101" s="1"/>
      <c r="N101" s="1"/>
      <c r="O101" s="1"/>
      <c r="P101" s="1"/>
      <c r="Q101" s="1"/>
    </row>
    <row r="102" spans="1:17" x14ac:dyDescent="0.35">
      <c r="A102" s="1"/>
      <c r="B102" s="1"/>
      <c r="C102" s="1"/>
      <c r="D102" s="1"/>
      <c r="E102" s="1"/>
      <c r="F102" s="1"/>
      <c r="G102" s="1"/>
      <c r="H102" s="1"/>
      <c r="I102" s="1"/>
      <c r="J102" s="1"/>
      <c r="K102" s="1"/>
      <c r="L102" s="1"/>
      <c r="M102" s="1"/>
      <c r="N102" s="1"/>
      <c r="O102" s="1"/>
      <c r="P102" s="1"/>
      <c r="Q102" s="1"/>
    </row>
    <row r="103" spans="1:17" x14ac:dyDescent="0.35">
      <c r="A103" s="1"/>
      <c r="B103" s="1"/>
      <c r="C103" s="1"/>
      <c r="D103" s="1"/>
      <c r="E103" s="1"/>
      <c r="F103" s="1"/>
      <c r="G103" s="1"/>
      <c r="H103" s="1"/>
      <c r="I103" s="1"/>
      <c r="J103" s="1"/>
      <c r="K103" s="1"/>
      <c r="L103" s="1"/>
      <c r="M103" s="1"/>
      <c r="N103" s="1"/>
      <c r="O103" s="1"/>
      <c r="P103" s="1"/>
      <c r="Q103" s="1"/>
    </row>
    <row r="104" spans="1:17" x14ac:dyDescent="0.35">
      <c r="A104" s="1"/>
      <c r="B104" s="1"/>
      <c r="C104" s="1"/>
      <c r="D104" s="1"/>
      <c r="E104" s="1"/>
      <c r="F104" s="1"/>
      <c r="G104" s="1"/>
      <c r="H104" s="1"/>
      <c r="I104" s="1"/>
      <c r="J104" s="1"/>
      <c r="K104" s="1"/>
      <c r="L104" s="1"/>
      <c r="M104" s="1"/>
      <c r="N104" s="1"/>
      <c r="O104" s="1"/>
      <c r="P104" s="1"/>
      <c r="Q104" s="1"/>
    </row>
    <row r="105" spans="1:17" x14ac:dyDescent="0.35">
      <c r="A105" s="1"/>
      <c r="B105" s="1"/>
      <c r="C105" s="1"/>
      <c r="D105" s="1"/>
      <c r="E105" s="1"/>
      <c r="F105" s="1"/>
      <c r="G105" s="1"/>
      <c r="H105" s="1"/>
      <c r="I105" s="1"/>
      <c r="J105" s="1"/>
      <c r="K105" s="1"/>
      <c r="L105" s="1"/>
      <c r="M105" s="1"/>
      <c r="N105" s="1"/>
      <c r="O105" s="1"/>
      <c r="P105" s="1"/>
      <c r="Q105" s="1"/>
    </row>
    <row r="106" spans="1:17" x14ac:dyDescent="0.35">
      <c r="A106" s="1"/>
      <c r="B106" s="1"/>
      <c r="C106" s="1"/>
      <c r="D106" s="1"/>
      <c r="E106" s="1"/>
      <c r="F106" s="1"/>
      <c r="G106" s="1"/>
      <c r="H106" s="1"/>
      <c r="I106" s="1"/>
      <c r="J106" s="1"/>
      <c r="K106" s="1"/>
      <c r="L106" s="1"/>
      <c r="M106" s="1"/>
      <c r="N106" s="1"/>
      <c r="O106" s="1"/>
      <c r="P106" s="1"/>
      <c r="Q106" s="1"/>
    </row>
    <row r="107" spans="1:17" x14ac:dyDescent="0.35">
      <c r="A107" s="1"/>
      <c r="B107" s="1"/>
      <c r="C107" s="1"/>
      <c r="D107" s="1"/>
      <c r="E107" s="1"/>
      <c r="F107" s="1"/>
      <c r="G107" s="1"/>
      <c r="H107" s="1"/>
      <c r="I107" s="1"/>
      <c r="J107" s="1"/>
      <c r="K107" s="1"/>
      <c r="L107" s="1"/>
      <c r="M107" s="1"/>
      <c r="N107" s="1"/>
      <c r="O107" s="1"/>
      <c r="P107" s="1"/>
      <c r="Q107" s="1"/>
    </row>
    <row r="108" spans="1:17" x14ac:dyDescent="0.35">
      <c r="A108" s="1"/>
      <c r="B108" s="1"/>
      <c r="C108" s="1"/>
      <c r="D108" s="1"/>
      <c r="E108" s="1"/>
      <c r="F108" s="1"/>
      <c r="G108" s="1"/>
      <c r="H108" s="1"/>
      <c r="I108" s="1"/>
      <c r="J108" s="1"/>
      <c r="K108" s="1"/>
      <c r="L108" s="1"/>
      <c r="M108" s="1"/>
      <c r="N108" s="1"/>
      <c r="O108" s="1"/>
      <c r="P108" s="1"/>
      <c r="Q108" s="1"/>
    </row>
    <row r="109" spans="1:17" x14ac:dyDescent="0.35">
      <c r="A109" s="1"/>
      <c r="B109" s="1"/>
      <c r="C109" s="1"/>
      <c r="D109" s="1"/>
      <c r="E109" s="1"/>
      <c r="F109" s="1"/>
      <c r="G109" s="1"/>
      <c r="H109" s="1"/>
      <c r="I109" s="1"/>
      <c r="J109" s="1"/>
      <c r="K109" s="1"/>
      <c r="L109" s="1"/>
      <c r="M109" s="1"/>
      <c r="N109" s="1"/>
      <c r="O109" s="1"/>
      <c r="P109" s="1"/>
      <c r="Q109" s="1"/>
    </row>
    <row r="110" spans="1:17" x14ac:dyDescent="0.35">
      <c r="A110" s="1"/>
      <c r="B110" s="1"/>
      <c r="C110" s="1"/>
      <c r="D110" s="1"/>
      <c r="E110" s="1"/>
      <c r="F110" s="1"/>
      <c r="G110" s="1"/>
      <c r="H110" s="1"/>
      <c r="I110" s="1"/>
      <c r="J110" s="1"/>
      <c r="K110" s="1"/>
      <c r="L110" s="1"/>
      <c r="M110" s="1"/>
      <c r="N110" s="1"/>
      <c r="O110" s="1"/>
      <c r="P110" s="1"/>
      <c r="Q110" s="1"/>
    </row>
    <row r="111" spans="1:17" x14ac:dyDescent="0.35">
      <c r="A111" s="1"/>
      <c r="B111" s="1"/>
      <c r="C111" s="1"/>
      <c r="D111" s="1"/>
      <c r="E111" s="1"/>
      <c r="F111" s="1"/>
      <c r="G111" s="1"/>
      <c r="H111" s="1"/>
      <c r="I111" s="1"/>
      <c r="J111" s="1"/>
      <c r="K111" s="1"/>
      <c r="L111" s="1"/>
      <c r="M111" s="1"/>
      <c r="N111" s="1"/>
      <c r="O111" s="1"/>
      <c r="P111" s="1"/>
      <c r="Q111" s="1"/>
    </row>
    <row r="112" spans="1:17" x14ac:dyDescent="0.35">
      <c r="A112" s="1"/>
      <c r="B112" s="1"/>
      <c r="C112" s="1"/>
      <c r="D112" s="1"/>
      <c r="E112" s="1"/>
      <c r="F112" s="1"/>
      <c r="G112" s="1"/>
      <c r="H112" s="1"/>
      <c r="I112" s="1"/>
      <c r="J112" s="1"/>
      <c r="K112" s="1"/>
      <c r="L112" s="1"/>
      <c r="M112" s="1"/>
      <c r="N112" s="1"/>
      <c r="O112" s="1"/>
      <c r="P112" s="1"/>
      <c r="Q112" s="1"/>
    </row>
    <row r="113" spans="1:17" x14ac:dyDescent="0.35">
      <c r="A113" s="1"/>
      <c r="B113" s="1"/>
      <c r="C113" s="1"/>
      <c r="D113" s="1"/>
      <c r="E113" s="1"/>
      <c r="F113" s="1"/>
      <c r="G113" s="1"/>
      <c r="H113" s="1"/>
      <c r="I113" s="1"/>
      <c r="J113" s="1"/>
      <c r="K113" s="1"/>
      <c r="L113" s="1"/>
      <c r="M113" s="1"/>
      <c r="N113" s="1"/>
      <c r="O113" s="1"/>
      <c r="P113" s="1"/>
      <c r="Q113" s="1"/>
    </row>
    <row r="114" spans="1:17" x14ac:dyDescent="0.35">
      <c r="A114" s="1"/>
      <c r="B114" s="1"/>
      <c r="C114" s="1"/>
      <c r="D114" s="1"/>
      <c r="E114" s="1"/>
      <c r="F114" s="1"/>
      <c r="G114" s="1"/>
      <c r="H114" s="1"/>
      <c r="I114" s="1"/>
      <c r="J114" s="1"/>
      <c r="K114" s="1"/>
      <c r="L114" s="1"/>
      <c r="M114" s="1"/>
      <c r="N114" s="1"/>
      <c r="O114" s="1"/>
      <c r="P114" s="1"/>
      <c r="Q114" s="1"/>
    </row>
    <row r="115" spans="1:17" x14ac:dyDescent="0.35">
      <c r="A115" s="1"/>
      <c r="B115" s="1"/>
      <c r="C115" s="1"/>
      <c r="D115" s="1"/>
      <c r="E115" s="1"/>
      <c r="F115" s="1"/>
      <c r="G115" s="1"/>
      <c r="H115" s="1"/>
      <c r="I115" s="1"/>
      <c r="J115" s="1"/>
      <c r="K115" s="1"/>
      <c r="L115" s="1"/>
      <c r="M115" s="1"/>
      <c r="N115" s="1"/>
      <c r="O115" s="1"/>
      <c r="P115" s="1"/>
      <c r="Q115" s="1"/>
    </row>
    <row r="116" spans="1:17" x14ac:dyDescent="0.35">
      <c r="A116" s="1"/>
      <c r="B116" s="1"/>
      <c r="C116" s="1"/>
      <c r="D116" s="1"/>
      <c r="E116" s="1"/>
      <c r="F116" s="1"/>
      <c r="G116" s="1"/>
      <c r="H116" s="1"/>
      <c r="I116" s="1"/>
      <c r="J116" s="1"/>
      <c r="K116" s="1"/>
      <c r="L116" s="1"/>
      <c r="M116" s="1"/>
      <c r="N116" s="1"/>
      <c r="O116" s="1"/>
      <c r="P116" s="1"/>
      <c r="Q116" s="1"/>
    </row>
    <row r="117" spans="1:17" x14ac:dyDescent="0.35">
      <c r="A117" s="1"/>
      <c r="B117" s="1"/>
      <c r="C117" s="1"/>
      <c r="D117" s="1"/>
      <c r="E117" s="1"/>
      <c r="F117" s="1"/>
      <c r="G117" s="1"/>
      <c r="H117" s="1"/>
      <c r="I117" s="1"/>
      <c r="J117" s="1"/>
      <c r="K117" s="1"/>
      <c r="L117" s="1"/>
      <c r="M117" s="1"/>
      <c r="N117" s="1"/>
      <c r="O117" s="1"/>
      <c r="P117" s="1"/>
      <c r="Q117" s="1"/>
    </row>
    <row r="118" spans="1:17" x14ac:dyDescent="0.35">
      <c r="A118" s="1"/>
      <c r="B118" s="1"/>
      <c r="C118" s="1"/>
      <c r="D118" s="1"/>
      <c r="E118" s="1"/>
      <c r="F118" s="1"/>
      <c r="G118" s="1"/>
      <c r="H118" s="1"/>
      <c r="I118" s="1"/>
      <c r="J118" s="1"/>
      <c r="K118" s="1"/>
      <c r="L118" s="1"/>
      <c r="M118" s="1"/>
      <c r="N118" s="1"/>
      <c r="O118" s="1"/>
      <c r="P118" s="1"/>
      <c r="Q118" s="1"/>
    </row>
    <row r="119" spans="1:17" x14ac:dyDescent="0.35">
      <c r="A119" s="1"/>
      <c r="B119" s="1"/>
      <c r="C119" s="1"/>
      <c r="D119" s="1"/>
      <c r="E119" s="1"/>
      <c r="F119" s="1"/>
      <c r="G119" s="1"/>
      <c r="H119" s="1"/>
      <c r="I119" s="1"/>
      <c r="J119" s="1"/>
      <c r="K119" s="1"/>
      <c r="L119" s="1"/>
      <c r="M119" s="1"/>
      <c r="N119" s="1"/>
      <c r="O119" s="1"/>
      <c r="P119" s="1"/>
      <c r="Q119" s="1"/>
    </row>
    <row r="120" spans="1:17" x14ac:dyDescent="0.35">
      <c r="A120" s="1"/>
      <c r="B120" s="1"/>
      <c r="C120" s="1"/>
      <c r="D120" s="1"/>
      <c r="E120" s="1"/>
      <c r="F120" s="1"/>
      <c r="G120" s="1"/>
      <c r="H120" s="1"/>
      <c r="I120" s="1"/>
      <c r="J120" s="1"/>
      <c r="K120" s="1"/>
      <c r="L120" s="1"/>
      <c r="M120" s="1"/>
      <c r="N120" s="1"/>
      <c r="O120" s="1"/>
      <c r="P120" s="1"/>
      <c r="Q120" s="1"/>
    </row>
    <row r="121" spans="1:17" x14ac:dyDescent="0.35">
      <c r="A121" s="1"/>
      <c r="B121" s="1"/>
      <c r="C121" s="1"/>
      <c r="D121" s="1"/>
      <c r="E121" s="1"/>
      <c r="F121" s="1"/>
      <c r="G121" s="1"/>
      <c r="H121" s="1"/>
      <c r="I121" s="1"/>
      <c r="J121" s="1"/>
      <c r="K121" s="1"/>
      <c r="L121" s="1"/>
      <c r="M121" s="1"/>
      <c r="N121" s="1"/>
      <c r="O121" s="1"/>
      <c r="P121" s="1"/>
      <c r="Q121" s="1"/>
    </row>
    <row r="122" spans="1:17" x14ac:dyDescent="0.35">
      <c r="A122" s="1"/>
      <c r="B122" s="1"/>
      <c r="C122" s="1"/>
      <c r="D122" s="1"/>
      <c r="E122" s="1"/>
      <c r="F122" s="1"/>
      <c r="G122" s="1"/>
      <c r="H122" s="1"/>
      <c r="I122" s="1"/>
      <c r="J122" s="1"/>
      <c r="K122" s="1"/>
      <c r="L122" s="1"/>
      <c r="M122" s="1"/>
      <c r="N122" s="1"/>
      <c r="O122" s="1"/>
      <c r="P122" s="1"/>
      <c r="Q122" s="1"/>
    </row>
    <row r="123" spans="1:17" x14ac:dyDescent="0.35">
      <c r="A123" s="1"/>
      <c r="B123" s="1"/>
      <c r="C123" s="1"/>
      <c r="D123" s="1"/>
      <c r="E123" s="1"/>
      <c r="F123" s="1"/>
      <c r="G123" s="1"/>
      <c r="H123" s="1"/>
      <c r="I123" s="1"/>
      <c r="J123" s="1"/>
      <c r="K123" s="1"/>
      <c r="L123" s="1"/>
      <c r="M123" s="1"/>
      <c r="N123" s="1"/>
      <c r="O123" s="1"/>
      <c r="P123" s="1"/>
      <c r="Q123" s="1"/>
    </row>
    <row r="124" spans="1:17" x14ac:dyDescent="0.35">
      <c r="A124" s="1"/>
      <c r="B124" s="1"/>
      <c r="C124" s="1"/>
      <c r="D124" s="1"/>
      <c r="E124" s="1"/>
      <c r="F124" s="1"/>
      <c r="G124" s="1"/>
      <c r="H124" s="1"/>
      <c r="I124" s="1"/>
      <c r="J124" s="1"/>
      <c r="K124" s="1"/>
      <c r="L124" s="1"/>
      <c r="M124" s="1"/>
      <c r="N124" s="1"/>
      <c r="O124" s="1"/>
      <c r="P124" s="1"/>
      <c r="Q124" s="1"/>
    </row>
    <row r="125" spans="1:17" x14ac:dyDescent="0.35">
      <c r="A125" s="1"/>
      <c r="B125" s="1"/>
      <c r="C125" s="1"/>
      <c r="D125" s="1"/>
      <c r="E125" s="1"/>
      <c r="F125" s="1"/>
      <c r="G125" s="1"/>
      <c r="H125" s="1"/>
      <c r="I125" s="1"/>
      <c r="J125" s="1"/>
      <c r="K125" s="1"/>
      <c r="L125" s="1"/>
      <c r="M125" s="1"/>
      <c r="N125" s="1"/>
      <c r="O125" s="1"/>
      <c r="P125" s="1"/>
      <c r="Q125" s="1"/>
    </row>
    <row r="126" spans="1:17" x14ac:dyDescent="0.35">
      <c r="A126" s="1"/>
      <c r="B126" s="1"/>
      <c r="C126" s="1"/>
      <c r="D126" s="1"/>
      <c r="E126" s="1"/>
      <c r="F126" s="1"/>
      <c r="G126" s="1"/>
      <c r="H126" s="1"/>
      <c r="I126" s="1"/>
      <c r="J126" s="1"/>
      <c r="K126" s="1"/>
      <c r="L126" s="1"/>
      <c r="M126" s="1"/>
      <c r="N126" s="1"/>
      <c r="O126" s="1"/>
      <c r="P126" s="1"/>
      <c r="Q126" s="1"/>
    </row>
    <row r="127" spans="1:17" x14ac:dyDescent="0.35">
      <c r="A127" s="1"/>
      <c r="B127" s="1"/>
      <c r="C127" s="1"/>
      <c r="D127" s="1"/>
      <c r="E127" s="1"/>
      <c r="F127" s="1"/>
      <c r="G127" s="1"/>
      <c r="H127" s="1"/>
      <c r="I127" s="1"/>
      <c r="J127" s="1"/>
      <c r="K127" s="1"/>
      <c r="L127" s="1"/>
      <c r="M127" s="1"/>
      <c r="N127" s="1"/>
      <c r="O127" s="1"/>
      <c r="P127" s="1"/>
      <c r="Q127" s="1"/>
    </row>
    <row r="128" spans="1:17" x14ac:dyDescent="0.35">
      <c r="A128" s="1"/>
      <c r="B128" s="1"/>
      <c r="C128" s="1"/>
      <c r="D128" s="1"/>
      <c r="E128" s="1"/>
      <c r="F128" s="1"/>
      <c r="G128" s="1"/>
      <c r="H128" s="1"/>
      <c r="I128" s="1"/>
      <c r="J128" s="1"/>
      <c r="K128" s="1"/>
      <c r="L128" s="1"/>
      <c r="M128" s="1"/>
      <c r="N128" s="1"/>
      <c r="O128" s="1"/>
      <c r="P128" s="1"/>
      <c r="Q128" s="1"/>
    </row>
    <row r="129" spans="1:17" x14ac:dyDescent="0.35">
      <c r="A129" s="1"/>
      <c r="B129" s="1"/>
      <c r="C129" s="1"/>
      <c r="D129" s="1"/>
      <c r="E129" s="1"/>
      <c r="F129" s="1"/>
      <c r="G129" s="1"/>
      <c r="H129" s="1"/>
      <c r="I129" s="1"/>
      <c r="J129" s="1"/>
      <c r="K129" s="1"/>
      <c r="L129" s="1"/>
      <c r="M129" s="1"/>
      <c r="N129" s="1"/>
      <c r="O129" s="1"/>
      <c r="P129" s="1"/>
      <c r="Q129" s="1"/>
    </row>
    <row r="130" spans="1:17" x14ac:dyDescent="0.35">
      <c r="A130" s="1"/>
      <c r="B130" s="1"/>
      <c r="C130" s="1"/>
      <c r="D130" s="1"/>
      <c r="E130" s="1"/>
      <c r="F130" s="1"/>
      <c r="G130" s="1"/>
      <c r="H130" s="1"/>
      <c r="I130" s="1"/>
      <c r="J130" s="1"/>
      <c r="K130" s="1"/>
      <c r="L130" s="1"/>
      <c r="M130" s="1"/>
      <c r="N130" s="1"/>
      <c r="O130" s="1"/>
      <c r="P130" s="1"/>
      <c r="Q130" s="1"/>
    </row>
    <row r="131" spans="1:17" x14ac:dyDescent="0.35">
      <c r="A131" s="1"/>
      <c r="B131" s="1"/>
      <c r="C131" s="1"/>
      <c r="D131" s="1"/>
      <c r="E131" s="1"/>
      <c r="F131" s="1"/>
      <c r="G131" s="1"/>
      <c r="H131" s="1"/>
      <c r="I131" s="1"/>
      <c r="J131" s="1"/>
      <c r="K131" s="1"/>
      <c r="L131" s="1"/>
      <c r="M131" s="1"/>
      <c r="N131" s="1"/>
      <c r="O131" s="1"/>
      <c r="P131" s="1"/>
      <c r="Q131" s="1"/>
    </row>
    <row r="132" spans="1:17" x14ac:dyDescent="0.35">
      <c r="A132" s="1"/>
      <c r="B132" s="1"/>
      <c r="C132" s="1"/>
      <c r="D132" s="1"/>
      <c r="E132" s="1"/>
      <c r="F132" s="1"/>
      <c r="G132" s="1"/>
      <c r="H132" s="1"/>
      <c r="I132" s="1"/>
      <c r="J132" s="1"/>
      <c r="K132" s="1"/>
      <c r="L132" s="1"/>
      <c r="M132" s="1"/>
      <c r="N132" s="1"/>
      <c r="O132" s="1"/>
      <c r="P132" s="1"/>
      <c r="Q132" s="1"/>
    </row>
    <row r="133" spans="1:17" x14ac:dyDescent="0.35">
      <c r="A133" s="1"/>
      <c r="B133" s="1"/>
      <c r="C133" s="1"/>
      <c r="D133" s="1"/>
      <c r="E133" s="1"/>
      <c r="F133" s="1"/>
      <c r="G133" s="1"/>
      <c r="H133" s="1"/>
      <c r="I133" s="1"/>
      <c r="J133" s="1"/>
      <c r="K133" s="1"/>
      <c r="L133" s="1"/>
      <c r="M133" s="1"/>
      <c r="N133" s="1"/>
      <c r="O133" s="1"/>
      <c r="P133" s="1"/>
      <c r="Q133" s="1"/>
    </row>
    <row r="134" spans="1:17" x14ac:dyDescent="0.35">
      <c r="A134" s="1"/>
      <c r="B134" s="1"/>
      <c r="C134" s="1"/>
      <c r="D134" s="1"/>
      <c r="E134" s="1"/>
      <c r="F134" s="1"/>
      <c r="G134" s="1"/>
      <c r="H134" s="1"/>
      <c r="I134" s="1"/>
      <c r="J134" s="1"/>
      <c r="K134" s="1"/>
      <c r="L134" s="1"/>
      <c r="M134" s="1"/>
      <c r="N134" s="1"/>
      <c r="O134" s="1"/>
      <c r="P134" s="1"/>
      <c r="Q134" s="1"/>
    </row>
    <row r="135" spans="1:17" x14ac:dyDescent="0.35">
      <c r="A135" s="1"/>
      <c r="B135" s="1"/>
      <c r="C135" s="1"/>
      <c r="D135" s="1"/>
      <c r="E135" s="1"/>
      <c r="F135" s="1"/>
      <c r="G135" s="1"/>
      <c r="H135" s="1"/>
      <c r="I135" s="1"/>
      <c r="J135" s="1"/>
      <c r="K135" s="1"/>
      <c r="L135" s="1"/>
      <c r="M135" s="1"/>
      <c r="N135" s="1"/>
      <c r="O135" s="1"/>
      <c r="P135" s="1"/>
      <c r="Q135" s="1"/>
    </row>
    <row r="136" spans="1:17" x14ac:dyDescent="0.35">
      <c r="A136" s="1"/>
      <c r="B136" s="1"/>
      <c r="C136" s="1"/>
      <c r="D136" s="1"/>
      <c r="E136" s="1"/>
      <c r="F136" s="1"/>
      <c r="G136" s="1"/>
      <c r="H136" s="1"/>
      <c r="I136" s="1"/>
      <c r="J136" s="1"/>
      <c r="K136" s="1"/>
      <c r="L136" s="1"/>
      <c r="M136" s="1"/>
      <c r="N136" s="1"/>
      <c r="O136" s="1"/>
      <c r="P136" s="1"/>
      <c r="Q136" s="1"/>
    </row>
    <row r="137" spans="1:17" x14ac:dyDescent="0.35">
      <c r="A137" s="1"/>
      <c r="B137" s="1"/>
      <c r="C137" s="1"/>
      <c r="D137" s="1"/>
      <c r="E137" s="1"/>
      <c r="F137" s="1"/>
      <c r="G137" s="1"/>
      <c r="H137" s="1"/>
      <c r="I137" s="1"/>
      <c r="J137" s="1"/>
      <c r="K137" s="1"/>
      <c r="L137" s="1"/>
      <c r="M137" s="1"/>
      <c r="N137" s="1"/>
      <c r="O137" s="1"/>
      <c r="P137" s="1"/>
      <c r="Q137" s="1"/>
    </row>
    <row r="138" spans="1:17" x14ac:dyDescent="0.35">
      <c r="A138" s="1"/>
      <c r="B138" s="1"/>
      <c r="C138" s="1"/>
      <c r="D138" s="1"/>
      <c r="E138" s="1"/>
      <c r="F138" s="1"/>
      <c r="G138" s="1"/>
      <c r="H138" s="1"/>
      <c r="I138" s="1"/>
      <c r="J138" s="1"/>
      <c r="K138" s="1"/>
      <c r="L138" s="1"/>
      <c r="M138" s="1"/>
      <c r="N138" s="1"/>
      <c r="O138" s="1"/>
      <c r="P138" s="1"/>
      <c r="Q138" s="1"/>
    </row>
    <row r="139" spans="1:17" x14ac:dyDescent="0.35">
      <c r="A139" s="1"/>
      <c r="B139" s="1"/>
      <c r="C139" s="1"/>
      <c r="D139" s="1"/>
      <c r="E139" s="1"/>
      <c r="F139" s="1"/>
      <c r="G139" s="1"/>
      <c r="H139" s="1"/>
      <c r="I139" s="1"/>
      <c r="J139" s="1"/>
      <c r="K139" s="1"/>
      <c r="L139" s="1"/>
      <c r="M139" s="1"/>
      <c r="N139" s="1"/>
      <c r="O139" s="1"/>
      <c r="P139" s="1"/>
      <c r="Q139" s="1"/>
    </row>
    <row r="140" spans="1:17" x14ac:dyDescent="0.35">
      <c r="A140" s="1"/>
      <c r="B140" s="1"/>
      <c r="C140" s="1"/>
      <c r="D140" s="1"/>
      <c r="E140" s="1"/>
      <c r="F140" s="1"/>
      <c r="G140" s="1"/>
      <c r="H140" s="1"/>
      <c r="I140" s="1"/>
      <c r="J140" s="1"/>
      <c r="K140" s="1"/>
      <c r="L140" s="1"/>
      <c r="M140" s="1"/>
      <c r="N140" s="1"/>
      <c r="O140" s="1"/>
      <c r="P140" s="1"/>
      <c r="Q140" s="1"/>
    </row>
    <row r="141" spans="1:17" x14ac:dyDescent="0.35">
      <c r="A141" s="1"/>
      <c r="B141" s="1"/>
      <c r="C141" s="1"/>
      <c r="D141" s="1"/>
      <c r="E141" s="1"/>
      <c r="F141" s="1"/>
      <c r="G141" s="1"/>
      <c r="H141" s="1"/>
      <c r="I141" s="1"/>
      <c r="J141" s="1"/>
      <c r="K141" s="1"/>
      <c r="L141" s="1"/>
      <c r="M141" s="1"/>
      <c r="N141" s="1"/>
      <c r="O141" s="1"/>
      <c r="P141" s="1"/>
      <c r="Q141" s="1"/>
    </row>
    <row r="142" spans="1:17" x14ac:dyDescent="0.35">
      <c r="A142" s="1"/>
      <c r="B142" s="1"/>
      <c r="C142" s="1"/>
      <c r="D142" s="1"/>
      <c r="E142" s="1"/>
      <c r="F142" s="1"/>
      <c r="G142" s="1"/>
      <c r="H142" s="1"/>
      <c r="I142" s="1"/>
      <c r="J142" s="1"/>
      <c r="K142" s="1"/>
      <c r="L142" s="1"/>
      <c r="M142" s="1"/>
      <c r="N142" s="1"/>
      <c r="O142" s="1"/>
      <c r="P142" s="1"/>
      <c r="Q142" s="1"/>
    </row>
    <row r="143" spans="1:17" x14ac:dyDescent="0.35">
      <c r="A143" s="1"/>
      <c r="B143" s="1"/>
      <c r="C143" s="1"/>
      <c r="D143" s="1"/>
      <c r="E143" s="1"/>
      <c r="F143" s="1"/>
      <c r="G143" s="1"/>
      <c r="H143" s="1"/>
      <c r="I143" s="1"/>
      <c r="J143" s="1"/>
      <c r="K143" s="1"/>
      <c r="L143" s="1"/>
      <c r="M143" s="1"/>
      <c r="N143" s="1"/>
      <c r="O143" s="1"/>
      <c r="P143" s="1"/>
      <c r="Q143" s="1"/>
    </row>
    <row r="144" spans="1:17" x14ac:dyDescent="0.35">
      <c r="A144" s="1"/>
      <c r="B144" s="1"/>
      <c r="C144" s="1"/>
      <c r="D144" s="1"/>
      <c r="E144" s="1"/>
      <c r="F144" s="1"/>
      <c r="G144" s="1"/>
      <c r="H144" s="1"/>
      <c r="I144" s="1"/>
      <c r="J144" s="1"/>
      <c r="K144" s="1"/>
      <c r="L144" s="1"/>
      <c r="M144" s="1"/>
      <c r="N144" s="1"/>
      <c r="O144" s="1"/>
      <c r="P144" s="1"/>
      <c r="Q144" s="1"/>
    </row>
    <row r="145" spans="1:17" x14ac:dyDescent="0.35">
      <c r="A145" s="1"/>
      <c r="B145" s="1"/>
      <c r="C145" s="1"/>
      <c r="D145" s="1"/>
      <c r="E145" s="1"/>
      <c r="F145" s="1"/>
      <c r="G145" s="1"/>
      <c r="H145" s="1"/>
      <c r="I145" s="1"/>
      <c r="J145" s="1"/>
      <c r="K145" s="1"/>
      <c r="L145" s="1"/>
      <c r="M145" s="1"/>
      <c r="N145" s="1"/>
      <c r="O145" s="1"/>
      <c r="P145" s="1"/>
      <c r="Q145" s="1"/>
    </row>
    <row r="146" spans="1:17" x14ac:dyDescent="0.35">
      <c r="A146" s="1"/>
      <c r="B146" s="1"/>
      <c r="C146" s="1"/>
      <c r="D146" s="1"/>
      <c r="E146" s="1"/>
      <c r="F146" s="1"/>
      <c r="G146" s="1"/>
      <c r="H146" s="1"/>
      <c r="I146" s="1"/>
      <c r="J146" s="1"/>
      <c r="K146" s="1"/>
      <c r="L146" s="1"/>
      <c r="M146" s="1"/>
      <c r="N146" s="1"/>
      <c r="O146" s="1"/>
      <c r="P146" s="1"/>
      <c r="Q146" s="1"/>
    </row>
    <row r="147" spans="1:17" x14ac:dyDescent="0.35">
      <c r="A147" s="1"/>
      <c r="B147" s="1"/>
      <c r="C147" s="1"/>
      <c r="D147" s="1"/>
      <c r="E147" s="1"/>
      <c r="F147" s="1"/>
      <c r="G147" s="1"/>
      <c r="H147" s="1"/>
      <c r="I147" s="1"/>
      <c r="J147" s="1"/>
      <c r="K147" s="1"/>
      <c r="L147" s="1"/>
      <c r="M147" s="1"/>
      <c r="N147" s="1"/>
      <c r="O147" s="1"/>
      <c r="P147" s="1"/>
      <c r="Q147" s="1"/>
    </row>
    <row r="148" spans="1:17" x14ac:dyDescent="0.35">
      <c r="A148" s="1"/>
      <c r="B148" s="1"/>
      <c r="C148" s="1"/>
      <c r="D148" s="1"/>
      <c r="E148" s="1"/>
      <c r="F148" s="1"/>
      <c r="G148" s="1"/>
      <c r="H148" s="1"/>
      <c r="I148" s="1"/>
      <c r="J148" s="1"/>
      <c r="K148" s="1"/>
      <c r="L148" s="1"/>
      <c r="M148" s="1"/>
      <c r="N148" s="1"/>
      <c r="O148" s="1"/>
      <c r="P148" s="1"/>
      <c r="Q148" s="1"/>
    </row>
    <row r="149" spans="1:17" x14ac:dyDescent="0.35">
      <c r="A149" s="1"/>
      <c r="B149" s="1"/>
      <c r="C149" s="1"/>
      <c r="D149" s="1"/>
      <c r="E149" s="1"/>
      <c r="F149" s="1"/>
      <c r="G149" s="1"/>
      <c r="H149" s="1"/>
      <c r="I149" s="1"/>
      <c r="J149" s="1"/>
      <c r="K149" s="1"/>
      <c r="L149" s="1"/>
      <c r="M149" s="1"/>
      <c r="N149" s="1"/>
      <c r="O149" s="1"/>
      <c r="P149" s="1"/>
      <c r="Q149" s="1"/>
    </row>
    <row r="150" spans="1:17" x14ac:dyDescent="0.35">
      <c r="A150" s="1"/>
      <c r="B150" s="1"/>
      <c r="C150" s="1"/>
      <c r="D150" s="1"/>
      <c r="E150" s="1"/>
      <c r="F150" s="1"/>
      <c r="G150" s="1"/>
      <c r="H150" s="1"/>
      <c r="I150" s="1"/>
      <c r="J150" s="1"/>
      <c r="K150" s="1"/>
      <c r="L150" s="1"/>
      <c r="M150" s="1"/>
      <c r="N150" s="1"/>
      <c r="O150" s="1"/>
      <c r="P150" s="1"/>
      <c r="Q150" s="1"/>
    </row>
    <row r="151" spans="1:17" x14ac:dyDescent="0.35">
      <c r="A151" s="1"/>
      <c r="B151" s="1"/>
      <c r="C151" s="1"/>
      <c r="D151" s="1"/>
      <c r="E151" s="1"/>
      <c r="F151" s="1"/>
      <c r="G151" s="1"/>
      <c r="H151" s="1"/>
      <c r="I151" s="1"/>
      <c r="J151" s="1"/>
      <c r="K151" s="1"/>
      <c r="L151" s="1"/>
      <c r="M151" s="1"/>
      <c r="N151" s="1"/>
      <c r="O151" s="1"/>
      <c r="P151" s="1"/>
      <c r="Q151" s="1"/>
    </row>
    <row r="152" spans="1:17" x14ac:dyDescent="0.35">
      <c r="A152" s="1"/>
      <c r="B152" s="1"/>
      <c r="C152" s="1"/>
      <c r="D152" s="1"/>
      <c r="E152" s="1"/>
      <c r="F152" s="1"/>
      <c r="G152" s="1"/>
      <c r="H152" s="1"/>
      <c r="I152" s="1"/>
      <c r="J152" s="1"/>
      <c r="K152" s="1"/>
      <c r="L152" s="1"/>
      <c r="M152" s="1"/>
      <c r="N152" s="1"/>
      <c r="O152" s="1"/>
      <c r="P152" s="1"/>
      <c r="Q152" s="1"/>
    </row>
    <row r="153" spans="1:17" x14ac:dyDescent="0.35">
      <c r="A153" s="1"/>
      <c r="B153" s="1"/>
      <c r="C153" s="1"/>
      <c r="D153" s="1"/>
      <c r="E153" s="1"/>
      <c r="F153" s="1"/>
      <c r="G153" s="1"/>
      <c r="H153" s="1"/>
      <c r="I153" s="1"/>
      <c r="J153" s="1"/>
      <c r="K153" s="1"/>
      <c r="L153" s="1"/>
      <c r="M153" s="1"/>
      <c r="N153" s="1"/>
      <c r="O153" s="1"/>
      <c r="P153" s="1"/>
      <c r="Q153" s="1"/>
    </row>
    <row r="154" spans="1:17" x14ac:dyDescent="0.35">
      <c r="A154" s="1"/>
      <c r="B154" s="1"/>
      <c r="C154" s="1"/>
      <c r="D154" s="1"/>
      <c r="E154" s="1"/>
      <c r="F154" s="1"/>
      <c r="G154" s="1"/>
      <c r="H154" s="1"/>
      <c r="I154" s="1"/>
      <c r="J154" s="1"/>
      <c r="K154" s="1"/>
      <c r="L154" s="1"/>
      <c r="M154" s="1"/>
      <c r="N154" s="1"/>
      <c r="O154" s="1"/>
      <c r="P154" s="1"/>
      <c r="Q154" s="1"/>
    </row>
    <row r="155" spans="1:17" x14ac:dyDescent="0.35">
      <c r="A155" s="1"/>
      <c r="B155" s="1"/>
      <c r="C155" s="1"/>
      <c r="D155" s="1"/>
      <c r="E155" s="1"/>
      <c r="F155" s="1"/>
      <c r="G155" s="1"/>
      <c r="H155" s="1"/>
      <c r="I155" s="1"/>
      <c r="J155" s="1"/>
      <c r="K155" s="1"/>
      <c r="L155" s="1"/>
      <c r="M155" s="1"/>
      <c r="N155" s="1"/>
      <c r="O155" s="1"/>
      <c r="P155" s="1"/>
      <c r="Q155" s="1"/>
    </row>
    <row r="156" spans="1:17" x14ac:dyDescent="0.35">
      <c r="A156" s="1"/>
      <c r="B156" s="1"/>
      <c r="C156" s="1"/>
      <c r="D156" s="1"/>
      <c r="E156" s="1"/>
      <c r="F156" s="1"/>
      <c r="G156" s="1"/>
      <c r="H156" s="1"/>
      <c r="I156" s="1"/>
      <c r="J156" s="1"/>
      <c r="K156" s="1"/>
      <c r="L156" s="1"/>
      <c r="M156" s="1"/>
      <c r="N156" s="1"/>
      <c r="O156" s="1"/>
      <c r="P156" s="1"/>
      <c r="Q156" s="1"/>
    </row>
    <row r="157" spans="1:17" x14ac:dyDescent="0.35">
      <c r="A157" s="1"/>
      <c r="B157" s="1"/>
      <c r="C157" s="1"/>
      <c r="D157" s="1"/>
      <c r="E157" s="1"/>
      <c r="F157" s="1"/>
      <c r="G157" s="1"/>
      <c r="H157" s="1"/>
      <c r="I157" s="1"/>
      <c r="J157" s="1"/>
      <c r="K157" s="1"/>
      <c r="L157" s="1"/>
      <c r="M157" s="1"/>
      <c r="N157" s="1"/>
      <c r="O157" s="1"/>
      <c r="P157" s="1"/>
      <c r="Q157" s="1"/>
    </row>
    <row r="158" spans="1:17" x14ac:dyDescent="0.35">
      <c r="A158" s="1"/>
      <c r="B158" s="1"/>
      <c r="C158" s="1"/>
      <c r="D158" s="1"/>
      <c r="E158" s="1"/>
      <c r="F158" s="1"/>
      <c r="G158" s="1"/>
      <c r="H158" s="1"/>
      <c r="I158" s="1"/>
      <c r="J158" s="1"/>
      <c r="K158" s="1"/>
      <c r="L158" s="1"/>
      <c r="M158" s="1"/>
      <c r="N158" s="1"/>
      <c r="O158" s="1"/>
      <c r="P158" s="1"/>
      <c r="Q158" s="1"/>
    </row>
    <row r="159" spans="1:17" x14ac:dyDescent="0.35">
      <c r="A159" s="1"/>
      <c r="B159" s="1"/>
      <c r="C159" s="1"/>
      <c r="D159" s="1"/>
      <c r="E159" s="1"/>
      <c r="F159" s="1"/>
      <c r="G159" s="1"/>
      <c r="H159" s="1"/>
      <c r="I159" s="1"/>
      <c r="J159" s="1"/>
      <c r="K159" s="1"/>
      <c r="L159" s="1"/>
      <c r="M159" s="1"/>
      <c r="N159" s="1"/>
      <c r="O159" s="1"/>
      <c r="P159" s="1"/>
      <c r="Q159" s="1"/>
    </row>
    <row r="160" spans="1:17" x14ac:dyDescent="0.35">
      <c r="A160" s="1"/>
      <c r="B160" s="1"/>
      <c r="C160" s="1"/>
      <c r="D160" s="1"/>
      <c r="E160" s="1"/>
      <c r="F160" s="1"/>
      <c r="G160" s="1"/>
      <c r="H160" s="1"/>
      <c r="I160" s="1"/>
      <c r="J160" s="1"/>
      <c r="K160" s="1"/>
      <c r="L160" s="1"/>
      <c r="M160" s="1"/>
      <c r="N160" s="1"/>
      <c r="O160" s="1"/>
      <c r="P160" s="1"/>
      <c r="Q160" s="1"/>
    </row>
    <row r="161" spans="1:17" x14ac:dyDescent="0.35">
      <c r="A161" s="1"/>
      <c r="B161" s="1"/>
      <c r="C161" s="1"/>
      <c r="D161" s="1"/>
      <c r="E161" s="1"/>
      <c r="F161" s="1"/>
      <c r="G161" s="1"/>
      <c r="H161" s="1"/>
      <c r="I161" s="1"/>
      <c r="J161" s="1"/>
      <c r="K161" s="1"/>
      <c r="L161" s="1"/>
      <c r="M161" s="1"/>
      <c r="N161" s="1"/>
      <c r="O161" s="1"/>
      <c r="P161" s="1"/>
      <c r="Q161" s="1"/>
    </row>
    <row r="162" spans="1:17" x14ac:dyDescent="0.35">
      <c r="A162" s="1"/>
      <c r="B162" s="1"/>
      <c r="C162" s="1"/>
      <c r="D162" s="1"/>
      <c r="E162" s="1"/>
      <c r="F162" s="1"/>
      <c r="G162" s="1"/>
      <c r="H162" s="1"/>
      <c r="I162" s="1"/>
      <c r="J162" s="1"/>
      <c r="K162" s="1"/>
      <c r="L162" s="1"/>
      <c r="M162" s="1"/>
      <c r="N162" s="1"/>
      <c r="O162" s="1"/>
      <c r="P162" s="1"/>
      <c r="Q162" s="1"/>
    </row>
    <row r="163" spans="1:17" x14ac:dyDescent="0.35">
      <c r="A163" s="1"/>
      <c r="B163" s="1"/>
      <c r="C163" s="1"/>
      <c r="D163" s="1"/>
      <c r="E163" s="1"/>
      <c r="F163" s="1"/>
      <c r="G163" s="1"/>
      <c r="H163" s="1"/>
      <c r="I163" s="1"/>
      <c r="J163" s="1"/>
      <c r="K163" s="1"/>
      <c r="L163" s="1"/>
      <c r="M163" s="1"/>
      <c r="N163" s="1"/>
      <c r="O163" s="1"/>
      <c r="P163" s="1"/>
      <c r="Q163" s="1"/>
    </row>
    <row r="164" spans="1:17" x14ac:dyDescent="0.35">
      <c r="A164" s="1"/>
      <c r="B164" s="1"/>
      <c r="C164" s="1"/>
      <c r="D164" s="1"/>
      <c r="E164" s="1"/>
      <c r="F164" s="1"/>
      <c r="G164" s="1"/>
      <c r="H164" s="1"/>
      <c r="I164" s="1"/>
      <c r="J164" s="1"/>
      <c r="K164" s="1"/>
      <c r="L164" s="1"/>
      <c r="M164" s="1"/>
      <c r="N164" s="1"/>
      <c r="O164" s="1"/>
      <c r="P164" s="1"/>
      <c r="Q164" s="1"/>
    </row>
    <row r="165" spans="1:17" x14ac:dyDescent="0.35">
      <c r="A165" s="1"/>
      <c r="B165" s="1"/>
      <c r="C165" s="1"/>
      <c r="D165" s="1"/>
      <c r="E165" s="1"/>
      <c r="F165" s="1"/>
      <c r="G165" s="1"/>
      <c r="H165" s="1"/>
      <c r="I165" s="1"/>
      <c r="J165" s="1"/>
      <c r="K165" s="1"/>
      <c r="L165" s="1"/>
      <c r="M165" s="1"/>
      <c r="N165" s="1"/>
      <c r="O165" s="1"/>
      <c r="P165" s="1"/>
      <c r="Q165" s="1"/>
    </row>
    <row r="166" spans="1:17" x14ac:dyDescent="0.35">
      <c r="A166" s="1"/>
      <c r="B166" s="1"/>
      <c r="C166" s="1"/>
      <c r="D166" s="1"/>
      <c r="E166" s="1"/>
      <c r="F166" s="1"/>
      <c r="G166" s="1"/>
      <c r="H166" s="1"/>
      <c r="I166" s="1"/>
      <c r="J166" s="1"/>
      <c r="K166" s="1"/>
      <c r="L166" s="1"/>
      <c r="M166" s="1"/>
      <c r="N166" s="1"/>
      <c r="O166" s="1"/>
      <c r="P166" s="1"/>
      <c r="Q166" s="1"/>
    </row>
    <row r="167" spans="1:17" x14ac:dyDescent="0.35">
      <c r="A167" s="1"/>
      <c r="B167" s="1"/>
      <c r="C167" s="1"/>
      <c r="D167" s="1"/>
      <c r="E167" s="1"/>
      <c r="F167" s="1"/>
      <c r="G167" s="1"/>
      <c r="H167" s="1"/>
      <c r="I167" s="1"/>
      <c r="J167" s="1"/>
      <c r="K167" s="1"/>
      <c r="L167" s="1"/>
      <c r="M167" s="1"/>
      <c r="N167" s="1"/>
      <c r="O167" s="1"/>
      <c r="P167" s="1"/>
      <c r="Q167" s="1"/>
    </row>
    <row r="168" spans="1:17" x14ac:dyDescent="0.35">
      <c r="A168" s="1"/>
      <c r="B168" s="1"/>
      <c r="C168" s="1"/>
      <c r="D168" s="1"/>
      <c r="E168" s="1"/>
      <c r="F168" s="1"/>
      <c r="G168" s="1"/>
      <c r="H168" s="1"/>
      <c r="I168" s="1"/>
      <c r="J168" s="1"/>
      <c r="K168" s="1"/>
      <c r="L168" s="1"/>
      <c r="M168" s="1"/>
      <c r="N168" s="1"/>
      <c r="O168" s="1"/>
      <c r="P168" s="1"/>
      <c r="Q168" s="1"/>
    </row>
    <row r="169" spans="1:17" x14ac:dyDescent="0.35">
      <c r="A169" s="1"/>
      <c r="B169" s="1"/>
      <c r="C169" s="1"/>
      <c r="D169" s="1"/>
      <c r="E169" s="1"/>
      <c r="F169" s="1"/>
      <c r="G169" s="1"/>
      <c r="H169" s="1"/>
      <c r="I169" s="1"/>
      <c r="J169" s="1"/>
      <c r="K169" s="1"/>
      <c r="L169" s="1"/>
      <c r="M169" s="1"/>
      <c r="N169" s="1"/>
      <c r="O169" s="1"/>
      <c r="P169" s="1"/>
      <c r="Q169" s="1"/>
    </row>
    <row r="170" spans="1:17" x14ac:dyDescent="0.35">
      <c r="A170" s="1"/>
      <c r="B170" s="1"/>
      <c r="C170" s="1"/>
      <c r="D170" s="1"/>
      <c r="E170" s="1"/>
      <c r="F170" s="1"/>
      <c r="G170" s="1"/>
      <c r="H170" s="1"/>
      <c r="I170" s="1"/>
      <c r="J170" s="1"/>
      <c r="K170" s="1"/>
      <c r="L170" s="1"/>
      <c r="M170" s="1"/>
      <c r="N170" s="1"/>
      <c r="O170" s="1"/>
      <c r="P170" s="1"/>
      <c r="Q170" s="1"/>
    </row>
    <row r="171" spans="1:17" x14ac:dyDescent="0.35">
      <c r="A171" s="1"/>
      <c r="B171" s="1"/>
      <c r="C171" s="1"/>
      <c r="D171" s="1"/>
      <c r="E171" s="1"/>
      <c r="F171" s="1"/>
      <c r="G171" s="1"/>
      <c r="H171" s="1"/>
      <c r="I171" s="1"/>
      <c r="J171" s="1"/>
      <c r="K171" s="1"/>
      <c r="L171" s="1"/>
      <c r="M171" s="1"/>
      <c r="N171" s="1"/>
      <c r="O171" s="1"/>
      <c r="P171" s="1"/>
      <c r="Q171" s="1"/>
    </row>
    <row r="172" spans="1:17" x14ac:dyDescent="0.35">
      <c r="A172" s="1"/>
      <c r="B172" s="1"/>
      <c r="C172" s="1"/>
      <c r="D172" s="1"/>
      <c r="E172" s="1"/>
      <c r="F172" s="1"/>
      <c r="G172" s="1"/>
      <c r="H172" s="1"/>
      <c r="I172" s="1"/>
      <c r="J172" s="1"/>
      <c r="K172" s="1"/>
      <c r="L172" s="1"/>
      <c r="M172" s="1"/>
      <c r="N172" s="1"/>
      <c r="O172" s="1"/>
      <c r="P172" s="1"/>
      <c r="Q172" s="1"/>
    </row>
    <row r="173" spans="1:17" x14ac:dyDescent="0.35">
      <c r="A173" s="1"/>
      <c r="B173" s="1"/>
      <c r="C173" s="1"/>
      <c r="D173" s="1"/>
      <c r="E173" s="1"/>
      <c r="F173" s="1"/>
      <c r="G173" s="1"/>
      <c r="H173" s="1"/>
      <c r="I173" s="1"/>
      <c r="J173" s="1"/>
      <c r="K173" s="1"/>
      <c r="L173" s="1"/>
      <c r="M173" s="1"/>
      <c r="N173" s="1"/>
      <c r="O173" s="1"/>
      <c r="P173" s="1"/>
      <c r="Q173" s="1"/>
    </row>
    <row r="174" spans="1:17" x14ac:dyDescent="0.35">
      <c r="A174" s="1"/>
      <c r="B174" s="1"/>
      <c r="C174" s="1"/>
      <c r="D174" s="1"/>
      <c r="E174" s="1"/>
      <c r="F174" s="1"/>
      <c r="G174" s="1"/>
      <c r="H174" s="1"/>
      <c r="I174" s="1"/>
      <c r="J174" s="1"/>
      <c r="K174" s="1"/>
      <c r="L174" s="1"/>
      <c r="M174" s="1"/>
      <c r="N174" s="1"/>
      <c r="O174" s="1"/>
      <c r="P174" s="1"/>
      <c r="Q174" s="1"/>
    </row>
    <row r="175" spans="1:17" x14ac:dyDescent="0.35">
      <c r="A175" s="1"/>
      <c r="B175" s="1"/>
      <c r="C175" s="1"/>
      <c r="D175" s="1"/>
      <c r="E175" s="1"/>
      <c r="F175" s="1"/>
      <c r="G175" s="1"/>
      <c r="H175" s="1"/>
      <c r="I175" s="1"/>
      <c r="J175" s="1"/>
      <c r="K175" s="1"/>
      <c r="L175" s="1"/>
      <c r="M175" s="1"/>
      <c r="N175" s="1"/>
      <c r="O175" s="1"/>
      <c r="P175" s="1"/>
      <c r="Q175" s="1"/>
    </row>
    <row r="176" spans="1:17" x14ac:dyDescent="0.35">
      <c r="A176" s="1"/>
      <c r="B176" s="1"/>
      <c r="C176" s="1"/>
      <c r="D176" s="1"/>
      <c r="E176" s="1"/>
      <c r="F176" s="1"/>
      <c r="G176" s="1"/>
      <c r="H176" s="1"/>
      <c r="I176" s="1"/>
      <c r="J176" s="1"/>
      <c r="K176" s="1"/>
      <c r="L176" s="1"/>
      <c r="M176" s="1"/>
      <c r="N176" s="1"/>
      <c r="O176" s="1"/>
      <c r="P176" s="1"/>
      <c r="Q176" s="1"/>
    </row>
    <row r="177" spans="1:17" x14ac:dyDescent="0.35">
      <c r="A177" s="1"/>
      <c r="B177" s="1"/>
      <c r="C177" s="1"/>
      <c r="D177" s="1"/>
      <c r="E177" s="1"/>
      <c r="F177" s="1"/>
      <c r="G177" s="1"/>
      <c r="H177" s="1"/>
      <c r="I177" s="1"/>
      <c r="J177" s="1"/>
      <c r="K177" s="1"/>
      <c r="L177" s="1"/>
      <c r="M177" s="1"/>
      <c r="N177" s="1"/>
      <c r="O177" s="1"/>
      <c r="P177" s="1"/>
      <c r="Q177" s="1"/>
    </row>
    <row r="178" spans="1:17" x14ac:dyDescent="0.35">
      <c r="A178" s="1"/>
      <c r="B178" s="1"/>
      <c r="C178" s="1"/>
      <c r="D178" s="1"/>
      <c r="E178" s="1"/>
      <c r="F178" s="1"/>
      <c r="G178" s="1"/>
      <c r="H178" s="1"/>
      <c r="I178" s="1"/>
      <c r="J178" s="1"/>
      <c r="K178" s="1"/>
      <c r="L178" s="1"/>
      <c r="M178" s="1"/>
      <c r="N178" s="1"/>
      <c r="O178" s="1"/>
      <c r="P178" s="1"/>
      <c r="Q178" s="1"/>
    </row>
    <row r="179" spans="1:17" x14ac:dyDescent="0.35">
      <c r="A179" s="1"/>
      <c r="B179" s="1"/>
      <c r="C179" s="1"/>
      <c r="D179" s="1"/>
      <c r="E179" s="1"/>
      <c r="F179" s="1"/>
      <c r="G179" s="1"/>
      <c r="H179" s="1"/>
      <c r="I179" s="1"/>
      <c r="J179" s="1"/>
      <c r="K179" s="1"/>
      <c r="L179" s="1"/>
      <c r="M179" s="1"/>
      <c r="N179" s="1"/>
      <c r="O179" s="1"/>
      <c r="P179" s="1"/>
      <c r="Q179" s="1"/>
    </row>
    <row r="180" spans="1:17" x14ac:dyDescent="0.35">
      <c r="A180" s="1"/>
      <c r="B180" s="1"/>
      <c r="C180" s="1"/>
      <c r="D180" s="1"/>
      <c r="E180" s="1"/>
      <c r="F180" s="1"/>
      <c r="G180" s="1"/>
      <c r="H180" s="1"/>
      <c r="I180" s="1"/>
      <c r="J180" s="1"/>
      <c r="K180" s="1"/>
      <c r="L180" s="1"/>
      <c r="M180" s="1"/>
      <c r="N180" s="1"/>
      <c r="O180" s="1"/>
      <c r="P180" s="1"/>
      <c r="Q180" s="1"/>
    </row>
    <row r="181" spans="1:17" x14ac:dyDescent="0.35">
      <c r="A181" s="1"/>
      <c r="B181" s="1"/>
      <c r="C181" s="1"/>
      <c r="D181" s="1"/>
      <c r="E181" s="1"/>
      <c r="F181" s="1"/>
      <c r="G181" s="1"/>
      <c r="H181" s="1"/>
      <c r="I181" s="1"/>
      <c r="J181" s="1"/>
      <c r="K181" s="1"/>
      <c r="L181" s="1"/>
      <c r="M181" s="1"/>
      <c r="N181" s="1"/>
      <c r="O181" s="1"/>
      <c r="P181" s="1"/>
      <c r="Q181" s="1"/>
    </row>
    <row r="182" spans="1:17" x14ac:dyDescent="0.35">
      <c r="A182" s="1"/>
      <c r="B182" s="1"/>
      <c r="C182" s="1"/>
      <c r="D182" s="1"/>
      <c r="E182" s="1"/>
      <c r="F182" s="1"/>
      <c r="G182" s="1"/>
      <c r="H182" s="1"/>
      <c r="I182" s="1"/>
      <c r="J182" s="1"/>
      <c r="K182" s="1"/>
      <c r="L182" s="1"/>
      <c r="M182" s="1"/>
      <c r="N182" s="1"/>
      <c r="O182" s="1"/>
      <c r="P182" s="1"/>
      <c r="Q182" s="1"/>
    </row>
    <row r="183" spans="1:17" x14ac:dyDescent="0.35">
      <c r="A183" s="1"/>
      <c r="B183" s="1"/>
      <c r="C183" s="1"/>
      <c r="D183" s="1"/>
      <c r="E183" s="1"/>
      <c r="F183" s="1"/>
      <c r="G183" s="1"/>
      <c r="H183" s="1"/>
      <c r="I183" s="1"/>
      <c r="J183" s="1"/>
      <c r="K183" s="1"/>
      <c r="L183" s="1"/>
      <c r="M183" s="1"/>
      <c r="N183" s="1"/>
      <c r="O183" s="1"/>
      <c r="P183" s="1"/>
      <c r="Q183" s="1"/>
    </row>
    <row r="184" spans="1:17" x14ac:dyDescent="0.35">
      <c r="A184" s="1"/>
      <c r="B184" s="1"/>
      <c r="C184" s="1"/>
      <c r="D184" s="1"/>
      <c r="E184" s="1"/>
      <c r="F184" s="1"/>
      <c r="G184" s="1"/>
      <c r="H184" s="1"/>
      <c r="I184" s="1"/>
      <c r="J184" s="1"/>
      <c r="K184" s="1"/>
      <c r="L184" s="1"/>
      <c r="M184" s="1"/>
      <c r="N184" s="1"/>
      <c r="O184" s="1"/>
      <c r="P184" s="1"/>
      <c r="Q184" s="1"/>
    </row>
    <row r="185" spans="1:17" x14ac:dyDescent="0.35">
      <c r="A185" s="1"/>
      <c r="B185" s="1"/>
      <c r="C185" s="1"/>
      <c r="D185" s="1"/>
      <c r="E185" s="1"/>
      <c r="F185" s="1"/>
      <c r="G185" s="1"/>
      <c r="H185" s="1"/>
      <c r="I185" s="1"/>
      <c r="J185" s="1"/>
      <c r="K185" s="1"/>
      <c r="L185" s="1"/>
      <c r="M185" s="1"/>
      <c r="N185" s="1"/>
      <c r="O185" s="1"/>
      <c r="P185" s="1"/>
      <c r="Q185" s="1"/>
    </row>
    <row r="186" spans="1:17" x14ac:dyDescent="0.35">
      <c r="A186" s="1"/>
      <c r="B186" s="1"/>
      <c r="C186" s="1"/>
      <c r="D186" s="1"/>
      <c r="E186" s="1"/>
      <c r="F186" s="1"/>
      <c r="G186" s="1"/>
      <c r="H186" s="1"/>
      <c r="I186" s="1"/>
      <c r="J186" s="1"/>
      <c r="K186" s="1"/>
      <c r="L186" s="1"/>
      <c r="M186" s="1"/>
      <c r="N186" s="1"/>
      <c r="O186" s="1"/>
      <c r="P186" s="1"/>
      <c r="Q186" s="1"/>
    </row>
    <row r="187" spans="1:17" x14ac:dyDescent="0.35">
      <c r="A187" s="1"/>
      <c r="B187" s="1"/>
      <c r="C187" s="1"/>
      <c r="D187" s="1"/>
      <c r="E187" s="1"/>
      <c r="F187" s="1"/>
      <c r="G187" s="1"/>
      <c r="H187" s="1"/>
      <c r="I187" s="1"/>
      <c r="J187" s="1"/>
      <c r="K187" s="1"/>
      <c r="L187" s="1"/>
      <c r="M187" s="1"/>
      <c r="N187" s="1"/>
      <c r="O187" s="1"/>
      <c r="P187" s="1"/>
      <c r="Q187" s="1"/>
    </row>
    <row r="188" spans="1:17" x14ac:dyDescent="0.35">
      <c r="A188" s="1"/>
      <c r="B188" s="1"/>
      <c r="C188" s="1"/>
      <c r="D188" s="1"/>
      <c r="E188" s="1"/>
      <c r="F188" s="1"/>
      <c r="G188" s="1"/>
      <c r="H188" s="1"/>
      <c r="I188" s="1"/>
      <c r="J188" s="1"/>
      <c r="K188" s="1"/>
      <c r="L188" s="1"/>
      <c r="M188" s="1"/>
      <c r="N188" s="1"/>
      <c r="O188" s="1"/>
      <c r="P188" s="1"/>
      <c r="Q188" s="1"/>
    </row>
    <row r="189" spans="1:17" x14ac:dyDescent="0.35">
      <c r="A189" s="1"/>
      <c r="B189" s="1"/>
      <c r="C189" s="1"/>
      <c r="D189" s="1"/>
      <c r="E189" s="1"/>
      <c r="F189" s="1"/>
      <c r="G189" s="1"/>
      <c r="H189" s="1"/>
      <c r="I189" s="1"/>
      <c r="J189" s="1"/>
      <c r="K189" s="1"/>
      <c r="L189" s="1"/>
      <c r="M189" s="1"/>
      <c r="N189" s="1"/>
      <c r="O189" s="1"/>
      <c r="P189" s="1"/>
      <c r="Q189" s="1"/>
    </row>
    <row r="190" spans="1:17" x14ac:dyDescent="0.35">
      <c r="A190" s="1"/>
      <c r="B190" s="1"/>
      <c r="C190" s="1"/>
      <c r="D190" s="1"/>
      <c r="E190" s="1"/>
      <c r="F190" s="1"/>
      <c r="G190" s="1"/>
      <c r="H190" s="1"/>
      <c r="I190" s="1"/>
      <c r="J190" s="1"/>
      <c r="K190" s="1"/>
      <c r="L190" s="1"/>
      <c r="M190" s="1"/>
      <c r="N190" s="1"/>
      <c r="O190" s="1"/>
      <c r="P190" s="1"/>
      <c r="Q190" s="1"/>
    </row>
    <row r="191" spans="1:17" x14ac:dyDescent="0.35">
      <c r="A191" s="1"/>
      <c r="B191" s="1"/>
      <c r="C191" s="1"/>
      <c r="D191" s="1"/>
      <c r="E191" s="1"/>
      <c r="F191" s="1"/>
      <c r="G191" s="1"/>
      <c r="H191" s="1"/>
      <c r="I191" s="1"/>
      <c r="J191" s="1"/>
      <c r="K191" s="1"/>
      <c r="L191" s="1"/>
      <c r="M191" s="1"/>
      <c r="N191" s="1"/>
      <c r="O191" s="1"/>
      <c r="P191" s="1"/>
      <c r="Q191" s="1"/>
    </row>
    <row r="192" spans="1:17" x14ac:dyDescent="0.35">
      <c r="A192" s="1"/>
      <c r="B192" s="1"/>
      <c r="C192" s="1"/>
      <c r="D192" s="1"/>
      <c r="E192" s="1"/>
      <c r="F192" s="1"/>
      <c r="G192" s="1"/>
      <c r="H192" s="1"/>
      <c r="I192" s="1"/>
      <c r="J192" s="1"/>
      <c r="K192" s="1"/>
      <c r="L192" s="1"/>
      <c r="M192" s="1"/>
      <c r="N192" s="1"/>
      <c r="O192" s="1"/>
      <c r="P192" s="1"/>
      <c r="Q192" s="1"/>
    </row>
    <row r="193" spans="1:17" x14ac:dyDescent="0.35">
      <c r="A193" s="1"/>
      <c r="B193" s="1"/>
      <c r="C193" s="1"/>
      <c r="D193" s="1"/>
      <c r="E193" s="1"/>
      <c r="F193" s="1"/>
      <c r="G193" s="1"/>
      <c r="H193" s="1"/>
      <c r="I193" s="1"/>
      <c r="J193" s="1"/>
      <c r="K193" s="1"/>
      <c r="L193" s="1"/>
      <c r="M193" s="1"/>
      <c r="N193" s="1"/>
      <c r="O193" s="1"/>
      <c r="P193" s="1"/>
      <c r="Q193" s="1"/>
    </row>
    <row r="194" spans="1:17" x14ac:dyDescent="0.35">
      <c r="A194" s="1"/>
      <c r="B194" s="1"/>
      <c r="C194" s="1"/>
      <c r="D194" s="1"/>
      <c r="E194" s="1"/>
      <c r="F194" s="1"/>
      <c r="G194" s="1"/>
      <c r="H194" s="1"/>
      <c r="I194" s="1"/>
      <c r="J194" s="1"/>
      <c r="K194" s="1"/>
      <c r="L194" s="1"/>
      <c r="M194" s="1"/>
      <c r="N194" s="1"/>
      <c r="O194" s="1"/>
      <c r="P194" s="1"/>
      <c r="Q194" s="1"/>
    </row>
    <row r="195" spans="1:17" x14ac:dyDescent="0.35">
      <c r="A195" s="1"/>
      <c r="B195" s="1"/>
      <c r="C195" s="1"/>
      <c r="D195" s="1"/>
      <c r="E195" s="1"/>
      <c r="F195" s="1"/>
      <c r="G195" s="1"/>
      <c r="H195" s="1"/>
      <c r="I195" s="1"/>
      <c r="J195" s="1"/>
      <c r="K195" s="1"/>
      <c r="L195" s="1"/>
      <c r="M195" s="1"/>
      <c r="N195" s="1"/>
      <c r="O195" s="1"/>
      <c r="P195" s="1"/>
      <c r="Q195" s="1"/>
    </row>
    <row r="196" spans="1:17" x14ac:dyDescent="0.35">
      <c r="A196" s="1"/>
      <c r="B196" s="1"/>
      <c r="C196" s="1"/>
      <c r="D196" s="1"/>
      <c r="E196" s="1"/>
      <c r="F196" s="1"/>
      <c r="G196" s="1"/>
      <c r="H196" s="1"/>
      <c r="I196" s="1"/>
      <c r="J196" s="1"/>
      <c r="K196" s="1"/>
      <c r="L196" s="1"/>
      <c r="M196" s="1"/>
      <c r="N196" s="1"/>
      <c r="O196" s="1"/>
      <c r="P196" s="1"/>
      <c r="Q196" s="1"/>
    </row>
    <row r="197" spans="1:17" x14ac:dyDescent="0.35">
      <c r="A197" s="1"/>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1:17" x14ac:dyDescent="0.35">
      <c r="A198" s="1"/>
      <c r="B198" s="37"/>
      <c r="C198" s="38"/>
      <c r="D198" s="31"/>
      <c r="E198" s="32"/>
      <c r="F198" s="34"/>
      <c r="G198" s="33"/>
      <c r="H198" s="34"/>
      <c r="I198" s="33"/>
      <c r="J198" s="34"/>
      <c r="K198" s="34"/>
      <c r="L198" s="34"/>
      <c r="M198" s="33"/>
      <c r="N198" s="34"/>
      <c r="O198" s="35"/>
      <c r="P198" s="36"/>
      <c r="Q198" s="35"/>
    </row>
    <row r="199" spans="1:17" x14ac:dyDescent="0.35">
      <c r="A199" s="1"/>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1:17" x14ac:dyDescent="0.35">
      <c r="A200" s="1"/>
      <c r="B200" s="1"/>
      <c r="C200" s="1"/>
      <c r="D200" s="1"/>
      <c r="E200" s="1"/>
      <c r="F200" s="1"/>
      <c r="G200" s="1"/>
      <c r="H200" s="1"/>
      <c r="I200" s="1"/>
      <c r="J200" s="1"/>
      <c r="K200" s="1"/>
      <c r="L200" s="1"/>
      <c r="M200" s="1"/>
      <c r="N200" s="1"/>
      <c r="O200" s="1"/>
      <c r="P200" s="1"/>
      <c r="Q200" s="78" t="s">
        <v>21404</v>
      </c>
    </row>
    <row r="201" spans="1:17" x14ac:dyDescent="0.35">
      <c r="A201" s="1"/>
      <c r="B201" s="1"/>
      <c r="C201" s="78" t="s">
        <v>21592</v>
      </c>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77" t="s">
        <v>21399</v>
      </c>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t="s">
        <v>21398</v>
      </c>
      <c r="D205" s="1" t="s">
        <v>75</v>
      </c>
      <c r="E205" s="1" t="s">
        <v>13768</v>
      </c>
      <c r="F205" s="2" t="s">
        <v>21397</v>
      </c>
      <c r="G205" s="1" t="s">
        <v>9</v>
      </c>
      <c r="H205" s="1"/>
      <c r="I205" s="1"/>
      <c r="J205" s="1"/>
      <c r="K205" s="1"/>
      <c r="L205" s="1"/>
      <c r="M205" s="1"/>
      <c r="N205" s="1"/>
      <c r="O205" s="1"/>
      <c r="P205" s="1"/>
      <c r="Q205" s="1"/>
    </row>
    <row r="206" spans="1:17" x14ac:dyDescent="0.35">
      <c r="B206" s="49" t="s">
        <v>14882</v>
      </c>
      <c r="C206" s="352" t="s">
        <v>14883</v>
      </c>
    </row>
    <row r="207" spans="1:17" x14ac:dyDescent="0.35">
      <c r="B207" s="49" t="s">
        <v>14884</v>
      </c>
      <c r="C207" s="53" t="s">
        <v>14885</v>
      </c>
    </row>
    <row r="208" spans="1:17" x14ac:dyDescent="0.35">
      <c r="B208" s="49" t="s">
        <v>14886</v>
      </c>
      <c r="C208" s="53" t="s">
        <v>14887</v>
      </c>
    </row>
    <row r="209" spans="2:3" x14ac:dyDescent="0.35">
      <c r="B209" s="49" t="s">
        <v>14888</v>
      </c>
      <c r="C209" s="53" t="s">
        <v>14889</v>
      </c>
    </row>
    <row r="210" spans="2:3" x14ac:dyDescent="0.35">
      <c r="B210" s="49" t="s">
        <v>14890</v>
      </c>
      <c r="C210" s="53" t="s">
        <v>14891</v>
      </c>
    </row>
    <row r="211" spans="2:3" x14ac:dyDescent="0.35">
      <c r="B211" s="49" t="s">
        <v>14892</v>
      </c>
      <c r="C211" s="53" t="s">
        <v>14893</v>
      </c>
    </row>
    <row r="212" spans="2:3" x14ac:dyDescent="0.35">
      <c r="B212" s="49" t="s">
        <v>14894</v>
      </c>
      <c r="C212" s="53" t="s">
        <v>14895</v>
      </c>
    </row>
  </sheetData>
  <mergeCells count="9">
    <mergeCell ref="J5:K5"/>
    <mergeCell ref="J6:K6"/>
    <mergeCell ref="J7:K7"/>
    <mergeCell ref="A3:B3"/>
    <mergeCell ref="D3:G3"/>
    <mergeCell ref="J3:K3"/>
    <mergeCell ref="P3:Q3"/>
    <mergeCell ref="A4:B4"/>
    <mergeCell ref="J4:K4"/>
  </mergeCells>
  <dataValidations count="1">
    <dataValidation type="list" allowBlank="1" showInputMessage="1" showErrorMessage="1" sqref="C16:C190" xr:uid="{AE97B224-7A6B-4044-8A0E-815FBA1E365E}">
      <formula1>$C$205:$C207</formula1>
    </dataValidation>
  </dataValidations>
  <hyperlinks>
    <hyperlink ref="D3" r:id="rId1" display="datamateapp@gmail.com" xr:uid="{AC4C29F8-53FB-4B9B-836F-C28F45D52480}"/>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66977" r:id="rId4" name="Button 1">
              <controlPr defaultSize="0" print="0" autoFill="0" autoPict="0" macro="SaveData">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766978" r:id="rId5" name="Button 2">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766979"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766980"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766981" r:id="rId8" name="Button 5">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766982" r:id="rId9" name="Button 6">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766983" r:id="rId10" name="Button 7">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766984" r:id="rId11" name="Button 8">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mc:AlternateContent xmlns:mc="http://schemas.openxmlformats.org/markup-compatibility/2006">
          <mc:Choice Requires="x14">
            <control shapeId="766986" r:id="rId12" name="Button 10">
              <controlPr defaultSize="0" print="0" autoFill="0" autoPict="0" macro="[0]!ExitSEC_122000">
                <anchor moveWithCells="1" sizeWithCells="1">
                  <from>
                    <xdr:col>16</xdr:col>
                    <xdr:colOff>0</xdr:colOff>
                    <xdr:row>0</xdr:row>
                    <xdr:rowOff>0</xdr:rowOff>
                  </from>
                  <to>
                    <xdr:col>16</xdr:col>
                    <xdr:colOff>1270000</xdr:colOff>
                    <xdr:row>2</xdr:row>
                    <xdr:rowOff>12700</xdr:rowOff>
                  </to>
                </anchor>
              </controlPr>
            </control>
          </mc:Choice>
        </mc:AlternateContent>
      </controls>
    </mc:Choice>
  </mc:AlternateContent>
</worksheet>
</file>

<file path=xl/worksheets/sheet1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03532-3124-4669-9CD2-DB0ADDE59E6A}">
  <sheetPr codeName="Sheet164"/>
  <dimension ref="A1:Q228"/>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CASEWORK</v>
      </c>
      <c r="J2" s="59"/>
      <c r="K2" s="59"/>
      <c r="L2" s="1"/>
      <c r="M2" s="59"/>
      <c r="N2" s="59"/>
      <c r="O2" s="60"/>
      <c r="P2" s="57"/>
      <c r="Q2" s="57"/>
    </row>
    <row r="3" spans="1:17" ht="15" thickBot="1" x14ac:dyDescent="0.4">
      <c r="A3" s="446" t="s">
        <v>21561</v>
      </c>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12 30 00</v>
      </c>
      <c r="C10" s="24" t="str">
        <f>C206</f>
        <v>CASEWORK</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CASEWORK</v>
      </c>
      <c r="D12" s="31"/>
      <c r="E12" s="32"/>
      <c r="F12" s="34"/>
      <c r="G12" s="33"/>
      <c r="H12" s="34"/>
      <c r="I12" s="33"/>
      <c r="J12" s="34"/>
      <c r="K12" s="34"/>
      <c r="L12" s="34"/>
      <c r="M12" s="33"/>
      <c r="N12" s="34"/>
      <c r="O12" s="35"/>
      <c r="P12" s="31"/>
      <c r="Q12" s="35"/>
    </row>
    <row r="13" spans="1:17" x14ac:dyDescent="0.35">
      <c r="A13" s="1"/>
      <c r="B13" s="1"/>
      <c r="C13" s="1"/>
      <c r="D13" s="1"/>
      <c r="E13" s="1"/>
      <c r="F13" s="1"/>
      <c r="G13" s="1"/>
      <c r="H13" s="1"/>
      <c r="I13" s="1"/>
      <c r="J13" s="1"/>
      <c r="K13" s="1"/>
      <c r="L13" s="1"/>
      <c r="M13" s="1"/>
      <c r="N13" s="1"/>
      <c r="O13" s="1"/>
      <c r="P13" s="1"/>
      <c r="Q13" s="1"/>
    </row>
    <row r="14" spans="1:17" x14ac:dyDescent="0.35">
      <c r="A14" s="1"/>
      <c r="B14" s="1"/>
      <c r="C14" s="1"/>
      <c r="D14" s="1"/>
      <c r="E14" s="1"/>
      <c r="F14" s="1"/>
      <c r="G14" s="1"/>
      <c r="H14" s="1"/>
      <c r="I14" s="1"/>
      <c r="J14" s="1"/>
      <c r="K14" s="1"/>
      <c r="L14" s="1"/>
      <c r="M14" s="1"/>
      <c r="N14" s="1"/>
      <c r="O14" s="1"/>
      <c r="P14" s="1"/>
      <c r="Q14" s="1"/>
    </row>
    <row r="15" spans="1:17" x14ac:dyDescent="0.35">
      <c r="A15" s="1"/>
      <c r="B15" s="1"/>
      <c r="C15" s="1"/>
      <c r="D15" s="1"/>
      <c r="E15" s="1"/>
      <c r="F15" s="1"/>
      <c r="G15" s="1"/>
      <c r="H15" s="1"/>
      <c r="I15" s="1"/>
      <c r="J15" s="1"/>
      <c r="K15" s="1"/>
      <c r="L15" s="1"/>
      <c r="M15" s="1"/>
      <c r="N15" s="1"/>
      <c r="O15" s="1"/>
      <c r="P15" s="1"/>
      <c r="Q15" s="1"/>
    </row>
    <row r="16" spans="1:17" x14ac:dyDescent="0.35">
      <c r="A16" s="1"/>
      <c r="B16" s="1"/>
      <c r="C16" s="1"/>
      <c r="D16" s="1"/>
      <c r="E16" s="1"/>
      <c r="F16" s="1"/>
      <c r="G16" s="1"/>
      <c r="H16" s="1"/>
      <c r="I16" s="1"/>
      <c r="J16" s="1"/>
      <c r="K16" s="1"/>
      <c r="L16" s="1"/>
      <c r="M16" s="1"/>
      <c r="N16" s="1"/>
      <c r="O16" s="1"/>
      <c r="P16" s="1"/>
      <c r="Q16" s="1"/>
    </row>
    <row r="17" spans="1:17" x14ac:dyDescent="0.35">
      <c r="A17" s="1"/>
      <c r="B17" s="1"/>
      <c r="C17" s="1"/>
      <c r="D17" s="1"/>
      <c r="E17" s="1"/>
      <c r="F17" s="1"/>
      <c r="G17" s="1"/>
      <c r="H17" s="1"/>
      <c r="I17" s="1"/>
      <c r="J17" s="1"/>
      <c r="K17" s="1"/>
      <c r="L17" s="1"/>
      <c r="M17" s="1"/>
      <c r="N17" s="1"/>
      <c r="O17" s="1"/>
      <c r="P17" s="1"/>
      <c r="Q17" s="1"/>
    </row>
    <row r="18" spans="1:17" x14ac:dyDescent="0.35">
      <c r="A18" s="1"/>
      <c r="B18" s="1"/>
      <c r="C18" s="1"/>
      <c r="D18" s="1"/>
      <c r="E18" s="1"/>
      <c r="F18" s="1"/>
      <c r="G18" s="1"/>
      <c r="H18" s="1"/>
      <c r="I18" s="1"/>
      <c r="J18" s="1"/>
      <c r="K18" s="1"/>
      <c r="L18" s="1"/>
      <c r="M18" s="1"/>
      <c r="N18" s="1"/>
      <c r="O18" s="1"/>
      <c r="P18" s="1"/>
      <c r="Q18" s="1"/>
    </row>
    <row r="19" spans="1:17" x14ac:dyDescent="0.35">
      <c r="A19" s="1"/>
      <c r="B19" s="1"/>
      <c r="C19" s="1"/>
      <c r="D19" s="1"/>
      <c r="E19" s="1"/>
      <c r="F19" s="1"/>
      <c r="G19" s="1"/>
      <c r="H19" s="1"/>
      <c r="I19" s="1"/>
      <c r="J19" s="1"/>
      <c r="K19" s="1"/>
      <c r="L19" s="1"/>
      <c r="M19" s="1"/>
      <c r="N19" s="1"/>
      <c r="O19" s="1"/>
      <c r="P19" s="1"/>
      <c r="Q19" s="1"/>
    </row>
    <row r="20" spans="1:17" x14ac:dyDescent="0.35">
      <c r="A20" s="1"/>
      <c r="B20" s="1"/>
      <c r="C20" s="1"/>
      <c r="D20" s="1"/>
      <c r="E20" s="1"/>
      <c r="F20" s="1"/>
      <c r="G20" s="1"/>
      <c r="H20" s="1"/>
      <c r="I20" s="1"/>
      <c r="J20" s="1"/>
      <c r="K20" s="1"/>
      <c r="L20" s="1"/>
      <c r="M20" s="1"/>
      <c r="N20" s="1"/>
      <c r="O20" s="1"/>
      <c r="P20" s="1"/>
      <c r="Q20" s="1"/>
    </row>
    <row r="21" spans="1:17" x14ac:dyDescent="0.35">
      <c r="A21" s="1"/>
      <c r="B21" s="1"/>
      <c r="C21" s="1"/>
      <c r="D21" s="1"/>
      <c r="E21" s="1"/>
      <c r="F21" s="1"/>
      <c r="G21" s="1"/>
      <c r="H21" s="1"/>
      <c r="I21" s="1"/>
      <c r="J21" s="1"/>
      <c r="K21" s="1"/>
      <c r="L21" s="1"/>
      <c r="M21" s="1"/>
      <c r="N21" s="1"/>
      <c r="O21" s="1"/>
      <c r="P21" s="1"/>
      <c r="Q21" s="1"/>
    </row>
    <row r="22" spans="1:17" x14ac:dyDescent="0.35">
      <c r="A22" s="1"/>
      <c r="B22" s="1"/>
      <c r="C22" s="1"/>
      <c r="D22" s="1"/>
      <c r="E22" s="1"/>
      <c r="F22" s="1"/>
      <c r="G22" s="1"/>
      <c r="H22" s="1"/>
      <c r="I22" s="1"/>
      <c r="J22" s="1"/>
      <c r="K22" s="1"/>
      <c r="L22" s="1"/>
      <c r="M22" s="1"/>
      <c r="N22" s="1"/>
      <c r="O22" s="1"/>
      <c r="P22" s="1"/>
      <c r="Q22" s="1"/>
    </row>
    <row r="23" spans="1:17" x14ac:dyDescent="0.35">
      <c r="A23" s="1"/>
      <c r="B23" s="1"/>
      <c r="C23" s="1"/>
      <c r="D23" s="1"/>
      <c r="E23" s="1"/>
      <c r="F23" s="1"/>
      <c r="G23" s="1"/>
      <c r="H23" s="1"/>
      <c r="I23" s="1"/>
      <c r="J23" s="1"/>
      <c r="K23" s="1"/>
      <c r="L23" s="1"/>
      <c r="M23" s="1"/>
      <c r="N23" s="1"/>
      <c r="O23" s="1"/>
      <c r="P23" s="1"/>
      <c r="Q23" s="1"/>
    </row>
    <row r="24" spans="1:17" x14ac:dyDescent="0.35">
      <c r="A24" s="1"/>
      <c r="B24" s="1"/>
      <c r="C24" s="1"/>
      <c r="D24" s="1"/>
      <c r="E24" s="1"/>
      <c r="F24" s="1"/>
      <c r="G24" s="1"/>
      <c r="H24" s="1"/>
      <c r="I24" s="1"/>
      <c r="J24" s="1"/>
      <c r="K24" s="1"/>
      <c r="L24" s="1"/>
      <c r="M24" s="1"/>
      <c r="N24" s="1"/>
      <c r="O24" s="1"/>
      <c r="P24" s="1"/>
      <c r="Q24" s="1"/>
    </row>
    <row r="25" spans="1:17" x14ac:dyDescent="0.35">
      <c r="A25" s="1"/>
      <c r="B25" s="1"/>
      <c r="C25" s="1"/>
      <c r="D25" s="1"/>
      <c r="E25" s="1"/>
      <c r="F25" s="1"/>
      <c r="G25" s="1"/>
      <c r="H25" s="1"/>
      <c r="I25" s="1"/>
      <c r="J25" s="1"/>
      <c r="K25" s="1"/>
      <c r="L25" s="1"/>
      <c r="M25" s="1"/>
      <c r="N25" s="1"/>
      <c r="O25" s="1"/>
      <c r="P25" s="1"/>
      <c r="Q25" s="1"/>
    </row>
    <row r="26" spans="1:17" x14ac:dyDescent="0.35">
      <c r="A26" s="1"/>
      <c r="B26" s="1"/>
      <c r="C26" s="1"/>
      <c r="D26" s="1"/>
      <c r="E26" s="1"/>
      <c r="F26" s="1"/>
      <c r="G26" s="1"/>
      <c r="H26" s="1"/>
      <c r="I26" s="1"/>
      <c r="J26" s="1"/>
      <c r="K26" s="1"/>
      <c r="L26" s="1"/>
      <c r="M26" s="1"/>
      <c r="N26" s="1"/>
      <c r="O26" s="1"/>
      <c r="P26" s="1"/>
      <c r="Q26" s="1"/>
    </row>
    <row r="27" spans="1:17" x14ac:dyDescent="0.35">
      <c r="A27" s="1"/>
      <c r="B27" s="1"/>
      <c r="C27" s="1"/>
      <c r="D27" s="1"/>
      <c r="E27" s="1"/>
      <c r="F27" s="1"/>
      <c r="G27" s="1"/>
      <c r="H27" s="1"/>
      <c r="I27" s="1"/>
      <c r="J27" s="1"/>
      <c r="K27" s="1"/>
      <c r="L27" s="1"/>
      <c r="M27" s="1"/>
      <c r="N27" s="1"/>
      <c r="O27" s="1"/>
      <c r="P27" s="1"/>
      <c r="Q27" s="1"/>
    </row>
    <row r="28" spans="1:17" x14ac:dyDescent="0.35">
      <c r="A28" s="1"/>
      <c r="B28" s="1"/>
      <c r="C28" s="1"/>
      <c r="D28" s="1"/>
      <c r="E28" s="1"/>
      <c r="F28" s="1"/>
      <c r="G28" s="1"/>
      <c r="H28" s="1"/>
      <c r="I28" s="1"/>
      <c r="J28" s="1"/>
      <c r="K28" s="1"/>
      <c r="L28" s="1"/>
      <c r="M28" s="1"/>
      <c r="N28" s="1"/>
      <c r="O28" s="1"/>
      <c r="P28" s="1"/>
      <c r="Q28" s="1"/>
    </row>
    <row r="29" spans="1:17" x14ac:dyDescent="0.35">
      <c r="A29" s="1"/>
      <c r="B29" s="1"/>
      <c r="C29" s="1"/>
      <c r="D29" s="1"/>
      <c r="E29" s="1"/>
      <c r="F29" s="1"/>
      <c r="G29" s="1"/>
      <c r="H29" s="1"/>
      <c r="I29" s="1"/>
      <c r="J29" s="1"/>
      <c r="K29" s="1"/>
      <c r="L29" s="1"/>
      <c r="M29" s="1"/>
      <c r="N29" s="1"/>
      <c r="O29" s="1"/>
      <c r="P29" s="1"/>
      <c r="Q29" s="1"/>
    </row>
    <row r="30" spans="1:17" x14ac:dyDescent="0.35">
      <c r="A30" s="1"/>
      <c r="B30" s="1"/>
      <c r="C30" s="1"/>
      <c r="D30" s="1"/>
      <c r="E30" s="1"/>
      <c r="F30" s="1"/>
      <c r="G30" s="1"/>
      <c r="H30" s="1"/>
      <c r="I30" s="1"/>
      <c r="J30" s="1"/>
      <c r="K30" s="1"/>
      <c r="L30" s="1"/>
      <c r="M30" s="1"/>
      <c r="N30" s="1"/>
      <c r="O30" s="1"/>
      <c r="P30" s="1"/>
      <c r="Q30" s="1"/>
    </row>
    <row r="31" spans="1:17" x14ac:dyDescent="0.35">
      <c r="A31" s="1"/>
      <c r="B31" s="1"/>
      <c r="C31" s="1"/>
      <c r="D31" s="1"/>
      <c r="E31" s="1"/>
      <c r="F31" s="1"/>
      <c r="G31" s="1"/>
      <c r="H31" s="1"/>
      <c r="I31" s="1"/>
      <c r="J31" s="1"/>
      <c r="K31" s="1"/>
      <c r="L31" s="1"/>
      <c r="M31" s="1"/>
      <c r="N31" s="1"/>
      <c r="O31" s="1"/>
      <c r="P31" s="1"/>
      <c r="Q31" s="1"/>
    </row>
    <row r="32" spans="1:17" x14ac:dyDescent="0.35">
      <c r="A32" s="1"/>
      <c r="B32" s="1"/>
      <c r="C32" s="1"/>
      <c r="D32" s="1"/>
      <c r="E32" s="1"/>
      <c r="F32" s="1"/>
      <c r="G32" s="1"/>
      <c r="H32" s="1"/>
      <c r="I32" s="1"/>
      <c r="J32" s="1"/>
      <c r="K32" s="1"/>
      <c r="L32" s="1"/>
      <c r="M32" s="1"/>
      <c r="N32" s="1"/>
      <c r="O32" s="1"/>
      <c r="P32" s="1"/>
      <c r="Q32" s="1"/>
    </row>
    <row r="33" spans="1:17" x14ac:dyDescent="0.35">
      <c r="A33" s="1"/>
      <c r="B33" s="1"/>
      <c r="C33" s="1"/>
      <c r="D33" s="1"/>
      <c r="E33" s="1"/>
      <c r="F33" s="1"/>
      <c r="G33" s="1"/>
      <c r="H33" s="1"/>
      <c r="I33" s="1"/>
      <c r="J33" s="1"/>
      <c r="K33" s="1"/>
      <c r="L33" s="1"/>
      <c r="M33" s="1"/>
      <c r="N33" s="1"/>
      <c r="O33" s="1"/>
      <c r="P33" s="1"/>
      <c r="Q33" s="1"/>
    </row>
    <row r="34" spans="1:17" x14ac:dyDescent="0.35">
      <c r="A34" s="1"/>
      <c r="B34" s="1"/>
      <c r="C34" s="1"/>
      <c r="D34" s="1"/>
      <c r="E34" s="1"/>
      <c r="F34" s="1"/>
      <c r="G34" s="1"/>
      <c r="H34" s="1"/>
      <c r="I34" s="1"/>
      <c r="J34" s="1"/>
      <c r="K34" s="1"/>
      <c r="L34" s="1"/>
      <c r="M34" s="1"/>
      <c r="N34" s="1"/>
      <c r="O34" s="1"/>
      <c r="P34" s="1"/>
      <c r="Q34" s="1"/>
    </row>
    <row r="35" spans="1:17" x14ac:dyDescent="0.35">
      <c r="A35" s="1"/>
      <c r="B35" s="1"/>
      <c r="C35" s="1"/>
      <c r="D35" s="1"/>
      <c r="E35" s="1"/>
      <c r="F35" s="1"/>
      <c r="G35" s="1"/>
      <c r="H35" s="1"/>
      <c r="I35" s="1"/>
      <c r="J35" s="1"/>
      <c r="K35" s="1"/>
      <c r="L35" s="1"/>
      <c r="M35" s="1"/>
      <c r="N35" s="1"/>
      <c r="O35" s="1"/>
      <c r="P35" s="1"/>
      <c r="Q35" s="1"/>
    </row>
    <row r="36" spans="1:17" x14ac:dyDescent="0.35">
      <c r="A36" s="1"/>
      <c r="B36" s="1"/>
      <c r="C36" s="1"/>
      <c r="D36" s="1"/>
      <c r="E36" s="1"/>
      <c r="F36" s="1"/>
      <c r="G36" s="1"/>
      <c r="H36" s="1"/>
      <c r="I36" s="1"/>
      <c r="J36" s="1"/>
      <c r="K36" s="1"/>
      <c r="L36" s="1"/>
      <c r="M36" s="1"/>
      <c r="N36" s="1"/>
      <c r="O36" s="1"/>
      <c r="P36" s="1"/>
      <c r="Q36" s="1"/>
    </row>
    <row r="37" spans="1:17" x14ac:dyDescent="0.35">
      <c r="A37" s="1"/>
      <c r="B37" s="1"/>
      <c r="C37" s="1"/>
      <c r="D37" s="1"/>
      <c r="E37" s="1"/>
      <c r="F37" s="1"/>
      <c r="G37" s="1"/>
      <c r="H37" s="1"/>
      <c r="I37" s="1"/>
      <c r="J37" s="1"/>
      <c r="K37" s="1"/>
      <c r="L37" s="1"/>
      <c r="M37" s="1"/>
      <c r="N37" s="1"/>
      <c r="O37" s="1"/>
      <c r="P37" s="1"/>
      <c r="Q37" s="1"/>
    </row>
    <row r="38" spans="1:17" x14ac:dyDescent="0.35">
      <c r="A38" s="1"/>
      <c r="B38" s="1"/>
      <c r="C38" s="1"/>
      <c r="D38" s="1"/>
      <c r="E38" s="1"/>
      <c r="F38" s="1"/>
      <c r="G38" s="1"/>
      <c r="H38" s="1"/>
      <c r="I38" s="1"/>
      <c r="J38" s="1"/>
      <c r="K38" s="1"/>
      <c r="L38" s="1"/>
      <c r="M38" s="1"/>
      <c r="N38" s="1"/>
      <c r="O38" s="1"/>
      <c r="P38" s="1"/>
      <c r="Q38" s="1"/>
    </row>
    <row r="39" spans="1:17" x14ac:dyDescent="0.35">
      <c r="A39" s="1"/>
      <c r="B39" s="1"/>
      <c r="C39" s="1"/>
      <c r="D39" s="1"/>
      <c r="E39" s="1"/>
      <c r="F39" s="1"/>
      <c r="G39" s="1"/>
      <c r="H39" s="1"/>
      <c r="I39" s="1"/>
      <c r="J39" s="1"/>
      <c r="K39" s="1"/>
      <c r="L39" s="1"/>
      <c r="M39" s="1"/>
      <c r="N39" s="1"/>
      <c r="O39" s="1"/>
      <c r="P39" s="1"/>
      <c r="Q39" s="1"/>
    </row>
    <row r="40" spans="1:17" x14ac:dyDescent="0.35">
      <c r="A40" s="1"/>
      <c r="B40" s="1"/>
      <c r="C40" s="1"/>
      <c r="D40" s="1"/>
      <c r="E40" s="1"/>
      <c r="F40" s="1"/>
      <c r="G40" s="1"/>
      <c r="H40" s="1"/>
      <c r="I40" s="1"/>
      <c r="J40" s="1"/>
      <c r="K40" s="1"/>
      <c r="L40" s="1"/>
      <c r="M40" s="1"/>
      <c r="N40" s="1"/>
      <c r="O40" s="1"/>
      <c r="P40" s="1"/>
      <c r="Q40" s="1"/>
    </row>
    <row r="41" spans="1:17" x14ac:dyDescent="0.35">
      <c r="A41" s="1"/>
      <c r="B41" s="1"/>
      <c r="C41" s="1"/>
      <c r="D41" s="1"/>
      <c r="E41" s="1"/>
      <c r="F41" s="1"/>
      <c r="G41" s="1"/>
      <c r="H41" s="1"/>
      <c r="I41" s="1"/>
      <c r="J41" s="1"/>
      <c r="K41" s="1"/>
      <c r="L41" s="1"/>
      <c r="M41" s="1"/>
      <c r="N41" s="1"/>
      <c r="O41" s="1"/>
      <c r="P41" s="1"/>
      <c r="Q41" s="1"/>
    </row>
    <row r="42" spans="1:17" x14ac:dyDescent="0.35">
      <c r="A42" s="1"/>
      <c r="B42" s="1"/>
      <c r="C42" s="1"/>
      <c r="D42" s="1"/>
      <c r="E42" s="1"/>
      <c r="F42" s="1"/>
      <c r="G42" s="1"/>
      <c r="H42" s="1"/>
      <c r="I42" s="1"/>
      <c r="J42" s="1"/>
      <c r="K42" s="1"/>
      <c r="L42" s="1"/>
      <c r="M42" s="1"/>
      <c r="N42" s="1"/>
      <c r="O42" s="1"/>
      <c r="P42" s="1"/>
      <c r="Q42" s="1"/>
    </row>
    <row r="43" spans="1:17" x14ac:dyDescent="0.35">
      <c r="A43" s="1"/>
      <c r="B43" s="1"/>
      <c r="C43" s="1"/>
      <c r="D43" s="1"/>
      <c r="E43" s="1"/>
      <c r="F43" s="1"/>
      <c r="G43" s="1"/>
      <c r="H43" s="1"/>
      <c r="I43" s="1"/>
      <c r="J43" s="1"/>
      <c r="K43" s="1"/>
      <c r="L43" s="1"/>
      <c r="M43" s="1"/>
      <c r="N43" s="1"/>
      <c r="O43" s="1"/>
      <c r="P43" s="1"/>
      <c r="Q43" s="1"/>
    </row>
    <row r="44" spans="1:17" x14ac:dyDescent="0.35">
      <c r="A44" s="1"/>
      <c r="B44" s="1"/>
      <c r="C44" s="1"/>
      <c r="D44" s="1"/>
      <c r="E44" s="1"/>
      <c r="F44" s="1"/>
      <c r="G44" s="1"/>
      <c r="H44" s="1"/>
      <c r="I44" s="1"/>
      <c r="J44" s="1"/>
      <c r="K44" s="1"/>
      <c r="L44" s="1"/>
      <c r="M44" s="1"/>
      <c r="N44" s="1"/>
      <c r="O44" s="1"/>
      <c r="P44" s="1"/>
      <c r="Q44" s="1"/>
    </row>
    <row r="45" spans="1:17" x14ac:dyDescent="0.35">
      <c r="A45" s="1"/>
      <c r="B45" s="1"/>
      <c r="C45" s="1"/>
      <c r="D45" s="1"/>
      <c r="E45" s="1"/>
      <c r="F45" s="1"/>
      <c r="G45" s="1"/>
      <c r="H45" s="1"/>
      <c r="I45" s="1"/>
      <c r="J45" s="1"/>
      <c r="K45" s="1"/>
      <c r="L45" s="1"/>
      <c r="M45" s="1"/>
      <c r="N45" s="1"/>
      <c r="O45" s="1"/>
      <c r="P45" s="1"/>
      <c r="Q45" s="1"/>
    </row>
    <row r="46" spans="1:17" x14ac:dyDescent="0.35">
      <c r="A46" s="1"/>
      <c r="B46" s="1"/>
      <c r="C46" s="1"/>
      <c r="D46" s="1"/>
      <c r="E46" s="1"/>
      <c r="F46" s="1"/>
      <c r="G46" s="1"/>
      <c r="H46" s="1"/>
      <c r="I46" s="1"/>
      <c r="J46" s="1"/>
      <c r="K46" s="1"/>
      <c r="L46" s="1"/>
      <c r="M46" s="1"/>
      <c r="N46" s="1"/>
      <c r="O46" s="1"/>
      <c r="P46" s="1"/>
      <c r="Q46" s="1"/>
    </row>
    <row r="47" spans="1:17" x14ac:dyDescent="0.35">
      <c r="A47" s="1"/>
      <c r="B47" s="1"/>
      <c r="C47" s="1"/>
      <c r="D47" s="1"/>
      <c r="E47" s="1"/>
      <c r="F47" s="1"/>
      <c r="G47" s="1"/>
      <c r="H47" s="1"/>
      <c r="I47" s="1"/>
      <c r="J47" s="1"/>
      <c r="K47" s="1"/>
      <c r="L47" s="1"/>
      <c r="M47" s="1"/>
      <c r="N47" s="1"/>
      <c r="O47" s="1"/>
      <c r="P47" s="1"/>
      <c r="Q47" s="1"/>
    </row>
    <row r="48" spans="1:17" x14ac:dyDescent="0.35">
      <c r="A48" s="1"/>
      <c r="B48" s="1"/>
      <c r="C48" s="1"/>
      <c r="D48" s="1"/>
      <c r="E48" s="1"/>
      <c r="F48" s="1"/>
      <c r="G48" s="1"/>
      <c r="H48" s="1"/>
      <c r="I48" s="1"/>
      <c r="J48" s="1"/>
      <c r="K48" s="1"/>
      <c r="L48" s="1"/>
      <c r="M48" s="1"/>
      <c r="N48" s="1"/>
      <c r="O48" s="1"/>
      <c r="P48" s="1"/>
      <c r="Q48" s="1"/>
    </row>
    <row r="49" spans="1:17" x14ac:dyDescent="0.35">
      <c r="A49" s="1"/>
      <c r="B49" s="1"/>
      <c r="C49" s="1"/>
      <c r="D49" s="1"/>
      <c r="E49" s="1"/>
      <c r="F49" s="1"/>
      <c r="G49" s="1"/>
      <c r="H49" s="1"/>
      <c r="I49" s="1"/>
      <c r="J49" s="1"/>
      <c r="K49" s="1"/>
      <c r="L49" s="1"/>
      <c r="M49" s="1"/>
      <c r="N49" s="1"/>
      <c r="O49" s="1"/>
      <c r="P49" s="1"/>
      <c r="Q49" s="1"/>
    </row>
    <row r="50" spans="1:17" x14ac:dyDescent="0.35">
      <c r="A50" s="1"/>
      <c r="B50" s="1"/>
      <c r="C50" s="1"/>
      <c r="D50" s="1"/>
      <c r="E50" s="1"/>
      <c r="F50" s="1"/>
      <c r="G50" s="1"/>
      <c r="H50" s="1"/>
      <c r="I50" s="1"/>
      <c r="J50" s="1"/>
      <c r="K50" s="1"/>
      <c r="L50" s="1"/>
      <c r="M50" s="1"/>
      <c r="N50" s="1"/>
      <c r="O50" s="1"/>
      <c r="P50" s="1"/>
      <c r="Q50" s="1"/>
    </row>
    <row r="51" spans="1:17" x14ac:dyDescent="0.35">
      <c r="A51" s="1"/>
      <c r="B51" s="1"/>
      <c r="C51" s="1"/>
      <c r="D51" s="1"/>
      <c r="E51" s="1"/>
      <c r="F51" s="1"/>
      <c r="G51" s="1"/>
      <c r="H51" s="1"/>
      <c r="I51" s="1"/>
      <c r="J51" s="1"/>
      <c r="K51" s="1"/>
      <c r="L51" s="1"/>
      <c r="M51" s="1"/>
      <c r="N51" s="1"/>
      <c r="O51" s="1"/>
      <c r="P51" s="1"/>
      <c r="Q51" s="1"/>
    </row>
    <row r="52" spans="1:17" x14ac:dyDescent="0.35">
      <c r="A52" s="1"/>
      <c r="B52" s="1"/>
      <c r="C52" s="1"/>
      <c r="D52" s="1"/>
      <c r="E52" s="1"/>
      <c r="F52" s="1"/>
      <c r="G52" s="1"/>
      <c r="H52" s="1"/>
      <c r="I52" s="1"/>
      <c r="J52" s="1"/>
      <c r="K52" s="1"/>
      <c r="L52" s="1"/>
      <c r="M52" s="1"/>
      <c r="N52" s="1"/>
      <c r="O52" s="1"/>
      <c r="P52" s="1"/>
      <c r="Q52" s="1"/>
    </row>
    <row r="53" spans="1:17" x14ac:dyDescent="0.35">
      <c r="A53" s="1"/>
      <c r="B53" s="1"/>
      <c r="C53" s="1"/>
      <c r="D53" s="1"/>
      <c r="E53" s="1"/>
      <c r="F53" s="1"/>
      <c r="G53" s="1"/>
      <c r="H53" s="1"/>
      <c r="I53" s="1"/>
      <c r="J53" s="1"/>
      <c r="K53" s="1"/>
      <c r="L53" s="1"/>
      <c r="M53" s="1"/>
      <c r="N53" s="1"/>
      <c r="O53" s="1"/>
      <c r="P53" s="1"/>
      <c r="Q53" s="1"/>
    </row>
    <row r="54" spans="1:17" x14ac:dyDescent="0.35">
      <c r="A54" s="1"/>
      <c r="B54" s="1"/>
      <c r="C54" s="1"/>
      <c r="D54" s="1"/>
      <c r="E54" s="1"/>
      <c r="F54" s="1"/>
      <c r="G54" s="1"/>
      <c r="H54" s="1"/>
      <c r="I54" s="1"/>
      <c r="J54" s="1"/>
      <c r="K54" s="1"/>
      <c r="L54" s="1"/>
      <c r="M54" s="1"/>
      <c r="N54" s="1"/>
      <c r="O54" s="1"/>
      <c r="P54" s="1"/>
      <c r="Q54" s="1"/>
    </row>
    <row r="55" spans="1:17" x14ac:dyDescent="0.35">
      <c r="A55" s="1"/>
      <c r="B55" s="1"/>
      <c r="C55" s="1"/>
      <c r="D55" s="1"/>
      <c r="E55" s="1"/>
      <c r="F55" s="1"/>
      <c r="G55" s="1"/>
      <c r="H55" s="1"/>
      <c r="I55" s="1"/>
      <c r="J55" s="1"/>
      <c r="K55" s="1"/>
      <c r="L55" s="1"/>
      <c r="M55" s="1"/>
      <c r="N55" s="1"/>
      <c r="O55" s="1"/>
      <c r="P55" s="1"/>
      <c r="Q55" s="1"/>
    </row>
    <row r="56" spans="1:17" x14ac:dyDescent="0.35">
      <c r="A56" s="1"/>
      <c r="B56" s="1"/>
      <c r="C56" s="1"/>
      <c r="D56" s="1"/>
      <c r="E56" s="1"/>
      <c r="F56" s="1"/>
      <c r="G56" s="1"/>
      <c r="H56" s="1"/>
      <c r="I56" s="1"/>
      <c r="J56" s="1"/>
      <c r="K56" s="1"/>
      <c r="L56" s="1"/>
      <c r="M56" s="1"/>
      <c r="N56" s="1"/>
      <c r="O56" s="1"/>
      <c r="P56" s="1"/>
      <c r="Q56" s="1"/>
    </row>
    <row r="57" spans="1:17" x14ac:dyDescent="0.35">
      <c r="A57" s="1"/>
      <c r="B57" s="1"/>
      <c r="C57" s="1"/>
      <c r="D57" s="1"/>
      <c r="E57" s="1"/>
      <c r="F57" s="1"/>
      <c r="G57" s="1"/>
      <c r="H57" s="1"/>
      <c r="I57" s="1"/>
      <c r="J57" s="1"/>
      <c r="K57" s="1"/>
      <c r="L57" s="1"/>
      <c r="M57" s="1"/>
      <c r="N57" s="1"/>
      <c r="O57" s="1"/>
      <c r="P57" s="1"/>
      <c r="Q57" s="1"/>
    </row>
    <row r="58" spans="1:17" x14ac:dyDescent="0.35">
      <c r="A58" s="1"/>
      <c r="B58" s="1"/>
      <c r="C58" s="1"/>
      <c r="D58" s="1"/>
      <c r="E58" s="1"/>
      <c r="F58" s="1"/>
      <c r="G58" s="1"/>
      <c r="H58" s="1"/>
      <c r="I58" s="1"/>
      <c r="J58" s="1"/>
      <c r="K58" s="1"/>
      <c r="L58" s="1"/>
      <c r="M58" s="1"/>
      <c r="N58" s="1"/>
      <c r="O58" s="1"/>
      <c r="P58" s="1"/>
      <c r="Q58" s="1"/>
    </row>
    <row r="59" spans="1:17" x14ac:dyDescent="0.35">
      <c r="A59" s="1"/>
      <c r="B59" s="1"/>
      <c r="C59" s="1"/>
      <c r="D59" s="1"/>
      <c r="E59" s="1"/>
      <c r="F59" s="1"/>
      <c r="G59" s="1"/>
      <c r="H59" s="1"/>
      <c r="I59" s="1"/>
      <c r="J59" s="1"/>
      <c r="K59" s="1"/>
      <c r="L59" s="1"/>
      <c r="M59" s="1"/>
      <c r="N59" s="1"/>
      <c r="O59" s="1"/>
      <c r="P59" s="1"/>
      <c r="Q59" s="1"/>
    </row>
    <row r="60" spans="1:17" x14ac:dyDescent="0.35">
      <c r="A60" s="1"/>
      <c r="B60" s="1"/>
      <c r="C60" s="1"/>
      <c r="D60" s="1"/>
      <c r="E60" s="1"/>
      <c r="F60" s="1"/>
      <c r="G60" s="1"/>
      <c r="H60" s="1"/>
      <c r="I60" s="1"/>
      <c r="J60" s="1"/>
      <c r="K60" s="1"/>
      <c r="L60" s="1"/>
      <c r="M60" s="1"/>
      <c r="N60" s="1"/>
      <c r="O60" s="1"/>
      <c r="P60" s="1"/>
      <c r="Q60" s="1"/>
    </row>
    <row r="61" spans="1:17" x14ac:dyDescent="0.35">
      <c r="A61" s="1"/>
      <c r="B61" s="1"/>
      <c r="C61" s="1"/>
      <c r="D61" s="1"/>
      <c r="E61" s="1"/>
      <c r="F61" s="1"/>
      <c r="G61" s="1"/>
      <c r="H61" s="1"/>
      <c r="I61" s="1"/>
      <c r="J61" s="1"/>
      <c r="K61" s="1"/>
      <c r="L61" s="1"/>
      <c r="M61" s="1"/>
      <c r="N61" s="1"/>
      <c r="O61" s="1"/>
      <c r="P61" s="1"/>
      <c r="Q61" s="1"/>
    </row>
    <row r="62" spans="1:17" x14ac:dyDescent="0.35">
      <c r="A62" s="1"/>
      <c r="B62" s="1"/>
      <c r="C62" s="1"/>
      <c r="D62" s="1"/>
      <c r="E62" s="1"/>
      <c r="F62" s="1"/>
      <c r="G62" s="1"/>
      <c r="H62" s="1"/>
      <c r="I62" s="1"/>
      <c r="J62" s="1"/>
      <c r="K62" s="1"/>
      <c r="L62" s="1"/>
      <c r="M62" s="1"/>
      <c r="N62" s="1"/>
      <c r="O62" s="1"/>
      <c r="P62" s="1"/>
      <c r="Q62" s="1"/>
    </row>
    <row r="63" spans="1:17" x14ac:dyDescent="0.35">
      <c r="A63" s="1"/>
      <c r="B63" s="1"/>
      <c r="C63" s="1"/>
      <c r="D63" s="1"/>
      <c r="E63" s="1"/>
      <c r="F63" s="1"/>
      <c r="G63" s="1"/>
      <c r="H63" s="1"/>
      <c r="I63" s="1"/>
      <c r="J63" s="1"/>
      <c r="K63" s="1"/>
      <c r="L63" s="1"/>
      <c r="M63" s="1"/>
      <c r="N63" s="1"/>
      <c r="O63" s="1"/>
      <c r="P63" s="1"/>
      <c r="Q63" s="1"/>
    </row>
    <row r="64" spans="1:17" x14ac:dyDescent="0.35">
      <c r="A64" s="1"/>
      <c r="B64" s="1"/>
      <c r="C64" s="1"/>
      <c r="D64" s="1"/>
      <c r="E64" s="1"/>
      <c r="F64" s="1"/>
      <c r="G64" s="1"/>
      <c r="H64" s="1"/>
      <c r="I64" s="1"/>
      <c r="J64" s="1"/>
      <c r="K64" s="1"/>
      <c r="L64" s="1"/>
      <c r="M64" s="1"/>
      <c r="N64" s="1"/>
      <c r="O64" s="1"/>
      <c r="P64" s="1"/>
      <c r="Q64" s="1"/>
    </row>
    <row r="65" spans="1:17" x14ac:dyDescent="0.35">
      <c r="A65" s="1"/>
      <c r="B65" s="1"/>
      <c r="C65" s="1"/>
      <c r="D65" s="1"/>
      <c r="E65" s="1"/>
      <c r="F65" s="1"/>
      <c r="G65" s="1"/>
      <c r="H65" s="1"/>
      <c r="I65" s="1"/>
      <c r="J65" s="1"/>
      <c r="K65" s="1"/>
      <c r="L65" s="1"/>
      <c r="M65" s="1"/>
      <c r="N65" s="1"/>
      <c r="O65" s="1"/>
      <c r="P65" s="1"/>
      <c r="Q65" s="1"/>
    </row>
    <row r="66" spans="1:17" x14ac:dyDescent="0.35">
      <c r="A66" s="1"/>
      <c r="B66" s="1"/>
      <c r="C66" s="1"/>
      <c r="D66" s="1"/>
      <c r="E66" s="1"/>
      <c r="F66" s="1"/>
      <c r="G66" s="1"/>
      <c r="H66" s="1"/>
      <c r="I66" s="1"/>
      <c r="J66" s="1"/>
      <c r="K66" s="1"/>
      <c r="L66" s="1"/>
      <c r="M66" s="1"/>
      <c r="N66" s="1"/>
      <c r="O66" s="1"/>
      <c r="P66" s="1"/>
      <c r="Q66" s="1"/>
    </row>
    <row r="67" spans="1:17" x14ac:dyDescent="0.35">
      <c r="A67" s="1"/>
      <c r="B67" s="1"/>
      <c r="C67" s="1"/>
      <c r="D67" s="1"/>
      <c r="E67" s="1"/>
      <c r="F67" s="1"/>
      <c r="G67" s="1"/>
      <c r="H67" s="1"/>
      <c r="I67" s="1"/>
      <c r="J67" s="1"/>
      <c r="K67" s="1"/>
      <c r="L67" s="1"/>
      <c r="M67" s="1"/>
      <c r="N67" s="1"/>
      <c r="O67" s="1"/>
      <c r="P67" s="1"/>
      <c r="Q67" s="1"/>
    </row>
    <row r="68" spans="1:17" x14ac:dyDescent="0.35">
      <c r="A68" s="1"/>
      <c r="B68" s="1"/>
      <c r="C68" s="1"/>
      <c r="D68" s="1"/>
      <c r="E68" s="1"/>
      <c r="F68" s="1"/>
      <c r="G68" s="1"/>
      <c r="H68" s="1"/>
      <c r="I68" s="1"/>
      <c r="J68" s="1"/>
      <c r="K68" s="1"/>
      <c r="L68" s="1"/>
      <c r="M68" s="1"/>
      <c r="N68" s="1"/>
      <c r="O68" s="1"/>
      <c r="P68" s="1"/>
      <c r="Q68" s="1"/>
    </row>
    <row r="69" spans="1:17" x14ac:dyDescent="0.35">
      <c r="A69" s="1"/>
      <c r="B69" s="1"/>
      <c r="C69" s="1"/>
      <c r="D69" s="1"/>
      <c r="E69" s="1"/>
      <c r="F69" s="1"/>
      <c r="G69" s="1"/>
      <c r="H69" s="1"/>
      <c r="I69" s="1"/>
      <c r="J69" s="1"/>
      <c r="K69" s="1"/>
      <c r="L69" s="1"/>
      <c r="M69" s="1"/>
      <c r="N69" s="1"/>
      <c r="O69" s="1"/>
      <c r="P69" s="1"/>
      <c r="Q69" s="1"/>
    </row>
    <row r="70" spans="1:17" x14ac:dyDescent="0.35">
      <c r="A70" s="1"/>
      <c r="B70" s="1"/>
      <c r="C70" s="1"/>
      <c r="D70" s="1"/>
      <c r="E70" s="1"/>
      <c r="F70" s="1"/>
      <c r="G70" s="1"/>
      <c r="H70" s="1"/>
      <c r="I70" s="1"/>
      <c r="J70" s="1"/>
      <c r="K70" s="1"/>
      <c r="L70" s="1"/>
      <c r="M70" s="1"/>
      <c r="N70" s="1"/>
      <c r="O70" s="1"/>
      <c r="P70" s="1"/>
      <c r="Q70" s="1"/>
    </row>
    <row r="71" spans="1:17" x14ac:dyDescent="0.35">
      <c r="A71" s="1"/>
      <c r="B71" s="1"/>
      <c r="C71" s="1"/>
      <c r="D71" s="1"/>
      <c r="E71" s="1"/>
      <c r="F71" s="1"/>
      <c r="G71" s="1"/>
      <c r="H71" s="1"/>
      <c r="I71" s="1"/>
      <c r="J71" s="1"/>
      <c r="K71" s="1"/>
      <c r="L71" s="1"/>
      <c r="M71" s="1"/>
      <c r="N71" s="1"/>
      <c r="O71" s="1"/>
      <c r="P71" s="1"/>
      <c r="Q71" s="1"/>
    </row>
    <row r="72" spans="1:17" x14ac:dyDescent="0.35">
      <c r="A72" s="1"/>
      <c r="B72" s="1"/>
      <c r="C72" s="1"/>
      <c r="D72" s="1"/>
      <c r="E72" s="1"/>
      <c r="F72" s="1"/>
      <c r="G72" s="1"/>
      <c r="H72" s="1"/>
      <c r="I72" s="1"/>
      <c r="J72" s="1"/>
      <c r="K72" s="1"/>
      <c r="L72" s="1"/>
      <c r="M72" s="1"/>
      <c r="N72" s="1"/>
      <c r="O72" s="1"/>
      <c r="P72" s="1"/>
      <c r="Q72" s="1"/>
    </row>
    <row r="73" spans="1:17" x14ac:dyDescent="0.35">
      <c r="A73" s="1"/>
      <c r="B73" s="1"/>
      <c r="C73" s="1"/>
      <c r="D73" s="1"/>
      <c r="E73" s="1"/>
      <c r="F73" s="1"/>
      <c r="G73" s="1"/>
      <c r="H73" s="1"/>
      <c r="I73" s="1"/>
      <c r="J73" s="1"/>
      <c r="K73" s="1"/>
      <c r="L73" s="1"/>
      <c r="M73" s="1"/>
      <c r="N73" s="1"/>
      <c r="O73" s="1"/>
      <c r="P73" s="1"/>
      <c r="Q73" s="1"/>
    </row>
    <row r="74" spans="1:17" x14ac:dyDescent="0.35">
      <c r="A74" s="1"/>
      <c r="B74" s="1"/>
      <c r="C74" s="1"/>
      <c r="D74" s="1"/>
      <c r="E74" s="1"/>
      <c r="F74" s="1"/>
      <c r="G74" s="1"/>
      <c r="H74" s="1"/>
      <c r="I74" s="1"/>
      <c r="J74" s="1"/>
      <c r="K74" s="1"/>
      <c r="L74" s="1"/>
      <c r="M74" s="1"/>
      <c r="N74" s="1"/>
      <c r="O74" s="1"/>
      <c r="P74" s="1"/>
      <c r="Q74" s="1"/>
    </row>
    <row r="75" spans="1:17" x14ac:dyDescent="0.35">
      <c r="A75" s="1"/>
      <c r="B75" s="1"/>
      <c r="C75" s="1"/>
      <c r="D75" s="1"/>
      <c r="E75" s="1"/>
      <c r="F75" s="1"/>
      <c r="G75" s="1"/>
      <c r="H75" s="1"/>
      <c r="I75" s="1"/>
      <c r="J75" s="1"/>
      <c r="K75" s="1"/>
      <c r="L75" s="1"/>
      <c r="M75" s="1"/>
      <c r="N75" s="1"/>
      <c r="O75" s="1"/>
      <c r="P75" s="1"/>
      <c r="Q75" s="1"/>
    </row>
    <row r="76" spans="1:17" x14ac:dyDescent="0.35">
      <c r="A76" s="1"/>
      <c r="B76" s="1"/>
      <c r="C76" s="1"/>
      <c r="D76" s="1"/>
      <c r="E76" s="1"/>
      <c r="F76" s="1"/>
      <c r="G76" s="1"/>
      <c r="H76" s="1"/>
      <c r="I76" s="1"/>
      <c r="J76" s="1"/>
      <c r="K76" s="1"/>
      <c r="L76" s="1"/>
      <c r="M76" s="1"/>
      <c r="N76" s="1"/>
      <c r="O76" s="1"/>
      <c r="P76" s="1"/>
      <c r="Q76" s="1"/>
    </row>
    <row r="77" spans="1:17" x14ac:dyDescent="0.35">
      <c r="A77" s="1"/>
      <c r="B77" s="1"/>
      <c r="C77" s="1"/>
      <c r="D77" s="1"/>
      <c r="E77" s="1"/>
      <c r="F77" s="1"/>
      <c r="G77" s="1"/>
      <c r="H77" s="1"/>
      <c r="I77" s="1"/>
      <c r="J77" s="1"/>
      <c r="K77" s="1"/>
      <c r="L77" s="1"/>
      <c r="M77" s="1"/>
      <c r="N77" s="1"/>
      <c r="O77" s="1"/>
      <c r="P77" s="1"/>
      <c r="Q77" s="1"/>
    </row>
    <row r="78" spans="1:17" x14ac:dyDescent="0.35">
      <c r="A78" s="1"/>
      <c r="B78" s="1"/>
      <c r="C78" s="1"/>
      <c r="D78" s="1"/>
      <c r="E78" s="1"/>
      <c r="F78" s="1"/>
      <c r="G78" s="1"/>
      <c r="H78" s="1"/>
      <c r="I78" s="1"/>
      <c r="J78" s="1"/>
      <c r="K78" s="1"/>
      <c r="L78" s="1"/>
      <c r="M78" s="1"/>
      <c r="N78" s="1"/>
      <c r="O78" s="1"/>
      <c r="P78" s="1"/>
      <c r="Q78" s="1"/>
    </row>
    <row r="79" spans="1:17" x14ac:dyDescent="0.35">
      <c r="A79" s="1"/>
      <c r="B79" s="1"/>
      <c r="C79" s="1"/>
      <c r="D79" s="1"/>
      <c r="E79" s="1"/>
      <c r="F79" s="1"/>
      <c r="G79" s="1"/>
      <c r="H79" s="1"/>
      <c r="I79" s="1"/>
      <c r="J79" s="1"/>
      <c r="K79" s="1"/>
      <c r="L79" s="1"/>
      <c r="M79" s="1"/>
      <c r="N79" s="1"/>
      <c r="O79" s="1"/>
      <c r="P79" s="1"/>
      <c r="Q79" s="1"/>
    </row>
    <row r="80" spans="1:17" x14ac:dyDescent="0.35">
      <c r="A80" s="1"/>
      <c r="B80" s="1"/>
      <c r="C80" s="1"/>
      <c r="D80" s="1"/>
      <c r="E80" s="1"/>
      <c r="F80" s="1"/>
      <c r="G80" s="1"/>
      <c r="H80" s="1"/>
      <c r="I80" s="1"/>
      <c r="J80" s="1"/>
      <c r="K80" s="1"/>
      <c r="L80" s="1"/>
      <c r="M80" s="1"/>
      <c r="N80" s="1"/>
      <c r="O80" s="1"/>
      <c r="P80" s="1"/>
      <c r="Q80" s="1"/>
    </row>
    <row r="81" spans="1:17" x14ac:dyDescent="0.35">
      <c r="A81" s="1"/>
      <c r="B81" s="1"/>
      <c r="C81" s="1"/>
      <c r="D81" s="1"/>
      <c r="E81" s="1"/>
      <c r="F81" s="1"/>
      <c r="G81" s="1"/>
      <c r="H81" s="1"/>
      <c r="I81" s="1"/>
      <c r="J81" s="1"/>
      <c r="K81" s="1"/>
      <c r="L81" s="1"/>
      <c r="M81" s="1"/>
      <c r="N81" s="1"/>
      <c r="O81" s="1"/>
      <c r="P81" s="1"/>
      <c r="Q81" s="1"/>
    </row>
    <row r="82" spans="1:17" x14ac:dyDescent="0.35">
      <c r="A82" s="1"/>
      <c r="B82" s="1"/>
      <c r="C82" s="1"/>
      <c r="D82" s="1"/>
      <c r="E82" s="1"/>
      <c r="F82" s="1"/>
      <c r="G82" s="1"/>
      <c r="H82" s="1"/>
      <c r="I82" s="1"/>
      <c r="J82" s="1"/>
      <c r="K82" s="1"/>
      <c r="L82" s="1"/>
      <c r="M82" s="1"/>
      <c r="N82" s="1"/>
      <c r="O82" s="1"/>
      <c r="P82" s="1"/>
      <c r="Q82" s="1"/>
    </row>
    <row r="83" spans="1:17" x14ac:dyDescent="0.35">
      <c r="A83" s="1"/>
      <c r="B83" s="1"/>
      <c r="C83" s="1"/>
      <c r="D83" s="1"/>
      <c r="E83" s="1"/>
      <c r="F83" s="1"/>
      <c r="G83" s="1"/>
      <c r="H83" s="1"/>
      <c r="I83" s="1"/>
      <c r="J83" s="1"/>
      <c r="K83" s="1"/>
      <c r="L83" s="1"/>
      <c r="M83" s="1"/>
      <c r="N83" s="1"/>
      <c r="O83" s="1"/>
      <c r="P83" s="1"/>
      <c r="Q83" s="1"/>
    </row>
    <row r="84" spans="1:17" x14ac:dyDescent="0.35">
      <c r="A84" s="1"/>
      <c r="B84" s="1"/>
      <c r="C84" s="1"/>
      <c r="D84" s="1"/>
      <c r="E84" s="1"/>
      <c r="F84" s="1"/>
      <c r="G84" s="1"/>
      <c r="H84" s="1"/>
      <c r="I84" s="1"/>
      <c r="J84" s="1"/>
      <c r="K84" s="1"/>
      <c r="L84" s="1"/>
      <c r="M84" s="1"/>
      <c r="N84" s="1"/>
      <c r="O84" s="1"/>
      <c r="P84" s="1"/>
      <c r="Q84" s="1"/>
    </row>
    <row r="85" spans="1:17" x14ac:dyDescent="0.35">
      <c r="A85" s="1"/>
      <c r="B85" s="1"/>
      <c r="C85" s="1"/>
      <c r="D85" s="1"/>
      <c r="E85" s="1"/>
      <c r="F85" s="1"/>
      <c r="G85" s="1"/>
      <c r="H85" s="1"/>
      <c r="I85" s="1"/>
      <c r="J85" s="1"/>
      <c r="K85" s="1"/>
      <c r="L85" s="1"/>
      <c r="M85" s="1"/>
      <c r="N85" s="1"/>
      <c r="O85" s="1"/>
      <c r="P85" s="1"/>
      <c r="Q85" s="1"/>
    </row>
    <row r="86" spans="1:17" x14ac:dyDescent="0.35">
      <c r="A86" s="1"/>
      <c r="B86" s="1"/>
      <c r="C86" s="1"/>
      <c r="D86" s="1"/>
      <c r="E86" s="1"/>
      <c r="F86" s="1"/>
      <c r="G86" s="1"/>
      <c r="H86" s="1"/>
      <c r="I86" s="1"/>
      <c r="J86" s="1"/>
      <c r="K86" s="1"/>
      <c r="L86" s="1"/>
      <c r="M86" s="1"/>
      <c r="N86" s="1"/>
      <c r="O86" s="1"/>
      <c r="P86" s="1"/>
      <c r="Q86" s="1"/>
    </row>
    <row r="87" spans="1:17" x14ac:dyDescent="0.35">
      <c r="A87" s="1"/>
      <c r="B87" s="1"/>
      <c r="C87" s="1"/>
      <c r="D87" s="1"/>
      <c r="E87" s="1"/>
      <c r="F87" s="1"/>
      <c r="G87" s="1"/>
      <c r="H87" s="1"/>
      <c r="I87" s="1"/>
      <c r="J87" s="1"/>
      <c r="K87" s="1"/>
      <c r="L87" s="1"/>
      <c r="M87" s="1"/>
      <c r="N87" s="1"/>
      <c r="O87" s="1"/>
      <c r="P87" s="1"/>
      <c r="Q87" s="1"/>
    </row>
    <row r="88" spans="1:17" x14ac:dyDescent="0.35">
      <c r="A88" s="1"/>
      <c r="B88" s="1"/>
      <c r="C88" s="1"/>
      <c r="D88" s="1"/>
      <c r="E88" s="1"/>
      <c r="F88" s="1"/>
      <c r="G88" s="1"/>
      <c r="H88" s="1"/>
      <c r="I88" s="1"/>
      <c r="J88" s="1"/>
      <c r="K88" s="1"/>
      <c r="L88" s="1"/>
      <c r="M88" s="1"/>
      <c r="N88" s="1"/>
      <c r="O88" s="1"/>
      <c r="P88" s="1"/>
      <c r="Q88" s="1"/>
    </row>
    <row r="89" spans="1:17" x14ac:dyDescent="0.35">
      <c r="A89" s="1"/>
      <c r="B89" s="1"/>
      <c r="C89" s="1"/>
      <c r="D89" s="1"/>
      <c r="E89" s="1"/>
      <c r="F89" s="1"/>
      <c r="G89" s="1"/>
      <c r="H89" s="1"/>
      <c r="I89" s="1"/>
      <c r="J89" s="1"/>
      <c r="K89" s="1"/>
      <c r="L89" s="1"/>
      <c r="M89" s="1"/>
      <c r="N89" s="1"/>
      <c r="O89" s="1"/>
      <c r="P89" s="1"/>
      <c r="Q89" s="1"/>
    </row>
    <row r="90" spans="1:17" x14ac:dyDescent="0.35">
      <c r="A90" s="1"/>
      <c r="B90" s="1"/>
      <c r="C90" s="1"/>
      <c r="D90" s="1"/>
      <c r="E90" s="1"/>
      <c r="F90" s="1"/>
      <c r="G90" s="1"/>
      <c r="H90" s="1"/>
      <c r="I90" s="1"/>
      <c r="J90" s="1"/>
      <c r="K90" s="1"/>
      <c r="L90" s="1"/>
      <c r="M90" s="1"/>
      <c r="N90" s="1"/>
      <c r="O90" s="1"/>
      <c r="P90" s="1"/>
      <c r="Q90" s="1"/>
    </row>
    <row r="91" spans="1:17" x14ac:dyDescent="0.35">
      <c r="A91" s="1"/>
      <c r="B91" s="1"/>
      <c r="C91" s="1"/>
      <c r="D91" s="1"/>
      <c r="E91" s="1"/>
      <c r="F91" s="1"/>
      <c r="G91" s="1"/>
      <c r="H91" s="1"/>
      <c r="I91" s="1"/>
      <c r="J91" s="1"/>
      <c r="K91" s="1"/>
      <c r="L91" s="1"/>
      <c r="M91" s="1"/>
      <c r="N91" s="1"/>
      <c r="O91" s="1"/>
      <c r="P91" s="1"/>
      <c r="Q91" s="1"/>
    </row>
    <row r="92" spans="1:17" x14ac:dyDescent="0.35">
      <c r="A92" s="1"/>
      <c r="B92" s="1"/>
      <c r="C92" s="1"/>
      <c r="D92" s="1"/>
      <c r="E92" s="1"/>
      <c r="F92" s="1"/>
      <c r="G92" s="1"/>
      <c r="H92" s="1"/>
      <c r="I92" s="1"/>
      <c r="J92" s="1"/>
      <c r="K92" s="1"/>
      <c r="L92" s="1"/>
      <c r="M92" s="1"/>
      <c r="N92" s="1"/>
      <c r="O92" s="1"/>
      <c r="P92" s="1"/>
      <c r="Q92" s="1"/>
    </row>
    <row r="93" spans="1:17" x14ac:dyDescent="0.35">
      <c r="A93" s="1"/>
      <c r="B93" s="1"/>
      <c r="C93" s="1"/>
      <c r="D93" s="1"/>
      <c r="E93" s="1"/>
      <c r="F93" s="1"/>
      <c r="G93" s="1"/>
      <c r="H93" s="1"/>
      <c r="I93" s="1"/>
      <c r="J93" s="1"/>
      <c r="K93" s="1"/>
      <c r="L93" s="1"/>
      <c r="M93" s="1"/>
      <c r="N93" s="1"/>
      <c r="O93" s="1"/>
      <c r="P93" s="1"/>
      <c r="Q93" s="1"/>
    </row>
    <row r="94" spans="1:17" x14ac:dyDescent="0.35">
      <c r="A94" s="1"/>
      <c r="B94" s="1"/>
      <c r="C94" s="1"/>
      <c r="D94" s="1"/>
      <c r="E94" s="1"/>
      <c r="F94" s="1"/>
      <c r="G94" s="1"/>
      <c r="H94" s="1"/>
      <c r="I94" s="1"/>
      <c r="J94" s="1"/>
      <c r="K94" s="1"/>
      <c r="L94" s="1"/>
      <c r="M94" s="1"/>
      <c r="N94" s="1"/>
      <c r="O94" s="1"/>
      <c r="P94" s="1"/>
      <c r="Q94" s="1"/>
    </row>
    <row r="95" spans="1:17" x14ac:dyDescent="0.35">
      <c r="A95" s="1"/>
      <c r="B95" s="1"/>
      <c r="C95" s="1"/>
      <c r="D95" s="1"/>
      <c r="E95" s="1"/>
      <c r="F95" s="1"/>
      <c r="G95" s="1"/>
      <c r="H95" s="1"/>
      <c r="I95" s="1"/>
      <c r="J95" s="1"/>
      <c r="K95" s="1"/>
      <c r="L95" s="1"/>
      <c r="M95" s="1"/>
      <c r="N95" s="1"/>
      <c r="O95" s="1"/>
      <c r="P95" s="1"/>
      <c r="Q95" s="1"/>
    </row>
    <row r="96" spans="1:17" x14ac:dyDescent="0.35">
      <c r="A96" s="1"/>
      <c r="B96" s="1"/>
      <c r="C96" s="1"/>
      <c r="D96" s="1"/>
      <c r="E96" s="1"/>
      <c r="F96" s="1"/>
      <c r="G96" s="1"/>
      <c r="H96" s="1"/>
      <c r="I96" s="1"/>
      <c r="J96" s="1"/>
      <c r="K96" s="1"/>
      <c r="L96" s="1"/>
      <c r="M96" s="1"/>
      <c r="N96" s="1"/>
      <c r="O96" s="1"/>
      <c r="P96" s="1"/>
      <c r="Q96" s="1"/>
    </row>
    <row r="97" spans="1:17" x14ac:dyDescent="0.35">
      <c r="A97" s="1"/>
      <c r="B97" s="1"/>
      <c r="C97" s="1"/>
      <c r="D97" s="1"/>
      <c r="E97" s="1"/>
      <c r="F97" s="1"/>
      <c r="G97" s="1"/>
      <c r="H97" s="1"/>
      <c r="I97" s="1"/>
      <c r="J97" s="1"/>
      <c r="K97" s="1"/>
      <c r="L97" s="1"/>
      <c r="M97" s="1"/>
      <c r="N97" s="1"/>
      <c r="O97" s="1"/>
      <c r="P97" s="1"/>
      <c r="Q97" s="1"/>
    </row>
    <row r="98" spans="1:17" x14ac:dyDescent="0.35">
      <c r="A98" s="1"/>
      <c r="B98" s="1"/>
      <c r="C98" s="1"/>
      <c r="D98" s="1"/>
      <c r="E98" s="1"/>
      <c r="F98" s="1"/>
      <c r="G98" s="1"/>
      <c r="H98" s="1"/>
      <c r="I98" s="1"/>
      <c r="J98" s="1"/>
      <c r="K98" s="1"/>
      <c r="L98" s="1"/>
      <c r="M98" s="1"/>
      <c r="N98" s="1"/>
      <c r="O98" s="1"/>
      <c r="P98" s="1"/>
      <c r="Q98" s="1"/>
    </row>
    <row r="99" spans="1:17" x14ac:dyDescent="0.35">
      <c r="A99" s="1"/>
      <c r="B99" s="1"/>
      <c r="C99" s="1"/>
      <c r="D99" s="1"/>
      <c r="E99" s="1"/>
      <c r="F99" s="1"/>
      <c r="G99" s="1"/>
      <c r="H99" s="1"/>
      <c r="I99" s="1"/>
      <c r="J99" s="1"/>
      <c r="K99" s="1"/>
      <c r="L99" s="1"/>
      <c r="M99" s="1"/>
      <c r="N99" s="1"/>
      <c r="O99" s="1"/>
      <c r="P99" s="1"/>
      <c r="Q99" s="1"/>
    </row>
    <row r="100" spans="1:17" x14ac:dyDescent="0.35">
      <c r="A100" s="1"/>
      <c r="B100" s="1"/>
      <c r="C100" s="1"/>
      <c r="D100" s="1"/>
      <c r="E100" s="1"/>
      <c r="F100" s="1"/>
      <c r="G100" s="1"/>
      <c r="H100" s="1"/>
      <c r="I100" s="1"/>
      <c r="J100" s="1"/>
      <c r="K100" s="1"/>
      <c r="L100" s="1"/>
      <c r="M100" s="1"/>
      <c r="N100" s="1"/>
      <c r="O100" s="1"/>
      <c r="P100" s="1"/>
      <c r="Q100" s="1"/>
    </row>
    <row r="101" spans="1:17" x14ac:dyDescent="0.35">
      <c r="A101" s="1"/>
      <c r="B101" s="1"/>
      <c r="C101" s="1"/>
      <c r="D101" s="1"/>
      <c r="E101" s="1"/>
      <c r="F101" s="1"/>
      <c r="G101" s="1"/>
      <c r="H101" s="1"/>
      <c r="I101" s="1"/>
      <c r="J101" s="1"/>
      <c r="K101" s="1"/>
      <c r="L101" s="1"/>
      <c r="M101" s="1"/>
      <c r="N101" s="1"/>
      <c r="O101" s="1"/>
      <c r="P101" s="1"/>
      <c r="Q101" s="1"/>
    </row>
    <row r="102" spans="1:17" x14ac:dyDescent="0.35">
      <c r="A102" s="1"/>
      <c r="B102" s="1"/>
      <c r="C102" s="1"/>
      <c r="D102" s="1"/>
      <c r="E102" s="1"/>
      <c r="F102" s="1"/>
      <c r="G102" s="1"/>
      <c r="H102" s="1"/>
      <c r="I102" s="1"/>
      <c r="J102" s="1"/>
      <c r="K102" s="1"/>
      <c r="L102" s="1"/>
      <c r="M102" s="1"/>
      <c r="N102" s="1"/>
      <c r="O102" s="1"/>
      <c r="P102" s="1"/>
      <c r="Q102" s="1"/>
    </row>
    <row r="103" spans="1:17" x14ac:dyDescent="0.35">
      <c r="A103" s="1"/>
      <c r="B103" s="1"/>
      <c r="C103" s="1"/>
      <c r="D103" s="1"/>
      <c r="E103" s="1"/>
      <c r="F103" s="1"/>
      <c r="G103" s="1"/>
      <c r="H103" s="1"/>
      <c r="I103" s="1"/>
      <c r="J103" s="1"/>
      <c r="K103" s="1"/>
      <c r="L103" s="1"/>
      <c r="M103" s="1"/>
      <c r="N103" s="1"/>
      <c r="O103" s="1"/>
      <c r="P103" s="1"/>
      <c r="Q103" s="1"/>
    </row>
    <row r="104" spans="1:17" x14ac:dyDescent="0.35">
      <c r="A104" s="1"/>
      <c r="B104" s="1"/>
      <c r="C104" s="1"/>
      <c r="D104" s="1"/>
      <c r="E104" s="1"/>
      <c r="F104" s="1"/>
      <c r="G104" s="1"/>
      <c r="H104" s="1"/>
      <c r="I104" s="1"/>
      <c r="J104" s="1"/>
      <c r="K104" s="1"/>
      <c r="L104" s="1"/>
      <c r="M104" s="1"/>
      <c r="N104" s="1"/>
      <c r="O104" s="1"/>
      <c r="P104" s="1"/>
      <c r="Q104" s="1"/>
    </row>
    <row r="105" spans="1:17" x14ac:dyDescent="0.35">
      <c r="A105" s="1"/>
      <c r="B105" s="1"/>
      <c r="C105" s="1"/>
      <c r="D105" s="1"/>
      <c r="E105" s="1"/>
      <c r="F105" s="1"/>
      <c r="G105" s="1"/>
      <c r="H105" s="1"/>
      <c r="I105" s="1"/>
      <c r="J105" s="1"/>
      <c r="K105" s="1"/>
      <c r="L105" s="1"/>
      <c r="M105" s="1"/>
      <c r="N105" s="1"/>
      <c r="O105" s="1"/>
      <c r="P105" s="1"/>
      <c r="Q105" s="1"/>
    </row>
    <row r="106" spans="1:17" x14ac:dyDescent="0.35">
      <c r="A106" s="1"/>
      <c r="B106" s="1"/>
      <c r="C106" s="1"/>
      <c r="D106" s="1"/>
      <c r="E106" s="1"/>
      <c r="F106" s="1"/>
      <c r="G106" s="1"/>
      <c r="H106" s="1"/>
      <c r="I106" s="1"/>
      <c r="J106" s="1"/>
      <c r="K106" s="1"/>
      <c r="L106" s="1"/>
      <c r="M106" s="1"/>
      <c r="N106" s="1"/>
      <c r="O106" s="1"/>
      <c r="P106" s="1"/>
      <c r="Q106" s="1"/>
    </row>
    <row r="107" spans="1:17" x14ac:dyDescent="0.35">
      <c r="A107" s="1"/>
      <c r="B107" s="1"/>
      <c r="C107" s="1"/>
      <c r="D107" s="1"/>
      <c r="E107" s="1"/>
      <c r="F107" s="1"/>
      <c r="G107" s="1"/>
      <c r="H107" s="1"/>
      <c r="I107" s="1"/>
      <c r="J107" s="1"/>
      <c r="K107" s="1"/>
      <c r="L107" s="1"/>
      <c r="M107" s="1"/>
      <c r="N107" s="1"/>
      <c r="O107" s="1"/>
      <c r="P107" s="1"/>
      <c r="Q107" s="1"/>
    </row>
    <row r="108" spans="1:17" x14ac:dyDescent="0.35">
      <c r="A108" s="1"/>
      <c r="B108" s="1"/>
      <c r="C108" s="1"/>
      <c r="D108" s="1"/>
      <c r="E108" s="1"/>
      <c r="F108" s="1"/>
      <c r="G108" s="1"/>
      <c r="H108" s="1"/>
      <c r="I108" s="1"/>
      <c r="J108" s="1"/>
      <c r="K108" s="1"/>
      <c r="L108" s="1"/>
      <c r="M108" s="1"/>
      <c r="N108" s="1"/>
      <c r="O108" s="1"/>
      <c r="P108" s="1"/>
      <c r="Q108" s="1"/>
    </row>
    <row r="109" spans="1:17" x14ac:dyDescent="0.35">
      <c r="A109" s="1"/>
      <c r="B109" s="1"/>
      <c r="C109" s="1"/>
      <c r="D109" s="1"/>
      <c r="E109" s="1"/>
      <c r="F109" s="1"/>
      <c r="G109" s="1"/>
      <c r="H109" s="1"/>
      <c r="I109" s="1"/>
      <c r="J109" s="1"/>
      <c r="K109" s="1"/>
      <c r="L109" s="1"/>
      <c r="M109" s="1"/>
      <c r="N109" s="1"/>
      <c r="O109" s="1"/>
      <c r="P109" s="1"/>
      <c r="Q109" s="1"/>
    </row>
    <row r="110" spans="1:17" x14ac:dyDescent="0.35">
      <c r="A110" s="1"/>
      <c r="B110" s="1"/>
      <c r="C110" s="1"/>
      <c r="D110" s="1"/>
      <c r="E110" s="1"/>
      <c r="F110" s="1"/>
      <c r="G110" s="1"/>
      <c r="H110" s="1"/>
      <c r="I110" s="1"/>
      <c r="J110" s="1"/>
      <c r="K110" s="1"/>
      <c r="L110" s="1"/>
      <c r="M110" s="1"/>
      <c r="N110" s="1"/>
      <c r="O110" s="1"/>
      <c r="P110" s="1"/>
      <c r="Q110" s="1"/>
    </row>
    <row r="111" spans="1:17" x14ac:dyDescent="0.35">
      <c r="A111" s="1"/>
      <c r="B111" s="1"/>
      <c r="C111" s="1"/>
      <c r="D111" s="1"/>
      <c r="E111" s="1"/>
      <c r="F111" s="1"/>
      <c r="G111" s="1"/>
      <c r="H111" s="1"/>
      <c r="I111" s="1"/>
      <c r="J111" s="1"/>
      <c r="K111" s="1"/>
      <c r="L111" s="1"/>
      <c r="M111" s="1"/>
      <c r="N111" s="1"/>
      <c r="O111" s="1"/>
      <c r="P111" s="1"/>
      <c r="Q111" s="1"/>
    </row>
    <row r="112" spans="1:17" x14ac:dyDescent="0.35">
      <c r="A112" s="1"/>
      <c r="B112" s="1"/>
      <c r="C112" s="1"/>
      <c r="D112" s="1"/>
      <c r="E112" s="1"/>
      <c r="F112" s="1"/>
      <c r="G112" s="1"/>
      <c r="H112" s="1"/>
      <c r="I112" s="1"/>
      <c r="J112" s="1"/>
      <c r="K112" s="1"/>
      <c r="L112" s="1"/>
      <c r="M112" s="1"/>
      <c r="N112" s="1"/>
      <c r="O112" s="1"/>
      <c r="P112" s="1"/>
      <c r="Q112" s="1"/>
    </row>
    <row r="113" spans="1:17" x14ac:dyDescent="0.35">
      <c r="A113" s="1"/>
      <c r="B113" s="1"/>
      <c r="C113" s="1"/>
      <c r="D113" s="1"/>
      <c r="E113" s="1"/>
      <c r="F113" s="1"/>
      <c r="G113" s="1"/>
      <c r="H113" s="1"/>
      <c r="I113" s="1"/>
      <c r="J113" s="1"/>
      <c r="K113" s="1"/>
      <c r="L113" s="1"/>
      <c r="M113" s="1"/>
      <c r="N113" s="1"/>
      <c r="O113" s="1"/>
      <c r="P113" s="1"/>
      <c r="Q113" s="1"/>
    </row>
    <row r="114" spans="1:17" x14ac:dyDescent="0.35">
      <c r="A114" s="1"/>
      <c r="B114" s="1"/>
      <c r="C114" s="1"/>
      <c r="D114" s="1"/>
      <c r="E114" s="1"/>
      <c r="F114" s="1"/>
      <c r="G114" s="1"/>
      <c r="H114" s="1"/>
      <c r="I114" s="1"/>
      <c r="J114" s="1"/>
      <c r="K114" s="1"/>
      <c r="L114" s="1"/>
      <c r="M114" s="1"/>
      <c r="N114" s="1"/>
      <c r="O114" s="1"/>
      <c r="P114" s="1"/>
      <c r="Q114" s="1"/>
    </row>
    <row r="115" spans="1:17" x14ac:dyDescent="0.35">
      <c r="A115" s="1"/>
      <c r="B115" s="1"/>
      <c r="C115" s="1"/>
      <c r="D115" s="1"/>
      <c r="E115" s="1"/>
      <c r="F115" s="1"/>
      <c r="G115" s="1"/>
      <c r="H115" s="1"/>
      <c r="I115" s="1"/>
      <c r="J115" s="1"/>
      <c r="K115" s="1"/>
      <c r="L115" s="1"/>
      <c r="M115" s="1"/>
      <c r="N115" s="1"/>
      <c r="O115" s="1"/>
      <c r="P115" s="1"/>
      <c r="Q115" s="1"/>
    </row>
    <row r="116" spans="1:17" x14ac:dyDescent="0.35">
      <c r="A116" s="1"/>
      <c r="B116" s="1"/>
      <c r="C116" s="1"/>
      <c r="D116" s="1"/>
      <c r="E116" s="1"/>
      <c r="F116" s="1"/>
      <c r="G116" s="1"/>
      <c r="H116" s="1"/>
      <c r="I116" s="1"/>
      <c r="J116" s="1"/>
      <c r="K116" s="1"/>
      <c r="L116" s="1"/>
      <c r="M116" s="1"/>
      <c r="N116" s="1"/>
      <c r="O116" s="1"/>
      <c r="P116" s="1"/>
      <c r="Q116" s="1"/>
    </row>
    <row r="117" spans="1:17" x14ac:dyDescent="0.35">
      <c r="A117" s="1"/>
      <c r="B117" s="1"/>
      <c r="C117" s="1"/>
      <c r="D117" s="1"/>
      <c r="E117" s="1"/>
      <c r="F117" s="1"/>
      <c r="G117" s="1"/>
      <c r="H117" s="1"/>
      <c r="I117" s="1"/>
      <c r="J117" s="1"/>
      <c r="K117" s="1"/>
      <c r="L117" s="1"/>
      <c r="M117" s="1"/>
      <c r="N117" s="1"/>
      <c r="O117" s="1"/>
      <c r="P117" s="1"/>
      <c r="Q117" s="1"/>
    </row>
    <row r="118" spans="1:17" x14ac:dyDescent="0.35">
      <c r="A118" s="1"/>
      <c r="B118" s="1"/>
      <c r="C118" s="1"/>
      <c r="D118" s="1"/>
      <c r="E118" s="1"/>
      <c r="F118" s="1"/>
      <c r="G118" s="1"/>
      <c r="H118" s="1"/>
      <c r="I118" s="1"/>
      <c r="J118" s="1"/>
      <c r="K118" s="1"/>
      <c r="L118" s="1"/>
      <c r="M118" s="1"/>
      <c r="N118" s="1"/>
      <c r="O118" s="1"/>
      <c r="P118" s="1"/>
      <c r="Q118" s="1"/>
    </row>
    <row r="119" spans="1:17" x14ac:dyDescent="0.35">
      <c r="A119" s="1"/>
      <c r="B119" s="1"/>
      <c r="C119" s="1"/>
      <c r="D119" s="1"/>
      <c r="E119" s="1"/>
      <c r="F119" s="1"/>
      <c r="G119" s="1"/>
      <c r="H119" s="1"/>
      <c r="I119" s="1"/>
      <c r="J119" s="1"/>
      <c r="K119" s="1"/>
      <c r="L119" s="1"/>
      <c r="M119" s="1"/>
      <c r="N119" s="1"/>
      <c r="O119" s="1"/>
      <c r="P119" s="1"/>
      <c r="Q119" s="1"/>
    </row>
    <row r="120" spans="1:17" x14ac:dyDescent="0.35">
      <c r="A120" s="1"/>
      <c r="B120" s="1"/>
      <c r="C120" s="1"/>
      <c r="D120" s="1"/>
      <c r="E120" s="1"/>
      <c r="F120" s="1"/>
      <c r="G120" s="1"/>
      <c r="H120" s="1"/>
      <c r="I120" s="1"/>
      <c r="J120" s="1"/>
      <c r="K120" s="1"/>
      <c r="L120" s="1"/>
      <c r="M120" s="1"/>
      <c r="N120" s="1"/>
      <c r="O120" s="1"/>
      <c r="P120" s="1"/>
      <c r="Q120" s="1"/>
    </row>
    <row r="121" spans="1:17" x14ac:dyDescent="0.35">
      <c r="A121" s="1"/>
      <c r="B121" s="1"/>
      <c r="C121" s="1"/>
      <c r="D121" s="1"/>
      <c r="E121" s="1"/>
      <c r="F121" s="1"/>
      <c r="G121" s="1"/>
      <c r="H121" s="1"/>
      <c r="I121" s="1"/>
      <c r="J121" s="1"/>
      <c r="K121" s="1"/>
      <c r="L121" s="1"/>
      <c r="M121" s="1"/>
      <c r="N121" s="1"/>
      <c r="O121" s="1"/>
      <c r="P121" s="1"/>
      <c r="Q121" s="1"/>
    </row>
    <row r="122" spans="1:17" x14ac:dyDescent="0.35">
      <c r="A122" s="1"/>
      <c r="B122" s="1"/>
      <c r="C122" s="1"/>
      <c r="D122" s="1"/>
      <c r="E122" s="1"/>
      <c r="F122" s="1"/>
      <c r="G122" s="1"/>
      <c r="H122" s="1"/>
      <c r="I122" s="1"/>
      <c r="J122" s="1"/>
      <c r="K122" s="1"/>
      <c r="L122" s="1"/>
      <c r="M122" s="1"/>
      <c r="N122" s="1"/>
      <c r="O122" s="1"/>
      <c r="P122" s="1"/>
      <c r="Q122" s="1"/>
    </row>
    <row r="123" spans="1:17" x14ac:dyDescent="0.35">
      <c r="A123" s="1"/>
      <c r="B123" s="1"/>
      <c r="C123" s="1"/>
      <c r="D123" s="1"/>
      <c r="E123" s="1"/>
      <c r="F123" s="1"/>
      <c r="G123" s="1"/>
      <c r="H123" s="1"/>
      <c r="I123" s="1"/>
      <c r="J123" s="1"/>
      <c r="K123" s="1"/>
      <c r="L123" s="1"/>
      <c r="M123" s="1"/>
      <c r="N123" s="1"/>
      <c r="O123" s="1"/>
      <c r="P123" s="1"/>
      <c r="Q123" s="1"/>
    </row>
    <row r="124" spans="1:17" x14ac:dyDescent="0.35">
      <c r="A124" s="1"/>
      <c r="B124" s="1"/>
      <c r="C124" s="1"/>
      <c r="D124" s="1"/>
      <c r="E124" s="1"/>
      <c r="F124" s="1"/>
      <c r="G124" s="1"/>
      <c r="H124" s="1"/>
      <c r="I124" s="1"/>
      <c r="J124" s="1"/>
      <c r="K124" s="1"/>
      <c r="L124" s="1"/>
      <c r="M124" s="1"/>
      <c r="N124" s="1"/>
      <c r="O124" s="1"/>
      <c r="P124" s="1"/>
      <c r="Q124" s="1"/>
    </row>
    <row r="125" spans="1:17" x14ac:dyDescent="0.35">
      <c r="A125" s="1"/>
      <c r="B125" s="1"/>
      <c r="C125" s="1"/>
      <c r="D125" s="1"/>
      <c r="E125" s="1"/>
      <c r="F125" s="1"/>
      <c r="G125" s="1"/>
      <c r="H125" s="1"/>
      <c r="I125" s="1"/>
      <c r="J125" s="1"/>
      <c r="K125" s="1"/>
      <c r="L125" s="1"/>
      <c r="M125" s="1"/>
      <c r="N125" s="1"/>
      <c r="O125" s="1"/>
      <c r="P125" s="1"/>
      <c r="Q125" s="1"/>
    </row>
    <row r="126" spans="1:17" x14ac:dyDescent="0.35">
      <c r="A126" s="1"/>
      <c r="B126" s="1"/>
      <c r="C126" s="1"/>
      <c r="D126" s="1"/>
      <c r="E126" s="1"/>
      <c r="F126" s="1"/>
      <c r="G126" s="1"/>
      <c r="H126" s="1"/>
      <c r="I126" s="1"/>
      <c r="J126" s="1"/>
      <c r="K126" s="1"/>
      <c r="L126" s="1"/>
      <c r="M126" s="1"/>
      <c r="N126" s="1"/>
      <c r="O126" s="1"/>
      <c r="P126" s="1"/>
      <c r="Q126" s="1"/>
    </row>
    <row r="127" spans="1:17" x14ac:dyDescent="0.35">
      <c r="A127" s="1"/>
      <c r="B127" s="1"/>
      <c r="C127" s="1"/>
      <c r="D127" s="1"/>
      <c r="E127" s="1"/>
      <c r="F127" s="1"/>
      <c r="G127" s="1"/>
      <c r="H127" s="1"/>
      <c r="I127" s="1"/>
      <c r="J127" s="1"/>
      <c r="K127" s="1"/>
      <c r="L127" s="1"/>
      <c r="M127" s="1"/>
      <c r="N127" s="1"/>
      <c r="O127" s="1"/>
      <c r="P127" s="1"/>
      <c r="Q127" s="1"/>
    </row>
    <row r="128" spans="1:17" x14ac:dyDescent="0.35">
      <c r="A128" s="1"/>
      <c r="B128" s="1"/>
      <c r="C128" s="1"/>
      <c r="D128" s="1"/>
      <c r="E128" s="1"/>
      <c r="F128" s="1"/>
      <c r="G128" s="1"/>
      <c r="H128" s="1"/>
      <c r="I128" s="1"/>
      <c r="J128" s="1"/>
      <c r="K128" s="1"/>
      <c r="L128" s="1"/>
      <c r="M128" s="1"/>
      <c r="N128" s="1"/>
      <c r="O128" s="1"/>
      <c r="P128" s="1"/>
      <c r="Q128" s="1"/>
    </row>
    <row r="129" spans="1:17" x14ac:dyDescent="0.35">
      <c r="A129" s="1"/>
      <c r="B129" s="1"/>
      <c r="C129" s="1"/>
      <c r="D129" s="1"/>
      <c r="E129" s="1"/>
      <c r="F129" s="1"/>
      <c r="G129" s="1"/>
      <c r="H129" s="1"/>
      <c r="I129" s="1"/>
      <c r="J129" s="1"/>
      <c r="K129" s="1"/>
      <c r="L129" s="1"/>
      <c r="M129" s="1"/>
      <c r="N129" s="1"/>
      <c r="O129" s="1"/>
      <c r="P129" s="1"/>
      <c r="Q129" s="1"/>
    </row>
    <row r="130" spans="1:17" x14ac:dyDescent="0.35">
      <c r="A130" s="1"/>
      <c r="B130" s="1"/>
      <c r="C130" s="1"/>
      <c r="D130" s="1"/>
      <c r="E130" s="1"/>
      <c r="F130" s="1"/>
      <c r="G130" s="1"/>
      <c r="H130" s="1"/>
      <c r="I130" s="1"/>
      <c r="J130" s="1"/>
      <c r="K130" s="1"/>
      <c r="L130" s="1"/>
      <c r="M130" s="1"/>
      <c r="N130" s="1"/>
      <c r="O130" s="1"/>
      <c r="P130" s="1"/>
      <c r="Q130" s="1"/>
    </row>
    <row r="131" spans="1:17" x14ac:dyDescent="0.35">
      <c r="A131" s="1"/>
      <c r="B131" s="1"/>
      <c r="C131" s="1"/>
      <c r="D131" s="1"/>
      <c r="E131" s="1"/>
      <c r="F131" s="1"/>
      <c r="G131" s="1"/>
      <c r="H131" s="1"/>
      <c r="I131" s="1"/>
      <c r="J131" s="1"/>
      <c r="K131" s="1"/>
      <c r="L131" s="1"/>
      <c r="M131" s="1"/>
      <c r="N131" s="1"/>
      <c r="O131" s="1"/>
      <c r="P131" s="1"/>
      <c r="Q131" s="1"/>
    </row>
    <row r="132" spans="1:17" x14ac:dyDescent="0.35">
      <c r="A132" s="1"/>
      <c r="B132" s="1"/>
      <c r="C132" s="1"/>
      <c r="D132" s="1"/>
      <c r="E132" s="1"/>
      <c r="F132" s="1"/>
      <c r="G132" s="1"/>
      <c r="H132" s="1"/>
      <c r="I132" s="1"/>
      <c r="J132" s="1"/>
      <c r="K132" s="1"/>
      <c r="L132" s="1"/>
      <c r="M132" s="1"/>
      <c r="N132" s="1"/>
      <c r="O132" s="1"/>
      <c r="P132" s="1"/>
      <c r="Q132" s="1"/>
    </row>
    <row r="133" spans="1:17" x14ac:dyDescent="0.35">
      <c r="A133" s="1"/>
      <c r="B133" s="1"/>
      <c r="C133" s="1"/>
      <c r="D133" s="1"/>
      <c r="E133" s="1"/>
      <c r="F133" s="1"/>
      <c r="G133" s="1"/>
      <c r="H133" s="1"/>
      <c r="I133" s="1"/>
      <c r="J133" s="1"/>
      <c r="K133" s="1"/>
      <c r="L133" s="1"/>
      <c r="M133" s="1"/>
      <c r="N133" s="1"/>
      <c r="O133" s="1"/>
      <c r="P133" s="1"/>
      <c r="Q133" s="1"/>
    </row>
    <row r="134" spans="1:17" x14ac:dyDescent="0.35">
      <c r="A134" s="1"/>
      <c r="B134" s="1"/>
      <c r="C134" s="1"/>
      <c r="D134" s="1"/>
      <c r="E134" s="1"/>
      <c r="F134" s="1"/>
      <c r="G134" s="1"/>
      <c r="H134" s="1"/>
      <c r="I134" s="1"/>
      <c r="J134" s="1"/>
      <c r="K134" s="1"/>
      <c r="L134" s="1"/>
      <c r="M134" s="1"/>
      <c r="N134" s="1"/>
      <c r="O134" s="1"/>
      <c r="P134" s="1"/>
      <c r="Q134" s="1"/>
    </row>
    <row r="135" spans="1:17" x14ac:dyDescent="0.35">
      <c r="A135" s="1"/>
      <c r="B135" s="1"/>
      <c r="C135" s="1"/>
      <c r="D135" s="1"/>
      <c r="E135" s="1"/>
      <c r="F135" s="1"/>
      <c r="G135" s="1"/>
      <c r="H135" s="1"/>
      <c r="I135" s="1"/>
      <c r="J135" s="1"/>
      <c r="K135" s="1"/>
      <c r="L135" s="1"/>
      <c r="M135" s="1"/>
      <c r="N135" s="1"/>
      <c r="O135" s="1"/>
      <c r="P135" s="1"/>
      <c r="Q135" s="1"/>
    </row>
    <row r="136" spans="1:17" x14ac:dyDescent="0.35">
      <c r="A136" s="1"/>
      <c r="B136" s="1"/>
      <c r="C136" s="1"/>
      <c r="D136" s="1"/>
      <c r="E136" s="1"/>
      <c r="F136" s="1"/>
      <c r="G136" s="1"/>
      <c r="H136" s="1"/>
      <c r="I136" s="1"/>
      <c r="J136" s="1"/>
      <c r="K136" s="1"/>
      <c r="L136" s="1"/>
      <c r="M136" s="1"/>
      <c r="N136" s="1"/>
      <c r="O136" s="1"/>
      <c r="P136" s="1"/>
      <c r="Q136" s="1"/>
    </row>
    <row r="137" spans="1:17" x14ac:dyDescent="0.35">
      <c r="A137" s="1"/>
      <c r="B137" s="1"/>
      <c r="C137" s="1"/>
      <c r="D137" s="1"/>
      <c r="E137" s="1"/>
      <c r="F137" s="1"/>
      <c r="G137" s="1"/>
      <c r="H137" s="1"/>
      <c r="I137" s="1"/>
      <c r="J137" s="1"/>
      <c r="K137" s="1"/>
      <c r="L137" s="1"/>
      <c r="M137" s="1"/>
      <c r="N137" s="1"/>
      <c r="O137" s="1"/>
      <c r="P137" s="1"/>
      <c r="Q137" s="1"/>
    </row>
    <row r="138" spans="1:17" x14ac:dyDescent="0.35">
      <c r="A138" s="1"/>
      <c r="B138" s="1"/>
      <c r="C138" s="1"/>
      <c r="D138" s="1"/>
      <c r="E138" s="1"/>
      <c r="F138" s="1"/>
      <c r="G138" s="1"/>
      <c r="H138" s="1"/>
      <c r="I138" s="1"/>
      <c r="J138" s="1"/>
      <c r="K138" s="1"/>
      <c r="L138" s="1"/>
      <c r="M138" s="1"/>
      <c r="N138" s="1"/>
      <c r="O138" s="1"/>
      <c r="P138" s="1"/>
      <c r="Q138" s="1"/>
    </row>
    <row r="139" spans="1:17" x14ac:dyDescent="0.35">
      <c r="A139" s="1"/>
      <c r="B139" s="1"/>
      <c r="C139" s="1"/>
      <c r="D139" s="1"/>
      <c r="E139" s="1"/>
      <c r="F139" s="1"/>
      <c r="G139" s="1"/>
      <c r="H139" s="1"/>
      <c r="I139" s="1"/>
      <c r="J139" s="1"/>
      <c r="K139" s="1"/>
      <c r="L139" s="1"/>
      <c r="M139" s="1"/>
      <c r="N139" s="1"/>
      <c r="O139" s="1"/>
      <c r="P139" s="1"/>
      <c r="Q139" s="1"/>
    </row>
    <row r="140" spans="1:17" x14ac:dyDescent="0.35">
      <c r="A140" s="1"/>
      <c r="B140" s="1"/>
      <c r="C140" s="1"/>
      <c r="D140" s="1"/>
      <c r="E140" s="1"/>
      <c r="F140" s="1"/>
      <c r="G140" s="1"/>
      <c r="H140" s="1"/>
      <c r="I140" s="1"/>
      <c r="J140" s="1"/>
      <c r="K140" s="1"/>
      <c r="L140" s="1"/>
      <c r="M140" s="1"/>
      <c r="N140" s="1"/>
      <c r="O140" s="1"/>
      <c r="P140" s="1"/>
      <c r="Q140" s="1"/>
    </row>
    <row r="141" spans="1:17" x14ac:dyDescent="0.35">
      <c r="A141" s="1"/>
      <c r="B141" s="1"/>
      <c r="C141" s="1"/>
      <c r="D141" s="1"/>
      <c r="E141" s="1"/>
      <c r="F141" s="1"/>
      <c r="G141" s="1"/>
      <c r="H141" s="1"/>
      <c r="I141" s="1"/>
      <c r="J141" s="1"/>
      <c r="K141" s="1"/>
      <c r="L141" s="1"/>
      <c r="M141" s="1"/>
      <c r="N141" s="1"/>
      <c r="O141" s="1"/>
      <c r="P141" s="1"/>
      <c r="Q141" s="1"/>
    </row>
    <row r="142" spans="1:17" x14ac:dyDescent="0.35">
      <c r="A142" s="1"/>
      <c r="B142" s="1"/>
      <c r="C142" s="1"/>
      <c r="D142" s="1"/>
      <c r="E142" s="1"/>
      <c r="F142" s="1"/>
      <c r="G142" s="1"/>
      <c r="H142" s="1"/>
      <c r="I142" s="1"/>
      <c r="J142" s="1"/>
      <c r="K142" s="1"/>
      <c r="L142" s="1"/>
      <c r="M142" s="1"/>
      <c r="N142" s="1"/>
      <c r="O142" s="1"/>
      <c r="P142" s="1"/>
      <c r="Q142" s="1"/>
    </row>
    <row r="143" spans="1:17" x14ac:dyDescent="0.35">
      <c r="A143" s="1"/>
      <c r="B143" s="1"/>
      <c r="C143" s="1"/>
      <c r="D143" s="1"/>
      <c r="E143" s="1"/>
      <c r="F143" s="1"/>
      <c r="G143" s="1"/>
      <c r="H143" s="1"/>
      <c r="I143" s="1"/>
      <c r="J143" s="1"/>
      <c r="K143" s="1"/>
      <c r="L143" s="1"/>
      <c r="M143" s="1"/>
      <c r="N143" s="1"/>
      <c r="O143" s="1"/>
      <c r="P143" s="1"/>
      <c r="Q143" s="1"/>
    </row>
    <row r="144" spans="1:17" x14ac:dyDescent="0.35">
      <c r="A144" s="1"/>
      <c r="B144" s="1"/>
      <c r="C144" s="1"/>
      <c r="D144" s="1"/>
      <c r="E144" s="1"/>
      <c r="F144" s="1"/>
      <c r="G144" s="1"/>
      <c r="H144" s="1"/>
      <c r="I144" s="1"/>
      <c r="J144" s="1"/>
      <c r="K144" s="1"/>
      <c r="L144" s="1"/>
      <c r="M144" s="1"/>
      <c r="N144" s="1"/>
      <c r="O144" s="1"/>
      <c r="P144" s="1"/>
      <c r="Q144" s="1"/>
    </row>
    <row r="145" spans="1:17" x14ac:dyDescent="0.35">
      <c r="A145" s="1"/>
      <c r="B145" s="1"/>
      <c r="C145" s="1"/>
      <c r="D145" s="1"/>
      <c r="E145" s="1"/>
      <c r="F145" s="1"/>
      <c r="G145" s="1"/>
      <c r="H145" s="1"/>
      <c r="I145" s="1"/>
      <c r="J145" s="1"/>
      <c r="K145" s="1"/>
      <c r="L145" s="1"/>
      <c r="M145" s="1"/>
      <c r="N145" s="1"/>
      <c r="O145" s="1"/>
      <c r="P145" s="1"/>
      <c r="Q145" s="1"/>
    </row>
    <row r="146" spans="1:17" x14ac:dyDescent="0.35">
      <c r="A146" s="1"/>
      <c r="B146" s="1"/>
      <c r="C146" s="1"/>
      <c r="D146" s="1"/>
      <c r="E146" s="1"/>
      <c r="F146" s="1"/>
      <c r="G146" s="1"/>
      <c r="H146" s="1"/>
      <c r="I146" s="1"/>
      <c r="J146" s="1"/>
      <c r="K146" s="1"/>
      <c r="L146" s="1"/>
      <c r="M146" s="1"/>
      <c r="N146" s="1"/>
      <c r="O146" s="1"/>
      <c r="P146" s="1"/>
      <c r="Q146" s="1"/>
    </row>
    <row r="147" spans="1:17" x14ac:dyDescent="0.35">
      <c r="A147" s="1"/>
      <c r="B147" s="1"/>
      <c r="C147" s="1"/>
      <c r="D147" s="1"/>
      <c r="E147" s="1"/>
      <c r="F147" s="1"/>
      <c r="G147" s="1"/>
      <c r="H147" s="1"/>
      <c r="I147" s="1"/>
      <c r="J147" s="1"/>
      <c r="K147" s="1"/>
      <c r="L147" s="1"/>
      <c r="M147" s="1"/>
      <c r="N147" s="1"/>
      <c r="O147" s="1"/>
      <c r="P147" s="1"/>
      <c r="Q147" s="1"/>
    </row>
    <row r="148" spans="1:17" x14ac:dyDescent="0.35">
      <c r="A148" s="1"/>
      <c r="B148" s="1"/>
      <c r="C148" s="1"/>
      <c r="D148" s="1"/>
      <c r="E148" s="1"/>
      <c r="F148" s="1"/>
      <c r="G148" s="1"/>
      <c r="H148" s="1"/>
      <c r="I148" s="1"/>
      <c r="J148" s="1"/>
      <c r="K148" s="1"/>
      <c r="L148" s="1"/>
      <c r="M148" s="1"/>
      <c r="N148" s="1"/>
      <c r="O148" s="1"/>
      <c r="P148" s="1"/>
      <c r="Q148" s="1"/>
    </row>
    <row r="149" spans="1:17" x14ac:dyDescent="0.35">
      <c r="A149" s="1"/>
      <c r="B149" s="1"/>
      <c r="C149" s="1"/>
      <c r="D149" s="1"/>
      <c r="E149" s="1"/>
      <c r="F149" s="1"/>
      <c r="G149" s="1"/>
      <c r="H149" s="1"/>
      <c r="I149" s="1"/>
      <c r="J149" s="1"/>
      <c r="K149" s="1"/>
      <c r="L149" s="1"/>
      <c r="M149" s="1"/>
      <c r="N149" s="1"/>
      <c r="O149" s="1"/>
      <c r="P149" s="1"/>
      <c r="Q149" s="1"/>
    </row>
    <row r="150" spans="1:17" x14ac:dyDescent="0.35">
      <c r="A150" s="1"/>
      <c r="B150" s="1"/>
      <c r="C150" s="1"/>
      <c r="D150" s="1"/>
      <c r="E150" s="1"/>
      <c r="F150" s="1"/>
      <c r="G150" s="1"/>
      <c r="H150" s="1"/>
      <c r="I150" s="1"/>
      <c r="J150" s="1"/>
      <c r="K150" s="1"/>
      <c r="L150" s="1"/>
      <c r="M150" s="1"/>
      <c r="N150" s="1"/>
      <c r="O150" s="1"/>
      <c r="P150" s="1"/>
      <c r="Q150" s="1"/>
    </row>
    <row r="151" spans="1:17" x14ac:dyDescent="0.35">
      <c r="A151" s="1"/>
      <c r="B151" s="1"/>
      <c r="C151" s="1"/>
      <c r="D151" s="1"/>
      <c r="E151" s="1"/>
      <c r="F151" s="1"/>
      <c r="G151" s="1"/>
      <c r="H151" s="1"/>
      <c r="I151" s="1"/>
      <c r="J151" s="1"/>
      <c r="K151" s="1"/>
      <c r="L151" s="1"/>
      <c r="M151" s="1"/>
      <c r="N151" s="1"/>
      <c r="O151" s="1"/>
      <c r="P151" s="1"/>
      <c r="Q151" s="1"/>
    </row>
    <row r="152" spans="1:17" x14ac:dyDescent="0.35">
      <c r="A152" s="1"/>
      <c r="B152" s="1"/>
      <c r="C152" s="1"/>
      <c r="D152" s="1"/>
      <c r="E152" s="1"/>
      <c r="F152" s="1"/>
      <c r="G152" s="1"/>
      <c r="H152" s="1"/>
      <c r="I152" s="1"/>
      <c r="J152" s="1"/>
      <c r="K152" s="1"/>
      <c r="L152" s="1"/>
      <c r="M152" s="1"/>
      <c r="N152" s="1"/>
      <c r="O152" s="1"/>
      <c r="P152" s="1"/>
      <c r="Q152" s="1"/>
    </row>
    <row r="153" spans="1:17" x14ac:dyDescent="0.35">
      <c r="A153" s="1"/>
      <c r="B153" s="1"/>
      <c r="C153" s="1"/>
      <c r="D153" s="1"/>
      <c r="E153" s="1"/>
      <c r="F153" s="1"/>
      <c r="G153" s="1"/>
      <c r="H153" s="1"/>
      <c r="I153" s="1"/>
      <c r="J153" s="1"/>
      <c r="K153" s="1"/>
      <c r="L153" s="1"/>
      <c r="M153" s="1"/>
      <c r="N153" s="1"/>
      <c r="O153" s="1"/>
      <c r="P153" s="1"/>
      <c r="Q153" s="1"/>
    </row>
    <row r="154" spans="1:17" x14ac:dyDescent="0.35">
      <c r="A154" s="1"/>
      <c r="B154" s="1"/>
      <c r="C154" s="1"/>
      <c r="D154" s="1"/>
      <c r="E154" s="1"/>
      <c r="F154" s="1"/>
      <c r="G154" s="1"/>
      <c r="H154" s="1"/>
      <c r="I154" s="1"/>
      <c r="J154" s="1"/>
      <c r="K154" s="1"/>
      <c r="L154" s="1"/>
      <c r="M154" s="1"/>
      <c r="N154" s="1"/>
      <c r="O154" s="1"/>
      <c r="P154" s="1"/>
      <c r="Q154" s="1"/>
    </row>
    <row r="155" spans="1:17" x14ac:dyDescent="0.35">
      <c r="A155" s="1"/>
      <c r="B155" s="1"/>
      <c r="C155" s="1"/>
      <c r="D155" s="1"/>
      <c r="E155" s="1"/>
      <c r="F155" s="1"/>
      <c r="G155" s="1"/>
      <c r="H155" s="1"/>
      <c r="I155" s="1"/>
      <c r="J155" s="1"/>
      <c r="K155" s="1"/>
      <c r="L155" s="1"/>
      <c r="M155" s="1"/>
      <c r="N155" s="1"/>
      <c r="O155" s="1"/>
      <c r="P155" s="1"/>
      <c r="Q155" s="1"/>
    </row>
    <row r="156" spans="1:17" x14ac:dyDescent="0.35">
      <c r="A156" s="1"/>
      <c r="B156" s="1"/>
      <c r="C156" s="1"/>
      <c r="D156" s="1"/>
      <c r="E156" s="1"/>
      <c r="F156" s="1"/>
      <c r="G156" s="1"/>
      <c r="H156" s="1"/>
      <c r="I156" s="1"/>
      <c r="J156" s="1"/>
      <c r="K156" s="1"/>
      <c r="L156" s="1"/>
      <c r="M156" s="1"/>
      <c r="N156" s="1"/>
      <c r="O156" s="1"/>
      <c r="P156" s="1"/>
      <c r="Q156" s="1"/>
    </row>
    <row r="157" spans="1:17" x14ac:dyDescent="0.35">
      <c r="A157" s="1"/>
      <c r="B157" s="1"/>
      <c r="C157" s="1"/>
      <c r="D157" s="1"/>
      <c r="E157" s="1"/>
      <c r="F157" s="1"/>
      <c r="G157" s="1"/>
      <c r="H157" s="1"/>
      <c r="I157" s="1"/>
      <c r="J157" s="1"/>
      <c r="K157" s="1"/>
      <c r="L157" s="1"/>
      <c r="M157" s="1"/>
      <c r="N157" s="1"/>
      <c r="O157" s="1"/>
      <c r="P157" s="1"/>
      <c r="Q157" s="1"/>
    </row>
    <row r="158" spans="1:17" x14ac:dyDescent="0.35">
      <c r="A158" s="1"/>
      <c r="B158" s="1"/>
      <c r="C158" s="1"/>
      <c r="D158" s="1"/>
      <c r="E158" s="1"/>
      <c r="F158" s="1"/>
      <c r="G158" s="1"/>
      <c r="H158" s="1"/>
      <c r="I158" s="1"/>
      <c r="J158" s="1"/>
      <c r="K158" s="1"/>
      <c r="L158" s="1"/>
      <c r="M158" s="1"/>
      <c r="N158" s="1"/>
      <c r="O158" s="1"/>
      <c r="P158" s="1"/>
      <c r="Q158" s="1"/>
    </row>
    <row r="159" spans="1:17" x14ac:dyDescent="0.35">
      <c r="A159" s="1"/>
      <c r="B159" s="1"/>
      <c r="C159" s="1"/>
      <c r="D159" s="1"/>
      <c r="E159" s="1"/>
      <c r="F159" s="1"/>
      <c r="G159" s="1"/>
      <c r="H159" s="1"/>
      <c r="I159" s="1"/>
      <c r="J159" s="1"/>
      <c r="K159" s="1"/>
      <c r="L159" s="1"/>
      <c r="M159" s="1"/>
      <c r="N159" s="1"/>
      <c r="O159" s="1"/>
      <c r="P159" s="1"/>
      <c r="Q159" s="1"/>
    </row>
    <row r="160" spans="1:17" x14ac:dyDescent="0.35">
      <c r="A160" s="1"/>
      <c r="B160" s="1"/>
      <c r="C160" s="1"/>
      <c r="D160" s="1"/>
      <c r="E160" s="1"/>
      <c r="F160" s="1"/>
      <c r="G160" s="1"/>
      <c r="H160" s="1"/>
      <c r="I160" s="1"/>
      <c r="J160" s="1"/>
      <c r="K160" s="1"/>
      <c r="L160" s="1"/>
      <c r="M160" s="1"/>
      <c r="N160" s="1"/>
      <c r="O160" s="1"/>
      <c r="P160" s="1"/>
      <c r="Q160" s="1"/>
    </row>
    <row r="161" spans="1:17" x14ac:dyDescent="0.35">
      <c r="A161" s="1"/>
      <c r="B161" s="1"/>
      <c r="C161" s="1"/>
      <c r="D161" s="1"/>
      <c r="E161" s="1"/>
      <c r="F161" s="1"/>
      <c r="G161" s="1"/>
      <c r="H161" s="1"/>
      <c r="I161" s="1"/>
      <c r="J161" s="1"/>
      <c r="K161" s="1"/>
      <c r="L161" s="1"/>
      <c r="M161" s="1"/>
      <c r="N161" s="1"/>
      <c r="O161" s="1"/>
      <c r="P161" s="1"/>
      <c r="Q161" s="1"/>
    </row>
    <row r="162" spans="1:17" x14ac:dyDescent="0.35">
      <c r="A162" s="1"/>
      <c r="B162" s="1"/>
      <c r="C162" s="1"/>
      <c r="D162" s="1"/>
      <c r="E162" s="1"/>
      <c r="F162" s="1"/>
      <c r="G162" s="1"/>
      <c r="H162" s="1"/>
      <c r="I162" s="1"/>
      <c r="J162" s="1"/>
      <c r="K162" s="1"/>
      <c r="L162" s="1"/>
      <c r="M162" s="1"/>
      <c r="N162" s="1"/>
      <c r="O162" s="1"/>
      <c r="P162" s="1"/>
      <c r="Q162" s="1"/>
    </row>
    <row r="163" spans="1:17" x14ac:dyDescent="0.35">
      <c r="A163" s="1"/>
      <c r="B163" s="1"/>
      <c r="C163" s="1"/>
      <c r="D163" s="1"/>
      <c r="E163" s="1"/>
      <c r="F163" s="1"/>
      <c r="G163" s="1"/>
      <c r="H163" s="1"/>
      <c r="I163" s="1"/>
      <c r="J163" s="1"/>
      <c r="K163" s="1"/>
      <c r="L163" s="1"/>
      <c r="M163" s="1"/>
      <c r="N163" s="1"/>
      <c r="O163" s="1"/>
      <c r="P163" s="1"/>
      <c r="Q163" s="1"/>
    </row>
    <row r="164" spans="1:17" x14ac:dyDescent="0.35">
      <c r="A164" s="1"/>
      <c r="B164" s="1"/>
      <c r="C164" s="1"/>
      <c r="D164" s="1"/>
      <c r="E164" s="1"/>
      <c r="F164" s="1"/>
      <c r="G164" s="1"/>
      <c r="H164" s="1"/>
      <c r="I164" s="1"/>
      <c r="J164" s="1"/>
      <c r="K164" s="1"/>
      <c r="L164" s="1"/>
      <c r="M164" s="1"/>
      <c r="N164" s="1"/>
      <c r="O164" s="1"/>
      <c r="P164" s="1"/>
      <c r="Q164" s="1"/>
    </row>
    <row r="165" spans="1:17" x14ac:dyDescent="0.35">
      <c r="A165" s="1"/>
      <c r="B165" s="1"/>
      <c r="C165" s="1"/>
      <c r="D165" s="1"/>
      <c r="E165" s="1"/>
      <c r="F165" s="1"/>
      <c r="G165" s="1"/>
      <c r="H165" s="1"/>
      <c r="I165" s="1"/>
      <c r="J165" s="1"/>
      <c r="K165" s="1"/>
      <c r="L165" s="1"/>
      <c r="M165" s="1"/>
      <c r="N165" s="1"/>
      <c r="O165" s="1"/>
      <c r="P165" s="1"/>
      <c r="Q165" s="1"/>
    </row>
    <row r="166" spans="1:17" x14ac:dyDescent="0.35">
      <c r="A166" s="1"/>
      <c r="B166" s="1"/>
      <c r="C166" s="1"/>
      <c r="D166" s="1"/>
      <c r="E166" s="1"/>
      <c r="F166" s="1"/>
      <c r="G166" s="1"/>
      <c r="H166" s="1"/>
      <c r="I166" s="1"/>
      <c r="J166" s="1"/>
      <c r="K166" s="1"/>
      <c r="L166" s="1"/>
      <c r="M166" s="1"/>
      <c r="N166" s="1"/>
      <c r="O166" s="1"/>
      <c r="P166" s="1"/>
      <c r="Q166" s="1"/>
    </row>
    <row r="167" spans="1:17" x14ac:dyDescent="0.35">
      <c r="A167" s="1"/>
      <c r="B167" s="1"/>
      <c r="C167" s="1"/>
      <c r="D167" s="1"/>
      <c r="E167" s="1"/>
      <c r="F167" s="1"/>
      <c r="G167" s="1"/>
      <c r="H167" s="1"/>
      <c r="I167" s="1"/>
      <c r="J167" s="1"/>
      <c r="K167" s="1"/>
      <c r="L167" s="1"/>
      <c r="M167" s="1"/>
      <c r="N167" s="1"/>
      <c r="O167" s="1"/>
      <c r="P167" s="1"/>
      <c r="Q167" s="1"/>
    </row>
    <row r="168" spans="1:17" x14ac:dyDescent="0.35">
      <c r="A168" s="1"/>
      <c r="B168" s="1"/>
      <c r="C168" s="1"/>
      <c r="D168" s="1"/>
      <c r="E168" s="1"/>
      <c r="F168" s="1"/>
      <c r="G168" s="1"/>
      <c r="H168" s="1"/>
      <c r="I168" s="1"/>
      <c r="J168" s="1"/>
      <c r="K168" s="1"/>
      <c r="L168" s="1"/>
      <c r="M168" s="1"/>
      <c r="N168" s="1"/>
      <c r="O168" s="1"/>
      <c r="P168" s="1"/>
      <c r="Q168" s="1"/>
    </row>
    <row r="169" spans="1:17" x14ac:dyDescent="0.35">
      <c r="A169" s="1"/>
      <c r="B169" s="1"/>
      <c r="C169" s="1"/>
      <c r="D169" s="1"/>
      <c r="E169" s="1"/>
      <c r="F169" s="1"/>
      <c r="G169" s="1"/>
      <c r="H169" s="1"/>
      <c r="I169" s="1"/>
      <c r="J169" s="1"/>
      <c r="K169" s="1"/>
      <c r="L169" s="1"/>
      <c r="M169" s="1"/>
      <c r="N169" s="1"/>
      <c r="O169" s="1"/>
      <c r="P169" s="1"/>
      <c r="Q169" s="1"/>
    </row>
    <row r="170" spans="1:17" x14ac:dyDescent="0.35">
      <c r="A170" s="1"/>
      <c r="B170" s="1"/>
      <c r="C170" s="1"/>
      <c r="D170" s="1"/>
      <c r="E170" s="1"/>
      <c r="F170" s="1"/>
      <c r="G170" s="1"/>
      <c r="H170" s="1"/>
      <c r="I170" s="1"/>
      <c r="J170" s="1"/>
      <c r="K170" s="1"/>
      <c r="L170" s="1"/>
      <c r="M170" s="1"/>
      <c r="N170" s="1"/>
      <c r="O170" s="1"/>
      <c r="P170" s="1"/>
      <c r="Q170" s="1"/>
    </row>
    <row r="171" spans="1:17" x14ac:dyDescent="0.35">
      <c r="A171" s="1"/>
      <c r="B171" s="1"/>
      <c r="C171" s="1"/>
      <c r="D171" s="1"/>
      <c r="E171" s="1"/>
      <c r="F171" s="1"/>
      <c r="G171" s="1"/>
      <c r="H171" s="1"/>
      <c r="I171" s="1"/>
      <c r="J171" s="1"/>
      <c r="K171" s="1"/>
      <c r="L171" s="1"/>
      <c r="M171" s="1"/>
      <c r="N171" s="1"/>
      <c r="O171" s="1"/>
      <c r="P171" s="1"/>
      <c r="Q171" s="1"/>
    </row>
    <row r="172" spans="1:17" x14ac:dyDescent="0.35">
      <c r="A172" s="1"/>
      <c r="B172" s="1"/>
      <c r="C172" s="1"/>
      <c r="D172" s="1"/>
      <c r="E172" s="1"/>
      <c r="F172" s="1"/>
      <c r="G172" s="1"/>
      <c r="H172" s="1"/>
      <c r="I172" s="1"/>
      <c r="J172" s="1"/>
      <c r="K172" s="1"/>
      <c r="L172" s="1"/>
      <c r="M172" s="1"/>
      <c r="N172" s="1"/>
      <c r="O172" s="1"/>
      <c r="P172" s="1"/>
      <c r="Q172" s="1"/>
    </row>
    <row r="173" spans="1:17" x14ac:dyDescent="0.35">
      <c r="A173" s="1"/>
      <c r="B173" s="1"/>
      <c r="C173" s="1"/>
      <c r="D173" s="1"/>
      <c r="E173" s="1"/>
      <c r="F173" s="1"/>
      <c r="G173" s="1"/>
      <c r="H173" s="1"/>
      <c r="I173" s="1"/>
      <c r="J173" s="1"/>
      <c r="K173" s="1"/>
      <c r="L173" s="1"/>
      <c r="M173" s="1"/>
      <c r="N173" s="1"/>
      <c r="O173" s="1"/>
      <c r="P173" s="1"/>
      <c r="Q173" s="1"/>
    </row>
    <row r="174" spans="1:17" x14ac:dyDescent="0.35">
      <c r="A174" s="1"/>
      <c r="B174" s="1"/>
      <c r="C174" s="1"/>
      <c r="D174" s="1"/>
      <c r="E174" s="1"/>
      <c r="F174" s="1"/>
      <c r="G174" s="1"/>
      <c r="H174" s="1"/>
      <c r="I174" s="1"/>
      <c r="J174" s="1"/>
      <c r="K174" s="1"/>
      <c r="L174" s="1"/>
      <c r="M174" s="1"/>
      <c r="N174" s="1"/>
      <c r="O174" s="1"/>
      <c r="P174" s="1"/>
      <c r="Q174" s="1"/>
    </row>
    <row r="175" spans="1:17" x14ac:dyDescent="0.35">
      <c r="A175" s="1"/>
      <c r="B175" s="1"/>
      <c r="C175" s="1"/>
      <c r="D175" s="1"/>
      <c r="E175" s="1"/>
      <c r="F175" s="1"/>
      <c r="G175" s="1"/>
      <c r="H175" s="1"/>
      <c r="I175" s="1"/>
      <c r="J175" s="1"/>
      <c r="K175" s="1"/>
      <c r="L175" s="1"/>
      <c r="M175" s="1"/>
      <c r="N175" s="1"/>
      <c r="O175" s="1"/>
      <c r="P175" s="1"/>
      <c r="Q175" s="1"/>
    </row>
    <row r="176" spans="1:17" x14ac:dyDescent="0.35">
      <c r="A176" s="1"/>
      <c r="B176" s="1"/>
      <c r="C176" s="1"/>
      <c r="D176" s="1"/>
      <c r="E176" s="1"/>
      <c r="F176" s="1"/>
      <c r="G176" s="1"/>
      <c r="H176" s="1"/>
      <c r="I176" s="1"/>
      <c r="J176" s="1"/>
      <c r="K176" s="1"/>
      <c r="L176" s="1"/>
      <c r="M176" s="1"/>
      <c r="N176" s="1"/>
      <c r="O176" s="1"/>
      <c r="P176" s="1"/>
      <c r="Q176" s="1"/>
    </row>
    <row r="177" spans="1:17" x14ac:dyDescent="0.35">
      <c r="A177" s="1"/>
      <c r="B177" s="1"/>
      <c r="C177" s="1"/>
      <c r="D177" s="1"/>
      <c r="E177" s="1"/>
      <c r="F177" s="1"/>
      <c r="G177" s="1"/>
      <c r="H177" s="1"/>
      <c r="I177" s="1"/>
      <c r="J177" s="1"/>
      <c r="K177" s="1"/>
      <c r="L177" s="1"/>
      <c r="M177" s="1"/>
      <c r="N177" s="1"/>
      <c r="O177" s="1"/>
      <c r="P177" s="1"/>
      <c r="Q177" s="1"/>
    </row>
    <row r="178" spans="1:17" x14ac:dyDescent="0.35">
      <c r="A178" s="1"/>
      <c r="B178" s="1"/>
      <c r="C178" s="1"/>
      <c r="D178" s="1"/>
      <c r="E178" s="1"/>
      <c r="F178" s="1"/>
      <c r="G178" s="1"/>
      <c r="H178" s="1"/>
      <c r="I178" s="1"/>
      <c r="J178" s="1"/>
      <c r="K178" s="1"/>
      <c r="L178" s="1"/>
      <c r="M178" s="1"/>
      <c r="N178" s="1"/>
      <c r="O178" s="1"/>
      <c r="P178" s="1"/>
      <c r="Q178" s="1"/>
    </row>
    <row r="179" spans="1:17" x14ac:dyDescent="0.35">
      <c r="A179" s="1"/>
      <c r="B179" s="1"/>
      <c r="C179" s="1"/>
      <c r="D179" s="1"/>
      <c r="E179" s="1"/>
      <c r="F179" s="1"/>
      <c r="G179" s="1"/>
      <c r="H179" s="1"/>
      <c r="I179" s="1"/>
      <c r="J179" s="1"/>
      <c r="K179" s="1"/>
      <c r="L179" s="1"/>
      <c r="M179" s="1"/>
      <c r="N179" s="1"/>
      <c r="O179" s="1"/>
      <c r="P179" s="1"/>
      <c r="Q179" s="1"/>
    </row>
    <row r="180" spans="1:17" x14ac:dyDescent="0.35">
      <c r="A180" s="1"/>
      <c r="B180" s="1"/>
      <c r="C180" s="1"/>
      <c r="D180" s="1"/>
      <c r="E180" s="1"/>
      <c r="F180" s="1"/>
      <c r="G180" s="1"/>
      <c r="H180" s="1"/>
      <c r="I180" s="1"/>
      <c r="J180" s="1"/>
      <c r="K180" s="1"/>
      <c r="L180" s="1"/>
      <c r="M180" s="1"/>
      <c r="N180" s="1"/>
      <c r="O180" s="1"/>
      <c r="P180" s="1"/>
      <c r="Q180" s="1"/>
    </row>
    <row r="181" spans="1:17" x14ac:dyDescent="0.35">
      <c r="A181" s="1"/>
      <c r="B181" s="1"/>
      <c r="C181" s="1"/>
      <c r="D181" s="1"/>
      <c r="E181" s="1"/>
      <c r="F181" s="1"/>
      <c r="G181" s="1"/>
      <c r="H181" s="1"/>
      <c r="I181" s="1"/>
      <c r="J181" s="1"/>
      <c r="K181" s="1"/>
      <c r="L181" s="1"/>
      <c r="M181" s="1"/>
      <c r="N181" s="1"/>
      <c r="O181" s="1"/>
      <c r="P181" s="1"/>
      <c r="Q181" s="1"/>
    </row>
    <row r="182" spans="1:17" x14ac:dyDescent="0.35">
      <c r="A182" s="1"/>
      <c r="B182" s="1"/>
      <c r="C182" s="1"/>
      <c r="D182" s="1"/>
      <c r="E182" s="1"/>
      <c r="F182" s="1"/>
      <c r="G182" s="1"/>
      <c r="H182" s="1"/>
      <c r="I182" s="1"/>
      <c r="J182" s="1"/>
      <c r="K182" s="1"/>
      <c r="L182" s="1"/>
      <c r="M182" s="1"/>
      <c r="N182" s="1"/>
      <c r="O182" s="1"/>
      <c r="P182" s="1"/>
      <c r="Q182" s="1"/>
    </row>
    <row r="183" spans="1:17" x14ac:dyDescent="0.35">
      <c r="A183" s="1"/>
      <c r="B183" s="1"/>
      <c r="C183" s="1"/>
      <c r="D183" s="1"/>
      <c r="E183" s="1"/>
      <c r="F183" s="1"/>
      <c r="G183" s="1"/>
      <c r="H183" s="1"/>
      <c r="I183" s="1"/>
      <c r="J183" s="1"/>
      <c r="K183" s="1"/>
      <c r="L183" s="1"/>
      <c r="M183" s="1"/>
      <c r="N183" s="1"/>
      <c r="O183" s="1"/>
      <c r="P183" s="1"/>
      <c r="Q183" s="1"/>
    </row>
    <row r="184" spans="1:17" x14ac:dyDescent="0.35">
      <c r="A184" s="1"/>
      <c r="B184" s="1"/>
      <c r="C184" s="1"/>
      <c r="D184" s="1"/>
      <c r="E184" s="1"/>
      <c r="F184" s="1"/>
      <c r="G184" s="1"/>
      <c r="H184" s="1"/>
      <c r="I184" s="1"/>
      <c r="J184" s="1"/>
      <c r="K184" s="1"/>
      <c r="L184" s="1"/>
      <c r="M184" s="1"/>
      <c r="N184" s="1"/>
      <c r="O184" s="1"/>
      <c r="P184" s="1"/>
      <c r="Q184" s="1"/>
    </row>
    <row r="185" spans="1:17" x14ac:dyDescent="0.35">
      <c r="A185" s="1"/>
      <c r="B185" s="1"/>
      <c r="C185" s="1"/>
      <c r="D185" s="1"/>
      <c r="E185" s="1"/>
      <c r="F185" s="1"/>
      <c r="G185" s="1"/>
      <c r="H185" s="1"/>
      <c r="I185" s="1"/>
      <c r="J185" s="1"/>
      <c r="K185" s="1"/>
      <c r="L185" s="1"/>
      <c r="M185" s="1"/>
      <c r="N185" s="1"/>
      <c r="O185" s="1"/>
      <c r="P185" s="1"/>
      <c r="Q185" s="1"/>
    </row>
    <row r="186" spans="1:17" x14ac:dyDescent="0.35">
      <c r="A186" s="1"/>
      <c r="B186" s="1"/>
      <c r="C186" s="1"/>
      <c r="D186" s="1"/>
      <c r="E186" s="1"/>
      <c r="F186" s="1"/>
      <c r="G186" s="1"/>
      <c r="H186" s="1"/>
      <c r="I186" s="1"/>
      <c r="J186" s="1"/>
      <c r="K186" s="1"/>
      <c r="L186" s="1"/>
      <c r="M186" s="1"/>
      <c r="N186" s="1"/>
      <c r="O186" s="1"/>
      <c r="P186" s="1"/>
      <c r="Q186" s="1"/>
    </row>
    <row r="187" spans="1:17" x14ac:dyDescent="0.35">
      <c r="A187" s="1"/>
      <c r="B187" s="1"/>
      <c r="C187" s="1"/>
      <c r="D187" s="1"/>
      <c r="E187" s="1"/>
      <c r="F187" s="1"/>
      <c r="G187" s="1"/>
      <c r="H187" s="1"/>
      <c r="I187" s="1"/>
      <c r="J187" s="1"/>
      <c r="K187" s="1"/>
      <c r="L187" s="1"/>
      <c r="M187" s="1"/>
      <c r="N187" s="1"/>
      <c r="O187" s="1"/>
      <c r="P187" s="1"/>
      <c r="Q187" s="1"/>
    </row>
    <row r="188" spans="1:17" x14ac:dyDescent="0.35">
      <c r="A188" s="1"/>
      <c r="B188" s="1"/>
      <c r="C188" s="1"/>
      <c r="D188" s="1"/>
      <c r="E188" s="1"/>
      <c r="F188" s="1"/>
      <c r="G188" s="1"/>
      <c r="H188" s="1"/>
      <c r="I188" s="1"/>
      <c r="J188" s="1"/>
      <c r="K188" s="1"/>
      <c r="L188" s="1"/>
      <c r="M188" s="1"/>
      <c r="N188" s="1"/>
      <c r="O188" s="1"/>
      <c r="P188" s="1"/>
      <c r="Q188" s="1"/>
    </row>
    <row r="189" spans="1:17" x14ac:dyDescent="0.35">
      <c r="A189" s="1"/>
      <c r="B189" s="1"/>
      <c r="C189" s="1"/>
      <c r="D189" s="1"/>
      <c r="E189" s="1"/>
      <c r="F189" s="1"/>
      <c r="G189" s="1"/>
      <c r="H189" s="1"/>
      <c r="I189" s="1"/>
      <c r="J189" s="1"/>
      <c r="K189" s="1"/>
      <c r="L189" s="1"/>
      <c r="M189" s="1"/>
      <c r="N189" s="1"/>
      <c r="O189" s="1"/>
      <c r="P189" s="1"/>
      <c r="Q189" s="1"/>
    </row>
    <row r="190" spans="1:17" x14ac:dyDescent="0.35">
      <c r="A190" s="1"/>
      <c r="B190" s="1"/>
      <c r="C190" s="1"/>
      <c r="D190" s="1"/>
      <c r="E190" s="1"/>
      <c r="F190" s="1"/>
      <c r="G190" s="1"/>
      <c r="H190" s="1"/>
      <c r="I190" s="1"/>
      <c r="J190" s="1"/>
      <c r="K190" s="1"/>
      <c r="L190" s="1"/>
      <c r="M190" s="1"/>
      <c r="N190" s="1"/>
      <c r="O190" s="1"/>
      <c r="P190" s="1"/>
      <c r="Q190" s="1"/>
    </row>
    <row r="191" spans="1:17" x14ac:dyDescent="0.35">
      <c r="A191" s="1"/>
      <c r="B191" s="1"/>
      <c r="C191" s="1"/>
      <c r="D191" s="1"/>
      <c r="E191" s="1"/>
      <c r="F191" s="1"/>
      <c r="G191" s="1"/>
      <c r="H191" s="1"/>
      <c r="I191" s="1"/>
      <c r="J191" s="1"/>
      <c r="K191" s="1"/>
      <c r="L191" s="1"/>
      <c r="M191" s="1"/>
      <c r="N191" s="1"/>
      <c r="O191" s="1"/>
      <c r="P191" s="1"/>
      <c r="Q191" s="1"/>
    </row>
    <row r="192" spans="1:17" x14ac:dyDescent="0.35">
      <c r="A192" s="1"/>
      <c r="B192" s="1"/>
      <c r="C192" s="1"/>
      <c r="D192" s="1"/>
      <c r="E192" s="1"/>
      <c r="F192" s="1"/>
      <c r="G192" s="1"/>
      <c r="H192" s="1"/>
      <c r="I192" s="1"/>
      <c r="J192" s="1"/>
      <c r="K192" s="1"/>
      <c r="L192" s="1"/>
      <c r="M192" s="1"/>
      <c r="N192" s="1"/>
      <c r="O192" s="1"/>
      <c r="P192" s="1"/>
      <c r="Q192" s="1"/>
    </row>
    <row r="193" spans="1:17" x14ac:dyDescent="0.35">
      <c r="A193" s="1"/>
      <c r="B193" s="1"/>
      <c r="C193" s="1"/>
      <c r="D193" s="1"/>
      <c r="E193" s="1"/>
      <c r="F193" s="1"/>
      <c r="G193" s="1"/>
      <c r="H193" s="1"/>
      <c r="I193" s="1"/>
      <c r="J193" s="1"/>
      <c r="K193" s="1"/>
      <c r="L193" s="1"/>
      <c r="M193" s="1"/>
      <c r="N193" s="1"/>
      <c r="O193" s="1"/>
      <c r="P193" s="1"/>
      <c r="Q193" s="1"/>
    </row>
    <row r="194" spans="1:17" x14ac:dyDescent="0.35">
      <c r="A194" s="1"/>
      <c r="B194" s="1"/>
      <c r="C194" s="1"/>
      <c r="D194" s="1"/>
      <c r="E194" s="1"/>
      <c r="F194" s="1"/>
      <c r="G194" s="1"/>
      <c r="H194" s="1"/>
      <c r="I194" s="1"/>
      <c r="J194" s="1"/>
      <c r="K194" s="1"/>
      <c r="L194" s="1"/>
      <c r="M194" s="1"/>
      <c r="N194" s="1"/>
      <c r="O194" s="1"/>
      <c r="P194" s="1"/>
      <c r="Q194" s="1"/>
    </row>
    <row r="195" spans="1:17" x14ac:dyDescent="0.35">
      <c r="A195" s="1"/>
      <c r="B195" s="1"/>
      <c r="C195" s="1"/>
      <c r="D195" s="1"/>
      <c r="E195" s="1"/>
      <c r="F195" s="1"/>
      <c r="G195" s="1"/>
      <c r="H195" s="1"/>
      <c r="I195" s="1"/>
      <c r="J195" s="1"/>
      <c r="K195" s="1"/>
      <c r="L195" s="1"/>
      <c r="M195" s="1"/>
      <c r="N195" s="1"/>
      <c r="O195" s="1"/>
      <c r="P195" s="1"/>
      <c r="Q195" s="1"/>
    </row>
    <row r="196" spans="1:17" x14ac:dyDescent="0.35">
      <c r="A196" s="1"/>
      <c r="B196" s="1"/>
      <c r="C196" s="1"/>
      <c r="D196" s="1"/>
      <c r="E196" s="1"/>
      <c r="F196" s="1"/>
      <c r="G196" s="1"/>
      <c r="H196" s="1"/>
      <c r="I196" s="1"/>
      <c r="J196" s="1"/>
      <c r="K196" s="1"/>
      <c r="L196" s="1"/>
      <c r="M196" s="1"/>
      <c r="N196" s="1"/>
      <c r="O196" s="1"/>
      <c r="P196" s="1"/>
      <c r="Q196" s="1"/>
    </row>
    <row r="197" spans="1:17" x14ac:dyDescent="0.35">
      <c r="A197" s="1"/>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1:17" x14ac:dyDescent="0.35">
      <c r="A198" s="1"/>
      <c r="B198" s="37"/>
      <c r="C198" s="38"/>
      <c r="D198" s="31"/>
      <c r="E198" s="32"/>
      <c r="F198" s="34"/>
      <c r="G198" s="33"/>
      <c r="H198" s="34"/>
      <c r="I198" s="33"/>
      <c r="J198" s="34"/>
      <c r="K198" s="34"/>
      <c r="L198" s="34"/>
      <c r="M198" s="33"/>
      <c r="N198" s="34"/>
      <c r="O198" s="35"/>
      <c r="P198" s="36"/>
      <c r="Q198" s="35"/>
    </row>
    <row r="199" spans="1:17" x14ac:dyDescent="0.35">
      <c r="A199" s="1"/>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1:17" x14ac:dyDescent="0.35">
      <c r="A200" s="1"/>
      <c r="B200" s="1"/>
      <c r="C200" s="1"/>
      <c r="D200" s="1"/>
      <c r="E200" s="1"/>
      <c r="F200" s="1"/>
      <c r="G200" s="1"/>
      <c r="H200" s="1"/>
      <c r="I200" s="1"/>
      <c r="J200" s="1"/>
      <c r="K200" s="1"/>
      <c r="L200" s="1"/>
      <c r="M200" s="1"/>
      <c r="N200" s="1"/>
      <c r="O200" s="1"/>
      <c r="P200" s="1"/>
      <c r="Q200" s="78" t="s">
        <v>21404</v>
      </c>
    </row>
    <row r="201" spans="1:17" x14ac:dyDescent="0.35">
      <c r="A201" s="1"/>
      <c r="B201" s="1"/>
      <c r="C201" s="78" t="s">
        <v>21592</v>
      </c>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77" t="s">
        <v>21399</v>
      </c>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t="s">
        <v>21398</v>
      </c>
      <c r="D205" s="1" t="s">
        <v>75</v>
      </c>
      <c r="E205" s="1" t="s">
        <v>13768</v>
      </c>
      <c r="F205" s="2" t="s">
        <v>21397</v>
      </c>
      <c r="G205" s="1" t="s">
        <v>9</v>
      </c>
      <c r="H205" s="1"/>
      <c r="I205" s="1"/>
      <c r="J205" s="1"/>
      <c r="K205" s="1"/>
      <c r="L205" s="1"/>
      <c r="M205" s="1"/>
      <c r="N205" s="1"/>
      <c r="O205" s="1"/>
      <c r="P205" s="1"/>
      <c r="Q205" s="1"/>
    </row>
    <row r="206" spans="1:17" x14ac:dyDescent="0.35">
      <c r="B206" s="49" t="s">
        <v>14896</v>
      </c>
      <c r="C206" s="352" t="s">
        <v>44</v>
      </c>
    </row>
    <row r="207" spans="1:17" x14ac:dyDescent="0.35">
      <c r="B207" s="49" t="s">
        <v>14897</v>
      </c>
      <c r="C207" s="53" t="s">
        <v>14898</v>
      </c>
    </row>
    <row r="208" spans="1:17" x14ac:dyDescent="0.35">
      <c r="B208" s="49" t="s">
        <v>14899</v>
      </c>
      <c r="C208" s="53" t="s">
        <v>14900</v>
      </c>
    </row>
    <row r="209" spans="2:8" x14ac:dyDescent="0.35">
      <c r="B209" s="49" t="s">
        <v>14901</v>
      </c>
      <c r="C209" s="53" t="s">
        <v>14902</v>
      </c>
    </row>
    <row r="210" spans="2:8" x14ac:dyDescent="0.35">
      <c r="B210" s="49" t="s">
        <v>14903</v>
      </c>
      <c r="C210" s="53" t="s">
        <v>14904</v>
      </c>
    </row>
    <row r="211" spans="2:8" x14ac:dyDescent="0.35">
      <c r="B211" s="49" t="s">
        <v>14905</v>
      </c>
      <c r="C211" s="53" t="s">
        <v>14906</v>
      </c>
    </row>
    <row r="212" spans="2:8" ht="87" x14ac:dyDescent="0.35">
      <c r="C212" s="388" t="s">
        <v>22166</v>
      </c>
      <c r="D212" s="388" t="s">
        <v>19</v>
      </c>
      <c r="E212" s="388">
        <v>12350.01</v>
      </c>
      <c r="F212" s="388" t="s">
        <v>22167</v>
      </c>
      <c r="G212" s="388" t="s">
        <v>22168</v>
      </c>
      <c r="H212" s="388" t="s">
        <v>22169</v>
      </c>
    </row>
    <row r="213" spans="2:8" ht="72.5" x14ac:dyDescent="0.35">
      <c r="C213" s="388" t="s">
        <v>22170</v>
      </c>
      <c r="D213" s="388" t="s">
        <v>18</v>
      </c>
      <c r="E213" s="388">
        <v>12350.01</v>
      </c>
      <c r="F213" s="388" t="s">
        <v>22171</v>
      </c>
      <c r="G213" s="388" t="s">
        <v>22172</v>
      </c>
      <c r="H213" s="388" t="s">
        <v>22173</v>
      </c>
    </row>
    <row r="214" spans="2:8" ht="72.5" x14ac:dyDescent="0.35">
      <c r="C214" s="388" t="s">
        <v>1381</v>
      </c>
      <c r="D214" s="388" t="s">
        <v>19</v>
      </c>
      <c r="E214" s="388">
        <v>12350.01</v>
      </c>
      <c r="F214" s="388" t="s">
        <v>22174</v>
      </c>
      <c r="G214" s="388" t="s">
        <v>22168</v>
      </c>
      <c r="H214" s="388" t="s">
        <v>22175</v>
      </c>
    </row>
    <row r="215" spans="2:8" ht="72.5" x14ac:dyDescent="0.35">
      <c r="C215" s="388" t="s">
        <v>22176</v>
      </c>
      <c r="D215" s="388" t="s">
        <v>19</v>
      </c>
      <c r="E215" s="388">
        <v>12350.04</v>
      </c>
      <c r="F215" s="388" t="s">
        <v>22167</v>
      </c>
      <c r="G215" s="388" t="s">
        <v>22177</v>
      </c>
      <c r="H215" s="388" t="s">
        <v>22178</v>
      </c>
    </row>
    <row r="216" spans="2:8" ht="72.5" x14ac:dyDescent="0.35">
      <c r="C216" s="388" t="s">
        <v>22179</v>
      </c>
      <c r="D216" s="388" t="s">
        <v>18</v>
      </c>
      <c r="E216" s="388">
        <v>12350.04</v>
      </c>
      <c r="F216" s="388" t="s">
        <v>22180</v>
      </c>
      <c r="G216" s="388" t="s">
        <v>22172</v>
      </c>
      <c r="H216" s="388" t="s">
        <v>22181</v>
      </c>
    </row>
    <row r="217" spans="2:8" ht="72.5" x14ac:dyDescent="0.35">
      <c r="C217" s="388" t="s">
        <v>22182</v>
      </c>
      <c r="D217" s="388" t="s">
        <v>19</v>
      </c>
      <c r="E217" s="388">
        <v>12350.04</v>
      </c>
      <c r="F217" s="388" t="s">
        <v>22174</v>
      </c>
      <c r="G217" s="388" t="s">
        <v>22168</v>
      </c>
      <c r="H217" s="388" t="s">
        <v>22183</v>
      </c>
    </row>
    <row r="218" spans="2:8" ht="72.5" x14ac:dyDescent="0.35">
      <c r="C218" s="388" t="s">
        <v>22184</v>
      </c>
      <c r="D218" s="388" t="s">
        <v>18</v>
      </c>
      <c r="E218" s="388">
        <v>12350.04</v>
      </c>
      <c r="F218" s="388" t="s">
        <v>22171</v>
      </c>
      <c r="G218" s="388" t="s">
        <v>22172</v>
      </c>
      <c r="H218" s="388" t="s">
        <v>22185</v>
      </c>
    </row>
    <row r="219" spans="2:8" ht="87" x14ac:dyDescent="0.35">
      <c r="C219" s="388" t="s">
        <v>22186</v>
      </c>
      <c r="D219" s="388" t="s">
        <v>18</v>
      </c>
      <c r="E219" s="388">
        <v>12350.04</v>
      </c>
      <c r="F219" s="388" t="s">
        <v>22171</v>
      </c>
      <c r="G219" s="388" t="s">
        <v>22187</v>
      </c>
      <c r="H219" s="388" t="s">
        <v>22188</v>
      </c>
    </row>
    <row r="220" spans="2:8" ht="87" x14ac:dyDescent="0.35">
      <c r="C220" s="388" t="s">
        <v>22189</v>
      </c>
      <c r="D220" s="388" t="s">
        <v>19</v>
      </c>
      <c r="E220" s="388">
        <v>12350.05</v>
      </c>
      <c r="F220" s="388" t="s">
        <v>22190</v>
      </c>
      <c r="G220" s="388" t="s">
        <v>22177</v>
      </c>
      <c r="H220" s="388" t="s">
        <v>22191</v>
      </c>
    </row>
    <row r="221" spans="2:8" ht="72.5" x14ac:dyDescent="0.35">
      <c r="C221" s="388" t="s">
        <v>22192</v>
      </c>
      <c r="D221" s="388" t="s">
        <v>19</v>
      </c>
      <c r="E221" s="388">
        <v>12350.05</v>
      </c>
      <c r="F221" s="388" t="s">
        <v>22190</v>
      </c>
      <c r="G221" s="388" t="s">
        <v>22177</v>
      </c>
      <c r="H221" s="388" t="s">
        <v>22193</v>
      </c>
    </row>
    <row r="222" spans="2:8" ht="58" x14ac:dyDescent="0.35">
      <c r="C222" s="388" t="s">
        <v>22194</v>
      </c>
      <c r="D222" s="388" t="s">
        <v>19</v>
      </c>
      <c r="E222" s="388">
        <v>12350.05</v>
      </c>
      <c r="F222" s="388" t="s">
        <v>22190</v>
      </c>
      <c r="G222" s="388" t="s">
        <v>22168</v>
      </c>
      <c r="H222" s="388" t="s">
        <v>22195</v>
      </c>
    </row>
    <row r="223" spans="2:8" ht="58" x14ac:dyDescent="0.35">
      <c r="C223" s="388" t="s">
        <v>22196</v>
      </c>
      <c r="D223" s="388" t="s">
        <v>19</v>
      </c>
      <c r="E223" s="388">
        <v>12350.08</v>
      </c>
      <c r="F223" s="388" t="s">
        <v>22197</v>
      </c>
      <c r="G223" s="388" t="s">
        <v>22198</v>
      </c>
      <c r="H223" s="388" t="s">
        <v>22199</v>
      </c>
    </row>
    <row r="224" spans="2:8" ht="72.5" x14ac:dyDescent="0.35">
      <c r="C224" s="388" t="s">
        <v>22200</v>
      </c>
      <c r="D224" s="388" t="s">
        <v>19</v>
      </c>
      <c r="E224" s="388">
        <v>12350.08</v>
      </c>
      <c r="F224" s="388" t="s">
        <v>22201</v>
      </c>
      <c r="G224" s="388" t="s">
        <v>22177</v>
      </c>
      <c r="H224" s="388" t="s">
        <v>22202</v>
      </c>
    </row>
    <row r="225" spans="3:8" ht="87" x14ac:dyDescent="0.35">
      <c r="C225" s="388" t="s">
        <v>22203</v>
      </c>
      <c r="D225" s="388" t="s">
        <v>19</v>
      </c>
      <c r="E225" s="388">
        <v>12350.1</v>
      </c>
      <c r="F225" s="388" t="s">
        <v>22174</v>
      </c>
      <c r="G225" s="388" t="s">
        <v>22168</v>
      </c>
      <c r="H225" s="388" t="s">
        <v>22204</v>
      </c>
    </row>
    <row r="226" spans="3:8" ht="87" x14ac:dyDescent="0.35">
      <c r="C226" s="388" t="s">
        <v>22205</v>
      </c>
      <c r="D226" s="388" t="s">
        <v>19</v>
      </c>
      <c r="E226" s="388">
        <v>12350.2</v>
      </c>
      <c r="F226" s="388" t="s">
        <v>22174</v>
      </c>
      <c r="G226" s="388" t="s">
        <v>22177</v>
      </c>
      <c r="H226" s="388" t="s">
        <v>22206</v>
      </c>
    </row>
    <row r="227" spans="3:8" ht="72.5" x14ac:dyDescent="0.35">
      <c r="C227" s="388" t="s">
        <v>36</v>
      </c>
      <c r="D227" s="388" t="s">
        <v>19</v>
      </c>
      <c r="E227" s="388">
        <v>12350.3</v>
      </c>
      <c r="F227" s="388" t="s">
        <v>22174</v>
      </c>
      <c r="G227" s="388" t="s">
        <v>22198</v>
      </c>
      <c r="H227" s="388" t="s">
        <v>22207</v>
      </c>
    </row>
    <row r="228" spans="3:8" ht="58" x14ac:dyDescent="0.35">
      <c r="C228" s="388" t="s">
        <v>22208</v>
      </c>
      <c r="D228" s="388" t="s">
        <v>19</v>
      </c>
      <c r="E228" s="388">
        <v>12350.4</v>
      </c>
      <c r="F228" s="388" t="s">
        <v>22174</v>
      </c>
      <c r="G228" s="388" t="s">
        <v>22168</v>
      </c>
      <c r="H228" s="388" t="s">
        <v>22209</v>
      </c>
    </row>
  </sheetData>
  <mergeCells count="9">
    <mergeCell ref="J5:K5"/>
    <mergeCell ref="J6:K6"/>
    <mergeCell ref="J7:K7"/>
    <mergeCell ref="A3:B3"/>
    <mergeCell ref="D3:G3"/>
    <mergeCell ref="J3:K3"/>
    <mergeCell ref="P3:Q3"/>
    <mergeCell ref="A4:B4"/>
    <mergeCell ref="J4:K4"/>
  </mergeCells>
  <dataValidations count="1">
    <dataValidation type="list" allowBlank="1" showInputMessage="1" showErrorMessage="1" sqref="C16:C190" xr:uid="{0AB955F3-A2A5-4E69-8148-F7078CB0B86C}">
      <formula1>$C$205:$C207</formula1>
    </dataValidation>
  </dataValidations>
  <hyperlinks>
    <hyperlink ref="D3" r:id="rId1" display="datamateapp@gmail.com" xr:uid="{3398B641-B86D-4512-9C13-4F040358DBBA}"/>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68001" r:id="rId4" name="Button 1">
              <controlPr defaultSize="0" print="0" autoFill="0" autoPict="0" macro="SaveData">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768002" r:id="rId5" name="Button 2">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768003"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768004"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768005" r:id="rId8" name="Button 5">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768006" r:id="rId9" name="Button 6">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768007" r:id="rId10" name="Button 7">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768008" r:id="rId11" name="Button 8">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mc:AlternateContent xmlns:mc="http://schemas.openxmlformats.org/markup-compatibility/2006">
          <mc:Choice Requires="x14">
            <control shapeId="768010" r:id="rId12" name="Button 10">
              <controlPr defaultSize="0" print="0" autoFill="0" autoPict="0" macro="[0]!ExitSEC_123000">
                <anchor moveWithCells="1" sizeWithCells="1">
                  <from>
                    <xdr:col>16</xdr:col>
                    <xdr:colOff>0</xdr:colOff>
                    <xdr:row>0</xdr:row>
                    <xdr:rowOff>0</xdr:rowOff>
                  </from>
                  <to>
                    <xdr:col>16</xdr:col>
                    <xdr:colOff>1270000</xdr:colOff>
                    <xdr:row>2</xdr:row>
                    <xdr:rowOff>12700</xdr:rowOff>
                  </to>
                </anchor>
              </controlPr>
            </control>
          </mc:Choice>
        </mc:AlternateContent>
      </controls>
    </mc:Choice>
  </mc:AlternateContent>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1B0AB-FC85-41B4-BCC8-56BF6540356A}">
  <sheetPr codeName="Sheet165"/>
  <dimension ref="A1:Q220"/>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FURNISHINGS AND ACCESSORIES</v>
      </c>
      <c r="J2" s="59"/>
      <c r="K2" s="59"/>
      <c r="L2" s="1"/>
      <c r="M2" s="59"/>
      <c r="N2" s="59"/>
      <c r="O2" s="60"/>
      <c r="P2" s="57"/>
      <c r="Q2" s="57"/>
    </row>
    <row r="3" spans="1:17" ht="15" thickBot="1" x14ac:dyDescent="0.4">
      <c r="A3" s="446" t="s">
        <v>21561</v>
      </c>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12 40 00</v>
      </c>
      <c r="C10" s="24" t="str">
        <f>C206</f>
        <v>FURNISHINGS AND ACCESSORIES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FURNISHINGS AND ACCESSORIES</v>
      </c>
      <c r="D12" s="31"/>
      <c r="E12" s="32"/>
      <c r="F12" s="34"/>
      <c r="G12" s="33"/>
      <c r="H12" s="34"/>
      <c r="I12" s="33"/>
      <c r="J12" s="34"/>
      <c r="K12" s="34"/>
      <c r="L12" s="34"/>
      <c r="M12" s="33"/>
      <c r="N12" s="34"/>
      <c r="O12" s="35"/>
      <c r="P12" s="31"/>
      <c r="Q12" s="35"/>
    </row>
    <row r="13" spans="1:17" x14ac:dyDescent="0.35">
      <c r="A13" s="1"/>
      <c r="B13" s="1"/>
      <c r="C13" s="1"/>
      <c r="D13" s="1"/>
      <c r="E13" s="1"/>
      <c r="F13" s="1"/>
      <c r="G13" s="1"/>
      <c r="H13" s="1"/>
      <c r="I13" s="1"/>
      <c r="J13" s="1"/>
      <c r="K13" s="1"/>
      <c r="L13" s="1"/>
      <c r="M13" s="1"/>
      <c r="N13" s="1"/>
      <c r="O13" s="1"/>
      <c r="P13" s="1"/>
      <c r="Q13" s="1"/>
    </row>
    <row r="14" spans="1:17" x14ac:dyDescent="0.35">
      <c r="A14" s="1"/>
      <c r="B14" s="1"/>
      <c r="C14" s="1"/>
      <c r="D14" s="1"/>
      <c r="E14" s="1"/>
      <c r="F14" s="1"/>
      <c r="G14" s="1"/>
      <c r="H14" s="1"/>
      <c r="I14" s="1"/>
      <c r="J14" s="1"/>
      <c r="K14" s="1"/>
      <c r="L14" s="1"/>
      <c r="M14" s="1"/>
      <c r="N14" s="1"/>
      <c r="O14" s="1"/>
      <c r="P14" s="1"/>
      <c r="Q14" s="1"/>
    </row>
    <row r="15" spans="1:17" x14ac:dyDescent="0.35">
      <c r="A15" s="1"/>
      <c r="B15" s="1"/>
      <c r="C15" s="1"/>
      <c r="D15" s="1"/>
      <c r="E15" s="1"/>
      <c r="F15" s="1"/>
      <c r="G15" s="1"/>
      <c r="H15" s="1"/>
      <c r="I15" s="1"/>
      <c r="J15" s="1"/>
      <c r="K15" s="1"/>
      <c r="L15" s="1"/>
      <c r="M15" s="1"/>
      <c r="N15" s="1"/>
      <c r="O15" s="1"/>
      <c r="P15" s="1"/>
      <c r="Q15" s="1"/>
    </row>
    <row r="16" spans="1:17" x14ac:dyDescent="0.35">
      <c r="A16" s="1"/>
      <c r="B16" s="1"/>
      <c r="C16" s="1"/>
      <c r="D16" s="1"/>
      <c r="E16" s="1"/>
      <c r="F16" s="1"/>
      <c r="G16" s="1"/>
      <c r="H16" s="1"/>
      <c r="I16" s="1"/>
      <c r="J16" s="1"/>
      <c r="K16" s="1"/>
      <c r="L16" s="1"/>
      <c r="M16" s="1"/>
      <c r="N16" s="1"/>
      <c r="O16" s="1"/>
      <c r="P16" s="1"/>
      <c r="Q16" s="1"/>
    </row>
    <row r="17" spans="1:17" x14ac:dyDescent="0.35">
      <c r="A17" s="1"/>
      <c r="B17" s="1"/>
      <c r="C17" s="1"/>
      <c r="D17" s="1"/>
      <c r="E17" s="1"/>
      <c r="F17" s="1"/>
      <c r="G17" s="1"/>
      <c r="H17" s="1"/>
      <c r="I17" s="1"/>
      <c r="J17" s="1"/>
      <c r="K17" s="1"/>
      <c r="L17" s="1"/>
      <c r="M17" s="1"/>
      <c r="N17" s="1"/>
      <c r="O17" s="1"/>
      <c r="P17" s="1"/>
      <c r="Q17" s="1"/>
    </row>
    <row r="18" spans="1:17" x14ac:dyDescent="0.35">
      <c r="A18" s="1"/>
      <c r="B18" s="1"/>
      <c r="C18" s="1"/>
      <c r="D18" s="1"/>
      <c r="E18" s="1"/>
      <c r="F18" s="1"/>
      <c r="G18" s="1"/>
      <c r="H18" s="1"/>
      <c r="I18" s="1"/>
      <c r="J18" s="1"/>
      <c r="K18" s="1"/>
      <c r="L18" s="1"/>
      <c r="M18" s="1"/>
      <c r="N18" s="1"/>
      <c r="O18" s="1"/>
      <c r="P18" s="1"/>
      <c r="Q18" s="1"/>
    </row>
    <row r="19" spans="1:17" x14ac:dyDescent="0.35">
      <c r="A19" s="1"/>
      <c r="B19" s="1"/>
      <c r="C19" s="1"/>
      <c r="D19" s="1"/>
      <c r="E19" s="1"/>
      <c r="F19" s="1"/>
      <c r="G19" s="1"/>
      <c r="H19" s="1"/>
      <c r="I19" s="1"/>
      <c r="J19" s="1"/>
      <c r="K19" s="1"/>
      <c r="L19" s="1"/>
      <c r="M19" s="1"/>
      <c r="N19" s="1"/>
      <c r="O19" s="1"/>
      <c r="P19" s="1"/>
      <c r="Q19" s="1"/>
    </row>
    <row r="20" spans="1:17" x14ac:dyDescent="0.35">
      <c r="A20" s="1"/>
      <c r="B20" s="1"/>
      <c r="C20" s="1"/>
      <c r="D20" s="1"/>
      <c r="E20" s="1"/>
      <c r="F20" s="1"/>
      <c r="G20" s="1"/>
      <c r="H20" s="1"/>
      <c r="I20" s="1"/>
      <c r="J20" s="1"/>
      <c r="K20" s="1"/>
      <c r="L20" s="1"/>
      <c r="M20" s="1"/>
      <c r="N20" s="1"/>
      <c r="O20" s="1"/>
      <c r="P20" s="1"/>
      <c r="Q20" s="1"/>
    </row>
    <row r="21" spans="1:17" x14ac:dyDescent="0.35">
      <c r="A21" s="1"/>
      <c r="B21" s="1"/>
      <c r="C21" s="1"/>
      <c r="D21" s="1"/>
      <c r="E21" s="1"/>
      <c r="F21" s="1"/>
      <c r="G21" s="1"/>
      <c r="H21" s="1"/>
      <c r="I21" s="1"/>
      <c r="J21" s="1"/>
      <c r="K21" s="1"/>
      <c r="L21" s="1"/>
      <c r="M21" s="1"/>
      <c r="N21" s="1"/>
      <c r="O21" s="1"/>
      <c r="P21" s="1"/>
      <c r="Q21" s="1"/>
    </row>
    <row r="22" spans="1:17" x14ac:dyDescent="0.35">
      <c r="A22" s="1"/>
      <c r="B22" s="1"/>
      <c r="C22" s="1"/>
      <c r="D22" s="1"/>
      <c r="E22" s="1"/>
      <c r="F22" s="1"/>
      <c r="G22" s="1"/>
      <c r="H22" s="1"/>
      <c r="I22" s="1"/>
      <c r="J22" s="1"/>
      <c r="K22" s="1"/>
      <c r="L22" s="1"/>
      <c r="M22" s="1"/>
      <c r="N22" s="1"/>
      <c r="O22" s="1"/>
      <c r="P22" s="1"/>
      <c r="Q22" s="1"/>
    </row>
    <row r="23" spans="1:17" x14ac:dyDescent="0.35">
      <c r="A23" s="1"/>
      <c r="B23" s="1"/>
      <c r="C23" s="1"/>
      <c r="D23" s="1"/>
      <c r="E23" s="1"/>
      <c r="F23" s="1"/>
      <c r="G23" s="1"/>
      <c r="H23" s="1"/>
      <c r="I23" s="1"/>
      <c r="J23" s="1"/>
      <c r="K23" s="1"/>
      <c r="L23" s="1"/>
      <c r="M23" s="1"/>
      <c r="N23" s="1"/>
      <c r="O23" s="1"/>
      <c r="P23" s="1"/>
      <c r="Q23" s="1"/>
    </row>
    <row r="24" spans="1:17" x14ac:dyDescent="0.35">
      <c r="A24" s="1"/>
      <c r="B24" s="1"/>
      <c r="C24" s="1"/>
      <c r="D24" s="1"/>
      <c r="E24" s="1"/>
      <c r="F24" s="1"/>
      <c r="G24" s="1"/>
      <c r="H24" s="1"/>
      <c r="I24" s="1"/>
      <c r="J24" s="1"/>
      <c r="K24" s="1"/>
      <c r="L24" s="1"/>
      <c r="M24" s="1"/>
      <c r="N24" s="1"/>
      <c r="O24" s="1"/>
      <c r="P24" s="1"/>
      <c r="Q24" s="1"/>
    </row>
    <row r="25" spans="1:17" x14ac:dyDescent="0.35">
      <c r="A25" s="1"/>
      <c r="B25" s="1"/>
      <c r="C25" s="1"/>
      <c r="D25" s="1"/>
      <c r="E25" s="1"/>
      <c r="F25" s="1"/>
      <c r="G25" s="1"/>
      <c r="H25" s="1"/>
      <c r="I25" s="1"/>
      <c r="J25" s="1"/>
      <c r="K25" s="1"/>
      <c r="L25" s="1"/>
      <c r="M25" s="1"/>
      <c r="N25" s="1"/>
      <c r="O25" s="1"/>
      <c r="P25" s="1"/>
      <c r="Q25" s="1"/>
    </row>
    <row r="26" spans="1:17" x14ac:dyDescent="0.35">
      <c r="A26" s="1"/>
      <c r="B26" s="1"/>
      <c r="C26" s="1"/>
      <c r="D26" s="1"/>
      <c r="E26" s="1"/>
      <c r="F26" s="1"/>
      <c r="G26" s="1"/>
      <c r="H26" s="1"/>
      <c r="I26" s="1"/>
      <c r="J26" s="1"/>
      <c r="K26" s="1"/>
      <c r="L26" s="1"/>
      <c r="M26" s="1"/>
      <c r="N26" s="1"/>
      <c r="O26" s="1"/>
      <c r="P26" s="1"/>
      <c r="Q26" s="1"/>
    </row>
    <row r="27" spans="1:17" x14ac:dyDescent="0.35">
      <c r="A27" s="1"/>
      <c r="B27" s="1"/>
      <c r="C27" s="1"/>
      <c r="D27" s="1"/>
      <c r="E27" s="1"/>
      <c r="F27" s="1"/>
      <c r="G27" s="1"/>
      <c r="H27" s="1"/>
      <c r="I27" s="1"/>
      <c r="J27" s="1"/>
      <c r="K27" s="1"/>
      <c r="L27" s="1"/>
      <c r="M27" s="1"/>
      <c r="N27" s="1"/>
      <c r="O27" s="1"/>
      <c r="P27" s="1"/>
      <c r="Q27" s="1"/>
    </row>
    <row r="28" spans="1:17" x14ac:dyDescent="0.35">
      <c r="A28" s="1"/>
      <c r="B28" s="1"/>
      <c r="C28" s="1"/>
      <c r="D28" s="1"/>
      <c r="E28" s="1"/>
      <c r="F28" s="1"/>
      <c r="G28" s="1"/>
      <c r="H28" s="1"/>
      <c r="I28" s="1"/>
      <c r="J28" s="1"/>
      <c r="K28" s="1"/>
      <c r="L28" s="1"/>
      <c r="M28" s="1"/>
      <c r="N28" s="1"/>
      <c r="O28" s="1"/>
      <c r="P28" s="1"/>
      <c r="Q28" s="1"/>
    </row>
    <row r="29" spans="1:17" x14ac:dyDescent="0.35">
      <c r="A29" s="1"/>
      <c r="B29" s="1"/>
      <c r="C29" s="1"/>
      <c r="D29" s="1"/>
      <c r="E29" s="1"/>
      <c r="F29" s="1"/>
      <c r="G29" s="1"/>
      <c r="H29" s="1"/>
      <c r="I29" s="1"/>
      <c r="J29" s="1"/>
      <c r="K29" s="1"/>
      <c r="L29" s="1"/>
      <c r="M29" s="1"/>
      <c r="N29" s="1"/>
      <c r="O29" s="1"/>
      <c r="P29" s="1"/>
      <c r="Q29" s="1"/>
    </row>
    <row r="30" spans="1:17" x14ac:dyDescent="0.35">
      <c r="A30" s="1"/>
      <c r="B30" s="1"/>
      <c r="C30" s="1"/>
      <c r="D30" s="1"/>
      <c r="E30" s="1"/>
      <c r="F30" s="1"/>
      <c r="G30" s="1"/>
      <c r="H30" s="1"/>
      <c r="I30" s="1"/>
      <c r="J30" s="1"/>
      <c r="K30" s="1"/>
      <c r="L30" s="1"/>
      <c r="M30" s="1"/>
      <c r="N30" s="1"/>
      <c r="O30" s="1"/>
      <c r="P30" s="1"/>
      <c r="Q30" s="1"/>
    </row>
    <row r="31" spans="1:17" x14ac:dyDescent="0.35">
      <c r="A31" s="1"/>
      <c r="B31" s="1"/>
      <c r="C31" s="1"/>
      <c r="D31" s="1"/>
      <c r="E31" s="1"/>
      <c r="F31" s="1"/>
      <c r="G31" s="1"/>
      <c r="H31" s="1"/>
      <c r="I31" s="1"/>
      <c r="J31" s="1"/>
      <c r="K31" s="1"/>
      <c r="L31" s="1"/>
      <c r="M31" s="1"/>
      <c r="N31" s="1"/>
      <c r="O31" s="1"/>
      <c r="P31" s="1"/>
      <c r="Q31" s="1"/>
    </row>
    <row r="32" spans="1:17" x14ac:dyDescent="0.35">
      <c r="A32" s="1"/>
      <c r="B32" s="1"/>
      <c r="C32" s="1"/>
      <c r="D32" s="1"/>
      <c r="E32" s="1"/>
      <c r="F32" s="1"/>
      <c r="G32" s="1"/>
      <c r="H32" s="1"/>
      <c r="I32" s="1"/>
      <c r="J32" s="1"/>
      <c r="K32" s="1"/>
      <c r="L32" s="1"/>
      <c r="M32" s="1"/>
      <c r="N32" s="1"/>
      <c r="O32" s="1"/>
      <c r="P32" s="1"/>
      <c r="Q32" s="1"/>
    </row>
    <row r="33" spans="1:17" x14ac:dyDescent="0.35">
      <c r="A33" s="1"/>
      <c r="B33" s="1"/>
      <c r="C33" s="1"/>
      <c r="D33" s="1"/>
      <c r="E33" s="1"/>
      <c r="F33" s="1"/>
      <c r="G33" s="1"/>
      <c r="H33" s="1"/>
      <c r="I33" s="1"/>
      <c r="J33" s="1"/>
      <c r="K33" s="1"/>
      <c r="L33" s="1"/>
      <c r="M33" s="1"/>
      <c r="N33" s="1"/>
      <c r="O33" s="1"/>
      <c r="P33" s="1"/>
      <c r="Q33" s="1"/>
    </row>
    <row r="34" spans="1:17" x14ac:dyDescent="0.35">
      <c r="A34" s="1"/>
      <c r="B34" s="1"/>
      <c r="C34" s="1"/>
      <c r="D34" s="1"/>
      <c r="E34" s="1"/>
      <c r="F34" s="1"/>
      <c r="G34" s="1"/>
      <c r="H34" s="1"/>
      <c r="I34" s="1"/>
      <c r="J34" s="1"/>
      <c r="K34" s="1"/>
      <c r="L34" s="1"/>
      <c r="M34" s="1"/>
      <c r="N34" s="1"/>
      <c r="O34" s="1"/>
      <c r="P34" s="1"/>
      <c r="Q34" s="1"/>
    </row>
    <row r="35" spans="1:17" x14ac:dyDescent="0.35">
      <c r="A35" s="1"/>
      <c r="B35" s="1"/>
      <c r="C35" s="1"/>
      <c r="D35" s="1"/>
      <c r="E35" s="1"/>
      <c r="F35" s="1"/>
      <c r="G35" s="1"/>
      <c r="H35" s="1"/>
      <c r="I35" s="1"/>
      <c r="J35" s="1"/>
      <c r="K35" s="1"/>
      <c r="L35" s="1"/>
      <c r="M35" s="1"/>
      <c r="N35" s="1"/>
      <c r="O35" s="1"/>
      <c r="P35" s="1"/>
      <c r="Q35" s="1"/>
    </row>
    <row r="36" spans="1:17" x14ac:dyDescent="0.35">
      <c r="A36" s="1"/>
      <c r="B36" s="1"/>
      <c r="C36" s="1"/>
      <c r="D36" s="1"/>
      <c r="E36" s="1"/>
      <c r="F36" s="1"/>
      <c r="G36" s="1"/>
      <c r="H36" s="1"/>
      <c r="I36" s="1"/>
      <c r="J36" s="1"/>
      <c r="K36" s="1"/>
      <c r="L36" s="1"/>
      <c r="M36" s="1"/>
      <c r="N36" s="1"/>
      <c r="O36" s="1"/>
      <c r="P36" s="1"/>
      <c r="Q36" s="1"/>
    </row>
    <row r="37" spans="1:17" x14ac:dyDescent="0.35">
      <c r="A37" s="1"/>
      <c r="B37" s="1"/>
      <c r="C37" s="1"/>
      <c r="D37" s="1"/>
      <c r="E37" s="1"/>
      <c r="F37" s="1"/>
      <c r="G37" s="1"/>
      <c r="H37" s="1"/>
      <c r="I37" s="1"/>
      <c r="J37" s="1"/>
      <c r="K37" s="1"/>
      <c r="L37" s="1"/>
      <c r="M37" s="1"/>
      <c r="N37" s="1"/>
      <c r="O37" s="1"/>
      <c r="P37" s="1"/>
      <c r="Q37" s="1"/>
    </row>
    <row r="38" spans="1:17" x14ac:dyDescent="0.35">
      <c r="A38" s="1"/>
      <c r="B38" s="1"/>
      <c r="C38" s="1"/>
      <c r="D38" s="1"/>
      <c r="E38" s="1"/>
      <c r="F38" s="1"/>
      <c r="G38" s="1"/>
      <c r="H38" s="1"/>
      <c r="I38" s="1"/>
      <c r="J38" s="1"/>
      <c r="K38" s="1"/>
      <c r="L38" s="1"/>
      <c r="M38" s="1"/>
      <c r="N38" s="1"/>
      <c r="O38" s="1"/>
      <c r="P38" s="1"/>
      <c r="Q38" s="1"/>
    </row>
    <row r="39" spans="1:17" x14ac:dyDescent="0.35">
      <c r="A39" s="1"/>
      <c r="B39" s="1"/>
      <c r="C39" s="1"/>
      <c r="D39" s="1"/>
      <c r="E39" s="1"/>
      <c r="F39" s="1"/>
      <c r="G39" s="1"/>
      <c r="H39" s="1"/>
      <c r="I39" s="1"/>
      <c r="J39" s="1"/>
      <c r="K39" s="1"/>
      <c r="L39" s="1"/>
      <c r="M39" s="1"/>
      <c r="N39" s="1"/>
      <c r="O39" s="1"/>
      <c r="P39" s="1"/>
      <c r="Q39" s="1"/>
    </row>
    <row r="40" spans="1:17" x14ac:dyDescent="0.35">
      <c r="A40" s="1"/>
      <c r="B40" s="1"/>
      <c r="C40" s="1"/>
      <c r="D40" s="1"/>
      <c r="E40" s="1"/>
      <c r="F40" s="1"/>
      <c r="G40" s="1"/>
      <c r="H40" s="1"/>
      <c r="I40" s="1"/>
      <c r="J40" s="1"/>
      <c r="K40" s="1"/>
      <c r="L40" s="1"/>
      <c r="M40" s="1"/>
      <c r="N40" s="1"/>
      <c r="O40" s="1"/>
      <c r="P40" s="1"/>
      <c r="Q40" s="1"/>
    </row>
    <row r="41" spans="1:17" x14ac:dyDescent="0.35">
      <c r="A41" s="1"/>
      <c r="B41" s="1"/>
      <c r="C41" s="1"/>
      <c r="D41" s="1"/>
      <c r="E41" s="1"/>
      <c r="F41" s="1"/>
      <c r="G41" s="1"/>
      <c r="H41" s="1"/>
      <c r="I41" s="1"/>
      <c r="J41" s="1"/>
      <c r="K41" s="1"/>
      <c r="L41" s="1"/>
      <c r="M41" s="1"/>
      <c r="N41" s="1"/>
      <c r="O41" s="1"/>
      <c r="P41" s="1"/>
      <c r="Q41" s="1"/>
    </row>
    <row r="42" spans="1:17" x14ac:dyDescent="0.35">
      <c r="A42" s="1"/>
      <c r="B42" s="1"/>
      <c r="C42" s="1"/>
      <c r="D42" s="1"/>
      <c r="E42" s="1"/>
      <c r="F42" s="1"/>
      <c r="G42" s="1"/>
      <c r="H42" s="1"/>
      <c r="I42" s="1"/>
      <c r="J42" s="1"/>
      <c r="K42" s="1"/>
      <c r="L42" s="1"/>
      <c r="M42" s="1"/>
      <c r="N42" s="1"/>
      <c r="O42" s="1"/>
      <c r="P42" s="1"/>
      <c r="Q42" s="1"/>
    </row>
    <row r="43" spans="1:17" x14ac:dyDescent="0.35">
      <c r="A43" s="1"/>
      <c r="B43" s="1"/>
      <c r="C43" s="1"/>
      <c r="D43" s="1"/>
      <c r="E43" s="1"/>
      <c r="F43" s="1"/>
      <c r="G43" s="1"/>
      <c r="H43" s="1"/>
      <c r="I43" s="1"/>
      <c r="J43" s="1"/>
      <c r="K43" s="1"/>
      <c r="L43" s="1"/>
      <c r="M43" s="1"/>
      <c r="N43" s="1"/>
      <c r="O43" s="1"/>
      <c r="P43" s="1"/>
      <c r="Q43" s="1"/>
    </row>
    <row r="44" spans="1:17" x14ac:dyDescent="0.35">
      <c r="A44" s="1"/>
      <c r="B44" s="1"/>
      <c r="C44" s="1"/>
      <c r="D44" s="1"/>
      <c r="E44" s="1"/>
      <c r="F44" s="1"/>
      <c r="G44" s="1"/>
      <c r="H44" s="1"/>
      <c r="I44" s="1"/>
      <c r="J44" s="1"/>
      <c r="K44" s="1"/>
      <c r="L44" s="1"/>
      <c r="M44" s="1"/>
      <c r="N44" s="1"/>
      <c r="O44" s="1"/>
      <c r="P44" s="1"/>
      <c r="Q44" s="1"/>
    </row>
    <row r="45" spans="1:17" x14ac:dyDescent="0.35">
      <c r="A45" s="1"/>
      <c r="B45" s="1"/>
      <c r="C45" s="1"/>
      <c r="D45" s="1"/>
      <c r="E45" s="1"/>
      <c r="F45" s="1"/>
      <c r="G45" s="1"/>
      <c r="H45" s="1"/>
      <c r="I45" s="1"/>
      <c r="J45" s="1"/>
      <c r="K45" s="1"/>
      <c r="L45" s="1"/>
      <c r="M45" s="1"/>
      <c r="N45" s="1"/>
      <c r="O45" s="1"/>
      <c r="P45" s="1"/>
      <c r="Q45" s="1"/>
    </row>
    <row r="46" spans="1:17" x14ac:dyDescent="0.35">
      <c r="A46" s="1"/>
      <c r="B46" s="1"/>
      <c r="C46" s="1"/>
      <c r="D46" s="1"/>
      <c r="E46" s="1"/>
      <c r="F46" s="1"/>
      <c r="G46" s="1"/>
      <c r="H46" s="1"/>
      <c r="I46" s="1"/>
      <c r="J46" s="1"/>
      <c r="K46" s="1"/>
      <c r="L46" s="1"/>
      <c r="M46" s="1"/>
      <c r="N46" s="1"/>
      <c r="O46" s="1"/>
      <c r="P46" s="1"/>
      <c r="Q46" s="1"/>
    </row>
    <row r="47" spans="1:17" x14ac:dyDescent="0.35">
      <c r="A47" s="1"/>
      <c r="B47" s="1"/>
      <c r="C47" s="1"/>
      <c r="D47" s="1"/>
      <c r="E47" s="1"/>
      <c r="F47" s="1"/>
      <c r="G47" s="1"/>
      <c r="H47" s="1"/>
      <c r="I47" s="1"/>
      <c r="J47" s="1"/>
      <c r="K47" s="1"/>
      <c r="L47" s="1"/>
      <c r="M47" s="1"/>
      <c r="N47" s="1"/>
      <c r="O47" s="1"/>
      <c r="P47" s="1"/>
      <c r="Q47" s="1"/>
    </row>
    <row r="48" spans="1:17" x14ac:dyDescent="0.35">
      <c r="A48" s="1"/>
      <c r="B48" s="1"/>
      <c r="C48" s="1"/>
      <c r="D48" s="1"/>
      <c r="E48" s="1"/>
      <c r="F48" s="1"/>
      <c r="G48" s="1"/>
      <c r="H48" s="1"/>
      <c r="I48" s="1"/>
      <c r="J48" s="1"/>
      <c r="K48" s="1"/>
      <c r="L48" s="1"/>
      <c r="M48" s="1"/>
      <c r="N48" s="1"/>
      <c r="O48" s="1"/>
      <c r="P48" s="1"/>
      <c r="Q48" s="1"/>
    </row>
    <row r="49" spans="1:17" x14ac:dyDescent="0.35">
      <c r="A49" s="1"/>
      <c r="B49" s="1"/>
      <c r="C49" s="1"/>
      <c r="D49" s="1"/>
      <c r="E49" s="1"/>
      <c r="F49" s="1"/>
      <c r="G49" s="1"/>
      <c r="H49" s="1"/>
      <c r="I49" s="1"/>
      <c r="J49" s="1"/>
      <c r="K49" s="1"/>
      <c r="L49" s="1"/>
      <c r="M49" s="1"/>
      <c r="N49" s="1"/>
      <c r="O49" s="1"/>
      <c r="P49" s="1"/>
      <c r="Q49" s="1"/>
    </row>
    <row r="50" spans="1:17" x14ac:dyDescent="0.35">
      <c r="A50" s="1"/>
      <c r="B50" s="1"/>
      <c r="C50" s="1"/>
      <c r="D50" s="1"/>
      <c r="E50" s="1"/>
      <c r="F50" s="1"/>
      <c r="G50" s="1"/>
      <c r="H50" s="1"/>
      <c r="I50" s="1"/>
      <c r="J50" s="1"/>
      <c r="K50" s="1"/>
      <c r="L50" s="1"/>
      <c r="M50" s="1"/>
      <c r="N50" s="1"/>
      <c r="O50" s="1"/>
      <c r="P50" s="1"/>
      <c r="Q50" s="1"/>
    </row>
    <row r="51" spans="1:17" x14ac:dyDescent="0.35">
      <c r="A51" s="1"/>
      <c r="B51" s="1"/>
      <c r="C51" s="1"/>
      <c r="D51" s="1"/>
      <c r="E51" s="1"/>
      <c r="F51" s="1"/>
      <c r="G51" s="1"/>
      <c r="H51" s="1"/>
      <c r="I51" s="1"/>
      <c r="J51" s="1"/>
      <c r="K51" s="1"/>
      <c r="L51" s="1"/>
      <c r="M51" s="1"/>
      <c r="N51" s="1"/>
      <c r="O51" s="1"/>
      <c r="P51" s="1"/>
      <c r="Q51" s="1"/>
    </row>
    <row r="52" spans="1:17" x14ac:dyDescent="0.35">
      <c r="A52" s="1"/>
      <c r="B52" s="1"/>
      <c r="C52" s="1"/>
      <c r="D52" s="1"/>
      <c r="E52" s="1"/>
      <c r="F52" s="1"/>
      <c r="G52" s="1"/>
      <c r="H52" s="1"/>
      <c r="I52" s="1"/>
      <c r="J52" s="1"/>
      <c r="K52" s="1"/>
      <c r="L52" s="1"/>
      <c r="M52" s="1"/>
      <c r="N52" s="1"/>
      <c r="O52" s="1"/>
      <c r="P52" s="1"/>
      <c r="Q52" s="1"/>
    </row>
    <row r="53" spans="1:17" x14ac:dyDescent="0.35">
      <c r="A53" s="1"/>
      <c r="B53" s="1"/>
      <c r="C53" s="1"/>
      <c r="D53" s="1"/>
      <c r="E53" s="1"/>
      <c r="F53" s="1"/>
      <c r="G53" s="1"/>
      <c r="H53" s="1"/>
      <c r="I53" s="1"/>
      <c r="J53" s="1"/>
      <c r="K53" s="1"/>
      <c r="L53" s="1"/>
      <c r="M53" s="1"/>
      <c r="N53" s="1"/>
      <c r="O53" s="1"/>
      <c r="P53" s="1"/>
      <c r="Q53" s="1"/>
    </row>
    <row r="54" spans="1:17" x14ac:dyDescent="0.35">
      <c r="A54" s="1"/>
      <c r="B54" s="1"/>
      <c r="C54" s="1"/>
      <c r="D54" s="1"/>
      <c r="E54" s="1"/>
      <c r="F54" s="1"/>
      <c r="G54" s="1"/>
      <c r="H54" s="1"/>
      <c r="I54" s="1"/>
      <c r="J54" s="1"/>
      <c r="K54" s="1"/>
      <c r="L54" s="1"/>
      <c r="M54" s="1"/>
      <c r="N54" s="1"/>
      <c r="O54" s="1"/>
      <c r="P54" s="1"/>
      <c r="Q54" s="1"/>
    </row>
    <row r="55" spans="1:17" x14ac:dyDescent="0.35">
      <c r="A55" s="1"/>
      <c r="B55" s="1"/>
      <c r="C55" s="1"/>
      <c r="D55" s="1"/>
      <c r="E55" s="1"/>
      <c r="F55" s="1"/>
      <c r="G55" s="1"/>
      <c r="H55" s="1"/>
      <c r="I55" s="1"/>
      <c r="J55" s="1"/>
      <c r="K55" s="1"/>
      <c r="L55" s="1"/>
      <c r="M55" s="1"/>
      <c r="N55" s="1"/>
      <c r="O55" s="1"/>
      <c r="P55" s="1"/>
      <c r="Q55" s="1"/>
    </row>
    <row r="56" spans="1:17" x14ac:dyDescent="0.35">
      <c r="A56" s="1"/>
      <c r="B56" s="1"/>
      <c r="C56" s="1"/>
      <c r="D56" s="1"/>
      <c r="E56" s="1"/>
      <c r="F56" s="1"/>
      <c r="G56" s="1"/>
      <c r="H56" s="1"/>
      <c r="I56" s="1"/>
      <c r="J56" s="1"/>
      <c r="K56" s="1"/>
      <c r="L56" s="1"/>
      <c r="M56" s="1"/>
      <c r="N56" s="1"/>
      <c r="O56" s="1"/>
      <c r="P56" s="1"/>
      <c r="Q56" s="1"/>
    </row>
    <row r="57" spans="1:17" x14ac:dyDescent="0.35">
      <c r="A57" s="1"/>
      <c r="B57" s="1"/>
      <c r="C57" s="1"/>
      <c r="D57" s="1"/>
      <c r="E57" s="1"/>
      <c r="F57" s="1"/>
      <c r="G57" s="1"/>
      <c r="H57" s="1"/>
      <c r="I57" s="1"/>
      <c r="J57" s="1"/>
      <c r="K57" s="1"/>
      <c r="L57" s="1"/>
      <c r="M57" s="1"/>
      <c r="N57" s="1"/>
      <c r="O57" s="1"/>
      <c r="P57" s="1"/>
      <c r="Q57" s="1"/>
    </row>
    <row r="58" spans="1:17" x14ac:dyDescent="0.35">
      <c r="A58" s="1"/>
      <c r="B58" s="1"/>
      <c r="C58" s="1"/>
      <c r="D58" s="1"/>
      <c r="E58" s="1"/>
      <c r="F58" s="1"/>
      <c r="G58" s="1"/>
      <c r="H58" s="1"/>
      <c r="I58" s="1"/>
      <c r="J58" s="1"/>
      <c r="K58" s="1"/>
      <c r="L58" s="1"/>
      <c r="M58" s="1"/>
      <c r="N58" s="1"/>
      <c r="O58" s="1"/>
      <c r="P58" s="1"/>
      <c r="Q58" s="1"/>
    </row>
    <row r="59" spans="1:17" x14ac:dyDescent="0.35">
      <c r="A59" s="1"/>
      <c r="B59" s="1"/>
      <c r="C59" s="1"/>
      <c r="D59" s="1"/>
      <c r="E59" s="1"/>
      <c r="F59" s="1"/>
      <c r="G59" s="1"/>
      <c r="H59" s="1"/>
      <c r="I59" s="1"/>
      <c r="J59" s="1"/>
      <c r="K59" s="1"/>
      <c r="L59" s="1"/>
      <c r="M59" s="1"/>
      <c r="N59" s="1"/>
      <c r="O59" s="1"/>
      <c r="P59" s="1"/>
      <c r="Q59" s="1"/>
    </row>
    <row r="60" spans="1:17" x14ac:dyDescent="0.35">
      <c r="A60" s="1"/>
      <c r="B60" s="1"/>
      <c r="C60" s="1"/>
      <c r="D60" s="1"/>
      <c r="E60" s="1"/>
      <c r="F60" s="1"/>
      <c r="G60" s="1"/>
      <c r="H60" s="1"/>
      <c r="I60" s="1"/>
      <c r="J60" s="1"/>
      <c r="K60" s="1"/>
      <c r="L60" s="1"/>
      <c r="M60" s="1"/>
      <c r="N60" s="1"/>
      <c r="O60" s="1"/>
      <c r="P60" s="1"/>
      <c r="Q60" s="1"/>
    </row>
    <row r="61" spans="1:17" x14ac:dyDescent="0.35">
      <c r="A61" s="1"/>
      <c r="B61" s="1"/>
      <c r="C61" s="1"/>
      <c r="D61" s="1"/>
      <c r="E61" s="1"/>
      <c r="F61" s="1"/>
      <c r="G61" s="1"/>
      <c r="H61" s="1"/>
      <c r="I61" s="1"/>
      <c r="J61" s="1"/>
      <c r="K61" s="1"/>
      <c r="L61" s="1"/>
      <c r="M61" s="1"/>
      <c r="N61" s="1"/>
      <c r="O61" s="1"/>
      <c r="P61" s="1"/>
      <c r="Q61" s="1"/>
    </row>
    <row r="62" spans="1:17" x14ac:dyDescent="0.35">
      <c r="A62" s="1"/>
      <c r="B62" s="1"/>
      <c r="C62" s="1"/>
      <c r="D62" s="1"/>
      <c r="E62" s="1"/>
      <c r="F62" s="1"/>
      <c r="G62" s="1"/>
      <c r="H62" s="1"/>
      <c r="I62" s="1"/>
      <c r="J62" s="1"/>
      <c r="K62" s="1"/>
      <c r="L62" s="1"/>
      <c r="M62" s="1"/>
      <c r="N62" s="1"/>
      <c r="O62" s="1"/>
      <c r="P62" s="1"/>
      <c r="Q62" s="1"/>
    </row>
    <row r="63" spans="1:17" x14ac:dyDescent="0.35">
      <c r="A63" s="1"/>
      <c r="B63" s="1"/>
      <c r="C63" s="1"/>
      <c r="D63" s="1"/>
      <c r="E63" s="1"/>
      <c r="F63" s="1"/>
      <c r="G63" s="1"/>
      <c r="H63" s="1"/>
      <c r="I63" s="1"/>
      <c r="J63" s="1"/>
      <c r="K63" s="1"/>
      <c r="L63" s="1"/>
      <c r="M63" s="1"/>
      <c r="N63" s="1"/>
      <c r="O63" s="1"/>
      <c r="P63" s="1"/>
      <c r="Q63" s="1"/>
    </row>
    <row r="64" spans="1:17" x14ac:dyDescent="0.35">
      <c r="A64" s="1"/>
      <c r="B64" s="1"/>
      <c r="C64" s="1"/>
      <c r="D64" s="1"/>
      <c r="E64" s="1"/>
      <c r="F64" s="1"/>
      <c r="G64" s="1"/>
      <c r="H64" s="1"/>
      <c r="I64" s="1"/>
      <c r="J64" s="1"/>
      <c r="K64" s="1"/>
      <c r="L64" s="1"/>
      <c r="M64" s="1"/>
      <c r="N64" s="1"/>
      <c r="O64" s="1"/>
      <c r="P64" s="1"/>
      <c r="Q64" s="1"/>
    </row>
    <row r="65" spans="1:17" x14ac:dyDescent="0.35">
      <c r="A65" s="1"/>
      <c r="B65" s="1"/>
      <c r="C65" s="1"/>
      <c r="D65" s="1"/>
      <c r="E65" s="1"/>
      <c r="F65" s="1"/>
      <c r="G65" s="1"/>
      <c r="H65" s="1"/>
      <c r="I65" s="1"/>
      <c r="J65" s="1"/>
      <c r="K65" s="1"/>
      <c r="L65" s="1"/>
      <c r="M65" s="1"/>
      <c r="N65" s="1"/>
      <c r="O65" s="1"/>
      <c r="P65" s="1"/>
      <c r="Q65" s="1"/>
    </row>
    <row r="66" spans="1:17" x14ac:dyDescent="0.35">
      <c r="A66" s="1"/>
      <c r="B66" s="1"/>
      <c r="C66" s="1"/>
      <c r="D66" s="1"/>
      <c r="E66" s="1"/>
      <c r="F66" s="1"/>
      <c r="G66" s="1"/>
      <c r="H66" s="1"/>
      <c r="I66" s="1"/>
      <c r="J66" s="1"/>
      <c r="K66" s="1"/>
      <c r="L66" s="1"/>
      <c r="M66" s="1"/>
      <c r="N66" s="1"/>
      <c r="O66" s="1"/>
      <c r="P66" s="1"/>
      <c r="Q66" s="1"/>
    </row>
    <row r="67" spans="1:17" x14ac:dyDescent="0.35">
      <c r="A67" s="1"/>
      <c r="B67" s="1"/>
      <c r="C67" s="1"/>
      <c r="D67" s="1"/>
      <c r="E67" s="1"/>
      <c r="F67" s="1"/>
      <c r="G67" s="1"/>
      <c r="H67" s="1"/>
      <c r="I67" s="1"/>
      <c r="J67" s="1"/>
      <c r="K67" s="1"/>
      <c r="L67" s="1"/>
      <c r="M67" s="1"/>
      <c r="N67" s="1"/>
      <c r="O67" s="1"/>
      <c r="P67" s="1"/>
      <c r="Q67" s="1"/>
    </row>
    <row r="68" spans="1:17" x14ac:dyDescent="0.35">
      <c r="A68" s="1"/>
      <c r="B68" s="1"/>
      <c r="C68" s="1"/>
      <c r="D68" s="1"/>
      <c r="E68" s="1"/>
      <c r="F68" s="1"/>
      <c r="G68" s="1"/>
      <c r="H68" s="1"/>
      <c r="I68" s="1"/>
      <c r="J68" s="1"/>
      <c r="K68" s="1"/>
      <c r="L68" s="1"/>
      <c r="M68" s="1"/>
      <c r="N68" s="1"/>
      <c r="O68" s="1"/>
      <c r="P68" s="1"/>
      <c r="Q68" s="1"/>
    </row>
    <row r="69" spans="1:17" x14ac:dyDescent="0.35">
      <c r="A69" s="1"/>
      <c r="B69" s="1"/>
      <c r="C69" s="1"/>
      <c r="D69" s="1"/>
      <c r="E69" s="1"/>
      <c r="F69" s="1"/>
      <c r="G69" s="1"/>
      <c r="H69" s="1"/>
      <c r="I69" s="1"/>
      <c r="J69" s="1"/>
      <c r="K69" s="1"/>
      <c r="L69" s="1"/>
      <c r="M69" s="1"/>
      <c r="N69" s="1"/>
      <c r="O69" s="1"/>
      <c r="P69" s="1"/>
      <c r="Q69" s="1"/>
    </row>
    <row r="70" spans="1:17" x14ac:dyDescent="0.35">
      <c r="A70" s="1"/>
      <c r="B70" s="1"/>
      <c r="C70" s="1"/>
      <c r="D70" s="1"/>
      <c r="E70" s="1"/>
      <c r="F70" s="1"/>
      <c r="G70" s="1"/>
      <c r="H70" s="1"/>
      <c r="I70" s="1"/>
      <c r="J70" s="1"/>
      <c r="K70" s="1"/>
      <c r="L70" s="1"/>
      <c r="M70" s="1"/>
      <c r="N70" s="1"/>
      <c r="O70" s="1"/>
      <c r="P70" s="1"/>
      <c r="Q70" s="1"/>
    </row>
    <row r="71" spans="1:17" x14ac:dyDescent="0.35">
      <c r="A71" s="1"/>
      <c r="B71" s="1"/>
      <c r="C71" s="1"/>
      <c r="D71" s="1"/>
      <c r="E71" s="1"/>
      <c r="F71" s="1"/>
      <c r="G71" s="1"/>
      <c r="H71" s="1"/>
      <c r="I71" s="1"/>
      <c r="J71" s="1"/>
      <c r="K71" s="1"/>
      <c r="L71" s="1"/>
      <c r="M71" s="1"/>
      <c r="N71" s="1"/>
      <c r="O71" s="1"/>
      <c r="P71" s="1"/>
      <c r="Q71" s="1"/>
    </row>
    <row r="72" spans="1:17" x14ac:dyDescent="0.35">
      <c r="A72" s="1"/>
      <c r="B72" s="1"/>
      <c r="C72" s="1"/>
      <c r="D72" s="1"/>
      <c r="E72" s="1"/>
      <c r="F72" s="1"/>
      <c r="G72" s="1"/>
      <c r="H72" s="1"/>
      <c r="I72" s="1"/>
      <c r="J72" s="1"/>
      <c r="K72" s="1"/>
      <c r="L72" s="1"/>
      <c r="M72" s="1"/>
      <c r="N72" s="1"/>
      <c r="O72" s="1"/>
      <c r="P72" s="1"/>
      <c r="Q72" s="1"/>
    </row>
    <row r="73" spans="1:17" x14ac:dyDescent="0.35">
      <c r="A73" s="1"/>
      <c r="B73" s="1"/>
      <c r="C73" s="1"/>
      <c r="D73" s="1"/>
      <c r="E73" s="1"/>
      <c r="F73" s="1"/>
      <c r="G73" s="1"/>
      <c r="H73" s="1"/>
      <c r="I73" s="1"/>
      <c r="J73" s="1"/>
      <c r="K73" s="1"/>
      <c r="L73" s="1"/>
      <c r="M73" s="1"/>
      <c r="N73" s="1"/>
      <c r="O73" s="1"/>
      <c r="P73" s="1"/>
      <c r="Q73" s="1"/>
    </row>
    <row r="74" spans="1:17" x14ac:dyDescent="0.35">
      <c r="A74" s="1"/>
      <c r="B74" s="1"/>
      <c r="C74" s="1"/>
      <c r="D74" s="1"/>
      <c r="E74" s="1"/>
      <c r="F74" s="1"/>
      <c r="G74" s="1"/>
      <c r="H74" s="1"/>
      <c r="I74" s="1"/>
      <c r="J74" s="1"/>
      <c r="K74" s="1"/>
      <c r="L74" s="1"/>
      <c r="M74" s="1"/>
      <c r="N74" s="1"/>
      <c r="O74" s="1"/>
      <c r="P74" s="1"/>
      <c r="Q74" s="1"/>
    </row>
    <row r="75" spans="1:17" x14ac:dyDescent="0.35">
      <c r="A75" s="1"/>
      <c r="B75" s="1"/>
      <c r="C75" s="1"/>
      <c r="D75" s="1"/>
      <c r="E75" s="1"/>
      <c r="F75" s="1"/>
      <c r="G75" s="1"/>
      <c r="H75" s="1"/>
      <c r="I75" s="1"/>
      <c r="J75" s="1"/>
      <c r="K75" s="1"/>
      <c r="L75" s="1"/>
      <c r="M75" s="1"/>
      <c r="N75" s="1"/>
      <c r="O75" s="1"/>
      <c r="P75" s="1"/>
      <c r="Q75" s="1"/>
    </row>
    <row r="76" spans="1:17" x14ac:dyDescent="0.35">
      <c r="A76" s="1"/>
      <c r="B76" s="1"/>
      <c r="C76" s="1"/>
      <c r="D76" s="1"/>
      <c r="E76" s="1"/>
      <c r="F76" s="1"/>
      <c r="G76" s="1"/>
      <c r="H76" s="1"/>
      <c r="I76" s="1"/>
      <c r="J76" s="1"/>
      <c r="K76" s="1"/>
      <c r="L76" s="1"/>
      <c r="M76" s="1"/>
      <c r="N76" s="1"/>
      <c r="O76" s="1"/>
      <c r="P76" s="1"/>
      <c r="Q76" s="1"/>
    </row>
    <row r="77" spans="1:17" x14ac:dyDescent="0.35">
      <c r="A77" s="1"/>
      <c r="B77" s="1"/>
      <c r="C77" s="1"/>
      <c r="D77" s="1"/>
      <c r="E77" s="1"/>
      <c r="F77" s="1"/>
      <c r="G77" s="1"/>
      <c r="H77" s="1"/>
      <c r="I77" s="1"/>
      <c r="J77" s="1"/>
      <c r="K77" s="1"/>
      <c r="L77" s="1"/>
      <c r="M77" s="1"/>
      <c r="N77" s="1"/>
      <c r="O77" s="1"/>
      <c r="P77" s="1"/>
      <c r="Q77" s="1"/>
    </row>
    <row r="78" spans="1:17" x14ac:dyDescent="0.35">
      <c r="A78" s="1"/>
      <c r="B78" s="1"/>
      <c r="C78" s="1"/>
      <c r="D78" s="1"/>
      <c r="E78" s="1"/>
      <c r="F78" s="1"/>
      <c r="G78" s="1"/>
      <c r="H78" s="1"/>
      <c r="I78" s="1"/>
      <c r="J78" s="1"/>
      <c r="K78" s="1"/>
      <c r="L78" s="1"/>
      <c r="M78" s="1"/>
      <c r="N78" s="1"/>
      <c r="O78" s="1"/>
      <c r="P78" s="1"/>
      <c r="Q78" s="1"/>
    </row>
    <row r="79" spans="1:17" x14ac:dyDescent="0.35">
      <c r="A79" s="1"/>
      <c r="B79" s="1"/>
      <c r="C79" s="1"/>
      <c r="D79" s="1"/>
      <c r="E79" s="1"/>
      <c r="F79" s="1"/>
      <c r="G79" s="1"/>
      <c r="H79" s="1"/>
      <c r="I79" s="1"/>
      <c r="J79" s="1"/>
      <c r="K79" s="1"/>
      <c r="L79" s="1"/>
      <c r="M79" s="1"/>
      <c r="N79" s="1"/>
      <c r="O79" s="1"/>
      <c r="P79" s="1"/>
      <c r="Q79" s="1"/>
    </row>
    <row r="80" spans="1:17" x14ac:dyDescent="0.35">
      <c r="A80" s="1"/>
      <c r="B80" s="1"/>
      <c r="C80" s="1"/>
      <c r="D80" s="1"/>
      <c r="E80" s="1"/>
      <c r="F80" s="1"/>
      <c r="G80" s="1"/>
      <c r="H80" s="1"/>
      <c r="I80" s="1"/>
      <c r="J80" s="1"/>
      <c r="K80" s="1"/>
      <c r="L80" s="1"/>
      <c r="M80" s="1"/>
      <c r="N80" s="1"/>
      <c r="O80" s="1"/>
      <c r="P80" s="1"/>
      <c r="Q80" s="1"/>
    </row>
    <row r="81" spans="1:17" x14ac:dyDescent="0.35">
      <c r="A81" s="1"/>
      <c r="B81" s="1"/>
      <c r="C81" s="1"/>
      <c r="D81" s="1"/>
      <c r="E81" s="1"/>
      <c r="F81" s="1"/>
      <c r="G81" s="1"/>
      <c r="H81" s="1"/>
      <c r="I81" s="1"/>
      <c r="J81" s="1"/>
      <c r="K81" s="1"/>
      <c r="L81" s="1"/>
      <c r="M81" s="1"/>
      <c r="N81" s="1"/>
      <c r="O81" s="1"/>
      <c r="P81" s="1"/>
      <c r="Q81" s="1"/>
    </row>
    <row r="82" spans="1:17" x14ac:dyDescent="0.35">
      <c r="A82" s="1"/>
      <c r="B82" s="1"/>
      <c r="C82" s="1"/>
      <c r="D82" s="1"/>
      <c r="E82" s="1"/>
      <c r="F82" s="1"/>
      <c r="G82" s="1"/>
      <c r="H82" s="1"/>
      <c r="I82" s="1"/>
      <c r="J82" s="1"/>
      <c r="K82" s="1"/>
      <c r="L82" s="1"/>
      <c r="M82" s="1"/>
      <c r="N82" s="1"/>
      <c r="O82" s="1"/>
      <c r="P82" s="1"/>
      <c r="Q82" s="1"/>
    </row>
    <row r="83" spans="1:17" x14ac:dyDescent="0.35">
      <c r="A83" s="1"/>
      <c r="B83" s="1"/>
      <c r="C83" s="1"/>
      <c r="D83" s="1"/>
      <c r="E83" s="1"/>
      <c r="F83" s="1"/>
      <c r="G83" s="1"/>
      <c r="H83" s="1"/>
      <c r="I83" s="1"/>
      <c r="J83" s="1"/>
      <c r="K83" s="1"/>
      <c r="L83" s="1"/>
      <c r="M83" s="1"/>
      <c r="N83" s="1"/>
      <c r="O83" s="1"/>
      <c r="P83" s="1"/>
      <c r="Q83" s="1"/>
    </row>
    <row r="84" spans="1:17" x14ac:dyDescent="0.35">
      <c r="A84" s="1"/>
      <c r="B84" s="1"/>
      <c r="C84" s="1"/>
      <c r="D84" s="1"/>
      <c r="E84" s="1"/>
      <c r="F84" s="1"/>
      <c r="G84" s="1"/>
      <c r="H84" s="1"/>
      <c r="I84" s="1"/>
      <c r="J84" s="1"/>
      <c r="K84" s="1"/>
      <c r="L84" s="1"/>
      <c r="M84" s="1"/>
      <c r="N84" s="1"/>
      <c r="O84" s="1"/>
      <c r="P84" s="1"/>
      <c r="Q84" s="1"/>
    </row>
    <row r="85" spans="1:17" x14ac:dyDescent="0.35">
      <c r="A85" s="1"/>
      <c r="B85" s="1"/>
      <c r="C85" s="1"/>
      <c r="D85" s="1"/>
      <c r="E85" s="1"/>
      <c r="F85" s="1"/>
      <c r="G85" s="1"/>
      <c r="H85" s="1"/>
      <c r="I85" s="1"/>
      <c r="J85" s="1"/>
      <c r="K85" s="1"/>
      <c r="L85" s="1"/>
      <c r="M85" s="1"/>
      <c r="N85" s="1"/>
      <c r="O85" s="1"/>
      <c r="P85" s="1"/>
      <c r="Q85" s="1"/>
    </row>
    <row r="86" spans="1:17" x14ac:dyDescent="0.35">
      <c r="A86" s="1"/>
      <c r="B86" s="1"/>
      <c r="C86" s="1"/>
      <c r="D86" s="1"/>
      <c r="E86" s="1"/>
      <c r="F86" s="1"/>
      <c r="G86" s="1"/>
      <c r="H86" s="1"/>
      <c r="I86" s="1"/>
      <c r="J86" s="1"/>
      <c r="K86" s="1"/>
      <c r="L86" s="1"/>
      <c r="M86" s="1"/>
      <c r="N86" s="1"/>
      <c r="O86" s="1"/>
      <c r="P86" s="1"/>
      <c r="Q86" s="1"/>
    </row>
    <row r="87" spans="1:17" x14ac:dyDescent="0.35">
      <c r="A87" s="1"/>
      <c r="B87" s="1"/>
      <c r="C87" s="1"/>
      <c r="D87" s="1"/>
      <c r="E87" s="1"/>
      <c r="F87" s="1"/>
      <c r="G87" s="1"/>
      <c r="H87" s="1"/>
      <c r="I87" s="1"/>
      <c r="J87" s="1"/>
      <c r="K87" s="1"/>
      <c r="L87" s="1"/>
      <c r="M87" s="1"/>
      <c r="N87" s="1"/>
      <c r="O87" s="1"/>
      <c r="P87" s="1"/>
      <c r="Q87" s="1"/>
    </row>
    <row r="88" spans="1:17" x14ac:dyDescent="0.35">
      <c r="A88" s="1"/>
      <c r="B88" s="1"/>
      <c r="C88" s="1"/>
      <c r="D88" s="1"/>
      <c r="E88" s="1"/>
      <c r="F88" s="1"/>
      <c r="G88" s="1"/>
      <c r="H88" s="1"/>
      <c r="I88" s="1"/>
      <c r="J88" s="1"/>
      <c r="K88" s="1"/>
      <c r="L88" s="1"/>
      <c r="M88" s="1"/>
      <c r="N88" s="1"/>
      <c r="O88" s="1"/>
      <c r="P88" s="1"/>
      <c r="Q88" s="1"/>
    </row>
    <row r="89" spans="1:17" x14ac:dyDescent="0.35">
      <c r="A89" s="1"/>
      <c r="B89" s="1"/>
      <c r="C89" s="1"/>
      <c r="D89" s="1"/>
      <c r="E89" s="1"/>
      <c r="F89" s="1"/>
      <c r="G89" s="1"/>
      <c r="H89" s="1"/>
      <c r="I89" s="1"/>
      <c r="J89" s="1"/>
      <c r="K89" s="1"/>
      <c r="L89" s="1"/>
      <c r="M89" s="1"/>
      <c r="N89" s="1"/>
      <c r="O89" s="1"/>
      <c r="P89" s="1"/>
      <c r="Q89" s="1"/>
    </row>
    <row r="90" spans="1:17" x14ac:dyDescent="0.35">
      <c r="A90" s="1"/>
      <c r="B90" s="1"/>
      <c r="C90" s="1"/>
      <c r="D90" s="1"/>
      <c r="E90" s="1"/>
      <c r="F90" s="1"/>
      <c r="G90" s="1"/>
      <c r="H90" s="1"/>
      <c r="I90" s="1"/>
      <c r="J90" s="1"/>
      <c r="K90" s="1"/>
      <c r="L90" s="1"/>
      <c r="M90" s="1"/>
      <c r="N90" s="1"/>
      <c r="O90" s="1"/>
      <c r="P90" s="1"/>
      <c r="Q90" s="1"/>
    </row>
    <row r="91" spans="1:17" x14ac:dyDescent="0.35">
      <c r="A91" s="1"/>
      <c r="B91" s="1"/>
      <c r="C91" s="1"/>
      <c r="D91" s="1"/>
      <c r="E91" s="1"/>
      <c r="F91" s="1"/>
      <c r="G91" s="1"/>
      <c r="H91" s="1"/>
      <c r="I91" s="1"/>
      <c r="J91" s="1"/>
      <c r="K91" s="1"/>
      <c r="L91" s="1"/>
      <c r="M91" s="1"/>
      <c r="N91" s="1"/>
      <c r="O91" s="1"/>
      <c r="P91" s="1"/>
      <c r="Q91" s="1"/>
    </row>
    <row r="92" spans="1:17" x14ac:dyDescent="0.35">
      <c r="A92" s="1"/>
      <c r="B92" s="1"/>
      <c r="C92" s="1"/>
      <c r="D92" s="1"/>
      <c r="E92" s="1"/>
      <c r="F92" s="1"/>
      <c r="G92" s="1"/>
      <c r="H92" s="1"/>
      <c r="I92" s="1"/>
      <c r="J92" s="1"/>
      <c r="K92" s="1"/>
      <c r="L92" s="1"/>
      <c r="M92" s="1"/>
      <c r="N92" s="1"/>
      <c r="O92" s="1"/>
      <c r="P92" s="1"/>
      <c r="Q92" s="1"/>
    </row>
    <row r="93" spans="1:17" x14ac:dyDescent="0.35">
      <c r="A93" s="1"/>
      <c r="B93" s="1"/>
      <c r="C93" s="1"/>
      <c r="D93" s="1"/>
      <c r="E93" s="1"/>
      <c r="F93" s="1"/>
      <c r="G93" s="1"/>
      <c r="H93" s="1"/>
      <c r="I93" s="1"/>
      <c r="J93" s="1"/>
      <c r="K93" s="1"/>
      <c r="L93" s="1"/>
      <c r="M93" s="1"/>
      <c r="N93" s="1"/>
      <c r="O93" s="1"/>
      <c r="P93" s="1"/>
      <c r="Q93" s="1"/>
    </row>
    <row r="94" spans="1:17" x14ac:dyDescent="0.35">
      <c r="A94" s="1"/>
      <c r="B94" s="1"/>
      <c r="C94" s="1"/>
      <c r="D94" s="1"/>
      <c r="E94" s="1"/>
      <c r="F94" s="1"/>
      <c r="G94" s="1"/>
      <c r="H94" s="1"/>
      <c r="I94" s="1"/>
      <c r="J94" s="1"/>
      <c r="K94" s="1"/>
      <c r="L94" s="1"/>
      <c r="M94" s="1"/>
      <c r="N94" s="1"/>
      <c r="O94" s="1"/>
      <c r="P94" s="1"/>
      <c r="Q94" s="1"/>
    </row>
    <row r="95" spans="1:17" x14ac:dyDescent="0.35">
      <c r="A95" s="1"/>
      <c r="B95" s="1"/>
      <c r="C95" s="1"/>
      <c r="D95" s="1"/>
      <c r="E95" s="1"/>
      <c r="F95" s="1"/>
      <c r="G95" s="1"/>
      <c r="H95" s="1"/>
      <c r="I95" s="1"/>
      <c r="J95" s="1"/>
      <c r="K95" s="1"/>
      <c r="L95" s="1"/>
      <c r="M95" s="1"/>
      <c r="N95" s="1"/>
      <c r="O95" s="1"/>
      <c r="P95" s="1"/>
      <c r="Q95" s="1"/>
    </row>
    <row r="96" spans="1:17" x14ac:dyDescent="0.35">
      <c r="A96" s="1"/>
      <c r="B96" s="1"/>
      <c r="C96" s="1"/>
      <c r="D96" s="1"/>
      <c r="E96" s="1"/>
      <c r="F96" s="1"/>
      <c r="G96" s="1"/>
      <c r="H96" s="1"/>
      <c r="I96" s="1"/>
      <c r="J96" s="1"/>
      <c r="K96" s="1"/>
      <c r="L96" s="1"/>
      <c r="M96" s="1"/>
      <c r="N96" s="1"/>
      <c r="O96" s="1"/>
      <c r="P96" s="1"/>
      <c r="Q96" s="1"/>
    </row>
    <row r="97" spans="1:17" x14ac:dyDescent="0.35">
      <c r="A97" s="1"/>
      <c r="B97" s="1"/>
      <c r="C97" s="1"/>
      <c r="D97" s="1"/>
      <c r="E97" s="1"/>
      <c r="F97" s="1"/>
      <c r="G97" s="1"/>
      <c r="H97" s="1"/>
      <c r="I97" s="1"/>
      <c r="J97" s="1"/>
      <c r="K97" s="1"/>
      <c r="L97" s="1"/>
      <c r="M97" s="1"/>
      <c r="N97" s="1"/>
      <c r="O97" s="1"/>
      <c r="P97" s="1"/>
      <c r="Q97" s="1"/>
    </row>
    <row r="98" spans="1:17" x14ac:dyDescent="0.35">
      <c r="A98" s="1"/>
      <c r="B98" s="1"/>
      <c r="C98" s="1"/>
      <c r="D98" s="1"/>
      <c r="E98" s="1"/>
      <c r="F98" s="1"/>
      <c r="G98" s="1"/>
      <c r="H98" s="1"/>
      <c r="I98" s="1"/>
      <c r="J98" s="1"/>
      <c r="K98" s="1"/>
      <c r="L98" s="1"/>
      <c r="M98" s="1"/>
      <c r="N98" s="1"/>
      <c r="O98" s="1"/>
      <c r="P98" s="1"/>
      <c r="Q98" s="1"/>
    </row>
    <row r="99" spans="1:17" x14ac:dyDescent="0.35">
      <c r="A99" s="1"/>
      <c r="B99" s="1"/>
      <c r="C99" s="1"/>
      <c r="D99" s="1"/>
      <c r="E99" s="1"/>
      <c r="F99" s="1"/>
      <c r="G99" s="1"/>
      <c r="H99" s="1"/>
      <c r="I99" s="1"/>
      <c r="J99" s="1"/>
      <c r="K99" s="1"/>
      <c r="L99" s="1"/>
      <c r="M99" s="1"/>
      <c r="N99" s="1"/>
      <c r="O99" s="1"/>
      <c r="P99" s="1"/>
      <c r="Q99" s="1"/>
    </row>
    <row r="100" spans="1:17" x14ac:dyDescent="0.35">
      <c r="A100" s="1"/>
      <c r="B100" s="1"/>
      <c r="C100" s="1"/>
      <c r="D100" s="1"/>
      <c r="E100" s="1"/>
      <c r="F100" s="1"/>
      <c r="G100" s="1"/>
      <c r="H100" s="1"/>
      <c r="I100" s="1"/>
      <c r="J100" s="1"/>
      <c r="K100" s="1"/>
      <c r="L100" s="1"/>
      <c r="M100" s="1"/>
      <c r="N100" s="1"/>
      <c r="O100" s="1"/>
      <c r="P100" s="1"/>
      <c r="Q100" s="1"/>
    </row>
    <row r="101" spans="1:17" x14ac:dyDescent="0.35">
      <c r="A101" s="1"/>
      <c r="B101" s="1"/>
      <c r="C101" s="1"/>
      <c r="D101" s="1"/>
      <c r="E101" s="1"/>
      <c r="F101" s="1"/>
      <c r="G101" s="1"/>
      <c r="H101" s="1"/>
      <c r="I101" s="1"/>
      <c r="J101" s="1"/>
      <c r="K101" s="1"/>
      <c r="L101" s="1"/>
      <c r="M101" s="1"/>
      <c r="N101" s="1"/>
      <c r="O101" s="1"/>
      <c r="P101" s="1"/>
      <c r="Q101" s="1"/>
    </row>
    <row r="102" spans="1:17" x14ac:dyDescent="0.35">
      <c r="A102" s="1"/>
      <c r="B102" s="1"/>
      <c r="C102" s="1"/>
      <c r="D102" s="1"/>
      <c r="E102" s="1"/>
      <c r="F102" s="1"/>
      <c r="G102" s="1"/>
      <c r="H102" s="1"/>
      <c r="I102" s="1"/>
      <c r="J102" s="1"/>
      <c r="K102" s="1"/>
      <c r="L102" s="1"/>
      <c r="M102" s="1"/>
      <c r="N102" s="1"/>
      <c r="O102" s="1"/>
      <c r="P102" s="1"/>
      <c r="Q102" s="1"/>
    </row>
    <row r="103" spans="1:17" x14ac:dyDescent="0.35">
      <c r="A103" s="1"/>
      <c r="B103" s="1"/>
      <c r="C103" s="1"/>
      <c r="D103" s="1"/>
      <c r="E103" s="1"/>
      <c r="F103" s="1"/>
      <c r="G103" s="1"/>
      <c r="H103" s="1"/>
      <c r="I103" s="1"/>
      <c r="J103" s="1"/>
      <c r="K103" s="1"/>
      <c r="L103" s="1"/>
      <c r="M103" s="1"/>
      <c r="N103" s="1"/>
      <c r="O103" s="1"/>
      <c r="P103" s="1"/>
      <c r="Q103" s="1"/>
    </row>
    <row r="104" spans="1:17" x14ac:dyDescent="0.35">
      <c r="A104" s="1"/>
      <c r="B104" s="1"/>
      <c r="C104" s="1"/>
      <c r="D104" s="1"/>
      <c r="E104" s="1"/>
      <c r="F104" s="1"/>
      <c r="G104" s="1"/>
      <c r="H104" s="1"/>
      <c r="I104" s="1"/>
      <c r="J104" s="1"/>
      <c r="K104" s="1"/>
      <c r="L104" s="1"/>
      <c r="M104" s="1"/>
      <c r="N104" s="1"/>
      <c r="O104" s="1"/>
      <c r="P104" s="1"/>
      <c r="Q104" s="1"/>
    </row>
    <row r="105" spans="1:17" x14ac:dyDescent="0.35">
      <c r="A105" s="1"/>
      <c r="B105" s="1"/>
      <c r="C105" s="1"/>
      <c r="D105" s="1"/>
      <c r="E105" s="1"/>
      <c r="F105" s="1"/>
      <c r="G105" s="1"/>
      <c r="H105" s="1"/>
      <c r="I105" s="1"/>
      <c r="J105" s="1"/>
      <c r="K105" s="1"/>
      <c r="L105" s="1"/>
      <c r="M105" s="1"/>
      <c r="N105" s="1"/>
      <c r="O105" s="1"/>
      <c r="P105" s="1"/>
      <c r="Q105" s="1"/>
    </row>
    <row r="106" spans="1:17" x14ac:dyDescent="0.35">
      <c r="A106" s="1"/>
      <c r="B106" s="1"/>
      <c r="C106" s="1"/>
      <c r="D106" s="1"/>
      <c r="E106" s="1"/>
      <c r="F106" s="1"/>
      <c r="G106" s="1"/>
      <c r="H106" s="1"/>
      <c r="I106" s="1"/>
      <c r="J106" s="1"/>
      <c r="K106" s="1"/>
      <c r="L106" s="1"/>
      <c r="M106" s="1"/>
      <c r="N106" s="1"/>
      <c r="O106" s="1"/>
      <c r="P106" s="1"/>
      <c r="Q106" s="1"/>
    </row>
    <row r="107" spans="1:17" x14ac:dyDescent="0.35">
      <c r="A107" s="1"/>
      <c r="B107" s="1"/>
      <c r="C107" s="1"/>
      <c r="D107" s="1"/>
      <c r="E107" s="1"/>
      <c r="F107" s="1"/>
      <c r="G107" s="1"/>
      <c r="H107" s="1"/>
      <c r="I107" s="1"/>
      <c r="J107" s="1"/>
      <c r="K107" s="1"/>
      <c r="L107" s="1"/>
      <c r="M107" s="1"/>
      <c r="N107" s="1"/>
      <c r="O107" s="1"/>
      <c r="P107" s="1"/>
      <c r="Q107" s="1"/>
    </row>
    <row r="108" spans="1:17" x14ac:dyDescent="0.35">
      <c r="A108" s="1"/>
      <c r="B108" s="1"/>
      <c r="C108" s="1"/>
      <c r="D108" s="1"/>
      <c r="E108" s="1"/>
      <c r="F108" s="1"/>
      <c r="G108" s="1"/>
      <c r="H108" s="1"/>
      <c r="I108" s="1"/>
      <c r="J108" s="1"/>
      <c r="K108" s="1"/>
      <c r="L108" s="1"/>
      <c r="M108" s="1"/>
      <c r="N108" s="1"/>
      <c r="O108" s="1"/>
      <c r="P108" s="1"/>
      <c r="Q108" s="1"/>
    </row>
    <row r="109" spans="1:17" x14ac:dyDescent="0.35">
      <c r="A109" s="1"/>
      <c r="B109" s="1"/>
      <c r="C109" s="1"/>
      <c r="D109" s="1"/>
      <c r="E109" s="1"/>
      <c r="F109" s="1"/>
      <c r="G109" s="1"/>
      <c r="H109" s="1"/>
      <c r="I109" s="1"/>
      <c r="J109" s="1"/>
      <c r="K109" s="1"/>
      <c r="L109" s="1"/>
      <c r="M109" s="1"/>
      <c r="N109" s="1"/>
      <c r="O109" s="1"/>
      <c r="P109" s="1"/>
      <c r="Q109" s="1"/>
    </row>
    <row r="110" spans="1:17" x14ac:dyDescent="0.35">
      <c r="A110" s="1"/>
      <c r="B110" s="1"/>
      <c r="C110" s="1"/>
      <c r="D110" s="1"/>
      <c r="E110" s="1"/>
      <c r="F110" s="1"/>
      <c r="G110" s="1"/>
      <c r="H110" s="1"/>
      <c r="I110" s="1"/>
      <c r="J110" s="1"/>
      <c r="K110" s="1"/>
      <c r="L110" s="1"/>
      <c r="M110" s="1"/>
      <c r="N110" s="1"/>
      <c r="O110" s="1"/>
      <c r="P110" s="1"/>
      <c r="Q110" s="1"/>
    </row>
    <row r="111" spans="1:17" x14ac:dyDescent="0.35">
      <c r="A111" s="1"/>
      <c r="B111" s="1"/>
      <c r="C111" s="1"/>
      <c r="D111" s="1"/>
      <c r="E111" s="1"/>
      <c r="F111" s="1"/>
      <c r="G111" s="1"/>
      <c r="H111" s="1"/>
      <c r="I111" s="1"/>
      <c r="J111" s="1"/>
      <c r="K111" s="1"/>
      <c r="L111" s="1"/>
      <c r="M111" s="1"/>
      <c r="N111" s="1"/>
      <c r="O111" s="1"/>
      <c r="P111" s="1"/>
      <c r="Q111" s="1"/>
    </row>
    <row r="112" spans="1:17" x14ac:dyDescent="0.35">
      <c r="A112" s="1"/>
      <c r="B112" s="1"/>
      <c r="C112" s="1"/>
      <c r="D112" s="1"/>
      <c r="E112" s="1"/>
      <c r="F112" s="1"/>
      <c r="G112" s="1"/>
      <c r="H112" s="1"/>
      <c r="I112" s="1"/>
      <c r="J112" s="1"/>
      <c r="K112" s="1"/>
      <c r="L112" s="1"/>
      <c r="M112" s="1"/>
      <c r="N112" s="1"/>
      <c r="O112" s="1"/>
      <c r="P112" s="1"/>
      <c r="Q112" s="1"/>
    </row>
    <row r="113" spans="1:17" x14ac:dyDescent="0.35">
      <c r="A113" s="1"/>
      <c r="B113" s="1"/>
      <c r="C113" s="1"/>
      <c r="D113" s="1"/>
      <c r="E113" s="1"/>
      <c r="F113" s="1"/>
      <c r="G113" s="1"/>
      <c r="H113" s="1"/>
      <c r="I113" s="1"/>
      <c r="J113" s="1"/>
      <c r="K113" s="1"/>
      <c r="L113" s="1"/>
      <c r="M113" s="1"/>
      <c r="N113" s="1"/>
      <c r="O113" s="1"/>
      <c r="P113" s="1"/>
      <c r="Q113" s="1"/>
    </row>
    <row r="114" spans="1:17" x14ac:dyDescent="0.35">
      <c r="A114" s="1"/>
      <c r="B114" s="1"/>
      <c r="C114" s="1"/>
      <c r="D114" s="1"/>
      <c r="E114" s="1"/>
      <c r="F114" s="1"/>
      <c r="G114" s="1"/>
      <c r="H114" s="1"/>
      <c r="I114" s="1"/>
      <c r="J114" s="1"/>
      <c r="K114" s="1"/>
      <c r="L114" s="1"/>
      <c r="M114" s="1"/>
      <c r="N114" s="1"/>
      <c r="O114" s="1"/>
      <c r="P114" s="1"/>
      <c r="Q114" s="1"/>
    </row>
    <row r="115" spans="1:17" x14ac:dyDescent="0.35">
      <c r="A115" s="1"/>
      <c r="B115" s="1"/>
      <c r="C115" s="1"/>
      <c r="D115" s="1"/>
      <c r="E115" s="1"/>
      <c r="F115" s="1"/>
      <c r="G115" s="1"/>
      <c r="H115" s="1"/>
      <c r="I115" s="1"/>
      <c r="J115" s="1"/>
      <c r="K115" s="1"/>
      <c r="L115" s="1"/>
      <c r="M115" s="1"/>
      <c r="N115" s="1"/>
      <c r="O115" s="1"/>
      <c r="P115" s="1"/>
      <c r="Q115" s="1"/>
    </row>
    <row r="116" spans="1:17" x14ac:dyDescent="0.35">
      <c r="A116" s="1"/>
      <c r="B116" s="1"/>
      <c r="C116" s="1"/>
      <c r="D116" s="1"/>
      <c r="E116" s="1"/>
      <c r="F116" s="1"/>
      <c r="G116" s="1"/>
      <c r="H116" s="1"/>
      <c r="I116" s="1"/>
      <c r="J116" s="1"/>
      <c r="K116" s="1"/>
      <c r="L116" s="1"/>
      <c r="M116" s="1"/>
      <c r="N116" s="1"/>
      <c r="O116" s="1"/>
      <c r="P116" s="1"/>
      <c r="Q116" s="1"/>
    </row>
    <row r="117" spans="1:17" x14ac:dyDescent="0.35">
      <c r="A117" s="1"/>
      <c r="B117" s="1"/>
      <c r="C117" s="1"/>
      <c r="D117" s="1"/>
      <c r="E117" s="1"/>
      <c r="F117" s="1"/>
      <c r="G117" s="1"/>
      <c r="H117" s="1"/>
      <c r="I117" s="1"/>
      <c r="J117" s="1"/>
      <c r="K117" s="1"/>
      <c r="L117" s="1"/>
      <c r="M117" s="1"/>
      <c r="N117" s="1"/>
      <c r="O117" s="1"/>
      <c r="P117" s="1"/>
      <c r="Q117" s="1"/>
    </row>
    <row r="118" spans="1:17" x14ac:dyDescent="0.35">
      <c r="A118" s="1"/>
      <c r="B118" s="1"/>
      <c r="C118" s="1"/>
      <c r="D118" s="1"/>
      <c r="E118" s="1"/>
      <c r="F118" s="1"/>
      <c r="G118" s="1"/>
      <c r="H118" s="1"/>
      <c r="I118" s="1"/>
      <c r="J118" s="1"/>
      <c r="K118" s="1"/>
      <c r="L118" s="1"/>
      <c r="M118" s="1"/>
      <c r="N118" s="1"/>
      <c r="O118" s="1"/>
      <c r="P118" s="1"/>
      <c r="Q118" s="1"/>
    </row>
    <row r="119" spans="1:17" x14ac:dyDescent="0.35">
      <c r="A119" s="1"/>
      <c r="B119" s="1"/>
      <c r="C119" s="1"/>
      <c r="D119" s="1"/>
      <c r="E119" s="1"/>
      <c r="F119" s="1"/>
      <c r="G119" s="1"/>
      <c r="H119" s="1"/>
      <c r="I119" s="1"/>
      <c r="J119" s="1"/>
      <c r="K119" s="1"/>
      <c r="L119" s="1"/>
      <c r="M119" s="1"/>
      <c r="N119" s="1"/>
      <c r="O119" s="1"/>
      <c r="P119" s="1"/>
      <c r="Q119" s="1"/>
    </row>
    <row r="120" spans="1:17" x14ac:dyDescent="0.35">
      <c r="A120" s="1"/>
      <c r="B120" s="1"/>
      <c r="C120" s="1"/>
      <c r="D120" s="1"/>
      <c r="E120" s="1"/>
      <c r="F120" s="1"/>
      <c r="G120" s="1"/>
      <c r="H120" s="1"/>
      <c r="I120" s="1"/>
      <c r="J120" s="1"/>
      <c r="K120" s="1"/>
      <c r="L120" s="1"/>
      <c r="M120" s="1"/>
      <c r="N120" s="1"/>
      <c r="O120" s="1"/>
      <c r="P120" s="1"/>
      <c r="Q120" s="1"/>
    </row>
    <row r="121" spans="1:17" x14ac:dyDescent="0.35">
      <c r="A121" s="1"/>
      <c r="B121" s="1"/>
      <c r="C121" s="1"/>
      <c r="D121" s="1"/>
      <c r="E121" s="1"/>
      <c r="F121" s="1"/>
      <c r="G121" s="1"/>
      <c r="H121" s="1"/>
      <c r="I121" s="1"/>
      <c r="J121" s="1"/>
      <c r="K121" s="1"/>
      <c r="L121" s="1"/>
      <c r="M121" s="1"/>
      <c r="N121" s="1"/>
      <c r="O121" s="1"/>
      <c r="P121" s="1"/>
      <c r="Q121" s="1"/>
    </row>
    <row r="122" spans="1:17" x14ac:dyDescent="0.35">
      <c r="A122" s="1"/>
      <c r="B122" s="1"/>
      <c r="C122" s="1"/>
      <c r="D122" s="1"/>
      <c r="E122" s="1"/>
      <c r="F122" s="1"/>
      <c r="G122" s="1"/>
      <c r="H122" s="1"/>
      <c r="I122" s="1"/>
      <c r="J122" s="1"/>
      <c r="K122" s="1"/>
      <c r="L122" s="1"/>
      <c r="M122" s="1"/>
      <c r="N122" s="1"/>
      <c r="O122" s="1"/>
      <c r="P122" s="1"/>
      <c r="Q122" s="1"/>
    </row>
    <row r="123" spans="1:17" x14ac:dyDescent="0.35">
      <c r="A123" s="1"/>
      <c r="B123" s="1"/>
      <c r="C123" s="1"/>
      <c r="D123" s="1"/>
      <c r="E123" s="1"/>
      <c r="F123" s="1"/>
      <c r="G123" s="1"/>
      <c r="H123" s="1"/>
      <c r="I123" s="1"/>
      <c r="J123" s="1"/>
      <c r="K123" s="1"/>
      <c r="L123" s="1"/>
      <c r="M123" s="1"/>
      <c r="N123" s="1"/>
      <c r="O123" s="1"/>
      <c r="P123" s="1"/>
      <c r="Q123" s="1"/>
    </row>
    <row r="124" spans="1:17" x14ac:dyDescent="0.35">
      <c r="A124" s="1"/>
      <c r="B124" s="1"/>
      <c r="C124" s="1"/>
      <c r="D124" s="1"/>
      <c r="E124" s="1"/>
      <c r="F124" s="1"/>
      <c r="G124" s="1"/>
      <c r="H124" s="1"/>
      <c r="I124" s="1"/>
      <c r="J124" s="1"/>
      <c r="K124" s="1"/>
      <c r="L124" s="1"/>
      <c r="M124" s="1"/>
      <c r="N124" s="1"/>
      <c r="O124" s="1"/>
      <c r="P124" s="1"/>
      <c r="Q124" s="1"/>
    </row>
    <row r="125" spans="1:17" x14ac:dyDescent="0.35">
      <c r="A125" s="1"/>
      <c r="B125" s="1"/>
      <c r="C125" s="1"/>
      <c r="D125" s="1"/>
      <c r="E125" s="1"/>
      <c r="F125" s="1"/>
      <c r="G125" s="1"/>
      <c r="H125" s="1"/>
      <c r="I125" s="1"/>
      <c r="J125" s="1"/>
      <c r="K125" s="1"/>
      <c r="L125" s="1"/>
      <c r="M125" s="1"/>
      <c r="N125" s="1"/>
      <c r="O125" s="1"/>
      <c r="P125" s="1"/>
      <c r="Q125" s="1"/>
    </row>
    <row r="126" spans="1:17" x14ac:dyDescent="0.35">
      <c r="A126" s="1"/>
      <c r="B126" s="1"/>
      <c r="C126" s="1"/>
      <c r="D126" s="1"/>
      <c r="E126" s="1"/>
      <c r="F126" s="1"/>
      <c r="G126" s="1"/>
      <c r="H126" s="1"/>
      <c r="I126" s="1"/>
      <c r="J126" s="1"/>
      <c r="K126" s="1"/>
      <c r="L126" s="1"/>
      <c r="M126" s="1"/>
      <c r="N126" s="1"/>
      <c r="O126" s="1"/>
      <c r="P126" s="1"/>
      <c r="Q126" s="1"/>
    </row>
    <row r="127" spans="1:17" x14ac:dyDescent="0.35">
      <c r="A127" s="1"/>
      <c r="B127" s="1"/>
      <c r="C127" s="1"/>
      <c r="D127" s="1"/>
      <c r="E127" s="1"/>
      <c r="F127" s="1"/>
      <c r="G127" s="1"/>
      <c r="H127" s="1"/>
      <c r="I127" s="1"/>
      <c r="J127" s="1"/>
      <c r="K127" s="1"/>
      <c r="L127" s="1"/>
      <c r="M127" s="1"/>
      <c r="N127" s="1"/>
      <c r="O127" s="1"/>
      <c r="P127" s="1"/>
      <c r="Q127" s="1"/>
    </row>
    <row r="128" spans="1:17" x14ac:dyDescent="0.35">
      <c r="A128" s="1"/>
      <c r="B128" s="1"/>
      <c r="C128" s="1"/>
      <c r="D128" s="1"/>
      <c r="E128" s="1"/>
      <c r="F128" s="1"/>
      <c r="G128" s="1"/>
      <c r="H128" s="1"/>
      <c r="I128" s="1"/>
      <c r="J128" s="1"/>
      <c r="K128" s="1"/>
      <c r="L128" s="1"/>
      <c r="M128" s="1"/>
      <c r="N128" s="1"/>
      <c r="O128" s="1"/>
      <c r="P128" s="1"/>
      <c r="Q128" s="1"/>
    </row>
    <row r="129" spans="1:17" x14ac:dyDescent="0.35">
      <c r="A129" s="1"/>
      <c r="B129" s="1"/>
      <c r="C129" s="1"/>
      <c r="D129" s="1"/>
      <c r="E129" s="1"/>
      <c r="F129" s="1"/>
      <c r="G129" s="1"/>
      <c r="H129" s="1"/>
      <c r="I129" s="1"/>
      <c r="J129" s="1"/>
      <c r="K129" s="1"/>
      <c r="L129" s="1"/>
      <c r="M129" s="1"/>
      <c r="N129" s="1"/>
      <c r="O129" s="1"/>
      <c r="P129" s="1"/>
      <c r="Q129" s="1"/>
    </row>
    <row r="130" spans="1:17" x14ac:dyDescent="0.35">
      <c r="A130" s="1"/>
      <c r="B130" s="1"/>
      <c r="C130" s="1"/>
      <c r="D130" s="1"/>
      <c r="E130" s="1"/>
      <c r="F130" s="1"/>
      <c r="G130" s="1"/>
      <c r="H130" s="1"/>
      <c r="I130" s="1"/>
      <c r="J130" s="1"/>
      <c r="K130" s="1"/>
      <c r="L130" s="1"/>
      <c r="M130" s="1"/>
      <c r="N130" s="1"/>
      <c r="O130" s="1"/>
      <c r="P130" s="1"/>
      <c r="Q130" s="1"/>
    </row>
    <row r="131" spans="1:17" x14ac:dyDescent="0.35">
      <c r="A131" s="1"/>
      <c r="B131" s="1"/>
      <c r="C131" s="1"/>
      <c r="D131" s="1"/>
      <c r="E131" s="1"/>
      <c r="F131" s="1"/>
      <c r="G131" s="1"/>
      <c r="H131" s="1"/>
      <c r="I131" s="1"/>
      <c r="J131" s="1"/>
      <c r="K131" s="1"/>
      <c r="L131" s="1"/>
      <c r="M131" s="1"/>
      <c r="N131" s="1"/>
      <c r="O131" s="1"/>
      <c r="P131" s="1"/>
      <c r="Q131" s="1"/>
    </row>
    <row r="132" spans="1:17" x14ac:dyDescent="0.35">
      <c r="A132" s="1"/>
      <c r="B132" s="1"/>
      <c r="C132" s="1"/>
      <c r="D132" s="1"/>
      <c r="E132" s="1"/>
      <c r="F132" s="1"/>
      <c r="G132" s="1"/>
      <c r="H132" s="1"/>
      <c r="I132" s="1"/>
      <c r="J132" s="1"/>
      <c r="K132" s="1"/>
      <c r="L132" s="1"/>
      <c r="M132" s="1"/>
      <c r="N132" s="1"/>
      <c r="O132" s="1"/>
      <c r="P132" s="1"/>
      <c r="Q132" s="1"/>
    </row>
    <row r="133" spans="1:17" x14ac:dyDescent="0.35">
      <c r="A133" s="1"/>
      <c r="B133" s="1"/>
      <c r="C133" s="1"/>
      <c r="D133" s="1"/>
      <c r="E133" s="1"/>
      <c r="F133" s="1"/>
      <c r="G133" s="1"/>
      <c r="H133" s="1"/>
      <c r="I133" s="1"/>
      <c r="J133" s="1"/>
      <c r="K133" s="1"/>
      <c r="L133" s="1"/>
      <c r="M133" s="1"/>
      <c r="N133" s="1"/>
      <c r="O133" s="1"/>
      <c r="P133" s="1"/>
      <c r="Q133" s="1"/>
    </row>
    <row r="134" spans="1:17" x14ac:dyDescent="0.35">
      <c r="A134" s="1"/>
      <c r="B134" s="1"/>
      <c r="C134" s="1"/>
      <c r="D134" s="1"/>
      <c r="E134" s="1"/>
      <c r="F134" s="1"/>
      <c r="G134" s="1"/>
      <c r="H134" s="1"/>
      <c r="I134" s="1"/>
      <c r="J134" s="1"/>
      <c r="K134" s="1"/>
      <c r="L134" s="1"/>
      <c r="M134" s="1"/>
      <c r="N134" s="1"/>
      <c r="O134" s="1"/>
      <c r="P134" s="1"/>
      <c r="Q134" s="1"/>
    </row>
    <row r="135" spans="1:17" x14ac:dyDescent="0.35">
      <c r="A135" s="1"/>
      <c r="B135" s="1"/>
      <c r="C135" s="1"/>
      <c r="D135" s="1"/>
      <c r="E135" s="1"/>
      <c r="F135" s="1"/>
      <c r="G135" s="1"/>
      <c r="H135" s="1"/>
      <c r="I135" s="1"/>
      <c r="J135" s="1"/>
      <c r="K135" s="1"/>
      <c r="L135" s="1"/>
      <c r="M135" s="1"/>
      <c r="N135" s="1"/>
      <c r="O135" s="1"/>
      <c r="P135" s="1"/>
      <c r="Q135" s="1"/>
    </row>
    <row r="136" spans="1:17" x14ac:dyDescent="0.35">
      <c r="A136" s="1"/>
      <c r="B136" s="1"/>
      <c r="C136" s="1"/>
      <c r="D136" s="1"/>
      <c r="E136" s="1"/>
      <c r="F136" s="1"/>
      <c r="G136" s="1"/>
      <c r="H136" s="1"/>
      <c r="I136" s="1"/>
      <c r="J136" s="1"/>
      <c r="K136" s="1"/>
      <c r="L136" s="1"/>
      <c r="M136" s="1"/>
      <c r="N136" s="1"/>
      <c r="O136" s="1"/>
      <c r="P136" s="1"/>
      <c r="Q136" s="1"/>
    </row>
    <row r="137" spans="1:17" x14ac:dyDescent="0.35">
      <c r="A137" s="1"/>
      <c r="B137" s="1"/>
      <c r="C137" s="1"/>
      <c r="D137" s="1"/>
      <c r="E137" s="1"/>
      <c r="F137" s="1"/>
      <c r="G137" s="1"/>
      <c r="H137" s="1"/>
      <c r="I137" s="1"/>
      <c r="J137" s="1"/>
      <c r="K137" s="1"/>
      <c r="L137" s="1"/>
      <c r="M137" s="1"/>
      <c r="N137" s="1"/>
      <c r="O137" s="1"/>
      <c r="P137" s="1"/>
      <c r="Q137" s="1"/>
    </row>
    <row r="138" spans="1:17" x14ac:dyDescent="0.35">
      <c r="A138" s="1"/>
      <c r="B138" s="1"/>
      <c r="C138" s="1"/>
      <c r="D138" s="1"/>
      <c r="E138" s="1"/>
      <c r="F138" s="1"/>
      <c r="G138" s="1"/>
      <c r="H138" s="1"/>
      <c r="I138" s="1"/>
      <c r="J138" s="1"/>
      <c r="K138" s="1"/>
      <c r="L138" s="1"/>
      <c r="M138" s="1"/>
      <c r="N138" s="1"/>
      <c r="O138" s="1"/>
      <c r="P138" s="1"/>
      <c r="Q138" s="1"/>
    </row>
    <row r="139" spans="1:17" x14ac:dyDescent="0.35">
      <c r="A139" s="1"/>
      <c r="B139" s="1"/>
      <c r="C139" s="1"/>
      <c r="D139" s="1"/>
      <c r="E139" s="1"/>
      <c r="F139" s="1"/>
      <c r="G139" s="1"/>
      <c r="H139" s="1"/>
      <c r="I139" s="1"/>
      <c r="J139" s="1"/>
      <c r="K139" s="1"/>
      <c r="L139" s="1"/>
      <c r="M139" s="1"/>
      <c r="N139" s="1"/>
      <c r="O139" s="1"/>
      <c r="P139" s="1"/>
      <c r="Q139" s="1"/>
    </row>
    <row r="140" spans="1:17" x14ac:dyDescent="0.35">
      <c r="A140" s="1"/>
      <c r="B140" s="1"/>
      <c r="C140" s="1"/>
      <c r="D140" s="1"/>
      <c r="E140" s="1"/>
      <c r="F140" s="1"/>
      <c r="G140" s="1"/>
      <c r="H140" s="1"/>
      <c r="I140" s="1"/>
      <c r="J140" s="1"/>
      <c r="K140" s="1"/>
      <c r="L140" s="1"/>
      <c r="M140" s="1"/>
      <c r="N140" s="1"/>
      <c r="O140" s="1"/>
      <c r="P140" s="1"/>
      <c r="Q140" s="1"/>
    </row>
    <row r="141" spans="1:17" x14ac:dyDescent="0.35">
      <c r="A141" s="1"/>
      <c r="B141" s="1"/>
      <c r="C141" s="1"/>
      <c r="D141" s="1"/>
      <c r="E141" s="1"/>
      <c r="F141" s="1"/>
      <c r="G141" s="1"/>
      <c r="H141" s="1"/>
      <c r="I141" s="1"/>
      <c r="J141" s="1"/>
      <c r="K141" s="1"/>
      <c r="L141" s="1"/>
      <c r="M141" s="1"/>
      <c r="N141" s="1"/>
      <c r="O141" s="1"/>
      <c r="P141" s="1"/>
      <c r="Q141" s="1"/>
    </row>
    <row r="142" spans="1:17" x14ac:dyDescent="0.35">
      <c r="A142" s="1"/>
      <c r="B142" s="1"/>
      <c r="C142" s="1"/>
      <c r="D142" s="1"/>
      <c r="E142" s="1"/>
      <c r="F142" s="1"/>
      <c r="G142" s="1"/>
      <c r="H142" s="1"/>
      <c r="I142" s="1"/>
      <c r="J142" s="1"/>
      <c r="K142" s="1"/>
      <c r="L142" s="1"/>
      <c r="M142" s="1"/>
      <c r="N142" s="1"/>
      <c r="O142" s="1"/>
      <c r="P142" s="1"/>
      <c r="Q142" s="1"/>
    </row>
    <row r="143" spans="1:17" x14ac:dyDescent="0.35">
      <c r="A143" s="1"/>
      <c r="B143" s="1"/>
      <c r="C143" s="1"/>
      <c r="D143" s="1"/>
      <c r="E143" s="1"/>
      <c r="F143" s="1"/>
      <c r="G143" s="1"/>
      <c r="H143" s="1"/>
      <c r="I143" s="1"/>
      <c r="J143" s="1"/>
      <c r="K143" s="1"/>
      <c r="L143" s="1"/>
      <c r="M143" s="1"/>
      <c r="N143" s="1"/>
      <c r="O143" s="1"/>
      <c r="P143" s="1"/>
      <c r="Q143" s="1"/>
    </row>
    <row r="144" spans="1:17" x14ac:dyDescent="0.35">
      <c r="A144" s="1"/>
      <c r="B144" s="1"/>
      <c r="C144" s="1"/>
      <c r="D144" s="1"/>
      <c r="E144" s="1"/>
      <c r="F144" s="1"/>
      <c r="G144" s="1"/>
      <c r="H144" s="1"/>
      <c r="I144" s="1"/>
      <c r="J144" s="1"/>
      <c r="K144" s="1"/>
      <c r="L144" s="1"/>
      <c r="M144" s="1"/>
      <c r="N144" s="1"/>
      <c r="O144" s="1"/>
      <c r="P144" s="1"/>
      <c r="Q144" s="1"/>
    </row>
    <row r="145" spans="1:17" x14ac:dyDescent="0.35">
      <c r="A145" s="1"/>
      <c r="B145" s="1"/>
      <c r="C145" s="1"/>
      <c r="D145" s="1"/>
      <c r="E145" s="1"/>
      <c r="F145" s="1"/>
      <c r="G145" s="1"/>
      <c r="H145" s="1"/>
      <c r="I145" s="1"/>
      <c r="J145" s="1"/>
      <c r="K145" s="1"/>
      <c r="L145" s="1"/>
      <c r="M145" s="1"/>
      <c r="N145" s="1"/>
      <c r="O145" s="1"/>
      <c r="P145" s="1"/>
      <c r="Q145" s="1"/>
    </row>
    <row r="146" spans="1:17" x14ac:dyDescent="0.35">
      <c r="A146" s="1"/>
      <c r="B146" s="1"/>
      <c r="C146" s="1"/>
      <c r="D146" s="1"/>
      <c r="E146" s="1"/>
      <c r="F146" s="1"/>
      <c r="G146" s="1"/>
      <c r="H146" s="1"/>
      <c r="I146" s="1"/>
      <c r="J146" s="1"/>
      <c r="K146" s="1"/>
      <c r="L146" s="1"/>
      <c r="M146" s="1"/>
      <c r="N146" s="1"/>
      <c r="O146" s="1"/>
      <c r="P146" s="1"/>
      <c r="Q146" s="1"/>
    </row>
    <row r="147" spans="1:17" x14ac:dyDescent="0.35">
      <c r="A147" s="1"/>
      <c r="B147" s="1"/>
      <c r="C147" s="1"/>
      <c r="D147" s="1"/>
      <c r="E147" s="1"/>
      <c r="F147" s="1"/>
      <c r="G147" s="1"/>
      <c r="H147" s="1"/>
      <c r="I147" s="1"/>
      <c r="J147" s="1"/>
      <c r="K147" s="1"/>
      <c r="L147" s="1"/>
      <c r="M147" s="1"/>
      <c r="N147" s="1"/>
      <c r="O147" s="1"/>
      <c r="P147" s="1"/>
      <c r="Q147" s="1"/>
    </row>
    <row r="148" spans="1:17" x14ac:dyDescent="0.35">
      <c r="A148" s="1"/>
      <c r="B148" s="1"/>
      <c r="C148" s="1"/>
      <c r="D148" s="1"/>
      <c r="E148" s="1"/>
      <c r="F148" s="1"/>
      <c r="G148" s="1"/>
      <c r="H148" s="1"/>
      <c r="I148" s="1"/>
      <c r="J148" s="1"/>
      <c r="K148" s="1"/>
      <c r="L148" s="1"/>
      <c r="M148" s="1"/>
      <c r="N148" s="1"/>
      <c r="O148" s="1"/>
      <c r="P148" s="1"/>
      <c r="Q148" s="1"/>
    </row>
    <row r="149" spans="1:17" x14ac:dyDescent="0.35">
      <c r="A149" s="1"/>
      <c r="B149" s="1"/>
      <c r="C149" s="1"/>
      <c r="D149" s="1"/>
      <c r="E149" s="1"/>
      <c r="F149" s="1"/>
      <c r="G149" s="1"/>
      <c r="H149" s="1"/>
      <c r="I149" s="1"/>
      <c r="J149" s="1"/>
      <c r="K149" s="1"/>
      <c r="L149" s="1"/>
      <c r="M149" s="1"/>
      <c r="N149" s="1"/>
      <c r="O149" s="1"/>
      <c r="P149" s="1"/>
      <c r="Q149" s="1"/>
    </row>
    <row r="150" spans="1:17" x14ac:dyDescent="0.35">
      <c r="A150" s="1"/>
      <c r="B150" s="1"/>
      <c r="C150" s="1"/>
      <c r="D150" s="1"/>
      <c r="E150" s="1"/>
      <c r="F150" s="1"/>
      <c r="G150" s="1"/>
      <c r="H150" s="1"/>
      <c r="I150" s="1"/>
      <c r="J150" s="1"/>
      <c r="K150" s="1"/>
      <c r="L150" s="1"/>
      <c r="M150" s="1"/>
      <c r="N150" s="1"/>
      <c r="O150" s="1"/>
      <c r="P150" s="1"/>
      <c r="Q150" s="1"/>
    </row>
    <row r="151" spans="1:17" x14ac:dyDescent="0.35">
      <c r="A151" s="1"/>
      <c r="B151" s="1"/>
      <c r="C151" s="1"/>
      <c r="D151" s="1"/>
      <c r="E151" s="1"/>
      <c r="F151" s="1"/>
      <c r="G151" s="1"/>
      <c r="H151" s="1"/>
      <c r="I151" s="1"/>
      <c r="J151" s="1"/>
      <c r="K151" s="1"/>
      <c r="L151" s="1"/>
      <c r="M151" s="1"/>
      <c r="N151" s="1"/>
      <c r="O151" s="1"/>
      <c r="P151" s="1"/>
      <c r="Q151" s="1"/>
    </row>
    <row r="152" spans="1:17" x14ac:dyDescent="0.35">
      <c r="A152" s="1"/>
      <c r="B152" s="1"/>
      <c r="C152" s="1"/>
      <c r="D152" s="1"/>
      <c r="E152" s="1"/>
      <c r="F152" s="1"/>
      <c r="G152" s="1"/>
      <c r="H152" s="1"/>
      <c r="I152" s="1"/>
      <c r="J152" s="1"/>
      <c r="K152" s="1"/>
      <c r="L152" s="1"/>
      <c r="M152" s="1"/>
      <c r="N152" s="1"/>
      <c r="O152" s="1"/>
      <c r="P152" s="1"/>
      <c r="Q152" s="1"/>
    </row>
    <row r="153" spans="1:17" x14ac:dyDescent="0.35">
      <c r="A153" s="1"/>
      <c r="B153" s="1"/>
      <c r="C153" s="1"/>
      <c r="D153" s="1"/>
      <c r="E153" s="1"/>
      <c r="F153" s="1"/>
      <c r="G153" s="1"/>
      <c r="H153" s="1"/>
      <c r="I153" s="1"/>
      <c r="J153" s="1"/>
      <c r="K153" s="1"/>
      <c r="L153" s="1"/>
      <c r="M153" s="1"/>
      <c r="N153" s="1"/>
      <c r="O153" s="1"/>
      <c r="P153" s="1"/>
      <c r="Q153" s="1"/>
    </row>
    <row r="154" spans="1:17" x14ac:dyDescent="0.35">
      <c r="A154" s="1"/>
      <c r="B154" s="1"/>
      <c r="C154" s="1"/>
      <c r="D154" s="1"/>
      <c r="E154" s="1"/>
      <c r="F154" s="1"/>
      <c r="G154" s="1"/>
      <c r="H154" s="1"/>
      <c r="I154" s="1"/>
      <c r="J154" s="1"/>
      <c r="K154" s="1"/>
      <c r="L154" s="1"/>
      <c r="M154" s="1"/>
      <c r="N154" s="1"/>
      <c r="O154" s="1"/>
      <c r="P154" s="1"/>
      <c r="Q154" s="1"/>
    </row>
    <row r="155" spans="1:17" x14ac:dyDescent="0.35">
      <c r="A155" s="1"/>
      <c r="B155" s="1"/>
      <c r="C155" s="1"/>
      <c r="D155" s="1"/>
      <c r="E155" s="1"/>
      <c r="F155" s="1"/>
      <c r="G155" s="1"/>
      <c r="H155" s="1"/>
      <c r="I155" s="1"/>
      <c r="J155" s="1"/>
      <c r="K155" s="1"/>
      <c r="L155" s="1"/>
      <c r="M155" s="1"/>
      <c r="N155" s="1"/>
      <c r="O155" s="1"/>
      <c r="P155" s="1"/>
      <c r="Q155" s="1"/>
    </row>
    <row r="156" spans="1:17" x14ac:dyDescent="0.35">
      <c r="A156" s="1"/>
      <c r="B156" s="1"/>
      <c r="C156" s="1"/>
      <c r="D156" s="1"/>
      <c r="E156" s="1"/>
      <c r="F156" s="1"/>
      <c r="G156" s="1"/>
      <c r="H156" s="1"/>
      <c r="I156" s="1"/>
      <c r="J156" s="1"/>
      <c r="K156" s="1"/>
      <c r="L156" s="1"/>
      <c r="M156" s="1"/>
      <c r="N156" s="1"/>
      <c r="O156" s="1"/>
      <c r="P156" s="1"/>
      <c r="Q156" s="1"/>
    </row>
    <row r="157" spans="1:17" x14ac:dyDescent="0.35">
      <c r="A157" s="1"/>
      <c r="B157" s="1"/>
      <c r="C157" s="1"/>
      <c r="D157" s="1"/>
      <c r="E157" s="1"/>
      <c r="F157" s="1"/>
      <c r="G157" s="1"/>
      <c r="H157" s="1"/>
      <c r="I157" s="1"/>
      <c r="J157" s="1"/>
      <c r="K157" s="1"/>
      <c r="L157" s="1"/>
      <c r="M157" s="1"/>
      <c r="N157" s="1"/>
      <c r="O157" s="1"/>
      <c r="P157" s="1"/>
      <c r="Q157" s="1"/>
    </row>
    <row r="158" spans="1:17" x14ac:dyDescent="0.35">
      <c r="A158" s="1"/>
      <c r="B158" s="1"/>
      <c r="C158" s="1"/>
      <c r="D158" s="1"/>
      <c r="E158" s="1"/>
      <c r="F158" s="1"/>
      <c r="G158" s="1"/>
      <c r="H158" s="1"/>
      <c r="I158" s="1"/>
      <c r="J158" s="1"/>
      <c r="K158" s="1"/>
      <c r="L158" s="1"/>
      <c r="M158" s="1"/>
      <c r="N158" s="1"/>
      <c r="O158" s="1"/>
      <c r="P158" s="1"/>
      <c r="Q158" s="1"/>
    </row>
    <row r="159" spans="1:17" x14ac:dyDescent="0.35">
      <c r="A159" s="1"/>
      <c r="B159" s="1"/>
      <c r="C159" s="1"/>
      <c r="D159" s="1"/>
      <c r="E159" s="1"/>
      <c r="F159" s="1"/>
      <c r="G159" s="1"/>
      <c r="H159" s="1"/>
      <c r="I159" s="1"/>
      <c r="J159" s="1"/>
      <c r="K159" s="1"/>
      <c r="L159" s="1"/>
      <c r="M159" s="1"/>
      <c r="N159" s="1"/>
      <c r="O159" s="1"/>
      <c r="P159" s="1"/>
      <c r="Q159" s="1"/>
    </row>
    <row r="160" spans="1:17" x14ac:dyDescent="0.35">
      <c r="A160" s="1"/>
      <c r="B160" s="1"/>
      <c r="C160" s="1"/>
      <c r="D160" s="1"/>
      <c r="E160" s="1"/>
      <c r="F160" s="1"/>
      <c r="G160" s="1"/>
      <c r="H160" s="1"/>
      <c r="I160" s="1"/>
      <c r="J160" s="1"/>
      <c r="K160" s="1"/>
      <c r="L160" s="1"/>
      <c r="M160" s="1"/>
      <c r="N160" s="1"/>
      <c r="O160" s="1"/>
      <c r="P160" s="1"/>
      <c r="Q160" s="1"/>
    </row>
    <row r="161" spans="1:17" x14ac:dyDescent="0.35">
      <c r="A161" s="1"/>
      <c r="B161" s="1"/>
      <c r="C161" s="1"/>
      <c r="D161" s="1"/>
      <c r="E161" s="1"/>
      <c r="F161" s="1"/>
      <c r="G161" s="1"/>
      <c r="H161" s="1"/>
      <c r="I161" s="1"/>
      <c r="J161" s="1"/>
      <c r="K161" s="1"/>
      <c r="L161" s="1"/>
      <c r="M161" s="1"/>
      <c r="N161" s="1"/>
      <c r="O161" s="1"/>
      <c r="P161" s="1"/>
      <c r="Q161" s="1"/>
    </row>
    <row r="162" spans="1:17" x14ac:dyDescent="0.35">
      <c r="A162" s="1"/>
      <c r="B162" s="1"/>
      <c r="C162" s="1"/>
      <c r="D162" s="1"/>
      <c r="E162" s="1"/>
      <c r="F162" s="1"/>
      <c r="G162" s="1"/>
      <c r="H162" s="1"/>
      <c r="I162" s="1"/>
      <c r="J162" s="1"/>
      <c r="K162" s="1"/>
      <c r="L162" s="1"/>
      <c r="M162" s="1"/>
      <c r="N162" s="1"/>
      <c r="O162" s="1"/>
      <c r="P162" s="1"/>
      <c r="Q162" s="1"/>
    </row>
    <row r="163" spans="1:17" x14ac:dyDescent="0.35">
      <c r="A163" s="1"/>
      <c r="B163" s="1"/>
      <c r="C163" s="1"/>
      <c r="D163" s="1"/>
      <c r="E163" s="1"/>
      <c r="F163" s="1"/>
      <c r="G163" s="1"/>
      <c r="H163" s="1"/>
      <c r="I163" s="1"/>
      <c r="J163" s="1"/>
      <c r="K163" s="1"/>
      <c r="L163" s="1"/>
      <c r="M163" s="1"/>
      <c r="N163" s="1"/>
      <c r="O163" s="1"/>
      <c r="P163" s="1"/>
      <c r="Q163" s="1"/>
    </row>
    <row r="164" spans="1:17" x14ac:dyDescent="0.35">
      <c r="A164" s="1"/>
      <c r="B164" s="1"/>
      <c r="C164" s="1"/>
      <c r="D164" s="1"/>
      <c r="E164" s="1"/>
      <c r="F164" s="1"/>
      <c r="G164" s="1"/>
      <c r="H164" s="1"/>
      <c r="I164" s="1"/>
      <c r="J164" s="1"/>
      <c r="K164" s="1"/>
      <c r="L164" s="1"/>
      <c r="M164" s="1"/>
      <c r="N164" s="1"/>
      <c r="O164" s="1"/>
      <c r="P164" s="1"/>
      <c r="Q164" s="1"/>
    </row>
    <row r="165" spans="1:17" x14ac:dyDescent="0.35">
      <c r="A165" s="1"/>
      <c r="B165" s="1"/>
      <c r="C165" s="1"/>
      <c r="D165" s="1"/>
      <c r="E165" s="1"/>
      <c r="F165" s="1"/>
      <c r="G165" s="1"/>
      <c r="H165" s="1"/>
      <c r="I165" s="1"/>
      <c r="J165" s="1"/>
      <c r="K165" s="1"/>
      <c r="L165" s="1"/>
      <c r="M165" s="1"/>
      <c r="N165" s="1"/>
      <c r="O165" s="1"/>
      <c r="P165" s="1"/>
      <c r="Q165" s="1"/>
    </row>
    <row r="166" spans="1:17" x14ac:dyDescent="0.35">
      <c r="A166" s="1"/>
      <c r="B166" s="1"/>
      <c r="C166" s="1"/>
      <c r="D166" s="1"/>
      <c r="E166" s="1"/>
      <c r="F166" s="1"/>
      <c r="G166" s="1"/>
      <c r="H166" s="1"/>
      <c r="I166" s="1"/>
      <c r="J166" s="1"/>
      <c r="K166" s="1"/>
      <c r="L166" s="1"/>
      <c r="M166" s="1"/>
      <c r="N166" s="1"/>
      <c r="O166" s="1"/>
      <c r="P166" s="1"/>
      <c r="Q166" s="1"/>
    </row>
    <row r="167" spans="1:17" x14ac:dyDescent="0.35">
      <c r="A167" s="1"/>
      <c r="B167" s="1"/>
      <c r="C167" s="1"/>
      <c r="D167" s="1"/>
      <c r="E167" s="1"/>
      <c r="F167" s="1"/>
      <c r="G167" s="1"/>
      <c r="H167" s="1"/>
      <c r="I167" s="1"/>
      <c r="J167" s="1"/>
      <c r="K167" s="1"/>
      <c r="L167" s="1"/>
      <c r="M167" s="1"/>
      <c r="N167" s="1"/>
      <c r="O167" s="1"/>
      <c r="P167" s="1"/>
      <c r="Q167" s="1"/>
    </row>
    <row r="168" spans="1:17" x14ac:dyDescent="0.35">
      <c r="A168" s="1"/>
      <c r="B168" s="1"/>
      <c r="C168" s="1"/>
      <c r="D168" s="1"/>
      <c r="E168" s="1"/>
      <c r="F168" s="1"/>
      <c r="G168" s="1"/>
      <c r="H168" s="1"/>
      <c r="I168" s="1"/>
      <c r="J168" s="1"/>
      <c r="K168" s="1"/>
      <c r="L168" s="1"/>
      <c r="M168" s="1"/>
      <c r="N168" s="1"/>
      <c r="O168" s="1"/>
      <c r="P168" s="1"/>
      <c r="Q168" s="1"/>
    </row>
    <row r="169" spans="1:17" x14ac:dyDescent="0.35">
      <c r="A169" s="1"/>
      <c r="B169" s="1"/>
      <c r="C169" s="1"/>
      <c r="D169" s="1"/>
      <c r="E169" s="1"/>
      <c r="F169" s="1"/>
      <c r="G169" s="1"/>
      <c r="H169" s="1"/>
      <c r="I169" s="1"/>
      <c r="J169" s="1"/>
      <c r="K169" s="1"/>
      <c r="L169" s="1"/>
      <c r="M169" s="1"/>
      <c r="N169" s="1"/>
      <c r="O169" s="1"/>
      <c r="P169" s="1"/>
      <c r="Q169" s="1"/>
    </row>
    <row r="170" spans="1:17" x14ac:dyDescent="0.35">
      <c r="A170" s="1"/>
      <c r="B170" s="1"/>
      <c r="C170" s="1"/>
      <c r="D170" s="1"/>
      <c r="E170" s="1"/>
      <c r="F170" s="1"/>
      <c r="G170" s="1"/>
      <c r="H170" s="1"/>
      <c r="I170" s="1"/>
      <c r="J170" s="1"/>
      <c r="K170" s="1"/>
      <c r="L170" s="1"/>
      <c r="M170" s="1"/>
      <c r="N170" s="1"/>
      <c r="O170" s="1"/>
      <c r="P170" s="1"/>
      <c r="Q170" s="1"/>
    </row>
    <row r="171" spans="1:17" x14ac:dyDescent="0.35">
      <c r="A171" s="1"/>
      <c r="B171" s="1"/>
      <c r="C171" s="1"/>
      <c r="D171" s="1"/>
      <c r="E171" s="1"/>
      <c r="F171" s="1"/>
      <c r="G171" s="1"/>
      <c r="H171" s="1"/>
      <c r="I171" s="1"/>
      <c r="J171" s="1"/>
      <c r="K171" s="1"/>
      <c r="L171" s="1"/>
      <c r="M171" s="1"/>
      <c r="N171" s="1"/>
      <c r="O171" s="1"/>
      <c r="P171" s="1"/>
      <c r="Q171" s="1"/>
    </row>
    <row r="172" spans="1:17" x14ac:dyDescent="0.35">
      <c r="A172" s="1"/>
      <c r="B172" s="1"/>
      <c r="C172" s="1"/>
      <c r="D172" s="1"/>
      <c r="E172" s="1"/>
      <c r="F172" s="1"/>
      <c r="G172" s="1"/>
      <c r="H172" s="1"/>
      <c r="I172" s="1"/>
      <c r="J172" s="1"/>
      <c r="K172" s="1"/>
      <c r="L172" s="1"/>
      <c r="M172" s="1"/>
      <c r="N172" s="1"/>
      <c r="O172" s="1"/>
      <c r="P172" s="1"/>
      <c r="Q172" s="1"/>
    </row>
    <row r="173" spans="1:17" x14ac:dyDescent="0.35">
      <c r="A173" s="1"/>
      <c r="B173" s="1"/>
      <c r="C173" s="1"/>
      <c r="D173" s="1"/>
      <c r="E173" s="1"/>
      <c r="F173" s="1"/>
      <c r="G173" s="1"/>
      <c r="H173" s="1"/>
      <c r="I173" s="1"/>
      <c r="J173" s="1"/>
      <c r="K173" s="1"/>
      <c r="L173" s="1"/>
      <c r="M173" s="1"/>
      <c r="N173" s="1"/>
      <c r="O173" s="1"/>
      <c r="P173" s="1"/>
      <c r="Q173" s="1"/>
    </row>
    <row r="174" spans="1:17" x14ac:dyDescent="0.35">
      <c r="A174" s="1"/>
      <c r="B174" s="1"/>
      <c r="C174" s="1"/>
      <c r="D174" s="1"/>
      <c r="E174" s="1"/>
      <c r="F174" s="1"/>
      <c r="G174" s="1"/>
      <c r="H174" s="1"/>
      <c r="I174" s="1"/>
      <c r="J174" s="1"/>
      <c r="K174" s="1"/>
      <c r="L174" s="1"/>
      <c r="M174" s="1"/>
      <c r="N174" s="1"/>
      <c r="O174" s="1"/>
      <c r="P174" s="1"/>
      <c r="Q174" s="1"/>
    </row>
    <row r="175" spans="1:17" x14ac:dyDescent="0.35">
      <c r="A175" s="1"/>
      <c r="B175" s="1"/>
      <c r="C175" s="1"/>
      <c r="D175" s="1"/>
      <c r="E175" s="1"/>
      <c r="F175" s="1"/>
      <c r="G175" s="1"/>
      <c r="H175" s="1"/>
      <c r="I175" s="1"/>
      <c r="J175" s="1"/>
      <c r="K175" s="1"/>
      <c r="L175" s="1"/>
      <c r="M175" s="1"/>
      <c r="N175" s="1"/>
      <c r="O175" s="1"/>
      <c r="P175" s="1"/>
      <c r="Q175" s="1"/>
    </row>
    <row r="176" spans="1:17" x14ac:dyDescent="0.35">
      <c r="A176" s="1"/>
      <c r="B176" s="1"/>
      <c r="C176" s="1"/>
      <c r="D176" s="1"/>
      <c r="E176" s="1"/>
      <c r="F176" s="1"/>
      <c r="G176" s="1"/>
      <c r="H176" s="1"/>
      <c r="I176" s="1"/>
      <c r="J176" s="1"/>
      <c r="K176" s="1"/>
      <c r="L176" s="1"/>
      <c r="M176" s="1"/>
      <c r="N176" s="1"/>
      <c r="O176" s="1"/>
      <c r="P176" s="1"/>
      <c r="Q176" s="1"/>
    </row>
    <row r="177" spans="1:17" x14ac:dyDescent="0.35">
      <c r="A177" s="1"/>
      <c r="B177" s="1"/>
      <c r="C177" s="1"/>
      <c r="D177" s="1"/>
      <c r="E177" s="1"/>
      <c r="F177" s="1"/>
      <c r="G177" s="1"/>
      <c r="H177" s="1"/>
      <c r="I177" s="1"/>
      <c r="J177" s="1"/>
      <c r="K177" s="1"/>
      <c r="L177" s="1"/>
      <c r="M177" s="1"/>
      <c r="N177" s="1"/>
      <c r="O177" s="1"/>
      <c r="P177" s="1"/>
      <c r="Q177" s="1"/>
    </row>
    <row r="178" spans="1:17" x14ac:dyDescent="0.35">
      <c r="A178" s="1"/>
      <c r="B178" s="1"/>
      <c r="C178" s="1"/>
      <c r="D178" s="1"/>
      <c r="E178" s="1"/>
      <c r="F178" s="1"/>
      <c r="G178" s="1"/>
      <c r="H178" s="1"/>
      <c r="I178" s="1"/>
      <c r="J178" s="1"/>
      <c r="K178" s="1"/>
      <c r="L178" s="1"/>
      <c r="M178" s="1"/>
      <c r="N178" s="1"/>
      <c r="O178" s="1"/>
      <c r="P178" s="1"/>
      <c r="Q178" s="1"/>
    </row>
    <row r="179" spans="1:17" x14ac:dyDescent="0.35">
      <c r="A179" s="1"/>
      <c r="B179" s="1"/>
      <c r="C179" s="1"/>
      <c r="D179" s="1"/>
      <c r="E179" s="1"/>
      <c r="F179" s="1"/>
      <c r="G179" s="1"/>
      <c r="H179" s="1"/>
      <c r="I179" s="1"/>
      <c r="J179" s="1"/>
      <c r="K179" s="1"/>
      <c r="L179" s="1"/>
      <c r="M179" s="1"/>
      <c r="N179" s="1"/>
      <c r="O179" s="1"/>
      <c r="P179" s="1"/>
      <c r="Q179" s="1"/>
    </row>
    <row r="180" spans="1:17" x14ac:dyDescent="0.35">
      <c r="A180" s="1"/>
      <c r="B180" s="1"/>
      <c r="C180" s="1"/>
      <c r="D180" s="1"/>
      <c r="E180" s="1"/>
      <c r="F180" s="1"/>
      <c r="G180" s="1"/>
      <c r="H180" s="1"/>
      <c r="I180" s="1"/>
      <c r="J180" s="1"/>
      <c r="K180" s="1"/>
      <c r="L180" s="1"/>
      <c r="M180" s="1"/>
      <c r="N180" s="1"/>
      <c r="O180" s="1"/>
      <c r="P180" s="1"/>
      <c r="Q180" s="1"/>
    </row>
    <row r="181" spans="1:17" x14ac:dyDescent="0.35">
      <c r="A181" s="1"/>
      <c r="B181" s="1"/>
      <c r="C181" s="1"/>
      <c r="D181" s="1"/>
      <c r="E181" s="1"/>
      <c r="F181" s="1"/>
      <c r="G181" s="1"/>
      <c r="H181" s="1"/>
      <c r="I181" s="1"/>
      <c r="J181" s="1"/>
      <c r="K181" s="1"/>
      <c r="L181" s="1"/>
      <c r="M181" s="1"/>
      <c r="N181" s="1"/>
      <c r="O181" s="1"/>
      <c r="P181" s="1"/>
      <c r="Q181" s="1"/>
    </row>
    <row r="182" spans="1:17" x14ac:dyDescent="0.35">
      <c r="A182" s="1"/>
      <c r="B182" s="1"/>
      <c r="C182" s="1"/>
      <c r="D182" s="1"/>
      <c r="E182" s="1"/>
      <c r="F182" s="1"/>
      <c r="G182" s="1"/>
      <c r="H182" s="1"/>
      <c r="I182" s="1"/>
      <c r="J182" s="1"/>
      <c r="K182" s="1"/>
      <c r="L182" s="1"/>
      <c r="M182" s="1"/>
      <c r="N182" s="1"/>
      <c r="O182" s="1"/>
      <c r="P182" s="1"/>
      <c r="Q182" s="1"/>
    </row>
    <row r="183" spans="1:17" x14ac:dyDescent="0.35">
      <c r="A183" s="1"/>
      <c r="B183" s="1"/>
      <c r="C183" s="1"/>
      <c r="D183" s="1"/>
      <c r="E183" s="1"/>
      <c r="F183" s="1"/>
      <c r="G183" s="1"/>
      <c r="H183" s="1"/>
      <c r="I183" s="1"/>
      <c r="J183" s="1"/>
      <c r="K183" s="1"/>
      <c r="L183" s="1"/>
      <c r="M183" s="1"/>
      <c r="N183" s="1"/>
      <c r="O183" s="1"/>
      <c r="P183" s="1"/>
      <c r="Q183" s="1"/>
    </row>
    <row r="184" spans="1:17" x14ac:dyDescent="0.35">
      <c r="A184" s="1"/>
      <c r="B184" s="1"/>
      <c r="C184" s="1"/>
      <c r="D184" s="1"/>
      <c r="E184" s="1"/>
      <c r="F184" s="1"/>
      <c r="G184" s="1"/>
      <c r="H184" s="1"/>
      <c r="I184" s="1"/>
      <c r="J184" s="1"/>
      <c r="K184" s="1"/>
      <c r="L184" s="1"/>
      <c r="M184" s="1"/>
      <c r="N184" s="1"/>
      <c r="O184" s="1"/>
      <c r="P184" s="1"/>
      <c r="Q184" s="1"/>
    </row>
    <row r="185" spans="1:17" x14ac:dyDescent="0.35">
      <c r="A185" s="1"/>
      <c r="B185" s="1"/>
      <c r="C185" s="1"/>
      <c r="D185" s="1"/>
      <c r="E185" s="1"/>
      <c r="F185" s="1"/>
      <c r="G185" s="1"/>
      <c r="H185" s="1"/>
      <c r="I185" s="1"/>
      <c r="J185" s="1"/>
      <c r="K185" s="1"/>
      <c r="L185" s="1"/>
      <c r="M185" s="1"/>
      <c r="N185" s="1"/>
      <c r="O185" s="1"/>
      <c r="P185" s="1"/>
      <c r="Q185" s="1"/>
    </row>
    <row r="186" spans="1:17" x14ac:dyDescent="0.35">
      <c r="A186" s="1"/>
      <c r="B186" s="1"/>
      <c r="C186" s="1"/>
      <c r="D186" s="1"/>
      <c r="E186" s="1"/>
      <c r="F186" s="1"/>
      <c r="G186" s="1"/>
      <c r="H186" s="1"/>
      <c r="I186" s="1"/>
      <c r="J186" s="1"/>
      <c r="K186" s="1"/>
      <c r="L186" s="1"/>
      <c r="M186" s="1"/>
      <c r="N186" s="1"/>
      <c r="O186" s="1"/>
      <c r="P186" s="1"/>
      <c r="Q186" s="1"/>
    </row>
    <row r="187" spans="1:17" x14ac:dyDescent="0.35">
      <c r="A187" s="1"/>
      <c r="B187" s="1"/>
      <c r="C187" s="1"/>
      <c r="D187" s="1"/>
      <c r="E187" s="1"/>
      <c r="F187" s="1"/>
      <c r="G187" s="1"/>
      <c r="H187" s="1"/>
      <c r="I187" s="1"/>
      <c r="J187" s="1"/>
      <c r="K187" s="1"/>
      <c r="L187" s="1"/>
      <c r="M187" s="1"/>
      <c r="N187" s="1"/>
      <c r="O187" s="1"/>
      <c r="P187" s="1"/>
      <c r="Q187" s="1"/>
    </row>
    <row r="188" spans="1:17" x14ac:dyDescent="0.35">
      <c r="A188" s="1"/>
      <c r="B188" s="1"/>
      <c r="C188" s="1"/>
      <c r="D188" s="1"/>
      <c r="E188" s="1"/>
      <c r="F188" s="1"/>
      <c r="G188" s="1"/>
      <c r="H188" s="1"/>
      <c r="I188" s="1"/>
      <c r="J188" s="1"/>
      <c r="K188" s="1"/>
      <c r="L188" s="1"/>
      <c r="M188" s="1"/>
      <c r="N188" s="1"/>
      <c r="O188" s="1"/>
      <c r="P188" s="1"/>
      <c r="Q188" s="1"/>
    </row>
    <row r="189" spans="1:17" x14ac:dyDescent="0.35">
      <c r="A189" s="1"/>
      <c r="B189" s="1"/>
      <c r="C189" s="1"/>
      <c r="D189" s="1"/>
      <c r="E189" s="1"/>
      <c r="F189" s="1"/>
      <c r="G189" s="1"/>
      <c r="H189" s="1"/>
      <c r="I189" s="1"/>
      <c r="J189" s="1"/>
      <c r="K189" s="1"/>
      <c r="L189" s="1"/>
      <c r="M189" s="1"/>
      <c r="N189" s="1"/>
      <c r="O189" s="1"/>
      <c r="P189" s="1"/>
      <c r="Q189" s="1"/>
    </row>
    <row r="190" spans="1:17" x14ac:dyDescent="0.35">
      <c r="A190" s="1"/>
      <c r="B190" s="1"/>
      <c r="C190" s="1"/>
      <c r="D190" s="1"/>
      <c r="E190" s="1"/>
      <c r="F190" s="1"/>
      <c r="G190" s="1"/>
      <c r="H190" s="1"/>
      <c r="I190" s="1"/>
      <c r="J190" s="1"/>
      <c r="K190" s="1"/>
      <c r="L190" s="1"/>
      <c r="M190" s="1"/>
      <c r="N190" s="1"/>
      <c r="O190" s="1"/>
      <c r="P190" s="1"/>
      <c r="Q190" s="1"/>
    </row>
    <row r="191" spans="1:17" x14ac:dyDescent="0.35">
      <c r="A191" s="1"/>
      <c r="B191" s="1"/>
      <c r="C191" s="1"/>
      <c r="D191" s="1"/>
      <c r="E191" s="1"/>
      <c r="F191" s="1"/>
      <c r="G191" s="1"/>
      <c r="H191" s="1"/>
      <c r="I191" s="1"/>
      <c r="J191" s="1"/>
      <c r="K191" s="1"/>
      <c r="L191" s="1"/>
      <c r="M191" s="1"/>
      <c r="N191" s="1"/>
      <c r="O191" s="1"/>
      <c r="P191" s="1"/>
      <c r="Q191" s="1"/>
    </row>
    <row r="192" spans="1:17" x14ac:dyDescent="0.35">
      <c r="A192" s="1"/>
      <c r="B192" s="1"/>
      <c r="C192" s="1"/>
      <c r="D192" s="1"/>
      <c r="E192" s="1"/>
      <c r="F192" s="1"/>
      <c r="G192" s="1"/>
      <c r="H192" s="1"/>
      <c r="I192" s="1"/>
      <c r="J192" s="1"/>
      <c r="K192" s="1"/>
      <c r="L192" s="1"/>
      <c r="M192" s="1"/>
      <c r="N192" s="1"/>
      <c r="O192" s="1"/>
      <c r="P192" s="1"/>
      <c r="Q192" s="1"/>
    </row>
    <row r="193" spans="1:17" x14ac:dyDescent="0.35">
      <c r="A193" s="1"/>
      <c r="B193" s="1"/>
      <c r="C193" s="1"/>
      <c r="D193" s="1"/>
      <c r="E193" s="1"/>
      <c r="F193" s="1"/>
      <c r="G193" s="1"/>
      <c r="H193" s="1"/>
      <c r="I193" s="1"/>
      <c r="J193" s="1"/>
      <c r="K193" s="1"/>
      <c r="L193" s="1"/>
      <c r="M193" s="1"/>
      <c r="N193" s="1"/>
      <c r="O193" s="1"/>
      <c r="P193" s="1"/>
      <c r="Q193" s="1"/>
    </row>
    <row r="194" spans="1:17" x14ac:dyDescent="0.35">
      <c r="A194" s="1"/>
      <c r="B194" s="1"/>
      <c r="C194" s="1"/>
      <c r="D194" s="1"/>
      <c r="E194" s="1"/>
      <c r="F194" s="1"/>
      <c r="G194" s="1"/>
      <c r="H194" s="1"/>
      <c r="I194" s="1"/>
      <c r="J194" s="1"/>
      <c r="K194" s="1"/>
      <c r="L194" s="1"/>
      <c r="M194" s="1"/>
      <c r="N194" s="1"/>
      <c r="O194" s="1"/>
      <c r="P194" s="1"/>
      <c r="Q194" s="1"/>
    </row>
    <row r="195" spans="1:17" x14ac:dyDescent="0.35">
      <c r="A195" s="1"/>
      <c r="B195" s="1"/>
      <c r="C195" s="1"/>
      <c r="D195" s="1"/>
      <c r="E195" s="1"/>
      <c r="F195" s="1"/>
      <c r="G195" s="1"/>
      <c r="H195" s="1"/>
      <c r="I195" s="1"/>
      <c r="J195" s="1"/>
      <c r="K195" s="1"/>
      <c r="L195" s="1"/>
      <c r="M195" s="1"/>
      <c r="N195" s="1"/>
      <c r="O195" s="1"/>
      <c r="P195" s="1"/>
      <c r="Q195" s="1"/>
    </row>
    <row r="196" spans="1:17" x14ac:dyDescent="0.35">
      <c r="A196" s="1"/>
      <c r="B196" s="1"/>
      <c r="C196" s="1"/>
      <c r="D196" s="1"/>
      <c r="E196" s="1"/>
      <c r="F196" s="1"/>
      <c r="G196" s="1"/>
      <c r="H196" s="1"/>
      <c r="I196" s="1"/>
      <c r="J196" s="1"/>
      <c r="K196" s="1"/>
      <c r="L196" s="1"/>
      <c r="M196" s="1"/>
      <c r="N196" s="1"/>
      <c r="O196" s="1"/>
      <c r="P196" s="1"/>
      <c r="Q196" s="1"/>
    </row>
    <row r="197" spans="1:17" x14ac:dyDescent="0.35">
      <c r="A197" s="1"/>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1:17" x14ac:dyDescent="0.35">
      <c r="A198" s="1"/>
      <c r="B198" s="37"/>
      <c r="C198" s="38"/>
      <c r="D198" s="31"/>
      <c r="E198" s="32"/>
      <c r="F198" s="34"/>
      <c r="G198" s="33"/>
      <c r="H198" s="34"/>
      <c r="I198" s="33"/>
      <c r="J198" s="34"/>
      <c r="K198" s="34"/>
      <c r="L198" s="34"/>
      <c r="M198" s="33"/>
      <c r="N198" s="34"/>
      <c r="O198" s="35"/>
      <c r="P198" s="36"/>
      <c r="Q198" s="35"/>
    </row>
    <row r="199" spans="1:17" x14ac:dyDescent="0.35">
      <c r="A199" s="1"/>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1:17" x14ac:dyDescent="0.35">
      <c r="A200" s="1"/>
      <c r="B200" s="1"/>
      <c r="C200" s="1"/>
      <c r="D200" s="1"/>
      <c r="E200" s="1"/>
      <c r="F200" s="1"/>
      <c r="G200" s="1"/>
      <c r="H200" s="1"/>
      <c r="I200" s="1"/>
      <c r="J200" s="1"/>
      <c r="K200" s="1"/>
      <c r="L200" s="1"/>
      <c r="M200" s="1"/>
      <c r="N200" s="1"/>
      <c r="O200" s="1"/>
      <c r="P200" s="1"/>
      <c r="Q200" s="78" t="s">
        <v>21404</v>
      </c>
    </row>
    <row r="201" spans="1:17" x14ac:dyDescent="0.35">
      <c r="A201" s="1"/>
      <c r="B201" s="1"/>
      <c r="C201" s="78" t="s">
        <v>21592</v>
      </c>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77" t="s">
        <v>21399</v>
      </c>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t="s">
        <v>21398</v>
      </c>
      <c r="D205" s="1" t="s">
        <v>75</v>
      </c>
      <c r="E205" s="1" t="s">
        <v>13768</v>
      </c>
      <c r="F205" s="2" t="s">
        <v>21397</v>
      </c>
      <c r="G205" s="1" t="s">
        <v>9</v>
      </c>
      <c r="H205" s="1"/>
      <c r="I205" s="1"/>
      <c r="J205" s="1"/>
      <c r="K205" s="1"/>
      <c r="L205" s="1"/>
      <c r="M205" s="1"/>
      <c r="N205" s="1"/>
      <c r="O205" s="1"/>
      <c r="P205" s="1"/>
      <c r="Q205" s="1"/>
    </row>
    <row r="206" spans="1:17" x14ac:dyDescent="0.35">
      <c r="B206" s="49" t="s">
        <v>14907</v>
      </c>
      <c r="C206" s="352" t="s">
        <v>14908</v>
      </c>
    </row>
    <row r="207" spans="1:17" x14ac:dyDescent="0.35">
      <c r="B207" s="49" t="s">
        <v>14909</v>
      </c>
      <c r="C207" s="53" t="s">
        <v>14910</v>
      </c>
    </row>
    <row r="208" spans="1:17" x14ac:dyDescent="0.35">
      <c r="B208" s="49" t="s">
        <v>14911</v>
      </c>
      <c r="C208" s="53" t="s">
        <v>14912</v>
      </c>
    </row>
    <row r="209" spans="2:8" x14ac:dyDescent="0.35">
      <c r="B209" s="49" t="s">
        <v>14913</v>
      </c>
      <c r="C209" s="53" t="s">
        <v>14914</v>
      </c>
    </row>
    <row r="210" spans="2:8" x14ac:dyDescent="0.35">
      <c r="B210" s="49" t="s">
        <v>14915</v>
      </c>
      <c r="C210" s="53" t="s">
        <v>14916</v>
      </c>
    </row>
    <row r="211" spans="2:8" x14ac:dyDescent="0.35">
      <c r="B211" s="49" t="s">
        <v>14917</v>
      </c>
      <c r="C211" s="53" t="s">
        <v>14918</v>
      </c>
    </row>
    <row r="212" spans="2:8" x14ac:dyDescent="0.35">
      <c r="B212" s="49" t="s">
        <v>14919</v>
      </c>
      <c r="C212" s="53" t="s">
        <v>14920</v>
      </c>
    </row>
    <row r="213" spans="2:8" x14ac:dyDescent="0.35">
      <c r="B213" s="49" t="s">
        <v>14921</v>
      </c>
      <c r="C213" s="53" t="s">
        <v>14922</v>
      </c>
    </row>
    <row r="214" spans="2:8" ht="101.5" x14ac:dyDescent="0.35">
      <c r="C214" s="388" t="s">
        <v>22210</v>
      </c>
      <c r="D214" s="388" t="s">
        <v>18</v>
      </c>
      <c r="E214" s="388">
        <v>12460.51</v>
      </c>
      <c r="F214" s="388" t="s">
        <v>22211</v>
      </c>
      <c r="G214" s="388" t="s">
        <v>21644</v>
      </c>
      <c r="H214" s="388" t="s">
        <v>22212</v>
      </c>
    </row>
    <row r="215" spans="2:8" ht="87" x14ac:dyDescent="0.35">
      <c r="C215" s="388" t="s">
        <v>22213</v>
      </c>
      <c r="D215" s="388" t="s">
        <v>18</v>
      </c>
      <c r="E215" s="388">
        <v>12460.51</v>
      </c>
      <c r="F215" s="388" t="s">
        <v>22211</v>
      </c>
      <c r="G215" s="388" t="s">
        <v>21644</v>
      </c>
      <c r="H215" s="388" t="s">
        <v>22214</v>
      </c>
    </row>
    <row r="216" spans="2:8" ht="87" x14ac:dyDescent="0.35">
      <c r="C216" s="388" t="s">
        <v>22215</v>
      </c>
      <c r="D216" s="388" t="s">
        <v>18</v>
      </c>
      <c r="E216" s="388">
        <v>12460.51</v>
      </c>
      <c r="F216" s="388" t="s">
        <v>22211</v>
      </c>
      <c r="G216" s="388" t="s">
        <v>21676</v>
      </c>
      <c r="H216" s="388" t="s">
        <v>22216</v>
      </c>
    </row>
    <row r="217" spans="2:8" ht="101.5" x14ac:dyDescent="0.35">
      <c r="C217" s="388" t="s">
        <v>22217</v>
      </c>
      <c r="D217" s="388" t="s">
        <v>20</v>
      </c>
      <c r="E217" s="388">
        <v>12480.01</v>
      </c>
      <c r="F217" s="388" t="s">
        <v>22218</v>
      </c>
      <c r="G217" s="388" t="s">
        <v>21643</v>
      </c>
      <c r="H217" s="388" t="s">
        <v>22219</v>
      </c>
    </row>
    <row r="218" spans="2:8" ht="87" x14ac:dyDescent="0.35">
      <c r="C218" s="388" t="s">
        <v>22220</v>
      </c>
      <c r="D218" s="388" t="s">
        <v>19</v>
      </c>
      <c r="E218" s="388">
        <v>12490.01</v>
      </c>
      <c r="F218" s="388" t="s">
        <v>22221</v>
      </c>
      <c r="G218" s="388" t="s">
        <v>22222</v>
      </c>
      <c r="H218" s="388" t="s">
        <v>22223</v>
      </c>
    </row>
    <row r="219" spans="2:8" ht="116" x14ac:dyDescent="0.35">
      <c r="C219" s="388" t="s">
        <v>22224</v>
      </c>
      <c r="D219" s="388" t="s">
        <v>19</v>
      </c>
      <c r="E219" s="388">
        <v>12490.01</v>
      </c>
      <c r="F219" s="388" t="s">
        <v>21845</v>
      </c>
      <c r="G219" s="388" t="s">
        <v>21656</v>
      </c>
      <c r="H219" s="388" t="s">
        <v>22225</v>
      </c>
    </row>
    <row r="220" spans="2:8" ht="87" x14ac:dyDescent="0.35">
      <c r="C220" s="388" t="s">
        <v>1380</v>
      </c>
      <c r="D220" s="388" t="s">
        <v>20</v>
      </c>
      <c r="E220" s="388">
        <v>12490.02</v>
      </c>
      <c r="F220" s="388" t="s">
        <v>22226</v>
      </c>
      <c r="G220" s="388" t="s">
        <v>22227</v>
      </c>
      <c r="H220" s="388" t="s">
        <v>22228</v>
      </c>
    </row>
  </sheetData>
  <mergeCells count="9">
    <mergeCell ref="J5:K5"/>
    <mergeCell ref="J6:K6"/>
    <mergeCell ref="J7:K7"/>
    <mergeCell ref="A3:B3"/>
    <mergeCell ref="D3:G3"/>
    <mergeCell ref="J3:K3"/>
    <mergeCell ref="P3:Q3"/>
    <mergeCell ref="A4:B4"/>
    <mergeCell ref="J4:K4"/>
  </mergeCells>
  <dataValidations count="1">
    <dataValidation type="list" allowBlank="1" showInputMessage="1" showErrorMessage="1" sqref="C16:C190" xr:uid="{E25EFF82-5FAE-421F-A759-3D5FDCA81C7B}">
      <formula1>$C$205:$C207</formula1>
    </dataValidation>
  </dataValidations>
  <hyperlinks>
    <hyperlink ref="D3" r:id="rId1" display="datamateapp@gmail.com" xr:uid="{BCC560E1-BF7C-4E0D-8FE2-4607F5F8CB0D}"/>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69025" r:id="rId4" name="Button 1">
              <controlPr defaultSize="0" print="0" autoFill="0" autoPict="0" macro="SaveData">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769026" r:id="rId5" name="Button 2">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769027"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769028"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769029" r:id="rId8" name="Button 5">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769030" r:id="rId9" name="Button 6">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769031" r:id="rId10" name="Button 7">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769032" r:id="rId11" name="Button 8">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mc:AlternateContent xmlns:mc="http://schemas.openxmlformats.org/markup-compatibility/2006">
          <mc:Choice Requires="x14">
            <control shapeId="769034" r:id="rId12" name="Button 10">
              <controlPr defaultSize="0" print="0" autoFill="0" autoPict="0" macro="[0]!ExitSEC_124000">
                <anchor moveWithCells="1" sizeWithCells="1">
                  <from>
                    <xdr:col>16</xdr:col>
                    <xdr:colOff>0</xdr:colOff>
                    <xdr:row>0</xdr:row>
                    <xdr:rowOff>0</xdr:rowOff>
                  </from>
                  <to>
                    <xdr:col>16</xdr:col>
                    <xdr:colOff>1270000</xdr:colOff>
                    <xdr:row>2</xdr:row>
                    <xdr:rowOff>12700</xdr:rowOff>
                  </to>
                </anchor>
              </controlPr>
            </control>
          </mc:Choice>
        </mc:AlternateContent>
      </controls>
    </mc:Choice>
  </mc:AlternateContent>
</worksheet>
</file>

<file path=xl/worksheets/sheet1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EC1DD4-E694-49C5-9001-ECF0DA2C43F5}">
  <sheetPr codeName="Sheet166"/>
  <dimension ref="A1:Q229"/>
  <sheetViews>
    <sheetView zoomScale="75" zoomScaleNormal="75" workbookViewId="0">
      <selection activeCell="M22" sqref="M22"/>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FURNITURE</v>
      </c>
      <c r="J2" s="59"/>
      <c r="K2" s="59"/>
      <c r="L2" s="1"/>
      <c r="M2" s="59"/>
      <c r="N2" s="59"/>
      <c r="O2" s="60"/>
      <c r="P2" s="57"/>
      <c r="Q2" s="57"/>
    </row>
    <row r="3" spans="1:17" ht="15" thickBot="1" x14ac:dyDescent="0.4">
      <c r="A3" s="446" t="s">
        <v>21561</v>
      </c>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12 50 00</v>
      </c>
      <c r="C10" s="24" t="str">
        <f>C206</f>
        <v>FURNITURE</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FURNITURE</v>
      </c>
      <c r="D12" s="31"/>
      <c r="E12" s="32"/>
      <c r="F12" s="34"/>
      <c r="G12" s="33"/>
      <c r="H12" s="34"/>
      <c r="I12" s="33"/>
      <c r="J12" s="34"/>
      <c r="K12" s="34"/>
      <c r="L12" s="34"/>
      <c r="M12" s="33"/>
      <c r="N12" s="34"/>
      <c r="O12" s="35"/>
      <c r="P12" s="31"/>
      <c r="Q12" s="35"/>
    </row>
    <row r="13" spans="1:17" x14ac:dyDescent="0.35">
      <c r="A13" s="1"/>
      <c r="B13" s="1"/>
      <c r="C13" s="1"/>
      <c r="D13" s="1"/>
      <c r="E13" s="1"/>
      <c r="F13" s="1"/>
      <c r="G13" s="1"/>
      <c r="H13" s="1"/>
      <c r="I13" s="1"/>
      <c r="J13" s="1"/>
      <c r="K13" s="1"/>
      <c r="L13" s="1"/>
      <c r="M13" s="1"/>
      <c r="N13" s="1"/>
      <c r="O13" s="1"/>
      <c r="P13" s="1"/>
      <c r="Q13" s="1"/>
    </row>
    <row r="14" spans="1:17" x14ac:dyDescent="0.35">
      <c r="A14" s="1"/>
      <c r="B14" s="1"/>
      <c r="C14" s="1"/>
      <c r="D14" s="1"/>
      <c r="E14" s="1"/>
      <c r="F14" s="1"/>
      <c r="G14" s="1"/>
      <c r="H14" s="1"/>
      <c r="I14" s="1"/>
      <c r="J14" s="1"/>
      <c r="K14" s="1"/>
      <c r="L14" s="1"/>
      <c r="M14" s="1"/>
      <c r="N14" s="1"/>
      <c r="O14" s="1"/>
      <c r="P14" s="1"/>
      <c r="Q14" s="1"/>
    </row>
    <row r="15" spans="1:17" x14ac:dyDescent="0.35">
      <c r="A15" s="1"/>
      <c r="B15" s="1"/>
      <c r="C15" s="1"/>
      <c r="D15" s="1"/>
      <c r="E15" s="1"/>
      <c r="F15" s="1"/>
      <c r="G15" s="1"/>
      <c r="H15" s="1"/>
      <c r="I15" s="1"/>
      <c r="J15" s="1"/>
      <c r="K15" s="1"/>
      <c r="L15" s="1"/>
      <c r="M15" s="1"/>
      <c r="N15" s="1"/>
      <c r="O15" s="1"/>
      <c r="P15" s="1"/>
      <c r="Q15" s="1"/>
    </row>
    <row r="16" spans="1:17" x14ac:dyDescent="0.35">
      <c r="A16" s="1"/>
      <c r="B16" s="1"/>
      <c r="C16" s="1"/>
      <c r="D16" s="1"/>
      <c r="E16" s="1"/>
      <c r="F16" s="1"/>
      <c r="G16" s="1"/>
      <c r="H16" s="1"/>
      <c r="I16" s="1"/>
      <c r="J16" s="1"/>
      <c r="K16" s="1"/>
      <c r="L16" s="1"/>
      <c r="M16" s="1"/>
      <c r="N16" s="1"/>
      <c r="O16" s="1"/>
      <c r="P16" s="1"/>
      <c r="Q16" s="1"/>
    </row>
    <row r="17" spans="1:17" x14ac:dyDescent="0.35">
      <c r="A17" s="1"/>
      <c r="B17" s="1"/>
      <c r="C17" s="1"/>
      <c r="D17" s="1"/>
      <c r="E17" s="1"/>
      <c r="F17" s="1"/>
      <c r="G17" s="1"/>
      <c r="H17" s="1"/>
      <c r="I17" s="1"/>
      <c r="J17" s="1"/>
      <c r="K17" s="1"/>
      <c r="L17" s="1"/>
      <c r="M17" s="1"/>
      <c r="N17" s="1"/>
      <c r="O17" s="1"/>
      <c r="P17" s="1"/>
      <c r="Q17" s="1"/>
    </row>
    <row r="18" spans="1:17" x14ac:dyDescent="0.35">
      <c r="A18" s="1"/>
      <c r="B18" s="1"/>
      <c r="C18" s="1"/>
      <c r="D18" s="1"/>
      <c r="E18" s="1"/>
      <c r="F18" s="1"/>
      <c r="G18" s="1"/>
      <c r="H18" s="1"/>
      <c r="I18" s="1"/>
      <c r="J18" s="1"/>
      <c r="K18" s="1"/>
      <c r="L18" s="1"/>
      <c r="M18" s="1"/>
      <c r="N18" s="1"/>
      <c r="O18" s="1"/>
      <c r="P18" s="1"/>
      <c r="Q18" s="1"/>
    </row>
    <row r="19" spans="1:17" x14ac:dyDescent="0.35">
      <c r="A19" s="1"/>
      <c r="B19" s="1"/>
      <c r="C19" s="1"/>
      <c r="D19" s="1"/>
      <c r="E19" s="1"/>
      <c r="F19" s="1"/>
      <c r="G19" s="1"/>
      <c r="H19" s="1"/>
      <c r="I19" s="1"/>
      <c r="J19" s="1"/>
      <c r="K19" s="1"/>
      <c r="L19" s="1"/>
      <c r="M19" s="1"/>
      <c r="N19" s="1"/>
      <c r="O19" s="1"/>
      <c r="P19" s="1"/>
      <c r="Q19" s="1"/>
    </row>
    <row r="20" spans="1:17" x14ac:dyDescent="0.35">
      <c r="A20" s="1"/>
      <c r="B20" s="1"/>
      <c r="C20" s="1"/>
      <c r="D20" s="1"/>
      <c r="E20" s="1"/>
      <c r="F20" s="1"/>
      <c r="G20" s="1"/>
      <c r="H20" s="1"/>
      <c r="I20" s="1"/>
      <c r="J20" s="1"/>
      <c r="K20" s="1"/>
      <c r="L20" s="1"/>
      <c r="M20" s="1"/>
      <c r="N20" s="1"/>
      <c r="O20" s="1"/>
      <c r="P20" s="1"/>
      <c r="Q20" s="1"/>
    </row>
    <row r="21" spans="1:17" x14ac:dyDescent="0.35">
      <c r="A21" s="1"/>
      <c r="B21" s="1"/>
      <c r="C21" s="1"/>
      <c r="D21" s="1"/>
      <c r="E21" s="1"/>
      <c r="F21" s="1"/>
      <c r="G21" s="1"/>
      <c r="H21" s="1"/>
      <c r="I21" s="1"/>
      <c r="J21" s="1"/>
      <c r="K21" s="1"/>
      <c r="L21" s="1"/>
      <c r="M21" s="1"/>
      <c r="N21" s="1"/>
      <c r="O21" s="1"/>
      <c r="P21" s="1"/>
      <c r="Q21" s="1"/>
    </row>
    <row r="22" spans="1:17" x14ac:dyDescent="0.35">
      <c r="A22" s="1"/>
      <c r="B22" s="1"/>
      <c r="C22" s="1"/>
      <c r="D22" s="1"/>
      <c r="E22" s="1"/>
      <c r="F22" s="1"/>
      <c r="G22" s="1"/>
      <c r="H22" s="1"/>
      <c r="I22" s="1"/>
      <c r="J22" s="1"/>
      <c r="K22" s="1"/>
      <c r="L22" s="1"/>
      <c r="M22" s="1"/>
      <c r="N22" s="1"/>
      <c r="O22" s="1"/>
      <c r="P22" s="1"/>
      <c r="Q22" s="1"/>
    </row>
    <row r="23" spans="1:17" x14ac:dyDescent="0.35">
      <c r="A23" s="1"/>
      <c r="B23" s="1"/>
      <c r="C23" s="1"/>
      <c r="D23" s="1"/>
      <c r="E23" s="1"/>
      <c r="F23" s="1"/>
      <c r="G23" s="1"/>
      <c r="H23" s="1"/>
      <c r="I23" s="1"/>
      <c r="J23" s="1"/>
      <c r="K23" s="1"/>
      <c r="L23" s="1"/>
      <c r="M23" s="1"/>
      <c r="N23" s="1"/>
      <c r="O23" s="1"/>
      <c r="P23" s="1"/>
      <c r="Q23" s="1"/>
    </row>
    <row r="24" spans="1:17" x14ac:dyDescent="0.35">
      <c r="A24" s="1"/>
      <c r="B24" s="1"/>
      <c r="C24" s="1"/>
      <c r="D24" s="1"/>
      <c r="E24" s="1"/>
      <c r="F24" s="1"/>
      <c r="G24" s="1"/>
      <c r="H24" s="1"/>
      <c r="I24" s="1"/>
      <c r="J24" s="1"/>
      <c r="K24" s="1"/>
      <c r="L24" s="1"/>
      <c r="M24" s="1"/>
      <c r="N24" s="1"/>
      <c r="O24" s="1"/>
      <c r="P24" s="1"/>
      <c r="Q24" s="1"/>
    </row>
    <row r="25" spans="1:17" x14ac:dyDescent="0.35">
      <c r="A25" s="1"/>
      <c r="B25" s="1"/>
      <c r="C25" s="1"/>
      <c r="D25" s="1"/>
      <c r="E25" s="1"/>
      <c r="F25" s="1"/>
      <c r="G25" s="1"/>
      <c r="H25" s="1"/>
      <c r="I25" s="1"/>
      <c r="J25" s="1"/>
      <c r="K25" s="1"/>
      <c r="L25" s="1"/>
      <c r="M25" s="1"/>
      <c r="N25" s="1"/>
      <c r="O25" s="1"/>
      <c r="P25" s="1"/>
      <c r="Q25" s="1"/>
    </row>
    <row r="26" spans="1:17" x14ac:dyDescent="0.35">
      <c r="A26" s="1"/>
      <c r="B26" s="1"/>
      <c r="C26" s="1"/>
      <c r="D26" s="1"/>
      <c r="E26" s="1"/>
      <c r="F26" s="1"/>
      <c r="G26" s="1"/>
      <c r="H26" s="1"/>
      <c r="I26" s="1"/>
      <c r="J26" s="1"/>
      <c r="K26" s="1"/>
      <c r="L26" s="1"/>
      <c r="M26" s="1"/>
      <c r="N26" s="1"/>
      <c r="O26" s="1"/>
      <c r="P26" s="1"/>
      <c r="Q26" s="1"/>
    </row>
    <row r="27" spans="1:17" x14ac:dyDescent="0.35">
      <c r="A27" s="1"/>
      <c r="B27" s="1"/>
      <c r="C27" s="1"/>
      <c r="D27" s="1"/>
      <c r="E27" s="1"/>
      <c r="F27" s="1"/>
      <c r="G27" s="1"/>
      <c r="H27" s="1"/>
      <c r="I27" s="1"/>
      <c r="J27" s="1"/>
      <c r="K27" s="1"/>
      <c r="L27" s="1"/>
      <c r="M27" s="1"/>
      <c r="N27" s="1"/>
      <c r="O27" s="1"/>
      <c r="P27" s="1"/>
      <c r="Q27" s="1"/>
    </row>
    <row r="28" spans="1:17" x14ac:dyDescent="0.35">
      <c r="A28" s="1"/>
      <c r="B28" s="1"/>
      <c r="C28" s="1"/>
      <c r="D28" s="1"/>
      <c r="E28" s="1"/>
      <c r="F28" s="1"/>
      <c r="G28" s="1"/>
      <c r="H28" s="1"/>
      <c r="I28" s="1"/>
      <c r="J28" s="1"/>
      <c r="K28" s="1"/>
      <c r="L28" s="1"/>
      <c r="M28" s="1"/>
      <c r="N28" s="1"/>
      <c r="O28" s="1"/>
      <c r="P28" s="1"/>
      <c r="Q28" s="1"/>
    </row>
    <row r="29" spans="1:17" x14ac:dyDescent="0.35">
      <c r="A29" s="1"/>
      <c r="B29" s="1"/>
      <c r="C29" s="1"/>
      <c r="D29" s="1"/>
      <c r="E29" s="1"/>
      <c r="F29" s="1"/>
      <c r="G29" s="1"/>
      <c r="H29" s="1"/>
      <c r="I29" s="1"/>
      <c r="J29" s="1"/>
      <c r="K29" s="1"/>
      <c r="L29" s="1"/>
      <c r="M29" s="1"/>
      <c r="N29" s="1"/>
      <c r="O29" s="1"/>
      <c r="P29" s="1"/>
      <c r="Q29" s="1"/>
    </row>
    <row r="30" spans="1:17" x14ac:dyDescent="0.35">
      <c r="A30" s="1"/>
      <c r="B30" s="1"/>
      <c r="C30" s="1"/>
      <c r="D30" s="1"/>
      <c r="E30" s="1"/>
      <c r="F30" s="1"/>
      <c r="G30" s="1"/>
      <c r="H30" s="1"/>
      <c r="I30" s="1"/>
      <c r="J30" s="1"/>
      <c r="K30" s="1"/>
      <c r="L30" s="1"/>
      <c r="M30" s="1"/>
      <c r="N30" s="1"/>
      <c r="O30" s="1"/>
      <c r="P30" s="1"/>
      <c r="Q30" s="1"/>
    </row>
    <row r="31" spans="1:17" x14ac:dyDescent="0.35">
      <c r="A31" s="1"/>
      <c r="B31" s="1"/>
      <c r="C31" s="1"/>
      <c r="D31" s="1"/>
      <c r="E31" s="1"/>
      <c r="F31" s="1"/>
      <c r="G31" s="1"/>
      <c r="H31" s="1"/>
      <c r="I31" s="1"/>
      <c r="J31" s="1"/>
      <c r="K31" s="1"/>
      <c r="L31" s="1"/>
      <c r="M31" s="1"/>
      <c r="N31" s="1"/>
      <c r="O31" s="1"/>
      <c r="P31" s="1"/>
      <c r="Q31" s="1"/>
    </row>
    <row r="32" spans="1:17" x14ac:dyDescent="0.35">
      <c r="A32" s="1"/>
      <c r="B32" s="1"/>
      <c r="C32" s="1"/>
      <c r="D32" s="1"/>
      <c r="E32" s="1"/>
      <c r="F32" s="1"/>
      <c r="G32" s="1"/>
      <c r="H32" s="1"/>
      <c r="I32" s="1"/>
      <c r="J32" s="1"/>
      <c r="K32" s="1"/>
      <c r="L32" s="1"/>
      <c r="M32" s="1"/>
      <c r="N32" s="1"/>
      <c r="O32" s="1"/>
      <c r="P32" s="1"/>
      <c r="Q32" s="1"/>
    </row>
    <row r="33" spans="1:17" x14ac:dyDescent="0.35">
      <c r="A33" s="1"/>
      <c r="B33" s="1"/>
      <c r="C33" s="1"/>
      <c r="D33" s="1"/>
      <c r="E33" s="1"/>
      <c r="F33" s="1"/>
      <c r="G33" s="1"/>
      <c r="H33" s="1"/>
      <c r="I33" s="1"/>
      <c r="J33" s="1"/>
      <c r="K33" s="1"/>
      <c r="L33" s="1"/>
      <c r="M33" s="1"/>
      <c r="N33" s="1"/>
      <c r="O33" s="1"/>
      <c r="P33" s="1"/>
      <c r="Q33" s="1"/>
    </row>
    <row r="34" spans="1:17" x14ac:dyDescent="0.35">
      <c r="A34" s="1"/>
      <c r="B34" s="1"/>
      <c r="C34" s="1"/>
      <c r="D34" s="1"/>
      <c r="E34" s="1"/>
      <c r="F34" s="1"/>
      <c r="G34" s="1"/>
      <c r="H34" s="1"/>
      <c r="I34" s="1"/>
      <c r="J34" s="1"/>
      <c r="K34" s="1"/>
      <c r="L34" s="1"/>
      <c r="M34" s="1"/>
      <c r="N34" s="1"/>
      <c r="O34" s="1"/>
      <c r="P34" s="1"/>
      <c r="Q34" s="1"/>
    </row>
    <row r="35" spans="1:17" x14ac:dyDescent="0.35">
      <c r="A35" s="1"/>
      <c r="B35" s="1"/>
      <c r="C35" s="1"/>
      <c r="D35" s="1"/>
      <c r="E35" s="1"/>
      <c r="F35" s="1"/>
      <c r="G35" s="1"/>
      <c r="H35" s="1"/>
      <c r="I35" s="1"/>
      <c r="J35" s="1"/>
      <c r="K35" s="1"/>
      <c r="L35" s="1"/>
      <c r="M35" s="1"/>
      <c r="N35" s="1"/>
      <c r="O35" s="1"/>
      <c r="P35" s="1"/>
      <c r="Q35" s="1"/>
    </row>
    <row r="36" spans="1:17" x14ac:dyDescent="0.35">
      <c r="A36" s="1"/>
      <c r="B36" s="1"/>
      <c r="C36" s="1"/>
      <c r="D36" s="1"/>
      <c r="E36" s="1"/>
      <c r="F36" s="1"/>
      <c r="G36" s="1"/>
      <c r="H36" s="1"/>
      <c r="I36" s="1"/>
      <c r="J36" s="1"/>
      <c r="K36" s="1"/>
      <c r="L36" s="1"/>
      <c r="M36" s="1"/>
      <c r="N36" s="1"/>
      <c r="O36" s="1"/>
      <c r="P36" s="1"/>
      <c r="Q36" s="1"/>
    </row>
    <row r="37" spans="1:17" x14ac:dyDescent="0.35">
      <c r="A37" s="1"/>
      <c r="B37" s="1"/>
      <c r="C37" s="1"/>
      <c r="D37" s="1"/>
      <c r="E37" s="1"/>
      <c r="F37" s="1"/>
      <c r="G37" s="1"/>
      <c r="H37" s="1"/>
      <c r="I37" s="1"/>
      <c r="J37" s="1"/>
      <c r="K37" s="1"/>
      <c r="L37" s="1"/>
      <c r="M37" s="1"/>
      <c r="N37" s="1"/>
      <c r="O37" s="1"/>
      <c r="P37" s="1"/>
      <c r="Q37" s="1"/>
    </row>
    <row r="38" spans="1:17" x14ac:dyDescent="0.35">
      <c r="A38" s="1"/>
      <c r="B38" s="1"/>
      <c r="C38" s="1"/>
      <c r="D38" s="1"/>
      <c r="E38" s="1"/>
      <c r="F38" s="1"/>
      <c r="G38" s="1"/>
      <c r="H38" s="1"/>
      <c r="I38" s="1"/>
      <c r="J38" s="1"/>
      <c r="K38" s="1"/>
      <c r="L38" s="1"/>
      <c r="M38" s="1"/>
      <c r="N38" s="1"/>
      <c r="O38" s="1"/>
      <c r="P38" s="1"/>
      <c r="Q38" s="1"/>
    </row>
    <row r="39" spans="1:17" x14ac:dyDescent="0.35">
      <c r="A39" s="1"/>
      <c r="B39" s="1"/>
      <c r="C39" s="1"/>
      <c r="D39" s="1"/>
      <c r="E39" s="1"/>
      <c r="F39" s="1"/>
      <c r="G39" s="1"/>
      <c r="H39" s="1"/>
      <c r="I39" s="1"/>
      <c r="J39" s="1"/>
      <c r="K39" s="1"/>
      <c r="L39" s="1"/>
      <c r="M39" s="1"/>
      <c r="N39" s="1"/>
      <c r="O39" s="1"/>
      <c r="P39" s="1"/>
      <c r="Q39" s="1"/>
    </row>
    <row r="40" spans="1:17" x14ac:dyDescent="0.35">
      <c r="A40" s="1"/>
      <c r="B40" s="1"/>
      <c r="C40" s="1"/>
      <c r="D40" s="1"/>
      <c r="E40" s="1"/>
      <c r="F40" s="1"/>
      <c r="G40" s="1"/>
      <c r="H40" s="1"/>
      <c r="I40" s="1"/>
      <c r="J40" s="1"/>
      <c r="K40" s="1"/>
      <c r="L40" s="1"/>
      <c r="M40" s="1"/>
      <c r="N40" s="1"/>
      <c r="O40" s="1"/>
      <c r="P40" s="1"/>
      <c r="Q40" s="1"/>
    </row>
    <row r="41" spans="1:17" x14ac:dyDescent="0.35">
      <c r="A41" s="1"/>
      <c r="B41" s="1"/>
      <c r="C41" s="1"/>
      <c r="D41" s="1"/>
      <c r="E41" s="1"/>
      <c r="F41" s="1"/>
      <c r="G41" s="1"/>
      <c r="H41" s="1"/>
      <c r="I41" s="1"/>
      <c r="J41" s="1"/>
      <c r="K41" s="1"/>
      <c r="L41" s="1"/>
      <c r="M41" s="1"/>
      <c r="N41" s="1"/>
      <c r="O41" s="1"/>
      <c r="P41" s="1"/>
      <c r="Q41" s="1"/>
    </row>
    <row r="42" spans="1:17" x14ac:dyDescent="0.35">
      <c r="A42" s="1"/>
      <c r="B42" s="1"/>
      <c r="C42" s="1"/>
      <c r="D42" s="1"/>
      <c r="E42" s="1"/>
      <c r="F42" s="1"/>
      <c r="G42" s="1"/>
      <c r="H42" s="1"/>
      <c r="I42" s="1"/>
      <c r="J42" s="1"/>
      <c r="K42" s="1"/>
      <c r="L42" s="1"/>
      <c r="M42" s="1"/>
      <c r="N42" s="1"/>
      <c r="O42" s="1"/>
      <c r="P42" s="1"/>
      <c r="Q42" s="1"/>
    </row>
    <row r="43" spans="1:17" x14ac:dyDescent="0.35">
      <c r="A43" s="1"/>
      <c r="B43" s="1"/>
      <c r="C43" s="1"/>
      <c r="D43" s="1"/>
      <c r="E43" s="1"/>
      <c r="F43" s="1"/>
      <c r="G43" s="1"/>
      <c r="H43" s="1"/>
      <c r="I43" s="1"/>
      <c r="J43" s="1"/>
      <c r="K43" s="1"/>
      <c r="L43" s="1"/>
      <c r="M43" s="1"/>
      <c r="N43" s="1"/>
      <c r="O43" s="1"/>
      <c r="P43" s="1"/>
      <c r="Q43" s="1"/>
    </row>
    <row r="44" spans="1:17" x14ac:dyDescent="0.35">
      <c r="A44" s="1"/>
      <c r="B44" s="1"/>
      <c r="C44" s="1"/>
      <c r="D44" s="1"/>
      <c r="E44" s="1"/>
      <c r="F44" s="1"/>
      <c r="G44" s="1"/>
      <c r="H44" s="1"/>
      <c r="I44" s="1"/>
      <c r="J44" s="1"/>
      <c r="K44" s="1"/>
      <c r="L44" s="1"/>
      <c r="M44" s="1"/>
      <c r="N44" s="1"/>
      <c r="O44" s="1"/>
      <c r="P44" s="1"/>
      <c r="Q44" s="1"/>
    </row>
    <row r="45" spans="1:17" x14ac:dyDescent="0.35">
      <c r="A45" s="1"/>
      <c r="B45" s="1"/>
      <c r="C45" s="1"/>
      <c r="D45" s="1"/>
      <c r="E45" s="1"/>
      <c r="F45" s="1"/>
      <c r="G45" s="1"/>
      <c r="H45" s="1"/>
      <c r="I45" s="1"/>
      <c r="J45" s="1"/>
      <c r="K45" s="1"/>
      <c r="L45" s="1"/>
      <c r="M45" s="1"/>
      <c r="N45" s="1"/>
      <c r="O45" s="1"/>
      <c r="P45" s="1"/>
      <c r="Q45" s="1"/>
    </row>
    <row r="46" spans="1:17" x14ac:dyDescent="0.35">
      <c r="A46" s="1"/>
      <c r="B46" s="1"/>
      <c r="C46" s="1"/>
      <c r="D46" s="1"/>
      <c r="E46" s="1"/>
      <c r="F46" s="1"/>
      <c r="G46" s="1"/>
      <c r="H46" s="1"/>
      <c r="I46" s="1"/>
      <c r="J46" s="1"/>
      <c r="K46" s="1"/>
      <c r="L46" s="1"/>
      <c r="M46" s="1"/>
      <c r="N46" s="1"/>
      <c r="O46" s="1"/>
      <c r="P46" s="1"/>
      <c r="Q46" s="1"/>
    </row>
    <row r="47" spans="1:17" x14ac:dyDescent="0.35">
      <c r="A47" s="1"/>
      <c r="B47" s="1"/>
      <c r="C47" s="1"/>
      <c r="D47" s="1"/>
      <c r="E47" s="1"/>
      <c r="F47" s="1"/>
      <c r="G47" s="1"/>
      <c r="H47" s="1"/>
      <c r="I47" s="1"/>
      <c r="J47" s="1"/>
      <c r="K47" s="1"/>
      <c r="L47" s="1"/>
      <c r="M47" s="1"/>
      <c r="N47" s="1"/>
      <c r="O47" s="1"/>
      <c r="P47" s="1"/>
      <c r="Q47" s="1"/>
    </row>
    <row r="48" spans="1:17" x14ac:dyDescent="0.35">
      <c r="A48" s="1"/>
      <c r="B48" s="1"/>
      <c r="C48" s="1"/>
      <c r="D48" s="1"/>
      <c r="E48" s="1"/>
      <c r="F48" s="1"/>
      <c r="G48" s="1"/>
      <c r="H48" s="1"/>
      <c r="I48" s="1"/>
      <c r="J48" s="1"/>
      <c r="K48" s="1"/>
      <c r="L48" s="1"/>
      <c r="M48" s="1"/>
      <c r="N48" s="1"/>
      <c r="O48" s="1"/>
      <c r="P48" s="1"/>
      <c r="Q48" s="1"/>
    </row>
    <row r="49" spans="1:17" x14ac:dyDescent="0.35">
      <c r="A49" s="1"/>
      <c r="B49" s="1"/>
      <c r="C49" s="1"/>
      <c r="D49" s="1"/>
      <c r="E49" s="1"/>
      <c r="F49" s="1"/>
      <c r="G49" s="1"/>
      <c r="H49" s="1"/>
      <c r="I49" s="1"/>
      <c r="J49" s="1"/>
      <c r="K49" s="1"/>
      <c r="L49" s="1"/>
      <c r="M49" s="1"/>
      <c r="N49" s="1"/>
      <c r="O49" s="1"/>
      <c r="P49" s="1"/>
      <c r="Q49" s="1"/>
    </row>
    <row r="50" spans="1:17" x14ac:dyDescent="0.35">
      <c r="A50" s="1"/>
      <c r="B50" s="1"/>
      <c r="C50" s="1"/>
      <c r="D50" s="1"/>
      <c r="E50" s="1"/>
      <c r="F50" s="1"/>
      <c r="G50" s="1"/>
      <c r="H50" s="1"/>
      <c r="I50" s="1"/>
      <c r="J50" s="1"/>
      <c r="K50" s="1"/>
      <c r="L50" s="1"/>
      <c r="M50" s="1"/>
      <c r="N50" s="1"/>
      <c r="O50" s="1"/>
      <c r="P50" s="1"/>
      <c r="Q50" s="1"/>
    </row>
    <row r="51" spans="1:17" x14ac:dyDescent="0.35">
      <c r="A51" s="1"/>
      <c r="B51" s="1"/>
      <c r="C51" s="1"/>
      <c r="D51" s="1"/>
      <c r="E51" s="1"/>
      <c r="F51" s="1"/>
      <c r="G51" s="1"/>
      <c r="H51" s="1"/>
      <c r="I51" s="1"/>
      <c r="J51" s="1"/>
      <c r="K51" s="1"/>
      <c r="L51" s="1"/>
      <c r="M51" s="1"/>
      <c r="N51" s="1"/>
      <c r="O51" s="1"/>
      <c r="P51" s="1"/>
      <c r="Q51" s="1"/>
    </row>
    <row r="52" spans="1:17" x14ac:dyDescent="0.35">
      <c r="A52" s="1"/>
      <c r="B52" s="1"/>
      <c r="C52" s="1"/>
      <c r="D52" s="1"/>
      <c r="E52" s="1"/>
      <c r="F52" s="1"/>
      <c r="G52" s="1"/>
      <c r="H52" s="1"/>
      <c r="I52" s="1"/>
      <c r="J52" s="1"/>
      <c r="K52" s="1"/>
      <c r="L52" s="1"/>
      <c r="M52" s="1"/>
      <c r="N52" s="1"/>
      <c r="O52" s="1"/>
      <c r="P52" s="1"/>
      <c r="Q52" s="1"/>
    </row>
    <row r="53" spans="1:17" x14ac:dyDescent="0.35">
      <c r="A53" s="1"/>
      <c r="B53" s="1"/>
      <c r="C53" s="1"/>
      <c r="D53" s="1"/>
      <c r="E53" s="1"/>
      <c r="F53" s="1"/>
      <c r="G53" s="1"/>
      <c r="H53" s="1"/>
      <c r="I53" s="1"/>
      <c r="J53" s="1"/>
      <c r="K53" s="1"/>
      <c r="L53" s="1"/>
      <c r="M53" s="1"/>
      <c r="N53" s="1"/>
      <c r="O53" s="1"/>
      <c r="P53" s="1"/>
      <c r="Q53" s="1"/>
    </row>
    <row r="54" spans="1:17" x14ac:dyDescent="0.35">
      <c r="A54" s="1"/>
      <c r="B54" s="1"/>
      <c r="C54" s="1"/>
      <c r="D54" s="1"/>
      <c r="E54" s="1"/>
      <c r="F54" s="1"/>
      <c r="G54" s="1"/>
      <c r="H54" s="1"/>
      <c r="I54" s="1"/>
      <c r="J54" s="1"/>
      <c r="K54" s="1"/>
      <c r="L54" s="1"/>
      <c r="M54" s="1"/>
      <c r="N54" s="1"/>
      <c r="O54" s="1"/>
      <c r="P54" s="1"/>
      <c r="Q54" s="1"/>
    </row>
    <row r="55" spans="1:17" x14ac:dyDescent="0.35">
      <c r="A55" s="1"/>
      <c r="B55" s="1"/>
      <c r="C55" s="1"/>
      <c r="D55" s="1"/>
      <c r="E55" s="1"/>
      <c r="F55" s="1"/>
      <c r="G55" s="1"/>
      <c r="H55" s="1"/>
      <c r="I55" s="1"/>
      <c r="J55" s="1"/>
      <c r="K55" s="1"/>
      <c r="L55" s="1"/>
      <c r="M55" s="1"/>
      <c r="N55" s="1"/>
      <c r="O55" s="1"/>
      <c r="P55" s="1"/>
      <c r="Q55" s="1"/>
    </row>
    <row r="56" spans="1:17" x14ac:dyDescent="0.35">
      <c r="A56" s="1"/>
      <c r="B56" s="1"/>
      <c r="C56" s="1"/>
      <c r="D56" s="1"/>
      <c r="E56" s="1"/>
      <c r="F56" s="1"/>
      <c r="G56" s="1"/>
      <c r="H56" s="1"/>
      <c r="I56" s="1"/>
      <c r="J56" s="1"/>
      <c r="K56" s="1"/>
      <c r="L56" s="1"/>
      <c r="M56" s="1"/>
      <c r="N56" s="1"/>
      <c r="O56" s="1"/>
      <c r="P56" s="1"/>
      <c r="Q56" s="1"/>
    </row>
    <row r="57" spans="1:17" x14ac:dyDescent="0.35">
      <c r="A57" s="1"/>
      <c r="B57" s="1"/>
      <c r="C57" s="1"/>
      <c r="D57" s="1"/>
      <c r="E57" s="1"/>
      <c r="F57" s="1"/>
      <c r="G57" s="1"/>
      <c r="H57" s="1"/>
      <c r="I57" s="1"/>
      <c r="J57" s="1"/>
      <c r="K57" s="1"/>
      <c r="L57" s="1"/>
      <c r="M57" s="1"/>
      <c r="N57" s="1"/>
      <c r="O57" s="1"/>
      <c r="P57" s="1"/>
      <c r="Q57" s="1"/>
    </row>
    <row r="58" spans="1:17" x14ac:dyDescent="0.35">
      <c r="A58" s="1"/>
      <c r="B58" s="1"/>
      <c r="C58" s="1"/>
      <c r="D58" s="1"/>
      <c r="E58" s="1"/>
      <c r="F58" s="1"/>
      <c r="G58" s="1"/>
      <c r="H58" s="1"/>
      <c r="I58" s="1"/>
      <c r="J58" s="1"/>
      <c r="K58" s="1"/>
      <c r="L58" s="1"/>
      <c r="M58" s="1"/>
      <c r="N58" s="1"/>
      <c r="O58" s="1"/>
      <c r="P58" s="1"/>
      <c r="Q58" s="1"/>
    </row>
    <row r="59" spans="1:17" x14ac:dyDescent="0.35">
      <c r="A59" s="1"/>
      <c r="B59" s="1"/>
      <c r="C59" s="1"/>
      <c r="D59" s="1"/>
      <c r="E59" s="1"/>
      <c r="F59" s="1"/>
      <c r="G59" s="1"/>
      <c r="H59" s="1"/>
      <c r="I59" s="1"/>
      <c r="J59" s="1"/>
      <c r="K59" s="1"/>
      <c r="L59" s="1"/>
      <c r="M59" s="1"/>
      <c r="N59" s="1"/>
      <c r="O59" s="1"/>
      <c r="P59" s="1"/>
      <c r="Q59" s="1"/>
    </row>
    <row r="60" spans="1:17" x14ac:dyDescent="0.35">
      <c r="A60" s="1"/>
      <c r="B60" s="1"/>
      <c r="C60" s="1"/>
      <c r="D60" s="1"/>
      <c r="E60" s="1"/>
      <c r="F60" s="1"/>
      <c r="G60" s="1"/>
      <c r="H60" s="1"/>
      <c r="I60" s="1"/>
      <c r="J60" s="1"/>
      <c r="K60" s="1"/>
      <c r="L60" s="1"/>
      <c r="M60" s="1"/>
      <c r="N60" s="1"/>
      <c r="O60" s="1"/>
      <c r="P60" s="1"/>
      <c r="Q60" s="1"/>
    </row>
    <row r="61" spans="1:17" x14ac:dyDescent="0.35">
      <c r="A61" s="1"/>
      <c r="B61" s="1"/>
      <c r="C61" s="1"/>
      <c r="D61" s="1"/>
      <c r="E61" s="1"/>
      <c r="F61" s="1"/>
      <c r="G61" s="1"/>
      <c r="H61" s="1"/>
      <c r="I61" s="1"/>
      <c r="J61" s="1"/>
      <c r="K61" s="1"/>
      <c r="L61" s="1"/>
      <c r="M61" s="1"/>
      <c r="N61" s="1"/>
      <c r="O61" s="1"/>
      <c r="P61" s="1"/>
      <c r="Q61" s="1"/>
    </row>
    <row r="62" spans="1:17" x14ac:dyDescent="0.35">
      <c r="A62" s="1"/>
      <c r="B62" s="1"/>
      <c r="C62" s="1"/>
      <c r="D62" s="1"/>
      <c r="E62" s="1"/>
      <c r="F62" s="1"/>
      <c r="G62" s="1"/>
      <c r="H62" s="1"/>
      <c r="I62" s="1"/>
      <c r="J62" s="1"/>
      <c r="K62" s="1"/>
      <c r="L62" s="1"/>
      <c r="M62" s="1"/>
      <c r="N62" s="1"/>
      <c r="O62" s="1"/>
      <c r="P62" s="1"/>
      <c r="Q62" s="1"/>
    </row>
    <row r="63" spans="1:17" x14ac:dyDescent="0.35">
      <c r="A63" s="1"/>
      <c r="B63" s="1"/>
      <c r="C63" s="1"/>
      <c r="D63" s="1"/>
      <c r="E63" s="1"/>
      <c r="F63" s="1"/>
      <c r="G63" s="1"/>
      <c r="H63" s="1"/>
      <c r="I63" s="1"/>
      <c r="J63" s="1"/>
      <c r="K63" s="1"/>
      <c r="L63" s="1"/>
      <c r="M63" s="1"/>
      <c r="N63" s="1"/>
      <c r="O63" s="1"/>
      <c r="P63" s="1"/>
      <c r="Q63" s="1"/>
    </row>
    <row r="64" spans="1:17" x14ac:dyDescent="0.35">
      <c r="A64" s="1"/>
      <c r="B64" s="1"/>
      <c r="C64" s="1"/>
      <c r="D64" s="1"/>
      <c r="E64" s="1"/>
      <c r="F64" s="1"/>
      <c r="G64" s="1"/>
      <c r="H64" s="1"/>
      <c r="I64" s="1"/>
      <c r="J64" s="1"/>
      <c r="K64" s="1"/>
      <c r="L64" s="1"/>
      <c r="M64" s="1"/>
      <c r="N64" s="1"/>
      <c r="O64" s="1"/>
      <c r="P64" s="1"/>
      <c r="Q64" s="1"/>
    </row>
    <row r="65" spans="1:17" x14ac:dyDescent="0.35">
      <c r="A65" s="1"/>
      <c r="B65" s="1"/>
      <c r="C65" s="1"/>
      <c r="D65" s="1"/>
      <c r="E65" s="1"/>
      <c r="F65" s="1"/>
      <c r="G65" s="1"/>
      <c r="H65" s="1"/>
      <c r="I65" s="1"/>
      <c r="J65" s="1"/>
      <c r="K65" s="1"/>
      <c r="L65" s="1"/>
      <c r="M65" s="1"/>
      <c r="N65" s="1"/>
      <c r="O65" s="1"/>
      <c r="P65" s="1"/>
      <c r="Q65" s="1"/>
    </row>
    <row r="66" spans="1:17" x14ac:dyDescent="0.35">
      <c r="A66" s="1"/>
      <c r="B66" s="1"/>
      <c r="C66" s="1"/>
      <c r="D66" s="1"/>
      <c r="E66" s="1"/>
      <c r="F66" s="1"/>
      <c r="G66" s="1"/>
      <c r="H66" s="1"/>
      <c r="I66" s="1"/>
      <c r="J66" s="1"/>
      <c r="K66" s="1"/>
      <c r="L66" s="1"/>
      <c r="M66" s="1"/>
      <c r="N66" s="1"/>
      <c r="O66" s="1"/>
      <c r="P66" s="1"/>
      <c r="Q66" s="1"/>
    </row>
    <row r="67" spans="1:17" x14ac:dyDescent="0.35">
      <c r="A67" s="1"/>
      <c r="B67" s="1"/>
      <c r="C67" s="1"/>
      <c r="D67" s="1"/>
      <c r="E67" s="1"/>
      <c r="F67" s="1"/>
      <c r="G67" s="1"/>
      <c r="H67" s="1"/>
      <c r="I67" s="1"/>
      <c r="J67" s="1"/>
      <c r="K67" s="1"/>
      <c r="L67" s="1"/>
      <c r="M67" s="1"/>
      <c r="N67" s="1"/>
      <c r="O67" s="1"/>
      <c r="P67" s="1"/>
      <c r="Q67" s="1"/>
    </row>
    <row r="68" spans="1:17" x14ac:dyDescent="0.35">
      <c r="A68" s="1"/>
      <c r="B68" s="1"/>
      <c r="C68" s="1"/>
      <c r="D68" s="1"/>
      <c r="E68" s="1"/>
      <c r="F68" s="1"/>
      <c r="G68" s="1"/>
      <c r="H68" s="1"/>
      <c r="I68" s="1"/>
      <c r="J68" s="1"/>
      <c r="K68" s="1"/>
      <c r="L68" s="1"/>
      <c r="M68" s="1"/>
      <c r="N68" s="1"/>
      <c r="O68" s="1"/>
      <c r="P68" s="1"/>
      <c r="Q68" s="1"/>
    </row>
    <row r="69" spans="1:17" x14ac:dyDescent="0.35">
      <c r="A69" s="1"/>
      <c r="B69" s="1"/>
      <c r="C69" s="1"/>
      <c r="D69" s="1"/>
      <c r="E69" s="1"/>
      <c r="F69" s="1"/>
      <c r="G69" s="1"/>
      <c r="H69" s="1"/>
      <c r="I69" s="1"/>
      <c r="J69" s="1"/>
      <c r="K69" s="1"/>
      <c r="L69" s="1"/>
      <c r="M69" s="1"/>
      <c r="N69" s="1"/>
      <c r="O69" s="1"/>
      <c r="P69" s="1"/>
      <c r="Q69" s="1"/>
    </row>
    <row r="70" spans="1:17" x14ac:dyDescent="0.35">
      <c r="A70" s="1"/>
      <c r="B70" s="1"/>
      <c r="C70" s="1"/>
      <c r="D70" s="1"/>
      <c r="E70" s="1"/>
      <c r="F70" s="1"/>
      <c r="G70" s="1"/>
      <c r="H70" s="1"/>
      <c r="I70" s="1"/>
      <c r="J70" s="1"/>
      <c r="K70" s="1"/>
      <c r="L70" s="1"/>
      <c r="M70" s="1"/>
      <c r="N70" s="1"/>
      <c r="O70" s="1"/>
      <c r="P70" s="1"/>
      <c r="Q70" s="1"/>
    </row>
    <row r="71" spans="1:17" x14ac:dyDescent="0.35">
      <c r="A71" s="1"/>
      <c r="B71" s="1"/>
      <c r="C71" s="1"/>
      <c r="D71" s="1"/>
      <c r="E71" s="1"/>
      <c r="F71" s="1"/>
      <c r="G71" s="1"/>
      <c r="H71" s="1"/>
      <c r="I71" s="1"/>
      <c r="J71" s="1"/>
      <c r="K71" s="1"/>
      <c r="L71" s="1"/>
      <c r="M71" s="1"/>
      <c r="N71" s="1"/>
      <c r="O71" s="1"/>
      <c r="P71" s="1"/>
      <c r="Q71" s="1"/>
    </row>
    <row r="72" spans="1:17" x14ac:dyDescent="0.35">
      <c r="A72" s="1"/>
      <c r="B72" s="1"/>
      <c r="C72" s="1"/>
      <c r="D72" s="1"/>
      <c r="E72" s="1"/>
      <c r="F72" s="1"/>
      <c r="G72" s="1"/>
      <c r="H72" s="1"/>
      <c r="I72" s="1"/>
      <c r="J72" s="1"/>
      <c r="K72" s="1"/>
      <c r="L72" s="1"/>
      <c r="M72" s="1"/>
      <c r="N72" s="1"/>
      <c r="O72" s="1"/>
      <c r="P72" s="1"/>
      <c r="Q72" s="1"/>
    </row>
    <row r="73" spans="1:17" x14ac:dyDescent="0.35">
      <c r="A73" s="1"/>
      <c r="B73" s="1"/>
      <c r="C73" s="1"/>
      <c r="D73" s="1"/>
      <c r="E73" s="1"/>
      <c r="F73" s="1"/>
      <c r="G73" s="1"/>
      <c r="H73" s="1"/>
      <c r="I73" s="1"/>
      <c r="J73" s="1"/>
      <c r="K73" s="1"/>
      <c r="L73" s="1"/>
      <c r="M73" s="1"/>
      <c r="N73" s="1"/>
      <c r="O73" s="1"/>
      <c r="P73" s="1"/>
      <c r="Q73" s="1"/>
    </row>
    <row r="74" spans="1:17" x14ac:dyDescent="0.35">
      <c r="A74" s="1"/>
      <c r="B74" s="1"/>
      <c r="C74" s="1"/>
      <c r="D74" s="1"/>
      <c r="E74" s="1"/>
      <c r="F74" s="1"/>
      <c r="G74" s="1"/>
      <c r="H74" s="1"/>
      <c r="I74" s="1"/>
      <c r="J74" s="1"/>
      <c r="K74" s="1"/>
      <c r="L74" s="1"/>
      <c r="M74" s="1"/>
      <c r="N74" s="1"/>
      <c r="O74" s="1"/>
      <c r="P74" s="1"/>
      <c r="Q74" s="1"/>
    </row>
    <row r="75" spans="1:17" x14ac:dyDescent="0.35">
      <c r="A75" s="1"/>
      <c r="B75" s="1"/>
      <c r="C75" s="1"/>
      <c r="D75" s="1"/>
      <c r="E75" s="1"/>
      <c r="F75" s="1"/>
      <c r="G75" s="1"/>
      <c r="H75" s="1"/>
      <c r="I75" s="1"/>
      <c r="J75" s="1"/>
      <c r="K75" s="1"/>
      <c r="L75" s="1"/>
      <c r="M75" s="1"/>
      <c r="N75" s="1"/>
      <c r="O75" s="1"/>
      <c r="P75" s="1"/>
      <c r="Q75" s="1"/>
    </row>
    <row r="76" spans="1:17" x14ac:dyDescent="0.35">
      <c r="A76" s="1"/>
      <c r="B76" s="1"/>
      <c r="C76" s="1"/>
      <c r="D76" s="1"/>
      <c r="E76" s="1"/>
      <c r="F76" s="1"/>
      <c r="G76" s="1"/>
      <c r="H76" s="1"/>
      <c r="I76" s="1"/>
      <c r="J76" s="1"/>
      <c r="K76" s="1"/>
      <c r="L76" s="1"/>
      <c r="M76" s="1"/>
      <c r="N76" s="1"/>
      <c r="O76" s="1"/>
      <c r="P76" s="1"/>
      <c r="Q76" s="1"/>
    </row>
    <row r="77" spans="1:17" x14ac:dyDescent="0.35">
      <c r="A77" s="1"/>
      <c r="B77" s="1"/>
      <c r="C77" s="1"/>
      <c r="D77" s="1"/>
      <c r="E77" s="1"/>
      <c r="F77" s="1"/>
      <c r="G77" s="1"/>
      <c r="H77" s="1"/>
      <c r="I77" s="1"/>
      <c r="J77" s="1"/>
      <c r="K77" s="1"/>
      <c r="L77" s="1"/>
      <c r="M77" s="1"/>
      <c r="N77" s="1"/>
      <c r="O77" s="1"/>
      <c r="P77" s="1"/>
      <c r="Q77" s="1"/>
    </row>
    <row r="78" spans="1:17" x14ac:dyDescent="0.35">
      <c r="A78" s="1"/>
      <c r="B78" s="1"/>
      <c r="C78" s="1"/>
      <c r="D78" s="1"/>
      <c r="E78" s="1"/>
      <c r="F78" s="1"/>
      <c r="G78" s="1"/>
      <c r="H78" s="1"/>
      <c r="I78" s="1"/>
      <c r="J78" s="1"/>
      <c r="K78" s="1"/>
      <c r="L78" s="1"/>
      <c r="M78" s="1"/>
      <c r="N78" s="1"/>
      <c r="O78" s="1"/>
      <c r="P78" s="1"/>
      <c r="Q78" s="1"/>
    </row>
    <row r="79" spans="1:17" x14ac:dyDescent="0.35">
      <c r="A79" s="1"/>
      <c r="B79" s="1"/>
      <c r="C79" s="1"/>
      <c r="D79" s="1"/>
      <c r="E79" s="1"/>
      <c r="F79" s="1"/>
      <c r="G79" s="1"/>
      <c r="H79" s="1"/>
      <c r="I79" s="1"/>
      <c r="J79" s="1"/>
      <c r="K79" s="1"/>
      <c r="L79" s="1"/>
      <c r="M79" s="1"/>
      <c r="N79" s="1"/>
      <c r="O79" s="1"/>
      <c r="P79" s="1"/>
      <c r="Q79" s="1"/>
    </row>
    <row r="80" spans="1:17" x14ac:dyDescent="0.35">
      <c r="A80" s="1"/>
      <c r="B80" s="1"/>
      <c r="C80" s="1"/>
      <c r="D80" s="1"/>
      <c r="E80" s="1"/>
      <c r="F80" s="1"/>
      <c r="G80" s="1"/>
      <c r="H80" s="1"/>
      <c r="I80" s="1"/>
      <c r="J80" s="1"/>
      <c r="K80" s="1"/>
      <c r="L80" s="1"/>
      <c r="M80" s="1"/>
      <c r="N80" s="1"/>
      <c r="O80" s="1"/>
      <c r="P80" s="1"/>
      <c r="Q80" s="1"/>
    </row>
    <row r="81" spans="1:17" x14ac:dyDescent="0.35">
      <c r="A81" s="1"/>
      <c r="B81" s="1"/>
      <c r="C81" s="1"/>
      <c r="D81" s="1"/>
      <c r="E81" s="1"/>
      <c r="F81" s="1"/>
      <c r="G81" s="1"/>
      <c r="H81" s="1"/>
      <c r="I81" s="1"/>
      <c r="J81" s="1"/>
      <c r="K81" s="1"/>
      <c r="L81" s="1"/>
      <c r="M81" s="1"/>
      <c r="N81" s="1"/>
      <c r="O81" s="1"/>
      <c r="P81" s="1"/>
      <c r="Q81" s="1"/>
    </row>
    <row r="82" spans="1:17" x14ac:dyDescent="0.35">
      <c r="A82" s="1"/>
      <c r="B82" s="1"/>
      <c r="C82" s="1"/>
      <c r="D82" s="1"/>
      <c r="E82" s="1"/>
      <c r="F82" s="1"/>
      <c r="G82" s="1"/>
      <c r="H82" s="1"/>
      <c r="I82" s="1"/>
      <c r="J82" s="1"/>
      <c r="K82" s="1"/>
      <c r="L82" s="1"/>
      <c r="M82" s="1"/>
      <c r="N82" s="1"/>
      <c r="O82" s="1"/>
      <c r="P82" s="1"/>
      <c r="Q82" s="1"/>
    </row>
    <row r="83" spans="1:17" x14ac:dyDescent="0.35">
      <c r="A83" s="1"/>
      <c r="B83" s="1"/>
      <c r="C83" s="1"/>
      <c r="D83" s="1"/>
      <c r="E83" s="1"/>
      <c r="F83" s="1"/>
      <c r="G83" s="1"/>
      <c r="H83" s="1"/>
      <c r="I83" s="1"/>
      <c r="J83" s="1"/>
      <c r="K83" s="1"/>
      <c r="L83" s="1"/>
      <c r="M83" s="1"/>
      <c r="N83" s="1"/>
      <c r="O83" s="1"/>
      <c r="P83" s="1"/>
      <c r="Q83" s="1"/>
    </row>
    <row r="84" spans="1:17" x14ac:dyDescent="0.35">
      <c r="A84" s="1"/>
      <c r="B84" s="1"/>
      <c r="C84" s="1"/>
      <c r="D84" s="1"/>
      <c r="E84" s="1"/>
      <c r="F84" s="1"/>
      <c r="G84" s="1"/>
      <c r="H84" s="1"/>
      <c r="I84" s="1"/>
      <c r="J84" s="1"/>
      <c r="K84" s="1"/>
      <c r="L84" s="1"/>
      <c r="M84" s="1"/>
      <c r="N84" s="1"/>
      <c r="O84" s="1"/>
      <c r="P84" s="1"/>
      <c r="Q84" s="1"/>
    </row>
    <row r="85" spans="1:17" x14ac:dyDescent="0.35">
      <c r="A85" s="1"/>
      <c r="B85" s="1"/>
      <c r="C85" s="1"/>
      <c r="D85" s="1"/>
      <c r="E85" s="1"/>
      <c r="F85" s="1"/>
      <c r="G85" s="1"/>
      <c r="H85" s="1"/>
      <c r="I85" s="1"/>
      <c r="J85" s="1"/>
      <c r="K85" s="1"/>
      <c r="L85" s="1"/>
      <c r="M85" s="1"/>
      <c r="N85" s="1"/>
      <c r="O85" s="1"/>
      <c r="P85" s="1"/>
      <c r="Q85" s="1"/>
    </row>
    <row r="86" spans="1:17" x14ac:dyDescent="0.35">
      <c r="A86" s="1"/>
      <c r="B86" s="1"/>
      <c r="C86" s="1"/>
      <c r="D86" s="1"/>
      <c r="E86" s="1"/>
      <c r="F86" s="1"/>
      <c r="G86" s="1"/>
      <c r="H86" s="1"/>
      <c r="I86" s="1"/>
      <c r="J86" s="1"/>
      <c r="K86" s="1"/>
      <c r="L86" s="1"/>
      <c r="M86" s="1"/>
      <c r="N86" s="1"/>
      <c r="O86" s="1"/>
      <c r="P86" s="1"/>
      <c r="Q86" s="1"/>
    </row>
    <row r="87" spans="1:17" x14ac:dyDescent="0.35">
      <c r="A87" s="1"/>
      <c r="B87" s="1"/>
      <c r="C87" s="1"/>
      <c r="D87" s="1"/>
      <c r="E87" s="1"/>
      <c r="F87" s="1"/>
      <c r="G87" s="1"/>
      <c r="H87" s="1"/>
      <c r="I87" s="1"/>
      <c r="J87" s="1"/>
      <c r="K87" s="1"/>
      <c r="L87" s="1"/>
      <c r="M87" s="1"/>
      <c r="N87" s="1"/>
      <c r="O87" s="1"/>
      <c r="P87" s="1"/>
      <c r="Q87" s="1"/>
    </row>
    <row r="88" spans="1:17" x14ac:dyDescent="0.35">
      <c r="A88" s="1"/>
      <c r="B88" s="1"/>
      <c r="C88" s="1"/>
      <c r="D88" s="1"/>
      <c r="E88" s="1"/>
      <c r="F88" s="1"/>
      <c r="G88" s="1"/>
      <c r="H88" s="1"/>
      <c r="I88" s="1"/>
      <c r="J88" s="1"/>
      <c r="K88" s="1"/>
      <c r="L88" s="1"/>
      <c r="M88" s="1"/>
      <c r="N88" s="1"/>
      <c r="O88" s="1"/>
      <c r="P88" s="1"/>
      <c r="Q88" s="1"/>
    </row>
    <row r="89" spans="1:17" x14ac:dyDescent="0.35">
      <c r="A89" s="1"/>
      <c r="B89" s="1"/>
      <c r="C89" s="1"/>
      <c r="D89" s="1"/>
      <c r="E89" s="1"/>
      <c r="F89" s="1"/>
      <c r="G89" s="1"/>
      <c r="H89" s="1"/>
      <c r="I89" s="1"/>
      <c r="J89" s="1"/>
      <c r="K89" s="1"/>
      <c r="L89" s="1"/>
      <c r="M89" s="1"/>
      <c r="N89" s="1"/>
      <c r="O89" s="1"/>
      <c r="P89" s="1"/>
      <c r="Q89" s="1"/>
    </row>
    <row r="90" spans="1:17" x14ac:dyDescent="0.35">
      <c r="A90" s="1"/>
      <c r="B90" s="1"/>
      <c r="C90" s="1"/>
      <c r="D90" s="1"/>
      <c r="E90" s="1"/>
      <c r="F90" s="1"/>
      <c r="G90" s="1"/>
      <c r="H90" s="1"/>
      <c r="I90" s="1"/>
      <c r="J90" s="1"/>
      <c r="K90" s="1"/>
      <c r="L90" s="1"/>
      <c r="M90" s="1"/>
      <c r="N90" s="1"/>
      <c r="O90" s="1"/>
      <c r="P90" s="1"/>
      <c r="Q90" s="1"/>
    </row>
    <row r="91" spans="1:17" x14ac:dyDescent="0.35">
      <c r="A91" s="1"/>
      <c r="B91" s="1"/>
      <c r="C91" s="1"/>
      <c r="D91" s="1"/>
      <c r="E91" s="1"/>
      <c r="F91" s="1"/>
      <c r="G91" s="1"/>
      <c r="H91" s="1"/>
      <c r="I91" s="1"/>
      <c r="J91" s="1"/>
      <c r="K91" s="1"/>
      <c r="L91" s="1"/>
      <c r="M91" s="1"/>
      <c r="N91" s="1"/>
      <c r="O91" s="1"/>
      <c r="P91" s="1"/>
      <c r="Q91" s="1"/>
    </row>
    <row r="92" spans="1:17" x14ac:dyDescent="0.35">
      <c r="A92" s="1"/>
      <c r="B92" s="1"/>
      <c r="C92" s="1"/>
      <c r="D92" s="1"/>
      <c r="E92" s="1"/>
      <c r="F92" s="1"/>
      <c r="G92" s="1"/>
      <c r="H92" s="1"/>
      <c r="I92" s="1"/>
      <c r="J92" s="1"/>
      <c r="K92" s="1"/>
      <c r="L92" s="1"/>
      <c r="M92" s="1"/>
      <c r="N92" s="1"/>
      <c r="O92" s="1"/>
      <c r="P92" s="1"/>
      <c r="Q92" s="1"/>
    </row>
    <row r="93" spans="1:17" x14ac:dyDescent="0.35">
      <c r="A93" s="1"/>
      <c r="B93" s="1"/>
      <c r="C93" s="1"/>
      <c r="D93" s="1"/>
      <c r="E93" s="1"/>
      <c r="F93" s="1"/>
      <c r="G93" s="1"/>
      <c r="H93" s="1"/>
      <c r="I93" s="1"/>
      <c r="J93" s="1"/>
      <c r="K93" s="1"/>
      <c r="L93" s="1"/>
      <c r="M93" s="1"/>
      <c r="N93" s="1"/>
      <c r="O93" s="1"/>
      <c r="P93" s="1"/>
      <c r="Q93" s="1"/>
    </row>
    <row r="94" spans="1:17" x14ac:dyDescent="0.35">
      <c r="A94" s="1"/>
      <c r="B94" s="1"/>
      <c r="C94" s="1"/>
      <c r="D94" s="1"/>
      <c r="E94" s="1"/>
      <c r="F94" s="1"/>
      <c r="G94" s="1"/>
      <c r="H94" s="1"/>
      <c r="I94" s="1"/>
      <c r="J94" s="1"/>
      <c r="K94" s="1"/>
      <c r="L94" s="1"/>
      <c r="M94" s="1"/>
      <c r="N94" s="1"/>
      <c r="O94" s="1"/>
      <c r="P94" s="1"/>
      <c r="Q94" s="1"/>
    </row>
    <row r="95" spans="1:17" x14ac:dyDescent="0.35">
      <c r="A95" s="1"/>
      <c r="B95" s="1"/>
      <c r="C95" s="1"/>
      <c r="D95" s="1"/>
      <c r="E95" s="1"/>
      <c r="F95" s="1"/>
      <c r="G95" s="1"/>
      <c r="H95" s="1"/>
      <c r="I95" s="1"/>
      <c r="J95" s="1"/>
      <c r="K95" s="1"/>
      <c r="L95" s="1"/>
      <c r="M95" s="1"/>
      <c r="N95" s="1"/>
      <c r="O95" s="1"/>
      <c r="P95" s="1"/>
      <c r="Q95" s="1"/>
    </row>
    <row r="96" spans="1:17" x14ac:dyDescent="0.35">
      <c r="A96" s="1"/>
      <c r="B96" s="1"/>
      <c r="C96" s="1"/>
      <c r="D96" s="1"/>
      <c r="E96" s="1"/>
      <c r="F96" s="1"/>
      <c r="G96" s="1"/>
      <c r="H96" s="1"/>
      <c r="I96" s="1"/>
      <c r="J96" s="1"/>
      <c r="K96" s="1"/>
      <c r="L96" s="1"/>
      <c r="M96" s="1"/>
      <c r="N96" s="1"/>
      <c r="O96" s="1"/>
      <c r="P96" s="1"/>
      <c r="Q96" s="1"/>
    </row>
    <row r="97" spans="1:17" x14ac:dyDescent="0.35">
      <c r="A97" s="1"/>
      <c r="B97" s="1"/>
      <c r="C97" s="1"/>
      <c r="D97" s="1"/>
      <c r="E97" s="1"/>
      <c r="F97" s="1"/>
      <c r="G97" s="1"/>
      <c r="H97" s="1"/>
      <c r="I97" s="1"/>
      <c r="J97" s="1"/>
      <c r="K97" s="1"/>
      <c r="L97" s="1"/>
      <c r="M97" s="1"/>
      <c r="N97" s="1"/>
      <c r="O97" s="1"/>
      <c r="P97" s="1"/>
      <c r="Q97" s="1"/>
    </row>
    <row r="98" spans="1:17" x14ac:dyDescent="0.35">
      <c r="A98" s="1"/>
      <c r="B98" s="1"/>
      <c r="C98" s="1"/>
      <c r="D98" s="1"/>
      <c r="E98" s="1"/>
      <c r="F98" s="1"/>
      <c r="G98" s="1"/>
      <c r="H98" s="1"/>
      <c r="I98" s="1"/>
      <c r="J98" s="1"/>
      <c r="K98" s="1"/>
      <c r="L98" s="1"/>
      <c r="M98" s="1"/>
      <c r="N98" s="1"/>
      <c r="O98" s="1"/>
      <c r="P98" s="1"/>
      <c r="Q98" s="1"/>
    </row>
    <row r="99" spans="1:17" x14ac:dyDescent="0.35">
      <c r="A99" s="1"/>
      <c r="B99" s="1"/>
      <c r="C99" s="1"/>
      <c r="D99" s="1"/>
      <c r="E99" s="1"/>
      <c r="F99" s="1"/>
      <c r="G99" s="1"/>
      <c r="H99" s="1"/>
      <c r="I99" s="1"/>
      <c r="J99" s="1"/>
      <c r="K99" s="1"/>
      <c r="L99" s="1"/>
      <c r="M99" s="1"/>
      <c r="N99" s="1"/>
      <c r="O99" s="1"/>
      <c r="P99" s="1"/>
      <c r="Q99" s="1"/>
    </row>
    <row r="100" spans="1:17" x14ac:dyDescent="0.35">
      <c r="A100" s="1"/>
      <c r="B100" s="1"/>
      <c r="C100" s="1"/>
      <c r="D100" s="1"/>
      <c r="E100" s="1"/>
      <c r="F100" s="1"/>
      <c r="G100" s="1"/>
      <c r="H100" s="1"/>
      <c r="I100" s="1"/>
      <c r="J100" s="1"/>
      <c r="K100" s="1"/>
      <c r="L100" s="1"/>
      <c r="M100" s="1"/>
      <c r="N100" s="1"/>
      <c r="O100" s="1"/>
      <c r="P100" s="1"/>
      <c r="Q100" s="1"/>
    </row>
    <row r="101" spans="1:17" x14ac:dyDescent="0.35">
      <c r="A101" s="1"/>
      <c r="B101" s="1"/>
      <c r="C101" s="1"/>
      <c r="D101" s="1"/>
      <c r="E101" s="1"/>
      <c r="F101" s="1"/>
      <c r="G101" s="1"/>
      <c r="H101" s="1"/>
      <c r="I101" s="1"/>
      <c r="J101" s="1"/>
      <c r="K101" s="1"/>
      <c r="L101" s="1"/>
      <c r="M101" s="1"/>
      <c r="N101" s="1"/>
      <c r="O101" s="1"/>
      <c r="P101" s="1"/>
      <c r="Q101" s="1"/>
    </row>
    <row r="102" spans="1:17" x14ac:dyDescent="0.35">
      <c r="A102" s="1"/>
      <c r="B102" s="1"/>
      <c r="C102" s="1"/>
      <c r="D102" s="1"/>
      <c r="E102" s="1"/>
      <c r="F102" s="1"/>
      <c r="G102" s="1"/>
      <c r="H102" s="1"/>
      <c r="I102" s="1"/>
      <c r="J102" s="1"/>
      <c r="K102" s="1"/>
      <c r="L102" s="1"/>
      <c r="M102" s="1"/>
      <c r="N102" s="1"/>
      <c r="O102" s="1"/>
      <c r="P102" s="1"/>
      <c r="Q102" s="1"/>
    </row>
    <row r="103" spans="1:17" x14ac:dyDescent="0.35">
      <c r="A103" s="1"/>
      <c r="B103" s="1"/>
      <c r="C103" s="1"/>
      <c r="D103" s="1"/>
      <c r="E103" s="1"/>
      <c r="F103" s="1"/>
      <c r="G103" s="1"/>
      <c r="H103" s="1"/>
      <c r="I103" s="1"/>
      <c r="J103" s="1"/>
      <c r="K103" s="1"/>
      <c r="L103" s="1"/>
      <c r="M103" s="1"/>
      <c r="N103" s="1"/>
      <c r="O103" s="1"/>
      <c r="P103" s="1"/>
      <c r="Q103" s="1"/>
    </row>
    <row r="104" spans="1:17" x14ac:dyDescent="0.35">
      <c r="A104" s="1"/>
      <c r="B104" s="1"/>
      <c r="C104" s="1"/>
      <c r="D104" s="1"/>
      <c r="E104" s="1"/>
      <c r="F104" s="1"/>
      <c r="G104" s="1"/>
      <c r="H104" s="1"/>
      <c r="I104" s="1"/>
      <c r="J104" s="1"/>
      <c r="K104" s="1"/>
      <c r="L104" s="1"/>
      <c r="M104" s="1"/>
      <c r="N104" s="1"/>
      <c r="O104" s="1"/>
      <c r="P104" s="1"/>
      <c r="Q104" s="1"/>
    </row>
    <row r="105" spans="1:17" x14ac:dyDescent="0.35">
      <c r="A105" s="1"/>
      <c r="B105" s="1"/>
      <c r="C105" s="1"/>
      <c r="D105" s="1"/>
      <c r="E105" s="1"/>
      <c r="F105" s="1"/>
      <c r="G105" s="1"/>
      <c r="H105" s="1"/>
      <c r="I105" s="1"/>
      <c r="J105" s="1"/>
      <c r="K105" s="1"/>
      <c r="L105" s="1"/>
      <c r="M105" s="1"/>
      <c r="N105" s="1"/>
      <c r="O105" s="1"/>
      <c r="P105" s="1"/>
      <c r="Q105" s="1"/>
    </row>
    <row r="106" spans="1:17" x14ac:dyDescent="0.35">
      <c r="A106" s="1"/>
      <c r="B106" s="1"/>
      <c r="C106" s="1"/>
      <c r="D106" s="1"/>
      <c r="E106" s="1"/>
      <c r="F106" s="1"/>
      <c r="G106" s="1"/>
      <c r="H106" s="1"/>
      <c r="I106" s="1"/>
      <c r="J106" s="1"/>
      <c r="K106" s="1"/>
      <c r="L106" s="1"/>
      <c r="M106" s="1"/>
      <c r="N106" s="1"/>
      <c r="O106" s="1"/>
      <c r="P106" s="1"/>
      <c r="Q106" s="1"/>
    </row>
    <row r="107" spans="1:17" x14ac:dyDescent="0.35">
      <c r="A107" s="1"/>
      <c r="B107" s="1"/>
      <c r="C107" s="1"/>
      <c r="D107" s="1"/>
      <c r="E107" s="1"/>
      <c r="F107" s="1"/>
      <c r="G107" s="1"/>
      <c r="H107" s="1"/>
      <c r="I107" s="1"/>
      <c r="J107" s="1"/>
      <c r="K107" s="1"/>
      <c r="L107" s="1"/>
      <c r="M107" s="1"/>
      <c r="N107" s="1"/>
      <c r="O107" s="1"/>
      <c r="P107" s="1"/>
      <c r="Q107" s="1"/>
    </row>
    <row r="108" spans="1:17" x14ac:dyDescent="0.35">
      <c r="A108" s="1"/>
      <c r="B108" s="1"/>
      <c r="C108" s="1"/>
      <c r="D108" s="1"/>
      <c r="E108" s="1"/>
      <c r="F108" s="1"/>
      <c r="G108" s="1"/>
      <c r="H108" s="1"/>
      <c r="I108" s="1"/>
      <c r="J108" s="1"/>
      <c r="K108" s="1"/>
      <c r="L108" s="1"/>
      <c r="M108" s="1"/>
      <c r="N108" s="1"/>
      <c r="O108" s="1"/>
      <c r="P108" s="1"/>
      <c r="Q108" s="1"/>
    </row>
    <row r="109" spans="1:17" x14ac:dyDescent="0.35">
      <c r="A109" s="1"/>
      <c r="B109" s="1"/>
      <c r="C109" s="1"/>
      <c r="D109" s="1"/>
      <c r="E109" s="1"/>
      <c r="F109" s="1"/>
      <c r="G109" s="1"/>
      <c r="H109" s="1"/>
      <c r="I109" s="1"/>
      <c r="J109" s="1"/>
      <c r="K109" s="1"/>
      <c r="L109" s="1"/>
      <c r="M109" s="1"/>
      <c r="N109" s="1"/>
      <c r="O109" s="1"/>
      <c r="P109" s="1"/>
      <c r="Q109" s="1"/>
    </row>
    <row r="110" spans="1:17" x14ac:dyDescent="0.35">
      <c r="A110" s="1"/>
      <c r="B110" s="1"/>
      <c r="C110" s="1"/>
      <c r="D110" s="1"/>
      <c r="E110" s="1"/>
      <c r="F110" s="1"/>
      <c r="G110" s="1"/>
      <c r="H110" s="1"/>
      <c r="I110" s="1"/>
      <c r="J110" s="1"/>
      <c r="K110" s="1"/>
      <c r="L110" s="1"/>
      <c r="M110" s="1"/>
      <c r="N110" s="1"/>
      <c r="O110" s="1"/>
      <c r="P110" s="1"/>
      <c r="Q110" s="1"/>
    </row>
    <row r="111" spans="1:17" x14ac:dyDescent="0.35">
      <c r="A111" s="1"/>
      <c r="B111" s="1"/>
      <c r="C111" s="1"/>
      <c r="D111" s="1"/>
      <c r="E111" s="1"/>
      <c r="F111" s="1"/>
      <c r="G111" s="1"/>
      <c r="H111" s="1"/>
      <c r="I111" s="1"/>
      <c r="J111" s="1"/>
      <c r="K111" s="1"/>
      <c r="L111" s="1"/>
      <c r="M111" s="1"/>
      <c r="N111" s="1"/>
      <c r="O111" s="1"/>
      <c r="P111" s="1"/>
      <c r="Q111" s="1"/>
    </row>
    <row r="112" spans="1:17" x14ac:dyDescent="0.35">
      <c r="A112" s="1"/>
      <c r="B112" s="1"/>
      <c r="C112" s="1"/>
      <c r="D112" s="1"/>
      <c r="E112" s="1"/>
      <c r="F112" s="1"/>
      <c r="G112" s="1"/>
      <c r="H112" s="1"/>
      <c r="I112" s="1"/>
      <c r="J112" s="1"/>
      <c r="K112" s="1"/>
      <c r="L112" s="1"/>
      <c r="M112" s="1"/>
      <c r="N112" s="1"/>
      <c r="O112" s="1"/>
      <c r="P112" s="1"/>
      <c r="Q112" s="1"/>
    </row>
    <row r="113" spans="1:17" x14ac:dyDescent="0.35">
      <c r="A113" s="1"/>
      <c r="B113" s="1"/>
      <c r="C113" s="1"/>
      <c r="D113" s="1"/>
      <c r="E113" s="1"/>
      <c r="F113" s="1"/>
      <c r="G113" s="1"/>
      <c r="H113" s="1"/>
      <c r="I113" s="1"/>
      <c r="J113" s="1"/>
      <c r="K113" s="1"/>
      <c r="L113" s="1"/>
      <c r="M113" s="1"/>
      <c r="N113" s="1"/>
      <c r="O113" s="1"/>
      <c r="P113" s="1"/>
      <c r="Q113" s="1"/>
    </row>
    <row r="114" spans="1:17" x14ac:dyDescent="0.35">
      <c r="A114" s="1"/>
      <c r="B114" s="1"/>
      <c r="C114" s="1"/>
      <c r="D114" s="1"/>
      <c r="E114" s="1"/>
      <c r="F114" s="1"/>
      <c r="G114" s="1"/>
      <c r="H114" s="1"/>
      <c r="I114" s="1"/>
      <c r="J114" s="1"/>
      <c r="K114" s="1"/>
      <c r="L114" s="1"/>
      <c r="M114" s="1"/>
      <c r="N114" s="1"/>
      <c r="O114" s="1"/>
      <c r="P114" s="1"/>
      <c r="Q114" s="1"/>
    </row>
    <row r="115" spans="1:17" x14ac:dyDescent="0.35">
      <c r="A115" s="1"/>
      <c r="B115" s="1"/>
      <c r="C115" s="1"/>
      <c r="D115" s="1"/>
      <c r="E115" s="1"/>
      <c r="F115" s="1"/>
      <c r="G115" s="1"/>
      <c r="H115" s="1"/>
      <c r="I115" s="1"/>
      <c r="J115" s="1"/>
      <c r="K115" s="1"/>
      <c r="L115" s="1"/>
      <c r="M115" s="1"/>
      <c r="N115" s="1"/>
      <c r="O115" s="1"/>
      <c r="P115" s="1"/>
      <c r="Q115" s="1"/>
    </row>
    <row r="116" spans="1:17" x14ac:dyDescent="0.35">
      <c r="A116" s="1"/>
      <c r="B116" s="1"/>
      <c r="C116" s="1"/>
      <c r="D116" s="1"/>
      <c r="E116" s="1"/>
      <c r="F116" s="1"/>
      <c r="G116" s="1"/>
      <c r="H116" s="1"/>
      <c r="I116" s="1"/>
      <c r="J116" s="1"/>
      <c r="K116" s="1"/>
      <c r="L116" s="1"/>
      <c r="M116" s="1"/>
      <c r="N116" s="1"/>
      <c r="O116" s="1"/>
      <c r="P116" s="1"/>
      <c r="Q116" s="1"/>
    </row>
    <row r="117" spans="1:17" x14ac:dyDescent="0.35">
      <c r="A117" s="1"/>
      <c r="B117" s="1"/>
      <c r="C117" s="1"/>
      <c r="D117" s="1"/>
      <c r="E117" s="1"/>
      <c r="F117" s="1"/>
      <c r="G117" s="1"/>
      <c r="H117" s="1"/>
      <c r="I117" s="1"/>
      <c r="J117" s="1"/>
      <c r="K117" s="1"/>
      <c r="L117" s="1"/>
      <c r="M117" s="1"/>
      <c r="N117" s="1"/>
      <c r="O117" s="1"/>
      <c r="P117" s="1"/>
      <c r="Q117" s="1"/>
    </row>
    <row r="118" spans="1:17" x14ac:dyDescent="0.35">
      <c r="A118" s="1"/>
      <c r="B118" s="1"/>
      <c r="C118" s="1"/>
      <c r="D118" s="1"/>
      <c r="E118" s="1"/>
      <c r="F118" s="1"/>
      <c r="G118" s="1"/>
      <c r="H118" s="1"/>
      <c r="I118" s="1"/>
      <c r="J118" s="1"/>
      <c r="K118" s="1"/>
      <c r="L118" s="1"/>
      <c r="M118" s="1"/>
      <c r="N118" s="1"/>
      <c r="O118" s="1"/>
      <c r="P118" s="1"/>
      <c r="Q118" s="1"/>
    </row>
    <row r="119" spans="1:17" x14ac:dyDescent="0.35">
      <c r="A119" s="1"/>
      <c r="B119" s="1"/>
      <c r="C119" s="1"/>
      <c r="D119" s="1"/>
      <c r="E119" s="1"/>
      <c r="F119" s="1"/>
      <c r="G119" s="1"/>
      <c r="H119" s="1"/>
      <c r="I119" s="1"/>
      <c r="J119" s="1"/>
      <c r="K119" s="1"/>
      <c r="L119" s="1"/>
      <c r="M119" s="1"/>
      <c r="N119" s="1"/>
      <c r="O119" s="1"/>
      <c r="P119" s="1"/>
      <c r="Q119" s="1"/>
    </row>
    <row r="120" spans="1:17" x14ac:dyDescent="0.35">
      <c r="A120" s="1"/>
      <c r="B120" s="1"/>
      <c r="C120" s="1"/>
      <c r="D120" s="1"/>
      <c r="E120" s="1"/>
      <c r="F120" s="1"/>
      <c r="G120" s="1"/>
      <c r="H120" s="1"/>
      <c r="I120" s="1"/>
      <c r="J120" s="1"/>
      <c r="K120" s="1"/>
      <c r="L120" s="1"/>
      <c r="M120" s="1"/>
      <c r="N120" s="1"/>
      <c r="O120" s="1"/>
      <c r="P120" s="1"/>
      <c r="Q120" s="1"/>
    </row>
    <row r="121" spans="1:17" x14ac:dyDescent="0.35">
      <c r="A121" s="1"/>
      <c r="B121" s="1"/>
      <c r="C121" s="1"/>
      <c r="D121" s="1"/>
      <c r="E121" s="1"/>
      <c r="F121" s="1"/>
      <c r="G121" s="1"/>
      <c r="H121" s="1"/>
      <c r="I121" s="1"/>
      <c r="J121" s="1"/>
      <c r="K121" s="1"/>
      <c r="L121" s="1"/>
      <c r="M121" s="1"/>
      <c r="N121" s="1"/>
      <c r="O121" s="1"/>
      <c r="P121" s="1"/>
      <c r="Q121" s="1"/>
    </row>
    <row r="122" spans="1:17" x14ac:dyDescent="0.35">
      <c r="A122" s="1"/>
      <c r="B122" s="1"/>
      <c r="C122" s="1"/>
      <c r="D122" s="1"/>
      <c r="E122" s="1"/>
      <c r="F122" s="1"/>
      <c r="G122" s="1"/>
      <c r="H122" s="1"/>
      <c r="I122" s="1"/>
      <c r="J122" s="1"/>
      <c r="K122" s="1"/>
      <c r="L122" s="1"/>
      <c r="M122" s="1"/>
      <c r="N122" s="1"/>
      <c r="O122" s="1"/>
      <c r="P122" s="1"/>
      <c r="Q122" s="1"/>
    </row>
    <row r="123" spans="1:17" x14ac:dyDescent="0.35">
      <c r="A123" s="1"/>
      <c r="B123" s="1"/>
      <c r="C123" s="1"/>
      <c r="D123" s="1"/>
      <c r="E123" s="1"/>
      <c r="F123" s="1"/>
      <c r="G123" s="1"/>
      <c r="H123" s="1"/>
      <c r="I123" s="1"/>
      <c r="J123" s="1"/>
      <c r="K123" s="1"/>
      <c r="L123" s="1"/>
      <c r="M123" s="1"/>
      <c r="N123" s="1"/>
      <c r="O123" s="1"/>
      <c r="P123" s="1"/>
      <c r="Q123" s="1"/>
    </row>
    <row r="124" spans="1:17" x14ac:dyDescent="0.35">
      <c r="A124" s="1"/>
      <c r="B124" s="1"/>
      <c r="C124" s="1"/>
      <c r="D124" s="1"/>
      <c r="E124" s="1"/>
      <c r="F124" s="1"/>
      <c r="G124" s="1"/>
      <c r="H124" s="1"/>
      <c r="I124" s="1"/>
      <c r="J124" s="1"/>
      <c r="K124" s="1"/>
      <c r="L124" s="1"/>
      <c r="M124" s="1"/>
      <c r="N124" s="1"/>
      <c r="O124" s="1"/>
      <c r="P124" s="1"/>
      <c r="Q124" s="1"/>
    </row>
    <row r="125" spans="1:17" x14ac:dyDescent="0.35">
      <c r="A125" s="1"/>
      <c r="B125" s="1"/>
      <c r="C125" s="1"/>
      <c r="D125" s="1"/>
      <c r="E125" s="1"/>
      <c r="F125" s="1"/>
      <c r="G125" s="1"/>
      <c r="H125" s="1"/>
      <c r="I125" s="1"/>
      <c r="J125" s="1"/>
      <c r="K125" s="1"/>
      <c r="L125" s="1"/>
      <c r="M125" s="1"/>
      <c r="N125" s="1"/>
      <c r="O125" s="1"/>
      <c r="P125" s="1"/>
      <c r="Q125" s="1"/>
    </row>
    <row r="126" spans="1:17" x14ac:dyDescent="0.35">
      <c r="A126" s="1"/>
      <c r="B126" s="1"/>
      <c r="C126" s="1"/>
      <c r="D126" s="1"/>
      <c r="E126" s="1"/>
      <c r="F126" s="1"/>
      <c r="G126" s="1"/>
      <c r="H126" s="1"/>
      <c r="I126" s="1"/>
      <c r="J126" s="1"/>
      <c r="K126" s="1"/>
      <c r="L126" s="1"/>
      <c r="M126" s="1"/>
      <c r="N126" s="1"/>
      <c r="O126" s="1"/>
      <c r="P126" s="1"/>
      <c r="Q126" s="1"/>
    </row>
    <row r="127" spans="1:17" x14ac:dyDescent="0.35">
      <c r="A127" s="1"/>
      <c r="B127" s="1"/>
      <c r="C127" s="1"/>
      <c r="D127" s="1"/>
      <c r="E127" s="1"/>
      <c r="F127" s="1"/>
      <c r="G127" s="1"/>
      <c r="H127" s="1"/>
      <c r="I127" s="1"/>
      <c r="J127" s="1"/>
      <c r="K127" s="1"/>
      <c r="L127" s="1"/>
      <c r="M127" s="1"/>
      <c r="N127" s="1"/>
      <c r="O127" s="1"/>
      <c r="P127" s="1"/>
      <c r="Q127" s="1"/>
    </row>
    <row r="128" spans="1:17" x14ac:dyDescent="0.35">
      <c r="A128" s="1"/>
      <c r="B128" s="1"/>
      <c r="C128" s="1"/>
      <c r="D128" s="1"/>
      <c r="E128" s="1"/>
      <c r="F128" s="1"/>
      <c r="G128" s="1"/>
      <c r="H128" s="1"/>
      <c r="I128" s="1"/>
      <c r="J128" s="1"/>
      <c r="K128" s="1"/>
      <c r="L128" s="1"/>
      <c r="M128" s="1"/>
      <c r="N128" s="1"/>
      <c r="O128" s="1"/>
      <c r="P128" s="1"/>
      <c r="Q128" s="1"/>
    </row>
    <row r="129" spans="1:17" x14ac:dyDescent="0.35">
      <c r="A129" s="1"/>
      <c r="B129" s="1"/>
      <c r="C129" s="1"/>
      <c r="D129" s="1"/>
      <c r="E129" s="1"/>
      <c r="F129" s="1"/>
      <c r="G129" s="1"/>
      <c r="H129" s="1"/>
      <c r="I129" s="1"/>
      <c r="J129" s="1"/>
      <c r="K129" s="1"/>
      <c r="L129" s="1"/>
      <c r="M129" s="1"/>
      <c r="N129" s="1"/>
      <c r="O129" s="1"/>
      <c r="P129" s="1"/>
      <c r="Q129" s="1"/>
    </row>
    <row r="130" spans="1:17" x14ac:dyDescent="0.35">
      <c r="A130" s="1"/>
      <c r="B130" s="1"/>
      <c r="C130" s="1"/>
      <c r="D130" s="1"/>
      <c r="E130" s="1"/>
      <c r="F130" s="1"/>
      <c r="G130" s="1"/>
      <c r="H130" s="1"/>
      <c r="I130" s="1"/>
      <c r="J130" s="1"/>
      <c r="K130" s="1"/>
      <c r="L130" s="1"/>
      <c r="M130" s="1"/>
      <c r="N130" s="1"/>
      <c r="O130" s="1"/>
      <c r="P130" s="1"/>
      <c r="Q130" s="1"/>
    </row>
    <row r="131" spans="1:17" x14ac:dyDescent="0.35">
      <c r="A131" s="1"/>
      <c r="B131" s="1"/>
      <c r="C131" s="1"/>
      <c r="D131" s="1"/>
      <c r="E131" s="1"/>
      <c r="F131" s="1"/>
      <c r="G131" s="1"/>
      <c r="H131" s="1"/>
      <c r="I131" s="1"/>
      <c r="J131" s="1"/>
      <c r="K131" s="1"/>
      <c r="L131" s="1"/>
      <c r="M131" s="1"/>
      <c r="N131" s="1"/>
      <c r="O131" s="1"/>
      <c r="P131" s="1"/>
      <c r="Q131" s="1"/>
    </row>
    <row r="132" spans="1:17" x14ac:dyDescent="0.35">
      <c r="A132" s="1"/>
      <c r="B132" s="1"/>
      <c r="C132" s="1"/>
      <c r="D132" s="1"/>
      <c r="E132" s="1"/>
      <c r="F132" s="1"/>
      <c r="G132" s="1"/>
      <c r="H132" s="1"/>
      <c r="I132" s="1"/>
      <c r="J132" s="1"/>
      <c r="K132" s="1"/>
      <c r="L132" s="1"/>
      <c r="M132" s="1"/>
      <c r="N132" s="1"/>
      <c r="O132" s="1"/>
      <c r="P132" s="1"/>
      <c r="Q132" s="1"/>
    </row>
    <row r="133" spans="1:17" x14ac:dyDescent="0.35">
      <c r="A133" s="1"/>
      <c r="B133" s="1"/>
      <c r="C133" s="1"/>
      <c r="D133" s="1"/>
      <c r="E133" s="1"/>
      <c r="F133" s="1"/>
      <c r="G133" s="1"/>
      <c r="H133" s="1"/>
      <c r="I133" s="1"/>
      <c r="J133" s="1"/>
      <c r="K133" s="1"/>
      <c r="L133" s="1"/>
      <c r="M133" s="1"/>
      <c r="N133" s="1"/>
      <c r="O133" s="1"/>
      <c r="P133" s="1"/>
      <c r="Q133" s="1"/>
    </row>
    <row r="134" spans="1:17" x14ac:dyDescent="0.35">
      <c r="A134" s="1"/>
      <c r="B134" s="1"/>
      <c r="C134" s="1"/>
      <c r="D134" s="1"/>
      <c r="E134" s="1"/>
      <c r="F134" s="1"/>
      <c r="G134" s="1"/>
      <c r="H134" s="1"/>
      <c r="I134" s="1"/>
      <c r="J134" s="1"/>
      <c r="K134" s="1"/>
      <c r="L134" s="1"/>
      <c r="M134" s="1"/>
      <c r="N134" s="1"/>
      <c r="O134" s="1"/>
      <c r="P134" s="1"/>
      <c r="Q134" s="1"/>
    </row>
    <row r="135" spans="1:17" x14ac:dyDescent="0.35">
      <c r="A135" s="1"/>
      <c r="B135" s="1"/>
      <c r="C135" s="1"/>
      <c r="D135" s="1"/>
      <c r="E135" s="1"/>
      <c r="F135" s="1"/>
      <c r="G135" s="1"/>
      <c r="H135" s="1"/>
      <c r="I135" s="1"/>
      <c r="J135" s="1"/>
      <c r="K135" s="1"/>
      <c r="L135" s="1"/>
      <c r="M135" s="1"/>
      <c r="N135" s="1"/>
      <c r="O135" s="1"/>
      <c r="P135" s="1"/>
      <c r="Q135" s="1"/>
    </row>
    <row r="136" spans="1:17" x14ac:dyDescent="0.35">
      <c r="A136" s="1"/>
      <c r="B136" s="1"/>
      <c r="C136" s="1"/>
      <c r="D136" s="1"/>
      <c r="E136" s="1"/>
      <c r="F136" s="1"/>
      <c r="G136" s="1"/>
      <c r="H136" s="1"/>
      <c r="I136" s="1"/>
      <c r="J136" s="1"/>
      <c r="K136" s="1"/>
      <c r="L136" s="1"/>
      <c r="M136" s="1"/>
      <c r="N136" s="1"/>
      <c r="O136" s="1"/>
      <c r="P136" s="1"/>
      <c r="Q136" s="1"/>
    </row>
    <row r="137" spans="1:17" x14ac:dyDescent="0.35">
      <c r="A137" s="1"/>
      <c r="B137" s="1"/>
      <c r="C137" s="1"/>
      <c r="D137" s="1"/>
      <c r="E137" s="1"/>
      <c r="F137" s="1"/>
      <c r="G137" s="1"/>
      <c r="H137" s="1"/>
      <c r="I137" s="1"/>
      <c r="J137" s="1"/>
      <c r="K137" s="1"/>
      <c r="L137" s="1"/>
      <c r="M137" s="1"/>
      <c r="N137" s="1"/>
      <c r="O137" s="1"/>
      <c r="P137" s="1"/>
      <c r="Q137" s="1"/>
    </row>
    <row r="138" spans="1:17" x14ac:dyDescent="0.35">
      <c r="A138" s="1"/>
      <c r="B138" s="1"/>
      <c r="C138" s="1"/>
      <c r="D138" s="1"/>
      <c r="E138" s="1"/>
      <c r="F138" s="1"/>
      <c r="G138" s="1"/>
      <c r="H138" s="1"/>
      <c r="I138" s="1"/>
      <c r="J138" s="1"/>
      <c r="K138" s="1"/>
      <c r="L138" s="1"/>
      <c r="M138" s="1"/>
      <c r="N138" s="1"/>
      <c r="O138" s="1"/>
      <c r="P138" s="1"/>
      <c r="Q138" s="1"/>
    </row>
    <row r="139" spans="1:17" x14ac:dyDescent="0.35">
      <c r="A139" s="1"/>
      <c r="B139" s="1"/>
      <c r="C139" s="1"/>
      <c r="D139" s="1"/>
      <c r="E139" s="1"/>
      <c r="F139" s="1"/>
      <c r="G139" s="1"/>
      <c r="H139" s="1"/>
      <c r="I139" s="1"/>
      <c r="J139" s="1"/>
      <c r="K139" s="1"/>
      <c r="L139" s="1"/>
      <c r="M139" s="1"/>
      <c r="N139" s="1"/>
      <c r="O139" s="1"/>
      <c r="P139" s="1"/>
      <c r="Q139" s="1"/>
    </row>
    <row r="140" spans="1:17" x14ac:dyDescent="0.35">
      <c r="A140" s="1"/>
      <c r="B140" s="1"/>
      <c r="C140" s="1"/>
      <c r="D140" s="1"/>
      <c r="E140" s="1"/>
      <c r="F140" s="1"/>
      <c r="G140" s="1"/>
      <c r="H140" s="1"/>
      <c r="I140" s="1"/>
      <c r="J140" s="1"/>
      <c r="K140" s="1"/>
      <c r="L140" s="1"/>
      <c r="M140" s="1"/>
      <c r="N140" s="1"/>
      <c r="O140" s="1"/>
      <c r="P140" s="1"/>
      <c r="Q140" s="1"/>
    </row>
    <row r="141" spans="1:17" x14ac:dyDescent="0.35">
      <c r="A141" s="1"/>
      <c r="B141" s="1"/>
      <c r="C141" s="1"/>
      <c r="D141" s="1"/>
      <c r="E141" s="1"/>
      <c r="F141" s="1"/>
      <c r="G141" s="1"/>
      <c r="H141" s="1"/>
      <c r="I141" s="1"/>
      <c r="J141" s="1"/>
      <c r="K141" s="1"/>
      <c r="L141" s="1"/>
      <c r="M141" s="1"/>
      <c r="N141" s="1"/>
      <c r="O141" s="1"/>
      <c r="P141" s="1"/>
      <c r="Q141" s="1"/>
    </row>
    <row r="142" spans="1:17" x14ac:dyDescent="0.35">
      <c r="A142" s="1"/>
      <c r="B142" s="1"/>
      <c r="C142" s="1"/>
      <c r="D142" s="1"/>
      <c r="E142" s="1"/>
      <c r="F142" s="1"/>
      <c r="G142" s="1"/>
      <c r="H142" s="1"/>
      <c r="I142" s="1"/>
      <c r="J142" s="1"/>
      <c r="K142" s="1"/>
      <c r="L142" s="1"/>
      <c r="M142" s="1"/>
      <c r="N142" s="1"/>
      <c r="O142" s="1"/>
      <c r="P142" s="1"/>
      <c r="Q142" s="1"/>
    </row>
    <row r="143" spans="1:17" x14ac:dyDescent="0.35">
      <c r="A143" s="1"/>
      <c r="B143" s="1"/>
      <c r="C143" s="1"/>
      <c r="D143" s="1"/>
      <c r="E143" s="1"/>
      <c r="F143" s="1"/>
      <c r="G143" s="1"/>
      <c r="H143" s="1"/>
      <c r="I143" s="1"/>
      <c r="J143" s="1"/>
      <c r="K143" s="1"/>
      <c r="L143" s="1"/>
      <c r="M143" s="1"/>
      <c r="N143" s="1"/>
      <c r="O143" s="1"/>
      <c r="P143" s="1"/>
      <c r="Q143" s="1"/>
    </row>
    <row r="144" spans="1:17" x14ac:dyDescent="0.35">
      <c r="A144" s="1"/>
      <c r="B144" s="1"/>
      <c r="C144" s="1"/>
      <c r="D144" s="1"/>
      <c r="E144" s="1"/>
      <c r="F144" s="1"/>
      <c r="G144" s="1"/>
      <c r="H144" s="1"/>
      <c r="I144" s="1"/>
      <c r="J144" s="1"/>
      <c r="K144" s="1"/>
      <c r="L144" s="1"/>
      <c r="M144" s="1"/>
      <c r="N144" s="1"/>
      <c r="O144" s="1"/>
      <c r="P144" s="1"/>
      <c r="Q144" s="1"/>
    </row>
    <row r="145" spans="1:17" x14ac:dyDescent="0.35">
      <c r="A145" s="1"/>
      <c r="B145" s="1"/>
      <c r="C145" s="1"/>
      <c r="D145" s="1"/>
      <c r="E145" s="1"/>
      <c r="F145" s="1"/>
      <c r="G145" s="1"/>
      <c r="H145" s="1"/>
      <c r="I145" s="1"/>
      <c r="J145" s="1"/>
      <c r="K145" s="1"/>
      <c r="L145" s="1"/>
      <c r="M145" s="1"/>
      <c r="N145" s="1"/>
      <c r="O145" s="1"/>
      <c r="P145" s="1"/>
      <c r="Q145" s="1"/>
    </row>
    <row r="146" spans="1:17" x14ac:dyDescent="0.35">
      <c r="A146" s="1"/>
      <c r="B146" s="1"/>
      <c r="C146" s="1"/>
      <c r="D146" s="1"/>
      <c r="E146" s="1"/>
      <c r="F146" s="1"/>
      <c r="G146" s="1"/>
      <c r="H146" s="1"/>
      <c r="I146" s="1"/>
      <c r="J146" s="1"/>
      <c r="K146" s="1"/>
      <c r="L146" s="1"/>
      <c r="M146" s="1"/>
      <c r="N146" s="1"/>
      <c r="O146" s="1"/>
      <c r="P146" s="1"/>
      <c r="Q146" s="1"/>
    </row>
    <row r="147" spans="1:17" x14ac:dyDescent="0.35">
      <c r="A147" s="1"/>
      <c r="B147" s="1"/>
      <c r="C147" s="1"/>
      <c r="D147" s="1"/>
      <c r="E147" s="1"/>
      <c r="F147" s="1"/>
      <c r="G147" s="1"/>
      <c r="H147" s="1"/>
      <c r="I147" s="1"/>
      <c r="J147" s="1"/>
      <c r="K147" s="1"/>
      <c r="L147" s="1"/>
      <c r="M147" s="1"/>
      <c r="N147" s="1"/>
      <c r="O147" s="1"/>
      <c r="P147" s="1"/>
      <c r="Q147" s="1"/>
    </row>
    <row r="148" spans="1:17" x14ac:dyDescent="0.35">
      <c r="A148" s="1"/>
      <c r="B148" s="1"/>
      <c r="C148" s="1"/>
      <c r="D148" s="1"/>
      <c r="E148" s="1"/>
      <c r="F148" s="1"/>
      <c r="G148" s="1"/>
      <c r="H148" s="1"/>
      <c r="I148" s="1"/>
      <c r="J148" s="1"/>
      <c r="K148" s="1"/>
      <c r="L148" s="1"/>
      <c r="M148" s="1"/>
      <c r="N148" s="1"/>
      <c r="O148" s="1"/>
      <c r="P148" s="1"/>
      <c r="Q148" s="1"/>
    </row>
    <row r="149" spans="1:17" x14ac:dyDescent="0.35">
      <c r="A149" s="1"/>
      <c r="B149" s="1"/>
      <c r="C149" s="1"/>
      <c r="D149" s="1"/>
      <c r="E149" s="1"/>
      <c r="F149" s="1"/>
      <c r="G149" s="1"/>
      <c r="H149" s="1"/>
      <c r="I149" s="1"/>
      <c r="J149" s="1"/>
      <c r="K149" s="1"/>
      <c r="L149" s="1"/>
      <c r="M149" s="1"/>
      <c r="N149" s="1"/>
      <c r="O149" s="1"/>
      <c r="P149" s="1"/>
      <c r="Q149" s="1"/>
    </row>
    <row r="150" spans="1:17" x14ac:dyDescent="0.35">
      <c r="A150" s="1"/>
      <c r="B150" s="1"/>
      <c r="C150" s="1"/>
      <c r="D150" s="1"/>
      <c r="E150" s="1"/>
      <c r="F150" s="1"/>
      <c r="G150" s="1"/>
      <c r="H150" s="1"/>
      <c r="I150" s="1"/>
      <c r="J150" s="1"/>
      <c r="K150" s="1"/>
      <c r="L150" s="1"/>
      <c r="M150" s="1"/>
      <c r="N150" s="1"/>
      <c r="O150" s="1"/>
      <c r="P150" s="1"/>
      <c r="Q150" s="1"/>
    </row>
    <row r="151" spans="1:17" x14ac:dyDescent="0.35">
      <c r="A151" s="1"/>
      <c r="B151" s="1"/>
      <c r="C151" s="1"/>
      <c r="D151" s="1"/>
      <c r="E151" s="1"/>
      <c r="F151" s="1"/>
      <c r="G151" s="1"/>
      <c r="H151" s="1"/>
      <c r="I151" s="1"/>
      <c r="J151" s="1"/>
      <c r="K151" s="1"/>
      <c r="L151" s="1"/>
      <c r="M151" s="1"/>
      <c r="N151" s="1"/>
      <c r="O151" s="1"/>
      <c r="P151" s="1"/>
      <c r="Q151" s="1"/>
    </row>
    <row r="152" spans="1:17" x14ac:dyDescent="0.35">
      <c r="A152" s="1"/>
      <c r="B152" s="1"/>
      <c r="C152" s="1"/>
      <c r="D152" s="1"/>
      <c r="E152" s="1"/>
      <c r="F152" s="1"/>
      <c r="G152" s="1"/>
      <c r="H152" s="1"/>
      <c r="I152" s="1"/>
      <c r="J152" s="1"/>
      <c r="K152" s="1"/>
      <c r="L152" s="1"/>
      <c r="M152" s="1"/>
      <c r="N152" s="1"/>
      <c r="O152" s="1"/>
      <c r="P152" s="1"/>
      <c r="Q152" s="1"/>
    </row>
    <row r="153" spans="1:17" x14ac:dyDescent="0.35">
      <c r="A153" s="1"/>
      <c r="B153" s="1"/>
      <c r="C153" s="1"/>
      <c r="D153" s="1"/>
      <c r="E153" s="1"/>
      <c r="F153" s="1"/>
      <c r="G153" s="1"/>
      <c r="H153" s="1"/>
      <c r="I153" s="1"/>
      <c r="J153" s="1"/>
      <c r="K153" s="1"/>
      <c r="L153" s="1"/>
      <c r="M153" s="1"/>
      <c r="N153" s="1"/>
      <c r="O153" s="1"/>
      <c r="P153" s="1"/>
      <c r="Q153" s="1"/>
    </row>
    <row r="154" spans="1:17" x14ac:dyDescent="0.35">
      <c r="A154" s="1"/>
      <c r="B154" s="1"/>
      <c r="C154" s="1"/>
      <c r="D154" s="1"/>
      <c r="E154" s="1"/>
      <c r="F154" s="1"/>
      <c r="G154" s="1"/>
      <c r="H154" s="1"/>
      <c r="I154" s="1"/>
      <c r="J154" s="1"/>
      <c r="K154" s="1"/>
      <c r="L154" s="1"/>
      <c r="M154" s="1"/>
      <c r="N154" s="1"/>
      <c r="O154" s="1"/>
      <c r="P154" s="1"/>
      <c r="Q154" s="1"/>
    </row>
    <row r="155" spans="1:17" x14ac:dyDescent="0.35">
      <c r="A155" s="1"/>
      <c r="B155" s="1"/>
      <c r="C155" s="1"/>
      <c r="D155" s="1"/>
      <c r="E155" s="1"/>
      <c r="F155" s="1"/>
      <c r="G155" s="1"/>
      <c r="H155" s="1"/>
      <c r="I155" s="1"/>
      <c r="J155" s="1"/>
      <c r="K155" s="1"/>
      <c r="L155" s="1"/>
      <c r="M155" s="1"/>
      <c r="N155" s="1"/>
      <c r="O155" s="1"/>
      <c r="P155" s="1"/>
      <c r="Q155" s="1"/>
    </row>
    <row r="156" spans="1:17" x14ac:dyDescent="0.35">
      <c r="A156" s="1"/>
      <c r="B156" s="1"/>
      <c r="C156" s="1"/>
      <c r="D156" s="1"/>
      <c r="E156" s="1"/>
      <c r="F156" s="1"/>
      <c r="G156" s="1"/>
      <c r="H156" s="1"/>
      <c r="I156" s="1"/>
      <c r="J156" s="1"/>
      <c r="K156" s="1"/>
      <c r="L156" s="1"/>
      <c r="M156" s="1"/>
      <c r="N156" s="1"/>
      <c r="O156" s="1"/>
      <c r="P156" s="1"/>
      <c r="Q156" s="1"/>
    </row>
    <row r="157" spans="1:17" x14ac:dyDescent="0.35">
      <c r="A157" s="1"/>
      <c r="B157" s="1"/>
      <c r="C157" s="1"/>
      <c r="D157" s="1"/>
      <c r="E157" s="1"/>
      <c r="F157" s="1"/>
      <c r="G157" s="1"/>
      <c r="H157" s="1"/>
      <c r="I157" s="1"/>
      <c r="J157" s="1"/>
      <c r="K157" s="1"/>
      <c r="L157" s="1"/>
      <c r="M157" s="1"/>
      <c r="N157" s="1"/>
      <c r="O157" s="1"/>
      <c r="P157" s="1"/>
      <c r="Q157" s="1"/>
    </row>
    <row r="158" spans="1:17" x14ac:dyDescent="0.35">
      <c r="A158" s="1"/>
      <c r="B158" s="1"/>
      <c r="C158" s="1"/>
      <c r="D158" s="1"/>
      <c r="E158" s="1"/>
      <c r="F158" s="1"/>
      <c r="G158" s="1"/>
      <c r="H158" s="1"/>
      <c r="I158" s="1"/>
      <c r="J158" s="1"/>
      <c r="K158" s="1"/>
      <c r="L158" s="1"/>
      <c r="M158" s="1"/>
      <c r="N158" s="1"/>
      <c r="O158" s="1"/>
      <c r="P158" s="1"/>
      <c r="Q158" s="1"/>
    </row>
    <row r="159" spans="1:17" x14ac:dyDescent="0.35">
      <c r="A159" s="1"/>
      <c r="B159" s="1"/>
      <c r="C159" s="1"/>
      <c r="D159" s="1"/>
      <c r="E159" s="1"/>
      <c r="F159" s="1"/>
      <c r="G159" s="1"/>
      <c r="H159" s="1"/>
      <c r="I159" s="1"/>
      <c r="J159" s="1"/>
      <c r="K159" s="1"/>
      <c r="L159" s="1"/>
      <c r="M159" s="1"/>
      <c r="N159" s="1"/>
      <c r="O159" s="1"/>
      <c r="P159" s="1"/>
      <c r="Q159" s="1"/>
    </row>
    <row r="160" spans="1:17" x14ac:dyDescent="0.35">
      <c r="A160" s="1"/>
      <c r="B160" s="1"/>
      <c r="C160" s="1"/>
      <c r="D160" s="1"/>
      <c r="E160" s="1"/>
      <c r="F160" s="1"/>
      <c r="G160" s="1"/>
      <c r="H160" s="1"/>
      <c r="I160" s="1"/>
      <c r="J160" s="1"/>
      <c r="K160" s="1"/>
      <c r="L160" s="1"/>
      <c r="M160" s="1"/>
      <c r="N160" s="1"/>
      <c r="O160" s="1"/>
      <c r="P160" s="1"/>
      <c r="Q160" s="1"/>
    </row>
    <row r="161" spans="1:17" x14ac:dyDescent="0.35">
      <c r="A161" s="1"/>
      <c r="B161" s="1"/>
      <c r="C161" s="1"/>
      <c r="D161" s="1"/>
      <c r="E161" s="1"/>
      <c r="F161" s="1"/>
      <c r="G161" s="1"/>
      <c r="H161" s="1"/>
      <c r="I161" s="1"/>
      <c r="J161" s="1"/>
      <c r="K161" s="1"/>
      <c r="L161" s="1"/>
      <c r="M161" s="1"/>
      <c r="N161" s="1"/>
      <c r="O161" s="1"/>
      <c r="P161" s="1"/>
      <c r="Q161" s="1"/>
    </row>
    <row r="162" spans="1:17" x14ac:dyDescent="0.35">
      <c r="A162" s="1"/>
      <c r="B162" s="1"/>
      <c r="C162" s="1"/>
      <c r="D162" s="1"/>
      <c r="E162" s="1"/>
      <c r="F162" s="1"/>
      <c r="G162" s="1"/>
      <c r="H162" s="1"/>
      <c r="I162" s="1"/>
      <c r="J162" s="1"/>
      <c r="K162" s="1"/>
      <c r="L162" s="1"/>
      <c r="M162" s="1"/>
      <c r="N162" s="1"/>
      <c r="O162" s="1"/>
      <c r="P162" s="1"/>
      <c r="Q162" s="1"/>
    </row>
    <row r="163" spans="1:17" x14ac:dyDescent="0.35">
      <c r="A163" s="1"/>
      <c r="B163" s="1"/>
      <c r="C163" s="1"/>
      <c r="D163" s="1"/>
      <c r="E163" s="1"/>
      <c r="F163" s="1"/>
      <c r="G163" s="1"/>
      <c r="H163" s="1"/>
      <c r="I163" s="1"/>
      <c r="J163" s="1"/>
      <c r="K163" s="1"/>
      <c r="L163" s="1"/>
      <c r="M163" s="1"/>
      <c r="N163" s="1"/>
      <c r="O163" s="1"/>
      <c r="P163" s="1"/>
      <c r="Q163" s="1"/>
    </row>
    <row r="164" spans="1:17" x14ac:dyDescent="0.35">
      <c r="A164" s="1"/>
      <c r="B164" s="1"/>
      <c r="C164" s="1"/>
      <c r="D164" s="1"/>
      <c r="E164" s="1"/>
      <c r="F164" s="1"/>
      <c r="G164" s="1"/>
      <c r="H164" s="1"/>
      <c r="I164" s="1"/>
      <c r="J164" s="1"/>
      <c r="K164" s="1"/>
      <c r="L164" s="1"/>
      <c r="M164" s="1"/>
      <c r="N164" s="1"/>
      <c r="O164" s="1"/>
      <c r="P164" s="1"/>
      <c r="Q164" s="1"/>
    </row>
    <row r="165" spans="1:17" x14ac:dyDescent="0.35">
      <c r="A165" s="1"/>
      <c r="B165" s="1"/>
      <c r="C165" s="1"/>
      <c r="D165" s="1"/>
      <c r="E165" s="1"/>
      <c r="F165" s="1"/>
      <c r="G165" s="1"/>
      <c r="H165" s="1"/>
      <c r="I165" s="1"/>
      <c r="J165" s="1"/>
      <c r="K165" s="1"/>
      <c r="L165" s="1"/>
      <c r="M165" s="1"/>
      <c r="N165" s="1"/>
      <c r="O165" s="1"/>
      <c r="P165" s="1"/>
      <c r="Q165" s="1"/>
    </row>
    <row r="166" spans="1:17" x14ac:dyDescent="0.35">
      <c r="A166" s="1"/>
      <c r="B166" s="1"/>
      <c r="C166" s="1"/>
      <c r="D166" s="1"/>
      <c r="E166" s="1"/>
      <c r="F166" s="1"/>
      <c r="G166" s="1"/>
      <c r="H166" s="1"/>
      <c r="I166" s="1"/>
      <c r="J166" s="1"/>
      <c r="K166" s="1"/>
      <c r="L166" s="1"/>
      <c r="M166" s="1"/>
      <c r="N166" s="1"/>
      <c r="O166" s="1"/>
      <c r="P166" s="1"/>
      <c r="Q166" s="1"/>
    </row>
    <row r="167" spans="1:17" x14ac:dyDescent="0.35">
      <c r="A167" s="1"/>
      <c r="B167" s="1"/>
      <c r="C167" s="1"/>
      <c r="D167" s="1"/>
      <c r="E167" s="1"/>
      <c r="F167" s="1"/>
      <c r="G167" s="1"/>
      <c r="H167" s="1"/>
      <c r="I167" s="1"/>
      <c r="J167" s="1"/>
      <c r="K167" s="1"/>
      <c r="L167" s="1"/>
      <c r="M167" s="1"/>
      <c r="N167" s="1"/>
      <c r="O167" s="1"/>
      <c r="P167" s="1"/>
      <c r="Q167" s="1"/>
    </row>
    <row r="168" spans="1:17" x14ac:dyDescent="0.35">
      <c r="A168" s="1"/>
      <c r="B168" s="1"/>
      <c r="C168" s="1"/>
      <c r="D168" s="1"/>
      <c r="E168" s="1"/>
      <c r="F168" s="1"/>
      <c r="G168" s="1"/>
      <c r="H168" s="1"/>
      <c r="I168" s="1"/>
      <c r="J168" s="1"/>
      <c r="K168" s="1"/>
      <c r="L168" s="1"/>
      <c r="M168" s="1"/>
      <c r="N168" s="1"/>
      <c r="O168" s="1"/>
      <c r="P168" s="1"/>
      <c r="Q168" s="1"/>
    </row>
    <row r="169" spans="1:17" x14ac:dyDescent="0.35">
      <c r="A169" s="1"/>
      <c r="B169" s="1"/>
      <c r="C169" s="1"/>
      <c r="D169" s="1"/>
      <c r="E169" s="1"/>
      <c r="F169" s="1"/>
      <c r="G169" s="1"/>
      <c r="H169" s="1"/>
      <c r="I169" s="1"/>
      <c r="J169" s="1"/>
      <c r="K169" s="1"/>
      <c r="L169" s="1"/>
      <c r="M169" s="1"/>
      <c r="N169" s="1"/>
      <c r="O169" s="1"/>
      <c r="P169" s="1"/>
      <c r="Q169" s="1"/>
    </row>
    <row r="170" spans="1:17" x14ac:dyDescent="0.35">
      <c r="A170" s="1"/>
      <c r="B170" s="1"/>
      <c r="C170" s="1"/>
      <c r="D170" s="1"/>
      <c r="E170" s="1"/>
      <c r="F170" s="1"/>
      <c r="G170" s="1"/>
      <c r="H170" s="1"/>
      <c r="I170" s="1"/>
      <c r="J170" s="1"/>
      <c r="K170" s="1"/>
      <c r="L170" s="1"/>
      <c r="M170" s="1"/>
      <c r="N170" s="1"/>
      <c r="O170" s="1"/>
      <c r="P170" s="1"/>
      <c r="Q170" s="1"/>
    </row>
    <row r="171" spans="1:17" x14ac:dyDescent="0.35">
      <c r="A171" s="1"/>
      <c r="B171" s="1"/>
      <c r="C171" s="1"/>
      <c r="D171" s="1"/>
      <c r="E171" s="1"/>
      <c r="F171" s="1"/>
      <c r="G171" s="1"/>
      <c r="H171" s="1"/>
      <c r="I171" s="1"/>
      <c r="J171" s="1"/>
      <c r="K171" s="1"/>
      <c r="L171" s="1"/>
      <c r="M171" s="1"/>
      <c r="N171" s="1"/>
      <c r="O171" s="1"/>
      <c r="P171" s="1"/>
      <c r="Q171" s="1"/>
    </row>
    <row r="172" spans="1:17" x14ac:dyDescent="0.35">
      <c r="A172" s="1"/>
      <c r="B172" s="1"/>
      <c r="C172" s="1"/>
      <c r="D172" s="1"/>
      <c r="E172" s="1"/>
      <c r="F172" s="1"/>
      <c r="G172" s="1"/>
      <c r="H172" s="1"/>
      <c r="I172" s="1"/>
      <c r="J172" s="1"/>
      <c r="K172" s="1"/>
      <c r="L172" s="1"/>
      <c r="M172" s="1"/>
      <c r="N172" s="1"/>
      <c r="O172" s="1"/>
      <c r="P172" s="1"/>
      <c r="Q172" s="1"/>
    </row>
    <row r="173" spans="1:17" x14ac:dyDescent="0.35">
      <c r="A173" s="1"/>
      <c r="B173" s="1"/>
      <c r="C173" s="1"/>
      <c r="D173" s="1"/>
      <c r="E173" s="1"/>
      <c r="F173" s="1"/>
      <c r="G173" s="1"/>
      <c r="H173" s="1"/>
      <c r="I173" s="1"/>
      <c r="J173" s="1"/>
      <c r="K173" s="1"/>
      <c r="L173" s="1"/>
      <c r="M173" s="1"/>
      <c r="N173" s="1"/>
      <c r="O173" s="1"/>
      <c r="P173" s="1"/>
      <c r="Q173" s="1"/>
    </row>
    <row r="174" spans="1:17" x14ac:dyDescent="0.35">
      <c r="A174" s="1"/>
      <c r="B174" s="1"/>
      <c r="C174" s="1"/>
      <c r="D174" s="1"/>
      <c r="E174" s="1"/>
      <c r="F174" s="1"/>
      <c r="G174" s="1"/>
      <c r="H174" s="1"/>
      <c r="I174" s="1"/>
      <c r="J174" s="1"/>
      <c r="K174" s="1"/>
      <c r="L174" s="1"/>
      <c r="M174" s="1"/>
      <c r="N174" s="1"/>
      <c r="O174" s="1"/>
      <c r="P174" s="1"/>
      <c r="Q174" s="1"/>
    </row>
    <row r="175" spans="1:17" x14ac:dyDescent="0.35">
      <c r="A175" s="1"/>
      <c r="B175" s="1"/>
      <c r="C175" s="1"/>
      <c r="D175" s="1"/>
      <c r="E175" s="1"/>
      <c r="F175" s="1"/>
      <c r="G175" s="1"/>
      <c r="H175" s="1"/>
      <c r="I175" s="1"/>
      <c r="J175" s="1"/>
      <c r="K175" s="1"/>
      <c r="L175" s="1"/>
      <c r="M175" s="1"/>
      <c r="N175" s="1"/>
      <c r="O175" s="1"/>
      <c r="P175" s="1"/>
      <c r="Q175" s="1"/>
    </row>
    <row r="176" spans="1:17" x14ac:dyDescent="0.35">
      <c r="A176" s="1"/>
      <c r="B176" s="1"/>
      <c r="C176" s="1"/>
      <c r="D176" s="1"/>
      <c r="E176" s="1"/>
      <c r="F176" s="1"/>
      <c r="G176" s="1"/>
      <c r="H176" s="1"/>
      <c r="I176" s="1"/>
      <c r="J176" s="1"/>
      <c r="K176" s="1"/>
      <c r="L176" s="1"/>
      <c r="M176" s="1"/>
      <c r="N176" s="1"/>
      <c r="O176" s="1"/>
      <c r="P176" s="1"/>
      <c r="Q176" s="1"/>
    </row>
    <row r="177" spans="1:17" x14ac:dyDescent="0.35">
      <c r="A177" s="1"/>
      <c r="B177" s="1"/>
      <c r="C177" s="1"/>
      <c r="D177" s="1"/>
      <c r="E177" s="1"/>
      <c r="F177" s="1"/>
      <c r="G177" s="1"/>
      <c r="H177" s="1"/>
      <c r="I177" s="1"/>
      <c r="J177" s="1"/>
      <c r="K177" s="1"/>
      <c r="L177" s="1"/>
      <c r="M177" s="1"/>
      <c r="N177" s="1"/>
      <c r="O177" s="1"/>
      <c r="P177" s="1"/>
      <c r="Q177" s="1"/>
    </row>
    <row r="178" spans="1:17" x14ac:dyDescent="0.35">
      <c r="A178" s="1"/>
      <c r="B178" s="1"/>
      <c r="C178" s="1"/>
      <c r="D178" s="1"/>
      <c r="E178" s="1"/>
      <c r="F178" s="1"/>
      <c r="G178" s="1"/>
      <c r="H178" s="1"/>
      <c r="I178" s="1"/>
      <c r="J178" s="1"/>
      <c r="K178" s="1"/>
      <c r="L178" s="1"/>
      <c r="M178" s="1"/>
      <c r="N178" s="1"/>
      <c r="O178" s="1"/>
      <c r="P178" s="1"/>
      <c r="Q178" s="1"/>
    </row>
    <row r="179" spans="1:17" x14ac:dyDescent="0.35">
      <c r="A179" s="1"/>
      <c r="B179" s="1"/>
      <c r="C179" s="1"/>
      <c r="D179" s="1"/>
      <c r="E179" s="1"/>
      <c r="F179" s="1"/>
      <c r="G179" s="1"/>
      <c r="H179" s="1"/>
      <c r="I179" s="1"/>
      <c r="J179" s="1"/>
      <c r="K179" s="1"/>
      <c r="L179" s="1"/>
      <c r="M179" s="1"/>
      <c r="N179" s="1"/>
      <c r="O179" s="1"/>
      <c r="P179" s="1"/>
      <c r="Q179" s="1"/>
    </row>
    <row r="180" spans="1:17" x14ac:dyDescent="0.35">
      <c r="A180" s="1"/>
      <c r="B180" s="1"/>
      <c r="C180" s="1"/>
      <c r="D180" s="1"/>
      <c r="E180" s="1"/>
      <c r="F180" s="1"/>
      <c r="G180" s="1"/>
      <c r="H180" s="1"/>
      <c r="I180" s="1"/>
      <c r="J180" s="1"/>
      <c r="K180" s="1"/>
      <c r="L180" s="1"/>
      <c r="M180" s="1"/>
      <c r="N180" s="1"/>
      <c r="O180" s="1"/>
      <c r="P180" s="1"/>
      <c r="Q180" s="1"/>
    </row>
    <row r="181" spans="1:17" x14ac:dyDescent="0.35">
      <c r="A181" s="1"/>
      <c r="B181" s="1"/>
      <c r="C181" s="1"/>
      <c r="D181" s="1"/>
      <c r="E181" s="1"/>
      <c r="F181" s="1"/>
      <c r="G181" s="1"/>
      <c r="H181" s="1"/>
      <c r="I181" s="1"/>
      <c r="J181" s="1"/>
      <c r="K181" s="1"/>
      <c r="L181" s="1"/>
      <c r="M181" s="1"/>
      <c r="N181" s="1"/>
      <c r="O181" s="1"/>
      <c r="P181" s="1"/>
      <c r="Q181" s="1"/>
    </row>
    <row r="182" spans="1:17" x14ac:dyDescent="0.35">
      <c r="A182" s="1"/>
      <c r="B182" s="1"/>
      <c r="C182" s="1"/>
      <c r="D182" s="1"/>
      <c r="E182" s="1"/>
      <c r="F182" s="1"/>
      <c r="G182" s="1"/>
      <c r="H182" s="1"/>
      <c r="I182" s="1"/>
      <c r="J182" s="1"/>
      <c r="K182" s="1"/>
      <c r="L182" s="1"/>
      <c r="M182" s="1"/>
      <c r="N182" s="1"/>
      <c r="O182" s="1"/>
      <c r="P182" s="1"/>
      <c r="Q182" s="1"/>
    </row>
    <row r="183" spans="1:17" x14ac:dyDescent="0.35">
      <c r="A183" s="1"/>
      <c r="B183" s="1"/>
      <c r="C183" s="1"/>
      <c r="D183" s="1"/>
      <c r="E183" s="1"/>
      <c r="F183" s="1"/>
      <c r="G183" s="1"/>
      <c r="H183" s="1"/>
      <c r="I183" s="1"/>
      <c r="J183" s="1"/>
      <c r="K183" s="1"/>
      <c r="L183" s="1"/>
      <c r="M183" s="1"/>
      <c r="N183" s="1"/>
      <c r="O183" s="1"/>
      <c r="P183" s="1"/>
      <c r="Q183" s="1"/>
    </row>
    <row r="184" spans="1:17" x14ac:dyDescent="0.35">
      <c r="A184" s="1"/>
      <c r="B184" s="1"/>
      <c r="C184" s="1"/>
      <c r="D184" s="1"/>
      <c r="E184" s="1"/>
      <c r="F184" s="1"/>
      <c r="G184" s="1"/>
      <c r="H184" s="1"/>
      <c r="I184" s="1"/>
      <c r="J184" s="1"/>
      <c r="K184" s="1"/>
      <c r="L184" s="1"/>
      <c r="M184" s="1"/>
      <c r="N184" s="1"/>
      <c r="O184" s="1"/>
      <c r="P184" s="1"/>
      <c r="Q184" s="1"/>
    </row>
    <row r="185" spans="1:17" x14ac:dyDescent="0.35">
      <c r="A185" s="1"/>
      <c r="B185" s="1"/>
      <c r="C185" s="1"/>
      <c r="D185" s="1"/>
      <c r="E185" s="1"/>
      <c r="F185" s="1"/>
      <c r="G185" s="1"/>
      <c r="H185" s="1"/>
      <c r="I185" s="1"/>
      <c r="J185" s="1"/>
      <c r="K185" s="1"/>
      <c r="L185" s="1"/>
      <c r="M185" s="1"/>
      <c r="N185" s="1"/>
      <c r="O185" s="1"/>
      <c r="P185" s="1"/>
      <c r="Q185" s="1"/>
    </row>
    <row r="186" spans="1:17" x14ac:dyDescent="0.35">
      <c r="A186" s="1"/>
      <c r="B186" s="1"/>
      <c r="C186" s="1"/>
      <c r="D186" s="1"/>
      <c r="E186" s="1"/>
      <c r="F186" s="1"/>
      <c r="G186" s="1"/>
      <c r="H186" s="1"/>
      <c r="I186" s="1"/>
      <c r="J186" s="1"/>
      <c r="K186" s="1"/>
      <c r="L186" s="1"/>
      <c r="M186" s="1"/>
      <c r="N186" s="1"/>
      <c r="O186" s="1"/>
      <c r="P186" s="1"/>
      <c r="Q186" s="1"/>
    </row>
    <row r="187" spans="1:17" x14ac:dyDescent="0.35">
      <c r="A187" s="1"/>
      <c r="B187" s="1"/>
      <c r="C187" s="1"/>
      <c r="D187" s="1"/>
      <c r="E187" s="1"/>
      <c r="F187" s="1"/>
      <c r="G187" s="1"/>
      <c r="H187" s="1"/>
      <c r="I187" s="1"/>
      <c r="J187" s="1"/>
      <c r="K187" s="1"/>
      <c r="L187" s="1"/>
      <c r="M187" s="1"/>
      <c r="N187" s="1"/>
      <c r="O187" s="1"/>
      <c r="P187" s="1"/>
      <c r="Q187" s="1"/>
    </row>
    <row r="188" spans="1:17" x14ac:dyDescent="0.35">
      <c r="A188" s="1"/>
      <c r="B188" s="1"/>
      <c r="C188" s="1"/>
      <c r="D188" s="1"/>
      <c r="E188" s="1"/>
      <c r="F188" s="1"/>
      <c r="G188" s="1"/>
      <c r="H188" s="1"/>
      <c r="I188" s="1"/>
      <c r="J188" s="1"/>
      <c r="K188" s="1"/>
      <c r="L188" s="1"/>
      <c r="M188" s="1"/>
      <c r="N188" s="1"/>
      <c r="O188" s="1"/>
      <c r="P188" s="1"/>
      <c r="Q188" s="1"/>
    </row>
    <row r="189" spans="1:17" x14ac:dyDescent="0.35">
      <c r="A189" s="1"/>
      <c r="B189" s="1"/>
      <c r="C189" s="1"/>
      <c r="D189" s="1"/>
      <c r="E189" s="1"/>
      <c r="F189" s="1"/>
      <c r="G189" s="1"/>
      <c r="H189" s="1"/>
      <c r="I189" s="1"/>
      <c r="J189" s="1"/>
      <c r="K189" s="1"/>
      <c r="L189" s="1"/>
      <c r="M189" s="1"/>
      <c r="N189" s="1"/>
      <c r="O189" s="1"/>
      <c r="P189" s="1"/>
      <c r="Q189" s="1"/>
    </row>
    <row r="190" spans="1:17" x14ac:dyDescent="0.35">
      <c r="A190" s="1"/>
      <c r="B190" s="1"/>
      <c r="C190" s="1"/>
      <c r="D190" s="1"/>
      <c r="E190" s="1"/>
      <c r="F190" s="1"/>
      <c r="G190" s="1"/>
      <c r="H190" s="1"/>
      <c r="I190" s="1"/>
      <c r="J190" s="1"/>
      <c r="K190" s="1"/>
      <c r="L190" s="1"/>
      <c r="M190" s="1"/>
      <c r="N190" s="1"/>
      <c r="O190" s="1"/>
      <c r="P190" s="1"/>
      <c r="Q190" s="1"/>
    </row>
    <row r="191" spans="1:17" x14ac:dyDescent="0.35">
      <c r="A191" s="1"/>
      <c r="B191" s="1"/>
      <c r="C191" s="1"/>
      <c r="D191" s="1"/>
      <c r="E191" s="1"/>
      <c r="F191" s="1"/>
      <c r="G191" s="1"/>
      <c r="H191" s="1"/>
      <c r="I191" s="1"/>
      <c r="J191" s="1"/>
      <c r="K191" s="1"/>
      <c r="L191" s="1"/>
      <c r="M191" s="1"/>
      <c r="N191" s="1"/>
      <c r="O191" s="1"/>
      <c r="P191" s="1"/>
      <c r="Q191" s="1"/>
    </row>
    <row r="192" spans="1:17" x14ac:dyDescent="0.35">
      <c r="A192" s="1"/>
      <c r="B192" s="1"/>
      <c r="C192" s="1"/>
      <c r="D192" s="1"/>
      <c r="E192" s="1"/>
      <c r="F192" s="1"/>
      <c r="G192" s="1"/>
      <c r="H192" s="1"/>
      <c r="I192" s="1"/>
      <c r="J192" s="1"/>
      <c r="K192" s="1"/>
      <c r="L192" s="1"/>
      <c r="M192" s="1"/>
      <c r="N192" s="1"/>
      <c r="O192" s="1"/>
      <c r="P192" s="1"/>
      <c r="Q192" s="1"/>
    </row>
    <row r="193" spans="1:17" x14ac:dyDescent="0.35">
      <c r="A193" s="1"/>
      <c r="B193" s="1"/>
      <c r="C193" s="1"/>
      <c r="D193" s="1"/>
      <c r="E193" s="1"/>
      <c r="F193" s="1"/>
      <c r="G193" s="1"/>
      <c r="H193" s="1"/>
      <c r="I193" s="1"/>
      <c r="J193" s="1"/>
      <c r="K193" s="1"/>
      <c r="L193" s="1"/>
      <c r="M193" s="1"/>
      <c r="N193" s="1"/>
      <c r="O193" s="1"/>
      <c r="P193" s="1"/>
      <c r="Q193" s="1"/>
    </row>
    <row r="194" spans="1:17" x14ac:dyDescent="0.35">
      <c r="A194" s="1"/>
      <c r="B194" s="1"/>
      <c r="C194" s="1"/>
      <c r="D194" s="1"/>
      <c r="E194" s="1"/>
      <c r="F194" s="1"/>
      <c r="G194" s="1"/>
      <c r="H194" s="1"/>
      <c r="I194" s="1"/>
      <c r="J194" s="1"/>
      <c r="K194" s="1"/>
      <c r="L194" s="1"/>
      <c r="M194" s="1"/>
      <c r="N194" s="1"/>
      <c r="O194" s="1"/>
      <c r="P194" s="1"/>
      <c r="Q194" s="1"/>
    </row>
    <row r="195" spans="1:17" x14ac:dyDescent="0.35">
      <c r="A195" s="1"/>
      <c r="B195" s="1"/>
      <c r="C195" s="1"/>
      <c r="D195" s="1"/>
      <c r="E195" s="1"/>
      <c r="F195" s="1"/>
      <c r="G195" s="1"/>
      <c r="H195" s="1"/>
      <c r="I195" s="1"/>
      <c r="J195" s="1"/>
      <c r="K195" s="1"/>
      <c r="L195" s="1"/>
      <c r="M195" s="1"/>
      <c r="N195" s="1"/>
      <c r="O195" s="1"/>
      <c r="P195" s="1"/>
      <c r="Q195" s="1"/>
    </row>
    <row r="196" spans="1:17" x14ac:dyDescent="0.35">
      <c r="A196" s="1"/>
      <c r="B196" s="1"/>
      <c r="C196" s="1"/>
      <c r="D196" s="1"/>
      <c r="E196" s="1"/>
      <c r="F196" s="1"/>
      <c r="G196" s="1"/>
      <c r="H196" s="1"/>
      <c r="I196" s="1"/>
      <c r="J196" s="1"/>
      <c r="K196" s="1"/>
      <c r="L196" s="1"/>
      <c r="M196" s="1"/>
      <c r="N196" s="1"/>
      <c r="O196" s="1"/>
      <c r="P196" s="1"/>
      <c r="Q196" s="1"/>
    </row>
    <row r="197" spans="1:17" x14ac:dyDescent="0.35">
      <c r="A197" s="1"/>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1:17" x14ac:dyDescent="0.35">
      <c r="A198" s="1"/>
      <c r="B198" s="37"/>
      <c r="C198" s="38"/>
      <c r="D198" s="31"/>
      <c r="E198" s="32"/>
      <c r="F198" s="34"/>
      <c r="G198" s="33"/>
      <c r="H198" s="34"/>
      <c r="I198" s="33"/>
      <c r="J198" s="34"/>
      <c r="K198" s="34"/>
      <c r="L198" s="34"/>
      <c r="M198" s="33"/>
      <c r="N198" s="34"/>
      <c r="O198" s="35"/>
      <c r="P198" s="36"/>
      <c r="Q198" s="35"/>
    </row>
    <row r="199" spans="1:17" x14ac:dyDescent="0.35">
      <c r="A199" s="1"/>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1:17" x14ac:dyDescent="0.35">
      <c r="A200" s="1"/>
      <c r="B200" s="1"/>
      <c r="C200" s="1"/>
      <c r="D200" s="1"/>
      <c r="E200" s="1"/>
      <c r="F200" s="1"/>
      <c r="G200" s="1"/>
      <c r="H200" s="1"/>
      <c r="I200" s="1"/>
      <c r="J200" s="1"/>
      <c r="K200" s="1"/>
      <c r="L200" s="1"/>
      <c r="M200" s="1"/>
      <c r="N200" s="1"/>
      <c r="O200" s="1"/>
      <c r="P200" s="1"/>
      <c r="Q200" s="78" t="s">
        <v>21404</v>
      </c>
    </row>
    <row r="201" spans="1:17" x14ac:dyDescent="0.35">
      <c r="A201" s="1"/>
      <c r="B201" s="1"/>
      <c r="C201" s="78" t="s">
        <v>21592</v>
      </c>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77" t="s">
        <v>21399</v>
      </c>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t="s">
        <v>21398</v>
      </c>
      <c r="D205" s="1" t="s">
        <v>75</v>
      </c>
      <c r="E205" s="1" t="s">
        <v>13768</v>
      </c>
      <c r="F205" s="2" t="s">
        <v>21397</v>
      </c>
      <c r="G205" s="1" t="s">
        <v>9</v>
      </c>
      <c r="H205" s="1"/>
      <c r="I205" s="1"/>
      <c r="J205" s="1"/>
      <c r="K205" s="1"/>
      <c r="L205" s="1"/>
      <c r="M205" s="1"/>
      <c r="N205" s="1"/>
      <c r="O205" s="1"/>
      <c r="P205" s="1"/>
      <c r="Q205" s="1"/>
    </row>
    <row r="206" spans="1:17" x14ac:dyDescent="0.35">
      <c r="B206" s="49" t="s">
        <v>14923</v>
      </c>
      <c r="C206" s="352" t="s">
        <v>14924</v>
      </c>
    </row>
    <row r="207" spans="1:17" x14ac:dyDescent="0.35">
      <c r="B207" s="49" t="s">
        <v>14925</v>
      </c>
      <c r="C207" s="53" t="s">
        <v>14926</v>
      </c>
    </row>
    <row r="208" spans="1:17" x14ac:dyDescent="0.35">
      <c r="B208" s="49" t="s">
        <v>14927</v>
      </c>
      <c r="C208" s="53" t="s">
        <v>14928</v>
      </c>
    </row>
    <row r="209" spans="2:8" x14ac:dyDescent="0.35">
      <c r="B209" s="49" t="s">
        <v>14929</v>
      </c>
      <c r="C209" s="53" t="s">
        <v>14930</v>
      </c>
    </row>
    <row r="210" spans="2:8" x14ac:dyDescent="0.35">
      <c r="B210" s="49" t="s">
        <v>14931</v>
      </c>
      <c r="C210" s="53" t="s">
        <v>14932</v>
      </c>
    </row>
    <row r="211" spans="2:8" x14ac:dyDescent="0.35">
      <c r="B211" s="49" t="s">
        <v>14933</v>
      </c>
      <c r="C211" s="53" t="s">
        <v>14934</v>
      </c>
    </row>
    <row r="212" spans="2:8" x14ac:dyDescent="0.35">
      <c r="B212" s="49" t="s">
        <v>14935</v>
      </c>
      <c r="C212" s="53" t="s">
        <v>14936</v>
      </c>
    </row>
    <row r="213" spans="2:8" x14ac:dyDescent="0.35">
      <c r="B213" s="49" t="s">
        <v>14937</v>
      </c>
      <c r="C213" s="53" t="s">
        <v>14938</v>
      </c>
    </row>
    <row r="214" spans="2:8" x14ac:dyDescent="0.35">
      <c r="B214" s="49" t="s">
        <v>14939</v>
      </c>
      <c r="C214" s="53" t="s">
        <v>14940</v>
      </c>
    </row>
    <row r="215" spans="2:8" x14ac:dyDescent="0.35">
      <c r="B215" s="49" t="s">
        <v>14941</v>
      </c>
      <c r="C215" s="53" t="s">
        <v>14942</v>
      </c>
    </row>
    <row r="216" spans="2:8" ht="72.5" x14ac:dyDescent="0.35">
      <c r="C216" s="388" t="s">
        <v>22229</v>
      </c>
      <c r="D216" s="388" t="s">
        <v>18</v>
      </c>
      <c r="E216" s="388">
        <v>12560.01</v>
      </c>
      <c r="F216" s="388" t="s">
        <v>21813</v>
      </c>
      <c r="G216" s="388" t="s">
        <v>21663</v>
      </c>
      <c r="H216" s="388" t="s">
        <v>22230</v>
      </c>
    </row>
    <row r="217" spans="2:8" ht="87" x14ac:dyDescent="0.35">
      <c r="C217" s="388" t="s">
        <v>22231</v>
      </c>
      <c r="D217" s="388" t="s">
        <v>18</v>
      </c>
      <c r="E217" s="388">
        <v>12560.01</v>
      </c>
      <c r="F217" s="388" t="s">
        <v>21813</v>
      </c>
      <c r="G217" s="388" t="s">
        <v>21665</v>
      </c>
      <c r="H217" s="388" t="s">
        <v>22232</v>
      </c>
    </row>
    <row r="218" spans="2:8" ht="116" x14ac:dyDescent="0.35">
      <c r="C218" s="388" t="s">
        <v>22233</v>
      </c>
      <c r="D218" s="388" t="s">
        <v>18</v>
      </c>
      <c r="E218" s="388">
        <v>12560.01</v>
      </c>
      <c r="F218" s="388" t="s">
        <v>21813</v>
      </c>
      <c r="G218" s="388" t="s">
        <v>21765</v>
      </c>
      <c r="H218" s="388" t="s">
        <v>22234</v>
      </c>
    </row>
    <row r="219" spans="2:8" ht="87" x14ac:dyDescent="0.35">
      <c r="C219" s="388" t="s">
        <v>22235</v>
      </c>
      <c r="D219" s="388" t="s">
        <v>18</v>
      </c>
      <c r="E219" s="388">
        <v>12560.01</v>
      </c>
      <c r="F219" s="388" t="s">
        <v>21813</v>
      </c>
      <c r="G219" s="388" t="s">
        <v>22236</v>
      </c>
      <c r="H219" s="388" t="s">
        <v>22237</v>
      </c>
    </row>
    <row r="220" spans="2:8" ht="101.5" x14ac:dyDescent="0.35">
      <c r="C220" s="388" t="s">
        <v>22238</v>
      </c>
      <c r="D220" s="388" t="s">
        <v>18</v>
      </c>
      <c r="E220" s="388">
        <v>12560.02</v>
      </c>
      <c r="F220" s="388" t="s">
        <v>22239</v>
      </c>
      <c r="G220" s="388" t="s">
        <v>21662</v>
      </c>
      <c r="H220" s="388" t="s">
        <v>22240</v>
      </c>
    </row>
    <row r="221" spans="2:8" ht="87" x14ac:dyDescent="0.35">
      <c r="C221" s="388" t="s">
        <v>22241</v>
      </c>
      <c r="D221" s="388" t="s">
        <v>18</v>
      </c>
      <c r="E221" s="388">
        <v>12560.02</v>
      </c>
      <c r="F221" s="388" t="s">
        <v>22242</v>
      </c>
      <c r="G221" s="388" t="s">
        <v>21663</v>
      </c>
      <c r="H221" s="388" t="s">
        <v>22243</v>
      </c>
    </row>
    <row r="222" spans="2:8" ht="72.5" x14ac:dyDescent="0.35">
      <c r="C222" s="388" t="s">
        <v>22244</v>
      </c>
      <c r="D222" s="388" t="s">
        <v>18</v>
      </c>
      <c r="E222" s="388">
        <v>12560.02</v>
      </c>
      <c r="F222" s="388" t="s">
        <v>22245</v>
      </c>
      <c r="G222" s="388" t="s">
        <v>22246</v>
      </c>
      <c r="H222" s="388" t="s">
        <v>22247</v>
      </c>
    </row>
    <row r="223" spans="2:8" ht="87" x14ac:dyDescent="0.35">
      <c r="C223" s="388" t="s">
        <v>22248</v>
      </c>
      <c r="D223" s="388" t="s">
        <v>18</v>
      </c>
      <c r="E223" s="388">
        <v>12560.02</v>
      </c>
      <c r="F223" s="388" t="s">
        <v>22242</v>
      </c>
      <c r="G223" s="388" t="s">
        <v>21644</v>
      </c>
      <c r="H223" s="388" t="s">
        <v>22249</v>
      </c>
    </row>
    <row r="224" spans="2:8" ht="87" x14ac:dyDescent="0.35">
      <c r="C224" s="388" t="s">
        <v>22250</v>
      </c>
      <c r="D224" s="388" t="s">
        <v>18</v>
      </c>
      <c r="E224" s="388">
        <v>12560.1</v>
      </c>
      <c r="F224" s="388" t="s">
        <v>21813</v>
      </c>
      <c r="G224" s="388" t="s">
        <v>21658</v>
      </c>
      <c r="H224" s="388" t="s">
        <v>22251</v>
      </c>
    </row>
    <row r="225" spans="3:8" ht="72.5" x14ac:dyDescent="0.35">
      <c r="C225" s="388" t="s">
        <v>22252</v>
      </c>
      <c r="D225" s="388" t="s">
        <v>18</v>
      </c>
      <c r="E225" s="388">
        <v>12560.1</v>
      </c>
      <c r="F225" s="388" t="s">
        <v>21813</v>
      </c>
      <c r="G225" s="388" t="s">
        <v>22253</v>
      </c>
      <c r="H225" s="388" t="s">
        <v>22254</v>
      </c>
    </row>
    <row r="226" spans="3:8" ht="72.5" x14ac:dyDescent="0.35">
      <c r="C226" s="388" t="s">
        <v>22255</v>
      </c>
      <c r="D226" s="388" t="s">
        <v>18</v>
      </c>
      <c r="E226" s="388">
        <v>12560.11</v>
      </c>
      <c r="F226" s="388" t="s">
        <v>22256</v>
      </c>
      <c r="G226" s="388" t="s">
        <v>21765</v>
      </c>
      <c r="H226" s="388" t="s">
        <v>22257</v>
      </c>
    </row>
    <row r="227" spans="3:8" ht="101.5" x14ac:dyDescent="0.35">
      <c r="C227" s="388" t="s">
        <v>22258</v>
      </c>
      <c r="D227" s="388" t="s">
        <v>18</v>
      </c>
      <c r="E227" s="388">
        <v>12560.21</v>
      </c>
      <c r="F227" s="388" t="s">
        <v>22259</v>
      </c>
      <c r="G227" s="388" t="s">
        <v>22236</v>
      </c>
      <c r="H227" s="388" t="s">
        <v>22260</v>
      </c>
    </row>
    <row r="228" spans="3:8" ht="101.5" x14ac:dyDescent="0.35">
      <c r="C228" s="388" t="s">
        <v>22261</v>
      </c>
      <c r="D228" s="388" t="s">
        <v>18</v>
      </c>
      <c r="E228" s="388">
        <v>12560.3</v>
      </c>
      <c r="F228" s="388" t="s">
        <v>21813</v>
      </c>
      <c r="G228" s="388" t="s">
        <v>22262</v>
      </c>
      <c r="H228" s="388" t="s">
        <v>22263</v>
      </c>
    </row>
    <row r="229" spans="3:8" ht="87" x14ac:dyDescent="0.35">
      <c r="C229" s="388" t="s">
        <v>22264</v>
      </c>
      <c r="D229" s="388" t="s">
        <v>18</v>
      </c>
      <c r="E229" s="388">
        <v>12560.3</v>
      </c>
      <c r="F229" s="388" t="s">
        <v>21813</v>
      </c>
      <c r="G229" s="388" t="s">
        <v>21676</v>
      </c>
      <c r="H229" s="388" t="s">
        <v>22265</v>
      </c>
    </row>
  </sheetData>
  <mergeCells count="9">
    <mergeCell ref="J5:K5"/>
    <mergeCell ref="J6:K6"/>
    <mergeCell ref="J7:K7"/>
    <mergeCell ref="A3:B3"/>
    <mergeCell ref="D3:G3"/>
    <mergeCell ref="J3:K3"/>
    <mergeCell ref="P3:Q3"/>
    <mergeCell ref="A4:B4"/>
    <mergeCell ref="J4:K4"/>
  </mergeCells>
  <dataValidations count="1">
    <dataValidation type="list" allowBlank="1" showInputMessage="1" showErrorMessage="1" sqref="C16:C190" xr:uid="{C352C4EB-6149-47C1-8830-014445296F56}">
      <formula1>$C$205:$C207</formula1>
    </dataValidation>
  </dataValidations>
  <hyperlinks>
    <hyperlink ref="D3" r:id="rId1" display="datamateapp@gmail.com" xr:uid="{4893EBC5-1FF2-4031-AF4A-2407BDD1323E}"/>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70049" r:id="rId4" name="Button 1">
              <controlPr defaultSize="0" print="0" autoFill="0" autoPict="0" macro="SaveData">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770050" r:id="rId5" name="Button 2">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770051"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770052"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770053" r:id="rId8" name="Button 5">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770054" r:id="rId9" name="Button 6">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770055" r:id="rId10" name="Button 7">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770056" r:id="rId11" name="Button 8">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mc:AlternateContent xmlns:mc="http://schemas.openxmlformats.org/markup-compatibility/2006">
          <mc:Choice Requires="x14">
            <control shapeId="770058" r:id="rId12" name="Button 10">
              <controlPr defaultSize="0" print="0" autoFill="0" autoPict="0" macro="[0]!ExitSEC_125000">
                <anchor moveWithCells="1" sizeWithCells="1">
                  <from>
                    <xdr:col>16</xdr:col>
                    <xdr:colOff>0</xdr:colOff>
                    <xdr:row>0</xdr:row>
                    <xdr:rowOff>0</xdr:rowOff>
                  </from>
                  <to>
                    <xdr:col>16</xdr:col>
                    <xdr:colOff>1270000</xdr:colOff>
                    <xdr:row>2</xdr:row>
                    <xdr:rowOff>12700</xdr:rowOff>
                  </to>
                </anchor>
              </controlPr>
            </control>
          </mc:Choice>
        </mc:AlternateContent>
      </controls>
    </mc:Choice>
  </mc:AlternateContent>
</worksheet>
</file>

<file path=xl/worksheets/sheet1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BE9C0-2F40-4EB4-9F3E-81058A01957E}">
  <sheetPr codeName="Sheet167"/>
  <dimension ref="A1:Q222"/>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MULTIPLE SEATING</v>
      </c>
      <c r="J2" s="59"/>
      <c r="K2" s="59"/>
      <c r="L2" s="1"/>
      <c r="M2" s="59"/>
      <c r="N2" s="59"/>
      <c r="O2" s="60"/>
      <c r="P2" s="57"/>
      <c r="Q2" s="57"/>
    </row>
    <row r="3" spans="1:17" ht="15" thickBot="1" x14ac:dyDescent="0.4">
      <c r="A3" s="446" t="s">
        <v>21561</v>
      </c>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12 60 00</v>
      </c>
      <c r="C10" s="24" t="str">
        <f>C206</f>
        <v>MULTIPLE SEATING</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MULTIPLE SEATING</v>
      </c>
      <c r="D12" s="31"/>
      <c r="E12" s="32"/>
      <c r="F12" s="34"/>
      <c r="G12" s="33"/>
      <c r="H12" s="34"/>
      <c r="I12" s="33"/>
      <c r="J12" s="34"/>
      <c r="K12" s="34"/>
      <c r="L12" s="34"/>
      <c r="M12" s="33"/>
      <c r="N12" s="34"/>
      <c r="O12" s="35"/>
      <c r="P12" s="31"/>
      <c r="Q12" s="35"/>
    </row>
    <row r="13" spans="1:17" x14ac:dyDescent="0.35">
      <c r="A13" s="1"/>
      <c r="B13" s="1"/>
      <c r="C13" s="1"/>
      <c r="D13" s="1"/>
      <c r="E13" s="1"/>
      <c r="F13" s="1"/>
      <c r="G13" s="1"/>
      <c r="H13" s="1"/>
      <c r="I13" s="1"/>
      <c r="J13" s="1"/>
      <c r="K13" s="1"/>
      <c r="L13" s="1"/>
      <c r="M13" s="1"/>
      <c r="N13" s="1"/>
      <c r="O13" s="1"/>
      <c r="P13" s="1"/>
      <c r="Q13" s="1"/>
    </row>
    <row r="14" spans="1:17" x14ac:dyDescent="0.35">
      <c r="A14" s="1"/>
      <c r="B14" s="1"/>
      <c r="C14" s="1"/>
      <c r="D14" s="1"/>
      <c r="E14" s="1"/>
      <c r="F14" s="1"/>
      <c r="G14" s="1"/>
      <c r="H14" s="1"/>
      <c r="I14" s="1"/>
      <c r="J14" s="1"/>
      <c r="K14" s="1"/>
      <c r="L14" s="1"/>
      <c r="M14" s="1"/>
      <c r="N14" s="1"/>
      <c r="O14" s="1"/>
      <c r="P14" s="1"/>
      <c r="Q14" s="1"/>
    </row>
    <row r="15" spans="1:17" x14ac:dyDescent="0.35">
      <c r="A15" s="1"/>
      <c r="B15" s="1"/>
      <c r="C15" s="1"/>
      <c r="D15" s="1"/>
      <c r="E15" s="1"/>
      <c r="F15" s="1"/>
      <c r="G15" s="1"/>
      <c r="H15" s="1"/>
      <c r="I15" s="1"/>
      <c r="J15" s="1"/>
      <c r="K15" s="1"/>
      <c r="L15" s="1"/>
      <c r="M15" s="1"/>
      <c r="N15" s="1"/>
      <c r="O15" s="1"/>
      <c r="P15" s="1"/>
      <c r="Q15" s="1"/>
    </row>
    <row r="16" spans="1:17" x14ac:dyDescent="0.35">
      <c r="A16" s="1"/>
      <c r="B16" s="1"/>
      <c r="C16" s="1"/>
      <c r="D16" s="1"/>
      <c r="E16" s="1"/>
      <c r="F16" s="1"/>
      <c r="G16" s="1"/>
      <c r="H16" s="1"/>
      <c r="I16" s="1"/>
      <c r="J16" s="1"/>
      <c r="K16" s="1"/>
      <c r="L16" s="1"/>
      <c r="M16" s="1"/>
      <c r="N16" s="1"/>
      <c r="O16" s="1"/>
      <c r="P16" s="1"/>
      <c r="Q16" s="1"/>
    </row>
    <row r="17" spans="1:17" x14ac:dyDescent="0.35">
      <c r="A17" s="1"/>
      <c r="B17" s="1"/>
      <c r="C17" s="1"/>
      <c r="D17" s="1"/>
      <c r="E17" s="1"/>
      <c r="F17" s="1"/>
      <c r="G17" s="1"/>
      <c r="H17" s="1"/>
      <c r="I17" s="1"/>
      <c r="J17" s="1"/>
      <c r="K17" s="1"/>
      <c r="L17" s="1"/>
      <c r="M17" s="1"/>
      <c r="N17" s="1"/>
      <c r="O17" s="1"/>
      <c r="P17" s="1"/>
      <c r="Q17" s="1"/>
    </row>
    <row r="18" spans="1:17" x14ac:dyDescent="0.35">
      <c r="A18" s="1"/>
      <c r="B18" s="1"/>
      <c r="C18" s="1"/>
      <c r="D18" s="1"/>
      <c r="E18" s="1"/>
      <c r="F18" s="1"/>
      <c r="G18" s="1"/>
      <c r="H18" s="1"/>
      <c r="I18" s="1"/>
      <c r="J18" s="1"/>
      <c r="K18" s="1"/>
      <c r="L18" s="1"/>
      <c r="M18" s="1"/>
      <c r="N18" s="1"/>
      <c r="O18" s="1"/>
      <c r="P18" s="1"/>
      <c r="Q18" s="1"/>
    </row>
    <row r="19" spans="1:17" x14ac:dyDescent="0.35">
      <c r="A19" s="1"/>
      <c r="B19" s="1"/>
      <c r="C19" s="1"/>
      <c r="D19" s="1"/>
      <c r="E19" s="1"/>
      <c r="F19" s="1"/>
      <c r="G19" s="1"/>
      <c r="H19" s="1"/>
      <c r="I19" s="1"/>
      <c r="J19" s="1"/>
      <c r="K19" s="1"/>
      <c r="L19" s="1"/>
      <c r="M19" s="1"/>
      <c r="N19" s="1"/>
      <c r="O19" s="1"/>
      <c r="P19" s="1"/>
      <c r="Q19" s="1"/>
    </row>
    <row r="20" spans="1:17" x14ac:dyDescent="0.35">
      <c r="A20" s="1"/>
      <c r="B20" s="1"/>
      <c r="C20" s="1"/>
      <c r="D20" s="1"/>
      <c r="E20" s="1"/>
      <c r="F20" s="1"/>
      <c r="G20" s="1"/>
      <c r="H20" s="1"/>
      <c r="I20" s="1"/>
      <c r="J20" s="1"/>
      <c r="K20" s="1"/>
      <c r="L20" s="1"/>
      <c r="M20" s="1"/>
      <c r="N20" s="1"/>
      <c r="O20" s="1"/>
      <c r="P20" s="1"/>
      <c r="Q20" s="1"/>
    </row>
    <row r="21" spans="1:17" x14ac:dyDescent="0.35">
      <c r="A21" s="1"/>
      <c r="B21" s="1"/>
      <c r="C21" s="1"/>
      <c r="D21" s="1"/>
      <c r="E21" s="1"/>
      <c r="F21" s="1"/>
      <c r="G21" s="1"/>
      <c r="H21" s="1"/>
      <c r="I21" s="1"/>
      <c r="J21" s="1"/>
      <c r="K21" s="1"/>
      <c r="L21" s="1"/>
      <c r="M21" s="1"/>
      <c r="N21" s="1"/>
      <c r="O21" s="1"/>
      <c r="P21" s="1"/>
      <c r="Q21" s="1"/>
    </row>
    <row r="22" spans="1:17" x14ac:dyDescent="0.35">
      <c r="A22" s="1"/>
      <c r="B22" s="1"/>
      <c r="C22" s="1"/>
      <c r="D22" s="1"/>
      <c r="E22" s="1"/>
      <c r="F22" s="1"/>
      <c r="G22" s="1"/>
      <c r="H22" s="1"/>
      <c r="I22" s="1"/>
      <c r="J22" s="1"/>
      <c r="K22" s="1"/>
      <c r="L22" s="1"/>
      <c r="M22" s="1"/>
      <c r="N22" s="1"/>
      <c r="O22" s="1"/>
      <c r="P22" s="1"/>
      <c r="Q22" s="1"/>
    </row>
    <row r="23" spans="1:17" x14ac:dyDescent="0.35">
      <c r="A23" s="1"/>
      <c r="B23" s="1"/>
      <c r="C23" s="1"/>
      <c r="D23" s="1"/>
      <c r="E23" s="1"/>
      <c r="F23" s="1"/>
      <c r="G23" s="1"/>
      <c r="H23" s="1"/>
      <c r="I23" s="1"/>
      <c r="J23" s="1"/>
      <c r="K23" s="1"/>
      <c r="L23" s="1"/>
      <c r="M23" s="1"/>
      <c r="N23" s="1"/>
      <c r="O23" s="1"/>
      <c r="P23" s="1"/>
      <c r="Q23" s="1"/>
    </row>
    <row r="24" spans="1:17" x14ac:dyDescent="0.35">
      <c r="A24" s="1"/>
      <c r="B24" s="1"/>
      <c r="C24" s="1"/>
      <c r="D24" s="1"/>
      <c r="E24" s="1"/>
      <c r="F24" s="1"/>
      <c r="G24" s="1"/>
      <c r="H24" s="1"/>
      <c r="I24" s="1"/>
      <c r="J24" s="1"/>
      <c r="K24" s="1"/>
      <c r="L24" s="1"/>
      <c r="M24" s="1"/>
      <c r="N24" s="1"/>
      <c r="O24" s="1"/>
      <c r="P24" s="1"/>
      <c r="Q24" s="1"/>
    </row>
    <row r="25" spans="1:17" x14ac:dyDescent="0.35">
      <c r="A25" s="1"/>
      <c r="B25" s="1"/>
      <c r="C25" s="1"/>
      <c r="D25" s="1"/>
      <c r="E25" s="1"/>
      <c r="F25" s="1"/>
      <c r="G25" s="1"/>
      <c r="H25" s="1"/>
      <c r="I25" s="1"/>
      <c r="J25" s="1"/>
      <c r="K25" s="1"/>
      <c r="L25" s="1"/>
      <c r="M25" s="1"/>
      <c r="N25" s="1"/>
      <c r="O25" s="1"/>
      <c r="P25" s="1"/>
      <c r="Q25" s="1"/>
    </row>
    <row r="26" spans="1:17" x14ac:dyDescent="0.35">
      <c r="A26" s="1"/>
      <c r="B26" s="1"/>
      <c r="C26" s="1"/>
      <c r="D26" s="1"/>
      <c r="E26" s="1"/>
      <c r="F26" s="1"/>
      <c r="G26" s="1"/>
      <c r="H26" s="1"/>
      <c r="I26" s="1"/>
      <c r="J26" s="1"/>
      <c r="K26" s="1"/>
      <c r="L26" s="1"/>
      <c r="M26" s="1"/>
      <c r="N26" s="1"/>
      <c r="O26" s="1"/>
      <c r="P26" s="1"/>
      <c r="Q26" s="1"/>
    </row>
    <row r="27" spans="1:17" x14ac:dyDescent="0.35">
      <c r="A27" s="1"/>
      <c r="B27" s="1"/>
      <c r="C27" s="1"/>
      <c r="D27" s="1"/>
      <c r="E27" s="1"/>
      <c r="F27" s="1"/>
      <c r="G27" s="1"/>
      <c r="H27" s="1"/>
      <c r="I27" s="1"/>
      <c r="J27" s="1"/>
      <c r="K27" s="1"/>
      <c r="L27" s="1"/>
      <c r="M27" s="1"/>
      <c r="N27" s="1"/>
      <c r="O27" s="1"/>
      <c r="P27" s="1"/>
      <c r="Q27" s="1"/>
    </row>
    <row r="28" spans="1:17" x14ac:dyDescent="0.35">
      <c r="A28" s="1"/>
      <c r="B28" s="1"/>
      <c r="C28" s="1"/>
      <c r="D28" s="1"/>
      <c r="E28" s="1"/>
      <c r="F28" s="1"/>
      <c r="G28" s="1"/>
      <c r="H28" s="1"/>
      <c r="I28" s="1"/>
      <c r="J28" s="1"/>
      <c r="K28" s="1"/>
      <c r="L28" s="1"/>
      <c r="M28" s="1"/>
      <c r="N28" s="1"/>
      <c r="O28" s="1"/>
      <c r="P28" s="1"/>
      <c r="Q28" s="1"/>
    </row>
    <row r="29" spans="1:17" x14ac:dyDescent="0.35">
      <c r="A29" s="1"/>
      <c r="B29" s="1"/>
      <c r="C29" s="1"/>
      <c r="D29" s="1"/>
      <c r="E29" s="1"/>
      <c r="F29" s="1"/>
      <c r="G29" s="1"/>
      <c r="H29" s="1"/>
      <c r="I29" s="1"/>
      <c r="J29" s="1"/>
      <c r="K29" s="1"/>
      <c r="L29" s="1"/>
      <c r="M29" s="1"/>
      <c r="N29" s="1"/>
      <c r="O29" s="1"/>
      <c r="P29" s="1"/>
      <c r="Q29" s="1"/>
    </row>
    <row r="30" spans="1:17" x14ac:dyDescent="0.35">
      <c r="A30" s="1"/>
      <c r="B30" s="1"/>
      <c r="C30" s="1"/>
      <c r="D30" s="1"/>
      <c r="E30" s="1"/>
      <c r="F30" s="1"/>
      <c r="G30" s="1"/>
      <c r="H30" s="1"/>
      <c r="I30" s="1"/>
      <c r="J30" s="1"/>
      <c r="K30" s="1"/>
      <c r="L30" s="1"/>
      <c r="M30" s="1"/>
      <c r="N30" s="1"/>
      <c r="O30" s="1"/>
      <c r="P30" s="1"/>
      <c r="Q30" s="1"/>
    </row>
    <row r="31" spans="1:17" x14ac:dyDescent="0.35">
      <c r="A31" s="1"/>
      <c r="B31" s="1"/>
      <c r="C31" s="1"/>
      <c r="D31" s="1"/>
      <c r="E31" s="1"/>
      <c r="F31" s="1"/>
      <c r="G31" s="1"/>
      <c r="H31" s="1"/>
      <c r="I31" s="1"/>
      <c r="J31" s="1"/>
      <c r="K31" s="1"/>
      <c r="L31" s="1"/>
      <c r="M31" s="1"/>
      <c r="N31" s="1"/>
      <c r="O31" s="1"/>
      <c r="P31" s="1"/>
      <c r="Q31" s="1"/>
    </row>
    <row r="32" spans="1:17" x14ac:dyDescent="0.35">
      <c r="A32" s="1"/>
      <c r="B32" s="1"/>
      <c r="C32" s="1"/>
      <c r="D32" s="1"/>
      <c r="E32" s="1"/>
      <c r="F32" s="1"/>
      <c r="G32" s="1"/>
      <c r="H32" s="1"/>
      <c r="I32" s="1"/>
      <c r="J32" s="1"/>
      <c r="K32" s="1"/>
      <c r="L32" s="1"/>
      <c r="M32" s="1"/>
      <c r="N32" s="1"/>
      <c r="O32" s="1"/>
      <c r="P32" s="1"/>
      <c r="Q32" s="1"/>
    </row>
    <row r="33" spans="1:17" x14ac:dyDescent="0.35">
      <c r="A33" s="1"/>
      <c r="B33" s="1"/>
      <c r="C33" s="1"/>
      <c r="D33" s="1"/>
      <c r="E33" s="1"/>
      <c r="F33" s="1"/>
      <c r="G33" s="1"/>
      <c r="H33" s="1"/>
      <c r="I33" s="1"/>
      <c r="J33" s="1"/>
      <c r="K33" s="1"/>
      <c r="L33" s="1"/>
      <c r="M33" s="1"/>
      <c r="N33" s="1"/>
      <c r="O33" s="1"/>
      <c r="P33" s="1"/>
      <c r="Q33" s="1"/>
    </row>
    <row r="34" spans="1:17" x14ac:dyDescent="0.35">
      <c r="A34" s="1"/>
      <c r="B34" s="1"/>
      <c r="C34" s="1"/>
      <c r="D34" s="1"/>
      <c r="E34" s="1"/>
      <c r="F34" s="1"/>
      <c r="G34" s="1"/>
      <c r="H34" s="1"/>
      <c r="I34" s="1"/>
      <c r="J34" s="1"/>
      <c r="K34" s="1"/>
      <c r="L34" s="1"/>
      <c r="M34" s="1"/>
      <c r="N34" s="1"/>
      <c r="O34" s="1"/>
      <c r="P34" s="1"/>
      <c r="Q34" s="1"/>
    </row>
    <row r="35" spans="1:17" x14ac:dyDescent="0.35">
      <c r="A35" s="1"/>
      <c r="B35" s="1"/>
      <c r="C35" s="1"/>
      <c r="D35" s="1"/>
      <c r="E35" s="1"/>
      <c r="F35" s="1"/>
      <c r="G35" s="1"/>
      <c r="H35" s="1"/>
      <c r="I35" s="1"/>
      <c r="J35" s="1"/>
      <c r="K35" s="1"/>
      <c r="L35" s="1"/>
      <c r="M35" s="1"/>
      <c r="N35" s="1"/>
      <c r="O35" s="1"/>
      <c r="P35" s="1"/>
      <c r="Q35" s="1"/>
    </row>
    <row r="36" spans="1:17" x14ac:dyDescent="0.35">
      <c r="A36" s="1"/>
      <c r="B36" s="1"/>
      <c r="C36" s="1"/>
      <c r="D36" s="1"/>
      <c r="E36" s="1"/>
      <c r="F36" s="1"/>
      <c r="G36" s="1"/>
      <c r="H36" s="1"/>
      <c r="I36" s="1"/>
      <c r="J36" s="1"/>
      <c r="K36" s="1"/>
      <c r="L36" s="1"/>
      <c r="M36" s="1"/>
      <c r="N36" s="1"/>
      <c r="O36" s="1"/>
      <c r="P36" s="1"/>
      <c r="Q36" s="1"/>
    </row>
    <row r="37" spans="1:17" x14ac:dyDescent="0.35">
      <c r="A37" s="1"/>
      <c r="B37" s="1"/>
      <c r="C37" s="1"/>
      <c r="D37" s="1"/>
      <c r="E37" s="1"/>
      <c r="F37" s="1"/>
      <c r="G37" s="1"/>
      <c r="H37" s="1"/>
      <c r="I37" s="1"/>
      <c r="J37" s="1"/>
      <c r="K37" s="1"/>
      <c r="L37" s="1"/>
      <c r="M37" s="1"/>
      <c r="N37" s="1"/>
      <c r="O37" s="1"/>
      <c r="P37" s="1"/>
      <c r="Q37" s="1"/>
    </row>
    <row r="38" spans="1:17" x14ac:dyDescent="0.35">
      <c r="A38" s="1"/>
      <c r="B38" s="1"/>
      <c r="C38" s="1"/>
      <c r="D38" s="1"/>
      <c r="E38" s="1"/>
      <c r="F38" s="1"/>
      <c r="G38" s="1"/>
      <c r="H38" s="1"/>
      <c r="I38" s="1"/>
      <c r="J38" s="1"/>
      <c r="K38" s="1"/>
      <c r="L38" s="1"/>
      <c r="M38" s="1"/>
      <c r="N38" s="1"/>
      <c r="O38" s="1"/>
      <c r="P38" s="1"/>
      <c r="Q38" s="1"/>
    </row>
    <row r="39" spans="1:17" x14ac:dyDescent="0.35">
      <c r="A39" s="1"/>
      <c r="B39" s="1"/>
      <c r="C39" s="1"/>
      <c r="D39" s="1"/>
      <c r="E39" s="1"/>
      <c r="F39" s="1"/>
      <c r="G39" s="1"/>
      <c r="H39" s="1"/>
      <c r="I39" s="1"/>
      <c r="J39" s="1"/>
      <c r="K39" s="1"/>
      <c r="L39" s="1"/>
      <c r="M39" s="1"/>
      <c r="N39" s="1"/>
      <c r="O39" s="1"/>
      <c r="P39" s="1"/>
      <c r="Q39" s="1"/>
    </row>
    <row r="40" spans="1:17" x14ac:dyDescent="0.35">
      <c r="A40" s="1"/>
      <c r="B40" s="1"/>
      <c r="C40" s="1"/>
      <c r="D40" s="1"/>
      <c r="E40" s="1"/>
      <c r="F40" s="1"/>
      <c r="G40" s="1"/>
      <c r="H40" s="1"/>
      <c r="I40" s="1"/>
      <c r="J40" s="1"/>
      <c r="K40" s="1"/>
      <c r="L40" s="1"/>
      <c r="M40" s="1"/>
      <c r="N40" s="1"/>
      <c r="O40" s="1"/>
      <c r="P40" s="1"/>
      <c r="Q40" s="1"/>
    </row>
    <row r="41" spans="1:17" x14ac:dyDescent="0.35">
      <c r="A41" s="1"/>
      <c r="B41" s="1"/>
      <c r="C41" s="1"/>
      <c r="D41" s="1"/>
      <c r="E41" s="1"/>
      <c r="F41" s="1"/>
      <c r="G41" s="1"/>
      <c r="H41" s="1"/>
      <c r="I41" s="1"/>
      <c r="J41" s="1"/>
      <c r="K41" s="1"/>
      <c r="L41" s="1"/>
      <c r="M41" s="1"/>
      <c r="N41" s="1"/>
      <c r="O41" s="1"/>
      <c r="P41" s="1"/>
      <c r="Q41" s="1"/>
    </row>
    <row r="42" spans="1:17" x14ac:dyDescent="0.35">
      <c r="A42" s="1"/>
      <c r="B42" s="1"/>
      <c r="C42" s="1"/>
      <c r="D42" s="1"/>
      <c r="E42" s="1"/>
      <c r="F42" s="1"/>
      <c r="G42" s="1"/>
      <c r="H42" s="1"/>
      <c r="I42" s="1"/>
      <c r="J42" s="1"/>
      <c r="K42" s="1"/>
      <c r="L42" s="1"/>
      <c r="M42" s="1"/>
      <c r="N42" s="1"/>
      <c r="O42" s="1"/>
      <c r="P42" s="1"/>
      <c r="Q42" s="1"/>
    </row>
    <row r="43" spans="1:17" x14ac:dyDescent="0.35">
      <c r="A43" s="1"/>
      <c r="B43" s="1"/>
      <c r="C43" s="1"/>
      <c r="D43" s="1"/>
      <c r="E43" s="1"/>
      <c r="F43" s="1"/>
      <c r="G43" s="1"/>
      <c r="H43" s="1"/>
      <c r="I43" s="1"/>
      <c r="J43" s="1"/>
      <c r="K43" s="1"/>
      <c r="L43" s="1"/>
      <c r="M43" s="1"/>
      <c r="N43" s="1"/>
      <c r="O43" s="1"/>
      <c r="P43" s="1"/>
      <c r="Q43" s="1"/>
    </row>
    <row r="44" spans="1:17" x14ac:dyDescent="0.35">
      <c r="A44" s="1"/>
      <c r="B44" s="1"/>
      <c r="C44" s="1"/>
      <c r="D44" s="1"/>
      <c r="E44" s="1"/>
      <c r="F44" s="1"/>
      <c r="G44" s="1"/>
      <c r="H44" s="1"/>
      <c r="I44" s="1"/>
      <c r="J44" s="1"/>
      <c r="K44" s="1"/>
      <c r="L44" s="1"/>
      <c r="M44" s="1"/>
      <c r="N44" s="1"/>
      <c r="O44" s="1"/>
      <c r="P44" s="1"/>
      <c r="Q44" s="1"/>
    </row>
    <row r="45" spans="1:17" x14ac:dyDescent="0.35">
      <c r="A45" s="1"/>
      <c r="B45" s="1"/>
      <c r="C45" s="1"/>
      <c r="D45" s="1"/>
      <c r="E45" s="1"/>
      <c r="F45" s="1"/>
      <c r="G45" s="1"/>
      <c r="H45" s="1"/>
      <c r="I45" s="1"/>
      <c r="J45" s="1"/>
      <c r="K45" s="1"/>
      <c r="L45" s="1"/>
      <c r="M45" s="1"/>
      <c r="N45" s="1"/>
      <c r="O45" s="1"/>
      <c r="P45" s="1"/>
      <c r="Q45" s="1"/>
    </row>
    <row r="46" spans="1:17" x14ac:dyDescent="0.35">
      <c r="A46" s="1"/>
      <c r="B46" s="1"/>
      <c r="C46" s="1"/>
      <c r="D46" s="1"/>
      <c r="E46" s="1"/>
      <c r="F46" s="1"/>
      <c r="G46" s="1"/>
      <c r="H46" s="1"/>
      <c r="I46" s="1"/>
      <c r="J46" s="1"/>
      <c r="K46" s="1"/>
      <c r="L46" s="1"/>
      <c r="M46" s="1"/>
      <c r="N46" s="1"/>
      <c r="O46" s="1"/>
      <c r="P46" s="1"/>
      <c r="Q46" s="1"/>
    </row>
    <row r="47" spans="1:17" x14ac:dyDescent="0.35">
      <c r="A47" s="1"/>
      <c r="B47" s="1"/>
      <c r="C47" s="1"/>
      <c r="D47" s="1"/>
      <c r="E47" s="1"/>
      <c r="F47" s="1"/>
      <c r="G47" s="1"/>
      <c r="H47" s="1"/>
      <c r="I47" s="1"/>
      <c r="J47" s="1"/>
      <c r="K47" s="1"/>
      <c r="L47" s="1"/>
      <c r="M47" s="1"/>
      <c r="N47" s="1"/>
      <c r="O47" s="1"/>
      <c r="P47" s="1"/>
      <c r="Q47" s="1"/>
    </row>
    <row r="48" spans="1:17" x14ac:dyDescent="0.35">
      <c r="A48" s="1"/>
      <c r="B48" s="1"/>
      <c r="C48" s="1"/>
      <c r="D48" s="1"/>
      <c r="E48" s="1"/>
      <c r="F48" s="1"/>
      <c r="G48" s="1"/>
      <c r="H48" s="1"/>
      <c r="I48" s="1"/>
      <c r="J48" s="1"/>
      <c r="K48" s="1"/>
      <c r="L48" s="1"/>
      <c r="M48" s="1"/>
      <c r="N48" s="1"/>
      <c r="O48" s="1"/>
      <c r="P48" s="1"/>
      <c r="Q48" s="1"/>
    </row>
    <row r="49" spans="1:17" x14ac:dyDescent="0.35">
      <c r="A49" s="1"/>
      <c r="B49" s="1"/>
      <c r="C49" s="1"/>
      <c r="D49" s="1"/>
      <c r="E49" s="1"/>
      <c r="F49" s="1"/>
      <c r="G49" s="1"/>
      <c r="H49" s="1"/>
      <c r="I49" s="1"/>
      <c r="J49" s="1"/>
      <c r="K49" s="1"/>
      <c r="L49" s="1"/>
      <c r="M49" s="1"/>
      <c r="N49" s="1"/>
      <c r="O49" s="1"/>
      <c r="P49" s="1"/>
      <c r="Q49" s="1"/>
    </row>
    <row r="50" spans="1:17" x14ac:dyDescent="0.35">
      <c r="A50" s="1"/>
      <c r="B50" s="1"/>
      <c r="C50" s="1"/>
      <c r="D50" s="1"/>
      <c r="E50" s="1"/>
      <c r="F50" s="1"/>
      <c r="G50" s="1"/>
      <c r="H50" s="1"/>
      <c r="I50" s="1"/>
      <c r="J50" s="1"/>
      <c r="K50" s="1"/>
      <c r="L50" s="1"/>
      <c r="M50" s="1"/>
      <c r="N50" s="1"/>
      <c r="O50" s="1"/>
      <c r="P50" s="1"/>
      <c r="Q50" s="1"/>
    </row>
    <row r="51" spans="1:17" x14ac:dyDescent="0.35">
      <c r="A51" s="1"/>
      <c r="B51" s="1"/>
      <c r="C51" s="1"/>
      <c r="D51" s="1"/>
      <c r="E51" s="1"/>
      <c r="F51" s="1"/>
      <c r="G51" s="1"/>
      <c r="H51" s="1"/>
      <c r="I51" s="1"/>
      <c r="J51" s="1"/>
      <c r="K51" s="1"/>
      <c r="L51" s="1"/>
      <c r="M51" s="1"/>
      <c r="N51" s="1"/>
      <c r="O51" s="1"/>
      <c r="P51" s="1"/>
      <c r="Q51" s="1"/>
    </row>
    <row r="52" spans="1:17" x14ac:dyDescent="0.35">
      <c r="A52" s="1"/>
      <c r="B52" s="1"/>
      <c r="C52" s="1"/>
      <c r="D52" s="1"/>
      <c r="E52" s="1"/>
      <c r="F52" s="1"/>
      <c r="G52" s="1"/>
      <c r="H52" s="1"/>
      <c r="I52" s="1"/>
      <c r="J52" s="1"/>
      <c r="K52" s="1"/>
      <c r="L52" s="1"/>
      <c r="M52" s="1"/>
      <c r="N52" s="1"/>
      <c r="O52" s="1"/>
      <c r="P52" s="1"/>
      <c r="Q52" s="1"/>
    </row>
    <row r="53" spans="1:17" x14ac:dyDescent="0.35">
      <c r="A53" s="1"/>
      <c r="B53" s="1"/>
      <c r="C53" s="1"/>
      <c r="D53" s="1"/>
      <c r="E53" s="1"/>
      <c r="F53" s="1"/>
      <c r="G53" s="1"/>
      <c r="H53" s="1"/>
      <c r="I53" s="1"/>
      <c r="J53" s="1"/>
      <c r="K53" s="1"/>
      <c r="L53" s="1"/>
      <c r="M53" s="1"/>
      <c r="N53" s="1"/>
      <c r="O53" s="1"/>
      <c r="P53" s="1"/>
      <c r="Q53" s="1"/>
    </row>
    <row r="54" spans="1:17" x14ac:dyDescent="0.35">
      <c r="A54" s="1"/>
      <c r="B54" s="1"/>
      <c r="C54" s="1"/>
      <c r="D54" s="1"/>
      <c r="E54" s="1"/>
      <c r="F54" s="1"/>
      <c r="G54" s="1"/>
      <c r="H54" s="1"/>
      <c r="I54" s="1"/>
      <c r="J54" s="1"/>
      <c r="K54" s="1"/>
      <c r="L54" s="1"/>
      <c r="M54" s="1"/>
      <c r="N54" s="1"/>
      <c r="O54" s="1"/>
      <c r="P54" s="1"/>
      <c r="Q54" s="1"/>
    </row>
    <row r="55" spans="1:17" x14ac:dyDescent="0.35">
      <c r="A55" s="1"/>
      <c r="B55" s="1"/>
      <c r="C55" s="1"/>
      <c r="D55" s="1"/>
      <c r="E55" s="1"/>
      <c r="F55" s="1"/>
      <c r="G55" s="1"/>
      <c r="H55" s="1"/>
      <c r="I55" s="1"/>
      <c r="J55" s="1"/>
      <c r="K55" s="1"/>
      <c r="L55" s="1"/>
      <c r="M55" s="1"/>
      <c r="N55" s="1"/>
      <c r="O55" s="1"/>
      <c r="P55" s="1"/>
      <c r="Q55" s="1"/>
    </row>
    <row r="56" spans="1:17" x14ac:dyDescent="0.35">
      <c r="A56" s="1"/>
      <c r="B56" s="1"/>
      <c r="C56" s="1"/>
      <c r="D56" s="1"/>
      <c r="E56" s="1"/>
      <c r="F56" s="1"/>
      <c r="G56" s="1"/>
      <c r="H56" s="1"/>
      <c r="I56" s="1"/>
      <c r="J56" s="1"/>
      <c r="K56" s="1"/>
      <c r="L56" s="1"/>
      <c r="M56" s="1"/>
      <c r="N56" s="1"/>
      <c r="O56" s="1"/>
      <c r="P56" s="1"/>
      <c r="Q56" s="1"/>
    </row>
    <row r="57" spans="1:17" x14ac:dyDescent="0.35">
      <c r="A57" s="1"/>
      <c r="B57" s="1"/>
      <c r="C57" s="1"/>
      <c r="D57" s="1"/>
      <c r="E57" s="1"/>
      <c r="F57" s="1"/>
      <c r="G57" s="1"/>
      <c r="H57" s="1"/>
      <c r="I57" s="1"/>
      <c r="J57" s="1"/>
      <c r="K57" s="1"/>
      <c r="L57" s="1"/>
      <c r="M57" s="1"/>
      <c r="N57" s="1"/>
      <c r="O57" s="1"/>
      <c r="P57" s="1"/>
      <c r="Q57" s="1"/>
    </row>
    <row r="58" spans="1:17" x14ac:dyDescent="0.35">
      <c r="A58" s="1"/>
      <c r="B58" s="1"/>
      <c r="C58" s="1"/>
      <c r="D58" s="1"/>
      <c r="E58" s="1"/>
      <c r="F58" s="1"/>
      <c r="G58" s="1"/>
      <c r="H58" s="1"/>
      <c r="I58" s="1"/>
      <c r="J58" s="1"/>
      <c r="K58" s="1"/>
      <c r="L58" s="1"/>
      <c r="M58" s="1"/>
      <c r="N58" s="1"/>
      <c r="O58" s="1"/>
      <c r="P58" s="1"/>
      <c r="Q58" s="1"/>
    </row>
    <row r="59" spans="1:17" x14ac:dyDescent="0.35">
      <c r="A59" s="1"/>
      <c r="B59" s="1"/>
      <c r="C59" s="1"/>
      <c r="D59" s="1"/>
      <c r="E59" s="1"/>
      <c r="F59" s="1"/>
      <c r="G59" s="1"/>
      <c r="H59" s="1"/>
      <c r="I59" s="1"/>
      <c r="J59" s="1"/>
      <c r="K59" s="1"/>
      <c r="L59" s="1"/>
      <c r="M59" s="1"/>
      <c r="N59" s="1"/>
      <c r="O59" s="1"/>
      <c r="P59" s="1"/>
      <c r="Q59" s="1"/>
    </row>
    <row r="60" spans="1:17" x14ac:dyDescent="0.35">
      <c r="A60" s="1"/>
      <c r="B60" s="1"/>
      <c r="C60" s="1"/>
      <c r="D60" s="1"/>
      <c r="E60" s="1"/>
      <c r="F60" s="1"/>
      <c r="G60" s="1"/>
      <c r="H60" s="1"/>
      <c r="I60" s="1"/>
      <c r="J60" s="1"/>
      <c r="K60" s="1"/>
      <c r="L60" s="1"/>
      <c r="M60" s="1"/>
      <c r="N60" s="1"/>
      <c r="O60" s="1"/>
      <c r="P60" s="1"/>
      <c r="Q60" s="1"/>
    </row>
    <row r="61" spans="1:17" x14ac:dyDescent="0.35">
      <c r="A61" s="1"/>
      <c r="B61" s="1"/>
      <c r="C61" s="1"/>
      <c r="D61" s="1"/>
      <c r="E61" s="1"/>
      <c r="F61" s="1"/>
      <c r="G61" s="1"/>
      <c r="H61" s="1"/>
      <c r="I61" s="1"/>
      <c r="J61" s="1"/>
      <c r="K61" s="1"/>
      <c r="L61" s="1"/>
      <c r="M61" s="1"/>
      <c r="N61" s="1"/>
      <c r="O61" s="1"/>
      <c r="P61" s="1"/>
      <c r="Q61" s="1"/>
    </row>
    <row r="62" spans="1:17" x14ac:dyDescent="0.35">
      <c r="A62" s="1"/>
      <c r="B62" s="1"/>
      <c r="C62" s="1"/>
      <c r="D62" s="1"/>
      <c r="E62" s="1"/>
      <c r="F62" s="1"/>
      <c r="G62" s="1"/>
      <c r="H62" s="1"/>
      <c r="I62" s="1"/>
      <c r="J62" s="1"/>
      <c r="K62" s="1"/>
      <c r="L62" s="1"/>
      <c r="M62" s="1"/>
      <c r="N62" s="1"/>
      <c r="O62" s="1"/>
      <c r="P62" s="1"/>
      <c r="Q62" s="1"/>
    </row>
    <row r="63" spans="1:17" x14ac:dyDescent="0.35">
      <c r="A63" s="1"/>
      <c r="B63" s="1"/>
      <c r="C63" s="1"/>
      <c r="D63" s="1"/>
      <c r="E63" s="1"/>
      <c r="F63" s="1"/>
      <c r="G63" s="1"/>
      <c r="H63" s="1"/>
      <c r="I63" s="1"/>
      <c r="J63" s="1"/>
      <c r="K63" s="1"/>
      <c r="L63" s="1"/>
      <c r="M63" s="1"/>
      <c r="N63" s="1"/>
      <c r="O63" s="1"/>
      <c r="P63" s="1"/>
      <c r="Q63" s="1"/>
    </row>
    <row r="64" spans="1:17" x14ac:dyDescent="0.35">
      <c r="A64" s="1"/>
      <c r="B64" s="1"/>
      <c r="C64" s="1"/>
      <c r="D64" s="1"/>
      <c r="E64" s="1"/>
      <c r="F64" s="1"/>
      <c r="G64" s="1"/>
      <c r="H64" s="1"/>
      <c r="I64" s="1"/>
      <c r="J64" s="1"/>
      <c r="K64" s="1"/>
      <c r="L64" s="1"/>
      <c r="M64" s="1"/>
      <c r="N64" s="1"/>
      <c r="O64" s="1"/>
      <c r="P64" s="1"/>
      <c r="Q64" s="1"/>
    </row>
    <row r="65" spans="1:17" x14ac:dyDescent="0.35">
      <c r="A65" s="1"/>
      <c r="B65" s="1"/>
      <c r="C65" s="1"/>
      <c r="D65" s="1"/>
      <c r="E65" s="1"/>
      <c r="F65" s="1"/>
      <c r="G65" s="1"/>
      <c r="H65" s="1"/>
      <c r="I65" s="1"/>
      <c r="J65" s="1"/>
      <c r="K65" s="1"/>
      <c r="L65" s="1"/>
      <c r="M65" s="1"/>
      <c r="N65" s="1"/>
      <c r="O65" s="1"/>
      <c r="P65" s="1"/>
      <c r="Q65" s="1"/>
    </row>
    <row r="66" spans="1:17" x14ac:dyDescent="0.35">
      <c r="A66" s="1"/>
      <c r="B66" s="1"/>
      <c r="C66" s="1"/>
      <c r="D66" s="1"/>
      <c r="E66" s="1"/>
      <c r="F66" s="1"/>
      <c r="G66" s="1"/>
      <c r="H66" s="1"/>
      <c r="I66" s="1"/>
      <c r="J66" s="1"/>
      <c r="K66" s="1"/>
      <c r="L66" s="1"/>
      <c r="M66" s="1"/>
      <c r="N66" s="1"/>
      <c r="O66" s="1"/>
      <c r="P66" s="1"/>
      <c r="Q66" s="1"/>
    </row>
    <row r="67" spans="1:17" x14ac:dyDescent="0.35">
      <c r="A67" s="1"/>
      <c r="B67" s="1"/>
      <c r="C67" s="1"/>
      <c r="D67" s="1"/>
      <c r="E67" s="1"/>
      <c r="F67" s="1"/>
      <c r="G67" s="1"/>
      <c r="H67" s="1"/>
      <c r="I67" s="1"/>
      <c r="J67" s="1"/>
      <c r="K67" s="1"/>
      <c r="L67" s="1"/>
      <c r="M67" s="1"/>
      <c r="N67" s="1"/>
      <c r="O67" s="1"/>
      <c r="P67" s="1"/>
      <c r="Q67" s="1"/>
    </row>
    <row r="68" spans="1:17" x14ac:dyDescent="0.35">
      <c r="A68" s="1"/>
      <c r="B68" s="1"/>
      <c r="C68" s="1"/>
      <c r="D68" s="1"/>
      <c r="E68" s="1"/>
      <c r="F68" s="1"/>
      <c r="G68" s="1"/>
      <c r="H68" s="1"/>
      <c r="I68" s="1"/>
      <c r="J68" s="1"/>
      <c r="K68" s="1"/>
      <c r="L68" s="1"/>
      <c r="M68" s="1"/>
      <c r="N68" s="1"/>
      <c r="O68" s="1"/>
      <c r="P68" s="1"/>
      <c r="Q68" s="1"/>
    </row>
    <row r="69" spans="1:17" x14ac:dyDescent="0.35">
      <c r="A69" s="1"/>
      <c r="B69" s="1"/>
      <c r="C69" s="1"/>
      <c r="D69" s="1"/>
      <c r="E69" s="1"/>
      <c r="F69" s="1"/>
      <c r="G69" s="1"/>
      <c r="H69" s="1"/>
      <c r="I69" s="1"/>
      <c r="J69" s="1"/>
      <c r="K69" s="1"/>
      <c r="L69" s="1"/>
      <c r="M69" s="1"/>
      <c r="N69" s="1"/>
      <c r="O69" s="1"/>
      <c r="P69" s="1"/>
      <c r="Q69" s="1"/>
    </row>
    <row r="70" spans="1:17" x14ac:dyDescent="0.35">
      <c r="A70" s="1"/>
      <c r="B70" s="1"/>
      <c r="C70" s="1"/>
      <c r="D70" s="1"/>
      <c r="E70" s="1"/>
      <c r="F70" s="1"/>
      <c r="G70" s="1"/>
      <c r="H70" s="1"/>
      <c r="I70" s="1"/>
      <c r="J70" s="1"/>
      <c r="K70" s="1"/>
      <c r="L70" s="1"/>
      <c r="M70" s="1"/>
      <c r="N70" s="1"/>
      <c r="O70" s="1"/>
      <c r="P70" s="1"/>
      <c r="Q70" s="1"/>
    </row>
    <row r="71" spans="1:17" x14ac:dyDescent="0.35">
      <c r="A71" s="1"/>
      <c r="B71" s="1"/>
      <c r="C71" s="1"/>
      <c r="D71" s="1"/>
      <c r="E71" s="1"/>
      <c r="F71" s="1"/>
      <c r="G71" s="1"/>
      <c r="H71" s="1"/>
      <c r="I71" s="1"/>
      <c r="J71" s="1"/>
      <c r="K71" s="1"/>
      <c r="L71" s="1"/>
      <c r="M71" s="1"/>
      <c r="N71" s="1"/>
      <c r="O71" s="1"/>
      <c r="P71" s="1"/>
      <c r="Q71" s="1"/>
    </row>
    <row r="72" spans="1:17" x14ac:dyDescent="0.35">
      <c r="A72" s="1"/>
      <c r="B72" s="1"/>
      <c r="C72" s="1"/>
      <c r="D72" s="1"/>
      <c r="E72" s="1"/>
      <c r="F72" s="1"/>
      <c r="G72" s="1"/>
      <c r="H72" s="1"/>
      <c r="I72" s="1"/>
      <c r="J72" s="1"/>
      <c r="K72" s="1"/>
      <c r="L72" s="1"/>
      <c r="M72" s="1"/>
      <c r="N72" s="1"/>
      <c r="O72" s="1"/>
      <c r="P72" s="1"/>
      <c r="Q72" s="1"/>
    </row>
    <row r="73" spans="1:17" x14ac:dyDescent="0.35">
      <c r="A73" s="1"/>
      <c r="B73" s="1"/>
      <c r="C73" s="1"/>
      <c r="D73" s="1"/>
      <c r="E73" s="1"/>
      <c r="F73" s="1"/>
      <c r="G73" s="1"/>
      <c r="H73" s="1"/>
      <c r="I73" s="1"/>
      <c r="J73" s="1"/>
      <c r="K73" s="1"/>
      <c r="L73" s="1"/>
      <c r="M73" s="1"/>
      <c r="N73" s="1"/>
      <c r="O73" s="1"/>
      <c r="P73" s="1"/>
      <c r="Q73" s="1"/>
    </row>
    <row r="74" spans="1:17" x14ac:dyDescent="0.35">
      <c r="A74" s="1"/>
      <c r="B74" s="1"/>
      <c r="C74" s="1"/>
      <c r="D74" s="1"/>
      <c r="E74" s="1"/>
      <c r="F74" s="1"/>
      <c r="G74" s="1"/>
      <c r="H74" s="1"/>
      <c r="I74" s="1"/>
      <c r="J74" s="1"/>
      <c r="K74" s="1"/>
      <c r="L74" s="1"/>
      <c r="M74" s="1"/>
      <c r="N74" s="1"/>
      <c r="O74" s="1"/>
      <c r="P74" s="1"/>
      <c r="Q74" s="1"/>
    </row>
    <row r="75" spans="1:17" x14ac:dyDescent="0.35">
      <c r="A75" s="1"/>
      <c r="B75" s="1"/>
      <c r="C75" s="1"/>
      <c r="D75" s="1"/>
      <c r="E75" s="1"/>
      <c r="F75" s="1"/>
      <c r="G75" s="1"/>
      <c r="H75" s="1"/>
      <c r="I75" s="1"/>
      <c r="J75" s="1"/>
      <c r="K75" s="1"/>
      <c r="L75" s="1"/>
      <c r="M75" s="1"/>
      <c r="N75" s="1"/>
      <c r="O75" s="1"/>
      <c r="P75" s="1"/>
      <c r="Q75" s="1"/>
    </row>
    <row r="76" spans="1:17" x14ac:dyDescent="0.35">
      <c r="A76" s="1"/>
      <c r="B76" s="1"/>
      <c r="C76" s="1"/>
      <c r="D76" s="1"/>
      <c r="E76" s="1"/>
      <c r="F76" s="1"/>
      <c r="G76" s="1"/>
      <c r="H76" s="1"/>
      <c r="I76" s="1"/>
      <c r="J76" s="1"/>
      <c r="K76" s="1"/>
      <c r="L76" s="1"/>
      <c r="M76" s="1"/>
      <c r="N76" s="1"/>
      <c r="O76" s="1"/>
      <c r="P76" s="1"/>
      <c r="Q76" s="1"/>
    </row>
    <row r="77" spans="1:17" x14ac:dyDescent="0.35">
      <c r="A77" s="1"/>
      <c r="B77" s="1"/>
      <c r="C77" s="1"/>
      <c r="D77" s="1"/>
      <c r="E77" s="1"/>
      <c r="F77" s="1"/>
      <c r="G77" s="1"/>
      <c r="H77" s="1"/>
      <c r="I77" s="1"/>
      <c r="J77" s="1"/>
      <c r="K77" s="1"/>
      <c r="L77" s="1"/>
      <c r="M77" s="1"/>
      <c r="N77" s="1"/>
      <c r="O77" s="1"/>
      <c r="P77" s="1"/>
      <c r="Q77" s="1"/>
    </row>
    <row r="78" spans="1:17" x14ac:dyDescent="0.35">
      <c r="A78" s="1"/>
      <c r="B78" s="1"/>
      <c r="C78" s="1"/>
      <c r="D78" s="1"/>
      <c r="E78" s="1"/>
      <c r="F78" s="1"/>
      <c r="G78" s="1"/>
      <c r="H78" s="1"/>
      <c r="I78" s="1"/>
      <c r="J78" s="1"/>
      <c r="K78" s="1"/>
      <c r="L78" s="1"/>
      <c r="M78" s="1"/>
      <c r="N78" s="1"/>
      <c r="O78" s="1"/>
      <c r="P78" s="1"/>
      <c r="Q78" s="1"/>
    </row>
    <row r="79" spans="1:17" x14ac:dyDescent="0.35">
      <c r="A79" s="1"/>
      <c r="B79" s="1"/>
      <c r="C79" s="1"/>
      <c r="D79" s="1"/>
      <c r="E79" s="1"/>
      <c r="F79" s="1"/>
      <c r="G79" s="1"/>
      <c r="H79" s="1"/>
      <c r="I79" s="1"/>
      <c r="J79" s="1"/>
      <c r="K79" s="1"/>
      <c r="L79" s="1"/>
      <c r="M79" s="1"/>
      <c r="N79" s="1"/>
      <c r="O79" s="1"/>
      <c r="P79" s="1"/>
      <c r="Q79" s="1"/>
    </row>
    <row r="80" spans="1:17" x14ac:dyDescent="0.35">
      <c r="A80" s="1"/>
      <c r="B80" s="1"/>
      <c r="C80" s="1"/>
      <c r="D80" s="1"/>
      <c r="E80" s="1"/>
      <c r="F80" s="1"/>
      <c r="G80" s="1"/>
      <c r="H80" s="1"/>
      <c r="I80" s="1"/>
      <c r="J80" s="1"/>
      <c r="K80" s="1"/>
      <c r="L80" s="1"/>
      <c r="M80" s="1"/>
      <c r="N80" s="1"/>
      <c r="O80" s="1"/>
      <c r="P80" s="1"/>
      <c r="Q80" s="1"/>
    </row>
    <row r="81" spans="1:17" x14ac:dyDescent="0.35">
      <c r="A81" s="1"/>
      <c r="B81" s="1"/>
      <c r="C81" s="1"/>
      <c r="D81" s="1"/>
      <c r="E81" s="1"/>
      <c r="F81" s="1"/>
      <c r="G81" s="1"/>
      <c r="H81" s="1"/>
      <c r="I81" s="1"/>
      <c r="J81" s="1"/>
      <c r="K81" s="1"/>
      <c r="L81" s="1"/>
      <c r="M81" s="1"/>
      <c r="N81" s="1"/>
      <c r="O81" s="1"/>
      <c r="P81" s="1"/>
      <c r="Q81" s="1"/>
    </row>
    <row r="82" spans="1:17" x14ac:dyDescent="0.35">
      <c r="A82" s="1"/>
      <c r="B82" s="1"/>
      <c r="C82" s="1"/>
      <c r="D82" s="1"/>
      <c r="E82" s="1"/>
      <c r="F82" s="1"/>
      <c r="G82" s="1"/>
      <c r="H82" s="1"/>
      <c r="I82" s="1"/>
      <c r="J82" s="1"/>
      <c r="K82" s="1"/>
      <c r="L82" s="1"/>
      <c r="M82" s="1"/>
      <c r="N82" s="1"/>
      <c r="O82" s="1"/>
      <c r="P82" s="1"/>
      <c r="Q82" s="1"/>
    </row>
    <row r="83" spans="1:17" x14ac:dyDescent="0.35">
      <c r="A83" s="1"/>
      <c r="B83" s="1"/>
      <c r="C83" s="1"/>
      <c r="D83" s="1"/>
      <c r="E83" s="1"/>
      <c r="F83" s="1"/>
      <c r="G83" s="1"/>
      <c r="H83" s="1"/>
      <c r="I83" s="1"/>
      <c r="J83" s="1"/>
      <c r="K83" s="1"/>
      <c r="L83" s="1"/>
      <c r="M83" s="1"/>
      <c r="N83" s="1"/>
      <c r="O83" s="1"/>
      <c r="P83" s="1"/>
      <c r="Q83" s="1"/>
    </row>
    <row r="84" spans="1:17" x14ac:dyDescent="0.35">
      <c r="A84" s="1"/>
      <c r="B84" s="1"/>
      <c r="C84" s="1"/>
      <c r="D84" s="1"/>
      <c r="E84" s="1"/>
      <c r="F84" s="1"/>
      <c r="G84" s="1"/>
      <c r="H84" s="1"/>
      <c r="I84" s="1"/>
      <c r="J84" s="1"/>
      <c r="K84" s="1"/>
      <c r="L84" s="1"/>
      <c r="M84" s="1"/>
      <c r="N84" s="1"/>
      <c r="O84" s="1"/>
      <c r="P84" s="1"/>
      <c r="Q84" s="1"/>
    </row>
    <row r="85" spans="1:17" x14ac:dyDescent="0.35">
      <c r="A85" s="1"/>
      <c r="B85" s="1"/>
      <c r="C85" s="1"/>
      <c r="D85" s="1"/>
      <c r="E85" s="1"/>
      <c r="F85" s="1"/>
      <c r="G85" s="1"/>
      <c r="H85" s="1"/>
      <c r="I85" s="1"/>
      <c r="J85" s="1"/>
      <c r="K85" s="1"/>
      <c r="L85" s="1"/>
      <c r="M85" s="1"/>
      <c r="N85" s="1"/>
      <c r="O85" s="1"/>
      <c r="P85" s="1"/>
      <c r="Q85" s="1"/>
    </row>
    <row r="86" spans="1:17" x14ac:dyDescent="0.35">
      <c r="A86" s="1"/>
      <c r="B86" s="1"/>
      <c r="C86" s="1"/>
      <c r="D86" s="1"/>
      <c r="E86" s="1"/>
      <c r="F86" s="1"/>
      <c r="G86" s="1"/>
      <c r="H86" s="1"/>
      <c r="I86" s="1"/>
      <c r="J86" s="1"/>
      <c r="K86" s="1"/>
      <c r="L86" s="1"/>
      <c r="M86" s="1"/>
      <c r="N86" s="1"/>
      <c r="O86" s="1"/>
      <c r="P86" s="1"/>
      <c r="Q86" s="1"/>
    </row>
    <row r="87" spans="1:17" x14ac:dyDescent="0.35">
      <c r="A87" s="1"/>
      <c r="B87" s="1"/>
      <c r="C87" s="1"/>
      <c r="D87" s="1"/>
      <c r="E87" s="1"/>
      <c r="F87" s="1"/>
      <c r="G87" s="1"/>
      <c r="H87" s="1"/>
      <c r="I87" s="1"/>
      <c r="J87" s="1"/>
      <c r="K87" s="1"/>
      <c r="L87" s="1"/>
      <c r="M87" s="1"/>
      <c r="N87" s="1"/>
      <c r="O87" s="1"/>
      <c r="P87" s="1"/>
      <c r="Q87" s="1"/>
    </row>
    <row r="88" spans="1:17" x14ac:dyDescent="0.35">
      <c r="A88" s="1"/>
      <c r="B88" s="1"/>
      <c r="C88" s="1"/>
      <c r="D88" s="1"/>
      <c r="E88" s="1"/>
      <c r="F88" s="1"/>
      <c r="G88" s="1"/>
      <c r="H88" s="1"/>
      <c r="I88" s="1"/>
      <c r="J88" s="1"/>
      <c r="K88" s="1"/>
      <c r="L88" s="1"/>
      <c r="M88" s="1"/>
      <c r="N88" s="1"/>
      <c r="O88" s="1"/>
      <c r="P88" s="1"/>
      <c r="Q88" s="1"/>
    </row>
    <row r="89" spans="1:17" x14ac:dyDescent="0.35">
      <c r="A89" s="1"/>
      <c r="B89" s="1"/>
      <c r="C89" s="1"/>
      <c r="D89" s="1"/>
      <c r="E89" s="1"/>
      <c r="F89" s="1"/>
      <c r="G89" s="1"/>
      <c r="H89" s="1"/>
      <c r="I89" s="1"/>
      <c r="J89" s="1"/>
      <c r="K89" s="1"/>
      <c r="L89" s="1"/>
      <c r="M89" s="1"/>
      <c r="N89" s="1"/>
      <c r="O89" s="1"/>
      <c r="P89" s="1"/>
      <c r="Q89" s="1"/>
    </row>
    <row r="90" spans="1:17" x14ac:dyDescent="0.35">
      <c r="A90" s="1"/>
      <c r="B90" s="1"/>
      <c r="C90" s="1"/>
      <c r="D90" s="1"/>
      <c r="E90" s="1"/>
      <c r="F90" s="1"/>
      <c r="G90" s="1"/>
      <c r="H90" s="1"/>
      <c r="I90" s="1"/>
      <c r="J90" s="1"/>
      <c r="K90" s="1"/>
      <c r="L90" s="1"/>
      <c r="M90" s="1"/>
      <c r="N90" s="1"/>
      <c r="O90" s="1"/>
      <c r="P90" s="1"/>
      <c r="Q90" s="1"/>
    </row>
    <row r="91" spans="1:17" x14ac:dyDescent="0.35">
      <c r="A91" s="1"/>
      <c r="B91" s="1"/>
      <c r="C91" s="1"/>
      <c r="D91" s="1"/>
      <c r="E91" s="1"/>
      <c r="F91" s="1"/>
      <c r="G91" s="1"/>
      <c r="H91" s="1"/>
      <c r="I91" s="1"/>
      <c r="J91" s="1"/>
      <c r="K91" s="1"/>
      <c r="L91" s="1"/>
      <c r="M91" s="1"/>
      <c r="N91" s="1"/>
      <c r="O91" s="1"/>
      <c r="P91" s="1"/>
      <c r="Q91" s="1"/>
    </row>
    <row r="92" spans="1:17" x14ac:dyDescent="0.35">
      <c r="A92" s="1"/>
      <c r="B92" s="1"/>
      <c r="C92" s="1"/>
      <c r="D92" s="1"/>
      <c r="E92" s="1"/>
      <c r="F92" s="1"/>
      <c r="G92" s="1"/>
      <c r="H92" s="1"/>
      <c r="I92" s="1"/>
      <c r="J92" s="1"/>
      <c r="K92" s="1"/>
      <c r="L92" s="1"/>
      <c r="M92" s="1"/>
      <c r="N92" s="1"/>
      <c r="O92" s="1"/>
      <c r="P92" s="1"/>
      <c r="Q92" s="1"/>
    </row>
    <row r="93" spans="1:17" x14ac:dyDescent="0.35">
      <c r="A93" s="1"/>
      <c r="B93" s="1"/>
      <c r="C93" s="1"/>
      <c r="D93" s="1"/>
      <c r="E93" s="1"/>
      <c r="F93" s="1"/>
      <c r="G93" s="1"/>
      <c r="H93" s="1"/>
      <c r="I93" s="1"/>
      <c r="J93" s="1"/>
      <c r="K93" s="1"/>
      <c r="L93" s="1"/>
      <c r="M93" s="1"/>
      <c r="N93" s="1"/>
      <c r="O93" s="1"/>
      <c r="P93" s="1"/>
      <c r="Q93" s="1"/>
    </row>
    <row r="94" spans="1:17" x14ac:dyDescent="0.35">
      <c r="A94" s="1"/>
      <c r="B94" s="1"/>
      <c r="C94" s="1"/>
      <c r="D94" s="1"/>
      <c r="E94" s="1"/>
      <c r="F94" s="1"/>
      <c r="G94" s="1"/>
      <c r="H94" s="1"/>
      <c r="I94" s="1"/>
      <c r="J94" s="1"/>
      <c r="K94" s="1"/>
      <c r="L94" s="1"/>
      <c r="M94" s="1"/>
      <c r="N94" s="1"/>
      <c r="O94" s="1"/>
      <c r="P94" s="1"/>
      <c r="Q94" s="1"/>
    </row>
    <row r="95" spans="1:17" x14ac:dyDescent="0.35">
      <c r="A95" s="1"/>
      <c r="B95" s="1"/>
      <c r="C95" s="1"/>
      <c r="D95" s="1"/>
      <c r="E95" s="1"/>
      <c r="F95" s="1"/>
      <c r="G95" s="1"/>
      <c r="H95" s="1"/>
      <c r="I95" s="1"/>
      <c r="J95" s="1"/>
      <c r="K95" s="1"/>
      <c r="L95" s="1"/>
      <c r="M95" s="1"/>
      <c r="N95" s="1"/>
      <c r="O95" s="1"/>
      <c r="P95" s="1"/>
      <c r="Q95" s="1"/>
    </row>
    <row r="96" spans="1:17" x14ac:dyDescent="0.35">
      <c r="A96" s="1"/>
      <c r="B96" s="1"/>
      <c r="C96" s="1"/>
      <c r="D96" s="1"/>
      <c r="E96" s="1"/>
      <c r="F96" s="1"/>
      <c r="G96" s="1"/>
      <c r="H96" s="1"/>
      <c r="I96" s="1"/>
      <c r="J96" s="1"/>
      <c r="K96" s="1"/>
      <c r="L96" s="1"/>
      <c r="M96" s="1"/>
      <c r="N96" s="1"/>
      <c r="O96" s="1"/>
      <c r="P96" s="1"/>
      <c r="Q96" s="1"/>
    </row>
    <row r="97" spans="1:17" x14ac:dyDescent="0.35">
      <c r="A97" s="1"/>
      <c r="B97" s="1"/>
      <c r="C97" s="1"/>
      <c r="D97" s="1"/>
      <c r="E97" s="1"/>
      <c r="F97" s="1"/>
      <c r="G97" s="1"/>
      <c r="H97" s="1"/>
      <c r="I97" s="1"/>
      <c r="J97" s="1"/>
      <c r="K97" s="1"/>
      <c r="L97" s="1"/>
      <c r="M97" s="1"/>
      <c r="N97" s="1"/>
      <c r="O97" s="1"/>
      <c r="P97" s="1"/>
      <c r="Q97" s="1"/>
    </row>
    <row r="98" spans="1:17" x14ac:dyDescent="0.35">
      <c r="A98" s="1"/>
      <c r="B98" s="1"/>
      <c r="C98" s="1"/>
      <c r="D98" s="1"/>
      <c r="E98" s="1"/>
      <c r="F98" s="1"/>
      <c r="G98" s="1"/>
      <c r="H98" s="1"/>
      <c r="I98" s="1"/>
      <c r="J98" s="1"/>
      <c r="K98" s="1"/>
      <c r="L98" s="1"/>
      <c r="M98" s="1"/>
      <c r="N98" s="1"/>
      <c r="O98" s="1"/>
      <c r="P98" s="1"/>
      <c r="Q98" s="1"/>
    </row>
    <row r="99" spans="1:17" x14ac:dyDescent="0.35">
      <c r="A99" s="1"/>
      <c r="B99" s="1"/>
      <c r="C99" s="1"/>
      <c r="D99" s="1"/>
      <c r="E99" s="1"/>
      <c r="F99" s="1"/>
      <c r="G99" s="1"/>
      <c r="H99" s="1"/>
      <c r="I99" s="1"/>
      <c r="J99" s="1"/>
      <c r="K99" s="1"/>
      <c r="L99" s="1"/>
      <c r="M99" s="1"/>
      <c r="N99" s="1"/>
      <c r="O99" s="1"/>
      <c r="P99" s="1"/>
      <c r="Q99" s="1"/>
    </row>
    <row r="100" spans="1:17" x14ac:dyDescent="0.35">
      <c r="A100" s="1"/>
      <c r="B100" s="1"/>
      <c r="C100" s="1"/>
      <c r="D100" s="1"/>
      <c r="E100" s="1"/>
      <c r="F100" s="1"/>
      <c r="G100" s="1"/>
      <c r="H100" s="1"/>
      <c r="I100" s="1"/>
      <c r="J100" s="1"/>
      <c r="K100" s="1"/>
      <c r="L100" s="1"/>
      <c r="M100" s="1"/>
      <c r="N100" s="1"/>
      <c r="O100" s="1"/>
      <c r="P100" s="1"/>
      <c r="Q100" s="1"/>
    </row>
    <row r="101" spans="1:17" x14ac:dyDescent="0.35">
      <c r="A101" s="1"/>
      <c r="B101" s="1"/>
      <c r="C101" s="1"/>
      <c r="D101" s="1"/>
      <c r="E101" s="1"/>
      <c r="F101" s="1"/>
      <c r="G101" s="1"/>
      <c r="H101" s="1"/>
      <c r="I101" s="1"/>
      <c r="J101" s="1"/>
      <c r="K101" s="1"/>
      <c r="L101" s="1"/>
      <c r="M101" s="1"/>
      <c r="N101" s="1"/>
      <c r="O101" s="1"/>
      <c r="P101" s="1"/>
      <c r="Q101" s="1"/>
    </row>
    <row r="102" spans="1:17" x14ac:dyDescent="0.35">
      <c r="A102" s="1"/>
      <c r="B102" s="1"/>
      <c r="C102" s="1"/>
      <c r="D102" s="1"/>
      <c r="E102" s="1"/>
      <c r="F102" s="1"/>
      <c r="G102" s="1"/>
      <c r="H102" s="1"/>
      <c r="I102" s="1"/>
      <c r="J102" s="1"/>
      <c r="K102" s="1"/>
      <c r="L102" s="1"/>
      <c r="M102" s="1"/>
      <c r="N102" s="1"/>
      <c r="O102" s="1"/>
      <c r="P102" s="1"/>
      <c r="Q102" s="1"/>
    </row>
    <row r="103" spans="1:17" x14ac:dyDescent="0.35">
      <c r="A103" s="1"/>
      <c r="B103" s="1"/>
      <c r="C103" s="1"/>
      <c r="D103" s="1"/>
      <c r="E103" s="1"/>
      <c r="F103" s="1"/>
      <c r="G103" s="1"/>
      <c r="H103" s="1"/>
      <c r="I103" s="1"/>
      <c r="J103" s="1"/>
      <c r="K103" s="1"/>
      <c r="L103" s="1"/>
      <c r="M103" s="1"/>
      <c r="N103" s="1"/>
      <c r="O103" s="1"/>
      <c r="P103" s="1"/>
      <c r="Q103" s="1"/>
    </row>
    <row r="104" spans="1:17" x14ac:dyDescent="0.35">
      <c r="A104" s="1"/>
      <c r="B104" s="1"/>
      <c r="C104" s="1"/>
      <c r="D104" s="1"/>
      <c r="E104" s="1"/>
      <c r="F104" s="1"/>
      <c r="G104" s="1"/>
      <c r="H104" s="1"/>
      <c r="I104" s="1"/>
      <c r="J104" s="1"/>
      <c r="K104" s="1"/>
      <c r="L104" s="1"/>
      <c r="M104" s="1"/>
      <c r="N104" s="1"/>
      <c r="O104" s="1"/>
      <c r="P104" s="1"/>
      <c r="Q104" s="1"/>
    </row>
    <row r="105" spans="1:17" x14ac:dyDescent="0.35">
      <c r="A105" s="1"/>
      <c r="B105" s="1"/>
      <c r="C105" s="1"/>
      <c r="D105" s="1"/>
      <c r="E105" s="1"/>
      <c r="F105" s="1"/>
      <c r="G105" s="1"/>
      <c r="H105" s="1"/>
      <c r="I105" s="1"/>
      <c r="J105" s="1"/>
      <c r="K105" s="1"/>
      <c r="L105" s="1"/>
      <c r="M105" s="1"/>
      <c r="N105" s="1"/>
      <c r="O105" s="1"/>
      <c r="P105" s="1"/>
      <c r="Q105" s="1"/>
    </row>
    <row r="106" spans="1:17" x14ac:dyDescent="0.35">
      <c r="A106" s="1"/>
      <c r="B106" s="1"/>
      <c r="C106" s="1"/>
      <c r="D106" s="1"/>
      <c r="E106" s="1"/>
      <c r="F106" s="1"/>
      <c r="G106" s="1"/>
      <c r="H106" s="1"/>
      <c r="I106" s="1"/>
      <c r="J106" s="1"/>
      <c r="K106" s="1"/>
      <c r="L106" s="1"/>
      <c r="M106" s="1"/>
      <c r="N106" s="1"/>
      <c r="O106" s="1"/>
      <c r="P106" s="1"/>
      <c r="Q106" s="1"/>
    </row>
    <row r="107" spans="1:17" x14ac:dyDescent="0.35">
      <c r="A107" s="1"/>
      <c r="B107" s="1"/>
      <c r="C107" s="1"/>
      <c r="D107" s="1"/>
      <c r="E107" s="1"/>
      <c r="F107" s="1"/>
      <c r="G107" s="1"/>
      <c r="H107" s="1"/>
      <c r="I107" s="1"/>
      <c r="J107" s="1"/>
      <c r="K107" s="1"/>
      <c r="L107" s="1"/>
      <c r="M107" s="1"/>
      <c r="N107" s="1"/>
      <c r="O107" s="1"/>
      <c r="P107" s="1"/>
      <c r="Q107" s="1"/>
    </row>
    <row r="108" spans="1:17" x14ac:dyDescent="0.35">
      <c r="A108" s="1"/>
      <c r="B108" s="1"/>
      <c r="C108" s="1"/>
      <c r="D108" s="1"/>
      <c r="E108" s="1"/>
      <c r="F108" s="1"/>
      <c r="G108" s="1"/>
      <c r="H108" s="1"/>
      <c r="I108" s="1"/>
      <c r="J108" s="1"/>
      <c r="K108" s="1"/>
      <c r="L108" s="1"/>
      <c r="M108" s="1"/>
      <c r="N108" s="1"/>
      <c r="O108" s="1"/>
      <c r="P108" s="1"/>
      <c r="Q108" s="1"/>
    </row>
    <row r="109" spans="1:17" x14ac:dyDescent="0.35">
      <c r="A109" s="1"/>
      <c r="B109" s="1"/>
      <c r="C109" s="1"/>
      <c r="D109" s="1"/>
      <c r="E109" s="1"/>
      <c r="F109" s="1"/>
      <c r="G109" s="1"/>
      <c r="H109" s="1"/>
      <c r="I109" s="1"/>
      <c r="J109" s="1"/>
      <c r="K109" s="1"/>
      <c r="L109" s="1"/>
      <c r="M109" s="1"/>
      <c r="N109" s="1"/>
      <c r="O109" s="1"/>
      <c r="P109" s="1"/>
      <c r="Q109" s="1"/>
    </row>
    <row r="110" spans="1:17" x14ac:dyDescent="0.35">
      <c r="A110" s="1"/>
      <c r="B110" s="1"/>
      <c r="C110" s="1"/>
      <c r="D110" s="1"/>
      <c r="E110" s="1"/>
      <c r="F110" s="1"/>
      <c r="G110" s="1"/>
      <c r="H110" s="1"/>
      <c r="I110" s="1"/>
      <c r="J110" s="1"/>
      <c r="K110" s="1"/>
      <c r="L110" s="1"/>
      <c r="M110" s="1"/>
      <c r="N110" s="1"/>
      <c r="O110" s="1"/>
      <c r="P110" s="1"/>
      <c r="Q110" s="1"/>
    </row>
    <row r="111" spans="1:17" x14ac:dyDescent="0.35">
      <c r="A111" s="1"/>
      <c r="B111" s="1"/>
      <c r="C111" s="1"/>
      <c r="D111" s="1"/>
      <c r="E111" s="1"/>
      <c r="F111" s="1"/>
      <c r="G111" s="1"/>
      <c r="H111" s="1"/>
      <c r="I111" s="1"/>
      <c r="J111" s="1"/>
      <c r="K111" s="1"/>
      <c r="L111" s="1"/>
      <c r="M111" s="1"/>
      <c r="N111" s="1"/>
      <c r="O111" s="1"/>
      <c r="P111" s="1"/>
      <c r="Q111" s="1"/>
    </row>
    <row r="112" spans="1:17" x14ac:dyDescent="0.35">
      <c r="A112" s="1"/>
      <c r="B112" s="1"/>
      <c r="C112" s="1"/>
      <c r="D112" s="1"/>
      <c r="E112" s="1"/>
      <c r="F112" s="1"/>
      <c r="G112" s="1"/>
      <c r="H112" s="1"/>
      <c r="I112" s="1"/>
      <c r="J112" s="1"/>
      <c r="K112" s="1"/>
      <c r="L112" s="1"/>
      <c r="M112" s="1"/>
      <c r="N112" s="1"/>
      <c r="O112" s="1"/>
      <c r="P112" s="1"/>
      <c r="Q112" s="1"/>
    </row>
    <row r="113" spans="1:17" x14ac:dyDescent="0.35">
      <c r="A113" s="1"/>
      <c r="B113" s="1"/>
      <c r="C113" s="1"/>
      <c r="D113" s="1"/>
      <c r="E113" s="1"/>
      <c r="F113" s="1"/>
      <c r="G113" s="1"/>
      <c r="H113" s="1"/>
      <c r="I113" s="1"/>
      <c r="J113" s="1"/>
      <c r="K113" s="1"/>
      <c r="L113" s="1"/>
      <c r="M113" s="1"/>
      <c r="N113" s="1"/>
      <c r="O113" s="1"/>
      <c r="P113" s="1"/>
      <c r="Q113" s="1"/>
    </row>
    <row r="114" spans="1:17" x14ac:dyDescent="0.35">
      <c r="A114" s="1"/>
      <c r="B114" s="1"/>
      <c r="C114" s="1"/>
      <c r="D114" s="1"/>
      <c r="E114" s="1"/>
      <c r="F114" s="1"/>
      <c r="G114" s="1"/>
      <c r="H114" s="1"/>
      <c r="I114" s="1"/>
      <c r="J114" s="1"/>
      <c r="K114" s="1"/>
      <c r="L114" s="1"/>
      <c r="M114" s="1"/>
      <c r="N114" s="1"/>
      <c r="O114" s="1"/>
      <c r="P114" s="1"/>
      <c r="Q114" s="1"/>
    </row>
    <row r="115" spans="1:17" x14ac:dyDescent="0.35">
      <c r="A115" s="1"/>
      <c r="B115" s="1"/>
      <c r="C115" s="1"/>
      <c r="D115" s="1"/>
      <c r="E115" s="1"/>
      <c r="F115" s="1"/>
      <c r="G115" s="1"/>
      <c r="H115" s="1"/>
      <c r="I115" s="1"/>
      <c r="J115" s="1"/>
      <c r="K115" s="1"/>
      <c r="L115" s="1"/>
      <c r="M115" s="1"/>
      <c r="N115" s="1"/>
      <c r="O115" s="1"/>
      <c r="P115" s="1"/>
      <c r="Q115" s="1"/>
    </row>
    <row r="116" spans="1:17" x14ac:dyDescent="0.35">
      <c r="A116" s="1"/>
      <c r="B116" s="1"/>
      <c r="C116" s="1"/>
      <c r="D116" s="1"/>
      <c r="E116" s="1"/>
      <c r="F116" s="1"/>
      <c r="G116" s="1"/>
      <c r="H116" s="1"/>
      <c r="I116" s="1"/>
      <c r="J116" s="1"/>
      <c r="K116" s="1"/>
      <c r="L116" s="1"/>
      <c r="M116" s="1"/>
      <c r="N116" s="1"/>
      <c r="O116" s="1"/>
      <c r="P116" s="1"/>
      <c r="Q116" s="1"/>
    </row>
    <row r="117" spans="1:17" x14ac:dyDescent="0.35">
      <c r="A117" s="1"/>
      <c r="B117" s="1"/>
      <c r="C117" s="1"/>
      <c r="D117" s="1"/>
      <c r="E117" s="1"/>
      <c r="F117" s="1"/>
      <c r="G117" s="1"/>
      <c r="H117" s="1"/>
      <c r="I117" s="1"/>
      <c r="J117" s="1"/>
      <c r="K117" s="1"/>
      <c r="L117" s="1"/>
      <c r="M117" s="1"/>
      <c r="N117" s="1"/>
      <c r="O117" s="1"/>
      <c r="P117" s="1"/>
      <c r="Q117" s="1"/>
    </row>
    <row r="118" spans="1:17" x14ac:dyDescent="0.35">
      <c r="A118" s="1"/>
      <c r="B118" s="1"/>
      <c r="C118" s="1"/>
      <c r="D118" s="1"/>
      <c r="E118" s="1"/>
      <c r="F118" s="1"/>
      <c r="G118" s="1"/>
      <c r="H118" s="1"/>
      <c r="I118" s="1"/>
      <c r="J118" s="1"/>
      <c r="K118" s="1"/>
      <c r="L118" s="1"/>
      <c r="M118" s="1"/>
      <c r="N118" s="1"/>
      <c r="O118" s="1"/>
      <c r="P118" s="1"/>
      <c r="Q118" s="1"/>
    </row>
    <row r="119" spans="1:17" x14ac:dyDescent="0.35">
      <c r="A119" s="1"/>
      <c r="B119" s="1"/>
      <c r="C119" s="1"/>
      <c r="D119" s="1"/>
      <c r="E119" s="1"/>
      <c r="F119" s="1"/>
      <c r="G119" s="1"/>
      <c r="H119" s="1"/>
      <c r="I119" s="1"/>
      <c r="J119" s="1"/>
      <c r="K119" s="1"/>
      <c r="L119" s="1"/>
      <c r="M119" s="1"/>
      <c r="N119" s="1"/>
      <c r="O119" s="1"/>
      <c r="P119" s="1"/>
      <c r="Q119" s="1"/>
    </row>
    <row r="120" spans="1:17" x14ac:dyDescent="0.35">
      <c r="A120" s="1"/>
      <c r="B120" s="1"/>
      <c r="C120" s="1"/>
      <c r="D120" s="1"/>
      <c r="E120" s="1"/>
      <c r="F120" s="1"/>
      <c r="G120" s="1"/>
      <c r="H120" s="1"/>
      <c r="I120" s="1"/>
      <c r="J120" s="1"/>
      <c r="K120" s="1"/>
      <c r="L120" s="1"/>
      <c r="M120" s="1"/>
      <c r="N120" s="1"/>
      <c r="O120" s="1"/>
      <c r="P120" s="1"/>
      <c r="Q120" s="1"/>
    </row>
    <row r="121" spans="1:17" x14ac:dyDescent="0.35">
      <c r="A121" s="1"/>
      <c r="B121" s="1"/>
      <c r="C121" s="1"/>
      <c r="D121" s="1"/>
      <c r="E121" s="1"/>
      <c r="F121" s="1"/>
      <c r="G121" s="1"/>
      <c r="H121" s="1"/>
      <c r="I121" s="1"/>
      <c r="J121" s="1"/>
      <c r="K121" s="1"/>
      <c r="L121" s="1"/>
      <c r="M121" s="1"/>
      <c r="N121" s="1"/>
      <c r="O121" s="1"/>
      <c r="P121" s="1"/>
      <c r="Q121" s="1"/>
    </row>
    <row r="122" spans="1:17" x14ac:dyDescent="0.35">
      <c r="A122" s="1"/>
      <c r="B122" s="1"/>
      <c r="C122" s="1"/>
      <c r="D122" s="1"/>
      <c r="E122" s="1"/>
      <c r="F122" s="1"/>
      <c r="G122" s="1"/>
      <c r="H122" s="1"/>
      <c r="I122" s="1"/>
      <c r="J122" s="1"/>
      <c r="K122" s="1"/>
      <c r="L122" s="1"/>
      <c r="M122" s="1"/>
      <c r="N122" s="1"/>
      <c r="O122" s="1"/>
      <c r="P122" s="1"/>
      <c r="Q122" s="1"/>
    </row>
    <row r="123" spans="1:17" x14ac:dyDescent="0.35">
      <c r="A123" s="1"/>
      <c r="B123" s="1"/>
      <c r="C123" s="1"/>
      <c r="D123" s="1"/>
      <c r="E123" s="1"/>
      <c r="F123" s="1"/>
      <c r="G123" s="1"/>
      <c r="H123" s="1"/>
      <c r="I123" s="1"/>
      <c r="J123" s="1"/>
      <c r="K123" s="1"/>
      <c r="L123" s="1"/>
      <c r="M123" s="1"/>
      <c r="N123" s="1"/>
      <c r="O123" s="1"/>
      <c r="P123" s="1"/>
      <c r="Q123" s="1"/>
    </row>
    <row r="124" spans="1:17" x14ac:dyDescent="0.35">
      <c r="A124" s="1"/>
      <c r="B124" s="1"/>
      <c r="C124" s="1"/>
      <c r="D124" s="1"/>
      <c r="E124" s="1"/>
      <c r="F124" s="1"/>
      <c r="G124" s="1"/>
      <c r="H124" s="1"/>
      <c r="I124" s="1"/>
      <c r="J124" s="1"/>
      <c r="K124" s="1"/>
      <c r="L124" s="1"/>
      <c r="M124" s="1"/>
      <c r="N124" s="1"/>
      <c r="O124" s="1"/>
      <c r="P124" s="1"/>
      <c r="Q124" s="1"/>
    </row>
    <row r="125" spans="1:17" x14ac:dyDescent="0.35">
      <c r="A125" s="1"/>
      <c r="B125" s="1"/>
      <c r="C125" s="1"/>
      <c r="D125" s="1"/>
      <c r="E125" s="1"/>
      <c r="F125" s="1"/>
      <c r="G125" s="1"/>
      <c r="H125" s="1"/>
      <c r="I125" s="1"/>
      <c r="J125" s="1"/>
      <c r="K125" s="1"/>
      <c r="L125" s="1"/>
      <c r="M125" s="1"/>
      <c r="N125" s="1"/>
      <c r="O125" s="1"/>
      <c r="P125" s="1"/>
      <c r="Q125" s="1"/>
    </row>
    <row r="126" spans="1:17" x14ac:dyDescent="0.35">
      <c r="A126" s="1"/>
      <c r="B126" s="1"/>
      <c r="C126" s="1"/>
      <c r="D126" s="1"/>
      <c r="E126" s="1"/>
      <c r="F126" s="1"/>
      <c r="G126" s="1"/>
      <c r="H126" s="1"/>
      <c r="I126" s="1"/>
      <c r="J126" s="1"/>
      <c r="K126" s="1"/>
      <c r="L126" s="1"/>
      <c r="M126" s="1"/>
      <c r="N126" s="1"/>
      <c r="O126" s="1"/>
      <c r="P126" s="1"/>
      <c r="Q126" s="1"/>
    </row>
    <row r="127" spans="1:17" x14ac:dyDescent="0.35">
      <c r="A127" s="1"/>
      <c r="B127" s="1"/>
      <c r="C127" s="1"/>
      <c r="D127" s="1"/>
      <c r="E127" s="1"/>
      <c r="F127" s="1"/>
      <c r="G127" s="1"/>
      <c r="H127" s="1"/>
      <c r="I127" s="1"/>
      <c r="J127" s="1"/>
      <c r="K127" s="1"/>
      <c r="L127" s="1"/>
      <c r="M127" s="1"/>
      <c r="N127" s="1"/>
      <c r="O127" s="1"/>
      <c r="P127" s="1"/>
      <c r="Q127" s="1"/>
    </row>
    <row r="128" spans="1:17" x14ac:dyDescent="0.35">
      <c r="A128" s="1"/>
      <c r="B128" s="1"/>
      <c r="C128" s="1"/>
      <c r="D128" s="1"/>
      <c r="E128" s="1"/>
      <c r="F128" s="1"/>
      <c r="G128" s="1"/>
      <c r="H128" s="1"/>
      <c r="I128" s="1"/>
      <c r="J128" s="1"/>
      <c r="K128" s="1"/>
      <c r="L128" s="1"/>
      <c r="M128" s="1"/>
      <c r="N128" s="1"/>
      <c r="O128" s="1"/>
      <c r="P128" s="1"/>
      <c r="Q128" s="1"/>
    </row>
    <row r="129" spans="1:17" x14ac:dyDescent="0.35">
      <c r="A129" s="1"/>
      <c r="B129" s="1"/>
      <c r="C129" s="1"/>
      <c r="D129" s="1"/>
      <c r="E129" s="1"/>
      <c r="F129" s="1"/>
      <c r="G129" s="1"/>
      <c r="H129" s="1"/>
      <c r="I129" s="1"/>
      <c r="J129" s="1"/>
      <c r="K129" s="1"/>
      <c r="L129" s="1"/>
      <c r="M129" s="1"/>
      <c r="N129" s="1"/>
      <c r="O129" s="1"/>
      <c r="P129" s="1"/>
      <c r="Q129" s="1"/>
    </row>
    <row r="130" spans="1:17" x14ac:dyDescent="0.35">
      <c r="A130" s="1"/>
      <c r="B130" s="1"/>
      <c r="C130" s="1"/>
      <c r="D130" s="1"/>
      <c r="E130" s="1"/>
      <c r="F130" s="1"/>
      <c r="G130" s="1"/>
      <c r="H130" s="1"/>
      <c r="I130" s="1"/>
      <c r="J130" s="1"/>
      <c r="K130" s="1"/>
      <c r="L130" s="1"/>
      <c r="M130" s="1"/>
      <c r="N130" s="1"/>
      <c r="O130" s="1"/>
      <c r="P130" s="1"/>
      <c r="Q130" s="1"/>
    </row>
    <row r="131" spans="1:17" x14ac:dyDescent="0.35">
      <c r="A131" s="1"/>
      <c r="B131" s="1"/>
      <c r="C131" s="1"/>
      <c r="D131" s="1"/>
      <c r="E131" s="1"/>
      <c r="F131" s="1"/>
      <c r="G131" s="1"/>
      <c r="H131" s="1"/>
      <c r="I131" s="1"/>
      <c r="J131" s="1"/>
      <c r="K131" s="1"/>
      <c r="L131" s="1"/>
      <c r="M131" s="1"/>
      <c r="N131" s="1"/>
      <c r="O131" s="1"/>
      <c r="P131" s="1"/>
      <c r="Q131" s="1"/>
    </row>
    <row r="132" spans="1:17" x14ac:dyDescent="0.35">
      <c r="A132" s="1"/>
      <c r="B132" s="1"/>
      <c r="C132" s="1"/>
      <c r="D132" s="1"/>
      <c r="E132" s="1"/>
      <c r="F132" s="1"/>
      <c r="G132" s="1"/>
      <c r="H132" s="1"/>
      <c r="I132" s="1"/>
      <c r="J132" s="1"/>
      <c r="K132" s="1"/>
      <c r="L132" s="1"/>
      <c r="M132" s="1"/>
      <c r="N132" s="1"/>
      <c r="O132" s="1"/>
      <c r="P132" s="1"/>
      <c r="Q132" s="1"/>
    </row>
    <row r="133" spans="1:17" x14ac:dyDescent="0.35">
      <c r="A133" s="1"/>
      <c r="B133" s="1"/>
      <c r="C133" s="1"/>
      <c r="D133" s="1"/>
      <c r="E133" s="1"/>
      <c r="F133" s="1"/>
      <c r="G133" s="1"/>
      <c r="H133" s="1"/>
      <c r="I133" s="1"/>
      <c r="J133" s="1"/>
      <c r="K133" s="1"/>
      <c r="L133" s="1"/>
      <c r="M133" s="1"/>
      <c r="N133" s="1"/>
      <c r="O133" s="1"/>
      <c r="P133" s="1"/>
      <c r="Q133" s="1"/>
    </row>
    <row r="134" spans="1:17" x14ac:dyDescent="0.35">
      <c r="A134" s="1"/>
      <c r="B134" s="1"/>
      <c r="C134" s="1"/>
      <c r="D134" s="1"/>
      <c r="E134" s="1"/>
      <c r="F134" s="1"/>
      <c r="G134" s="1"/>
      <c r="H134" s="1"/>
      <c r="I134" s="1"/>
      <c r="J134" s="1"/>
      <c r="K134" s="1"/>
      <c r="L134" s="1"/>
      <c r="M134" s="1"/>
      <c r="N134" s="1"/>
      <c r="O134" s="1"/>
      <c r="P134" s="1"/>
      <c r="Q134" s="1"/>
    </row>
    <row r="135" spans="1:17" x14ac:dyDescent="0.35">
      <c r="A135" s="1"/>
      <c r="B135" s="1"/>
      <c r="C135" s="1"/>
      <c r="D135" s="1"/>
      <c r="E135" s="1"/>
      <c r="F135" s="1"/>
      <c r="G135" s="1"/>
      <c r="H135" s="1"/>
      <c r="I135" s="1"/>
      <c r="J135" s="1"/>
      <c r="K135" s="1"/>
      <c r="L135" s="1"/>
      <c r="M135" s="1"/>
      <c r="N135" s="1"/>
      <c r="O135" s="1"/>
      <c r="P135" s="1"/>
      <c r="Q135" s="1"/>
    </row>
    <row r="136" spans="1:17" x14ac:dyDescent="0.35">
      <c r="A136" s="1"/>
      <c r="B136" s="1"/>
      <c r="C136" s="1"/>
      <c r="D136" s="1"/>
      <c r="E136" s="1"/>
      <c r="F136" s="1"/>
      <c r="G136" s="1"/>
      <c r="H136" s="1"/>
      <c r="I136" s="1"/>
      <c r="J136" s="1"/>
      <c r="K136" s="1"/>
      <c r="L136" s="1"/>
      <c r="M136" s="1"/>
      <c r="N136" s="1"/>
      <c r="O136" s="1"/>
      <c r="P136" s="1"/>
      <c r="Q136" s="1"/>
    </row>
    <row r="137" spans="1:17" x14ac:dyDescent="0.35">
      <c r="A137" s="1"/>
      <c r="B137" s="1"/>
      <c r="C137" s="1"/>
      <c r="D137" s="1"/>
      <c r="E137" s="1"/>
      <c r="F137" s="1"/>
      <c r="G137" s="1"/>
      <c r="H137" s="1"/>
      <c r="I137" s="1"/>
      <c r="J137" s="1"/>
      <c r="K137" s="1"/>
      <c r="L137" s="1"/>
      <c r="M137" s="1"/>
      <c r="N137" s="1"/>
      <c r="O137" s="1"/>
      <c r="P137" s="1"/>
      <c r="Q137" s="1"/>
    </row>
    <row r="138" spans="1:17" x14ac:dyDescent="0.35">
      <c r="A138" s="1"/>
      <c r="B138" s="1"/>
      <c r="C138" s="1"/>
      <c r="D138" s="1"/>
      <c r="E138" s="1"/>
      <c r="F138" s="1"/>
      <c r="G138" s="1"/>
      <c r="H138" s="1"/>
      <c r="I138" s="1"/>
      <c r="J138" s="1"/>
      <c r="K138" s="1"/>
      <c r="L138" s="1"/>
      <c r="M138" s="1"/>
      <c r="N138" s="1"/>
      <c r="O138" s="1"/>
      <c r="P138" s="1"/>
      <c r="Q138" s="1"/>
    </row>
    <row r="139" spans="1:17" x14ac:dyDescent="0.35">
      <c r="A139" s="1"/>
      <c r="B139" s="1"/>
      <c r="C139" s="1"/>
      <c r="D139" s="1"/>
      <c r="E139" s="1"/>
      <c r="F139" s="1"/>
      <c r="G139" s="1"/>
      <c r="H139" s="1"/>
      <c r="I139" s="1"/>
      <c r="J139" s="1"/>
      <c r="K139" s="1"/>
      <c r="L139" s="1"/>
      <c r="M139" s="1"/>
      <c r="N139" s="1"/>
      <c r="O139" s="1"/>
      <c r="P139" s="1"/>
      <c r="Q139" s="1"/>
    </row>
    <row r="140" spans="1:17" x14ac:dyDescent="0.35">
      <c r="A140" s="1"/>
      <c r="B140" s="1"/>
      <c r="C140" s="1"/>
      <c r="D140" s="1"/>
      <c r="E140" s="1"/>
      <c r="F140" s="1"/>
      <c r="G140" s="1"/>
      <c r="H140" s="1"/>
      <c r="I140" s="1"/>
      <c r="J140" s="1"/>
      <c r="K140" s="1"/>
      <c r="L140" s="1"/>
      <c r="M140" s="1"/>
      <c r="N140" s="1"/>
      <c r="O140" s="1"/>
      <c r="P140" s="1"/>
      <c r="Q140" s="1"/>
    </row>
    <row r="141" spans="1:17" x14ac:dyDescent="0.35">
      <c r="A141" s="1"/>
      <c r="B141" s="1"/>
      <c r="C141" s="1"/>
      <c r="D141" s="1"/>
      <c r="E141" s="1"/>
      <c r="F141" s="1"/>
      <c r="G141" s="1"/>
      <c r="H141" s="1"/>
      <c r="I141" s="1"/>
      <c r="J141" s="1"/>
      <c r="K141" s="1"/>
      <c r="L141" s="1"/>
      <c r="M141" s="1"/>
      <c r="N141" s="1"/>
      <c r="O141" s="1"/>
      <c r="P141" s="1"/>
      <c r="Q141" s="1"/>
    </row>
    <row r="142" spans="1:17" x14ac:dyDescent="0.35">
      <c r="A142" s="1"/>
      <c r="B142" s="1"/>
      <c r="C142" s="1"/>
      <c r="D142" s="1"/>
      <c r="E142" s="1"/>
      <c r="F142" s="1"/>
      <c r="G142" s="1"/>
      <c r="H142" s="1"/>
      <c r="I142" s="1"/>
      <c r="J142" s="1"/>
      <c r="K142" s="1"/>
      <c r="L142" s="1"/>
      <c r="M142" s="1"/>
      <c r="N142" s="1"/>
      <c r="O142" s="1"/>
      <c r="P142" s="1"/>
      <c r="Q142" s="1"/>
    </row>
    <row r="143" spans="1:17" x14ac:dyDescent="0.35">
      <c r="A143" s="1"/>
      <c r="B143" s="1"/>
      <c r="C143" s="1"/>
      <c r="D143" s="1"/>
      <c r="E143" s="1"/>
      <c r="F143" s="1"/>
      <c r="G143" s="1"/>
      <c r="H143" s="1"/>
      <c r="I143" s="1"/>
      <c r="J143" s="1"/>
      <c r="K143" s="1"/>
      <c r="L143" s="1"/>
      <c r="M143" s="1"/>
      <c r="N143" s="1"/>
      <c r="O143" s="1"/>
      <c r="P143" s="1"/>
      <c r="Q143" s="1"/>
    </row>
    <row r="144" spans="1:17" x14ac:dyDescent="0.35">
      <c r="A144" s="1"/>
      <c r="B144" s="1"/>
      <c r="C144" s="1"/>
      <c r="D144" s="1"/>
      <c r="E144" s="1"/>
      <c r="F144" s="1"/>
      <c r="G144" s="1"/>
      <c r="H144" s="1"/>
      <c r="I144" s="1"/>
      <c r="J144" s="1"/>
      <c r="K144" s="1"/>
      <c r="L144" s="1"/>
      <c r="M144" s="1"/>
      <c r="N144" s="1"/>
      <c r="O144" s="1"/>
      <c r="P144" s="1"/>
      <c r="Q144" s="1"/>
    </row>
    <row r="145" spans="1:17" x14ac:dyDescent="0.35">
      <c r="A145" s="1"/>
      <c r="B145" s="1"/>
      <c r="C145" s="1"/>
      <c r="D145" s="1"/>
      <c r="E145" s="1"/>
      <c r="F145" s="1"/>
      <c r="G145" s="1"/>
      <c r="H145" s="1"/>
      <c r="I145" s="1"/>
      <c r="J145" s="1"/>
      <c r="K145" s="1"/>
      <c r="L145" s="1"/>
      <c r="M145" s="1"/>
      <c r="N145" s="1"/>
      <c r="O145" s="1"/>
      <c r="P145" s="1"/>
      <c r="Q145" s="1"/>
    </row>
    <row r="146" spans="1:17" x14ac:dyDescent="0.35">
      <c r="A146" s="1"/>
      <c r="B146" s="1"/>
      <c r="C146" s="1"/>
      <c r="D146" s="1"/>
      <c r="E146" s="1"/>
      <c r="F146" s="1"/>
      <c r="G146" s="1"/>
      <c r="H146" s="1"/>
      <c r="I146" s="1"/>
      <c r="J146" s="1"/>
      <c r="K146" s="1"/>
      <c r="L146" s="1"/>
      <c r="M146" s="1"/>
      <c r="N146" s="1"/>
      <c r="O146" s="1"/>
      <c r="P146" s="1"/>
      <c r="Q146" s="1"/>
    </row>
    <row r="147" spans="1:17" x14ac:dyDescent="0.35">
      <c r="A147" s="1"/>
      <c r="B147" s="1"/>
      <c r="C147" s="1"/>
      <c r="D147" s="1"/>
      <c r="E147" s="1"/>
      <c r="F147" s="1"/>
      <c r="G147" s="1"/>
      <c r="H147" s="1"/>
      <c r="I147" s="1"/>
      <c r="J147" s="1"/>
      <c r="K147" s="1"/>
      <c r="L147" s="1"/>
      <c r="M147" s="1"/>
      <c r="N147" s="1"/>
      <c r="O147" s="1"/>
      <c r="P147" s="1"/>
      <c r="Q147" s="1"/>
    </row>
    <row r="148" spans="1:17" x14ac:dyDescent="0.35">
      <c r="A148" s="1"/>
      <c r="B148" s="1"/>
      <c r="C148" s="1"/>
      <c r="D148" s="1"/>
      <c r="E148" s="1"/>
      <c r="F148" s="1"/>
      <c r="G148" s="1"/>
      <c r="H148" s="1"/>
      <c r="I148" s="1"/>
      <c r="J148" s="1"/>
      <c r="K148" s="1"/>
      <c r="L148" s="1"/>
      <c r="M148" s="1"/>
      <c r="N148" s="1"/>
      <c r="O148" s="1"/>
      <c r="P148" s="1"/>
      <c r="Q148" s="1"/>
    </row>
    <row r="149" spans="1:17" x14ac:dyDescent="0.35">
      <c r="A149" s="1"/>
      <c r="B149" s="1"/>
      <c r="C149" s="1"/>
      <c r="D149" s="1"/>
      <c r="E149" s="1"/>
      <c r="F149" s="1"/>
      <c r="G149" s="1"/>
      <c r="H149" s="1"/>
      <c r="I149" s="1"/>
      <c r="J149" s="1"/>
      <c r="K149" s="1"/>
      <c r="L149" s="1"/>
      <c r="M149" s="1"/>
      <c r="N149" s="1"/>
      <c r="O149" s="1"/>
      <c r="P149" s="1"/>
      <c r="Q149" s="1"/>
    </row>
    <row r="150" spans="1:17" x14ac:dyDescent="0.35">
      <c r="A150" s="1"/>
      <c r="B150" s="1"/>
      <c r="C150" s="1"/>
      <c r="D150" s="1"/>
      <c r="E150" s="1"/>
      <c r="F150" s="1"/>
      <c r="G150" s="1"/>
      <c r="H150" s="1"/>
      <c r="I150" s="1"/>
      <c r="J150" s="1"/>
      <c r="K150" s="1"/>
      <c r="L150" s="1"/>
      <c r="M150" s="1"/>
      <c r="N150" s="1"/>
      <c r="O150" s="1"/>
      <c r="P150" s="1"/>
      <c r="Q150" s="1"/>
    </row>
    <row r="151" spans="1:17" x14ac:dyDescent="0.35">
      <c r="A151" s="1"/>
      <c r="B151" s="1"/>
      <c r="C151" s="1"/>
      <c r="D151" s="1"/>
      <c r="E151" s="1"/>
      <c r="F151" s="1"/>
      <c r="G151" s="1"/>
      <c r="H151" s="1"/>
      <c r="I151" s="1"/>
      <c r="J151" s="1"/>
      <c r="K151" s="1"/>
      <c r="L151" s="1"/>
      <c r="M151" s="1"/>
      <c r="N151" s="1"/>
      <c r="O151" s="1"/>
      <c r="P151" s="1"/>
      <c r="Q151" s="1"/>
    </row>
    <row r="152" spans="1:17" x14ac:dyDescent="0.35">
      <c r="A152" s="1"/>
      <c r="B152" s="1"/>
      <c r="C152" s="1"/>
      <c r="D152" s="1"/>
      <c r="E152" s="1"/>
      <c r="F152" s="1"/>
      <c r="G152" s="1"/>
      <c r="H152" s="1"/>
      <c r="I152" s="1"/>
      <c r="J152" s="1"/>
      <c r="K152" s="1"/>
      <c r="L152" s="1"/>
      <c r="M152" s="1"/>
      <c r="N152" s="1"/>
      <c r="O152" s="1"/>
      <c r="P152" s="1"/>
      <c r="Q152" s="1"/>
    </row>
    <row r="153" spans="1:17" x14ac:dyDescent="0.35">
      <c r="A153" s="1"/>
      <c r="B153" s="1"/>
      <c r="C153" s="1"/>
      <c r="D153" s="1"/>
      <c r="E153" s="1"/>
      <c r="F153" s="1"/>
      <c r="G153" s="1"/>
      <c r="H153" s="1"/>
      <c r="I153" s="1"/>
      <c r="J153" s="1"/>
      <c r="K153" s="1"/>
      <c r="L153" s="1"/>
      <c r="M153" s="1"/>
      <c r="N153" s="1"/>
      <c r="O153" s="1"/>
      <c r="P153" s="1"/>
      <c r="Q153" s="1"/>
    </row>
    <row r="154" spans="1:17" x14ac:dyDescent="0.35">
      <c r="A154" s="1"/>
      <c r="B154" s="1"/>
      <c r="C154" s="1"/>
      <c r="D154" s="1"/>
      <c r="E154" s="1"/>
      <c r="F154" s="1"/>
      <c r="G154" s="1"/>
      <c r="H154" s="1"/>
      <c r="I154" s="1"/>
      <c r="J154" s="1"/>
      <c r="K154" s="1"/>
      <c r="L154" s="1"/>
      <c r="M154" s="1"/>
      <c r="N154" s="1"/>
      <c r="O154" s="1"/>
      <c r="P154" s="1"/>
      <c r="Q154" s="1"/>
    </row>
    <row r="155" spans="1:17" x14ac:dyDescent="0.35">
      <c r="A155" s="1"/>
      <c r="B155" s="1"/>
      <c r="C155" s="1"/>
      <c r="D155" s="1"/>
      <c r="E155" s="1"/>
      <c r="F155" s="1"/>
      <c r="G155" s="1"/>
      <c r="H155" s="1"/>
      <c r="I155" s="1"/>
      <c r="J155" s="1"/>
      <c r="K155" s="1"/>
      <c r="L155" s="1"/>
      <c r="M155" s="1"/>
      <c r="N155" s="1"/>
      <c r="O155" s="1"/>
      <c r="P155" s="1"/>
      <c r="Q155" s="1"/>
    </row>
    <row r="156" spans="1:17" x14ac:dyDescent="0.35">
      <c r="A156" s="1"/>
      <c r="B156" s="1"/>
      <c r="C156" s="1"/>
      <c r="D156" s="1"/>
      <c r="E156" s="1"/>
      <c r="F156" s="1"/>
      <c r="G156" s="1"/>
      <c r="H156" s="1"/>
      <c r="I156" s="1"/>
      <c r="J156" s="1"/>
      <c r="K156" s="1"/>
      <c r="L156" s="1"/>
      <c r="M156" s="1"/>
      <c r="N156" s="1"/>
      <c r="O156" s="1"/>
      <c r="P156" s="1"/>
      <c r="Q156" s="1"/>
    </row>
    <row r="157" spans="1:17" x14ac:dyDescent="0.35">
      <c r="A157" s="1"/>
      <c r="B157" s="1"/>
      <c r="C157" s="1"/>
      <c r="D157" s="1"/>
      <c r="E157" s="1"/>
      <c r="F157" s="1"/>
      <c r="G157" s="1"/>
      <c r="H157" s="1"/>
      <c r="I157" s="1"/>
      <c r="J157" s="1"/>
      <c r="K157" s="1"/>
      <c r="L157" s="1"/>
      <c r="M157" s="1"/>
      <c r="N157" s="1"/>
      <c r="O157" s="1"/>
      <c r="P157" s="1"/>
      <c r="Q157" s="1"/>
    </row>
    <row r="158" spans="1:17" x14ac:dyDescent="0.35">
      <c r="A158" s="1"/>
      <c r="B158" s="1"/>
      <c r="C158" s="1"/>
      <c r="D158" s="1"/>
      <c r="E158" s="1"/>
      <c r="F158" s="1"/>
      <c r="G158" s="1"/>
      <c r="H158" s="1"/>
      <c r="I158" s="1"/>
      <c r="J158" s="1"/>
      <c r="K158" s="1"/>
      <c r="L158" s="1"/>
      <c r="M158" s="1"/>
      <c r="N158" s="1"/>
      <c r="O158" s="1"/>
      <c r="P158" s="1"/>
      <c r="Q158" s="1"/>
    </row>
    <row r="159" spans="1:17" x14ac:dyDescent="0.35">
      <c r="A159" s="1"/>
      <c r="B159" s="1"/>
      <c r="C159" s="1"/>
      <c r="D159" s="1"/>
      <c r="E159" s="1"/>
      <c r="F159" s="1"/>
      <c r="G159" s="1"/>
      <c r="H159" s="1"/>
      <c r="I159" s="1"/>
      <c r="J159" s="1"/>
      <c r="K159" s="1"/>
      <c r="L159" s="1"/>
      <c r="M159" s="1"/>
      <c r="N159" s="1"/>
      <c r="O159" s="1"/>
      <c r="P159" s="1"/>
      <c r="Q159" s="1"/>
    </row>
    <row r="160" spans="1:17" x14ac:dyDescent="0.35">
      <c r="A160" s="1"/>
      <c r="B160" s="1"/>
      <c r="C160" s="1"/>
      <c r="D160" s="1"/>
      <c r="E160" s="1"/>
      <c r="F160" s="1"/>
      <c r="G160" s="1"/>
      <c r="H160" s="1"/>
      <c r="I160" s="1"/>
      <c r="J160" s="1"/>
      <c r="K160" s="1"/>
      <c r="L160" s="1"/>
      <c r="M160" s="1"/>
      <c r="N160" s="1"/>
      <c r="O160" s="1"/>
      <c r="P160" s="1"/>
      <c r="Q160" s="1"/>
    </row>
    <row r="161" spans="1:17" x14ac:dyDescent="0.35">
      <c r="A161" s="1"/>
      <c r="B161" s="1"/>
      <c r="C161" s="1"/>
      <c r="D161" s="1"/>
      <c r="E161" s="1"/>
      <c r="F161" s="1"/>
      <c r="G161" s="1"/>
      <c r="H161" s="1"/>
      <c r="I161" s="1"/>
      <c r="J161" s="1"/>
      <c r="K161" s="1"/>
      <c r="L161" s="1"/>
      <c r="M161" s="1"/>
      <c r="N161" s="1"/>
      <c r="O161" s="1"/>
      <c r="P161" s="1"/>
      <c r="Q161" s="1"/>
    </row>
    <row r="162" spans="1:17" x14ac:dyDescent="0.35">
      <c r="A162" s="1"/>
      <c r="B162" s="1"/>
      <c r="C162" s="1"/>
      <c r="D162" s="1"/>
      <c r="E162" s="1"/>
      <c r="F162" s="1"/>
      <c r="G162" s="1"/>
      <c r="H162" s="1"/>
      <c r="I162" s="1"/>
      <c r="J162" s="1"/>
      <c r="K162" s="1"/>
      <c r="L162" s="1"/>
      <c r="M162" s="1"/>
      <c r="N162" s="1"/>
      <c r="O162" s="1"/>
      <c r="P162" s="1"/>
      <c r="Q162" s="1"/>
    </row>
    <row r="163" spans="1:17" x14ac:dyDescent="0.35">
      <c r="A163" s="1"/>
      <c r="B163" s="1"/>
      <c r="C163" s="1"/>
      <c r="D163" s="1"/>
      <c r="E163" s="1"/>
      <c r="F163" s="1"/>
      <c r="G163" s="1"/>
      <c r="H163" s="1"/>
      <c r="I163" s="1"/>
      <c r="J163" s="1"/>
      <c r="K163" s="1"/>
      <c r="L163" s="1"/>
      <c r="M163" s="1"/>
      <c r="N163" s="1"/>
      <c r="O163" s="1"/>
      <c r="P163" s="1"/>
      <c r="Q163" s="1"/>
    </row>
    <row r="164" spans="1:17" x14ac:dyDescent="0.35">
      <c r="A164" s="1"/>
      <c r="B164" s="1"/>
      <c r="C164" s="1"/>
      <c r="D164" s="1"/>
      <c r="E164" s="1"/>
      <c r="F164" s="1"/>
      <c r="G164" s="1"/>
      <c r="H164" s="1"/>
      <c r="I164" s="1"/>
      <c r="J164" s="1"/>
      <c r="K164" s="1"/>
      <c r="L164" s="1"/>
      <c r="M164" s="1"/>
      <c r="N164" s="1"/>
      <c r="O164" s="1"/>
      <c r="P164" s="1"/>
      <c r="Q164" s="1"/>
    </row>
    <row r="165" spans="1:17" x14ac:dyDescent="0.35">
      <c r="A165" s="1"/>
      <c r="B165" s="1"/>
      <c r="C165" s="1"/>
      <c r="D165" s="1"/>
      <c r="E165" s="1"/>
      <c r="F165" s="1"/>
      <c r="G165" s="1"/>
      <c r="H165" s="1"/>
      <c r="I165" s="1"/>
      <c r="J165" s="1"/>
      <c r="K165" s="1"/>
      <c r="L165" s="1"/>
      <c r="M165" s="1"/>
      <c r="N165" s="1"/>
      <c r="O165" s="1"/>
      <c r="P165" s="1"/>
      <c r="Q165" s="1"/>
    </row>
    <row r="166" spans="1:17" x14ac:dyDescent="0.35">
      <c r="A166" s="1"/>
      <c r="B166" s="1"/>
      <c r="C166" s="1"/>
      <c r="D166" s="1"/>
      <c r="E166" s="1"/>
      <c r="F166" s="1"/>
      <c r="G166" s="1"/>
      <c r="H166" s="1"/>
      <c r="I166" s="1"/>
      <c r="J166" s="1"/>
      <c r="K166" s="1"/>
      <c r="L166" s="1"/>
      <c r="M166" s="1"/>
      <c r="N166" s="1"/>
      <c r="O166" s="1"/>
      <c r="P166" s="1"/>
      <c r="Q166" s="1"/>
    </row>
    <row r="167" spans="1:17" x14ac:dyDescent="0.35">
      <c r="A167" s="1"/>
      <c r="B167" s="1"/>
      <c r="C167" s="1"/>
      <c r="D167" s="1"/>
      <c r="E167" s="1"/>
      <c r="F167" s="1"/>
      <c r="G167" s="1"/>
      <c r="H167" s="1"/>
      <c r="I167" s="1"/>
      <c r="J167" s="1"/>
      <c r="K167" s="1"/>
      <c r="L167" s="1"/>
      <c r="M167" s="1"/>
      <c r="N167" s="1"/>
      <c r="O167" s="1"/>
      <c r="P167" s="1"/>
      <c r="Q167" s="1"/>
    </row>
    <row r="168" spans="1:17" x14ac:dyDescent="0.35">
      <c r="A168" s="1"/>
      <c r="B168" s="1"/>
      <c r="C168" s="1"/>
      <c r="D168" s="1"/>
      <c r="E168" s="1"/>
      <c r="F168" s="1"/>
      <c r="G168" s="1"/>
      <c r="H168" s="1"/>
      <c r="I168" s="1"/>
      <c r="J168" s="1"/>
      <c r="K168" s="1"/>
      <c r="L168" s="1"/>
      <c r="M168" s="1"/>
      <c r="N168" s="1"/>
      <c r="O168" s="1"/>
      <c r="P168" s="1"/>
      <c r="Q168" s="1"/>
    </row>
    <row r="169" spans="1:17" x14ac:dyDescent="0.35">
      <c r="A169" s="1"/>
      <c r="B169" s="1"/>
      <c r="C169" s="1"/>
      <c r="D169" s="1"/>
      <c r="E169" s="1"/>
      <c r="F169" s="1"/>
      <c r="G169" s="1"/>
      <c r="H169" s="1"/>
      <c r="I169" s="1"/>
      <c r="J169" s="1"/>
      <c r="K169" s="1"/>
      <c r="L169" s="1"/>
      <c r="M169" s="1"/>
      <c r="N169" s="1"/>
      <c r="O169" s="1"/>
      <c r="P169" s="1"/>
      <c r="Q169" s="1"/>
    </row>
    <row r="170" spans="1:17" x14ac:dyDescent="0.35">
      <c r="A170" s="1"/>
      <c r="B170" s="1"/>
      <c r="C170" s="1"/>
      <c r="D170" s="1"/>
      <c r="E170" s="1"/>
      <c r="F170" s="1"/>
      <c r="G170" s="1"/>
      <c r="H170" s="1"/>
      <c r="I170" s="1"/>
      <c r="J170" s="1"/>
      <c r="K170" s="1"/>
      <c r="L170" s="1"/>
      <c r="M170" s="1"/>
      <c r="N170" s="1"/>
      <c r="O170" s="1"/>
      <c r="P170" s="1"/>
      <c r="Q170" s="1"/>
    </row>
    <row r="171" spans="1:17" x14ac:dyDescent="0.35">
      <c r="A171" s="1"/>
      <c r="B171" s="1"/>
      <c r="C171" s="1"/>
      <c r="D171" s="1"/>
      <c r="E171" s="1"/>
      <c r="F171" s="1"/>
      <c r="G171" s="1"/>
      <c r="H171" s="1"/>
      <c r="I171" s="1"/>
      <c r="J171" s="1"/>
      <c r="K171" s="1"/>
      <c r="L171" s="1"/>
      <c r="M171" s="1"/>
      <c r="N171" s="1"/>
      <c r="O171" s="1"/>
      <c r="P171" s="1"/>
      <c r="Q171" s="1"/>
    </row>
    <row r="172" spans="1:17" x14ac:dyDescent="0.35">
      <c r="A172" s="1"/>
      <c r="B172" s="1"/>
      <c r="C172" s="1"/>
      <c r="D172" s="1"/>
      <c r="E172" s="1"/>
      <c r="F172" s="1"/>
      <c r="G172" s="1"/>
      <c r="H172" s="1"/>
      <c r="I172" s="1"/>
      <c r="J172" s="1"/>
      <c r="K172" s="1"/>
      <c r="L172" s="1"/>
      <c r="M172" s="1"/>
      <c r="N172" s="1"/>
      <c r="O172" s="1"/>
      <c r="P172" s="1"/>
      <c r="Q172" s="1"/>
    </row>
    <row r="173" spans="1:17" x14ac:dyDescent="0.35">
      <c r="A173" s="1"/>
      <c r="B173" s="1"/>
      <c r="C173" s="1"/>
      <c r="D173" s="1"/>
      <c r="E173" s="1"/>
      <c r="F173" s="1"/>
      <c r="G173" s="1"/>
      <c r="H173" s="1"/>
      <c r="I173" s="1"/>
      <c r="J173" s="1"/>
      <c r="K173" s="1"/>
      <c r="L173" s="1"/>
      <c r="M173" s="1"/>
      <c r="N173" s="1"/>
      <c r="O173" s="1"/>
      <c r="P173" s="1"/>
      <c r="Q173" s="1"/>
    </row>
    <row r="174" spans="1:17" x14ac:dyDescent="0.35">
      <c r="A174" s="1"/>
      <c r="B174" s="1"/>
      <c r="C174" s="1"/>
      <c r="D174" s="1"/>
      <c r="E174" s="1"/>
      <c r="F174" s="1"/>
      <c r="G174" s="1"/>
      <c r="H174" s="1"/>
      <c r="I174" s="1"/>
      <c r="J174" s="1"/>
      <c r="K174" s="1"/>
      <c r="L174" s="1"/>
      <c r="M174" s="1"/>
      <c r="N174" s="1"/>
      <c r="O174" s="1"/>
      <c r="P174" s="1"/>
      <c r="Q174" s="1"/>
    </row>
    <row r="175" spans="1:17" x14ac:dyDescent="0.35">
      <c r="A175" s="1"/>
      <c r="B175" s="1"/>
      <c r="C175" s="1"/>
      <c r="D175" s="1"/>
      <c r="E175" s="1"/>
      <c r="F175" s="1"/>
      <c r="G175" s="1"/>
      <c r="H175" s="1"/>
      <c r="I175" s="1"/>
      <c r="J175" s="1"/>
      <c r="K175" s="1"/>
      <c r="L175" s="1"/>
      <c r="M175" s="1"/>
      <c r="N175" s="1"/>
      <c r="O175" s="1"/>
      <c r="P175" s="1"/>
      <c r="Q175" s="1"/>
    </row>
    <row r="176" spans="1:17" x14ac:dyDescent="0.35">
      <c r="A176" s="1"/>
      <c r="B176" s="1"/>
      <c r="C176" s="1"/>
      <c r="D176" s="1"/>
      <c r="E176" s="1"/>
      <c r="F176" s="1"/>
      <c r="G176" s="1"/>
      <c r="H176" s="1"/>
      <c r="I176" s="1"/>
      <c r="J176" s="1"/>
      <c r="K176" s="1"/>
      <c r="L176" s="1"/>
      <c r="M176" s="1"/>
      <c r="N176" s="1"/>
      <c r="O176" s="1"/>
      <c r="P176" s="1"/>
      <c r="Q176" s="1"/>
    </row>
    <row r="177" spans="1:17" x14ac:dyDescent="0.35">
      <c r="A177" s="1"/>
      <c r="B177" s="1"/>
      <c r="C177" s="1"/>
      <c r="D177" s="1"/>
      <c r="E177" s="1"/>
      <c r="F177" s="1"/>
      <c r="G177" s="1"/>
      <c r="H177" s="1"/>
      <c r="I177" s="1"/>
      <c r="J177" s="1"/>
      <c r="K177" s="1"/>
      <c r="L177" s="1"/>
      <c r="M177" s="1"/>
      <c r="N177" s="1"/>
      <c r="O177" s="1"/>
      <c r="P177" s="1"/>
      <c r="Q177" s="1"/>
    </row>
    <row r="178" spans="1:17" x14ac:dyDescent="0.35">
      <c r="A178" s="1"/>
      <c r="B178" s="1"/>
      <c r="C178" s="1"/>
      <c r="D178" s="1"/>
      <c r="E178" s="1"/>
      <c r="F178" s="1"/>
      <c r="G178" s="1"/>
      <c r="H178" s="1"/>
      <c r="I178" s="1"/>
      <c r="J178" s="1"/>
      <c r="K178" s="1"/>
      <c r="L178" s="1"/>
      <c r="M178" s="1"/>
      <c r="N178" s="1"/>
      <c r="O178" s="1"/>
      <c r="P178" s="1"/>
      <c r="Q178" s="1"/>
    </row>
    <row r="179" spans="1:17" x14ac:dyDescent="0.35">
      <c r="A179" s="1"/>
      <c r="B179" s="1"/>
      <c r="C179" s="1"/>
      <c r="D179" s="1"/>
      <c r="E179" s="1"/>
      <c r="F179" s="1"/>
      <c r="G179" s="1"/>
      <c r="H179" s="1"/>
      <c r="I179" s="1"/>
      <c r="J179" s="1"/>
      <c r="K179" s="1"/>
      <c r="L179" s="1"/>
      <c r="M179" s="1"/>
      <c r="N179" s="1"/>
      <c r="O179" s="1"/>
      <c r="P179" s="1"/>
      <c r="Q179" s="1"/>
    </row>
    <row r="180" spans="1:17" x14ac:dyDescent="0.35">
      <c r="A180" s="1"/>
      <c r="B180" s="1"/>
      <c r="C180" s="1"/>
      <c r="D180" s="1"/>
      <c r="E180" s="1"/>
      <c r="F180" s="1"/>
      <c r="G180" s="1"/>
      <c r="H180" s="1"/>
      <c r="I180" s="1"/>
      <c r="J180" s="1"/>
      <c r="K180" s="1"/>
      <c r="L180" s="1"/>
      <c r="M180" s="1"/>
      <c r="N180" s="1"/>
      <c r="O180" s="1"/>
      <c r="P180" s="1"/>
      <c r="Q180" s="1"/>
    </row>
    <row r="181" spans="1:17" x14ac:dyDescent="0.35">
      <c r="A181" s="1"/>
      <c r="B181" s="1"/>
      <c r="C181" s="1"/>
      <c r="D181" s="1"/>
      <c r="E181" s="1"/>
      <c r="F181" s="1"/>
      <c r="G181" s="1"/>
      <c r="H181" s="1"/>
      <c r="I181" s="1"/>
      <c r="J181" s="1"/>
      <c r="K181" s="1"/>
      <c r="L181" s="1"/>
      <c r="M181" s="1"/>
      <c r="N181" s="1"/>
      <c r="O181" s="1"/>
      <c r="P181" s="1"/>
      <c r="Q181" s="1"/>
    </row>
    <row r="182" spans="1:17" x14ac:dyDescent="0.35">
      <c r="A182" s="1"/>
      <c r="B182" s="1"/>
      <c r="C182" s="1"/>
      <c r="D182" s="1"/>
      <c r="E182" s="1"/>
      <c r="F182" s="1"/>
      <c r="G182" s="1"/>
      <c r="H182" s="1"/>
      <c r="I182" s="1"/>
      <c r="J182" s="1"/>
      <c r="K182" s="1"/>
      <c r="L182" s="1"/>
      <c r="M182" s="1"/>
      <c r="N182" s="1"/>
      <c r="O182" s="1"/>
      <c r="P182" s="1"/>
      <c r="Q182" s="1"/>
    </row>
    <row r="183" spans="1:17" x14ac:dyDescent="0.35">
      <c r="A183" s="1"/>
      <c r="B183" s="1"/>
      <c r="C183" s="1"/>
      <c r="D183" s="1"/>
      <c r="E183" s="1"/>
      <c r="F183" s="1"/>
      <c r="G183" s="1"/>
      <c r="H183" s="1"/>
      <c r="I183" s="1"/>
      <c r="J183" s="1"/>
      <c r="K183" s="1"/>
      <c r="L183" s="1"/>
      <c r="M183" s="1"/>
      <c r="N183" s="1"/>
      <c r="O183" s="1"/>
      <c r="P183" s="1"/>
      <c r="Q183" s="1"/>
    </row>
    <row r="184" spans="1:17" x14ac:dyDescent="0.35">
      <c r="A184" s="1"/>
      <c r="B184" s="1"/>
      <c r="C184" s="1"/>
      <c r="D184" s="1"/>
      <c r="E184" s="1"/>
      <c r="F184" s="1"/>
      <c r="G184" s="1"/>
      <c r="H184" s="1"/>
      <c r="I184" s="1"/>
      <c r="J184" s="1"/>
      <c r="K184" s="1"/>
      <c r="L184" s="1"/>
      <c r="M184" s="1"/>
      <c r="N184" s="1"/>
      <c r="O184" s="1"/>
      <c r="P184" s="1"/>
      <c r="Q184" s="1"/>
    </row>
    <row r="185" spans="1:17" x14ac:dyDescent="0.35">
      <c r="A185" s="1"/>
      <c r="B185" s="1"/>
      <c r="C185" s="1"/>
      <c r="D185" s="1"/>
      <c r="E185" s="1"/>
      <c r="F185" s="1"/>
      <c r="G185" s="1"/>
      <c r="H185" s="1"/>
      <c r="I185" s="1"/>
      <c r="J185" s="1"/>
      <c r="K185" s="1"/>
      <c r="L185" s="1"/>
      <c r="M185" s="1"/>
      <c r="N185" s="1"/>
      <c r="O185" s="1"/>
      <c r="P185" s="1"/>
      <c r="Q185" s="1"/>
    </row>
    <row r="186" spans="1:17" x14ac:dyDescent="0.35">
      <c r="A186" s="1"/>
      <c r="B186" s="1"/>
      <c r="C186" s="1"/>
      <c r="D186" s="1"/>
      <c r="E186" s="1"/>
      <c r="F186" s="1"/>
      <c r="G186" s="1"/>
      <c r="H186" s="1"/>
      <c r="I186" s="1"/>
      <c r="J186" s="1"/>
      <c r="K186" s="1"/>
      <c r="L186" s="1"/>
      <c r="M186" s="1"/>
      <c r="N186" s="1"/>
      <c r="O186" s="1"/>
      <c r="P186" s="1"/>
      <c r="Q186" s="1"/>
    </row>
    <row r="187" spans="1:17" x14ac:dyDescent="0.35">
      <c r="A187" s="1"/>
      <c r="B187" s="1"/>
      <c r="C187" s="1"/>
      <c r="D187" s="1"/>
      <c r="E187" s="1"/>
      <c r="F187" s="1"/>
      <c r="G187" s="1"/>
      <c r="H187" s="1"/>
      <c r="I187" s="1"/>
      <c r="J187" s="1"/>
      <c r="K187" s="1"/>
      <c r="L187" s="1"/>
      <c r="M187" s="1"/>
      <c r="N187" s="1"/>
      <c r="O187" s="1"/>
      <c r="P187" s="1"/>
      <c r="Q187" s="1"/>
    </row>
    <row r="188" spans="1:17" x14ac:dyDescent="0.35">
      <c r="A188" s="1"/>
      <c r="B188" s="1"/>
      <c r="C188" s="1"/>
      <c r="D188" s="1"/>
      <c r="E188" s="1"/>
      <c r="F188" s="1"/>
      <c r="G188" s="1"/>
      <c r="H188" s="1"/>
      <c r="I188" s="1"/>
      <c r="J188" s="1"/>
      <c r="K188" s="1"/>
      <c r="L188" s="1"/>
      <c r="M188" s="1"/>
      <c r="N188" s="1"/>
      <c r="O188" s="1"/>
      <c r="P188" s="1"/>
      <c r="Q188" s="1"/>
    </row>
    <row r="189" spans="1:17" x14ac:dyDescent="0.35">
      <c r="A189" s="1"/>
      <c r="B189" s="1"/>
      <c r="C189" s="1"/>
      <c r="D189" s="1"/>
      <c r="E189" s="1"/>
      <c r="F189" s="1"/>
      <c r="G189" s="1"/>
      <c r="H189" s="1"/>
      <c r="I189" s="1"/>
      <c r="J189" s="1"/>
      <c r="K189" s="1"/>
      <c r="L189" s="1"/>
      <c r="M189" s="1"/>
      <c r="N189" s="1"/>
      <c r="O189" s="1"/>
      <c r="P189" s="1"/>
      <c r="Q189" s="1"/>
    </row>
    <row r="190" spans="1:17" x14ac:dyDescent="0.35">
      <c r="A190" s="1"/>
      <c r="B190" s="1"/>
      <c r="C190" s="1"/>
      <c r="D190" s="1"/>
      <c r="E190" s="1"/>
      <c r="F190" s="1"/>
      <c r="G190" s="1"/>
      <c r="H190" s="1"/>
      <c r="I190" s="1"/>
      <c r="J190" s="1"/>
      <c r="K190" s="1"/>
      <c r="L190" s="1"/>
      <c r="M190" s="1"/>
      <c r="N190" s="1"/>
      <c r="O190" s="1"/>
      <c r="P190" s="1"/>
      <c r="Q190" s="1"/>
    </row>
    <row r="191" spans="1:17" x14ac:dyDescent="0.35">
      <c r="A191" s="1"/>
      <c r="B191" s="1"/>
      <c r="C191" s="1"/>
      <c r="D191" s="1"/>
      <c r="E191" s="1"/>
      <c r="F191" s="1"/>
      <c r="G191" s="1"/>
      <c r="H191" s="1"/>
      <c r="I191" s="1"/>
      <c r="J191" s="1"/>
      <c r="K191" s="1"/>
      <c r="L191" s="1"/>
      <c r="M191" s="1"/>
      <c r="N191" s="1"/>
      <c r="O191" s="1"/>
      <c r="P191" s="1"/>
      <c r="Q191" s="1"/>
    </row>
    <row r="192" spans="1:17" x14ac:dyDescent="0.35">
      <c r="A192" s="1"/>
      <c r="B192" s="1"/>
      <c r="C192" s="1"/>
      <c r="D192" s="1"/>
      <c r="E192" s="1"/>
      <c r="F192" s="1"/>
      <c r="G192" s="1"/>
      <c r="H192" s="1"/>
      <c r="I192" s="1"/>
      <c r="J192" s="1"/>
      <c r="K192" s="1"/>
      <c r="L192" s="1"/>
      <c r="M192" s="1"/>
      <c r="N192" s="1"/>
      <c r="O192" s="1"/>
      <c r="P192" s="1"/>
      <c r="Q192" s="1"/>
    </row>
    <row r="193" spans="1:17" x14ac:dyDescent="0.35">
      <c r="A193" s="1"/>
      <c r="B193" s="1"/>
      <c r="C193" s="1"/>
      <c r="D193" s="1"/>
      <c r="E193" s="1"/>
      <c r="F193" s="1"/>
      <c r="G193" s="1"/>
      <c r="H193" s="1"/>
      <c r="I193" s="1"/>
      <c r="J193" s="1"/>
      <c r="K193" s="1"/>
      <c r="L193" s="1"/>
      <c r="M193" s="1"/>
      <c r="N193" s="1"/>
      <c r="O193" s="1"/>
      <c r="P193" s="1"/>
      <c r="Q193" s="1"/>
    </row>
    <row r="194" spans="1:17" x14ac:dyDescent="0.35">
      <c r="A194" s="1"/>
      <c r="B194" s="1"/>
      <c r="C194" s="1"/>
      <c r="D194" s="1"/>
      <c r="E194" s="1"/>
      <c r="F194" s="1"/>
      <c r="G194" s="1"/>
      <c r="H194" s="1"/>
      <c r="I194" s="1"/>
      <c r="J194" s="1"/>
      <c r="K194" s="1"/>
      <c r="L194" s="1"/>
      <c r="M194" s="1"/>
      <c r="N194" s="1"/>
      <c r="O194" s="1"/>
      <c r="P194" s="1"/>
      <c r="Q194" s="1"/>
    </row>
    <row r="195" spans="1:17" x14ac:dyDescent="0.35">
      <c r="A195" s="1"/>
      <c r="B195" s="1"/>
      <c r="C195" s="1"/>
      <c r="D195" s="1"/>
      <c r="E195" s="1"/>
      <c r="F195" s="1"/>
      <c r="G195" s="1"/>
      <c r="H195" s="1"/>
      <c r="I195" s="1"/>
      <c r="J195" s="1"/>
      <c r="K195" s="1"/>
      <c r="L195" s="1"/>
      <c r="M195" s="1"/>
      <c r="N195" s="1"/>
      <c r="O195" s="1"/>
      <c r="P195" s="1"/>
      <c r="Q195" s="1"/>
    </row>
    <row r="196" spans="1:17" x14ac:dyDescent="0.35">
      <c r="A196" s="1"/>
      <c r="B196" s="1"/>
      <c r="C196" s="1"/>
      <c r="D196" s="1"/>
      <c r="E196" s="1"/>
      <c r="F196" s="1"/>
      <c r="G196" s="1"/>
      <c r="H196" s="1"/>
      <c r="I196" s="1"/>
      <c r="J196" s="1"/>
      <c r="K196" s="1"/>
      <c r="L196" s="1"/>
      <c r="M196" s="1"/>
      <c r="N196" s="1"/>
      <c r="O196" s="1"/>
      <c r="P196" s="1"/>
      <c r="Q196" s="1"/>
    </row>
    <row r="197" spans="1:17" x14ac:dyDescent="0.35">
      <c r="A197" s="1"/>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1:17" x14ac:dyDescent="0.35">
      <c r="A198" s="1"/>
      <c r="B198" s="37"/>
      <c r="C198" s="38"/>
      <c r="D198" s="31"/>
      <c r="E198" s="32"/>
      <c r="F198" s="34"/>
      <c r="G198" s="33"/>
      <c r="H198" s="34"/>
      <c r="I198" s="33"/>
      <c r="J198" s="34"/>
      <c r="K198" s="34"/>
      <c r="L198" s="34"/>
      <c r="M198" s="33"/>
      <c r="N198" s="34"/>
      <c r="O198" s="35"/>
      <c r="P198" s="36"/>
      <c r="Q198" s="35"/>
    </row>
    <row r="199" spans="1:17" x14ac:dyDescent="0.35">
      <c r="A199" s="1"/>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1:17" x14ac:dyDescent="0.35">
      <c r="A200" s="1"/>
      <c r="B200" s="1"/>
      <c r="C200" s="1"/>
      <c r="D200" s="1"/>
      <c r="E200" s="1"/>
      <c r="F200" s="1"/>
      <c r="G200" s="1"/>
      <c r="H200" s="1"/>
      <c r="I200" s="1"/>
      <c r="J200" s="1"/>
      <c r="K200" s="1"/>
      <c r="L200" s="1"/>
      <c r="M200" s="1"/>
      <c r="N200" s="1"/>
      <c r="O200" s="1"/>
      <c r="P200" s="1"/>
      <c r="Q200" s="78" t="s">
        <v>21404</v>
      </c>
    </row>
    <row r="201" spans="1:17" x14ac:dyDescent="0.35">
      <c r="A201" s="1"/>
      <c r="B201" s="1"/>
      <c r="C201" s="78" t="s">
        <v>21592</v>
      </c>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77" t="s">
        <v>21399</v>
      </c>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t="s">
        <v>21398</v>
      </c>
      <c r="D205" s="1" t="s">
        <v>75</v>
      </c>
      <c r="E205" s="1" t="s">
        <v>13768</v>
      </c>
      <c r="F205" s="2" t="s">
        <v>21397</v>
      </c>
      <c r="G205" s="1" t="s">
        <v>9</v>
      </c>
      <c r="H205" s="1"/>
      <c r="I205" s="1"/>
      <c r="J205" s="1"/>
      <c r="K205" s="1"/>
      <c r="L205" s="1"/>
      <c r="M205" s="1"/>
      <c r="N205" s="1"/>
      <c r="O205" s="1"/>
      <c r="P205" s="1"/>
      <c r="Q205" s="1"/>
    </row>
    <row r="206" spans="1:17" x14ac:dyDescent="0.35">
      <c r="B206" s="49" t="s">
        <v>14943</v>
      </c>
      <c r="C206" s="352" t="s">
        <v>14944</v>
      </c>
    </row>
    <row r="207" spans="1:17" x14ac:dyDescent="0.35">
      <c r="B207" s="49" t="s">
        <v>14945</v>
      </c>
      <c r="C207" s="53" t="s">
        <v>14946</v>
      </c>
    </row>
    <row r="208" spans="1:17" x14ac:dyDescent="0.35">
      <c r="B208" s="49" t="s">
        <v>14947</v>
      </c>
      <c r="C208" s="53" t="s">
        <v>14948</v>
      </c>
    </row>
    <row r="209" spans="2:8" x14ac:dyDescent="0.35">
      <c r="B209" s="49" t="s">
        <v>14949</v>
      </c>
      <c r="C209" s="53" t="s">
        <v>14950</v>
      </c>
    </row>
    <row r="210" spans="2:8" x14ac:dyDescent="0.35">
      <c r="B210" s="49" t="s">
        <v>14951</v>
      </c>
      <c r="C210" s="53" t="s">
        <v>14952</v>
      </c>
    </row>
    <row r="211" spans="2:8" x14ac:dyDescent="0.35">
      <c r="B211" s="49" t="s">
        <v>14953</v>
      </c>
      <c r="C211" s="53" t="s">
        <v>14954</v>
      </c>
    </row>
    <row r="212" spans="2:8" x14ac:dyDescent="0.35">
      <c r="B212" s="49" t="s">
        <v>14955</v>
      </c>
      <c r="C212" s="53" t="s">
        <v>14956</v>
      </c>
    </row>
    <row r="213" spans="2:8" x14ac:dyDescent="0.35">
      <c r="B213" s="49" t="s">
        <v>14957</v>
      </c>
      <c r="C213" s="53" t="s">
        <v>14958</v>
      </c>
    </row>
    <row r="214" spans="2:8" x14ac:dyDescent="0.35">
      <c r="B214" s="49" t="s">
        <v>14959</v>
      </c>
      <c r="C214" s="53" t="s">
        <v>14960</v>
      </c>
    </row>
    <row r="215" spans="2:8" ht="101.5" x14ac:dyDescent="0.35">
      <c r="C215" s="388" t="s">
        <v>22266</v>
      </c>
      <c r="D215" s="388" t="s">
        <v>18</v>
      </c>
      <c r="E215" s="388">
        <v>12610.01</v>
      </c>
      <c r="F215" s="388" t="s">
        <v>22267</v>
      </c>
      <c r="G215" s="388" t="s">
        <v>21663</v>
      </c>
      <c r="H215" s="388" t="s">
        <v>22268</v>
      </c>
    </row>
    <row r="216" spans="2:8" ht="87" x14ac:dyDescent="0.35">
      <c r="C216" s="388" t="s">
        <v>22269</v>
      </c>
      <c r="D216" s="388" t="s">
        <v>18</v>
      </c>
      <c r="E216" s="388">
        <v>12610.01</v>
      </c>
      <c r="F216" s="388" t="s">
        <v>22267</v>
      </c>
      <c r="G216" s="388" t="s">
        <v>21644</v>
      </c>
      <c r="H216" s="388" t="s">
        <v>22270</v>
      </c>
    </row>
    <row r="217" spans="2:8" ht="101.5" x14ac:dyDescent="0.35">
      <c r="C217" s="388" t="s">
        <v>22271</v>
      </c>
      <c r="D217" s="388" t="s">
        <v>18</v>
      </c>
      <c r="E217" s="388">
        <v>12630.01</v>
      </c>
      <c r="F217" s="388" t="s">
        <v>22267</v>
      </c>
      <c r="G217" s="388" t="s">
        <v>21765</v>
      </c>
      <c r="H217" s="388" t="s">
        <v>22272</v>
      </c>
    </row>
    <row r="218" spans="2:8" ht="101.5" x14ac:dyDescent="0.35">
      <c r="C218" s="388" t="s">
        <v>22273</v>
      </c>
      <c r="D218" s="388" t="s">
        <v>18</v>
      </c>
      <c r="E218" s="388">
        <v>12630.01</v>
      </c>
      <c r="F218" s="388" t="s">
        <v>22267</v>
      </c>
      <c r="G218" s="388" t="s">
        <v>22274</v>
      </c>
      <c r="H218" s="388" t="s">
        <v>22275</v>
      </c>
    </row>
    <row r="219" spans="2:8" x14ac:dyDescent="0.35">
      <c r="C219" s="388"/>
      <c r="D219" s="388"/>
      <c r="E219" s="388"/>
      <c r="F219" s="388"/>
      <c r="G219" s="388"/>
      <c r="H219" s="388"/>
    </row>
    <row r="220" spans="2:8" x14ac:dyDescent="0.35">
      <c r="C220" s="388"/>
      <c r="D220" s="388"/>
      <c r="E220" s="388"/>
      <c r="F220" s="388"/>
      <c r="G220" s="388"/>
      <c r="H220" s="388"/>
    </row>
    <row r="221" spans="2:8" x14ac:dyDescent="0.35">
      <c r="C221" s="388"/>
      <c r="D221" s="388"/>
      <c r="E221" s="388"/>
      <c r="F221" s="388"/>
      <c r="G221" s="388"/>
      <c r="H221" s="388"/>
    </row>
    <row r="222" spans="2:8" x14ac:dyDescent="0.35">
      <c r="C222" s="388"/>
      <c r="D222" s="388"/>
      <c r="E222" s="388"/>
      <c r="F222" s="388"/>
      <c r="G222" s="388"/>
      <c r="H222" s="388"/>
    </row>
  </sheetData>
  <mergeCells count="9">
    <mergeCell ref="J5:K5"/>
    <mergeCell ref="J6:K6"/>
    <mergeCell ref="J7:K7"/>
    <mergeCell ref="A3:B3"/>
    <mergeCell ref="D3:G3"/>
    <mergeCell ref="J3:K3"/>
    <mergeCell ref="P3:Q3"/>
    <mergeCell ref="A4:B4"/>
    <mergeCell ref="J4:K4"/>
  </mergeCells>
  <dataValidations count="1">
    <dataValidation type="list" allowBlank="1" showInputMessage="1" showErrorMessage="1" sqref="C16:C190" xr:uid="{10876EC7-7F51-44AE-AFD8-2F92749A6A41}">
      <formula1>$C$205:$C207</formula1>
    </dataValidation>
  </dataValidations>
  <hyperlinks>
    <hyperlink ref="D3" r:id="rId1" display="datamateapp@gmail.com" xr:uid="{69F44F66-A546-43EB-935A-6C746D514050}"/>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71073" r:id="rId4" name="Button 1">
              <controlPr defaultSize="0" print="0" autoFill="0" autoPict="0" macro="SaveData">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771074" r:id="rId5" name="Button 2">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771075"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771076"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771077" r:id="rId8" name="Button 5">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771078" r:id="rId9" name="Button 6">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771079" r:id="rId10" name="Button 7">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771080" r:id="rId11" name="Button 8">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mc:AlternateContent xmlns:mc="http://schemas.openxmlformats.org/markup-compatibility/2006">
          <mc:Choice Requires="x14">
            <control shapeId="771082" r:id="rId12" name="Button 10">
              <controlPr defaultSize="0" print="0" autoFill="0" autoPict="0" macro="[0]!ExitSEC_126000">
                <anchor moveWithCells="1" sizeWithCells="1">
                  <from>
                    <xdr:col>16</xdr:col>
                    <xdr:colOff>0</xdr:colOff>
                    <xdr:row>0</xdr:row>
                    <xdr:rowOff>0</xdr:rowOff>
                  </from>
                  <to>
                    <xdr:col>16</xdr:col>
                    <xdr:colOff>1270000</xdr:colOff>
                    <xdr:row>2</xdr:row>
                    <xdr:rowOff>12700</xdr:rowOff>
                  </to>
                </anchor>
              </controlPr>
            </control>
          </mc:Choice>
        </mc:AlternateContent>
      </controls>
    </mc:Choice>
  </mc:AlternateContent>
</worksheet>
</file>

<file path=xl/worksheets/sheet1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8F18C-B5A2-4243-89A2-C536CCCDBBB2}">
  <sheetPr codeName="Sheet168"/>
  <dimension ref="A1:Q212"/>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OTHER FURNISHINGS</v>
      </c>
      <c r="J2" s="59"/>
      <c r="K2" s="59"/>
      <c r="L2" s="1"/>
      <c r="M2" s="59"/>
      <c r="N2" s="59"/>
      <c r="O2" s="60"/>
      <c r="P2" s="57"/>
      <c r="Q2" s="57"/>
    </row>
    <row r="3" spans="1:17" ht="15" thickBot="1" x14ac:dyDescent="0.4">
      <c r="A3" s="446" t="s">
        <v>21561</v>
      </c>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12 90 00</v>
      </c>
      <c r="C10" s="24" t="str">
        <f>C206</f>
        <v>OTHER FURNISHINGS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OTHER FURNISHINGS</v>
      </c>
      <c r="D12" s="31"/>
      <c r="E12" s="32"/>
      <c r="F12" s="34"/>
      <c r="G12" s="33"/>
      <c r="H12" s="34"/>
      <c r="I12" s="33"/>
      <c r="J12" s="34"/>
      <c r="K12" s="34"/>
      <c r="L12" s="34"/>
      <c r="M12" s="33"/>
      <c r="N12" s="34"/>
      <c r="O12" s="35"/>
      <c r="P12" s="31"/>
      <c r="Q12" s="35"/>
    </row>
    <row r="13" spans="1:17" x14ac:dyDescent="0.35">
      <c r="A13" s="1"/>
      <c r="B13" s="1"/>
      <c r="C13" s="1"/>
      <c r="D13" s="1"/>
      <c r="E13" s="1"/>
      <c r="F13" s="1"/>
      <c r="G13" s="1"/>
      <c r="H13" s="1"/>
      <c r="I13" s="1"/>
      <c r="J13" s="1"/>
      <c r="K13" s="1"/>
      <c r="L13" s="1"/>
      <c r="M13" s="1"/>
      <c r="N13" s="1"/>
      <c r="O13" s="1"/>
      <c r="P13" s="1"/>
      <c r="Q13" s="1"/>
    </row>
    <row r="14" spans="1:17" x14ac:dyDescent="0.35">
      <c r="A14" s="1"/>
      <c r="B14" s="1"/>
      <c r="C14" s="1"/>
      <c r="D14" s="1"/>
      <c r="E14" s="1"/>
      <c r="F14" s="1"/>
      <c r="G14" s="1"/>
      <c r="H14" s="1"/>
      <c r="I14" s="1"/>
      <c r="J14" s="1"/>
      <c r="K14" s="1"/>
      <c r="L14" s="1"/>
      <c r="M14" s="1"/>
      <c r="N14" s="1"/>
      <c r="O14" s="1"/>
      <c r="P14" s="1"/>
      <c r="Q14" s="1"/>
    </row>
    <row r="15" spans="1:17" x14ac:dyDescent="0.35">
      <c r="A15" s="1"/>
      <c r="B15" s="1"/>
      <c r="C15" s="1"/>
      <c r="D15" s="1"/>
      <c r="E15" s="1"/>
      <c r="F15" s="1"/>
      <c r="G15" s="1"/>
      <c r="H15" s="1"/>
      <c r="I15" s="1"/>
      <c r="J15" s="1"/>
      <c r="K15" s="1"/>
      <c r="L15" s="1"/>
      <c r="M15" s="1"/>
      <c r="N15" s="1"/>
      <c r="O15" s="1"/>
      <c r="P15" s="1"/>
      <c r="Q15" s="1"/>
    </row>
    <row r="16" spans="1:17" x14ac:dyDescent="0.35">
      <c r="A16" s="1"/>
      <c r="B16" s="1"/>
      <c r="C16" s="1"/>
      <c r="D16" s="1"/>
      <c r="E16" s="1"/>
      <c r="F16" s="1"/>
      <c r="G16" s="1"/>
      <c r="H16" s="1"/>
      <c r="I16" s="1"/>
      <c r="J16" s="1"/>
      <c r="K16" s="1"/>
      <c r="L16" s="1"/>
      <c r="M16" s="1"/>
      <c r="N16" s="1"/>
      <c r="O16" s="1"/>
      <c r="P16" s="1"/>
      <c r="Q16" s="1"/>
    </row>
    <row r="17" spans="1:17" x14ac:dyDescent="0.35">
      <c r="A17" s="1"/>
      <c r="B17" s="1"/>
      <c r="C17" s="1"/>
      <c r="D17" s="1"/>
      <c r="E17" s="1"/>
      <c r="F17" s="1"/>
      <c r="G17" s="1"/>
      <c r="H17" s="1"/>
      <c r="I17" s="1"/>
      <c r="J17" s="1"/>
      <c r="K17" s="1"/>
      <c r="L17" s="1"/>
      <c r="M17" s="1"/>
      <c r="N17" s="1"/>
      <c r="O17" s="1"/>
      <c r="P17" s="1"/>
      <c r="Q17" s="1"/>
    </row>
    <row r="18" spans="1:17" x14ac:dyDescent="0.35">
      <c r="A18" s="1"/>
      <c r="B18" s="1"/>
      <c r="C18" s="1"/>
      <c r="D18" s="1"/>
      <c r="E18" s="1"/>
      <c r="F18" s="1"/>
      <c r="G18" s="1"/>
      <c r="H18" s="1"/>
      <c r="I18" s="1"/>
      <c r="J18" s="1"/>
      <c r="K18" s="1"/>
      <c r="L18" s="1"/>
      <c r="M18" s="1"/>
      <c r="N18" s="1"/>
      <c r="O18" s="1"/>
      <c r="P18" s="1"/>
      <c r="Q18" s="1"/>
    </row>
    <row r="19" spans="1:17" x14ac:dyDescent="0.35">
      <c r="A19" s="1"/>
      <c r="B19" s="1"/>
      <c r="C19" s="1"/>
      <c r="D19" s="1"/>
      <c r="E19" s="1"/>
      <c r="F19" s="1"/>
      <c r="G19" s="1"/>
      <c r="H19" s="1"/>
      <c r="I19" s="1"/>
      <c r="J19" s="1"/>
      <c r="K19" s="1"/>
      <c r="L19" s="1"/>
      <c r="M19" s="1"/>
      <c r="N19" s="1"/>
      <c r="O19" s="1"/>
      <c r="P19" s="1"/>
      <c r="Q19" s="1"/>
    </row>
    <row r="20" spans="1:17" x14ac:dyDescent="0.35">
      <c r="A20" s="1"/>
      <c r="B20" s="1"/>
      <c r="C20" s="1"/>
      <c r="D20" s="1"/>
      <c r="E20" s="1"/>
      <c r="F20" s="1"/>
      <c r="G20" s="1"/>
      <c r="H20" s="1"/>
      <c r="I20" s="1"/>
      <c r="J20" s="1"/>
      <c r="K20" s="1"/>
      <c r="L20" s="1"/>
      <c r="M20" s="1"/>
      <c r="N20" s="1"/>
      <c r="O20" s="1"/>
      <c r="P20" s="1"/>
      <c r="Q20" s="1"/>
    </row>
    <row r="21" spans="1:17" x14ac:dyDescent="0.35">
      <c r="A21" s="1"/>
      <c r="B21" s="1"/>
      <c r="C21" s="1"/>
      <c r="D21" s="1"/>
      <c r="E21" s="1"/>
      <c r="F21" s="1"/>
      <c r="G21" s="1"/>
      <c r="H21" s="1"/>
      <c r="I21" s="1"/>
      <c r="J21" s="1"/>
      <c r="K21" s="1"/>
      <c r="L21" s="1"/>
      <c r="M21" s="1"/>
      <c r="N21" s="1"/>
      <c r="O21" s="1"/>
      <c r="P21" s="1"/>
      <c r="Q21" s="1"/>
    </row>
    <row r="22" spans="1:17" x14ac:dyDescent="0.35">
      <c r="A22" s="1"/>
      <c r="B22" s="1"/>
      <c r="C22" s="1"/>
      <c r="D22" s="1"/>
      <c r="E22" s="1"/>
      <c r="F22" s="1"/>
      <c r="G22" s="1"/>
      <c r="H22" s="1"/>
      <c r="I22" s="1"/>
      <c r="J22" s="1"/>
      <c r="K22" s="1"/>
      <c r="L22" s="1"/>
      <c r="M22" s="1"/>
      <c r="N22" s="1"/>
      <c r="O22" s="1"/>
      <c r="P22" s="1"/>
      <c r="Q22" s="1"/>
    </row>
    <row r="23" spans="1:17" x14ac:dyDescent="0.35">
      <c r="A23" s="1"/>
      <c r="B23" s="1"/>
      <c r="C23" s="1"/>
      <c r="D23" s="1"/>
      <c r="E23" s="1"/>
      <c r="F23" s="1"/>
      <c r="G23" s="1"/>
      <c r="H23" s="1"/>
      <c r="I23" s="1"/>
      <c r="J23" s="1"/>
      <c r="K23" s="1"/>
      <c r="L23" s="1"/>
      <c r="M23" s="1"/>
      <c r="N23" s="1"/>
      <c r="O23" s="1"/>
      <c r="P23" s="1"/>
      <c r="Q23" s="1"/>
    </row>
    <row r="24" spans="1:17" x14ac:dyDescent="0.35">
      <c r="A24" s="1"/>
      <c r="B24" s="1"/>
      <c r="C24" s="1"/>
      <c r="D24" s="1"/>
      <c r="E24" s="1"/>
      <c r="F24" s="1"/>
      <c r="G24" s="1"/>
      <c r="H24" s="1"/>
      <c r="I24" s="1"/>
      <c r="J24" s="1"/>
      <c r="K24" s="1"/>
      <c r="L24" s="1"/>
      <c r="M24" s="1"/>
      <c r="N24" s="1"/>
      <c r="O24" s="1"/>
      <c r="P24" s="1"/>
      <c r="Q24" s="1"/>
    </row>
    <row r="25" spans="1:17" x14ac:dyDescent="0.35">
      <c r="A25" s="1"/>
      <c r="B25" s="1"/>
      <c r="C25" s="1"/>
      <c r="D25" s="1"/>
      <c r="E25" s="1"/>
      <c r="F25" s="1"/>
      <c r="G25" s="1"/>
      <c r="H25" s="1"/>
      <c r="I25" s="1"/>
      <c r="J25" s="1"/>
      <c r="K25" s="1"/>
      <c r="L25" s="1"/>
      <c r="M25" s="1"/>
      <c r="N25" s="1"/>
      <c r="O25" s="1"/>
      <c r="P25" s="1"/>
      <c r="Q25" s="1"/>
    </row>
    <row r="26" spans="1:17" x14ac:dyDescent="0.35">
      <c r="A26" s="1"/>
      <c r="B26" s="1"/>
      <c r="C26" s="1"/>
      <c r="D26" s="1"/>
      <c r="E26" s="1"/>
      <c r="F26" s="1"/>
      <c r="G26" s="1"/>
      <c r="H26" s="1"/>
      <c r="I26" s="1"/>
      <c r="J26" s="1"/>
      <c r="K26" s="1"/>
      <c r="L26" s="1"/>
      <c r="M26" s="1"/>
      <c r="N26" s="1"/>
      <c r="O26" s="1"/>
      <c r="P26" s="1"/>
      <c r="Q26" s="1"/>
    </row>
    <row r="27" spans="1:17" x14ac:dyDescent="0.35">
      <c r="A27" s="1"/>
      <c r="B27" s="1"/>
      <c r="C27" s="1"/>
      <c r="D27" s="1"/>
      <c r="E27" s="1"/>
      <c r="F27" s="1"/>
      <c r="G27" s="1"/>
      <c r="H27" s="1"/>
      <c r="I27" s="1"/>
      <c r="J27" s="1"/>
      <c r="K27" s="1"/>
      <c r="L27" s="1"/>
      <c r="M27" s="1"/>
      <c r="N27" s="1"/>
      <c r="O27" s="1"/>
      <c r="P27" s="1"/>
      <c r="Q27" s="1"/>
    </row>
    <row r="28" spans="1:17" x14ac:dyDescent="0.35">
      <c r="A28" s="1"/>
      <c r="B28" s="1"/>
      <c r="C28" s="1"/>
      <c r="D28" s="1"/>
      <c r="E28" s="1"/>
      <c r="F28" s="1"/>
      <c r="G28" s="1"/>
      <c r="H28" s="1"/>
      <c r="I28" s="1"/>
      <c r="J28" s="1"/>
      <c r="K28" s="1"/>
      <c r="L28" s="1"/>
      <c r="M28" s="1"/>
      <c r="N28" s="1"/>
      <c r="O28" s="1"/>
      <c r="P28" s="1"/>
      <c r="Q28" s="1"/>
    </row>
    <row r="29" spans="1:17" x14ac:dyDescent="0.35">
      <c r="A29" s="1"/>
      <c r="B29" s="1"/>
      <c r="C29" s="1"/>
      <c r="D29" s="1"/>
      <c r="E29" s="1"/>
      <c r="F29" s="1"/>
      <c r="G29" s="1"/>
      <c r="H29" s="1"/>
      <c r="I29" s="1"/>
      <c r="J29" s="1"/>
      <c r="K29" s="1"/>
      <c r="L29" s="1"/>
      <c r="M29" s="1"/>
      <c r="N29" s="1"/>
      <c r="O29" s="1"/>
      <c r="P29" s="1"/>
      <c r="Q29" s="1"/>
    </row>
    <row r="30" spans="1:17" x14ac:dyDescent="0.35">
      <c r="A30" s="1"/>
      <c r="B30" s="1"/>
      <c r="C30" s="1"/>
      <c r="D30" s="1"/>
      <c r="E30" s="1"/>
      <c r="F30" s="1"/>
      <c r="G30" s="1"/>
      <c r="H30" s="1"/>
      <c r="I30" s="1"/>
      <c r="J30" s="1"/>
      <c r="K30" s="1"/>
      <c r="L30" s="1"/>
      <c r="M30" s="1"/>
      <c r="N30" s="1"/>
      <c r="O30" s="1"/>
      <c r="P30" s="1"/>
      <c r="Q30" s="1"/>
    </row>
    <row r="31" spans="1:17" x14ac:dyDescent="0.35">
      <c r="A31" s="1"/>
      <c r="B31" s="1"/>
      <c r="C31" s="1"/>
      <c r="D31" s="1"/>
      <c r="E31" s="1"/>
      <c r="F31" s="1"/>
      <c r="G31" s="1"/>
      <c r="H31" s="1"/>
      <c r="I31" s="1"/>
      <c r="J31" s="1"/>
      <c r="K31" s="1"/>
      <c r="L31" s="1"/>
      <c r="M31" s="1"/>
      <c r="N31" s="1"/>
      <c r="O31" s="1"/>
      <c r="P31" s="1"/>
      <c r="Q31" s="1"/>
    </row>
    <row r="32" spans="1:17" x14ac:dyDescent="0.35">
      <c r="A32" s="1"/>
      <c r="B32" s="1"/>
      <c r="C32" s="1"/>
      <c r="D32" s="1"/>
      <c r="E32" s="1"/>
      <c r="F32" s="1"/>
      <c r="G32" s="1"/>
      <c r="H32" s="1"/>
      <c r="I32" s="1"/>
      <c r="J32" s="1"/>
      <c r="K32" s="1"/>
      <c r="L32" s="1"/>
      <c r="M32" s="1"/>
      <c r="N32" s="1"/>
      <c r="O32" s="1"/>
      <c r="P32" s="1"/>
      <c r="Q32" s="1"/>
    </row>
    <row r="33" spans="1:17" x14ac:dyDescent="0.35">
      <c r="A33" s="1"/>
      <c r="B33" s="1"/>
      <c r="C33" s="1"/>
      <c r="D33" s="1"/>
      <c r="E33" s="1"/>
      <c r="F33" s="1"/>
      <c r="G33" s="1"/>
      <c r="H33" s="1"/>
      <c r="I33" s="1"/>
      <c r="J33" s="1"/>
      <c r="K33" s="1"/>
      <c r="L33" s="1"/>
      <c r="M33" s="1"/>
      <c r="N33" s="1"/>
      <c r="O33" s="1"/>
      <c r="P33" s="1"/>
      <c r="Q33" s="1"/>
    </row>
    <row r="34" spans="1:17" x14ac:dyDescent="0.35">
      <c r="A34" s="1"/>
      <c r="B34" s="1"/>
      <c r="C34" s="1"/>
      <c r="D34" s="1"/>
      <c r="E34" s="1"/>
      <c r="F34" s="1"/>
      <c r="G34" s="1"/>
      <c r="H34" s="1"/>
      <c r="I34" s="1"/>
      <c r="J34" s="1"/>
      <c r="K34" s="1"/>
      <c r="L34" s="1"/>
      <c r="M34" s="1"/>
      <c r="N34" s="1"/>
      <c r="O34" s="1"/>
      <c r="P34" s="1"/>
      <c r="Q34" s="1"/>
    </row>
    <row r="35" spans="1:17" x14ac:dyDescent="0.35">
      <c r="A35" s="1"/>
      <c r="B35" s="1"/>
      <c r="C35" s="1"/>
      <c r="D35" s="1"/>
      <c r="E35" s="1"/>
      <c r="F35" s="1"/>
      <c r="G35" s="1"/>
      <c r="H35" s="1"/>
      <c r="I35" s="1"/>
      <c r="J35" s="1"/>
      <c r="K35" s="1"/>
      <c r="L35" s="1"/>
      <c r="M35" s="1"/>
      <c r="N35" s="1"/>
      <c r="O35" s="1"/>
      <c r="P35" s="1"/>
      <c r="Q35" s="1"/>
    </row>
    <row r="36" spans="1:17" x14ac:dyDescent="0.35">
      <c r="A36" s="1"/>
      <c r="B36" s="1"/>
      <c r="C36" s="1"/>
      <c r="D36" s="1"/>
      <c r="E36" s="1"/>
      <c r="F36" s="1"/>
      <c r="G36" s="1"/>
      <c r="H36" s="1"/>
      <c r="I36" s="1"/>
      <c r="J36" s="1"/>
      <c r="K36" s="1"/>
      <c r="L36" s="1"/>
      <c r="M36" s="1"/>
      <c r="N36" s="1"/>
      <c r="O36" s="1"/>
      <c r="P36" s="1"/>
      <c r="Q36" s="1"/>
    </row>
    <row r="37" spans="1:17" x14ac:dyDescent="0.35">
      <c r="A37" s="1"/>
      <c r="B37" s="1"/>
      <c r="C37" s="1"/>
      <c r="D37" s="1"/>
      <c r="E37" s="1"/>
      <c r="F37" s="1"/>
      <c r="G37" s="1"/>
      <c r="H37" s="1"/>
      <c r="I37" s="1"/>
      <c r="J37" s="1"/>
      <c r="K37" s="1"/>
      <c r="L37" s="1"/>
      <c r="M37" s="1"/>
      <c r="N37" s="1"/>
      <c r="O37" s="1"/>
      <c r="P37" s="1"/>
      <c r="Q37" s="1"/>
    </row>
    <row r="38" spans="1:17" x14ac:dyDescent="0.35">
      <c r="A38" s="1"/>
      <c r="B38" s="1"/>
      <c r="C38" s="1"/>
      <c r="D38" s="1"/>
      <c r="E38" s="1"/>
      <c r="F38" s="1"/>
      <c r="G38" s="1"/>
      <c r="H38" s="1"/>
      <c r="I38" s="1"/>
      <c r="J38" s="1"/>
      <c r="K38" s="1"/>
      <c r="L38" s="1"/>
      <c r="M38" s="1"/>
      <c r="N38" s="1"/>
      <c r="O38" s="1"/>
      <c r="P38" s="1"/>
      <c r="Q38" s="1"/>
    </row>
    <row r="39" spans="1:17" x14ac:dyDescent="0.35">
      <c r="A39" s="1"/>
      <c r="B39" s="1"/>
      <c r="C39" s="1"/>
      <c r="D39" s="1"/>
      <c r="E39" s="1"/>
      <c r="F39" s="1"/>
      <c r="G39" s="1"/>
      <c r="H39" s="1"/>
      <c r="I39" s="1"/>
      <c r="J39" s="1"/>
      <c r="K39" s="1"/>
      <c r="L39" s="1"/>
      <c r="M39" s="1"/>
      <c r="N39" s="1"/>
      <c r="O39" s="1"/>
      <c r="P39" s="1"/>
      <c r="Q39" s="1"/>
    </row>
    <row r="40" spans="1:17" x14ac:dyDescent="0.35">
      <c r="A40" s="1"/>
      <c r="B40" s="1"/>
      <c r="C40" s="1"/>
      <c r="D40" s="1"/>
      <c r="E40" s="1"/>
      <c r="F40" s="1"/>
      <c r="G40" s="1"/>
      <c r="H40" s="1"/>
      <c r="I40" s="1"/>
      <c r="J40" s="1"/>
      <c r="K40" s="1"/>
      <c r="L40" s="1"/>
      <c r="M40" s="1"/>
      <c r="N40" s="1"/>
      <c r="O40" s="1"/>
      <c r="P40" s="1"/>
      <c r="Q40" s="1"/>
    </row>
    <row r="41" spans="1:17" x14ac:dyDescent="0.35">
      <c r="A41" s="1"/>
      <c r="B41" s="1"/>
      <c r="C41" s="1"/>
      <c r="D41" s="1"/>
      <c r="E41" s="1"/>
      <c r="F41" s="1"/>
      <c r="G41" s="1"/>
      <c r="H41" s="1"/>
      <c r="I41" s="1"/>
      <c r="J41" s="1"/>
      <c r="K41" s="1"/>
      <c r="L41" s="1"/>
      <c r="M41" s="1"/>
      <c r="N41" s="1"/>
      <c r="O41" s="1"/>
      <c r="P41" s="1"/>
      <c r="Q41" s="1"/>
    </row>
    <row r="42" spans="1:17" x14ac:dyDescent="0.35">
      <c r="A42" s="1"/>
      <c r="B42" s="1"/>
      <c r="C42" s="1"/>
      <c r="D42" s="1"/>
      <c r="E42" s="1"/>
      <c r="F42" s="1"/>
      <c r="G42" s="1"/>
      <c r="H42" s="1"/>
      <c r="I42" s="1"/>
      <c r="J42" s="1"/>
      <c r="K42" s="1"/>
      <c r="L42" s="1"/>
      <c r="M42" s="1"/>
      <c r="N42" s="1"/>
      <c r="O42" s="1"/>
      <c r="P42" s="1"/>
      <c r="Q42" s="1"/>
    </row>
    <row r="43" spans="1:17" x14ac:dyDescent="0.35">
      <c r="A43" s="1"/>
      <c r="B43" s="1"/>
      <c r="C43" s="1"/>
      <c r="D43" s="1"/>
      <c r="E43" s="1"/>
      <c r="F43" s="1"/>
      <c r="G43" s="1"/>
      <c r="H43" s="1"/>
      <c r="I43" s="1"/>
      <c r="J43" s="1"/>
      <c r="K43" s="1"/>
      <c r="L43" s="1"/>
      <c r="M43" s="1"/>
      <c r="N43" s="1"/>
      <c r="O43" s="1"/>
      <c r="P43" s="1"/>
      <c r="Q43" s="1"/>
    </row>
    <row r="44" spans="1:17" x14ac:dyDescent="0.35">
      <c r="A44" s="1"/>
      <c r="B44" s="1"/>
      <c r="C44" s="1"/>
      <c r="D44" s="1"/>
      <c r="E44" s="1"/>
      <c r="F44" s="1"/>
      <c r="G44" s="1"/>
      <c r="H44" s="1"/>
      <c r="I44" s="1"/>
      <c r="J44" s="1"/>
      <c r="K44" s="1"/>
      <c r="L44" s="1"/>
      <c r="M44" s="1"/>
      <c r="N44" s="1"/>
      <c r="O44" s="1"/>
      <c r="P44" s="1"/>
      <c r="Q44" s="1"/>
    </row>
    <row r="45" spans="1:17" x14ac:dyDescent="0.35">
      <c r="A45" s="1"/>
      <c r="B45" s="1"/>
      <c r="C45" s="1"/>
      <c r="D45" s="1"/>
      <c r="E45" s="1"/>
      <c r="F45" s="1"/>
      <c r="G45" s="1"/>
      <c r="H45" s="1"/>
      <c r="I45" s="1"/>
      <c r="J45" s="1"/>
      <c r="K45" s="1"/>
      <c r="L45" s="1"/>
      <c r="M45" s="1"/>
      <c r="N45" s="1"/>
      <c r="O45" s="1"/>
      <c r="P45" s="1"/>
      <c r="Q45" s="1"/>
    </row>
    <row r="46" spans="1:17" x14ac:dyDescent="0.35">
      <c r="A46" s="1"/>
      <c r="B46" s="1"/>
      <c r="C46" s="1"/>
      <c r="D46" s="1"/>
      <c r="E46" s="1"/>
      <c r="F46" s="1"/>
      <c r="G46" s="1"/>
      <c r="H46" s="1"/>
      <c r="I46" s="1"/>
      <c r="J46" s="1"/>
      <c r="K46" s="1"/>
      <c r="L46" s="1"/>
      <c r="M46" s="1"/>
      <c r="N46" s="1"/>
      <c r="O46" s="1"/>
      <c r="P46" s="1"/>
      <c r="Q46" s="1"/>
    </row>
    <row r="47" spans="1:17" x14ac:dyDescent="0.35">
      <c r="A47" s="1"/>
      <c r="B47" s="1"/>
      <c r="C47" s="1"/>
      <c r="D47" s="1"/>
      <c r="E47" s="1"/>
      <c r="F47" s="1"/>
      <c r="G47" s="1"/>
      <c r="H47" s="1"/>
      <c r="I47" s="1"/>
      <c r="J47" s="1"/>
      <c r="K47" s="1"/>
      <c r="L47" s="1"/>
      <c r="M47" s="1"/>
      <c r="N47" s="1"/>
      <c r="O47" s="1"/>
      <c r="P47" s="1"/>
      <c r="Q47" s="1"/>
    </row>
    <row r="48" spans="1:17" x14ac:dyDescent="0.35">
      <c r="A48" s="1"/>
      <c r="B48" s="1"/>
      <c r="C48" s="1"/>
      <c r="D48" s="1"/>
      <c r="E48" s="1"/>
      <c r="F48" s="1"/>
      <c r="G48" s="1"/>
      <c r="H48" s="1"/>
      <c r="I48" s="1"/>
      <c r="J48" s="1"/>
      <c r="K48" s="1"/>
      <c r="L48" s="1"/>
      <c r="M48" s="1"/>
      <c r="N48" s="1"/>
      <c r="O48" s="1"/>
      <c r="P48" s="1"/>
      <c r="Q48" s="1"/>
    </row>
    <row r="49" spans="1:17" x14ac:dyDescent="0.35">
      <c r="A49" s="1"/>
      <c r="B49" s="1"/>
      <c r="C49" s="1"/>
      <c r="D49" s="1"/>
      <c r="E49" s="1"/>
      <c r="F49" s="1"/>
      <c r="G49" s="1"/>
      <c r="H49" s="1"/>
      <c r="I49" s="1"/>
      <c r="J49" s="1"/>
      <c r="K49" s="1"/>
      <c r="L49" s="1"/>
      <c r="M49" s="1"/>
      <c r="N49" s="1"/>
      <c r="O49" s="1"/>
      <c r="P49" s="1"/>
      <c r="Q49" s="1"/>
    </row>
    <row r="50" spans="1:17" x14ac:dyDescent="0.35">
      <c r="A50" s="1"/>
      <c r="B50" s="1"/>
      <c r="C50" s="1"/>
      <c r="D50" s="1"/>
      <c r="E50" s="1"/>
      <c r="F50" s="1"/>
      <c r="G50" s="1"/>
      <c r="H50" s="1"/>
      <c r="I50" s="1"/>
      <c r="J50" s="1"/>
      <c r="K50" s="1"/>
      <c r="L50" s="1"/>
      <c r="M50" s="1"/>
      <c r="N50" s="1"/>
      <c r="O50" s="1"/>
      <c r="P50" s="1"/>
      <c r="Q50" s="1"/>
    </row>
    <row r="51" spans="1:17" x14ac:dyDescent="0.35">
      <c r="A51" s="1"/>
      <c r="B51" s="1"/>
      <c r="C51" s="1"/>
      <c r="D51" s="1"/>
      <c r="E51" s="1"/>
      <c r="F51" s="1"/>
      <c r="G51" s="1"/>
      <c r="H51" s="1"/>
      <c r="I51" s="1"/>
      <c r="J51" s="1"/>
      <c r="K51" s="1"/>
      <c r="L51" s="1"/>
      <c r="M51" s="1"/>
      <c r="N51" s="1"/>
      <c r="O51" s="1"/>
      <c r="P51" s="1"/>
      <c r="Q51" s="1"/>
    </row>
    <row r="52" spans="1:17" x14ac:dyDescent="0.35">
      <c r="A52" s="1"/>
      <c r="B52" s="1"/>
      <c r="C52" s="1"/>
      <c r="D52" s="1"/>
      <c r="E52" s="1"/>
      <c r="F52" s="1"/>
      <c r="G52" s="1"/>
      <c r="H52" s="1"/>
      <c r="I52" s="1"/>
      <c r="J52" s="1"/>
      <c r="K52" s="1"/>
      <c r="L52" s="1"/>
      <c r="M52" s="1"/>
      <c r="N52" s="1"/>
      <c r="O52" s="1"/>
      <c r="P52" s="1"/>
      <c r="Q52" s="1"/>
    </row>
    <row r="53" spans="1:17" x14ac:dyDescent="0.35">
      <c r="A53" s="1"/>
      <c r="B53" s="1"/>
      <c r="C53" s="1"/>
      <c r="D53" s="1"/>
      <c r="E53" s="1"/>
      <c r="F53" s="1"/>
      <c r="G53" s="1"/>
      <c r="H53" s="1"/>
      <c r="I53" s="1"/>
      <c r="J53" s="1"/>
      <c r="K53" s="1"/>
      <c r="L53" s="1"/>
      <c r="M53" s="1"/>
      <c r="N53" s="1"/>
      <c r="O53" s="1"/>
      <c r="P53" s="1"/>
      <c r="Q53" s="1"/>
    </row>
    <row r="54" spans="1:17" x14ac:dyDescent="0.35">
      <c r="A54" s="1"/>
      <c r="B54" s="1"/>
      <c r="C54" s="1"/>
      <c r="D54" s="1"/>
      <c r="E54" s="1"/>
      <c r="F54" s="1"/>
      <c r="G54" s="1"/>
      <c r="H54" s="1"/>
      <c r="I54" s="1"/>
      <c r="J54" s="1"/>
      <c r="K54" s="1"/>
      <c r="L54" s="1"/>
      <c r="M54" s="1"/>
      <c r="N54" s="1"/>
      <c r="O54" s="1"/>
      <c r="P54" s="1"/>
      <c r="Q54" s="1"/>
    </row>
    <row r="55" spans="1:17" x14ac:dyDescent="0.35">
      <c r="A55" s="1"/>
      <c r="B55" s="1"/>
      <c r="C55" s="1"/>
      <c r="D55" s="1"/>
      <c r="E55" s="1"/>
      <c r="F55" s="1"/>
      <c r="G55" s="1"/>
      <c r="H55" s="1"/>
      <c r="I55" s="1"/>
      <c r="J55" s="1"/>
      <c r="K55" s="1"/>
      <c r="L55" s="1"/>
      <c r="M55" s="1"/>
      <c r="N55" s="1"/>
      <c r="O55" s="1"/>
      <c r="P55" s="1"/>
      <c r="Q55" s="1"/>
    </row>
    <row r="56" spans="1:17" x14ac:dyDescent="0.35">
      <c r="A56" s="1"/>
      <c r="B56" s="1"/>
      <c r="C56" s="1"/>
      <c r="D56" s="1"/>
      <c r="E56" s="1"/>
      <c r="F56" s="1"/>
      <c r="G56" s="1"/>
      <c r="H56" s="1"/>
      <c r="I56" s="1"/>
      <c r="J56" s="1"/>
      <c r="K56" s="1"/>
      <c r="L56" s="1"/>
      <c r="M56" s="1"/>
      <c r="N56" s="1"/>
      <c r="O56" s="1"/>
      <c r="P56" s="1"/>
      <c r="Q56" s="1"/>
    </row>
    <row r="57" spans="1:17" x14ac:dyDescent="0.35">
      <c r="A57" s="1"/>
      <c r="B57" s="1"/>
      <c r="C57" s="1"/>
      <c r="D57" s="1"/>
      <c r="E57" s="1"/>
      <c r="F57" s="1"/>
      <c r="G57" s="1"/>
      <c r="H57" s="1"/>
      <c r="I57" s="1"/>
      <c r="J57" s="1"/>
      <c r="K57" s="1"/>
      <c r="L57" s="1"/>
      <c r="M57" s="1"/>
      <c r="N57" s="1"/>
      <c r="O57" s="1"/>
      <c r="P57" s="1"/>
      <c r="Q57" s="1"/>
    </row>
    <row r="58" spans="1:17" x14ac:dyDescent="0.35">
      <c r="A58" s="1"/>
      <c r="B58" s="1"/>
      <c r="C58" s="1"/>
      <c r="D58" s="1"/>
      <c r="E58" s="1"/>
      <c r="F58" s="1"/>
      <c r="G58" s="1"/>
      <c r="H58" s="1"/>
      <c r="I58" s="1"/>
      <c r="J58" s="1"/>
      <c r="K58" s="1"/>
      <c r="L58" s="1"/>
      <c r="M58" s="1"/>
      <c r="N58" s="1"/>
      <c r="O58" s="1"/>
      <c r="P58" s="1"/>
      <c r="Q58" s="1"/>
    </row>
    <row r="59" spans="1:17" x14ac:dyDescent="0.35">
      <c r="A59" s="1"/>
      <c r="B59" s="1"/>
      <c r="C59" s="1"/>
      <c r="D59" s="1"/>
      <c r="E59" s="1"/>
      <c r="F59" s="1"/>
      <c r="G59" s="1"/>
      <c r="H59" s="1"/>
      <c r="I59" s="1"/>
      <c r="J59" s="1"/>
      <c r="K59" s="1"/>
      <c r="L59" s="1"/>
      <c r="M59" s="1"/>
      <c r="N59" s="1"/>
      <c r="O59" s="1"/>
      <c r="P59" s="1"/>
      <c r="Q59" s="1"/>
    </row>
    <row r="60" spans="1:17" x14ac:dyDescent="0.35">
      <c r="A60" s="1"/>
      <c r="B60" s="1"/>
      <c r="C60" s="1"/>
      <c r="D60" s="1"/>
      <c r="E60" s="1"/>
      <c r="F60" s="1"/>
      <c r="G60" s="1"/>
      <c r="H60" s="1"/>
      <c r="I60" s="1"/>
      <c r="J60" s="1"/>
      <c r="K60" s="1"/>
      <c r="L60" s="1"/>
      <c r="M60" s="1"/>
      <c r="N60" s="1"/>
      <c r="O60" s="1"/>
      <c r="P60" s="1"/>
      <c r="Q60" s="1"/>
    </row>
    <row r="61" spans="1:17" x14ac:dyDescent="0.35">
      <c r="A61" s="1"/>
      <c r="B61" s="1"/>
      <c r="C61" s="1"/>
      <c r="D61" s="1"/>
      <c r="E61" s="1"/>
      <c r="F61" s="1"/>
      <c r="G61" s="1"/>
      <c r="H61" s="1"/>
      <c r="I61" s="1"/>
      <c r="J61" s="1"/>
      <c r="K61" s="1"/>
      <c r="L61" s="1"/>
      <c r="M61" s="1"/>
      <c r="N61" s="1"/>
      <c r="O61" s="1"/>
      <c r="P61" s="1"/>
      <c r="Q61" s="1"/>
    </row>
    <row r="62" spans="1:17" x14ac:dyDescent="0.35">
      <c r="A62" s="1"/>
      <c r="B62" s="1"/>
      <c r="C62" s="1"/>
      <c r="D62" s="1"/>
      <c r="E62" s="1"/>
      <c r="F62" s="1"/>
      <c r="G62" s="1"/>
      <c r="H62" s="1"/>
      <c r="I62" s="1"/>
      <c r="J62" s="1"/>
      <c r="K62" s="1"/>
      <c r="L62" s="1"/>
      <c r="M62" s="1"/>
      <c r="N62" s="1"/>
      <c r="O62" s="1"/>
      <c r="P62" s="1"/>
      <c r="Q62" s="1"/>
    </row>
    <row r="63" spans="1:17" x14ac:dyDescent="0.35">
      <c r="A63" s="1"/>
      <c r="B63" s="1"/>
      <c r="C63" s="1"/>
      <c r="D63" s="1"/>
      <c r="E63" s="1"/>
      <c r="F63" s="1"/>
      <c r="G63" s="1"/>
      <c r="H63" s="1"/>
      <c r="I63" s="1"/>
      <c r="J63" s="1"/>
      <c r="K63" s="1"/>
      <c r="L63" s="1"/>
      <c r="M63" s="1"/>
      <c r="N63" s="1"/>
      <c r="O63" s="1"/>
      <c r="P63" s="1"/>
      <c r="Q63" s="1"/>
    </row>
    <row r="64" spans="1:17" x14ac:dyDescent="0.35">
      <c r="A64" s="1"/>
      <c r="B64" s="1"/>
      <c r="C64" s="1"/>
      <c r="D64" s="1"/>
      <c r="E64" s="1"/>
      <c r="F64" s="1"/>
      <c r="G64" s="1"/>
      <c r="H64" s="1"/>
      <c r="I64" s="1"/>
      <c r="J64" s="1"/>
      <c r="K64" s="1"/>
      <c r="L64" s="1"/>
      <c r="M64" s="1"/>
      <c r="N64" s="1"/>
      <c r="O64" s="1"/>
      <c r="P64" s="1"/>
      <c r="Q64" s="1"/>
    </row>
    <row r="65" spans="1:17" x14ac:dyDescent="0.35">
      <c r="A65" s="1"/>
      <c r="B65" s="1"/>
      <c r="C65" s="1"/>
      <c r="D65" s="1"/>
      <c r="E65" s="1"/>
      <c r="F65" s="1"/>
      <c r="G65" s="1"/>
      <c r="H65" s="1"/>
      <c r="I65" s="1"/>
      <c r="J65" s="1"/>
      <c r="K65" s="1"/>
      <c r="L65" s="1"/>
      <c r="M65" s="1"/>
      <c r="N65" s="1"/>
      <c r="O65" s="1"/>
      <c r="P65" s="1"/>
      <c r="Q65" s="1"/>
    </row>
    <row r="66" spans="1:17" x14ac:dyDescent="0.35">
      <c r="A66" s="1"/>
      <c r="B66" s="1"/>
      <c r="C66" s="1"/>
      <c r="D66" s="1"/>
      <c r="E66" s="1"/>
      <c r="F66" s="1"/>
      <c r="G66" s="1"/>
      <c r="H66" s="1"/>
      <c r="I66" s="1"/>
      <c r="J66" s="1"/>
      <c r="K66" s="1"/>
      <c r="L66" s="1"/>
      <c r="M66" s="1"/>
      <c r="N66" s="1"/>
      <c r="O66" s="1"/>
      <c r="P66" s="1"/>
      <c r="Q66" s="1"/>
    </row>
    <row r="67" spans="1:17" x14ac:dyDescent="0.35">
      <c r="A67" s="1"/>
      <c r="B67" s="1"/>
      <c r="C67" s="1"/>
      <c r="D67" s="1"/>
      <c r="E67" s="1"/>
      <c r="F67" s="1"/>
      <c r="G67" s="1"/>
      <c r="H67" s="1"/>
      <c r="I67" s="1"/>
      <c r="J67" s="1"/>
      <c r="K67" s="1"/>
      <c r="L67" s="1"/>
      <c r="M67" s="1"/>
      <c r="N67" s="1"/>
      <c r="O67" s="1"/>
      <c r="P67" s="1"/>
      <c r="Q67" s="1"/>
    </row>
    <row r="68" spans="1:17" x14ac:dyDescent="0.35">
      <c r="A68" s="1"/>
      <c r="B68" s="1"/>
      <c r="C68" s="1"/>
      <c r="D68" s="1"/>
      <c r="E68" s="1"/>
      <c r="F68" s="1"/>
      <c r="G68" s="1"/>
      <c r="H68" s="1"/>
      <c r="I68" s="1"/>
      <c r="J68" s="1"/>
      <c r="K68" s="1"/>
      <c r="L68" s="1"/>
      <c r="M68" s="1"/>
      <c r="N68" s="1"/>
      <c r="O68" s="1"/>
      <c r="P68" s="1"/>
      <c r="Q68" s="1"/>
    </row>
    <row r="69" spans="1:17" x14ac:dyDescent="0.35">
      <c r="A69" s="1"/>
      <c r="B69" s="1"/>
      <c r="C69" s="1"/>
      <c r="D69" s="1"/>
      <c r="E69" s="1"/>
      <c r="F69" s="1"/>
      <c r="G69" s="1"/>
      <c r="H69" s="1"/>
      <c r="I69" s="1"/>
      <c r="J69" s="1"/>
      <c r="K69" s="1"/>
      <c r="L69" s="1"/>
      <c r="M69" s="1"/>
      <c r="N69" s="1"/>
      <c r="O69" s="1"/>
      <c r="P69" s="1"/>
      <c r="Q69" s="1"/>
    </row>
    <row r="70" spans="1:17" x14ac:dyDescent="0.35">
      <c r="A70" s="1"/>
      <c r="B70" s="1"/>
      <c r="C70" s="1"/>
      <c r="D70" s="1"/>
      <c r="E70" s="1"/>
      <c r="F70" s="1"/>
      <c r="G70" s="1"/>
      <c r="H70" s="1"/>
      <c r="I70" s="1"/>
      <c r="J70" s="1"/>
      <c r="K70" s="1"/>
      <c r="L70" s="1"/>
      <c r="M70" s="1"/>
      <c r="N70" s="1"/>
      <c r="O70" s="1"/>
      <c r="P70" s="1"/>
      <c r="Q70" s="1"/>
    </row>
    <row r="71" spans="1:17" x14ac:dyDescent="0.35">
      <c r="A71" s="1"/>
      <c r="B71" s="1"/>
      <c r="C71" s="1"/>
      <c r="D71" s="1"/>
      <c r="E71" s="1"/>
      <c r="F71" s="1"/>
      <c r="G71" s="1"/>
      <c r="H71" s="1"/>
      <c r="I71" s="1"/>
      <c r="J71" s="1"/>
      <c r="K71" s="1"/>
      <c r="L71" s="1"/>
      <c r="M71" s="1"/>
      <c r="N71" s="1"/>
      <c r="O71" s="1"/>
      <c r="P71" s="1"/>
      <c r="Q71" s="1"/>
    </row>
    <row r="72" spans="1:17" x14ac:dyDescent="0.35">
      <c r="A72" s="1"/>
      <c r="B72" s="1"/>
      <c r="C72" s="1"/>
      <c r="D72" s="1"/>
      <c r="E72" s="1"/>
      <c r="F72" s="1"/>
      <c r="G72" s="1"/>
      <c r="H72" s="1"/>
      <c r="I72" s="1"/>
      <c r="J72" s="1"/>
      <c r="K72" s="1"/>
      <c r="L72" s="1"/>
      <c r="M72" s="1"/>
      <c r="N72" s="1"/>
      <c r="O72" s="1"/>
      <c r="P72" s="1"/>
      <c r="Q72" s="1"/>
    </row>
    <row r="73" spans="1:17" x14ac:dyDescent="0.35">
      <c r="A73" s="1"/>
      <c r="B73" s="1"/>
      <c r="C73" s="1"/>
      <c r="D73" s="1"/>
      <c r="E73" s="1"/>
      <c r="F73" s="1"/>
      <c r="G73" s="1"/>
      <c r="H73" s="1"/>
      <c r="I73" s="1"/>
      <c r="J73" s="1"/>
      <c r="K73" s="1"/>
      <c r="L73" s="1"/>
      <c r="M73" s="1"/>
      <c r="N73" s="1"/>
      <c r="O73" s="1"/>
      <c r="P73" s="1"/>
      <c r="Q73" s="1"/>
    </row>
    <row r="74" spans="1:17" x14ac:dyDescent="0.35">
      <c r="A74" s="1"/>
      <c r="B74" s="1"/>
      <c r="C74" s="1"/>
      <c r="D74" s="1"/>
      <c r="E74" s="1"/>
      <c r="F74" s="1"/>
      <c r="G74" s="1"/>
      <c r="H74" s="1"/>
      <c r="I74" s="1"/>
      <c r="J74" s="1"/>
      <c r="K74" s="1"/>
      <c r="L74" s="1"/>
      <c r="M74" s="1"/>
      <c r="N74" s="1"/>
      <c r="O74" s="1"/>
      <c r="P74" s="1"/>
      <c r="Q74" s="1"/>
    </row>
    <row r="75" spans="1:17" x14ac:dyDescent="0.35">
      <c r="A75" s="1"/>
      <c r="B75" s="1"/>
      <c r="C75" s="1"/>
      <c r="D75" s="1"/>
      <c r="E75" s="1"/>
      <c r="F75" s="1"/>
      <c r="G75" s="1"/>
      <c r="H75" s="1"/>
      <c r="I75" s="1"/>
      <c r="J75" s="1"/>
      <c r="K75" s="1"/>
      <c r="L75" s="1"/>
      <c r="M75" s="1"/>
      <c r="N75" s="1"/>
      <c r="O75" s="1"/>
      <c r="P75" s="1"/>
      <c r="Q75" s="1"/>
    </row>
    <row r="76" spans="1:17" x14ac:dyDescent="0.35">
      <c r="A76" s="1"/>
      <c r="B76" s="1"/>
      <c r="C76" s="1"/>
      <c r="D76" s="1"/>
      <c r="E76" s="1"/>
      <c r="F76" s="1"/>
      <c r="G76" s="1"/>
      <c r="H76" s="1"/>
      <c r="I76" s="1"/>
      <c r="J76" s="1"/>
      <c r="K76" s="1"/>
      <c r="L76" s="1"/>
      <c r="M76" s="1"/>
      <c r="N76" s="1"/>
      <c r="O76" s="1"/>
      <c r="P76" s="1"/>
      <c r="Q76" s="1"/>
    </row>
    <row r="77" spans="1:17" x14ac:dyDescent="0.35">
      <c r="A77" s="1"/>
      <c r="B77" s="1"/>
      <c r="C77" s="1"/>
      <c r="D77" s="1"/>
      <c r="E77" s="1"/>
      <c r="F77" s="1"/>
      <c r="G77" s="1"/>
      <c r="H77" s="1"/>
      <c r="I77" s="1"/>
      <c r="J77" s="1"/>
      <c r="K77" s="1"/>
      <c r="L77" s="1"/>
      <c r="M77" s="1"/>
      <c r="N77" s="1"/>
      <c r="O77" s="1"/>
      <c r="P77" s="1"/>
      <c r="Q77" s="1"/>
    </row>
    <row r="78" spans="1:17" x14ac:dyDescent="0.35">
      <c r="A78" s="1"/>
      <c r="B78" s="1"/>
      <c r="C78" s="1"/>
      <c r="D78" s="1"/>
      <c r="E78" s="1"/>
      <c r="F78" s="1"/>
      <c r="G78" s="1"/>
      <c r="H78" s="1"/>
      <c r="I78" s="1"/>
      <c r="J78" s="1"/>
      <c r="K78" s="1"/>
      <c r="L78" s="1"/>
      <c r="M78" s="1"/>
      <c r="N78" s="1"/>
      <c r="O78" s="1"/>
      <c r="P78" s="1"/>
      <c r="Q78" s="1"/>
    </row>
    <row r="79" spans="1:17" x14ac:dyDescent="0.35">
      <c r="A79" s="1"/>
      <c r="B79" s="1"/>
      <c r="C79" s="1"/>
      <c r="D79" s="1"/>
      <c r="E79" s="1"/>
      <c r="F79" s="1"/>
      <c r="G79" s="1"/>
      <c r="H79" s="1"/>
      <c r="I79" s="1"/>
      <c r="J79" s="1"/>
      <c r="K79" s="1"/>
      <c r="L79" s="1"/>
      <c r="M79" s="1"/>
      <c r="N79" s="1"/>
      <c r="O79" s="1"/>
      <c r="P79" s="1"/>
      <c r="Q79" s="1"/>
    </row>
    <row r="80" spans="1:17" x14ac:dyDescent="0.35">
      <c r="A80" s="1"/>
      <c r="B80" s="1"/>
      <c r="C80" s="1"/>
      <c r="D80" s="1"/>
      <c r="E80" s="1"/>
      <c r="F80" s="1"/>
      <c r="G80" s="1"/>
      <c r="H80" s="1"/>
      <c r="I80" s="1"/>
      <c r="J80" s="1"/>
      <c r="K80" s="1"/>
      <c r="L80" s="1"/>
      <c r="M80" s="1"/>
      <c r="N80" s="1"/>
      <c r="O80" s="1"/>
      <c r="P80" s="1"/>
      <c r="Q80" s="1"/>
    </row>
    <row r="81" spans="1:17" x14ac:dyDescent="0.35">
      <c r="A81" s="1"/>
      <c r="B81" s="1"/>
      <c r="C81" s="1"/>
      <c r="D81" s="1"/>
      <c r="E81" s="1"/>
      <c r="F81" s="1"/>
      <c r="G81" s="1"/>
      <c r="H81" s="1"/>
      <c r="I81" s="1"/>
      <c r="J81" s="1"/>
      <c r="K81" s="1"/>
      <c r="L81" s="1"/>
      <c r="M81" s="1"/>
      <c r="N81" s="1"/>
      <c r="O81" s="1"/>
      <c r="P81" s="1"/>
      <c r="Q81" s="1"/>
    </row>
    <row r="82" spans="1:17" x14ac:dyDescent="0.35">
      <c r="A82" s="1"/>
      <c r="B82" s="1"/>
      <c r="C82" s="1"/>
      <c r="D82" s="1"/>
      <c r="E82" s="1"/>
      <c r="F82" s="1"/>
      <c r="G82" s="1"/>
      <c r="H82" s="1"/>
      <c r="I82" s="1"/>
      <c r="J82" s="1"/>
      <c r="K82" s="1"/>
      <c r="L82" s="1"/>
      <c r="M82" s="1"/>
      <c r="N82" s="1"/>
      <c r="O82" s="1"/>
      <c r="P82" s="1"/>
      <c r="Q82" s="1"/>
    </row>
    <row r="83" spans="1:17" x14ac:dyDescent="0.35">
      <c r="A83" s="1"/>
      <c r="B83" s="1"/>
      <c r="C83" s="1"/>
      <c r="D83" s="1"/>
      <c r="E83" s="1"/>
      <c r="F83" s="1"/>
      <c r="G83" s="1"/>
      <c r="H83" s="1"/>
      <c r="I83" s="1"/>
      <c r="J83" s="1"/>
      <c r="K83" s="1"/>
      <c r="L83" s="1"/>
      <c r="M83" s="1"/>
      <c r="N83" s="1"/>
      <c r="O83" s="1"/>
      <c r="P83" s="1"/>
      <c r="Q83" s="1"/>
    </row>
    <row r="84" spans="1:17" x14ac:dyDescent="0.35">
      <c r="A84" s="1"/>
      <c r="B84" s="1"/>
      <c r="C84" s="1"/>
      <c r="D84" s="1"/>
      <c r="E84" s="1"/>
      <c r="F84" s="1"/>
      <c r="G84" s="1"/>
      <c r="H84" s="1"/>
      <c r="I84" s="1"/>
      <c r="J84" s="1"/>
      <c r="K84" s="1"/>
      <c r="L84" s="1"/>
      <c r="M84" s="1"/>
      <c r="N84" s="1"/>
      <c r="O84" s="1"/>
      <c r="P84" s="1"/>
      <c r="Q84" s="1"/>
    </row>
    <row r="85" spans="1:17" x14ac:dyDescent="0.35">
      <c r="A85" s="1"/>
      <c r="B85" s="1"/>
      <c r="C85" s="1"/>
      <c r="D85" s="1"/>
      <c r="E85" s="1"/>
      <c r="F85" s="1"/>
      <c r="G85" s="1"/>
      <c r="H85" s="1"/>
      <c r="I85" s="1"/>
      <c r="J85" s="1"/>
      <c r="K85" s="1"/>
      <c r="L85" s="1"/>
      <c r="M85" s="1"/>
      <c r="N85" s="1"/>
      <c r="O85" s="1"/>
      <c r="P85" s="1"/>
      <c r="Q85" s="1"/>
    </row>
    <row r="86" spans="1:17" x14ac:dyDescent="0.35">
      <c r="A86" s="1"/>
      <c r="B86" s="1"/>
      <c r="C86" s="1"/>
      <c r="D86" s="1"/>
      <c r="E86" s="1"/>
      <c r="F86" s="1"/>
      <c r="G86" s="1"/>
      <c r="H86" s="1"/>
      <c r="I86" s="1"/>
      <c r="J86" s="1"/>
      <c r="K86" s="1"/>
      <c r="L86" s="1"/>
      <c r="M86" s="1"/>
      <c r="N86" s="1"/>
      <c r="O86" s="1"/>
      <c r="P86" s="1"/>
      <c r="Q86" s="1"/>
    </row>
    <row r="87" spans="1:17" x14ac:dyDescent="0.35">
      <c r="A87" s="1"/>
      <c r="B87" s="1"/>
      <c r="C87" s="1"/>
      <c r="D87" s="1"/>
      <c r="E87" s="1"/>
      <c r="F87" s="1"/>
      <c r="G87" s="1"/>
      <c r="H87" s="1"/>
      <c r="I87" s="1"/>
      <c r="J87" s="1"/>
      <c r="K87" s="1"/>
      <c r="L87" s="1"/>
      <c r="M87" s="1"/>
      <c r="N87" s="1"/>
      <c r="O87" s="1"/>
      <c r="P87" s="1"/>
      <c r="Q87" s="1"/>
    </row>
    <row r="88" spans="1:17" x14ac:dyDescent="0.35">
      <c r="A88" s="1"/>
      <c r="B88" s="1"/>
      <c r="C88" s="1"/>
      <c r="D88" s="1"/>
      <c r="E88" s="1"/>
      <c r="F88" s="1"/>
      <c r="G88" s="1"/>
      <c r="H88" s="1"/>
      <c r="I88" s="1"/>
      <c r="J88" s="1"/>
      <c r="K88" s="1"/>
      <c r="L88" s="1"/>
      <c r="M88" s="1"/>
      <c r="N88" s="1"/>
      <c r="O88" s="1"/>
      <c r="P88" s="1"/>
      <c r="Q88" s="1"/>
    </row>
    <row r="89" spans="1:17" x14ac:dyDescent="0.35">
      <c r="A89" s="1"/>
      <c r="B89" s="1"/>
      <c r="C89" s="1"/>
      <c r="D89" s="1"/>
      <c r="E89" s="1"/>
      <c r="F89" s="1"/>
      <c r="G89" s="1"/>
      <c r="H89" s="1"/>
      <c r="I89" s="1"/>
      <c r="J89" s="1"/>
      <c r="K89" s="1"/>
      <c r="L89" s="1"/>
      <c r="M89" s="1"/>
      <c r="N89" s="1"/>
      <c r="O89" s="1"/>
      <c r="P89" s="1"/>
      <c r="Q89" s="1"/>
    </row>
    <row r="90" spans="1:17" x14ac:dyDescent="0.35">
      <c r="A90" s="1"/>
      <c r="B90" s="1"/>
      <c r="C90" s="1"/>
      <c r="D90" s="1"/>
      <c r="E90" s="1"/>
      <c r="F90" s="1"/>
      <c r="G90" s="1"/>
      <c r="H90" s="1"/>
      <c r="I90" s="1"/>
      <c r="J90" s="1"/>
      <c r="K90" s="1"/>
      <c r="L90" s="1"/>
      <c r="M90" s="1"/>
      <c r="N90" s="1"/>
      <c r="O90" s="1"/>
      <c r="P90" s="1"/>
      <c r="Q90" s="1"/>
    </row>
    <row r="91" spans="1:17" x14ac:dyDescent="0.35">
      <c r="A91" s="1"/>
      <c r="B91" s="1"/>
      <c r="C91" s="1"/>
      <c r="D91" s="1"/>
      <c r="E91" s="1"/>
      <c r="F91" s="1"/>
      <c r="G91" s="1"/>
      <c r="H91" s="1"/>
      <c r="I91" s="1"/>
      <c r="J91" s="1"/>
      <c r="K91" s="1"/>
      <c r="L91" s="1"/>
      <c r="M91" s="1"/>
      <c r="N91" s="1"/>
      <c r="O91" s="1"/>
      <c r="P91" s="1"/>
      <c r="Q91" s="1"/>
    </row>
    <row r="92" spans="1:17" x14ac:dyDescent="0.35">
      <c r="A92" s="1"/>
      <c r="B92" s="1"/>
      <c r="C92" s="1"/>
      <c r="D92" s="1"/>
      <c r="E92" s="1"/>
      <c r="F92" s="1"/>
      <c r="G92" s="1"/>
      <c r="H92" s="1"/>
      <c r="I92" s="1"/>
      <c r="J92" s="1"/>
      <c r="K92" s="1"/>
      <c r="L92" s="1"/>
      <c r="M92" s="1"/>
      <c r="N92" s="1"/>
      <c r="O92" s="1"/>
      <c r="P92" s="1"/>
      <c r="Q92" s="1"/>
    </row>
    <row r="93" spans="1:17" x14ac:dyDescent="0.35">
      <c r="A93" s="1"/>
      <c r="B93" s="1"/>
      <c r="C93" s="1"/>
      <c r="D93" s="1"/>
      <c r="E93" s="1"/>
      <c r="F93" s="1"/>
      <c r="G93" s="1"/>
      <c r="H93" s="1"/>
      <c r="I93" s="1"/>
      <c r="J93" s="1"/>
      <c r="K93" s="1"/>
      <c r="L93" s="1"/>
      <c r="M93" s="1"/>
      <c r="N93" s="1"/>
      <c r="O93" s="1"/>
      <c r="P93" s="1"/>
      <c r="Q93" s="1"/>
    </row>
    <row r="94" spans="1:17" x14ac:dyDescent="0.35">
      <c r="A94" s="1"/>
      <c r="B94" s="1"/>
      <c r="C94" s="1"/>
      <c r="D94" s="1"/>
      <c r="E94" s="1"/>
      <c r="F94" s="1"/>
      <c r="G94" s="1"/>
      <c r="H94" s="1"/>
      <c r="I94" s="1"/>
      <c r="J94" s="1"/>
      <c r="K94" s="1"/>
      <c r="L94" s="1"/>
      <c r="M94" s="1"/>
      <c r="N94" s="1"/>
      <c r="O94" s="1"/>
      <c r="P94" s="1"/>
      <c r="Q94" s="1"/>
    </row>
    <row r="95" spans="1:17" x14ac:dyDescent="0.35">
      <c r="A95" s="1"/>
      <c r="B95" s="1"/>
      <c r="C95" s="1"/>
      <c r="D95" s="1"/>
      <c r="E95" s="1"/>
      <c r="F95" s="1"/>
      <c r="G95" s="1"/>
      <c r="H95" s="1"/>
      <c r="I95" s="1"/>
      <c r="J95" s="1"/>
      <c r="K95" s="1"/>
      <c r="L95" s="1"/>
      <c r="M95" s="1"/>
      <c r="N95" s="1"/>
      <c r="O95" s="1"/>
      <c r="P95" s="1"/>
      <c r="Q95" s="1"/>
    </row>
    <row r="96" spans="1:17" x14ac:dyDescent="0.35">
      <c r="A96" s="1"/>
      <c r="B96" s="1"/>
      <c r="C96" s="1"/>
      <c r="D96" s="1"/>
      <c r="E96" s="1"/>
      <c r="F96" s="1"/>
      <c r="G96" s="1"/>
      <c r="H96" s="1"/>
      <c r="I96" s="1"/>
      <c r="J96" s="1"/>
      <c r="K96" s="1"/>
      <c r="L96" s="1"/>
      <c r="M96" s="1"/>
      <c r="N96" s="1"/>
      <c r="O96" s="1"/>
      <c r="P96" s="1"/>
      <c r="Q96" s="1"/>
    </row>
    <row r="97" spans="1:17" x14ac:dyDescent="0.35">
      <c r="A97" s="1"/>
      <c r="B97" s="1"/>
      <c r="C97" s="1"/>
      <c r="D97" s="1"/>
      <c r="E97" s="1"/>
      <c r="F97" s="1"/>
      <c r="G97" s="1"/>
      <c r="H97" s="1"/>
      <c r="I97" s="1"/>
      <c r="J97" s="1"/>
      <c r="K97" s="1"/>
      <c r="L97" s="1"/>
      <c r="M97" s="1"/>
      <c r="N97" s="1"/>
      <c r="O97" s="1"/>
      <c r="P97" s="1"/>
      <c r="Q97" s="1"/>
    </row>
    <row r="98" spans="1:17" x14ac:dyDescent="0.35">
      <c r="A98" s="1"/>
      <c r="B98" s="1"/>
      <c r="C98" s="1"/>
      <c r="D98" s="1"/>
      <c r="E98" s="1"/>
      <c r="F98" s="1"/>
      <c r="G98" s="1"/>
      <c r="H98" s="1"/>
      <c r="I98" s="1"/>
      <c r="J98" s="1"/>
      <c r="K98" s="1"/>
      <c r="L98" s="1"/>
      <c r="M98" s="1"/>
      <c r="N98" s="1"/>
      <c r="O98" s="1"/>
      <c r="P98" s="1"/>
      <c r="Q98" s="1"/>
    </row>
    <row r="99" spans="1:17" x14ac:dyDescent="0.35">
      <c r="A99" s="1"/>
      <c r="B99" s="1"/>
      <c r="C99" s="1"/>
      <c r="D99" s="1"/>
      <c r="E99" s="1"/>
      <c r="F99" s="1"/>
      <c r="G99" s="1"/>
      <c r="H99" s="1"/>
      <c r="I99" s="1"/>
      <c r="J99" s="1"/>
      <c r="K99" s="1"/>
      <c r="L99" s="1"/>
      <c r="M99" s="1"/>
      <c r="N99" s="1"/>
      <c r="O99" s="1"/>
      <c r="P99" s="1"/>
      <c r="Q99" s="1"/>
    </row>
    <row r="100" spans="1:17" x14ac:dyDescent="0.35">
      <c r="A100" s="1"/>
      <c r="B100" s="1"/>
      <c r="C100" s="1"/>
      <c r="D100" s="1"/>
      <c r="E100" s="1"/>
      <c r="F100" s="1"/>
      <c r="G100" s="1"/>
      <c r="H100" s="1"/>
      <c r="I100" s="1"/>
      <c r="J100" s="1"/>
      <c r="K100" s="1"/>
      <c r="L100" s="1"/>
      <c r="M100" s="1"/>
      <c r="N100" s="1"/>
      <c r="O100" s="1"/>
      <c r="P100" s="1"/>
      <c r="Q100" s="1"/>
    </row>
    <row r="101" spans="1:17" x14ac:dyDescent="0.35">
      <c r="A101" s="1"/>
      <c r="B101" s="1"/>
      <c r="C101" s="1"/>
      <c r="D101" s="1"/>
      <c r="E101" s="1"/>
      <c r="F101" s="1"/>
      <c r="G101" s="1"/>
      <c r="H101" s="1"/>
      <c r="I101" s="1"/>
      <c r="J101" s="1"/>
      <c r="K101" s="1"/>
      <c r="L101" s="1"/>
      <c r="M101" s="1"/>
      <c r="N101" s="1"/>
      <c r="O101" s="1"/>
      <c r="P101" s="1"/>
      <c r="Q101" s="1"/>
    </row>
    <row r="102" spans="1:17" x14ac:dyDescent="0.35">
      <c r="A102" s="1"/>
      <c r="B102" s="1"/>
      <c r="C102" s="1"/>
      <c r="D102" s="1"/>
      <c r="E102" s="1"/>
      <c r="F102" s="1"/>
      <c r="G102" s="1"/>
      <c r="H102" s="1"/>
      <c r="I102" s="1"/>
      <c r="J102" s="1"/>
      <c r="K102" s="1"/>
      <c r="L102" s="1"/>
      <c r="M102" s="1"/>
      <c r="N102" s="1"/>
      <c r="O102" s="1"/>
      <c r="P102" s="1"/>
      <c r="Q102" s="1"/>
    </row>
    <row r="103" spans="1:17" x14ac:dyDescent="0.35">
      <c r="A103" s="1"/>
      <c r="B103" s="1"/>
      <c r="C103" s="1"/>
      <c r="D103" s="1"/>
      <c r="E103" s="1"/>
      <c r="F103" s="1"/>
      <c r="G103" s="1"/>
      <c r="H103" s="1"/>
      <c r="I103" s="1"/>
      <c r="J103" s="1"/>
      <c r="K103" s="1"/>
      <c r="L103" s="1"/>
      <c r="M103" s="1"/>
      <c r="N103" s="1"/>
      <c r="O103" s="1"/>
      <c r="P103" s="1"/>
      <c r="Q103" s="1"/>
    </row>
    <row r="104" spans="1:17" x14ac:dyDescent="0.35">
      <c r="A104" s="1"/>
      <c r="B104" s="1"/>
      <c r="C104" s="1"/>
      <c r="D104" s="1"/>
      <c r="E104" s="1"/>
      <c r="F104" s="1"/>
      <c r="G104" s="1"/>
      <c r="H104" s="1"/>
      <c r="I104" s="1"/>
      <c r="J104" s="1"/>
      <c r="K104" s="1"/>
      <c r="L104" s="1"/>
      <c r="M104" s="1"/>
      <c r="N104" s="1"/>
      <c r="O104" s="1"/>
      <c r="P104" s="1"/>
      <c r="Q104" s="1"/>
    </row>
    <row r="105" spans="1:17" x14ac:dyDescent="0.35">
      <c r="A105" s="1"/>
      <c r="B105" s="1"/>
      <c r="C105" s="1"/>
      <c r="D105" s="1"/>
      <c r="E105" s="1"/>
      <c r="F105" s="1"/>
      <c r="G105" s="1"/>
      <c r="H105" s="1"/>
      <c r="I105" s="1"/>
      <c r="J105" s="1"/>
      <c r="K105" s="1"/>
      <c r="L105" s="1"/>
      <c r="M105" s="1"/>
      <c r="N105" s="1"/>
      <c r="O105" s="1"/>
      <c r="P105" s="1"/>
      <c r="Q105" s="1"/>
    </row>
    <row r="106" spans="1:17" x14ac:dyDescent="0.35">
      <c r="A106" s="1"/>
      <c r="B106" s="1"/>
      <c r="C106" s="1"/>
      <c r="D106" s="1"/>
      <c r="E106" s="1"/>
      <c r="F106" s="1"/>
      <c r="G106" s="1"/>
      <c r="H106" s="1"/>
      <c r="I106" s="1"/>
      <c r="J106" s="1"/>
      <c r="K106" s="1"/>
      <c r="L106" s="1"/>
      <c r="M106" s="1"/>
      <c r="N106" s="1"/>
      <c r="O106" s="1"/>
      <c r="P106" s="1"/>
      <c r="Q106" s="1"/>
    </row>
    <row r="107" spans="1:17" x14ac:dyDescent="0.35">
      <c r="A107" s="1"/>
      <c r="B107" s="1"/>
      <c r="C107" s="1"/>
      <c r="D107" s="1"/>
      <c r="E107" s="1"/>
      <c r="F107" s="1"/>
      <c r="G107" s="1"/>
      <c r="H107" s="1"/>
      <c r="I107" s="1"/>
      <c r="J107" s="1"/>
      <c r="K107" s="1"/>
      <c r="L107" s="1"/>
      <c r="M107" s="1"/>
      <c r="N107" s="1"/>
      <c r="O107" s="1"/>
      <c r="P107" s="1"/>
      <c r="Q107" s="1"/>
    </row>
    <row r="108" spans="1:17" x14ac:dyDescent="0.35">
      <c r="A108" s="1"/>
      <c r="B108" s="1"/>
      <c r="C108" s="1"/>
      <c r="D108" s="1"/>
      <c r="E108" s="1"/>
      <c r="F108" s="1"/>
      <c r="G108" s="1"/>
      <c r="H108" s="1"/>
      <c r="I108" s="1"/>
      <c r="J108" s="1"/>
      <c r="K108" s="1"/>
      <c r="L108" s="1"/>
      <c r="M108" s="1"/>
      <c r="N108" s="1"/>
      <c r="O108" s="1"/>
      <c r="P108" s="1"/>
      <c r="Q108" s="1"/>
    </row>
    <row r="109" spans="1:17" x14ac:dyDescent="0.35">
      <c r="A109" s="1"/>
      <c r="B109" s="1"/>
      <c r="C109" s="1"/>
      <c r="D109" s="1"/>
      <c r="E109" s="1"/>
      <c r="F109" s="1"/>
      <c r="G109" s="1"/>
      <c r="H109" s="1"/>
      <c r="I109" s="1"/>
      <c r="J109" s="1"/>
      <c r="K109" s="1"/>
      <c r="L109" s="1"/>
      <c r="M109" s="1"/>
      <c r="N109" s="1"/>
      <c r="O109" s="1"/>
      <c r="P109" s="1"/>
      <c r="Q109" s="1"/>
    </row>
    <row r="110" spans="1:17" x14ac:dyDescent="0.35">
      <c r="A110" s="1"/>
      <c r="B110" s="1"/>
      <c r="C110" s="1"/>
      <c r="D110" s="1"/>
      <c r="E110" s="1"/>
      <c r="F110" s="1"/>
      <c r="G110" s="1"/>
      <c r="H110" s="1"/>
      <c r="I110" s="1"/>
      <c r="J110" s="1"/>
      <c r="K110" s="1"/>
      <c r="L110" s="1"/>
      <c r="M110" s="1"/>
      <c r="N110" s="1"/>
      <c r="O110" s="1"/>
      <c r="P110" s="1"/>
      <c r="Q110" s="1"/>
    </row>
    <row r="111" spans="1:17" x14ac:dyDescent="0.35">
      <c r="A111" s="1"/>
      <c r="B111" s="1"/>
      <c r="C111" s="1"/>
      <c r="D111" s="1"/>
      <c r="E111" s="1"/>
      <c r="F111" s="1"/>
      <c r="G111" s="1"/>
      <c r="H111" s="1"/>
      <c r="I111" s="1"/>
      <c r="J111" s="1"/>
      <c r="K111" s="1"/>
      <c r="L111" s="1"/>
      <c r="M111" s="1"/>
      <c r="N111" s="1"/>
      <c r="O111" s="1"/>
      <c r="P111" s="1"/>
      <c r="Q111" s="1"/>
    </row>
    <row r="112" spans="1:17" x14ac:dyDescent="0.35">
      <c r="A112" s="1"/>
      <c r="B112" s="1"/>
      <c r="C112" s="1"/>
      <c r="D112" s="1"/>
      <c r="E112" s="1"/>
      <c r="F112" s="1"/>
      <c r="G112" s="1"/>
      <c r="H112" s="1"/>
      <c r="I112" s="1"/>
      <c r="J112" s="1"/>
      <c r="K112" s="1"/>
      <c r="L112" s="1"/>
      <c r="M112" s="1"/>
      <c r="N112" s="1"/>
      <c r="O112" s="1"/>
      <c r="P112" s="1"/>
      <c r="Q112" s="1"/>
    </row>
    <row r="113" spans="1:17" x14ac:dyDescent="0.35">
      <c r="A113" s="1"/>
      <c r="B113" s="1"/>
      <c r="C113" s="1"/>
      <c r="D113" s="1"/>
      <c r="E113" s="1"/>
      <c r="F113" s="1"/>
      <c r="G113" s="1"/>
      <c r="H113" s="1"/>
      <c r="I113" s="1"/>
      <c r="J113" s="1"/>
      <c r="K113" s="1"/>
      <c r="L113" s="1"/>
      <c r="M113" s="1"/>
      <c r="N113" s="1"/>
      <c r="O113" s="1"/>
      <c r="P113" s="1"/>
      <c r="Q113" s="1"/>
    </row>
    <row r="114" spans="1:17" x14ac:dyDescent="0.35">
      <c r="A114" s="1"/>
      <c r="B114" s="1"/>
      <c r="C114" s="1"/>
      <c r="D114" s="1"/>
      <c r="E114" s="1"/>
      <c r="F114" s="1"/>
      <c r="G114" s="1"/>
      <c r="H114" s="1"/>
      <c r="I114" s="1"/>
      <c r="J114" s="1"/>
      <c r="K114" s="1"/>
      <c r="L114" s="1"/>
      <c r="M114" s="1"/>
      <c r="N114" s="1"/>
      <c r="O114" s="1"/>
      <c r="P114" s="1"/>
      <c r="Q114" s="1"/>
    </row>
    <row r="115" spans="1:17" x14ac:dyDescent="0.35">
      <c r="A115" s="1"/>
      <c r="B115" s="1"/>
      <c r="C115" s="1"/>
      <c r="D115" s="1"/>
      <c r="E115" s="1"/>
      <c r="F115" s="1"/>
      <c r="G115" s="1"/>
      <c r="H115" s="1"/>
      <c r="I115" s="1"/>
      <c r="J115" s="1"/>
      <c r="K115" s="1"/>
      <c r="L115" s="1"/>
      <c r="M115" s="1"/>
      <c r="N115" s="1"/>
      <c r="O115" s="1"/>
      <c r="P115" s="1"/>
      <c r="Q115" s="1"/>
    </row>
    <row r="116" spans="1:17" x14ac:dyDescent="0.35">
      <c r="A116" s="1"/>
      <c r="B116" s="1"/>
      <c r="C116" s="1"/>
      <c r="D116" s="1"/>
      <c r="E116" s="1"/>
      <c r="F116" s="1"/>
      <c r="G116" s="1"/>
      <c r="H116" s="1"/>
      <c r="I116" s="1"/>
      <c r="J116" s="1"/>
      <c r="K116" s="1"/>
      <c r="L116" s="1"/>
      <c r="M116" s="1"/>
      <c r="N116" s="1"/>
      <c r="O116" s="1"/>
      <c r="P116" s="1"/>
      <c r="Q116" s="1"/>
    </row>
    <row r="117" spans="1:17" x14ac:dyDescent="0.35">
      <c r="A117" s="1"/>
      <c r="B117" s="1"/>
      <c r="C117" s="1"/>
      <c r="D117" s="1"/>
      <c r="E117" s="1"/>
      <c r="F117" s="1"/>
      <c r="G117" s="1"/>
      <c r="H117" s="1"/>
      <c r="I117" s="1"/>
      <c r="J117" s="1"/>
      <c r="K117" s="1"/>
      <c r="L117" s="1"/>
      <c r="M117" s="1"/>
      <c r="N117" s="1"/>
      <c r="O117" s="1"/>
      <c r="P117" s="1"/>
      <c r="Q117" s="1"/>
    </row>
    <row r="118" spans="1:17" x14ac:dyDescent="0.35">
      <c r="A118" s="1"/>
      <c r="B118" s="1"/>
      <c r="C118" s="1"/>
      <c r="D118" s="1"/>
      <c r="E118" s="1"/>
      <c r="F118" s="1"/>
      <c r="G118" s="1"/>
      <c r="H118" s="1"/>
      <c r="I118" s="1"/>
      <c r="J118" s="1"/>
      <c r="K118" s="1"/>
      <c r="L118" s="1"/>
      <c r="M118" s="1"/>
      <c r="N118" s="1"/>
      <c r="O118" s="1"/>
      <c r="P118" s="1"/>
      <c r="Q118" s="1"/>
    </row>
    <row r="119" spans="1:17" x14ac:dyDescent="0.35">
      <c r="A119" s="1"/>
      <c r="B119" s="1"/>
      <c r="C119" s="1"/>
      <c r="D119" s="1"/>
      <c r="E119" s="1"/>
      <c r="F119" s="1"/>
      <c r="G119" s="1"/>
      <c r="H119" s="1"/>
      <c r="I119" s="1"/>
      <c r="J119" s="1"/>
      <c r="K119" s="1"/>
      <c r="L119" s="1"/>
      <c r="M119" s="1"/>
      <c r="N119" s="1"/>
      <c r="O119" s="1"/>
      <c r="P119" s="1"/>
      <c r="Q119" s="1"/>
    </row>
    <row r="120" spans="1:17" x14ac:dyDescent="0.35">
      <c r="A120" s="1"/>
      <c r="B120" s="1"/>
      <c r="C120" s="1"/>
      <c r="D120" s="1"/>
      <c r="E120" s="1"/>
      <c r="F120" s="1"/>
      <c r="G120" s="1"/>
      <c r="H120" s="1"/>
      <c r="I120" s="1"/>
      <c r="J120" s="1"/>
      <c r="K120" s="1"/>
      <c r="L120" s="1"/>
      <c r="M120" s="1"/>
      <c r="N120" s="1"/>
      <c r="O120" s="1"/>
      <c r="P120" s="1"/>
      <c r="Q120" s="1"/>
    </row>
    <row r="121" spans="1:17" x14ac:dyDescent="0.35">
      <c r="A121" s="1"/>
      <c r="B121" s="1"/>
      <c r="C121" s="1"/>
      <c r="D121" s="1"/>
      <c r="E121" s="1"/>
      <c r="F121" s="1"/>
      <c r="G121" s="1"/>
      <c r="H121" s="1"/>
      <c r="I121" s="1"/>
      <c r="J121" s="1"/>
      <c r="K121" s="1"/>
      <c r="L121" s="1"/>
      <c r="M121" s="1"/>
      <c r="N121" s="1"/>
      <c r="O121" s="1"/>
      <c r="P121" s="1"/>
      <c r="Q121" s="1"/>
    </row>
    <row r="122" spans="1:17" x14ac:dyDescent="0.35">
      <c r="A122" s="1"/>
      <c r="B122" s="1"/>
      <c r="C122" s="1"/>
      <c r="D122" s="1"/>
      <c r="E122" s="1"/>
      <c r="F122" s="1"/>
      <c r="G122" s="1"/>
      <c r="H122" s="1"/>
      <c r="I122" s="1"/>
      <c r="J122" s="1"/>
      <c r="K122" s="1"/>
      <c r="L122" s="1"/>
      <c r="M122" s="1"/>
      <c r="N122" s="1"/>
      <c r="O122" s="1"/>
      <c r="P122" s="1"/>
      <c r="Q122" s="1"/>
    </row>
    <row r="123" spans="1:17" x14ac:dyDescent="0.35">
      <c r="A123" s="1"/>
      <c r="B123" s="1"/>
      <c r="C123" s="1"/>
      <c r="D123" s="1"/>
      <c r="E123" s="1"/>
      <c r="F123" s="1"/>
      <c r="G123" s="1"/>
      <c r="H123" s="1"/>
      <c r="I123" s="1"/>
      <c r="J123" s="1"/>
      <c r="K123" s="1"/>
      <c r="L123" s="1"/>
      <c r="M123" s="1"/>
      <c r="N123" s="1"/>
      <c r="O123" s="1"/>
      <c r="P123" s="1"/>
      <c r="Q123" s="1"/>
    </row>
    <row r="124" spans="1:17" x14ac:dyDescent="0.35">
      <c r="A124" s="1"/>
      <c r="B124" s="1"/>
      <c r="C124" s="1"/>
      <c r="D124" s="1"/>
      <c r="E124" s="1"/>
      <c r="F124" s="1"/>
      <c r="G124" s="1"/>
      <c r="H124" s="1"/>
      <c r="I124" s="1"/>
      <c r="J124" s="1"/>
      <c r="K124" s="1"/>
      <c r="L124" s="1"/>
      <c r="M124" s="1"/>
      <c r="N124" s="1"/>
      <c r="O124" s="1"/>
      <c r="P124" s="1"/>
      <c r="Q124" s="1"/>
    </row>
    <row r="125" spans="1:17" x14ac:dyDescent="0.35">
      <c r="A125" s="1"/>
      <c r="B125" s="1"/>
      <c r="C125" s="1"/>
      <c r="D125" s="1"/>
      <c r="E125" s="1"/>
      <c r="F125" s="1"/>
      <c r="G125" s="1"/>
      <c r="H125" s="1"/>
      <c r="I125" s="1"/>
      <c r="J125" s="1"/>
      <c r="K125" s="1"/>
      <c r="L125" s="1"/>
      <c r="M125" s="1"/>
      <c r="N125" s="1"/>
      <c r="O125" s="1"/>
      <c r="P125" s="1"/>
      <c r="Q125" s="1"/>
    </row>
    <row r="126" spans="1:17" x14ac:dyDescent="0.35">
      <c r="A126" s="1"/>
      <c r="B126" s="1"/>
      <c r="C126" s="1"/>
      <c r="D126" s="1"/>
      <c r="E126" s="1"/>
      <c r="F126" s="1"/>
      <c r="G126" s="1"/>
      <c r="H126" s="1"/>
      <c r="I126" s="1"/>
      <c r="J126" s="1"/>
      <c r="K126" s="1"/>
      <c r="L126" s="1"/>
      <c r="M126" s="1"/>
      <c r="N126" s="1"/>
      <c r="O126" s="1"/>
      <c r="P126" s="1"/>
      <c r="Q126" s="1"/>
    </row>
    <row r="127" spans="1:17" x14ac:dyDescent="0.35">
      <c r="A127" s="1"/>
      <c r="B127" s="1"/>
      <c r="C127" s="1"/>
      <c r="D127" s="1"/>
      <c r="E127" s="1"/>
      <c r="F127" s="1"/>
      <c r="G127" s="1"/>
      <c r="H127" s="1"/>
      <c r="I127" s="1"/>
      <c r="J127" s="1"/>
      <c r="K127" s="1"/>
      <c r="L127" s="1"/>
      <c r="M127" s="1"/>
      <c r="N127" s="1"/>
      <c r="O127" s="1"/>
      <c r="P127" s="1"/>
      <c r="Q127" s="1"/>
    </row>
    <row r="128" spans="1:17" x14ac:dyDescent="0.35">
      <c r="A128" s="1"/>
      <c r="B128" s="1"/>
      <c r="C128" s="1"/>
      <c r="D128" s="1"/>
      <c r="E128" s="1"/>
      <c r="F128" s="1"/>
      <c r="G128" s="1"/>
      <c r="H128" s="1"/>
      <c r="I128" s="1"/>
      <c r="J128" s="1"/>
      <c r="K128" s="1"/>
      <c r="L128" s="1"/>
      <c r="M128" s="1"/>
      <c r="N128" s="1"/>
      <c r="O128" s="1"/>
      <c r="P128" s="1"/>
      <c r="Q128" s="1"/>
    </row>
    <row r="129" spans="1:17" x14ac:dyDescent="0.35">
      <c r="A129" s="1"/>
      <c r="B129" s="1"/>
      <c r="C129" s="1"/>
      <c r="D129" s="1"/>
      <c r="E129" s="1"/>
      <c r="F129" s="1"/>
      <c r="G129" s="1"/>
      <c r="H129" s="1"/>
      <c r="I129" s="1"/>
      <c r="J129" s="1"/>
      <c r="K129" s="1"/>
      <c r="L129" s="1"/>
      <c r="M129" s="1"/>
      <c r="N129" s="1"/>
      <c r="O129" s="1"/>
      <c r="P129" s="1"/>
      <c r="Q129" s="1"/>
    </row>
    <row r="130" spans="1:17" x14ac:dyDescent="0.35">
      <c r="A130" s="1"/>
      <c r="B130" s="1"/>
      <c r="C130" s="1"/>
      <c r="D130" s="1"/>
      <c r="E130" s="1"/>
      <c r="F130" s="1"/>
      <c r="G130" s="1"/>
      <c r="H130" s="1"/>
      <c r="I130" s="1"/>
      <c r="J130" s="1"/>
      <c r="K130" s="1"/>
      <c r="L130" s="1"/>
      <c r="M130" s="1"/>
      <c r="N130" s="1"/>
      <c r="O130" s="1"/>
      <c r="P130" s="1"/>
      <c r="Q130" s="1"/>
    </row>
    <row r="131" spans="1:17" x14ac:dyDescent="0.35">
      <c r="A131" s="1"/>
      <c r="B131" s="1"/>
      <c r="C131" s="1"/>
      <c r="D131" s="1"/>
      <c r="E131" s="1"/>
      <c r="F131" s="1"/>
      <c r="G131" s="1"/>
      <c r="H131" s="1"/>
      <c r="I131" s="1"/>
      <c r="J131" s="1"/>
      <c r="K131" s="1"/>
      <c r="L131" s="1"/>
      <c r="M131" s="1"/>
      <c r="N131" s="1"/>
      <c r="O131" s="1"/>
      <c r="P131" s="1"/>
      <c r="Q131" s="1"/>
    </row>
    <row r="132" spans="1:17" x14ac:dyDescent="0.35">
      <c r="A132" s="1"/>
      <c r="B132" s="1"/>
      <c r="C132" s="1"/>
      <c r="D132" s="1"/>
      <c r="E132" s="1"/>
      <c r="F132" s="1"/>
      <c r="G132" s="1"/>
      <c r="H132" s="1"/>
      <c r="I132" s="1"/>
      <c r="J132" s="1"/>
      <c r="K132" s="1"/>
      <c r="L132" s="1"/>
      <c r="M132" s="1"/>
      <c r="N132" s="1"/>
      <c r="O132" s="1"/>
      <c r="P132" s="1"/>
      <c r="Q132" s="1"/>
    </row>
    <row r="133" spans="1:17" x14ac:dyDescent="0.35">
      <c r="A133" s="1"/>
      <c r="B133" s="1"/>
      <c r="C133" s="1"/>
      <c r="D133" s="1"/>
      <c r="E133" s="1"/>
      <c r="F133" s="1"/>
      <c r="G133" s="1"/>
      <c r="H133" s="1"/>
      <c r="I133" s="1"/>
      <c r="J133" s="1"/>
      <c r="K133" s="1"/>
      <c r="L133" s="1"/>
      <c r="M133" s="1"/>
      <c r="N133" s="1"/>
      <c r="O133" s="1"/>
      <c r="P133" s="1"/>
      <c r="Q133" s="1"/>
    </row>
    <row r="134" spans="1:17" x14ac:dyDescent="0.35">
      <c r="A134" s="1"/>
      <c r="B134" s="1"/>
      <c r="C134" s="1"/>
      <c r="D134" s="1"/>
      <c r="E134" s="1"/>
      <c r="F134" s="1"/>
      <c r="G134" s="1"/>
      <c r="H134" s="1"/>
      <c r="I134" s="1"/>
      <c r="J134" s="1"/>
      <c r="K134" s="1"/>
      <c r="L134" s="1"/>
      <c r="M134" s="1"/>
      <c r="N134" s="1"/>
      <c r="O134" s="1"/>
      <c r="P134" s="1"/>
      <c r="Q134" s="1"/>
    </row>
    <row r="135" spans="1:17" x14ac:dyDescent="0.35">
      <c r="A135" s="1"/>
      <c r="B135" s="1"/>
      <c r="C135" s="1"/>
      <c r="D135" s="1"/>
      <c r="E135" s="1"/>
      <c r="F135" s="1"/>
      <c r="G135" s="1"/>
      <c r="H135" s="1"/>
      <c r="I135" s="1"/>
      <c r="J135" s="1"/>
      <c r="K135" s="1"/>
      <c r="L135" s="1"/>
      <c r="M135" s="1"/>
      <c r="N135" s="1"/>
      <c r="O135" s="1"/>
      <c r="P135" s="1"/>
      <c r="Q135" s="1"/>
    </row>
    <row r="136" spans="1:17" x14ac:dyDescent="0.35">
      <c r="A136" s="1"/>
      <c r="B136" s="1"/>
      <c r="C136" s="1"/>
      <c r="D136" s="1"/>
      <c r="E136" s="1"/>
      <c r="F136" s="1"/>
      <c r="G136" s="1"/>
      <c r="H136" s="1"/>
      <c r="I136" s="1"/>
      <c r="J136" s="1"/>
      <c r="K136" s="1"/>
      <c r="L136" s="1"/>
      <c r="M136" s="1"/>
      <c r="N136" s="1"/>
      <c r="O136" s="1"/>
      <c r="P136" s="1"/>
      <c r="Q136" s="1"/>
    </row>
    <row r="137" spans="1:17" x14ac:dyDescent="0.35">
      <c r="A137" s="1"/>
      <c r="B137" s="1"/>
      <c r="C137" s="1"/>
      <c r="D137" s="1"/>
      <c r="E137" s="1"/>
      <c r="F137" s="1"/>
      <c r="G137" s="1"/>
      <c r="H137" s="1"/>
      <c r="I137" s="1"/>
      <c r="J137" s="1"/>
      <c r="K137" s="1"/>
      <c r="L137" s="1"/>
      <c r="M137" s="1"/>
      <c r="N137" s="1"/>
      <c r="O137" s="1"/>
      <c r="P137" s="1"/>
      <c r="Q137" s="1"/>
    </row>
    <row r="138" spans="1:17" x14ac:dyDescent="0.35">
      <c r="A138" s="1"/>
      <c r="B138" s="1"/>
      <c r="C138" s="1"/>
      <c r="D138" s="1"/>
      <c r="E138" s="1"/>
      <c r="F138" s="1"/>
      <c r="G138" s="1"/>
      <c r="H138" s="1"/>
      <c r="I138" s="1"/>
      <c r="J138" s="1"/>
      <c r="K138" s="1"/>
      <c r="L138" s="1"/>
      <c r="M138" s="1"/>
      <c r="N138" s="1"/>
      <c r="O138" s="1"/>
      <c r="P138" s="1"/>
      <c r="Q138" s="1"/>
    </row>
    <row r="139" spans="1:17" x14ac:dyDescent="0.35">
      <c r="A139" s="1"/>
      <c r="B139" s="1"/>
      <c r="C139" s="1"/>
      <c r="D139" s="1"/>
      <c r="E139" s="1"/>
      <c r="F139" s="1"/>
      <c r="G139" s="1"/>
      <c r="H139" s="1"/>
      <c r="I139" s="1"/>
      <c r="J139" s="1"/>
      <c r="K139" s="1"/>
      <c r="L139" s="1"/>
      <c r="M139" s="1"/>
      <c r="N139" s="1"/>
      <c r="O139" s="1"/>
      <c r="P139" s="1"/>
      <c r="Q139" s="1"/>
    </row>
    <row r="140" spans="1:17" x14ac:dyDescent="0.35">
      <c r="A140" s="1"/>
      <c r="B140" s="1"/>
      <c r="C140" s="1"/>
      <c r="D140" s="1"/>
      <c r="E140" s="1"/>
      <c r="F140" s="1"/>
      <c r="G140" s="1"/>
      <c r="H140" s="1"/>
      <c r="I140" s="1"/>
      <c r="J140" s="1"/>
      <c r="K140" s="1"/>
      <c r="L140" s="1"/>
      <c r="M140" s="1"/>
      <c r="N140" s="1"/>
      <c r="O140" s="1"/>
      <c r="P140" s="1"/>
      <c r="Q140" s="1"/>
    </row>
    <row r="141" spans="1:17" x14ac:dyDescent="0.35">
      <c r="A141" s="1"/>
      <c r="B141" s="1"/>
      <c r="C141" s="1"/>
      <c r="D141" s="1"/>
      <c r="E141" s="1"/>
      <c r="F141" s="1"/>
      <c r="G141" s="1"/>
      <c r="H141" s="1"/>
      <c r="I141" s="1"/>
      <c r="J141" s="1"/>
      <c r="K141" s="1"/>
      <c r="L141" s="1"/>
      <c r="M141" s="1"/>
      <c r="N141" s="1"/>
      <c r="O141" s="1"/>
      <c r="P141" s="1"/>
      <c r="Q141" s="1"/>
    </row>
    <row r="142" spans="1:17" x14ac:dyDescent="0.35">
      <c r="A142" s="1"/>
      <c r="B142" s="1"/>
      <c r="C142" s="1"/>
      <c r="D142" s="1"/>
      <c r="E142" s="1"/>
      <c r="F142" s="1"/>
      <c r="G142" s="1"/>
      <c r="H142" s="1"/>
      <c r="I142" s="1"/>
      <c r="J142" s="1"/>
      <c r="K142" s="1"/>
      <c r="L142" s="1"/>
      <c r="M142" s="1"/>
      <c r="N142" s="1"/>
      <c r="O142" s="1"/>
      <c r="P142" s="1"/>
      <c r="Q142" s="1"/>
    </row>
    <row r="143" spans="1:17" x14ac:dyDescent="0.35">
      <c r="A143" s="1"/>
      <c r="B143" s="1"/>
      <c r="C143" s="1"/>
      <c r="D143" s="1"/>
      <c r="E143" s="1"/>
      <c r="F143" s="1"/>
      <c r="G143" s="1"/>
      <c r="H143" s="1"/>
      <c r="I143" s="1"/>
      <c r="J143" s="1"/>
      <c r="K143" s="1"/>
      <c r="L143" s="1"/>
      <c r="M143" s="1"/>
      <c r="N143" s="1"/>
      <c r="O143" s="1"/>
      <c r="P143" s="1"/>
      <c r="Q143" s="1"/>
    </row>
    <row r="144" spans="1:17" x14ac:dyDescent="0.35">
      <c r="A144" s="1"/>
      <c r="B144" s="1"/>
      <c r="C144" s="1"/>
      <c r="D144" s="1"/>
      <c r="E144" s="1"/>
      <c r="F144" s="1"/>
      <c r="G144" s="1"/>
      <c r="H144" s="1"/>
      <c r="I144" s="1"/>
      <c r="J144" s="1"/>
      <c r="K144" s="1"/>
      <c r="L144" s="1"/>
      <c r="M144" s="1"/>
      <c r="N144" s="1"/>
      <c r="O144" s="1"/>
      <c r="P144" s="1"/>
      <c r="Q144" s="1"/>
    </row>
    <row r="145" spans="1:17" x14ac:dyDescent="0.35">
      <c r="A145" s="1"/>
      <c r="B145" s="1"/>
      <c r="C145" s="1"/>
      <c r="D145" s="1"/>
      <c r="E145" s="1"/>
      <c r="F145" s="1"/>
      <c r="G145" s="1"/>
      <c r="H145" s="1"/>
      <c r="I145" s="1"/>
      <c r="J145" s="1"/>
      <c r="K145" s="1"/>
      <c r="L145" s="1"/>
      <c r="M145" s="1"/>
      <c r="N145" s="1"/>
      <c r="O145" s="1"/>
      <c r="P145" s="1"/>
      <c r="Q145" s="1"/>
    </row>
    <row r="146" spans="1:17" x14ac:dyDescent="0.35">
      <c r="A146" s="1"/>
      <c r="B146" s="1"/>
      <c r="C146" s="1"/>
      <c r="D146" s="1"/>
      <c r="E146" s="1"/>
      <c r="F146" s="1"/>
      <c r="G146" s="1"/>
      <c r="H146" s="1"/>
      <c r="I146" s="1"/>
      <c r="J146" s="1"/>
      <c r="K146" s="1"/>
      <c r="L146" s="1"/>
      <c r="M146" s="1"/>
      <c r="N146" s="1"/>
      <c r="O146" s="1"/>
      <c r="P146" s="1"/>
      <c r="Q146" s="1"/>
    </row>
    <row r="147" spans="1:17" x14ac:dyDescent="0.35">
      <c r="A147" s="1"/>
      <c r="B147" s="1"/>
      <c r="C147" s="1"/>
      <c r="D147" s="1"/>
      <c r="E147" s="1"/>
      <c r="F147" s="1"/>
      <c r="G147" s="1"/>
      <c r="H147" s="1"/>
      <c r="I147" s="1"/>
      <c r="J147" s="1"/>
      <c r="K147" s="1"/>
      <c r="L147" s="1"/>
      <c r="M147" s="1"/>
      <c r="N147" s="1"/>
      <c r="O147" s="1"/>
      <c r="P147" s="1"/>
      <c r="Q147" s="1"/>
    </row>
    <row r="148" spans="1:17" x14ac:dyDescent="0.35">
      <c r="A148" s="1"/>
      <c r="B148" s="1"/>
      <c r="C148" s="1"/>
      <c r="D148" s="1"/>
      <c r="E148" s="1"/>
      <c r="F148" s="1"/>
      <c r="G148" s="1"/>
      <c r="H148" s="1"/>
      <c r="I148" s="1"/>
      <c r="J148" s="1"/>
      <c r="K148" s="1"/>
      <c r="L148" s="1"/>
      <c r="M148" s="1"/>
      <c r="N148" s="1"/>
      <c r="O148" s="1"/>
      <c r="P148" s="1"/>
      <c r="Q148" s="1"/>
    </row>
    <row r="149" spans="1:17" x14ac:dyDescent="0.35">
      <c r="A149" s="1"/>
      <c r="B149" s="1"/>
      <c r="C149" s="1"/>
      <c r="D149" s="1"/>
      <c r="E149" s="1"/>
      <c r="F149" s="1"/>
      <c r="G149" s="1"/>
      <c r="H149" s="1"/>
      <c r="I149" s="1"/>
      <c r="J149" s="1"/>
      <c r="K149" s="1"/>
      <c r="L149" s="1"/>
      <c r="M149" s="1"/>
      <c r="N149" s="1"/>
      <c r="O149" s="1"/>
      <c r="P149" s="1"/>
      <c r="Q149" s="1"/>
    </row>
    <row r="150" spans="1:17" x14ac:dyDescent="0.35">
      <c r="A150" s="1"/>
      <c r="B150" s="1"/>
      <c r="C150" s="1"/>
      <c r="D150" s="1"/>
      <c r="E150" s="1"/>
      <c r="F150" s="1"/>
      <c r="G150" s="1"/>
      <c r="H150" s="1"/>
      <c r="I150" s="1"/>
      <c r="J150" s="1"/>
      <c r="K150" s="1"/>
      <c r="L150" s="1"/>
      <c r="M150" s="1"/>
      <c r="N150" s="1"/>
      <c r="O150" s="1"/>
      <c r="P150" s="1"/>
      <c r="Q150" s="1"/>
    </row>
    <row r="151" spans="1:17" x14ac:dyDescent="0.35">
      <c r="A151" s="1"/>
      <c r="B151" s="1"/>
      <c r="C151" s="1"/>
      <c r="D151" s="1"/>
      <c r="E151" s="1"/>
      <c r="F151" s="1"/>
      <c r="G151" s="1"/>
      <c r="H151" s="1"/>
      <c r="I151" s="1"/>
      <c r="J151" s="1"/>
      <c r="K151" s="1"/>
      <c r="L151" s="1"/>
      <c r="M151" s="1"/>
      <c r="N151" s="1"/>
      <c r="O151" s="1"/>
      <c r="P151" s="1"/>
      <c r="Q151" s="1"/>
    </row>
    <row r="152" spans="1:17" x14ac:dyDescent="0.35">
      <c r="A152" s="1"/>
      <c r="B152" s="1"/>
      <c r="C152" s="1"/>
      <c r="D152" s="1"/>
      <c r="E152" s="1"/>
      <c r="F152" s="1"/>
      <c r="G152" s="1"/>
      <c r="H152" s="1"/>
      <c r="I152" s="1"/>
      <c r="J152" s="1"/>
      <c r="K152" s="1"/>
      <c r="L152" s="1"/>
      <c r="M152" s="1"/>
      <c r="N152" s="1"/>
      <c r="O152" s="1"/>
      <c r="P152" s="1"/>
      <c r="Q152" s="1"/>
    </row>
    <row r="153" spans="1:17" x14ac:dyDescent="0.35">
      <c r="A153" s="1"/>
      <c r="B153" s="1"/>
      <c r="C153" s="1"/>
      <c r="D153" s="1"/>
      <c r="E153" s="1"/>
      <c r="F153" s="1"/>
      <c r="G153" s="1"/>
      <c r="H153" s="1"/>
      <c r="I153" s="1"/>
      <c r="J153" s="1"/>
      <c r="K153" s="1"/>
      <c r="L153" s="1"/>
      <c r="M153" s="1"/>
      <c r="N153" s="1"/>
      <c r="O153" s="1"/>
      <c r="P153" s="1"/>
      <c r="Q153" s="1"/>
    </row>
    <row r="154" spans="1:17" x14ac:dyDescent="0.35">
      <c r="A154" s="1"/>
      <c r="B154" s="1"/>
      <c r="C154" s="1"/>
      <c r="D154" s="1"/>
      <c r="E154" s="1"/>
      <c r="F154" s="1"/>
      <c r="G154" s="1"/>
      <c r="H154" s="1"/>
      <c r="I154" s="1"/>
      <c r="J154" s="1"/>
      <c r="K154" s="1"/>
      <c r="L154" s="1"/>
      <c r="M154" s="1"/>
      <c r="N154" s="1"/>
      <c r="O154" s="1"/>
      <c r="P154" s="1"/>
      <c r="Q154" s="1"/>
    </row>
    <row r="155" spans="1:17" x14ac:dyDescent="0.35">
      <c r="A155" s="1"/>
      <c r="B155" s="1"/>
      <c r="C155" s="1"/>
      <c r="D155" s="1"/>
      <c r="E155" s="1"/>
      <c r="F155" s="1"/>
      <c r="G155" s="1"/>
      <c r="H155" s="1"/>
      <c r="I155" s="1"/>
      <c r="J155" s="1"/>
      <c r="K155" s="1"/>
      <c r="L155" s="1"/>
      <c r="M155" s="1"/>
      <c r="N155" s="1"/>
      <c r="O155" s="1"/>
      <c r="P155" s="1"/>
      <c r="Q155" s="1"/>
    </row>
    <row r="156" spans="1:17" x14ac:dyDescent="0.35">
      <c r="A156" s="1"/>
      <c r="B156" s="1"/>
      <c r="C156" s="1"/>
      <c r="D156" s="1"/>
      <c r="E156" s="1"/>
      <c r="F156" s="1"/>
      <c r="G156" s="1"/>
      <c r="H156" s="1"/>
      <c r="I156" s="1"/>
      <c r="J156" s="1"/>
      <c r="K156" s="1"/>
      <c r="L156" s="1"/>
      <c r="M156" s="1"/>
      <c r="N156" s="1"/>
      <c r="O156" s="1"/>
      <c r="P156" s="1"/>
      <c r="Q156" s="1"/>
    </row>
    <row r="157" spans="1:17" x14ac:dyDescent="0.35">
      <c r="A157" s="1"/>
      <c r="B157" s="1"/>
      <c r="C157" s="1"/>
      <c r="D157" s="1"/>
      <c r="E157" s="1"/>
      <c r="F157" s="1"/>
      <c r="G157" s="1"/>
      <c r="H157" s="1"/>
      <c r="I157" s="1"/>
      <c r="J157" s="1"/>
      <c r="K157" s="1"/>
      <c r="L157" s="1"/>
      <c r="M157" s="1"/>
      <c r="N157" s="1"/>
      <c r="O157" s="1"/>
      <c r="P157" s="1"/>
      <c r="Q157" s="1"/>
    </row>
    <row r="158" spans="1:17" x14ac:dyDescent="0.35">
      <c r="A158" s="1"/>
      <c r="B158" s="1"/>
      <c r="C158" s="1"/>
      <c r="D158" s="1"/>
      <c r="E158" s="1"/>
      <c r="F158" s="1"/>
      <c r="G158" s="1"/>
      <c r="H158" s="1"/>
      <c r="I158" s="1"/>
      <c r="J158" s="1"/>
      <c r="K158" s="1"/>
      <c r="L158" s="1"/>
      <c r="M158" s="1"/>
      <c r="N158" s="1"/>
      <c r="O158" s="1"/>
      <c r="P158" s="1"/>
      <c r="Q158" s="1"/>
    </row>
    <row r="159" spans="1:17" x14ac:dyDescent="0.35">
      <c r="A159" s="1"/>
      <c r="B159" s="1"/>
      <c r="C159" s="1"/>
      <c r="D159" s="1"/>
      <c r="E159" s="1"/>
      <c r="F159" s="1"/>
      <c r="G159" s="1"/>
      <c r="H159" s="1"/>
      <c r="I159" s="1"/>
      <c r="J159" s="1"/>
      <c r="K159" s="1"/>
      <c r="L159" s="1"/>
      <c r="M159" s="1"/>
      <c r="N159" s="1"/>
      <c r="O159" s="1"/>
      <c r="P159" s="1"/>
      <c r="Q159" s="1"/>
    </row>
    <row r="160" spans="1:17" x14ac:dyDescent="0.35">
      <c r="A160" s="1"/>
      <c r="B160" s="1"/>
      <c r="C160" s="1"/>
      <c r="D160" s="1"/>
      <c r="E160" s="1"/>
      <c r="F160" s="1"/>
      <c r="G160" s="1"/>
      <c r="H160" s="1"/>
      <c r="I160" s="1"/>
      <c r="J160" s="1"/>
      <c r="K160" s="1"/>
      <c r="L160" s="1"/>
      <c r="M160" s="1"/>
      <c r="N160" s="1"/>
      <c r="O160" s="1"/>
      <c r="P160" s="1"/>
      <c r="Q160" s="1"/>
    </row>
    <row r="161" spans="1:17" x14ac:dyDescent="0.35">
      <c r="A161" s="1"/>
      <c r="B161" s="1"/>
      <c r="C161" s="1"/>
      <c r="D161" s="1"/>
      <c r="E161" s="1"/>
      <c r="F161" s="1"/>
      <c r="G161" s="1"/>
      <c r="H161" s="1"/>
      <c r="I161" s="1"/>
      <c r="J161" s="1"/>
      <c r="K161" s="1"/>
      <c r="L161" s="1"/>
      <c r="M161" s="1"/>
      <c r="N161" s="1"/>
      <c r="O161" s="1"/>
      <c r="P161" s="1"/>
      <c r="Q161" s="1"/>
    </row>
    <row r="162" spans="1:17" x14ac:dyDescent="0.35">
      <c r="A162" s="1"/>
      <c r="B162" s="1"/>
      <c r="C162" s="1"/>
      <c r="D162" s="1"/>
      <c r="E162" s="1"/>
      <c r="F162" s="1"/>
      <c r="G162" s="1"/>
      <c r="H162" s="1"/>
      <c r="I162" s="1"/>
      <c r="J162" s="1"/>
      <c r="K162" s="1"/>
      <c r="L162" s="1"/>
      <c r="M162" s="1"/>
      <c r="N162" s="1"/>
      <c r="O162" s="1"/>
      <c r="P162" s="1"/>
      <c r="Q162" s="1"/>
    </row>
    <row r="163" spans="1:17" x14ac:dyDescent="0.35">
      <c r="A163" s="1"/>
      <c r="B163" s="1"/>
      <c r="C163" s="1"/>
      <c r="D163" s="1"/>
      <c r="E163" s="1"/>
      <c r="F163" s="1"/>
      <c r="G163" s="1"/>
      <c r="H163" s="1"/>
      <c r="I163" s="1"/>
      <c r="J163" s="1"/>
      <c r="K163" s="1"/>
      <c r="L163" s="1"/>
      <c r="M163" s="1"/>
      <c r="N163" s="1"/>
      <c r="O163" s="1"/>
      <c r="P163" s="1"/>
      <c r="Q163" s="1"/>
    </row>
    <row r="164" spans="1:17" x14ac:dyDescent="0.35">
      <c r="A164" s="1"/>
      <c r="B164" s="1"/>
      <c r="C164" s="1"/>
      <c r="D164" s="1"/>
      <c r="E164" s="1"/>
      <c r="F164" s="1"/>
      <c r="G164" s="1"/>
      <c r="H164" s="1"/>
      <c r="I164" s="1"/>
      <c r="J164" s="1"/>
      <c r="K164" s="1"/>
      <c r="L164" s="1"/>
      <c r="M164" s="1"/>
      <c r="N164" s="1"/>
      <c r="O164" s="1"/>
      <c r="P164" s="1"/>
      <c r="Q164" s="1"/>
    </row>
    <row r="165" spans="1:17" x14ac:dyDescent="0.35">
      <c r="A165" s="1"/>
      <c r="B165" s="1"/>
      <c r="C165" s="1"/>
      <c r="D165" s="1"/>
      <c r="E165" s="1"/>
      <c r="F165" s="1"/>
      <c r="G165" s="1"/>
      <c r="H165" s="1"/>
      <c r="I165" s="1"/>
      <c r="J165" s="1"/>
      <c r="K165" s="1"/>
      <c r="L165" s="1"/>
      <c r="M165" s="1"/>
      <c r="N165" s="1"/>
      <c r="O165" s="1"/>
      <c r="P165" s="1"/>
      <c r="Q165" s="1"/>
    </row>
    <row r="166" spans="1:17" x14ac:dyDescent="0.35">
      <c r="A166" s="1"/>
      <c r="B166" s="1"/>
      <c r="C166" s="1"/>
      <c r="D166" s="1"/>
      <c r="E166" s="1"/>
      <c r="F166" s="1"/>
      <c r="G166" s="1"/>
      <c r="H166" s="1"/>
      <c r="I166" s="1"/>
      <c r="J166" s="1"/>
      <c r="K166" s="1"/>
      <c r="L166" s="1"/>
      <c r="M166" s="1"/>
      <c r="N166" s="1"/>
      <c r="O166" s="1"/>
      <c r="P166" s="1"/>
      <c r="Q166" s="1"/>
    </row>
    <row r="167" spans="1:17" x14ac:dyDescent="0.35">
      <c r="A167" s="1"/>
      <c r="B167" s="1"/>
      <c r="C167" s="1"/>
      <c r="D167" s="1"/>
      <c r="E167" s="1"/>
      <c r="F167" s="1"/>
      <c r="G167" s="1"/>
      <c r="H167" s="1"/>
      <c r="I167" s="1"/>
      <c r="J167" s="1"/>
      <c r="K167" s="1"/>
      <c r="L167" s="1"/>
      <c r="M167" s="1"/>
      <c r="N167" s="1"/>
      <c r="O167" s="1"/>
      <c r="P167" s="1"/>
      <c r="Q167" s="1"/>
    </row>
    <row r="168" spans="1:17" x14ac:dyDescent="0.35">
      <c r="A168" s="1"/>
      <c r="B168" s="1"/>
      <c r="C168" s="1"/>
      <c r="D168" s="1"/>
      <c r="E168" s="1"/>
      <c r="F168" s="1"/>
      <c r="G168" s="1"/>
      <c r="H168" s="1"/>
      <c r="I168" s="1"/>
      <c r="J168" s="1"/>
      <c r="K168" s="1"/>
      <c r="L168" s="1"/>
      <c r="M168" s="1"/>
      <c r="N168" s="1"/>
      <c r="O168" s="1"/>
      <c r="P168" s="1"/>
      <c r="Q168" s="1"/>
    </row>
    <row r="169" spans="1:17" x14ac:dyDescent="0.35">
      <c r="A169" s="1"/>
      <c r="B169" s="1"/>
      <c r="C169" s="1"/>
      <c r="D169" s="1"/>
      <c r="E169" s="1"/>
      <c r="F169" s="1"/>
      <c r="G169" s="1"/>
      <c r="H169" s="1"/>
      <c r="I169" s="1"/>
      <c r="J169" s="1"/>
      <c r="K169" s="1"/>
      <c r="L169" s="1"/>
      <c r="M169" s="1"/>
      <c r="N169" s="1"/>
      <c r="O169" s="1"/>
      <c r="P169" s="1"/>
      <c r="Q169" s="1"/>
    </row>
    <row r="170" spans="1:17" x14ac:dyDescent="0.35">
      <c r="A170" s="1"/>
      <c r="B170" s="1"/>
      <c r="C170" s="1"/>
      <c r="D170" s="1"/>
      <c r="E170" s="1"/>
      <c r="F170" s="1"/>
      <c r="G170" s="1"/>
      <c r="H170" s="1"/>
      <c r="I170" s="1"/>
      <c r="J170" s="1"/>
      <c r="K170" s="1"/>
      <c r="L170" s="1"/>
      <c r="M170" s="1"/>
      <c r="N170" s="1"/>
      <c r="O170" s="1"/>
      <c r="P170" s="1"/>
      <c r="Q170" s="1"/>
    </row>
    <row r="171" spans="1:17" x14ac:dyDescent="0.35">
      <c r="A171" s="1"/>
      <c r="B171" s="1"/>
      <c r="C171" s="1"/>
      <c r="D171" s="1"/>
      <c r="E171" s="1"/>
      <c r="F171" s="1"/>
      <c r="G171" s="1"/>
      <c r="H171" s="1"/>
      <c r="I171" s="1"/>
      <c r="J171" s="1"/>
      <c r="K171" s="1"/>
      <c r="L171" s="1"/>
      <c r="M171" s="1"/>
      <c r="N171" s="1"/>
      <c r="O171" s="1"/>
      <c r="P171" s="1"/>
      <c r="Q171" s="1"/>
    </row>
    <row r="172" spans="1:17" x14ac:dyDescent="0.35">
      <c r="A172" s="1"/>
      <c r="B172" s="1"/>
      <c r="C172" s="1"/>
      <c r="D172" s="1"/>
      <c r="E172" s="1"/>
      <c r="F172" s="1"/>
      <c r="G172" s="1"/>
      <c r="H172" s="1"/>
      <c r="I172" s="1"/>
      <c r="J172" s="1"/>
      <c r="K172" s="1"/>
      <c r="L172" s="1"/>
      <c r="M172" s="1"/>
      <c r="N172" s="1"/>
      <c r="O172" s="1"/>
      <c r="P172" s="1"/>
      <c r="Q172" s="1"/>
    </row>
    <row r="173" spans="1:17" x14ac:dyDescent="0.35">
      <c r="A173" s="1"/>
      <c r="B173" s="1"/>
      <c r="C173" s="1"/>
      <c r="D173" s="1"/>
      <c r="E173" s="1"/>
      <c r="F173" s="1"/>
      <c r="G173" s="1"/>
      <c r="H173" s="1"/>
      <c r="I173" s="1"/>
      <c r="J173" s="1"/>
      <c r="K173" s="1"/>
      <c r="L173" s="1"/>
      <c r="M173" s="1"/>
      <c r="N173" s="1"/>
      <c r="O173" s="1"/>
      <c r="P173" s="1"/>
      <c r="Q173" s="1"/>
    </row>
    <row r="174" spans="1:17" x14ac:dyDescent="0.35">
      <c r="A174" s="1"/>
      <c r="B174" s="1"/>
      <c r="C174" s="1"/>
      <c r="D174" s="1"/>
      <c r="E174" s="1"/>
      <c r="F174" s="1"/>
      <c r="G174" s="1"/>
      <c r="H174" s="1"/>
      <c r="I174" s="1"/>
      <c r="J174" s="1"/>
      <c r="K174" s="1"/>
      <c r="L174" s="1"/>
      <c r="M174" s="1"/>
      <c r="N174" s="1"/>
      <c r="O174" s="1"/>
      <c r="P174" s="1"/>
      <c r="Q174" s="1"/>
    </row>
    <row r="175" spans="1:17" x14ac:dyDescent="0.35">
      <c r="A175" s="1"/>
      <c r="B175" s="1"/>
      <c r="C175" s="1"/>
      <c r="D175" s="1"/>
      <c r="E175" s="1"/>
      <c r="F175" s="1"/>
      <c r="G175" s="1"/>
      <c r="H175" s="1"/>
      <c r="I175" s="1"/>
      <c r="J175" s="1"/>
      <c r="K175" s="1"/>
      <c r="L175" s="1"/>
      <c r="M175" s="1"/>
      <c r="N175" s="1"/>
      <c r="O175" s="1"/>
      <c r="P175" s="1"/>
      <c r="Q175" s="1"/>
    </row>
    <row r="176" spans="1:17" x14ac:dyDescent="0.35">
      <c r="A176" s="1"/>
      <c r="B176" s="1"/>
      <c r="C176" s="1"/>
      <c r="D176" s="1"/>
      <c r="E176" s="1"/>
      <c r="F176" s="1"/>
      <c r="G176" s="1"/>
      <c r="H176" s="1"/>
      <c r="I176" s="1"/>
      <c r="J176" s="1"/>
      <c r="K176" s="1"/>
      <c r="L176" s="1"/>
      <c r="M176" s="1"/>
      <c r="N176" s="1"/>
      <c r="O176" s="1"/>
      <c r="P176" s="1"/>
      <c r="Q176" s="1"/>
    </row>
    <row r="177" spans="1:17" x14ac:dyDescent="0.35">
      <c r="A177" s="1"/>
      <c r="B177" s="1"/>
      <c r="C177" s="1"/>
      <c r="D177" s="1"/>
      <c r="E177" s="1"/>
      <c r="F177" s="1"/>
      <c r="G177" s="1"/>
      <c r="H177" s="1"/>
      <c r="I177" s="1"/>
      <c r="J177" s="1"/>
      <c r="K177" s="1"/>
      <c r="L177" s="1"/>
      <c r="M177" s="1"/>
      <c r="N177" s="1"/>
      <c r="O177" s="1"/>
      <c r="P177" s="1"/>
      <c r="Q177" s="1"/>
    </row>
    <row r="178" spans="1:17" x14ac:dyDescent="0.35">
      <c r="A178" s="1"/>
      <c r="B178" s="1"/>
      <c r="C178" s="1"/>
      <c r="D178" s="1"/>
      <c r="E178" s="1"/>
      <c r="F178" s="1"/>
      <c r="G178" s="1"/>
      <c r="H178" s="1"/>
      <c r="I178" s="1"/>
      <c r="J178" s="1"/>
      <c r="K178" s="1"/>
      <c r="L178" s="1"/>
      <c r="M178" s="1"/>
      <c r="N178" s="1"/>
      <c r="O178" s="1"/>
      <c r="P178" s="1"/>
      <c r="Q178" s="1"/>
    </row>
    <row r="179" spans="1:17" x14ac:dyDescent="0.35">
      <c r="A179" s="1"/>
      <c r="B179" s="1"/>
      <c r="C179" s="1"/>
      <c r="D179" s="1"/>
      <c r="E179" s="1"/>
      <c r="F179" s="1"/>
      <c r="G179" s="1"/>
      <c r="H179" s="1"/>
      <c r="I179" s="1"/>
      <c r="J179" s="1"/>
      <c r="K179" s="1"/>
      <c r="L179" s="1"/>
      <c r="M179" s="1"/>
      <c r="N179" s="1"/>
      <c r="O179" s="1"/>
      <c r="P179" s="1"/>
      <c r="Q179" s="1"/>
    </row>
    <row r="180" spans="1:17" x14ac:dyDescent="0.35">
      <c r="A180" s="1"/>
      <c r="B180" s="1"/>
      <c r="C180" s="1"/>
      <c r="D180" s="1"/>
      <c r="E180" s="1"/>
      <c r="F180" s="1"/>
      <c r="G180" s="1"/>
      <c r="H180" s="1"/>
      <c r="I180" s="1"/>
      <c r="J180" s="1"/>
      <c r="K180" s="1"/>
      <c r="L180" s="1"/>
      <c r="M180" s="1"/>
      <c r="N180" s="1"/>
      <c r="O180" s="1"/>
      <c r="P180" s="1"/>
      <c r="Q180" s="1"/>
    </row>
    <row r="181" spans="1:17" x14ac:dyDescent="0.35">
      <c r="A181" s="1"/>
      <c r="B181" s="1"/>
      <c r="C181" s="1"/>
      <c r="D181" s="1"/>
      <c r="E181" s="1"/>
      <c r="F181" s="1"/>
      <c r="G181" s="1"/>
      <c r="H181" s="1"/>
      <c r="I181" s="1"/>
      <c r="J181" s="1"/>
      <c r="K181" s="1"/>
      <c r="L181" s="1"/>
      <c r="M181" s="1"/>
      <c r="N181" s="1"/>
      <c r="O181" s="1"/>
      <c r="P181" s="1"/>
      <c r="Q181" s="1"/>
    </row>
    <row r="182" spans="1:17" x14ac:dyDescent="0.35">
      <c r="A182" s="1"/>
      <c r="B182" s="1"/>
      <c r="C182" s="1"/>
      <c r="D182" s="1"/>
      <c r="E182" s="1"/>
      <c r="F182" s="1"/>
      <c r="G182" s="1"/>
      <c r="H182" s="1"/>
      <c r="I182" s="1"/>
      <c r="J182" s="1"/>
      <c r="K182" s="1"/>
      <c r="L182" s="1"/>
      <c r="M182" s="1"/>
      <c r="N182" s="1"/>
      <c r="O182" s="1"/>
      <c r="P182" s="1"/>
      <c r="Q182" s="1"/>
    </row>
    <row r="183" spans="1:17" x14ac:dyDescent="0.35">
      <c r="A183" s="1"/>
      <c r="B183" s="1"/>
      <c r="C183" s="1"/>
      <c r="D183" s="1"/>
      <c r="E183" s="1"/>
      <c r="F183" s="1"/>
      <c r="G183" s="1"/>
      <c r="H183" s="1"/>
      <c r="I183" s="1"/>
      <c r="J183" s="1"/>
      <c r="K183" s="1"/>
      <c r="L183" s="1"/>
      <c r="M183" s="1"/>
      <c r="N183" s="1"/>
      <c r="O183" s="1"/>
      <c r="P183" s="1"/>
      <c r="Q183" s="1"/>
    </row>
    <row r="184" spans="1:17" x14ac:dyDescent="0.35">
      <c r="A184" s="1"/>
      <c r="B184" s="1"/>
      <c r="C184" s="1"/>
      <c r="D184" s="1"/>
      <c r="E184" s="1"/>
      <c r="F184" s="1"/>
      <c r="G184" s="1"/>
      <c r="H184" s="1"/>
      <c r="I184" s="1"/>
      <c r="J184" s="1"/>
      <c r="K184" s="1"/>
      <c r="L184" s="1"/>
      <c r="M184" s="1"/>
      <c r="N184" s="1"/>
      <c r="O184" s="1"/>
      <c r="P184" s="1"/>
      <c r="Q184" s="1"/>
    </row>
    <row r="185" spans="1:17" x14ac:dyDescent="0.35">
      <c r="A185" s="1"/>
      <c r="B185" s="1"/>
      <c r="C185" s="1"/>
      <c r="D185" s="1"/>
      <c r="E185" s="1"/>
      <c r="F185" s="1"/>
      <c r="G185" s="1"/>
      <c r="H185" s="1"/>
      <c r="I185" s="1"/>
      <c r="J185" s="1"/>
      <c r="K185" s="1"/>
      <c r="L185" s="1"/>
      <c r="M185" s="1"/>
      <c r="N185" s="1"/>
      <c r="O185" s="1"/>
      <c r="P185" s="1"/>
      <c r="Q185" s="1"/>
    </row>
    <row r="186" spans="1:17" x14ac:dyDescent="0.35">
      <c r="A186" s="1"/>
      <c r="B186" s="1"/>
      <c r="C186" s="1"/>
      <c r="D186" s="1"/>
      <c r="E186" s="1"/>
      <c r="F186" s="1"/>
      <c r="G186" s="1"/>
      <c r="H186" s="1"/>
      <c r="I186" s="1"/>
      <c r="J186" s="1"/>
      <c r="K186" s="1"/>
      <c r="L186" s="1"/>
      <c r="M186" s="1"/>
      <c r="N186" s="1"/>
      <c r="O186" s="1"/>
      <c r="P186" s="1"/>
      <c r="Q186" s="1"/>
    </row>
    <row r="187" spans="1:17" x14ac:dyDescent="0.35">
      <c r="A187" s="1"/>
      <c r="B187" s="1"/>
      <c r="C187" s="1"/>
      <c r="D187" s="1"/>
      <c r="E187" s="1"/>
      <c r="F187" s="1"/>
      <c r="G187" s="1"/>
      <c r="H187" s="1"/>
      <c r="I187" s="1"/>
      <c r="J187" s="1"/>
      <c r="K187" s="1"/>
      <c r="L187" s="1"/>
      <c r="M187" s="1"/>
      <c r="N187" s="1"/>
      <c r="O187" s="1"/>
      <c r="P187" s="1"/>
      <c r="Q187" s="1"/>
    </row>
    <row r="188" spans="1:17" x14ac:dyDescent="0.35">
      <c r="A188" s="1"/>
      <c r="B188" s="1"/>
      <c r="C188" s="1"/>
      <c r="D188" s="1"/>
      <c r="E188" s="1"/>
      <c r="F188" s="1"/>
      <c r="G188" s="1"/>
      <c r="H188" s="1"/>
      <c r="I188" s="1"/>
      <c r="J188" s="1"/>
      <c r="K188" s="1"/>
      <c r="L188" s="1"/>
      <c r="M188" s="1"/>
      <c r="N188" s="1"/>
      <c r="O188" s="1"/>
      <c r="P188" s="1"/>
      <c r="Q188" s="1"/>
    </row>
    <row r="189" spans="1:17" x14ac:dyDescent="0.35">
      <c r="A189" s="1"/>
      <c r="B189" s="1"/>
      <c r="C189" s="1"/>
      <c r="D189" s="1"/>
      <c r="E189" s="1"/>
      <c r="F189" s="1"/>
      <c r="G189" s="1"/>
      <c r="H189" s="1"/>
      <c r="I189" s="1"/>
      <c r="J189" s="1"/>
      <c r="K189" s="1"/>
      <c r="L189" s="1"/>
      <c r="M189" s="1"/>
      <c r="N189" s="1"/>
      <c r="O189" s="1"/>
      <c r="P189" s="1"/>
      <c r="Q189" s="1"/>
    </row>
    <row r="190" spans="1:17" x14ac:dyDescent="0.35">
      <c r="A190" s="1"/>
      <c r="B190" s="1"/>
      <c r="C190" s="1"/>
      <c r="D190" s="1"/>
      <c r="E190" s="1"/>
      <c r="F190" s="1"/>
      <c r="G190" s="1"/>
      <c r="H190" s="1"/>
      <c r="I190" s="1"/>
      <c r="J190" s="1"/>
      <c r="K190" s="1"/>
      <c r="L190" s="1"/>
      <c r="M190" s="1"/>
      <c r="N190" s="1"/>
      <c r="O190" s="1"/>
      <c r="P190" s="1"/>
      <c r="Q190" s="1"/>
    </row>
    <row r="191" spans="1:17" x14ac:dyDescent="0.35">
      <c r="A191" s="1"/>
      <c r="B191" s="1"/>
      <c r="C191" s="1"/>
      <c r="D191" s="1"/>
      <c r="E191" s="1"/>
      <c r="F191" s="1"/>
      <c r="G191" s="1"/>
      <c r="H191" s="1"/>
      <c r="I191" s="1"/>
      <c r="J191" s="1"/>
      <c r="K191" s="1"/>
      <c r="L191" s="1"/>
      <c r="M191" s="1"/>
      <c r="N191" s="1"/>
      <c r="O191" s="1"/>
      <c r="P191" s="1"/>
      <c r="Q191" s="1"/>
    </row>
    <row r="192" spans="1:17" x14ac:dyDescent="0.35">
      <c r="A192" s="1"/>
      <c r="B192" s="1"/>
      <c r="C192" s="1"/>
      <c r="D192" s="1"/>
      <c r="E192" s="1"/>
      <c r="F192" s="1"/>
      <c r="G192" s="1"/>
      <c r="H192" s="1"/>
      <c r="I192" s="1"/>
      <c r="J192" s="1"/>
      <c r="K192" s="1"/>
      <c r="L192" s="1"/>
      <c r="M192" s="1"/>
      <c r="N192" s="1"/>
      <c r="O192" s="1"/>
      <c r="P192" s="1"/>
      <c r="Q192" s="1"/>
    </row>
    <row r="193" spans="1:17" x14ac:dyDescent="0.35">
      <c r="A193" s="1"/>
      <c r="B193" s="1"/>
      <c r="C193" s="1"/>
      <c r="D193" s="1"/>
      <c r="E193" s="1"/>
      <c r="F193" s="1"/>
      <c r="G193" s="1"/>
      <c r="H193" s="1"/>
      <c r="I193" s="1"/>
      <c r="J193" s="1"/>
      <c r="K193" s="1"/>
      <c r="L193" s="1"/>
      <c r="M193" s="1"/>
      <c r="N193" s="1"/>
      <c r="O193" s="1"/>
      <c r="P193" s="1"/>
      <c r="Q193" s="1"/>
    </row>
    <row r="194" spans="1:17" x14ac:dyDescent="0.35">
      <c r="A194" s="1"/>
      <c r="B194" s="1"/>
      <c r="C194" s="1"/>
      <c r="D194" s="1"/>
      <c r="E194" s="1"/>
      <c r="F194" s="1"/>
      <c r="G194" s="1"/>
      <c r="H194" s="1"/>
      <c r="I194" s="1"/>
      <c r="J194" s="1"/>
      <c r="K194" s="1"/>
      <c r="L194" s="1"/>
      <c r="M194" s="1"/>
      <c r="N194" s="1"/>
      <c r="O194" s="1"/>
      <c r="P194" s="1"/>
      <c r="Q194" s="1"/>
    </row>
    <row r="195" spans="1:17" x14ac:dyDescent="0.35">
      <c r="A195" s="1"/>
      <c r="B195" s="1"/>
      <c r="C195" s="1"/>
      <c r="D195" s="1"/>
      <c r="E195" s="1"/>
      <c r="F195" s="1"/>
      <c r="G195" s="1"/>
      <c r="H195" s="1"/>
      <c r="I195" s="1"/>
      <c r="J195" s="1"/>
      <c r="K195" s="1"/>
      <c r="L195" s="1"/>
      <c r="M195" s="1"/>
      <c r="N195" s="1"/>
      <c r="O195" s="1"/>
      <c r="P195" s="1"/>
      <c r="Q195" s="1"/>
    </row>
    <row r="196" spans="1:17" x14ac:dyDescent="0.35">
      <c r="A196" s="1"/>
      <c r="B196" s="1"/>
      <c r="C196" s="1"/>
      <c r="D196" s="1"/>
      <c r="E196" s="1"/>
      <c r="F196" s="1"/>
      <c r="G196" s="1"/>
      <c r="H196" s="1"/>
      <c r="I196" s="1"/>
      <c r="J196" s="1"/>
      <c r="K196" s="1"/>
      <c r="L196" s="1"/>
      <c r="M196" s="1"/>
      <c r="N196" s="1"/>
      <c r="O196" s="1"/>
      <c r="P196" s="1"/>
      <c r="Q196" s="1"/>
    </row>
    <row r="197" spans="1:17" x14ac:dyDescent="0.35">
      <c r="A197" s="1"/>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1:17" x14ac:dyDescent="0.35">
      <c r="A198" s="1"/>
      <c r="B198" s="37"/>
      <c r="C198" s="38"/>
      <c r="D198" s="31"/>
      <c r="E198" s="32"/>
      <c r="F198" s="34"/>
      <c r="G198" s="33"/>
      <c r="H198" s="34"/>
      <c r="I198" s="33"/>
      <c r="J198" s="34"/>
      <c r="K198" s="34"/>
      <c r="L198" s="34"/>
      <c r="M198" s="33"/>
      <c r="N198" s="34"/>
      <c r="O198" s="35"/>
      <c r="P198" s="36"/>
      <c r="Q198" s="35"/>
    </row>
    <row r="199" spans="1:17" x14ac:dyDescent="0.35">
      <c r="A199" s="1"/>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1:17" x14ac:dyDescent="0.35">
      <c r="A200" s="1"/>
      <c r="B200" s="1"/>
      <c r="C200" s="1"/>
      <c r="D200" s="1"/>
      <c r="E200" s="1"/>
      <c r="F200" s="1"/>
      <c r="G200" s="1"/>
      <c r="H200" s="1"/>
      <c r="I200" s="1"/>
      <c r="J200" s="1"/>
      <c r="K200" s="1"/>
      <c r="L200" s="1"/>
      <c r="M200" s="1"/>
      <c r="N200" s="1"/>
      <c r="O200" s="1"/>
      <c r="P200" s="1"/>
      <c r="Q200" s="78" t="s">
        <v>21404</v>
      </c>
    </row>
    <row r="201" spans="1:17" x14ac:dyDescent="0.35">
      <c r="A201" s="1"/>
      <c r="B201" s="1"/>
      <c r="C201" s="78" t="s">
        <v>21592</v>
      </c>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77" t="s">
        <v>21399</v>
      </c>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t="s">
        <v>21398</v>
      </c>
      <c r="D205" s="1" t="s">
        <v>75</v>
      </c>
      <c r="E205" s="1" t="s">
        <v>13768</v>
      </c>
      <c r="F205" s="2" t="s">
        <v>21397</v>
      </c>
      <c r="G205" s="1" t="s">
        <v>9</v>
      </c>
      <c r="H205" s="1"/>
      <c r="I205" s="1"/>
      <c r="J205" s="1"/>
      <c r="K205" s="1"/>
      <c r="L205" s="1"/>
      <c r="M205" s="1"/>
      <c r="N205" s="1"/>
      <c r="O205" s="1"/>
      <c r="P205" s="1"/>
      <c r="Q205" s="1"/>
    </row>
    <row r="206" spans="1:17" x14ac:dyDescent="0.35">
      <c r="B206" s="49" t="s">
        <v>14961</v>
      </c>
      <c r="C206" s="352" t="s">
        <v>14962</v>
      </c>
    </row>
    <row r="207" spans="1:17" x14ac:dyDescent="0.35">
      <c r="B207" s="49" t="s">
        <v>14963</v>
      </c>
      <c r="C207" s="53" t="s">
        <v>14964</v>
      </c>
    </row>
    <row r="208" spans="1:17" x14ac:dyDescent="0.35">
      <c r="B208" s="49" t="s">
        <v>14965</v>
      </c>
      <c r="C208" s="53" t="s">
        <v>14966</v>
      </c>
    </row>
    <row r="209" spans="3:8" ht="87" x14ac:dyDescent="0.35">
      <c r="C209" s="388" t="s">
        <v>22276</v>
      </c>
      <c r="D209" s="388" t="s">
        <v>18</v>
      </c>
      <c r="E209" s="388">
        <v>12830.01</v>
      </c>
      <c r="F209" s="388" t="s">
        <v>22277</v>
      </c>
      <c r="G209" s="388" t="s">
        <v>21670</v>
      </c>
      <c r="H209" s="388" t="s">
        <v>22278</v>
      </c>
    </row>
    <row r="210" spans="3:8" ht="87" x14ac:dyDescent="0.35">
      <c r="C210" s="388" t="s">
        <v>22279</v>
      </c>
      <c r="D210" s="388" t="s">
        <v>20</v>
      </c>
      <c r="E210" s="388">
        <v>12830.01</v>
      </c>
      <c r="F210" s="388" t="s">
        <v>22280</v>
      </c>
      <c r="G210" s="388" t="s">
        <v>21704</v>
      </c>
      <c r="H210" s="388" t="s">
        <v>22281</v>
      </c>
    </row>
    <row r="211" spans="3:8" ht="58" x14ac:dyDescent="0.35">
      <c r="C211" s="388" t="s">
        <v>22282</v>
      </c>
      <c r="D211" s="388" t="s">
        <v>18</v>
      </c>
      <c r="E211" s="388">
        <v>12830.02</v>
      </c>
      <c r="F211" s="388" t="s">
        <v>22277</v>
      </c>
      <c r="G211" s="388" t="s">
        <v>22262</v>
      </c>
      <c r="H211" s="388" t="s">
        <v>22283</v>
      </c>
    </row>
    <row r="212" spans="3:8" ht="87" x14ac:dyDescent="0.35">
      <c r="C212" s="388" t="s">
        <v>22284</v>
      </c>
      <c r="D212" s="388" t="s">
        <v>20</v>
      </c>
      <c r="E212" s="388">
        <v>12830.02</v>
      </c>
      <c r="F212" s="388" t="s">
        <v>22280</v>
      </c>
      <c r="G212" s="388" t="s">
        <v>21704</v>
      </c>
      <c r="H212" s="388" t="s">
        <v>22285</v>
      </c>
    </row>
  </sheetData>
  <mergeCells count="9">
    <mergeCell ref="J5:K5"/>
    <mergeCell ref="J6:K6"/>
    <mergeCell ref="J7:K7"/>
    <mergeCell ref="A3:B3"/>
    <mergeCell ref="D3:G3"/>
    <mergeCell ref="J3:K3"/>
    <mergeCell ref="P3:Q3"/>
    <mergeCell ref="A4:B4"/>
    <mergeCell ref="J4:K4"/>
  </mergeCells>
  <dataValidations count="1">
    <dataValidation type="list" allowBlank="1" showInputMessage="1" showErrorMessage="1" sqref="C16:C190" xr:uid="{90FA4A1F-F504-4EEA-91A3-1B03C4805A07}">
      <formula1>$C$205:$C207</formula1>
    </dataValidation>
  </dataValidations>
  <hyperlinks>
    <hyperlink ref="D3" r:id="rId1" display="datamateapp@gmail.com" xr:uid="{4F5BD045-A8CE-445A-959D-757074F04AE4}"/>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72097" r:id="rId4" name="Button 1">
              <controlPr defaultSize="0" print="0" autoFill="0" autoPict="0" macro="SaveData">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772098" r:id="rId5" name="Button 2">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772099"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772100"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772101" r:id="rId8" name="Button 5">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772102" r:id="rId9" name="Button 6">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772103" r:id="rId10" name="Button 7">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772104" r:id="rId11" name="Button 8">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mc:AlternateContent xmlns:mc="http://schemas.openxmlformats.org/markup-compatibility/2006">
          <mc:Choice Requires="x14">
            <control shapeId="772106" r:id="rId12" name="Button 10">
              <controlPr defaultSize="0" print="0" autoFill="0" autoPict="0" macro="[0]!ExitSEC_129000">
                <anchor moveWithCells="1" sizeWithCells="1">
                  <from>
                    <xdr:col>16</xdr:col>
                    <xdr:colOff>0</xdr:colOff>
                    <xdr:row>0</xdr:row>
                    <xdr:rowOff>0</xdr:rowOff>
                  </from>
                  <to>
                    <xdr:col>16</xdr:col>
                    <xdr:colOff>1270000</xdr:colOff>
                    <xdr:row>2</xdr:row>
                    <xdr:rowOff>12700</xdr:rowOff>
                  </to>
                </anchor>
              </controlPr>
            </control>
          </mc:Choice>
        </mc:AlternateContent>
      </controls>
    </mc:Choice>
  </mc:AlternateContent>
</worksheet>
</file>

<file path=xl/worksheets/sheet1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392099-EF91-4604-A5D9-48CF4A4F9F18}">
  <sheetPr codeName="Sheet169"/>
  <dimension ref="A1:Q205"/>
  <sheetViews>
    <sheetView zoomScale="75" zoomScaleNormal="75" workbookViewId="0">
      <selection activeCell="C50" sqref="C50"/>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f>C10</f>
        <v>0</v>
      </c>
      <c r="J2" s="59"/>
      <c r="K2" s="59"/>
      <c r="L2" s="1"/>
      <c r="M2" s="59"/>
      <c r="N2" s="59"/>
      <c r="O2" s="60"/>
      <c r="P2" s="57"/>
      <c r="Q2" s="57"/>
    </row>
    <row r="3" spans="1:17" ht="15" thickBot="1" x14ac:dyDescent="0.4">
      <c r="A3" s="446" t="s">
        <v>21563</v>
      </c>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40"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f>B206</f>
        <v>0</v>
      </c>
      <c r="C10" s="24">
        <f>C206</f>
        <v>0</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f>C10</f>
        <v>0</v>
      </c>
      <c r="D12" s="31"/>
      <c r="E12" s="32"/>
      <c r="F12" s="34"/>
      <c r="G12" s="33"/>
      <c r="H12" s="34"/>
      <c r="I12" s="33"/>
      <c r="J12" s="34"/>
      <c r="K12" s="34"/>
      <c r="L12" s="34"/>
      <c r="M12" s="33"/>
      <c r="N12" s="34"/>
      <c r="O12" s="35"/>
      <c r="P12" s="31"/>
      <c r="Q12" s="35"/>
    </row>
    <row r="13" spans="1:17" x14ac:dyDescent="0.35">
      <c r="A13" s="1"/>
      <c r="B13" s="1"/>
      <c r="C13" s="1"/>
      <c r="D13" s="1"/>
      <c r="E13" s="1"/>
      <c r="F13" s="1"/>
      <c r="G13" s="1"/>
      <c r="H13" s="1"/>
      <c r="I13" s="1"/>
      <c r="J13" s="1"/>
      <c r="K13" s="1"/>
      <c r="L13" s="1"/>
      <c r="M13" s="1"/>
      <c r="N13" s="1"/>
      <c r="O13" s="1"/>
      <c r="P13" s="1"/>
      <c r="Q13" s="1"/>
    </row>
    <row r="14" spans="1:17" x14ac:dyDescent="0.35">
      <c r="A14" s="1"/>
      <c r="B14" s="1"/>
      <c r="C14" s="1"/>
      <c r="D14" s="1"/>
      <c r="E14" s="1"/>
      <c r="F14" s="1"/>
      <c r="G14" s="1"/>
      <c r="H14" s="1"/>
      <c r="I14" s="1"/>
      <c r="J14" s="1"/>
      <c r="K14" s="1"/>
      <c r="L14" s="1"/>
      <c r="M14" s="1"/>
      <c r="N14" s="1"/>
      <c r="O14" s="1"/>
      <c r="P14" s="1"/>
      <c r="Q14" s="1"/>
    </row>
    <row r="15" spans="1:17" x14ac:dyDescent="0.35">
      <c r="A15" s="1"/>
      <c r="B15" s="1"/>
      <c r="C15" s="1"/>
      <c r="D15" s="1"/>
      <c r="E15" s="1"/>
      <c r="F15" s="1"/>
      <c r="G15" s="1"/>
      <c r="H15" s="1"/>
      <c r="I15" s="1"/>
      <c r="J15" s="1"/>
      <c r="K15" s="1"/>
      <c r="L15" s="1"/>
      <c r="M15" s="1"/>
      <c r="N15" s="1"/>
      <c r="O15" s="1"/>
      <c r="P15" s="1"/>
      <c r="Q15" s="1"/>
    </row>
    <row r="16" spans="1:17" x14ac:dyDescent="0.35">
      <c r="A16" s="1"/>
      <c r="B16" s="1"/>
      <c r="C16" s="1"/>
      <c r="D16" s="1"/>
      <c r="E16" s="1"/>
      <c r="F16" s="1"/>
      <c r="G16" s="1"/>
      <c r="H16" s="1"/>
      <c r="I16" s="1"/>
      <c r="J16" s="1"/>
      <c r="K16" s="1"/>
      <c r="L16" s="1"/>
      <c r="M16" s="1"/>
      <c r="N16" s="1"/>
      <c r="O16" s="1"/>
      <c r="P16" s="1"/>
      <c r="Q16" s="1"/>
    </row>
    <row r="17" spans="1:17" x14ac:dyDescent="0.35">
      <c r="A17" s="1"/>
      <c r="B17" s="1"/>
      <c r="C17" s="1"/>
      <c r="D17" s="1"/>
      <c r="E17" s="1"/>
      <c r="F17" s="1"/>
      <c r="G17" s="1"/>
      <c r="H17" s="1"/>
      <c r="I17" s="1"/>
      <c r="J17" s="1"/>
      <c r="K17" s="1"/>
      <c r="L17" s="1"/>
      <c r="M17" s="1"/>
      <c r="N17" s="1"/>
      <c r="O17" s="1"/>
      <c r="P17" s="1"/>
      <c r="Q17" s="1"/>
    </row>
    <row r="18" spans="1:17" x14ac:dyDescent="0.35">
      <c r="A18" s="1"/>
      <c r="B18" s="1"/>
      <c r="C18" s="1"/>
      <c r="D18" s="1"/>
      <c r="E18" s="1"/>
      <c r="F18" s="1"/>
      <c r="G18" s="1"/>
      <c r="H18" s="1"/>
      <c r="I18" s="1"/>
      <c r="J18" s="1"/>
      <c r="K18" s="1"/>
      <c r="L18" s="1"/>
      <c r="M18" s="1"/>
      <c r="N18" s="1"/>
      <c r="O18" s="1"/>
      <c r="P18" s="1"/>
      <c r="Q18" s="1"/>
    </row>
    <row r="19" spans="1:17" x14ac:dyDescent="0.35">
      <c r="A19" s="1"/>
      <c r="B19" s="1"/>
      <c r="C19" s="1"/>
      <c r="D19" s="1"/>
      <c r="E19" s="1"/>
      <c r="F19" s="1"/>
      <c r="G19" s="1"/>
      <c r="H19" s="1"/>
      <c r="I19" s="1"/>
      <c r="J19" s="1"/>
      <c r="K19" s="1"/>
      <c r="L19" s="1"/>
      <c r="M19" s="1"/>
      <c r="N19" s="1"/>
      <c r="O19" s="1"/>
      <c r="P19" s="1"/>
      <c r="Q19" s="1"/>
    </row>
    <row r="20" spans="1:17" x14ac:dyDescent="0.35">
      <c r="A20" s="1"/>
      <c r="B20" s="1"/>
      <c r="C20" s="1"/>
      <c r="D20" s="1"/>
      <c r="E20" s="1"/>
      <c r="F20" s="1"/>
      <c r="G20" s="1"/>
      <c r="H20" s="1"/>
      <c r="I20" s="1"/>
      <c r="J20" s="1"/>
      <c r="K20" s="1"/>
      <c r="L20" s="1"/>
      <c r="M20" s="1"/>
      <c r="N20" s="1"/>
      <c r="O20" s="1"/>
      <c r="P20" s="1"/>
      <c r="Q20" s="1"/>
    </row>
    <row r="21" spans="1:17" x14ac:dyDescent="0.35">
      <c r="A21" s="1"/>
      <c r="B21" s="1"/>
      <c r="C21" s="1"/>
      <c r="D21" s="1"/>
      <c r="E21" s="1"/>
      <c r="F21" s="1"/>
      <c r="G21" s="1"/>
      <c r="H21" s="1"/>
      <c r="I21" s="1"/>
      <c r="J21" s="1"/>
      <c r="K21" s="1"/>
      <c r="L21" s="1"/>
      <c r="M21" s="1"/>
      <c r="N21" s="1"/>
      <c r="O21" s="1"/>
      <c r="P21" s="1"/>
      <c r="Q21" s="1"/>
    </row>
    <row r="22" spans="1:17" x14ac:dyDescent="0.35">
      <c r="A22" s="1"/>
      <c r="B22" s="1"/>
      <c r="C22" s="1"/>
      <c r="D22" s="1"/>
      <c r="E22" s="1"/>
      <c r="F22" s="1"/>
      <c r="G22" s="1"/>
      <c r="H22" s="1"/>
      <c r="I22" s="1"/>
      <c r="J22" s="1"/>
      <c r="K22" s="1"/>
      <c r="L22" s="1"/>
      <c r="M22" s="1"/>
      <c r="N22" s="1"/>
      <c r="O22" s="1"/>
      <c r="P22" s="1"/>
      <c r="Q22" s="1"/>
    </row>
    <row r="23" spans="1:17" x14ac:dyDescent="0.35">
      <c r="A23" s="1"/>
      <c r="B23" s="1"/>
      <c r="C23" s="1"/>
      <c r="D23" s="1"/>
      <c r="E23" s="1"/>
      <c r="F23" s="1"/>
      <c r="G23" s="1"/>
      <c r="H23" s="1"/>
      <c r="I23" s="1"/>
      <c r="J23" s="1"/>
      <c r="K23" s="1"/>
      <c r="L23" s="1"/>
      <c r="M23" s="1"/>
      <c r="N23" s="1"/>
      <c r="O23" s="1"/>
      <c r="P23" s="1"/>
      <c r="Q23" s="1"/>
    </row>
    <row r="24" spans="1:17" x14ac:dyDescent="0.35">
      <c r="A24" s="1"/>
      <c r="B24" s="1"/>
      <c r="C24" s="1"/>
      <c r="D24" s="1"/>
      <c r="E24" s="1"/>
      <c r="F24" s="1"/>
      <c r="G24" s="1"/>
      <c r="H24" s="1"/>
      <c r="I24" s="1"/>
      <c r="J24" s="1"/>
      <c r="K24" s="1"/>
      <c r="L24" s="1"/>
      <c r="M24" s="1"/>
      <c r="N24" s="1"/>
      <c r="O24" s="1"/>
      <c r="P24" s="1"/>
      <c r="Q24" s="1"/>
    </row>
    <row r="25" spans="1:17" x14ac:dyDescent="0.35">
      <c r="A25" s="1"/>
      <c r="B25" s="1"/>
      <c r="C25" s="1"/>
      <c r="D25" s="1"/>
      <c r="E25" s="1"/>
      <c r="F25" s="1"/>
      <c r="G25" s="1"/>
      <c r="H25" s="1"/>
      <c r="I25" s="1"/>
      <c r="J25" s="1"/>
      <c r="K25" s="1"/>
      <c r="L25" s="1"/>
      <c r="M25" s="1"/>
      <c r="N25" s="1"/>
      <c r="O25" s="1"/>
      <c r="P25" s="1"/>
      <c r="Q25" s="1"/>
    </row>
    <row r="26" spans="1:17" x14ac:dyDescent="0.35">
      <c r="A26" s="1"/>
      <c r="B26" s="1"/>
      <c r="C26" s="1"/>
      <c r="D26" s="1"/>
      <c r="E26" s="1"/>
      <c r="F26" s="1"/>
      <c r="G26" s="1"/>
      <c r="H26" s="1"/>
      <c r="I26" s="1"/>
      <c r="J26" s="1"/>
      <c r="K26" s="1"/>
      <c r="L26" s="1"/>
      <c r="M26" s="1"/>
      <c r="N26" s="1"/>
      <c r="O26" s="1"/>
      <c r="P26" s="1"/>
      <c r="Q26" s="1"/>
    </row>
    <row r="27" spans="1:17" x14ac:dyDescent="0.35">
      <c r="A27" s="1"/>
      <c r="B27" s="1"/>
      <c r="C27" s="1"/>
      <c r="D27" s="1"/>
      <c r="E27" s="1"/>
      <c r="F27" s="1"/>
      <c r="G27" s="1"/>
      <c r="H27" s="1"/>
      <c r="I27" s="1"/>
      <c r="J27" s="1"/>
      <c r="K27" s="1"/>
      <c r="L27" s="1"/>
      <c r="M27" s="1"/>
      <c r="N27" s="1"/>
      <c r="O27" s="1"/>
      <c r="P27" s="1"/>
      <c r="Q27" s="1"/>
    </row>
    <row r="28" spans="1:17" x14ac:dyDescent="0.35">
      <c r="A28" s="1"/>
      <c r="B28" s="1"/>
      <c r="C28" s="1"/>
      <c r="D28" s="1"/>
      <c r="E28" s="1"/>
      <c r="F28" s="1"/>
      <c r="G28" s="1"/>
      <c r="H28" s="1"/>
      <c r="I28" s="1"/>
      <c r="J28" s="1"/>
      <c r="K28" s="1"/>
      <c r="L28" s="1"/>
      <c r="M28" s="1"/>
      <c r="N28" s="1"/>
      <c r="O28" s="1"/>
      <c r="P28" s="1"/>
      <c r="Q28" s="1"/>
    </row>
    <row r="29" spans="1:17" x14ac:dyDescent="0.35">
      <c r="A29" s="1"/>
      <c r="B29" s="1"/>
      <c r="C29" s="1"/>
      <c r="D29" s="1"/>
      <c r="E29" s="1"/>
      <c r="F29" s="1"/>
      <c r="G29" s="1"/>
      <c r="H29" s="1"/>
      <c r="I29" s="1"/>
      <c r="J29" s="1"/>
      <c r="K29" s="1"/>
      <c r="L29" s="1"/>
      <c r="M29" s="1"/>
      <c r="N29" s="1"/>
      <c r="O29" s="1"/>
      <c r="P29" s="1"/>
      <c r="Q29" s="1"/>
    </row>
    <row r="30" spans="1:17" x14ac:dyDescent="0.35">
      <c r="A30" s="1"/>
      <c r="B30" s="1"/>
      <c r="C30" s="1"/>
      <c r="D30" s="1"/>
      <c r="E30" s="1"/>
      <c r="F30" s="1"/>
      <c r="G30" s="1"/>
      <c r="H30" s="1"/>
      <c r="I30" s="1"/>
      <c r="J30" s="1"/>
      <c r="K30" s="1"/>
      <c r="L30" s="1"/>
      <c r="M30" s="1"/>
      <c r="N30" s="1"/>
      <c r="O30" s="1"/>
      <c r="P30" s="1"/>
      <c r="Q30" s="1"/>
    </row>
    <row r="31" spans="1:17" x14ac:dyDescent="0.35">
      <c r="A31" s="1"/>
      <c r="B31" s="1"/>
      <c r="C31" s="1"/>
      <c r="D31" s="1"/>
      <c r="E31" s="1"/>
      <c r="F31" s="1"/>
      <c r="G31" s="1"/>
      <c r="H31" s="1"/>
      <c r="I31" s="1"/>
      <c r="J31" s="1"/>
      <c r="K31" s="1"/>
      <c r="L31" s="1"/>
      <c r="M31" s="1"/>
      <c r="N31" s="1"/>
      <c r="O31" s="1"/>
      <c r="P31" s="1"/>
      <c r="Q31" s="1"/>
    </row>
    <row r="32" spans="1:17" x14ac:dyDescent="0.35">
      <c r="A32" s="1"/>
      <c r="B32" s="1"/>
      <c r="C32" s="1"/>
      <c r="D32" s="1"/>
      <c r="E32" s="1"/>
      <c r="F32" s="1"/>
      <c r="G32" s="1"/>
      <c r="H32" s="1"/>
      <c r="I32" s="1"/>
      <c r="J32" s="1"/>
      <c r="K32" s="1"/>
      <c r="L32" s="1"/>
      <c r="M32" s="1"/>
      <c r="N32" s="1"/>
      <c r="O32" s="1"/>
      <c r="P32" s="1"/>
      <c r="Q32" s="1"/>
    </row>
    <row r="33" spans="1:17" x14ac:dyDescent="0.35">
      <c r="A33" s="1"/>
      <c r="B33" s="1"/>
      <c r="C33" s="1"/>
      <c r="D33" s="1"/>
      <c r="E33" s="1"/>
      <c r="F33" s="1"/>
      <c r="G33" s="1"/>
      <c r="H33" s="1"/>
      <c r="I33" s="1"/>
      <c r="J33" s="1"/>
      <c r="K33" s="1"/>
      <c r="L33" s="1"/>
      <c r="M33" s="1"/>
      <c r="N33" s="1"/>
      <c r="O33" s="1"/>
      <c r="P33" s="1"/>
      <c r="Q33" s="1"/>
    </row>
    <row r="34" spans="1:17" x14ac:dyDescent="0.35">
      <c r="A34" s="1"/>
      <c r="B34" s="1"/>
      <c r="C34" s="1"/>
      <c r="D34" s="1"/>
      <c r="E34" s="1"/>
      <c r="F34" s="1"/>
      <c r="G34" s="1"/>
      <c r="H34" s="1"/>
      <c r="I34" s="1"/>
      <c r="J34" s="1"/>
      <c r="K34" s="1"/>
      <c r="L34" s="1"/>
      <c r="M34" s="1"/>
      <c r="N34" s="1"/>
      <c r="O34" s="1"/>
      <c r="P34" s="1"/>
      <c r="Q34" s="1"/>
    </row>
    <row r="35" spans="1:17" x14ac:dyDescent="0.35">
      <c r="A35" s="1"/>
      <c r="B35" s="1"/>
      <c r="C35" s="1"/>
      <c r="D35" s="1"/>
      <c r="E35" s="1"/>
      <c r="F35" s="1"/>
      <c r="G35" s="1"/>
      <c r="H35" s="1"/>
      <c r="I35" s="1"/>
      <c r="J35" s="1"/>
      <c r="K35" s="1"/>
      <c r="L35" s="1"/>
      <c r="M35" s="1"/>
      <c r="N35" s="1"/>
      <c r="O35" s="1"/>
      <c r="P35" s="1"/>
      <c r="Q35" s="1"/>
    </row>
    <row r="36" spans="1:17" x14ac:dyDescent="0.35">
      <c r="A36" s="1"/>
      <c r="B36" s="1"/>
      <c r="C36" s="1"/>
      <c r="D36" s="1"/>
      <c r="E36" s="1"/>
      <c r="F36" s="1"/>
      <c r="G36" s="1"/>
      <c r="H36" s="1"/>
      <c r="I36" s="1"/>
      <c r="J36" s="1"/>
      <c r="K36" s="1"/>
      <c r="L36" s="1"/>
      <c r="M36" s="1"/>
      <c r="N36" s="1"/>
      <c r="O36" s="1"/>
      <c r="P36" s="1"/>
      <c r="Q36" s="1"/>
    </row>
    <row r="37" spans="1:17" x14ac:dyDescent="0.35">
      <c r="A37" s="1"/>
      <c r="B37" s="1"/>
      <c r="C37" s="1"/>
      <c r="D37" s="1"/>
      <c r="E37" s="1"/>
      <c r="F37" s="1"/>
      <c r="G37" s="1"/>
      <c r="H37" s="1"/>
      <c r="I37" s="1"/>
      <c r="J37" s="1"/>
      <c r="K37" s="1"/>
      <c r="L37" s="1"/>
      <c r="M37" s="1"/>
      <c r="N37" s="1"/>
      <c r="O37" s="1"/>
      <c r="P37" s="1"/>
      <c r="Q37" s="1"/>
    </row>
    <row r="38" spans="1:17" x14ac:dyDescent="0.35">
      <c r="A38" s="1"/>
      <c r="B38" s="1"/>
      <c r="C38" s="1"/>
      <c r="D38" s="1"/>
      <c r="E38" s="1"/>
      <c r="F38" s="1"/>
      <c r="G38" s="1"/>
      <c r="H38" s="1"/>
      <c r="I38" s="1"/>
      <c r="J38" s="1"/>
      <c r="K38" s="1"/>
      <c r="L38" s="1"/>
      <c r="M38" s="1"/>
      <c r="N38" s="1"/>
      <c r="O38" s="1"/>
      <c r="P38" s="1"/>
      <c r="Q38" s="1"/>
    </row>
    <row r="39" spans="1:17" x14ac:dyDescent="0.35">
      <c r="A39" s="1"/>
      <c r="B39" s="1"/>
      <c r="C39" s="1"/>
      <c r="D39" s="1"/>
      <c r="E39" s="1"/>
      <c r="F39" s="1"/>
      <c r="G39" s="1"/>
      <c r="H39" s="1"/>
      <c r="I39" s="1"/>
      <c r="J39" s="1"/>
      <c r="K39" s="1"/>
      <c r="L39" s="1"/>
      <c r="M39" s="1"/>
      <c r="N39" s="1"/>
      <c r="O39" s="1"/>
      <c r="P39" s="1"/>
      <c r="Q39" s="1"/>
    </row>
    <row r="40" spans="1:17" x14ac:dyDescent="0.35">
      <c r="A40" s="1"/>
      <c r="B40" s="1"/>
      <c r="C40" s="1"/>
      <c r="D40" s="1"/>
      <c r="E40" s="1"/>
      <c r="F40" s="1"/>
      <c r="G40" s="1"/>
      <c r="H40" s="1"/>
      <c r="I40" s="1"/>
      <c r="J40" s="1"/>
      <c r="K40" s="1"/>
      <c r="L40" s="1"/>
      <c r="M40" s="1"/>
      <c r="N40" s="1"/>
      <c r="O40" s="1"/>
      <c r="P40" s="1"/>
      <c r="Q40" s="1"/>
    </row>
    <row r="41" spans="1:17" x14ac:dyDescent="0.35">
      <c r="A41" s="1"/>
      <c r="B41" s="1"/>
      <c r="C41" s="1"/>
      <c r="D41" s="1"/>
      <c r="E41" s="1"/>
      <c r="F41" s="1"/>
      <c r="G41" s="1"/>
      <c r="H41" s="1"/>
      <c r="I41" s="1"/>
      <c r="J41" s="1"/>
      <c r="K41" s="1"/>
      <c r="L41" s="1"/>
      <c r="M41" s="1"/>
      <c r="N41" s="1"/>
      <c r="O41" s="1"/>
      <c r="P41" s="1"/>
      <c r="Q41" s="1"/>
    </row>
    <row r="42" spans="1:17" x14ac:dyDescent="0.35">
      <c r="A42" s="1"/>
      <c r="B42" s="1"/>
      <c r="C42" s="1"/>
      <c r="D42" s="1"/>
      <c r="E42" s="1"/>
      <c r="F42" s="1"/>
      <c r="G42" s="1"/>
      <c r="H42" s="1"/>
      <c r="I42" s="1"/>
      <c r="J42" s="1"/>
      <c r="K42" s="1"/>
      <c r="L42" s="1"/>
      <c r="M42" s="1"/>
      <c r="N42" s="1"/>
      <c r="O42" s="1"/>
      <c r="P42" s="1"/>
      <c r="Q42" s="1"/>
    </row>
    <row r="43" spans="1:17" x14ac:dyDescent="0.35">
      <c r="A43" s="1"/>
      <c r="B43" s="1"/>
      <c r="C43" s="1"/>
      <c r="D43" s="1"/>
      <c r="E43" s="1"/>
      <c r="F43" s="1"/>
      <c r="G43" s="1"/>
      <c r="H43" s="1"/>
      <c r="I43" s="1"/>
      <c r="J43" s="1"/>
      <c r="K43" s="1"/>
      <c r="L43" s="1"/>
      <c r="M43" s="1"/>
      <c r="N43" s="1"/>
      <c r="O43" s="1"/>
      <c r="P43" s="1"/>
      <c r="Q43" s="1"/>
    </row>
    <row r="44" spans="1:17" x14ac:dyDescent="0.35">
      <c r="A44" s="1"/>
      <c r="B44" s="1"/>
      <c r="C44" s="1"/>
      <c r="D44" s="1"/>
      <c r="E44" s="1"/>
      <c r="F44" s="1"/>
      <c r="G44" s="1"/>
      <c r="H44" s="1"/>
      <c r="I44" s="1"/>
      <c r="J44" s="1"/>
      <c r="K44" s="1"/>
      <c r="L44" s="1"/>
      <c r="M44" s="1"/>
      <c r="N44" s="1"/>
      <c r="O44" s="1"/>
      <c r="P44" s="1"/>
      <c r="Q44" s="1"/>
    </row>
    <row r="45" spans="1:17" x14ac:dyDescent="0.35">
      <c r="A45" s="1"/>
      <c r="B45" s="1"/>
      <c r="C45" s="1"/>
      <c r="D45" s="1"/>
      <c r="E45" s="1"/>
      <c r="F45" s="1"/>
      <c r="G45" s="1"/>
      <c r="H45" s="1"/>
      <c r="I45" s="1"/>
      <c r="J45" s="1"/>
      <c r="K45" s="1"/>
      <c r="L45" s="1"/>
      <c r="M45" s="1"/>
      <c r="N45" s="1"/>
      <c r="O45" s="1"/>
      <c r="P45" s="1"/>
      <c r="Q45" s="1"/>
    </row>
    <row r="46" spans="1:17" x14ac:dyDescent="0.35">
      <c r="A46" s="1"/>
      <c r="B46" s="1"/>
      <c r="C46" s="1"/>
      <c r="D46" s="1"/>
      <c r="E46" s="1"/>
      <c r="F46" s="1"/>
      <c r="G46" s="1"/>
      <c r="H46" s="1"/>
      <c r="I46" s="1"/>
      <c r="J46" s="1"/>
      <c r="K46" s="1"/>
      <c r="L46" s="1"/>
      <c r="M46" s="1"/>
      <c r="N46" s="1"/>
      <c r="O46" s="1"/>
      <c r="P46" s="1"/>
      <c r="Q46" s="1"/>
    </row>
    <row r="47" spans="1:17" x14ac:dyDescent="0.35">
      <c r="A47" s="1"/>
      <c r="B47" s="1"/>
      <c r="C47" s="1"/>
      <c r="D47" s="1"/>
      <c r="E47" s="1"/>
      <c r="F47" s="1"/>
      <c r="G47" s="1"/>
      <c r="H47" s="1"/>
      <c r="I47" s="1"/>
      <c r="J47" s="1"/>
      <c r="K47" s="1"/>
      <c r="L47" s="1"/>
      <c r="M47" s="1"/>
      <c r="N47" s="1"/>
      <c r="O47" s="1"/>
      <c r="P47" s="1"/>
      <c r="Q47" s="1"/>
    </row>
    <row r="48" spans="1:17" x14ac:dyDescent="0.35">
      <c r="A48" s="1"/>
      <c r="B48" s="1"/>
      <c r="C48" s="1"/>
      <c r="D48" s="1"/>
      <c r="E48" s="1"/>
      <c r="F48" s="1"/>
      <c r="G48" s="1"/>
      <c r="H48" s="1"/>
      <c r="I48" s="1"/>
      <c r="J48" s="1"/>
      <c r="K48" s="1"/>
      <c r="L48" s="1"/>
      <c r="M48" s="1"/>
      <c r="N48" s="1"/>
      <c r="O48" s="1"/>
      <c r="P48" s="1"/>
      <c r="Q48" s="1"/>
    </row>
    <row r="49" spans="1:17" x14ac:dyDescent="0.35">
      <c r="A49" s="1"/>
      <c r="B49" s="1"/>
      <c r="C49" s="1"/>
      <c r="D49" s="1"/>
      <c r="E49" s="1"/>
      <c r="F49" s="1"/>
      <c r="G49" s="1"/>
      <c r="H49" s="1"/>
      <c r="I49" s="1"/>
      <c r="J49" s="1"/>
      <c r="K49" s="1"/>
      <c r="L49" s="1"/>
      <c r="M49" s="1"/>
      <c r="N49" s="1"/>
      <c r="O49" s="1"/>
      <c r="P49" s="1"/>
      <c r="Q49" s="1"/>
    </row>
    <row r="50" spans="1:17" x14ac:dyDescent="0.35">
      <c r="A50" s="1"/>
      <c r="B50" s="1"/>
      <c r="C50" s="1"/>
      <c r="D50" s="1"/>
      <c r="E50" s="1"/>
      <c r="F50" s="1"/>
      <c r="G50" s="1"/>
      <c r="H50" s="1"/>
      <c r="I50" s="1"/>
      <c r="J50" s="1"/>
      <c r="K50" s="1"/>
      <c r="L50" s="1"/>
      <c r="M50" s="1"/>
      <c r="N50" s="1"/>
      <c r="O50" s="1"/>
      <c r="P50" s="1"/>
      <c r="Q50" s="1"/>
    </row>
    <row r="51" spans="1:17" x14ac:dyDescent="0.35">
      <c r="A51" s="1"/>
      <c r="B51" s="1"/>
      <c r="C51" s="1"/>
      <c r="D51" s="1"/>
      <c r="E51" s="1"/>
      <c r="F51" s="1"/>
      <c r="G51" s="1"/>
      <c r="H51" s="1"/>
      <c r="I51" s="1"/>
      <c r="J51" s="1"/>
      <c r="K51" s="1"/>
      <c r="L51" s="1"/>
      <c r="M51" s="1"/>
      <c r="N51" s="1"/>
      <c r="O51" s="1"/>
      <c r="P51" s="1"/>
      <c r="Q51" s="1"/>
    </row>
    <row r="52" spans="1:17" x14ac:dyDescent="0.35">
      <c r="A52" s="1"/>
      <c r="B52" s="1"/>
      <c r="C52" s="1"/>
      <c r="D52" s="1"/>
      <c r="E52" s="1"/>
      <c r="F52" s="1"/>
      <c r="G52" s="1"/>
      <c r="H52" s="1"/>
      <c r="I52" s="1"/>
      <c r="J52" s="1"/>
      <c r="K52" s="1"/>
      <c r="L52" s="1"/>
      <c r="M52" s="1"/>
      <c r="N52" s="1"/>
      <c r="O52" s="1"/>
      <c r="P52" s="1"/>
      <c r="Q52" s="1"/>
    </row>
    <row r="53" spans="1:17" x14ac:dyDescent="0.35">
      <c r="A53" s="1"/>
      <c r="B53" s="1"/>
      <c r="C53" s="1"/>
      <c r="D53" s="1"/>
      <c r="E53" s="1"/>
      <c r="F53" s="1"/>
      <c r="G53" s="1"/>
      <c r="H53" s="1"/>
      <c r="I53" s="1"/>
      <c r="J53" s="1"/>
      <c r="K53" s="1"/>
      <c r="L53" s="1"/>
      <c r="M53" s="1"/>
      <c r="N53" s="1"/>
      <c r="O53" s="1"/>
      <c r="P53" s="1"/>
      <c r="Q53" s="1"/>
    </row>
    <row r="54" spans="1:17" x14ac:dyDescent="0.35">
      <c r="A54" s="1"/>
      <c r="B54" s="1"/>
      <c r="C54" s="1"/>
      <c r="D54" s="1"/>
      <c r="E54" s="1"/>
      <c r="F54" s="1"/>
      <c r="G54" s="1"/>
      <c r="H54" s="1"/>
      <c r="I54" s="1"/>
      <c r="J54" s="1"/>
      <c r="K54" s="1"/>
      <c r="L54" s="1"/>
      <c r="M54" s="1"/>
      <c r="N54" s="1"/>
      <c r="O54" s="1"/>
      <c r="P54" s="1"/>
      <c r="Q54" s="1"/>
    </row>
    <row r="55" spans="1:17" x14ac:dyDescent="0.35">
      <c r="A55" s="1"/>
      <c r="B55" s="1"/>
      <c r="C55" s="1"/>
      <c r="D55" s="1"/>
      <c r="E55" s="1"/>
      <c r="F55" s="1"/>
      <c r="G55" s="1"/>
      <c r="H55" s="1"/>
      <c r="I55" s="1"/>
      <c r="J55" s="1"/>
      <c r="K55" s="1"/>
      <c r="L55" s="1"/>
      <c r="M55" s="1"/>
      <c r="N55" s="1"/>
      <c r="O55" s="1"/>
      <c r="P55" s="1"/>
      <c r="Q55" s="1"/>
    </row>
    <row r="56" spans="1:17" x14ac:dyDescent="0.35">
      <c r="A56" s="1"/>
      <c r="B56" s="1"/>
      <c r="C56" s="1"/>
      <c r="D56" s="1"/>
      <c r="E56" s="1"/>
      <c r="F56" s="1"/>
      <c r="G56" s="1"/>
      <c r="H56" s="1"/>
      <c r="I56" s="1"/>
      <c r="J56" s="1"/>
      <c r="K56" s="1"/>
      <c r="L56" s="1"/>
      <c r="M56" s="1"/>
      <c r="N56" s="1"/>
      <c r="O56" s="1"/>
      <c r="P56" s="1"/>
      <c r="Q56" s="1"/>
    </row>
    <row r="57" spans="1:17" x14ac:dyDescent="0.35">
      <c r="A57" s="1"/>
      <c r="B57" s="1"/>
      <c r="C57" s="1"/>
      <c r="D57" s="1"/>
      <c r="E57" s="1"/>
      <c r="F57" s="1"/>
      <c r="G57" s="1"/>
      <c r="H57" s="1"/>
      <c r="I57" s="1"/>
      <c r="J57" s="1"/>
      <c r="K57" s="1"/>
      <c r="L57" s="1"/>
      <c r="M57" s="1"/>
      <c r="N57" s="1"/>
      <c r="O57" s="1"/>
      <c r="P57" s="1"/>
      <c r="Q57" s="1"/>
    </row>
    <row r="58" spans="1:17" x14ac:dyDescent="0.35">
      <c r="A58" s="1"/>
      <c r="B58" s="1"/>
      <c r="C58" s="1"/>
      <c r="D58" s="1"/>
      <c r="E58" s="1"/>
      <c r="F58" s="1"/>
      <c r="G58" s="1"/>
      <c r="H58" s="1"/>
      <c r="I58" s="1"/>
      <c r="J58" s="1"/>
      <c r="K58" s="1"/>
      <c r="L58" s="1"/>
      <c r="M58" s="1"/>
      <c r="N58" s="1"/>
      <c r="O58" s="1"/>
      <c r="P58" s="1"/>
      <c r="Q58" s="1"/>
    </row>
    <row r="59" spans="1:17" x14ac:dyDescent="0.35">
      <c r="A59" s="1"/>
      <c r="B59" s="1"/>
      <c r="C59" s="1"/>
      <c r="D59" s="1"/>
      <c r="E59" s="1"/>
      <c r="F59" s="1"/>
      <c r="G59" s="1"/>
      <c r="H59" s="1"/>
      <c r="I59" s="1"/>
      <c r="J59" s="1"/>
      <c r="K59" s="1"/>
      <c r="L59" s="1"/>
      <c r="M59" s="1"/>
      <c r="N59" s="1"/>
      <c r="O59" s="1"/>
      <c r="P59" s="1"/>
      <c r="Q59" s="1"/>
    </row>
    <row r="60" spans="1:17" x14ac:dyDescent="0.35">
      <c r="A60" s="1"/>
      <c r="B60" s="1"/>
      <c r="C60" s="1"/>
      <c r="D60" s="1"/>
      <c r="E60" s="1"/>
      <c r="F60" s="1"/>
      <c r="G60" s="1"/>
      <c r="H60" s="1"/>
      <c r="I60" s="1"/>
      <c r="J60" s="1"/>
      <c r="K60" s="1"/>
      <c r="L60" s="1"/>
      <c r="M60" s="1"/>
      <c r="N60" s="1"/>
      <c r="O60" s="1"/>
      <c r="P60" s="1"/>
      <c r="Q60" s="1"/>
    </row>
    <row r="61" spans="1:17" x14ac:dyDescent="0.35">
      <c r="A61" s="1"/>
      <c r="B61" s="1"/>
      <c r="C61" s="1"/>
      <c r="D61" s="1"/>
      <c r="E61" s="1"/>
      <c r="F61" s="1"/>
      <c r="G61" s="1"/>
      <c r="H61" s="1"/>
      <c r="I61" s="1"/>
      <c r="J61" s="1"/>
      <c r="K61" s="1"/>
      <c r="L61" s="1"/>
      <c r="M61" s="1"/>
      <c r="N61" s="1"/>
      <c r="O61" s="1"/>
      <c r="P61" s="1"/>
      <c r="Q61" s="1"/>
    </row>
    <row r="62" spans="1:17" x14ac:dyDescent="0.35">
      <c r="A62" s="1"/>
      <c r="B62" s="1"/>
      <c r="C62" s="1"/>
      <c r="D62" s="1"/>
      <c r="E62" s="1"/>
      <c r="F62" s="1"/>
      <c r="G62" s="1"/>
      <c r="H62" s="1"/>
      <c r="I62" s="1"/>
      <c r="J62" s="1"/>
      <c r="K62" s="1"/>
      <c r="L62" s="1"/>
      <c r="M62" s="1"/>
      <c r="N62" s="1"/>
      <c r="O62" s="1"/>
      <c r="P62" s="1"/>
      <c r="Q62" s="1"/>
    </row>
    <row r="63" spans="1:17" x14ac:dyDescent="0.35">
      <c r="A63" s="1"/>
      <c r="B63" s="1"/>
      <c r="C63" s="1"/>
      <c r="D63" s="1"/>
      <c r="E63" s="1"/>
      <c r="F63" s="1"/>
      <c r="G63" s="1"/>
      <c r="H63" s="1"/>
      <c r="I63" s="1"/>
      <c r="J63" s="1"/>
      <c r="K63" s="1"/>
      <c r="L63" s="1"/>
      <c r="M63" s="1"/>
      <c r="N63" s="1"/>
      <c r="O63" s="1"/>
      <c r="P63" s="1"/>
      <c r="Q63" s="1"/>
    </row>
    <row r="64" spans="1:17" x14ac:dyDescent="0.35">
      <c r="A64" s="1"/>
      <c r="B64" s="1"/>
      <c r="C64" s="1"/>
      <c r="D64" s="1"/>
      <c r="E64" s="1"/>
      <c r="F64" s="1"/>
      <c r="G64" s="1"/>
      <c r="H64" s="1"/>
      <c r="I64" s="1"/>
      <c r="J64" s="1"/>
      <c r="K64" s="1"/>
      <c r="L64" s="1"/>
      <c r="M64" s="1"/>
      <c r="N64" s="1"/>
      <c r="O64" s="1"/>
      <c r="P64" s="1"/>
      <c r="Q64" s="1"/>
    </row>
    <row r="65" spans="1:17" x14ac:dyDescent="0.35">
      <c r="A65" s="1"/>
      <c r="B65" s="1"/>
      <c r="C65" s="1"/>
      <c r="D65" s="1"/>
      <c r="E65" s="1"/>
      <c r="F65" s="1"/>
      <c r="G65" s="1"/>
      <c r="H65" s="1"/>
      <c r="I65" s="1"/>
      <c r="J65" s="1"/>
      <c r="K65" s="1"/>
      <c r="L65" s="1"/>
      <c r="M65" s="1"/>
      <c r="N65" s="1"/>
      <c r="O65" s="1"/>
      <c r="P65" s="1"/>
      <c r="Q65" s="1"/>
    </row>
    <row r="66" spans="1:17" x14ac:dyDescent="0.35">
      <c r="A66" s="1"/>
      <c r="B66" s="1"/>
      <c r="C66" s="1"/>
      <c r="D66" s="1"/>
      <c r="E66" s="1"/>
      <c r="F66" s="1"/>
      <c r="G66" s="1"/>
      <c r="H66" s="1"/>
      <c r="I66" s="1"/>
      <c r="J66" s="1"/>
      <c r="K66" s="1"/>
      <c r="L66" s="1"/>
      <c r="M66" s="1"/>
      <c r="N66" s="1"/>
      <c r="O66" s="1"/>
      <c r="P66" s="1"/>
      <c r="Q66" s="1"/>
    </row>
    <row r="67" spans="1:17" x14ac:dyDescent="0.35">
      <c r="A67" s="1"/>
      <c r="B67" s="1"/>
      <c r="C67" s="1"/>
      <c r="D67" s="1"/>
      <c r="E67" s="1"/>
      <c r="F67" s="1"/>
      <c r="G67" s="1"/>
      <c r="H67" s="1"/>
      <c r="I67" s="1"/>
      <c r="J67" s="1"/>
      <c r="K67" s="1"/>
      <c r="L67" s="1"/>
      <c r="M67" s="1"/>
      <c r="N67" s="1"/>
      <c r="O67" s="1"/>
      <c r="P67" s="1"/>
      <c r="Q67" s="1"/>
    </row>
    <row r="68" spans="1:17" x14ac:dyDescent="0.35">
      <c r="A68" s="1"/>
      <c r="B68" s="1"/>
      <c r="C68" s="1"/>
      <c r="D68" s="1"/>
      <c r="E68" s="1"/>
      <c r="F68" s="1"/>
      <c r="G68" s="1"/>
      <c r="H68" s="1"/>
      <c r="I68" s="1"/>
      <c r="J68" s="1"/>
      <c r="K68" s="1"/>
      <c r="L68" s="1"/>
      <c r="M68" s="1"/>
      <c r="N68" s="1"/>
      <c r="O68" s="1"/>
      <c r="P68" s="1"/>
      <c r="Q68" s="1"/>
    </row>
    <row r="69" spans="1:17" x14ac:dyDescent="0.35">
      <c r="A69" s="1"/>
      <c r="B69" s="1"/>
      <c r="C69" s="1"/>
      <c r="D69" s="1"/>
      <c r="E69" s="1"/>
      <c r="F69" s="1"/>
      <c r="G69" s="1"/>
      <c r="H69" s="1"/>
      <c r="I69" s="1"/>
      <c r="J69" s="1"/>
      <c r="K69" s="1"/>
      <c r="L69" s="1"/>
      <c r="M69" s="1"/>
      <c r="N69" s="1"/>
      <c r="O69" s="1"/>
      <c r="P69" s="1"/>
      <c r="Q69" s="1"/>
    </row>
    <row r="70" spans="1:17" x14ac:dyDescent="0.35">
      <c r="A70" s="1"/>
      <c r="B70" s="1"/>
      <c r="C70" s="1"/>
      <c r="D70" s="1"/>
      <c r="E70" s="1"/>
      <c r="F70" s="1"/>
      <c r="G70" s="1"/>
      <c r="H70" s="1"/>
      <c r="I70" s="1"/>
      <c r="J70" s="1"/>
      <c r="K70" s="1"/>
      <c r="L70" s="1"/>
      <c r="M70" s="1"/>
      <c r="N70" s="1"/>
      <c r="O70" s="1"/>
      <c r="P70" s="1"/>
      <c r="Q70" s="1"/>
    </row>
    <row r="71" spans="1:17" x14ac:dyDescent="0.35">
      <c r="A71" s="1"/>
      <c r="B71" s="1"/>
      <c r="C71" s="1"/>
      <c r="D71" s="1"/>
      <c r="E71" s="1"/>
      <c r="F71" s="1"/>
      <c r="G71" s="1"/>
      <c r="H71" s="1"/>
      <c r="I71" s="1"/>
      <c r="J71" s="1"/>
      <c r="K71" s="1"/>
      <c r="L71" s="1"/>
      <c r="M71" s="1"/>
      <c r="N71" s="1"/>
      <c r="O71" s="1"/>
      <c r="P71" s="1"/>
      <c r="Q71" s="1"/>
    </row>
    <row r="72" spans="1:17" x14ac:dyDescent="0.35">
      <c r="A72" s="1"/>
      <c r="B72" s="1"/>
      <c r="C72" s="1"/>
      <c r="D72" s="1"/>
      <c r="E72" s="1"/>
      <c r="F72" s="1"/>
      <c r="G72" s="1"/>
      <c r="H72" s="1"/>
      <c r="I72" s="1"/>
      <c r="J72" s="1"/>
      <c r="K72" s="1"/>
      <c r="L72" s="1"/>
      <c r="M72" s="1"/>
      <c r="N72" s="1"/>
      <c r="O72" s="1"/>
      <c r="P72" s="1"/>
      <c r="Q72" s="1"/>
    </row>
    <row r="73" spans="1:17" x14ac:dyDescent="0.35">
      <c r="A73" s="1"/>
      <c r="B73" s="1"/>
      <c r="C73" s="1"/>
      <c r="D73" s="1"/>
      <c r="E73" s="1"/>
      <c r="F73" s="1"/>
      <c r="G73" s="1"/>
      <c r="H73" s="1"/>
      <c r="I73" s="1"/>
      <c r="J73" s="1"/>
      <c r="K73" s="1"/>
      <c r="L73" s="1"/>
      <c r="M73" s="1"/>
      <c r="N73" s="1"/>
      <c r="O73" s="1"/>
      <c r="P73" s="1"/>
      <c r="Q73" s="1"/>
    </row>
    <row r="74" spans="1:17" x14ac:dyDescent="0.35">
      <c r="A74" s="1"/>
      <c r="B74" s="1"/>
      <c r="C74" s="1"/>
      <c r="D74" s="1"/>
      <c r="E74" s="1"/>
      <c r="F74" s="1"/>
      <c r="G74" s="1"/>
      <c r="H74" s="1"/>
      <c r="I74" s="1"/>
      <c r="J74" s="1"/>
      <c r="K74" s="1"/>
      <c r="L74" s="1"/>
      <c r="M74" s="1"/>
      <c r="N74" s="1"/>
      <c r="O74" s="1"/>
      <c r="P74" s="1"/>
      <c r="Q74" s="1"/>
    </row>
    <row r="75" spans="1:17" x14ac:dyDescent="0.35">
      <c r="A75" s="1"/>
      <c r="B75" s="1"/>
      <c r="C75" s="1"/>
      <c r="D75" s="1"/>
      <c r="E75" s="1"/>
      <c r="F75" s="1"/>
      <c r="G75" s="1"/>
      <c r="H75" s="1"/>
      <c r="I75" s="1"/>
      <c r="J75" s="1"/>
      <c r="K75" s="1"/>
      <c r="L75" s="1"/>
      <c r="M75" s="1"/>
      <c r="N75" s="1"/>
      <c r="O75" s="1"/>
      <c r="P75" s="1"/>
      <c r="Q75" s="1"/>
    </row>
    <row r="76" spans="1:17" x14ac:dyDescent="0.35">
      <c r="A76" s="1"/>
      <c r="B76" s="1"/>
      <c r="C76" s="1"/>
      <c r="D76" s="1"/>
      <c r="E76" s="1"/>
      <c r="F76" s="1"/>
      <c r="G76" s="1"/>
      <c r="H76" s="1"/>
      <c r="I76" s="1"/>
      <c r="J76" s="1"/>
      <c r="K76" s="1"/>
      <c r="L76" s="1"/>
      <c r="M76" s="1"/>
      <c r="N76" s="1"/>
      <c r="O76" s="1"/>
      <c r="P76" s="1"/>
      <c r="Q76" s="1"/>
    </row>
    <row r="77" spans="1:17" x14ac:dyDescent="0.35">
      <c r="A77" s="1"/>
      <c r="B77" s="1"/>
      <c r="C77" s="1"/>
      <c r="D77" s="1"/>
      <c r="E77" s="1"/>
      <c r="F77" s="1"/>
      <c r="G77" s="1"/>
      <c r="H77" s="1"/>
      <c r="I77" s="1"/>
      <c r="J77" s="1"/>
      <c r="K77" s="1"/>
      <c r="L77" s="1"/>
      <c r="M77" s="1"/>
      <c r="N77" s="1"/>
      <c r="O77" s="1"/>
      <c r="P77" s="1"/>
      <c r="Q77" s="1"/>
    </row>
    <row r="78" spans="1:17" x14ac:dyDescent="0.35">
      <c r="A78" s="1"/>
      <c r="B78" s="1"/>
      <c r="C78" s="1"/>
      <c r="D78" s="1"/>
      <c r="E78" s="1"/>
      <c r="F78" s="1"/>
      <c r="G78" s="1"/>
      <c r="H78" s="1"/>
      <c r="I78" s="1"/>
      <c r="J78" s="1"/>
      <c r="K78" s="1"/>
      <c r="L78" s="1"/>
      <c r="M78" s="1"/>
      <c r="N78" s="1"/>
      <c r="O78" s="1"/>
      <c r="P78" s="1"/>
      <c r="Q78" s="1"/>
    </row>
    <row r="79" spans="1:17" x14ac:dyDescent="0.35">
      <c r="A79" s="1"/>
      <c r="B79" s="1"/>
      <c r="C79" s="1"/>
      <c r="D79" s="1"/>
      <c r="E79" s="1"/>
      <c r="F79" s="1"/>
      <c r="G79" s="1"/>
      <c r="H79" s="1"/>
      <c r="I79" s="1"/>
      <c r="J79" s="1"/>
      <c r="K79" s="1"/>
      <c r="L79" s="1"/>
      <c r="M79" s="1"/>
      <c r="N79" s="1"/>
      <c r="O79" s="1"/>
      <c r="P79" s="1"/>
      <c r="Q79" s="1"/>
    </row>
    <row r="80" spans="1:17" x14ac:dyDescent="0.35">
      <c r="A80" s="1"/>
      <c r="B80" s="1"/>
      <c r="C80" s="1"/>
      <c r="D80" s="1"/>
      <c r="E80" s="1"/>
      <c r="F80" s="1"/>
      <c r="G80" s="1"/>
      <c r="H80" s="1"/>
      <c r="I80" s="1"/>
      <c r="J80" s="1"/>
      <c r="K80" s="1"/>
      <c r="L80" s="1"/>
      <c r="M80" s="1"/>
      <c r="N80" s="1"/>
      <c r="O80" s="1"/>
      <c r="P80" s="1"/>
      <c r="Q80" s="1"/>
    </row>
    <row r="81" spans="1:17" x14ac:dyDescent="0.35">
      <c r="A81" s="1"/>
      <c r="B81" s="1"/>
      <c r="C81" s="1"/>
      <c r="D81" s="1"/>
      <c r="E81" s="1"/>
      <c r="F81" s="1"/>
      <c r="G81" s="1"/>
      <c r="H81" s="1"/>
      <c r="I81" s="1"/>
      <c r="J81" s="1"/>
      <c r="K81" s="1"/>
      <c r="L81" s="1"/>
      <c r="M81" s="1"/>
      <c r="N81" s="1"/>
      <c r="O81" s="1"/>
      <c r="P81" s="1"/>
      <c r="Q81" s="1"/>
    </row>
    <row r="82" spans="1:17" x14ac:dyDescent="0.35">
      <c r="A82" s="1"/>
      <c r="B82" s="1"/>
      <c r="C82" s="1"/>
      <c r="D82" s="1"/>
      <c r="E82" s="1"/>
      <c r="F82" s="1"/>
      <c r="G82" s="1"/>
      <c r="H82" s="1"/>
      <c r="I82" s="1"/>
      <c r="J82" s="1"/>
      <c r="K82" s="1"/>
      <c r="L82" s="1"/>
      <c r="M82" s="1"/>
      <c r="N82" s="1"/>
      <c r="O82" s="1"/>
      <c r="P82" s="1"/>
      <c r="Q82" s="1"/>
    </row>
    <row r="83" spans="1:17" x14ac:dyDescent="0.35">
      <c r="A83" s="1"/>
      <c r="B83" s="1"/>
      <c r="C83" s="1"/>
      <c r="D83" s="1"/>
      <c r="E83" s="1"/>
      <c r="F83" s="1"/>
      <c r="G83" s="1"/>
      <c r="H83" s="1"/>
      <c r="I83" s="1"/>
      <c r="J83" s="1"/>
      <c r="K83" s="1"/>
      <c r="L83" s="1"/>
      <c r="M83" s="1"/>
      <c r="N83" s="1"/>
      <c r="O83" s="1"/>
      <c r="P83" s="1"/>
      <c r="Q83" s="1"/>
    </row>
    <row r="84" spans="1:17" x14ac:dyDescent="0.35">
      <c r="A84" s="1"/>
      <c r="B84" s="1"/>
      <c r="C84" s="1"/>
      <c r="D84" s="1"/>
      <c r="E84" s="1"/>
      <c r="F84" s="1"/>
      <c r="G84" s="1"/>
      <c r="H84" s="1"/>
      <c r="I84" s="1"/>
      <c r="J84" s="1"/>
      <c r="K84" s="1"/>
      <c r="L84" s="1"/>
      <c r="M84" s="1"/>
      <c r="N84" s="1"/>
      <c r="O84" s="1"/>
      <c r="P84" s="1"/>
      <c r="Q84" s="1"/>
    </row>
    <row r="85" spans="1:17" x14ac:dyDescent="0.35">
      <c r="A85" s="1"/>
      <c r="B85" s="1"/>
      <c r="C85" s="1"/>
      <c r="D85" s="1"/>
      <c r="E85" s="1"/>
      <c r="F85" s="1"/>
      <c r="G85" s="1"/>
      <c r="H85" s="1"/>
      <c r="I85" s="1"/>
      <c r="J85" s="1"/>
      <c r="K85" s="1"/>
      <c r="L85" s="1"/>
      <c r="M85" s="1"/>
      <c r="N85" s="1"/>
      <c r="O85" s="1"/>
      <c r="P85" s="1"/>
      <c r="Q85" s="1"/>
    </row>
    <row r="86" spans="1:17" x14ac:dyDescent="0.35">
      <c r="A86" s="1"/>
      <c r="B86" s="1"/>
      <c r="C86" s="1"/>
      <c r="D86" s="1"/>
      <c r="E86" s="1"/>
      <c r="F86" s="1"/>
      <c r="G86" s="1"/>
      <c r="H86" s="1"/>
      <c r="I86" s="1"/>
      <c r="J86" s="1"/>
      <c r="K86" s="1"/>
      <c r="L86" s="1"/>
      <c r="M86" s="1"/>
      <c r="N86" s="1"/>
      <c r="O86" s="1"/>
      <c r="P86" s="1"/>
      <c r="Q86" s="1"/>
    </row>
    <row r="87" spans="1:17" x14ac:dyDescent="0.35">
      <c r="A87" s="1"/>
      <c r="B87" s="1"/>
      <c r="C87" s="1"/>
      <c r="D87" s="1"/>
      <c r="E87" s="1"/>
      <c r="F87" s="1"/>
      <c r="G87" s="1"/>
      <c r="H87" s="1"/>
      <c r="I87" s="1"/>
      <c r="J87" s="1"/>
      <c r="K87" s="1"/>
      <c r="L87" s="1"/>
      <c r="M87" s="1"/>
      <c r="N87" s="1"/>
      <c r="O87" s="1"/>
      <c r="P87" s="1"/>
      <c r="Q87" s="1"/>
    </row>
    <row r="88" spans="1:17" x14ac:dyDescent="0.35">
      <c r="A88" s="1"/>
      <c r="B88" s="1"/>
      <c r="C88" s="1"/>
      <c r="D88" s="1"/>
      <c r="E88" s="1"/>
      <c r="F88" s="1"/>
      <c r="G88" s="1"/>
      <c r="H88" s="1"/>
      <c r="I88" s="1"/>
      <c r="J88" s="1"/>
      <c r="K88" s="1"/>
      <c r="L88" s="1"/>
      <c r="M88" s="1"/>
      <c r="N88" s="1"/>
      <c r="O88" s="1"/>
      <c r="P88" s="1"/>
      <c r="Q88" s="1"/>
    </row>
    <row r="89" spans="1:17" x14ac:dyDescent="0.35">
      <c r="A89" s="1"/>
      <c r="B89" s="1"/>
      <c r="C89" s="1"/>
      <c r="D89" s="1"/>
      <c r="E89" s="1"/>
      <c r="F89" s="1"/>
      <c r="G89" s="1"/>
      <c r="H89" s="1"/>
      <c r="I89" s="1"/>
      <c r="J89" s="1"/>
      <c r="K89" s="1"/>
      <c r="L89" s="1"/>
      <c r="M89" s="1"/>
      <c r="N89" s="1"/>
      <c r="O89" s="1"/>
      <c r="P89" s="1"/>
      <c r="Q89" s="1"/>
    </row>
    <row r="90" spans="1:17" x14ac:dyDescent="0.35">
      <c r="A90" s="1"/>
      <c r="B90" s="1"/>
      <c r="C90" s="1"/>
      <c r="D90" s="1"/>
      <c r="E90" s="1"/>
      <c r="F90" s="1"/>
      <c r="G90" s="1"/>
      <c r="H90" s="1"/>
      <c r="I90" s="1"/>
      <c r="J90" s="1"/>
      <c r="K90" s="1"/>
      <c r="L90" s="1"/>
      <c r="M90" s="1"/>
      <c r="N90" s="1"/>
      <c r="O90" s="1"/>
      <c r="P90" s="1"/>
      <c r="Q90" s="1"/>
    </row>
    <row r="91" spans="1:17" x14ac:dyDescent="0.35">
      <c r="A91" s="1"/>
      <c r="B91" s="1"/>
      <c r="C91" s="1"/>
      <c r="D91" s="1"/>
      <c r="E91" s="1"/>
      <c r="F91" s="1"/>
      <c r="G91" s="1"/>
      <c r="H91" s="1"/>
      <c r="I91" s="1"/>
      <c r="J91" s="1"/>
      <c r="K91" s="1"/>
      <c r="L91" s="1"/>
      <c r="M91" s="1"/>
      <c r="N91" s="1"/>
      <c r="O91" s="1"/>
      <c r="P91" s="1"/>
      <c r="Q91" s="1"/>
    </row>
    <row r="92" spans="1:17" x14ac:dyDescent="0.35">
      <c r="A92" s="1"/>
      <c r="B92" s="1"/>
      <c r="C92" s="1"/>
      <c r="D92" s="1"/>
      <c r="E92" s="1"/>
      <c r="F92" s="1"/>
      <c r="G92" s="1"/>
      <c r="H92" s="1"/>
      <c r="I92" s="1"/>
      <c r="J92" s="1"/>
      <c r="K92" s="1"/>
      <c r="L92" s="1"/>
      <c r="M92" s="1"/>
      <c r="N92" s="1"/>
      <c r="O92" s="1"/>
      <c r="P92" s="1"/>
      <c r="Q92" s="1"/>
    </row>
    <row r="93" spans="1:17" x14ac:dyDescent="0.35">
      <c r="A93" s="1"/>
      <c r="B93" s="1"/>
      <c r="C93" s="1"/>
      <c r="D93" s="1"/>
      <c r="E93" s="1"/>
      <c r="F93" s="1"/>
      <c r="G93" s="1"/>
      <c r="H93" s="1"/>
      <c r="I93" s="1"/>
      <c r="J93" s="1"/>
      <c r="K93" s="1"/>
      <c r="L93" s="1"/>
      <c r="M93" s="1"/>
      <c r="N93" s="1"/>
      <c r="O93" s="1"/>
      <c r="P93" s="1"/>
      <c r="Q93" s="1"/>
    </row>
    <row r="94" spans="1:17" x14ac:dyDescent="0.35">
      <c r="A94" s="1"/>
      <c r="B94" s="1"/>
      <c r="C94" s="1"/>
      <c r="D94" s="1"/>
      <c r="E94" s="1"/>
      <c r="F94" s="1"/>
      <c r="G94" s="1"/>
      <c r="H94" s="1"/>
      <c r="I94" s="1"/>
      <c r="J94" s="1"/>
      <c r="K94" s="1"/>
      <c r="L94" s="1"/>
      <c r="M94" s="1"/>
      <c r="N94" s="1"/>
      <c r="O94" s="1"/>
      <c r="P94" s="1"/>
      <c r="Q94" s="1"/>
    </row>
    <row r="95" spans="1:17" x14ac:dyDescent="0.35">
      <c r="A95" s="1"/>
      <c r="B95" s="1"/>
      <c r="C95" s="1"/>
      <c r="D95" s="1"/>
      <c r="E95" s="1"/>
      <c r="F95" s="1"/>
      <c r="G95" s="1"/>
      <c r="H95" s="1"/>
      <c r="I95" s="1"/>
      <c r="J95" s="1"/>
      <c r="K95" s="1"/>
      <c r="L95" s="1"/>
      <c r="M95" s="1"/>
      <c r="N95" s="1"/>
      <c r="O95" s="1"/>
      <c r="P95" s="1"/>
      <c r="Q95" s="1"/>
    </row>
    <row r="96" spans="1:17" x14ac:dyDescent="0.35">
      <c r="A96" s="1"/>
      <c r="B96" s="1"/>
      <c r="C96" s="1"/>
      <c r="D96" s="1"/>
      <c r="E96" s="1"/>
      <c r="F96" s="1"/>
      <c r="G96" s="1"/>
      <c r="H96" s="1"/>
      <c r="I96" s="1"/>
      <c r="J96" s="1"/>
      <c r="K96" s="1"/>
      <c r="L96" s="1"/>
      <c r="M96" s="1"/>
      <c r="N96" s="1"/>
      <c r="O96" s="1"/>
      <c r="P96" s="1"/>
      <c r="Q96" s="1"/>
    </row>
    <row r="97" spans="1:17" x14ac:dyDescent="0.35">
      <c r="A97" s="1"/>
      <c r="B97" s="1"/>
      <c r="C97" s="1"/>
      <c r="D97" s="1"/>
      <c r="E97" s="1"/>
      <c r="F97" s="1"/>
      <c r="G97" s="1"/>
      <c r="H97" s="1"/>
      <c r="I97" s="1"/>
      <c r="J97" s="1"/>
      <c r="K97" s="1"/>
      <c r="L97" s="1"/>
      <c r="M97" s="1"/>
      <c r="N97" s="1"/>
      <c r="O97" s="1"/>
      <c r="P97" s="1"/>
      <c r="Q97" s="1"/>
    </row>
    <row r="98" spans="1:17" x14ac:dyDescent="0.35">
      <c r="A98" s="1"/>
      <c r="B98" s="1"/>
      <c r="C98" s="1"/>
      <c r="D98" s="1"/>
      <c r="E98" s="1"/>
      <c r="F98" s="1"/>
      <c r="G98" s="1"/>
      <c r="H98" s="1"/>
      <c r="I98" s="1"/>
      <c r="J98" s="1"/>
      <c r="K98" s="1"/>
      <c r="L98" s="1"/>
      <c r="M98" s="1"/>
      <c r="N98" s="1"/>
      <c r="O98" s="1"/>
      <c r="P98" s="1"/>
      <c r="Q98" s="1"/>
    </row>
    <row r="99" spans="1:17" x14ac:dyDescent="0.35">
      <c r="A99" s="1"/>
      <c r="B99" s="1"/>
      <c r="C99" s="1"/>
      <c r="D99" s="1"/>
      <c r="E99" s="1"/>
      <c r="F99" s="1"/>
      <c r="G99" s="1"/>
      <c r="H99" s="1"/>
      <c r="I99" s="1"/>
      <c r="J99" s="1"/>
      <c r="K99" s="1"/>
      <c r="L99" s="1"/>
      <c r="M99" s="1"/>
      <c r="N99" s="1"/>
      <c r="O99" s="1"/>
      <c r="P99" s="1"/>
      <c r="Q99" s="1"/>
    </row>
    <row r="100" spans="1:17" x14ac:dyDescent="0.35">
      <c r="A100" s="1"/>
      <c r="B100" s="1"/>
      <c r="C100" s="1"/>
      <c r="D100" s="1"/>
      <c r="E100" s="1"/>
      <c r="F100" s="1"/>
      <c r="G100" s="1"/>
      <c r="H100" s="1"/>
      <c r="I100" s="1"/>
      <c r="J100" s="1"/>
      <c r="K100" s="1"/>
      <c r="L100" s="1"/>
      <c r="M100" s="1"/>
      <c r="N100" s="1"/>
      <c r="O100" s="1"/>
      <c r="P100" s="1"/>
      <c r="Q100" s="1"/>
    </row>
    <row r="101" spans="1:17" x14ac:dyDescent="0.35">
      <c r="A101" s="1"/>
      <c r="B101" s="1"/>
      <c r="C101" s="1"/>
      <c r="D101" s="1"/>
      <c r="E101" s="1"/>
      <c r="F101" s="1"/>
      <c r="G101" s="1"/>
      <c r="H101" s="1"/>
      <c r="I101" s="1"/>
      <c r="J101" s="1"/>
      <c r="K101" s="1"/>
      <c r="L101" s="1"/>
      <c r="M101" s="1"/>
      <c r="N101" s="1"/>
      <c r="O101" s="1"/>
      <c r="P101" s="1"/>
      <c r="Q101" s="1"/>
    </row>
    <row r="102" spans="1:17" x14ac:dyDescent="0.35">
      <c r="A102" s="1"/>
      <c r="B102" s="1"/>
      <c r="C102" s="1"/>
      <c r="D102" s="1"/>
      <c r="E102" s="1"/>
      <c r="F102" s="1"/>
      <c r="G102" s="1"/>
      <c r="H102" s="1"/>
      <c r="I102" s="1"/>
      <c r="J102" s="1"/>
      <c r="K102" s="1"/>
      <c r="L102" s="1"/>
      <c r="M102" s="1"/>
      <c r="N102" s="1"/>
      <c r="O102" s="1"/>
      <c r="P102" s="1"/>
      <c r="Q102" s="1"/>
    </row>
    <row r="103" spans="1:17" x14ac:dyDescent="0.35">
      <c r="A103" s="1"/>
      <c r="B103" s="1"/>
      <c r="C103" s="1"/>
      <c r="D103" s="1"/>
      <c r="E103" s="1"/>
      <c r="F103" s="1"/>
      <c r="G103" s="1"/>
      <c r="H103" s="1"/>
      <c r="I103" s="1"/>
      <c r="J103" s="1"/>
      <c r="K103" s="1"/>
      <c r="L103" s="1"/>
      <c r="M103" s="1"/>
      <c r="N103" s="1"/>
      <c r="O103" s="1"/>
      <c r="P103" s="1"/>
      <c r="Q103" s="1"/>
    </row>
    <row r="104" spans="1:17" x14ac:dyDescent="0.35">
      <c r="A104" s="1"/>
      <c r="B104" s="1"/>
      <c r="C104" s="1"/>
      <c r="D104" s="1"/>
      <c r="E104" s="1"/>
      <c r="F104" s="1"/>
      <c r="G104" s="1"/>
      <c r="H104" s="1"/>
      <c r="I104" s="1"/>
      <c r="J104" s="1"/>
      <c r="K104" s="1"/>
      <c r="L104" s="1"/>
      <c r="M104" s="1"/>
      <c r="N104" s="1"/>
      <c r="O104" s="1"/>
      <c r="P104" s="1"/>
      <c r="Q104" s="1"/>
    </row>
    <row r="105" spans="1:17" x14ac:dyDescent="0.35">
      <c r="A105" s="1"/>
      <c r="B105" s="1"/>
      <c r="C105" s="1"/>
      <c r="D105" s="1"/>
      <c r="E105" s="1"/>
      <c r="F105" s="1"/>
      <c r="G105" s="1"/>
      <c r="H105" s="1"/>
      <c r="I105" s="1"/>
      <c r="J105" s="1"/>
      <c r="K105" s="1"/>
      <c r="L105" s="1"/>
      <c r="M105" s="1"/>
      <c r="N105" s="1"/>
      <c r="O105" s="1"/>
      <c r="P105" s="1"/>
      <c r="Q105" s="1"/>
    </row>
    <row r="106" spans="1:17" x14ac:dyDescent="0.35">
      <c r="A106" s="1"/>
      <c r="B106" s="1"/>
      <c r="C106" s="1"/>
      <c r="D106" s="1"/>
      <c r="E106" s="1"/>
      <c r="F106" s="1"/>
      <c r="G106" s="1"/>
      <c r="H106" s="1"/>
      <c r="I106" s="1"/>
      <c r="J106" s="1"/>
      <c r="K106" s="1"/>
      <c r="L106" s="1"/>
      <c r="M106" s="1"/>
      <c r="N106" s="1"/>
      <c r="O106" s="1"/>
      <c r="P106" s="1"/>
      <c r="Q106" s="1"/>
    </row>
    <row r="107" spans="1:17" x14ac:dyDescent="0.35">
      <c r="A107" s="1"/>
      <c r="B107" s="1"/>
      <c r="C107" s="1"/>
      <c r="D107" s="1"/>
      <c r="E107" s="1"/>
      <c r="F107" s="1"/>
      <c r="G107" s="1"/>
      <c r="H107" s="1"/>
      <c r="I107" s="1"/>
      <c r="J107" s="1"/>
      <c r="K107" s="1"/>
      <c r="L107" s="1"/>
      <c r="M107" s="1"/>
      <c r="N107" s="1"/>
      <c r="O107" s="1"/>
      <c r="P107" s="1"/>
      <c r="Q107" s="1"/>
    </row>
    <row r="108" spans="1:17" x14ac:dyDescent="0.35">
      <c r="A108" s="1"/>
      <c r="B108" s="1"/>
      <c r="C108" s="1"/>
      <c r="D108" s="1"/>
      <c r="E108" s="1"/>
      <c r="F108" s="1"/>
      <c r="G108" s="1"/>
      <c r="H108" s="1"/>
      <c r="I108" s="1"/>
      <c r="J108" s="1"/>
      <c r="K108" s="1"/>
      <c r="L108" s="1"/>
      <c r="M108" s="1"/>
      <c r="N108" s="1"/>
      <c r="O108" s="1"/>
      <c r="P108" s="1"/>
      <c r="Q108" s="1"/>
    </row>
    <row r="109" spans="1:17" x14ac:dyDescent="0.35">
      <c r="A109" s="1"/>
      <c r="B109" s="1"/>
      <c r="C109" s="1"/>
      <c r="D109" s="1"/>
      <c r="E109" s="1"/>
      <c r="F109" s="1"/>
      <c r="G109" s="1"/>
      <c r="H109" s="1"/>
      <c r="I109" s="1"/>
      <c r="J109" s="1"/>
      <c r="K109" s="1"/>
      <c r="L109" s="1"/>
      <c r="M109" s="1"/>
      <c r="N109" s="1"/>
      <c r="O109" s="1"/>
      <c r="P109" s="1"/>
      <c r="Q109" s="1"/>
    </row>
    <row r="110" spans="1:17" x14ac:dyDescent="0.35">
      <c r="A110" s="1"/>
      <c r="B110" s="1"/>
      <c r="C110" s="1"/>
      <c r="D110" s="1"/>
      <c r="E110" s="1"/>
      <c r="F110" s="1"/>
      <c r="G110" s="1"/>
      <c r="H110" s="1"/>
      <c r="I110" s="1"/>
      <c r="J110" s="1"/>
      <c r="K110" s="1"/>
      <c r="L110" s="1"/>
      <c r="M110" s="1"/>
      <c r="N110" s="1"/>
      <c r="O110" s="1"/>
      <c r="P110" s="1"/>
      <c r="Q110" s="1"/>
    </row>
    <row r="111" spans="1:17" x14ac:dyDescent="0.35">
      <c r="A111" s="1"/>
      <c r="B111" s="1"/>
      <c r="C111" s="1"/>
      <c r="D111" s="1"/>
      <c r="E111" s="1"/>
      <c r="F111" s="1"/>
      <c r="G111" s="1"/>
      <c r="H111" s="1"/>
      <c r="I111" s="1"/>
      <c r="J111" s="1"/>
      <c r="K111" s="1"/>
      <c r="L111" s="1"/>
      <c r="M111" s="1"/>
      <c r="N111" s="1"/>
      <c r="O111" s="1"/>
      <c r="P111" s="1"/>
      <c r="Q111" s="1"/>
    </row>
    <row r="112" spans="1:17" x14ac:dyDescent="0.35">
      <c r="A112" s="1"/>
      <c r="B112" s="1"/>
      <c r="C112" s="1"/>
      <c r="D112" s="1"/>
      <c r="E112" s="1"/>
      <c r="F112" s="1"/>
      <c r="G112" s="1"/>
      <c r="H112" s="1"/>
      <c r="I112" s="1"/>
      <c r="J112" s="1"/>
      <c r="K112" s="1"/>
      <c r="L112" s="1"/>
      <c r="M112" s="1"/>
      <c r="N112" s="1"/>
      <c r="O112" s="1"/>
      <c r="P112" s="1"/>
      <c r="Q112" s="1"/>
    </row>
    <row r="113" spans="1:17" x14ac:dyDescent="0.35">
      <c r="A113" s="1"/>
      <c r="B113" s="1"/>
      <c r="C113" s="1"/>
      <c r="D113" s="1"/>
      <c r="E113" s="1"/>
      <c r="F113" s="1"/>
      <c r="G113" s="1"/>
      <c r="H113" s="1"/>
      <c r="I113" s="1"/>
      <c r="J113" s="1"/>
      <c r="K113" s="1"/>
      <c r="L113" s="1"/>
      <c r="M113" s="1"/>
      <c r="N113" s="1"/>
      <c r="O113" s="1"/>
      <c r="P113" s="1"/>
      <c r="Q113" s="1"/>
    </row>
    <row r="114" spans="1:17" x14ac:dyDescent="0.35">
      <c r="A114" s="1"/>
      <c r="B114" s="1"/>
      <c r="C114" s="1"/>
      <c r="D114" s="1"/>
      <c r="E114" s="1"/>
      <c r="F114" s="1"/>
      <c r="G114" s="1"/>
      <c r="H114" s="1"/>
      <c r="I114" s="1"/>
      <c r="J114" s="1"/>
      <c r="K114" s="1"/>
      <c r="L114" s="1"/>
      <c r="M114" s="1"/>
      <c r="N114" s="1"/>
      <c r="O114" s="1"/>
      <c r="P114" s="1"/>
      <c r="Q114" s="1"/>
    </row>
    <row r="115" spans="1:17" x14ac:dyDescent="0.35">
      <c r="A115" s="1"/>
      <c r="B115" s="1"/>
      <c r="C115" s="1"/>
      <c r="D115" s="1"/>
      <c r="E115" s="1"/>
      <c r="F115" s="1"/>
      <c r="G115" s="1"/>
      <c r="H115" s="1"/>
      <c r="I115" s="1"/>
      <c r="J115" s="1"/>
      <c r="K115" s="1"/>
      <c r="L115" s="1"/>
      <c r="M115" s="1"/>
      <c r="N115" s="1"/>
      <c r="O115" s="1"/>
      <c r="P115" s="1"/>
      <c r="Q115" s="1"/>
    </row>
    <row r="116" spans="1:17" x14ac:dyDescent="0.35">
      <c r="A116" s="1"/>
      <c r="B116" s="1"/>
      <c r="C116" s="1"/>
      <c r="D116" s="1"/>
      <c r="E116" s="1"/>
      <c r="F116" s="1"/>
      <c r="G116" s="1"/>
      <c r="H116" s="1"/>
      <c r="I116" s="1"/>
      <c r="J116" s="1"/>
      <c r="K116" s="1"/>
      <c r="L116" s="1"/>
      <c r="M116" s="1"/>
      <c r="N116" s="1"/>
      <c r="O116" s="1"/>
      <c r="P116" s="1"/>
      <c r="Q116" s="1"/>
    </row>
    <row r="117" spans="1:17" x14ac:dyDescent="0.35">
      <c r="A117" s="1"/>
      <c r="B117" s="1"/>
      <c r="C117" s="1"/>
      <c r="D117" s="1"/>
      <c r="E117" s="1"/>
      <c r="F117" s="1"/>
      <c r="G117" s="1"/>
      <c r="H117" s="1"/>
      <c r="I117" s="1"/>
      <c r="J117" s="1"/>
      <c r="K117" s="1"/>
      <c r="L117" s="1"/>
      <c r="M117" s="1"/>
      <c r="N117" s="1"/>
      <c r="O117" s="1"/>
      <c r="P117" s="1"/>
      <c r="Q117" s="1"/>
    </row>
    <row r="118" spans="1:17" x14ac:dyDescent="0.35">
      <c r="A118" s="1"/>
      <c r="B118" s="1"/>
      <c r="C118" s="1"/>
      <c r="D118" s="1"/>
      <c r="E118" s="1"/>
      <c r="F118" s="1"/>
      <c r="G118" s="1"/>
      <c r="H118" s="1"/>
      <c r="I118" s="1"/>
      <c r="J118" s="1"/>
      <c r="K118" s="1"/>
      <c r="L118" s="1"/>
      <c r="M118" s="1"/>
      <c r="N118" s="1"/>
      <c r="O118" s="1"/>
      <c r="P118" s="1"/>
      <c r="Q118" s="1"/>
    </row>
    <row r="119" spans="1:17" x14ac:dyDescent="0.35">
      <c r="A119" s="1"/>
      <c r="B119" s="1"/>
      <c r="C119" s="1"/>
      <c r="D119" s="1"/>
      <c r="E119" s="1"/>
      <c r="F119" s="1"/>
      <c r="G119" s="1"/>
      <c r="H119" s="1"/>
      <c r="I119" s="1"/>
      <c r="J119" s="1"/>
      <c r="K119" s="1"/>
      <c r="L119" s="1"/>
      <c r="M119" s="1"/>
      <c r="N119" s="1"/>
      <c r="O119" s="1"/>
      <c r="P119" s="1"/>
      <c r="Q119" s="1"/>
    </row>
    <row r="120" spans="1:17" x14ac:dyDescent="0.35">
      <c r="A120" s="1"/>
      <c r="B120" s="1"/>
      <c r="C120" s="1"/>
      <c r="D120" s="1"/>
      <c r="E120" s="1"/>
      <c r="F120" s="1"/>
      <c r="G120" s="1"/>
      <c r="H120" s="1"/>
      <c r="I120" s="1"/>
      <c r="J120" s="1"/>
      <c r="K120" s="1"/>
      <c r="L120" s="1"/>
      <c r="M120" s="1"/>
      <c r="N120" s="1"/>
      <c r="O120" s="1"/>
      <c r="P120" s="1"/>
      <c r="Q120" s="1"/>
    </row>
    <row r="121" spans="1:17" x14ac:dyDescent="0.35">
      <c r="A121" s="1"/>
      <c r="B121" s="1"/>
      <c r="C121" s="1"/>
      <c r="D121" s="1"/>
      <c r="E121" s="1"/>
      <c r="F121" s="1"/>
      <c r="G121" s="1"/>
      <c r="H121" s="1"/>
      <c r="I121" s="1"/>
      <c r="J121" s="1"/>
      <c r="K121" s="1"/>
      <c r="L121" s="1"/>
      <c r="M121" s="1"/>
      <c r="N121" s="1"/>
      <c r="O121" s="1"/>
      <c r="P121" s="1"/>
      <c r="Q121" s="1"/>
    </row>
    <row r="122" spans="1:17" x14ac:dyDescent="0.35">
      <c r="A122" s="1"/>
      <c r="B122" s="1"/>
      <c r="C122" s="1"/>
      <c r="D122" s="1"/>
      <c r="E122" s="1"/>
      <c r="F122" s="1"/>
      <c r="G122" s="1"/>
      <c r="H122" s="1"/>
      <c r="I122" s="1"/>
      <c r="J122" s="1"/>
      <c r="K122" s="1"/>
      <c r="L122" s="1"/>
      <c r="M122" s="1"/>
      <c r="N122" s="1"/>
      <c r="O122" s="1"/>
      <c r="P122" s="1"/>
      <c r="Q122" s="1"/>
    </row>
    <row r="123" spans="1:17" x14ac:dyDescent="0.35">
      <c r="A123" s="1"/>
      <c r="B123" s="1"/>
      <c r="C123" s="1"/>
      <c r="D123" s="1"/>
      <c r="E123" s="1"/>
      <c r="F123" s="1"/>
      <c r="G123" s="1"/>
      <c r="H123" s="1"/>
      <c r="I123" s="1"/>
      <c r="J123" s="1"/>
      <c r="K123" s="1"/>
      <c r="L123" s="1"/>
      <c r="M123" s="1"/>
      <c r="N123" s="1"/>
      <c r="O123" s="1"/>
      <c r="P123" s="1"/>
      <c r="Q123" s="1"/>
    </row>
    <row r="124" spans="1:17" x14ac:dyDescent="0.35">
      <c r="A124" s="1"/>
      <c r="B124" s="1"/>
      <c r="C124" s="1"/>
      <c r="D124" s="1"/>
      <c r="E124" s="1"/>
      <c r="F124" s="1"/>
      <c r="G124" s="1"/>
      <c r="H124" s="1"/>
      <c r="I124" s="1"/>
      <c r="J124" s="1"/>
      <c r="K124" s="1"/>
      <c r="L124" s="1"/>
      <c r="M124" s="1"/>
      <c r="N124" s="1"/>
      <c r="O124" s="1"/>
      <c r="P124" s="1"/>
      <c r="Q124" s="1"/>
    </row>
    <row r="125" spans="1:17" x14ac:dyDescent="0.35">
      <c r="A125" s="1"/>
      <c r="B125" s="1"/>
      <c r="C125" s="1"/>
      <c r="D125" s="1"/>
      <c r="E125" s="1"/>
      <c r="F125" s="1"/>
      <c r="G125" s="1"/>
      <c r="H125" s="1"/>
      <c r="I125" s="1"/>
      <c r="J125" s="1"/>
      <c r="K125" s="1"/>
      <c r="L125" s="1"/>
      <c r="M125" s="1"/>
      <c r="N125" s="1"/>
      <c r="O125" s="1"/>
      <c r="P125" s="1"/>
      <c r="Q125" s="1"/>
    </row>
    <row r="126" spans="1:17" x14ac:dyDescent="0.35">
      <c r="A126" s="1"/>
      <c r="B126" s="1"/>
      <c r="C126" s="1"/>
      <c r="D126" s="1"/>
      <c r="E126" s="1"/>
      <c r="F126" s="1"/>
      <c r="G126" s="1"/>
      <c r="H126" s="1"/>
      <c r="I126" s="1"/>
      <c r="J126" s="1"/>
      <c r="K126" s="1"/>
      <c r="L126" s="1"/>
      <c r="M126" s="1"/>
      <c r="N126" s="1"/>
      <c r="O126" s="1"/>
      <c r="P126" s="1"/>
      <c r="Q126" s="1"/>
    </row>
    <row r="127" spans="1:17" x14ac:dyDescent="0.35">
      <c r="A127" s="1"/>
      <c r="B127" s="1"/>
      <c r="C127" s="1"/>
      <c r="D127" s="1"/>
      <c r="E127" s="1"/>
      <c r="F127" s="1"/>
      <c r="G127" s="1"/>
      <c r="H127" s="1"/>
      <c r="I127" s="1"/>
      <c r="J127" s="1"/>
      <c r="K127" s="1"/>
      <c r="L127" s="1"/>
      <c r="M127" s="1"/>
      <c r="N127" s="1"/>
      <c r="O127" s="1"/>
      <c r="P127" s="1"/>
      <c r="Q127" s="1"/>
    </row>
    <row r="128" spans="1:17" x14ac:dyDescent="0.35">
      <c r="A128" s="1"/>
      <c r="B128" s="1"/>
      <c r="C128" s="1"/>
      <c r="D128" s="1"/>
      <c r="E128" s="1"/>
      <c r="F128" s="1"/>
      <c r="G128" s="1"/>
      <c r="H128" s="1"/>
      <c r="I128" s="1"/>
      <c r="J128" s="1"/>
      <c r="K128" s="1"/>
      <c r="L128" s="1"/>
      <c r="M128" s="1"/>
      <c r="N128" s="1"/>
      <c r="O128" s="1"/>
      <c r="P128" s="1"/>
      <c r="Q128" s="1"/>
    </row>
    <row r="129" spans="1:17" x14ac:dyDescent="0.35">
      <c r="A129" s="1"/>
      <c r="B129" s="1"/>
      <c r="C129" s="1"/>
      <c r="D129" s="1"/>
      <c r="E129" s="1"/>
      <c r="F129" s="1"/>
      <c r="G129" s="1"/>
      <c r="H129" s="1"/>
      <c r="I129" s="1"/>
      <c r="J129" s="1"/>
      <c r="K129" s="1"/>
      <c r="L129" s="1"/>
      <c r="M129" s="1"/>
      <c r="N129" s="1"/>
      <c r="O129" s="1"/>
      <c r="P129" s="1"/>
      <c r="Q129" s="1"/>
    </row>
    <row r="130" spans="1:17" x14ac:dyDescent="0.35">
      <c r="A130" s="1"/>
      <c r="B130" s="1"/>
      <c r="C130" s="1"/>
      <c r="D130" s="1"/>
      <c r="E130" s="1"/>
      <c r="F130" s="1"/>
      <c r="G130" s="1"/>
      <c r="H130" s="1"/>
      <c r="I130" s="1"/>
      <c r="J130" s="1"/>
      <c r="K130" s="1"/>
      <c r="L130" s="1"/>
      <c r="M130" s="1"/>
      <c r="N130" s="1"/>
      <c r="O130" s="1"/>
      <c r="P130" s="1"/>
      <c r="Q130" s="1"/>
    </row>
    <row r="131" spans="1:17" x14ac:dyDescent="0.35">
      <c r="A131" s="1"/>
      <c r="B131" s="1"/>
      <c r="C131" s="1"/>
      <c r="D131" s="1"/>
      <c r="E131" s="1"/>
      <c r="F131" s="1"/>
      <c r="G131" s="1"/>
      <c r="H131" s="1"/>
      <c r="I131" s="1"/>
      <c r="J131" s="1"/>
      <c r="K131" s="1"/>
      <c r="L131" s="1"/>
      <c r="M131" s="1"/>
      <c r="N131" s="1"/>
      <c r="O131" s="1"/>
      <c r="P131" s="1"/>
      <c r="Q131" s="1"/>
    </row>
    <row r="132" spans="1:17" x14ac:dyDescent="0.35">
      <c r="A132" s="1"/>
      <c r="B132" s="1"/>
      <c r="C132" s="1"/>
      <c r="D132" s="1"/>
      <c r="E132" s="1"/>
      <c r="F132" s="1"/>
      <c r="G132" s="1"/>
      <c r="H132" s="1"/>
      <c r="I132" s="1"/>
      <c r="J132" s="1"/>
      <c r="K132" s="1"/>
      <c r="L132" s="1"/>
      <c r="M132" s="1"/>
      <c r="N132" s="1"/>
      <c r="O132" s="1"/>
      <c r="P132" s="1"/>
      <c r="Q132" s="1"/>
    </row>
    <row r="133" spans="1:17" x14ac:dyDescent="0.35">
      <c r="A133" s="1"/>
      <c r="B133" s="1"/>
      <c r="C133" s="1"/>
      <c r="D133" s="1"/>
      <c r="E133" s="1"/>
      <c r="F133" s="1"/>
      <c r="G133" s="1"/>
      <c r="H133" s="1"/>
      <c r="I133" s="1"/>
      <c r="J133" s="1"/>
      <c r="K133" s="1"/>
      <c r="L133" s="1"/>
      <c r="M133" s="1"/>
      <c r="N133" s="1"/>
      <c r="O133" s="1"/>
      <c r="P133" s="1"/>
      <c r="Q133" s="1"/>
    </row>
    <row r="134" spans="1:17" x14ac:dyDescent="0.35">
      <c r="A134" s="1"/>
      <c r="B134" s="1"/>
      <c r="C134" s="1"/>
      <c r="D134" s="1"/>
      <c r="E134" s="1"/>
      <c r="F134" s="1"/>
      <c r="G134" s="1"/>
      <c r="H134" s="1"/>
      <c r="I134" s="1"/>
      <c r="J134" s="1"/>
      <c r="K134" s="1"/>
      <c r="L134" s="1"/>
      <c r="M134" s="1"/>
      <c r="N134" s="1"/>
      <c r="O134" s="1"/>
      <c r="P134" s="1"/>
      <c r="Q134" s="1"/>
    </row>
    <row r="135" spans="1:17" x14ac:dyDescent="0.35">
      <c r="A135" s="1"/>
      <c r="B135" s="1"/>
      <c r="C135" s="1"/>
      <c r="D135" s="1"/>
      <c r="E135" s="1"/>
      <c r="F135" s="1"/>
      <c r="G135" s="1"/>
      <c r="H135" s="1"/>
      <c r="I135" s="1"/>
      <c r="J135" s="1"/>
      <c r="K135" s="1"/>
      <c r="L135" s="1"/>
      <c r="M135" s="1"/>
      <c r="N135" s="1"/>
      <c r="O135" s="1"/>
      <c r="P135" s="1"/>
      <c r="Q135" s="1"/>
    </row>
    <row r="136" spans="1:17" x14ac:dyDescent="0.35">
      <c r="A136" s="1"/>
      <c r="B136" s="1"/>
      <c r="C136" s="1"/>
      <c r="D136" s="1"/>
      <c r="E136" s="1"/>
      <c r="F136" s="1"/>
      <c r="G136" s="1"/>
      <c r="H136" s="1"/>
      <c r="I136" s="1"/>
      <c r="J136" s="1"/>
      <c r="K136" s="1"/>
      <c r="L136" s="1"/>
      <c r="M136" s="1"/>
      <c r="N136" s="1"/>
      <c r="O136" s="1"/>
      <c r="P136" s="1"/>
      <c r="Q136" s="1"/>
    </row>
    <row r="137" spans="1:17" x14ac:dyDescent="0.35">
      <c r="A137" s="1"/>
      <c r="B137" s="1"/>
      <c r="C137" s="1"/>
      <c r="D137" s="1"/>
      <c r="E137" s="1"/>
      <c r="F137" s="1"/>
      <c r="G137" s="1"/>
      <c r="H137" s="1"/>
      <c r="I137" s="1"/>
      <c r="J137" s="1"/>
      <c r="K137" s="1"/>
      <c r="L137" s="1"/>
      <c r="M137" s="1"/>
      <c r="N137" s="1"/>
      <c r="O137" s="1"/>
      <c r="P137" s="1"/>
      <c r="Q137" s="1"/>
    </row>
    <row r="138" spans="1:17" x14ac:dyDescent="0.35">
      <c r="A138" s="1"/>
      <c r="B138" s="1"/>
      <c r="C138" s="1"/>
      <c r="D138" s="1"/>
      <c r="E138" s="1"/>
      <c r="F138" s="1"/>
      <c r="G138" s="1"/>
      <c r="H138" s="1"/>
      <c r="I138" s="1"/>
      <c r="J138" s="1"/>
      <c r="K138" s="1"/>
      <c r="L138" s="1"/>
      <c r="M138" s="1"/>
      <c r="N138" s="1"/>
      <c r="O138" s="1"/>
      <c r="P138" s="1"/>
      <c r="Q138" s="1"/>
    </row>
    <row r="139" spans="1:17" x14ac:dyDescent="0.35">
      <c r="A139" s="1"/>
      <c r="B139" s="1"/>
      <c r="C139" s="1"/>
      <c r="D139" s="1"/>
      <c r="E139" s="1"/>
      <c r="F139" s="1"/>
      <c r="G139" s="1"/>
      <c r="H139" s="1"/>
      <c r="I139" s="1"/>
      <c r="J139" s="1"/>
      <c r="K139" s="1"/>
      <c r="L139" s="1"/>
      <c r="M139" s="1"/>
      <c r="N139" s="1"/>
      <c r="O139" s="1"/>
      <c r="P139" s="1"/>
      <c r="Q139" s="1"/>
    </row>
    <row r="140" spans="1:17" x14ac:dyDescent="0.35">
      <c r="A140" s="1"/>
      <c r="B140" s="1"/>
      <c r="C140" s="1"/>
      <c r="D140" s="1"/>
      <c r="E140" s="1"/>
      <c r="F140" s="1"/>
      <c r="G140" s="1"/>
      <c r="H140" s="1"/>
      <c r="I140" s="1"/>
      <c r="J140" s="1"/>
      <c r="K140" s="1"/>
      <c r="L140" s="1"/>
      <c r="M140" s="1"/>
      <c r="N140" s="1"/>
      <c r="O140" s="1"/>
      <c r="P140" s="1"/>
      <c r="Q140" s="1"/>
    </row>
    <row r="141" spans="1:17" x14ac:dyDescent="0.35">
      <c r="A141" s="1"/>
      <c r="B141" s="1"/>
      <c r="C141" s="1"/>
      <c r="D141" s="1"/>
      <c r="E141" s="1"/>
      <c r="F141" s="1"/>
      <c r="G141" s="1"/>
      <c r="H141" s="1"/>
      <c r="I141" s="1"/>
      <c r="J141" s="1"/>
      <c r="K141" s="1"/>
      <c r="L141" s="1"/>
      <c r="M141" s="1"/>
      <c r="N141" s="1"/>
      <c r="O141" s="1"/>
      <c r="P141" s="1"/>
      <c r="Q141" s="1"/>
    </row>
    <row r="142" spans="1:17" x14ac:dyDescent="0.35">
      <c r="A142" s="1"/>
      <c r="B142" s="1"/>
      <c r="C142" s="1"/>
      <c r="D142" s="1"/>
      <c r="E142" s="1"/>
      <c r="F142" s="1"/>
      <c r="G142" s="1"/>
      <c r="H142" s="1"/>
      <c r="I142" s="1"/>
      <c r="J142" s="1"/>
      <c r="K142" s="1"/>
      <c r="L142" s="1"/>
      <c r="M142" s="1"/>
      <c r="N142" s="1"/>
      <c r="O142" s="1"/>
      <c r="P142" s="1"/>
      <c r="Q142" s="1"/>
    </row>
    <row r="143" spans="1:17" x14ac:dyDescent="0.35">
      <c r="A143" s="1"/>
      <c r="B143" s="1"/>
      <c r="C143" s="1"/>
      <c r="D143" s="1"/>
      <c r="E143" s="1"/>
      <c r="F143" s="1"/>
      <c r="G143" s="1"/>
      <c r="H143" s="1"/>
      <c r="I143" s="1"/>
      <c r="J143" s="1"/>
      <c r="K143" s="1"/>
      <c r="L143" s="1"/>
      <c r="M143" s="1"/>
      <c r="N143" s="1"/>
      <c r="O143" s="1"/>
      <c r="P143" s="1"/>
      <c r="Q143" s="1"/>
    </row>
    <row r="144" spans="1:17" x14ac:dyDescent="0.35">
      <c r="A144" s="1"/>
      <c r="B144" s="1"/>
      <c r="C144" s="1"/>
      <c r="D144" s="1"/>
      <c r="E144" s="1"/>
      <c r="F144" s="1"/>
      <c r="G144" s="1"/>
      <c r="H144" s="1"/>
      <c r="I144" s="1"/>
      <c r="J144" s="1"/>
      <c r="K144" s="1"/>
      <c r="L144" s="1"/>
      <c r="M144" s="1"/>
      <c r="N144" s="1"/>
      <c r="O144" s="1"/>
      <c r="P144" s="1"/>
      <c r="Q144" s="1"/>
    </row>
    <row r="145" spans="1:17" x14ac:dyDescent="0.35">
      <c r="A145" s="1"/>
      <c r="B145" s="1"/>
      <c r="C145" s="1"/>
      <c r="D145" s="1"/>
      <c r="E145" s="1"/>
      <c r="F145" s="1"/>
      <c r="G145" s="1"/>
      <c r="H145" s="1"/>
      <c r="I145" s="1"/>
      <c r="J145" s="1"/>
      <c r="K145" s="1"/>
      <c r="L145" s="1"/>
      <c r="M145" s="1"/>
      <c r="N145" s="1"/>
      <c r="O145" s="1"/>
      <c r="P145" s="1"/>
      <c r="Q145" s="1"/>
    </row>
    <row r="146" spans="1:17" x14ac:dyDescent="0.35">
      <c r="A146" s="1"/>
      <c r="B146" s="1"/>
      <c r="C146" s="1"/>
      <c r="D146" s="1"/>
      <c r="E146" s="1"/>
      <c r="F146" s="1"/>
      <c r="G146" s="1"/>
      <c r="H146" s="1"/>
      <c r="I146" s="1"/>
      <c r="J146" s="1"/>
      <c r="K146" s="1"/>
      <c r="L146" s="1"/>
      <c r="M146" s="1"/>
      <c r="N146" s="1"/>
      <c r="O146" s="1"/>
      <c r="P146" s="1"/>
      <c r="Q146" s="1"/>
    </row>
    <row r="147" spans="1:17" x14ac:dyDescent="0.35">
      <c r="A147" s="1"/>
      <c r="B147" s="1"/>
      <c r="C147" s="1"/>
      <c r="D147" s="1"/>
      <c r="E147" s="1"/>
      <c r="F147" s="1"/>
      <c r="G147" s="1"/>
      <c r="H147" s="1"/>
      <c r="I147" s="1"/>
      <c r="J147" s="1"/>
      <c r="K147" s="1"/>
      <c r="L147" s="1"/>
      <c r="M147" s="1"/>
      <c r="N147" s="1"/>
      <c r="O147" s="1"/>
      <c r="P147" s="1"/>
      <c r="Q147" s="1"/>
    </row>
    <row r="148" spans="1:17" x14ac:dyDescent="0.35">
      <c r="A148" s="1"/>
      <c r="B148" s="1"/>
      <c r="C148" s="1"/>
      <c r="D148" s="1"/>
      <c r="E148" s="1"/>
      <c r="F148" s="1"/>
      <c r="G148" s="1"/>
      <c r="H148" s="1"/>
      <c r="I148" s="1"/>
      <c r="J148" s="1"/>
      <c r="K148" s="1"/>
      <c r="L148" s="1"/>
      <c r="M148" s="1"/>
      <c r="N148" s="1"/>
      <c r="O148" s="1"/>
      <c r="P148" s="1"/>
      <c r="Q148" s="1"/>
    </row>
    <row r="149" spans="1:17" x14ac:dyDescent="0.35">
      <c r="A149" s="1"/>
      <c r="B149" s="1"/>
      <c r="C149" s="1"/>
      <c r="D149" s="1"/>
      <c r="E149" s="1"/>
      <c r="F149" s="1"/>
      <c r="G149" s="1"/>
      <c r="H149" s="1"/>
      <c r="I149" s="1"/>
      <c r="J149" s="1"/>
      <c r="K149" s="1"/>
      <c r="L149" s="1"/>
      <c r="M149" s="1"/>
      <c r="N149" s="1"/>
      <c r="O149" s="1"/>
      <c r="P149" s="1"/>
      <c r="Q149" s="1"/>
    </row>
    <row r="150" spans="1:17" x14ac:dyDescent="0.35">
      <c r="A150" s="1"/>
      <c r="B150" s="1"/>
      <c r="C150" s="1"/>
      <c r="D150" s="1"/>
      <c r="E150" s="1"/>
      <c r="F150" s="1"/>
      <c r="G150" s="1"/>
      <c r="H150" s="1"/>
      <c r="I150" s="1"/>
      <c r="J150" s="1"/>
      <c r="K150" s="1"/>
      <c r="L150" s="1"/>
      <c r="M150" s="1"/>
      <c r="N150" s="1"/>
      <c r="O150" s="1"/>
      <c r="P150" s="1"/>
      <c r="Q150" s="1"/>
    </row>
    <row r="151" spans="1:17" x14ac:dyDescent="0.35">
      <c r="A151" s="1"/>
      <c r="B151" s="1"/>
      <c r="C151" s="1"/>
      <c r="D151" s="1"/>
      <c r="E151" s="1"/>
      <c r="F151" s="1"/>
      <c r="G151" s="1"/>
      <c r="H151" s="1"/>
      <c r="I151" s="1"/>
      <c r="J151" s="1"/>
      <c r="K151" s="1"/>
      <c r="L151" s="1"/>
      <c r="M151" s="1"/>
      <c r="N151" s="1"/>
      <c r="O151" s="1"/>
      <c r="P151" s="1"/>
      <c r="Q151" s="1"/>
    </row>
    <row r="152" spans="1:17" x14ac:dyDescent="0.35">
      <c r="A152" s="1"/>
      <c r="B152" s="1"/>
      <c r="C152" s="1"/>
      <c r="D152" s="1"/>
      <c r="E152" s="1"/>
      <c r="F152" s="1"/>
      <c r="G152" s="1"/>
      <c r="H152" s="1"/>
      <c r="I152" s="1"/>
      <c r="J152" s="1"/>
      <c r="K152" s="1"/>
      <c r="L152" s="1"/>
      <c r="M152" s="1"/>
      <c r="N152" s="1"/>
      <c r="O152" s="1"/>
      <c r="P152" s="1"/>
      <c r="Q152" s="1"/>
    </row>
    <row r="153" spans="1:17" x14ac:dyDescent="0.35">
      <c r="A153" s="1"/>
      <c r="B153" s="1"/>
      <c r="C153" s="1"/>
      <c r="D153" s="1"/>
      <c r="E153" s="1"/>
      <c r="F153" s="1"/>
      <c r="G153" s="1"/>
      <c r="H153" s="1"/>
      <c r="I153" s="1"/>
      <c r="J153" s="1"/>
      <c r="K153" s="1"/>
      <c r="L153" s="1"/>
      <c r="M153" s="1"/>
      <c r="N153" s="1"/>
      <c r="O153" s="1"/>
      <c r="P153" s="1"/>
      <c r="Q153" s="1"/>
    </row>
    <row r="154" spans="1:17" x14ac:dyDescent="0.35">
      <c r="A154" s="1"/>
      <c r="B154" s="1"/>
      <c r="C154" s="1"/>
      <c r="D154" s="1"/>
      <c r="E154" s="1"/>
      <c r="F154" s="1"/>
      <c r="G154" s="1"/>
      <c r="H154" s="1"/>
      <c r="I154" s="1"/>
      <c r="J154" s="1"/>
      <c r="K154" s="1"/>
      <c r="L154" s="1"/>
      <c r="M154" s="1"/>
      <c r="N154" s="1"/>
      <c r="O154" s="1"/>
      <c r="P154" s="1"/>
      <c r="Q154" s="1"/>
    </row>
    <row r="155" spans="1:17" x14ac:dyDescent="0.35">
      <c r="A155" s="1"/>
      <c r="B155" s="1"/>
      <c r="C155" s="1"/>
      <c r="D155" s="1"/>
      <c r="E155" s="1"/>
      <c r="F155" s="1"/>
      <c r="G155" s="1"/>
      <c r="H155" s="1"/>
      <c r="I155" s="1"/>
      <c r="J155" s="1"/>
      <c r="K155" s="1"/>
      <c r="L155" s="1"/>
      <c r="M155" s="1"/>
      <c r="N155" s="1"/>
      <c r="O155" s="1"/>
      <c r="P155" s="1"/>
      <c r="Q155" s="1"/>
    </row>
    <row r="156" spans="1:17" x14ac:dyDescent="0.35">
      <c r="A156" s="1"/>
      <c r="B156" s="1"/>
      <c r="C156" s="1"/>
      <c r="D156" s="1"/>
      <c r="E156" s="1"/>
      <c r="F156" s="1"/>
      <c r="G156" s="1"/>
      <c r="H156" s="1"/>
      <c r="I156" s="1"/>
      <c r="J156" s="1"/>
      <c r="K156" s="1"/>
      <c r="L156" s="1"/>
      <c r="M156" s="1"/>
      <c r="N156" s="1"/>
      <c r="O156" s="1"/>
      <c r="P156" s="1"/>
      <c r="Q156" s="1"/>
    </row>
    <row r="157" spans="1:17" x14ac:dyDescent="0.35">
      <c r="A157" s="1"/>
      <c r="B157" s="1"/>
      <c r="C157" s="1"/>
      <c r="D157" s="1"/>
      <c r="E157" s="1"/>
      <c r="F157" s="1"/>
      <c r="G157" s="1"/>
      <c r="H157" s="1"/>
      <c r="I157" s="1"/>
      <c r="J157" s="1"/>
      <c r="K157" s="1"/>
      <c r="L157" s="1"/>
      <c r="M157" s="1"/>
      <c r="N157" s="1"/>
      <c r="O157" s="1"/>
      <c r="P157" s="1"/>
      <c r="Q157" s="1"/>
    </row>
    <row r="158" spans="1:17" x14ac:dyDescent="0.35">
      <c r="A158" s="1"/>
      <c r="B158" s="1"/>
      <c r="C158" s="1"/>
      <c r="D158" s="1"/>
      <c r="E158" s="1"/>
      <c r="F158" s="1"/>
      <c r="G158" s="1"/>
      <c r="H158" s="1"/>
      <c r="I158" s="1"/>
      <c r="J158" s="1"/>
      <c r="K158" s="1"/>
      <c r="L158" s="1"/>
      <c r="M158" s="1"/>
      <c r="N158" s="1"/>
      <c r="O158" s="1"/>
      <c r="P158" s="1"/>
      <c r="Q158" s="1"/>
    </row>
    <row r="159" spans="1:17" x14ac:dyDescent="0.35">
      <c r="A159" s="1"/>
      <c r="B159" s="1"/>
      <c r="C159" s="1"/>
      <c r="D159" s="1"/>
      <c r="E159" s="1"/>
      <c r="F159" s="1"/>
      <c r="G159" s="1"/>
      <c r="H159" s="1"/>
      <c r="I159" s="1"/>
      <c r="J159" s="1"/>
      <c r="K159" s="1"/>
      <c r="L159" s="1"/>
      <c r="M159" s="1"/>
      <c r="N159" s="1"/>
      <c r="O159" s="1"/>
      <c r="P159" s="1"/>
      <c r="Q159" s="1"/>
    </row>
    <row r="160" spans="1:17" x14ac:dyDescent="0.35">
      <c r="A160" s="1"/>
      <c r="B160" s="1"/>
      <c r="C160" s="1"/>
      <c r="D160" s="1"/>
      <c r="E160" s="1"/>
      <c r="F160" s="1"/>
      <c r="G160" s="1"/>
      <c r="H160" s="1"/>
      <c r="I160" s="1"/>
      <c r="J160" s="1"/>
      <c r="K160" s="1"/>
      <c r="L160" s="1"/>
      <c r="M160" s="1"/>
      <c r="N160" s="1"/>
      <c r="O160" s="1"/>
      <c r="P160" s="1"/>
      <c r="Q160" s="1"/>
    </row>
    <row r="161" spans="1:17" x14ac:dyDescent="0.35">
      <c r="A161" s="1"/>
      <c r="B161" s="1"/>
      <c r="C161" s="1"/>
      <c r="D161" s="1"/>
      <c r="E161" s="1"/>
      <c r="F161" s="1"/>
      <c r="G161" s="1"/>
      <c r="H161" s="1"/>
      <c r="I161" s="1"/>
      <c r="J161" s="1"/>
      <c r="K161" s="1"/>
      <c r="L161" s="1"/>
      <c r="M161" s="1"/>
      <c r="N161" s="1"/>
      <c r="O161" s="1"/>
      <c r="P161" s="1"/>
      <c r="Q161" s="1"/>
    </row>
    <row r="162" spans="1:17" x14ac:dyDescent="0.35">
      <c r="A162" s="1"/>
      <c r="B162" s="1"/>
      <c r="C162" s="1"/>
      <c r="D162" s="1"/>
      <c r="E162" s="1"/>
      <c r="F162" s="1"/>
      <c r="G162" s="1"/>
      <c r="H162" s="1"/>
      <c r="I162" s="1"/>
      <c r="J162" s="1"/>
      <c r="K162" s="1"/>
      <c r="L162" s="1"/>
      <c r="M162" s="1"/>
      <c r="N162" s="1"/>
      <c r="O162" s="1"/>
      <c r="P162" s="1"/>
      <c r="Q162" s="1"/>
    </row>
    <row r="163" spans="1:17" x14ac:dyDescent="0.35">
      <c r="A163" s="1"/>
      <c r="B163" s="1"/>
      <c r="C163" s="1"/>
      <c r="D163" s="1"/>
      <c r="E163" s="1"/>
      <c r="F163" s="1"/>
      <c r="G163" s="1"/>
      <c r="H163" s="1"/>
      <c r="I163" s="1"/>
      <c r="J163" s="1"/>
      <c r="K163" s="1"/>
      <c r="L163" s="1"/>
      <c r="M163" s="1"/>
      <c r="N163" s="1"/>
      <c r="O163" s="1"/>
      <c r="P163" s="1"/>
      <c r="Q163" s="1"/>
    </row>
    <row r="164" spans="1:17" x14ac:dyDescent="0.35">
      <c r="A164" s="1"/>
      <c r="B164" s="1"/>
      <c r="C164" s="1"/>
      <c r="D164" s="1"/>
      <c r="E164" s="1"/>
      <c r="F164" s="1"/>
      <c r="G164" s="1"/>
      <c r="H164" s="1"/>
      <c r="I164" s="1"/>
      <c r="J164" s="1"/>
      <c r="K164" s="1"/>
      <c r="L164" s="1"/>
      <c r="M164" s="1"/>
      <c r="N164" s="1"/>
      <c r="O164" s="1"/>
      <c r="P164" s="1"/>
      <c r="Q164" s="1"/>
    </row>
    <row r="165" spans="1:17" x14ac:dyDescent="0.35">
      <c r="A165" s="1"/>
      <c r="B165" s="1"/>
      <c r="C165" s="1"/>
      <c r="D165" s="1"/>
      <c r="E165" s="1"/>
      <c r="F165" s="1"/>
      <c r="G165" s="1"/>
      <c r="H165" s="1"/>
      <c r="I165" s="1"/>
      <c r="J165" s="1"/>
      <c r="K165" s="1"/>
      <c r="L165" s="1"/>
      <c r="M165" s="1"/>
      <c r="N165" s="1"/>
      <c r="O165" s="1"/>
      <c r="P165" s="1"/>
      <c r="Q165" s="1"/>
    </row>
    <row r="166" spans="1:17" x14ac:dyDescent="0.35">
      <c r="A166" s="1"/>
      <c r="B166" s="1"/>
      <c r="C166" s="1"/>
      <c r="D166" s="1"/>
      <c r="E166" s="1"/>
      <c r="F166" s="1"/>
      <c r="G166" s="1"/>
      <c r="H166" s="1"/>
      <c r="I166" s="1"/>
      <c r="J166" s="1"/>
      <c r="K166" s="1"/>
      <c r="L166" s="1"/>
      <c r="M166" s="1"/>
      <c r="N166" s="1"/>
      <c r="O166" s="1"/>
      <c r="P166" s="1"/>
      <c r="Q166" s="1"/>
    </row>
    <row r="167" spans="1:17" x14ac:dyDescent="0.35">
      <c r="A167" s="1"/>
      <c r="B167" s="1"/>
      <c r="C167" s="1"/>
      <c r="D167" s="1"/>
      <c r="E167" s="1"/>
      <c r="F167" s="1"/>
      <c r="G167" s="1"/>
      <c r="H167" s="1"/>
      <c r="I167" s="1"/>
      <c r="J167" s="1"/>
      <c r="K167" s="1"/>
      <c r="L167" s="1"/>
      <c r="M167" s="1"/>
      <c r="N167" s="1"/>
      <c r="O167" s="1"/>
      <c r="P167" s="1"/>
      <c r="Q167" s="1"/>
    </row>
    <row r="168" spans="1:17" x14ac:dyDescent="0.35">
      <c r="A168" s="1"/>
      <c r="B168" s="1"/>
      <c r="C168" s="1"/>
      <c r="D168" s="1"/>
      <c r="E168" s="1"/>
      <c r="F168" s="1"/>
      <c r="G168" s="1"/>
      <c r="H168" s="1"/>
      <c r="I168" s="1"/>
      <c r="J168" s="1"/>
      <c r="K168" s="1"/>
      <c r="L168" s="1"/>
      <c r="M168" s="1"/>
      <c r="N168" s="1"/>
      <c r="O168" s="1"/>
      <c r="P168" s="1"/>
      <c r="Q168" s="1"/>
    </row>
    <row r="169" spans="1:17" x14ac:dyDescent="0.35">
      <c r="A169" s="1"/>
      <c r="B169" s="1"/>
      <c r="C169" s="1"/>
      <c r="D169" s="1"/>
      <c r="E169" s="1"/>
      <c r="F169" s="1"/>
      <c r="G169" s="1"/>
      <c r="H169" s="1"/>
      <c r="I169" s="1"/>
      <c r="J169" s="1"/>
      <c r="K169" s="1"/>
      <c r="L169" s="1"/>
      <c r="M169" s="1"/>
      <c r="N169" s="1"/>
      <c r="O169" s="1"/>
      <c r="P169" s="1"/>
      <c r="Q169" s="1"/>
    </row>
    <row r="170" spans="1:17" x14ac:dyDescent="0.35">
      <c r="A170" s="1"/>
      <c r="B170" s="1"/>
      <c r="C170" s="1"/>
      <c r="D170" s="1"/>
      <c r="E170" s="1"/>
      <c r="F170" s="1"/>
      <c r="G170" s="1"/>
      <c r="H170" s="1"/>
      <c r="I170" s="1"/>
      <c r="J170" s="1"/>
      <c r="K170" s="1"/>
      <c r="L170" s="1"/>
      <c r="M170" s="1"/>
      <c r="N170" s="1"/>
      <c r="O170" s="1"/>
      <c r="P170" s="1"/>
      <c r="Q170" s="1"/>
    </row>
    <row r="171" spans="1:17" x14ac:dyDescent="0.35">
      <c r="A171" s="1"/>
      <c r="B171" s="1"/>
      <c r="C171" s="1"/>
      <c r="D171" s="1"/>
      <c r="E171" s="1"/>
      <c r="F171" s="1"/>
      <c r="G171" s="1"/>
      <c r="H171" s="1"/>
      <c r="I171" s="1"/>
      <c r="J171" s="1"/>
      <c r="K171" s="1"/>
      <c r="L171" s="1"/>
      <c r="M171" s="1"/>
      <c r="N171" s="1"/>
      <c r="O171" s="1"/>
      <c r="P171" s="1"/>
      <c r="Q171" s="1"/>
    </row>
    <row r="172" spans="1:17" x14ac:dyDescent="0.35">
      <c r="A172" s="1"/>
      <c r="B172" s="1"/>
      <c r="C172" s="1"/>
      <c r="D172" s="1"/>
      <c r="E172" s="1"/>
      <c r="F172" s="1"/>
      <c r="G172" s="1"/>
      <c r="H172" s="1"/>
      <c r="I172" s="1"/>
      <c r="J172" s="1"/>
      <c r="K172" s="1"/>
      <c r="L172" s="1"/>
      <c r="M172" s="1"/>
      <c r="N172" s="1"/>
      <c r="O172" s="1"/>
      <c r="P172" s="1"/>
      <c r="Q172" s="1"/>
    </row>
    <row r="173" spans="1:17" x14ac:dyDescent="0.35">
      <c r="A173" s="1"/>
      <c r="B173" s="1"/>
      <c r="C173" s="1"/>
      <c r="D173" s="1"/>
      <c r="E173" s="1"/>
      <c r="F173" s="1"/>
      <c r="G173" s="1"/>
      <c r="H173" s="1"/>
      <c r="I173" s="1"/>
      <c r="J173" s="1"/>
      <c r="K173" s="1"/>
      <c r="L173" s="1"/>
      <c r="M173" s="1"/>
      <c r="N173" s="1"/>
      <c r="O173" s="1"/>
      <c r="P173" s="1"/>
      <c r="Q173" s="1"/>
    </row>
    <row r="174" spans="1:17" x14ac:dyDescent="0.35">
      <c r="A174" s="1"/>
      <c r="B174" s="1"/>
      <c r="C174" s="1"/>
      <c r="D174" s="1"/>
      <c r="E174" s="1"/>
      <c r="F174" s="1"/>
      <c r="G174" s="1"/>
      <c r="H174" s="1"/>
      <c r="I174" s="1"/>
      <c r="J174" s="1"/>
      <c r="K174" s="1"/>
      <c r="L174" s="1"/>
      <c r="M174" s="1"/>
      <c r="N174" s="1"/>
      <c r="O174" s="1"/>
      <c r="P174" s="1"/>
      <c r="Q174" s="1"/>
    </row>
    <row r="175" spans="1:17" x14ac:dyDescent="0.35">
      <c r="A175" s="1"/>
      <c r="B175" s="1"/>
      <c r="C175" s="1"/>
      <c r="D175" s="1"/>
      <c r="E175" s="1"/>
      <c r="F175" s="1"/>
      <c r="G175" s="1"/>
      <c r="H175" s="1"/>
      <c r="I175" s="1"/>
      <c r="J175" s="1"/>
      <c r="K175" s="1"/>
      <c r="L175" s="1"/>
      <c r="M175" s="1"/>
      <c r="N175" s="1"/>
      <c r="O175" s="1"/>
      <c r="P175" s="1"/>
      <c r="Q175" s="1"/>
    </row>
    <row r="176" spans="1:17" x14ac:dyDescent="0.35">
      <c r="A176" s="1"/>
      <c r="B176" s="1"/>
      <c r="C176" s="1"/>
      <c r="D176" s="1"/>
      <c r="E176" s="1"/>
      <c r="F176" s="1"/>
      <c r="G176" s="1"/>
      <c r="H176" s="1"/>
      <c r="I176" s="1"/>
      <c r="J176" s="1"/>
      <c r="K176" s="1"/>
      <c r="L176" s="1"/>
      <c r="M176" s="1"/>
      <c r="N176" s="1"/>
      <c r="O176" s="1"/>
      <c r="P176" s="1"/>
      <c r="Q176" s="1"/>
    </row>
    <row r="177" spans="1:17" x14ac:dyDescent="0.35">
      <c r="A177" s="1"/>
      <c r="B177" s="1"/>
      <c r="C177" s="1"/>
      <c r="D177" s="1"/>
      <c r="E177" s="1"/>
      <c r="F177" s="1"/>
      <c r="G177" s="1"/>
      <c r="H177" s="1"/>
      <c r="I177" s="1"/>
      <c r="J177" s="1"/>
      <c r="K177" s="1"/>
      <c r="L177" s="1"/>
      <c r="M177" s="1"/>
      <c r="N177" s="1"/>
      <c r="O177" s="1"/>
      <c r="P177" s="1"/>
      <c r="Q177" s="1"/>
    </row>
    <row r="178" spans="1:17" x14ac:dyDescent="0.35">
      <c r="A178" s="1"/>
      <c r="B178" s="1"/>
      <c r="C178" s="1"/>
      <c r="D178" s="1"/>
      <c r="E178" s="1"/>
      <c r="F178" s="1"/>
      <c r="G178" s="1"/>
      <c r="H178" s="1"/>
      <c r="I178" s="1"/>
      <c r="J178" s="1"/>
      <c r="K178" s="1"/>
      <c r="L178" s="1"/>
      <c r="M178" s="1"/>
      <c r="N178" s="1"/>
      <c r="O178" s="1"/>
      <c r="P178" s="1"/>
      <c r="Q178" s="1"/>
    </row>
    <row r="179" spans="1:17" x14ac:dyDescent="0.35">
      <c r="A179" s="1"/>
      <c r="B179" s="1"/>
      <c r="C179" s="1"/>
      <c r="D179" s="1"/>
      <c r="E179" s="1"/>
      <c r="F179" s="1"/>
      <c r="G179" s="1"/>
      <c r="H179" s="1"/>
      <c r="I179" s="1"/>
      <c r="J179" s="1"/>
      <c r="K179" s="1"/>
      <c r="L179" s="1"/>
      <c r="M179" s="1"/>
      <c r="N179" s="1"/>
      <c r="O179" s="1"/>
      <c r="P179" s="1"/>
      <c r="Q179" s="1"/>
    </row>
    <row r="180" spans="1:17" x14ac:dyDescent="0.35">
      <c r="A180" s="1"/>
      <c r="B180" s="1"/>
      <c r="C180" s="1"/>
      <c r="D180" s="1"/>
      <c r="E180" s="1"/>
      <c r="F180" s="1"/>
      <c r="G180" s="1"/>
      <c r="H180" s="1"/>
      <c r="I180" s="1"/>
      <c r="J180" s="1"/>
      <c r="K180" s="1"/>
      <c r="L180" s="1"/>
      <c r="M180" s="1"/>
      <c r="N180" s="1"/>
      <c r="O180" s="1"/>
      <c r="P180" s="1"/>
      <c r="Q180" s="1"/>
    </row>
    <row r="181" spans="1:17" x14ac:dyDescent="0.35">
      <c r="A181" s="1"/>
      <c r="B181" s="1"/>
      <c r="C181" s="1"/>
      <c r="D181" s="1"/>
      <c r="E181" s="1"/>
      <c r="F181" s="1"/>
      <c r="G181" s="1"/>
      <c r="H181" s="1"/>
      <c r="I181" s="1"/>
      <c r="J181" s="1"/>
      <c r="K181" s="1"/>
      <c r="L181" s="1"/>
      <c r="M181" s="1"/>
      <c r="N181" s="1"/>
      <c r="O181" s="1"/>
      <c r="P181" s="1"/>
      <c r="Q181" s="1"/>
    </row>
    <row r="182" spans="1:17" x14ac:dyDescent="0.35">
      <c r="A182" s="1"/>
      <c r="B182" s="1"/>
      <c r="C182" s="1"/>
      <c r="D182" s="1"/>
      <c r="E182" s="1"/>
      <c r="F182" s="1"/>
      <c r="G182" s="1"/>
      <c r="H182" s="1"/>
      <c r="I182" s="1"/>
      <c r="J182" s="1"/>
      <c r="K182" s="1"/>
      <c r="L182" s="1"/>
      <c r="M182" s="1"/>
      <c r="N182" s="1"/>
      <c r="O182" s="1"/>
      <c r="P182" s="1"/>
      <c r="Q182" s="1"/>
    </row>
    <row r="183" spans="1:17" x14ac:dyDescent="0.35">
      <c r="A183" s="1"/>
      <c r="B183" s="1"/>
      <c r="C183" s="1"/>
      <c r="D183" s="1"/>
      <c r="E183" s="1"/>
      <c r="F183" s="1"/>
      <c r="G183" s="1"/>
      <c r="H183" s="1"/>
      <c r="I183" s="1"/>
      <c r="J183" s="1"/>
      <c r="K183" s="1"/>
      <c r="L183" s="1"/>
      <c r="M183" s="1"/>
      <c r="N183" s="1"/>
      <c r="O183" s="1"/>
      <c r="P183" s="1"/>
      <c r="Q183" s="1"/>
    </row>
    <row r="184" spans="1:17" x14ac:dyDescent="0.35">
      <c r="A184" s="1"/>
      <c r="B184" s="1"/>
      <c r="C184" s="1"/>
      <c r="D184" s="1"/>
      <c r="E184" s="1"/>
      <c r="F184" s="1"/>
      <c r="G184" s="1"/>
      <c r="H184" s="1"/>
      <c r="I184" s="1"/>
      <c r="J184" s="1"/>
      <c r="K184" s="1"/>
      <c r="L184" s="1"/>
      <c r="M184" s="1"/>
      <c r="N184" s="1"/>
      <c r="O184" s="1"/>
      <c r="P184" s="1"/>
      <c r="Q184" s="1"/>
    </row>
    <row r="185" spans="1:17" x14ac:dyDescent="0.35">
      <c r="A185" s="1"/>
      <c r="B185" s="1"/>
      <c r="C185" s="1"/>
      <c r="D185" s="1"/>
      <c r="E185" s="1"/>
      <c r="F185" s="1"/>
      <c r="G185" s="1"/>
      <c r="H185" s="1"/>
      <c r="I185" s="1"/>
      <c r="J185" s="1"/>
      <c r="K185" s="1"/>
      <c r="L185" s="1"/>
      <c r="M185" s="1"/>
      <c r="N185" s="1"/>
      <c r="O185" s="1"/>
      <c r="P185" s="1"/>
      <c r="Q185" s="1"/>
    </row>
    <row r="186" spans="1:17" x14ac:dyDescent="0.35">
      <c r="A186" s="1"/>
      <c r="B186" s="1"/>
      <c r="C186" s="1"/>
      <c r="D186" s="1"/>
      <c r="E186" s="1"/>
      <c r="F186" s="1"/>
      <c r="G186" s="1"/>
      <c r="H186" s="1"/>
      <c r="I186" s="1"/>
      <c r="J186" s="1"/>
      <c r="K186" s="1"/>
      <c r="L186" s="1"/>
      <c r="M186" s="1"/>
      <c r="N186" s="1"/>
      <c r="O186" s="1"/>
      <c r="P186" s="1"/>
      <c r="Q186" s="1"/>
    </row>
    <row r="187" spans="1:17" x14ac:dyDescent="0.35">
      <c r="A187" s="1"/>
      <c r="B187" s="1"/>
      <c r="C187" s="1"/>
      <c r="D187" s="1"/>
      <c r="E187" s="1"/>
      <c r="F187" s="1"/>
      <c r="G187" s="1"/>
      <c r="H187" s="1"/>
      <c r="I187" s="1"/>
      <c r="J187" s="1"/>
      <c r="K187" s="1"/>
      <c r="L187" s="1"/>
      <c r="M187" s="1"/>
      <c r="N187" s="1"/>
      <c r="O187" s="1"/>
      <c r="P187" s="1"/>
      <c r="Q187" s="1"/>
    </row>
    <row r="188" spans="1:17" x14ac:dyDescent="0.35">
      <c r="A188" s="1"/>
      <c r="B188" s="1"/>
      <c r="C188" s="1"/>
      <c r="D188" s="1"/>
      <c r="E188" s="1"/>
      <c r="F188" s="1"/>
      <c r="G188" s="1"/>
      <c r="H188" s="1"/>
      <c r="I188" s="1"/>
      <c r="J188" s="1"/>
      <c r="K188" s="1"/>
      <c r="L188" s="1"/>
      <c r="M188" s="1"/>
      <c r="N188" s="1"/>
      <c r="O188" s="1"/>
      <c r="P188" s="1"/>
      <c r="Q188" s="1"/>
    </row>
    <row r="189" spans="1:17" x14ac:dyDescent="0.35">
      <c r="A189" s="1"/>
      <c r="B189" s="1"/>
      <c r="C189" s="1"/>
      <c r="D189" s="1"/>
      <c r="E189" s="1"/>
      <c r="F189" s="1"/>
      <c r="G189" s="1"/>
      <c r="H189" s="1"/>
      <c r="I189" s="1"/>
      <c r="J189" s="1"/>
      <c r="K189" s="1"/>
      <c r="L189" s="1"/>
      <c r="M189" s="1"/>
      <c r="N189" s="1"/>
      <c r="O189" s="1"/>
      <c r="P189" s="1"/>
      <c r="Q189" s="1"/>
    </row>
    <row r="190" spans="1:17" x14ac:dyDescent="0.35">
      <c r="A190" s="1"/>
      <c r="B190" s="1"/>
      <c r="C190" s="1"/>
      <c r="D190" s="1"/>
      <c r="E190" s="1"/>
      <c r="F190" s="1"/>
      <c r="G190" s="1"/>
      <c r="H190" s="1"/>
      <c r="I190" s="1"/>
      <c r="J190" s="1"/>
      <c r="K190" s="1"/>
      <c r="L190" s="1"/>
      <c r="M190" s="1"/>
      <c r="N190" s="1"/>
      <c r="O190" s="1"/>
      <c r="P190" s="1"/>
      <c r="Q190" s="1"/>
    </row>
    <row r="191" spans="1:17" x14ac:dyDescent="0.35">
      <c r="A191" s="1"/>
      <c r="B191" s="1"/>
      <c r="C191" s="1"/>
      <c r="D191" s="1"/>
      <c r="E191" s="1"/>
      <c r="F191" s="1"/>
      <c r="G191" s="1"/>
      <c r="H191" s="1"/>
      <c r="I191" s="1"/>
      <c r="J191" s="1"/>
      <c r="K191" s="1"/>
      <c r="L191" s="1"/>
      <c r="M191" s="1"/>
      <c r="N191" s="1"/>
      <c r="O191" s="1"/>
      <c r="P191" s="1"/>
      <c r="Q191" s="1"/>
    </row>
    <row r="192" spans="1:17" x14ac:dyDescent="0.35">
      <c r="A192" s="1"/>
      <c r="B192" s="1"/>
      <c r="C192" s="1"/>
      <c r="D192" s="1"/>
      <c r="E192" s="1"/>
      <c r="F192" s="1"/>
      <c r="G192" s="1"/>
      <c r="H192" s="1"/>
      <c r="I192" s="1"/>
      <c r="J192" s="1"/>
      <c r="K192" s="1"/>
      <c r="L192" s="1"/>
      <c r="M192" s="1"/>
      <c r="N192" s="1"/>
      <c r="O192" s="1"/>
      <c r="P192" s="1"/>
      <c r="Q192" s="1"/>
    </row>
    <row r="193" spans="1:17" x14ac:dyDescent="0.35">
      <c r="A193" s="1"/>
      <c r="B193" s="1"/>
      <c r="C193" s="1"/>
      <c r="D193" s="1"/>
      <c r="E193" s="1"/>
      <c r="F193" s="1"/>
      <c r="G193" s="1"/>
      <c r="H193" s="1"/>
      <c r="I193" s="1"/>
      <c r="J193" s="1"/>
      <c r="K193" s="1"/>
      <c r="L193" s="1"/>
      <c r="M193" s="1"/>
      <c r="N193" s="1"/>
      <c r="O193" s="1"/>
      <c r="P193" s="1"/>
      <c r="Q193" s="1"/>
    </row>
    <row r="194" spans="1:17" x14ac:dyDescent="0.35">
      <c r="A194" s="1"/>
      <c r="B194" s="1"/>
      <c r="C194" s="1"/>
      <c r="D194" s="1"/>
      <c r="E194" s="1"/>
      <c r="F194" s="1"/>
      <c r="G194" s="1"/>
      <c r="H194" s="1"/>
      <c r="I194" s="1"/>
      <c r="J194" s="1"/>
      <c r="K194" s="1"/>
      <c r="L194" s="1"/>
      <c r="M194" s="1"/>
      <c r="N194" s="1"/>
      <c r="O194" s="1"/>
      <c r="P194" s="1"/>
      <c r="Q194" s="1"/>
    </row>
    <row r="195" spans="1:17" x14ac:dyDescent="0.35">
      <c r="A195" s="1"/>
      <c r="B195" s="1"/>
      <c r="C195" s="1"/>
      <c r="D195" s="1"/>
      <c r="E195" s="1"/>
      <c r="F195" s="1"/>
      <c r="G195" s="1"/>
      <c r="H195" s="1"/>
      <c r="I195" s="1"/>
      <c r="J195" s="1"/>
      <c r="K195" s="1"/>
      <c r="L195" s="1"/>
      <c r="M195" s="1"/>
      <c r="N195" s="1"/>
      <c r="O195" s="1"/>
      <c r="P195" s="1"/>
      <c r="Q195" s="1"/>
    </row>
    <row r="196" spans="1:17" x14ac:dyDescent="0.35">
      <c r="A196" s="1"/>
      <c r="B196" s="1"/>
      <c r="C196" s="1"/>
      <c r="D196" s="1"/>
      <c r="E196" s="1"/>
      <c r="F196" s="1"/>
      <c r="G196" s="1"/>
      <c r="H196" s="1"/>
      <c r="I196" s="1"/>
      <c r="J196" s="1"/>
      <c r="K196" s="1"/>
      <c r="L196" s="1"/>
      <c r="M196" s="1"/>
      <c r="N196" s="1"/>
      <c r="O196" s="1"/>
      <c r="P196" s="1"/>
      <c r="Q196" s="1"/>
    </row>
    <row r="197" spans="1:17" x14ac:dyDescent="0.35">
      <c r="A197" s="1"/>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1:17" x14ac:dyDescent="0.35">
      <c r="A198" s="1"/>
      <c r="B198" s="37"/>
      <c r="C198" s="38"/>
      <c r="D198" s="31"/>
      <c r="E198" s="32"/>
      <c r="F198" s="34"/>
      <c r="G198" s="33"/>
      <c r="H198" s="34"/>
      <c r="I198" s="33"/>
      <c r="J198" s="34"/>
      <c r="K198" s="34"/>
      <c r="L198" s="34"/>
      <c r="M198" s="33"/>
      <c r="N198" s="34"/>
      <c r="O198" s="35"/>
      <c r="P198" s="36"/>
      <c r="Q198" s="35"/>
    </row>
    <row r="199" spans="1:17" x14ac:dyDescent="0.35">
      <c r="A199" s="1"/>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1:17" x14ac:dyDescent="0.35">
      <c r="A200" s="1"/>
      <c r="B200" s="1"/>
      <c r="C200" s="1"/>
      <c r="D200" s="1"/>
      <c r="E200" s="1"/>
      <c r="F200" s="1"/>
      <c r="G200" s="1"/>
      <c r="H200" s="1"/>
      <c r="I200" s="1"/>
      <c r="J200" s="1"/>
      <c r="K200" s="1"/>
      <c r="L200" s="1"/>
      <c r="M200" s="1"/>
      <c r="N200" s="1"/>
      <c r="O200" s="1"/>
      <c r="P200" s="1"/>
      <c r="Q200" s="78" t="s">
        <v>21404</v>
      </c>
    </row>
    <row r="201" spans="1:17" x14ac:dyDescent="0.35">
      <c r="A201" s="1"/>
      <c r="B201" s="1"/>
      <c r="C201" s="78" t="s">
        <v>21592</v>
      </c>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77" t="s">
        <v>21399</v>
      </c>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t="s">
        <v>21398</v>
      </c>
      <c r="D205" s="1" t="s">
        <v>75</v>
      </c>
      <c r="E205" s="1" t="s">
        <v>13768</v>
      </c>
      <c r="F205" s="2" t="s">
        <v>21397</v>
      </c>
      <c r="G205" s="1" t="s">
        <v>9</v>
      </c>
      <c r="H205" s="1"/>
      <c r="I205" s="1"/>
      <c r="J205" s="1"/>
      <c r="K205" s="1"/>
      <c r="L205" s="1"/>
      <c r="M205" s="1"/>
      <c r="N205" s="1"/>
      <c r="O205" s="1"/>
      <c r="P205" s="1"/>
      <c r="Q205" s="1"/>
    </row>
  </sheetData>
  <mergeCells count="9">
    <mergeCell ref="J5:K5"/>
    <mergeCell ref="J6:K6"/>
    <mergeCell ref="J7:K7"/>
    <mergeCell ref="A3:B3"/>
    <mergeCell ref="D3:G3"/>
    <mergeCell ref="J3:K3"/>
    <mergeCell ref="P3:Q3"/>
    <mergeCell ref="A4:B4"/>
    <mergeCell ref="J4:K4"/>
  </mergeCells>
  <dataValidations count="1">
    <dataValidation type="list" allowBlank="1" showInputMessage="1" showErrorMessage="1" sqref="C16:C190" xr:uid="{93273088-872E-4DB5-B5E5-4394BF7E0519}">
      <formula1>$C$205:$C207</formula1>
    </dataValidation>
  </dataValidations>
  <hyperlinks>
    <hyperlink ref="D3" r:id="rId1" display="datamateapp@gmail.com" xr:uid="{F56D807A-67E1-4B6D-85F7-8B86F1DC93AE}"/>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74145" r:id="rId4" name="Button 1">
              <controlPr defaultSize="0" print="0" autoFill="0" autoPict="0" macro="SaveData">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774146" r:id="rId5" name="Button 2">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774147"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774148"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774149" r:id="rId8" name="Button 5">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774150" r:id="rId9" name="Button 6">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774151" r:id="rId10" name="Button 7">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774152" r:id="rId11" name="Button 8">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controls>
    </mc:Choice>
  </mc:AlternateContent>
</worksheet>
</file>

<file path=xl/worksheets/sheet1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1D2B0-F94F-4130-B168-B5897350BB5F}">
  <sheetPr codeName="Sheet170"/>
  <dimension ref="A1:Q207"/>
  <sheetViews>
    <sheetView zoomScale="75" zoomScaleNormal="75" workbookViewId="0">
      <selection activeCell="B2" sqref="B2:L2"/>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7" t="str">
        <f>DIV_13View_Print!B2</f>
        <v>AREA/FLOOR/ZONE- Page- SUB COST- MAT COST- LAB COST- EQUIP COST- Total Cost- Date- Description- Log 10- Log 11- Log 12</v>
      </c>
      <c r="B1" s="57"/>
      <c r="C1" s="57"/>
      <c r="D1" s="57"/>
      <c r="E1" s="57"/>
      <c r="F1" s="57"/>
      <c r="G1" s="57"/>
      <c r="H1" s="57"/>
      <c r="I1" s="57"/>
      <c r="J1" s="57"/>
      <c r="K1" s="57"/>
      <c r="L1" s="57"/>
      <c r="M1" s="57" t="str">
        <f>DIV_02Input!M1</f>
        <v>Update 1</v>
      </c>
      <c r="N1" s="57" t="str">
        <f>DIV_02Input!N1</f>
        <v>Update 2</v>
      </c>
      <c r="O1" s="57" t="str">
        <f>DIV_02Input!O1</f>
        <v>Update 3</v>
      </c>
      <c r="P1" s="57"/>
      <c r="Q1" s="57"/>
    </row>
    <row r="2" spans="1:17" x14ac:dyDescent="0.35">
      <c r="A2" s="57"/>
      <c r="B2" s="436" t="s">
        <v>21420</v>
      </c>
      <c r="C2" s="436"/>
      <c r="D2" s="436"/>
      <c r="E2" s="436"/>
      <c r="F2" s="436"/>
      <c r="G2" s="436"/>
      <c r="H2" s="436"/>
      <c r="I2" s="436"/>
      <c r="J2" s="436"/>
      <c r="K2" s="436"/>
      <c r="L2" s="436"/>
      <c r="M2" s="1"/>
      <c r="N2" s="1"/>
      <c r="O2" s="1"/>
      <c r="P2" s="57"/>
      <c r="Q2" s="57"/>
    </row>
    <row r="3" spans="1:17" ht="15" thickBot="1" x14ac:dyDescent="0.4">
      <c r="A3" s="446" t="e">
        <f>VLOOKUP(A1,DIV_13Data!$A$1:$DZU$1000000,36,FALSE)</f>
        <v>#N/A</v>
      </c>
      <c r="B3" s="425"/>
      <c r="C3" s="103" t="e">
        <f>VLOOKUP(A1,DIV_13Data!$A$1:$DZU$1000000,38,FALSE)</f>
        <v>#N/A</v>
      </c>
      <c r="D3" s="447" t="e">
        <f>VLOOKUP(A1,DIV_13Data!$A$1:$DZU$1000000,39,FALSE)</f>
        <v>#N/A</v>
      </c>
      <c r="E3" s="448"/>
      <c r="F3" s="448"/>
      <c r="G3" s="448"/>
      <c r="H3" s="6" t="e">
        <f>VLOOKUP(A1,DIV_13Data!$A$1:$DZU$1000000,43,FALSE)</f>
        <v>#N/A</v>
      </c>
      <c r="I3" s="6" t="e">
        <f>VLOOKUP(A1,DIV_13Data!$A$1:$DZU$1000000,44,FALSE)</f>
        <v>#N/A</v>
      </c>
      <c r="J3" s="449" t="e">
        <f>VLOOKUP(A1,DIV_13Data!$A$1:$DZU$1000000,45,FALSE)</f>
        <v>#N/A</v>
      </c>
      <c r="K3" s="450"/>
      <c r="L3" s="100" t="e">
        <f>VLOOKUP(A1,DIV_13Data!$A$1:$DZU$1000000,47,FALSE)</f>
        <v>#N/A</v>
      </c>
      <c r="M3" s="8" t="e">
        <f>VLOOKUP(A1,DIV_13Data!$A$1:$DZU$1000000,48,FALSE)</f>
        <v>#N/A</v>
      </c>
      <c r="N3" s="6" t="e">
        <f>VLOOKUP(A1,DIV_13Data!$A$1:$DZU$1000000,49,FALSE)</f>
        <v>#N/A</v>
      </c>
      <c r="O3" s="8" t="e">
        <f>VLOOKUP(A1,DIV_13Data!$A$1:$DZU$1000000,50,FALSE)</f>
        <v>#N/A</v>
      </c>
      <c r="P3" s="7" t="e">
        <f>VLOOKUP(A1,DIV_13Data!$A$1:$DZU$1000000,51,FALSE)</f>
        <v>#N/A</v>
      </c>
      <c r="Q3" s="8" t="e">
        <f>VLOOKUP(A1,DIV_13Data!$A$1:$DZU$1000000,52,FALSE)</f>
        <v>#N/A</v>
      </c>
    </row>
    <row r="4" spans="1:17" ht="15" thickBot="1" x14ac:dyDescent="0.4">
      <c r="A4" s="451" t="e">
        <f>VLOOKUP(A1,DIV_13Data!$A$1:$DZU$1000000,53,FALSE)</f>
        <v>#N/A</v>
      </c>
      <c r="B4" s="452"/>
      <c r="C4" s="79" t="e">
        <f>VLOOKUP(A1,DIV_13Data!$A$1:$DZU$1000000,55,FALSE)</f>
        <v>#N/A</v>
      </c>
      <c r="D4" s="6" t="e">
        <f>VLOOKUP(A1,DIV_13Data!$A$1:$DZU$1000000,56,FALSE)</f>
        <v>#N/A</v>
      </c>
      <c r="E4" s="5" t="e">
        <f>VLOOKUP(A1,DIV_13Data!$A$1:$DZU$1000000,57,FALSE)</f>
        <v>#N/A</v>
      </c>
      <c r="F4" s="61" t="e">
        <f>VLOOKUP(A1,DIV_13Data!$A$1:$DZU$1000000,58,FALSE)</f>
        <v>#N/A</v>
      </c>
      <c r="G4" s="8" t="e">
        <f>VLOOKUP(A1,DIV_13Data!$A$1:$DZU$1000000,59,FALSE)</f>
        <v>#N/A</v>
      </c>
      <c r="H4" s="6" t="e">
        <f>VLOOKUP(A1,DIV_13Data!$A$1:$DZU$1000000,60,FALSE)</f>
        <v>#N/A</v>
      </c>
      <c r="I4" s="6" t="e">
        <f>VLOOKUP(A1,DIV_13Data!$A$1:$DZU$1000000,61,FALSE)</f>
        <v>#N/A</v>
      </c>
      <c r="J4" s="443" t="e">
        <f>VLOOKUP(A1,DIV_13Data!$A$1:$DZU$1000000,62,FALSE)</f>
        <v>#N/A</v>
      </c>
      <c r="K4" s="444"/>
      <c r="L4" s="102" t="e">
        <f>VLOOKUP(A1,DIV_13Data!$A$1:$DZU$1000000,64,FALSE)</f>
        <v>#N/A</v>
      </c>
      <c r="M4" s="9" t="e">
        <f>VLOOKUP(A1,DIV_13Data!$A$1:$DZU$1000000,65,FALSE)</f>
        <v>#N/A</v>
      </c>
      <c r="N4" s="31" t="e">
        <f>VLOOKUP(A1,DIV_13Data!$A$1:$DZU$1000000,66,FALSE)</f>
        <v>#N/A</v>
      </c>
      <c r="O4" s="98" t="e">
        <f>VLOOKUP(A1,DIV_13Data!$A$1:$DZU$1000000,67,FALSE)</f>
        <v>#N/A</v>
      </c>
      <c r="P4" s="7" t="e">
        <f>VLOOKUP(A1,DIV_13Data!$A$1:$DZU$1000000,68,FALSE)</f>
        <v>#N/A</v>
      </c>
      <c r="Q4" s="10" t="e">
        <f>VLOOKUP(A1,DIV_13Data!$A$1:$DZU$1000000,69,FALSE)</f>
        <v>#N/A</v>
      </c>
    </row>
    <row r="5" spans="1:17" ht="15" thickBot="1" x14ac:dyDescent="0.4">
      <c r="A5" s="3" t="e">
        <f>VLOOKUP(A1,DIV_13Data!$A$1:$DZU$1000000,70,FALSE)</f>
        <v>#N/A</v>
      </c>
      <c r="B5" s="4" t="e">
        <f>VLOOKUP(A1,DIV_13Data!$A$1:$DZU$1000000,71,FALSE)</f>
        <v>#N/A</v>
      </c>
      <c r="C5" s="5" t="e">
        <f>VLOOKUP(A1,DIV_13Data!$A$1:$DZU$1000000,72,FALSE)</f>
        <v>#N/A</v>
      </c>
      <c r="D5" s="6" t="e">
        <f>VLOOKUP(A1,DIV_13Data!$A$1:$DZU$1000000,73,FALSE)</f>
        <v>#N/A</v>
      </c>
      <c r="E5" s="7" t="e">
        <f>VLOOKUP(A1,DIV_13Data!$A$1:$DZU$1000000,74,FALSE)</f>
        <v>#N/A</v>
      </c>
      <c r="F5" s="6" t="e">
        <f>VLOOKUP(A1,DIV_13Data!$A$1:$DZU$1000000,75,FALSE)</f>
        <v>#N/A</v>
      </c>
      <c r="G5" s="8" t="e">
        <f>VLOOKUP(A1,DIV_13Data!$A$1:$DZU$1000000,76,FALSE)</f>
        <v>#N/A</v>
      </c>
      <c r="H5" s="6" t="e">
        <f>VLOOKUP(A1,DIV_13Data!$A$1:$DZU$1000000,77,FALSE)</f>
        <v>#N/A</v>
      </c>
      <c r="I5" s="6" t="e">
        <f>VLOOKUP(A1,DIV_13Data!$A$1:$DZU$1000000,78,FALSE)</f>
        <v>#N/A</v>
      </c>
      <c r="J5" s="443" t="e">
        <f>VLOOKUP(A1,DIV_13Data!$A$1:$DZU$1000000,79,FALSE)</f>
        <v>#N/A</v>
      </c>
      <c r="K5" s="444"/>
      <c r="L5" s="11" t="e">
        <f>VLOOKUP(A1,DIV_13Data!$A$1:$DZU$1000000,81,FALSE)</f>
        <v>#N/A</v>
      </c>
      <c r="M5" s="91" t="e">
        <f>VLOOKUP(A1,DIV_13Data!$A$1:$DZU$1000000,82,FALSE)</f>
        <v>#N/A</v>
      </c>
      <c r="N5" s="31" t="e">
        <f>VLOOKUP(A1,DIV_13Data!$A$1:$DZU$1000000,83,FALSE)</f>
        <v>#N/A</v>
      </c>
      <c r="O5" s="96" t="e">
        <f>VLOOKUP(A1,DIV_13Data!$A$1:$DZU$1000000,84,FALSE)</f>
        <v>#N/A</v>
      </c>
      <c r="P5" s="86" t="e">
        <f>VLOOKUP(A1,DIV_13Data!$A$1:$DZU$1000000,85,FALSE)</f>
        <v>#N/A</v>
      </c>
      <c r="Q5" s="8" t="e">
        <f>VLOOKUP(A1,DIV_13Data!$A$1:$DZU$1000000,86,FALSE)</f>
        <v>#N/A</v>
      </c>
    </row>
    <row r="6" spans="1:17" ht="15" thickBot="1" x14ac:dyDescent="0.4">
      <c r="A6" s="3" t="e">
        <f>VLOOKUP(A1,DIV_13Data!$A$1:$DZU$1000000,87,FALSE)</f>
        <v>#N/A</v>
      </c>
      <c r="B6" s="4" t="e">
        <f>VLOOKUP(A1,DIV_13Data!$A$1:$DZU$1000000,88,FALSE)</f>
        <v>#N/A</v>
      </c>
      <c r="C6" s="5" t="e">
        <f>VLOOKUP(A1,DIV_13Data!$A$1:$DZU$1000000,89,FALSE)</f>
        <v>#N/A</v>
      </c>
      <c r="D6" s="6" t="e">
        <f>VLOOKUP(A1,DIV_13Data!$A$1:$DZU$1000000,90,FALSE)</f>
        <v>#N/A</v>
      </c>
      <c r="E6" s="7" t="e">
        <f>VLOOKUP(A1,DIV_13Data!$A$1:$DZU$1000000,91,FALSE)</f>
        <v>#N/A</v>
      </c>
      <c r="F6" s="6" t="e">
        <f>VLOOKUP(A1,DIV_13Data!$A$1:$DZU$1000000,92,FALSE)</f>
        <v>#N/A</v>
      </c>
      <c r="G6" s="10" t="e">
        <f>VLOOKUP(A1,DIV_13Data!$A$1:$DZU$1000000,93,FALSE)</f>
        <v>#N/A</v>
      </c>
      <c r="H6" s="12" t="e">
        <f>VLOOKUP(A1,DIV_13Data!$A$1:$DZU$1000000,94,FALSE)</f>
        <v>#N/A</v>
      </c>
      <c r="I6" s="13" t="e">
        <f>VLOOKUP(A1,DIV_13Data!$A$1:$DZU$1000000,95,FALSE)</f>
        <v>#N/A</v>
      </c>
      <c r="J6" s="445" t="e">
        <f>VLOOKUP(A1,DIV_13Data!$A$1:$DZU$1000000,96,FALSE)</f>
        <v>#N/A</v>
      </c>
      <c r="K6" s="444"/>
      <c r="L6" s="11" t="e">
        <f>VLOOKUP(A1,DIV_13Data!$A$1:$DZU$1000000,98,FALSE)</f>
        <v>#N/A</v>
      </c>
      <c r="M6" s="9" t="e">
        <f>VLOOKUP(A1,DIV_13Data!$A$1:$DZU$1000000,99,FALSE)</f>
        <v>#N/A</v>
      </c>
      <c r="N6" s="31" t="e">
        <f>VLOOKUP(A1,DIV_13Data!$A$1:$DZU$1000000,100,FALSE)</f>
        <v>#N/A</v>
      </c>
      <c r="O6" s="97" t="e">
        <f>VLOOKUP(A1,DIV_13Data!$A$1:$DZU$1000000,101,FALSE)</f>
        <v>#N/A</v>
      </c>
      <c r="P6" s="7" t="e">
        <f>VLOOKUP(A1,DIV_13Data!$A$1:$DZU$1000000,102,FALSE)</f>
        <v>#N/A</v>
      </c>
      <c r="Q6" s="8" t="e">
        <f>VLOOKUP(A1,DIV_13Data!$A$1:$DZU$1000000,103,FALSE)</f>
        <v>#N/A</v>
      </c>
    </row>
    <row r="7" spans="1:17" x14ac:dyDescent="0.35">
      <c r="A7" s="3" t="e">
        <f>VLOOKUP(A1,DIV_13Data!$A$1:$DZU$1000000,104,FALSE)</f>
        <v>#N/A</v>
      </c>
      <c r="B7" s="4" t="e">
        <f>VLOOKUP(A1,DIV_13Data!$A$1:$DZU$1000000,105,FALSE)</f>
        <v>#N/A</v>
      </c>
      <c r="C7" s="84" t="e">
        <f>VLOOKUP(A1,DIV_13Data!$A$1:$DZU$1000000,106,FALSE)</f>
        <v>#N/A</v>
      </c>
      <c r="D7" s="6" t="e">
        <f>VLOOKUP(A1,DIV_13Data!$A$1:$DZU$1000000,107,FALSE)</f>
        <v>#N/A</v>
      </c>
      <c r="E7" s="7" t="e">
        <f>VLOOKUP(A1,DIV_13Data!$A$1:$DZU$1000000,108,FALSE)</f>
        <v>#N/A</v>
      </c>
      <c r="F7" s="6" t="e">
        <f>VLOOKUP(A1,DIV_13Data!$A$1:$DZU$1000000,109,FALSE)</f>
        <v>#N/A</v>
      </c>
      <c r="G7" s="7" t="e">
        <f>VLOOKUP(A1,DIV_13Data!$A$1:$DZU$1000000,110,FALSE)</f>
        <v>#N/A</v>
      </c>
      <c r="H7" s="14" t="e">
        <f>VLOOKUP(A1,DIV_13Data!$A$1:$DZU$1000000,111,FALSE)</f>
        <v>#N/A</v>
      </c>
      <c r="I7" s="6" t="e">
        <f>VLOOKUP(A1,DIV_13Data!$A$1:$DZU$1000000,112,FALSE)</f>
        <v>#N/A</v>
      </c>
      <c r="J7" s="443" t="e">
        <f>VLOOKUP(A1,DIV_13Data!$A$1:$DZU$1000000,113,FALSE)</f>
        <v>#N/A</v>
      </c>
      <c r="K7" s="444"/>
      <c r="L7" s="11" t="e">
        <f>VLOOKUP(A1,DIV_13Data!$A$1:$DZU$1000000,115,FALSE)</f>
        <v>#N/A</v>
      </c>
      <c r="M7" s="6" t="e">
        <f>VLOOKUP(A1,DIV_13Data!$A$1:$DZU$1000000,116,FALSE)</f>
        <v>#N/A</v>
      </c>
      <c r="N7" s="31" t="e">
        <f>VLOOKUP(A1,DIV_13Data!$A$1:$DZU$1000000,117,FALSE)</f>
        <v>#N/A</v>
      </c>
      <c r="O7" s="96" t="e">
        <f>VLOOKUP(A1,DIV_13Data!$A$1:$DZU$1000000,118,FALSE)</f>
        <v>#N/A</v>
      </c>
      <c r="P7" s="90" t="e">
        <f>VLOOKUP(A1,DIV_13Data!$A$1:$DZU$1000000,119,FALSE)</f>
        <v>#N/A</v>
      </c>
      <c r="Q7" s="90" t="e">
        <f>VLOOKUP(A1,DIV_13Data!$A$1:$DZU$1000000,120,FALSE)</f>
        <v>#N/A</v>
      </c>
    </row>
    <row r="8" spans="1:17" ht="15" thickBot="1" x14ac:dyDescent="0.4">
      <c r="A8" s="3" t="e">
        <f>VLOOKUP(A1,DIV_13Data!$A$1:$DZU$1000000,121,FALSE)</f>
        <v>#N/A</v>
      </c>
      <c r="B8" s="4" t="e">
        <f>VLOOKUP(A1,DIV_13Data!$A$1:$DZU$1000000,122,FALSE)</f>
        <v>#N/A</v>
      </c>
      <c r="C8" s="86" t="e">
        <f>VLOOKUP(A1,DIV_13Data!$A$1:$DZU$1000000,123,FALSE)</f>
        <v>#N/A</v>
      </c>
      <c r="D8" s="6" t="e">
        <f>VLOOKUP(A1,DIV_13Data!$A$1:$DZU$1000000,124,FALSE)</f>
        <v>#N/A</v>
      </c>
      <c r="E8" s="7" t="e">
        <f>VLOOKUP(A1,DIV_13Data!$A$1:$DZU$1000000,125,FALSE)</f>
        <v>#N/A</v>
      </c>
      <c r="F8" s="6" t="e">
        <f>VLOOKUP(A1,DIV_13Data!$A$1:$DZU$1000000,126,FALSE)</f>
        <v>#N/A</v>
      </c>
      <c r="G8" s="6" t="e">
        <f>VLOOKUP(A1,DIV_13Data!$A$1:$DZU$1000000,127,FALSE)</f>
        <v>#N/A</v>
      </c>
      <c r="H8" s="6" t="e">
        <f>VLOOKUP(A1,DIV_13Data!$A$1:$DZU$1000000,128,FALSE)</f>
        <v>#N/A</v>
      </c>
      <c r="I8" s="6" t="e">
        <f>VLOOKUP(A1,DIV_13Data!$A$1:$DZU$1000000,129,FALSE)</f>
        <v>#N/A</v>
      </c>
      <c r="J8" s="6" t="e">
        <f>VLOOKUP(A1,DIV_13Data!$A$1:$DZU$1000000,130,FALSE)</f>
        <v>#N/A</v>
      </c>
      <c r="K8" s="6" t="e">
        <f>VLOOKUP(A1,DIV_13Data!$A$1:$DZU$1000000,131,FALSE)</f>
        <v>#N/A</v>
      </c>
      <c r="L8" s="83" t="e">
        <f>VLOOKUP(A1,DIV_13Data!$A$1:$DZU$1000000,132,FALSE)</f>
        <v>#N/A</v>
      </c>
      <c r="M8" s="6" t="e">
        <f>VLOOKUP(A1,DIV_13Data!$A$1:$DZU$1000000,133,FALSE)</f>
        <v>#N/A</v>
      </c>
      <c r="N8" s="6" t="e">
        <f>VLOOKUP(A1,DIV_13Data!$A$1:$DZU$1000000,134,FALSE)</f>
        <v>#N/A</v>
      </c>
      <c r="O8" s="95" t="e">
        <f>VLOOKUP(A1,DIV_13Data!$A$1:$DZU$1000000,135,FALSE)</f>
        <v>#N/A</v>
      </c>
      <c r="P8" s="6" t="e">
        <f>VLOOKUP(A1,DIV_13Data!$A$1:$DZU$1000000,136,FALSE)</f>
        <v>#N/A</v>
      </c>
      <c r="Q8" s="6" t="e">
        <f>VLOOKUP(A1,DIV_13Data!$A$1:$DZU$1000000,137,FALSE)</f>
        <v>#N/A</v>
      </c>
    </row>
    <row r="9" spans="1:17" ht="15" thickBot="1" x14ac:dyDescent="0.4">
      <c r="A9" s="15" t="e">
        <f>VLOOKUP(A1,DIV_13Data!$A$1:$DZU$1000000,138,FALSE)</f>
        <v>#N/A</v>
      </c>
      <c r="B9" s="16" t="e">
        <f>VLOOKUP(A1,DIV_13Data!$A$1:$DZU$1000000,139,FALSE)</f>
        <v>#N/A</v>
      </c>
      <c r="C9" s="17" t="e">
        <f>VLOOKUP(A1,DIV_13Data!$A$1:$DZU$1000000,140,FALSE)</f>
        <v>#N/A</v>
      </c>
      <c r="D9" s="18" t="e">
        <f>VLOOKUP(A1,DIV_13Data!$A$1:$DZU$1000000,141,FALSE)</f>
        <v>#N/A</v>
      </c>
      <c r="E9" s="19" t="e">
        <f>VLOOKUP(A1,DIV_13Data!$A$1:$DZU$1000000,142,FALSE)</f>
        <v>#N/A</v>
      </c>
      <c r="F9" s="16" t="e">
        <f>VLOOKUP(A1,DIV_13Data!$A$1:$DZU$1000000,143,FALSE)</f>
        <v>#N/A</v>
      </c>
      <c r="G9" s="20" t="e">
        <f>VLOOKUP(A1,DIV_13Data!$A$1:$DZU$1000000,144,FALSE)</f>
        <v>#N/A</v>
      </c>
      <c r="H9" s="16" t="e">
        <f>VLOOKUP(A1,DIV_13Data!$A$1:$DZU$1000000,145,FALSE)</f>
        <v>#N/A</v>
      </c>
      <c r="I9" s="20" t="e">
        <f>VLOOKUP(A1,DIV_13Data!$A$1:$DZU$1000000,146,FALSE)</f>
        <v>#N/A</v>
      </c>
      <c r="J9" s="21" t="e">
        <f>VLOOKUP(A1,DIV_13Data!$A$1:$DZU$1000000,147,FALSE)</f>
        <v>#N/A</v>
      </c>
      <c r="K9" s="16" t="e">
        <f>VLOOKUP(A1,DIV_13Data!$A$1:$DZU$1000000,148,FALSE)</f>
        <v>#N/A</v>
      </c>
      <c r="L9" s="21" t="e">
        <f>VLOOKUP(A1,DIV_13Data!$A$1:$DZU$1000000,149,FALSE)</f>
        <v>#N/A</v>
      </c>
      <c r="M9" s="20" t="e">
        <f>VLOOKUP(A1,DIV_13Data!$A$1:$DZU$1000000,150,FALSE)</f>
        <v>#N/A</v>
      </c>
      <c r="N9" s="16" t="e">
        <f>VLOOKUP(A1,DIV_13Data!$A$1:$DZU$1000000,151,FALSE)</f>
        <v>#N/A</v>
      </c>
      <c r="O9" s="20" t="e">
        <f>VLOOKUP(A1,DIV_13Data!$A$1:$DZU$1000000,152,FALSE)</f>
        <v>#N/A</v>
      </c>
      <c r="P9" s="18" t="e">
        <f>VLOOKUP(A1,DIV_13Data!$A$1:$DZU$1000000,153,FALSE)</f>
        <v>#N/A</v>
      </c>
      <c r="Q9" s="20" t="e">
        <f>VLOOKUP(A1,DIV_13Data!$A$1:$DZU$1000000,154,FALSE)</f>
        <v>#N/A</v>
      </c>
    </row>
    <row r="10" spans="1:17" ht="15" thickBot="1" x14ac:dyDescent="0.4">
      <c r="A10" s="22" t="e">
        <f>VLOOKUP(A1,DIV_13Data!$A$1:$DZU$1000000,155,FALSE)</f>
        <v>#N/A</v>
      </c>
      <c r="B10" s="23" t="e">
        <f>VLOOKUP(A1,DIV_13Data!$A$1:$DZU$1000000,156,FALSE)</f>
        <v>#N/A</v>
      </c>
      <c r="C10" s="24" t="e">
        <f>VLOOKUP(A1,DIV_13Data!$A$1:$DZU$1000000,157,FALSE)</f>
        <v>#N/A</v>
      </c>
      <c r="D10" s="25" t="e">
        <f>VLOOKUP(A1,DIV_13Data!$A$1:$DZU$1000000,158,FALSE)</f>
        <v>#N/A</v>
      </c>
      <c r="E10" s="26" t="e">
        <f>VLOOKUP(A1,DIV_13Data!$A$1:$DZU$1000000,159,FALSE)</f>
        <v>#N/A</v>
      </c>
      <c r="F10" s="27" t="e">
        <f>VLOOKUP(A1,DIV_13Data!$A$1:$DZU$1000000,160,FALSE)</f>
        <v>#N/A</v>
      </c>
      <c r="G10" s="28" t="e">
        <f>VLOOKUP(A1,DIV_13Data!$A$1:$DZU$1000000,161,FALSE)</f>
        <v>#N/A</v>
      </c>
      <c r="H10" s="27" t="e">
        <f>VLOOKUP(A1,DIV_13Data!$A$1:$DZU$1000000,162,FALSE)</f>
        <v>#N/A</v>
      </c>
      <c r="I10" s="28" t="e">
        <f>VLOOKUP(A1,DIV_13Data!$A$1:$DZU$1000000,163,FALSE)</f>
        <v>#N/A</v>
      </c>
      <c r="J10" s="27" t="e">
        <f>VLOOKUP(A1,DIV_13Data!$A$1:$DZU$1000000,164,FALSE)</f>
        <v>#N/A</v>
      </c>
      <c r="K10" s="27" t="e">
        <f>VLOOKUP(A1,DIV_13Data!$A$1:$DZU$1000000,165,FALSE)</f>
        <v>#N/A</v>
      </c>
      <c r="L10" s="27" t="e">
        <f>VLOOKUP(A1,DIV_13Data!$A$1:$DZU$1000000,166,FALSE)</f>
        <v>#N/A</v>
      </c>
      <c r="M10" s="28" t="e">
        <f>VLOOKUP(A1,DIV_13Data!$A$1:$DZU$1000000,167,FALSE)</f>
        <v>#N/A</v>
      </c>
      <c r="N10" s="27" t="e">
        <f>VLOOKUP(A1,DIV_13Data!$A$1:$DZU$1000000,168,FALSE)</f>
        <v>#N/A</v>
      </c>
      <c r="O10" s="28" t="e">
        <f>VLOOKUP(A1,DIV_13Data!$A$1:$DZU$1000000,169,FALSE)</f>
        <v>#N/A</v>
      </c>
      <c r="P10" s="25" t="e">
        <f>VLOOKUP(A1,DIV_13Data!$A$1:$DZU$1000000,170,FALSE)</f>
        <v>#N/A</v>
      </c>
      <c r="Q10" s="28" t="e">
        <f>VLOOKUP(A1,DIV_13Data!$A$1:$DZU$1000000,171,FALSE)</f>
        <v>#N/A</v>
      </c>
    </row>
    <row r="11" spans="1:17" x14ac:dyDescent="0.35">
      <c r="A11" s="22" t="e">
        <f>VLOOKUP(A1,DIV_13Data!$A$1:$DZU$1000000,172,FALSE)</f>
        <v>#N/A</v>
      </c>
      <c r="B11" s="29" t="e">
        <f>VLOOKUP(A1,DIV_13Data!$A$1:$DZU$1000000,173,FALSE)</f>
        <v>#N/A</v>
      </c>
      <c r="C11" s="30" t="e">
        <f>VLOOKUP(A1,DIV_13Data!$A$1:$DZU$1000000,174,FALSE)</f>
        <v>#N/A</v>
      </c>
      <c r="D11" s="31" t="e">
        <f>VLOOKUP(A1,DIV_13Data!$A$1:$DZU$1000000,175,FALSE)</f>
        <v>#N/A</v>
      </c>
      <c r="E11" s="32" t="e">
        <f>VLOOKUP(A1,DIV_13Data!$A$1:$DZU$1000000,176,FALSE)</f>
        <v>#N/A</v>
      </c>
      <c r="F11" s="34" t="e">
        <f>VLOOKUP(A1,DIV_13Data!$A$1:$DZU$1000000,177,FALSE)</f>
        <v>#N/A</v>
      </c>
      <c r="G11" s="33" t="e">
        <f>VLOOKUP(A1,DIV_13Data!$A$1:$DZU$1000000,178,FALSE)</f>
        <v>#N/A</v>
      </c>
      <c r="H11" s="34" t="e">
        <f>VLOOKUP(A1,DIV_13Data!$A$1:$DZU$1000000,179,FALSE)</f>
        <v>#N/A</v>
      </c>
      <c r="I11" s="33" t="e">
        <f>VLOOKUP(A1,DIV_13Data!$A$1:$DZU$1000000,180,FALSE)</f>
        <v>#N/A</v>
      </c>
      <c r="J11" s="34" t="e">
        <f>VLOOKUP(A1,DIV_13Data!$A$1:$DZU$1000000,181,FALSE)</f>
        <v>#N/A</v>
      </c>
      <c r="K11" s="34" t="e">
        <f>VLOOKUP(A1,DIV_13Data!$A$1:$DZU$1000000,182,FALSE)</f>
        <v>#N/A</v>
      </c>
      <c r="L11" s="34" t="e">
        <f>VLOOKUP(A1,DIV_13Data!$A$1:$DZU$1000000,183,FALSE)</f>
        <v>#N/A</v>
      </c>
      <c r="M11" s="33" t="e">
        <f>VLOOKUP(A1,DIV_13Data!$A$1:$DZU$1000000,184,FALSE)</f>
        <v>#N/A</v>
      </c>
      <c r="N11" s="34" t="e">
        <f>VLOOKUP(A1,DIV_13Data!$A$1:$DZU$1000000,185,FALSE)</f>
        <v>#N/A</v>
      </c>
      <c r="O11" s="35" t="e">
        <f>VLOOKUP(A1,DIV_13Data!$A$1:$DZU$1000000,186,FALSE)</f>
        <v>#N/A</v>
      </c>
      <c r="P11" s="31" t="e">
        <f>VLOOKUP(A1,DIV_13Data!$A$1:$DZU$1000000,187,FALSE)</f>
        <v>#N/A</v>
      </c>
      <c r="Q11" s="35" t="e">
        <f>VLOOKUP(A1,DIV_13Data!$A$1:$DZU$1000000,188,FALSE)</f>
        <v>#N/A</v>
      </c>
    </row>
    <row r="12" spans="1:17" x14ac:dyDescent="0.35">
      <c r="A12" s="22" t="e">
        <f>VLOOKUP(A1,DIV_13Data!$A$1:$DZU$1000000,189,FALSE)</f>
        <v>#N/A</v>
      </c>
      <c r="B12" s="29" t="e">
        <f>VLOOKUP(A1,DIV_13Data!$A$1:$DZU$1000000,190,FALSE)</f>
        <v>#N/A</v>
      </c>
      <c r="C12" s="30" t="e">
        <f>VLOOKUP(A1,DIV_13Data!$A$1:$DZU$1000000,191,FALSE)</f>
        <v>#N/A</v>
      </c>
      <c r="D12" s="31" t="e">
        <f>VLOOKUP(A1,DIV_13Data!$A$1:$DZU$1000000,192,FALSE)</f>
        <v>#N/A</v>
      </c>
      <c r="E12" s="32" t="e">
        <f>VLOOKUP(A1,DIV_13Data!$A$1:$DZU$1000000,193,FALSE)</f>
        <v>#N/A</v>
      </c>
      <c r="F12" s="34" t="e">
        <f>VLOOKUP(A1,DIV_13Data!$A$1:$DZU$1000000,194,FALSE)</f>
        <v>#N/A</v>
      </c>
      <c r="G12" s="33" t="e">
        <f>VLOOKUP(A1,DIV_13Data!$A$1:$DZU$1000000,195,FALSE)</f>
        <v>#N/A</v>
      </c>
      <c r="H12" s="34" t="e">
        <f>VLOOKUP(A1,DIV_13Data!$A$1:$DZU$1000000,196,FALSE)</f>
        <v>#N/A</v>
      </c>
      <c r="I12" s="33" t="e">
        <f>VLOOKUP(A1,DIV_13Data!$A$1:$DZU$1000000,197,FALSE)</f>
        <v>#N/A</v>
      </c>
      <c r="J12" s="34" t="e">
        <f>VLOOKUP(A1,DIV_13Data!$A$1:$DZU$1000000,198,FALSE)</f>
        <v>#N/A</v>
      </c>
      <c r="K12" s="34" t="e">
        <f>VLOOKUP(A1,DIV_13Data!$A$1:$DZU$1000000,199,FALSE)</f>
        <v>#N/A</v>
      </c>
      <c r="L12" s="34" t="e">
        <f>VLOOKUP(A1,DIV_13Data!$A$1:$DZU$1000000,200,FALSE)</f>
        <v>#N/A</v>
      </c>
      <c r="M12" s="33" t="e">
        <f>VLOOKUP(A1,DIV_13Data!$A$1:$DZU$1000000,201,FALSE)</f>
        <v>#N/A</v>
      </c>
      <c r="N12" s="34" t="e">
        <f>VLOOKUP(A1,DIV_13Data!$A$1:$DZU$1000000,202,FALSE)</f>
        <v>#N/A</v>
      </c>
      <c r="O12" s="35" t="e">
        <f>VLOOKUP(A1,DIV_13Data!$A$1:$DZU$1000000,203,FALSE)</f>
        <v>#N/A</v>
      </c>
      <c r="P12" s="31" t="e">
        <f>VLOOKUP(A1,DIV_13Data!$A$1:$DZU$1000000,204,FALSE)</f>
        <v>#N/A</v>
      </c>
      <c r="Q12" s="35" t="e">
        <f>VLOOKUP(A1,DIV_13Data!$A$1:$DZU$1000000,205,FALSE)</f>
        <v>#N/A</v>
      </c>
    </row>
    <row r="13" spans="1:17" x14ac:dyDescent="0.35">
      <c r="A13" s="22" t="e">
        <f>VLOOKUP(A1,DIV_13Data!$A$1:$DZU$1000000,206,FALSE)</f>
        <v>#N/A</v>
      </c>
      <c r="B13" s="37" t="e">
        <f>VLOOKUP(A1,DIV_13Data!$A$1:$DZU$1000000,207,FALSE)</f>
        <v>#N/A</v>
      </c>
      <c r="C13" s="38" t="e">
        <f>VLOOKUP(A1,DIV_13Data!$A$1:$DZU$1000000,208,FALSE)</f>
        <v>#N/A</v>
      </c>
      <c r="D13" s="31" t="e">
        <f>VLOOKUP(A1,DIV_13Data!$A$1:$DZU$1000000,209,FALSE)</f>
        <v>#N/A</v>
      </c>
      <c r="E13" s="32" t="e">
        <f>VLOOKUP(A1,DIV_13Data!$A$1:$DZU$1000000,210,FALSE)</f>
        <v>#N/A</v>
      </c>
      <c r="F13" s="93" t="e">
        <f>VLOOKUP(A1,DIV_13Data!$A$1:$DZU$1000000,211,FALSE)</f>
        <v>#N/A</v>
      </c>
      <c r="G13" s="33" t="e">
        <f>VLOOKUP(A1,DIV_13Data!$A$1:$DZU$1000000,212,FALSE)</f>
        <v>#N/A</v>
      </c>
      <c r="H13" s="93" t="e">
        <f>VLOOKUP(A1,DIV_13Data!$A$1:$DZU$1000000,213,FALSE)</f>
        <v>#N/A</v>
      </c>
      <c r="I13" s="33" t="e">
        <f>VLOOKUP(A1,DIV_13Data!$A$1:$DZU$1000000,214,FALSE)</f>
        <v>#N/A</v>
      </c>
      <c r="J13" s="34" t="e">
        <f>VLOOKUP(A1,DIV_13Data!$A$1:$DZU$1000000,215,FALSE)</f>
        <v>#N/A</v>
      </c>
      <c r="K13" s="34" t="e">
        <f>VLOOKUP(A1,DIV_13Data!$A$1:$DZU$1000000,216,FALSE)</f>
        <v>#N/A</v>
      </c>
      <c r="L13" s="93" t="e">
        <f>VLOOKUP(A1,DIV_13Data!$A$1:$DZU$1000000,217,FALSE)</f>
        <v>#N/A</v>
      </c>
      <c r="M13" s="33" t="e">
        <f>VLOOKUP(A1,DIV_13Data!$A$1:$DZU$1000000,218,FALSE)</f>
        <v>#N/A</v>
      </c>
      <c r="N13" s="93" t="e">
        <f>VLOOKUP(A1,DIV_13Data!$A$1:$DZU$1000000,219,FALSE)</f>
        <v>#N/A</v>
      </c>
      <c r="O13" s="33" t="e">
        <f>VLOOKUP(A1,DIV_13Data!$A$1:$DZU$1000000,220,FALSE)</f>
        <v>#N/A</v>
      </c>
      <c r="P13" s="46" t="e">
        <f>VLOOKUP(A1,DIV_13Data!$A$1:$DZU$1000000,221,FALSE)</f>
        <v>#N/A</v>
      </c>
      <c r="Q13" s="33" t="e">
        <f>VLOOKUP(A1,DIV_13Data!$A$1:$DZU$1000000,222,FALSE)</f>
        <v>#N/A</v>
      </c>
    </row>
    <row r="14" spans="1:17" x14ac:dyDescent="0.35">
      <c r="A14" s="22" t="e">
        <f>VLOOKUP(A1,DIV_13Data!$A$1:$DZU$1000000,223,FALSE)</f>
        <v>#N/A</v>
      </c>
      <c r="B14" s="37" t="e">
        <f>VLOOKUP(A1,DIV_13Data!$A$1:$DZU$1000000,224,FALSE)</f>
        <v>#N/A</v>
      </c>
      <c r="C14" s="38" t="e">
        <f>VLOOKUP(A1,DIV_13Data!$A$1:$DZU$1000000,225,FALSE)</f>
        <v>#N/A</v>
      </c>
      <c r="D14" s="31" t="e">
        <f>VLOOKUP(A1,DIV_13Data!$A$1:$DZU$1000000,226,FALSE)</f>
        <v>#N/A</v>
      </c>
      <c r="E14" s="32" t="e">
        <f>VLOOKUP(A1,DIV_13Data!$A$1:$DZU$1000000,227,FALSE)</f>
        <v>#N/A</v>
      </c>
      <c r="F14" s="34" t="e">
        <f>VLOOKUP(A1,DIV_13Data!$A$1:$DZU$1000000,228,FALSE)</f>
        <v>#N/A</v>
      </c>
      <c r="G14" s="33" t="e">
        <f>VLOOKUP(A1,DIV_13Data!$A$1:$DZU$1000000,229,FALSE)</f>
        <v>#N/A</v>
      </c>
      <c r="H14" s="34" t="e">
        <f>VLOOKUP(A1,DIV_13Data!$A$1:$DZU$1000000,230,FALSE)</f>
        <v>#N/A</v>
      </c>
      <c r="I14" s="33" t="e">
        <f>VLOOKUP(A1,DIV_13Data!$A$1:$DZU$1000000,231,FALSE)</f>
        <v>#N/A</v>
      </c>
      <c r="J14" s="34" t="e">
        <f>VLOOKUP(A1,DIV_13Data!$A$1:$DZU$1000000,232,FALSE)</f>
        <v>#N/A</v>
      </c>
      <c r="K14" s="34" t="e">
        <f>VLOOKUP(A1,DIV_13Data!$A$1:$DZU$1000000,233,FALSE)</f>
        <v>#N/A</v>
      </c>
      <c r="L14" s="34" t="e">
        <f>VLOOKUP(A1,DIV_13Data!$A$1:$DZU$1000000,234,FALSE)</f>
        <v>#N/A</v>
      </c>
      <c r="M14" s="33" t="e">
        <f>VLOOKUP(A1,DIV_13Data!$A$1:$DZU$1000000,235,FALSE)</f>
        <v>#N/A</v>
      </c>
      <c r="N14" s="34" t="e">
        <f>VLOOKUP(A1,DIV_13Data!$A$1:$DZU$1000000,236,FALSE)</f>
        <v>#N/A</v>
      </c>
      <c r="O14" s="33" t="e">
        <f>VLOOKUP(A1,DIV_13Data!$A$1:$DZU$1000000,237,FALSE)</f>
        <v>#N/A</v>
      </c>
      <c r="P14" s="46" t="e">
        <f>VLOOKUP(A1,DIV_13Data!$A$1:$DZU$1000000,238,FALSE)</f>
        <v>#N/A</v>
      </c>
      <c r="Q14" s="33" t="e">
        <f>VLOOKUP(A1,DIV_13Data!$A$1:$DZU$1000000,239,FALSE)</f>
        <v>#N/A</v>
      </c>
    </row>
    <row r="15" spans="1:17" x14ac:dyDescent="0.35">
      <c r="A15" s="22" t="e">
        <f>VLOOKUP(A1,DIV_13Data!$A$1:$DZU$1000000,240,FALSE)</f>
        <v>#N/A</v>
      </c>
      <c r="B15" s="37" t="e">
        <f>VLOOKUP(A1,DIV_13Data!$A$1:$DZU$1000000,241,FALSE)</f>
        <v>#N/A</v>
      </c>
      <c r="C15" s="38" t="e">
        <f>VLOOKUP(A1,DIV_13Data!$A$1:$DZU$1000000,242,FALSE)</f>
        <v>#N/A</v>
      </c>
      <c r="D15" s="31" t="e">
        <f>VLOOKUP(A1,DIV_13Data!$A$1:$DZU$1000000,243,FALSE)</f>
        <v>#N/A</v>
      </c>
      <c r="E15" s="32" t="e">
        <f>VLOOKUP(A1,DIV_13Data!$A$1:$DZU$1000000,244,FALSE)</f>
        <v>#N/A</v>
      </c>
      <c r="F15" s="34" t="e">
        <f>VLOOKUP(A1,DIV_13Data!$A$1:$DZU$1000000,245,FALSE)</f>
        <v>#N/A</v>
      </c>
      <c r="G15" s="33" t="e">
        <f>VLOOKUP(A1,DIV_13Data!$A$1:$DZU$1000000,246,FALSE)</f>
        <v>#N/A</v>
      </c>
      <c r="H15" s="34" t="e">
        <f>VLOOKUP(A1,DIV_13Data!$A$1:$DZU$1000000,247,FALSE)</f>
        <v>#N/A</v>
      </c>
      <c r="I15" s="33" t="e">
        <f>VLOOKUP(A1,DIV_13Data!$A$1:$DZU$1000000,248,FALSE)</f>
        <v>#N/A</v>
      </c>
      <c r="J15" s="34" t="e">
        <f>VLOOKUP(A1,DIV_13Data!$A$1:$DZU$1000000,249,FALSE)</f>
        <v>#N/A</v>
      </c>
      <c r="K15" s="34" t="e">
        <f>VLOOKUP(A1,DIV_13Data!$A$1:$DZU$1000000,250,FALSE)</f>
        <v>#N/A</v>
      </c>
      <c r="L15" s="34" t="e">
        <f>VLOOKUP(A1,DIV_13Data!$A$1:$DZU$1000000,251,FALSE)</f>
        <v>#N/A</v>
      </c>
      <c r="M15" s="33" t="e">
        <f>VLOOKUP(A1,DIV_13Data!$A$1:$DZU$1000000,252,FALSE)</f>
        <v>#N/A</v>
      </c>
      <c r="N15" s="34" t="e">
        <f>VLOOKUP(A1,DIV_13Data!$A$1:$DZU$1000000,253,FALSE)</f>
        <v>#N/A</v>
      </c>
      <c r="O15" s="33" t="e">
        <f>VLOOKUP(A1,DIV_13Data!$A$1:$DZU$1000000,254,FALSE)</f>
        <v>#N/A</v>
      </c>
      <c r="P15" s="31" t="e">
        <f>VLOOKUP(A1,DIV_13Data!$A$1:$DZU$1000000,255,FALSE)</f>
        <v>#N/A</v>
      </c>
      <c r="Q15" s="33" t="e">
        <f>VLOOKUP(A1,DIV_13Data!$A$1:$DZU$1000000,256,FALSE)</f>
        <v>#N/A</v>
      </c>
    </row>
    <row r="16" spans="1:17" x14ac:dyDescent="0.35">
      <c r="A16" s="22" t="e">
        <f>VLOOKUP(A1,DIV_13Data!$A$1:$DZU$1000000,257,FALSE)</f>
        <v>#N/A</v>
      </c>
      <c r="B16" s="37" t="e">
        <f>VLOOKUP(A1,DIV_13Data!$A$1:$DZU$1000000,258,FALSE)</f>
        <v>#N/A</v>
      </c>
      <c r="C16" s="38" t="e">
        <f>VLOOKUP(A1,DIV_13Data!$A$1:$DZU$1000000,259,FALSE)</f>
        <v>#N/A</v>
      </c>
      <c r="D16" s="31" t="e">
        <f>VLOOKUP(A1,DIV_13Data!$A$1:$DZU$1000000,260,FALSE)</f>
        <v>#N/A</v>
      </c>
      <c r="E16" s="32" t="e">
        <f>VLOOKUP(A1,DIV_13Data!$A$1:$DZU$1000000,261,FALSE)</f>
        <v>#N/A</v>
      </c>
      <c r="F16" s="34" t="e">
        <f>VLOOKUP(A1,DIV_13Data!$A$1:$DZU$1000000,262,FALSE)</f>
        <v>#N/A</v>
      </c>
      <c r="G16" s="33" t="e">
        <f>VLOOKUP(A1,DIV_13Data!$A$1:$DZU$1000000,263,FALSE)</f>
        <v>#N/A</v>
      </c>
      <c r="H16" s="34" t="e">
        <f>VLOOKUP(A1,DIV_13Data!$A$1:$DZU$1000000,264,FALSE)</f>
        <v>#N/A</v>
      </c>
      <c r="I16" s="33" t="e">
        <f>VLOOKUP(A1,DIV_13Data!$A$1:$DZU$1000000,265,FALSE)</f>
        <v>#N/A</v>
      </c>
      <c r="J16" s="34" t="e">
        <f>VLOOKUP(A1,DIV_13Data!$A$1:$DZU$1000000,266,FALSE)</f>
        <v>#N/A</v>
      </c>
      <c r="K16" s="34" t="e">
        <f>VLOOKUP(A1,DIV_13Data!$A$1:$DZU$1000000,267,FALSE)</f>
        <v>#N/A</v>
      </c>
      <c r="L16" s="93" t="e">
        <f>VLOOKUP(A1,DIV_13Data!$A$1:$DZU$1000000,268,FALSE)</f>
        <v>#N/A</v>
      </c>
      <c r="M16" s="33" t="e">
        <f>VLOOKUP(A1,DIV_13Data!$A$1:$DZU$1000000,269,FALSE)</f>
        <v>#N/A</v>
      </c>
      <c r="N16" s="34" t="e">
        <f>VLOOKUP(A1,DIV_13Data!$A$1:$DZU$1000000,270,FALSE)</f>
        <v>#N/A</v>
      </c>
      <c r="O16" s="33" t="e">
        <f>VLOOKUP(A1,DIV_13Data!$A$1:$DZU$1000000,271,FALSE)</f>
        <v>#N/A</v>
      </c>
      <c r="P16" s="46" t="e">
        <f>VLOOKUP(A1,DIV_13Data!$A$1:$DZU$1000000,272,FALSE)</f>
        <v>#N/A</v>
      </c>
      <c r="Q16" s="33" t="e">
        <f>VLOOKUP(A1,DIV_13Data!$A$1:$DZU$1000000,273,FALSE)</f>
        <v>#N/A</v>
      </c>
    </row>
    <row r="17" spans="1:17" x14ac:dyDescent="0.35">
      <c r="A17" s="22" t="e">
        <f>VLOOKUP(A1,DIV_13Data!$A$1:$DZU$1000000,274,FALSE)</f>
        <v>#N/A</v>
      </c>
      <c r="B17" s="37" t="e">
        <f>VLOOKUP(A1,DIV_13Data!$A$1:$DZU$1000000,275,FALSE)</f>
        <v>#N/A</v>
      </c>
      <c r="C17" s="38" t="e">
        <f>VLOOKUP(A1,DIV_13Data!$A$1:$DZU$1000000,276,FALSE)</f>
        <v>#N/A</v>
      </c>
      <c r="D17" s="31" t="e">
        <f>VLOOKUP(A1,DIV_13Data!$A$1:$DZU$1000000,277,FALSE)</f>
        <v>#N/A</v>
      </c>
      <c r="E17" s="32" t="e">
        <f>VLOOKUP(A1,DIV_13Data!$A$1:$DZU$1000000,278,FALSE)</f>
        <v>#N/A</v>
      </c>
      <c r="F17" s="34" t="e">
        <f>VLOOKUP(A1,DIV_13Data!$A$1:$DZU$1000000,279,FALSE)</f>
        <v>#N/A</v>
      </c>
      <c r="G17" s="33" t="e">
        <f>VLOOKUP(A1,DIV_13Data!$A$1:$DZU$1000000,280,FALSE)</f>
        <v>#N/A</v>
      </c>
      <c r="H17" s="34" t="e">
        <f>VLOOKUP(A1,DIV_13Data!$A$1:$DZU$1000000,281,FALSE)</f>
        <v>#N/A</v>
      </c>
      <c r="I17" s="33" t="e">
        <f>VLOOKUP(A1,DIV_13Data!$A$1:$DZU$1000000,282,FALSE)</f>
        <v>#N/A</v>
      </c>
      <c r="J17" s="34" t="e">
        <f>VLOOKUP(A1,DIV_13Data!$A$1:$DZU$1000000,283,FALSE)</f>
        <v>#N/A</v>
      </c>
      <c r="K17" s="34" t="e">
        <f>VLOOKUP(A1,DIV_13Data!$A$1:$DZU$1000000,284,FALSE)</f>
        <v>#N/A</v>
      </c>
      <c r="L17" s="93" t="e">
        <f>VLOOKUP(A1,DIV_13Data!$A$1:$DZU$1000000,285,FALSE)</f>
        <v>#N/A</v>
      </c>
      <c r="M17" s="33" t="e">
        <f>VLOOKUP(A1,DIV_13Data!$A$1:$DZU$1000000,286,FALSE)</f>
        <v>#N/A</v>
      </c>
      <c r="N17" s="34" t="e">
        <f>VLOOKUP(A1,DIV_13Data!$A$1:$DZU$1000000,287,FALSE)</f>
        <v>#N/A</v>
      </c>
      <c r="O17" s="33" t="e">
        <f>VLOOKUP(A1,DIV_13Data!$A$1:$DZU$1000000,288,FALSE)</f>
        <v>#N/A</v>
      </c>
      <c r="P17" s="46" t="e">
        <f>VLOOKUP(A1,DIV_13Data!$A$1:$DZU$1000000,289,FALSE)</f>
        <v>#N/A</v>
      </c>
      <c r="Q17" s="33" t="e">
        <f>VLOOKUP(A1,DIV_13Data!$A$1:$DZU$1000000,290,FALSE)</f>
        <v>#N/A</v>
      </c>
    </row>
    <row r="18" spans="1:17" x14ac:dyDescent="0.35">
      <c r="A18" s="22" t="e">
        <f>VLOOKUP(A1,DIV_13Data!$A$1:$DZU$1000000,291,FALSE)</f>
        <v>#N/A</v>
      </c>
      <c r="B18" s="37" t="e">
        <f>VLOOKUP(A1,DIV_13Data!$A$1:$DZU$1000000,292,FALSE)</f>
        <v>#N/A</v>
      </c>
      <c r="C18" s="38" t="e">
        <f>VLOOKUP(A1,DIV_13Data!$A$1:$DZU$1000000,293,FALSE)</f>
        <v>#N/A</v>
      </c>
      <c r="D18" s="31" t="e">
        <f>VLOOKUP(A1,DIV_13Data!$A$1:$DZU$1000000,294,FALSE)</f>
        <v>#N/A</v>
      </c>
      <c r="E18" s="32" t="e">
        <f>VLOOKUP(A1,DIV_13Data!$A$1:$DZU$1000000,295,FALSE)</f>
        <v>#N/A</v>
      </c>
      <c r="F18" s="34" t="e">
        <f>VLOOKUP(A1,DIV_13Data!$A$1:$DZU$1000000,296,FALSE)</f>
        <v>#N/A</v>
      </c>
      <c r="G18" s="33" t="e">
        <f>VLOOKUP(A1,DIV_13Data!$A$1:$DZU$1000000,297,FALSE)</f>
        <v>#N/A</v>
      </c>
      <c r="H18" s="34" t="e">
        <f>VLOOKUP(A1,DIV_13Data!$A$1:$DZU$1000000,298,FALSE)</f>
        <v>#N/A</v>
      </c>
      <c r="I18" s="33" t="e">
        <f>VLOOKUP(A1,DIV_13Data!$A$1:$DZU$1000000,299,FALSE)</f>
        <v>#N/A</v>
      </c>
      <c r="J18" s="34" t="e">
        <f>VLOOKUP(A1,DIV_13Data!$A$1:$DZU$1000000,300,FALSE)</f>
        <v>#N/A</v>
      </c>
      <c r="K18" s="34" t="e">
        <f>VLOOKUP(A1,DIV_13Data!$A$1:$DZU$1000000,301,FALSE)</f>
        <v>#N/A</v>
      </c>
      <c r="L18" s="93" t="e">
        <f>VLOOKUP(A1,DIV_13Data!$A$1:$DZU$1000000,302,FALSE)</f>
        <v>#N/A</v>
      </c>
      <c r="M18" s="33" t="e">
        <f>VLOOKUP(A1,DIV_13Data!$A$1:$DZU$1000000,303,FALSE)</f>
        <v>#N/A</v>
      </c>
      <c r="N18" s="34" t="e">
        <f>VLOOKUP(A1,DIV_13Data!$A$1:$DZU$1000000,304,FALSE)</f>
        <v>#N/A</v>
      </c>
      <c r="O18" s="33" t="e">
        <f>VLOOKUP(A1,DIV_13Data!$A$1:$DZU$1000000,305,FALSE)</f>
        <v>#N/A</v>
      </c>
      <c r="P18" s="46" t="e">
        <f>VLOOKUP(A1,DIV_13Data!$A$1:$DZU$1000000,306,FALSE)</f>
        <v>#N/A</v>
      </c>
      <c r="Q18" s="33" t="e">
        <f>VLOOKUP(A1,DIV_13Data!$A$1:$DZU$1000000,307,FALSE)</f>
        <v>#N/A</v>
      </c>
    </row>
    <row r="19" spans="1:17" x14ac:dyDescent="0.35">
      <c r="A19" s="22" t="e">
        <f>VLOOKUP(A1,DIV_13Data!$A$1:$DZU$1000000,308,FALSE)</f>
        <v>#N/A</v>
      </c>
      <c r="B19" s="37" t="e">
        <f>VLOOKUP(A1,DIV_13Data!$A$1:$DZU$1000000,309,FALSE)</f>
        <v>#N/A</v>
      </c>
      <c r="C19" s="38" t="e">
        <f>VLOOKUP(A1,DIV_13Data!$A$1:$DZU$1000000,310,FALSE)</f>
        <v>#N/A</v>
      </c>
      <c r="D19" s="31" t="e">
        <f>VLOOKUP(A1,DIV_13Data!$A$1:$DZU$1000000,311,FALSE)</f>
        <v>#N/A</v>
      </c>
      <c r="E19" s="32" t="e">
        <f>VLOOKUP(A1,DIV_13Data!$A$1:$DZU$1000000,312,FALSE)</f>
        <v>#N/A</v>
      </c>
      <c r="F19" s="34" t="e">
        <f>VLOOKUP(A1,DIV_13Data!$A$1:$DZU$1000000,313,FALSE)</f>
        <v>#N/A</v>
      </c>
      <c r="G19" s="33" t="e">
        <f>VLOOKUP(A1,DIV_13Data!$A$1:$DZU$1000000,314,FALSE)</f>
        <v>#N/A</v>
      </c>
      <c r="H19" s="34" t="e">
        <f>VLOOKUP(A1,DIV_13Data!$A$1:$DZU$1000000,315,FALSE)</f>
        <v>#N/A</v>
      </c>
      <c r="I19" s="33" t="e">
        <f>VLOOKUP(A1,DIV_13Data!$A$1:$DZU$1000000,316,FALSE)</f>
        <v>#N/A</v>
      </c>
      <c r="J19" s="34" t="e">
        <f>VLOOKUP(A1,DIV_13Data!$A$1:$DZU$1000000,317,FALSE)</f>
        <v>#N/A</v>
      </c>
      <c r="K19" s="34" t="e">
        <f>VLOOKUP(A1,DIV_13Data!$A$1:$DZU$1000000,318,FALSE)</f>
        <v>#N/A</v>
      </c>
      <c r="L19" s="93" t="e">
        <f>VLOOKUP(A1,DIV_13Data!$A$1:$DZU$1000000,319,FALSE)</f>
        <v>#N/A</v>
      </c>
      <c r="M19" s="33" t="e">
        <f>VLOOKUP(A1,DIV_13Data!$A$1:$DZU$1000000,320,FALSE)</f>
        <v>#N/A</v>
      </c>
      <c r="N19" s="34" t="e">
        <f>VLOOKUP(A1,DIV_13Data!$A$1:$DZU$1000000,321,FALSE)</f>
        <v>#N/A</v>
      </c>
      <c r="O19" s="33" t="e">
        <f>VLOOKUP(A1,DIV_13Data!$A$1:$DZU$1000000,322,FALSE)</f>
        <v>#N/A</v>
      </c>
      <c r="P19" s="46" t="e">
        <f>VLOOKUP(A1,DIV_13Data!$A$1:$DZU$1000000,323,FALSE)</f>
        <v>#N/A</v>
      </c>
      <c r="Q19" s="33" t="e">
        <f>VLOOKUP(A1,DIV_13Data!$A$1:$DZU$1000000,324,FALSE)</f>
        <v>#N/A</v>
      </c>
    </row>
    <row r="20" spans="1:17" x14ac:dyDescent="0.35">
      <c r="A20" s="22" t="e">
        <f>VLOOKUP(A1,DIV_13Data!$A$1:$DZU$1000000,325,FALSE)</f>
        <v>#N/A</v>
      </c>
      <c r="B20" s="37" t="e">
        <f>VLOOKUP(A1,DIV_13Data!$A$1:$DZU$1000000,326,FALSE)</f>
        <v>#N/A</v>
      </c>
      <c r="C20" s="38" t="e">
        <f>VLOOKUP(A1,DIV_13Data!$A$1:$DZU$1000000,327,FALSE)</f>
        <v>#N/A</v>
      </c>
      <c r="D20" s="31" t="e">
        <f>VLOOKUP(A1,DIV_13Data!$A$1:$DZU$1000000,328,FALSE)</f>
        <v>#N/A</v>
      </c>
      <c r="E20" s="32" t="e">
        <f>VLOOKUP(A1,DIV_13Data!$A$1:$DZU$1000000,329,FALSE)</f>
        <v>#N/A</v>
      </c>
      <c r="F20" s="34" t="e">
        <f>VLOOKUP(A1,DIV_13Data!$A$1:$DZU$1000000,330,FALSE)</f>
        <v>#N/A</v>
      </c>
      <c r="G20" s="33" t="e">
        <f>VLOOKUP(A1,DIV_13Data!$A$1:$DZU$1000000,331,FALSE)</f>
        <v>#N/A</v>
      </c>
      <c r="H20" s="34" t="e">
        <f>VLOOKUP(A1,DIV_13Data!$A$1:$DZU$1000000,332,FALSE)</f>
        <v>#N/A</v>
      </c>
      <c r="I20" s="33" t="e">
        <f>VLOOKUP(A1,DIV_13Data!$A$1:$DZU$1000000,333,FALSE)</f>
        <v>#N/A</v>
      </c>
      <c r="J20" s="34" t="e">
        <f>VLOOKUP(A1,DIV_13Data!$A$1:$DZU$1000000,334,FALSE)</f>
        <v>#N/A</v>
      </c>
      <c r="K20" s="34" t="e">
        <f>VLOOKUP(A1,DIV_13Data!$A$1:$DZU$1000000,335,FALSE)</f>
        <v>#N/A</v>
      </c>
      <c r="L20" s="93" t="e">
        <f>VLOOKUP(A1,DIV_13Data!$A$1:$DZU$1000000,336,FALSE)</f>
        <v>#N/A</v>
      </c>
      <c r="M20" s="33" t="e">
        <f>VLOOKUP(A1,DIV_13Data!$A$1:$DZU$1000000,337,FALSE)</f>
        <v>#N/A</v>
      </c>
      <c r="N20" s="34" t="e">
        <f>VLOOKUP(A1,DIV_13Data!$A$1:$DZU$1000000,338,FALSE)</f>
        <v>#N/A</v>
      </c>
      <c r="O20" s="33" t="e">
        <f>VLOOKUP(A1,DIV_13Data!$A$1:$DZU$1000000,339,FALSE)</f>
        <v>#N/A</v>
      </c>
      <c r="P20" s="46" t="e">
        <f>VLOOKUP(A1,DIV_13Data!$A$1:$DZU$1000000,340,FALSE)</f>
        <v>#N/A</v>
      </c>
      <c r="Q20" s="33" t="e">
        <f>VLOOKUP(A1,DIV_13Data!$A$1:$DZU$1000000,341,FALSE)</f>
        <v>#N/A</v>
      </c>
    </row>
    <row r="21" spans="1:17" x14ac:dyDescent="0.35">
      <c r="A21" s="22" t="e">
        <f>VLOOKUP(A1,DIV_13Data!$A$1:$DZU$1000000,342,FALSE)</f>
        <v>#N/A</v>
      </c>
      <c r="B21" s="37" t="e">
        <f>VLOOKUP(A1,DIV_13Data!$A$1:$DZU$1000000,343,FALSE)</f>
        <v>#N/A</v>
      </c>
      <c r="C21" s="38" t="e">
        <f>VLOOKUP(A1,DIV_13Data!$A$1:$DZU$1000000,344,FALSE)</f>
        <v>#N/A</v>
      </c>
      <c r="D21" s="31" t="e">
        <f>VLOOKUP(A1,DIV_13Data!$A$1:$DZU$1000000,345,FALSE)</f>
        <v>#N/A</v>
      </c>
      <c r="E21" s="32" t="e">
        <f>VLOOKUP(A1,DIV_13Data!$A$1:$DZU$1000000,346,FALSE)</f>
        <v>#N/A</v>
      </c>
      <c r="F21" s="34" t="e">
        <f>VLOOKUP(A1,DIV_13Data!$A$1:$DZU$1000000,347,FALSE)</f>
        <v>#N/A</v>
      </c>
      <c r="G21" s="33" t="e">
        <f>VLOOKUP(A1,DIV_13Data!$A$1:$DZU$1000000,348,FALSE)</f>
        <v>#N/A</v>
      </c>
      <c r="H21" s="34" t="e">
        <f>VLOOKUP(A1,DIV_13Data!$A$1:$DZU$1000000,349,FALSE)</f>
        <v>#N/A</v>
      </c>
      <c r="I21" s="33" t="e">
        <f>VLOOKUP(A1,DIV_13Data!$A$1:$DZU$1000000,350,FALSE)</f>
        <v>#N/A</v>
      </c>
      <c r="J21" s="34" t="e">
        <f>VLOOKUP(A1,DIV_13Data!$A$1:$DZU$1000000,351,FALSE)</f>
        <v>#N/A</v>
      </c>
      <c r="K21" s="34" t="e">
        <f>VLOOKUP(A1,DIV_13Data!$A$1:$DZU$1000000,352,FALSE)</f>
        <v>#N/A</v>
      </c>
      <c r="L21" s="93" t="e">
        <f>VLOOKUP(A1,DIV_13Data!$A$1:$DZU$1000000,353,FALSE)</f>
        <v>#N/A</v>
      </c>
      <c r="M21" s="33" t="e">
        <f>VLOOKUP(A1,DIV_13Data!$A$1:$DZU$1000000,354,FALSE)</f>
        <v>#N/A</v>
      </c>
      <c r="N21" s="34" t="e">
        <f>VLOOKUP(A1,DIV_13Data!$A$1:$DZU$1000000,355,FALSE)</f>
        <v>#N/A</v>
      </c>
      <c r="O21" s="33" t="e">
        <f>VLOOKUP(A1,DIV_13Data!$A$1:$DZU$1000000,356,FALSE)</f>
        <v>#N/A</v>
      </c>
      <c r="P21" s="46" t="e">
        <f>VLOOKUP(A1,DIV_13Data!$A$1:$DZU$1000000,357,FALSE)</f>
        <v>#N/A</v>
      </c>
      <c r="Q21" s="33" t="e">
        <f>VLOOKUP(A1,DIV_13Data!$A$1:$DZU$1000000,358,FALSE)</f>
        <v>#N/A</v>
      </c>
    </row>
    <row r="22" spans="1:17" x14ac:dyDescent="0.35">
      <c r="A22" s="22" t="e">
        <f>VLOOKUP(A1,DIV_13Data!$A$1:$DZU$1000000,359,FALSE)</f>
        <v>#N/A</v>
      </c>
      <c r="B22" s="37" t="e">
        <f>VLOOKUP(A1,DIV_13Data!$A$1:$DZU$1000000,360,FALSE)</f>
        <v>#N/A</v>
      </c>
      <c r="C22" s="38" t="e">
        <f>VLOOKUP(A1,DIV_13Data!$A$1:$DZU$1000000,361,FALSE)</f>
        <v>#N/A</v>
      </c>
      <c r="D22" s="31" t="e">
        <f>VLOOKUP(A1,DIV_13Data!$A$1:$DZU$1000000,362,FALSE)</f>
        <v>#N/A</v>
      </c>
      <c r="E22" s="32" t="e">
        <f>VLOOKUP(A1,DIV_13Data!$A$1:$DZU$1000000,363,FALSE)</f>
        <v>#N/A</v>
      </c>
      <c r="F22" s="34" t="e">
        <f>VLOOKUP(A1,DIV_13Data!$A$1:$DZU$1000000,364,FALSE)</f>
        <v>#N/A</v>
      </c>
      <c r="G22" s="33" t="e">
        <f>VLOOKUP(A1,DIV_13Data!$A$1:$DZU$1000000,365,FALSE)</f>
        <v>#N/A</v>
      </c>
      <c r="H22" s="34" t="e">
        <f>VLOOKUP(A1,DIV_13Data!$A$1:$DZU$1000000,366,FALSE)</f>
        <v>#N/A</v>
      </c>
      <c r="I22" s="33" t="e">
        <f>VLOOKUP(A1,DIV_13Data!$A$1:$DZU$1000000,367,FALSE)</f>
        <v>#N/A</v>
      </c>
      <c r="J22" s="34" t="e">
        <f>VLOOKUP(A1,DIV_13Data!$A$1:$DZU$1000000,368,FALSE)</f>
        <v>#N/A</v>
      </c>
      <c r="K22" s="34" t="e">
        <f>VLOOKUP(A1,DIV_13Data!$A$1:$DZU$1000000,369,FALSE)</f>
        <v>#N/A</v>
      </c>
      <c r="L22" s="93" t="e">
        <f>VLOOKUP(A1,DIV_13Data!$A$1:$DZU$1000000,370,FALSE)</f>
        <v>#N/A</v>
      </c>
      <c r="M22" s="33" t="e">
        <f>VLOOKUP(A1,DIV_13Data!$A$1:$DZU$1000000,371,FALSE)</f>
        <v>#N/A</v>
      </c>
      <c r="N22" s="34" t="e">
        <f>VLOOKUP(A1,DIV_13Data!$A$1:$DZU$1000000,372,FALSE)</f>
        <v>#N/A</v>
      </c>
      <c r="O22" s="33" t="e">
        <f>VLOOKUP(A1,DIV_13Data!$A$1:$DZU$1000000,373,FALSE)</f>
        <v>#N/A</v>
      </c>
      <c r="P22" s="46" t="e">
        <f>VLOOKUP(A1,DIV_13Data!$A$1:$DZU$1000000,374,FALSE)</f>
        <v>#N/A</v>
      </c>
      <c r="Q22" s="33" t="e">
        <f>VLOOKUP(A1,DIV_13Data!$A$1:$DZU$1000000,375,FALSE)</f>
        <v>#N/A</v>
      </c>
    </row>
    <row r="23" spans="1:17" x14ac:dyDescent="0.35">
      <c r="A23" s="22" t="e">
        <f>VLOOKUP(A1,DIV_13Data!$A$1:$DZU$1000000,376,FALSE)</f>
        <v>#N/A</v>
      </c>
      <c r="B23" s="37" t="e">
        <f>VLOOKUP(A1,DIV_13Data!$A$1:$DZU$1000000,377,FALSE)</f>
        <v>#N/A</v>
      </c>
      <c r="C23" s="38" t="e">
        <f>VLOOKUP(A1,DIV_13Data!$A$1:$DZU$1000000,378,FALSE)</f>
        <v>#N/A</v>
      </c>
      <c r="D23" s="31" t="e">
        <f>VLOOKUP(A1,DIV_13Data!$A$1:$DZU$1000000,379,FALSE)</f>
        <v>#N/A</v>
      </c>
      <c r="E23" s="32" t="e">
        <f>VLOOKUP(A1,DIV_13Data!$A$1:$DZU$1000000,380,FALSE)</f>
        <v>#N/A</v>
      </c>
      <c r="F23" s="34" t="e">
        <f>VLOOKUP(A1,DIV_13Data!$A$1:$DZU$1000000,381,FALSE)</f>
        <v>#N/A</v>
      </c>
      <c r="G23" s="33" t="e">
        <f>VLOOKUP(A1,DIV_13Data!$A$1:$DZU$1000000,382,FALSE)</f>
        <v>#N/A</v>
      </c>
      <c r="H23" s="34" t="e">
        <f>VLOOKUP(A1,DIV_13Data!$A$1:$DZU$1000000,383,FALSE)</f>
        <v>#N/A</v>
      </c>
      <c r="I23" s="33" t="e">
        <f>VLOOKUP(A1,DIV_13Data!$A$1:$DZU$1000000,384,FALSE)</f>
        <v>#N/A</v>
      </c>
      <c r="J23" s="34" t="e">
        <f>VLOOKUP(A1,DIV_13Data!$A$1:$DZU$1000000,385,FALSE)</f>
        <v>#N/A</v>
      </c>
      <c r="K23" s="34" t="e">
        <f>VLOOKUP(A1,DIV_13Data!$A$1:$DZU$1000000,386,FALSE)</f>
        <v>#N/A</v>
      </c>
      <c r="L23" s="93" t="e">
        <f>VLOOKUP(A1,DIV_13Data!$A$1:$DZU$1000000,387,FALSE)</f>
        <v>#N/A</v>
      </c>
      <c r="M23" s="33" t="e">
        <f>VLOOKUP(A1,DIV_13Data!$A$1:$DZU$1000000,388,FALSE)</f>
        <v>#N/A</v>
      </c>
      <c r="N23" s="34" t="e">
        <f>VLOOKUP(A1,DIV_13Data!$A$1:$DZU$1000000,389,FALSE)</f>
        <v>#N/A</v>
      </c>
      <c r="O23" s="33" t="e">
        <f>VLOOKUP(A1,DIV_13Data!$A$1:$DZU$1000000,390,FALSE)</f>
        <v>#N/A</v>
      </c>
      <c r="P23" s="46" t="e">
        <f>VLOOKUP(A1,DIV_13Data!$A$1:$DZU$1000000,391,FALSE)</f>
        <v>#N/A</v>
      </c>
      <c r="Q23" s="33" t="e">
        <f>VLOOKUP(A1,DIV_13Data!$A$1:$DZU$1000000,392,FALSE)</f>
        <v>#N/A</v>
      </c>
    </row>
    <row r="24" spans="1:17" x14ac:dyDescent="0.35">
      <c r="A24" s="22" t="e">
        <f>VLOOKUP(A1,DIV_13Data!$A$1:$DZU$1000000,393,FALSE)</f>
        <v>#N/A</v>
      </c>
      <c r="B24" s="37" t="e">
        <f>VLOOKUP(A1,DIV_13Data!$A$1:$DZU$1000000,394,FALSE)</f>
        <v>#N/A</v>
      </c>
      <c r="C24" s="38" t="e">
        <f>VLOOKUP(A1,DIV_13Data!$A$1:$DZU$1000000,395,FALSE)</f>
        <v>#N/A</v>
      </c>
      <c r="D24" s="31" t="e">
        <f>VLOOKUP(A1,DIV_13Data!$A$1:$DZU$1000000,396,FALSE)</f>
        <v>#N/A</v>
      </c>
      <c r="E24" s="32" t="e">
        <f>VLOOKUP(A1,DIV_13Data!$A$1:$DZU$1000000,397,FALSE)</f>
        <v>#N/A</v>
      </c>
      <c r="F24" s="34" t="e">
        <f>VLOOKUP(A1,DIV_13Data!$A$1:$DZU$1000000,398,FALSE)</f>
        <v>#N/A</v>
      </c>
      <c r="G24" s="33" t="e">
        <f>VLOOKUP(A1,DIV_13Data!$A$1:$DZU$1000000,399,FALSE)</f>
        <v>#N/A</v>
      </c>
      <c r="H24" s="34" t="e">
        <f>VLOOKUP(A1,DIV_13Data!$A$1:$DZU$1000000,400,FALSE)</f>
        <v>#N/A</v>
      </c>
      <c r="I24" s="33" t="e">
        <f>VLOOKUP(A1,DIV_13Data!$A$1:$DZU$1000000,401,FALSE)</f>
        <v>#N/A</v>
      </c>
      <c r="J24" s="34" t="e">
        <f>VLOOKUP(A1,DIV_13Data!$A$1:$DZU$1000000,402,FALSE)</f>
        <v>#N/A</v>
      </c>
      <c r="K24" s="34" t="e">
        <f>VLOOKUP(A1,DIV_13Data!$A$1:$DZU$1000000,403,FALSE)</f>
        <v>#N/A</v>
      </c>
      <c r="L24" s="93" t="e">
        <f>VLOOKUP(A1,DIV_13Data!$A$1:$DZU$1000000,404,FALSE)</f>
        <v>#N/A</v>
      </c>
      <c r="M24" s="33" t="e">
        <f>VLOOKUP(A1,DIV_13Data!$A$1:$DZU$1000000,405,FALSE)</f>
        <v>#N/A</v>
      </c>
      <c r="N24" s="34" t="e">
        <f>VLOOKUP(A1,DIV_13Data!$A$1:$DZU$1000000,406,FALSE)</f>
        <v>#N/A</v>
      </c>
      <c r="O24" s="33" t="e">
        <f>VLOOKUP(A1,DIV_13Data!$A$1:$DZU$1000000,407,FALSE)</f>
        <v>#N/A</v>
      </c>
      <c r="P24" s="46" t="e">
        <f>VLOOKUP(A1,DIV_13Data!$A$1:$DZU$1000000,408,FALSE)</f>
        <v>#N/A</v>
      </c>
      <c r="Q24" s="33" t="e">
        <f>VLOOKUP(A1,DIV_13Data!$A$1:$DZU$1000000,409,FALSE)</f>
        <v>#N/A</v>
      </c>
    </row>
    <row r="25" spans="1:17" x14ac:dyDescent="0.35">
      <c r="A25" s="22" t="e">
        <f>VLOOKUP(A1,DIV_13Data!$A$1:$DZU$1000000,410,FALSE)</f>
        <v>#N/A</v>
      </c>
      <c r="B25" s="37" t="e">
        <f>VLOOKUP(A1,DIV_13Data!$A$1:$DZU$1000000,411,FALSE)</f>
        <v>#N/A</v>
      </c>
      <c r="C25" s="38" t="e">
        <f>VLOOKUP(A1,DIV_13Data!$A$1:$DZU$1000000,412,FALSE)</f>
        <v>#N/A</v>
      </c>
      <c r="D25" s="31" t="e">
        <f>VLOOKUP(A1,DIV_13Data!$A$1:$DZU$1000000,413,FALSE)</f>
        <v>#N/A</v>
      </c>
      <c r="E25" s="32" t="e">
        <f>VLOOKUP(A1,DIV_13Data!$A$1:$DZU$1000000,414,FALSE)</f>
        <v>#N/A</v>
      </c>
      <c r="F25" s="34" t="e">
        <f>VLOOKUP(A1,DIV_13Data!$A$1:$DZU$1000000,415,FALSE)</f>
        <v>#N/A</v>
      </c>
      <c r="G25" s="33" t="e">
        <f>VLOOKUP(A1,DIV_13Data!$A$1:$DZU$1000000,416,FALSE)</f>
        <v>#N/A</v>
      </c>
      <c r="H25" s="34" t="e">
        <f>VLOOKUP(A1,DIV_13Data!$A$1:$DZU$1000000,417,FALSE)</f>
        <v>#N/A</v>
      </c>
      <c r="I25" s="33" t="e">
        <f>VLOOKUP(A1,DIV_13Data!$A$1:$DZU$1000000,418,FALSE)</f>
        <v>#N/A</v>
      </c>
      <c r="J25" s="34" t="e">
        <f>VLOOKUP(A1,DIV_13Data!$A$1:$DZU$1000000,419,FALSE)</f>
        <v>#N/A</v>
      </c>
      <c r="K25" s="34" t="e">
        <f>VLOOKUP(A1,DIV_13Data!$A$1:$DZU$1000000,420,FALSE)</f>
        <v>#N/A</v>
      </c>
      <c r="L25" s="93" t="e">
        <f>VLOOKUP(A1,DIV_13Data!$A$1:$DZU$1000000,421,FALSE)</f>
        <v>#N/A</v>
      </c>
      <c r="M25" s="33" t="e">
        <f>VLOOKUP(A1,DIV_13Data!$A$1:$DZU$1000000,422,FALSE)</f>
        <v>#N/A</v>
      </c>
      <c r="N25" s="34" t="e">
        <f>VLOOKUP(A1,DIV_13Data!$A$1:$DZU$1000000,423,FALSE)</f>
        <v>#N/A</v>
      </c>
      <c r="O25" s="33" t="e">
        <f>VLOOKUP(A1,DIV_13Data!$A$1:$DZU$1000000,424,FALSE)</f>
        <v>#N/A</v>
      </c>
      <c r="P25" s="46" t="e">
        <f>VLOOKUP(A1,DIV_13Data!$A$1:$DZU$1000000,425,FALSE)</f>
        <v>#N/A</v>
      </c>
      <c r="Q25" s="33" t="e">
        <f>VLOOKUP(A1,DIV_13Data!$A$1:$DZU$1000000,426,FALSE)</f>
        <v>#N/A</v>
      </c>
    </row>
    <row r="26" spans="1:17" x14ac:dyDescent="0.35">
      <c r="A26" s="22" t="e">
        <f>VLOOKUP(A1,DIV_13Data!$A$1:$DZU$1000000,427,FALSE)</f>
        <v>#N/A</v>
      </c>
      <c r="B26" s="37" t="e">
        <f>VLOOKUP(A1,DIV_13Data!$A$1:$DZU$1000000,428,FALSE)</f>
        <v>#N/A</v>
      </c>
      <c r="C26" s="38" t="e">
        <f>VLOOKUP(A1,DIV_13Data!$A$1:$DZU$1000000,429,FALSE)</f>
        <v>#N/A</v>
      </c>
      <c r="D26" s="31" t="e">
        <f>VLOOKUP(A1,DIV_13Data!$A$1:$DZU$1000000,430,FALSE)</f>
        <v>#N/A</v>
      </c>
      <c r="E26" s="32" t="e">
        <f>VLOOKUP(A1,DIV_13Data!$A$1:$DZU$1000000,431,FALSE)</f>
        <v>#N/A</v>
      </c>
      <c r="F26" s="34" t="e">
        <f>VLOOKUP(A1,DIV_13Data!$A$1:$DZU$1000000,432,FALSE)</f>
        <v>#N/A</v>
      </c>
      <c r="G26" s="33" t="e">
        <f>VLOOKUP(A1,DIV_13Data!$A$1:$DZU$1000000,433,FALSE)</f>
        <v>#N/A</v>
      </c>
      <c r="H26" s="34" t="e">
        <f>VLOOKUP(A1,DIV_13Data!$A$1:$DZU$1000000,434,FALSE)</f>
        <v>#N/A</v>
      </c>
      <c r="I26" s="33" t="e">
        <f>VLOOKUP(A1,DIV_13Data!$A$1:$DZU$1000000,435,FALSE)</f>
        <v>#N/A</v>
      </c>
      <c r="J26" s="34" t="e">
        <f>VLOOKUP(A1,DIV_13Data!$A$1:$DZU$1000000,436,FALSE)</f>
        <v>#N/A</v>
      </c>
      <c r="K26" s="34" t="e">
        <f>VLOOKUP(A1,DIV_13Data!$A$1:$DZU$1000000,437,FALSE)</f>
        <v>#N/A</v>
      </c>
      <c r="L26" s="93" t="e">
        <f>VLOOKUP(A1,DIV_13Data!$A$1:$DZU$1000000,438,FALSE)</f>
        <v>#N/A</v>
      </c>
      <c r="M26" s="33" t="e">
        <f>VLOOKUP(A1,DIV_13Data!$A$1:$DZU$1000000,439,FALSE)</f>
        <v>#N/A</v>
      </c>
      <c r="N26" s="34" t="e">
        <f>VLOOKUP(A1,DIV_13Data!$A$1:$DZU$1000000,440,FALSE)</f>
        <v>#N/A</v>
      </c>
      <c r="O26" s="33" t="e">
        <f>VLOOKUP(A1,DIV_13Data!$A$1:$DZU$1000000,441,FALSE)</f>
        <v>#N/A</v>
      </c>
      <c r="P26" s="46" t="e">
        <f>VLOOKUP(A1,DIV_13Data!$A$1:$DZU$1000000,442,FALSE)</f>
        <v>#N/A</v>
      </c>
      <c r="Q26" s="33" t="e">
        <f>VLOOKUP(A1,DIV_13Data!$A$1:$DZU$1000000,443,FALSE)</f>
        <v>#N/A</v>
      </c>
    </row>
    <row r="27" spans="1:17" x14ac:dyDescent="0.35">
      <c r="A27" s="22" t="e">
        <f>VLOOKUP(A1,DIV_13Data!$A$1:$DZU$1000000,444,FALSE)</f>
        <v>#N/A</v>
      </c>
      <c r="B27" s="37" t="e">
        <f>VLOOKUP(A1,DIV_13Data!$A$1:$DZU$1000000,445,FALSE)</f>
        <v>#N/A</v>
      </c>
      <c r="C27" s="38" t="e">
        <f>VLOOKUP(A1,DIV_13Data!$A$1:$DZU$1000000,446,FALSE)</f>
        <v>#N/A</v>
      </c>
      <c r="D27" s="31" t="e">
        <f>VLOOKUP(A1,DIV_13Data!$A$1:$DZU$1000000,447,FALSE)</f>
        <v>#N/A</v>
      </c>
      <c r="E27" s="32" t="e">
        <f>VLOOKUP(A1,DIV_13Data!$A$1:$DZU$1000000,448,FALSE)</f>
        <v>#N/A</v>
      </c>
      <c r="F27" s="34" t="e">
        <f>VLOOKUP(A1,DIV_13Data!$A$1:$DZU$1000000,449,FALSE)</f>
        <v>#N/A</v>
      </c>
      <c r="G27" s="33" t="e">
        <f>VLOOKUP(A1,DIV_13Data!$A$1:$DZU$1000000,450,FALSE)</f>
        <v>#N/A</v>
      </c>
      <c r="H27" s="34" t="e">
        <f>VLOOKUP(A1,DIV_13Data!$A$1:$DZU$1000000,451,FALSE)</f>
        <v>#N/A</v>
      </c>
      <c r="I27" s="33" t="e">
        <f>VLOOKUP(A1,DIV_13Data!$A$1:$DZU$1000000,452,FALSE)</f>
        <v>#N/A</v>
      </c>
      <c r="J27" s="34" t="e">
        <f>VLOOKUP(A1,DIV_13Data!$A$1:$DZU$1000000,453,FALSE)</f>
        <v>#N/A</v>
      </c>
      <c r="K27" s="34" t="e">
        <f>VLOOKUP(A1,DIV_13Data!$A$1:$DZU$1000000,454,FALSE)</f>
        <v>#N/A</v>
      </c>
      <c r="L27" s="93" t="e">
        <f>VLOOKUP(A1,DIV_13Data!$A$1:$DZU$1000000,455,FALSE)</f>
        <v>#N/A</v>
      </c>
      <c r="M27" s="33" t="e">
        <f>VLOOKUP(A1,DIV_13Data!$A$1:$DZU$1000000,456,FALSE)</f>
        <v>#N/A</v>
      </c>
      <c r="N27" s="34" t="e">
        <f>VLOOKUP(A1,DIV_13Data!$A$1:$DZU$1000000,457,FALSE)</f>
        <v>#N/A</v>
      </c>
      <c r="O27" s="33" t="e">
        <f>VLOOKUP(A1,DIV_13Data!$A$1:$DZU$1000000,458,FALSE)</f>
        <v>#N/A</v>
      </c>
      <c r="P27" s="46" t="e">
        <f>VLOOKUP(A1,DIV_13Data!$A$1:$DZU$1000000,459,FALSE)</f>
        <v>#N/A</v>
      </c>
      <c r="Q27" s="33" t="e">
        <f>VLOOKUP(A1,DIV_13Data!$A$1:$DZU$1000000,460,FALSE)</f>
        <v>#N/A</v>
      </c>
    </row>
    <row r="28" spans="1:17" x14ac:dyDescent="0.35">
      <c r="A28" s="22" t="e">
        <f>VLOOKUP(A1,DIV_13Data!$A$1:$DZU$1000000,461,FALSE)</f>
        <v>#N/A</v>
      </c>
      <c r="B28" s="37" t="e">
        <f>VLOOKUP(A1,DIV_13Data!$A$1:$DZU$1000000,462,FALSE)</f>
        <v>#N/A</v>
      </c>
      <c r="C28" s="38" t="e">
        <f>VLOOKUP(A1,DIV_13Data!$A$1:$DZU$1000000,463,FALSE)</f>
        <v>#N/A</v>
      </c>
      <c r="D28" s="31" t="e">
        <f>VLOOKUP(A1,DIV_13Data!$A$1:$DZU$1000000,464,FALSE)</f>
        <v>#N/A</v>
      </c>
      <c r="E28" s="32" t="e">
        <f>VLOOKUP(A1,DIV_13Data!$A$1:$DZU$1000000,465,FALSE)</f>
        <v>#N/A</v>
      </c>
      <c r="F28" s="34" t="e">
        <f>VLOOKUP(A1,DIV_13Data!$A$1:$DZU$1000000,466,FALSE)</f>
        <v>#N/A</v>
      </c>
      <c r="G28" s="33" t="e">
        <f>VLOOKUP(A1,DIV_13Data!$A$1:$DZU$1000000,467,FALSE)</f>
        <v>#N/A</v>
      </c>
      <c r="H28" s="34" t="e">
        <f>VLOOKUP(A1,DIV_13Data!$A$1:$DZU$1000000,468,FALSE)</f>
        <v>#N/A</v>
      </c>
      <c r="I28" s="33" t="e">
        <f>VLOOKUP(A1,DIV_13Data!$A$1:$DZU$1000000,469,FALSE)</f>
        <v>#N/A</v>
      </c>
      <c r="J28" s="34" t="e">
        <f>VLOOKUP(A1,DIV_13Data!$A$1:$DZU$1000000,470,FALSE)</f>
        <v>#N/A</v>
      </c>
      <c r="K28" s="34" t="e">
        <f>VLOOKUP(A1,DIV_13Data!$A$1:$DZU$1000000,471,FALSE)</f>
        <v>#N/A</v>
      </c>
      <c r="L28" s="93" t="e">
        <f>VLOOKUP(A1,DIV_13Data!$A$1:$DZU$1000000,472,FALSE)</f>
        <v>#N/A</v>
      </c>
      <c r="M28" s="33" t="e">
        <f>VLOOKUP(A1,DIV_13Data!$A$1:$DZU$1000000,473,FALSE)</f>
        <v>#N/A</v>
      </c>
      <c r="N28" s="34" t="e">
        <f>VLOOKUP(A1,DIV_13Data!$A$1:$DZU$1000000,474,FALSE)</f>
        <v>#N/A</v>
      </c>
      <c r="O28" s="33" t="e">
        <f>VLOOKUP(A1,DIV_13Data!$A$1:$DZU$1000000,475,FALSE)</f>
        <v>#N/A</v>
      </c>
      <c r="P28" s="46" t="e">
        <f>VLOOKUP(A1,DIV_13Data!$A$1:$DZU$1000000,476,FALSE)</f>
        <v>#N/A</v>
      </c>
      <c r="Q28" s="33" t="e">
        <f>VLOOKUP(A1,DIV_13Data!$A$1:$DZU$1000000,477,FALSE)</f>
        <v>#N/A</v>
      </c>
    </row>
    <row r="29" spans="1:17" x14ac:dyDescent="0.35">
      <c r="A29" s="22" t="e">
        <f>VLOOKUP(A1,DIV_13Data!$A$1:$DZU$1000000,478,FALSE)</f>
        <v>#N/A</v>
      </c>
      <c r="B29" s="37" t="e">
        <f>VLOOKUP(A1,DIV_13Data!$A$1:$DZU$1000000,479,FALSE)</f>
        <v>#N/A</v>
      </c>
      <c r="C29" s="38" t="e">
        <f>VLOOKUP(A1,DIV_13Data!$A$1:$DZU$1000000,480,FALSE)</f>
        <v>#N/A</v>
      </c>
      <c r="D29" s="31" t="e">
        <f>VLOOKUP(A1,DIV_13Data!$A$1:$DZU$1000000,481,FALSE)</f>
        <v>#N/A</v>
      </c>
      <c r="E29" s="32" t="e">
        <f>VLOOKUP(A1,DIV_13Data!$A$1:$DZU$1000000,482,FALSE)</f>
        <v>#N/A</v>
      </c>
      <c r="F29" s="34" t="e">
        <f>VLOOKUP(A1,DIV_13Data!$A$1:$DZU$1000000,483,FALSE)</f>
        <v>#N/A</v>
      </c>
      <c r="G29" s="33" t="e">
        <f>VLOOKUP(A1,DIV_13Data!$A$1:$DZU$1000000,484,FALSE)</f>
        <v>#N/A</v>
      </c>
      <c r="H29" s="34" t="e">
        <f>VLOOKUP(A1,DIV_13Data!$A$1:$DZU$1000000,485,FALSE)</f>
        <v>#N/A</v>
      </c>
      <c r="I29" s="33" t="e">
        <f>VLOOKUP(A1,DIV_13Data!$A$1:$DZU$1000000,486,FALSE)</f>
        <v>#N/A</v>
      </c>
      <c r="J29" s="34" t="e">
        <f>VLOOKUP(A1,DIV_13Data!$A$1:$DZU$1000000,487,FALSE)</f>
        <v>#N/A</v>
      </c>
      <c r="K29" s="34" t="e">
        <f>VLOOKUP(A1,DIV_13Data!$A$1:$DZU$1000000,488,FALSE)</f>
        <v>#N/A</v>
      </c>
      <c r="L29" s="93" t="e">
        <f>VLOOKUP(A1,DIV_13Data!$A$1:$DZU$1000000,489,FALSE)</f>
        <v>#N/A</v>
      </c>
      <c r="M29" s="33" t="e">
        <f>VLOOKUP(A1,DIV_13Data!$A$1:$DZU$1000000,490,FALSE)</f>
        <v>#N/A</v>
      </c>
      <c r="N29" s="34" t="e">
        <f>VLOOKUP(A1,DIV_13Data!$A$1:$DZU$1000000,491,FALSE)</f>
        <v>#N/A</v>
      </c>
      <c r="O29" s="33" t="e">
        <f>VLOOKUP(A1,DIV_13Data!$A$1:$DZU$1000000,492,FALSE)</f>
        <v>#N/A</v>
      </c>
      <c r="P29" s="46" t="e">
        <f>VLOOKUP(A1,DIV_13Data!$A$1:$DZU$1000000,493,FALSE)</f>
        <v>#N/A</v>
      </c>
      <c r="Q29" s="33" t="e">
        <f>VLOOKUP(A1,DIV_13Data!$A$1:$DZU$1000000,494,FALSE)</f>
        <v>#N/A</v>
      </c>
    </row>
    <row r="30" spans="1:17" x14ac:dyDescent="0.35">
      <c r="A30" s="22" t="e">
        <f>VLOOKUP(A1,DIV_13Data!$A$1:$DZU$1000000,495,FALSE)</f>
        <v>#N/A</v>
      </c>
      <c r="B30" s="37" t="e">
        <f>VLOOKUP(A1,DIV_13Data!$A$1:$DZU$1000000,496,FALSE)</f>
        <v>#N/A</v>
      </c>
      <c r="C30" s="38" t="e">
        <f>VLOOKUP(A1,DIV_13Data!$A$1:$DZU$1000000,497,FALSE)</f>
        <v>#N/A</v>
      </c>
      <c r="D30" s="31" t="e">
        <f>VLOOKUP(A1,DIV_13Data!$A$1:$DZU$1000000,498,FALSE)</f>
        <v>#N/A</v>
      </c>
      <c r="E30" s="32" t="e">
        <f>VLOOKUP(A1,DIV_13Data!$A$1:$DZU$1000000,499,FALSE)</f>
        <v>#N/A</v>
      </c>
      <c r="F30" s="34" t="e">
        <f>VLOOKUP(A1,DIV_13Data!$A$1:$DZU$1000000,500,FALSE)</f>
        <v>#N/A</v>
      </c>
      <c r="G30" s="33" t="e">
        <f>VLOOKUP(A1,DIV_13Data!$A$1:$DZU$1000000,501,FALSE)</f>
        <v>#N/A</v>
      </c>
      <c r="H30" s="34" t="e">
        <f>VLOOKUP(A1,DIV_13Data!$A$1:$DZU$1000000,502,FALSE)</f>
        <v>#N/A</v>
      </c>
      <c r="I30" s="33" t="e">
        <f>VLOOKUP(A1,DIV_13Data!$A$1:$DZU$1000000,503,FALSE)</f>
        <v>#N/A</v>
      </c>
      <c r="J30" s="34" t="e">
        <f>VLOOKUP(A1,DIV_13Data!$A$1:$DZU$1000000,504,FALSE)</f>
        <v>#N/A</v>
      </c>
      <c r="K30" s="34" t="e">
        <f>VLOOKUP(A1,DIV_13Data!$A$1:$DZU$1000000,505,FALSE)</f>
        <v>#N/A</v>
      </c>
      <c r="L30" s="93" t="e">
        <f>VLOOKUP(A1,DIV_13Data!$A$1:$DZU$1000000,506,FALSE)</f>
        <v>#N/A</v>
      </c>
      <c r="M30" s="33" t="e">
        <f>VLOOKUP(A1,DIV_13Data!$A$1:$DZU$1000000,507,FALSE)</f>
        <v>#N/A</v>
      </c>
      <c r="N30" s="34" t="e">
        <f>VLOOKUP(A1,DIV_13Data!$A$1:$DZU$1000000,508,FALSE)</f>
        <v>#N/A</v>
      </c>
      <c r="O30" s="33" t="e">
        <f>VLOOKUP(A1,DIV_13Data!$A$1:$DZU$1000000,509,FALSE)</f>
        <v>#N/A</v>
      </c>
      <c r="P30" s="46" t="e">
        <f>VLOOKUP(A1,DIV_13Data!$A$1:$DZU$1000000,510,FALSE)</f>
        <v>#N/A</v>
      </c>
      <c r="Q30" s="33" t="e">
        <f>VLOOKUP(A1,DIV_13Data!$A$1:$DZU$1000000,511,FALSE)</f>
        <v>#N/A</v>
      </c>
    </row>
    <row r="31" spans="1:17" x14ac:dyDescent="0.35">
      <c r="A31" s="22" t="e">
        <f>VLOOKUP(A1,DIV_13Data!$A$1:$DZU$1000000,512,FALSE)</f>
        <v>#N/A</v>
      </c>
      <c r="B31" s="37" t="e">
        <f>VLOOKUP(A1,DIV_13Data!$A$1:$DZU$1000000,513,FALSE)</f>
        <v>#N/A</v>
      </c>
      <c r="C31" s="38" t="e">
        <f>VLOOKUP(A1,DIV_13Data!$A$1:$DZU$1000000,514,FALSE)</f>
        <v>#N/A</v>
      </c>
      <c r="D31" s="31" t="e">
        <f>VLOOKUP(A1,DIV_13Data!$A$1:$DZU$1000000,515,FALSE)</f>
        <v>#N/A</v>
      </c>
      <c r="E31" s="32" t="e">
        <f>VLOOKUP(A1,DIV_13Data!$A$1:$DZU$1000000,516,FALSE)</f>
        <v>#N/A</v>
      </c>
      <c r="F31" s="34" t="e">
        <f>VLOOKUP(A1,DIV_13Data!$A$1:$DZU$1000000,517,FALSE)</f>
        <v>#N/A</v>
      </c>
      <c r="G31" s="33" t="e">
        <f>VLOOKUP(A1,DIV_13Data!$A$1:$DZU$1000000,518,FALSE)</f>
        <v>#N/A</v>
      </c>
      <c r="H31" s="34" t="e">
        <f>VLOOKUP(A1,DIV_13Data!$A$1:$DZU$1000000,519,FALSE)</f>
        <v>#N/A</v>
      </c>
      <c r="I31" s="33" t="e">
        <f>VLOOKUP(A1,DIV_13Data!$A$1:$DZU$1000000,520,FALSE)</f>
        <v>#N/A</v>
      </c>
      <c r="J31" s="34" t="e">
        <f>VLOOKUP(A1,DIV_13Data!$A$1:$DZU$1000000,521,FALSE)</f>
        <v>#N/A</v>
      </c>
      <c r="K31" s="34" t="e">
        <f>VLOOKUP(A1,DIV_13Data!$A$1:$DZU$1000000,522,FALSE)</f>
        <v>#N/A</v>
      </c>
      <c r="L31" s="93" t="e">
        <f>VLOOKUP(A1,DIV_13Data!$A$1:$DZU$1000000,523,FALSE)</f>
        <v>#N/A</v>
      </c>
      <c r="M31" s="33" t="e">
        <f>VLOOKUP(A1,DIV_13Data!$A$1:$DZU$1000000,524,FALSE)</f>
        <v>#N/A</v>
      </c>
      <c r="N31" s="34" t="e">
        <f>VLOOKUP(A1,DIV_13Data!$A$1:$DZU$1000000,525,FALSE)</f>
        <v>#N/A</v>
      </c>
      <c r="O31" s="33" t="e">
        <f>VLOOKUP(A1,DIV_13Data!$A$1:$DZU$1000000,526,FALSE)</f>
        <v>#N/A</v>
      </c>
      <c r="P31" s="46" t="e">
        <f>VLOOKUP(A1,DIV_13Data!$A$1:$DZU$1000000,527,FALSE)</f>
        <v>#N/A</v>
      </c>
      <c r="Q31" s="33" t="e">
        <f>VLOOKUP(A1,DIV_13Data!$A$1:$DZU$1000000,528,FALSE)</f>
        <v>#N/A</v>
      </c>
    </row>
    <row r="32" spans="1:17" x14ac:dyDescent="0.35">
      <c r="A32" s="22" t="e">
        <f>VLOOKUP(A1,DIV_13Data!$A$1:$DZU$1000000,529,FALSE)</f>
        <v>#N/A</v>
      </c>
      <c r="B32" s="37" t="e">
        <f>VLOOKUP(A1,DIV_13Data!$A$1:$DZU$1000000,530,FALSE)</f>
        <v>#N/A</v>
      </c>
      <c r="C32" s="38" t="e">
        <f>VLOOKUP(A1,DIV_13Data!$A$1:$DZU$1000000,531,FALSE)</f>
        <v>#N/A</v>
      </c>
      <c r="D32" s="31" t="e">
        <f>VLOOKUP(A1,DIV_13Data!$A$1:$DZU$1000000,532,FALSE)</f>
        <v>#N/A</v>
      </c>
      <c r="E32" s="32" t="e">
        <f>VLOOKUP(A1,DIV_13Data!$A$1:$DZU$1000000,533,FALSE)</f>
        <v>#N/A</v>
      </c>
      <c r="F32" s="34" t="e">
        <f>VLOOKUP(A1,DIV_13Data!$A$1:$DZU$1000000,534,FALSE)</f>
        <v>#N/A</v>
      </c>
      <c r="G32" s="33" t="e">
        <f>VLOOKUP(A1,DIV_13Data!$A$1:$DZU$1000000,535,FALSE)</f>
        <v>#N/A</v>
      </c>
      <c r="H32" s="34" t="e">
        <f>VLOOKUP(A1,DIV_13Data!$A$1:$DZU$1000000,536,FALSE)</f>
        <v>#N/A</v>
      </c>
      <c r="I32" s="33" t="e">
        <f>VLOOKUP(A1,DIV_13Data!$A$1:$DZU$1000000,537,FALSE)</f>
        <v>#N/A</v>
      </c>
      <c r="J32" s="34" t="e">
        <f>VLOOKUP(A1,DIV_13Data!$A$1:$DZU$1000000,538,FALSE)</f>
        <v>#N/A</v>
      </c>
      <c r="K32" s="34" t="e">
        <f>VLOOKUP(A1,DIV_13Data!$A$1:$DZU$1000000,539,FALSE)</f>
        <v>#N/A</v>
      </c>
      <c r="L32" s="93" t="e">
        <f>VLOOKUP(A1,DIV_13Data!$A$1:$DZU$1000000,540,FALSE)</f>
        <v>#N/A</v>
      </c>
      <c r="M32" s="33" t="e">
        <f>VLOOKUP(A1,DIV_13Data!$A$1:$DZU$1000000,541,FALSE)</f>
        <v>#N/A</v>
      </c>
      <c r="N32" s="34" t="e">
        <f>VLOOKUP(A1,DIV_13Data!$A$1:$DZU$1000000,542,FALSE)</f>
        <v>#N/A</v>
      </c>
      <c r="O32" s="33" t="e">
        <f>VLOOKUP(A1,DIV_13Data!$A$1:$DZU$1000000,543,FALSE)</f>
        <v>#N/A</v>
      </c>
      <c r="P32" s="46" t="e">
        <f>VLOOKUP(A1,DIV_13Data!$A$1:$DZU$1000000,544,FALSE)</f>
        <v>#N/A</v>
      </c>
      <c r="Q32" s="33" t="e">
        <f>VLOOKUP(A1,DIV_13Data!$A$1:$DZU$1000000,545,FALSE)</f>
        <v>#N/A</v>
      </c>
    </row>
    <row r="33" spans="1:17" x14ac:dyDescent="0.35">
      <c r="A33" s="22" t="e">
        <f>VLOOKUP(A1,DIV_13Data!$A$1:$DZU$1000000,546,FALSE)</f>
        <v>#N/A</v>
      </c>
      <c r="B33" s="37" t="e">
        <f>VLOOKUP(A1,DIV_13Data!$A$1:$DZU$1000000,547,FALSE)</f>
        <v>#N/A</v>
      </c>
      <c r="C33" s="38" t="e">
        <f>VLOOKUP(A1,DIV_13Data!$A$1:$DZU$1000000,548,FALSE)</f>
        <v>#N/A</v>
      </c>
      <c r="D33" s="31" t="e">
        <f>VLOOKUP(A1,DIV_13Data!$A$1:$DZU$1000000,549,FALSE)</f>
        <v>#N/A</v>
      </c>
      <c r="E33" s="32" t="e">
        <f>VLOOKUP(A1,DIV_13Data!$A$1:$DZU$1000000,550,FALSE)</f>
        <v>#N/A</v>
      </c>
      <c r="F33" s="34" t="e">
        <f>VLOOKUP(A1,DIV_13Data!$A$1:$DZU$1000000,551,FALSE)</f>
        <v>#N/A</v>
      </c>
      <c r="G33" s="33" t="e">
        <f>VLOOKUP(A1,DIV_13Data!$A$1:$DZU$1000000,552,FALSE)</f>
        <v>#N/A</v>
      </c>
      <c r="H33" s="34" t="e">
        <f>VLOOKUP(A1,DIV_13Data!$A$1:$DZU$1000000,553,FALSE)</f>
        <v>#N/A</v>
      </c>
      <c r="I33" s="33" t="e">
        <f>VLOOKUP(A1,DIV_13Data!$A$1:$DZU$1000000,554,FALSE)</f>
        <v>#N/A</v>
      </c>
      <c r="J33" s="34" t="e">
        <f>VLOOKUP(A1,DIV_13Data!$A$1:$DZU$1000000,555,FALSE)</f>
        <v>#N/A</v>
      </c>
      <c r="K33" s="34" t="e">
        <f>VLOOKUP(A1,DIV_13Data!$A$1:$DZU$1000000,556,FALSE)</f>
        <v>#N/A</v>
      </c>
      <c r="L33" s="93" t="e">
        <f>VLOOKUP(A1,DIV_13Data!$A$1:$DZU$1000000,557,FALSE)</f>
        <v>#N/A</v>
      </c>
      <c r="M33" s="33" t="e">
        <f>VLOOKUP(A1,DIV_13Data!$A$1:$DZU$1000000,558,FALSE)</f>
        <v>#N/A</v>
      </c>
      <c r="N33" s="34" t="e">
        <f>VLOOKUP(A1,DIV_13Data!$A$1:$DZU$1000000,559,FALSE)</f>
        <v>#N/A</v>
      </c>
      <c r="O33" s="33" t="e">
        <f>VLOOKUP(A1,DIV_13Data!$A$1:$DZU$1000000,560,FALSE)</f>
        <v>#N/A</v>
      </c>
      <c r="P33" s="46" t="e">
        <f>VLOOKUP(A1,DIV_13Data!$A$1:$DZU$1000000,561,FALSE)</f>
        <v>#N/A</v>
      </c>
      <c r="Q33" s="33" t="e">
        <f>VLOOKUP(A1,DIV_13Data!$A$1:$DZU$1000000,562,FALSE)</f>
        <v>#N/A</v>
      </c>
    </row>
    <row r="34" spans="1:17" x14ac:dyDescent="0.35">
      <c r="A34" s="22" t="e">
        <f>VLOOKUP(A1,DIV_13Data!$A$1:$DZU$1000000,563,FALSE)</f>
        <v>#N/A</v>
      </c>
      <c r="B34" s="37" t="e">
        <f>VLOOKUP(A1,DIV_13Data!$A$1:$DZU$1000000,564,FALSE)</f>
        <v>#N/A</v>
      </c>
      <c r="C34" s="38" t="e">
        <f>VLOOKUP(A1,DIV_13Data!$A$1:$DZU$1000000,565,FALSE)</f>
        <v>#N/A</v>
      </c>
      <c r="D34" s="31" t="e">
        <f>VLOOKUP(A1,DIV_13Data!$A$1:$DZU$1000000,566,FALSE)</f>
        <v>#N/A</v>
      </c>
      <c r="E34" s="32" t="e">
        <f>VLOOKUP(A1,DIV_13Data!$A$1:$DZU$1000000,567,FALSE)</f>
        <v>#N/A</v>
      </c>
      <c r="F34" s="34" t="e">
        <f>VLOOKUP(A1,DIV_13Data!$A$1:$DZU$1000000,568,FALSE)</f>
        <v>#N/A</v>
      </c>
      <c r="G34" s="33" t="e">
        <f>VLOOKUP(A1,DIV_13Data!$A$1:$DZU$1000000,569,FALSE)</f>
        <v>#N/A</v>
      </c>
      <c r="H34" s="34" t="e">
        <f>VLOOKUP(A1,DIV_13Data!$A$1:$DZU$1000000,570,FALSE)</f>
        <v>#N/A</v>
      </c>
      <c r="I34" s="33" t="e">
        <f>VLOOKUP(A1,DIV_13Data!$A$1:$DZU$1000000,571,FALSE)</f>
        <v>#N/A</v>
      </c>
      <c r="J34" s="34" t="e">
        <f>VLOOKUP(A1,DIV_13Data!$A$1:$DZU$1000000,572,FALSE)</f>
        <v>#N/A</v>
      </c>
      <c r="K34" s="34" t="e">
        <f>VLOOKUP(A1,DIV_13Data!$A$1:$DZU$1000000,573,FALSE)</f>
        <v>#N/A</v>
      </c>
      <c r="L34" s="93" t="e">
        <f>VLOOKUP(A1,DIV_13Data!$A$1:$DZU$1000000,574,FALSE)</f>
        <v>#N/A</v>
      </c>
      <c r="M34" s="33" t="e">
        <f>VLOOKUP(A1,DIV_13Data!$A$1:$DZU$1000000,575,FALSE)</f>
        <v>#N/A</v>
      </c>
      <c r="N34" s="34" t="e">
        <f>VLOOKUP(A1,DIV_13Data!$A$1:$DZU$1000000,576,FALSE)</f>
        <v>#N/A</v>
      </c>
      <c r="O34" s="33" t="e">
        <f>VLOOKUP(A1,DIV_13Data!$A$1:$DZU$1000000,577,FALSE)</f>
        <v>#N/A</v>
      </c>
      <c r="P34" s="46" t="e">
        <f>VLOOKUP(A1,DIV_13Data!$A$1:$DZU$1000000,578,FALSE)</f>
        <v>#N/A</v>
      </c>
      <c r="Q34" s="33" t="e">
        <f>VLOOKUP(A1,DIV_13Data!$A$1:$DZU$1000000,579,FALSE)</f>
        <v>#N/A</v>
      </c>
    </row>
    <row r="35" spans="1:17" x14ac:dyDescent="0.35">
      <c r="A35" s="22" t="e">
        <f>VLOOKUP(A1,DIV_13Data!$A$1:$DZU$1000000,580,FALSE)</f>
        <v>#N/A</v>
      </c>
      <c r="B35" s="37" t="e">
        <f>VLOOKUP(A1,DIV_13Data!$A$1:$DZU$1000000,581,FALSE)</f>
        <v>#N/A</v>
      </c>
      <c r="C35" s="38" t="e">
        <f>VLOOKUP(A1,DIV_13Data!$A$1:$DZU$1000000,582,FALSE)</f>
        <v>#N/A</v>
      </c>
      <c r="D35" s="31" t="e">
        <f>VLOOKUP(A1,DIV_13Data!$A$1:$DZU$1000000,583,FALSE)</f>
        <v>#N/A</v>
      </c>
      <c r="E35" s="32" t="e">
        <f>VLOOKUP(A1,DIV_13Data!$A$1:$DZU$1000000,584,FALSE)</f>
        <v>#N/A</v>
      </c>
      <c r="F35" s="34" t="e">
        <f>VLOOKUP(A1,DIV_13Data!$A$1:$DZU$1000000,585,FALSE)</f>
        <v>#N/A</v>
      </c>
      <c r="G35" s="33" t="e">
        <f>VLOOKUP(A1,DIV_13Data!$A$1:$DZU$1000000,586,FALSE)</f>
        <v>#N/A</v>
      </c>
      <c r="H35" s="34" t="e">
        <f>VLOOKUP(A1,DIV_13Data!$A$1:$DZU$1000000,587,FALSE)</f>
        <v>#N/A</v>
      </c>
      <c r="I35" s="33" t="e">
        <f>VLOOKUP(A1,DIV_13Data!$A$1:$DZU$1000000,588,FALSE)</f>
        <v>#N/A</v>
      </c>
      <c r="J35" s="34" t="e">
        <f>VLOOKUP(A1,DIV_13Data!$A$1:$DZU$1000000,589,FALSE)</f>
        <v>#N/A</v>
      </c>
      <c r="K35" s="34" t="e">
        <f>VLOOKUP(A1,DIV_13Data!$A$1:$DZU$1000000,590,FALSE)</f>
        <v>#N/A</v>
      </c>
      <c r="L35" s="93" t="e">
        <f>VLOOKUP(A1,DIV_13Data!$A$1:$DZU$1000000,591,FALSE)</f>
        <v>#N/A</v>
      </c>
      <c r="M35" s="33" t="e">
        <f>VLOOKUP(A1,DIV_13Data!$A$1:$DZU$1000000,592,FALSE)</f>
        <v>#N/A</v>
      </c>
      <c r="N35" s="34" t="e">
        <f>VLOOKUP(A1,DIV_13Data!$A$1:$DZU$1000000,593,FALSE)</f>
        <v>#N/A</v>
      </c>
      <c r="O35" s="33" t="e">
        <f>VLOOKUP(A1,DIV_13Data!$A$1:$DZU$1000000,594,FALSE)</f>
        <v>#N/A</v>
      </c>
      <c r="P35" s="46" t="e">
        <f>VLOOKUP(A1,DIV_13Data!$A$1:$DZU$1000000,595,FALSE)</f>
        <v>#N/A</v>
      </c>
      <c r="Q35" s="33" t="e">
        <f>VLOOKUP(A1,DIV_13Data!$A$1:$DZU$1000000,596,FALSE)</f>
        <v>#N/A</v>
      </c>
    </row>
    <row r="36" spans="1:17" x14ac:dyDescent="0.35">
      <c r="A36" s="22" t="e">
        <f>VLOOKUP(A1,DIV_13Data!$A$1:$DZU$1000000,597,FALSE)</f>
        <v>#N/A</v>
      </c>
      <c r="B36" s="37" t="e">
        <f>VLOOKUP(A1,DIV_13Data!$A$1:$DZU$1000000,598,FALSE)</f>
        <v>#N/A</v>
      </c>
      <c r="C36" s="38" t="e">
        <f>VLOOKUP(A1,DIV_13Data!$A$1:$DZU$1000000,599,FALSE)</f>
        <v>#N/A</v>
      </c>
      <c r="D36" s="31" t="e">
        <f>VLOOKUP(A1,DIV_13Data!$A$1:$DZU$1000000,600,FALSE)</f>
        <v>#N/A</v>
      </c>
      <c r="E36" s="32" t="e">
        <f>VLOOKUP(A1,DIV_13Data!$A$1:$DZU$1000000,601,FALSE)</f>
        <v>#N/A</v>
      </c>
      <c r="F36" s="34" t="e">
        <f>VLOOKUP(A1,DIV_13Data!$A$1:$DZU$1000000,602,FALSE)</f>
        <v>#N/A</v>
      </c>
      <c r="G36" s="33" t="e">
        <f>VLOOKUP(A1,DIV_13Data!$A$1:$DZU$1000000,603,FALSE)</f>
        <v>#N/A</v>
      </c>
      <c r="H36" s="34" t="e">
        <f>VLOOKUP(A1,DIV_13Data!$A$1:$DZU$1000000,604,FALSE)</f>
        <v>#N/A</v>
      </c>
      <c r="I36" s="33" t="e">
        <f>VLOOKUP(A1,DIV_13Data!$A$1:$DZU$1000000,605,FALSE)</f>
        <v>#N/A</v>
      </c>
      <c r="J36" s="34" t="e">
        <f>VLOOKUP(A1,DIV_13Data!$A$1:$DZU$1000000,606,FALSE)</f>
        <v>#N/A</v>
      </c>
      <c r="K36" s="34" t="e">
        <f>VLOOKUP(A1,DIV_13Data!$A$1:$DZU$1000000,607,FALSE)</f>
        <v>#N/A</v>
      </c>
      <c r="L36" s="93" t="e">
        <f>VLOOKUP(A1,DIV_13Data!$A$1:$DZU$1000000,608,FALSE)</f>
        <v>#N/A</v>
      </c>
      <c r="M36" s="33" t="e">
        <f>VLOOKUP(A1,DIV_13Data!$A$1:$DZU$1000000,609,FALSE)</f>
        <v>#N/A</v>
      </c>
      <c r="N36" s="34" t="e">
        <f>VLOOKUP(A1,DIV_13Data!$A$1:$DZU$1000000,610,FALSE)</f>
        <v>#N/A</v>
      </c>
      <c r="O36" s="33" t="e">
        <f>VLOOKUP(A1,DIV_13Data!$A$1:$DZU$1000000,611,FALSE)</f>
        <v>#N/A</v>
      </c>
      <c r="P36" s="46" t="e">
        <f>VLOOKUP(A1,DIV_13Data!$A$1:$DZU$1000000,612,FALSE)</f>
        <v>#N/A</v>
      </c>
      <c r="Q36" s="33" t="e">
        <f>VLOOKUP(A1,DIV_13Data!$A$1:$DZU$1000000,613,FALSE)</f>
        <v>#N/A</v>
      </c>
    </row>
    <row r="37" spans="1:17" x14ac:dyDescent="0.35">
      <c r="A37" s="22" t="e">
        <f>VLOOKUP(A1,DIV_13Data!$A$1:$DZU$1000000,614,FALSE)</f>
        <v>#N/A</v>
      </c>
      <c r="B37" s="37" t="e">
        <f>VLOOKUP(A1,DIV_13Data!$A$1:$DZU$1000000,615,FALSE)</f>
        <v>#N/A</v>
      </c>
      <c r="C37" s="38" t="e">
        <f>VLOOKUP(A1,DIV_13Data!$A$1:$DZU$1000000,616,FALSE)</f>
        <v>#N/A</v>
      </c>
      <c r="D37" s="31" t="e">
        <f>VLOOKUP(A1,DIV_13Data!$A$1:$DZU$1000000,617,FALSE)</f>
        <v>#N/A</v>
      </c>
      <c r="E37" s="32" t="e">
        <f>VLOOKUP(A1,DIV_13Data!$A$1:$DZU$1000000,618,FALSE)</f>
        <v>#N/A</v>
      </c>
      <c r="F37" s="34" t="e">
        <f>VLOOKUP(A1,DIV_13Data!$A$1:$DZU$1000000,619,FALSE)</f>
        <v>#N/A</v>
      </c>
      <c r="G37" s="33" t="e">
        <f>VLOOKUP(A1,DIV_13Data!$A$1:$DZU$1000000,620,FALSE)</f>
        <v>#N/A</v>
      </c>
      <c r="H37" s="34" t="e">
        <f>VLOOKUP(A1,DIV_13Data!$A$1:$DZU$1000000,621,FALSE)</f>
        <v>#N/A</v>
      </c>
      <c r="I37" s="33" t="e">
        <f>VLOOKUP(A1,DIV_13Data!$A$1:$DZU$1000000,622,FALSE)</f>
        <v>#N/A</v>
      </c>
      <c r="J37" s="34" t="e">
        <f>VLOOKUP(A1,DIV_13Data!$A$1:$DZU$1000000,623,FALSE)</f>
        <v>#N/A</v>
      </c>
      <c r="K37" s="34" t="e">
        <f>VLOOKUP(A1,DIV_13Data!$A$1:$DZU$1000000,624,FALSE)</f>
        <v>#N/A</v>
      </c>
      <c r="L37" s="93" t="e">
        <f>VLOOKUP(A1,DIV_13Data!$A$1:$DZU$1000000,625,FALSE)</f>
        <v>#N/A</v>
      </c>
      <c r="M37" s="33" t="e">
        <f>VLOOKUP(A1,DIV_13Data!$A$1:$DZU$1000000,626,FALSE)</f>
        <v>#N/A</v>
      </c>
      <c r="N37" s="34" t="e">
        <f>VLOOKUP(A1,DIV_13Data!$A$1:$DZU$1000000,627,FALSE)</f>
        <v>#N/A</v>
      </c>
      <c r="O37" s="33" t="e">
        <f>VLOOKUP(A1,DIV_13Data!$A$1:$DZU$1000000,628,FALSE)</f>
        <v>#N/A</v>
      </c>
      <c r="P37" s="46" t="e">
        <f>VLOOKUP(A1,DIV_13Data!$A$1:$DZU$1000000,629,FALSE)</f>
        <v>#N/A</v>
      </c>
      <c r="Q37" s="33" t="e">
        <f>VLOOKUP(A1,DIV_13Data!$A$1:$DZU$1000000,630,FALSE)</f>
        <v>#N/A</v>
      </c>
    </row>
    <row r="38" spans="1:17" x14ac:dyDescent="0.35">
      <c r="A38" s="22" t="e">
        <f>VLOOKUP(A1,DIV_13Data!$A$1:$DZU$1000000,631,FALSE)</f>
        <v>#N/A</v>
      </c>
      <c r="B38" s="37" t="e">
        <f>VLOOKUP(A1,DIV_13Data!$A$1:$DZU$1000000,632,FALSE)</f>
        <v>#N/A</v>
      </c>
      <c r="C38" s="38" t="e">
        <f>VLOOKUP(A1,DIV_13Data!$A$1:$DZU$1000000,633,FALSE)</f>
        <v>#N/A</v>
      </c>
      <c r="D38" s="31" t="e">
        <f>VLOOKUP(A1,DIV_13Data!$A$1:$DZU$1000000,634,FALSE)</f>
        <v>#N/A</v>
      </c>
      <c r="E38" s="32" t="e">
        <f>VLOOKUP(A1,DIV_13Data!$A$1:$DZU$1000000,635,FALSE)</f>
        <v>#N/A</v>
      </c>
      <c r="F38" s="34" t="e">
        <f>VLOOKUP(A1,DIV_13Data!$A$1:$DZU$1000000,636,FALSE)</f>
        <v>#N/A</v>
      </c>
      <c r="G38" s="33" t="e">
        <f>VLOOKUP(A1,DIV_13Data!$A$1:$DZU$1000000,637,FALSE)</f>
        <v>#N/A</v>
      </c>
      <c r="H38" s="34" t="e">
        <f>VLOOKUP(A1,DIV_13Data!$A$1:$DZU$1000000,638,FALSE)</f>
        <v>#N/A</v>
      </c>
      <c r="I38" s="33" t="e">
        <f>VLOOKUP(A1,DIV_13Data!$A$1:$DZU$1000000,639,FALSE)</f>
        <v>#N/A</v>
      </c>
      <c r="J38" s="34" t="e">
        <f>VLOOKUP(A1,DIV_13Data!$A$1:$DZU$1000000,640,FALSE)</f>
        <v>#N/A</v>
      </c>
      <c r="K38" s="34" t="e">
        <f>VLOOKUP(A1,DIV_13Data!$A$1:$DZU$1000000,641,FALSE)</f>
        <v>#N/A</v>
      </c>
      <c r="L38" s="93" t="e">
        <f>VLOOKUP(A1,DIV_13Data!$A$1:$DZU$1000000,642,FALSE)</f>
        <v>#N/A</v>
      </c>
      <c r="M38" s="33" t="e">
        <f>VLOOKUP(A1,DIV_13Data!$A$1:$DZU$1000000,643,FALSE)</f>
        <v>#N/A</v>
      </c>
      <c r="N38" s="34" t="e">
        <f>VLOOKUP(A1,DIV_13Data!$A$1:$DZU$1000000,644,FALSE)</f>
        <v>#N/A</v>
      </c>
      <c r="O38" s="33" t="e">
        <f>VLOOKUP(A1,DIV_13Data!$A$1:$DZU$1000000,645,FALSE)</f>
        <v>#N/A</v>
      </c>
      <c r="P38" s="46" t="e">
        <f>VLOOKUP(A1,DIV_13Data!$A$1:$DZU$1000000,646,FALSE)</f>
        <v>#N/A</v>
      </c>
      <c r="Q38" s="33" t="e">
        <f>VLOOKUP(A1,DIV_13Data!$A$1:$DZU$1000000,647,FALSE)</f>
        <v>#N/A</v>
      </c>
    </row>
    <row r="39" spans="1:17" x14ac:dyDescent="0.35">
      <c r="A39" s="22" t="e">
        <f>VLOOKUP(A1,DIV_13Data!$A$1:$DZU$1000000,648,FALSE)</f>
        <v>#N/A</v>
      </c>
      <c r="B39" s="37" t="e">
        <f>VLOOKUP(A1,DIV_13Data!$A$1:$DZU$1000000,649,FALSE)</f>
        <v>#N/A</v>
      </c>
      <c r="C39" s="38" t="e">
        <f>VLOOKUP(A1,DIV_13Data!$A$1:$DZU$1000000,650,FALSE)</f>
        <v>#N/A</v>
      </c>
      <c r="D39" s="31" t="e">
        <f>VLOOKUP(A1,DIV_13Data!$A$1:$DZU$1000000,651,FALSE)</f>
        <v>#N/A</v>
      </c>
      <c r="E39" s="32" t="e">
        <f>VLOOKUP(A1,DIV_13Data!$A$1:$DZU$1000000,652,FALSE)</f>
        <v>#N/A</v>
      </c>
      <c r="F39" s="34" t="e">
        <f>VLOOKUP(A1,DIV_13Data!$A$1:$DZU$1000000,653,FALSE)</f>
        <v>#N/A</v>
      </c>
      <c r="G39" s="33" t="e">
        <f>VLOOKUP(A1,DIV_13Data!$A$1:$DZU$1000000,654,FALSE)</f>
        <v>#N/A</v>
      </c>
      <c r="H39" s="34" t="e">
        <f>VLOOKUP(A1,DIV_13Data!$A$1:$DZU$1000000,655,FALSE)</f>
        <v>#N/A</v>
      </c>
      <c r="I39" s="33" t="e">
        <f>VLOOKUP(A1,DIV_13Data!$A$1:$DZU$1000000,656,FALSE)</f>
        <v>#N/A</v>
      </c>
      <c r="J39" s="34" t="e">
        <f>VLOOKUP(A1,DIV_13Data!$A$1:$DZU$1000000,657,FALSE)</f>
        <v>#N/A</v>
      </c>
      <c r="K39" s="34" t="e">
        <f>VLOOKUP(A1,DIV_13Data!$A$1:$DZU$1000000,658,FALSE)</f>
        <v>#N/A</v>
      </c>
      <c r="L39" s="93" t="e">
        <f>VLOOKUP(A1,DIV_13Data!$A$1:$DZU$1000000,659,FALSE)</f>
        <v>#N/A</v>
      </c>
      <c r="M39" s="33" t="e">
        <f>VLOOKUP(A1,DIV_13Data!$A$1:$DZU$1000000,660,FALSE)</f>
        <v>#N/A</v>
      </c>
      <c r="N39" s="34" t="e">
        <f>VLOOKUP(A1,DIV_13Data!$A$1:$DZU$1000000,661,FALSE)</f>
        <v>#N/A</v>
      </c>
      <c r="O39" s="33" t="e">
        <f>VLOOKUP(A1,DIV_13Data!$A$1:$DZU$1000000,662,FALSE)</f>
        <v>#N/A</v>
      </c>
      <c r="P39" s="46" t="e">
        <f>VLOOKUP(A1,DIV_13Data!$A$1:$DZU$1000000,663,FALSE)</f>
        <v>#N/A</v>
      </c>
      <c r="Q39" s="33" t="e">
        <f>VLOOKUP(A1,DIV_13Data!$A$1:$DZU$1000000,664,FALSE)</f>
        <v>#N/A</v>
      </c>
    </row>
    <row r="40" spans="1:17" x14ac:dyDescent="0.35">
      <c r="A40" s="22" t="e">
        <f>VLOOKUP(A1,DIV_13Data!$A$1:$DZU$1000000,665,FALSE)</f>
        <v>#N/A</v>
      </c>
      <c r="B40" s="37" t="e">
        <f>VLOOKUP(A1,DIV_13Data!$A$1:$DZU$1000000,666,FALSE)</f>
        <v>#N/A</v>
      </c>
      <c r="C40" s="38" t="e">
        <f>VLOOKUP(A1,DIV_13Data!$A$1:$DZU$1000000,667,FALSE)</f>
        <v>#N/A</v>
      </c>
      <c r="D40" s="31" t="e">
        <f>VLOOKUP(A1,DIV_13Data!$A$1:$DZU$1000000,668,FALSE)</f>
        <v>#N/A</v>
      </c>
      <c r="E40" s="32" t="e">
        <f>VLOOKUP(A1,DIV_13Data!$A$1:$DZU$1000000,669,FALSE)</f>
        <v>#N/A</v>
      </c>
      <c r="F40" s="34" t="e">
        <f>VLOOKUP(A1,DIV_13Data!$A$1:$DZU$1000000,670,FALSE)</f>
        <v>#N/A</v>
      </c>
      <c r="G40" s="33" t="e">
        <f>VLOOKUP(A1,DIV_13Data!$A$1:$DZU$1000000,671,FALSE)</f>
        <v>#N/A</v>
      </c>
      <c r="H40" s="34" t="e">
        <f>VLOOKUP(A1,DIV_13Data!$A$1:$DZU$1000000,672,FALSE)</f>
        <v>#N/A</v>
      </c>
      <c r="I40" s="33" t="e">
        <f>VLOOKUP(A1,DIV_13Data!$A$1:$DZU$1000000,673,FALSE)</f>
        <v>#N/A</v>
      </c>
      <c r="J40" s="34" t="e">
        <f>VLOOKUP(A1,DIV_13Data!$A$1:$DZU$1000000,674,FALSE)</f>
        <v>#N/A</v>
      </c>
      <c r="K40" s="34" t="e">
        <f>VLOOKUP(A1,DIV_13Data!$A$1:$DZU$1000000,675,FALSE)</f>
        <v>#N/A</v>
      </c>
      <c r="L40" s="93" t="e">
        <f>VLOOKUP(A1,DIV_13Data!$A$1:$DZU$1000000,676,FALSE)</f>
        <v>#N/A</v>
      </c>
      <c r="M40" s="33" t="e">
        <f>VLOOKUP(A1,DIV_13Data!$A$1:$DZU$1000000,677,FALSE)</f>
        <v>#N/A</v>
      </c>
      <c r="N40" s="34" t="e">
        <f>VLOOKUP(A1,DIV_13Data!$A$1:$DZU$1000000,678,FALSE)</f>
        <v>#N/A</v>
      </c>
      <c r="O40" s="33" t="e">
        <f>VLOOKUP(A1,DIV_13Data!$A$1:$DZU$1000000,679,FALSE)</f>
        <v>#N/A</v>
      </c>
      <c r="P40" s="46" t="e">
        <f>VLOOKUP(A1,DIV_13Data!$A$1:$DZU$1000000,680,FALSE)</f>
        <v>#N/A</v>
      </c>
      <c r="Q40" s="33" t="e">
        <f>VLOOKUP(A1,DIV_13Data!$A$1:$DZU$1000000,681,FALSE)</f>
        <v>#N/A</v>
      </c>
    </row>
    <row r="41" spans="1:17" x14ac:dyDescent="0.35">
      <c r="A41" s="22" t="e">
        <f>VLOOKUP(A1,DIV_13Data!$A$1:$DZU$1000000,682,FALSE)</f>
        <v>#N/A</v>
      </c>
      <c r="B41" s="37" t="e">
        <f>VLOOKUP(A1,DIV_13Data!$A$1:$DZU$1000000,683,FALSE)</f>
        <v>#N/A</v>
      </c>
      <c r="C41" s="38" t="e">
        <f>VLOOKUP(A1,DIV_13Data!$A$1:$DZU$1000000,684,FALSE)</f>
        <v>#N/A</v>
      </c>
      <c r="D41" s="31" t="e">
        <f>VLOOKUP(A1,DIV_13Data!$A$1:$DZU$1000000,685,FALSE)</f>
        <v>#N/A</v>
      </c>
      <c r="E41" s="32" t="e">
        <f>VLOOKUP(A1,DIV_13Data!$A$1:$DZU$1000000,686,FALSE)</f>
        <v>#N/A</v>
      </c>
      <c r="F41" s="34" t="e">
        <f>VLOOKUP(A1,DIV_13Data!$A$1:$DZU$1000000,687,FALSE)</f>
        <v>#N/A</v>
      </c>
      <c r="G41" s="33" t="e">
        <f>VLOOKUP(A1,DIV_13Data!$A$1:$DZU$1000000,688,FALSE)</f>
        <v>#N/A</v>
      </c>
      <c r="H41" s="34" t="e">
        <f>VLOOKUP(A1,DIV_13Data!$A$1:$DZU$1000000,689,FALSE)</f>
        <v>#N/A</v>
      </c>
      <c r="I41" s="33" t="e">
        <f>VLOOKUP(A1,DIV_13Data!$A$1:$DZU$1000000,690,FALSE)</f>
        <v>#N/A</v>
      </c>
      <c r="J41" s="34" t="e">
        <f>VLOOKUP(A1,DIV_13Data!$A$1:$DZU$1000000,691,FALSE)</f>
        <v>#N/A</v>
      </c>
      <c r="K41" s="34" t="e">
        <f>VLOOKUP(A1,DIV_13Data!$A$1:$DZU$1000000,692,FALSE)</f>
        <v>#N/A</v>
      </c>
      <c r="L41" s="93" t="e">
        <f>VLOOKUP(A1,DIV_13Data!$A$1:$DZU$1000000,693,FALSE)</f>
        <v>#N/A</v>
      </c>
      <c r="M41" s="33" t="e">
        <f>VLOOKUP(A1,DIV_13Data!$A$1:$DZU$1000000,694,FALSE)</f>
        <v>#N/A</v>
      </c>
      <c r="N41" s="34" t="e">
        <f>VLOOKUP(A1,DIV_13Data!$A$1:$DZU$1000000,695,FALSE)</f>
        <v>#N/A</v>
      </c>
      <c r="O41" s="33" t="e">
        <f>VLOOKUP(A1,DIV_13Data!$A$1:$DZU$1000000,696,FALSE)</f>
        <v>#N/A</v>
      </c>
      <c r="P41" s="46" t="e">
        <f>VLOOKUP(A1,DIV_13Data!$A$1:$DZU$1000000,697,FALSE)</f>
        <v>#N/A</v>
      </c>
      <c r="Q41" s="33" t="e">
        <f>VLOOKUP(A1,DIV_13Data!$A$1:$DZU$1000000,698,FALSE)</f>
        <v>#N/A</v>
      </c>
    </row>
    <row r="42" spans="1:17" x14ac:dyDescent="0.35">
      <c r="A42" s="22" t="e">
        <f>VLOOKUP(A1,DIV_13Data!$A$1:$DZU$1000000,699,FALSE)</f>
        <v>#N/A</v>
      </c>
      <c r="B42" s="37" t="e">
        <f>VLOOKUP(A1,DIV_13Data!$A$1:$DZU$1000000,700,FALSE)</f>
        <v>#N/A</v>
      </c>
      <c r="C42" s="38" t="e">
        <f>VLOOKUP(A1,DIV_13Data!$A$1:$DZU$1000000,701,FALSE)</f>
        <v>#N/A</v>
      </c>
      <c r="D42" s="31" t="e">
        <f>VLOOKUP(A1,DIV_13Data!$A$1:$DZU$1000000,702,FALSE)</f>
        <v>#N/A</v>
      </c>
      <c r="E42" s="32" t="e">
        <f>VLOOKUP(A1,DIV_13Data!$A$1:$DZU$1000000,703,FALSE)</f>
        <v>#N/A</v>
      </c>
      <c r="F42" s="34" t="e">
        <f>VLOOKUP(A1,DIV_13Data!$A$1:$DZU$1000000,704,FALSE)</f>
        <v>#N/A</v>
      </c>
      <c r="G42" s="33" t="e">
        <f>VLOOKUP(A1,DIV_13Data!$A$1:$DZU$1000000,705,FALSE)</f>
        <v>#N/A</v>
      </c>
      <c r="H42" s="34" t="e">
        <f>VLOOKUP(A1,DIV_13Data!$A$1:$DZU$1000000,706,FALSE)</f>
        <v>#N/A</v>
      </c>
      <c r="I42" s="33" t="e">
        <f>VLOOKUP(A1,DIV_13Data!$A$1:$DZU$1000000,707,FALSE)</f>
        <v>#N/A</v>
      </c>
      <c r="J42" s="34" t="e">
        <f>VLOOKUP(A1,DIV_13Data!$A$1:$DZU$1000000,708,FALSE)</f>
        <v>#N/A</v>
      </c>
      <c r="K42" s="34" t="e">
        <f>VLOOKUP(A1,DIV_13Data!$A$1:$DZU$1000000,709,FALSE)</f>
        <v>#N/A</v>
      </c>
      <c r="L42" s="93" t="e">
        <f>VLOOKUP(A1,DIV_13Data!$A$1:$DZU$1000000,710,FALSE)</f>
        <v>#N/A</v>
      </c>
      <c r="M42" s="33" t="e">
        <f>VLOOKUP(A1,DIV_13Data!$A$1:$DZU$1000000,711,FALSE)</f>
        <v>#N/A</v>
      </c>
      <c r="N42" s="34" t="e">
        <f>VLOOKUP(A1,DIV_13Data!$A$1:$DZU$1000000,712,FALSE)</f>
        <v>#N/A</v>
      </c>
      <c r="O42" s="33" t="e">
        <f>VLOOKUP(A1,DIV_13Data!$A$1:$DZU$1000000,713,FALSE)</f>
        <v>#N/A</v>
      </c>
      <c r="P42" s="46" t="e">
        <f>VLOOKUP(A1,DIV_13Data!$A$1:$DZU$1000000,714,FALSE)</f>
        <v>#N/A</v>
      </c>
      <c r="Q42" s="33" t="e">
        <f>VLOOKUP(A1,DIV_13Data!$A$1:$DZU$1000000,715,FALSE)</f>
        <v>#N/A</v>
      </c>
    </row>
    <row r="43" spans="1:17" x14ac:dyDescent="0.35">
      <c r="A43" s="22" t="e">
        <f>VLOOKUP(A1,DIV_13Data!$A$1:$DZU$1000000,716,FALSE)</f>
        <v>#N/A</v>
      </c>
      <c r="B43" s="37" t="e">
        <f>VLOOKUP(A1,DIV_13Data!$A$1:$DZU$1000000,717,FALSE)</f>
        <v>#N/A</v>
      </c>
      <c r="C43" s="38" t="e">
        <f>VLOOKUP(A1,DIV_13Data!$A$1:$DZU$1000000,718,FALSE)</f>
        <v>#N/A</v>
      </c>
      <c r="D43" s="31" t="e">
        <f>VLOOKUP(A1,DIV_13Data!$A$1:$DZU$1000000,719,FALSE)</f>
        <v>#N/A</v>
      </c>
      <c r="E43" s="32" t="e">
        <f>VLOOKUP(A1,DIV_13Data!$A$1:$DZU$1000000,720,FALSE)</f>
        <v>#N/A</v>
      </c>
      <c r="F43" s="34" t="e">
        <f>VLOOKUP(A1,DIV_13Data!$A$1:$DZU$1000000,721,FALSE)</f>
        <v>#N/A</v>
      </c>
      <c r="G43" s="33" t="e">
        <f>VLOOKUP(A1,DIV_13Data!$A$1:$DZU$1000000,722,FALSE)</f>
        <v>#N/A</v>
      </c>
      <c r="H43" s="34" t="e">
        <f>VLOOKUP(A1,DIV_13Data!$A$1:$DZU$1000000,723,FALSE)</f>
        <v>#N/A</v>
      </c>
      <c r="I43" s="33" t="e">
        <f>VLOOKUP(A1,DIV_13Data!$A$1:$DZU$1000000,724,FALSE)</f>
        <v>#N/A</v>
      </c>
      <c r="J43" s="34" t="e">
        <f>VLOOKUP(A1,DIV_13Data!$A$1:$DZU$1000000,725,FALSE)</f>
        <v>#N/A</v>
      </c>
      <c r="K43" s="34" t="e">
        <f>VLOOKUP(A1,DIV_13Data!$A$1:$DZU$1000000,726,FALSE)</f>
        <v>#N/A</v>
      </c>
      <c r="L43" s="93" t="e">
        <f>VLOOKUP(A1,DIV_13Data!$A$1:$DZU$1000000,727,FALSE)</f>
        <v>#N/A</v>
      </c>
      <c r="M43" s="33" t="e">
        <f>VLOOKUP(A1,DIV_13Data!$A$1:$DZU$1000000,728,FALSE)</f>
        <v>#N/A</v>
      </c>
      <c r="N43" s="34" t="e">
        <f>VLOOKUP(A1,DIV_13Data!$A$1:$DZU$1000000,729,FALSE)</f>
        <v>#N/A</v>
      </c>
      <c r="O43" s="33" t="e">
        <f>VLOOKUP(A1,DIV_13Data!$A$1:$DZU$1000000,730,FALSE)</f>
        <v>#N/A</v>
      </c>
      <c r="P43" s="46" t="e">
        <f>VLOOKUP(A1,DIV_13Data!$A$1:$DZU$1000000,731,FALSE)</f>
        <v>#N/A</v>
      </c>
      <c r="Q43" s="33" t="e">
        <f>VLOOKUP(A1,DIV_13Data!$A$1:$DZU$1000000,732,FALSE)</f>
        <v>#N/A</v>
      </c>
    </row>
    <row r="44" spans="1:17" x14ac:dyDescent="0.35">
      <c r="A44" s="22" t="e">
        <f>VLOOKUP(A1,DIV_13Data!$A$1:$DZU$1000000,733,FALSE)</f>
        <v>#N/A</v>
      </c>
      <c r="B44" s="37" t="e">
        <f>VLOOKUP(A1,DIV_13Data!$A$1:$DZU$1000000,734,FALSE)</f>
        <v>#N/A</v>
      </c>
      <c r="C44" s="38" t="e">
        <f>VLOOKUP(A1,DIV_13Data!$A$1:$DZU$1000000,735,FALSE)</f>
        <v>#N/A</v>
      </c>
      <c r="D44" s="31" t="e">
        <f>VLOOKUP(A1,DIV_13Data!$A$1:$DZU$1000000,736,FALSE)</f>
        <v>#N/A</v>
      </c>
      <c r="E44" s="32" t="e">
        <f>VLOOKUP(A1,DIV_13Data!$A$1:$DZU$1000000,737,FALSE)</f>
        <v>#N/A</v>
      </c>
      <c r="F44" s="34" t="e">
        <f>VLOOKUP(A1,DIV_13Data!$A$1:$DZU$1000000,738,FALSE)</f>
        <v>#N/A</v>
      </c>
      <c r="G44" s="33" t="e">
        <f>VLOOKUP(A1,DIV_13Data!$A$1:$DZU$1000000,739,FALSE)</f>
        <v>#N/A</v>
      </c>
      <c r="H44" s="34" t="e">
        <f>VLOOKUP(A1,DIV_13Data!$A$1:$DZU$1000000,740,FALSE)</f>
        <v>#N/A</v>
      </c>
      <c r="I44" s="33" t="e">
        <f>VLOOKUP(A1,DIV_13Data!$A$1:$DZU$1000000,741,FALSE)</f>
        <v>#N/A</v>
      </c>
      <c r="J44" s="34" t="e">
        <f>VLOOKUP(A1,DIV_13Data!$A$1:$DZU$1000000,742,FALSE)</f>
        <v>#N/A</v>
      </c>
      <c r="K44" s="34" t="e">
        <f>VLOOKUP(A1,DIV_13Data!$A$1:$DZU$1000000,743,FALSE)</f>
        <v>#N/A</v>
      </c>
      <c r="L44" s="93" t="e">
        <f>VLOOKUP(A1,DIV_13Data!$A$1:$DZU$1000000,744,FALSE)</f>
        <v>#N/A</v>
      </c>
      <c r="M44" s="33" t="e">
        <f>VLOOKUP(A1,DIV_13Data!$A$1:$DZU$1000000,745,FALSE)</f>
        <v>#N/A</v>
      </c>
      <c r="N44" s="34" t="e">
        <f>VLOOKUP(A1,DIV_13Data!$A$1:$DZU$1000000,746,FALSE)</f>
        <v>#N/A</v>
      </c>
      <c r="O44" s="33" t="e">
        <f>VLOOKUP(A1,DIV_13Data!$A$1:$DZU$1000000,747,FALSE)</f>
        <v>#N/A</v>
      </c>
      <c r="P44" s="46" t="e">
        <f>VLOOKUP(A1,DIV_13Data!$A$1:$DZU$1000000,748,FALSE)</f>
        <v>#N/A</v>
      </c>
      <c r="Q44" s="33" t="e">
        <f>VLOOKUP(A1,DIV_13Data!$A$1:$DZU$1000000,749,FALSE)</f>
        <v>#N/A</v>
      </c>
    </row>
    <row r="45" spans="1:17" x14ac:dyDescent="0.35">
      <c r="A45" s="22" t="e">
        <f>VLOOKUP(A1,DIV_13Data!$A$1:$DZU$1000000,750,FALSE)</f>
        <v>#N/A</v>
      </c>
      <c r="B45" s="37" t="e">
        <f>VLOOKUP(A1,DIV_13Data!$A$1:$DZU$1000000,751,FALSE)</f>
        <v>#N/A</v>
      </c>
      <c r="C45" s="38" t="e">
        <f>VLOOKUP(A1,DIV_13Data!$A$1:$DZU$1000000,752,FALSE)</f>
        <v>#N/A</v>
      </c>
      <c r="D45" s="31" t="e">
        <f>VLOOKUP(A1,DIV_13Data!$A$1:$DZU$1000000,753,FALSE)</f>
        <v>#N/A</v>
      </c>
      <c r="E45" s="32" t="e">
        <f>VLOOKUP(A1,DIV_13Data!$A$1:$DZU$1000000,754,FALSE)</f>
        <v>#N/A</v>
      </c>
      <c r="F45" s="34" t="e">
        <f>VLOOKUP(A1,DIV_13Data!$A$1:$DZU$1000000,755,FALSE)</f>
        <v>#N/A</v>
      </c>
      <c r="G45" s="33" t="e">
        <f>VLOOKUP(A1,DIV_13Data!$A$1:$DZU$1000000,756,FALSE)</f>
        <v>#N/A</v>
      </c>
      <c r="H45" s="34" t="e">
        <f>VLOOKUP(A1,DIV_13Data!$A$1:$DZU$1000000,757,FALSE)</f>
        <v>#N/A</v>
      </c>
      <c r="I45" s="33" t="e">
        <f>VLOOKUP(A1,DIV_13Data!$A$1:$DZU$1000000,758,FALSE)</f>
        <v>#N/A</v>
      </c>
      <c r="J45" s="34" t="e">
        <f>VLOOKUP(A1,DIV_13Data!$A$1:$DZU$1000000,759,FALSE)</f>
        <v>#N/A</v>
      </c>
      <c r="K45" s="34" t="e">
        <f>VLOOKUP(A1,DIV_13Data!$A$1:$DZU$1000000,760,FALSE)</f>
        <v>#N/A</v>
      </c>
      <c r="L45" s="93" t="e">
        <f>VLOOKUP(A1,DIV_13Data!$A$1:$DZU$1000000,761,FALSE)</f>
        <v>#N/A</v>
      </c>
      <c r="M45" s="33" t="e">
        <f>VLOOKUP(A1,DIV_13Data!$A$1:$DZU$1000000,762,FALSE)</f>
        <v>#N/A</v>
      </c>
      <c r="N45" s="34" t="e">
        <f>VLOOKUP(A1,DIV_13Data!$A$1:$DZU$1000000,763,FALSE)</f>
        <v>#N/A</v>
      </c>
      <c r="O45" s="33" t="e">
        <f>VLOOKUP(A1,DIV_13Data!$A$1:$DZU$1000000,764,FALSE)</f>
        <v>#N/A</v>
      </c>
      <c r="P45" s="46" t="e">
        <f>VLOOKUP(A1,DIV_13Data!$A$1:$DZU$1000000,765,FALSE)</f>
        <v>#N/A</v>
      </c>
      <c r="Q45" s="33" t="e">
        <f>VLOOKUP(A1,DIV_13Data!$A$1:$DZU$1000000,766,FALSE)</f>
        <v>#N/A</v>
      </c>
    </row>
    <row r="46" spans="1:17" x14ac:dyDescent="0.35">
      <c r="A46" s="22" t="e">
        <f>VLOOKUP(A1,DIV_13Data!$A$1:$DZU$1000000,767,FALSE)</f>
        <v>#N/A</v>
      </c>
      <c r="B46" s="37" t="e">
        <f>VLOOKUP(A1,DIV_13Data!$A$1:$DZU$1000000,768,FALSE)</f>
        <v>#N/A</v>
      </c>
      <c r="C46" s="38" t="e">
        <f>VLOOKUP(A1,DIV_13Data!$A$1:$DZU$1000000,769,FALSE)</f>
        <v>#N/A</v>
      </c>
      <c r="D46" s="31" t="e">
        <f>VLOOKUP(A1,DIV_13Data!$A$1:$DZU$1000000,770,FALSE)</f>
        <v>#N/A</v>
      </c>
      <c r="E46" s="32" t="e">
        <f>VLOOKUP(A1,DIV_13Data!$A$1:$DZU$1000000,771,FALSE)</f>
        <v>#N/A</v>
      </c>
      <c r="F46" s="34" t="e">
        <f>VLOOKUP(A1,DIV_13Data!$A$1:$DZU$1000000,772,FALSE)</f>
        <v>#N/A</v>
      </c>
      <c r="G46" s="33" t="e">
        <f>VLOOKUP(A1,DIV_13Data!$A$1:$DZU$1000000,773,FALSE)</f>
        <v>#N/A</v>
      </c>
      <c r="H46" s="34" t="e">
        <f>VLOOKUP(A1,DIV_13Data!$A$1:$DZU$1000000,774,FALSE)</f>
        <v>#N/A</v>
      </c>
      <c r="I46" s="33" t="e">
        <f>VLOOKUP(A1,DIV_13Data!$A$1:$DZU$1000000,775,FALSE)</f>
        <v>#N/A</v>
      </c>
      <c r="J46" s="34" t="e">
        <f>VLOOKUP(A1,DIV_13Data!$A$1:$DZU$1000000,776,FALSE)</f>
        <v>#N/A</v>
      </c>
      <c r="K46" s="34" t="e">
        <f>VLOOKUP(A1,DIV_13Data!$A$1:$DZU$1000000,777,FALSE)</f>
        <v>#N/A</v>
      </c>
      <c r="L46" s="93" t="e">
        <f>VLOOKUP(A1,DIV_13Data!$A$1:$DZU$1000000,778,FALSE)</f>
        <v>#N/A</v>
      </c>
      <c r="M46" s="33" t="e">
        <f>VLOOKUP(A1,DIV_13Data!$A$1:$DZU$1000000,779,FALSE)</f>
        <v>#N/A</v>
      </c>
      <c r="N46" s="34" t="e">
        <f>VLOOKUP(A1,DIV_13Data!$A$1:$DZU$1000000,780,FALSE)</f>
        <v>#N/A</v>
      </c>
      <c r="O46" s="33" t="e">
        <f>VLOOKUP(A1,DIV_13Data!$A$1:$DZU$1000000,781,FALSE)</f>
        <v>#N/A</v>
      </c>
      <c r="P46" s="46" t="e">
        <f>VLOOKUP(A1,DIV_13Data!$A$1:$DZU$1000000,782,FALSE)</f>
        <v>#N/A</v>
      </c>
      <c r="Q46" s="33" t="e">
        <f>VLOOKUP(A1,DIV_13Data!$A$1:$DZU$1000000,783,FALSE)</f>
        <v>#N/A</v>
      </c>
    </row>
    <row r="47" spans="1:17" x14ac:dyDescent="0.35">
      <c r="A47" s="22" t="e">
        <f>VLOOKUP(A1,DIV_13Data!$A$1:$DZU$1000000,784,FALSE)</f>
        <v>#N/A</v>
      </c>
      <c r="B47" s="37" t="e">
        <f>VLOOKUP(A1,DIV_13Data!$A$1:$DZU$1000000,785,FALSE)</f>
        <v>#N/A</v>
      </c>
      <c r="C47" s="38" t="e">
        <f>VLOOKUP(A1,DIV_13Data!$A$1:$DZU$1000000,786,FALSE)</f>
        <v>#N/A</v>
      </c>
      <c r="D47" s="31" t="e">
        <f>VLOOKUP(A1,DIV_13Data!$A$1:$DZU$1000000,787,FALSE)</f>
        <v>#N/A</v>
      </c>
      <c r="E47" s="32" t="e">
        <f>VLOOKUP(A1,DIV_13Data!$A$1:$DZU$1000000,788,FALSE)</f>
        <v>#N/A</v>
      </c>
      <c r="F47" s="34" t="e">
        <f>VLOOKUP(A1,DIV_13Data!$A$1:$DZU$1000000,789,FALSE)</f>
        <v>#N/A</v>
      </c>
      <c r="G47" s="33" t="e">
        <f>VLOOKUP(A1,DIV_13Data!$A$1:$DZU$1000000,790,FALSE)</f>
        <v>#N/A</v>
      </c>
      <c r="H47" s="34" t="e">
        <f>VLOOKUP(A1,DIV_13Data!$A$1:$DZU$1000000,791,FALSE)</f>
        <v>#N/A</v>
      </c>
      <c r="I47" s="33" t="e">
        <f>VLOOKUP(A1,DIV_13Data!$A$1:$DZU$1000000,792,FALSE)</f>
        <v>#N/A</v>
      </c>
      <c r="J47" s="34" t="e">
        <f>VLOOKUP(A1,DIV_13Data!$A$1:$DZU$1000000,793,FALSE)</f>
        <v>#N/A</v>
      </c>
      <c r="K47" s="34" t="e">
        <f>VLOOKUP(A1,DIV_13Data!$A$1:$DZU$1000000,794,FALSE)</f>
        <v>#N/A</v>
      </c>
      <c r="L47" s="93" t="e">
        <f>VLOOKUP(A1,DIV_13Data!$A$1:$DZU$1000000,795,FALSE)</f>
        <v>#N/A</v>
      </c>
      <c r="M47" s="33" t="e">
        <f>VLOOKUP(A1,DIV_13Data!$A$1:$DZU$1000000,796,FALSE)</f>
        <v>#N/A</v>
      </c>
      <c r="N47" s="34" t="e">
        <f>VLOOKUP(A1,DIV_13Data!$A$1:$DZU$1000000,797,FALSE)</f>
        <v>#N/A</v>
      </c>
      <c r="O47" s="33" t="e">
        <f>VLOOKUP(A1,DIV_13Data!$A$1:$DZU$1000000,798,FALSE)</f>
        <v>#N/A</v>
      </c>
      <c r="P47" s="46" t="e">
        <f>VLOOKUP(A1,DIV_13Data!$A$1:$DZU$1000000,799,FALSE)</f>
        <v>#N/A</v>
      </c>
      <c r="Q47" s="33" t="e">
        <f>VLOOKUP(A1,DIV_13Data!$A$1:$DZU$1000000,800,FALSE)</f>
        <v>#N/A</v>
      </c>
    </row>
    <row r="48" spans="1:17" x14ac:dyDescent="0.35">
      <c r="A48" s="22" t="e">
        <f>VLOOKUP(A1,DIV_13Data!$A$1:$DZU$1000000,801,FALSE)</f>
        <v>#N/A</v>
      </c>
      <c r="B48" s="37" t="e">
        <f>VLOOKUP(A1,DIV_13Data!$A$1:$DZU$1000000,802,FALSE)</f>
        <v>#N/A</v>
      </c>
      <c r="C48" s="38" t="e">
        <f>VLOOKUP(A1,DIV_13Data!$A$1:$DZU$1000000,803,FALSE)</f>
        <v>#N/A</v>
      </c>
      <c r="D48" s="31" t="e">
        <f>VLOOKUP(A1,DIV_13Data!$A$1:$DZU$1000000,804,FALSE)</f>
        <v>#N/A</v>
      </c>
      <c r="E48" s="32" t="e">
        <f>VLOOKUP(A1,DIV_13Data!$A$1:$DZU$1000000,805,FALSE)</f>
        <v>#N/A</v>
      </c>
      <c r="F48" s="34" t="e">
        <f>VLOOKUP(A1,DIV_13Data!$A$1:$DZU$1000000,806,FALSE)</f>
        <v>#N/A</v>
      </c>
      <c r="G48" s="33" t="e">
        <f>VLOOKUP(A1,DIV_13Data!$A$1:$DZU$1000000,807,FALSE)</f>
        <v>#N/A</v>
      </c>
      <c r="H48" s="34" t="e">
        <f>VLOOKUP(A1,DIV_13Data!$A$1:$DZU$1000000,808,FALSE)</f>
        <v>#N/A</v>
      </c>
      <c r="I48" s="33" t="e">
        <f>VLOOKUP(A1,DIV_13Data!$A$1:$DZU$1000000,809,FALSE)</f>
        <v>#N/A</v>
      </c>
      <c r="J48" s="34" t="e">
        <f>VLOOKUP(A1,DIV_13Data!$A$1:$DZU$1000000,810,FALSE)</f>
        <v>#N/A</v>
      </c>
      <c r="K48" s="34" t="e">
        <f>VLOOKUP(A1,DIV_13Data!$A$1:$DZU$1000000,811,FALSE)</f>
        <v>#N/A</v>
      </c>
      <c r="L48" s="93" t="e">
        <f>VLOOKUP(A1,DIV_13Data!$A$1:$DZU$1000000,812,FALSE)</f>
        <v>#N/A</v>
      </c>
      <c r="M48" s="33" t="e">
        <f>VLOOKUP(A1,DIV_13Data!$A$1:$DZU$1000000,813,FALSE)</f>
        <v>#N/A</v>
      </c>
      <c r="N48" s="34" t="e">
        <f>VLOOKUP(A1,DIV_13Data!$A$1:$DZU$1000000,814,FALSE)</f>
        <v>#N/A</v>
      </c>
      <c r="O48" s="33" t="e">
        <f>VLOOKUP(A1,DIV_13Data!$A$1:$DZU$1000000,815,FALSE)</f>
        <v>#N/A</v>
      </c>
      <c r="P48" s="46" t="e">
        <f>VLOOKUP(A1,DIV_13Data!$A$1:$DZU$1000000,816,FALSE)</f>
        <v>#N/A</v>
      </c>
      <c r="Q48" s="33" t="e">
        <f>VLOOKUP(A1,DIV_13Data!$A$1:$DZU$1000000,817,FALSE)</f>
        <v>#N/A</v>
      </c>
    </row>
    <row r="49" spans="1:17" x14ac:dyDescent="0.35">
      <c r="A49" s="22" t="e">
        <f>VLOOKUP(A1,DIV_13Data!$A$1:$DZU$1000000,818,FALSE)</f>
        <v>#N/A</v>
      </c>
      <c r="B49" s="37" t="e">
        <f>VLOOKUP(A1,DIV_13Data!$A$1:$DZU$1000000,819,FALSE)</f>
        <v>#N/A</v>
      </c>
      <c r="C49" s="38" t="e">
        <f>VLOOKUP(A1,DIV_13Data!$A$1:$DZU$1000000,820,FALSE)</f>
        <v>#N/A</v>
      </c>
      <c r="D49" s="31" t="e">
        <f>VLOOKUP(A1,DIV_13Data!$A$1:$DZU$1000000,821,FALSE)</f>
        <v>#N/A</v>
      </c>
      <c r="E49" s="32" t="e">
        <f>VLOOKUP(A1,DIV_13Data!$A$1:$DZU$1000000,822,FALSE)</f>
        <v>#N/A</v>
      </c>
      <c r="F49" s="34" t="e">
        <f>VLOOKUP(A1,DIV_13Data!$A$1:$DZU$1000000,823,FALSE)</f>
        <v>#N/A</v>
      </c>
      <c r="G49" s="33" t="e">
        <f>VLOOKUP(A1,DIV_13Data!$A$1:$DZU$1000000,824,FALSE)</f>
        <v>#N/A</v>
      </c>
      <c r="H49" s="34" t="e">
        <f>VLOOKUP(A1,DIV_13Data!$A$1:$DZU$1000000,825,FALSE)</f>
        <v>#N/A</v>
      </c>
      <c r="I49" s="33" t="e">
        <f>VLOOKUP(A1,DIV_13Data!$A$1:$DZU$1000000,826,FALSE)</f>
        <v>#N/A</v>
      </c>
      <c r="J49" s="34" t="e">
        <f>VLOOKUP(A1,DIV_13Data!$A$1:$DZU$1000000,827,FALSE)</f>
        <v>#N/A</v>
      </c>
      <c r="K49" s="34" t="e">
        <f>VLOOKUP(A1,DIV_13Data!$A$1:$DZU$1000000,828,FALSE)</f>
        <v>#N/A</v>
      </c>
      <c r="L49" s="93" t="e">
        <f>VLOOKUP(A1,DIV_13Data!$A$1:$DZU$1000000,829,FALSE)</f>
        <v>#N/A</v>
      </c>
      <c r="M49" s="33" t="e">
        <f>VLOOKUP(A1,DIV_13Data!$A$1:$DZU$1000000,830,FALSE)</f>
        <v>#N/A</v>
      </c>
      <c r="N49" s="34" t="e">
        <f>VLOOKUP(A1,DIV_13Data!$A$1:$DZU$1000000,831,FALSE)</f>
        <v>#N/A</v>
      </c>
      <c r="O49" s="33" t="e">
        <f>VLOOKUP(A1,DIV_13Data!$A$1:$DZU$1000000,832,FALSE)</f>
        <v>#N/A</v>
      </c>
      <c r="P49" s="46" t="e">
        <f>VLOOKUP(A1,DIV_13Data!$A$1:$DZU$1000000,833,FALSE)</f>
        <v>#N/A</v>
      </c>
      <c r="Q49" s="33" t="e">
        <f>VLOOKUP(A1,DIV_13Data!$A$1:$DZU$1000000,834,FALSE)</f>
        <v>#N/A</v>
      </c>
    </row>
    <row r="50" spans="1:17" x14ac:dyDescent="0.35">
      <c r="A50" s="22" t="e">
        <f>VLOOKUP(A1,DIV_13Data!$A$1:$DZU$1000000,835,FALSE)</f>
        <v>#N/A</v>
      </c>
      <c r="B50" s="37" t="e">
        <f>VLOOKUP(A1,DIV_13Data!$A$1:$DZU$1000000,836,FALSE)</f>
        <v>#N/A</v>
      </c>
      <c r="C50" s="38" t="e">
        <f>VLOOKUP(A1,DIV_13Data!$A$1:$DZU$1000000,837,FALSE)</f>
        <v>#N/A</v>
      </c>
      <c r="D50" s="31" t="e">
        <f>VLOOKUP(A1,DIV_13Data!$A$1:$DZU$1000000,838,FALSE)</f>
        <v>#N/A</v>
      </c>
      <c r="E50" s="32" t="e">
        <f>VLOOKUP(A1,DIV_13Data!$A$1:$DZU$1000000,839,FALSE)</f>
        <v>#N/A</v>
      </c>
      <c r="F50" s="34" t="e">
        <f>VLOOKUP(A1,DIV_13Data!$A$1:$DZU$1000000,840,FALSE)</f>
        <v>#N/A</v>
      </c>
      <c r="G50" s="33" t="e">
        <f>VLOOKUP(A1,DIV_13Data!$A$1:$DZU$1000000,841,FALSE)</f>
        <v>#N/A</v>
      </c>
      <c r="H50" s="34" t="e">
        <f>VLOOKUP(A1,DIV_13Data!$A$1:$DZU$1000000,842,FALSE)</f>
        <v>#N/A</v>
      </c>
      <c r="I50" s="33" t="e">
        <f>VLOOKUP(A1,DIV_13Data!$A$1:$DZU$1000000,843,FALSE)</f>
        <v>#N/A</v>
      </c>
      <c r="J50" s="34" t="e">
        <f>VLOOKUP(A1,DIV_13Data!$A$1:$DZU$1000000,844,FALSE)</f>
        <v>#N/A</v>
      </c>
      <c r="K50" s="34" t="e">
        <f>VLOOKUP(A1,DIV_13Data!$A$1:$DZU$1000000,845,FALSE)</f>
        <v>#N/A</v>
      </c>
      <c r="L50" s="93" t="e">
        <f>VLOOKUP(A1,DIV_13Data!$A$1:$DZU$1000000,846,FALSE)</f>
        <v>#N/A</v>
      </c>
      <c r="M50" s="33" t="e">
        <f>VLOOKUP(A1,DIV_13Data!$A$1:$DZU$1000000,847,FALSE)</f>
        <v>#N/A</v>
      </c>
      <c r="N50" s="34" t="e">
        <f>VLOOKUP(A1,DIV_13Data!$A$1:$DZU$1000000,848,FALSE)</f>
        <v>#N/A</v>
      </c>
      <c r="O50" s="33" t="e">
        <f>VLOOKUP(A1,DIV_13Data!$A$1:$DZU$1000000,849,FALSE)</f>
        <v>#N/A</v>
      </c>
      <c r="P50" s="46" t="e">
        <f>VLOOKUP(A1,DIV_13Data!$A$1:$DZU$1000000,850,FALSE)</f>
        <v>#N/A</v>
      </c>
      <c r="Q50" s="33" t="e">
        <f>VLOOKUP(A1,DIV_13Data!$A$1:$DZU$1000000,851,FALSE)</f>
        <v>#N/A</v>
      </c>
    </row>
    <row r="51" spans="1:17" x14ac:dyDescent="0.35">
      <c r="A51" s="22" t="e">
        <f>VLOOKUP(A1,DIV_13Data!$A$1:$DZU$1000000,852,FALSE)</f>
        <v>#N/A</v>
      </c>
      <c r="B51" s="37" t="e">
        <f>VLOOKUP(A1,DIV_13Data!$A$1:$DZU$1000000,853,FALSE)</f>
        <v>#N/A</v>
      </c>
      <c r="C51" s="38" t="e">
        <f>VLOOKUP(A1,DIV_13Data!$A$1:$DZU$1000000,854,FALSE)</f>
        <v>#N/A</v>
      </c>
      <c r="D51" s="31" t="e">
        <f>VLOOKUP(A1,DIV_13Data!$A$1:$DZU$1000000,855,FALSE)</f>
        <v>#N/A</v>
      </c>
      <c r="E51" s="32" t="e">
        <f>VLOOKUP(A1,DIV_13Data!$A$1:$DZU$1000000,856,FALSE)</f>
        <v>#N/A</v>
      </c>
      <c r="F51" s="34" t="e">
        <f>VLOOKUP(A1,DIV_13Data!$A$1:$DZU$1000000,857,FALSE)</f>
        <v>#N/A</v>
      </c>
      <c r="G51" s="33" t="e">
        <f>VLOOKUP(A1,DIV_13Data!$A$1:$DZU$1000000,858,FALSE)</f>
        <v>#N/A</v>
      </c>
      <c r="H51" s="34" t="e">
        <f>VLOOKUP(A1,DIV_13Data!$A$1:$DZU$1000000,859,FALSE)</f>
        <v>#N/A</v>
      </c>
      <c r="I51" s="33" t="e">
        <f>VLOOKUP(A1,DIV_13Data!$A$1:$DZU$1000000,860,FALSE)</f>
        <v>#N/A</v>
      </c>
      <c r="J51" s="34" t="e">
        <f>VLOOKUP(A1,DIV_13Data!$A$1:$DZU$1000000,861,FALSE)</f>
        <v>#N/A</v>
      </c>
      <c r="K51" s="34" t="e">
        <f>VLOOKUP(A1,DIV_13Data!$A$1:$DZU$1000000,862,FALSE)</f>
        <v>#N/A</v>
      </c>
      <c r="L51" s="93" t="e">
        <f>VLOOKUP(A1,DIV_13Data!$A$1:$DZU$1000000,863,FALSE)</f>
        <v>#N/A</v>
      </c>
      <c r="M51" s="33" t="e">
        <f>VLOOKUP(A1,DIV_13Data!$A$1:$DZU$1000000,864,FALSE)</f>
        <v>#N/A</v>
      </c>
      <c r="N51" s="34" t="e">
        <f>VLOOKUP(A1,DIV_13Data!$A$1:$DZU$1000000,865,FALSE)</f>
        <v>#N/A</v>
      </c>
      <c r="O51" s="33" t="e">
        <f>VLOOKUP(A1,DIV_13Data!$A$1:$DZU$1000000,866,FALSE)</f>
        <v>#N/A</v>
      </c>
      <c r="P51" s="46" t="e">
        <f>VLOOKUP(A1,DIV_13Data!$A$1:$DZU$1000000,867,FALSE)</f>
        <v>#N/A</v>
      </c>
      <c r="Q51" s="33" t="e">
        <f>VLOOKUP(A1,DIV_13Data!$A$1:$DZU$1000000,868,FALSE)</f>
        <v>#N/A</v>
      </c>
    </row>
    <row r="52" spans="1:17" x14ac:dyDescent="0.35">
      <c r="A52" s="22" t="e">
        <f>VLOOKUP(A1,DIV_13Data!$A$1:$DZU$1000000,869,FALSE)</f>
        <v>#N/A</v>
      </c>
      <c r="B52" s="37" t="e">
        <f>VLOOKUP(A1,DIV_13Data!$A$1:$DZU$1000000,870,FALSE)</f>
        <v>#N/A</v>
      </c>
      <c r="C52" s="38" t="e">
        <f>VLOOKUP(A1,DIV_13Data!$A$1:$DZU$1000000,871,FALSE)</f>
        <v>#N/A</v>
      </c>
      <c r="D52" s="31" t="e">
        <f>VLOOKUP(A1,DIV_13Data!$A$1:$DZU$1000000,872,FALSE)</f>
        <v>#N/A</v>
      </c>
      <c r="E52" s="32" t="e">
        <f>VLOOKUP(A1,DIV_13Data!$A$1:$DZU$1000000,873,FALSE)</f>
        <v>#N/A</v>
      </c>
      <c r="F52" s="34" t="e">
        <f>VLOOKUP(A1,DIV_13Data!$A$1:$DZU$1000000,874,FALSE)</f>
        <v>#N/A</v>
      </c>
      <c r="G52" s="33" t="e">
        <f>VLOOKUP(A1,DIV_13Data!$A$1:$DZU$1000000,875,FALSE)</f>
        <v>#N/A</v>
      </c>
      <c r="H52" s="34" t="e">
        <f>VLOOKUP(A1,DIV_13Data!$A$1:$DZU$1000000,876,FALSE)</f>
        <v>#N/A</v>
      </c>
      <c r="I52" s="33" t="e">
        <f>VLOOKUP(A1,DIV_13Data!$A$1:$DZU$1000000,877,FALSE)</f>
        <v>#N/A</v>
      </c>
      <c r="J52" s="34" t="e">
        <f>VLOOKUP(A1,DIV_13Data!$A$1:$DZU$1000000,878,FALSE)</f>
        <v>#N/A</v>
      </c>
      <c r="K52" s="34" t="e">
        <f>VLOOKUP(A1,DIV_13Data!$A$1:$DZU$1000000,879,FALSE)</f>
        <v>#N/A</v>
      </c>
      <c r="L52" s="93" t="e">
        <f>VLOOKUP(A1,DIV_13Data!$A$1:$DZU$1000000,880,FALSE)</f>
        <v>#N/A</v>
      </c>
      <c r="M52" s="33" t="e">
        <f>VLOOKUP(A1,DIV_13Data!$A$1:$DZU$1000000,881,FALSE)</f>
        <v>#N/A</v>
      </c>
      <c r="N52" s="34" t="e">
        <f>VLOOKUP(A1,DIV_13Data!$A$1:$DZU$1000000,882,FALSE)</f>
        <v>#N/A</v>
      </c>
      <c r="O52" s="33" t="e">
        <f>VLOOKUP(A1,DIV_13Data!$A$1:$DZU$1000000,883,FALSE)</f>
        <v>#N/A</v>
      </c>
      <c r="P52" s="46" t="e">
        <f>VLOOKUP(A1,DIV_13Data!$A$1:$DZU$1000000,884,FALSE)</f>
        <v>#N/A</v>
      </c>
      <c r="Q52" s="33" t="e">
        <f>VLOOKUP(A1,DIV_13Data!$A$1:$DZU$1000000,885,FALSE)</f>
        <v>#N/A</v>
      </c>
    </row>
    <row r="53" spans="1:17" x14ac:dyDescent="0.35">
      <c r="A53" s="22" t="e">
        <f>VLOOKUP(A1,DIV_13Data!$A$1:$DZU$1000000,886,FALSE)</f>
        <v>#N/A</v>
      </c>
      <c r="B53" s="37" t="e">
        <f>VLOOKUP(A1,DIV_13Data!$A$1:$DZU$1000000,887,FALSE)</f>
        <v>#N/A</v>
      </c>
      <c r="C53" s="38" t="e">
        <f>VLOOKUP(A1,DIV_13Data!$A$1:$DZU$1000000,888,FALSE)</f>
        <v>#N/A</v>
      </c>
      <c r="D53" s="31" t="e">
        <f>VLOOKUP(A1,DIV_13Data!$A$1:$DZU$1000000,889,FALSE)</f>
        <v>#N/A</v>
      </c>
      <c r="E53" s="32" t="e">
        <f>VLOOKUP(A1,DIV_13Data!$A$1:$DZU$1000000,890,FALSE)</f>
        <v>#N/A</v>
      </c>
      <c r="F53" s="34" t="e">
        <f>VLOOKUP(A1,DIV_13Data!$A$1:$DZU$1000000,891,FALSE)</f>
        <v>#N/A</v>
      </c>
      <c r="G53" s="33" t="e">
        <f>VLOOKUP(A1,DIV_13Data!$A$1:$DZU$1000000,892,FALSE)</f>
        <v>#N/A</v>
      </c>
      <c r="H53" s="34" t="e">
        <f>VLOOKUP(A1,DIV_13Data!$A$1:$DZU$1000000,893,FALSE)</f>
        <v>#N/A</v>
      </c>
      <c r="I53" s="33" t="e">
        <f>VLOOKUP(A1,DIV_13Data!$A$1:$DZU$1000000,894,FALSE)</f>
        <v>#N/A</v>
      </c>
      <c r="J53" s="34" t="e">
        <f>VLOOKUP(A1,DIV_13Data!$A$1:$DZU$1000000,895,FALSE)</f>
        <v>#N/A</v>
      </c>
      <c r="K53" s="34" t="e">
        <f>VLOOKUP(A1,DIV_13Data!$A$1:$DZU$1000000,896,FALSE)</f>
        <v>#N/A</v>
      </c>
      <c r="L53" s="93" t="e">
        <f>VLOOKUP(A1,DIV_13Data!$A$1:$DZU$1000000,897,FALSE)</f>
        <v>#N/A</v>
      </c>
      <c r="M53" s="33" t="e">
        <f>VLOOKUP(A1,DIV_13Data!$A$1:$DZU$1000000,898,FALSE)</f>
        <v>#N/A</v>
      </c>
      <c r="N53" s="34" t="e">
        <f>VLOOKUP(A1,DIV_13Data!$A$1:$DZU$1000000,899,FALSE)</f>
        <v>#N/A</v>
      </c>
      <c r="O53" s="33" t="e">
        <f>VLOOKUP(A1,DIV_13Data!$A$1:$DZU$1000000,900,FALSE)</f>
        <v>#N/A</v>
      </c>
      <c r="P53" s="46" t="e">
        <f>VLOOKUP(A1,DIV_13Data!$A$1:$DZU$1000000,901,FALSE)</f>
        <v>#N/A</v>
      </c>
      <c r="Q53" s="33" t="e">
        <f>VLOOKUP(A1,DIV_13Data!$A$1:$DZU$1000000,902,FALSE)</f>
        <v>#N/A</v>
      </c>
    </row>
    <row r="54" spans="1:17" x14ac:dyDescent="0.35">
      <c r="A54" s="22" t="e">
        <f>VLOOKUP(A1,DIV_13Data!$A$1:$DZU$1000000,903,FALSE)</f>
        <v>#N/A</v>
      </c>
      <c r="B54" s="37" t="e">
        <f>VLOOKUP(A1,DIV_13Data!$A$1:$DZU$1000000,904,FALSE)</f>
        <v>#N/A</v>
      </c>
      <c r="C54" s="38" t="e">
        <f>VLOOKUP(A1,DIV_13Data!$A$1:$DZU$1000000,905,FALSE)</f>
        <v>#N/A</v>
      </c>
      <c r="D54" s="31" t="e">
        <f>VLOOKUP(A1,DIV_13Data!$A$1:$DZU$1000000,906,FALSE)</f>
        <v>#N/A</v>
      </c>
      <c r="E54" s="32" t="e">
        <f>VLOOKUP(A1,DIV_13Data!$A$1:$DZU$1000000,907,FALSE)</f>
        <v>#N/A</v>
      </c>
      <c r="F54" s="34" t="e">
        <f>VLOOKUP(A1,DIV_13Data!$A$1:$DZU$1000000,908,FALSE)</f>
        <v>#N/A</v>
      </c>
      <c r="G54" s="33" t="e">
        <f>VLOOKUP(A1,DIV_13Data!$A$1:$DZU$1000000,909,FALSE)</f>
        <v>#N/A</v>
      </c>
      <c r="H54" s="34" t="e">
        <f>VLOOKUP(A1,DIV_13Data!$A$1:$DZU$1000000,910,FALSE)</f>
        <v>#N/A</v>
      </c>
      <c r="I54" s="33" t="e">
        <f>VLOOKUP(A1,DIV_13Data!$A$1:$DZU$1000000,911,FALSE)</f>
        <v>#N/A</v>
      </c>
      <c r="J54" s="34" t="e">
        <f>VLOOKUP(A1,DIV_13Data!$A$1:$DZU$1000000,912,FALSE)</f>
        <v>#N/A</v>
      </c>
      <c r="K54" s="34" t="e">
        <f>VLOOKUP(A1,DIV_13Data!$A$1:$DZU$1000000,913,FALSE)</f>
        <v>#N/A</v>
      </c>
      <c r="L54" s="93" t="e">
        <f>VLOOKUP(A1,DIV_13Data!$A$1:$DZU$1000000,914,FALSE)</f>
        <v>#N/A</v>
      </c>
      <c r="M54" s="33" t="e">
        <f>VLOOKUP(A1,DIV_13Data!$A$1:$DZU$1000000,915,FALSE)</f>
        <v>#N/A</v>
      </c>
      <c r="N54" s="34" t="e">
        <f>VLOOKUP(A1,DIV_13Data!$A$1:$DZU$1000000,916,FALSE)</f>
        <v>#N/A</v>
      </c>
      <c r="O54" s="33" t="e">
        <f>VLOOKUP(A1,DIV_13Data!$A$1:$DZU$1000000,917,FALSE)</f>
        <v>#N/A</v>
      </c>
      <c r="P54" s="46" t="e">
        <f>VLOOKUP(A1,DIV_13Data!$A$1:$DZU$1000000,918,FALSE)</f>
        <v>#N/A</v>
      </c>
      <c r="Q54" s="33" t="e">
        <f>VLOOKUP(A1,DIV_13Data!$A$1:$DZU$1000000,919,FALSE)</f>
        <v>#N/A</v>
      </c>
    </row>
    <row r="55" spans="1:17" x14ac:dyDescent="0.35">
      <c r="A55" s="22" t="e">
        <f>VLOOKUP(A1,DIV_13Data!$A$1:$DZU$1000000,920,FALSE)</f>
        <v>#N/A</v>
      </c>
      <c r="B55" s="37" t="e">
        <f>VLOOKUP(A1,DIV_13Data!$A$1:$DZU$1000000,921,FALSE)</f>
        <v>#N/A</v>
      </c>
      <c r="C55" s="38" t="e">
        <f>VLOOKUP(A1,DIV_13Data!$A$1:$DZU$1000000,922,FALSE)</f>
        <v>#N/A</v>
      </c>
      <c r="D55" s="31" t="e">
        <f>VLOOKUP(A1,DIV_13Data!$A$1:$DZU$1000000,923,FALSE)</f>
        <v>#N/A</v>
      </c>
      <c r="E55" s="32" t="e">
        <f>VLOOKUP(A1,DIV_13Data!$A$1:$DZU$1000000,924,FALSE)</f>
        <v>#N/A</v>
      </c>
      <c r="F55" s="34" t="e">
        <f>VLOOKUP(A1,DIV_13Data!$A$1:$DZU$1000000,925,FALSE)</f>
        <v>#N/A</v>
      </c>
      <c r="G55" s="33" t="e">
        <f>VLOOKUP(A1,DIV_13Data!$A$1:$DZU$1000000,926,FALSE)</f>
        <v>#N/A</v>
      </c>
      <c r="H55" s="34" t="e">
        <f>VLOOKUP(A1,DIV_13Data!$A$1:$DZU$1000000,927,FALSE)</f>
        <v>#N/A</v>
      </c>
      <c r="I55" s="33" t="e">
        <f>VLOOKUP(A1,DIV_13Data!$A$1:$DZU$1000000,928,FALSE)</f>
        <v>#N/A</v>
      </c>
      <c r="J55" s="34" t="e">
        <f>VLOOKUP(A1,DIV_13Data!$A$1:$DZU$1000000,929,FALSE)</f>
        <v>#N/A</v>
      </c>
      <c r="K55" s="34" t="e">
        <f>VLOOKUP(A1,DIV_13Data!$A$1:$DZU$1000000,930,FALSE)</f>
        <v>#N/A</v>
      </c>
      <c r="L55" s="93" t="e">
        <f>VLOOKUP(A1,DIV_13Data!$A$1:$DZU$1000000,931,FALSE)</f>
        <v>#N/A</v>
      </c>
      <c r="M55" s="33" t="e">
        <f>VLOOKUP(A1,DIV_13Data!$A$1:$DZU$1000000,932,FALSE)</f>
        <v>#N/A</v>
      </c>
      <c r="N55" s="34" t="e">
        <f>VLOOKUP(A1,DIV_13Data!$A$1:$DZU$1000000,933,FALSE)</f>
        <v>#N/A</v>
      </c>
      <c r="O55" s="33" t="e">
        <f>VLOOKUP(A1,DIV_13Data!$A$1:$DZU$1000000,934,FALSE)</f>
        <v>#N/A</v>
      </c>
      <c r="P55" s="46" t="e">
        <f>VLOOKUP(A1,DIV_13Data!$A$1:$DZU$1000000,935,FALSE)</f>
        <v>#N/A</v>
      </c>
      <c r="Q55" s="33" t="e">
        <f>VLOOKUP(A1,DIV_13Data!$A$1:$DZU$1000000,936,FALSE)</f>
        <v>#N/A</v>
      </c>
    </row>
    <row r="56" spans="1:17" x14ac:dyDescent="0.35">
      <c r="A56" s="22" t="e">
        <f>VLOOKUP(A1,DIV_13Data!$A$1:$DZU$1000000,937,FALSE)</f>
        <v>#N/A</v>
      </c>
      <c r="B56" s="37" t="e">
        <f>VLOOKUP(A1,DIV_13Data!$A$1:$DZU$1000000,938,FALSE)</f>
        <v>#N/A</v>
      </c>
      <c r="C56" s="38" t="e">
        <f>VLOOKUP(A1,DIV_13Data!$A$1:$DZU$1000000,939,FALSE)</f>
        <v>#N/A</v>
      </c>
      <c r="D56" s="31" t="e">
        <f>VLOOKUP(A1,DIV_13Data!$A$1:$DZU$1000000,940,FALSE)</f>
        <v>#N/A</v>
      </c>
      <c r="E56" s="32" t="e">
        <f>VLOOKUP(A1,DIV_13Data!$A$1:$DZU$1000000,941,FALSE)</f>
        <v>#N/A</v>
      </c>
      <c r="F56" s="34" t="e">
        <f>VLOOKUP(A1,DIV_13Data!$A$1:$DZU$1000000,942,FALSE)</f>
        <v>#N/A</v>
      </c>
      <c r="G56" s="33" t="e">
        <f>VLOOKUP(A1,DIV_13Data!$A$1:$DZU$1000000,943,FALSE)</f>
        <v>#N/A</v>
      </c>
      <c r="H56" s="34" t="e">
        <f>VLOOKUP(A1,DIV_13Data!$A$1:$DZU$1000000,944,FALSE)</f>
        <v>#N/A</v>
      </c>
      <c r="I56" s="33" t="e">
        <f>VLOOKUP(A1,DIV_13Data!$A$1:$DZU$1000000,945,FALSE)</f>
        <v>#N/A</v>
      </c>
      <c r="J56" s="34" t="e">
        <f>VLOOKUP(A1,DIV_13Data!$A$1:$DZU$1000000,946,FALSE)</f>
        <v>#N/A</v>
      </c>
      <c r="K56" s="34" t="e">
        <f>VLOOKUP(A1,DIV_13Data!$A$1:$DZU$1000000,947,FALSE)</f>
        <v>#N/A</v>
      </c>
      <c r="L56" s="93" t="e">
        <f>VLOOKUP(A1,DIV_13Data!$A$1:$DZU$1000000,948,FALSE)</f>
        <v>#N/A</v>
      </c>
      <c r="M56" s="33" t="e">
        <f>VLOOKUP(A1,DIV_13Data!$A$1:$DZU$1000000,949,FALSE)</f>
        <v>#N/A</v>
      </c>
      <c r="N56" s="34" t="e">
        <f>VLOOKUP(A1,DIV_13Data!$A$1:$DZU$1000000,950,FALSE)</f>
        <v>#N/A</v>
      </c>
      <c r="O56" s="33" t="e">
        <f>VLOOKUP(A1,DIV_13Data!$A$1:$DZU$1000000,951,FALSE)</f>
        <v>#N/A</v>
      </c>
      <c r="P56" s="46" t="e">
        <f>VLOOKUP(A1,DIV_13Data!$A$1:$DZU$1000000,952,FALSE)</f>
        <v>#N/A</v>
      </c>
      <c r="Q56" s="33" t="e">
        <f>VLOOKUP(A1,DIV_13Data!$A$1:$DZU$1000000,953,FALSE)</f>
        <v>#N/A</v>
      </c>
    </row>
    <row r="57" spans="1:17" x14ac:dyDescent="0.35">
      <c r="A57" s="22" t="e">
        <f>VLOOKUP(A1,DIV_13Data!$A$1:$DZU$1000000,954,FALSE)</f>
        <v>#N/A</v>
      </c>
      <c r="B57" s="37" t="e">
        <f>VLOOKUP(A1,DIV_13Data!$A$1:$DZU$1000000,955,FALSE)</f>
        <v>#N/A</v>
      </c>
      <c r="C57" s="38" t="e">
        <f>VLOOKUP(A1,DIV_13Data!$A$1:$DZU$1000000,956,FALSE)</f>
        <v>#N/A</v>
      </c>
      <c r="D57" s="31" t="e">
        <f>VLOOKUP(A1,DIV_13Data!$A$1:$DZU$1000000,957,FALSE)</f>
        <v>#N/A</v>
      </c>
      <c r="E57" s="32" t="e">
        <f>VLOOKUP(A1,DIV_13Data!$A$1:$DZU$1000000,958,FALSE)</f>
        <v>#N/A</v>
      </c>
      <c r="F57" s="34" t="e">
        <f>VLOOKUP(A1,DIV_13Data!$A$1:$DZU$1000000,959,FALSE)</f>
        <v>#N/A</v>
      </c>
      <c r="G57" s="33" t="e">
        <f>VLOOKUP(A1,DIV_13Data!$A$1:$DZU$1000000,960,FALSE)</f>
        <v>#N/A</v>
      </c>
      <c r="H57" s="34" t="e">
        <f>VLOOKUP(A1,DIV_13Data!$A$1:$DZU$1000000,961,FALSE)</f>
        <v>#N/A</v>
      </c>
      <c r="I57" s="33" t="e">
        <f>VLOOKUP(A1,DIV_13Data!$A$1:$DZU$1000000,962,FALSE)</f>
        <v>#N/A</v>
      </c>
      <c r="J57" s="34" t="e">
        <f>VLOOKUP(A1,DIV_13Data!$A$1:$DZU$1000000,963,FALSE)</f>
        <v>#N/A</v>
      </c>
      <c r="K57" s="34" t="e">
        <f>VLOOKUP(A1,DIV_13Data!$A$1:$DZU$1000000,964,FALSE)</f>
        <v>#N/A</v>
      </c>
      <c r="L57" s="93" t="e">
        <f>VLOOKUP(A1,DIV_13Data!$A$1:$DZU$1000000,965,FALSE)</f>
        <v>#N/A</v>
      </c>
      <c r="M57" s="33" t="e">
        <f>VLOOKUP(A1,DIV_13Data!$A$1:$DZU$1000000,966,FALSE)</f>
        <v>#N/A</v>
      </c>
      <c r="N57" s="34" t="e">
        <f>VLOOKUP(A1,DIV_13Data!$A$1:$DZU$1000000,967,FALSE)</f>
        <v>#N/A</v>
      </c>
      <c r="O57" s="33" t="e">
        <f>VLOOKUP(A1,DIV_13Data!$A$1:$DZU$1000000,968,FALSE)</f>
        <v>#N/A</v>
      </c>
      <c r="P57" s="46" t="e">
        <f>VLOOKUP(A1,DIV_13Data!$A$1:$DZU$1000000,969,FALSE)</f>
        <v>#N/A</v>
      </c>
      <c r="Q57" s="33" t="e">
        <f>VLOOKUP(A1,DIV_13Data!$A$1:$DZU$1000000,970,FALSE)</f>
        <v>#N/A</v>
      </c>
    </row>
    <row r="58" spans="1:17" x14ac:dyDescent="0.35">
      <c r="A58" s="22" t="e">
        <f>VLOOKUP(A1,DIV_13Data!$A$1:$DZU$1000000,971,FALSE)</f>
        <v>#N/A</v>
      </c>
      <c r="B58" s="37" t="e">
        <f>VLOOKUP(A1,DIV_13Data!$A$1:$DZU$1000000,972,FALSE)</f>
        <v>#N/A</v>
      </c>
      <c r="C58" s="38" t="e">
        <f>VLOOKUP(A1,DIV_13Data!$A$1:$DZU$1000000,973,FALSE)</f>
        <v>#N/A</v>
      </c>
      <c r="D58" s="31" t="e">
        <f>VLOOKUP(A1,DIV_13Data!$A$1:$DZU$1000000,974,FALSE)</f>
        <v>#N/A</v>
      </c>
      <c r="E58" s="32" t="e">
        <f>VLOOKUP(A1,DIV_13Data!$A$1:$DZU$1000000,975,FALSE)</f>
        <v>#N/A</v>
      </c>
      <c r="F58" s="34" t="e">
        <f>VLOOKUP(A1,DIV_13Data!$A$1:$DZU$1000000,976,FALSE)</f>
        <v>#N/A</v>
      </c>
      <c r="G58" s="33" t="e">
        <f>VLOOKUP(A1,DIV_13Data!$A$1:$DZU$1000000,977,FALSE)</f>
        <v>#N/A</v>
      </c>
      <c r="H58" s="34" t="e">
        <f>VLOOKUP(A1,DIV_13Data!$A$1:$DZU$1000000,978,FALSE)</f>
        <v>#N/A</v>
      </c>
      <c r="I58" s="33" t="e">
        <f>VLOOKUP(A1,DIV_13Data!$A$1:$DZU$1000000,979,FALSE)</f>
        <v>#N/A</v>
      </c>
      <c r="J58" s="34" t="e">
        <f>VLOOKUP(A1,DIV_13Data!$A$1:$DZU$1000000,980,FALSE)</f>
        <v>#N/A</v>
      </c>
      <c r="K58" s="34" t="e">
        <f>VLOOKUP(A1,DIV_13Data!$A$1:$DZU$1000000,981,FALSE)</f>
        <v>#N/A</v>
      </c>
      <c r="L58" s="93" t="e">
        <f>VLOOKUP(A1,DIV_13Data!$A$1:$DZU$1000000,982,FALSE)</f>
        <v>#N/A</v>
      </c>
      <c r="M58" s="33" t="e">
        <f>VLOOKUP(A1,DIV_13Data!$A$1:$DZU$1000000,983,FALSE)</f>
        <v>#N/A</v>
      </c>
      <c r="N58" s="34" t="e">
        <f>VLOOKUP(A1,DIV_13Data!$A$1:$DZU$1000000,984,FALSE)</f>
        <v>#N/A</v>
      </c>
      <c r="O58" s="33" t="e">
        <f>VLOOKUP(A1,DIV_13Data!$A$1:$DZU$1000000,985,FALSE)</f>
        <v>#N/A</v>
      </c>
      <c r="P58" s="46" t="e">
        <f>VLOOKUP(A1,DIV_13Data!$A$1:$DZU$1000000,986,FALSE)</f>
        <v>#N/A</v>
      </c>
      <c r="Q58" s="33" t="e">
        <f>VLOOKUP(A1,DIV_13Data!$A$1:$DZU$1000000,987,FALSE)</f>
        <v>#N/A</v>
      </c>
    </row>
    <row r="59" spans="1:17" x14ac:dyDescent="0.35">
      <c r="A59" s="22" t="e">
        <f>VLOOKUP(A1,DIV_13Data!$A$1:$DZU$1000000,988,FALSE)</f>
        <v>#N/A</v>
      </c>
      <c r="B59" s="37" t="e">
        <f>VLOOKUP(A1,DIV_13Data!$A$1:$DZU$1000000,989,FALSE)</f>
        <v>#N/A</v>
      </c>
      <c r="C59" s="38" t="e">
        <f>VLOOKUP(A1,DIV_13Data!$A$1:$DZU$1000000,990,FALSE)</f>
        <v>#N/A</v>
      </c>
      <c r="D59" s="31" t="e">
        <f>VLOOKUP(A1,DIV_13Data!$A$1:$DZU$1000000,991,FALSE)</f>
        <v>#N/A</v>
      </c>
      <c r="E59" s="32" t="e">
        <f>VLOOKUP(A1,DIV_13Data!$A$1:$DZU$1000000,992,FALSE)</f>
        <v>#N/A</v>
      </c>
      <c r="F59" s="34" t="e">
        <f>VLOOKUP(A1,DIV_13Data!$A$1:$DZU$1000000,993,FALSE)</f>
        <v>#N/A</v>
      </c>
      <c r="G59" s="33" t="e">
        <f>VLOOKUP(A1,DIV_13Data!$A$1:$DZU$1000000,994,FALSE)</f>
        <v>#N/A</v>
      </c>
      <c r="H59" s="34" t="e">
        <f>VLOOKUP(A1,DIV_13Data!$A$1:$DZU$1000000,995,FALSE)</f>
        <v>#N/A</v>
      </c>
      <c r="I59" s="33" t="e">
        <f>VLOOKUP(A1,DIV_13Data!$A$1:$DZU$1000000,996,FALSE)</f>
        <v>#N/A</v>
      </c>
      <c r="J59" s="34" t="e">
        <f>VLOOKUP(A1,DIV_13Data!$A$1:$DZU$1000000,997,FALSE)</f>
        <v>#N/A</v>
      </c>
      <c r="K59" s="34" t="e">
        <f>VLOOKUP(A1,DIV_13Data!$A$1:$DZU$1000000,998,FALSE)</f>
        <v>#N/A</v>
      </c>
      <c r="L59" s="93" t="e">
        <f>VLOOKUP(A1,DIV_13Data!$A$1:$DZU$1000000,999,FALSE)</f>
        <v>#N/A</v>
      </c>
      <c r="M59" s="33" t="e">
        <f>VLOOKUP(A1,DIV_13Data!$A$1:$DZU$1000000,1000,FALSE)</f>
        <v>#N/A</v>
      </c>
      <c r="N59" s="34" t="e">
        <f>VLOOKUP(A1,DIV_13Data!$A$1:$DZU$1000000,1001,FALSE)</f>
        <v>#N/A</v>
      </c>
      <c r="O59" s="33" t="e">
        <f>VLOOKUP(A1,DIV_13Data!$A$1:$DZU$1000000,1002,FALSE)</f>
        <v>#N/A</v>
      </c>
      <c r="P59" s="46" t="e">
        <f>VLOOKUP(A1,DIV_13Data!$A$1:$DZU$1000000,1003,FALSE)</f>
        <v>#N/A</v>
      </c>
      <c r="Q59" s="33" t="e">
        <f>VLOOKUP(A1,DIV_13Data!$A$1:$DZU$1000000,1004,FALSE)</f>
        <v>#N/A</v>
      </c>
    </row>
    <row r="60" spans="1:17" x14ac:dyDescent="0.35">
      <c r="A60" s="22" t="e">
        <f>VLOOKUP(A1,DIV_13Data!$A$1:$DZU$1000000,1005,FALSE)</f>
        <v>#N/A</v>
      </c>
      <c r="B60" s="37" t="e">
        <f>VLOOKUP(A1,DIV_13Data!$A$1:$DZU$1000000,1006,FALSE)</f>
        <v>#N/A</v>
      </c>
      <c r="C60" s="38" t="e">
        <f>VLOOKUP(A1,DIV_13Data!$A$1:$DZU$1000000,1007,FALSE)</f>
        <v>#N/A</v>
      </c>
      <c r="D60" s="31" t="e">
        <f>VLOOKUP(A1,DIV_13Data!$A$1:$DZU$1000000,1008,FALSE)</f>
        <v>#N/A</v>
      </c>
      <c r="E60" s="32" t="e">
        <f>VLOOKUP(A1,DIV_13Data!$A$1:$DZU$1000000,1009,FALSE)</f>
        <v>#N/A</v>
      </c>
      <c r="F60" s="34" t="e">
        <f>VLOOKUP(A1,DIV_13Data!$A$1:$DZU$1000000,1010,FALSE)</f>
        <v>#N/A</v>
      </c>
      <c r="G60" s="33" t="e">
        <f>VLOOKUP(A1,DIV_13Data!$A$1:$DZU$1000000,1011,FALSE)</f>
        <v>#N/A</v>
      </c>
      <c r="H60" s="34" t="e">
        <f>VLOOKUP(A1,DIV_13Data!$A$1:$DZU$1000000,1012,FALSE)</f>
        <v>#N/A</v>
      </c>
      <c r="I60" s="33" t="e">
        <f>VLOOKUP(A1,DIV_13Data!$A$1:$DZU$1000000,1013,FALSE)</f>
        <v>#N/A</v>
      </c>
      <c r="J60" s="34" t="e">
        <f>VLOOKUP(A1,DIV_13Data!$A$1:$DZU$1000000,1014,FALSE)</f>
        <v>#N/A</v>
      </c>
      <c r="K60" s="34" t="e">
        <f>VLOOKUP(A1,DIV_13Data!$A$1:$DZU$1000000,1015,FALSE)</f>
        <v>#N/A</v>
      </c>
      <c r="L60" s="93" t="e">
        <f>VLOOKUP(A1,DIV_13Data!$A$1:$DZU$1000000,1016,FALSE)</f>
        <v>#N/A</v>
      </c>
      <c r="M60" s="33" t="e">
        <f>VLOOKUP(A1,DIV_13Data!$A$1:$DZU$1000000,1017,FALSE)</f>
        <v>#N/A</v>
      </c>
      <c r="N60" s="34" t="e">
        <f>VLOOKUP(A1,DIV_13Data!$A$1:$DZU$1000000,1018,FALSE)</f>
        <v>#N/A</v>
      </c>
      <c r="O60" s="33" t="e">
        <f>VLOOKUP(A1,DIV_13Data!$A$1:$DZU$1000000,1019,FALSE)</f>
        <v>#N/A</v>
      </c>
      <c r="P60" s="46" t="e">
        <f>VLOOKUP(A1,DIV_13Data!$A$1:$DZU$1000000,1020,FALSE)</f>
        <v>#N/A</v>
      </c>
      <c r="Q60" s="33" t="e">
        <f>VLOOKUP(A1,DIV_13Data!$A$1:$DZU$1000000,1021,FALSE)</f>
        <v>#N/A</v>
      </c>
    </row>
    <row r="61" spans="1:17" x14ac:dyDescent="0.35">
      <c r="A61" s="22" t="e">
        <f>VLOOKUP(A1,DIV_13Data!$A$1:$DZU$1000000,1022,FALSE)</f>
        <v>#N/A</v>
      </c>
      <c r="B61" s="37" t="e">
        <f>VLOOKUP(A1,DIV_13Data!$A$1:$DZU$1000000,1023,FALSE)</f>
        <v>#N/A</v>
      </c>
      <c r="C61" s="38" t="e">
        <f>VLOOKUP(A1,DIV_13Data!$A$1:$DZU$1000000,1024,FALSE)</f>
        <v>#N/A</v>
      </c>
      <c r="D61" s="31" t="e">
        <f>VLOOKUP(A1,DIV_13Data!$A$1:$DZU$1000000,1025,FALSE)</f>
        <v>#N/A</v>
      </c>
      <c r="E61" s="32" t="e">
        <f>VLOOKUP(A1,DIV_13Data!$A$1:$DZU$1000000,1026,FALSE)</f>
        <v>#N/A</v>
      </c>
      <c r="F61" s="34" t="e">
        <f>VLOOKUP(A1,DIV_13Data!$A$1:$DZU$1000000,1027,FALSE)</f>
        <v>#N/A</v>
      </c>
      <c r="G61" s="33" t="e">
        <f>VLOOKUP(A1,DIV_13Data!$A$1:$DZU$1000000,1028,FALSE)</f>
        <v>#N/A</v>
      </c>
      <c r="H61" s="34" t="e">
        <f>VLOOKUP(A1,DIV_13Data!$A$1:$DZU$1000000,1029,FALSE)</f>
        <v>#N/A</v>
      </c>
      <c r="I61" s="33" t="e">
        <f>VLOOKUP(A1,DIV_13Data!$A$1:$DZU$1000000,1030,FALSE)</f>
        <v>#N/A</v>
      </c>
      <c r="J61" s="34" t="e">
        <f>VLOOKUP(A1,DIV_13Data!$A$1:$DZU$1000000,1031,FALSE)</f>
        <v>#N/A</v>
      </c>
      <c r="K61" s="34" t="e">
        <f>VLOOKUP(A1,DIV_13Data!$A$1:$DZU$1000000,1032,FALSE)</f>
        <v>#N/A</v>
      </c>
      <c r="L61" s="93" t="e">
        <f>VLOOKUP(A1,DIV_13Data!$A$1:$DZU$1000000,1033,FALSE)</f>
        <v>#N/A</v>
      </c>
      <c r="M61" s="33" t="e">
        <f>VLOOKUP(A1,DIV_13Data!$A$1:$DZU$1000000,1034,FALSE)</f>
        <v>#N/A</v>
      </c>
      <c r="N61" s="34" t="e">
        <f>VLOOKUP(A1,DIV_13Data!$A$1:$DZU$1000000,1035,FALSE)</f>
        <v>#N/A</v>
      </c>
      <c r="O61" s="33" t="e">
        <f>VLOOKUP(A1,DIV_13Data!$A$1:$DZU$1000000,1036,FALSE)</f>
        <v>#N/A</v>
      </c>
      <c r="P61" s="46" t="e">
        <f>VLOOKUP(A1,DIV_13Data!$A$1:$DZU$1000000,1037,FALSE)</f>
        <v>#N/A</v>
      </c>
      <c r="Q61" s="33" t="e">
        <f>VLOOKUP(A1,DIV_13Data!$A$1:$DZU$1000000,1038,FALSE)</f>
        <v>#N/A</v>
      </c>
    </row>
    <row r="62" spans="1:17" x14ac:dyDescent="0.35">
      <c r="A62" s="22" t="e">
        <f>VLOOKUP(A1,DIV_13Data!$A$1:$DZU$1000000,1039,FALSE)</f>
        <v>#N/A</v>
      </c>
      <c r="B62" s="37" t="e">
        <f>VLOOKUP(A1,DIV_13Data!$A$1:$DZU$1000000,1040,FALSE)</f>
        <v>#N/A</v>
      </c>
      <c r="C62" s="38" t="e">
        <f>VLOOKUP(A1,DIV_13Data!$A$1:$DZU$1000000,1041,FALSE)</f>
        <v>#N/A</v>
      </c>
      <c r="D62" s="31" t="e">
        <f>VLOOKUP(A1,DIV_13Data!$A$1:$DZU$1000000,1042,FALSE)</f>
        <v>#N/A</v>
      </c>
      <c r="E62" s="32" t="e">
        <f>VLOOKUP(A1,DIV_13Data!$A$1:$DZU$1000000,1043,FALSE)</f>
        <v>#N/A</v>
      </c>
      <c r="F62" s="34" t="e">
        <f>VLOOKUP(A1,DIV_13Data!$A$1:$DZU$1000000,1044,FALSE)</f>
        <v>#N/A</v>
      </c>
      <c r="G62" s="33" t="e">
        <f>VLOOKUP(A1,DIV_13Data!$A$1:$DZU$1000000,1045,FALSE)</f>
        <v>#N/A</v>
      </c>
      <c r="H62" s="34" t="e">
        <f>VLOOKUP(A1,DIV_13Data!$A$1:$DZU$1000000,1046,FALSE)</f>
        <v>#N/A</v>
      </c>
      <c r="I62" s="33" t="e">
        <f>VLOOKUP(A1,DIV_13Data!$A$1:$DZU$1000000,1047,FALSE)</f>
        <v>#N/A</v>
      </c>
      <c r="J62" s="34" t="e">
        <f>VLOOKUP(A1,DIV_13Data!$A$1:$DZU$1000000,1048,FALSE)</f>
        <v>#N/A</v>
      </c>
      <c r="K62" s="34" t="e">
        <f>VLOOKUP(A1,DIV_13Data!$A$1:$DZU$1000000,1049,FALSE)</f>
        <v>#N/A</v>
      </c>
      <c r="L62" s="93" t="e">
        <f>VLOOKUP(A1,DIV_13Data!$A$1:$DZU$1000000,1050,FALSE)</f>
        <v>#N/A</v>
      </c>
      <c r="M62" s="33" t="e">
        <f>VLOOKUP(A1,DIV_13Data!$A$1:$DZU$1000000,1051,FALSE)</f>
        <v>#N/A</v>
      </c>
      <c r="N62" s="34" t="e">
        <f>VLOOKUP(A1,DIV_13Data!$A$1:$DZU$1000000,1052,FALSE)</f>
        <v>#N/A</v>
      </c>
      <c r="O62" s="33" t="e">
        <f>VLOOKUP(A1,DIV_13Data!$A$1:$DZU$1000000,1053,FALSE)</f>
        <v>#N/A</v>
      </c>
      <c r="P62" s="46" t="e">
        <f>VLOOKUP(A1,DIV_13Data!$A$1:$DZU$1000000,1054,FALSE)</f>
        <v>#N/A</v>
      </c>
      <c r="Q62" s="33" t="e">
        <f>VLOOKUP(A1,DIV_13Data!$A$1:$DZU$1000000,1055,FALSE)</f>
        <v>#N/A</v>
      </c>
    </row>
    <row r="63" spans="1:17" x14ac:dyDescent="0.35">
      <c r="A63" s="22" t="e">
        <f>VLOOKUP(A1,DIV_13Data!$A$1:$DZU$1000000,1056,FALSE)</f>
        <v>#N/A</v>
      </c>
      <c r="B63" s="37" t="e">
        <f>VLOOKUP(A1,DIV_13Data!$A$1:$DZU$1000000,1057,FALSE)</f>
        <v>#N/A</v>
      </c>
      <c r="C63" s="38" t="e">
        <f>VLOOKUP(A1,DIV_13Data!$A$1:$DZU$1000000,1058,FALSE)</f>
        <v>#N/A</v>
      </c>
      <c r="D63" s="31" t="e">
        <f>VLOOKUP(A1,DIV_13Data!$A$1:$DZU$1000000,1059,FALSE)</f>
        <v>#N/A</v>
      </c>
      <c r="E63" s="32" t="e">
        <f>VLOOKUP(A1,DIV_13Data!$A$1:$DZU$1000000,1060,FALSE)</f>
        <v>#N/A</v>
      </c>
      <c r="F63" s="34" t="e">
        <f>VLOOKUP(A1,DIV_13Data!$A$1:$DZU$1000000,1061,FALSE)</f>
        <v>#N/A</v>
      </c>
      <c r="G63" s="33" t="e">
        <f>VLOOKUP(A1,DIV_13Data!$A$1:$DZU$1000000,1062,FALSE)</f>
        <v>#N/A</v>
      </c>
      <c r="H63" s="34" t="e">
        <f>VLOOKUP(A1,DIV_13Data!$A$1:$DZU$1000000,1063,FALSE)</f>
        <v>#N/A</v>
      </c>
      <c r="I63" s="33" t="e">
        <f>VLOOKUP(A1,DIV_13Data!$A$1:$DZU$1000000,1064,FALSE)</f>
        <v>#N/A</v>
      </c>
      <c r="J63" s="34" t="e">
        <f>VLOOKUP(A1,DIV_13Data!$A$1:$DZU$1000000,1065,FALSE)</f>
        <v>#N/A</v>
      </c>
      <c r="K63" s="34" t="e">
        <f>VLOOKUP(A1,DIV_13Data!$A$1:$DZU$1000000,1066,FALSE)</f>
        <v>#N/A</v>
      </c>
      <c r="L63" s="93" t="e">
        <f>VLOOKUP(A1,DIV_13Data!$A$1:$DZU$1000000,1067,FALSE)</f>
        <v>#N/A</v>
      </c>
      <c r="M63" s="33" t="e">
        <f>VLOOKUP(A1,DIV_13Data!$A$1:$DZU$1000000,1068,FALSE)</f>
        <v>#N/A</v>
      </c>
      <c r="N63" s="34" t="e">
        <f>VLOOKUP(A1,DIV_13Data!$A$1:$DZU$1000000,1069,FALSE)</f>
        <v>#N/A</v>
      </c>
      <c r="O63" s="33" t="e">
        <f>VLOOKUP(A1,DIV_13Data!$A$1:$DZU$1000000,1070,FALSE)</f>
        <v>#N/A</v>
      </c>
      <c r="P63" s="46" t="e">
        <f>VLOOKUP(A1,DIV_13Data!$A$1:$DZU$1000000,1071,FALSE)</f>
        <v>#N/A</v>
      </c>
      <c r="Q63" s="33" t="e">
        <f>VLOOKUP(A1,DIV_13Data!$A$1:$DZU$1000000,1072,FALSE)</f>
        <v>#N/A</v>
      </c>
    </row>
    <row r="64" spans="1:17" x14ac:dyDescent="0.35">
      <c r="A64" s="22" t="e">
        <f>VLOOKUP(A1,DIV_13Data!$A$1:$DZU$1000000,1073,FALSE)</f>
        <v>#N/A</v>
      </c>
      <c r="B64" s="37" t="e">
        <f>VLOOKUP(A1,DIV_13Data!$A$1:$DZU$1000000,1074,FALSE)</f>
        <v>#N/A</v>
      </c>
      <c r="C64" s="38" t="e">
        <f>VLOOKUP(A1,DIV_13Data!$A$1:$DZU$1000000,1075,FALSE)</f>
        <v>#N/A</v>
      </c>
      <c r="D64" s="31" t="e">
        <f>VLOOKUP(A1,DIV_13Data!$A$1:$DZU$1000000,1076,FALSE)</f>
        <v>#N/A</v>
      </c>
      <c r="E64" s="32" t="e">
        <f>VLOOKUP(A1,DIV_13Data!$A$1:$DZU$1000000,1077,FALSE)</f>
        <v>#N/A</v>
      </c>
      <c r="F64" s="34" t="e">
        <f>VLOOKUP(A1,DIV_13Data!$A$1:$DZU$1000000,1078,FALSE)</f>
        <v>#N/A</v>
      </c>
      <c r="G64" s="33" t="e">
        <f>VLOOKUP(A1,DIV_13Data!$A$1:$DZU$1000000,1079,FALSE)</f>
        <v>#N/A</v>
      </c>
      <c r="H64" s="34" t="e">
        <f>VLOOKUP(A1,DIV_13Data!$A$1:$DZU$1000000,1080,FALSE)</f>
        <v>#N/A</v>
      </c>
      <c r="I64" s="33" t="e">
        <f>VLOOKUP(A1,DIV_13Data!$A$1:$DZU$1000000,1081,FALSE)</f>
        <v>#N/A</v>
      </c>
      <c r="J64" s="34" t="e">
        <f>VLOOKUP(A1,DIV_13Data!$A$1:$DZU$1000000,1082,FALSE)</f>
        <v>#N/A</v>
      </c>
      <c r="K64" s="34" t="e">
        <f>VLOOKUP(A1,DIV_13Data!$A$1:$DZU$1000000,1083,FALSE)</f>
        <v>#N/A</v>
      </c>
      <c r="L64" s="93" t="e">
        <f>VLOOKUP(A1,DIV_13Data!$A$1:$DZU$1000000,1084,FALSE)</f>
        <v>#N/A</v>
      </c>
      <c r="M64" s="33" t="e">
        <f>VLOOKUP(A1,DIV_13Data!$A$1:$DZU$1000000,1085,FALSE)</f>
        <v>#N/A</v>
      </c>
      <c r="N64" s="34" t="e">
        <f>VLOOKUP(A1,DIV_13Data!$A$1:$DZU$1000000,1086,FALSE)</f>
        <v>#N/A</v>
      </c>
      <c r="O64" s="33" t="e">
        <f>VLOOKUP(A1,DIV_13Data!$A$1:$DZU$1000000,1087,FALSE)</f>
        <v>#N/A</v>
      </c>
      <c r="P64" s="46" t="e">
        <f>VLOOKUP(A1,DIV_13Data!$A$1:$DZU$1000000,1088,FALSE)</f>
        <v>#N/A</v>
      </c>
      <c r="Q64" s="33" t="e">
        <f>VLOOKUP(A1,DIV_13Data!$A$1:$DZU$1000000,1089,FALSE)</f>
        <v>#N/A</v>
      </c>
    </row>
    <row r="65" spans="1:17" x14ac:dyDescent="0.35">
      <c r="A65" s="22" t="e">
        <f>VLOOKUP(A1,DIV_13Data!$A$1:$DZU$1000000,1090,FALSE)</f>
        <v>#N/A</v>
      </c>
      <c r="B65" s="37" t="e">
        <f>VLOOKUP(A1,DIV_13Data!$A$1:$DZU$1000000,1091,FALSE)</f>
        <v>#N/A</v>
      </c>
      <c r="C65" s="38" t="e">
        <f>VLOOKUP(A1,DIV_13Data!$A$1:$DZU$1000000,1092,FALSE)</f>
        <v>#N/A</v>
      </c>
      <c r="D65" s="31" t="e">
        <f>VLOOKUP(A1,DIV_13Data!$A$1:$DZU$1000000,1093,FALSE)</f>
        <v>#N/A</v>
      </c>
      <c r="E65" s="32" t="e">
        <f>VLOOKUP(A1,DIV_13Data!$A$1:$DZU$1000000,1094,FALSE)</f>
        <v>#N/A</v>
      </c>
      <c r="F65" s="34" t="e">
        <f>VLOOKUP(A1,DIV_13Data!$A$1:$DZU$1000000,1095,FALSE)</f>
        <v>#N/A</v>
      </c>
      <c r="G65" s="33" t="e">
        <f>VLOOKUP(A1,DIV_13Data!$A$1:$DZU$1000000,1096,FALSE)</f>
        <v>#N/A</v>
      </c>
      <c r="H65" s="34" t="e">
        <f>VLOOKUP(A1,DIV_13Data!$A$1:$DZU$1000000,1097,FALSE)</f>
        <v>#N/A</v>
      </c>
      <c r="I65" s="33" t="e">
        <f>VLOOKUP(A1,DIV_13Data!$A$1:$DZU$1000000,1098,FALSE)</f>
        <v>#N/A</v>
      </c>
      <c r="J65" s="34" t="e">
        <f>VLOOKUP(A1,DIV_13Data!$A$1:$DZU$1000000,1099,FALSE)</f>
        <v>#N/A</v>
      </c>
      <c r="K65" s="34" t="e">
        <f>VLOOKUP(A1,DIV_13Data!$A$1:$DZU$1000000,1100,FALSE)</f>
        <v>#N/A</v>
      </c>
      <c r="L65" s="93" t="e">
        <f>VLOOKUP(A1,DIV_13Data!$A$1:$DZU$1000000,1101,FALSE)</f>
        <v>#N/A</v>
      </c>
      <c r="M65" s="33" t="e">
        <f>VLOOKUP(A1,DIV_13Data!$A$1:$DZU$1000000,1102,FALSE)</f>
        <v>#N/A</v>
      </c>
      <c r="N65" s="34" t="e">
        <f>VLOOKUP(A1,DIV_13Data!$A$1:$DZU$1000000,1103,FALSE)</f>
        <v>#N/A</v>
      </c>
      <c r="O65" s="33" t="e">
        <f>VLOOKUP(A1,DIV_13Data!$A$1:$DZU$1000000,1104,FALSE)</f>
        <v>#N/A</v>
      </c>
      <c r="P65" s="46" t="e">
        <f>VLOOKUP(A1,DIV_13Data!$A$1:$DZU$1000000,1105,FALSE)</f>
        <v>#N/A</v>
      </c>
      <c r="Q65" s="33" t="e">
        <f>VLOOKUP(A1,DIV_13Data!$A$1:$DZU$1000000,1106,FALSE)</f>
        <v>#N/A</v>
      </c>
    </row>
    <row r="66" spans="1:17" x14ac:dyDescent="0.35">
      <c r="A66" s="22" t="e">
        <f>VLOOKUP(A1,DIV_13Data!$A$1:$DZU$1000000,1107,FALSE)</f>
        <v>#N/A</v>
      </c>
      <c r="B66" s="37" t="e">
        <f>VLOOKUP(A1,DIV_13Data!$A$1:$DZU$1000000,1108,FALSE)</f>
        <v>#N/A</v>
      </c>
      <c r="C66" s="38" t="e">
        <f>VLOOKUP(A1,DIV_13Data!$A$1:$DZU$1000000,1109,FALSE)</f>
        <v>#N/A</v>
      </c>
      <c r="D66" s="31" t="e">
        <f>VLOOKUP(A1,DIV_13Data!$A$1:$DZU$1000000,1110,FALSE)</f>
        <v>#N/A</v>
      </c>
      <c r="E66" s="32" t="e">
        <f>VLOOKUP(A1,DIV_13Data!$A$1:$DZU$1000000,1111,FALSE)</f>
        <v>#N/A</v>
      </c>
      <c r="F66" s="34" t="e">
        <f>VLOOKUP(A1,DIV_13Data!$A$1:$DZU$1000000,1112,FALSE)</f>
        <v>#N/A</v>
      </c>
      <c r="G66" s="33" t="e">
        <f>VLOOKUP(A1,DIV_13Data!$A$1:$DZU$1000000,1113,FALSE)</f>
        <v>#N/A</v>
      </c>
      <c r="H66" s="34" t="e">
        <f>VLOOKUP(A1,DIV_13Data!$A$1:$DZU$1000000,1114,FALSE)</f>
        <v>#N/A</v>
      </c>
      <c r="I66" s="33" t="e">
        <f>VLOOKUP(A1,DIV_13Data!$A$1:$DZU$1000000,1115,FALSE)</f>
        <v>#N/A</v>
      </c>
      <c r="J66" s="34" t="e">
        <f>VLOOKUP(A1,DIV_13Data!$A$1:$DZU$1000000,1116,FALSE)</f>
        <v>#N/A</v>
      </c>
      <c r="K66" s="34" t="e">
        <f>VLOOKUP(A1,DIV_13Data!$A$1:$DZU$1000000,1117,FALSE)</f>
        <v>#N/A</v>
      </c>
      <c r="L66" s="93" t="e">
        <f>VLOOKUP(A1,DIV_13Data!$A$1:$DZU$1000000,1118,FALSE)</f>
        <v>#N/A</v>
      </c>
      <c r="M66" s="33" t="e">
        <f>VLOOKUP(A1,DIV_13Data!$A$1:$DZU$1000000,1119,FALSE)</f>
        <v>#N/A</v>
      </c>
      <c r="N66" s="34" t="e">
        <f>VLOOKUP(A1,DIV_13Data!$A$1:$DZU$1000000,1120,FALSE)</f>
        <v>#N/A</v>
      </c>
      <c r="O66" s="33" t="e">
        <f>VLOOKUP(A1,DIV_13Data!$A$1:$DZU$1000000,1121,FALSE)</f>
        <v>#N/A</v>
      </c>
      <c r="P66" s="46" t="e">
        <f>VLOOKUP(A1,DIV_13Data!$A$1:$DZU$1000000,1122,FALSE)</f>
        <v>#N/A</v>
      </c>
      <c r="Q66" s="33" t="e">
        <f>VLOOKUP(A1,DIV_13Data!$A$1:$DZU$1000000,1123,FALSE)</f>
        <v>#N/A</v>
      </c>
    </row>
    <row r="67" spans="1:17" x14ac:dyDescent="0.35">
      <c r="A67" s="22" t="e">
        <f>VLOOKUP(A1,DIV_13Data!$A$1:$DZU$1000000,1124,FALSE)</f>
        <v>#N/A</v>
      </c>
      <c r="B67" s="37" t="e">
        <f>VLOOKUP(A1,DIV_13Data!$A$1:$DZU$1000000,1125,FALSE)</f>
        <v>#N/A</v>
      </c>
      <c r="C67" s="38" t="e">
        <f>VLOOKUP(A1,DIV_13Data!$A$1:$DZU$1000000,1126,FALSE)</f>
        <v>#N/A</v>
      </c>
      <c r="D67" s="31" t="e">
        <f>VLOOKUP(A1,DIV_13Data!$A$1:$DZU$1000000,1127,FALSE)</f>
        <v>#N/A</v>
      </c>
      <c r="E67" s="32" t="e">
        <f>VLOOKUP(A1,DIV_13Data!$A$1:$DZU$1000000,1128,FALSE)</f>
        <v>#N/A</v>
      </c>
      <c r="F67" s="34" t="e">
        <f>VLOOKUP(A1,DIV_13Data!$A$1:$DZU$1000000,1129,FALSE)</f>
        <v>#N/A</v>
      </c>
      <c r="G67" s="33" t="e">
        <f>VLOOKUP(A1,DIV_13Data!$A$1:$DZU$1000000,1130,FALSE)</f>
        <v>#N/A</v>
      </c>
      <c r="H67" s="34" t="e">
        <f>VLOOKUP(A1,DIV_13Data!$A$1:$DZU$1000000,1131,FALSE)</f>
        <v>#N/A</v>
      </c>
      <c r="I67" s="33" t="e">
        <f>VLOOKUP(A1,DIV_13Data!$A$1:$DZU$1000000,1132,FALSE)</f>
        <v>#N/A</v>
      </c>
      <c r="J67" s="34" t="e">
        <f>VLOOKUP(A1,DIV_13Data!$A$1:$DZU$1000000,1133,FALSE)</f>
        <v>#N/A</v>
      </c>
      <c r="K67" s="34" t="e">
        <f>VLOOKUP(A1,DIV_13Data!$A$1:$DZU$1000000,1134,FALSE)</f>
        <v>#N/A</v>
      </c>
      <c r="L67" s="93" t="e">
        <f>VLOOKUP(A1,DIV_13Data!$A$1:$DZU$1000000,1135,FALSE)</f>
        <v>#N/A</v>
      </c>
      <c r="M67" s="33" t="e">
        <f>VLOOKUP(A1,DIV_13Data!$A$1:$DZU$1000000,1136,FALSE)</f>
        <v>#N/A</v>
      </c>
      <c r="N67" s="34" t="e">
        <f>VLOOKUP(A1,DIV_13Data!$A$1:$DZU$1000000,1137,FALSE)</f>
        <v>#N/A</v>
      </c>
      <c r="O67" s="33" t="e">
        <f>VLOOKUP(A1,DIV_13Data!$A$1:$DZU$1000000,1138,FALSE)</f>
        <v>#N/A</v>
      </c>
      <c r="P67" s="46" t="e">
        <f>VLOOKUP(A1,DIV_13Data!$A$1:$DZU$1000000,1139,FALSE)</f>
        <v>#N/A</v>
      </c>
      <c r="Q67" s="33" t="e">
        <f>VLOOKUP(A1,DIV_13Data!$A$1:$DZU$1000000,1140,FALSE)</f>
        <v>#N/A</v>
      </c>
    </row>
    <row r="68" spans="1:17" x14ac:dyDescent="0.35">
      <c r="A68" s="22" t="e">
        <f>VLOOKUP(A1,DIV_13Data!$A$1:$DZU$1000000,1141,FALSE)</f>
        <v>#N/A</v>
      </c>
      <c r="B68" s="37" t="e">
        <f>VLOOKUP(A1,DIV_13Data!$A$1:$DZU$1000000,1142,FALSE)</f>
        <v>#N/A</v>
      </c>
      <c r="C68" s="38" t="e">
        <f>VLOOKUP(A1,DIV_13Data!$A$1:$DZU$1000000,1143,FALSE)</f>
        <v>#N/A</v>
      </c>
      <c r="D68" s="31" t="e">
        <f>VLOOKUP(A1,DIV_13Data!$A$1:$DZU$1000000,1144,FALSE)</f>
        <v>#N/A</v>
      </c>
      <c r="E68" s="32" t="e">
        <f>VLOOKUP(A1,DIV_13Data!$A$1:$DZU$1000000,1145,FALSE)</f>
        <v>#N/A</v>
      </c>
      <c r="F68" s="34" t="e">
        <f>VLOOKUP(A1,DIV_13Data!$A$1:$DZU$1000000,1146,FALSE)</f>
        <v>#N/A</v>
      </c>
      <c r="G68" s="33" t="e">
        <f>VLOOKUP(A1,DIV_13Data!$A$1:$DZU$1000000,1147,FALSE)</f>
        <v>#N/A</v>
      </c>
      <c r="H68" s="34" t="e">
        <f>VLOOKUP(A1,DIV_13Data!$A$1:$DZU$1000000,1148,FALSE)</f>
        <v>#N/A</v>
      </c>
      <c r="I68" s="33" t="e">
        <f>VLOOKUP(A1,DIV_13Data!$A$1:$DZU$1000000,1149,FALSE)</f>
        <v>#N/A</v>
      </c>
      <c r="J68" s="34" t="e">
        <f>VLOOKUP(A1,DIV_13Data!$A$1:$DZU$1000000,1150,FALSE)</f>
        <v>#N/A</v>
      </c>
      <c r="K68" s="34" t="e">
        <f>VLOOKUP(A1,DIV_13Data!$A$1:$DZU$1000000,1151,FALSE)</f>
        <v>#N/A</v>
      </c>
      <c r="L68" s="93" t="e">
        <f>VLOOKUP(A1,DIV_13Data!$A$1:$DZU$1000000,1152,FALSE)</f>
        <v>#N/A</v>
      </c>
      <c r="M68" s="33" t="e">
        <f>VLOOKUP(A1,DIV_13Data!$A$1:$DZU$1000000,1153,FALSE)</f>
        <v>#N/A</v>
      </c>
      <c r="N68" s="34" t="e">
        <f>VLOOKUP(A1,DIV_13Data!$A$1:$DZU$1000000,1154,FALSE)</f>
        <v>#N/A</v>
      </c>
      <c r="O68" s="33" t="e">
        <f>VLOOKUP(A1,DIV_13Data!$A$1:$DZU$1000000,1155,FALSE)</f>
        <v>#N/A</v>
      </c>
      <c r="P68" s="46" t="e">
        <f>VLOOKUP(A1,DIV_13Data!$A$1:$DZU$1000000,1156,FALSE)</f>
        <v>#N/A</v>
      </c>
      <c r="Q68" s="33" t="e">
        <f>VLOOKUP(A1,DIV_13Data!$A$1:$DZU$1000000,1157,FALSE)</f>
        <v>#N/A</v>
      </c>
    </row>
    <row r="69" spans="1:17" x14ac:dyDescent="0.35">
      <c r="A69" s="22" t="e">
        <f>VLOOKUP(A1,DIV_13Data!$A$1:$DZU$1000000,1158,FALSE)</f>
        <v>#N/A</v>
      </c>
      <c r="B69" s="37" t="e">
        <f>VLOOKUP(A1,DIV_13Data!$A$1:$DZU$1000000,1159,FALSE)</f>
        <v>#N/A</v>
      </c>
      <c r="C69" s="38" t="e">
        <f>VLOOKUP(A1,DIV_13Data!$A$1:$DZU$1000000,1160,FALSE)</f>
        <v>#N/A</v>
      </c>
      <c r="D69" s="31" t="e">
        <f>VLOOKUP(A1,DIV_13Data!$A$1:$DZU$1000000,1161,FALSE)</f>
        <v>#N/A</v>
      </c>
      <c r="E69" s="32" t="e">
        <f>VLOOKUP(A1,DIV_13Data!$A$1:$DZU$1000000,1162,FALSE)</f>
        <v>#N/A</v>
      </c>
      <c r="F69" s="34" t="e">
        <f>VLOOKUP(A1,DIV_13Data!$A$1:$DZU$1000000,1163,FALSE)</f>
        <v>#N/A</v>
      </c>
      <c r="G69" s="33" t="e">
        <f>VLOOKUP(A1,DIV_13Data!$A$1:$DZU$1000000,1164,FALSE)</f>
        <v>#N/A</v>
      </c>
      <c r="H69" s="34" t="e">
        <f>VLOOKUP(A1,DIV_13Data!$A$1:$DZU$1000000,1165,FALSE)</f>
        <v>#N/A</v>
      </c>
      <c r="I69" s="33" t="e">
        <f>VLOOKUP(A1,DIV_13Data!$A$1:$DZU$1000000,1166,FALSE)</f>
        <v>#N/A</v>
      </c>
      <c r="J69" s="34" t="e">
        <f>VLOOKUP(A1,DIV_13Data!$A$1:$DZU$1000000,1167,FALSE)</f>
        <v>#N/A</v>
      </c>
      <c r="K69" s="34" t="e">
        <f>VLOOKUP(A1,DIV_13Data!$A$1:$DZU$1000000,1168,FALSE)</f>
        <v>#N/A</v>
      </c>
      <c r="L69" s="93" t="e">
        <f>VLOOKUP(A1,DIV_13Data!$A$1:$DZU$1000000,1169,FALSE)</f>
        <v>#N/A</v>
      </c>
      <c r="M69" s="33" t="e">
        <f>VLOOKUP(A1,DIV_13Data!$A$1:$DZU$1000000,1170,FALSE)</f>
        <v>#N/A</v>
      </c>
      <c r="N69" s="34" t="e">
        <f>VLOOKUP(A1,DIV_13Data!$A$1:$DZU$1000000,1171,FALSE)</f>
        <v>#N/A</v>
      </c>
      <c r="O69" s="33" t="e">
        <f>VLOOKUP(A1,DIV_13Data!$A$1:$DZU$1000000,1172,FALSE)</f>
        <v>#N/A</v>
      </c>
      <c r="P69" s="46" t="e">
        <f>VLOOKUP(A1,DIV_13Data!$A$1:$DZU$1000000,1173,FALSE)</f>
        <v>#N/A</v>
      </c>
      <c r="Q69" s="33" t="e">
        <f>VLOOKUP(A1,DIV_13Data!$A$1:$DZU$1000000,1174,FALSE)</f>
        <v>#N/A</v>
      </c>
    </row>
    <row r="70" spans="1:17" x14ac:dyDescent="0.35">
      <c r="A70" s="22" t="e">
        <f>VLOOKUP(A1,DIV_13Data!$A$1:$DZU$1000000,1175,FALSE)</f>
        <v>#N/A</v>
      </c>
      <c r="B70" s="37" t="e">
        <f>VLOOKUP(A1,DIV_13Data!$A$1:$DZU$1000000,1176,FALSE)</f>
        <v>#N/A</v>
      </c>
      <c r="C70" s="38" t="e">
        <f>VLOOKUP(A1,DIV_13Data!$A$1:$DZU$1000000,1177,FALSE)</f>
        <v>#N/A</v>
      </c>
      <c r="D70" s="31" t="e">
        <f>VLOOKUP(A1,DIV_13Data!$A$1:$DZU$1000000,1178,FALSE)</f>
        <v>#N/A</v>
      </c>
      <c r="E70" s="32" t="e">
        <f>VLOOKUP(A1,DIV_13Data!$A$1:$DZU$1000000,1179,FALSE)</f>
        <v>#N/A</v>
      </c>
      <c r="F70" s="34" t="e">
        <f>VLOOKUP(A1,DIV_13Data!$A$1:$DZU$1000000,1180,FALSE)</f>
        <v>#N/A</v>
      </c>
      <c r="G70" s="33" t="e">
        <f>VLOOKUP(A1,DIV_13Data!$A$1:$DZU$1000000,1181,FALSE)</f>
        <v>#N/A</v>
      </c>
      <c r="H70" s="34" t="e">
        <f>VLOOKUP(A1,DIV_13Data!$A$1:$DZU$1000000,1182,FALSE)</f>
        <v>#N/A</v>
      </c>
      <c r="I70" s="33" t="e">
        <f>VLOOKUP(A1,DIV_13Data!$A$1:$DZU$1000000,1183,FALSE)</f>
        <v>#N/A</v>
      </c>
      <c r="J70" s="34" t="e">
        <f>VLOOKUP(A1,DIV_13Data!$A$1:$DZU$1000000,1184,FALSE)</f>
        <v>#N/A</v>
      </c>
      <c r="K70" s="34" t="e">
        <f>VLOOKUP(A1,DIV_13Data!$A$1:$DZU$1000000,1185,FALSE)</f>
        <v>#N/A</v>
      </c>
      <c r="L70" s="93" t="e">
        <f>VLOOKUP(A1,DIV_13Data!$A$1:$DZU$1000000,1186,FALSE)</f>
        <v>#N/A</v>
      </c>
      <c r="M70" s="33" t="e">
        <f>VLOOKUP(A1,DIV_13Data!$A$1:$DZU$1000000,1187,FALSE)</f>
        <v>#N/A</v>
      </c>
      <c r="N70" s="34" t="e">
        <f>VLOOKUP(A1,DIV_13Data!$A$1:$DZU$1000000,1188,FALSE)</f>
        <v>#N/A</v>
      </c>
      <c r="O70" s="33" t="e">
        <f>VLOOKUP(A1,DIV_13Data!$A$1:$DZU$1000000,1189,FALSE)</f>
        <v>#N/A</v>
      </c>
      <c r="P70" s="46" t="e">
        <f>VLOOKUP(A1,DIV_13Data!$A$1:$DZU$1000000,1190,FALSE)</f>
        <v>#N/A</v>
      </c>
      <c r="Q70" s="33" t="e">
        <f>VLOOKUP(A1,DIV_13Data!$A$1:$DZU$1000000,1191,FALSE)</f>
        <v>#N/A</v>
      </c>
    </row>
    <row r="71" spans="1:17" x14ac:dyDescent="0.35">
      <c r="A71" s="22" t="e">
        <f>VLOOKUP(A1,DIV_13Data!$A$1:$DZU$1000000,1192,FALSE)</f>
        <v>#N/A</v>
      </c>
      <c r="B71" s="37" t="e">
        <f>VLOOKUP(A1,DIV_13Data!$A$1:$DZU$1000000,1193,FALSE)</f>
        <v>#N/A</v>
      </c>
      <c r="C71" s="38" t="e">
        <f>VLOOKUP(A1,DIV_13Data!$A$1:$DZU$1000000,1194,FALSE)</f>
        <v>#N/A</v>
      </c>
      <c r="D71" s="31" t="e">
        <f>VLOOKUP(A1,DIV_13Data!$A$1:$DZU$1000000,1195,FALSE)</f>
        <v>#N/A</v>
      </c>
      <c r="E71" s="32" t="e">
        <f>VLOOKUP(A1,DIV_13Data!$A$1:$DZU$1000000,1196,FALSE)</f>
        <v>#N/A</v>
      </c>
      <c r="F71" s="34" t="e">
        <f>VLOOKUP(A1,DIV_13Data!$A$1:$DZU$1000000,1197,FALSE)</f>
        <v>#N/A</v>
      </c>
      <c r="G71" s="33" t="e">
        <f>VLOOKUP(A1,DIV_13Data!$A$1:$DZU$1000000,1198,FALSE)</f>
        <v>#N/A</v>
      </c>
      <c r="H71" s="34" t="e">
        <f>VLOOKUP(A1,DIV_13Data!$A$1:$DZU$1000000,1199,FALSE)</f>
        <v>#N/A</v>
      </c>
      <c r="I71" s="33" t="e">
        <f>VLOOKUP(A1,DIV_13Data!$A$1:$DZU$1000000,1200,FALSE)</f>
        <v>#N/A</v>
      </c>
      <c r="J71" s="34" t="e">
        <f>VLOOKUP(A1,DIV_13Data!$A$1:$DZU$1000000,1201,FALSE)</f>
        <v>#N/A</v>
      </c>
      <c r="K71" s="34" t="e">
        <f>VLOOKUP(A1,DIV_13Data!$A$1:$DZU$1000000,1202,FALSE)</f>
        <v>#N/A</v>
      </c>
      <c r="L71" s="93" t="e">
        <f>VLOOKUP(A1,DIV_13Data!$A$1:$DZU$1000000,1203,FALSE)</f>
        <v>#N/A</v>
      </c>
      <c r="M71" s="33" t="e">
        <f>VLOOKUP(A1,DIV_13Data!$A$1:$DZU$1000000,1204,FALSE)</f>
        <v>#N/A</v>
      </c>
      <c r="N71" s="34" t="e">
        <f>VLOOKUP(A1,DIV_13Data!$A$1:$DZU$1000000,1205,FALSE)</f>
        <v>#N/A</v>
      </c>
      <c r="O71" s="33" t="e">
        <f>VLOOKUP(A1,DIV_13Data!$A$1:$DZU$1000000,1206,FALSE)</f>
        <v>#N/A</v>
      </c>
      <c r="P71" s="46" t="e">
        <f>VLOOKUP(A1,DIV_13Data!$A$1:$DZU$1000000,1207,FALSE)</f>
        <v>#N/A</v>
      </c>
      <c r="Q71" s="33" t="e">
        <f>VLOOKUP(A1,DIV_13Data!$A$1:$DZU$1000000,1208,FALSE)</f>
        <v>#N/A</v>
      </c>
    </row>
    <row r="72" spans="1:17" x14ac:dyDescent="0.35">
      <c r="A72" s="22" t="e">
        <f>VLOOKUP(A1,DIV_13Data!$A$1:$DZU$1000000,1209,FALSE)</f>
        <v>#N/A</v>
      </c>
      <c r="B72" s="37" t="e">
        <f>VLOOKUP(A1,DIV_13Data!$A$1:$DZU$1000000,1210,FALSE)</f>
        <v>#N/A</v>
      </c>
      <c r="C72" s="38" t="e">
        <f>VLOOKUP(A1,DIV_13Data!$A$1:$DZU$1000000,1211,FALSE)</f>
        <v>#N/A</v>
      </c>
      <c r="D72" s="31" t="e">
        <f>VLOOKUP(A1,DIV_13Data!$A$1:$DZU$1000000,1212,FALSE)</f>
        <v>#N/A</v>
      </c>
      <c r="E72" s="32" t="e">
        <f>VLOOKUP(A1,DIV_13Data!$A$1:$DZU$1000000,1213,FALSE)</f>
        <v>#N/A</v>
      </c>
      <c r="F72" s="34" t="e">
        <f>VLOOKUP(A1,DIV_13Data!$A$1:$DZU$1000000,1214,FALSE)</f>
        <v>#N/A</v>
      </c>
      <c r="G72" s="33" t="e">
        <f>VLOOKUP(A1,DIV_13Data!$A$1:$DZU$1000000,1215,FALSE)</f>
        <v>#N/A</v>
      </c>
      <c r="H72" s="34" t="e">
        <f>VLOOKUP(A1,DIV_13Data!$A$1:$DZU$1000000,1216,FALSE)</f>
        <v>#N/A</v>
      </c>
      <c r="I72" s="33" t="e">
        <f>VLOOKUP(A1,DIV_13Data!$A$1:$DZU$1000000,1217,FALSE)</f>
        <v>#N/A</v>
      </c>
      <c r="J72" s="34" t="e">
        <f>VLOOKUP(A1,DIV_13Data!$A$1:$DZU$1000000,1218,FALSE)</f>
        <v>#N/A</v>
      </c>
      <c r="K72" s="34" t="e">
        <f>VLOOKUP(A1,DIV_13Data!$A$1:$DZU$1000000,1219,FALSE)</f>
        <v>#N/A</v>
      </c>
      <c r="L72" s="93" t="e">
        <f>VLOOKUP(A1,DIV_13Data!$A$1:$DZU$1000000,1220,FALSE)</f>
        <v>#N/A</v>
      </c>
      <c r="M72" s="33" t="e">
        <f>VLOOKUP(A1,DIV_13Data!$A$1:$DZU$1000000,1221,FALSE)</f>
        <v>#N/A</v>
      </c>
      <c r="N72" s="34" t="e">
        <f>VLOOKUP(A1,DIV_13Data!$A$1:$DZU$1000000,1222,FALSE)</f>
        <v>#N/A</v>
      </c>
      <c r="O72" s="33" t="e">
        <f>VLOOKUP(A1,DIV_13Data!$A$1:$DZU$1000000,1223,FALSE)</f>
        <v>#N/A</v>
      </c>
      <c r="P72" s="46" t="e">
        <f>VLOOKUP(A1,DIV_13Data!$A$1:$DZU$1000000,1224,FALSE)</f>
        <v>#N/A</v>
      </c>
      <c r="Q72" s="33" t="e">
        <f>VLOOKUP(A1,DIV_13Data!$A$1:$DZU$1000000,1225,FALSE)</f>
        <v>#N/A</v>
      </c>
    </row>
    <row r="73" spans="1:17" x14ac:dyDescent="0.35">
      <c r="A73" s="22" t="e">
        <f>VLOOKUP(A1,DIV_13Data!$A$1:$DZU$1000000,1226,FALSE)</f>
        <v>#N/A</v>
      </c>
      <c r="B73" s="37" t="e">
        <f>VLOOKUP(A1,DIV_13Data!$A$1:$DZU$1000000,1227,FALSE)</f>
        <v>#N/A</v>
      </c>
      <c r="C73" s="38" t="e">
        <f>VLOOKUP(A1,DIV_13Data!$A$1:$DZU$1000000,1228,FALSE)</f>
        <v>#N/A</v>
      </c>
      <c r="D73" s="31" t="e">
        <f>VLOOKUP(A1,DIV_13Data!$A$1:$DZU$1000000,1229,FALSE)</f>
        <v>#N/A</v>
      </c>
      <c r="E73" s="32" t="e">
        <f>VLOOKUP(A1,DIV_13Data!$A$1:$DZU$1000000,1230,FALSE)</f>
        <v>#N/A</v>
      </c>
      <c r="F73" s="34" t="e">
        <f>VLOOKUP(A1,DIV_13Data!$A$1:$DZU$1000000,1231,FALSE)</f>
        <v>#N/A</v>
      </c>
      <c r="G73" s="33" t="e">
        <f>VLOOKUP(A1,DIV_13Data!$A$1:$DZU$1000000,1232,FALSE)</f>
        <v>#N/A</v>
      </c>
      <c r="H73" s="34" t="e">
        <f>VLOOKUP(A1,DIV_13Data!$A$1:$DZU$1000000,1233,FALSE)</f>
        <v>#N/A</v>
      </c>
      <c r="I73" s="33" t="e">
        <f>VLOOKUP(A1,DIV_13Data!$A$1:$DZU$1000000,1234,FALSE)</f>
        <v>#N/A</v>
      </c>
      <c r="J73" s="34" t="e">
        <f>VLOOKUP(A1,DIV_13Data!$A$1:$DZU$1000000,1235,FALSE)</f>
        <v>#N/A</v>
      </c>
      <c r="K73" s="34" t="e">
        <f>VLOOKUP(A1,DIV_13Data!$A$1:$DZU$1000000,1236,FALSE)</f>
        <v>#N/A</v>
      </c>
      <c r="L73" s="93" t="e">
        <f>VLOOKUP(A1,DIV_13Data!$A$1:$DZU$1000000,1237,FALSE)</f>
        <v>#N/A</v>
      </c>
      <c r="M73" s="33" t="e">
        <f>VLOOKUP(A1,DIV_13Data!$A$1:$DZU$1000000,1238,FALSE)</f>
        <v>#N/A</v>
      </c>
      <c r="N73" s="34" t="e">
        <f>VLOOKUP(A1,DIV_13Data!$A$1:$DZU$1000000,1239,FALSE)</f>
        <v>#N/A</v>
      </c>
      <c r="O73" s="33" t="e">
        <f>VLOOKUP(A1,DIV_13Data!$A$1:$DZU$1000000,1240,FALSE)</f>
        <v>#N/A</v>
      </c>
      <c r="P73" s="46" t="e">
        <f>VLOOKUP(A1,DIV_13Data!$A$1:$DZU$1000000,1241,FALSE)</f>
        <v>#N/A</v>
      </c>
      <c r="Q73" s="33" t="e">
        <f>VLOOKUP(A1,DIV_13Data!$A$1:$DZU$1000000,1242,FALSE)</f>
        <v>#N/A</v>
      </c>
    </row>
    <row r="74" spans="1:17" x14ac:dyDescent="0.35">
      <c r="A74" s="22" t="e">
        <f>VLOOKUP(A1,DIV_13Data!$A$1:$DZU$1000000,1243,FALSE)</f>
        <v>#N/A</v>
      </c>
      <c r="B74" s="37" t="e">
        <f>VLOOKUP(A1,DIV_13Data!$A$1:$DZU$1000000,1244,FALSE)</f>
        <v>#N/A</v>
      </c>
      <c r="C74" s="38" t="e">
        <f>VLOOKUP(A1,DIV_13Data!$A$1:$DZU$1000000,1245,FALSE)</f>
        <v>#N/A</v>
      </c>
      <c r="D74" s="31" t="e">
        <f>VLOOKUP(A1,DIV_13Data!$A$1:$DZU$1000000,1246,FALSE)</f>
        <v>#N/A</v>
      </c>
      <c r="E74" s="32" t="e">
        <f>VLOOKUP(A1,DIV_13Data!$A$1:$DZU$1000000,1247,FALSE)</f>
        <v>#N/A</v>
      </c>
      <c r="F74" s="34" t="e">
        <f>VLOOKUP(A1,DIV_13Data!$A$1:$DZU$1000000,1248,FALSE)</f>
        <v>#N/A</v>
      </c>
      <c r="G74" s="33" t="e">
        <f>VLOOKUP(A1,DIV_13Data!$A$1:$DZU$1000000,1249,FALSE)</f>
        <v>#N/A</v>
      </c>
      <c r="H74" s="34" t="e">
        <f>VLOOKUP(A1,DIV_13Data!$A$1:$DZU$1000000,1250,FALSE)</f>
        <v>#N/A</v>
      </c>
      <c r="I74" s="33" t="e">
        <f>VLOOKUP(A1,DIV_13Data!$A$1:$DZU$1000000,1251,FALSE)</f>
        <v>#N/A</v>
      </c>
      <c r="J74" s="34" t="e">
        <f>VLOOKUP(A1,DIV_13Data!$A$1:$DZU$1000000,1252,FALSE)</f>
        <v>#N/A</v>
      </c>
      <c r="K74" s="34" t="e">
        <f>VLOOKUP(A1,DIV_13Data!$A$1:$DZU$1000000,1253,FALSE)</f>
        <v>#N/A</v>
      </c>
      <c r="L74" s="93" t="e">
        <f>VLOOKUP(A1,DIV_13Data!$A$1:$DZU$1000000,1254,FALSE)</f>
        <v>#N/A</v>
      </c>
      <c r="M74" s="33" t="e">
        <f>VLOOKUP(A1,DIV_13Data!$A$1:$DZU$1000000,1255,FALSE)</f>
        <v>#N/A</v>
      </c>
      <c r="N74" s="34" t="e">
        <f>VLOOKUP(A1,DIV_13Data!$A$1:$DZU$1000000,1256,FALSE)</f>
        <v>#N/A</v>
      </c>
      <c r="O74" s="33" t="e">
        <f>VLOOKUP(A1,DIV_13Data!$A$1:$DZU$1000000,1257,FALSE)</f>
        <v>#N/A</v>
      </c>
      <c r="P74" s="46" t="e">
        <f>VLOOKUP(A1,DIV_13Data!$A$1:$DZU$1000000,1258,FALSE)</f>
        <v>#N/A</v>
      </c>
      <c r="Q74" s="33" t="e">
        <f>VLOOKUP(A1,DIV_13Data!$A$1:$DZU$1000000,1259,FALSE)</f>
        <v>#N/A</v>
      </c>
    </row>
    <row r="75" spans="1:17" x14ac:dyDescent="0.35">
      <c r="A75" s="22" t="e">
        <f>VLOOKUP(A1,DIV_13Data!$A$1:$DZU$1000000,1260,FALSE)</f>
        <v>#N/A</v>
      </c>
      <c r="B75" s="37" t="e">
        <f>VLOOKUP(A1,DIV_13Data!$A$1:$DZU$1000000,1261,FALSE)</f>
        <v>#N/A</v>
      </c>
      <c r="C75" s="38" t="e">
        <f>VLOOKUP(A1,DIV_13Data!$A$1:$DZU$1000000,1262,FALSE)</f>
        <v>#N/A</v>
      </c>
      <c r="D75" s="31" t="e">
        <f>VLOOKUP(A1,DIV_13Data!$A$1:$DZU$1000000,1263,FALSE)</f>
        <v>#N/A</v>
      </c>
      <c r="E75" s="32" t="e">
        <f>VLOOKUP(A1,DIV_13Data!$A$1:$DZU$1000000,1264,FALSE)</f>
        <v>#N/A</v>
      </c>
      <c r="F75" s="34" t="e">
        <f>VLOOKUP(A1,DIV_13Data!$A$1:$DZU$1000000,1265,FALSE)</f>
        <v>#N/A</v>
      </c>
      <c r="G75" s="33" t="e">
        <f>VLOOKUP(A1,DIV_13Data!$A$1:$DZU$1000000,1266,FALSE)</f>
        <v>#N/A</v>
      </c>
      <c r="H75" s="34" t="e">
        <f>VLOOKUP(A1,DIV_13Data!$A$1:$DZU$1000000,1267,FALSE)</f>
        <v>#N/A</v>
      </c>
      <c r="I75" s="33" t="e">
        <f>VLOOKUP(A1,DIV_13Data!$A$1:$DZU$1000000,1268,FALSE)</f>
        <v>#N/A</v>
      </c>
      <c r="J75" s="34" t="e">
        <f>VLOOKUP(A1,DIV_13Data!$A$1:$DZU$1000000,1269,FALSE)</f>
        <v>#N/A</v>
      </c>
      <c r="K75" s="34" t="e">
        <f>VLOOKUP(A1,DIV_13Data!$A$1:$DZU$1000000,1270,FALSE)</f>
        <v>#N/A</v>
      </c>
      <c r="L75" s="93" t="e">
        <f>VLOOKUP(A1,DIV_13Data!$A$1:$DZU$1000000,1271,FALSE)</f>
        <v>#N/A</v>
      </c>
      <c r="M75" s="33" t="e">
        <f>VLOOKUP(A1,DIV_13Data!$A$1:$DZU$1000000,1272,FALSE)</f>
        <v>#N/A</v>
      </c>
      <c r="N75" s="34" t="e">
        <f>VLOOKUP(A1,DIV_13Data!$A$1:$DZU$1000000,1273,FALSE)</f>
        <v>#N/A</v>
      </c>
      <c r="O75" s="33" t="e">
        <f>VLOOKUP(A1,DIV_13Data!$A$1:$DZU$1000000,1274,FALSE)</f>
        <v>#N/A</v>
      </c>
      <c r="P75" s="46" t="e">
        <f>VLOOKUP(A1,DIV_13Data!$A$1:$DZU$1000000,1275,FALSE)</f>
        <v>#N/A</v>
      </c>
      <c r="Q75" s="33" t="e">
        <f>VLOOKUP(A1,DIV_13Data!$A$1:$DZU$1000000,1276,FALSE)</f>
        <v>#N/A</v>
      </c>
    </row>
    <row r="76" spans="1:17" x14ac:dyDescent="0.35">
      <c r="A76" s="22" t="e">
        <f>VLOOKUP(A1,DIV_13Data!$A$1:$DZU$1000000,1277,FALSE)</f>
        <v>#N/A</v>
      </c>
      <c r="B76" s="37" t="e">
        <f>VLOOKUP(A1,DIV_13Data!$A$1:$DZU$1000000,1278,FALSE)</f>
        <v>#N/A</v>
      </c>
      <c r="C76" s="38" t="e">
        <f>VLOOKUP(A1,DIV_13Data!$A$1:$DZU$1000000,1279,FALSE)</f>
        <v>#N/A</v>
      </c>
      <c r="D76" s="31" t="e">
        <f>VLOOKUP(A1,DIV_13Data!$A$1:$DZU$1000000,1280,FALSE)</f>
        <v>#N/A</v>
      </c>
      <c r="E76" s="32" t="e">
        <f>VLOOKUP(A1,DIV_13Data!$A$1:$DZU$1000000,1281,FALSE)</f>
        <v>#N/A</v>
      </c>
      <c r="F76" s="34" t="e">
        <f>VLOOKUP(A1,DIV_13Data!$A$1:$DZU$1000000,1282,FALSE)</f>
        <v>#N/A</v>
      </c>
      <c r="G76" s="33" t="e">
        <f>VLOOKUP(A1,DIV_13Data!$A$1:$DZU$1000000,1283,FALSE)</f>
        <v>#N/A</v>
      </c>
      <c r="H76" s="34" t="e">
        <f>VLOOKUP(A1,DIV_13Data!$A$1:$DZU$1000000,1284,FALSE)</f>
        <v>#N/A</v>
      </c>
      <c r="I76" s="33" t="e">
        <f>VLOOKUP(A1,DIV_13Data!$A$1:$DZU$1000000,1285,FALSE)</f>
        <v>#N/A</v>
      </c>
      <c r="J76" s="34" t="e">
        <f>VLOOKUP(A1,DIV_13Data!$A$1:$DZU$1000000,1286,FALSE)</f>
        <v>#N/A</v>
      </c>
      <c r="K76" s="34" t="e">
        <f>VLOOKUP(A1,DIV_13Data!$A$1:$DZU$1000000,1287,FALSE)</f>
        <v>#N/A</v>
      </c>
      <c r="L76" s="93" t="e">
        <f>VLOOKUP(A1,DIV_13Data!$A$1:$DZU$1000000,1288,FALSE)</f>
        <v>#N/A</v>
      </c>
      <c r="M76" s="33" t="e">
        <f>VLOOKUP(A1,DIV_13Data!$A$1:$DZU$1000000,1289,FALSE)</f>
        <v>#N/A</v>
      </c>
      <c r="N76" s="34" t="e">
        <f>VLOOKUP(A1,DIV_13Data!$A$1:$DZU$1000000,1290,FALSE)</f>
        <v>#N/A</v>
      </c>
      <c r="O76" s="33" t="e">
        <f>VLOOKUP(A1,DIV_13Data!$A$1:$DZU$1000000,1291,FALSE)</f>
        <v>#N/A</v>
      </c>
      <c r="P76" s="46" t="e">
        <f>VLOOKUP(A1,DIV_13Data!$A$1:$DZU$1000000,1292,FALSE)</f>
        <v>#N/A</v>
      </c>
      <c r="Q76" s="33" t="e">
        <f>VLOOKUP(A1,DIV_13Data!$A$1:$DZU$1000000,1293,FALSE)</f>
        <v>#N/A</v>
      </c>
    </row>
    <row r="77" spans="1:17" x14ac:dyDescent="0.35">
      <c r="A77" s="22" t="e">
        <f>VLOOKUP(A1,DIV_13Data!$A$1:$DZU$1000000,1294,FALSE)</f>
        <v>#N/A</v>
      </c>
      <c r="B77" s="37" t="e">
        <f>VLOOKUP(A1,DIV_13Data!$A$1:$DZU$1000000,1295,FALSE)</f>
        <v>#N/A</v>
      </c>
      <c r="C77" s="38" t="e">
        <f>VLOOKUP(A1,DIV_13Data!$A$1:$DZU$1000000,1296,FALSE)</f>
        <v>#N/A</v>
      </c>
      <c r="D77" s="31" t="e">
        <f>VLOOKUP(A1,DIV_13Data!$A$1:$DZU$1000000,1297,FALSE)</f>
        <v>#N/A</v>
      </c>
      <c r="E77" s="32" t="e">
        <f>VLOOKUP(A1,DIV_13Data!$A$1:$DZU$1000000,1298,FALSE)</f>
        <v>#N/A</v>
      </c>
      <c r="F77" s="34" t="e">
        <f>VLOOKUP(A1,DIV_13Data!$A$1:$DZU$1000000,1299,FALSE)</f>
        <v>#N/A</v>
      </c>
      <c r="G77" s="33" t="e">
        <f>VLOOKUP(A1,DIV_13Data!$A$1:$DZU$1000000,1300,FALSE)</f>
        <v>#N/A</v>
      </c>
      <c r="H77" s="34" t="e">
        <f>VLOOKUP(A1,DIV_13Data!$A$1:$DZU$1000000,1301,FALSE)</f>
        <v>#N/A</v>
      </c>
      <c r="I77" s="33" t="e">
        <f>VLOOKUP(A1,DIV_13Data!$A$1:$DZU$1000000,1302,FALSE)</f>
        <v>#N/A</v>
      </c>
      <c r="J77" s="34" t="e">
        <f>VLOOKUP(A1,DIV_13Data!$A$1:$DZU$1000000,1303,FALSE)</f>
        <v>#N/A</v>
      </c>
      <c r="K77" s="34" t="e">
        <f>VLOOKUP(A1,DIV_13Data!$A$1:$DZU$1000000,1304,FALSE)</f>
        <v>#N/A</v>
      </c>
      <c r="L77" s="93" t="e">
        <f>VLOOKUP(A1,DIV_13Data!$A$1:$DZU$1000000,1305,FALSE)</f>
        <v>#N/A</v>
      </c>
      <c r="M77" s="33" t="e">
        <f>VLOOKUP(A1,DIV_13Data!$A$1:$DZU$1000000,1306,FALSE)</f>
        <v>#N/A</v>
      </c>
      <c r="N77" s="34" t="e">
        <f>VLOOKUP(A1,DIV_13Data!$A$1:$DZU$1000000,1307,FALSE)</f>
        <v>#N/A</v>
      </c>
      <c r="O77" s="33" t="e">
        <f>VLOOKUP(A1,DIV_13Data!$A$1:$DZU$1000000,1308,FALSE)</f>
        <v>#N/A</v>
      </c>
      <c r="P77" s="46" t="e">
        <f>VLOOKUP(A1,DIV_13Data!$A$1:$DZU$1000000,1309,FALSE)</f>
        <v>#N/A</v>
      </c>
      <c r="Q77" s="33" t="e">
        <f>VLOOKUP(A1,DIV_13Data!$A$1:$DZU$1000000,1310,FALSE)</f>
        <v>#N/A</v>
      </c>
    </row>
    <row r="78" spans="1:17" x14ac:dyDescent="0.35">
      <c r="A78" s="22" t="e">
        <f>VLOOKUP(A1,DIV_13Data!$A$1:$DZU$1000000,1311,FALSE)</f>
        <v>#N/A</v>
      </c>
      <c r="B78" s="37" t="e">
        <f>VLOOKUP(A1,DIV_13Data!$A$1:$DZU$1000000,1312,FALSE)</f>
        <v>#N/A</v>
      </c>
      <c r="C78" s="38" t="e">
        <f>VLOOKUP(A1,DIV_13Data!$A$1:$DZU$1000000,1313,FALSE)</f>
        <v>#N/A</v>
      </c>
      <c r="D78" s="31" t="e">
        <f>VLOOKUP(A1,DIV_13Data!$A$1:$DZU$1000000,1314,FALSE)</f>
        <v>#N/A</v>
      </c>
      <c r="E78" s="32" t="e">
        <f>VLOOKUP(A1,DIV_13Data!$A$1:$DZU$1000000,1315,FALSE)</f>
        <v>#N/A</v>
      </c>
      <c r="F78" s="34" t="e">
        <f>VLOOKUP(A1,DIV_13Data!$A$1:$DZU$1000000,1316,FALSE)</f>
        <v>#N/A</v>
      </c>
      <c r="G78" s="33" t="e">
        <f>VLOOKUP(A1,DIV_13Data!$A$1:$DZU$1000000,1317,FALSE)</f>
        <v>#N/A</v>
      </c>
      <c r="H78" s="34" t="e">
        <f>VLOOKUP(A1,DIV_13Data!$A$1:$DZU$1000000,1318,FALSE)</f>
        <v>#N/A</v>
      </c>
      <c r="I78" s="33" t="e">
        <f>VLOOKUP(A1,DIV_13Data!$A$1:$DZU$1000000,1319,FALSE)</f>
        <v>#N/A</v>
      </c>
      <c r="J78" s="34" t="e">
        <f>VLOOKUP(A1,DIV_13Data!$A$1:$DZU$1000000,1320,FALSE)</f>
        <v>#N/A</v>
      </c>
      <c r="K78" s="34" t="e">
        <f>VLOOKUP(A1,DIV_13Data!$A$1:$DZU$1000000,1321,FALSE)</f>
        <v>#N/A</v>
      </c>
      <c r="L78" s="93" t="e">
        <f>VLOOKUP(A1,DIV_13Data!$A$1:$DZU$1000000,1322,FALSE)</f>
        <v>#N/A</v>
      </c>
      <c r="M78" s="33" t="e">
        <f>VLOOKUP(A1,DIV_13Data!$A$1:$DZU$1000000,1323,FALSE)</f>
        <v>#N/A</v>
      </c>
      <c r="N78" s="34" t="e">
        <f>VLOOKUP(A1,DIV_13Data!$A$1:$DZU$1000000,1324,FALSE)</f>
        <v>#N/A</v>
      </c>
      <c r="O78" s="33" t="e">
        <f>VLOOKUP(A1,DIV_13Data!$A$1:$DZU$1000000,1325,FALSE)</f>
        <v>#N/A</v>
      </c>
      <c r="P78" s="46" t="e">
        <f>VLOOKUP(A1,DIV_13Data!$A$1:$DZU$1000000,1326,FALSE)</f>
        <v>#N/A</v>
      </c>
      <c r="Q78" s="33" t="e">
        <f>VLOOKUP(A1,DIV_13Data!$A$1:$DZU$1000000,1327,FALSE)</f>
        <v>#N/A</v>
      </c>
    </row>
    <row r="79" spans="1:17" x14ac:dyDescent="0.35">
      <c r="A79" s="22" t="e">
        <f>VLOOKUP(A1,DIV_13Data!$A$1:$DZU$1000000,1328,FALSE)</f>
        <v>#N/A</v>
      </c>
      <c r="B79" s="37" t="e">
        <f>VLOOKUP(A1,DIV_13Data!$A$1:$DZU$1000000,1329,FALSE)</f>
        <v>#N/A</v>
      </c>
      <c r="C79" s="38" t="e">
        <f>VLOOKUP(A1,DIV_13Data!$A$1:$DZU$1000000,1330,FALSE)</f>
        <v>#N/A</v>
      </c>
      <c r="D79" s="31" t="e">
        <f>VLOOKUP(A1,DIV_13Data!$A$1:$DZU$1000000,1331,FALSE)</f>
        <v>#N/A</v>
      </c>
      <c r="E79" s="32" t="e">
        <f>VLOOKUP(A1,DIV_13Data!$A$1:$DZU$1000000,1332,FALSE)</f>
        <v>#N/A</v>
      </c>
      <c r="F79" s="34" t="e">
        <f>VLOOKUP(A1,DIV_13Data!$A$1:$DZU$1000000,1333,FALSE)</f>
        <v>#N/A</v>
      </c>
      <c r="G79" s="33" t="e">
        <f>VLOOKUP(A1,DIV_13Data!$A$1:$DZU$1000000,1334,FALSE)</f>
        <v>#N/A</v>
      </c>
      <c r="H79" s="34" t="e">
        <f>VLOOKUP(A1,DIV_13Data!$A$1:$DZU$1000000,1335,FALSE)</f>
        <v>#N/A</v>
      </c>
      <c r="I79" s="33" t="e">
        <f>VLOOKUP(A1,DIV_13Data!$A$1:$DZU$1000000,1336,FALSE)</f>
        <v>#N/A</v>
      </c>
      <c r="J79" s="34" t="e">
        <f>VLOOKUP(A1,DIV_13Data!$A$1:$DZU$1000000,1337,FALSE)</f>
        <v>#N/A</v>
      </c>
      <c r="K79" s="34" t="e">
        <f>VLOOKUP(A1,DIV_13Data!$A$1:$DZU$1000000,1338,FALSE)</f>
        <v>#N/A</v>
      </c>
      <c r="L79" s="93" t="e">
        <f>VLOOKUP(A1,DIV_13Data!$A$1:$DZU$1000000,1339,FALSE)</f>
        <v>#N/A</v>
      </c>
      <c r="M79" s="33" t="e">
        <f>VLOOKUP(A1,DIV_13Data!$A$1:$DZU$1000000,1340,FALSE)</f>
        <v>#N/A</v>
      </c>
      <c r="N79" s="34" t="e">
        <f>VLOOKUP(A1,DIV_13Data!$A$1:$DZU$1000000,1341,FALSE)</f>
        <v>#N/A</v>
      </c>
      <c r="O79" s="33" t="e">
        <f>VLOOKUP(A1,DIV_13Data!$A$1:$DZU$1000000,1342,FALSE)</f>
        <v>#N/A</v>
      </c>
      <c r="P79" s="46" t="e">
        <f>VLOOKUP(A1,DIV_13Data!$A$1:$DZU$1000000,1343,FALSE)</f>
        <v>#N/A</v>
      </c>
      <c r="Q79" s="33" t="e">
        <f>VLOOKUP(A1,DIV_13Data!$A$1:$DZU$1000000,1344,FALSE)</f>
        <v>#N/A</v>
      </c>
    </row>
    <row r="80" spans="1:17" x14ac:dyDescent="0.35">
      <c r="A80" s="22" t="e">
        <f>VLOOKUP(A1,DIV_13Data!$A$1:$DZU$1000000,1345,FALSE)</f>
        <v>#N/A</v>
      </c>
      <c r="B80" s="37" t="e">
        <f>VLOOKUP(A1,DIV_13Data!$A$1:$DZU$1000000,1346,FALSE)</f>
        <v>#N/A</v>
      </c>
      <c r="C80" s="38" t="e">
        <f>VLOOKUP(A1,DIV_13Data!$A$1:$DZU$1000000,1347,FALSE)</f>
        <v>#N/A</v>
      </c>
      <c r="D80" s="31" t="e">
        <f>VLOOKUP(A1,DIV_13Data!$A$1:$DZU$1000000,1348,FALSE)</f>
        <v>#N/A</v>
      </c>
      <c r="E80" s="32" t="e">
        <f>VLOOKUP(A1,DIV_13Data!$A$1:$DZU$1000000,1349,FALSE)</f>
        <v>#N/A</v>
      </c>
      <c r="F80" s="34" t="e">
        <f>VLOOKUP(A1,DIV_13Data!$A$1:$DZU$1000000,1350,FALSE)</f>
        <v>#N/A</v>
      </c>
      <c r="G80" s="33" t="e">
        <f>VLOOKUP(A1,DIV_13Data!$A$1:$DZU$1000000,1351,FALSE)</f>
        <v>#N/A</v>
      </c>
      <c r="H80" s="34" t="e">
        <f>VLOOKUP(A1,DIV_13Data!$A$1:$DZU$1000000,1352,FALSE)</f>
        <v>#N/A</v>
      </c>
      <c r="I80" s="33" t="e">
        <f>VLOOKUP(A1,DIV_13Data!$A$1:$DZU$1000000,1353,FALSE)</f>
        <v>#N/A</v>
      </c>
      <c r="J80" s="34" t="e">
        <f>VLOOKUP(A1,DIV_13Data!$A$1:$DZU$1000000,1354,FALSE)</f>
        <v>#N/A</v>
      </c>
      <c r="K80" s="34" t="e">
        <f>VLOOKUP(A1,DIV_13Data!$A$1:$DZU$1000000,1355,FALSE)</f>
        <v>#N/A</v>
      </c>
      <c r="L80" s="93" t="e">
        <f>VLOOKUP(A1,DIV_13Data!$A$1:$DZU$1000000,1356,FALSE)</f>
        <v>#N/A</v>
      </c>
      <c r="M80" s="33" t="e">
        <f>VLOOKUP(A1,DIV_13Data!$A$1:$DZU$1000000,1357,FALSE)</f>
        <v>#N/A</v>
      </c>
      <c r="N80" s="34" t="e">
        <f>VLOOKUP(A1,DIV_13Data!$A$1:$DZU$1000000,1358,FALSE)</f>
        <v>#N/A</v>
      </c>
      <c r="O80" s="33" t="e">
        <f>VLOOKUP(A1,DIV_13Data!$A$1:$DZU$1000000,1359,FALSE)</f>
        <v>#N/A</v>
      </c>
      <c r="P80" s="46" t="e">
        <f>VLOOKUP(A1,DIV_13Data!$A$1:$DZU$1000000,1360,FALSE)</f>
        <v>#N/A</v>
      </c>
      <c r="Q80" s="33" t="e">
        <f>VLOOKUP(A1,DIV_13Data!$A$1:$DZU$1000000,1361,FALSE)</f>
        <v>#N/A</v>
      </c>
    </row>
    <row r="81" spans="1:17" x14ac:dyDescent="0.35">
      <c r="A81" s="22" t="e">
        <f>VLOOKUP(A1,DIV_13Data!$A$1:$DZU$1000000,1362,FALSE)</f>
        <v>#N/A</v>
      </c>
      <c r="B81" s="37" t="e">
        <f>VLOOKUP(A1,DIV_13Data!$A$1:$DZU$1000000,1363,FALSE)</f>
        <v>#N/A</v>
      </c>
      <c r="C81" s="38" t="e">
        <f>VLOOKUP(A1,DIV_13Data!$A$1:$DZU$1000000,1364,FALSE)</f>
        <v>#N/A</v>
      </c>
      <c r="D81" s="31" t="e">
        <f>VLOOKUP(A1,DIV_13Data!$A$1:$DZU$1000000,1365,FALSE)</f>
        <v>#N/A</v>
      </c>
      <c r="E81" s="32" t="e">
        <f>VLOOKUP(A1,DIV_13Data!$A$1:$DZU$1000000,1366,FALSE)</f>
        <v>#N/A</v>
      </c>
      <c r="F81" s="34" t="e">
        <f>VLOOKUP(A1,DIV_13Data!$A$1:$DZU$1000000,1367,FALSE)</f>
        <v>#N/A</v>
      </c>
      <c r="G81" s="33" t="e">
        <f>VLOOKUP(A1,DIV_13Data!$A$1:$DZU$1000000,1368,FALSE)</f>
        <v>#N/A</v>
      </c>
      <c r="H81" s="34" t="e">
        <f>VLOOKUP(A1,DIV_13Data!$A$1:$DZU$1000000,1369,FALSE)</f>
        <v>#N/A</v>
      </c>
      <c r="I81" s="33" t="e">
        <f>VLOOKUP(A1,DIV_13Data!$A$1:$DZU$1000000,1370,FALSE)</f>
        <v>#N/A</v>
      </c>
      <c r="J81" s="34" t="e">
        <f>VLOOKUP(A1,DIV_13Data!$A$1:$DZU$1000000,1371,FALSE)</f>
        <v>#N/A</v>
      </c>
      <c r="K81" s="34" t="e">
        <f>VLOOKUP(A1,DIV_13Data!$A$1:$DZU$1000000,1372,FALSE)</f>
        <v>#N/A</v>
      </c>
      <c r="L81" s="93" t="e">
        <f>VLOOKUP(A1,DIV_13Data!$A$1:$DZU$1000000,1373,FALSE)</f>
        <v>#N/A</v>
      </c>
      <c r="M81" s="33" t="e">
        <f>VLOOKUP(A1,DIV_13Data!$A$1:$DZU$1000000,1374,FALSE)</f>
        <v>#N/A</v>
      </c>
      <c r="N81" s="34" t="e">
        <f>VLOOKUP(A1,DIV_13Data!$A$1:$DZU$1000000,1375,FALSE)</f>
        <v>#N/A</v>
      </c>
      <c r="O81" s="33" t="e">
        <f>VLOOKUP(A1,DIV_13Data!$A$1:$DZU$1000000,1376,FALSE)</f>
        <v>#N/A</v>
      </c>
      <c r="P81" s="46" t="e">
        <f>VLOOKUP(A1,DIV_13Data!$A$1:$DZU$1000000,1377,FALSE)</f>
        <v>#N/A</v>
      </c>
      <c r="Q81" s="33" t="e">
        <f>VLOOKUP(A1,DIV_13Data!$A$1:$DZU$1000000,1378,FALSE)</f>
        <v>#N/A</v>
      </c>
    </row>
    <row r="82" spans="1:17" x14ac:dyDescent="0.35">
      <c r="A82" s="22" t="e">
        <f>VLOOKUP(A1,DIV_13Data!$A$1:$DZU$1000000,1379,FALSE)</f>
        <v>#N/A</v>
      </c>
      <c r="B82" s="37" t="e">
        <f>VLOOKUP(A1,DIV_13Data!$A$1:$DZU$1000000,1380,FALSE)</f>
        <v>#N/A</v>
      </c>
      <c r="C82" s="38" t="e">
        <f>VLOOKUP(A1,DIV_13Data!$A$1:$DZU$1000000,1381,FALSE)</f>
        <v>#N/A</v>
      </c>
      <c r="D82" s="31" t="e">
        <f>VLOOKUP(A1,DIV_13Data!$A$1:$DZU$1000000,1382,FALSE)</f>
        <v>#N/A</v>
      </c>
      <c r="E82" s="32" t="e">
        <f>VLOOKUP(A1,DIV_13Data!$A$1:$DZU$1000000,1383,FALSE)</f>
        <v>#N/A</v>
      </c>
      <c r="F82" s="34" t="e">
        <f>VLOOKUP(A1,DIV_13Data!$A$1:$DZU$1000000,1384,FALSE)</f>
        <v>#N/A</v>
      </c>
      <c r="G82" s="33" t="e">
        <f>VLOOKUP(A1,DIV_13Data!$A$1:$DZU$1000000,1385,FALSE)</f>
        <v>#N/A</v>
      </c>
      <c r="H82" s="34" t="e">
        <f>VLOOKUP(A1,DIV_13Data!$A$1:$DZU$1000000,1386,FALSE)</f>
        <v>#N/A</v>
      </c>
      <c r="I82" s="33" t="e">
        <f>VLOOKUP(A1,DIV_13Data!$A$1:$DZU$1000000,1387,FALSE)</f>
        <v>#N/A</v>
      </c>
      <c r="J82" s="34" t="e">
        <f>VLOOKUP(A1,DIV_13Data!$A$1:$DZU$1000000,1388,FALSE)</f>
        <v>#N/A</v>
      </c>
      <c r="K82" s="34" t="e">
        <f>VLOOKUP(A1,DIV_13Data!$A$1:$DZU$1000000,1389,FALSE)</f>
        <v>#N/A</v>
      </c>
      <c r="L82" s="93" t="e">
        <f>VLOOKUP(A1,DIV_13Data!$A$1:$DZU$1000000,1390,FALSE)</f>
        <v>#N/A</v>
      </c>
      <c r="M82" s="33" t="e">
        <f>VLOOKUP(A1,DIV_13Data!$A$1:$DZU$1000000,1391,FALSE)</f>
        <v>#N/A</v>
      </c>
      <c r="N82" s="34" t="e">
        <f>VLOOKUP(A1,DIV_13Data!$A$1:$DZU$1000000,1392,FALSE)</f>
        <v>#N/A</v>
      </c>
      <c r="O82" s="33" t="e">
        <f>VLOOKUP(A1,DIV_13Data!$A$1:$DZU$1000000,1393,FALSE)</f>
        <v>#N/A</v>
      </c>
      <c r="P82" s="46" t="e">
        <f>VLOOKUP(A1,DIV_13Data!$A$1:$DZU$1000000,1394,FALSE)</f>
        <v>#N/A</v>
      </c>
      <c r="Q82" s="33" t="e">
        <f>VLOOKUP(A1,DIV_13Data!$A$1:$DZU$1000000,1395,FALSE)</f>
        <v>#N/A</v>
      </c>
    </row>
    <row r="83" spans="1:17" x14ac:dyDescent="0.35">
      <c r="A83" s="22" t="e">
        <f>VLOOKUP(A1,DIV_13Data!$A$1:$DZU$1000000,1396,FALSE)</f>
        <v>#N/A</v>
      </c>
      <c r="B83" s="37" t="e">
        <f>VLOOKUP(A1,DIV_13Data!$A$1:$DZU$1000000,1397,FALSE)</f>
        <v>#N/A</v>
      </c>
      <c r="C83" s="38" t="e">
        <f>VLOOKUP(A1,DIV_13Data!$A$1:$DZU$1000000,1398,FALSE)</f>
        <v>#N/A</v>
      </c>
      <c r="D83" s="31" t="e">
        <f>VLOOKUP(A1,DIV_13Data!$A$1:$DZU$1000000,1399,FALSE)</f>
        <v>#N/A</v>
      </c>
      <c r="E83" s="32" t="e">
        <f>VLOOKUP(A1,DIV_13Data!$A$1:$DZU$1000000,1400,FALSE)</f>
        <v>#N/A</v>
      </c>
      <c r="F83" s="34" t="e">
        <f>VLOOKUP(A1,DIV_13Data!$A$1:$DZU$1000000,1401,FALSE)</f>
        <v>#N/A</v>
      </c>
      <c r="G83" s="33" t="e">
        <f>VLOOKUP(A1,DIV_13Data!$A$1:$DZU$1000000,1402,FALSE)</f>
        <v>#N/A</v>
      </c>
      <c r="H83" s="34" t="e">
        <f>VLOOKUP(A1,DIV_13Data!$A$1:$DZU$1000000,1403,FALSE)</f>
        <v>#N/A</v>
      </c>
      <c r="I83" s="33" t="e">
        <f>VLOOKUP(A1,DIV_13Data!$A$1:$DZU$1000000,1404,FALSE)</f>
        <v>#N/A</v>
      </c>
      <c r="J83" s="34" t="e">
        <f>VLOOKUP(A1,DIV_13Data!$A$1:$DZU$1000000,1405,FALSE)</f>
        <v>#N/A</v>
      </c>
      <c r="K83" s="34" t="e">
        <f>VLOOKUP(A1,DIV_13Data!$A$1:$DZU$1000000,1406,FALSE)</f>
        <v>#N/A</v>
      </c>
      <c r="L83" s="93" t="e">
        <f>VLOOKUP(A1,DIV_13Data!$A$1:$DZU$1000000,1407,FALSE)</f>
        <v>#N/A</v>
      </c>
      <c r="M83" s="33" t="e">
        <f>VLOOKUP(A1,DIV_13Data!$A$1:$DZU$1000000,1408,FALSE)</f>
        <v>#N/A</v>
      </c>
      <c r="N83" s="34" t="e">
        <f>VLOOKUP(A1,DIV_13Data!$A$1:$DZU$1000000,1409,FALSE)</f>
        <v>#N/A</v>
      </c>
      <c r="O83" s="33" t="e">
        <f>VLOOKUP(A1,DIV_13Data!$A$1:$DZU$1000000,1410,FALSE)</f>
        <v>#N/A</v>
      </c>
      <c r="P83" s="46" t="e">
        <f>VLOOKUP(A1,DIV_13Data!$A$1:$DZU$1000000,1411,FALSE)</f>
        <v>#N/A</v>
      </c>
      <c r="Q83" s="33" t="e">
        <f>VLOOKUP(A1,DIV_13Data!$A$1:$DZU$1000000,1412,FALSE)</f>
        <v>#N/A</v>
      </c>
    </row>
    <row r="84" spans="1:17" x14ac:dyDescent="0.35">
      <c r="A84" s="22" t="e">
        <f>VLOOKUP(A1,DIV_13Data!$A$1:$DZU$1000000,1413,FALSE)</f>
        <v>#N/A</v>
      </c>
      <c r="B84" s="37" t="e">
        <f>VLOOKUP(A1,DIV_13Data!$A$1:$DZU$1000000,1414,FALSE)</f>
        <v>#N/A</v>
      </c>
      <c r="C84" s="38" t="e">
        <f>VLOOKUP(A1,DIV_13Data!$A$1:$DZU$1000000,1415,FALSE)</f>
        <v>#N/A</v>
      </c>
      <c r="D84" s="31" t="e">
        <f>VLOOKUP(A1,DIV_13Data!$A$1:$DZU$1000000,1416,FALSE)</f>
        <v>#N/A</v>
      </c>
      <c r="E84" s="32" t="e">
        <f>VLOOKUP(A1,DIV_13Data!$A$1:$DZU$1000000,1417,FALSE)</f>
        <v>#N/A</v>
      </c>
      <c r="F84" s="34" t="e">
        <f>VLOOKUP(A1,DIV_13Data!$A$1:$DZU$1000000,1418,FALSE)</f>
        <v>#N/A</v>
      </c>
      <c r="G84" s="33" t="e">
        <f>VLOOKUP(A1,DIV_13Data!$A$1:$DZU$1000000,1419,FALSE)</f>
        <v>#N/A</v>
      </c>
      <c r="H84" s="34" t="e">
        <f>VLOOKUP(A1,DIV_13Data!$A$1:$DZU$1000000,1420,FALSE)</f>
        <v>#N/A</v>
      </c>
      <c r="I84" s="33" t="e">
        <f>VLOOKUP(A1,DIV_13Data!$A$1:$DZU$1000000,1421,FALSE)</f>
        <v>#N/A</v>
      </c>
      <c r="J84" s="34" t="e">
        <f>VLOOKUP(A1,DIV_13Data!$A$1:$DZU$1000000,1422,FALSE)</f>
        <v>#N/A</v>
      </c>
      <c r="K84" s="34" t="e">
        <f>VLOOKUP(A1,DIV_13Data!$A$1:$DZU$1000000,1423,FALSE)</f>
        <v>#N/A</v>
      </c>
      <c r="L84" s="93" t="e">
        <f>VLOOKUP(A1,DIV_13Data!$A$1:$DZU$1000000,1424,FALSE)</f>
        <v>#N/A</v>
      </c>
      <c r="M84" s="33" t="e">
        <f>VLOOKUP(A1,DIV_13Data!$A$1:$DZU$1000000,1425,FALSE)</f>
        <v>#N/A</v>
      </c>
      <c r="N84" s="34" t="e">
        <f>VLOOKUP(A1,DIV_13Data!$A$1:$DZU$1000000,1426,FALSE)</f>
        <v>#N/A</v>
      </c>
      <c r="O84" s="33" t="e">
        <f>VLOOKUP(A1,DIV_13Data!$A$1:$DZU$1000000,1427,FALSE)</f>
        <v>#N/A</v>
      </c>
      <c r="P84" s="46" t="e">
        <f>VLOOKUP(A1,DIV_13Data!$A$1:$DZU$1000000,1428,FALSE)</f>
        <v>#N/A</v>
      </c>
      <c r="Q84" s="33" t="e">
        <f>VLOOKUP(A1,DIV_13Data!$A$1:$DZU$1000000,1429,FALSE)</f>
        <v>#N/A</v>
      </c>
    </row>
    <row r="85" spans="1:17" x14ac:dyDescent="0.35">
      <c r="A85" s="22" t="e">
        <f>VLOOKUP(A1,DIV_13Data!$A$1:$DZU$1000000,1430,FALSE)</f>
        <v>#N/A</v>
      </c>
      <c r="B85" s="37" t="e">
        <f>VLOOKUP(A1,DIV_13Data!$A$1:$DZU$1000000,1431,FALSE)</f>
        <v>#N/A</v>
      </c>
      <c r="C85" s="38" t="e">
        <f>VLOOKUP(A1,DIV_13Data!$A$1:$DZU$1000000,1432,FALSE)</f>
        <v>#N/A</v>
      </c>
      <c r="D85" s="31" t="e">
        <f>VLOOKUP(A1,DIV_13Data!$A$1:$DZU$1000000,1433,FALSE)</f>
        <v>#N/A</v>
      </c>
      <c r="E85" s="32" t="e">
        <f>VLOOKUP(A1,DIV_13Data!$A$1:$DZU$1000000,1434,FALSE)</f>
        <v>#N/A</v>
      </c>
      <c r="F85" s="34" t="e">
        <f>VLOOKUP(A1,DIV_13Data!$A$1:$DZU$1000000,1435,FALSE)</f>
        <v>#N/A</v>
      </c>
      <c r="G85" s="33" t="e">
        <f>VLOOKUP(A1,DIV_13Data!$A$1:$DZU$1000000,1436,FALSE)</f>
        <v>#N/A</v>
      </c>
      <c r="H85" s="34" t="e">
        <f>VLOOKUP(A1,DIV_13Data!$A$1:$DZU$1000000,1437,FALSE)</f>
        <v>#N/A</v>
      </c>
      <c r="I85" s="33" t="e">
        <f>VLOOKUP(A1,DIV_13Data!$A$1:$DZU$1000000,1438,FALSE)</f>
        <v>#N/A</v>
      </c>
      <c r="J85" s="34" t="e">
        <f>VLOOKUP(A1,DIV_13Data!$A$1:$DZU$1000000,1439,FALSE)</f>
        <v>#N/A</v>
      </c>
      <c r="K85" s="34" t="e">
        <f>VLOOKUP(A1,DIV_13Data!$A$1:$DZU$1000000,1440,FALSE)</f>
        <v>#N/A</v>
      </c>
      <c r="L85" s="93" t="e">
        <f>VLOOKUP(A1,DIV_13Data!$A$1:$DZU$1000000,1441,FALSE)</f>
        <v>#N/A</v>
      </c>
      <c r="M85" s="33" t="e">
        <f>VLOOKUP(A1,DIV_13Data!$A$1:$DZU$1000000,1442,FALSE)</f>
        <v>#N/A</v>
      </c>
      <c r="N85" s="34" t="e">
        <f>VLOOKUP(A1,DIV_13Data!$A$1:$DZU$1000000,1443,FALSE)</f>
        <v>#N/A</v>
      </c>
      <c r="O85" s="33" t="e">
        <f>VLOOKUP(A1,DIV_13Data!$A$1:$DZU$1000000,1444,FALSE)</f>
        <v>#N/A</v>
      </c>
      <c r="P85" s="46" t="e">
        <f>VLOOKUP(A1,DIV_13Data!$A$1:$DZU$1000000,1445,FALSE)</f>
        <v>#N/A</v>
      </c>
      <c r="Q85" s="33" t="e">
        <f>VLOOKUP(A1,DIV_13Data!$A$1:$DZU$1000000,1446,FALSE)</f>
        <v>#N/A</v>
      </c>
    </row>
    <row r="86" spans="1:17" x14ac:dyDescent="0.35">
      <c r="A86" s="22" t="e">
        <f>VLOOKUP(A1,DIV_13Data!$A$1:$DZU$1000000,1447,FALSE)</f>
        <v>#N/A</v>
      </c>
      <c r="B86" s="37" t="e">
        <f>VLOOKUP(A1,DIV_13Data!$A$1:$DZU$1000000,1448,FALSE)</f>
        <v>#N/A</v>
      </c>
      <c r="C86" s="38" t="e">
        <f>VLOOKUP(A1,DIV_13Data!$A$1:$DZU$1000000,1449,FALSE)</f>
        <v>#N/A</v>
      </c>
      <c r="D86" s="31" t="e">
        <f>VLOOKUP(A1,DIV_13Data!$A$1:$DZU$1000000,1450,FALSE)</f>
        <v>#N/A</v>
      </c>
      <c r="E86" s="32" t="e">
        <f>VLOOKUP(A1,DIV_13Data!$A$1:$DZU$1000000,1451,FALSE)</f>
        <v>#N/A</v>
      </c>
      <c r="F86" s="34" t="e">
        <f>VLOOKUP(A1,DIV_13Data!$A$1:$DZU$1000000,1452,FALSE)</f>
        <v>#N/A</v>
      </c>
      <c r="G86" s="33" t="e">
        <f>VLOOKUP(A1,DIV_13Data!$A$1:$DZU$1000000,1453,FALSE)</f>
        <v>#N/A</v>
      </c>
      <c r="H86" s="34" t="e">
        <f>VLOOKUP(A1,DIV_13Data!$A$1:$DZU$1000000,1454,FALSE)</f>
        <v>#N/A</v>
      </c>
      <c r="I86" s="33" t="e">
        <f>VLOOKUP(A1,DIV_13Data!$A$1:$DZU$1000000,1455,FALSE)</f>
        <v>#N/A</v>
      </c>
      <c r="J86" s="34" t="e">
        <f>VLOOKUP(A1,DIV_13Data!$A$1:$DZU$1000000,1456,FALSE)</f>
        <v>#N/A</v>
      </c>
      <c r="K86" s="34" t="e">
        <f>VLOOKUP(A1,DIV_13Data!$A$1:$DZU$1000000,1457,FALSE)</f>
        <v>#N/A</v>
      </c>
      <c r="L86" s="93" t="e">
        <f>VLOOKUP(A1,DIV_13Data!$A$1:$DZU$1000000,1458,FALSE)</f>
        <v>#N/A</v>
      </c>
      <c r="M86" s="33" t="e">
        <f>VLOOKUP(A1,DIV_13Data!$A$1:$DZU$1000000,1459,FALSE)</f>
        <v>#N/A</v>
      </c>
      <c r="N86" s="34" t="e">
        <f>VLOOKUP(A1,DIV_13Data!$A$1:$DZU$1000000,1460,FALSE)</f>
        <v>#N/A</v>
      </c>
      <c r="O86" s="33" t="e">
        <f>VLOOKUP(A1,DIV_13Data!$A$1:$DZU$1000000,1461,FALSE)</f>
        <v>#N/A</v>
      </c>
      <c r="P86" s="46" t="e">
        <f>VLOOKUP(A1,DIV_13Data!$A$1:$DZU$1000000,1462,FALSE)</f>
        <v>#N/A</v>
      </c>
      <c r="Q86" s="33" t="e">
        <f>VLOOKUP(A1,DIV_13Data!$A$1:$DZU$1000000,1463,FALSE)</f>
        <v>#N/A</v>
      </c>
    </row>
    <row r="87" spans="1:17" x14ac:dyDescent="0.35">
      <c r="A87" s="22" t="e">
        <f>VLOOKUP(A1,DIV_13Data!$A$1:$DZU$1000000,1464,FALSE)</f>
        <v>#N/A</v>
      </c>
      <c r="B87" s="37" t="e">
        <f>VLOOKUP(A1,DIV_13Data!$A$1:$DZU$1000000,1465,FALSE)</f>
        <v>#N/A</v>
      </c>
      <c r="C87" s="38" t="e">
        <f>VLOOKUP(A1,DIV_13Data!$A$1:$DZU$1000000,1466,FALSE)</f>
        <v>#N/A</v>
      </c>
      <c r="D87" s="31" t="e">
        <f>VLOOKUP(A1,DIV_13Data!$A$1:$DZU$1000000,1467,FALSE)</f>
        <v>#N/A</v>
      </c>
      <c r="E87" s="32" t="e">
        <f>VLOOKUP(A1,DIV_13Data!$A$1:$DZU$1000000,1468,FALSE)</f>
        <v>#N/A</v>
      </c>
      <c r="F87" s="34" t="e">
        <f>VLOOKUP(A1,DIV_13Data!$A$1:$DZU$1000000,1469,FALSE)</f>
        <v>#N/A</v>
      </c>
      <c r="G87" s="33" t="e">
        <f>VLOOKUP(A1,DIV_13Data!$A$1:$DZU$1000000,1470,FALSE)</f>
        <v>#N/A</v>
      </c>
      <c r="H87" s="34" t="e">
        <f>VLOOKUP(A1,DIV_13Data!$A$1:$DZU$1000000,1471,FALSE)</f>
        <v>#N/A</v>
      </c>
      <c r="I87" s="33" t="e">
        <f>VLOOKUP(A1,DIV_13Data!$A$1:$DZU$1000000,1472,FALSE)</f>
        <v>#N/A</v>
      </c>
      <c r="J87" s="34" t="e">
        <f>VLOOKUP(A1,DIV_13Data!$A$1:$DZU$1000000,1473,FALSE)</f>
        <v>#N/A</v>
      </c>
      <c r="K87" s="34" t="e">
        <f>VLOOKUP(A1,DIV_13Data!$A$1:$DZU$1000000,1474,FALSE)</f>
        <v>#N/A</v>
      </c>
      <c r="L87" s="93" t="e">
        <f>VLOOKUP(A1,DIV_13Data!$A$1:$DZU$1000000,1475,FALSE)</f>
        <v>#N/A</v>
      </c>
      <c r="M87" s="33" t="e">
        <f>VLOOKUP(A1,DIV_13Data!$A$1:$DZU$1000000,1476,FALSE)</f>
        <v>#N/A</v>
      </c>
      <c r="N87" s="34" t="e">
        <f>VLOOKUP(A1,DIV_13Data!$A$1:$DZU$1000000,1477,FALSE)</f>
        <v>#N/A</v>
      </c>
      <c r="O87" s="33" t="e">
        <f>VLOOKUP(A1,DIV_13Data!$A$1:$DZU$1000000,1478,FALSE)</f>
        <v>#N/A</v>
      </c>
      <c r="P87" s="46" t="e">
        <f>VLOOKUP(A1,DIV_13Data!$A$1:$DZU$1000000,1479,FALSE)</f>
        <v>#N/A</v>
      </c>
      <c r="Q87" s="33" t="e">
        <f>VLOOKUP(A1,DIV_13Data!$A$1:$DZU$1000000,1480,FALSE)</f>
        <v>#N/A</v>
      </c>
    </row>
    <row r="88" spans="1:17" x14ac:dyDescent="0.35">
      <c r="A88" s="22" t="e">
        <f>VLOOKUP(A1,DIV_13Data!$A$1:$DZU$1000000,1481,FALSE)</f>
        <v>#N/A</v>
      </c>
      <c r="B88" s="37" t="e">
        <f>VLOOKUP(A1,DIV_13Data!$A$1:$DZU$1000000,1482,FALSE)</f>
        <v>#N/A</v>
      </c>
      <c r="C88" s="38" t="e">
        <f>VLOOKUP(A1,DIV_13Data!$A$1:$DZU$1000000,1483,FALSE)</f>
        <v>#N/A</v>
      </c>
      <c r="D88" s="31" t="e">
        <f>VLOOKUP(A1,DIV_13Data!$A$1:$DZU$1000000,1484,FALSE)</f>
        <v>#N/A</v>
      </c>
      <c r="E88" s="32" t="e">
        <f>VLOOKUP(A1,DIV_13Data!$A$1:$DZU$1000000,1485,FALSE)</f>
        <v>#N/A</v>
      </c>
      <c r="F88" s="34" t="e">
        <f>VLOOKUP(A1,DIV_13Data!$A$1:$DZU$1000000,1486,FALSE)</f>
        <v>#N/A</v>
      </c>
      <c r="G88" s="33" t="e">
        <f>VLOOKUP(A1,DIV_13Data!$A$1:$DZU$1000000,1487,FALSE)</f>
        <v>#N/A</v>
      </c>
      <c r="H88" s="34" t="e">
        <f>VLOOKUP(A1,DIV_13Data!$A$1:$DZU$1000000,1488,FALSE)</f>
        <v>#N/A</v>
      </c>
      <c r="I88" s="33" t="e">
        <f>VLOOKUP(A1,DIV_13Data!$A$1:$DZU$1000000,1489,FALSE)</f>
        <v>#N/A</v>
      </c>
      <c r="J88" s="34" t="e">
        <f>VLOOKUP(A1,DIV_13Data!$A$1:$DZU$1000000,1490,FALSE)</f>
        <v>#N/A</v>
      </c>
      <c r="K88" s="34" t="e">
        <f>VLOOKUP(A1,DIV_13Data!$A$1:$DZU$1000000,1491,FALSE)</f>
        <v>#N/A</v>
      </c>
      <c r="L88" s="93" t="e">
        <f>VLOOKUP(A1,DIV_13Data!$A$1:$DZU$1000000,1492,FALSE)</f>
        <v>#N/A</v>
      </c>
      <c r="M88" s="33" t="e">
        <f>VLOOKUP(A1,DIV_13Data!$A$1:$DZU$1000000,1493,FALSE)</f>
        <v>#N/A</v>
      </c>
      <c r="N88" s="34" t="e">
        <f>VLOOKUP(A1,DIV_13Data!$A$1:$DZU$1000000,1494,FALSE)</f>
        <v>#N/A</v>
      </c>
      <c r="O88" s="33" t="e">
        <f>VLOOKUP(A1,DIV_13Data!$A$1:$DZU$1000000,1495,FALSE)</f>
        <v>#N/A</v>
      </c>
      <c r="P88" s="46" t="e">
        <f>VLOOKUP(A1,DIV_13Data!$A$1:$DZU$1000000,1496,FALSE)</f>
        <v>#N/A</v>
      </c>
      <c r="Q88" s="33" t="e">
        <f>VLOOKUP(A1,DIV_13Data!$A$1:$DZU$1000000,1497,FALSE)</f>
        <v>#N/A</v>
      </c>
    </row>
    <row r="89" spans="1:17" x14ac:dyDescent="0.35">
      <c r="A89" s="22" t="e">
        <f>VLOOKUP(A1,DIV_13Data!$A$1:$DZU$1000000,1498,FALSE)</f>
        <v>#N/A</v>
      </c>
      <c r="B89" s="37" t="e">
        <f>VLOOKUP(A1,DIV_13Data!$A$1:$DZU$1000000,1499,FALSE)</f>
        <v>#N/A</v>
      </c>
      <c r="C89" s="38" t="e">
        <f>VLOOKUP(A1,DIV_13Data!$A$1:$DZU$1000000,1500,FALSE)</f>
        <v>#N/A</v>
      </c>
      <c r="D89" s="31" t="e">
        <f>VLOOKUP(A1,DIV_13Data!$A$1:$DZU$1000000,1501,FALSE)</f>
        <v>#N/A</v>
      </c>
      <c r="E89" s="32" t="e">
        <f>VLOOKUP(A1,DIV_13Data!$A$1:$DZU$1000000,1502,FALSE)</f>
        <v>#N/A</v>
      </c>
      <c r="F89" s="34" t="e">
        <f>VLOOKUP(A1,DIV_13Data!$A$1:$DZU$1000000,1503,FALSE)</f>
        <v>#N/A</v>
      </c>
      <c r="G89" s="33" t="e">
        <f>VLOOKUP(A1,DIV_13Data!$A$1:$DZU$1000000,1504,FALSE)</f>
        <v>#N/A</v>
      </c>
      <c r="H89" s="34" t="e">
        <f>VLOOKUP(A1,DIV_13Data!$A$1:$DZU$1000000,1505,FALSE)</f>
        <v>#N/A</v>
      </c>
      <c r="I89" s="33" t="e">
        <f>VLOOKUP(A1,DIV_13Data!$A$1:$DZU$1000000,1506,FALSE)</f>
        <v>#N/A</v>
      </c>
      <c r="J89" s="34" t="e">
        <f>VLOOKUP(A1,DIV_13Data!$A$1:$DZU$1000000,1507,FALSE)</f>
        <v>#N/A</v>
      </c>
      <c r="K89" s="34" t="e">
        <f>VLOOKUP(A1,DIV_13Data!$A$1:$DZU$1000000,1508,FALSE)</f>
        <v>#N/A</v>
      </c>
      <c r="L89" s="93" t="e">
        <f>VLOOKUP(A1,DIV_13Data!$A$1:$DZU$1000000,1509,FALSE)</f>
        <v>#N/A</v>
      </c>
      <c r="M89" s="33" t="e">
        <f>VLOOKUP(A1,DIV_13Data!$A$1:$DZU$1000000,1510,FALSE)</f>
        <v>#N/A</v>
      </c>
      <c r="N89" s="34" t="e">
        <f>VLOOKUP(A1,DIV_13Data!$A$1:$DZU$1000000,1511,FALSE)</f>
        <v>#N/A</v>
      </c>
      <c r="O89" s="33" t="e">
        <f>VLOOKUP(A1,DIV_13Data!$A$1:$DZU$1000000,1512,FALSE)</f>
        <v>#N/A</v>
      </c>
      <c r="P89" s="46" t="e">
        <f>VLOOKUP(A1,DIV_13Data!$A$1:$DZU$1000000,1513,FALSE)</f>
        <v>#N/A</v>
      </c>
      <c r="Q89" s="33" t="e">
        <f>VLOOKUP(A1,DIV_13Data!$A$1:$DZU$1000000,1514,FALSE)</f>
        <v>#N/A</v>
      </c>
    </row>
    <row r="90" spans="1:17" x14ac:dyDescent="0.35">
      <c r="A90" s="22" t="e">
        <f>VLOOKUP(A1,DIV_13Data!$A$1:$DZU$1000000,1515,FALSE)</f>
        <v>#N/A</v>
      </c>
      <c r="B90" s="37" t="e">
        <f>VLOOKUP(A1,DIV_13Data!$A$1:$DZU$1000000,1516,FALSE)</f>
        <v>#N/A</v>
      </c>
      <c r="C90" s="38" t="e">
        <f>VLOOKUP(A1,DIV_13Data!$A$1:$DZU$1000000,1517,FALSE)</f>
        <v>#N/A</v>
      </c>
      <c r="D90" s="31" t="e">
        <f>VLOOKUP(A1,DIV_13Data!$A$1:$DZU$1000000,1518,FALSE)</f>
        <v>#N/A</v>
      </c>
      <c r="E90" s="32" t="e">
        <f>VLOOKUP(A1,DIV_13Data!$A$1:$DZU$1000000,1519,FALSE)</f>
        <v>#N/A</v>
      </c>
      <c r="F90" s="34" t="e">
        <f>VLOOKUP(A1,DIV_13Data!$A$1:$DZU$1000000,1520,FALSE)</f>
        <v>#N/A</v>
      </c>
      <c r="G90" s="33" t="e">
        <f>VLOOKUP(A1,DIV_13Data!$A$1:$DZU$1000000,1521,FALSE)</f>
        <v>#N/A</v>
      </c>
      <c r="H90" s="34" t="e">
        <f>VLOOKUP(A1,DIV_13Data!$A$1:$DZU$1000000,1522,FALSE)</f>
        <v>#N/A</v>
      </c>
      <c r="I90" s="33" t="e">
        <f>VLOOKUP(A1,DIV_13Data!$A$1:$DZU$1000000,1523,FALSE)</f>
        <v>#N/A</v>
      </c>
      <c r="J90" s="34" t="e">
        <f>VLOOKUP(A1,DIV_13Data!$A$1:$DZU$1000000,1524,FALSE)</f>
        <v>#N/A</v>
      </c>
      <c r="K90" s="34" t="e">
        <f>VLOOKUP(A1,DIV_13Data!$A$1:$DZU$1000000,1525,FALSE)</f>
        <v>#N/A</v>
      </c>
      <c r="L90" s="93" t="e">
        <f>VLOOKUP(A1,DIV_13Data!$A$1:$DZU$1000000,1526,FALSE)</f>
        <v>#N/A</v>
      </c>
      <c r="M90" s="33" t="e">
        <f>VLOOKUP(A1,DIV_13Data!$A$1:$DZU$1000000,1527,FALSE)</f>
        <v>#N/A</v>
      </c>
      <c r="N90" s="34" t="e">
        <f>VLOOKUP(A1,DIV_13Data!$A$1:$DZU$1000000,1528,FALSE)</f>
        <v>#N/A</v>
      </c>
      <c r="O90" s="33" t="e">
        <f>VLOOKUP(A1,DIV_13Data!$A$1:$DZU$1000000,1529,FALSE)</f>
        <v>#N/A</v>
      </c>
      <c r="P90" s="46" t="e">
        <f>VLOOKUP(A1,DIV_13Data!$A$1:$DZU$1000000,1530,FALSE)</f>
        <v>#N/A</v>
      </c>
      <c r="Q90" s="33" t="e">
        <f>VLOOKUP(A1,DIV_13Data!$A$1:$DZU$1000000,1531,FALSE)</f>
        <v>#N/A</v>
      </c>
    </row>
    <row r="91" spans="1:17" x14ac:dyDescent="0.35">
      <c r="A91" s="22" t="e">
        <f>VLOOKUP(A1,DIV_13Data!$A$1:$DZU$1000000,1532,FALSE)</f>
        <v>#N/A</v>
      </c>
      <c r="B91" s="37" t="e">
        <f>VLOOKUP(A1,DIV_13Data!$A$1:$DZU$1000000,1533,FALSE)</f>
        <v>#N/A</v>
      </c>
      <c r="C91" s="38" t="e">
        <f>VLOOKUP(A1,DIV_13Data!$A$1:$DZU$1000000,1534,FALSE)</f>
        <v>#N/A</v>
      </c>
      <c r="D91" s="31" t="e">
        <f>VLOOKUP(A1,DIV_13Data!$A$1:$DZU$1000000,1535,FALSE)</f>
        <v>#N/A</v>
      </c>
      <c r="E91" s="32" t="e">
        <f>VLOOKUP(A1,DIV_13Data!$A$1:$DZU$1000000,1536,FALSE)</f>
        <v>#N/A</v>
      </c>
      <c r="F91" s="34" t="e">
        <f>VLOOKUP(A1,DIV_13Data!$A$1:$DZU$1000000,1537,FALSE)</f>
        <v>#N/A</v>
      </c>
      <c r="G91" s="33" t="e">
        <f>VLOOKUP(A1,DIV_13Data!$A$1:$DZU$1000000,1538,FALSE)</f>
        <v>#N/A</v>
      </c>
      <c r="H91" s="34" t="e">
        <f>VLOOKUP(A1,DIV_13Data!$A$1:$DZU$1000000,1539,FALSE)</f>
        <v>#N/A</v>
      </c>
      <c r="I91" s="33" t="e">
        <f>VLOOKUP(A1,DIV_13Data!$A$1:$DZU$1000000,1540,FALSE)</f>
        <v>#N/A</v>
      </c>
      <c r="J91" s="34" t="e">
        <f>VLOOKUP(A1,DIV_13Data!$A$1:$DZU$1000000,1541,FALSE)</f>
        <v>#N/A</v>
      </c>
      <c r="K91" s="34" t="e">
        <f>VLOOKUP(A1,DIV_13Data!$A$1:$DZU$1000000,1542,FALSE)</f>
        <v>#N/A</v>
      </c>
      <c r="L91" s="93" t="e">
        <f>VLOOKUP(A1,DIV_13Data!$A$1:$DZU$1000000,1543,FALSE)</f>
        <v>#N/A</v>
      </c>
      <c r="M91" s="33" t="e">
        <f>VLOOKUP(A1,DIV_13Data!$A$1:$DZU$1000000,1544,FALSE)</f>
        <v>#N/A</v>
      </c>
      <c r="N91" s="34" t="e">
        <f>VLOOKUP(A1,DIV_13Data!$A$1:$DZU$1000000,1545,FALSE)</f>
        <v>#N/A</v>
      </c>
      <c r="O91" s="33" t="e">
        <f>VLOOKUP(A1,DIV_13Data!$A$1:$DZU$1000000,1546,FALSE)</f>
        <v>#N/A</v>
      </c>
      <c r="P91" s="46" t="e">
        <f>VLOOKUP(A1,DIV_13Data!$A$1:$DZU$1000000,1547,FALSE)</f>
        <v>#N/A</v>
      </c>
      <c r="Q91" s="33" t="e">
        <f>VLOOKUP(A1,DIV_13Data!$A$1:$DZU$1000000,1548,FALSE)</f>
        <v>#N/A</v>
      </c>
    </row>
    <row r="92" spans="1:17" x14ac:dyDescent="0.35">
      <c r="A92" s="22" t="e">
        <f>VLOOKUP(A1,DIV_13Data!$A$1:$DZU$1000000,1549,FALSE)</f>
        <v>#N/A</v>
      </c>
      <c r="B92" s="37" t="e">
        <f>VLOOKUP(A1,DIV_13Data!$A$1:$DZU$1000000,1550,FALSE)</f>
        <v>#N/A</v>
      </c>
      <c r="C92" s="38" t="e">
        <f>VLOOKUP(A1,DIV_13Data!$A$1:$DZU$1000000,1551,FALSE)</f>
        <v>#N/A</v>
      </c>
      <c r="D92" s="31" t="e">
        <f>VLOOKUP(A1,DIV_13Data!$A$1:$DZU$1000000,1552,FALSE)</f>
        <v>#N/A</v>
      </c>
      <c r="E92" s="32" t="e">
        <f>VLOOKUP(A1,DIV_13Data!$A$1:$DZU$1000000,1553,FALSE)</f>
        <v>#N/A</v>
      </c>
      <c r="F92" s="34" t="e">
        <f>VLOOKUP(A1,DIV_13Data!$A$1:$DZU$1000000,1554,FALSE)</f>
        <v>#N/A</v>
      </c>
      <c r="G92" s="33" t="e">
        <f>VLOOKUP(A1,DIV_13Data!$A$1:$DZU$1000000,1555,FALSE)</f>
        <v>#N/A</v>
      </c>
      <c r="H92" s="34" t="e">
        <f>VLOOKUP(A1,DIV_13Data!$A$1:$DZU$1000000,1556,FALSE)</f>
        <v>#N/A</v>
      </c>
      <c r="I92" s="33" t="e">
        <f>VLOOKUP(A1,DIV_13Data!$A$1:$DZU$1000000,1557,FALSE)</f>
        <v>#N/A</v>
      </c>
      <c r="J92" s="34" t="e">
        <f>VLOOKUP(A1,DIV_13Data!$A$1:$DZU$1000000,1558,FALSE)</f>
        <v>#N/A</v>
      </c>
      <c r="K92" s="34" t="e">
        <f>VLOOKUP(A1,DIV_13Data!$A$1:$DZU$1000000,1559,FALSE)</f>
        <v>#N/A</v>
      </c>
      <c r="L92" s="93" t="e">
        <f>VLOOKUP(A1,DIV_13Data!$A$1:$DZU$1000000,1560,FALSE)</f>
        <v>#N/A</v>
      </c>
      <c r="M92" s="33" t="e">
        <f>VLOOKUP(A1,DIV_13Data!$A$1:$DZU$1000000,1561,FALSE)</f>
        <v>#N/A</v>
      </c>
      <c r="N92" s="34" t="e">
        <f>VLOOKUP(A1,DIV_13Data!$A$1:$DZU$1000000,1562,FALSE)</f>
        <v>#N/A</v>
      </c>
      <c r="O92" s="33" t="e">
        <f>VLOOKUP(A1,DIV_13Data!$A$1:$DZU$1000000,1563,FALSE)</f>
        <v>#N/A</v>
      </c>
      <c r="P92" s="46" t="e">
        <f>VLOOKUP(A1,DIV_13Data!$A$1:$DZU$1000000,1564,FALSE)</f>
        <v>#N/A</v>
      </c>
      <c r="Q92" s="33" t="e">
        <f>VLOOKUP(A1,DIV_13Data!$A$1:$DZU$1000000,1565,FALSE)</f>
        <v>#N/A</v>
      </c>
    </row>
    <row r="93" spans="1:17" x14ac:dyDescent="0.35">
      <c r="A93" s="22" t="e">
        <f>VLOOKUP(A1,DIV_13Data!$A$1:$DZU$1000000,1566,FALSE)</f>
        <v>#N/A</v>
      </c>
      <c r="B93" s="37" t="e">
        <f>VLOOKUP(A1,DIV_13Data!$A$1:$DZU$1000000,1567,FALSE)</f>
        <v>#N/A</v>
      </c>
      <c r="C93" s="38" t="e">
        <f>VLOOKUP(A1,DIV_13Data!$A$1:$DZU$1000000,1568,FALSE)</f>
        <v>#N/A</v>
      </c>
      <c r="D93" s="31" t="e">
        <f>VLOOKUP(A1,DIV_13Data!$A$1:$DZU$1000000,1569,FALSE)</f>
        <v>#N/A</v>
      </c>
      <c r="E93" s="32" t="e">
        <f>VLOOKUP(A1,DIV_13Data!$A$1:$DZU$1000000,1570,FALSE)</f>
        <v>#N/A</v>
      </c>
      <c r="F93" s="34" t="e">
        <f>VLOOKUP(A1,DIV_13Data!$A$1:$DZU$1000000,1571,FALSE)</f>
        <v>#N/A</v>
      </c>
      <c r="G93" s="33" t="e">
        <f>VLOOKUP(A1,DIV_13Data!$A$1:$DZU$1000000,1572,FALSE)</f>
        <v>#N/A</v>
      </c>
      <c r="H93" s="34" t="e">
        <f>VLOOKUP(A1,DIV_13Data!$A$1:$DZU$1000000,1573,FALSE)</f>
        <v>#N/A</v>
      </c>
      <c r="I93" s="33" t="e">
        <f>VLOOKUP(A1,DIV_13Data!$A$1:$DZU$1000000,1574,FALSE)</f>
        <v>#N/A</v>
      </c>
      <c r="J93" s="34" t="e">
        <f>VLOOKUP(A1,DIV_13Data!$A$1:$DZU$1000000,1575,FALSE)</f>
        <v>#N/A</v>
      </c>
      <c r="K93" s="34" t="e">
        <f>VLOOKUP(A1,DIV_13Data!$A$1:$DZU$1000000,1576,FALSE)</f>
        <v>#N/A</v>
      </c>
      <c r="L93" s="93" t="e">
        <f>VLOOKUP(A1,DIV_13Data!$A$1:$DZU$1000000,1577,FALSE)</f>
        <v>#N/A</v>
      </c>
      <c r="M93" s="33" t="e">
        <f>VLOOKUP(A1,DIV_13Data!$A$1:$DZU$1000000,1578,FALSE)</f>
        <v>#N/A</v>
      </c>
      <c r="N93" s="34" t="e">
        <f>VLOOKUP(A1,DIV_13Data!$A$1:$DZU$1000000,1579,FALSE)</f>
        <v>#N/A</v>
      </c>
      <c r="O93" s="33" t="e">
        <f>VLOOKUP(A1,DIV_13Data!$A$1:$DZU$1000000,1580,FALSE)</f>
        <v>#N/A</v>
      </c>
      <c r="P93" s="46" t="e">
        <f>VLOOKUP(A1,DIV_13Data!$A$1:$DZU$1000000,1581,FALSE)</f>
        <v>#N/A</v>
      </c>
      <c r="Q93" s="33" t="e">
        <f>VLOOKUP(A1,DIV_13Data!$A$1:$DZU$1000000,1582,FALSE)</f>
        <v>#N/A</v>
      </c>
    </row>
    <row r="94" spans="1:17" x14ac:dyDescent="0.35">
      <c r="A94" s="22" t="e">
        <f>VLOOKUP(A1,DIV_13Data!$A$1:$DZU$1000000,1583,FALSE)</f>
        <v>#N/A</v>
      </c>
      <c r="B94" s="37" t="e">
        <f>VLOOKUP(A1,DIV_13Data!$A$1:$DZU$1000000,1584,FALSE)</f>
        <v>#N/A</v>
      </c>
      <c r="C94" s="38" t="e">
        <f>VLOOKUP(A1,DIV_13Data!$A$1:$DZU$1000000,1585,FALSE)</f>
        <v>#N/A</v>
      </c>
      <c r="D94" s="31" t="e">
        <f>VLOOKUP(A1,DIV_13Data!$A$1:$DZU$1000000,1586,FALSE)</f>
        <v>#N/A</v>
      </c>
      <c r="E94" s="32" t="e">
        <f>VLOOKUP(A1,DIV_13Data!$A$1:$DZU$1000000,1587,FALSE)</f>
        <v>#N/A</v>
      </c>
      <c r="F94" s="34" t="e">
        <f>VLOOKUP(A1,DIV_13Data!$A$1:$DZU$1000000,1588,FALSE)</f>
        <v>#N/A</v>
      </c>
      <c r="G94" s="33" t="e">
        <f>VLOOKUP(A1,DIV_13Data!$A$1:$DZU$1000000,1589,FALSE)</f>
        <v>#N/A</v>
      </c>
      <c r="H94" s="34" t="e">
        <f>VLOOKUP(A1,DIV_13Data!$A$1:$DZU$1000000,1590,FALSE)</f>
        <v>#N/A</v>
      </c>
      <c r="I94" s="33" t="e">
        <f>VLOOKUP(A1,DIV_13Data!$A$1:$DZU$1000000,1591,FALSE)</f>
        <v>#N/A</v>
      </c>
      <c r="J94" s="34" t="e">
        <f>VLOOKUP(A1,DIV_13Data!$A$1:$DZU$1000000,1592,FALSE)</f>
        <v>#N/A</v>
      </c>
      <c r="K94" s="34" t="e">
        <f>VLOOKUP(A1,DIV_13Data!$A$1:$DZU$1000000,1593,FALSE)</f>
        <v>#N/A</v>
      </c>
      <c r="L94" s="93" t="e">
        <f>VLOOKUP(A1,DIV_13Data!$A$1:$DZU$1000000,1594,FALSE)</f>
        <v>#N/A</v>
      </c>
      <c r="M94" s="33" t="e">
        <f>VLOOKUP(A1,DIV_13Data!$A$1:$DZU$1000000,1595,FALSE)</f>
        <v>#N/A</v>
      </c>
      <c r="N94" s="34" t="e">
        <f>VLOOKUP(A1,DIV_13Data!$A$1:$DZU$1000000,1596,FALSE)</f>
        <v>#N/A</v>
      </c>
      <c r="O94" s="33" t="e">
        <f>VLOOKUP(A1,DIV_13Data!$A$1:$DZU$1000000,1597,FALSE)</f>
        <v>#N/A</v>
      </c>
      <c r="P94" s="46" t="e">
        <f>VLOOKUP(A1,DIV_13Data!$A$1:$DZU$1000000,1598,FALSE)</f>
        <v>#N/A</v>
      </c>
      <c r="Q94" s="33" t="e">
        <f>VLOOKUP(A1,DIV_13Data!$A$1:$DZU$1000000,1599,FALSE)</f>
        <v>#N/A</v>
      </c>
    </row>
    <row r="95" spans="1:17" x14ac:dyDescent="0.35">
      <c r="A95" s="22" t="e">
        <f>VLOOKUP(A1,DIV_13Data!$A$1:$DZU$1000000,1600,FALSE)</f>
        <v>#N/A</v>
      </c>
      <c r="B95" s="37" t="e">
        <f>VLOOKUP(A1,DIV_13Data!$A$1:$DZU$1000000,1601,FALSE)</f>
        <v>#N/A</v>
      </c>
      <c r="C95" s="38" t="e">
        <f>VLOOKUP(A1,DIV_13Data!$A$1:$DZU$1000000,1602,FALSE)</f>
        <v>#N/A</v>
      </c>
      <c r="D95" s="31" t="e">
        <f>VLOOKUP(A1,DIV_13Data!$A$1:$DZU$1000000,1603,FALSE)</f>
        <v>#N/A</v>
      </c>
      <c r="E95" s="32" t="e">
        <f>VLOOKUP(A1,DIV_13Data!$A$1:$DZU$1000000,1604,FALSE)</f>
        <v>#N/A</v>
      </c>
      <c r="F95" s="34" t="e">
        <f>VLOOKUP(A1,DIV_13Data!$A$1:$DZU$1000000,1605,FALSE)</f>
        <v>#N/A</v>
      </c>
      <c r="G95" s="33" t="e">
        <f>VLOOKUP(A1,DIV_13Data!$A$1:$DZU$1000000,1606,FALSE)</f>
        <v>#N/A</v>
      </c>
      <c r="H95" s="34" t="e">
        <f>VLOOKUP(A1,DIV_13Data!$A$1:$DZU$1000000,1607,FALSE)</f>
        <v>#N/A</v>
      </c>
      <c r="I95" s="33" t="e">
        <f>VLOOKUP(A1,DIV_13Data!$A$1:$DZU$1000000,1608,FALSE)</f>
        <v>#N/A</v>
      </c>
      <c r="J95" s="34" t="e">
        <f>VLOOKUP(A1,DIV_13Data!$A$1:$DZU$1000000,1609,FALSE)</f>
        <v>#N/A</v>
      </c>
      <c r="K95" s="34" t="e">
        <f>VLOOKUP(A1,DIV_13Data!$A$1:$DZU$1000000,1610,FALSE)</f>
        <v>#N/A</v>
      </c>
      <c r="L95" s="93" t="e">
        <f>VLOOKUP(A1,DIV_13Data!$A$1:$DZU$1000000,1611,FALSE)</f>
        <v>#N/A</v>
      </c>
      <c r="M95" s="33" t="e">
        <f>VLOOKUP(A1,DIV_13Data!$A$1:$DZU$1000000,1612,FALSE)</f>
        <v>#N/A</v>
      </c>
      <c r="N95" s="34" t="e">
        <f>VLOOKUP(A1,DIV_13Data!$A$1:$DZU$1000000,1613,FALSE)</f>
        <v>#N/A</v>
      </c>
      <c r="O95" s="33" t="e">
        <f>VLOOKUP(A1,DIV_13Data!$A$1:$DZU$1000000,1614,FALSE)</f>
        <v>#N/A</v>
      </c>
      <c r="P95" s="46" t="e">
        <f>VLOOKUP(A1,DIV_13Data!$A$1:$DZU$1000000,1615,FALSE)</f>
        <v>#N/A</v>
      </c>
      <c r="Q95" s="33" t="e">
        <f>VLOOKUP(A1,DIV_13Data!$A$1:$DZU$1000000,1616,FALSE)</f>
        <v>#N/A</v>
      </c>
    </row>
    <row r="96" spans="1:17" x14ac:dyDescent="0.35">
      <c r="A96" s="22" t="e">
        <f>VLOOKUP(A1,DIV_13Data!$A$1:$DZU$1000000,1617,FALSE)</f>
        <v>#N/A</v>
      </c>
      <c r="B96" s="37" t="e">
        <f>VLOOKUP(A1,DIV_13Data!$A$1:$DZU$1000000,1618,FALSE)</f>
        <v>#N/A</v>
      </c>
      <c r="C96" s="38" t="e">
        <f>VLOOKUP(A1,DIV_13Data!$A$1:$DZU$1000000,1619,FALSE)</f>
        <v>#N/A</v>
      </c>
      <c r="D96" s="31" t="e">
        <f>VLOOKUP(A1,DIV_13Data!$A$1:$DZU$1000000,1620,FALSE)</f>
        <v>#N/A</v>
      </c>
      <c r="E96" s="32" t="e">
        <f>VLOOKUP(A1,DIV_13Data!$A$1:$DZU$1000000,1621,FALSE)</f>
        <v>#N/A</v>
      </c>
      <c r="F96" s="34" t="e">
        <f>VLOOKUP(A1,DIV_13Data!$A$1:$DZU$1000000,1622,FALSE)</f>
        <v>#N/A</v>
      </c>
      <c r="G96" s="33" t="e">
        <f>VLOOKUP(A1,DIV_13Data!$A$1:$DZU$1000000,1623,FALSE)</f>
        <v>#N/A</v>
      </c>
      <c r="H96" s="34" t="e">
        <f>VLOOKUP(A1,DIV_13Data!$A$1:$DZU$1000000,1624,FALSE)</f>
        <v>#N/A</v>
      </c>
      <c r="I96" s="33" t="e">
        <f>VLOOKUP(A1,DIV_13Data!$A$1:$DZU$1000000,1625,FALSE)</f>
        <v>#N/A</v>
      </c>
      <c r="J96" s="34" t="e">
        <f>VLOOKUP(A1,DIV_13Data!$A$1:$DZU$1000000,1626,FALSE)</f>
        <v>#N/A</v>
      </c>
      <c r="K96" s="34" t="e">
        <f>VLOOKUP(A1,DIV_13Data!$A$1:$DZU$1000000,1627,FALSE)</f>
        <v>#N/A</v>
      </c>
      <c r="L96" s="93" t="e">
        <f>VLOOKUP(A1,DIV_13Data!$A$1:$DZU$1000000,1628,FALSE)</f>
        <v>#N/A</v>
      </c>
      <c r="M96" s="33" t="e">
        <f>VLOOKUP(A1,DIV_13Data!$A$1:$DZU$1000000,1629,FALSE)</f>
        <v>#N/A</v>
      </c>
      <c r="N96" s="34" t="e">
        <f>VLOOKUP(A1,DIV_13Data!$A$1:$DZU$1000000,1630,FALSE)</f>
        <v>#N/A</v>
      </c>
      <c r="O96" s="33" t="e">
        <f>VLOOKUP(A1,DIV_13Data!$A$1:$DZU$1000000,1631,FALSE)</f>
        <v>#N/A</v>
      </c>
      <c r="P96" s="46" t="e">
        <f>VLOOKUP(A1,DIV_13Data!$A$1:$DZU$1000000,1632,FALSE)</f>
        <v>#N/A</v>
      </c>
      <c r="Q96" s="33" t="e">
        <f>VLOOKUP(A1,DIV_13Data!$A$1:$DZU$1000000,1633,FALSE)</f>
        <v>#N/A</v>
      </c>
    </row>
    <row r="97" spans="1:17" x14ac:dyDescent="0.35">
      <c r="A97" s="22" t="e">
        <f>VLOOKUP(A1,DIV_13Data!$A$1:$DZU$1000000,1634,FALSE)</f>
        <v>#N/A</v>
      </c>
      <c r="B97" s="37" t="e">
        <f>VLOOKUP(A1,DIV_13Data!$A$1:$DZU$1000000,1635,FALSE)</f>
        <v>#N/A</v>
      </c>
      <c r="C97" s="38" t="e">
        <f>VLOOKUP(A1,DIV_13Data!$A$1:$DZU$1000000,1636,FALSE)</f>
        <v>#N/A</v>
      </c>
      <c r="D97" s="31" t="e">
        <f>VLOOKUP(A1,DIV_13Data!$A$1:$DZU$1000000,1637,FALSE)</f>
        <v>#N/A</v>
      </c>
      <c r="E97" s="32" t="e">
        <f>VLOOKUP(A1,DIV_13Data!$A$1:$DZU$1000000,1638,FALSE)</f>
        <v>#N/A</v>
      </c>
      <c r="F97" s="34" t="e">
        <f>VLOOKUP(A1,DIV_13Data!$A$1:$DZU$1000000,1639,FALSE)</f>
        <v>#N/A</v>
      </c>
      <c r="G97" s="33" t="e">
        <f>VLOOKUP(A1,DIV_13Data!$A$1:$DZU$1000000,1640,FALSE)</f>
        <v>#N/A</v>
      </c>
      <c r="H97" s="34" t="e">
        <f>VLOOKUP(A1,DIV_13Data!$A$1:$DZU$1000000,1641,FALSE)</f>
        <v>#N/A</v>
      </c>
      <c r="I97" s="33" t="e">
        <f>VLOOKUP(A1,DIV_13Data!$A$1:$DZU$1000000,1642,FALSE)</f>
        <v>#N/A</v>
      </c>
      <c r="J97" s="34" t="e">
        <f>VLOOKUP(A1,DIV_13Data!$A$1:$DZU$1000000,1643,FALSE)</f>
        <v>#N/A</v>
      </c>
      <c r="K97" s="34" t="e">
        <f>VLOOKUP(A1,DIV_13Data!$A$1:$DZU$1000000,1644,FALSE)</f>
        <v>#N/A</v>
      </c>
      <c r="L97" s="93" t="e">
        <f>VLOOKUP(A1,DIV_13Data!$A$1:$DZU$1000000,1645,FALSE)</f>
        <v>#N/A</v>
      </c>
      <c r="M97" s="33" t="e">
        <f>VLOOKUP(A1,DIV_13Data!$A$1:$DZU$1000000,1646,FALSE)</f>
        <v>#N/A</v>
      </c>
      <c r="N97" s="34" t="e">
        <f>VLOOKUP(A1,DIV_13Data!$A$1:$DZU$1000000,1647,FALSE)</f>
        <v>#N/A</v>
      </c>
      <c r="O97" s="33" t="e">
        <f>VLOOKUP(A1,DIV_13Data!$A$1:$DZU$1000000,1648,FALSE)</f>
        <v>#N/A</v>
      </c>
      <c r="P97" s="46" t="e">
        <f>VLOOKUP(A1,DIV_13Data!$A$1:$DZU$1000000,1649,FALSE)</f>
        <v>#N/A</v>
      </c>
      <c r="Q97" s="33" t="e">
        <f>VLOOKUP(A1,DIV_13Data!$A$1:$DZU$1000000,1650,FALSE)</f>
        <v>#N/A</v>
      </c>
    </row>
    <row r="98" spans="1:17" x14ac:dyDescent="0.35">
      <c r="A98" s="22" t="e">
        <f>VLOOKUP(A1,DIV_13Data!$A$1:$DZU$1000000,1651,FALSE)</f>
        <v>#N/A</v>
      </c>
      <c r="B98" s="37" t="e">
        <f>VLOOKUP(A1,DIV_13Data!$A$1:$DZU$1000000,1652,FALSE)</f>
        <v>#N/A</v>
      </c>
      <c r="C98" s="38" t="e">
        <f>VLOOKUP(A1,DIV_13Data!$A$1:$DZU$1000000,1653,FALSE)</f>
        <v>#N/A</v>
      </c>
      <c r="D98" s="31" t="e">
        <f>VLOOKUP(A1,DIV_13Data!$A$1:$DZU$1000000,1654,FALSE)</f>
        <v>#N/A</v>
      </c>
      <c r="E98" s="32" t="e">
        <f>VLOOKUP(A1,DIV_13Data!$A$1:$DZU$1000000,1655,FALSE)</f>
        <v>#N/A</v>
      </c>
      <c r="F98" s="34" t="e">
        <f>VLOOKUP(A1,DIV_13Data!$A$1:$DZU$1000000,1656,FALSE)</f>
        <v>#N/A</v>
      </c>
      <c r="G98" s="33" t="e">
        <f>VLOOKUP(A1,DIV_13Data!$A$1:$DZU$1000000,1657,FALSE)</f>
        <v>#N/A</v>
      </c>
      <c r="H98" s="34" t="e">
        <f>VLOOKUP(A1,DIV_13Data!$A$1:$DZU$1000000,1658,FALSE)</f>
        <v>#N/A</v>
      </c>
      <c r="I98" s="33" t="e">
        <f>VLOOKUP(A1,DIV_13Data!$A$1:$DZU$1000000,1659,FALSE)</f>
        <v>#N/A</v>
      </c>
      <c r="J98" s="34" t="e">
        <f>VLOOKUP(A1,DIV_13Data!$A$1:$DZU$1000000,1660,FALSE)</f>
        <v>#N/A</v>
      </c>
      <c r="K98" s="34" t="e">
        <f>VLOOKUP(A1,DIV_13Data!$A$1:$DZU$1000000,1661,FALSE)</f>
        <v>#N/A</v>
      </c>
      <c r="L98" s="93" t="e">
        <f>VLOOKUP(A1,DIV_13Data!$A$1:$DZU$1000000,1662,FALSE)</f>
        <v>#N/A</v>
      </c>
      <c r="M98" s="33" t="e">
        <f>VLOOKUP(A1,DIV_13Data!$A$1:$DZU$1000000,1663,FALSE)</f>
        <v>#N/A</v>
      </c>
      <c r="N98" s="34" t="e">
        <f>VLOOKUP(A1,DIV_13Data!$A$1:$DZU$1000000,1664,FALSE)</f>
        <v>#N/A</v>
      </c>
      <c r="O98" s="33" t="e">
        <f>VLOOKUP(A1,DIV_13Data!$A$1:$DZU$1000000,1665,FALSE)</f>
        <v>#N/A</v>
      </c>
      <c r="P98" s="46" t="e">
        <f>VLOOKUP(A1,DIV_13Data!$A$1:$DZU$1000000,1666,FALSE)</f>
        <v>#N/A</v>
      </c>
      <c r="Q98" s="33" t="e">
        <f>VLOOKUP(A1,DIV_13Data!$A$1:$DZU$1000000,1667,FALSE)</f>
        <v>#N/A</v>
      </c>
    </row>
    <row r="99" spans="1:17" x14ac:dyDescent="0.35">
      <c r="A99" s="22" t="e">
        <f>VLOOKUP(A1,DIV_13Data!$A$1:$DZU$1000000,1668,FALSE)</f>
        <v>#N/A</v>
      </c>
      <c r="B99" s="37" t="e">
        <f>VLOOKUP(A1,DIV_13Data!$A$1:$DZU$1000000,1669,FALSE)</f>
        <v>#N/A</v>
      </c>
      <c r="C99" s="38" t="e">
        <f>VLOOKUP(A1,DIV_13Data!$A$1:$DZU$1000000,1670,FALSE)</f>
        <v>#N/A</v>
      </c>
      <c r="D99" s="31" t="e">
        <f>VLOOKUP(A1,DIV_13Data!$A$1:$DZU$1000000,1671,FALSE)</f>
        <v>#N/A</v>
      </c>
      <c r="E99" s="32" t="e">
        <f>VLOOKUP(A1,DIV_13Data!$A$1:$DZU$1000000,1672,FALSE)</f>
        <v>#N/A</v>
      </c>
      <c r="F99" s="34" t="e">
        <f>VLOOKUP(A1,DIV_13Data!$A$1:$DZU$1000000,1673,FALSE)</f>
        <v>#N/A</v>
      </c>
      <c r="G99" s="33" t="e">
        <f>VLOOKUP(A1,DIV_13Data!$A$1:$DZU$1000000,1674,FALSE)</f>
        <v>#N/A</v>
      </c>
      <c r="H99" s="34" t="e">
        <f>VLOOKUP(A1,DIV_13Data!$A$1:$DZU$1000000,1675,FALSE)</f>
        <v>#N/A</v>
      </c>
      <c r="I99" s="33" t="e">
        <f>VLOOKUP(A1,DIV_13Data!$A$1:$DZU$1000000,1676,FALSE)</f>
        <v>#N/A</v>
      </c>
      <c r="J99" s="34" t="e">
        <f>VLOOKUP(A1,DIV_13Data!$A$1:$DZU$1000000,1677,FALSE)</f>
        <v>#N/A</v>
      </c>
      <c r="K99" s="34" t="e">
        <f>VLOOKUP(A1,DIV_13Data!$A$1:$DZU$1000000,1678,FALSE)</f>
        <v>#N/A</v>
      </c>
      <c r="L99" s="93" t="e">
        <f>VLOOKUP(A1,DIV_13Data!$A$1:$DZU$1000000,1679,FALSE)</f>
        <v>#N/A</v>
      </c>
      <c r="M99" s="33" t="e">
        <f>VLOOKUP(A1,DIV_13Data!$A$1:$DZU$1000000,1680,FALSE)</f>
        <v>#N/A</v>
      </c>
      <c r="N99" s="34" t="e">
        <f>VLOOKUP(A1,DIV_13Data!$A$1:$DZU$1000000,1681,FALSE)</f>
        <v>#N/A</v>
      </c>
      <c r="O99" s="33" t="e">
        <f>VLOOKUP(A1,DIV_13Data!$A$1:$DZU$1000000,1682,FALSE)</f>
        <v>#N/A</v>
      </c>
      <c r="P99" s="46" t="e">
        <f>VLOOKUP(A1,DIV_13Data!$A$1:$DZU$1000000,1683,FALSE)</f>
        <v>#N/A</v>
      </c>
      <c r="Q99" s="33" t="e">
        <f>VLOOKUP(A1,DIV_13Data!$A$1:$DZU$1000000,1684,FALSE)</f>
        <v>#N/A</v>
      </c>
    </row>
    <row r="100" spans="1:17" x14ac:dyDescent="0.35">
      <c r="A100" s="22" t="e">
        <f>VLOOKUP(A1,DIV_13Data!$A$1:$DZU$1000000,1685,FALSE)</f>
        <v>#N/A</v>
      </c>
      <c r="B100" s="37" t="e">
        <f>VLOOKUP(A1,DIV_13Data!$A$1:$DZU$1000000,1686,FALSE)</f>
        <v>#N/A</v>
      </c>
      <c r="C100" s="38" t="e">
        <f>VLOOKUP(A1,DIV_13Data!$A$1:$DZU$1000000,1687,FALSE)</f>
        <v>#N/A</v>
      </c>
      <c r="D100" s="31" t="e">
        <f>VLOOKUP(A1,DIV_13Data!$A$1:$DZU$1000000,1688,FALSE)</f>
        <v>#N/A</v>
      </c>
      <c r="E100" s="32" t="e">
        <f>VLOOKUP(A1,DIV_13Data!$A$1:$DZU$1000000,1689,FALSE)</f>
        <v>#N/A</v>
      </c>
      <c r="F100" s="34" t="e">
        <f>VLOOKUP(A1,DIV_13Data!$A$1:$DZU$1000000,1690,FALSE)</f>
        <v>#N/A</v>
      </c>
      <c r="G100" s="33" t="e">
        <f>VLOOKUP(A1,DIV_13Data!$A$1:$DZU$1000000,1691,FALSE)</f>
        <v>#N/A</v>
      </c>
      <c r="H100" s="34" t="e">
        <f>VLOOKUP(A1,DIV_13Data!$A$1:$DZU$1000000,1692,FALSE)</f>
        <v>#N/A</v>
      </c>
      <c r="I100" s="33" t="e">
        <f>VLOOKUP(A1,DIV_13Data!$A$1:$DZU$1000000,1693,FALSE)</f>
        <v>#N/A</v>
      </c>
      <c r="J100" s="34" t="e">
        <f>VLOOKUP(A1,DIV_13Data!$A$1:$DZU$1000000,1694,FALSE)</f>
        <v>#N/A</v>
      </c>
      <c r="K100" s="34" t="e">
        <f>VLOOKUP(A1,DIV_13Data!$A$1:$DZU$1000000,1695,FALSE)</f>
        <v>#N/A</v>
      </c>
      <c r="L100" s="93" t="e">
        <f>VLOOKUP(A1,DIV_13Data!$A$1:$DZU$1000000,1696,FALSE)</f>
        <v>#N/A</v>
      </c>
      <c r="M100" s="33" t="e">
        <f>VLOOKUP(A1,DIV_13Data!$A$1:$DZU$1000000,1697,FALSE)</f>
        <v>#N/A</v>
      </c>
      <c r="N100" s="34" t="e">
        <f>VLOOKUP(A1,DIV_13Data!$A$1:$DZU$1000000,1698,FALSE)</f>
        <v>#N/A</v>
      </c>
      <c r="O100" s="33" t="e">
        <f>VLOOKUP(A1,DIV_13Data!$A$1:$DZU$1000000,1699,FALSE)</f>
        <v>#N/A</v>
      </c>
      <c r="P100" s="46" t="e">
        <f>VLOOKUP(A1,DIV_13Data!$A$1:$DZU$1000000,1700,FALSE)</f>
        <v>#N/A</v>
      </c>
      <c r="Q100" s="33" t="e">
        <f>VLOOKUP(A1,DIV_13Data!$A$1:$DZU$1000000,1701,FALSE)</f>
        <v>#N/A</v>
      </c>
    </row>
    <row r="101" spans="1:17" x14ac:dyDescent="0.35">
      <c r="A101" s="22" t="e">
        <f>VLOOKUP(A1,DIV_13Data!$A$1:$DZU$1000000,1702,FALSE)</f>
        <v>#N/A</v>
      </c>
      <c r="B101" s="37" t="e">
        <f>VLOOKUP(A1,DIV_13Data!$A$1:$DZU$1000000,1703,FALSE)</f>
        <v>#N/A</v>
      </c>
      <c r="C101" s="38" t="e">
        <f>VLOOKUP(A1,DIV_13Data!$A$1:$DZU$1000000,1704,FALSE)</f>
        <v>#N/A</v>
      </c>
      <c r="D101" s="31" t="e">
        <f>VLOOKUP(A1,DIV_13Data!$A$1:$DZU$1000000,1705,FALSE)</f>
        <v>#N/A</v>
      </c>
      <c r="E101" s="32" t="e">
        <f>VLOOKUP(A1,DIV_13Data!$A$1:$DZU$1000000,1706,FALSE)</f>
        <v>#N/A</v>
      </c>
      <c r="F101" s="34" t="e">
        <f>VLOOKUP(A1,DIV_13Data!$A$1:$DZU$1000000,1707,FALSE)</f>
        <v>#N/A</v>
      </c>
      <c r="G101" s="33" t="e">
        <f>VLOOKUP(A1,DIV_13Data!$A$1:$DZU$1000000,1708,FALSE)</f>
        <v>#N/A</v>
      </c>
      <c r="H101" s="34" t="e">
        <f>VLOOKUP(A1,DIV_13Data!$A$1:$DZU$1000000,1709,FALSE)</f>
        <v>#N/A</v>
      </c>
      <c r="I101" s="33" t="e">
        <f>VLOOKUP(A1,DIV_13Data!$A$1:$DZU$1000000,1710,FALSE)</f>
        <v>#N/A</v>
      </c>
      <c r="J101" s="34" t="e">
        <f>VLOOKUP(A1,DIV_13Data!$A$1:$DZU$1000000,1711,FALSE)</f>
        <v>#N/A</v>
      </c>
      <c r="K101" s="34" t="e">
        <f>VLOOKUP(A1,DIV_13Data!$A$1:$DZU$1000000,1712,FALSE)</f>
        <v>#N/A</v>
      </c>
      <c r="L101" s="93" t="e">
        <f>VLOOKUP(A1,DIV_13Data!$A$1:$DZU$1000000,1713,FALSE)</f>
        <v>#N/A</v>
      </c>
      <c r="M101" s="33" t="e">
        <f>VLOOKUP(A1,DIV_13Data!$A$1:$DZU$1000000,1714,FALSE)</f>
        <v>#N/A</v>
      </c>
      <c r="N101" s="34" t="e">
        <f>VLOOKUP(A1,DIV_13Data!$A$1:$DZU$1000000,1715,FALSE)</f>
        <v>#N/A</v>
      </c>
      <c r="O101" s="33" t="e">
        <f>VLOOKUP(A1,DIV_13Data!$A$1:$DZU$1000000,1716,FALSE)</f>
        <v>#N/A</v>
      </c>
      <c r="P101" s="46" t="e">
        <f>VLOOKUP(A1,DIV_13Data!$A$1:$DZU$1000000,1717,FALSE)</f>
        <v>#N/A</v>
      </c>
      <c r="Q101" s="33" t="e">
        <f>VLOOKUP(A1,DIV_13Data!$A$1:$DZU$1000000,1718,FALSE)</f>
        <v>#N/A</v>
      </c>
    </row>
    <row r="102" spans="1:17" x14ac:dyDescent="0.35">
      <c r="A102" s="22" t="e">
        <f>VLOOKUP(A1,DIV_13Data!$A$1:$DZU$1000000,1719,FALSE)</f>
        <v>#N/A</v>
      </c>
      <c r="B102" s="37" t="e">
        <f>VLOOKUP(A1,DIV_13Data!$A$1:$DZU$1000000,1720,FALSE)</f>
        <v>#N/A</v>
      </c>
      <c r="C102" s="38" t="e">
        <f>VLOOKUP(A1,DIV_13Data!$A$1:$DZU$1000000,1721,FALSE)</f>
        <v>#N/A</v>
      </c>
      <c r="D102" s="31" t="e">
        <f>VLOOKUP(A1,DIV_13Data!$A$1:$DZU$1000000,1722,FALSE)</f>
        <v>#N/A</v>
      </c>
      <c r="E102" s="32" t="e">
        <f>VLOOKUP(A1,DIV_13Data!$A$1:$DZU$1000000,1723,FALSE)</f>
        <v>#N/A</v>
      </c>
      <c r="F102" s="34" t="e">
        <f>VLOOKUP(A1,DIV_13Data!$A$1:$DZU$1000000,1724,FALSE)</f>
        <v>#N/A</v>
      </c>
      <c r="G102" s="33" t="e">
        <f>VLOOKUP(A1,DIV_13Data!$A$1:$DZU$1000000,1725,FALSE)</f>
        <v>#N/A</v>
      </c>
      <c r="H102" s="34" t="e">
        <f>VLOOKUP(A1,DIV_13Data!$A$1:$DZU$1000000,1726,FALSE)</f>
        <v>#N/A</v>
      </c>
      <c r="I102" s="33" t="e">
        <f>VLOOKUP(A1,DIV_13Data!$A$1:$DZU$1000000,1727,FALSE)</f>
        <v>#N/A</v>
      </c>
      <c r="J102" s="34" t="e">
        <f>VLOOKUP(A1,DIV_13Data!$A$1:$DZU$1000000,1728,FALSE)</f>
        <v>#N/A</v>
      </c>
      <c r="K102" s="34" t="e">
        <f>VLOOKUP(A1,DIV_13Data!$A$1:$DZU$1000000,1729,FALSE)</f>
        <v>#N/A</v>
      </c>
      <c r="L102" s="93" t="e">
        <f>VLOOKUP(A1,DIV_13Data!$A$1:$DZU$1000000,1730,FALSE)</f>
        <v>#N/A</v>
      </c>
      <c r="M102" s="33" t="e">
        <f>VLOOKUP(A1,DIV_13Data!$A$1:$DZU$1000000,1731,FALSE)</f>
        <v>#N/A</v>
      </c>
      <c r="N102" s="34" t="e">
        <f>VLOOKUP(A1,DIV_13Data!$A$1:$DZU$1000000,1732,FALSE)</f>
        <v>#N/A</v>
      </c>
      <c r="O102" s="33" t="e">
        <f>VLOOKUP(A1,DIV_13Data!$A$1:$DZU$1000000,1733,FALSE)</f>
        <v>#N/A</v>
      </c>
      <c r="P102" s="46" t="e">
        <f>VLOOKUP(A1,DIV_13Data!$A$1:$DZU$1000000,1734,FALSE)</f>
        <v>#N/A</v>
      </c>
      <c r="Q102" s="33" t="e">
        <f>VLOOKUP(A1,DIV_13Data!$A$1:$DZU$1000000,1735,FALSE)</f>
        <v>#N/A</v>
      </c>
    </row>
    <row r="103" spans="1:17" x14ac:dyDescent="0.35">
      <c r="A103" s="22" t="e">
        <f>VLOOKUP(A1,DIV_13Data!$A$1:$DZU$1000000,1736,FALSE)</f>
        <v>#N/A</v>
      </c>
      <c r="B103" s="37" t="e">
        <f>VLOOKUP(A1,DIV_13Data!$A$1:$DZU$1000000,1737,FALSE)</f>
        <v>#N/A</v>
      </c>
      <c r="C103" s="38" t="e">
        <f>VLOOKUP(A1,DIV_13Data!$A$1:$DZU$1000000,1738,FALSE)</f>
        <v>#N/A</v>
      </c>
      <c r="D103" s="31" t="e">
        <f>VLOOKUP(A1,DIV_13Data!$A$1:$DZU$1000000,1739,FALSE)</f>
        <v>#N/A</v>
      </c>
      <c r="E103" s="32" t="e">
        <f>VLOOKUP(A1,DIV_13Data!$A$1:$DZU$1000000,1740,FALSE)</f>
        <v>#N/A</v>
      </c>
      <c r="F103" s="34" t="e">
        <f>VLOOKUP(A1,DIV_13Data!$A$1:$DZU$1000000,1741,FALSE)</f>
        <v>#N/A</v>
      </c>
      <c r="G103" s="33" t="e">
        <f>VLOOKUP(A1,DIV_13Data!$A$1:$DZU$1000000,1742,FALSE)</f>
        <v>#N/A</v>
      </c>
      <c r="H103" s="34" t="e">
        <f>VLOOKUP(A1,DIV_13Data!$A$1:$DZU$1000000,1743,FALSE)</f>
        <v>#N/A</v>
      </c>
      <c r="I103" s="33" t="e">
        <f>VLOOKUP(A1,DIV_13Data!$A$1:$DZU$1000000,1744,FALSE)</f>
        <v>#N/A</v>
      </c>
      <c r="J103" s="34" t="e">
        <f>VLOOKUP(A1,DIV_13Data!$A$1:$DZU$1000000,1745,FALSE)</f>
        <v>#N/A</v>
      </c>
      <c r="K103" s="34" t="e">
        <f>VLOOKUP(A1,DIV_13Data!$A$1:$DZU$1000000,1746,FALSE)</f>
        <v>#N/A</v>
      </c>
      <c r="L103" s="93" t="e">
        <f>VLOOKUP(A1,DIV_13Data!$A$1:$DZU$1000000,1747,FALSE)</f>
        <v>#N/A</v>
      </c>
      <c r="M103" s="33" t="e">
        <f>VLOOKUP(A1,DIV_13Data!$A$1:$DZU$1000000,1748,FALSE)</f>
        <v>#N/A</v>
      </c>
      <c r="N103" s="34" t="e">
        <f>VLOOKUP(A1,DIV_13Data!$A$1:$DZU$1000000,1749,FALSE)</f>
        <v>#N/A</v>
      </c>
      <c r="O103" s="33" t="e">
        <f>VLOOKUP(A1,DIV_13Data!$A$1:$DZU$1000000,1750,FALSE)</f>
        <v>#N/A</v>
      </c>
      <c r="P103" s="46" t="e">
        <f>VLOOKUP(A1,DIV_13Data!$A$1:$DZU$1000000,1751,FALSE)</f>
        <v>#N/A</v>
      </c>
      <c r="Q103" s="33" t="e">
        <f>VLOOKUP(A1,DIV_13Data!$A$1:$DZU$1000000,1752,FALSE)</f>
        <v>#N/A</v>
      </c>
    </row>
    <row r="104" spans="1:17" x14ac:dyDescent="0.35">
      <c r="A104" s="22" t="e">
        <f>VLOOKUP(A1,DIV_13Data!$A$1:$DZU$1000000,1753,FALSE)</f>
        <v>#N/A</v>
      </c>
      <c r="B104" s="37" t="e">
        <f>VLOOKUP(A1,DIV_13Data!$A$1:$DZU$1000000,1754,FALSE)</f>
        <v>#N/A</v>
      </c>
      <c r="C104" s="38" t="e">
        <f>VLOOKUP(A1,DIV_13Data!$A$1:$DZU$1000000,1755,FALSE)</f>
        <v>#N/A</v>
      </c>
      <c r="D104" s="31" t="e">
        <f>VLOOKUP(A1,DIV_13Data!$A$1:$DZU$1000000,1756,FALSE)</f>
        <v>#N/A</v>
      </c>
      <c r="E104" s="32" t="e">
        <f>VLOOKUP(A1,DIV_13Data!$A$1:$DZU$1000000,1757,FALSE)</f>
        <v>#N/A</v>
      </c>
      <c r="F104" s="34" t="e">
        <f>VLOOKUP(A1,DIV_13Data!$A$1:$DZU$1000000,1758,FALSE)</f>
        <v>#N/A</v>
      </c>
      <c r="G104" s="33" t="e">
        <f>VLOOKUP(A1,DIV_13Data!$A$1:$DZU$1000000,1759,FALSE)</f>
        <v>#N/A</v>
      </c>
      <c r="H104" s="34" t="e">
        <f>VLOOKUP(A1,DIV_13Data!$A$1:$DZU$1000000,1760,FALSE)</f>
        <v>#N/A</v>
      </c>
      <c r="I104" s="33" t="e">
        <f>VLOOKUP(A1,DIV_13Data!$A$1:$DZU$1000000,1761,FALSE)</f>
        <v>#N/A</v>
      </c>
      <c r="J104" s="34" t="e">
        <f>VLOOKUP(A1,DIV_13Data!$A$1:$DZU$1000000,1762,FALSE)</f>
        <v>#N/A</v>
      </c>
      <c r="K104" s="34" t="e">
        <f>VLOOKUP(A1,DIV_13Data!$A$1:$DZU$1000000,1763,FALSE)</f>
        <v>#N/A</v>
      </c>
      <c r="L104" s="93" t="e">
        <f>VLOOKUP(A1,DIV_13Data!$A$1:$DZU$1000000,1764,FALSE)</f>
        <v>#N/A</v>
      </c>
      <c r="M104" s="33" t="e">
        <f>VLOOKUP(A1,DIV_13Data!$A$1:$DZU$1000000,1765,FALSE)</f>
        <v>#N/A</v>
      </c>
      <c r="N104" s="34" t="e">
        <f>VLOOKUP(A1,DIV_13Data!$A$1:$DZU$1000000,1766,FALSE)</f>
        <v>#N/A</v>
      </c>
      <c r="O104" s="33" t="e">
        <f>VLOOKUP(A1,DIV_13Data!$A$1:$DZU$1000000,1767,FALSE)</f>
        <v>#N/A</v>
      </c>
      <c r="P104" s="46" t="e">
        <f>VLOOKUP(A1,DIV_13Data!$A$1:$DZU$1000000,1768,FALSE)</f>
        <v>#N/A</v>
      </c>
      <c r="Q104" s="33" t="e">
        <f>VLOOKUP(A1,DIV_13Data!$A$1:$DZU$1000000,1769,FALSE)</f>
        <v>#N/A</v>
      </c>
    </row>
    <row r="105" spans="1:17" x14ac:dyDescent="0.35">
      <c r="A105" s="22" t="e">
        <f>VLOOKUP(A1,DIV_13Data!$A$1:$DZU$1000000,1770,FALSE)</f>
        <v>#N/A</v>
      </c>
      <c r="B105" s="37" t="e">
        <f>VLOOKUP(A1,DIV_13Data!$A$1:$DZU$1000000,1771,FALSE)</f>
        <v>#N/A</v>
      </c>
      <c r="C105" s="38" t="e">
        <f>VLOOKUP(A1,DIV_13Data!$A$1:$DZU$1000000,1772,FALSE)</f>
        <v>#N/A</v>
      </c>
      <c r="D105" s="31" t="e">
        <f>VLOOKUP(A1,DIV_13Data!$A$1:$DZU$1000000,1773,FALSE)</f>
        <v>#N/A</v>
      </c>
      <c r="E105" s="32" t="e">
        <f>VLOOKUP(A1,DIV_13Data!$A$1:$DZU$1000000,1774,FALSE)</f>
        <v>#N/A</v>
      </c>
      <c r="F105" s="34" t="e">
        <f>VLOOKUP(A1,DIV_13Data!$A$1:$DZU$1000000,1775,FALSE)</f>
        <v>#N/A</v>
      </c>
      <c r="G105" s="33" t="e">
        <f>VLOOKUP(A1,DIV_13Data!$A$1:$DZU$1000000,1776,FALSE)</f>
        <v>#N/A</v>
      </c>
      <c r="H105" s="34" t="e">
        <f>VLOOKUP(A1,DIV_13Data!$A$1:$DZU$1000000,1777,FALSE)</f>
        <v>#N/A</v>
      </c>
      <c r="I105" s="33" t="e">
        <f>VLOOKUP(A1,DIV_13Data!$A$1:$DZU$1000000,1778,FALSE)</f>
        <v>#N/A</v>
      </c>
      <c r="J105" s="34" t="e">
        <f>VLOOKUP(A1,DIV_13Data!$A$1:$DZU$1000000,1779,FALSE)</f>
        <v>#N/A</v>
      </c>
      <c r="K105" s="34" t="e">
        <f>VLOOKUP(A1,DIV_13Data!$A$1:$DZU$1000000,1780,FALSE)</f>
        <v>#N/A</v>
      </c>
      <c r="L105" s="93" t="e">
        <f>VLOOKUP(A1,DIV_13Data!$A$1:$DZU$1000000,1781,FALSE)</f>
        <v>#N/A</v>
      </c>
      <c r="M105" s="33" t="e">
        <f>VLOOKUP(A1,DIV_13Data!$A$1:$DZU$1000000,1782,FALSE)</f>
        <v>#N/A</v>
      </c>
      <c r="N105" s="34" t="e">
        <f>VLOOKUP(A1,DIV_13Data!$A$1:$DZU$1000000,1783,FALSE)</f>
        <v>#N/A</v>
      </c>
      <c r="O105" s="33" t="e">
        <f>VLOOKUP(A1,DIV_13Data!$A$1:$DZU$1000000,1784,FALSE)</f>
        <v>#N/A</v>
      </c>
      <c r="P105" s="46" t="e">
        <f>VLOOKUP(A1,DIV_13Data!$A$1:$DZU$1000000,1785,FALSE)</f>
        <v>#N/A</v>
      </c>
      <c r="Q105" s="33" t="e">
        <f>VLOOKUP(A1,DIV_13Data!$A$1:$DZU$1000000,1786,FALSE)</f>
        <v>#N/A</v>
      </c>
    </row>
    <row r="106" spans="1:17" x14ac:dyDescent="0.35">
      <c r="A106" s="22" t="e">
        <f>VLOOKUP(A1,DIV_13Data!$A$1:$DZU$1000000,1787,FALSE)</f>
        <v>#N/A</v>
      </c>
      <c r="B106" s="37" t="e">
        <f>VLOOKUP(A1,DIV_13Data!$A$1:$DZU$1000000,1788,FALSE)</f>
        <v>#N/A</v>
      </c>
      <c r="C106" s="38" t="e">
        <f>VLOOKUP(A1,DIV_13Data!$A$1:$DZU$1000000,1789,FALSE)</f>
        <v>#N/A</v>
      </c>
      <c r="D106" s="31" t="e">
        <f>VLOOKUP(A1,DIV_13Data!$A$1:$DZU$1000000,1790,FALSE)</f>
        <v>#N/A</v>
      </c>
      <c r="E106" s="32" t="e">
        <f>VLOOKUP(A1,DIV_13Data!$A$1:$DZU$1000000,1791,FALSE)</f>
        <v>#N/A</v>
      </c>
      <c r="F106" s="34" t="e">
        <f>VLOOKUP(A1,DIV_13Data!$A$1:$DZU$1000000,1792,FALSE)</f>
        <v>#N/A</v>
      </c>
      <c r="G106" s="33" t="e">
        <f>VLOOKUP(A1,DIV_13Data!$A$1:$DZU$1000000,1793,FALSE)</f>
        <v>#N/A</v>
      </c>
      <c r="H106" s="34" t="e">
        <f>VLOOKUP(A1,DIV_13Data!$A$1:$DZU$1000000,1794,FALSE)</f>
        <v>#N/A</v>
      </c>
      <c r="I106" s="33" t="e">
        <f>VLOOKUP(A1,DIV_13Data!$A$1:$DZU$1000000,1795,FALSE)</f>
        <v>#N/A</v>
      </c>
      <c r="J106" s="34" t="e">
        <f>VLOOKUP(A1,DIV_13Data!$A$1:$DZU$1000000,1796,FALSE)</f>
        <v>#N/A</v>
      </c>
      <c r="K106" s="34" t="e">
        <f>VLOOKUP(A1,DIV_13Data!$A$1:$DZU$1000000,1797,FALSE)</f>
        <v>#N/A</v>
      </c>
      <c r="L106" s="93" t="e">
        <f>VLOOKUP(A1,DIV_13Data!$A$1:$DZU$1000000,1798,FALSE)</f>
        <v>#N/A</v>
      </c>
      <c r="M106" s="33" t="e">
        <f>VLOOKUP(A1,DIV_13Data!$A$1:$DZU$1000000,1799,FALSE)</f>
        <v>#N/A</v>
      </c>
      <c r="N106" s="34" t="e">
        <f>VLOOKUP(A1,DIV_13Data!$A$1:$DZU$1000000,1800,FALSE)</f>
        <v>#N/A</v>
      </c>
      <c r="O106" s="33" t="e">
        <f>VLOOKUP(A1,DIV_13Data!$A$1:$DZU$1000000,1801,FALSE)</f>
        <v>#N/A</v>
      </c>
      <c r="P106" s="46" t="e">
        <f>VLOOKUP(A1,DIV_13Data!$A$1:$DZU$1000000,1802,FALSE)</f>
        <v>#N/A</v>
      </c>
      <c r="Q106" s="33" t="e">
        <f>VLOOKUP(A1,DIV_13Data!$A$1:$DZU$1000000,1803,FALSE)</f>
        <v>#N/A</v>
      </c>
    </row>
    <row r="107" spans="1:17" x14ac:dyDescent="0.35">
      <c r="A107" s="22" t="e">
        <f>VLOOKUP(A1,DIV_13Data!$A$1:$DZU$1000000,1804,FALSE)</f>
        <v>#N/A</v>
      </c>
      <c r="B107" s="37" t="e">
        <f>VLOOKUP(A1,DIV_13Data!$A$1:$DZU$1000000,1805,FALSE)</f>
        <v>#N/A</v>
      </c>
      <c r="C107" s="38" t="e">
        <f>VLOOKUP(A1,DIV_13Data!$A$1:$DZU$1000000,1806,FALSE)</f>
        <v>#N/A</v>
      </c>
      <c r="D107" s="31" t="e">
        <f>VLOOKUP(A1,DIV_13Data!$A$1:$DZU$1000000,1807,FALSE)</f>
        <v>#N/A</v>
      </c>
      <c r="E107" s="32" t="e">
        <f>VLOOKUP(A1,DIV_13Data!$A$1:$DZU$1000000,1808,FALSE)</f>
        <v>#N/A</v>
      </c>
      <c r="F107" s="34" t="e">
        <f>VLOOKUP(A1,DIV_13Data!$A$1:$DZU$1000000,1809,FALSE)</f>
        <v>#N/A</v>
      </c>
      <c r="G107" s="33" t="e">
        <f>VLOOKUP(A1,DIV_13Data!$A$1:$DZU$1000000,1810,FALSE)</f>
        <v>#N/A</v>
      </c>
      <c r="H107" s="34" t="e">
        <f>VLOOKUP(A1,DIV_13Data!$A$1:$DZU$1000000,1811,FALSE)</f>
        <v>#N/A</v>
      </c>
      <c r="I107" s="33" t="e">
        <f>VLOOKUP(A1,DIV_13Data!$A$1:$DZU$1000000,1812,FALSE)</f>
        <v>#N/A</v>
      </c>
      <c r="J107" s="34" t="e">
        <f>VLOOKUP(A1,DIV_13Data!$A$1:$DZU$1000000,1813,FALSE)</f>
        <v>#N/A</v>
      </c>
      <c r="K107" s="34" t="e">
        <f>VLOOKUP(A1,DIV_13Data!$A$1:$DZU$1000000,1814,FALSE)</f>
        <v>#N/A</v>
      </c>
      <c r="L107" s="93" t="e">
        <f>VLOOKUP(A1,DIV_13Data!$A$1:$DZU$1000000,1815,FALSE)</f>
        <v>#N/A</v>
      </c>
      <c r="M107" s="33" t="e">
        <f>VLOOKUP(A1,DIV_13Data!$A$1:$DZU$1000000,1816,FALSE)</f>
        <v>#N/A</v>
      </c>
      <c r="N107" s="34" t="e">
        <f>VLOOKUP(A1,DIV_13Data!$A$1:$DZU$1000000,1817,FALSE)</f>
        <v>#N/A</v>
      </c>
      <c r="O107" s="33" t="e">
        <f>VLOOKUP(A1,DIV_13Data!$A$1:$DZU$1000000,1818,FALSE)</f>
        <v>#N/A</v>
      </c>
      <c r="P107" s="46" t="e">
        <f>VLOOKUP(A1,DIV_13Data!$A$1:$DZU$1000000,1819,FALSE)</f>
        <v>#N/A</v>
      </c>
      <c r="Q107" s="33" t="e">
        <f>VLOOKUP(A1,DIV_13Data!$A$1:$DZU$1000000,1820,FALSE)</f>
        <v>#N/A</v>
      </c>
    </row>
    <row r="108" spans="1:17" x14ac:dyDescent="0.35">
      <c r="A108" s="22" t="e">
        <f>VLOOKUP(A1,DIV_13Data!$A$1:$DZU$1000000,1821,FALSE)</f>
        <v>#N/A</v>
      </c>
      <c r="B108" s="37" t="e">
        <f>VLOOKUP(A1,DIV_13Data!$A$1:$DZU$1000000,1822,FALSE)</f>
        <v>#N/A</v>
      </c>
      <c r="C108" s="38" t="e">
        <f>VLOOKUP(A1,DIV_13Data!$A$1:$DZU$1000000,1823,FALSE)</f>
        <v>#N/A</v>
      </c>
      <c r="D108" s="31" t="e">
        <f>VLOOKUP(A1,DIV_13Data!$A$1:$DZU$1000000,1824,FALSE)</f>
        <v>#N/A</v>
      </c>
      <c r="E108" s="32" t="e">
        <f>VLOOKUP(A1,DIV_13Data!$A$1:$DZU$1000000,1825,FALSE)</f>
        <v>#N/A</v>
      </c>
      <c r="F108" s="34" t="e">
        <f>VLOOKUP(A1,DIV_13Data!$A$1:$DZU$1000000,1826,FALSE)</f>
        <v>#N/A</v>
      </c>
      <c r="G108" s="33" t="e">
        <f>VLOOKUP(A1,DIV_13Data!$A$1:$DZU$1000000,1827,FALSE)</f>
        <v>#N/A</v>
      </c>
      <c r="H108" s="34" t="e">
        <f>VLOOKUP(A1,DIV_13Data!$A$1:$DZU$1000000,1828,FALSE)</f>
        <v>#N/A</v>
      </c>
      <c r="I108" s="33" t="e">
        <f>VLOOKUP(A1,DIV_13Data!$A$1:$DZU$1000000,1829,FALSE)</f>
        <v>#N/A</v>
      </c>
      <c r="J108" s="34" t="e">
        <f>VLOOKUP(A1,DIV_13Data!$A$1:$DZU$1000000,1830,FALSE)</f>
        <v>#N/A</v>
      </c>
      <c r="K108" s="34" t="e">
        <f>VLOOKUP(A1,DIV_13Data!$A$1:$DZU$1000000,1831,FALSE)</f>
        <v>#N/A</v>
      </c>
      <c r="L108" s="93" t="e">
        <f>VLOOKUP(A1,DIV_13Data!$A$1:$DZU$1000000,1832,FALSE)</f>
        <v>#N/A</v>
      </c>
      <c r="M108" s="33" t="e">
        <f>VLOOKUP(A1,DIV_13Data!$A$1:$DZU$1000000,1833,FALSE)</f>
        <v>#N/A</v>
      </c>
      <c r="N108" s="34" t="e">
        <f>VLOOKUP(A1,DIV_13Data!$A$1:$DZU$1000000,1834,FALSE)</f>
        <v>#N/A</v>
      </c>
      <c r="O108" s="33" t="e">
        <f>VLOOKUP(A1,DIV_13Data!$A$1:$DZU$1000000,1835,FALSE)</f>
        <v>#N/A</v>
      </c>
      <c r="P108" s="46" t="e">
        <f>VLOOKUP(A1,DIV_13Data!$A$1:$DZU$1000000,1836,FALSE)</f>
        <v>#N/A</v>
      </c>
      <c r="Q108" s="33" t="e">
        <f>VLOOKUP(A1,DIV_13Data!$A$1:$DZU$1000000,1837,FALSE)</f>
        <v>#N/A</v>
      </c>
    </row>
    <row r="109" spans="1:17" x14ac:dyDescent="0.35">
      <c r="A109" s="22" t="e">
        <f>VLOOKUP(A1,DIV_13Data!$A$1:$DZU$1000000,1838,FALSE)</f>
        <v>#N/A</v>
      </c>
      <c r="B109" s="37" t="e">
        <f>VLOOKUP(A1,DIV_13Data!$A$1:$DZU$1000000,1839,FALSE)</f>
        <v>#N/A</v>
      </c>
      <c r="C109" s="38" t="e">
        <f>VLOOKUP(A1,DIV_13Data!$A$1:$DZU$1000000,1840,FALSE)</f>
        <v>#N/A</v>
      </c>
      <c r="D109" s="31" t="e">
        <f>VLOOKUP(A1,DIV_13Data!$A$1:$DZU$1000000,1841,FALSE)</f>
        <v>#N/A</v>
      </c>
      <c r="E109" s="32" t="e">
        <f>VLOOKUP(A1,DIV_13Data!$A$1:$DZU$1000000,1842,FALSE)</f>
        <v>#N/A</v>
      </c>
      <c r="F109" s="34" t="e">
        <f>VLOOKUP(A1,DIV_13Data!$A$1:$DZU$1000000,1843,FALSE)</f>
        <v>#N/A</v>
      </c>
      <c r="G109" s="33" t="e">
        <f>VLOOKUP(A1,DIV_13Data!$A$1:$DZU$1000000,1844,FALSE)</f>
        <v>#N/A</v>
      </c>
      <c r="H109" s="34" t="e">
        <f>VLOOKUP(A1,DIV_13Data!$A$1:$DZU$1000000,1845,FALSE)</f>
        <v>#N/A</v>
      </c>
      <c r="I109" s="33" t="e">
        <f>VLOOKUP(A1,DIV_13Data!$A$1:$DZU$1000000,1846,FALSE)</f>
        <v>#N/A</v>
      </c>
      <c r="J109" s="34" t="e">
        <f>VLOOKUP(A1,DIV_13Data!$A$1:$DZU$1000000,1847,FALSE)</f>
        <v>#N/A</v>
      </c>
      <c r="K109" s="34" t="e">
        <f>VLOOKUP(A1,DIV_13Data!$A$1:$DZU$1000000,1848,FALSE)</f>
        <v>#N/A</v>
      </c>
      <c r="L109" s="93" t="e">
        <f>VLOOKUP(A1,DIV_13Data!$A$1:$DZU$1000000,1849,FALSE)</f>
        <v>#N/A</v>
      </c>
      <c r="M109" s="33" t="e">
        <f>VLOOKUP(A1,DIV_13Data!$A$1:$DZU$1000000,1850,FALSE)</f>
        <v>#N/A</v>
      </c>
      <c r="N109" s="34" t="e">
        <f>VLOOKUP(A1,DIV_13Data!$A$1:$DZU$1000000,1851,FALSE)</f>
        <v>#N/A</v>
      </c>
      <c r="O109" s="33" t="e">
        <f>VLOOKUP(A1,DIV_13Data!$A$1:$DZU$1000000,1852,FALSE)</f>
        <v>#N/A</v>
      </c>
      <c r="P109" s="46" t="e">
        <f>VLOOKUP(A1,DIV_13Data!$A$1:$DZU$1000000,1853,FALSE)</f>
        <v>#N/A</v>
      </c>
      <c r="Q109" s="33" t="e">
        <f>VLOOKUP(A1,DIV_13Data!$A$1:$DZU$1000000,1854,FALSE)</f>
        <v>#N/A</v>
      </c>
    </row>
    <row r="110" spans="1:17" x14ac:dyDescent="0.35">
      <c r="A110" s="22" t="e">
        <f>VLOOKUP(A1,DIV_13Data!$A$1:$DZU$1000000,1855,FALSE)</f>
        <v>#N/A</v>
      </c>
      <c r="B110" s="37" t="e">
        <f>VLOOKUP(A1,DIV_13Data!$A$1:$DZU$1000000,1856,FALSE)</f>
        <v>#N/A</v>
      </c>
      <c r="C110" s="38" t="e">
        <f>VLOOKUP(A1,DIV_13Data!$A$1:$DZU$1000000,1857,FALSE)</f>
        <v>#N/A</v>
      </c>
      <c r="D110" s="31" t="e">
        <f>VLOOKUP(A1,DIV_13Data!$A$1:$DZU$1000000,1858,FALSE)</f>
        <v>#N/A</v>
      </c>
      <c r="E110" s="32" t="e">
        <f>VLOOKUP(A1,DIV_13Data!$A$1:$DZU$1000000,1859,FALSE)</f>
        <v>#N/A</v>
      </c>
      <c r="F110" s="34" t="e">
        <f>VLOOKUP(A1,DIV_13Data!$A$1:$DZU$1000000,1860,FALSE)</f>
        <v>#N/A</v>
      </c>
      <c r="G110" s="33" t="e">
        <f>VLOOKUP(A1,DIV_13Data!$A$1:$DZU$1000000,1861,FALSE)</f>
        <v>#N/A</v>
      </c>
      <c r="H110" s="34" t="e">
        <f>VLOOKUP(A1,DIV_13Data!$A$1:$DZU$1000000,1862,FALSE)</f>
        <v>#N/A</v>
      </c>
      <c r="I110" s="33" t="e">
        <f>VLOOKUP(A1,DIV_13Data!$A$1:$DZU$1000000,1863,FALSE)</f>
        <v>#N/A</v>
      </c>
      <c r="J110" s="34" t="e">
        <f>VLOOKUP(A1,DIV_13Data!$A$1:$DZU$1000000,1864,FALSE)</f>
        <v>#N/A</v>
      </c>
      <c r="K110" s="34" t="e">
        <f>VLOOKUP(A1,DIV_13Data!$A$1:$DZU$1000000,1865,FALSE)</f>
        <v>#N/A</v>
      </c>
      <c r="L110" s="93" t="e">
        <f>VLOOKUP(A1,DIV_13Data!$A$1:$DZU$1000000,1866,FALSE)</f>
        <v>#N/A</v>
      </c>
      <c r="M110" s="33" t="e">
        <f>VLOOKUP(A1,DIV_13Data!$A$1:$DZU$1000000,1867,FALSE)</f>
        <v>#N/A</v>
      </c>
      <c r="N110" s="34" t="e">
        <f>VLOOKUP(A1,DIV_13Data!$A$1:$DZU$1000000,1868,FALSE)</f>
        <v>#N/A</v>
      </c>
      <c r="O110" s="33" t="e">
        <f>VLOOKUP(A1,DIV_13Data!$A$1:$DZU$1000000,1869,FALSE)</f>
        <v>#N/A</v>
      </c>
      <c r="P110" s="46" t="e">
        <f>VLOOKUP(A1,DIV_13Data!$A$1:$DZU$1000000,1870,FALSE)</f>
        <v>#N/A</v>
      </c>
      <c r="Q110" s="33" t="e">
        <f>VLOOKUP(A1,DIV_13Data!$A$1:$DZU$1000000,1871,FALSE)</f>
        <v>#N/A</v>
      </c>
    </row>
    <row r="111" spans="1:17" x14ac:dyDescent="0.35">
      <c r="A111" s="22" t="e">
        <f>VLOOKUP(A1,DIV_13Data!$A$1:$DZU$1000000,1872,FALSE)</f>
        <v>#N/A</v>
      </c>
      <c r="B111" s="37" t="e">
        <f>VLOOKUP(A1,DIV_13Data!$A$1:$DZU$1000000,1873,FALSE)</f>
        <v>#N/A</v>
      </c>
      <c r="C111" s="38" t="e">
        <f>VLOOKUP(A1,DIV_13Data!$A$1:$DZU$1000000,1874,FALSE)</f>
        <v>#N/A</v>
      </c>
      <c r="D111" s="31" t="e">
        <f>VLOOKUP(A1,DIV_13Data!$A$1:$DZU$1000000,1875,FALSE)</f>
        <v>#N/A</v>
      </c>
      <c r="E111" s="32" t="e">
        <f>VLOOKUP(A1,DIV_13Data!$A$1:$DZU$1000000,1876,FALSE)</f>
        <v>#N/A</v>
      </c>
      <c r="F111" s="34" t="e">
        <f>VLOOKUP(A1,DIV_13Data!$A$1:$DZU$1000000,1877,FALSE)</f>
        <v>#N/A</v>
      </c>
      <c r="G111" s="33" t="e">
        <f>VLOOKUP(A1,DIV_13Data!$A$1:$DZU$1000000,1878,FALSE)</f>
        <v>#N/A</v>
      </c>
      <c r="H111" s="34" t="e">
        <f>VLOOKUP(A1,DIV_13Data!$A$1:$DZU$1000000,1879,FALSE)</f>
        <v>#N/A</v>
      </c>
      <c r="I111" s="33" t="e">
        <f>VLOOKUP(A1,DIV_13Data!$A$1:$DZU$1000000,1880,FALSE)</f>
        <v>#N/A</v>
      </c>
      <c r="J111" s="34" t="e">
        <f>VLOOKUP(A1,DIV_13Data!$A$1:$DZU$1000000,1881,FALSE)</f>
        <v>#N/A</v>
      </c>
      <c r="K111" s="34" t="e">
        <f>VLOOKUP(A1,DIV_13Data!$A$1:$DZU$1000000,1882,FALSE)</f>
        <v>#N/A</v>
      </c>
      <c r="L111" s="93" t="e">
        <f>VLOOKUP(A1,DIV_13Data!$A$1:$DZU$1000000,1883,FALSE)</f>
        <v>#N/A</v>
      </c>
      <c r="M111" s="33" t="e">
        <f>VLOOKUP(A1,DIV_13Data!$A$1:$DZU$1000000,1884,FALSE)</f>
        <v>#N/A</v>
      </c>
      <c r="N111" s="34" t="e">
        <f>VLOOKUP(A1,DIV_13Data!$A$1:$DZU$1000000,1885,FALSE)</f>
        <v>#N/A</v>
      </c>
      <c r="O111" s="33" t="e">
        <f>VLOOKUP(A1,DIV_13Data!$A$1:$DZU$1000000,1886,FALSE)</f>
        <v>#N/A</v>
      </c>
      <c r="P111" s="46" t="e">
        <f>VLOOKUP(A1,DIV_13Data!$A$1:$DZU$1000000,1887,FALSE)</f>
        <v>#N/A</v>
      </c>
      <c r="Q111" s="33" t="e">
        <f>VLOOKUP(A1,DIV_13Data!$A$1:$DZU$1000000,1888,FALSE)</f>
        <v>#N/A</v>
      </c>
    </row>
    <row r="112" spans="1:17" x14ac:dyDescent="0.35">
      <c r="A112" s="22" t="e">
        <f>VLOOKUP(A1,DIV_13Data!$A$1:$DZU$1000000,1889,FALSE)</f>
        <v>#N/A</v>
      </c>
      <c r="B112" s="37" t="e">
        <f>VLOOKUP(A1,DIV_13Data!$A$1:$DZU$1000000,1890,FALSE)</f>
        <v>#N/A</v>
      </c>
      <c r="C112" s="38" t="e">
        <f>VLOOKUP(A1,DIV_13Data!$A$1:$DZU$1000000,1891,FALSE)</f>
        <v>#N/A</v>
      </c>
      <c r="D112" s="31" t="e">
        <f>VLOOKUP(A1,DIV_13Data!$A$1:$DZU$1000000,1892,FALSE)</f>
        <v>#N/A</v>
      </c>
      <c r="E112" s="32" t="e">
        <f>VLOOKUP(A1,DIV_13Data!$A$1:$DZU$1000000,1893,FALSE)</f>
        <v>#N/A</v>
      </c>
      <c r="F112" s="34" t="e">
        <f>VLOOKUP(A1,DIV_13Data!$A$1:$DZU$1000000,1894,FALSE)</f>
        <v>#N/A</v>
      </c>
      <c r="G112" s="33" t="e">
        <f>VLOOKUP(A1,DIV_13Data!$A$1:$DZU$1000000,1895,FALSE)</f>
        <v>#N/A</v>
      </c>
      <c r="H112" s="34" t="e">
        <f>VLOOKUP(A1,DIV_13Data!$A$1:$DZU$1000000,1896,FALSE)</f>
        <v>#N/A</v>
      </c>
      <c r="I112" s="33" t="e">
        <f>VLOOKUP(A1,DIV_13Data!$A$1:$DZU$1000000,1897,FALSE)</f>
        <v>#N/A</v>
      </c>
      <c r="J112" s="34" t="e">
        <f>VLOOKUP(A1,DIV_13Data!$A$1:$DZU$1000000,1898,FALSE)</f>
        <v>#N/A</v>
      </c>
      <c r="K112" s="34" t="e">
        <f>VLOOKUP(A1,DIV_13Data!$A$1:$DZU$1000000,1899,FALSE)</f>
        <v>#N/A</v>
      </c>
      <c r="L112" s="93" t="e">
        <f>VLOOKUP(A1,DIV_13Data!$A$1:$DZU$1000000,1900,FALSE)</f>
        <v>#N/A</v>
      </c>
      <c r="M112" s="33" t="e">
        <f>VLOOKUP(A1,DIV_13Data!$A$1:$DZU$1000000,1901,FALSE)</f>
        <v>#N/A</v>
      </c>
      <c r="N112" s="34" t="e">
        <f>VLOOKUP(A1,DIV_13Data!$A$1:$DZU$1000000,1902,FALSE)</f>
        <v>#N/A</v>
      </c>
      <c r="O112" s="33" t="e">
        <f>VLOOKUP(A1,DIV_13Data!$A$1:$DZU$1000000,1903,FALSE)</f>
        <v>#N/A</v>
      </c>
      <c r="P112" s="46" t="e">
        <f>VLOOKUP(A1,DIV_13Data!$A$1:$DZU$1000000,1904,FALSE)</f>
        <v>#N/A</v>
      </c>
      <c r="Q112" s="33" t="e">
        <f>VLOOKUP(A1,DIV_13Data!$A$1:$DZU$1000000,1905,FALSE)</f>
        <v>#N/A</v>
      </c>
    </row>
    <row r="113" spans="1:17" x14ac:dyDescent="0.35">
      <c r="A113" s="22" t="e">
        <f>VLOOKUP(A1,DIV_13Data!$A$1:$DZU$1000000,1906,FALSE)</f>
        <v>#N/A</v>
      </c>
      <c r="B113" s="37" t="e">
        <f>VLOOKUP(A1,DIV_13Data!$A$1:$DZU$1000000,1907,FALSE)</f>
        <v>#N/A</v>
      </c>
      <c r="C113" s="38" t="e">
        <f>VLOOKUP(A1,DIV_13Data!$A$1:$DZU$1000000,1908,FALSE)</f>
        <v>#N/A</v>
      </c>
      <c r="D113" s="31" t="e">
        <f>VLOOKUP(A1,DIV_13Data!$A$1:$DZU$1000000,1909,FALSE)</f>
        <v>#N/A</v>
      </c>
      <c r="E113" s="32" t="e">
        <f>VLOOKUP(A1,DIV_13Data!$A$1:$DZU$1000000,1910,FALSE)</f>
        <v>#N/A</v>
      </c>
      <c r="F113" s="34" t="e">
        <f>VLOOKUP(A1,DIV_13Data!$A$1:$DZU$1000000,1911,FALSE)</f>
        <v>#N/A</v>
      </c>
      <c r="G113" s="33" t="e">
        <f>VLOOKUP(A1,DIV_13Data!$A$1:$DZU$1000000,1912,FALSE)</f>
        <v>#N/A</v>
      </c>
      <c r="H113" s="34" t="e">
        <f>VLOOKUP(A1,DIV_13Data!$A$1:$DZU$1000000,1913,FALSE)</f>
        <v>#N/A</v>
      </c>
      <c r="I113" s="33" t="e">
        <f>VLOOKUP(A1,DIV_13Data!$A$1:$DZU$1000000,1914,FALSE)</f>
        <v>#N/A</v>
      </c>
      <c r="J113" s="34" t="e">
        <f>VLOOKUP(A1,DIV_13Data!$A$1:$DZU$1000000,1915,FALSE)</f>
        <v>#N/A</v>
      </c>
      <c r="K113" s="34" t="e">
        <f>VLOOKUP(A1,DIV_13Data!$A$1:$DZU$1000000,1916,FALSE)</f>
        <v>#N/A</v>
      </c>
      <c r="L113" s="93" t="e">
        <f>VLOOKUP(A1,DIV_13Data!$A$1:$DZU$1000000,1917,FALSE)</f>
        <v>#N/A</v>
      </c>
      <c r="M113" s="33" t="e">
        <f>VLOOKUP(A1,DIV_13Data!$A$1:$DZU$1000000,1918,FALSE)</f>
        <v>#N/A</v>
      </c>
      <c r="N113" s="34" t="e">
        <f>VLOOKUP(A1,DIV_13Data!$A$1:$DZU$1000000,1919,FALSE)</f>
        <v>#N/A</v>
      </c>
      <c r="O113" s="33" t="e">
        <f>VLOOKUP(A1,DIV_13Data!$A$1:$DZU$1000000,1920,FALSE)</f>
        <v>#N/A</v>
      </c>
      <c r="P113" s="46" t="e">
        <f>VLOOKUP(A1,DIV_13Data!$A$1:$DZU$1000000,1921,FALSE)</f>
        <v>#N/A</v>
      </c>
      <c r="Q113" s="33" t="e">
        <f>VLOOKUP(A1,DIV_13Data!$A$1:$DZU$1000000,1922,FALSE)</f>
        <v>#N/A</v>
      </c>
    </row>
    <row r="114" spans="1:17" x14ac:dyDescent="0.35">
      <c r="A114" s="22" t="e">
        <f>VLOOKUP(A1,DIV_13Data!$A$1:$DZU$1000000,1923,FALSE)</f>
        <v>#N/A</v>
      </c>
      <c r="B114" s="37" t="e">
        <f>VLOOKUP(A1,DIV_13Data!$A$1:$DZU$1000000,1924,FALSE)</f>
        <v>#N/A</v>
      </c>
      <c r="C114" s="38" t="e">
        <f>VLOOKUP(A1,DIV_13Data!$A$1:$DZU$1000000,1925,FALSE)</f>
        <v>#N/A</v>
      </c>
      <c r="D114" s="31" t="e">
        <f>VLOOKUP(A1,DIV_13Data!$A$1:$DZU$1000000,1926,FALSE)</f>
        <v>#N/A</v>
      </c>
      <c r="E114" s="32" t="e">
        <f>VLOOKUP(A1,DIV_13Data!$A$1:$DZU$1000000,1927,FALSE)</f>
        <v>#N/A</v>
      </c>
      <c r="F114" s="34" t="e">
        <f>VLOOKUP(A1,DIV_13Data!$A$1:$DZU$1000000,1928,FALSE)</f>
        <v>#N/A</v>
      </c>
      <c r="G114" s="33" t="e">
        <f>VLOOKUP(A1,DIV_13Data!$A$1:$DZU$1000000,1929,FALSE)</f>
        <v>#N/A</v>
      </c>
      <c r="H114" s="34" t="e">
        <f>VLOOKUP(A1,DIV_13Data!$A$1:$DZU$1000000,1930,FALSE)</f>
        <v>#N/A</v>
      </c>
      <c r="I114" s="33" t="e">
        <f>VLOOKUP(A1,DIV_13Data!$A$1:$DZU$1000000,1931,FALSE)</f>
        <v>#N/A</v>
      </c>
      <c r="J114" s="34" t="e">
        <f>VLOOKUP(A1,DIV_13Data!$A$1:$DZU$1000000,1932,FALSE)</f>
        <v>#N/A</v>
      </c>
      <c r="K114" s="34" t="e">
        <f>VLOOKUP(A1,DIV_13Data!$A$1:$DZU$1000000,1933,FALSE)</f>
        <v>#N/A</v>
      </c>
      <c r="L114" s="93" t="e">
        <f>VLOOKUP(A1,DIV_13Data!$A$1:$DZU$1000000,1934,FALSE)</f>
        <v>#N/A</v>
      </c>
      <c r="M114" s="33" t="e">
        <f>VLOOKUP(A1,DIV_13Data!$A$1:$DZU$1000000,1935,FALSE)</f>
        <v>#N/A</v>
      </c>
      <c r="N114" s="34" t="e">
        <f>VLOOKUP(A1,DIV_13Data!$A$1:$DZU$1000000,1936,FALSE)</f>
        <v>#N/A</v>
      </c>
      <c r="O114" s="33" t="e">
        <f>VLOOKUP(A1,DIV_13Data!$A$1:$DZU$1000000,1937,FALSE)</f>
        <v>#N/A</v>
      </c>
      <c r="P114" s="46" t="e">
        <f>VLOOKUP(A1,DIV_13Data!$A$1:$DZU$1000000,1938,FALSE)</f>
        <v>#N/A</v>
      </c>
      <c r="Q114" s="33" t="e">
        <f>VLOOKUP(A1,DIV_13Data!$A$1:$DZU$1000000,1939,FALSE)</f>
        <v>#N/A</v>
      </c>
    </row>
    <row r="115" spans="1:17" x14ac:dyDescent="0.35">
      <c r="A115" s="22" t="e">
        <f>VLOOKUP(A1,DIV_13Data!$A$1:$DZU$1000000,1940,FALSE)</f>
        <v>#N/A</v>
      </c>
      <c r="B115" s="37" t="e">
        <f>VLOOKUP(A1,DIV_13Data!$A$1:$DZU$1000000,1941,FALSE)</f>
        <v>#N/A</v>
      </c>
      <c r="C115" s="38" t="e">
        <f>VLOOKUP(A1,DIV_13Data!$A$1:$DZU$1000000,1942,FALSE)</f>
        <v>#N/A</v>
      </c>
      <c r="D115" s="31" t="e">
        <f>VLOOKUP(A1,DIV_13Data!$A$1:$DZU$1000000,1943,FALSE)</f>
        <v>#N/A</v>
      </c>
      <c r="E115" s="32" t="e">
        <f>VLOOKUP(A1,DIV_13Data!$A$1:$DZU$1000000,1944,FALSE)</f>
        <v>#N/A</v>
      </c>
      <c r="F115" s="34" t="e">
        <f>VLOOKUP(A1,DIV_13Data!$A$1:$DZU$1000000,1945,FALSE)</f>
        <v>#N/A</v>
      </c>
      <c r="G115" s="33" t="e">
        <f>VLOOKUP(A1,DIV_13Data!$A$1:$DZU$1000000,1946,FALSE)</f>
        <v>#N/A</v>
      </c>
      <c r="H115" s="34" t="e">
        <f>VLOOKUP(A1,DIV_13Data!$A$1:$DZU$1000000,1947,FALSE)</f>
        <v>#N/A</v>
      </c>
      <c r="I115" s="33" t="e">
        <f>VLOOKUP(A1,DIV_13Data!$A$1:$DZU$1000000,1948,FALSE)</f>
        <v>#N/A</v>
      </c>
      <c r="J115" s="34" t="e">
        <f>VLOOKUP(A1,DIV_13Data!$A$1:$DZU$1000000,1949,FALSE)</f>
        <v>#N/A</v>
      </c>
      <c r="K115" s="34" t="e">
        <f>VLOOKUP(A1,DIV_13Data!$A$1:$DZU$1000000,1950,FALSE)</f>
        <v>#N/A</v>
      </c>
      <c r="L115" s="93" t="e">
        <f>VLOOKUP(A1,DIV_13Data!$A$1:$DZU$1000000,1951,FALSE)</f>
        <v>#N/A</v>
      </c>
      <c r="M115" s="33" t="e">
        <f>VLOOKUP(A1,DIV_13Data!$A$1:$DZU$1000000,1952,FALSE)</f>
        <v>#N/A</v>
      </c>
      <c r="N115" s="34" t="e">
        <f>VLOOKUP(A1,DIV_13Data!$A$1:$DZU$1000000,1953,FALSE)</f>
        <v>#N/A</v>
      </c>
      <c r="O115" s="33" t="e">
        <f>VLOOKUP(A1,DIV_13Data!$A$1:$DZU$1000000,1954,FALSE)</f>
        <v>#N/A</v>
      </c>
      <c r="P115" s="46" t="e">
        <f>VLOOKUP(A1,DIV_13Data!$A$1:$DZU$1000000,1955,FALSE)</f>
        <v>#N/A</v>
      </c>
      <c r="Q115" s="33" t="e">
        <f>VLOOKUP(A1,DIV_13Data!$A$1:$DZU$1000000,1956,FALSE)</f>
        <v>#N/A</v>
      </c>
    </row>
    <row r="116" spans="1:17" x14ac:dyDescent="0.35">
      <c r="A116" s="22" t="e">
        <f>VLOOKUP(A1,DIV_13Data!$A$1:$DZU$1000000,1957,FALSE)</f>
        <v>#N/A</v>
      </c>
      <c r="B116" s="37" t="e">
        <f>VLOOKUP(A1,DIV_13Data!$A$1:$DZU$1000000,1958,FALSE)</f>
        <v>#N/A</v>
      </c>
      <c r="C116" s="38" t="e">
        <f>VLOOKUP(A1,DIV_13Data!$A$1:$DZU$1000000,1959,FALSE)</f>
        <v>#N/A</v>
      </c>
      <c r="D116" s="31" t="e">
        <f>VLOOKUP(A1,DIV_13Data!$A$1:$DZU$1000000,1960,FALSE)</f>
        <v>#N/A</v>
      </c>
      <c r="E116" s="32" t="e">
        <f>VLOOKUP(A1,DIV_13Data!$A$1:$DZU$1000000,1961,FALSE)</f>
        <v>#N/A</v>
      </c>
      <c r="F116" s="34" t="e">
        <f>VLOOKUP(A1,DIV_13Data!$A$1:$DZU$1000000,1962,FALSE)</f>
        <v>#N/A</v>
      </c>
      <c r="G116" s="33" t="e">
        <f>VLOOKUP(A1,DIV_13Data!$A$1:$DZU$1000000,1963,FALSE)</f>
        <v>#N/A</v>
      </c>
      <c r="H116" s="34" t="e">
        <f>VLOOKUP(A1,DIV_13Data!$A$1:$DZU$1000000,1964,FALSE)</f>
        <v>#N/A</v>
      </c>
      <c r="I116" s="33" t="e">
        <f>VLOOKUP(A1,DIV_13Data!$A$1:$DZU$1000000,1965,FALSE)</f>
        <v>#N/A</v>
      </c>
      <c r="J116" s="34" t="e">
        <f>VLOOKUP(A1,DIV_13Data!$A$1:$DZU$1000000,1966,FALSE)</f>
        <v>#N/A</v>
      </c>
      <c r="K116" s="34" t="e">
        <f>VLOOKUP(A1,DIV_13Data!$A$1:$DZU$1000000,1967,FALSE)</f>
        <v>#N/A</v>
      </c>
      <c r="L116" s="93" t="e">
        <f>VLOOKUP(A1,DIV_13Data!$A$1:$DZU$1000000,1968,FALSE)</f>
        <v>#N/A</v>
      </c>
      <c r="M116" s="33" t="e">
        <f>VLOOKUP(A1,DIV_13Data!$A$1:$DZU$1000000,1969,FALSE)</f>
        <v>#N/A</v>
      </c>
      <c r="N116" s="34" t="e">
        <f>VLOOKUP(A1,DIV_13Data!$A$1:$DZU$1000000,1970,FALSE)</f>
        <v>#N/A</v>
      </c>
      <c r="O116" s="33" t="e">
        <f>VLOOKUP(A1,DIV_13Data!$A$1:$DZU$1000000,1971,FALSE)</f>
        <v>#N/A</v>
      </c>
      <c r="P116" s="46" t="e">
        <f>VLOOKUP(A1,DIV_13Data!$A$1:$DZU$1000000,1972,FALSE)</f>
        <v>#N/A</v>
      </c>
      <c r="Q116" s="33" t="e">
        <f>VLOOKUP(A1,DIV_13Data!$A$1:$DZU$1000000,1973,FALSE)</f>
        <v>#N/A</v>
      </c>
    </row>
    <row r="117" spans="1:17" x14ac:dyDescent="0.35">
      <c r="A117" s="22" t="e">
        <f>VLOOKUP(A1,DIV_13Data!$A$1:$DZU$1000000,1974,FALSE)</f>
        <v>#N/A</v>
      </c>
      <c r="B117" s="37" t="e">
        <f>VLOOKUP(A1,DIV_13Data!$A$1:$DZU$1000000,1975,FALSE)</f>
        <v>#N/A</v>
      </c>
      <c r="C117" s="38" t="e">
        <f>VLOOKUP(A1,DIV_13Data!$A$1:$DZU$1000000,1976,FALSE)</f>
        <v>#N/A</v>
      </c>
      <c r="D117" s="31" t="e">
        <f>VLOOKUP(A1,DIV_13Data!$A$1:$DZU$1000000,1977,FALSE)</f>
        <v>#N/A</v>
      </c>
      <c r="E117" s="32" t="e">
        <f>VLOOKUP(A1,DIV_13Data!$A$1:$DZU$1000000,1978,FALSE)</f>
        <v>#N/A</v>
      </c>
      <c r="F117" s="34" t="e">
        <f>VLOOKUP(A1,DIV_13Data!$A$1:$DZU$1000000,1979,FALSE)</f>
        <v>#N/A</v>
      </c>
      <c r="G117" s="33" t="e">
        <f>VLOOKUP(A1,DIV_13Data!$A$1:$DZU$1000000,1980,FALSE)</f>
        <v>#N/A</v>
      </c>
      <c r="H117" s="34" t="e">
        <f>VLOOKUP(A1,DIV_13Data!$A$1:$DZU$1000000,1981,FALSE)</f>
        <v>#N/A</v>
      </c>
      <c r="I117" s="33" t="e">
        <f>VLOOKUP(A1,DIV_13Data!$A$1:$DZU$1000000,1982,FALSE)</f>
        <v>#N/A</v>
      </c>
      <c r="J117" s="34" t="e">
        <f>VLOOKUP(A1,DIV_13Data!$A$1:$DZU$1000000,1983,FALSE)</f>
        <v>#N/A</v>
      </c>
      <c r="K117" s="34" t="e">
        <f>VLOOKUP(A1,DIV_13Data!$A$1:$DZU$1000000,1984,FALSE)</f>
        <v>#N/A</v>
      </c>
      <c r="L117" s="93" t="e">
        <f>VLOOKUP(A1,DIV_13Data!$A$1:$DZU$1000000,1985,FALSE)</f>
        <v>#N/A</v>
      </c>
      <c r="M117" s="33" t="e">
        <f>VLOOKUP(A1,DIV_13Data!$A$1:$DZU$1000000,1986,FALSE)</f>
        <v>#N/A</v>
      </c>
      <c r="N117" s="34" t="e">
        <f>VLOOKUP(A1,DIV_13Data!$A$1:$DZU$1000000,1987,FALSE)</f>
        <v>#N/A</v>
      </c>
      <c r="O117" s="33" t="e">
        <f>VLOOKUP(A1,DIV_13Data!$A$1:$DZU$1000000,1988,FALSE)</f>
        <v>#N/A</v>
      </c>
      <c r="P117" s="46" t="e">
        <f>VLOOKUP(A1,DIV_13Data!$A$1:$DZU$1000000,1989,FALSE)</f>
        <v>#N/A</v>
      </c>
      <c r="Q117" s="33" t="e">
        <f>VLOOKUP(A1,DIV_13Data!$A$1:$DZU$1000000,1990,FALSE)</f>
        <v>#N/A</v>
      </c>
    </row>
    <row r="118" spans="1:17" x14ac:dyDescent="0.35">
      <c r="A118" s="22" t="e">
        <f>VLOOKUP(A1,DIV_13Data!$A$1:$DZU$1000000,1991,FALSE)</f>
        <v>#N/A</v>
      </c>
      <c r="B118" s="37" t="e">
        <f>VLOOKUP(A1,DIV_13Data!$A$1:$DZU$1000000,1992,FALSE)</f>
        <v>#N/A</v>
      </c>
      <c r="C118" s="38" t="e">
        <f>VLOOKUP(A1,DIV_13Data!$A$1:$DZU$1000000,1993,FALSE)</f>
        <v>#N/A</v>
      </c>
      <c r="D118" s="31" t="e">
        <f>VLOOKUP(A1,DIV_13Data!$A$1:$DZU$1000000,1994,FALSE)</f>
        <v>#N/A</v>
      </c>
      <c r="E118" s="32" t="e">
        <f>VLOOKUP(A1,DIV_13Data!$A$1:$DZU$1000000,1995,FALSE)</f>
        <v>#N/A</v>
      </c>
      <c r="F118" s="34" t="e">
        <f>VLOOKUP(A1,DIV_13Data!$A$1:$DZU$1000000,1996,FALSE)</f>
        <v>#N/A</v>
      </c>
      <c r="G118" s="33" t="e">
        <f>VLOOKUP(A1,DIV_13Data!$A$1:$DZU$1000000,1997,FALSE)</f>
        <v>#N/A</v>
      </c>
      <c r="H118" s="34" t="e">
        <f>VLOOKUP(A1,DIV_13Data!$A$1:$DZU$1000000,1998,FALSE)</f>
        <v>#N/A</v>
      </c>
      <c r="I118" s="33" t="e">
        <f>VLOOKUP(A1,DIV_13Data!$A$1:$DZU$1000000,1999,FALSE)</f>
        <v>#N/A</v>
      </c>
      <c r="J118" s="34" t="e">
        <f>VLOOKUP(A1,DIV_13Data!$A$1:$DZU$1000000,2000,FALSE)</f>
        <v>#N/A</v>
      </c>
      <c r="K118" s="34" t="e">
        <f>VLOOKUP(A1,DIV_13Data!$A$1:$DZU$1000000,2001,FALSE)</f>
        <v>#N/A</v>
      </c>
      <c r="L118" s="93" t="e">
        <f>VLOOKUP(A1,DIV_13Data!$A$1:$DZU$1000000,2002,FALSE)</f>
        <v>#N/A</v>
      </c>
      <c r="M118" s="33" t="e">
        <f>VLOOKUP(A1,DIV_13Data!$A$1:$DZU$1000000,2003,FALSE)</f>
        <v>#N/A</v>
      </c>
      <c r="N118" s="34" t="e">
        <f>VLOOKUP(A1,DIV_13Data!$A$1:$DZU$1000000,2004,FALSE)</f>
        <v>#N/A</v>
      </c>
      <c r="O118" s="33" t="e">
        <f>VLOOKUP(A1,DIV_13Data!$A$1:$DZU$1000000,2005,FALSE)</f>
        <v>#N/A</v>
      </c>
      <c r="P118" s="46" t="e">
        <f>VLOOKUP(A1,DIV_13Data!$A$1:$DZU$1000000,2006,FALSE)</f>
        <v>#N/A</v>
      </c>
      <c r="Q118" s="33" t="e">
        <f>VLOOKUP(A1,DIV_13Data!$A$1:$DZU$1000000,2007,FALSE)</f>
        <v>#N/A</v>
      </c>
    </row>
    <row r="119" spans="1:17" x14ac:dyDescent="0.35">
      <c r="A119" s="22" t="e">
        <f>VLOOKUP(A1,DIV_13Data!$A$1:$DZU$1000000,2008,FALSE)</f>
        <v>#N/A</v>
      </c>
      <c r="B119" s="37" t="e">
        <f>VLOOKUP(A1,DIV_13Data!$A$1:$DZU$1000000,2009,FALSE)</f>
        <v>#N/A</v>
      </c>
      <c r="C119" s="38" t="e">
        <f>VLOOKUP(A1,DIV_13Data!$A$1:$DZU$1000000,2010,FALSE)</f>
        <v>#N/A</v>
      </c>
      <c r="D119" s="31" t="e">
        <f>VLOOKUP(A1,DIV_13Data!$A$1:$DZU$1000000,2011,FALSE)</f>
        <v>#N/A</v>
      </c>
      <c r="E119" s="32" t="e">
        <f>VLOOKUP(A1,DIV_13Data!$A$1:$DZU$1000000,2012,FALSE)</f>
        <v>#N/A</v>
      </c>
      <c r="F119" s="34" t="e">
        <f>VLOOKUP(A1,DIV_13Data!$A$1:$DZU$1000000,2013,FALSE)</f>
        <v>#N/A</v>
      </c>
      <c r="G119" s="33" t="e">
        <f>VLOOKUP(A1,DIV_13Data!$A$1:$DZU$1000000,2014,FALSE)</f>
        <v>#N/A</v>
      </c>
      <c r="H119" s="34" t="e">
        <f>VLOOKUP(A1,DIV_13Data!$A$1:$DZU$1000000,2015,FALSE)</f>
        <v>#N/A</v>
      </c>
      <c r="I119" s="33" t="e">
        <f>VLOOKUP(A1,DIV_13Data!$A$1:$DZU$1000000,2016,FALSE)</f>
        <v>#N/A</v>
      </c>
      <c r="J119" s="34" t="e">
        <f>VLOOKUP(A1,DIV_13Data!$A$1:$DZU$1000000,2017,FALSE)</f>
        <v>#N/A</v>
      </c>
      <c r="K119" s="34" t="e">
        <f>VLOOKUP(A1,DIV_13Data!$A$1:$DZU$1000000,2018,FALSE)</f>
        <v>#N/A</v>
      </c>
      <c r="L119" s="93" t="e">
        <f>VLOOKUP(A1,DIV_13Data!$A$1:$DZU$1000000,2019,FALSE)</f>
        <v>#N/A</v>
      </c>
      <c r="M119" s="33" t="e">
        <f>VLOOKUP(A1,DIV_13Data!$A$1:$DZU$1000000,2020,FALSE)</f>
        <v>#N/A</v>
      </c>
      <c r="N119" s="34" t="e">
        <f>VLOOKUP(A1,DIV_13Data!$A$1:$DZU$1000000,2021,FALSE)</f>
        <v>#N/A</v>
      </c>
      <c r="O119" s="33" t="e">
        <f>VLOOKUP(A1,DIV_13Data!$A$1:$DZU$1000000,2022,FALSE)</f>
        <v>#N/A</v>
      </c>
      <c r="P119" s="46" t="e">
        <f>VLOOKUP(A1,DIV_13Data!$A$1:$DZU$1000000,2023,FALSE)</f>
        <v>#N/A</v>
      </c>
      <c r="Q119" s="33" t="e">
        <f>VLOOKUP(A1,DIV_13Data!$A$1:$DZU$1000000,2024,FALSE)</f>
        <v>#N/A</v>
      </c>
    </row>
    <row r="120" spans="1:17" x14ac:dyDescent="0.35">
      <c r="A120" s="22" t="e">
        <f>VLOOKUP(A1,DIV_13Data!$A$1:$DZU$1000000,2025,FALSE)</f>
        <v>#N/A</v>
      </c>
      <c r="B120" s="37" t="e">
        <f>VLOOKUP(A1,DIV_13Data!$A$1:$DZU$1000000,2026,FALSE)</f>
        <v>#N/A</v>
      </c>
      <c r="C120" s="38" t="e">
        <f>VLOOKUP(A1,DIV_13Data!$A$1:$DZU$1000000,2027,FALSE)</f>
        <v>#N/A</v>
      </c>
      <c r="D120" s="31" t="e">
        <f>VLOOKUP(A1,DIV_13Data!$A$1:$DZU$1000000,2028,FALSE)</f>
        <v>#N/A</v>
      </c>
      <c r="E120" s="32" t="e">
        <f>VLOOKUP(A1,DIV_13Data!$A$1:$DZU$1000000,2029,FALSE)</f>
        <v>#N/A</v>
      </c>
      <c r="F120" s="34" t="e">
        <f>VLOOKUP(A1,DIV_13Data!$A$1:$DZU$1000000,2030,FALSE)</f>
        <v>#N/A</v>
      </c>
      <c r="G120" s="33" t="e">
        <f>VLOOKUP(A1,DIV_13Data!$A$1:$DZU$1000000,2031,FALSE)</f>
        <v>#N/A</v>
      </c>
      <c r="H120" s="34" t="e">
        <f>VLOOKUP(A1,DIV_13Data!$A$1:$DZU$1000000,2032,FALSE)</f>
        <v>#N/A</v>
      </c>
      <c r="I120" s="33" t="e">
        <f>VLOOKUP(A1,DIV_13Data!$A$1:$DZU$1000000,2033,FALSE)</f>
        <v>#N/A</v>
      </c>
      <c r="J120" s="34" t="e">
        <f>VLOOKUP(A1,DIV_13Data!$A$1:$DZU$1000000,2034,FALSE)</f>
        <v>#N/A</v>
      </c>
      <c r="K120" s="34" t="e">
        <f>VLOOKUP(A1,DIV_13Data!$A$1:$DZU$1000000,2035,FALSE)</f>
        <v>#N/A</v>
      </c>
      <c r="L120" s="93" t="e">
        <f>VLOOKUP(A1,DIV_13Data!$A$1:$DZU$1000000,2036,FALSE)</f>
        <v>#N/A</v>
      </c>
      <c r="M120" s="33" t="e">
        <f>VLOOKUP(A1,DIV_13Data!$A$1:$DZU$1000000,2037,FALSE)</f>
        <v>#N/A</v>
      </c>
      <c r="N120" s="34" t="e">
        <f>VLOOKUP(A1,DIV_13Data!$A$1:$DZU$1000000,2038,FALSE)</f>
        <v>#N/A</v>
      </c>
      <c r="O120" s="33" t="e">
        <f>VLOOKUP(A1,DIV_13Data!$A$1:$DZU$1000000,2039,FALSE)</f>
        <v>#N/A</v>
      </c>
      <c r="P120" s="46" t="e">
        <f>VLOOKUP(A1,DIV_13Data!$A$1:$DZU$1000000,2040,FALSE)</f>
        <v>#N/A</v>
      </c>
      <c r="Q120" s="33" t="e">
        <f>VLOOKUP(A1,DIV_13Data!$A$1:$DZU$1000000,2041,FALSE)</f>
        <v>#N/A</v>
      </c>
    </row>
    <row r="121" spans="1:17" x14ac:dyDescent="0.35">
      <c r="A121" s="22" t="e">
        <f>VLOOKUP(A1,DIV_13Data!$A$1:$DZU$1000000,2042,FALSE)</f>
        <v>#N/A</v>
      </c>
      <c r="B121" s="37" t="e">
        <f>VLOOKUP(A1,DIV_13Data!$A$1:$DZU$1000000,2043,FALSE)</f>
        <v>#N/A</v>
      </c>
      <c r="C121" s="38" t="e">
        <f>VLOOKUP(A1,DIV_13Data!$A$1:$DZU$1000000,2044,FALSE)</f>
        <v>#N/A</v>
      </c>
      <c r="D121" s="31" t="e">
        <f>VLOOKUP(A1,DIV_13Data!$A$1:$DZU$1000000,2045,FALSE)</f>
        <v>#N/A</v>
      </c>
      <c r="E121" s="32" t="e">
        <f>VLOOKUP(A1,DIV_13Data!$A$1:$DZU$1000000,2046,FALSE)</f>
        <v>#N/A</v>
      </c>
      <c r="F121" s="34" t="e">
        <f>VLOOKUP(A1,DIV_13Data!$A$1:$DZU$1000000,2047,FALSE)</f>
        <v>#N/A</v>
      </c>
      <c r="G121" s="33" t="e">
        <f>VLOOKUP(A1,DIV_13Data!$A$1:$DZU$1000000,2048,FALSE)</f>
        <v>#N/A</v>
      </c>
      <c r="H121" s="34" t="e">
        <f>VLOOKUP(A1,DIV_13Data!$A$1:$DZU$1000000,2049,FALSE)</f>
        <v>#N/A</v>
      </c>
      <c r="I121" s="33" t="e">
        <f>VLOOKUP(A1,DIV_13Data!$A$1:$DZU$1000000,2050,FALSE)</f>
        <v>#N/A</v>
      </c>
      <c r="J121" s="34" t="e">
        <f>VLOOKUP(A1,DIV_13Data!$A$1:$DZU$1000000,2051,FALSE)</f>
        <v>#N/A</v>
      </c>
      <c r="K121" s="34" t="e">
        <f>VLOOKUP(A1,DIV_13Data!$A$1:$DZU$1000000,2052,FALSE)</f>
        <v>#N/A</v>
      </c>
      <c r="L121" s="93" t="e">
        <f>VLOOKUP(A1,DIV_13Data!$A$1:$DZU$1000000,2053,FALSE)</f>
        <v>#N/A</v>
      </c>
      <c r="M121" s="33" t="e">
        <f>VLOOKUP(A1,DIV_13Data!$A$1:$DZU$1000000,2054,FALSE)</f>
        <v>#N/A</v>
      </c>
      <c r="N121" s="34" t="e">
        <f>VLOOKUP(A1,DIV_13Data!$A$1:$DZU$1000000,2055,FALSE)</f>
        <v>#N/A</v>
      </c>
      <c r="O121" s="33" t="e">
        <f>VLOOKUP(A1,DIV_13Data!$A$1:$DZU$1000000,2056,FALSE)</f>
        <v>#N/A</v>
      </c>
      <c r="P121" s="46" t="e">
        <f>VLOOKUP(A1,DIV_13Data!$A$1:$DZU$1000000,2057,FALSE)</f>
        <v>#N/A</v>
      </c>
      <c r="Q121" s="33" t="e">
        <f>VLOOKUP(A1,DIV_13Data!$A$1:$DZU$1000000,2058,FALSE)</f>
        <v>#N/A</v>
      </c>
    </row>
    <row r="122" spans="1:17" x14ac:dyDescent="0.35">
      <c r="A122" s="22" t="e">
        <f>VLOOKUP(A1,DIV_13Data!$A$1:$DZU$1000000,2059,FALSE)</f>
        <v>#N/A</v>
      </c>
      <c r="B122" s="37" t="e">
        <f>VLOOKUP(A1,DIV_13Data!$A$1:$DZU$1000000,2060,FALSE)</f>
        <v>#N/A</v>
      </c>
      <c r="C122" s="38" t="e">
        <f>VLOOKUP(A1,DIV_13Data!$A$1:$DZU$1000000,2061,FALSE)</f>
        <v>#N/A</v>
      </c>
      <c r="D122" s="31" t="e">
        <f>VLOOKUP(A1,DIV_13Data!$A$1:$DZU$1000000,2062,FALSE)</f>
        <v>#N/A</v>
      </c>
      <c r="E122" s="32" t="e">
        <f>VLOOKUP(A1,DIV_13Data!$A$1:$DZU$1000000,2063,FALSE)</f>
        <v>#N/A</v>
      </c>
      <c r="F122" s="34" t="e">
        <f>VLOOKUP(A1,DIV_13Data!$A$1:$DZU$1000000,2064,FALSE)</f>
        <v>#N/A</v>
      </c>
      <c r="G122" s="33" t="e">
        <f>VLOOKUP(A1,DIV_13Data!$A$1:$DZU$1000000,2065,FALSE)</f>
        <v>#N/A</v>
      </c>
      <c r="H122" s="34" t="e">
        <f>VLOOKUP(A1,DIV_13Data!$A$1:$DZU$1000000,2066,FALSE)</f>
        <v>#N/A</v>
      </c>
      <c r="I122" s="33" t="e">
        <f>VLOOKUP(A1,DIV_13Data!$A$1:$DZU$1000000,2067,FALSE)</f>
        <v>#N/A</v>
      </c>
      <c r="J122" s="34" t="e">
        <f>VLOOKUP(A1,DIV_13Data!$A$1:$DZU$1000000,2068,FALSE)</f>
        <v>#N/A</v>
      </c>
      <c r="K122" s="34" t="e">
        <f>VLOOKUP(A1,DIV_13Data!$A$1:$DZU$1000000,2069,FALSE)</f>
        <v>#N/A</v>
      </c>
      <c r="L122" s="93" t="e">
        <f>VLOOKUP(A1,DIV_13Data!$A$1:$DZU$1000000,2070,FALSE)</f>
        <v>#N/A</v>
      </c>
      <c r="M122" s="33" t="e">
        <f>VLOOKUP(A1,DIV_13Data!$A$1:$DZU$1000000,2071,FALSE)</f>
        <v>#N/A</v>
      </c>
      <c r="N122" s="34" t="e">
        <f>VLOOKUP(A1,DIV_13Data!$A$1:$DZU$1000000,2072,FALSE)</f>
        <v>#N/A</v>
      </c>
      <c r="O122" s="33" t="e">
        <f>VLOOKUP(A1,DIV_13Data!$A$1:$DZU$1000000,2073,FALSE)</f>
        <v>#N/A</v>
      </c>
      <c r="P122" s="46" t="e">
        <f>VLOOKUP(A1,DIV_13Data!$A$1:$DZU$1000000,2074,FALSE)</f>
        <v>#N/A</v>
      </c>
      <c r="Q122" s="33" t="e">
        <f>VLOOKUP(A1,DIV_13Data!$A$1:$DZU$1000000,2075,FALSE)</f>
        <v>#N/A</v>
      </c>
    </row>
    <row r="123" spans="1:17" x14ac:dyDescent="0.35">
      <c r="A123" s="22" t="e">
        <f>VLOOKUP(A1,DIV_13Data!$A$1:$DZU$1000000,2076,FALSE)</f>
        <v>#N/A</v>
      </c>
      <c r="B123" s="37" t="e">
        <f>VLOOKUP(A1,DIV_13Data!$A$1:$DZU$1000000,2077,FALSE)</f>
        <v>#N/A</v>
      </c>
      <c r="C123" s="38" t="e">
        <f>VLOOKUP(A1,DIV_13Data!$A$1:$DZU$1000000,2078,FALSE)</f>
        <v>#N/A</v>
      </c>
      <c r="D123" s="31" t="e">
        <f>VLOOKUP(A1,DIV_13Data!$A$1:$DZU$1000000,2079,FALSE)</f>
        <v>#N/A</v>
      </c>
      <c r="E123" s="32" t="e">
        <f>VLOOKUP(A1,DIV_13Data!$A$1:$DZU$1000000,2080,FALSE)</f>
        <v>#N/A</v>
      </c>
      <c r="F123" s="34" t="e">
        <f>VLOOKUP(A1,DIV_13Data!$A$1:$DZU$1000000,2081,FALSE)</f>
        <v>#N/A</v>
      </c>
      <c r="G123" s="33" t="e">
        <f>VLOOKUP(A1,DIV_13Data!$A$1:$DZU$1000000,2082,FALSE)</f>
        <v>#N/A</v>
      </c>
      <c r="H123" s="34" t="e">
        <f>VLOOKUP(A1,DIV_13Data!$A$1:$DZU$1000000,2083,FALSE)</f>
        <v>#N/A</v>
      </c>
      <c r="I123" s="33" t="e">
        <f>VLOOKUP(A1,DIV_13Data!$A$1:$DZU$1000000,2084,FALSE)</f>
        <v>#N/A</v>
      </c>
      <c r="J123" s="34" t="e">
        <f>VLOOKUP(A1,DIV_13Data!$A$1:$DZU$1000000,2085,FALSE)</f>
        <v>#N/A</v>
      </c>
      <c r="K123" s="34" t="e">
        <f>VLOOKUP(A1,DIV_13Data!$A$1:$DZU$1000000,2086,FALSE)</f>
        <v>#N/A</v>
      </c>
      <c r="L123" s="93" t="e">
        <f>VLOOKUP(A1,DIV_13Data!$A$1:$DZU$1000000,2087,FALSE)</f>
        <v>#N/A</v>
      </c>
      <c r="M123" s="33" t="e">
        <f>VLOOKUP(A1,DIV_13Data!$A$1:$DZU$1000000,2088,FALSE)</f>
        <v>#N/A</v>
      </c>
      <c r="N123" s="34" t="e">
        <f>VLOOKUP(A1,DIV_13Data!$A$1:$DZU$1000000,2089,FALSE)</f>
        <v>#N/A</v>
      </c>
      <c r="O123" s="33" t="e">
        <f>VLOOKUP(A1,DIV_13Data!$A$1:$DZU$1000000,2090,FALSE)</f>
        <v>#N/A</v>
      </c>
      <c r="P123" s="46" t="e">
        <f>VLOOKUP(A1,DIV_13Data!$A$1:$DZU$1000000,2091,FALSE)</f>
        <v>#N/A</v>
      </c>
      <c r="Q123" s="33" t="e">
        <f>VLOOKUP(A1,DIV_13Data!$A$1:$DZU$1000000,2092,FALSE)</f>
        <v>#N/A</v>
      </c>
    </row>
    <row r="124" spans="1:17" x14ac:dyDescent="0.35">
      <c r="A124" s="22" t="e">
        <f>VLOOKUP(A1,DIV_13Data!$A$1:$DZU$1000000,2093,FALSE)</f>
        <v>#N/A</v>
      </c>
      <c r="B124" s="37" t="e">
        <f>VLOOKUP(A1,DIV_13Data!$A$1:$DZU$1000000,2094,FALSE)</f>
        <v>#N/A</v>
      </c>
      <c r="C124" s="38" t="e">
        <f>VLOOKUP(A1,DIV_13Data!$A$1:$DZU$1000000,2095,FALSE)</f>
        <v>#N/A</v>
      </c>
      <c r="D124" s="31" t="e">
        <f>VLOOKUP(A1,DIV_13Data!$A$1:$DZU$1000000,2096,FALSE)</f>
        <v>#N/A</v>
      </c>
      <c r="E124" s="32" t="e">
        <f>VLOOKUP(A1,DIV_13Data!$A$1:$DZU$1000000,2097,FALSE)</f>
        <v>#N/A</v>
      </c>
      <c r="F124" s="34" t="e">
        <f>VLOOKUP(A1,DIV_13Data!$A$1:$DZU$1000000,2098,FALSE)</f>
        <v>#N/A</v>
      </c>
      <c r="G124" s="33" t="e">
        <f>VLOOKUP(A1,DIV_13Data!$A$1:$DZU$1000000,2099,FALSE)</f>
        <v>#N/A</v>
      </c>
      <c r="H124" s="34" t="e">
        <f>VLOOKUP(A1,DIV_13Data!$A$1:$DZU$1000000,2100,FALSE)</f>
        <v>#N/A</v>
      </c>
      <c r="I124" s="33" t="e">
        <f>VLOOKUP(A1,DIV_13Data!$A$1:$DZU$1000000,2101,FALSE)</f>
        <v>#N/A</v>
      </c>
      <c r="J124" s="34" t="e">
        <f>VLOOKUP(A1,DIV_13Data!$A$1:$DZU$1000000,2102,FALSE)</f>
        <v>#N/A</v>
      </c>
      <c r="K124" s="34" t="e">
        <f>VLOOKUP(A1,DIV_13Data!$A$1:$DZU$1000000,2103,FALSE)</f>
        <v>#N/A</v>
      </c>
      <c r="L124" s="93" t="e">
        <f>VLOOKUP(A1,DIV_13Data!$A$1:$DZU$1000000,2104,FALSE)</f>
        <v>#N/A</v>
      </c>
      <c r="M124" s="33" t="e">
        <f>VLOOKUP(A1,DIV_13Data!$A$1:$DZU$1000000,2105,FALSE)</f>
        <v>#N/A</v>
      </c>
      <c r="N124" s="34" t="e">
        <f>VLOOKUP(A1,DIV_13Data!$A$1:$DZU$1000000,2106,FALSE)</f>
        <v>#N/A</v>
      </c>
      <c r="O124" s="33" t="e">
        <f>VLOOKUP(A1,DIV_13Data!$A$1:$DZU$1000000,2107,FALSE)</f>
        <v>#N/A</v>
      </c>
      <c r="P124" s="46" t="e">
        <f>VLOOKUP(A1,DIV_13Data!$A$1:$DZU$1000000,2108,FALSE)</f>
        <v>#N/A</v>
      </c>
      <c r="Q124" s="33" t="e">
        <f>VLOOKUP(A1,DIV_13Data!$A$1:$DZU$1000000,2109,FALSE)</f>
        <v>#N/A</v>
      </c>
    </row>
    <row r="125" spans="1:17" x14ac:dyDescent="0.35">
      <c r="A125" s="22" t="e">
        <f>VLOOKUP(A1,DIV_13Data!$A$1:$DZU$1000000,2110,FALSE)</f>
        <v>#N/A</v>
      </c>
      <c r="B125" s="37" t="e">
        <f>VLOOKUP(A1,DIV_13Data!$A$1:$DZU$1000000,2111,FALSE)</f>
        <v>#N/A</v>
      </c>
      <c r="C125" s="38" t="e">
        <f>VLOOKUP(A1,DIV_13Data!$A$1:$DZU$1000000,2112,FALSE)</f>
        <v>#N/A</v>
      </c>
      <c r="D125" s="31" t="e">
        <f>VLOOKUP(A1,DIV_13Data!$A$1:$DZU$1000000,2113,FALSE)</f>
        <v>#N/A</v>
      </c>
      <c r="E125" s="32" t="e">
        <f>VLOOKUP(A1,DIV_13Data!$A$1:$DZU$1000000,2114,FALSE)</f>
        <v>#N/A</v>
      </c>
      <c r="F125" s="34" t="e">
        <f>VLOOKUP(A1,DIV_13Data!$A$1:$DZU$1000000,2115,FALSE)</f>
        <v>#N/A</v>
      </c>
      <c r="G125" s="33" t="e">
        <f>VLOOKUP(A1,DIV_13Data!$A$1:$DZU$1000000,2116,FALSE)</f>
        <v>#N/A</v>
      </c>
      <c r="H125" s="34" t="e">
        <f>VLOOKUP(A1,DIV_13Data!$A$1:$DZU$1000000,2117,FALSE)</f>
        <v>#N/A</v>
      </c>
      <c r="I125" s="33" t="e">
        <f>VLOOKUP(A1,DIV_13Data!$A$1:$DZU$1000000,2118,FALSE)</f>
        <v>#N/A</v>
      </c>
      <c r="J125" s="34" t="e">
        <f>VLOOKUP(A1,DIV_13Data!$A$1:$DZU$1000000,2119,FALSE)</f>
        <v>#N/A</v>
      </c>
      <c r="K125" s="34" t="e">
        <f>VLOOKUP(A1,DIV_13Data!$A$1:$DZU$1000000,2120,FALSE)</f>
        <v>#N/A</v>
      </c>
      <c r="L125" s="93" t="e">
        <f>VLOOKUP(A1,DIV_13Data!$A$1:$DZU$1000000,2121,FALSE)</f>
        <v>#N/A</v>
      </c>
      <c r="M125" s="33" t="e">
        <f>VLOOKUP(A1,DIV_13Data!$A$1:$DZU$1000000,2122,FALSE)</f>
        <v>#N/A</v>
      </c>
      <c r="N125" s="34" t="e">
        <f>VLOOKUP(A1,DIV_13Data!$A$1:$DZU$1000000,2123,FALSE)</f>
        <v>#N/A</v>
      </c>
      <c r="O125" s="33" t="e">
        <f>VLOOKUP(A1,DIV_13Data!$A$1:$DZU$1000000,2124,FALSE)</f>
        <v>#N/A</v>
      </c>
      <c r="P125" s="46" t="e">
        <f>VLOOKUP(A1,DIV_13Data!$A$1:$DZU$1000000,2125,FALSE)</f>
        <v>#N/A</v>
      </c>
      <c r="Q125" s="33" t="e">
        <f>VLOOKUP(A1,DIV_13Data!$A$1:$DZU$1000000,2126,FALSE)</f>
        <v>#N/A</v>
      </c>
    </row>
    <row r="126" spans="1:17" x14ac:dyDescent="0.35">
      <c r="A126" s="22" t="e">
        <f>VLOOKUP(A1,DIV_13Data!$A$1:$DZU$1000000,2127,FALSE)</f>
        <v>#N/A</v>
      </c>
      <c r="B126" s="37" t="e">
        <f>VLOOKUP(A1,DIV_13Data!$A$1:$DZU$1000000,2128,FALSE)</f>
        <v>#N/A</v>
      </c>
      <c r="C126" s="38" t="e">
        <f>VLOOKUP(A1,DIV_13Data!$A$1:$DZU$1000000,2129,FALSE)</f>
        <v>#N/A</v>
      </c>
      <c r="D126" s="31" t="e">
        <f>VLOOKUP(A1,DIV_13Data!$A$1:$DZU$1000000,2130,FALSE)</f>
        <v>#N/A</v>
      </c>
      <c r="E126" s="32" t="e">
        <f>VLOOKUP(A1,DIV_13Data!$A$1:$DZU$1000000,2131,FALSE)</f>
        <v>#N/A</v>
      </c>
      <c r="F126" s="34" t="e">
        <f>VLOOKUP(A1,DIV_13Data!$A$1:$DZU$1000000,2132,FALSE)</f>
        <v>#N/A</v>
      </c>
      <c r="G126" s="33" t="e">
        <f>VLOOKUP(A1,DIV_13Data!$A$1:$DZU$1000000,2133,FALSE)</f>
        <v>#N/A</v>
      </c>
      <c r="H126" s="34" t="e">
        <f>VLOOKUP(A1,DIV_13Data!$A$1:$DZU$1000000,2134,FALSE)</f>
        <v>#N/A</v>
      </c>
      <c r="I126" s="33" t="e">
        <f>VLOOKUP(A1,DIV_13Data!$A$1:$DZU$1000000,2135,FALSE)</f>
        <v>#N/A</v>
      </c>
      <c r="J126" s="34" t="e">
        <f>VLOOKUP(A1,DIV_13Data!$A$1:$DZU$1000000,2136,FALSE)</f>
        <v>#N/A</v>
      </c>
      <c r="K126" s="34" t="e">
        <f>VLOOKUP(A1,DIV_13Data!$A$1:$DZU$1000000,2137,FALSE)</f>
        <v>#N/A</v>
      </c>
      <c r="L126" s="93" t="e">
        <f>VLOOKUP(A1,DIV_13Data!$A$1:$DZU$1000000,2138,FALSE)</f>
        <v>#N/A</v>
      </c>
      <c r="M126" s="33" t="e">
        <f>VLOOKUP(A1,DIV_13Data!$A$1:$DZU$1000000,2139,FALSE)</f>
        <v>#N/A</v>
      </c>
      <c r="N126" s="34" t="e">
        <f>VLOOKUP(A1,DIV_13Data!$A$1:$DZU$1000000,2140,FALSE)</f>
        <v>#N/A</v>
      </c>
      <c r="O126" s="33" t="e">
        <f>VLOOKUP(A1,DIV_13Data!$A$1:$DZU$1000000,2141,FALSE)</f>
        <v>#N/A</v>
      </c>
      <c r="P126" s="46" t="e">
        <f>VLOOKUP(A1,DIV_13Data!$A$1:$DZU$1000000,2142,FALSE)</f>
        <v>#N/A</v>
      </c>
      <c r="Q126" s="33" t="e">
        <f>VLOOKUP(A1,DIV_13Data!$A$1:$DZU$1000000,2143,FALSE)</f>
        <v>#N/A</v>
      </c>
    </row>
    <row r="127" spans="1:17" x14ac:dyDescent="0.35">
      <c r="A127" s="22" t="e">
        <f>VLOOKUP(A1,DIV_13Data!$A$1:$DZU$1000000,2144,FALSE)</f>
        <v>#N/A</v>
      </c>
      <c r="B127" s="37" t="e">
        <f>VLOOKUP(A1,DIV_13Data!$A$1:$DZU$1000000,2145,FALSE)</f>
        <v>#N/A</v>
      </c>
      <c r="C127" s="38" t="e">
        <f>VLOOKUP(A1,DIV_13Data!$A$1:$DZU$1000000,2146,FALSE)</f>
        <v>#N/A</v>
      </c>
      <c r="D127" s="31" t="e">
        <f>VLOOKUP(A1,DIV_13Data!$A$1:$DZU$1000000,2147,FALSE)</f>
        <v>#N/A</v>
      </c>
      <c r="E127" s="32" t="e">
        <f>VLOOKUP(A1,DIV_13Data!$A$1:$DZU$1000000,2148,FALSE)</f>
        <v>#N/A</v>
      </c>
      <c r="F127" s="34" t="e">
        <f>VLOOKUP(A1,DIV_13Data!$A$1:$DZU$1000000,2149,FALSE)</f>
        <v>#N/A</v>
      </c>
      <c r="G127" s="33" t="e">
        <f>VLOOKUP(A1,DIV_13Data!$A$1:$DZU$1000000,2150,FALSE)</f>
        <v>#N/A</v>
      </c>
      <c r="H127" s="34" t="e">
        <f>VLOOKUP(A1,DIV_13Data!$A$1:$DZU$1000000,2151,FALSE)</f>
        <v>#N/A</v>
      </c>
      <c r="I127" s="33" t="e">
        <f>VLOOKUP(A1,DIV_13Data!$A$1:$DZU$1000000,2152,FALSE)</f>
        <v>#N/A</v>
      </c>
      <c r="J127" s="34" t="e">
        <f>VLOOKUP(A1,DIV_13Data!$A$1:$DZU$1000000,2153,FALSE)</f>
        <v>#N/A</v>
      </c>
      <c r="K127" s="34" t="e">
        <f>VLOOKUP(A1,DIV_13Data!$A$1:$DZU$1000000,2154,FALSE)</f>
        <v>#N/A</v>
      </c>
      <c r="L127" s="93" t="e">
        <f>VLOOKUP(A1,DIV_13Data!$A$1:$DZU$1000000,2155,FALSE)</f>
        <v>#N/A</v>
      </c>
      <c r="M127" s="33" t="e">
        <f>VLOOKUP(A1,DIV_13Data!$A$1:$DZU$1000000,2156,FALSE)</f>
        <v>#N/A</v>
      </c>
      <c r="N127" s="34" t="e">
        <f>VLOOKUP(A1,DIV_13Data!$A$1:$DZU$1000000,2157,FALSE)</f>
        <v>#N/A</v>
      </c>
      <c r="O127" s="33" t="e">
        <f>VLOOKUP(A1,DIV_13Data!$A$1:$DZU$1000000,2158,FALSE)</f>
        <v>#N/A</v>
      </c>
      <c r="P127" s="46" t="e">
        <f>VLOOKUP(A1,DIV_13Data!$A$1:$DZU$1000000,2159,FALSE)</f>
        <v>#N/A</v>
      </c>
      <c r="Q127" s="33" t="e">
        <f>VLOOKUP(A1,DIV_13Data!$A$1:$DZU$1000000,2160,FALSE)</f>
        <v>#N/A</v>
      </c>
    </row>
    <row r="128" spans="1:17" x14ac:dyDescent="0.35">
      <c r="A128" s="22" t="e">
        <f>VLOOKUP(A1,DIV_13Data!$A$1:$DZU$1000000,2161,FALSE)</f>
        <v>#N/A</v>
      </c>
      <c r="B128" s="37" t="e">
        <f>VLOOKUP(A1,DIV_13Data!$A$1:$DZU$1000000,2162,FALSE)</f>
        <v>#N/A</v>
      </c>
      <c r="C128" s="38" t="e">
        <f>VLOOKUP(A1,DIV_13Data!$A$1:$DZU$1000000,2163,FALSE)</f>
        <v>#N/A</v>
      </c>
      <c r="D128" s="31" t="e">
        <f>VLOOKUP(A1,DIV_13Data!$A$1:$DZU$1000000,2164,FALSE)</f>
        <v>#N/A</v>
      </c>
      <c r="E128" s="32" t="e">
        <f>VLOOKUP(A1,DIV_13Data!$A$1:$DZU$1000000,2165,FALSE)</f>
        <v>#N/A</v>
      </c>
      <c r="F128" s="34" t="e">
        <f>VLOOKUP(A1,DIV_13Data!$A$1:$DZU$1000000,2166,FALSE)</f>
        <v>#N/A</v>
      </c>
      <c r="G128" s="33" t="e">
        <f>VLOOKUP(A1,DIV_13Data!$A$1:$DZU$1000000,2167,FALSE)</f>
        <v>#N/A</v>
      </c>
      <c r="H128" s="34" t="e">
        <f>VLOOKUP(A1,DIV_13Data!$A$1:$DZU$1000000,2168,FALSE)</f>
        <v>#N/A</v>
      </c>
      <c r="I128" s="33" t="e">
        <f>VLOOKUP(A1,DIV_13Data!$A$1:$DZU$1000000,2169,FALSE)</f>
        <v>#N/A</v>
      </c>
      <c r="J128" s="34" t="e">
        <f>VLOOKUP(A1,DIV_13Data!$A$1:$DZU$1000000,2170,FALSE)</f>
        <v>#N/A</v>
      </c>
      <c r="K128" s="34" t="e">
        <f>VLOOKUP(A1,DIV_13Data!$A$1:$DZU$1000000,2171,FALSE)</f>
        <v>#N/A</v>
      </c>
      <c r="L128" s="93" t="e">
        <f>VLOOKUP(A1,DIV_13Data!$A$1:$DZU$1000000,2172,FALSE)</f>
        <v>#N/A</v>
      </c>
      <c r="M128" s="33" t="e">
        <f>VLOOKUP(A1,DIV_13Data!$A$1:$DZU$1000000,2173,FALSE)</f>
        <v>#N/A</v>
      </c>
      <c r="N128" s="34" t="e">
        <f>VLOOKUP(A1,DIV_13Data!$A$1:$DZU$1000000,2174,FALSE)</f>
        <v>#N/A</v>
      </c>
      <c r="O128" s="33" t="e">
        <f>VLOOKUP(A1,DIV_13Data!$A$1:$DZU$1000000,2175,FALSE)</f>
        <v>#N/A</v>
      </c>
      <c r="P128" s="46" t="e">
        <f>VLOOKUP(A1,DIV_13Data!$A$1:$DZU$1000000,2176,FALSE)</f>
        <v>#N/A</v>
      </c>
      <c r="Q128" s="33" t="e">
        <f>VLOOKUP(A1,DIV_13Data!$A$1:$DZU$1000000,2177,FALSE)</f>
        <v>#N/A</v>
      </c>
    </row>
    <row r="129" spans="1:17" x14ac:dyDescent="0.35">
      <c r="A129" s="22" t="e">
        <f>VLOOKUP(A1,DIV_13Data!$A$1:$DZU$1000000,2178,FALSE)</f>
        <v>#N/A</v>
      </c>
      <c r="B129" s="37" t="e">
        <f>VLOOKUP(A1,DIV_13Data!$A$1:$DZU$1000000,2179,FALSE)</f>
        <v>#N/A</v>
      </c>
      <c r="C129" s="38" t="e">
        <f>VLOOKUP(A1,DIV_13Data!$A$1:$DZU$1000000,2180,FALSE)</f>
        <v>#N/A</v>
      </c>
      <c r="D129" s="31" t="e">
        <f>VLOOKUP(A1,DIV_13Data!$A$1:$DZU$1000000,2181,FALSE)</f>
        <v>#N/A</v>
      </c>
      <c r="E129" s="32" t="e">
        <f>VLOOKUP(A1,DIV_13Data!$A$1:$DZU$1000000,2182,FALSE)</f>
        <v>#N/A</v>
      </c>
      <c r="F129" s="34" t="e">
        <f>VLOOKUP(A1,DIV_13Data!$A$1:$DZU$1000000,2183,FALSE)</f>
        <v>#N/A</v>
      </c>
      <c r="G129" s="33" t="e">
        <f>VLOOKUP(A1,DIV_13Data!$A$1:$DZU$1000000,2184,FALSE)</f>
        <v>#N/A</v>
      </c>
      <c r="H129" s="34" t="e">
        <f>VLOOKUP(A1,DIV_13Data!$A$1:$DZU$1000000,2185,FALSE)</f>
        <v>#N/A</v>
      </c>
      <c r="I129" s="33" t="e">
        <f>VLOOKUP(A1,DIV_13Data!$A$1:$DZU$1000000,2186,FALSE)</f>
        <v>#N/A</v>
      </c>
      <c r="J129" s="34" t="e">
        <f>VLOOKUP(A1,DIV_13Data!$A$1:$DZU$1000000,2187,FALSE)</f>
        <v>#N/A</v>
      </c>
      <c r="K129" s="34" t="e">
        <f>VLOOKUP(A1,DIV_13Data!$A$1:$DZU$1000000,2188,FALSE)</f>
        <v>#N/A</v>
      </c>
      <c r="L129" s="93" t="e">
        <f>VLOOKUP(A1,DIV_13Data!$A$1:$DZU$1000000,2189,FALSE)</f>
        <v>#N/A</v>
      </c>
      <c r="M129" s="33" t="e">
        <f>VLOOKUP(A1,DIV_13Data!$A$1:$DZU$1000000,2190,FALSE)</f>
        <v>#N/A</v>
      </c>
      <c r="N129" s="34" t="e">
        <f>VLOOKUP(A1,DIV_13Data!$A$1:$DZU$1000000,2191,FALSE)</f>
        <v>#N/A</v>
      </c>
      <c r="O129" s="33" t="e">
        <f>VLOOKUP(A1,DIV_13Data!$A$1:$DZU$1000000,2192,FALSE)</f>
        <v>#N/A</v>
      </c>
      <c r="P129" s="46" t="e">
        <f>VLOOKUP(A1,DIV_13Data!$A$1:$DZU$1000000,2193,FALSE)</f>
        <v>#N/A</v>
      </c>
      <c r="Q129" s="33" t="e">
        <f>VLOOKUP(A1,DIV_13Data!$A$1:$DZU$1000000,2194,FALSE)</f>
        <v>#N/A</v>
      </c>
    </row>
    <row r="130" spans="1:17" x14ac:dyDescent="0.35">
      <c r="A130" s="22" t="e">
        <f>VLOOKUP(A1,DIV_13Data!$A$1:$DZU$1000000,2195,FALSE)</f>
        <v>#N/A</v>
      </c>
      <c r="B130" s="37" t="e">
        <f>VLOOKUP(A1,DIV_13Data!$A$1:$DZU$1000000,2196,FALSE)</f>
        <v>#N/A</v>
      </c>
      <c r="C130" s="38" t="e">
        <f>VLOOKUP(A1,DIV_13Data!$A$1:$DZU$1000000,2197,FALSE)</f>
        <v>#N/A</v>
      </c>
      <c r="D130" s="31" t="e">
        <f>VLOOKUP(A1,DIV_13Data!$A$1:$DZU$1000000,2198,FALSE)</f>
        <v>#N/A</v>
      </c>
      <c r="E130" s="32" t="e">
        <f>VLOOKUP(A1,DIV_13Data!$A$1:$DZU$1000000,2199,FALSE)</f>
        <v>#N/A</v>
      </c>
      <c r="F130" s="34" t="e">
        <f>VLOOKUP(A1,DIV_13Data!$A$1:$DZU$1000000,2200,FALSE)</f>
        <v>#N/A</v>
      </c>
      <c r="G130" s="33" t="e">
        <f>VLOOKUP(A1,DIV_13Data!$A$1:$DZU$1000000,2201,FALSE)</f>
        <v>#N/A</v>
      </c>
      <c r="H130" s="34" t="e">
        <f>VLOOKUP(A1,DIV_13Data!$A$1:$DZU$1000000,2202,FALSE)</f>
        <v>#N/A</v>
      </c>
      <c r="I130" s="33" t="e">
        <f>VLOOKUP(A1,DIV_13Data!$A$1:$DZU$1000000,2203,FALSE)</f>
        <v>#N/A</v>
      </c>
      <c r="J130" s="34" t="e">
        <f>VLOOKUP(A1,DIV_13Data!$A$1:$DZU$1000000,2204,FALSE)</f>
        <v>#N/A</v>
      </c>
      <c r="K130" s="34" t="e">
        <f>VLOOKUP(A1,DIV_13Data!$A$1:$DZU$1000000,2205,FALSE)</f>
        <v>#N/A</v>
      </c>
      <c r="L130" s="93" t="e">
        <f>VLOOKUP(A1,DIV_13Data!$A$1:$DZU$1000000,2206,FALSE)</f>
        <v>#N/A</v>
      </c>
      <c r="M130" s="33" t="e">
        <f>VLOOKUP(A1,DIV_13Data!$A$1:$DZU$1000000,2207,FALSE)</f>
        <v>#N/A</v>
      </c>
      <c r="N130" s="34" t="e">
        <f>VLOOKUP(A1,DIV_13Data!$A$1:$DZU$1000000,2208,FALSE)</f>
        <v>#N/A</v>
      </c>
      <c r="O130" s="33" t="e">
        <f>VLOOKUP(A1,DIV_13Data!$A$1:$DZU$1000000,2209,FALSE)</f>
        <v>#N/A</v>
      </c>
      <c r="P130" s="46" t="e">
        <f>VLOOKUP(A1,DIV_13Data!$A$1:$DZU$1000000,2210,FALSE)</f>
        <v>#N/A</v>
      </c>
      <c r="Q130" s="33" t="e">
        <f>VLOOKUP(A1,DIV_13Data!$A$1:$DZU$1000000,2211,FALSE)</f>
        <v>#N/A</v>
      </c>
    </row>
    <row r="131" spans="1:17" x14ac:dyDescent="0.35">
      <c r="A131" s="22" t="e">
        <f>VLOOKUP(A1,DIV_13Data!$A$1:$DZU$1000000,2212,FALSE)</f>
        <v>#N/A</v>
      </c>
      <c r="B131" s="37" t="e">
        <f>VLOOKUP(A1,DIV_13Data!$A$1:$DZU$1000000,2213,FALSE)</f>
        <v>#N/A</v>
      </c>
      <c r="C131" s="38" t="e">
        <f>VLOOKUP(A1,DIV_13Data!$A$1:$DZU$1000000,2214,FALSE)</f>
        <v>#N/A</v>
      </c>
      <c r="D131" s="31" t="e">
        <f>VLOOKUP(A1,DIV_13Data!$A$1:$DZU$1000000,2215,FALSE)</f>
        <v>#N/A</v>
      </c>
      <c r="E131" s="32" t="e">
        <f>VLOOKUP(A1,DIV_13Data!$A$1:$DZU$1000000,2216,FALSE)</f>
        <v>#N/A</v>
      </c>
      <c r="F131" s="34" t="e">
        <f>VLOOKUP(A1,DIV_13Data!$A$1:$DZU$1000000,2217,FALSE)</f>
        <v>#N/A</v>
      </c>
      <c r="G131" s="33" t="e">
        <f>VLOOKUP(A1,DIV_13Data!$A$1:$DZU$1000000,2218,FALSE)</f>
        <v>#N/A</v>
      </c>
      <c r="H131" s="34" t="e">
        <f>VLOOKUP(A1,DIV_13Data!$A$1:$DZU$1000000,2219,FALSE)</f>
        <v>#N/A</v>
      </c>
      <c r="I131" s="33" t="e">
        <f>VLOOKUP(A1,DIV_13Data!$A$1:$DZU$1000000,2220,FALSE)</f>
        <v>#N/A</v>
      </c>
      <c r="J131" s="34" t="e">
        <f>VLOOKUP(A1,DIV_13Data!$A$1:$DZU$1000000,2221,FALSE)</f>
        <v>#N/A</v>
      </c>
      <c r="K131" s="34" t="e">
        <f>VLOOKUP(A1,DIV_13Data!$A$1:$DZU$1000000,2222,FALSE)</f>
        <v>#N/A</v>
      </c>
      <c r="L131" s="93" t="e">
        <f>VLOOKUP(A1,DIV_13Data!$A$1:$DZU$1000000,2223,FALSE)</f>
        <v>#N/A</v>
      </c>
      <c r="M131" s="33" t="e">
        <f>VLOOKUP(A1,DIV_13Data!$A$1:$DZU$1000000,2224,FALSE)</f>
        <v>#N/A</v>
      </c>
      <c r="N131" s="34" t="e">
        <f>VLOOKUP(A1,DIV_13Data!$A$1:$DZU$1000000,2225,FALSE)</f>
        <v>#N/A</v>
      </c>
      <c r="O131" s="33" t="e">
        <f>VLOOKUP(A1,DIV_13Data!$A$1:$DZU$1000000,2226,FALSE)</f>
        <v>#N/A</v>
      </c>
      <c r="P131" s="46" t="e">
        <f>VLOOKUP(A1,DIV_13Data!$A$1:$DZU$1000000,2227,FALSE)</f>
        <v>#N/A</v>
      </c>
      <c r="Q131" s="33" t="e">
        <f>VLOOKUP(A1,DIV_13Data!$A$1:$DZU$1000000,2228,FALSE)</f>
        <v>#N/A</v>
      </c>
    </row>
    <row r="132" spans="1:17" x14ac:dyDescent="0.35">
      <c r="A132" s="22" t="e">
        <f>VLOOKUP(A1,DIV_13Data!$A$1:$DZU$1000000,2229,FALSE)</f>
        <v>#N/A</v>
      </c>
      <c r="B132" s="37" t="e">
        <f>VLOOKUP(A1,DIV_13Data!$A$1:$DZU$1000000,2230,FALSE)</f>
        <v>#N/A</v>
      </c>
      <c r="C132" s="38" t="e">
        <f>VLOOKUP(A1,DIV_13Data!$A$1:$DZU$1000000,2231,FALSE)</f>
        <v>#N/A</v>
      </c>
      <c r="D132" s="31" t="e">
        <f>VLOOKUP(A1,DIV_13Data!$A$1:$DZU$1000000,2232,FALSE)</f>
        <v>#N/A</v>
      </c>
      <c r="E132" s="32" t="e">
        <f>VLOOKUP(A1,DIV_13Data!$A$1:$DZU$1000000,2233,FALSE)</f>
        <v>#N/A</v>
      </c>
      <c r="F132" s="34" t="e">
        <f>VLOOKUP(A1,DIV_13Data!$A$1:$DZU$1000000,2234,FALSE)</f>
        <v>#N/A</v>
      </c>
      <c r="G132" s="33" t="e">
        <f>VLOOKUP(A1,DIV_13Data!$A$1:$DZU$1000000,2235,FALSE)</f>
        <v>#N/A</v>
      </c>
      <c r="H132" s="34" t="e">
        <f>VLOOKUP(A1,DIV_13Data!$A$1:$DZU$1000000,2236,FALSE)</f>
        <v>#N/A</v>
      </c>
      <c r="I132" s="33" t="e">
        <f>VLOOKUP(A1,DIV_13Data!$A$1:$DZU$1000000,2237,FALSE)</f>
        <v>#N/A</v>
      </c>
      <c r="J132" s="34" t="e">
        <f>VLOOKUP(A1,DIV_13Data!$A$1:$DZU$1000000,2238,FALSE)</f>
        <v>#N/A</v>
      </c>
      <c r="K132" s="34" t="e">
        <f>VLOOKUP(A1,DIV_13Data!$A$1:$DZU$1000000,2239,FALSE)</f>
        <v>#N/A</v>
      </c>
      <c r="L132" s="93" t="e">
        <f>VLOOKUP(A1,DIV_13Data!$A$1:$DZU$1000000,2240,FALSE)</f>
        <v>#N/A</v>
      </c>
      <c r="M132" s="33" t="e">
        <f>VLOOKUP(A1,DIV_13Data!$A$1:$DZU$1000000,2241,FALSE)</f>
        <v>#N/A</v>
      </c>
      <c r="N132" s="34" t="e">
        <f>VLOOKUP(A1,DIV_13Data!$A$1:$DZU$1000000,2242,FALSE)</f>
        <v>#N/A</v>
      </c>
      <c r="O132" s="33" t="e">
        <f>VLOOKUP(A1,DIV_13Data!$A$1:$DZU$1000000,2243,FALSE)</f>
        <v>#N/A</v>
      </c>
      <c r="P132" s="46" t="e">
        <f>VLOOKUP(A1,DIV_13Data!$A$1:$DZU$1000000,2244,FALSE)</f>
        <v>#N/A</v>
      </c>
      <c r="Q132" s="33" t="e">
        <f>VLOOKUP(A1,DIV_13Data!$A$1:$DZU$1000000,2245,FALSE)</f>
        <v>#N/A</v>
      </c>
    </row>
    <row r="133" spans="1:17" x14ac:dyDescent="0.35">
      <c r="A133" s="22" t="e">
        <f>VLOOKUP(A1,DIV_13Data!$A$1:$DZU$1000000,2246,FALSE)</f>
        <v>#N/A</v>
      </c>
      <c r="B133" s="37" t="e">
        <f>VLOOKUP(A1,DIV_13Data!$A$1:$DZU$1000000,2247,FALSE)</f>
        <v>#N/A</v>
      </c>
      <c r="C133" s="38" t="e">
        <f>VLOOKUP(A1,DIV_13Data!$A$1:$DZU$1000000,2248,FALSE)</f>
        <v>#N/A</v>
      </c>
      <c r="D133" s="31" t="e">
        <f>VLOOKUP(A1,DIV_13Data!$A$1:$DZU$1000000,2249,FALSE)</f>
        <v>#N/A</v>
      </c>
      <c r="E133" s="32" t="e">
        <f>VLOOKUP(A1,DIV_13Data!$A$1:$DZU$1000000,2250,FALSE)</f>
        <v>#N/A</v>
      </c>
      <c r="F133" s="34" t="e">
        <f>VLOOKUP(A1,DIV_13Data!$A$1:$DZU$1000000,2251,FALSE)</f>
        <v>#N/A</v>
      </c>
      <c r="G133" s="33" t="e">
        <f>VLOOKUP(A1,DIV_13Data!$A$1:$DZU$1000000,2252,FALSE)</f>
        <v>#N/A</v>
      </c>
      <c r="H133" s="34" t="e">
        <f>VLOOKUP(A1,DIV_13Data!$A$1:$DZU$1000000,2253,FALSE)</f>
        <v>#N/A</v>
      </c>
      <c r="I133" s="33" t="e">
        <f>VLOOKUP(A1,DIV_13Data!$A$1:$DZU$1000000,2254,FALSE)</f>
        <v>#N/A</v>
      </c>
      <c r="J133" s="34" t="e">
        <f>VLOOKUP(A1,DIV_13Data!$A$1:$DZU$1000000,2255,FALSE)</f>
        <v>#N/A</v>
      </c>
      <c r="K133" s="34" t="e">
        <f>VLOOKUP(A1,DIV_13Data!$A$1:$DZU$1000000,2256,FALSE)</f>
        <v>#N/A</v>
      </c>
      <c r="L133" s="93" t="e">
        <f>VLOOKUP(A1,DIV_13Data!$A$1:$DZU$1000000,2257,FALSE)</f>
        <v>#N/A</v>
      </c>
      <c r="M133" s="33" t="e">
        <f>VLOOKUP(A1,DIV_13Data!$A$1:$DZU$1000000,2258,FALSE)</f>
        <v>#N/A</v>
      </c>
      <c r="N133" s="34" t="e">
        <f>VLOOKUP(A1,DIV_13Data!$A$1:$DZU$1000000,2259,FALSE)</f>
        <v>#N/A</v>
      </c>
      <c r="O133" s="33" t="e">
        <f>VLOOKUP(A1,DIV_13Data!$A$1:$DZU$1000000,2260,FALSE)</f>
        <v>#N/A</v>
      </c>
      <c r="P133" s="46" t="e">
        <f>VLOOKUP(A1,DIV_13Data!$A$1:$DZU$1000000,2261,FALSE)</f>
        <v>#N/A</v>
      </c>
      <c r="Q133" s="33" t="e">
        <f>VLOOKUP(A1,DIV_13Data!$A$1:$DZU$1000000,2262,FALSE)</f>
        <v>#N/A</v>
      </c>
    </row>
    <row r="134" spans="1:17" x14ac:dyDescent="0.35">
      <c r="A134" s="22" t="e">
        <f>VLOOKUP(A1,DIV_13Data!$A$1:$DZU$1000000,2263,FALSE)</f>
        <v>#N/A</v>
      </c>
      <c r="B134" s="37" t="e">
        <f>VLOOKUP(A1,DIV_13Data!$A$1:$DZU$1000000,2264,FALSE)</f>
        <v>#N/A</v>
      </c>
      <c r="C134" s="38" t="e">
        <f>VLOOKUP(A1,DIV_13Data!$A$1:$DZU$1000000,2265,FALSE)</f>
        <v>#N/A</v>
      </c>
      <c r="D134" s="31" t="e">
        <f>VLOOKUP(A1,DIV_13Data!$A$1:$DZU$1000000,2266,FALSE)</f>
        <v>#N/A</v>
      </c>
      <c r="E134" s="32" t="e">
        <f>VLOOKUP(A1,DIV_13Data!$A$1:$DZU$1000000,2267,FALSE)</f>
        <v>#N/A</v>
      </c>
      <c r="F134" s="34" t="e">
        <f>VLOOKUP(A1,DIV_13Data!$A$1:$DZU$1000000,2268,FALSE)</f>
        <v>#N/A</v>
      </c>
      <c r="G134" s="33" t="e">
        <f>VLOOKUP(A1,DIV_13Data!$A$1:$DZU$1000000,2269,FALSE)</f>
        <v>#N/A</v>
      </c>
      <c r="H134" s="34" t="e">
        <f>VLOOKUP(A1,DIV_13Data!$A$1:$DZU$1000000,2270,FALSE)</f>
        <v>#N/A</v>
      </c>
      <c r="I134" s="33" t="e">
        <f>VLOOKUP(A1,DIV_13Data!$A$1:$DZU$1000000,2271,FALSE)</f>
        <v>#N/A</v>
      </c>
      <c r="J134" s="34" t="e">
        <f>VLOOKUP(A1,DIV_13Data!$A$1:$DZU$1000000,2272,FALSE)</f>
        <v>#N/A</v>
      </c>
      <c r="K134" s="34" t="e">
        <f>VLOOKUP(A1,DIV_13Data!$A$1:$DZU$1000000,2273,FALSE)</f>
        <v>#N/A</v>
      </c>
      <c r="L134" s="93" t="e">
        <f>VLOOKUP(A1,DIV_13Data!$A$1:$DZU$1000000,2274,FALSE)</f>
        <v>#N/A</v>
      </c>
      <c r="M134" s="33" t="e">
        <f>VLOOKUP(A1,DIV_13Data!$A$1:$DZU$1000000,2275,FALSE)</f>
        <v>#N/A</v>
      </c>
      <c r="N134" s="34" t="e">
        <f>VLOOKUP(A1,DIV_13Data!$A$1:$DZU$1000000,2276,FALSE)</f>
        <v>#N/A</v>
      </c>
      <c r="O134" s="33" t="e">
        <f>VLOOKUP(A1,DIV_13Data!$A$1:$DZU$1000000,2277,FALSE)</f>
        <v>#N/A</v>
      </c>
      <c r="P134" s="46" t="e">
        <f>VLOOKUP(A1,DIV_13Data!$A$1:$DZU$1000000,2278,FALSE)</f>
        <v>#N/A</v>
      </c>
      <c r="Q134" s="33" t="e">
        <f>VLOOKUP(A1,DIV_13Data!$A$1:$DZU$1000000,2279,FALSE)</f>
        <v>#N/A</v>
      </c>
    </row>
    <row r="135" spans="1:17" x14ac:dyDescent="0.35">
      <c r="A135" s="22" t="e">
        <f>VLOOKUP(A1,DIV_13Data!$A$1:$DZU$1000000,2280,FALSE)</f>
        <v>#N/A</v>
      </c>
      <c r="B135" s="37" t="e">
        <f>VLOOKUP(A1,DIV_13Data!$A$1:$DZU$1000000,2281,FALSE)</f>
        <v>#N/A</v>
      </c>
      <c r="C135" s="38" t="e">
        <f>VLOOKUP(A1,DIV_13Data!$A$1:$DZU$1000000,2282,FALSE)</f>
        <v>#N/A</v>
      </c>
      <c r="D135" s="31" t="e">
        <f>VLOOKUP(A1,DIV_13Data!$A$1:$DZU$1000000,2283,FALSE)</f>
        <v>#N/A</v>
      </c>
      <c r="E135" s="32" t="e">
        <f>VLOOKUP(A1,DIV_13Data!$A$1:$DZU$1000000,2284,FALSE)</f>
        <v>#N/A</v>
      </c>
      <c r="F135" s="34" t="e">
        <f>VLOOKUP(A1,DIV_13Data!$A$1:$DZU$1000000,2285,FALSE)</f>
        <v>#N/A</v>
      </c>
      <c r="G135" s="33" t="e">
        <f>VLOOKUP(A1,DIV_13Data!$A$1:$DZU$1000000,2286,FALSE)</f>
        <v>#N/A</v>
      </c>
      <c r="H135" s="34" t="e">
        <f>VLOOKUP(A1,DIV_13Data!$A$1:$DZU$1000000,2287,FALSE)</f>
        <v>#N/A</v>
      </c>
      <c r="I135" s="33" t="e">
        <f>VLOOKUP(A1,DIV_13Data!$A$1:$DZU$1000000,2288,FALSE)</f>
        <v>#N/A</v>
      </c>
      <c r="J135" s="34" t="e">
        <f>VLOOKUP(A1,DIV_13Data!$A$1:$DZU$1000000,2289,FALSE)</f>
        <v>#N/A</v>
      </c>
      <c r="K135" s="34" t="e">
        <f>VLOOKUP(A1,DIV_13Data!$A$1:$DZU$1000000,2290,FALSE)</f>
        <v>#N/A</v>
      </c>
      <c r="L135" s="93" t="e">
        <f>VLOOKUP(A1,DIV_13Data!$A$1:$DZU$1000000,2291,FALSE)</f>
        <v>#N/A</v>
      </c>
      <c r="M135" s="33" t="e">
        <f>VLOOKUP(A1,DIV_13Data!$A$1:$DZU$1000000,2292,FALSE)</f>
        <v>#N/A</v>
      </c>
      <c r="N135" s="34" t="e">
        <f>VLOOKUP(A1,DIV_13Data!$A$1:$DZU$1000000,2293,FALSE)</f>
        <v>#N/A</v>
      </c>
      <c r="O135" s="33" t="e">
        <f>VLOOKUP(A1,DIV_13Data!$A$1:$DZU$1000000,2294,FALSE)</f>
        <v>#N/A</v>
      </c>
      <c r="P135" s="46" t="e">
        <f>VLOOKUP(A1,DIV_13Data!$A$1:$DZU$1000000,2295,FALSE)</f>
        <v>#N/A</v>
      </c>
      <c r="Q135" s="33" t="e">
        <f>VLOOKUP(A1,DIV_13Data!$A$1:$DZU$1000000,2296,FALSE)</f>
        <v>#N/A</v>
      </c>
    </row>
    <row r="136" spans="1:17" x14ac:dyDescent="0.35">
      <c r="A136" s="22" t="e">
        <f>VLOOKUP(A1,DIV_13Data!$A$1:$DZU$1000000,2297,FALSE)</f>
        <v>#N/A</v>
      </c>
      <c r="B136" s="37" t="e">
        <f>VLOOKUP(A1,DIV_13Data!$A$1:$DZU$1000000,2298,FALSE)</f>
        <v>#N/A</v>
      </c>
      <c r="C136" s="38" t="e">
        <f>VLOOKUP(A1,DIV_13Data!$A$1:$DZU$1000000,2299,FALSE)</f>
        <v>#N/A</v>
      </c>
      <c r="D136" s="31" t="e">
        <f>VLOOKUP(A1,DIV_13Data!$A$1:$DZU$1000000,2300,FALSE)</f>
        <v>#N/A</v>
      </c>
      <c r="E136" s="32" t="e">
        <f>VLOOKUP(A1,DIV_13Data!$A$1:$DZU$1000000,2301,FALSE)</f>
        <v>#N/A</v>
      </c>
      <c r="F136" s="34" t="e">
        <f>VLOOKUP(A1,DIV_13Data!$A$1:$DZU$1000000,2302,FALSE)</f>
        <v>#N/A</v>
      </c>
      <c r="G136" s="33" t="e">
        <f>VLOOKUP(A1,DIV_13Data!$A$1:$DZU$1000000,2303,FALSE)</f>
        <v>#N/A</v>
      </c>
      <c r="H136" s="34" t="e">
        <f>VLOOKUP(A1,DIV_13Data!$A$1:$DZU$1000000,2304,FALSE)</f>
        <v>#N/A</v>
      </c>
      <c r="I136" s="33" t="e">
        <f>VLOOKUP(A1,DIV_13Data!$A$1:$DZU$1000000,2305,FALSE)</f>
        <v>#N/A</v>
      </c>
      <c r="J136" s="34" t="e">
        <f>VLOOKUP(A1,DIV_13Data!$A$1:$DZU$1000000,2306,FALSE)</f>
        <v>#N/A</v>
      </c>
      <c r="K136" s="34" t="e">
        <f>VLOOKUP(A1,DIV_13Data!$A$1:$DZU$1000000,2307,FALSE)</f>
        <v>#N/A</v>
      </c>
      <c r="L136" s="93" t="e">
        <f>VLOOKUP(A1,DIV_13Data!$A$1:$DZU$1000000,2308,FALSE)</f>
        <v>#N/A</v>
      </c>
      <c r="M136" s="33" t="e">
        <f>VLOOKUP(A1,DIV_13Data!$A$1:$DZU$1000000,2309,FALSE)</f>
        <v>#N/A</v>
      </c>
      <c r="N136" s="34" t="e">
        <f>VLOOKUP(A1,DIV_13Data!$A$1:$DZU$1000000,2310,FALSE)</f>
        <v>#N/A</v>
      </c>
      <c r="O136" s="33" t="e">
        <f>VLOOKUP(A1,DIV_13Data!$A$1:$DZU$1000000,2311,FALSE)</f>
        <v>#N/A</v>
      </c>
      <c r="P136" s="46" t="e">
        <f>VLOOKUP(A1,DIV_13Data!$A$1:$DZU$1000000,2312,FALSE)</f>
        <v>#N/A</v>
      </c>
      <c r="Q136" s="33" t="e">
        <f>VLOOKUP(A1,DIV_13Data!$A$1:$DZU$1000000,2313,FALSE)</f>
        <v>#N/A</v>
      </c>
    </row>
    <row r="137" spans="1:17" x14ac:dyDescent="0.35">
      <c r="A137" s="22" t="e">
        <f>VLOOKUP(A1,DIV_13Data!$A$1:$DZU$1000000,2314,FALSE)</f>
        <v>#N/A</v>
      </c>
      <c r="B137" s="37" t="e">
        <f>VLOOKUP(A1,DIV_13Data!$A$1:$DZU$1000000,2315,FALSE)</f>
        <v>#N/A</v>
      </c>
      <c r="C137" s="38" t="e">
        <f>VLOOKUP(A1,DIV_13Data!$A$1:$DZU$1000000,2316,FALSE)</f>
        <v>#N/A</v>
      </c>
      <c r="D137" s="31" t="e">
        <f>VLOOKUP(A1,DIV_13Data!$A$1:$DZU$1000000,2317,FALSE)</f>
        <v>#N/A</v>
      </c>
      <c r="E137" s="32" t="e">
        <f>VLOOKUP(A1,DIV_13Data!$A$1:$DZU$1000000,2318,FALSE)</f>
        <v>#N/A</v>
      </c>
      <c r="F137" s="34" t="e">
        <f>VLOOKUP(A1,DIV_13Data!$A$1:$DZU$1000000,2319,FALSE)</f>
        <v>#N/A</v>
      </c>
      <c r="G137" s="33" t="e">
        <f>VLOOKUP(A1,DIV_13Data!$A$1:$DZU$1000000,2320,FALSE)</f>
        <v>#N/A</v>
      </c>
      <c r="H137" s="34" t="e">
        <f>VLOOKUP(A1,DIV_13Data!$A$1:$DZU$1000000,2321,FALSE)</f>
        <v>#N/A</v>
      </c>
      <c r="I137" s="33" t="e">
        <f>VLOOKUP(A1,DIV_13Data!$A$1:$DZU$1000000,2322,FALSE)</f>
        <v>#N/A</v>
      </c>
      <c r="J137" s="34" t="e">
        <f>VLOOKUP(A1,DIV_13Data!$A$1:$DZU$1000000,2323,FALSE)</f>
        <v>#N/A</v>
      </c>
      <c r="K137" s="34" t="e">
        <f>VLOOKUP(A1,DIV_13Data!$A$1:$DZU$1000000,2324,FALSE)</f>
        <v>#N/A</v>
      </c>
      <c r="L137" s="93" t="e">
        <f>VLOOKUP(A1,DIV_13Data!$A$1:$DZU$1000000,2325,FALSE)</f>
        <v>#N/A</v>
      </c>
      <c r="M137" s="33" t="e">
        <f>VLOOKUP(A1,DIV_13Data!$A$1:$DZU$1000000,2326,FALSE)</f>
        <v>#N/A</v>
      </c>
      <c r="N137" s="34" t="e">
        <f>VLOOKUP(A1,DIV_13Data!$A$1:$DZU$1000000,2327,FALSE)</f>
        <v>#N/A</v>
      </c>
      <c r="O137" s="33" t="e">
        <f>VLOOKUP(A1,DIV_13Data!$A$1:$DZU$1000000,2328,FALSE)</f>
        <v>#N/A</v>
      </c>
      <c r="P137" s="46" t="e">
        <f>VLOOKUP(A1,DIV_13Data!$A$1:$DZU$1000000,2329,FALSE)</f>
        <v>#N/A</v>
      </c>
      <c r="Q137" s="33" t="e">
        <f>VLOOKUP(A1,DIV_13Data!$A$1:$DZU$1000000,2330,FALSE)</f>
        <v>#N/A</v>
      </c>
    </row>
    <row r="138" spans="1:17" x14ac:dyDescent="0.35">
      <c r="A138" s="22" t="e">
        <f>VLOOKUP(A1,DIV_13Data!$A$1:$DZU$1000000,2331,FALSE)</f>
        <v>#N/A</v>
      </c>
      <c r="B138" s="37" t="e">
        <f>VLOOKUP(A1,DIV_13Data!$A$1:$DZU$1000000,2332,FALSE)</f>
        <v>#N/A</v>
      </c>
      <c r="C138" s="38" t="e">
        <f>VLOOKUP(A1,DIV_13Data!$A$1:$DZU$1000000,2333,FALSE)</f>
        <v>#N/A</v>
      </c>
      <c r="D138" s="31" t="e">
        <f>VLOOKUP(A1,DIV_13Data!$A$1:$DZU$1000000,2334,FALSE)</f>
        <v>#N/A</v>
      </c>
      <c r="E138" s="32" t="e">
        <f>VLOOKUP(A1,DIV_13Data!$A$1:$DZU$1000000,2335,FALSE)</f>
        <v>#N/A</v>
      </c>
      <c r="F138" s="34" t="e">
        <f>VLOOKUP(A1,DIV_13Data!$A$1:$DZU$1000000,2336,FALSE)</f>
        <v>#N/A</v>
      </c>
      <c r="G138" s="33" t="e">
        <f>VLOOKUP(A1,DIV_13Data!$A$1:$DZU$1000000,2337,FALSE)</f>
        <v>#N/A</v>
      </c>
      <c r="H138" s="34" t="e">
        <f>VLOOKUP(A1,DIV_13Data!$A$1:$DZU$1000000,2338,FALSE)</f>
        <v>#N/A</v>
      </c>
      <c r="I138" s="33" t="e">
        <f>VLOOKUP(A1,DIV_13Data!$A$1:$DZU$1000000,2339,FALSE)</f>
        <v>#N/A</v>
      </c>
      <c r="J138" s="34" t="e">
        <f>VLOOKUP(A1,DIV_13Data!$A$1:$DZU$1000000,2340,FALSE)</f>
        <v>#N/A</v>
      </c>
      <c r="K138" s="34" t="e">
        <f>VLOOKUP(A1,DIV_13Data!$A$1:$DZU$1000000,2341,FALSE)</f>
        <v>#N/A</v>
      </c>
      <c r="L138" s="93" t="e">
        <f>VLOOKUP(A1,DIV_13Data!$A$1:$DZU$1000000,2342,FALSE)</f>
        <v>#N/A</v>
      </c>
      <c r="M138" s="33" t="e">
        <f>VLOOKUP(A1,DIV_13Data!$A$1:$DZU$1000000,2343,FALSE)</f>
        <v>#N/A</v>
      </c>
      <c r="N138" s="34" t="e">
        <f>VLOOKUP(A1,DIV_13Data!$A$1:$DZU$1000000,2344,FALSE)</f>
        <v>#N/A</v>
      </c>
      <c r="O138" s="33" t="e">
        <f>VLOOKUP(A1,DIV_13Data!$A$1:$DZU$1000000,2345,FALSE)</f>
        <v>#N/A</v>
      </c>
      <c r="P138" s="46" t="e">
        <f>VLOOKUP(A1,DIV_13Data!$A$1:$DZU$1000000,2346,FALSE)</f>
        <v>#N/A</v>
      </c>
      <c r="Q138" s="33" t="e">
        <f>VLOOKUP(A1,DIV_13Data!$A$1:$DZU$1000000,2347,FALSE)</f>
        <v>#N/A</v>
      </c>
    </row>
    <row r="139" spans="1:17" x14ac:dyDescent="0.35">
      <c r="A139" s="22" t="e">
        <f>VLOOKUP(A1,DIV_13Data!$A$1:$DZU$1000000,2348,FALSE)</f>
        <v>#N/A</v>
      </c>
      <c r="B139" s="37" t="e">
        <f>VLOOKUP(A1,DIV_13Data!$A$1:$DZU$1000000,2349,FALSE)</f>
        <v>#N/A</v>
      </c>
      <c r="C139" s="38" t="e">
        <f>VLOOKUP(A1,DIV_13Data!$A$1:$DZU$1000000,2350,FALSE)</f>
        <v>#N/A</v>
      </c>
      <c r="D139" s="31" t="e">
        <f>VLOOKUP(A1,DIV_13Data!$A$1:$DZU$1000000,2351,FALSE)</f>
        <v>#N/A</v>
      </c>
      <c r="E139" s="32" t="e">
        <f>VLOOKUP(A1,DIV_13Data!$A$1:$DZU$1000000,2352,FALSE)</f>
        <v>#N/A</v>
      </c>
      <c r="F139" s="34" t="e">
        <f>VLOOKUP(A1,DIV_13Data!$A$1:$DZU$1000000,2353,FALSE)</f>
        <v>#N/A</v>
      </c>
      <c r="G139" s="33" t="e">
        <f>VLOOKUP(A1,DIV_13Data!$A$1:$DZU$1000000,2354,FALSE)</f>
        <v>#N/A</v>
      </c>
      <c r="H139" s="34" t="e">
        <f>VLOOKUP(A1,DIV_13Data!$A$1:$DZU$1000000,2355,FALSE)</f>
        <v>#N/A</v>
      </c>
      <c r="I139" s="33" t="e">
        <f>VLOOKUP(A1,DIV_13Data!$A$1:$DZU$1000000,2356,FALSE)</f>
        <v>#N/A</v>
      </c>
      <c r="J139" s="34" t="e">
        <f>VLOOKUP(A1,DIV_13Data!$A$1:$DZU$1000000,2357,FALSE)</f>
        <v>#N/A</v>
      </c>
      <c r="K139" s="34" t="e">
        <f>VLOOKUP(A1,DIV_13Data!$A$1:$DZU$1000000,2358,FALSE)</f>
        <v>#N/A</v>
      </c>
      <c r="L139" s="93" t="e">
        <f>VLOOKUP(A1,DIV_13Data!$A$1:$DZU$1000000,2359,FALSE)</f>
        <v>#N/A</v>
      </c>
      <c r="M139" s="33" t="e">
        <f>VLOOKUP(A1,DIV_13Data!$A$1:$DZU$1000000,2360,FALSE)</f>
        <v>#N/A</v>
      </c>
      <c r="N139" s="34" t="e">
        <f>VLOOKUP(A1,DIV_13Data!$A$1:$DZU$1000000,2361,FALSE)</f>
        <v>#N/A</v>
      </c>
      <c r="O139" s="33" t="e">
        <f>VLOOKUP(A1,DIV_13Data!$A$1:$DZU$1000000,2362,FALSE)</f>
        <v>#N/A</v>
      </c>
      <c r="P139" s="46" t="e">
        <f>VLOOKUP(A1,DIV_13Data!$A$1:$DZU$1000000,2363,FALSE)</f>
        <v>#N/A</v>
      </c>
      <c r="Q139" s="33" t="e">
        <f>VLOOKUP(A1,DIV_13Data!$A$1:$DZU$1000000,2364,FALSE)</f>
        <v>#N/A</v>
      </c>
    </row>
    <row r="140" spans="1:17" x14ac:dyDescent="0.35">
      <c r="A140" s="22" t="e">
        <f>VLOOKUP(A1,DIV_13Data!$A$1:$DZU$1000000,2365,FALSE)</f>
        <v>#N/A</v>
      </c>
      <c r="B140" s="37" t="e">
        <f>VLOOKUP(A1,DIV_13Data!$A$1:$DZU$1000000,2366,FALSE)</f>
        <v>#N/A</v>
      </c>
      <c r="C140" s="38" t="e">
        <f>VLOOKUP(A1,DIV_13Data!$A$1:$DZU$1000000,2367,FALSE)</f>
        <v>#N/A</v>
      </c>
      <c r="D140" s="31" t="e">
        <f>VLOOKUP(A1,DIV_13Data!$A$1:$DZU$1000000,2368,FALSE)</f>
        <v>#N/A</v>
      </c>
      <c r="E140" s="32" t="e">
        <f>VLOOKUP(A1,DIV_13Data!$A$1:$DZU$1000000,2369,FALSE)</f>
        <v>#N/A</v>
      </c>
      <c r="F140" s="34" t="e">
        <f>VLOOKUP(A1,DIV_13Data!$A$1:$DZU$1000000,2370,FALSE)</f>
        <v>#N/A</v>
      </c>
      <c r="G140" s="33" t="e">
        <f>VLOOKUP(A1,DIV_13Data!$A$1:$DZU$1000000,2371,FALSE)</f>
        <v>#N/A</v>
      </c>
      <c r="H140" s="34" t="e">
        <f>VLOOKUP(A1,DIV_13Data!$A$1:$DZU$1000000,2372,FALSE)</f>
        <v>#N/A</v>
      </c>
      <c r="I140" s="33" t="e">
        <f>VLOOKUP(A1,DIV_13Data!$A$1:$DZU$1000000,2373,FALSE)</f>
        <v>#N/A</v>
      </c>
      <c r="J140" s="34" t="e">
        <f>VLOOKUP(A1,DIV_13Data!$A$1:$DZU$1000000,2374,FALSE)</f>
        <v>#N/A</v>
      </c>
      <c r="K140" s="34" t="e">
        <f>VLOOKUP(A1,DIV_13Data!$A$1:$DZU$1000000,2375,FALSE)</f>
        <v>#N/A</v>
      </c>
      <c r="L140" s="93" t="e">
        <f>VLOOKUP(A1,DIV_13Data!$A$1:$DZU$1000000,2376,FALSE)</f>
        <v>#N/A</v>
      </c>
      <c r="M140" s="33" t="e">
        <f>VLOOKUP(A1,DIV_13Data!$A$1:$DZU$1000000,2377,FALSE)</f>
        <v>#N/A</v>
      </c>
      <c r="N140" s="34" t="e">
        <f>VLOOKUP(A1,DIV_13Data!$A$1:$DZU$1000000,2378,FALSE)</f>
        <v>#N/A</v>
      </c>
      <c r="O140" s="33" t="e">
        <f>VLOOKUP(A1,DIV_13Data!$A$1:$DZU$1000000,2379,FALSE)</f>
        <v>#N/A</v>
      </c>
      <c r="P140" s="46" t="e">
        <f>VLOOKUP(A1,DIV_13Data!$A$1:$DZU$1000000,2380,FALSE)</f>
        <v>#N/A</v>
      </c>
      <c r="Q140" s="33" t="e">
        <f>VLOOKUP(A1,DIV_13Data!$A$1:$DZU$1000000,2381,FALSE)</f>
        <v>#N/A</v>
      </c>
    </row>
    <row r="141" spans="1:17" x14ac:dyDescent="0.35">
      <c r="A141" s="22" t="e">
        <f>VLOOKUP(A1,DIV_13Data!$A$1:$DZU$1000000,2382,FALSE)</f>
        <v>#N/A</v>
      </c>
      <c r="B141" s="37" t="e">
        <f>VLOOKUP(A1,DIV_13Data!$A$1:$DZU$1000000,2383,FALSE)</f>
        <v>#N/A</v>
      </c>
      <c r="C141" s="38" t="e">
        <f>VLOOKUP(A1,DIV_13Data!$A$1:$DZU$1000000,2384,FALSE)</f>
        <v>#N/A</v>
      </c>
      <c r="D141" s="31" t="e">
        <f>VLOOKUP(A1,DIV_13Data!$A$1:$DZU$1000000,2385,FALSE)</f>
        <v>#N/A</v>
      </c>
      <c r="E141" s="32" t="e">
        <f>VLOOKUP(A1,DIV_13Data!$A$1:$DZU$1000000,2386,FALSE)</f>
        <v>#N/A</v>
      </c>
      <c r="F141" s="34" t="e">
        <f>VLOOKUP(A1,DIV_13Data!$A$1:$DZU$1000000,2387,FALSE)</f>
        <v>#N/A</v>
      </c>
      <c r="G141" s="33" t="e">
        <f>VLOOKUP(A1,DIV_13Data!$A$1:$DZU$1000000,2388,FALSE)</f>
        <v>#N/A</v>
      </c>
      <c r="H141" s="34" t="e">
        <f>VLOOKUP(A1,DIV_13Data!$A$1:$DZU$1000000,2389,FALSE)</f>
        <v>#N/A</v>
      </c>
      <c r="I141" s="33" t="e">
        <f>VLOOKUP(A1,DIV_13Data!$A$1:$DZU$1000000,2390,FALSE)</f>
        <v>#N/A</v>
      </c>
      <c r="J141" s="34" t="e">
        <f>VLOOKUP(A1,DIV_13Data!$A$1:$DZU$1000000,2391,FALSE)</f>
        <v>#N/A</v>
      </c>
      <c r="K141" s="34" t="e">
        <f>VLOOKUP(A1,DIV_13Data!$A$1:$DZU$1000000,2392,FALSE)</f>
        <v>#N/A</v>
      </c>
      <c r="L141" s="93" t="e">
        <f>VLOOKUP(A1,DIV_13Data!$A$1:$DZU$1000000,2393,FALSE)</f>
        <v>#N/A</v>
      </c>
      <c r="M141" s="33" t="e">
        <f>VLOOKUP(A1,DIV_13Data!$A$1:$DZU$1000000,2394,FALSE)</f>
        <v>#N/A</v>
      </c>
      <c r="N141" s="34" t="e">
        <f>VLOOKUP(A1,DIV_13Data!$A$1:$DZU$1000000,2395,FALSE)</f>
        <v>#N/A</v>
      </c>
      <c r="O141" s="33" t="e">
        <f>VLOOKUP(A1,DIV_13Data!$A$1:$DZU$1000000,2396,FALSE)</f>
        <v>#N/A</v>
      </c>
      <c r="P141" s="46" t="e">
        <f>VLOOKUP(A1,DIV_13Data!$A$1:$DZU$1000000,2397,FALSE)</f>
        <v>#N/A</v>
      </c>
      <c r="Q141" s="33" t="e">
        <f>VLOOKUP(A1,DIV_13Data!$A$1:$DZU$1000000,2398,FALSE)</f>
        <v>#N/A</v>
      </c>
    </row>
    <row r="142" spans="1:17" x14ac:dyDescent="0.35">
      <c r="A142" s="22" t="e">
        <f>VLOOKUP(A1,DIV_13Data!$A$1:$DZU$1000000,2399,FALSE)</f>
        <v>#N/A</v>
      </c>
      <c r="B142" s="37" t="e">
        <f>VLOOKUP(A1,DIV_13Data!$A$1:$DZU$1000000,2400,FALSE)</f>
        <v>#N/A</v>
      </c>
      <c r="C142" s="38" t="e">
        <f>VLOOKUP(A1,DIV_13Data!$A$1:$DZU$1000000,2401,FALSE)</f>
        <v>#N/A</v>
      </c>
      <c r="D142" s="31" t="e">
        <f>VLOOKUP(A1,DIV_13Data!$A$1:$DZU$1000000,2402,FALSE)</f>
        <v>#N/A</v>
      </c>
      <c r="E142" s="32" t="e">
        <f>VLOOKUP(A1,DIV_13Data!$A$1:$DZU$1000000,2403,FALSE)</f>
        <v>#N/A</v>
      </c>
      <c r="F142" s="34" t="e">
        <f>VLOOKUP(A1,DIV_13Data!$A$1:$DZU$1000000,2404,FALSE)</f>
        <v>#N/A</v>
      </c>
      <c r="G142" s="33" t="e">
        <f>VLOOKUP(A1,DIV_13Data!$A$1:$DZU$1000000,2405,FALSE)</f>
        <v>#N/A</v>
      </c>
      <c r="H142" s="34" t="e">
        <f>VLOOKUP(A1,DIV_13Data!$A$1:$DZU$1000000,2406,FALSE)</f>
        <v>#N/A</v>
      </c>
      <c r="I142" s="33" t="e">
        <f>VLOOKUP(A1,DIV_13Data!$A$1:$DZU$1000000,2407,FALSE)</f>
        <v>#N/A</v>
      </c>
      <c r="J142" s="34" t="e">
        <f>VLOOKUP(A1,DIV_13Data!$A$1:$DZU$1000000,2408,FALSE)</f>
        <v>#N/A</v>
      </c>
      <c r="K142" s="34" t="e">
        <f>VLOOKUP(A1,DIV_13Data!$A$1:$DZU$1000000,2409,FALSE)</f>
        <v>#N/A</v>
      </c>
      <c r="L142" s="93" t="e">
        <f>VLOOKUP(A1,DIV_13Data!$A$1:$DZU$1000000,2410,FALSE)</f>
        <v>#N/A</v>
      </c>
      <c r="M142" s="33" t="e">
        <f>VLOOKUP(A1,DIV_13Data!$A$1:$DZU$1000000,2411,FALSE)</f>
        <v>#N/A</v>
      </c>
      <c r="N142" s="34" t="e">
        <f>VLOOKUP(A1,DIV_13Data!$A$1:$DZU$1000000,2412,FALSE)</f>
        <v>#N/A</v>
      </c>
      <c r="O142" s="33" t="e">
        <f>VLOOKUP(A1,DIV_13Data!$A$1:$DZU$1000000,2413,FALSE)</f>
        <v>#N/A</v>
      </c>
      <c r="P142" s="46" t="e">
        <f>VLOOKUP(A1,DIV_13Data!$A$1:$DZU$1000000,2414,FALSE)</f>
        <v>#N/A</v>
      </c>
      <c r="Q142" s="33" t="e">
        <f>VLOOKUP(A1,DIV_13Data!$A$1:$DZU$1000000,2415,FALSE)</f>
        <v>#N/A</v>
      </c>
    </row>
    <row r="143" spans="1:17" x14ac:dyDescent="0.35">
      <c r="A143" s="22" t="e">
        <f>VLOOKUP(A1,DIV_13Data!$A$1:$DZU$1000000,2416,FALSE)</f>
        <v>#N/A</v>
      </c>
      <c r="B143" s="37" t="e">
        <f>VLOOKUP(A1,DIV_13Data!$A$1:$DZU$1000000,2417,FALSE)</f>
        <v>#N/A</v>
      </c>
      <c r="C143" s="38" t="e">
        <f>VLOOKUP(A1,DIV_13Data!$A$1:$DZU$1000000,2418,FALSE)</f>
        <v>#N/A</v>
      </c>
      <c r="D143" s="31" t="e">
        <f>VLOOKUP(A1,DIV_13Data!$A$1:$DZU$1000000,2419,FALSE)</f>
        <v>#N/A</v>
      </c>
      <c r="E143" s="32" t="e">
        <f>VLOOKUP(A1,DIV_13Data!$A$1:$DZU$1000000,2420,FALSE)</f>
        <v>#N/A</v>
      </c>
      <c r="F143" s="34" t="e">
        <f>VLOOKUP(A1,DIV_13Data!$A$1:$DZU$1000000,2421,FALSE)</f>
        <v>#N/A</v>
      </c>
      <c r="G143" s="33" t="e">
        <f>VLOOKUP(A1,DIV_13Data!$A$1:$DZU$1000000,2422,FALSE)</f>
        <v>#N/A</v>
      </c>
      <c r="H143" s="34" t="e">
        <f>VLOOKUP(A1,DIV_13Data!$A$1:$DZU$1000000,2423,FALSE)</f>
        <v>#N/A</v>
      </c>
      <c r="I143" s="33" t="e">
        <f>VLOOKUP(A1,DIV_13Data!$A$1:$DZU$1000000,2424,FALSE)</f>
        <v>#N/A</v>
      </c>
      <c r="J143" s="34" t="e">
        <f>VLOOKUP(A1,DIV_13Data!$A$1:$DZU$1000000,2425,FALSE)</f>
        <v>#N/A</v>
      </c>
      <c r="K143" s="34" t="e">
        <f>VLOOKUP(A1,DIV_13Data!$A$1:$DZU$1000000,2426,FALSE)</f>
        <v>#N/A</v>
      </c>
      <c r="L143" s="93" t="e">
        <f>VLOOKUP(A1,DIV_13Data!$A$1:$DZU$1000000,2427,FALSE)</f>
        <v>#N/A</v>
      </c>
      <c r="M143" s="33" t="e">
        <f>VLOOKUP(A1,DIV_13Data!$A$1:$DZU$1000000,2428,FALSE)</f>
        <v>#N/A</v>
      </c>
      <c r="N143" s="34" t="e">
        <f>VLOOKUP(A1,DIV_13Data!$A$1:$DZU$1000000,2429,FALSE)</f>
        <v>#N/A</v>
      </c>
      <c r="O143" s="33" t="e">
        <f>VLOOKUP(A1,DIV_13Data!$A$1:$DZU$1000000,2430,FALSE)</f>
        <v>#N/A</v>
      </c>
      <c r="P143" s="46" t="e">
        <f>VLOOKUP(A1,DIV_13Data!$A$1:$DZU$1000000,2431,FALSE)</f>
        <v>#N/A</v>
      </c>
      <c r="Q143" s="33" t="e">
        <f>VLOOKUP(A1,DIV_13Data!$A$1:$DZU$1000000,2432,FALSE)</f>
        <v>#N/A</v>
      </c>
    </row>
    <row r="144" spans="1:17" x14ac:dyDescent="0.35">
      <c r="A144" s="22" t="e">
        <f>VLOOKUP(A1,DIV_13Data!$A$1:$DZU$1000000,2433,FALSE)</f>
        <v>#N/A</v>
      </c>
      <c r="B144" s="37" t="e">
        <f>VLOOKUP(A1,DIV_13Data!$A$1:$DZU$1000000,2434,FALSE)</f>
        <v>#N/A</v>
      </c>
      <c r="C144" s="38" t="e">
        <f>VLOOKUP(A1,DIV_13Data!$A$1:$DZU$1000000,2435,FALSE)</f>
        <v>#N/A</v>
      </c>
      <c r="D144" s="31" t="e">
        <f>VLOOKUP(A1,DIV_13Data!$A$1:$DZU$1000000,2436,FALSE)</f>
        <v>#N/A</v>
      </c>
      <c r="E144" s="32" t="e">
        <f>VLOOKUP(A1,DIV_13Data!$A$1:$DZU$1000000,2437,FALSE)</f>
        <v>#N/A</v>
      </c>
      <c r="F144" s="34" t="e">
        <f>VLOOKUP(A1,DIV_13Data!$A$1:$DZU$1000000,2438,FALSE)</f>
        <v>#N/A</v>
      </c>
      <c r="G144" s="33" t="e">
        <f>VLOOKUP(A1,DIV_13Data!$A$1:$DZU$1000000,2439,FALSE)</f>
        <v>#N/A</v>
      </c>
      <c r="H144" s="34" t="e">
        <f>VLOOKUP(A1,DIV_13Data!$A$1:$DZU$1000000,2440,FALSE)</f>
        <v>#N/A</v>
      </c>
      <c r="I144" s="33" t="e">
        <f>VLOOKUP(A1,DIV_13Data!$A$1:$DZU$1000000,2441,FALSE)</f>
        <v>#N/A</v>
      </c>
      <c r="J144" s="34" t="e">
        <f>VLOOKUP(A1,DIV_13Data!$A$1:$DZU$1000000,2442,FALSE)</f>
        <v>#N/A</v>
      </c>
      <c r="K144" s="34" t="e">
        <f>VLOOKUP(A1,DIV_13Data!$A$1:$DZU$1000000,2443,FALSE)</f>
        <v>#N/A</v>
      </c>
      <c r="L144" s="93" t="e">
        <f>VLOOKUP(A1,DIV_13Data!$A$1:$DZU$1000000,2444,FALSE)</f>
        <v>#N/A</v>
      </c>
      <c r="M144" s="33" t="e">
        <f>VLOOKUP(A1,DIV_13Data!$A$1:$DZU$1000000,2445,FALSE)</f>
        <v>#N/A</v>
      </c>
      <c r="N144" s="34" t="e">
        <f>VLOOKUP(A1,DIV_13Data!$A$1:$DZU$1000000,2446,FALSE)</f>
        <v>#N/A</v>
      </c>
      <c r="O144" s="33" t="e">
        <f>VLOOKUP(A1,DIV_13Data!$A$1:$DZU$1000000,2447,FALSE)</f>
        <v>#N/A</v>
      </c>
      <c r="P144" s="46" t="e">
        <f>VLOOKUP(A1,DIV_13Data!$A$1:$DZU$1000000,2448,FALSE)</f>
        <v>#N/A</v>
      </c>
      <c r="Q144" s="33" t="e">
        <f>VLOOKUP(A1,DIV_13Data!$A$1:$DZU$1000000,2449,FALSE)</f>
        <v>#N/A</v>
      </c>
    </row>
    <row r="145" spans="1:17" x14ac:dyDescent="0.35">
      <c r="A145" s="22" t="e">
        <f>VLOOKUP(A1,DIV_13Data!$A$1:$DZU$1000000,2450,FALSE)</f>
        <v>#N/A</v>
      </c>
      <c r="B145" s="37" t="e">
        <f>VLOOKUP(A1,DIV_13Data!$A$1:$DZU$1000000,2451,FALSE)</f>
        <v>#N/A</v>
      </c>
      <c r="C145" s="38" t="e">
        <f>VLOOKUP(A1,DIV_13Data!$A$1:$DZU$1000000,2452,FALSE)</f>
        <v>#N/A</v>
      </c>
      <c r="D145" s="31" t="e">
        <f>VLOOKUP(A1,DIV_13Data!$A$1:$DZU$1000000,2453,FALSE)</f>
        <v>#N/A</v>
      </c>
      <c r="E145" s="32" t="e">
        <f>VLOOKUP(A1,DIV_13Data!$A$1:$DZU$1000000,2454,FALSE)</f>
        <v>#N/A</v>
      </c>
      <c r="F145" s="34" t="e">
        <f>VLOOKUP(A1,DIV_13Data!$A$1:$DZU$1000000,2455,FALSE)</f>
        <v>#N/A</v>
      </c>
      <c r="G145" s="33" t="e">
        <f>VLOOKUP(A1,DIV_13Data!$A$1:$DZU$1000000,2456,FALSE)</f>
        <v>#N/A</v>
      </c>
      <c r="H145" s="34" t="e">
        <f>VLOOKUP(A1,DIV_13Data!$A$1:$DZU$1000000,2457,FALSE)</f>
        <v>#N/A</v>
      </c>
      <c r="I145" s="33" t="e">
        <f>VLOOKUP(A1,DIV_13Data!$A$1:$DZU$1000000,2458,FALSE)</f>
        <v>#N/A</v>
      </c>
      <c r="J145" s="34" t="e">
        <f>VLOOKUP(A1,DIV_13Data!$A$1:$DZU$1000000,2459,FALSE)</f>
        <v>#N/A</v>
      </c>
      <c r="K145" s="34" t="e">
        <f>VLOOKUP(A1,DIV_13Data!$A$1:$DZU$1000000,2460,FALSE)</f>
        <v>#N/A</v>
      </c>
      <c r="L145" s="93" t="e">
        <f>VLOOKUP(A1,DIV_13Data!$A$1:$DZU$1000000,2461,FALSE)</f>
        <v>#N/A</v>
      </c>
      <c r="M145" s="33" t="e">
        <f>VLOOKUP(A1,DIV_13Data!$A$1:$DZU$1000000,2462,FALSE)</f>
        <v>#N/A</v>
      </c>
      <c r="N145" s="34" t="e">
        <f>VLOOKUP(A1,DIV_13Data!$A$1:$DZU$1000000,2463,FALSE)</f>
        <v>#N/A</v>
      </c>
      <c r="O145" s="33" t="e">
        <f>VLOOKUP(A1,DIV_13Data!$A$1:$DZU$1000000,2464,FALSE)</f>
        <v>#N/A</v>
      </c>
      <c r="P145" s="46" t="e">
        <f>VLOOKUP(A1,DIV_13Data!$A$1:$DZU$1000000,2465,FALSE)</f>
        <v>#N/A</v>
      </c>
      <c r="Q145" s="33" t="e">
        <f>VLOOKUP(A1,DIV_13Data!$A$1:$DZU$1000000,2466,FALSE)</f>
        <v>#N/A</v>
      </c>
    </row>
    <row r="146" spans="1:17" x14ac:dyDescent="0.35">
      <c r="A146" s="22" t="e">
        <f>VLOOKUP(A1,DIV_13Data!$A$1:$DZU$1000000,2467,FALSE)</f>
        <v>#N/A</v>
      </c>
      <c r="B146" s="37" t="e">
        <f>VLOOKUP(A1,DIV_13Data!$A$1:$DZU$1000000,2468,FALSE)</f>
        <v>#N/A</v>
      </c>
      <c r="C146" s="38" t="e">
        <f>VLOOKUP(A1,DIV_13Data!$A$1:$DZU$1000000,2469,FALSE)</f>
        <v>#N/A</v>
      </c>
      <c r="D146" s="31" t="e">
        <f>VLOOKUP(A1,DIV_13Data!$A$1:$DZU$1000000,2470,FALSE)</f>
        <v>#N/A</v>
      </c>
      <c r="E146" s="32" t="e">
        <f>VLOOKUP(A1,DIV_13Data!$A$1:$DZU$1000000,2471,FALSE)</f>
        <v>#N/A</v>
      </c>
      <c r="F146" s="34" t="e">
        <f>VLOOKUP(A1,DIV_13Data!$A$1:$DZU$1000000,2472,FALSE)</f>
        <v>#N/A</v>
      </c>
      <c r="G146" s="33" t="e">
        <f>VLOOKUP(A1,DIV_13Data!$A$1:$DZU$1000000,2473,FALSE)</f>
        <v>#N/A</v>
      </c>
      <c r="H146" s="34" t="e">
        <f>VLOOKUP(A1,DIV_13Data!$A$1:$DZU$1000000,2474,FALSE)</f>
        <v>#N/A</v>
      </c>
      <c r="I146" s="33" t="e">
        <f>VLOOKUP(A1,DIV_13Data!$A$1:$DZU$1000000,2475,FALSE)</f>
        <v>#N/A</v>
      </c>
      <c r="J146" s="34" t="e">
        <f>VLOOKUP(A1,DIV_13Data!$A$1:$DZU$1000000,2476,FALSE)</f>
        <v>#N/A</v>
      </c>
      <c r="K146" s="34" t="e">
        <f>VLOOKUP(A1,DIV_13Data!$A$1:$DZU$1000000,2477,FALSE)</f>
        <v>#N/A</v>
      </c>
      <c r="L146" s="93" t="e">
        <f>VLOOKUP(A1,DIV_13Data!$A$1:$DZU$1000000,2478,FALSE)</f>
        <v>#N/A</v>
      </c>
      <c r="M146" s="33" t="e">
        <f>VLOOKUP(A1,DIV_13Data!$A$1:$DZU$1000000,2479,FALSE)</f>
        <v>#N/A</v>
      </c>
      <c r="N146" s="34" t="e">
        <f>VLOOKUP(A1,DIV_13Data!$A$1:$DZU$1000000,2480,FALSE)</f>
        <v>#N/A</v>
      </c>
      <c r="O146" s="33" t="e">
        <f>VLOOKUP(A1,DIV_13Data!$A$1:$DZU$1000000,2481,FALSE)</f>
        <v>#N/A</v>
      </c>
      <c r="P146" s="46" t="e">
        <f>VLOOKUP(A1,DIV_13Data!$A$1:$DZU$1000000,2482,FALSE)</f>
        <v>#N/A</v>
      </c>
      <c r="Q146" s="33" t="e">
        <f>VLOOKUP(A1,DIV_13Data!$A$1:$DZU$1000000,2483,FALSE)</f>
        <v>#N/A</v>
      </c>
    </row>
    <row r="147" spans="1:17" x14ac:dyDescent="0.35">
      <c r="A147" s="22" t="e">
        <f>VLOOKUP(A1,DIV_13Data!$A$1:$DZU$1000000,2484,FALSE)</f>
        <v>#N/A</v>
      </c>
      <c r="B147" s="37" t="e">
        <f>VLOOKUP(A1,DIV_13Data!$A$1:$DZU$1000000,2485,FALSE)</f>
        <v>#N/A</v>
      </c>
      <c r="C147" s="38" t="e">
        <f>VLOOKUP(A1,DIV_13Data!$A$1:$DZU$1000000,2486,FALSE)</f>
        <v>#N/A</v>
      </c>
      <c r="D147" s="31" t="e">
        <f>VLOOKUP(A1,DIV_13Data!$A$1:$DZU$1000000,2487,FALSE)</f>
        <v>#N/A</v>
      </c>
      <c r="E147" s="32" t="e">
        <f>VLOOKUP(A1,DIV_13Data!$A$1:$DZU$1000000,2488,FALSE)</f>
        <v>#N/A</v>
      </c>
      <c r="F147" s="34" t="e">
        <f>VLOOKUP(A1,DIV_13Data!$A$1:$DZU$1000000,2489,FALSE)</f>
        <v>#N/A</v>
      </c>
      <c r="G147" s="33" t="e">
        <f>VLOOKUP(A1,DIV_13Data!$A$1:$DZU$1000000,2490,FALSE)</f>
        <v>#N/A</v>
      </c>
      <c r="H147" s="34" t="e">
        <f>VLOOKUP(A1,DIV_13Data!$A$1:$DZU$1000000,2491,FALSE)</f>
        <v>#N/A</v>
      </c>
      <c r="I147" s="33" t="e">
        <f>VLOOKUP(A1,DIV_13Data!$A$1:$DZU$1000000,2492,FALSE)</f>
        <v>#N/A</v>
      </c>
      <c r="J147" s="34" t="e">
        <f>VLOOKUP(A1,DIV_13Data!$A$1:$DZU$1000000,2493,FALSE)</f>
        <v>#N/A</v>
      </c>
      <c r="K147" s="34" t="e">
        <f>VLOOKUP(A1,DIV_13Data!$A$1:$DZU$1000000,2494,FALSE)</f>
        <v>#N/A</v>
      </c>
      <c r="L147" s="93" t="e">
        <f>VLOOKUP(A1,DIV_13Data!$A$1:$DZU$1000000,2495,FALSE)</f>
        <v>#N/A</v>
      </c>
      <c r="M147" s="33" t="e">
        <f>VLOOKUP(A1,DIV_13Data!$A$1:$DZU$1000000,2496,FALSE)</f>
        <v>#N/A</v>
      </c>
      <c r="N147" s="34" t="e">
        <f>VLOOKUP(A1,DIV_13Data!$A$1:$DZU$1000000,2497,FALSE)</f>
        <v>#N/A</v>
      </c>
      <c r="O147" s="33" t="e">
        <f>VLOOKUP(A1,DIV_13Data!$A$1:$DZU$1000000,2498,FALSE)</f>
        <v>#N/A</v>
      </c>
      <c r="P147" s="46" t="e">
        <f>VLOOKUP(A1,DIV_13Data!$A$1:$DZU$1000000,2499,FALSE)</f>
        <v>#N/A</v>
      </c>
      <c r="Q147" s="33" t="e">
        <f>VLOOKUP(A1,DIV_13Data!$A$1:$DZU$1000000,2500,FALSE)</f>
        <v>#N/A</v>
      </c>
    </row>
    <row r="148" spans="1:17" x14ac:dyDescent="0.35">
      <c r="A148" s="22" t="e">
        <f>VLOOKUP(A1,DIV_13Data!$A$1:$DZU$1000000,2501,FALSE)</f>
        <v>#N/A</v>
      </c>
      <c r="B148" s="37" t="e">
        <f>VLOOKUP(A1,DIV_13Data!$A$1:$DZU$1000000,2502,FALSE)</f>
        <v>#N/A</v>
      </c>
      <c r="C148" s="38" t="e">
        <f>VLOOKUP(A1,DIV_13Data!$A$1:$DZU$1000000,2503,FALSE)</f>
        <v>#N/A</v>
      </c>
      <c r="D148" s="31" t="e">
        <f>VLOOKUP(A1,DIV_13Data!$A$1:$DZU$1000000,2504,FALSE)</f>
        <v>#N/A</v>
      </c>
      <c r="E148" s="32" t="e">
        <f>VLOOKUP(A1,DIV_13Data!$A$1:$DZU$1000000,2505,FALSE)</f>
        <v>#N/A</v>
      </c>
      <c r="F148" s="34" t="e">
        <f>VLOOKUP(A1,DIV_13Data!$A$1:$DZU$1000000,2506,FALSE)</f>
        <v>#N/A</v>
      </c>
      <c r="G148" s="33" t="e">
        <f>VLOOKUP(A1,DIV_13Data!$A$1:$DZU$1000000,2507,FALSE)</f>
        <v>#N/A</v>
      </c>
      <c r="H148" s="34" t="e">
        <f>VLOOKUP(A1,DIV_13Data!$A$1:$DZU$1000000,2508,FALSE)</f>
        <v>#N/A</v>
      </c>
      <c r="I148" s="33" t="e">
        <f>VLOOKUP(A1,DIV_13Data!$A$1:$DZU$1000000,2509,FALSE)</f>
        <v>#N/A</v>
      </c>
      <c r="J148" s="34" t="e">
        <f>VLOOKUP(A1,DIV_13Data!$A$1:$DZU$1000000,2510,FALSE)</f>
        <v>#N/A</v>
      </c>
      <c r="K148" s="34" t="e">
        <f>VLOOKUP(A1,DIV_13Data!$A$1:$DZU$1000000,2511,FALSE)</f>
        <v>#N/A</v>
      </c>
      <c r="L148" s="93" t="e">
        <f>VLOOKUP(A1,DIV_13Data!$A$1:$DZU$1000000,2512,FALSE)</f>
        <v>#N/A</v>
      </c>
      <c r="M148" s="33" t="e">
        <f>VLOOKUP(A1,DIV_13Data!$A$1:$DZU$1000000,2513,FALSE)</f>
        <v>#N/A</v>
      </c>
      <c r="N148" s="34" t="e">
        <f>VLOOKUP(A1,DIV_13Data!$A$1:$DZU$1000000,2514,FALSE)</f>
        <v>#N/A</v>
      </c>
      <c r="O148" s="33" t="e">
        <f>VLOOKUP(A1,DIV_13Data!$A$1:$DZU$1000000,2515,FALSE)</f>
        <v>#N/A</v>
      </c>
      <c r="P148" s="46" t="e">
        <f>VLOOKUP(A1,DIV_13Data!$A$1:$DZU$1000000,2516,FALSE)</f>
        <v>#N/A</v>
      </c>
      <c r="Q148" s="33" t="e">
        <f>VLOOKUP(A1,DIV_13Data!$A$1:$DZU$1000000,2517,FALSE)</f>
        <v>#N/A</v>
      </c>
    </row>
    <row r="149" spans="1:17" x14ac:dyDescent="0.35">
      <c r="A149" s="22" t="e">
        <f>VLOOKUP(A1,DIV_13Data!$A$1:$DZU$1000000,2518,FALSE)</f>
        <v>#N/A</v>
      </c>
      <c r="B149" s="37" t="e">
        <f>VLOOKUP(A1,DIV_13Data!$A$1:$DZU$1000000,2519,FALSE)</f>
        <v>#N/A</v>
      </c>
      <c r="C149" s="38" t="e">
        <f>VLOOKUP(A1,DIV_13Data!$A$1:$DZU$1000000,2520,FALSE)</f>
        <v>#N/A</v>
      </c>
      <c r="D149" s="31" t="e">
        <f>VLOOKUP(A1,DIV_13Data!$A$1:$DZU$1000000,2521,FALSE)</f>
        <v>#N/A</v>
      </c>
      <c r="E149" s="32" t="e">
        <f>VLOOKUP(A1,DIV_13Data!$A$1:$DZU$1000000,2522,FALSE)</f>
        <v>#N/A</v>
      </c>
      <c r="F149" s="34" t="e">
        <f>VLOOKUP(A1,DIV_13Data!$A$1:$DZU$1000000,2523,FALSE)</f>
        <v>#N/A</v>
      </c>
      <c r="G149" s="33" t="e">
        <f>VLOOKUP(A1,DIV_13Data!$A$1:$DZU$1000000,2524,FALSE)</f>
        <v>#N/A</v>
      </c>
      <c r="H149" s="34" t="e">
        <f>VLOOKUP(A1,DIV_13Data!$A$1:$DZU$1000000,2525,FALSE)</f>
        <v>#N/A</v>
      </c>
      <c r="I149" s="33" t="e">
        <f>VLOOKUP(A1,DIV_13Data!$A$1:$DZU$1000000,2526,FALSE)</f>
        <v>#N/A</v>
      </c>
      <c r="J149" s="34" t="e">
        <f>VLOOKUP(A1,DIV_13Data!$A$1:$DZU$1000000,2527,FALSE)</f>
        <v>#N/A</v>
      </c>
      <c r="K149" s="34" t="e">
        <f>VLOOKUP(A1,DIV_13Data!$A$1:$DZU$1000000,2528,FALSE)</f>
        <v>#N/A</v>
      </c>
      <c r="L149" s="93" t="e">
        <f>VLOOKUP(A1,DIV_13Data!$A$1:$DZU$1000000,2529,FALSE)</f>
        <v>#N/A</v>
      </c>
      <c r="M149" s="33" t="e">
        <f>VLOOKUP(A1,DIV_13Data!$A$1:$DZU$1000000,2530,FALSE)</f>
        <v>#N/A</v>
      </c>
      <c r="N149" s="34" t="e">
        <f>VLOOKUP(A1,DIV_13Data!$A$1:$DZU$1000000,2531,FALSE)</f>
        <v>#N/A</v>
      </c>
      <c r="O149" s="33" t="e">
        <f>VLOOKUP(A1,DIV_13Data!$A$1:$DZU$1000000,2532,FALSE)</f>
        <v>#N/A</v>
      </c>
      <c r="P149" s="46" t="e">
        <f>VLOOKUP(A1,DIV_13Data!$A$1:$DZU$1000000,2533,FALSE)</f>
        <v>#N/A</v>
      </c>
      <c r="Q149" s="33" t="e">
        <f>VLOOKUP(A1,DIV_13Data!$A$1:$DZU$1000000,2534,FALSE)</f>
        <v>#N/A</v>
      </c>
    </row>
    <row r="150" spans="1:17" x14ac:dyDescent="0.35">
      <c r="A150" s="22" t="e">
        <f>VLOOKUP(A1,DIV_13Data!$A$1:$DZU$1000000,2535,FALSE)</f>
        <v>#N/A</v>
      </c>
      <c r="B150" s="37" t="e">
        <f>VLOOKUP(A1,DIV_13Data!$A$1:$DZU$1000000,2536,FALSE)</f>
        <v>#N/A</v>
      </c>
      <c r="C150" s="38" t="e">
        <f>VLOOKUP(A1,DIV_13Data!$A$1:$DZU$1000000,2537,FALSE)</f>
        <v>#N/A</v>
      </c>
      <c r="D150" s="31" t="e">
        <f>VLOOKUP(A1,DIV_13Data!$A$1:$DZU$1000000,2538,FALSE)</f>
        <v>#N/A</v>
      </c>
      <c r="E150" s="32" t="e">
        <f>VLOOKUP(A1,DIV_13Data!$A$1:$DZU$1000000,2539,FALSE)</f>
        <v>#N/A</v>
      </c>
      <c r="F150" s="34" t="e">
        <f>VLOOKUP(A1,DIV_13Data!$A$1:$DZU$1000000,2540,FALSE)</f>
        <v>#N/A</v>
      </c>
      <c r="G150" s="33" t="e">
        <f>VLOOKUP(A1,DIV_13Data!$A$1:$DZU$1000000,2541,FALSE)</f>
        <v>#N/A</v>
      </c>
      <c r="H150" s="34" t="e">
        <f>VLOOKUP(A1,DIV_13Data!$A$1:$DZU$1000000,2542,FALSE)</f>
        <v>#N/A</v>
      </c>
      <c r="I150" s="33" t="e">
        <f>VLOOKUP(A1,DIV_13Data!$A$1:$DZU$1000000,2543,FALSE)</f>
        <v>#N/A</v>
      </c>
      <c r="J150" s="34" t="e">
        <f>VLOOKUP(A1,DIV_13Data!$A$1:$DZU$1000000,2544,FALSE)</f>
        <v>#N/A</v>
      </c>
      <c r="K150" s="34" t="e">
        <f>VLOOKUP(A1,DIV_13Data!$A$1:$DZU$1000000,2545,FALSE)</f>
        <v>#N/A</v>
      </c>
      <c r="L150" s="93" t="e">
        <f>VLOOKUP(A1,DIV_13Data!$A$1:$DZU$1000000,2546,FALSE)</f>
        <v>#N/A</v>
      </c>
      <c r="M150" s="33" t="e">
        <f>VLOOKUP(A1,DIV_13Data!$A$1:$DZU$1000000,2547,FALSE)</f>
        <v>#N/A</v>
      </c>
      <c r="N150" s="34" t="e">
        <f>VLOOKUP(A1,DIV_13Data!$A$1:$DZU$1000000,2548,FALSE)</f>
        <v>#N/A</v>
      </c>
      <c r="O150" s="33" t="e">
        <f>VLOOKUP(A1,DIV_13Data!$A$1:$DZU$1000000,2549,FALSE)</f>
        <v>#N/A</v>
      </c>
      <c r="P150" s="46" t="e">
        <f>VLOOKUP(A1,DIV_13Data!$A$1:$DZU$1000000,2550,FALSE)</f>
        <v>#N/A</v>
      </c>
      <c r="Q150" s="33" t="e">
        <f>VLOOKUP(A1,DIV_13Data!$A$1:$DZU$1000000,2551,FALSE)</f>
        <v>#N/A</v>
      </c>
    </row>
    <row r="151" spans="1:17" x14ac:dyDescent="0.35">
      <c r="A151" s="22" t="e">
        <f>VLOOKUP(A1,DIV_13Data!$A$1:$DZU$1000000,2552,FALSE)</f>
        <v>#N/A</v>
      </c>
      <c r="B151" s="37" t="e">
        <f>VLOOKUP(A1,DIV_13Data!$A$1:$DZU$1000000,2553,FALSE)</f>
        <v>#N/A</v>
      </c>
      <c r="C151" s="38" t="e">
        <f>VLOOKUP(A1,DIV_13Data!$A$1:$DZU$1000000,2554,FALSE)</f>
        <v>#N/A</v>
      </c>
      <c r="D151" s="31" t="e">
        <f>VLOOKUP(A1,DIV_13Data!$A$1:$DZU$1000000,2555,FALSE)</f>
        <v>#N/A</v>
      </c>
      <c r="E151" s="32" t="e">
        <f>VLOOKUP(A1,DIV_13Data!$A$1:$DZU$1000000,2556,FALSE)</f>
        <v>#N/A</v>
      </c>
      <c r="F151" s="34" t="e">
        <f>VLOOKUP(A1,DIV_13Data!$A$1:$DZU$1000000,2557,FALSE)</f>
        <v>#N/A</v>
      </c>
      <c r="G151" s="33" t="e">
        <f>VLOOKUP(A1,DIV_13Data!$A$1:$DZU$1000000,2558,FALSE)</f>
        <v>#N/A</v>
      </c>
      <c r="H151" s="34" t="e">
        <f>VLOOKUP(A1,DIV_13Data!$A$1:$DZU$1000000,2559,FALSE)</f>
        <v>#N/A</v>
      </c>
      <c r="I151" s="33" t="e">
        <f>VLOOKUP(A1,DIV_13Data!$A$1:$DZU$1000000,2560,FALSE)</f>
        <v>#N/A</v>
      </c>
      <c r="J151" s="34" t="e">
        <f>VLOOKUP(A1,DIV_13Data!$A$1:$DZU$1000000,2561,FALSE)</f>
        <v>#N/A</v>
      </c>
      <c r="K151" s="34" t="e">
        <f>VLOOKUP(A1,DIV_13Data!$A$1:$DZU$1000000,2562,FALSE)</f>
        <v>#N/A</v>
      </c>
      <c r="L151" s="93" t="e">
        <f>VLOOKUP(A1,DIV_13Data!$A$1:$DZU$1000000,2563,FALSE)</f>
        <v>#N/A</v>
      </c>
      <c r="M151" s="33" t="e">
        <f>VLOOKUP(A1,DIV_13Data!$A$1:$DZU$1000000,2564,FALSE)</f>
        <v>#N/A</v>
      </c>
      <c r="N151" s="34" t="e">
        <f>VLOOKUP(A1,DIV_13Data!$A$1:$DZU$1000000,2565,FALSE)</f>
        <v>#N/A</v>
      </c>
      <c r="O151" s="33" t="e">
        <f>VLOOKUP(A1,DIV_13Data!$A$1:$DZU$1000000,2566,FALSE)</f>
        <v>#N/A</v>
      </c>
      <c r="P151" s="46" t="e">
        <f>VLOOKUP(A1,DIV_13Data!$A$1:$DZU$1000000,2567,FALSE)</f>
        <v>#N/A</v>
      </c>
      <c r="Q151" s="33" t="e">
        <f>VLOOKUP(A1,DIV_13Data!$A$1:$DZU$1000000,2568,FALSE)</f>
        <v>#N/A</v>
      </c>
    </row>
    <row r="152" spans="1:17" x14ac:dyDescent="0.35">
      <c r="A152" s="22" t="e">
        <f>VLOOKUP(A1,DIV_13Data!$A$1:$DZU$1000000,2569,FALSE)</f>
        <v>#N/A</v>
      </c>
      <c r="B152" s="37" t="e">
        <f>VLOOKUP(A1,DIV_13Data!$A$1:$DZU$1000000,2570,FALSE)</f>
        <v>#N/A</v>
      </c>
      <c r="C152" s="38" t="e">
        <f>VLOOKUP(A1,DIV_13Data!$A$1:$DZU$1000000,2571,FALSE)</f>
        <v>#N/A</v>
      </c>
      <c r="D152" s="31" t="e">
        <f>VLOOKUP(A1,DIV_13Data!$A$1:$DZU$1000000,2572,FALSE)</f>
        <v>#N/A</v>
      </c>
      <c r="E152" s="32" t="e">
        <f>VLOOKUP(A1,DIV_13Data!$A$1:$DZU$1000000,2573,FALSE)</f>
        <v>#N/A</v>
      </c>
      <c r="F152" s="34" t="e">
        <f>VLOOKUP(A1,DIV_13Data!$A$1:$DZU$1000000,2574,FALSE)</f>
        <v>#N/A</v>
      </c>
      <c r="G152" s="33" t="e">
        <f>VLOOKUP(A1,DIV_13Data!$A$1:$DZU$1000000,2575,FALSE)</f>
        <v>#N/A</v>
      </c>
      <c r="H152" s="34" t="e">
        <f>VLOOKUP(A1,DIV_13Data!$A$1:$DZU$1000000,2576,FALSE)</f>
        <v>#N/A</v>
      </c>
      <c r="I152" s="33" t="e">
        <f>VLOOKUP(A1,DIV_13Data!$A$1:$DZU$1000000,2577,FALSE)</f>
        <v>#N/A</v>
      </c>
      <c r="J152" s="34" t="e">
        <f>VLOOKUP(A1,DIV_13Data!$A$1:$DZU$1000000,2578,FALSE)</f>
        <v>#N/A</v>
      </c>
      <c r="K152" s="34" t="e">
        <f>VLOOKUP(A1,DIV_13Data!$A$1:$DZU$1000000,2579,FALSE)</f>
        <v>#N/A</v>
      </c>
      <c r="L152" s="93" t="e">
        <f>VLOOKUP(A1,DIV_13Data!$A$1:$DZU$1000000,2580,FALSE)</f>
        <v>#N/A</v>
      </c>
      <c r="M152" s="33" t="e">
        <f>VLOOKUP(A1,DIV_13Data!$A$1:$DZU$1000000,2581,FALSE)</f>
        <v>#N/A</v>
      </c>
      <c r="N152" s="34" t="e">
        <f>VLOOKUP(A1,DIV_13Data!$A$1:$DZU$1000000,2582,FALSE)</f>
        <v>#N/A</v>
      </c>
      <c r="O152" s="33" t="e">
        <f>VLOOKUP(A1,DIV_13Data!$A$1:$DZU$1000000,2583,FALSE)</f>
        <v>#N/A</v>
      </c>
      <c r="P152" s="46" t="e">
        <f>VLOOKUP(A1,DIV_13Data!$A$1:$DZU$1000000,2584,FALSE)</f>
        <v>#N/A</v>
      </c>
      <c r="Q152" s="33" t="e">
        <f>VLOOKUP(A1,DIV_13Data!$A$1:$DZU$1000000,2585,FALSE)</f>
        <v>#N/A</v>
      </c>
    </row>
    <row r="153" spans="1:17" x14ac:dyDescent="0.35">
      <c r="A153" s="22" t="e">
        <f>VLOOKUP(A1,DIV_13Data!$A$1:$DZU$1000000,2586,FALSE)</f>
        <v>#N/A</v>
      </c>
      <c r="B153" s="37" t="e">
        <f>VLOOKUP(A1,DIV_13Data!$A$1:$DZU$1000000,2587,FALSE)</f>
        <v>#N/A</v>
      </c>
      <c r="C153" s="38" t="e">
        <f>VLOOKUP(A1,DIV_13Data!$A$1:$DZU$1000000,2588,FALSE)</f>
        <v>#N/A</v>
      </c>
      <c r="D153" s="31" t="e">
        <f>VLOOKUP(A1,DIV_13Data!$A$1:$DZU$1000000,2589,FALSE)</f>
        <v>#N/A</v>
      </c>
      <c r="E153" s="32" t="e">
        <f>VLOOKUP(A1,DIV_13Data!$A$1:$DZU$1000000,2590,FALSE)</f>
        <v>#N/A</v>
      </c>
      <c r="F153" s="34" t="e">
        <f>VLOOKUP(A1,DIV_13Data!$A$1:$DZU$1000000,2591,FALSE)</f>
        <v>#N/A</v>
      </c>
      <c r="G153" s="33" t="e">
        <f>VLOOKUP(A1,DIV_13Data!$A$1:$DZU$1000000,2592,FALSE)</f>
        <v>#N/A</v>
      </c>
      <c r="H153" s="34" t="e">
        <f>VLOOKUP(A1,DIV_13Data!$A$1:$DZU$1000000,2593,FALSE)</f>
        <v>#N/A</v>
      </c>
      <c r="I153" s="33" t="e">
        <f>VLOOKUP(A1,DIV_13Data!$A$1:$DZU$1000000,2594,FALSE)</f>
        <v>#N/A</v>
      </c>
      <c r="J153" s="34" t="e">
        <f>VLOOKUP(A1,DIV_13Data!$A$1:$DZU$1000000,2595,FALSE)</f>
        <v>#N/A</v>
      </c>
      <c r="K153" s="34" t="e">
        <f>VLOOKUP(A1,DIV_13Data!$A$1:$DZU$1000000,2596,FALSE)</f>
        <v>#N/A</v>
      </c>
      <c r="L153" s="93" t="e">
        <f>VLOOKUP(A1,DIV_13Data!$A$1:$DZU$1000000,2597,FALSE)</f>
        <v>#N/A</v>
      </c>
      <c r="M153" s="33" t="e">
        <f>VLOOKUP(A1,DIV_13Data!$A$1:$DZU$1000000,2598,FALSE)</f>
        <v>#N/A</v>
      </c>
      <c r="N153" s="34" t="e">
        <f>VLOOKUP(A1,DIV_13Data!$A$1:$DZU$1000000,2599,FALSE)</f>
        <v>#N/A</v>
      </c>
      <c r="O153" s="33" t="e">
        <f>VLOOKUP(A1,DIV_13Data!$A$1:$DZU$1000000,2600,FALSE)</f>
        <v>#N/A</v>
      </c>
      <c r="P153" s="46" t="e">
        <f>VLOOKUP(A1,DIV_13Data!$A$1:$DZU$1000000,2601,FALSE)</f>
        <v>#N/A</v>
      </c>
      <c r="Q153" s="33" t="e">
        <f>VLOOKUP(A1,DIV_13Data!$A$1:$DZU$1000000,2602,FALSE)</f>
        <v>#N/A</v>
      </c>
    </row>
    <row r="154" spans="1:17" x14ac:dyDescent="0.35">
      <c r="A154" s="22" t="e">
        <f>VLOOKUP(A1,DIV_13Data!$A$1:$DZU$1000000,2603,FALSE)</f>
        <v>#N/A</v>
      </c>
      <c r="B154" s="37" t="e">
        <f>VLOOKUP(A1,DIV_13Data!$A$1:$DZU$1000000,2604,FALSE)</f>
        <v>#N/A</v>
      </c>
      <c r="C154" s="38" t="e">
        <f>VLOOKUP(A1,DIV_13Data!$A$1:$DZU$1000000,2605,FALSE)</f>
        <v>#N/A</v>
      </c>
      <c r="D154" s="31" t="e">
        <f>VLOOKUP(A1,DIV_13Data!$A$1:$DZU$1000000,2606,FALSE)</f>
        <v>#N/A</v>
      </c>
      <c r="E154" s="32" t="e">
        <f>VLOOKUP(A1,DIV_13Data!$A$1:$DZU$1000000,2607,FALSE)</f>
        <v>#N/A</v>
      </c>
      <c r="F154" s="34" t="e">
        <f>VLOOKUP(A1,DIV_13Data!$A$1:$DZU$1000000,2608,FALSE)</f>
        <v>#N/A</v>
      </c>
      <c r="G154" s="33" t="e">
        <f>VLOOKUP(A1,DIV_13Data!$A$1:$DZU$1000000,2609,FALSE)</f>
        <v>#N/A</v>
      </c>
      <c r="H154" s="34" t="e">
        <f>VLOOKUP(A1,DIV_13Data!$A$1:$DZU$1000000,2610,FALSE)</f>
        <v>#N/A</v>
      </c>
      <c r="I154" s="33" t="e">
        <f>VLOOKUP(A1,DIV_13Data!$A$1:$DZU$1000000,2611,FALSE)</f>
        <v>#N/A</v>
      </c>
      <c r="J154" s="34" t="e">
        <f>VLOOKUP(A1,DIV_13Data!$A$1:$DZU$1000000,2612,FALSE)</f>
        <v>#N/A</v>
      </c>
      <c r="K154" s="34" t="e">
        <f>VLOOKUP(A1,DIV_13Data!$A$1:$DZU$1000000,2613,FALSE)</f>
        <v>#N/A</v>
      </c>
      <c r="L154" s="93" t="e">
        <f>VLOOKUP(A1,DIV_13Data!$A$1:$DZU$1000000,2614,FALSE)</f>
        <v>#N/A</v>
      </c>
      <c r="M154" s="33" t="e">
        <f>VLOOKUP(A1,DIV_13Data!$A$1:$DZU$1000000,2615,FALSE)</f>
        <v>#N/A</v>
      </c>
      <c r="N154" s="34" t="e">
        <f>VLOOKUP(A1,DIV_13Data!$A$1:$DZU$1000000,2616,FALSE)</f>
        <v>#N/A</v>
      </c>
      <c r="O154" s="33" t="e">
        <f>VLOOKUP(A1,DIV_13Data!$A$1:$DZU$1000000,2617,FALSE)</f>
        <v>#N/A</v>
      </c>
      <c r="P154" s="46" t="e">
        <f>VLOOKUP(A1,DIV_13Data!$A$1:$DZU$1000000,2618,FALSE)</f>
        <v>#N/A</v>
      </c>
      <c r="Q154" s="33" t="e">
        <f>VLOOKUP(A1,DIV_13Data!$A$1:$DZU$1000000,2619,FALSE)</f>
        <v>#N/A</v>
      </c>
    </row>
    <row r="155" spans="1:17" x14ac:dyDescent="0.35">
      <c r="A155" s="22" t="e">
        <f>VLOOKUP(A1,DIV_13Data!$A$1:$DZU$1000000,2620,FALSE)</f>
        <v>#N/A</v>
      </c>
      <c r="B155" s="37" t="e">
        <f>VLOOKUP(A1,DIV_13Data!$A$1:$DZU$1000000,2621,FALSE)</f>
        <v>#N/A</v>
      </c>
      <c r="C155" s="38" t="e">
        <f>VLOOKUP(A1,DIV_13Data!$A$1:$DZU$1000000,2622,FALSE)</f>
        <v>#N/A</v>
      </c>
      <c r="D155" s="31" t="e">
        <f>VLOOKUP(A1,DIV_13Data!$A$1:$DZU$1000000,2623,FALSE)</f>
        <v>#N/A</v>
      </c>
      <c r="E155" s="32" t="e">
        <f>VLOOKUP(A1,DIV_13Data!$A$1:$DZU$1000000,2624,FALSE)</f>
        <v>#N/A</v>
      </c>
      <c r="F155" s="34" t="e">
        <f>VLOOKUP(A1,DIV_13Data!$A$1:$DZU$1000000,2625,FALSE)</f>
        <v>#N/A</v>
      </c>
      <c r="G155" s="33" t="e">
        <f>VLOOKUP(A1,DIV_13Data!$A$1:$DZU$1000000,2626,FALSE)</f>
        <v>#N/A</v>
      </c>
      <c r="H155" s="34" t="e">
        <f>VLOOKUP(A1,DIV_13Data!$A$1:$DZU$1000000,2627,FALSE)</f>
        <v>#N/A</v>
      </c>
      <c r="I155" s="33" t="e">
        <f>VLOOKUP(A1,DIV_13Data!$A$1:$DZU$1000000,2628,FALSE)</f>
        <v>#N/A</v>
      </c>
      <c r="J155" s="34" t="e">
        <f>VLOOKUP(A1,DIV_13Data!$A$1:$DZU$1000000,2629,FALSE)</f>
        <v>#N/A</v>
      </c>
      <c r="K155" s="34" t="e">
        <f>VLOOKUP(A1,DIV_13Data!$A$1:$DZU$1000000,2630,FALSE)</f>
        <v>#N/A</v>
      </c>
      <c r="L155" s="93" t="e">
        <f>VLOOKUP(A1,DIV_13Data!$A$1:$DZU$1000000,2631,FALSE)</f>
        <v>#N/A</v>
      </c>
      <c r="M155" s="33" t="e">
        <f>VLOOKUP(A1,DIV_13Data!$A$1:$DZU$1000000,2632,FALSE)</f>
        <v>#N/A</v>
      </c>
      <c r="N155" s="34" t="e">
        <f>VLOOKUP(A1,DIV_13Data!$A$1:$DZU$1000000,2633,FALSE)</f>
        <v>#N/A</v>
      </c>
      <c r="O155" s="33" t="e">
        <f>VLOOKUP(A1,DIV_13Data!$A$1:$DZU$1000000,2634,FALSE)</f>
        <v>#N/A</v>
      </c>
      <c r="P155" s="46" t="e">
        <f>VLOOKUP(A1,DIV_13Data!$A$1:$DZU$1000000,2635,FALSE)</f>
        <v>#N/A</v>
      </c>
      <c r="Q155" s="33" t="e">
        <f>VLOOKUP(A1,DIV_13Data!$A$1:$DZU$1000000,2636,FALSE)</f>
        <v>#N/A</v>
      </c>
    </row>
    <row r="156" spans="1:17" x14ac:dyDescent="0.35">
      <c r="A156" s="22" t="e">
        <f>VLOOKUP(A1,DIV_13Data!$A$1:$DZU$1000000,2637,FALSE)</f>
        <v>#N/A</v>
      </c>
      <c r="B156" s="37" t="e">
        <f>VLOOKUP(A1,DIV_13Data!$A$1:$DZU$1000000,2638,FALSE)</f>
        <v>#N/A</v>
      </c>
      <c r="C156" s="38" t="e">
        <f>VLOOKUP(A1,DIV_13Data!$A$1:$DZU$1000000,2639,FALSE)</f>
        <v>#N/A</v>
      </c>
      <c r="D156" s="31" t="e">
        <f>VLOOKUP(A1,DIV_13Data!$A$1:$DZU$1000000,2640,FALSE)</f>
        <v>#N/A</v>
      </c>
      <c r="E156" s="32" t="e">
        <f>VLOOKUP(A1,DIV_13Data!$A$1:$DZU$1000000,2641,FALSE)</f>
        <v>#N/A</v>
      </c>
      <c r="F156" s="34" t="e">
        <f>VLOOKUP(A1,DIV_13Data!$A$1:$DZU$1000000,2642,FALSE)</f>
        <v>#N/A</v>
      </c>
      <c r="G156" s="33" t="e">
        <f>VLOOKUP(A1,DIV_13Data!$A$1:$DZU$1000000,2643,FALSE)</f>
        <v>#N/A</v>
      </c>
      <c r="H156" s="34" t="e">
        <f>VLOOKUP(A1,DIV_13Data!$A$1:$DZU$1000000,2644,FALSE)</f>
        <v>#N/A</v>
      </c>
      <c r="I156" s="33" t="e">
        <f>VLOOKUP(A1,DIV_13Data!$A$1:$DZU$1000000,2645,FALSE)</f>
        <v>#N/A</v>
      </c>
      <c r="J156" s="34" t="e">
        <f>VLOOKUP(A1,DIV_13Data!$A$1:$DZU$1000000,2646,FALSE)</f>
        <v>#N/A</v>
      </c>
      <c r="K156" s="34" t="e">
        <f>VLOOKUP(A1,DIV_13Data!$A$1:$DZU$1000000,2647,FALSE)</f>
        <v>#N/A</v>
      </c>
      <c r="L156" s="93" t="e">
        <f>VLOOKUP(A1,DIV_13Data!$A$1:$DZU$1000000,2648,FALSE)</f>
        <v>#N/A</v>
      </c>
      <c r="M156" s="33" t="e">
        <f>VLOOKUP(A1,DIV_13Data!$A$1:$DZU$1000000,2649,FALSE)</f>
        <v>#N/A</v>
      </c>
      <c r="N156" s="34" t="e">
        <f>VLOOKUP(A1,DIV_13Data!$A$1:$DZU$1000000,2650,FALSE)</f>
        <v>#N/A</v>
      </c>
      <c r="O156" s="33" t="e">
        <f>VLOOKUP(A1,DIV_13Data!$A$1:$DZU$1000000,2651,FALSE)</f>
        <v>#N/A</v>
      </c>
      <c r="P156" s="46" t="e">
        <f>VLOOKUP(A1,DIV_13Data!$A$1:$DZU$1000000,2652,FALSE)</f>
        <v>#N/A</v>
      </c>
      <c r="Q156" s="33" t="e">
        <f>VLOOKUP(A1,DIV_13Data!$A$1:$DZU$1000000,2653,FALSE)</f>
        <v>#N/A</v>
      </c>
    </row>
    <row r="157" spans="1:17" x14ac:dyDescent="0.35">
      <c r="A157" s="22" t="e">
        <f>VLOOKUP(A1,DIV_13Data!$A$1:$DZU$1000000,2654,FALSE)</f>
        <v>#N/A</v>
      </c>
      <c r="B157" s="37" t="e">
        <f>VLOOKUP(A1,DIV_13Data!$A$1:$DZU$1000000,2655,FALSE)</f>
        <v>#N/A</v>
      </c>
      <c r="C157" s="38" t="e">
        <f>VLOOKUP(A1,DIV_13Data!$A$1:$DZU$1000000,2656,FALSE)</f>
        <v>#N/A</v>
      </c>
      <c r="D157" s="31" t="e">
        <f>VLOOKUP(A1,DIV_13Data!$A$1:$DZU$1000000,2657,FALSE)</f>
        <v>#N/A</v>
      </c>
      <c r="E157" s="32" t="e">
        <f>VLOOKUP(A1,DIV_13Data!$A$1:$DZU$1000000,2658,FALSE)</f>
        <v>#N/A</v>
      </c>
      <c r="F157" s="34" t="e">
        <f>VLOOKUP(A1,DIV_13Data!$A$1:$DZU$1000000,2659,FALSE)</f>
        <v>#N/A</v>
      </c>
      <c r="G157" s="33" t="e">
        <f>VLOOKUP(A1,DIV_13Data!$A$1:$DZU$1000000,2660,FALSE)</f>
        <v>#N/A</v>
      </c>
      <c r="H157" s="34" t="e">
        <f>VLOOKUP(A1,DIV_13Data!$A$1:$DZU$1000000,2661,FALSE)</f>
        <v>#N/A</v>
      </c>
      <c r="I157" s="33" t="e">
        <f>VLOOKUP(A1,DIV_13Data!$A$1:$DZU$1000000,2662,FALSE)</f>
        <v>#N/A</v>
      </c>
      <c r="J157" s="34" t="e">
        <f>VLOOKUP(A1,DIV_13Data!$A$1:$DZU$1000000,2663,FALSE)</f>
        <v>#N/A</v>
      </c>
      <c r="K157" s="34" t="e">
        <f>VLOOKUP(A1,DIV_13Data!$A$1:$DZU$1000000,2664,FALSE)</f>
        <v>#N/A</v>
      </c>
      <c r="L157" s="93" t="e">
        <f>VLOOKUP(A1,DIV_13Data!$A$1:$DZU$1000000,2665,FALSE)</f>
        <v>#N/A</v>
      </c>
      <c r="M157" s="33" t="e">
        <f>VLOOKUP(A1,DIV_13Data!$A$1:$DZU$1000000,2666,FALSE)</f>
        <v>#N/A</v>
      </c>
      <c r="N157" s="34" t="e">
        <f>VLOOKUP(A1,DIV_13Data!$A$1:$DZU$1000000,2667,FALSE)</f>
        <v>#N/A</v>
      </c>
      <c r="O157" s="33" t="e">
        <f>VLOOKUP(A1,DIV_13Data!$A$1:$DZU$1000000,2668,FALSE)</f>
        <v>#N/A</v>
      </c>
      <c r="P157" s="46" t="e">
        <f>VLOOKUP(A1,DIV_13Data!$A$1:$DZU$1000000,2669,FALSE)</f>
        <v>#N/A</v>
      </c>
      <c r="Q157" s="33" t="e">
        <f>VLOOKUP(A1,DIV_13Data!$A$1:$DZU$1000000,2670,FALSE)</f>
        <v>#N/A</v>
      </c>
    </row>
    <row r="158" spans="1:17" x14ac:dyDescent="0.35">
      <c r="A158" s="22" t="e">
        <f>VLOOKUP(A1,DIV_13Data!$A$1:$DZU$1000000,2671,FALSE)</f>
        <v>#N/A</v>
      </c>
      <c r="B158" s="37" t="e">
        <f>VLOOKUP(A1,DIV_13Data!$A$1:$DZU$1000000,2672,FALSE)</f>
        <v>#N/A</v>
      </c>
      <c r="C158" s="38" t="e">
        <f>VLOOKUP(A1,DIV_13Data!$A$1:$DZU$1000000,2673,FALSE)</f>
        <v>#N/A</v>
      </c>
      <c r="D158" s="31" t="e">
        <f>VLOOKUP(A1,DIV_13Data!$A$1:$DZU$1000000,2674,FALSE)</f>
        <v>#N/A</v>
      </c>
      <c r="E158" s="32" t="e">
        <f>VLOOKUP(A1,DIV_13Data!$A$1:$DZU$1000000,2675,FALSE)</f>
        <v>#N/A</v>
      </c>
      <c r="F158" s="34" t="e">
        <f>VLOOKUP(A1,DIV_13Data!$A$1:$DZU$1000000,2676,FALSE)</f>
        <v>#N/A</v>
      </c>
      <c r="G158" s="33" t="e">
        <f>VLOOKUP(A1,DIV_13Data!$A$1:$DZU$1000000,2677,FALSE)</f>
        <v>#N/A</v>
      </c>
      <c r="H158" s="34" t="e">
        <f>VLOOKUP(A1,DIV_13Data!$A$1:$DZU$1000000,2678,FALSE)</f>
        <v>#N/A</v>
      </c>
      <c r="I158" s="33" t="e">
        <f>VLOOKUP(A1,DIV_13Data!$A$1:$DZU$1000000,2679,FALSE)</f>
        <v>#N/A</v>
      </c>
      <c r="J158" s="34" t="e">
        <f>VLOOKUP(A1,DIV_13Data!$A$1:$DZU$1000000,2680,FALSE)</f>
        <v>#N/A</v>
      </c>
      <c r="K158" s="34" t="e">
        <f>VLOOKUP(A1,DIV_13Data!$A$1:$DZU$1000000,2681,FALSE)</f>
        <v>#N/A</v>
      </c>
      <c r="L158" s="93" t="e">
        <f>VLOOKUP(A1,DIV_13Data!$A$1:$DZU$1000000,2682,FALSE)</f>
        <v>#N/A</v>
      </c>
      <c r="M158" s="33" t="e">
        <f>VLOOKUP(A1,DIV_13Data!$A$1:$DZU$1000000,2683,FALSE)</f>
        <v>#N/A</v>
      </c>
      <c r="N158" s="34" t="e">
        <f>VLOOKUP(A1,DIV_13Data!$A$1:$DZU$1000000,2684,FALSE)</f>
        <v>#N/A</v>
      </c>
      <c r="O158" s="33" t="e">
        <f>VLOOKUP(A1,DIV_13Data!$A$1:$DZU$1000000,2685,FALSE)</f>
        <v>#N/A</v>
      </c>
      <c r="P158" s="46" t="e">
        <f>VLOOKUP(A1,DIV_13Data!$A$1:$DZU$1000000,2686,FALSE)</f>
        <v>#N/A</v>
      </c>
      <c r="Q158" s="33" t="e">
        <f>VLOOKUP(A1,DIV_13Data!$A$1:$DZU$1000000,2687,FALSE)</f>
        <v>#N/A</v>
      </c>
    </row>
    <row r="159" spans="1:17" x14ac:dyDescent="0.35">
      <c r="A159" s="22" t="e">
        <f>VLOOKUP(A1,DIV_13Data!$A$1:$DZU$1000000,2688,FALSE)</f>
        <v>#N/A</v>
      </c>
      <c r="B159" s="37" t="e">
        <f>VLOOKUP(A1,DIV_13Data!$A$1:$DZU$1000000,2689,FALSE)</f>
        <v>#N/A</v>
      </c>
      <c r="C159" s="38" t="e">
        <f>VLOOKUP(A1,DIV_13Data!$A$1:$DZU$1000000,2690,FALSE)</f>
        <v>#N/A</v>
      </c>
      <c r="D159" s="31" t="e">
        <f>VLOOKUP(A1,DIV_13Data!$A$1:$DZU$1000000,2691,FALSE)</f>
        <v>#N/A</v>
      </c>
      <c r="E159" s="32" t="e">
        <f>VLOOKUP(A1,DIV_13Data!$A$1:$DZU$1000000,2692,FALSE)</f>
        <v>#N/A</v>
      </c>
      <c r="F159" s="34" t="e">
        <f>VLOOKUP(A1,DIV_13Data!$A$1:$DZU$1000000,2693,FALSE)</f>
        <v>#N/A</v>
      </c>
      <c r="G159" s="33" t="e">
        <f>VLOOKUP(A1,DIV_13Data!$A$1:$DZU$1000000,2694,FALSE)</f>
        <v>#N/A</v>
      </c>
      <c r="H159" s="34" t="e">
        <f>VLOOKUP(A1,DIV_13Data!$A$1:$DZU$1000000,2695,FALSE)</f>
        <v>#N/A</v>
      </c>
      <c r="I159" s="33" t="e">
        <f>VLOOKUP(A1,DIV_13Data!$A$1:$DZU$1000000,2696,FALSE)</f>
        <v>#N/A</v>
      </c>
      <c r="J159" s="34" t="e">
        <f>VLOOKUP(A1,DIV_13Data!$A$1:$DZU$1000000,2697,FALSE)</f>
        <v>#N/A</v>
      </c>
      <c r="K159" s="34" t="e">
        <f>VLOOKUP(A1,DIV_13Data!$A$1:$DZU$1000000,2698,FALSE)</f>
        <v>#N/A</v>
      </c>
      <c r="L159" s="93" t="e">
        <f>VLOOKUP(A1,DIV_13Data!$A$1:$DZU$1000000,2699,FALSE)</f>
        <v>#N/A</v>
      </c>
      <c r="M159" s="33" t="e">
        <f>VLOOKUP(A1,DIV_13Data!$A$1:$DZU$1000000,2700,FALSE)</f>
        <v>#N/A</v>
      </c>
      <c r="N159" s="34" t="e">
        <f>VLOOKUP(A1,DIV_13Data!$A$1:$DZU$1000000,2701,FALSE)</f>
        <v>#N/A</v>
      </c>
      <c r="O159" s="33" t="e">
        <f>VLOOKUP(A1,DIV_13Data!$A$1:$DZU$1000000,2702,FALSE)</f>
        <v>#N/A</v>
      </c>
      <c r="P159" s="46" t="e">
        <f>VLOOKUP(A1,DIV_13Data!$A$1:$DZU$1000000,2703,FALSE)</f>
        <v>#N/A</v>
      </c>
      <c r="Q159" s="33" t="e">
        <f>VLOOKUP(A1,DIV_13Data!$A$1:$DZU$1000000,2704,FALSE)</f>
        <v>#N/A</v>
      </c>
    </row>
    <row r="160" spans="1:17" x14ac:dyDescent="0.35">
      <c r="A160" s="22" t="e">
        <f>VLOOKUP(A1,DIV_13Data!$A$1:$DZU$1000000,2705,FALSE)</f>
        <v>#N/A</v>
      </c>
      <c r="B160" s="37" t="e">
        <f>VLOOKUP(A1,DIV_13Data!$A$1:$DZU$1000000,2706,FALSE)</f>
        <v>#N/A</v>
      </c>
      <c r="C160" s="38" t="e">
        <f>VLOOKUP(A1,DIV_13Data!$A$1:$DZU$1000000,2707,FALSE)</f>
        <v>#N/A</v>
      </c>
      <c r="D160" s="31" t="e">
        <f>VLOOKUP(A1,DIV_13Data!$A$1:$DZU$1000000,2708,FALSE)</f>
        <v>#N/A</v>
      </c>
      <c r="E160" s="32" t="e">
        <f>VLOOKUP(A1,DIV_13Data!$A$1:$DZU$1000000,2709,FALSE)</f>
        <v>#N/A</v>
      </c>
      <c r="F160" s="34" t="e">
        <f>VLOOKUP(A1,DIV_13Data!$A$1:$DZU$1000000,2710,FALSE)</f>
        <v>#N/A</v>
      </c>
      <c r="G160" s="33" t="e">
        <f>VLOOKUP(A1,DIV_13Data!$A$1:$DZU$1000000,2711,FALSE)</f>
        <v>#N/A</v>
      </c>
      <c r="H160" s="34" t="e">
        <f>VLOOKUP(A1,DIV_13Data!$A$1:$DZU$1000000,2712,FALSE)</f>
        <v>#N/A</v>
      </c>
      <c r="I160" s="33" t="e">
        <f>VLOOKUP(A1,DIV_13Data!$A$1:$DZU$1000000,2713,FALSE)</f>
        <v>#N/A</v>
      </c>
      <c r="J160" s="34" t="e">
        <f>VLOOKUP(A1,DIV_13Data!$A$1:$DZU$1000000,2714,FALSE)</f>
        <v>#N/A</v>
      </c>
      <c r="K160" s="34" t="e">
        <f>VLOOKUP(A1,DIV_13Data!$A$1:$DZU$1000000,2715,FALSE)</f>
        <v>#N/A</v>
      </c>
      <c r="L160" s="93" t="e">
        <f>VLOOKUP(A1,DIV_13Data!$A$1:$DZU$1000000,2716,FALSE)</f>
        <v>#N/A</v>
      </c>
      <c r="M160" s="33" t="e">
        <f>VLOOKUP(A1,DIV_13Data!$A$1:$DZU$1000000,2717,FALSE)</f>
        <v>#N/A</v>
      </c>
      <c r="N160" s="34" t="e">
        <f>VLOOKUP(A1,DIV_13Data!$A$1:$DZU$1000000,2718,FALSE)</f>
        <v>#N/A</v>
      </c>
      <c r="O160" s="33" t="e">
        <f>VLOOKUP(A1,DIV_13Data!$A$1:$DZU$1000000,2719,FALSE)</f>
        <v>#N/A</v>
      </c>
      <c r="P160" s="46" t="e">
        <f>VLOOKUP(A1,DIV_13Data!$A$1:$DZU$1000000,2720,FALSE)</f>
        <v>#N/A</v>
      </c>
      <c r="Q160" s="33" t="e">
        <f>VLOOKUP(A1,DIV_13Data!$A$1:$DZU$1000000,2721,FALSE)</f>
        <v>#N/A</v>
      </c>
    </row>
    <row r="161" spans="1:17" x14ac:dyDescent="0.35">
      <c r="A161" s="22" t="e">
        <f>VLOOKUP(A1,DIV_13Data!$A$1:$DZU$1000000,2722,FALSE)</f>
        <v>#N/A</v>
      </c>
      <c r="B161" s="37" t="e">
        <f>VLOOKUP(A1,DIV_13Data!$A$1:$DZU$1000000,2723,FALSE)</f>
        <v>#N/A</v>
      </c>
      <c r="C161" s="38" t="e">
        <f>VLOOKUP(A1,DIV_13Data!$A$1:$DZU$1000000,2724,FALSE)</f>
        <v>#N/A</v>
      </c>
      <c r="D161" s="31" t="e">
        <f>VLOOKUP(A1,DIV_13Data!$A$1:$DZU$1000000,2725,FALSE)</f>
        <v>#N/A</v>
      </c>
      <c r="E161" s="32" t="e">
        <f>VLOOKUP(A1,DIV_13Data!$A$1:$DZU$1000000,2726,FALSE)</f>
        <v>#N/A</v>
      </c>
      <c r="F161" s="34" t="e">
        <f>VLOOKUP(A1,DIV_13Data!$A$1:$DZU$1000000,2727,FALSE)</f>
        <v>#N/A</v>
      </c>
      <c r="G161" s="33" t="e">
        <f>VLOOKUP(A1,DIV_13Data!$A$1:$DZU$1000000,2728,FALSE)</f>
        <v>#N/A</v>
      </c>
      <c r="H161" s="34" t="e">
        <f>VLOOKUP(A1,DIV_13Data!$A$1:$DZU$1000000,2729,FALSE)</f>
        <v>#N/A</v>
      </c>
      <c r="I161" s="33" t="e">
        <f>VLOOKUP(A1,DIV_13Data!$A$1:$DZU$1000000,2730,FALSE)</f>
        <v>#N/A</v>
      </c>
      <c r="J161" s="34" t="e">
        <f>VLOOKUP(A1,DIV_13Data!$A$1:$DZU$1000000,2731,FALSE)</f>
        <v>#N/A</v>
      </c>
      <c r="K161" s="34" t="e">
        <f>VLOOKUP(A1,DIV_13Data!$A$1:$DZU$1000000,2732,FALSE)</f>
        <v>#N/A</v>
      </c>
      <c r="L161" s="93" t="e">
        <f>VLOOKUP(A1,DIV_13Data!$A$1:$DZU$1000000,2733,FALSE)</f>
        <v>#N/A</v>
      </c>
      <c r="M161" s="33" t="e">
        <f>VLOOKUP(A1,DIV_13Data!$A$1:$DZU$1000000,2734,FALSE)</f>
        <v>#N/A</v>
      </c>
      <c r="N161" s="34" t="e">
        <f>VLOOKUP(A1,DIV_13Data!$A$1:$DZU$1000000,2735,FALSE)</f>
        <v>#N/A</v>
      </c>
      <c r="O161" s="33" t="e">
        <f>VLOOKUP(A1,DIV_13Data!$A$1:$DZU$1000000,2736,FALSE)</f>
        <v>#N/A</v>
      </c>
      <c r="P161" s="46" t="e">
        <f>VLOOKUP(A1,DIV_13Data!$A$1:$DZU$1000000,2737,FALSE)</f>
        <v>#N/A</v>
      </c>
      <c r="Q161" s="33" t="e">
        <f>VLOOKUP(A1,DIV_13Data!$A$1:$DZU$1000000,2738,FALSE)</f>
        <v>#N/A</v>
      </c>
    </row>
    <row r="162" spans="1:17" x14ac:dyDescent="0.35">
      <c r="A162" s="22" t="e">
        <f>VLOOKUP(A1,DIV_13Data!$A$1:$DZU$1000000,2739,FALSE)</f>
        <v>#N/A</v>
      </c>
      <c r="B162" s="37" t="e">
        <f>VLOOKUP(A1,DIV_13Data!$A$1:$DZU$1000000,2740,FALSE)</f>
        <v>#N/A</v>
      </c>
      <c r="C162" s="38" t="e">
        <f>VLOOKUP(A1,DIV_13Data!$A$1:$DZU$1000000,2741,FALSE)</f>
        <v>#N/A</v>
      </c>
      <c r="D162" s="31" t="e">
        <f>VLOOKUP(A1,DIV_13Data!$A$1:$DZU$1000000,2742,FALSE)</f>
        <v>#N/A</v>
      </c>
      <c r="E162" s="32" t="e">
        <f>VLOOKUP(A1,DIV_13Data!$A$1:$DZU$1000000,2743,FALSE)</f>
        <v>#N/A</v>
      </c>
      <c r="F162" s="34" t="e">
        <f>VLOOKUP(A1,DIV_13Data!$A$1:$DZU$1000000,2744,FALSE)</f>
        <v>#N/A</v>
      </c>
      <c r="G162" s="33" t="e">
        <f>VLOOKUP(A1,DIV_13Data!$A$1:$DZU$1000000,2745,FALSE)</f>
        <v>#N/A</v>
      </c>
      <c r="H162" s="34" t="e">
        <f>VLOOKUP(A1,DIV_13Data!$A$1:$DZU$1000000,2746,FALSE)</f>
        <v>#N/A</v>
      </c>
      <c r="I162" s="33" t="e">
        <f>VLOOKUP(A1,DIV_13Data!$A$1:$DZU$1000000,2747,FALSE)</f>
        <v>#N/A</v>
      </c>
      <c r="J162" s="34" t="e">
        <f>VLOOKUP(A1,DIV_13Data!$A$1:$DZU$1000000,2748,FALSE)</f>
        <v>#N/A</v>
      </c>
      <c r="K162" s="34" t="e">
        <f>VLOOKUP(A1,DIV_13Data!$A$1:$DZU$1000000,2749,FALSE)</f>
        <v>#N/A</v>
      </c>
      <c r="L162" s="93" t="e">
        <f>VLOOKUP(A1,DIV_13Data!$A$1:$DZU$1000000,2750,FALSE)</f>
        <v>#N/A</v>
      </c>
      <c r="M162" s="33" t="e">
        <f>VLOOKUP(A1,DIV_13Data!$A$1:$DZU$1000000,2751,FALSE)</f>
        <v>#N/A</v>
      </c>
      <c r="N162" s="34" t="e">
        <f>VLOOKUP(A1,DIV_13Data!$A$1:$DZU$1000000,2752,FALSE)</f>
        <v>#N/A</v>
      </c>
      <c r="O162" s="33" t="e">
        <f>VLOOKUP(A1,DIV_13Data!$A$1:$DZU$1000000,2753,FALSE)</f>
        <v>#N/A</v>
      </c>
      <c r="P162" s="46" t="e">
        <f>VLOOKUP(A1,DIV_13Data!$A$1:$DZU$1000000,2754,FALSE)</f>
        <v>#N/A</v>
      </c>
      <c r="Q162" s="33" t="e">
        <f>VLOOKUP(A1,DIV_13Data!$A$1:$DZU$1000000,2755,FALSE)</f>
        <v>#N/A</v>
      </c>
    </row>
    <row r="163" spans="1:17" x14ac:dyDescent="0.35">
      <c r="A163" s="22" t="e">
        <f>VLOOKUP(A1,DIV_13Data!$A$1:$DZU$1000000,2756,FALSE)</f>
        <v>#N/A</v>
      </c>
      <c r="B163" s="37" t="e">
        <f>VLOOKUP(A1,DIV_13Data!$A$1:$DZU$1000000,2757,FALSE)</f>
        <v>#N/A</v>
      </c>
      <c r="C163" s="38" t="e">
        <f>VLOOKUP(A1,DIV_13Data!$A$1:$DZU$1000000,2758,FALSE)</f>
        <v>#N/A</v>
      </c>
      <c r="D163" s="31" t="e">
        <f>VLOOKUP(A1,DIV_13Data!$A$1:$DZU$1000000,2759,FALSE)</f>
        <v>#N/A</v>
      </c>
      <c r="E163" s="32" t="e">
        <f>VLOOKUP(A1,DIV_13Data!$A$1:$DZU$1000000,2760,FALSE)</f>
        <v>#N/A</v>
      </c>
      <c r="F163" s="34" t="e">
        <f>VLOOKUP(A1,DIV_13Data!$A$1:$DZU$1000000,2761,FALSE)</f>
        <v>#N/A</v>
      </c>
      <c r="G163" s="33" t="e">
        <f>VLOOKUP(A1,DIV_13Data!$A$1:$DZU$1000000,2762,FALSE)</f>
        <v>#N/A</v>
      </c>
      <c r="H163" s="34" t="e">
        <f>VLOOKUP(A1,DIV_13Data!$A$1:$DZU$1000000,2763,FALSE)</f>
        <v>#N/A</v>
      </c>
      <c r="I163" s="33" t="e">
        <f>VLOOKUP(A1,DIV_13Data!$A$1:$DZU$1000000,2764,FALSE)</f>
        <v>#N/A</v>
      </c>
      <c r="J163" s="34" t="e">
        <f>VLOOKUP(A1,DIV_13Data!$A$1:$DZU$1000000,2765,FALSE)</f>
        <v>#N/A</v>
      </c>
      <c r="K163" s="34" t="e">
        <f>VLOOKUP(A1,DIV_13Data!$A$1:$DZU$1000000,2766,FALSE)</f>
        <v>#N/A</v>
      </c>
      <c r="L163" s="93" t="e">
        <f>VLOOKUP(A1,DIV_13Data!$A$1:$DZU$1000000,2767,FALSE)</f>
        <v>#N/A</v>
      </c>
      <c r="M163" s="33" t="e">
        <f>VLOOKUP(A1,DIV_13Data!$A$1:$DZU$1000000,2768,FALSE)</f>
        <v>#N/A</v>
      </c>
      <c r="N163" s="34" t="e">
        <f>VLOOKUP(A1,DIV_13Data!$A$1:$DZU$1000000,2769,FALSE)</f>
        <v>#N/A</v>
      </c>
      <c r="O163" s="33" t="e">
        <f>VLOOKUP(A1,DIV_13Data!$A$1:$DZU$1000000,2770,FALSE)</f>
        <v>#N/A</v>
      </c>
      <c r="P163" s="46" t="e">
        <f>VLOOKUP(A1,DIV_13Data!$A$1:$DZU$1000000,2771,FALSE)</f>
        <v>#N/A</v>
      </c>
      <c r="Q163" s="33" t="e">
        <f>VLOOKUP(A1,DIV_13Data!$A$1:$DZU$1000000,2772,FALSE)</f>
        <v>#N/A</v>
      </c>
    </row>
    <row r="164" spans="1:17" x14ac:dyDescent="0.35">
      <c r="A164" s="22" t="e">
        <f>VLOOKUP(A1,DIV_13Data!$A$1:$DZU$1000000,2773,FALSE)</f>
        <v>#N/A</v>
      </c>
      <c r="B164" s="37" t="e">
        <f>VLOOKUP(A1,DIV_13Data!$A$1:$DZU$1000000,2774,FALSE)</f>
        <v>#N/A</v>
      </c>
      <c r="C164" s="38" t="e">
        <f>VLOOKUP(A1,DIV_13Data!$A$1:$DZU$1000000,2775,FALSE)</f>
        <v>#N/A</v>
      </c>
      <c r="D164" s="31" t="e">
        <f>VLOOKUP(A1,DIV_13Data!$A$1:$DZU$1000000,2776,FALSE)</f>
        <v>#N/A</v>
      </c>
      <c r="E164" s="32" t="e">
        <f>VLOOKUP(A1,DIV_13Data!$A$1:$DZU$1000000,2777,FALSE)</f>
        <v>#N/A</v>
      </c>
      <c r="F164" s="34" t="e">
        <f>VLOOKUP(A1,DIV_13Data!$A$1:$DZU$1000000,2778,FALSE)</f>
        <v>#N/A</v>
      </c>
      <c r="G164" s="33" t="e">
        <f>VLOOKUP(A1,DIV_13Data!$A$1:$DZU$1000000,2779,FALSE)</f>
        <v>#N/A</v>
      </c>
      <c r="H164" s="34" t="e">
        <f>VLOOKUP(A1,DIV_13Data!$A$1:$DZU$1000000,2780,FALSE)</f>
        <v>#N/A</v>
      </c>
      <c r="I164" s="33" t="e">
        <f>VLOOKUP(A1,DIV_13Data!$A$1:$DZU$1000000,2781,FALSE)</f>
        <v>#N/A</v>
      </c>
      <c r="J164" s="34" t="e">
        <f>VLOOKUP(A1,DIV_13Data!$A$1:$DZU$1000000,2782,FALSE)</f>
        <v>#N/A</v>
      </c>
      <c r="K164" s="34" t="e">
        <f>VLOOKUP(A1,DIV_13Data!$A$1:$DZU$1000000,2783,FALSE)</f>
        <v>#N/A</v>
      </c>
      <c r="L164" s="93" t="e">
        <f>VLOOKUP(A1,DIV_13Data!$A$1:$DZU$1000000,2784,FALSE)</f>
        <v>#N/A</v>
      </c>
      <c r="M164" s="33" t="e">
        <f>VLOOKUP(A1,DIV_13Data!$A$1:$DZU$1000000,2785,FALSE)</f>
        <v>#N/A</v>
      </c>
      <c r="N164" s="34" t="e">
        <f>VLOOKUP(A1,DIV_13Data!$A$1:$DZU$1000000,2786,FALSE)</f>
        <v>#N/A</v>
      </c>
      <c r="O164" s="33" t="e">
        <f>VLOOKUP(A1,DIV_13Data!$A$1:$DZU$1000000,2787,FALSE)</f>
        <v>#N/A</v>
      </c>
      <c r="P164" s="46" t="e">
        <f>VLOOKUP(A1,DIV_13Data!$A$1:$DZU$1000000,2788,FALSE)</f>
        <v>#N/A</v>
      </c>
      <c r="Q164" s="33" t="e">
        <f>VLOOKUP(A1,DIV_13Data!$A$1:$DZU$1000000,2789,FALSE)</f>
        <v>#N/A</v>
      </c>
    </row>
    <row r="165" spans="1:17" x14ac:dyDescent="0.35">
      <c r="A165" s="22" t="e">
        <f>VLOOKUP(A1,DIV_13Data!$A$1:$DZU$1000000,2790,FALSE)</f>
        <v>#N/A</v>
      </c>
      <c r="B165" s="37" t="e">
        <f>VLOOKUP(A1,DIV_13Data!$A$1:$DZU$1000000,2791,FALSE)</f>
        <v>#N/A</v>
      </c>
      <c r="C165" s="38" t="e">
        <f>VLOOKUP(A1,DIV_13Data!$A$1:$DZU$1000000,2792,FALSE)</f>
        <v>#N/A</v>
      </c>
      <c r="D165" s="31" t="e">
        <f>VLOOKUP(A1,DIV_13Data!$A$1:$DZU$1000000,2793,FALSE)</f>
        <v>#N/A</v>
      </c>
      <c r="E165" s="32" t="e">
        <f>VLOOKUP(A1,DIV_13Data!$A$1:$DZU$1000000,2794,FALSE)</f>
        <v>#N/A</v>
      </c>
      <c r="F165" s="34" t="e">
        <f>VLOOKUP(A1,DIV_13Data!$A$1:$DZU$1000000,2795,FALSE)</f>
        <v>#N/A</v>
      </c>
      <c r="G165" s="33" t="e">
        <f>VLOOKUP(A1,DIV_13Data!$A$1:$DZU$1000000,2796,FALSE)</f>
        <v>#N/A</v>
      </c>
      <c r="H165" s="34" t="e">
        <f>VLOOKUP(A1,DIV_13Data!$A$1:$DZU$1000000,2797,FALSE)</f>
        <v>#N/A</v>
      </c>
      <c r="I165" s="33" t="e">
        <f>VLOOKUP(A1,DIV_13Data!$A$1:$DZU$1000000,2798,FALSE)</f>
        <v>#N/A</v>
      </c>
      <c r="J165" s="34" t="e">
        <f>VLOOKUP(A1,DIV_13Data!$A$1:$DZU$1000000,2799,FALSE)</f>
        <v>#N/A</v>
      </c>
      <c r="K165" s="34" t="e">
        <f>VLOOKUP(A1,DIV_13Data!$A$1:$DZU$1000000,2800,FALSE)</f>
        <v>#N/A</v>
      </c>
      <c r="L165" s="93" t="e">
        <f>VLOOKUP(A1,DIV_13Data!$A$1:$DZU$1000000,2801,FALSE)</f>
        <v>#N/A</v>
      </c>
      <c r="M165" s="33" t="e">
        <f>VLOOKUP(A1,DIV_13Data!$A$1:$DZU$1000000,2802,FALSE)</f>
        <v>#N/A</v>
      </c>
      <c r="N165" s="34" t="e">
        <f>VLOOKUP(A1,DIV_13Data!$A$1:$DZU$1000000,2803,FALSE)</f>
        <v>#N/A</v>
      </c>
      <c r="O165" s="33" t="e">
        <f>VLOOKUP(A1,DIV_13Data!$A$1:$DZU$1000000,2804,FALSE)</f>
        <v>#N/A</v>
      </c>
      <c r="P165" s="46" t="e">
        <f>VLOOKUP(A1,DIV_13Data!$A$1:$DZU$1000000,2805,FALSE)</f>
        <v>#N/A</v>
      </c>
      <c r="Q165" s="33" t="e">
        <f>VLOOKUP(A1,DIV_13Data!$A$1:$DZU$1000000,2806,FALSE)</f>
        <v>#N/A</v>
      </c>
    </row>
    <row r="166" spans="1:17" x14ac:dyDescent="0.35">
      <c r="A166" s="22" t="e">
        <f>VLOOKUP(A1,DIV_13Data!$A$1:$DZU$1000000,2807,FALSE)</f>
        <v>#N/A</v>
      </c>
      <c r="B166" s="37" t="e">
        <f>VLOOKUP(A1,DIV_13Data!$A$1:$DZU$1000000,2808,FALSE)</f>
        <v>#N/A</v>
      </c>
      <c r="C166" s="38" t="e">
        <f>VLOOKUP(A1,DIV_13Data!$A$1:$DZU$1000000,2809,FALSE)</f>
        <v>#N/A</v>
      </c>
      <c r="D166" s="31" t="e">
        <f>VLOOKUP(A1,DIV_13Data!$A$1:$DZU$1000000,2810,FALSE)</f>
        <v>#N/A</v>
      </c>
      <c r="E166" s="32" t="e">
        <f>VLOOKUP(A1,DIV_13Data!$A$1:$DZU$1000000,2811,FALSE)</f>
        <v>#N/A</v>
      </c>
      <c r="F166" s="34" t="e">
        <f>VLOOKUP(A1,DIV_13Data!$A$1:$DZU$1000000,2812,FALSE)</f>
        <v>#N/A</v>
      </c>
      <c r="G166" s="33" t="e">
        <f>VLOOKUP(A1,DIV_13Data!$A$1:$DZU$1000000,2813,FALSE)</f>
        <v>#N/A</v>
      </c>
      <c r="H166" s="34" t="e">
        <f>VLOOKUP(A1,DIV_13Data!$A$1:$DZU$1000000,2814,FALSE)</f>
        <v>#N/A</v>
      </c>
      <c r="I166" s="33" t="e">
        <f>VLOOKUP(A1,DIV_13Data!$A$1:$DZU$1000000,2815,FALSE)</f>
        <v>#N/A</v>
      </c>
      <c r="J166" s="34" t="e">
        <f>VLOOKUP(A1,DIV_13Data!$A$1:$DZU$1000000,2816,FALSE)</f>
        <v>#N/A</v>
      </c>
      <c r="K166" s="34" t="e">
        <f>VLOOKUP(A1,DIV_13Data!$A$1:$DZU$1000000,2817,FALSE)</f>
        <v>#N/A</v>
      </c>
      <c r="L166" s="93" t="e">
        <f>VLOOKUP(A1,DIV_13Data!$A$1:$DZU$1000000,2818,FALSE)</f>
        <v>#N/A</v>
      </c>
      <c r="M166" s="33" t="e">
        <f>VLOOKUP(A1,DIV_13Data!$A$1:$DZU$1000000,2819,FALSE)</f>
        <v>#N/A</v>
      </c>
      <c r="N166" s="34" t="e">
        <f>VLOOKUP(A1,DIV_13Data!$A$1:$DZU$1000000,2820,FALSE)</f>
        <v>#N/A</v>
      </c>
      <c r="O166" s="33" t="e">
        <f>VLOOKUP(A1,DIV_13Data!$A$1:$DZU$1000000,2821,FALSE)</f>
        <v>#N/A</v>
      </c>
      <c r="P166" s="46" t="e">
        <f>VLOOKUP(A1,DIV_13Data!$A$1:$DZU$1000000,2822,FALSE)</f>
        <v>#N/A</v>
      </c>
      <c r="Q166" s="33" t="e">
        <f>VLOOKUP(A1,DIV_13Data!$A$1:$DZU$1000000,2823,FALSE)</f>
        <v>#N/A</v>
      </c>
    </row>
    <row r="167" spans="1:17" x14ac:dyDescent="0.35">
      <c r="A167" s="22" t="e">
        <f>VLOOKUP(A1,DIV_13Data!$A$1:$DZU$1000000,2824,FALSE)</f>
        <v>#N/A</v>
      </c>
      <c r="B167" s="37" t="e">
        <f>VLOOKUP(A1,DIV_13Data!$A$1:$DZU$1000000,2825,FALSE)</f>
        <v>#N/A</v>
      </c>
      <c r="C167" s="38" t="e">
        <f>VLOOKUP(A1,DIV_13Data!$A$1:$DZU$1000000,2826,FALSE)</f>
        <v>#N/A</v>
      </c>
      <c r="D167" s="31" t="e">
        <f>VLOOKUP(A1,DIV_13Data!$A$1:$DZU$1000000,2827,FALSE)</f>
        <v>#N/A</v>
      </c>
      <c r="E167" s="32" t="e">
        <f>VLOOKUP(A1,DIV_13Data!$A$1:$DZU$1000000,2828,FALSE)</f>
        <v>#N/A</v>
      </c>
      <c r="F167" s="34" t="e">
        <f>VLOOKUP(A1,DIV_13Data!$A$1:$DZU$1000000,2829,FALSE)</f>
        <v>#N/A</v>
      </c>
      <c r="G167" s="33" t="e">
        <f>VLOOKUP(A1,DIV_13Data!$A$1:$DZU$1000000,2830,FALSE)</f>
        <v>#N/A</v>
      </c>
      <c r="H167" s="34" t="e">
        <f>VLOOKUP(A1,DIV_13Data!$A$1:$DZU$1000000,2831,FALSE)</f>
        <v>#N/A</v>
      </c>
      <c r="I167" s="33" t="e">
        <f>VLOOKUP(A1,DIV_13Data!$A$1:$DZU$1000000,2832,FALSE)</f>
        <v>#N/A</v>
      </c>
      <c r="J167" s="34" t="e">
        <f>VLOOKUP(A1,DIV_13Data!$A$1:$DZU$1000000,2833,FALSE)</f>
        <v>#N/A</v>
      </c>
      <c r="K167" s="34" t="e">
        <f>VLOOKUP(A1,DIV_13Data!$A$1:$DZU$1000000,2834,FALSE)</f>
        <v>#N/A</v>
      </c>
      <c r="L167" s="93" t="e">
        <f>VLOOKUP(A1,DIV_13Data!$A$1:$DZU$1000000,2835,FALSE)</f>
        <v>#N/A</v>
      </c>
      <c r="M167" s="33" t="e">
        <f>VLOOKUP(A1,DIV_13Data!$A$1:$DZU$1000000,2836,FALSE)</f>
        <v>#N/A</v>
      </c>
      <c r="N167" s="34" t="e">
        <f>VLOOKUP(A1,DIV_13Data!$A$1:$DZU$1000000,2837,FALSE)</f>
        <v>#N/A</v>
      </c>
      <c r="O167" s="33" t="e">
        <f>VLOOKUP(A1,DIV_13Data!$A$1:$DZU$1000000,2838,FALSE)</f>
        <v>#N/A</v>
      </c>
      <c r="P167" s="46" t="e">
        <f>VLOOKUP(A1,DIV_13Data!$A$1:$DZU$1000000,2839,FALSE)</f>
        <v>#N/A</v>
      </c>
      <c r="Q167" s="33" t="e">
        <f>VLOOKUP(A1,DIV_13Data!$A$1:$DZU$1000000,2840,FALSE)</f>
        <v>#N/A</v>
      </c>
    </row>
    <row r="168" spans="1:17" x14ac:dyDescent="0.35">
      <c r="A168" s="22" t="e">
        <f>VLOOKUP(A1,DIV_13Data!$A$1:$DZU$1000000,2841,FALSE)</f>
        <v>#N/A</v>
      </c>
      <c r="B168" s="37" t="e">
        <f>VLOOKUP(A1,DIV_13Data!$A$1:$DZU$1000000,2842,FALSE)</f>
        <v>#N/A</v>
      </c>
      <c r="C168" s="38" t="e">
        <f>VLOOKUP(A1,DIV_13Data!$A$1:$DZU$1000000,2843,FALSE)</f>
        <v>#N/A</v>
      </c>
      <c r="D168" s="31" t="e">
        <f>VLOOKUP(A1,DIV_13Data!$A$1:$DZU$1000000,2844,FALSE)</f>
        <v>#N/A</v>
      </c>
      <c r="E168" s="32" t="e">
        <f>VLOOKUP(A1,DIV_13Data!$A$1:$DZU$1000000,2845,FALSE)</f>
        <v>#N/A</v>
      </c>
      <c r="F168" s="34" t="e">
        <f>VLOOKUP(A1,DIV_13Data!$A$1:$DZU$1000000,2846,FALSE)</f>
        <v>#N/A</v>
      </c>
      <c r="G168" s="33" t="e">
        <f>VLOOKUP(A1,DIV_13Data!$A$1:$DZU$1000000,2847,FALSE)</f>
        <v>#N/A</v>
      </c>
      <c r="H168" s="34" t="e">
        <f>VLOOKUP(A1,DIV_13Data!$A$1:$DZU$1000000,2848,FALSE)</f>
        <v>#N/A</v>
      </c>
      <c r="I168" s="33" t="e">
        <f>VLOOKUP(A1,DIV_13Data!$A$1:$DZU$1000000,2849,FALSE)</f>
        <v>#N/A</v>
      </c>
      <c r="J168" s="34" t="e">
        <f>VLOOKUP(A1,DIV_13Data!$A$1:$DZU$1000000,2850,FALSE)</f>
        <v>#N/A</v>
      </c>
      <c r="K168" s="34" t="e">
        <f>VLOOKUP(A1,DIV_13Data!$A$1:$DZU$1000000,2851,FALSE)</f>
        <v>#N/A</v>
      </c>
      <c r="L168" s="93" t="e">
        <f>VLOOKUP(A1,DIV_13Data!$A$1:$DZU$1000000,2852,FALSE)</f>
        <v>#N/A</v>
      </c>
      <c r="M168" s="33" t="e">
        <f>VLOOKUP(A1,DIV_13Data!$A$1:$DZU$1000000,2853,FALSE)</f>
        <v>#N/A</v>
      </c>
      <c r="N168" s="34" t="e">
        <f>VLOOKUP(A1,DIV_13Data!$A$1:$DZU$1000000,2854,FALSE)</f>
        <v>#N/A</v>
      </c>
      <c r="O168" s="33" t="e">
        <f>VLOOKUP(A1,DIV_13Data!$A$1:$DZU$1000000,2855,FALSE)</f>
        <v>#N/A</v>
      </c>
      <c r="P168" s="46" t="e">
        <f>VLOOKUP(A1,DIV_13Data!$A$1:$DZU$1000000,2856,FALSE)</f>
        <v>#N/A</v>
      </c>
      <c r="Q168" s="33" t="e">
        <f>VLOOKUP(A1,DIV_13Data!$A$1:$DZU$1000000,2857,FALSE)</f>
        <v>#N/A</v>
      </c>
    </row>
    <row r="169" spans="1:17" x14ac:dyDescent="0.35">
      <c r="A169" s="22" t="e">
        <f>VLOOKUP(A1,DIV_13Data!$A$1:$DZU$1000000,2858,FALSE)</f>
        <v>#N/A</v>
      </c>
      <c r="B169" s="37" t="e">
        <f>VLOOKUP(A1,DIV_13Data!$A$1:$DZU$1000000,2859,FALSE)</f>
        <v>#N/A</v>
      </c>
      <c r="C169" s="38" t="e">
        <f>VLOOKUP(A1,DIV_13Data!$A$1:$DZU$1000000,2860,FALSE)</f>
        <v>#N/A</v>
      </c>
      <c r="D169" s="31" t="e">
        <f>VLOOKUP(A1,DIV_13Data!$A$1:$DZU$1000000,2861,FALSE)</f>
        <v>#N/A</v>
      </c>
      <c r="E169" s="32" t="e">
        <f>VLOOKUP(A1,DIV_13Data!$A$1:$DZU$1000000,2862,FALSE)</f>
        <v>#N/A</v>
      </c>
      <c r="F169" s="34" t="e">
        <f>VLOOKUP(A1,DIV_13Data!$A$1:$DZU$1000000,2863,FALSE)</f>
        <v>#N/A</v>
      </c>
      <c r="G169" s="33" t="e">
        <f>VLOOKUP(A1,DIV_13Data!$A$1:$DZU$1000000,2864,FALSE)</f>
        <v>#N/A</v>
      </c>
      <c r="H169" s="34" t="e">
        <f>VLOOKUP(A1,DIV_13Data!$A$1:$DZU$1000000,2865,FALSE)</f>
        <v>#N/A</v>
      </c>
      <c r="I169" s="33" t="e">
        <f>VLOOKUP(A1,DIV_13Data!$A$1:$DZU$1000000,2866,FALSE)</f>
        <v>#N/A</v>
      </c>
      <c r="J169" s="34" t="e">
        <f>VLOOKUP(A1,DIV_13Data!$A$1:$DZU$1000000,2867,FALSE)</f>
        <v>#N/A</v>
      </c>
      <c r="K169" s="34" t="e">
        <f>VLOOKUP(A1,DIV_13Data!$A$1:$DZU$1000000,2868,FALSE)</f>
        <v>#N/A</v>
      </c>
      <c r="L169" s="93" t="e">
        <f>VLOOKUP(A1,DIV_13Data!$A$1:$DZU$1000000,2869,FALSE)</f>
        <v>#N/A</v>
      </c>
      <c r="M169" s="33" t="e">
        <f>VLOOKUP(A1,DIV_13Data!$A$1:$DZU$1000000,2870,FALSE)</f>
        <v>#N/A</v>
      </c>
      <c r="N169" s="34" t="e">
        <f>VLOOKUP(A1,DIV_13Data!$A$1:$DZU$1000000,2871,FALSE)</f>
        <v>#N/A</v>
      </c>
      <c r="O169" s="33" t="e">
        <f>VLOOKUP(A1,DIV_13Data!$A$1:$DZU$1000000,2872,FALSE)</f>
        <v>#N/A</v>
      </c>
      <c r="P169" s="46" t="e">
        <f>VLOOKUP(A1,DIV_13Data!$A$1:$DZU$1000000,2873,FALSE)</f>
        <v>#N/A</v>
      </c>
      <c r="Q169" s="33" t="e">
        <f>VLOOKUP(A1,DIV_13Data!$A$1:$DZU$1000000,2874,FALSE)</f>
        <v>#N/A</v>
      </c>
    </row>
    <row r="170" spans="1:17" x14ac:dyDescent="0.35">
      <c r="A170" s="22" t="e">
        <f>VLOOKUP(A1,DIV_13Data!$A$1:$DZU$1000000,2875,FALSE)</f>
        <v>#N/A</v>
      </c>
      <c r="B170" s="37" t="e">
        <f>VLOOKUP(A1,DIV_13Data!$A$1:$DZU$1000000,2876,FALSE)</f>
        <v>#N/A</v>
      </c>
      <c r="C170" s="38" t="e">
        <f>VLOOKUP(A1,DIV_13Data!$A$1:$DZU$1000000,2877,FALSE)</f>
        <v>#N/A</v>
      </c>
      <c r="D170" s="31" t="e">
        <f>VLOOKUP(A1,DIV_13Data!$A$1:$DZU$1000000,2878,FALSE)</f>
        <v>#N/A</v>
      </c>
      <c r="E170" s="32" t="e">
        <f>VLOOKUP(A1,DIV_13Data!$A$1:$DZU$1000000,2879,FALSE)</f>
        <v>#N/A</v>
      </c>
      <c r="F170" s="34" t="e">
        <f>VLOOKUP(A1,DIV_13Data!$A$1:$DZU$1000000,2880,FALSE)</f>
        <v>#N/A</v>
      </c>
      <c r="G170" s="33" t="e">
        <f>VLOOKUP(A1,DIV_13Data!$A$1:$DZU$1000000,2881,FALSE)</f>
        <v>#N/A</v>
      </c>
      <c r="H170" s="34" t="e">
        <f>VLOOKUP(A1,DIV_13Data!$A$1:$DZU$1000000,2882,FALSE)</f>
        <v>#N/A</v>
      </c>
      <c r="I170" s="33" t="e">
        <f>VLOOKUP(A1,DIV_13Data!$A$1:$DZU$1000000,2883,FALSE)</f>
        <v>#N/A</v>
      </c>
      <c r="J170" s="34" t="e">
        <f>VLOOKUP(A1,DIV_13Data!$A$1:$DZU$1000000,2884,FALSE)</f>
        <v>#N/A</v>
      </c>
      <c r="K170" s="34" t="e">
        <f>VLOOKUP(A1,DIV_13Data!$A$1:$DZU$1000000,2885,FALSE)</f>
        <v>#N/A</v>
      </c>
      <c r="L170" s="93" t="e">
        <f>VLOOKUP(A1,DIV_13Data!$A$1:$DZU$1000000,2886,FALSE)</f>
        <v>#N/A</v>
      </c>
      <c r="M170" s="33" t="e">
        <f>VLOOKUP(A1,DIV_13Data!$A$1:$DZU$1000000,2887,FALSE)</f>
        <v>#N/A</v>
      </c>
      <c r="N170" s="34" t="e">
        <f>VLOOKUP(A1,DIV_13Data!$A$1:$DZU$1000000,2888,FALSE)</f>
        <v>#N/A</v>
      </c>
      <c r="O170" s="33" t="e">
        <f>VLOOKUP(A1,DIV_13Data!$A$1:$DZU$1000000,2889,FALSE)</f>
        <v>#N/A</v>
      </c>
      <c r="P170" s="46" t="e">
        <f>VLOOKUP(A1,DIV_13Data!$A$1:$DZU$1000000,2890,FALSE)</f>
        <v>#N/A</v>
      </c>
      <c r="Q170" s="33" t="e">
        <f>VLOOKUP(A1,DIV_13Data!$A$1:$DZU$1000000,2891,FALSE)</f>
        <v>#N/A</v>
      </c>
    </row>
    <row r="171" spans="1:17" x14ac:dyDescent="0.35">
      <c r="A171" s="22" t="e">
        <f>VLOOKUP(A1,DIV_13Data!$A$1:$DZU$1000000,2892,FALSE)</f>
        <v>#N/A</v>
      </c>
      <c r="B171" s="37" t="e">
        <f>VLOOKUP(A1,DIV_13Data!$A$1:$DZU$1000000,2893,FALSE)</f>
        <v>#N/A</v>
      </c>
      <c r="C171" s="38" t="e">
        <f>VLOOKUP(A1,DIV_13Data!$A$1:$DZU$1000000,2894,FALSE)</f>
        <v>#N/A</v>
      </c>
      <c r="D171" s="31" t="e">
        <f>VLOOKUP(A1,DIV_13Data!$A$1:$DZU$1000000,2895,FALSE)</f>
        <v>#N/A</v>
      </c>
      <c r="E171" s="32" t="e">
        <f>VLOOKUP(A1,DIV_13Data!$A$1:$DZU$1000000,2896,FALSE)</f>
        <v>#N/A</v>
      </c>
      <c r="F171" s="34" t="e">
        <f>VLOOKUP(A1,DIV_13Data!$A$1:$DZU$1000000,2897,FALSE)</f>
        <v>#N/A</v>
      </c>
      <c r="G171" s="33" t="e">
        <f>VLOOKUP(A1,DIV_13Data!$A$1:$DZU$1000000,2898,FALSE)</f>
        <v>#N/A</v>
      </c>
      <c r="H171" s="34" t="e">
        <f>VLOOKUP(A1,DIV_13Data!$A$1:$DZU$1000000,2899,FALSE)</f>
        <v>#N/A</v>
      </c>
      <c r="I171" s="33" t="e">
        <f>VLOOKUP(A1,DIV_13Data!$A$1:$DZU$1000000,2900,FALSE)</f>
        <v>#N/A</v>
      </c>
      <c r="J171" s="34" t="e">
        <f>VLOOKUP(A1,DIV_13Data!$A$1:$DZU$1000000,2901,FALSE)</f>
        <v>#N/A</v>
      </c>
      <c r="K171" s="34" t="e">
        <f>VLOOKUP(A1,DIV_13Data!$A$1:$DZU$1000000,2902,FALSE)</f>
        <v>#N/A</v>
      </c>
      <c r="L171" s="93" t="e">
        <f>VLOOKUP(A1,DIV_13Data!$A$1:$DZU$1000000,2903,FALSE)</f>
        <v>#N/A</v>
      </c>
      <c r="M171" s="33" t="e">
        <f>VLOOKUP(A1,DIV_13Data!$A$1:$DZU$1000000,2904,FALSE)</f>
        <v>#N/A</v>
      </c>
      <c r="N171" s="34" t="e">
        <f>VLOOKUP(A1,DIV_13Data!$A$1:$DZU$1000000,2905,FALSE)</f>
        <v>#N/A</v>
      </c>
      <c r="O171" s="33" t="e">
        <f>VLOOKUP(A1,DIV_13Data!$A$1:$DZU$1000000,2906,FALSE)</f>
        <v>#N/A</v>
      </c>
      <c r="P171" s="46" t="e">
        <f>VLOOKUP(A1,DIV_13Data!$A$1:$DZU$1000000,2907,FALSE)</f>
        <v>#N/A</v>
      </c>
      <c r="Q171" s="33" t="e">
        <f>VLOOKUP(A1,DIV_13Data!$A$1:$DZU$1000000,2908,FALSE)</f>
        <v>#N/A</v>
      </c>
    </row>
    <row r="172" spans="1:17" x14ac:dyDescent="0.35">
      <c r="A172" s="22" t="e">
        <f>VLOOKUP(A1,DIV_13Data!$A$1:$DZU$1000000,2909,FALSE)</f>
        <v>#N/A</v>
      </c>
      <c r="B172" s="37" t="e">
        <f>VLOOKUP(A1,DIV_13Data!$A$1:$DZU$1000000,2910,FALSE)</f>
        <v>#N/A</v>
      </c>
      <c r="C172" s="38" t="e">
        <f>VLOOKUP(A1,DIV_13Data!$A$1:$DZU$1000000,2911,FALSE)</f>
        <v>#N/A</v>
      </c>
      <c r="D172" s="31" t="e">
        <f>VLOOKUP(A1,DIV_13Data!$A$1:$DZU$1000000,2912,FALSE)</f>
        <v>#N/A</v>
      </c>
      <c r="E172" s="32" t="e">
        <f>VLOOKUP(A1,DIV_13Data!$A$1:$DZU$1000000,2913,FALSE)</f>
        <v>#N/A</v>
      </c>
      <c r="F172" s="34" t="e">
        <f>VLOOKUP(A1,DIV_13Data!$A$1:$DZU$1000000,2914,FALSE)</f>
        <v>#N/A</v>
      </c>
      <c r="G172" s="33" t="e">
        <f>VLOOKUP(A1,DIV_13Data!$A$1:$DZU$1000000,2915,FALSE)</f>
        <v>#N/A</v>
      </c>
      <c r="H172" s="34" t="e">
        <f>VLOOKUP(A1,DIV_13Data!$A$1:$DZU$1000000,2916,FALSE)</f>
        <v>#N/A</v>
      </c>
      <c r="I172" s="33" t="e">
        <f>VLOOKUP(A1,DIV_13Data!$A$1:$DZU$1000000,2917,FALSE)</f>
        <v>#N/A</v>
      </c>
      <c r="J172" s="34" t="e">
        <f>VLOOKUP(A1,DIV_13Data!$A$1:$DZU$1000000,2918,FALSE)</f>
        <v>#N/A</v>
      </c>
      <c r="K172" s="34" t="e">
        <f>VLOOKUP(A1,DIV_13Data!$A$1:$DZU$1000000,2919,FALSE)</f>
        <v>#N/A</v>
      </c>
      <c r="L172" s="93" t="e">
        <f>VLOOKUP(A1,DIV_13Data!$A$1:$DZU$1000000,2920,FALSE)</f>
        <v>#N/A</v>
      </c>
      <c r="M172" s="33" t="e">
        <f>VLOOKUP(A1,DIV_13Data!$A$1:$DZU$1000000,2921,FALSE)</f>
        <v>#N/A</v>
      </c>
      <c r="N172" s="34" t="e">
        <f>VLOOKUP(A1,DIV_13Data!$A$1:$DZU$1000000,2922,FALSE)</f>
        <v>#N/A</v>
      </c>
      <c r="O172" s="33" t="e">
        <f>VLOOKUP(A1,DIV_13Data!$A$1:$DZU$1000000,2923,FALSE)</f>
        <v>#N/A</v>
      </c>
      <c r="P172" s="46" t="e">
        <f>VLOOKUP(A1,DIV_13Data!$A$1:$DZU$1000000,2924,FALSE)</f>
        <v>#N/A</v>
      </c>
      <c r="Q172" s="33" t="e">
        <f>VLOOKUP(A1,DIV_13Data!$A$1:$DZU$1000000,2925,FALSE)</f>
        <v>#N/A</v>
      </c>
    </row>
    <row r="173" spans="1:17" x14ac:dyDescent="0.35">
      <c r="A173" s="22" t="e">
        <f>VLOOKUP(A1,DIV_13Data!$A$1:$DZU$1000000,2926,FALSE)</f>
        <v>#N/A</v>
      </c>
      <c r="B173" s="37" t="e">
        <f>VLOOKUP(A1,DIV_13Data!$A$1:$DZU$1000000,2927,FALSE)</f>
        <v>#N/A</v>
      </c>
      <c r="C173" s="38" t="e">
        <f>VLOOKUP(A1,DIV_13Data!$A$1:$DZU$1000000,2928,FALSE)</f>
        <v>#N/A</v>
      </c>
      <c r="D173" s="31" t="e">
        <f>VLOOKUP(A1,DIV_13Data!$A$1:$DZU$1000000,2929,FALSE)</f>
        <v>#N/A</v>
      </c>
      <c r="E173" s="32" t="e">
        <f>VLOOKUP(A1,DIV_13Data!$A$1:$DZU$1000000,2930,FALSE)</f>
        <v>#N/A</v>
      </c>
      <c r="F173" s="34" t="e">
        <f>VLOOKUP(A1,DIV_13Data!$A$1:$DZU$1000000,2931,FALSE)</f>
        <v>#N/A</v>
      </c>
      <c r="G173" s="33" t="e">
        <f>VLOOKUP(A1,DIV_13Data!$A$1:$DZU$1000000,2932,FALSE)</f>
        <v>#N/A</v>
      </c>
      <c r="H173" s="34" t="e">
        <f>VLOOKUP(A1,DIV_13Data!$A$1:$DZU$1000000,2933,FALSE)</f>
        <v>#N/A</v>
      </c>
      <c r="I173" s="33" t="e">
        <f>VLOOKUP(A1,DIV_13Data!$A$1:$DZU$1000000,2934,FALSE)</f>
        <v>#N/A</v>
      </c>
      <c r="J173" s="34" t="e">
        <f>VLOOKUP(A1,DIV_13Data!$A$1:$DZU$1000000,2935,FALSE)</f>
        <v>#N/A</v>
      </c>
      <c r="K173" s="34" t="e">
        <f>VLOOKUP(A1,DIV_13Data!$A$1:$DZU$1000000,2936,FALSE)</f>
        <v>#N/A</v>
      </c>
      <c r="L173" s="93" t="e">
        <f>VLOOKUP(A1,DIV_13Data!$A$1:$DZU$1000000,2937,FALSE)</f>
        <v>#N/A</v>
      </c>
      <c r="M173" s="33" t="e">
        <f>VLOOKUP(A1,DIV_13Data!$A$1:$DZU$1000000,2938,FALSE)</f>
        <v>#N/A</v>
      </c>
      <c r="N173" s="34" t="e">
        <f>VLOOKUP(A1,DIV_13Data!$A$1:$DZU$1000000,2939,FALSE)</f>
        <v>#N/A</v>
      </c>
      <c r="O173" s="33" t="e">
        <f>VLOOKUP(A1,DIV_13Data!$A$1:$DZU$1000000,2940,FALSE)</f>
        <v>#N/A</v>
      </c>
      <c r="P173" s="46" t="e">
        <f>VLOOKUP(A1,DIV_13Data!$A$1:$DZU$1000000,2941,FALSE)</f>
        <v>#N/A</v>
      </c>
      <c r="Q173" s="33" t="e">
        <f>VLOOKUP(A1,DIV_13Data!$A$1:$DZU$1000000,2942,FALSE)</f>
        <v>#N/A</v>
      </c>
    </row>
    <row r="174" spans="1:17" x14ac:dyDescent="0.35">
      <c r="A174" s="22" t="e">
        <f>VLOOKUP(A1,DIV_13Data!$A$1:$DZU$1000000,2943,FALSE)</f>
        <v>#N/A</v>
      </c>
      <c r="B174" s="37" t="e">
        <f>VLOOKUP(A1,DIV_13Data!$A$1:$DZU$1000000,2944,FALSE)</f>
        <v>#N/A</v>
      </c>
      <c r="C174" s="38" t="e">
        <f>VLOOKUP(A1,DIV_13Data!$A$1:$DZU$1000000,2945,FALSE)</f>
        <v>#N/A</v>
      </c>
      <c r="D174" s="31" t="e">
        <f>VLOOKUP(A1,DIV_13Data!$A$1:$DZU$1000000,2946,FALSE)</f>
        <v>#N/A</v>
      </c>
      <c r="E174" s="32" t="e">
        <f>VLOOKUP(A1,DIV_13Data!$A$1:$DZU$1000000,2947,FALSE)</f>
        <v>#N/A</v>
      </c>
      <c r="F174" s="34" t="e">
        <f>VLOOKUP(A1,DIV_13Data!$A$1:$DZU$1000000,2948,FALSE)</f>
        <v>#N/A</v>
      </c>
      <c r="G174" s="33" t="e">
        <f>VLOOKUP(A1,DIV_13Data!$A$1:$DZU$1000000,2949,FALSE)</f>
        <v>#N/A</v>
      </c>
      <c r="H174" s="34" t="e">
        <f>VLOOKUP(A1,DIV_13Data!$A$1:$DZU$1000000,2950,FALSE)</f>
        <v>#N/A</v>
      </c>
      <c r="I174" s="33" t="e">
        <f>VLOOKUP(A1,DIV_13Data!$A$1:$DZU$1000000,2951,FALSE)</f>
        <v>#N/A</v>
      </c>
      <c r="J174" s="34" t="e">
        <f>VLOOKUP(A1,DIV_13Data!$A$1:$DZU$1000000,2952,FALSE)</f>
        <v>#N/A</v>
      </c>
      <c r="K174" s="34" t="e">
        <f>VLOOKUP(A1,DIV_13Data!$A$1:$DZU$1000000,2953,FALSE)</f>
        <v>#N/A</v>
      </c>
      <c r="L174" s="93" t="e">
        <f>VLOOKUP(A1,DIV_13Data!$A$1:$DZU$1000000,2954,FALSE)</f>
        <v>#N/A</v>
      </c>
      <c r="M174" s="33" t="e">
        <f>VLOOKUP(A1,DIV_13Data!$A$1:$DZU$1000000,2955,FALSE)</f>
        <v>#N/A</v>
      </c>
      <c r="N174" s="34" t="e">
        <f>VLOOKUP(A1,DIV_13Data!$A$1:$DZU$1000000,2956,FALSE)</f>
        <v>#N/A</v>
      </c>
      <c r="O174" s="33" t="e">
        <f>VLOOKUP(A1,DIV_13Data!$A$1:$DZU$1000000,2957,FALSE)</f>
        <v>#N/A</v>
      </c>
      <c r="P174" s="46" t="e">
        <f>VLOOKUP(A1,DIV_13Data!$A$1:$DZU$1000000,2958,FALSE)</f>
        <v>#N/A</v>
      </c>
      <c r="Q174" s="33" t="e">
        <f>VLOOKUP(A1,DIV_13Data!$A$1:$DZU$1000000,2959,FALSE)</f>
        <v>#N/A</v>
      </c>
    </row>
    <row r="175" spans="1:17" x14ac:dyDescent="0.35">
      <c r="A175" s="22" t="e">
        <f>VLOOKUP(A1,DIV_13Data!$A$1:$DZU$1000000,2960,FALSE)</f>
        <v>#N/A</v>
      </c>
      <c r="B175" s="37" t="e">
        <f>VLOOKUP(A1,DIV_13Data!$A$1:$DZU$1000000,2961,FALSE)</f>
        <v>#N/A</v>
      </c>
      <c r="C175" s="38" t="e">
        <f>VLOOKUP(A1,DIV_13Data!$A$1:$DZU$1000000,2962,FALSE)</f>
        <v>#N/A</v>
      </c>
      <c r="D175" s="31" t="e">
        <f>VLOOKUP(A1,DIV_13Data!$A$1:$DZU$1000000,2963,FALSE)</f>
        <v>#N/A</v>
      </c>
      <c r="E175" s="32" t="e">
        <f>VLOOKUP(A1,DIV_13Data!$A$1:$DZU$1000000,2964,FALSE)</f>
        <v>#N/A</v>
      </c>
      <c r="F175" s="34" t="e">
        <f>VLOOKUP(A1,DIV_13Data!$A$1:$DZU$1000000,2965,FALSE)</f>
        <v>#N/A</v>
      </c>
      <c r="G175" s="33" t="e">
        <f>VLOOKUP(A1,DIV_13Data!$A$1:$DZU$1000000,2966,FALSE)</f>
        <v>#N/A</v>
      </c>
      <c r="H175" s="34" t="e">
        <f>VLOOKUP(A1,DIV_13Data!$A$1:$DZU$1000000,2967,FALSE)</f>
        <v>#N/A</v>
      </c>
      <c r="I175" s="33" t="e">
        <f>VLOOKUP(A1,DIV_13Data!$A$1:$DZU$1000000,2968,FALSE)</f>
        <v>#N/A</v>
      </c>
      <c r="J175" s="34" t="e">
        <f>VLOOKUP(A1,DIV_13Data!$A$1:$DZU$1000000,2969,FALSE)</f>
        <v>#N/A</v>
      </c>
      <c r="K175" s="34" t="e">
        <f>VLOOKUP(A1,DIV_13Data!$A$1:$DZU$1000000,2970,FALSE)</f>
        <v>#N/A</v>
      </c>
      <c r="L175" s="93" t="e">
        <f>VLOOKUP(A1,DIV_13Data!$A$1:$DZU$1000000,2971,FALSE)</f>
        <v>#N/A</v>
      </c>
      <c r="M175" s="33" t="e">
        <f>VLOOKUP(A1,DIV_13Data!$A$1:$DZU$1000000,2972,FALSE)</f>
        <v>#N/A</v>
      </c>
      <c r="N175" s="34" t="e">
        <f>VLOOKUP(A1,DIV_13Data!$A$1:$DZU$1000000,2973,FALSE)</f>
        <v>#N/A</v>
      </c>
      <c r="O175" s="33" t="e">
        <f>VLOOKUP(A1,DIV_13Data!$A$1:$DZU$1000000,2974,FALSE)</f>
        <v>#N/A</v>
      </c>
      <c r="P175" s="46" t="e">
        <f>VLOOKUP(A1,DIV_13Data!$A$1:$DZU$1000000,2975,FALSE)</f>
        <v>#N/A</v>
      </c>
      <c r="Q175" s="33" t="e">
        <f>VLOOKUP(A1,DIV_13Data!$A$1:$DZU$1000000,2976,FALSE)</f>
        <v>#N/A</v>
      </c>
    </row>
    <row r="176" spans="1:17" x14ac:dyDescent="0.35">
      <c r="A176" s="22" t="e">
        <f>VLOOKUP(A1,DIV_13Data!$A$1:$DZU$1000000,2977,FALSE)</f>
        <v>#N/A</v>
      </c>
      <c r="B176" s="37" t="e">
        <f>VLOOKUP(A1,DIV_13Data!$A$1:$DZU$1000000,2978,FALSE)</f>
        <v>#N/A</v>
      </c>
      <c r="C176" s="38" t="e">
        <f>VLOOKUP(A1,DIV_13Data!$A$1:$DZU$1000000,2979,FALSE)</f>
        <v>#N/A</v>
      </c>
      <c r="D176" s="31" t="e">
        <f>VLOOKUP(A1,DIV_13Data!$A$1:$DZU$1000000,2980,FALSE)</f>
        <v>#N/A</v>
      </c>
      <c r="E176" s="32" t="e">
        <f>VLOOKUP(A1,DIV_13Data!$A$1:$DZU$1000000,2981,FALSE)</f>
        <v>#N/A</v>
      </c>
      <c r="F176" s="34" t="e">
        <f>VLOOKUP(A1,DIV_13Data!$A$1:$DZU$1000000,2982,FALSE)</f>
        <v>#N/A</v>
      </c>
      <c r="G176" s="33" t="e">
        <f>VLOOKUP(A1,DIV_13Data!$A$1:$DZU$1000000,2983,FALSE)</f>
        <v>#N/A</v>
      </c>
      <c r="H176" s="34" t="e">
        <f>VLOOKUP(A1,DIV_13Data!$A$1:$DZU$1000000,2984,FALSE)</f>
        <v>#N/A</v>
      </c>
      <c r="I176" s="33" t="e">
        <f>VLOOKUP(A1,DIV_13Data!$A$1:$DZU$1000000,2985,FALSE)</f>
        <v>#N/A</v>
      </c>
      <c r="J176" s="34" t="e">
        <f>VLOOKUP(A1,DIV_13Data!$A$1:$DZU$1000000,2986,FALSE)</f>
        <v>#N/A</v>
      </c>
      <c r="K176" s="34" t="e">
        <f>VLOOKUP(A1,DIV_13Data!$A$1:$DZU$1000000,2987,FALSE)</f>
        <v>#N/A</v>
      </c>
      <c r="L176" s="93" t="e">
        <f>VLOOKUP(A1,DIV_13Data!$A$1:$DZU$1000000,2988,FALSE)</f>
        <v>#N/A</v>
      </c>
      <c r="M176" s="33" t="e">
        <f>VLOOKUP(A1,DIV_13Data!$A$1:$DZU$1000000,2989,FALSE)</f>
        <v>#N/A</v>
      </c>
      <c r="N176" s="34" t="e">
        <f>VLOOKUP(A1,DIV_13Data!$A$1:$DZU$1000000,2990,FALSE)</f>
        <v>#N/A</v>
      </c>
      <c r="O176" s="33" t="e">
        <f>VLOOKUP(A1,DIV_13Data!$A$1:$DZU$1000000,2991,FALSE)</f>
        <v>#N/A</v>
      </c>
      <c r="P176" s="46" t="e">
        <f>VLOOKUP(A1,DIV_13Data!$A$1:$DZU$1000000,2992,FALSE)</f>
        <v>#N/A</v>
      </c>
      <c r="Q176" s="33" t="e">
        <f>VLOOKUP(A1,DIV_13Data!$A$1:$DZU$1000000,2993,FALSE)</f>
        <v>#N/A</v>
      </c>
    </row>
    <row r="177" spans="1:17" x14ac:dyDescent="0.35">
      <c r="A177" s="22" t="e">
        <f>VLOOKUP(A1,DIV_13Data!$A$1:$DZU$1000000,2994,FALSE)</f>
        <v>#N/A</v>
      </c>
      <c r="B177" s="37" t="e">
        <f>VLOOKUP(A1,DIV_13Data!$A$1:$DZU$1000000,2995,FALSE)</f>
        <v>#N/A</v>
      </c>
      <c r="C177" s="38" t="e">
        <f>VLOOKUP(A1,DIV_13Data!$A$1:$DZU$1000000,2996,FALSE)</f>
        <v>#N/A</v>
      </c>
      <c r="D177" s="31" t="e">
        <f>VLOOKUP(A1,DIV_13Data!$A$1:$DZU$1000000,2997,FALSE)</f>
        <v>#N/A</v>
      </c>
      <c r="E177" s="32" t="e">
        <f>VLOOKUP(A1,DIV_13Data!$A$1:$DZU$1000000,2998,FALSE)</f>
        <v>#N/A</v>
      </c>
      <c r="F177" s="34" t="e">
        <f>VLOOKUP(A1,DIV_13Data!$A$1:$DZU$1000000,2999,FALSE)</f>
        <v>#N/A</v>
      </c>
      <c r="G177" s="33" t="e">
        <f>VLOOKUP(A1,DIV_13Data!$A$1:$DZU$1000000,3000,FALSE)</f>
        <v>#N/A</v>
      </c>
      <c r="H177" s="34" t="e">
        <f>VLOOKUP(A1,DIV_13Data!$A$1:$DZU$1000000,3001,FALSE)</f>
        <v>#N/A</v>
      </c>
      <c r="I177" s="33" t="e">
        <f>VLOOKUP(A1,DIV_13Data!$A$1:$DZU$1000000,3002,FALSE)</f>
        <v>#N/A</v>
      </c>
      <c r="J177" s="34" t="e">
        <f>VLOOKUP(A1,DIV_13Data!$A$1:$DZU$1000000,3003,FALSE)</f>
        <v>#N/A</v>
      </c>
      <c r="K177" s="34" t="e">
        <f>VLOOKUP(A1,DIV_13Data!$A$1:$DZU$1000000,3004,FALSE)</f>
        <v>#N/A</v>
      </c>
      <c r="L177" s="93" t="e">
        <f>VLOOKUP(A1,DIV_13Data!$A$1:$DZU$1000000,3005,FALSE)</f>
        <v>#N/A</v>
      </c>
      <c r="M177" s="33" t="e">
        <f>VLOOKUP(A1,DIV_13Data!$A$1:$DZU$1000000,3006,FALSE)</f>
        <v>#N/A</v>
      </c>
      <c r="N177" s="34" t="e">
        <f>VLOOKUP(A1,DIV_13Data!$A$1:$DZU$1000000,3007,FALSE)</f>
        <v>#N/A</v>
      </c>
      <c r="O177" s="33" t="e">
        <f>VLOOKUP(A1,DIV_13Data!$A$1:$DZU$1000000,3008,FALSE)</f>
        <v>#N/A</v>
      </c>
      <c r="P177" s="46" t="e">
        <f>VLOOKUP(A1,DIV_13Data!$A$1:$DZU$1000000,3009,FALSE)</f>
        <v>#N/A</v>
      </c>
      <c r="Q177" s="33" t="e">
        <f>VLOOKUP(A1,DIV_13Data!$A$1:$DZU$1000000,3010,FALSE)</f>
        <v>#N/A</v>
      </c>
    </row>
    <row r="178" spans="1:17" x14ac:dyDescent="0.35">
      <c r="A178" s="22" t="e">
        <f>VLOOKUP(A1,DIV_13Data!$A$1:$DZU$1000000,3011,FALSE)</f>
        <v>#N/A</v>
      </c>
      <c r="B178" s="37" t="e">
        <f>VLOOKUP(A1,DIV_13Data!$A$1:$DZU$1000000,3012,FALSE)</f>
        <v>#N/A</v>
      </c>
      <c r="C178" s="38" t="e">
        <f>VLOOKUP(A1,DIV_13Data!$A$1:$DZU$1000000,3013,FALSE)</f>
        <v>#N/A</v>
      </c>
      <c r="D178" s="31" t="e">
        <f>VLOOKUP(A1,DIV_13Data!$A$1:$DZU$1000000,3014,FALSE)</f>
        <v>#N/A</v>
      </c>
      <c r="E178" s="32" t="e">
        <f>VLOOKUP(A1,DIV_13Data!$A$1:$DZU$1000000,3015,FALSE)</f>
        <v>#N/A</v>
      </c>
      <c r="F178" s="34" t="e">
        <f>VLOOKUP(A1,DIV_13Data!$A$1:$DZU$1000000,3016,FALSE)</f>
        <v>#N/A</v>
      </c>
      <c r="G178" s="33" t="e">
        <f>VLOOKUP(A1,DIV_13Data!$A$1:$DZU$1000000,3017,FALSE)</f>
        <v>#N/A</v>
      </c>
      <c r="H178" s="34" t="e">
        <f>VLOOKUP(A1,DIV_13Data!$A$1:$DZU$1000000,3018,FALSE)</f>
        <v>#N/A</v>
      </c>
      <c r="I178" s="33" t="e">
        <f>VLOOKUP(A1,DIV_13Data!$A$1:$DZU$1000000,3019,FALSE)</f>
        <v>#N/A</v>
      </c>
      <c r="J178" s="34" t="e">
        <f>VLOOKUP(A1,DIV_13Data!$A$1:$DZU$1000000,3020,FALSE)</f>
        <v>#N/A</v>
      </c>
      <c r="K178" s="34" t="e">
        <f>VLOOKUP(A1,DIV_13Data!$A$1:$DZU$1000000,3021,FALSE)</f>
        <v>#N/A</v>
      </c>
      <c r="L178" s="93" t="e">
        <f>VLOOKUP(A1,DIV_13Data!$A$1:$DZU$1000000,3022,FALSE)</f>
        <v>#N/A</v>
      </c>
      <c r="M178" s="33" t="e">
        <f>VLOOKUP(A1,DIV_13Data!$A$1:$DZU$1000000,3023,FALSE)</f>
        <v>#N/A</v>
      </c>
      <c r="N178" s="34" t="e">
        <f>VLOOKUP(A1,DIV_13Data!$A$1:$DZU$1000000,3024,FALSE)</f>
        <v>#N/A</v>
      </c>
      <c r="O178" s="33" t="e">
        <f>VLOOKUP(A1,DIV_13Data!$A$1:$DZU$1000000,3025,FALSE)</f>
        <v>#N/A</v>
      </c>
      <c r="P178" s="46" t="e">
        <f>VLOOKUP(A1,DIV_13Data!$A$1:$DZU$1000000,3026,FALSE)</f>
        <v>#N/A</v>
      </c>
      <c r="Q178" s="33" t="e">
        <f>VLOOKUP(A1,DIV_13Data!$A$1:$DZU$1000000,3027,FALSE)</f>
        <v>#N/A</v>
      </c>
    </row>
    <row r="179" spans="1:17" x14ac:dyDescent="0.35">
      <c r="A179" s="22" t="e">
        <f>VLOOKUP(A1,DIV_13Data!$A$1:$DZU$1000000,3028,FALSE)</f>
        <v>#N/A</v>
      </c>
      <c r="B179" s="37" t="e">
        <f>VLOOKUP(A1,DIV_13Data!$A$1:$DZU$1000000,3029,FALSE)</f>
        <v>#N/A</v>
      </c>
      <c r="C179" s="38" t="e">
        <f>VLOOKUP(A1,DIV_13Data!$A$1:$DZU$1000000,3030,FALSE)</f>
        <v>#N/A</v>
      </c>
      <c r="D179" s="31" t="e">
        <f>VLOOKUP(A1,DIV_13Data!$A$1:$DZU$1000000,3031,FALSE)</f>
        <v>#N/A</v>
      </c>
      <c r="E179" s="32" t="e">
        <f>VLOOKUP(A1,DIV_13Data!$A$1:$DZU$1000000,3032,FALSE)</f>
        <v>#N/A</v>
      </c>
      <c r="F179" s="34" t="e">
        <f>VLOOKUP(A1,DIV_13Data!$A$1:$DZU$1000000,3033,FALSE)</f>
        <v>#N/A</v>
      </c>
      <c r="G179" s="33" t="e">
        <f>VLOOKUP(A1,DIV_13Data!$A$1:$DZU$1000000,3034,FALSE)</f>
        <v>#N/A</v>
      </c>
      <c r="H179" s="34" t="e">
        <f>VLOOKUP(A1,DIV_13Data!$A$1:$DZU$1000000,3035,FALSE)</f>
        <v>#N/A</v>
      </c>
      <c r="I179" s="33" t="e">
        <f>VLOOKUP(A1,DIV_13Data!$A$1:$DZU$1000000,3036,FALSE)</f>
        <v>#N/A</v>
      </c>
      <c r="J179" s="34" t="e">
        <f>VLOOKUP(A1,DIV_13Data!$A$1:$DZU$1000000,3037,FALSE)</f>
        <v>#N/A</v>
      </c>
      <c r="K179" s="34" t="e">
        <f>VLOOKUP(A1,DIV_13Data!$A$1:$DZU$1000000,3038,FALSE)</f>
        <v>#N/A</v>
      </c>
      <c r="L179" s="93" t="e">
        <f>VLOOKUP(A1,DIV_13Data!$A$1:$DZU$1000000,3039,FALSE)</f>
        <v>#N/A</v>
      </c>
      <c r="M179" s="33" t="e">
        <f>VLOOKUP(A1,DIV_13Data!$A$1:$DZU$1000000,3040,FALSE)</f>
        <v>#N/A</v>
      </c>
      <c r="N179" s="34" t="e">
        <f>VLOOKUP(A1,DIV_13Data!$A$1:$DZU$1000000,3041,FALSE)</f>
        <v>#N/A</v>
      </c>
      <c r="O179" s="33" t="e">
        <f>VLOOKUP(A1,DIV_13Data!$A$1:$DZU$1000000,3042,FALSE)</f>
        <v>#N/A</v>
      </c>
      <c r="P179" s="46" t="e">
        <f>VLOOKUP(A1,DIV_13Data!$A$1:$DZU$1000000,3043,FALSE)</f>
        <v>#N/A</v>
      </c>
      <c r="Q179" s="33" t="e">
        <f>VLOOKUP(A1,DIV_13Data!$A$1:$DZU$1000000,3044,FALSE)</f>
        <v>#N/A</v>
      </c>
    </row>
    <row r="180" spans="1:17" x14ac:dyDescent="0.35">
      <c r="A180" s="22" t="e">
        <f>VLOOKUP(A1,DIV_13Data!$A$1:$DZU$1000000,3045,FALSE)</f>
        <v>#N/A</v>
      </c>
      <c r="B180" s="37" t="e">
        <f>VLOOKUP(A1,DIV_13Data!$A$1:$DZU$1000000,3046,FALSE)</f>
        <v>#N/A</v>
      </c>
      <c r="C180" s="38" t="e">
        <f>VLOOKUP(A1,DIV_13Data!$A$1:$DZU$1000000,3047,FALSE)</f>
        <v>#N/A</v>
      </c>
      <c r="D180" s="31" t="e">
        <f>VLOOKUP(A1,DIV_13Data!$A$1:$DZU$1000000,3048,FALSE)</f>
        <v>#N/A</v>
      </c>
      <c r="E180" s="32" t="e">
        <f>VLOOKUP(A1,DIV_13Data!$A$1:$DZU$1000000,3049,FALSE)</f>
        <v>#N/A</v>
      </c>
      <c r="F180" s="34" t="e">
        <f>VLOOKUP(A1,DIV_13Data!$A$1:$DZU$1000000,3050,FALSE)</f>
        <v>#N/A</v>
      </c>
      <c r="G180" s="33" t="e">
        <f>VLOOKUP(A1,DIV_13Data!$A$1:$DZU$1000000,3051,FALSE)</f>
        <v>#N/A</v>
      </c>
      <c r="H180" s="34" t="e">
        <f>VLOOKUP(A1,DIV_13Data!$A$1:$DZU$1000000,3052,FALSE)</f>
        <v>#N/A</v>
      </c>
      <c r="I180" s="33" t="e">
        <f>VLOOKUP(A1,DIV_13Data!$A$1:$DZU$1000000,3053,FALSE)</f>
        <v>#N/A</v>
      </c>
      <c r="J180" s="34" t="e">
        <f>VLOOKUP(A1,DIV_13Data!$A$1:$DZU$1000000,3054,FALSE)</f>
        <v>#N/A</v>
      </c>
      <c r="K180" s="34" t="e">
        <f>VLOOKUP(A1,DIV_13Data!$A$1:$DZU$1000000,3055,FALSE)</f>
        <v>#N/A</v>
      </c>
      <c r="L180" s="93" t="e">
        <f>VLOOKUP(A1,DIV_13Data!$A$1:$DZU$1000000,3056,FALSE)</f>
        <v>#N/A</v>
      </c>
      <c r="M180" s="33" t="e">
        <f>VLOOKUP(A1,DIV_13Data!$A$1:$DZU$1000000,3057,FALSE)</f>
        <v>#N/A</v>
      </c>
      <c r="N180" s="34" t="e">
        <f>VLOOKUP(A1,DIV_13Data!$A$1:$DZU$1000000,3058,FALSE)</f>
        <v>#N/A</v>
      </c>
      <c r="O180" s="33" t="e">
        <f>VLOOKUP(A1,DIV_13Data!$A$1:$DZU$1000000,3059,FALSE)</f>
        <v>#N/A</v>
      </c>
      <c r="P180" s="46" t="e">
        <f>VLOOKUP(A1,DIV_13Data!$A$1:$DZU$1000000,3060,FALSE)</f>
        <v>#N/A</v>
      </c>
      <c r="Q180" s="33" t="e">
        <f>VLOOKUP(A1,DIV_13Data!$A$1:$DZU$1000000,3061,FALSE)</f>
        <v>#N/A</v>
      </c>
    </row>
    <row r="181" spans="1:17" x14ac:dyDescent="0.35">
      <c r="A181" s="22" t="e">
        <f>VLOOKUP(A1,DIV_13Data!$A$1:$DZU$1000000,3062,FALSE)</f>
        <v>#N/A</v>
      </c>
      <c r="B181" s="37" t="e">
        <f>VLOOKUP(A1,DIV_13Data!$A$1:$DZU$1000000,3063,FALSE)</f>
        <v>#N/A</v>
      </c>
      <c r="C181" s="38" t="e">
        <f>VLOOKUP(A1,DIV_13Data!$A$1:$DZU$1000000,3064,FALSE)</f>
        <v>#N/A</v>
      </c>
      <c r="D181" s="31" t="e">
        <f>VLOOKUP(A1,DIV_13Data!$A$1:$DZU$1000000,3065,FALSE)</f>
        <v>#N/A</v>
      </c>
      <c r="E181" s="32" t="e">
        <f>VLOOKUP(A1,DIV_13Data!$A$1:$DZU$1000000,3066,FALSE)</f>
        <v>#N/A</v>
      </c>
      <c r="F181" s="34" t="e">
        <f>VLOOKUP(A1,DIV_13Data!$A$1:$DZU$1000000,3067,FALSE)</f>
        <v>#N/A</v>
      </c>
      <c r="G181" s="33" t="e">
        <f>VLOOKUP(A1,DIV_13Data!$A$1:$DZU$1000000,3068,FALSE)</f>
        <v>#N/A</v>
      </c>
      <c r="H181" s="34" t="e">
        <f>VLOOKUP(A1,DIV_13Data!$A$1:$DZU$1000000,3069,FALSE)</f>
        <v>#N/A</v>
      </c>
      <c r="I181" s="33" t="e">
        <f>VLOOKUP(A1,DIV_13Data!$A$1:$DZU$1000000,3070,FALSE)</f>
        <v>#N/A</v>
      </c>
      <c r="J181" s="34" t="e">
        <f>VLOOKUP(A1,DIV_13Data!$A$1:$DZU$1000000,3071,FALSE)</f>
        <v>#N/A</v>
      </c>
      <c r="K181" s="34" t="e">
        <f>VLOOKUP(A1,DIV_13Data!$A$1:$DZU$1000000,3072,FALSE)</f>
        <v>#N/A</v>
      </c>
      <c r="L181" s="93" t="e">
        <f>VLOOKUP(A1,DIV_13Data!$A$1:$DZU$1000000,3073,FALSE)</f>
        <v>#N/A</v>
      </c>
      <c r="M181" s="33" t="e">
        <f>VLOOKUP(A1,DIV_13Data!$A$1:$DZU$1000000,3074,FALSE)</f>
        <v>#N/A</v>
      </c>
      <c r="N181" s="34" t="e">
        <f>VLOOKUP(A1,DIV_13Data!$A$1:$DZU$1000000,3075,FALSE)</f>
        <v>#N/A</v>
      </c>
      <c r="O181" s="33" t="e">
        <f>VLOOKUP(A1,DIV_13Data!$A$1:$DZU$1000000,3076,FALSE)</f>
        <v>#N/A</v>
      </c>
      <c r="P181" s="46" t="e">
        <f>VLOOKUP(A1,DIV_13Data!$A$1:$DZU$1000000,3077,FALSE)</f>
        <v>#N/A</v>
      </c>
      <c r="Q181" s="33" t="e">
        <f>VLOOKUP(A1,DIV_13Data!$A$1:$DZU$1000000,3078,FALSE)</f>
        <v>#N/A</v>
      </c>
    </row>
    <row r="182" spans="1:17" x14ac:dyDescent="0.35">
      <c r="A182" s="22" t="e">
        <f>VLOOKUP(A1,DIV_13Data!$A$1:$DZU$1000000,3079,FALSE)</f>
        <v>#N/A</v>
      </c>
      <c r="B182" s="37" t="e">
        <f>VLOOKUP(A1,DIV_13Data!$A$1:$DZU$1000000,3080,FALSE)</f>
        <v>#N/A</v>
      </c>
      <c r="C182" s="38" t="e">
        <f>VLOOKUP(A1,DIV_13Data!$A$1:$DZU$1000000,3081,FALSE)</f>
        <v>#N/A</v>
      </c>
      <c r="D182" s="31" t="e">
        <f>VLOOKUP(A1,DIV_13Data!$A$1:$DZU$1000000,3082,FALSE)</f>
        <v>#N/A</v>
      </c>
      <c r="E182" s="32" t="e">
        <f>VLOOKUP(A1,DIV_13Data!$A$1:$DZU$1000000,3083,FALSE)</f>
        <v>#N/A</v>
      </c>
      <c r="F182" s="34" t="e">
        <f>VLOOKUP(A1,DIV_13Data!$A$1:$DZU$1000000,3084,FALSE)</f>
        <v>#N/A</v>
      </c>
      <c r="G182" s="33" t="e">
        <f>VLOOKUP(A1,DIV_13Data!$A$1:$DZU$1000000,3085,FALSE)</f>
        <v>#N/A</v>
      </c>
      <c r="H182" s="34" t="e">
        <f>VLOOKUP(A1,DIV_13Data!$A$1:$DZU$1000000,3086,FALSE)</f>
        <v>#N/A</v>
      </c>
      <c r="I182" s="33" t="e">
        <f>VLOOKUP(A1,DIV_13Data!$A$1:$DZU$1000000,3087,FALSE)</f>
        <v>#N/A</v>
      </c>
      <c r="J182" s="34" t="e">
        <f>VLOOKUP(A1,DIV_13Data!$A$1:$DZU$1000000,3088,FALSE)</f>
        <v>#N/A</v>
      </c>
      <c r="K182" s="34" t="e">
        <f>VLOOKUP(A1,DIV_13Data!$A$1:$DZU$1000000,3089,FALSE)</f>
        <v>#N/A</v>
      </c>
      <c r="L182" s="93" t="e">
        <f>VLOOKUP(A1,DIV_13Data!$A$1:$DZU$1000000,3090,FALSE)</f>
        <v>#N/A</v>
      </c>
      <c r="M182" s="33" t="e">
        <f>VLOOKUP(A1,DIV_13Data!$A$1:$DZU$1000000,3091,FALSE)</f>
        <v>#N/A</v>
      </c>
      <c r="N182" s="34" t="e">
        <f>VLOOKUP(A1,DIV_13Data!$A$1:$DZU$1000000,3092,FALSE)</f>
        <v>#N/A</v>
      </c>
      <c r="O182" s="33" t="e">
        <f>VLOOKUP(A1,DIV_13Data!$A$1:$DZU$1000000,3093,FALSE)</f>
        <v>#N/A</v>
      </c>
      <c r="P182" s="46" t="e">
        <f>VLOOKUP(A1,DIV_13Data!$A$1:$DZU$1000000,3094,FALSE)</f>
        <v>#N/A</v>
      </c>
      <c r="Q182" s="33" t="e">
        <f>VLOOKUP(A1,DIV_13Data!$A$1:$DZU$1000000,3095,FALSE)</f>
        <v>#N/A</v>
      </c>
    </row>
    <row r="183" spans="1:17" x14ac:dyDescent="0.35">
      <c r="A183" s="22" t="e">
        <f>VLOOKUP(A1,DIV_13Data!$A$1:$DZU$1000000,3096,FALSE)</f>
        <v>#N/A</v>
      </c>
      <c r="B183" s="37" t="e">
        <f>VLOOKUP(A1,DIV_13Data!$A$1:$DZU$1000000,3097,FALSE)</f>
        <v>#N/A</v>
      </c>
      <c r="C183" s="38" t="e">
        <f>VLOOKUP(A1,DIV_13Data!$A$1:$DZU$1000000,3098,FALSE)</f>
        <v>#N/A</v>
      </c>
      <c r="D183" s="31" t="e">
        <f>VLOOKUP(A1,DIV_13Data!$A$1:$DZU$1000000,3099,FALSE)</f>
        <v>#N/A</v>
      </c>
      <c r="E183" s="32" t="e">
        <f>VLOOKUP(A1,DIV_13Data!$A$1:$DZU$1000000,3100,FALSE)</f>
        <v>#N/A</v>
      </c>
      <c r="F183" s="34" t="e">
        <f>VLOOKUP(A1,DIV_13Data!$A$1:$DZU$1000000,3101,FALSE)</f>
        <v>#N/A</v>
      </c>
      <c r="G183" s="33" t="e">
        <f>VLOOKUP(A1,DIV_13Data!$A$1:$DZU$1000000,3102,FALSE)</f>
        <v>#N/A</v>
      </c>
      <c r="H183" s="34" t="e">
        <f>VLOOKUP(A1,DIV_13Data!$A$1:$DZU$1000000,3103,FALSE)</f>
        <v>#N/A</v>
      </c>
      <c r="I183" s="33" t="e">
        <f>VLOOKUP(A1,DIV_13Data!$A$1:$DZU$1000000,3104,FALSE)</f>
        <v>#N/A</v>
      </c>
      <c r="J183" s="34" t="e">
        <f>VLOOKUP(A1,DIV_13Data!$A$1:$DZU$1000000,3105,FALSE)</f>
        <v>#N/A</v>
      </c>
      <c r="K183" s="34" t="e">
        <f>VLOOKUP(A1,DIV_13Data!$A$1:$DZU$1000000,3106,FALSE)</f>
        <v>#N/A</v>
      </c>
      <c r="L183" s="93" t="e">
        <f>VLOOKUP(A1,DIV_13Data!$A$1:$DZU$1000000,3107,FALSE)</f>
        <v>#N/A</v>
      </c>
      <c r="M183" s="33" t="e">
        <f>VLOOKUP(A1,DIV_13Data!$A$1:$DZU$1000000,3108,FALSE)</f>
        <v>#N/A</v>
      </c>
      <c r="N183" s="34" t="e">
        <f>VLOOKUP(A1,DIV_13Data!$A$1:$DZU$1000000,3109,FALSE)</f>
        <v>#N/A</v>
      </c>
      <c r="O183" s="33" t="e">
        <f>VLOOKUP(A1,DIV_13Data!$A$1:$DZU$1000000,3110,FALSE)</f>
        <v>#N/A</v>
      </c>
      <c r="P183" s="46" t="e">
        <f>VLOOKUP(A1,DIV_13Data!$A$1:$DZU$1000000,3111,FALSE)</f>
        <v>#N/A</v>
      </c>
      <c r="Q183" s="33" t="e">
        <f>VLOOKUP(A1,DIV_13Data!$A$1:$DZU$1000000,3112,FALSE)</f>
        <v>#N/A</v>
      </c>
    </row>
    <row r="184" spans="1:17" x14ac:dyDescent="0.35">
      <c r="A184" s="22" t="e">
        <f>VLOOKUP(A1,DIV_13Data!$A$1:$DZU$1000000,3113,FALSE)</f>
        <v>#N/A</v>
      </c>
      <c r="B184" s="37" t="e">
        <f>VLOOKUP(A1,DIV_13Data!$A$1:$DZU$1000000,3114,FALSE)</f>
        <v>#N/A</v>
      </c>
      <c r="C184" s="38" t="e">
        <f>VLOOKUP(A1,DIV_13Data!$A$1:$DZU$1000000,3115,FALSE)</f>
        <v>#N/A</v>
      </c>
      <c r="D184" s="31" t="e">
        <f>VLOOKUP(A1,DIV_13Data!$A$1:$DZU$1000000,3116,FALSE)</f>
        <v>#N/A</v>
      </c>
      <c r="E184" s="32" t="e">
        <f>VLOOKUP(A1,DIV_13Data!$A$1:$DZU$1000000,3117,FALSE)</f>
        <v>#N/A</v>
      </c>
      <c r="F184" s="34" t="e">
        <f>VLOOKUP(A1,DIV_13Data!$A$1:$DZU$1000000,3118,FALSE)</f>
        <v>#N/A</v>
      </c>
      <c r="G184" s="33" t="e">
        <f>VLOOKUP(A1,DIV_13Data!$A$1:$DZU$1000000,3119,FALSE)</f>
        <v>#N/A</v>
      </c>
      <c r="H184" s="34" t="e">
        <f>VLOOKUP(A1,DIV_13Data!$A$1:$DZU$1000000,3120,FALSE)</f>
        <v>#N/A</v>
      </c>
      <c r="I184" s="33" t="e">
        <f>VLOOKUP(A1,DIV_13Data!$A$1:$DZU$1000000,3121,FALSE)</f>
        <v>#N/A</v>
      </c>
      <c r="J184" s="34" t="e">
        <f>VLOOKUP(A1,DIV_13Data!$A$1:$DZU$1000000,3122,FALSE)</f>
        <v>#N/A</v>
      </c>
      <c r="K184" s="34" t="e">
        <f>VLOOKUP(A1,DIV_13Data!$A$1:$DZU$1000000,3123,FALSE)</f>
        <v>#N/A</v>
      </c>
      <c r="L184" s="93" t="e">
        <f>VLOOKUP(A1,DIV_13Data!$A$1:$DZU$1000000,3124,FALSE)</f>
        <v>#N/A</v>
      </c>
      <c r="M184" s="33" t="e">
        <f>VLOOKUP(A1,DIV_13Data!$A$1:$DZU$1000000,3125,FALSE)</f>
        <v>#N/A</v>
      </c>
      <c r="N184" s="34" t="e">
        <f>VLOOKUP(A1,DIV_13Data!$A$1:$DZU$1000000,3126,FALSE)</f>
        <v>#N/A</v>
      </c>
      <c r="O184" s="33" t="e">
        <f>VLOOKUP(A1,DIV_13Data!$A$1:$DZU$1000000,3127,FALSE)</f>
        <v>#N/A</v>
      </c>
      <c r="P184" s="46" t="e">
        <f>VLOOKUP(A1,DIV_13Data!$A$1:$DZU$1000000,3128,FALSE)</f>
        <v>#N/A</v>
      </c>
      <c r="Q184" s="33" t="e">
        <f>VLOOKUP(A1,DIV_13Data!$A$1:$DZU$1000000,3129,FALSE)</f>
        <v>#N/A</v>
      </c>
    </row>
    <row r="185" spans="1:17" x14ac:dyDescent="0.35">
      <c r="A185" s="22" t="e">
        <f>VLOOKUP(A1,DIV_13Data!$A$1:$DZU$1000000,3130,FALSE)</f>
        <v>#N/A</v>
      </c>
      <c r="B185" s="37" t="e">
        <f>VLOOKUP(A1,DIV_13Data!$A$1:$DZU$1000000,3131,FALSE)</f>
        <v>#N/A</v>
      </c>
      <c r="C185" s="38" t="e">
        <f>VLOOKUP(A1,DIV_13Data!$A$1:$DZU$1000000,3132,FALSE)</f>
        <v>#N/A</v>
      </c>
      <c r="D185" s="31" t="e">
        <f>VLOOKUP(A1,DIV_13Data!$A$1:$DZU$1000000,3133,FALSE)</f>
        <v>#N/A</v>
      </c>
      <c r="E185" s="32" t="e">
        <f>VLOOKUP(A1,DIV_13Data!$A$1:$DZU$1000000,3134,FALSE)</f>
        <v>#N/A</v>
      </c>
      <c r="F185" s="34" t="e">
        <f>VLOOKUP(A1,DIV_13Data!$A$1:$DZU$1000000,3135,FALSE)</f>
        <v>#N/A</v>
      </c>
      <c r="G185" s="33" t="e">
        <f>VLOOKUP(A1,DIV_13Data!$A$1:$DZU$1000000,3136,FALSE)</f>
        <v>#N/A</v>
      </c>
      <c r="H185" s="34" t="e">
        <f>VLOOKUP(A1,DIV_13Data!$A$1:$DZU$1000000,3137,FALSE)</f>
        <v>#N/A</v>
      </c>
      <c r="I185" s="33" t="e">
        <f>VLOOKUP(A1,DIV_13Data!$A$1:$DZU$1000000,3138,FALSE)</f>
        <v>#N/A</v>
      </c>
      <c r="J185" s="34" t="e">
        <f>VLOOKUP(A1,DIV_13Data!$A$1:$DZU$1000000,3139,FALSE)</f>
        <v>#N/A</v>
      </c>
      <c r="K185" s="34" t="e">
        <f>VLOOKUP(A1,DIV_13Data!$A$1:$DZU$1000000,3140,FALSE)</f>
        <v>#N/A</v>
      </c>
      <c r="L185" s="93" t="e">
        <f>VLOOKUP(A1,DIV_13Data!$A$1:$DZU$1000000,3141,FALSE)</f>
        <v>#N/A</v>
      </c>
      <c r="M185" s="33" t="e">
        <f>VLOOKUP(A1,DIV_13Data!$A$1:$DZU$1000000,3142,FALSE)</f>
        <v>#N/A</v>
      </c>
      <c r="N185" s="34" t="e">
        <f>VLOOKUP(A1,DIV_13Data!$A$1:$DZU$1000000,3143,FALSE)</f>
        <v>#N/A</v>
      </c>
      <c r="O185" s="33" t="e">
        <f>VLOOKUP(A1,DIV_13Data!$A$1:$DZU$1000000,3144,FALSE)</f>
        <v>#N/A</v>
      </c>
      <c r="P185" s="46" t="e">
        <f>VLOOKUP(A1,DIV_13Data!$A$1:$DZU$1000000,3145,FALSE)</f>
        <v>#N/A</v>
      </c>
      <c r="Q185" s="33" t="e">
        <f>VLOOKUP(A1,DIV_13Data!$A$1:$DZU$1000000,3146,FALSE)</f>
        <v>#N/A</v>
      </c>
    </row>
    <row r="186" spans="1:17" x14ac:dyDescent="0.35">
      <c r="A186" s="22" t="e">
        <f>VLOOKUP(A1,DIV_13Data!$A$1:$DZU$1000000,3147,FALSE)</f>
        <v>#N/A</v>
      </c>
      <c r="B186" s="37" t="e">
        <f>VLOOKUP(A1,DIV_13Data!$A$1:$DZU$1000000,3148,FALSE)</f>
        <v>#N/A</v>
      </c>
      <c r="C186" s="38" t="e">
        <f>VLOOKUP(A1,DIV_13Data!$A$1:$DZU$1000000,3149,FALSE)</f>
        <v>#N/A</v>
      </c>
      <c r="D186" s="31" t="e">
        <f>VLOOKUP(A1,DIV_13Data!$A$1:$DZU$1000000,3150,FALSE)</f>
        <v>#N/A</v>
      </c>
      <c r="E186" s="32" t="e">
        <f>VLOOKUP(A1,DIV_13Data!$A$1:$DZU$1000000,3151,FALSE)</f>
        <v>#N/A</v>
      </c>
      <c r="F186" s="34" t="e">
        <f>VLOOKUP(A1,DIV_13Data!$A$1:$DZU$1000000,3152,FALSE)</f>
        <v>#N/A</v>
      </c>
      <c r="G186" s="33" t="e">
        <f>VLOOKUP(A1,DIV_13Data!$A$1:$DZU$1000000,3153,FALSE)</f>
        <v>#N/A</v>
      </c>
      <c r="H186" s="34" t="e">
        <f>VLOOKUP(A1,DIV_13Data!$A$1:$DZU$1000000,3154,FALSE)</f>
        <v>#N/A</v>
      </c>
      <c r="I186" s="33" t="e">
        <f>VLOOKUP(A1,DIV_13Data!$A$1:$DZU$1000000,3155,FALSE)</f>
        <v>#N/A</v>
      </c>
      <c r="J186" s="34" t="e">
        <f>VLOOKUP(A1,DIV_13Data!$A$1:$DZU$1000000,3156,FALSE)</f>
        <v>#N/A</v>
      </c>
      <c r="K186" s="34" t="e">
        <f>VLOOKUP(A1,DIV_13Data!$A$1:$DZU$1000000,3157,FALSE)</f>
        <v>#N/A</v>
      </c>
      <c r="L186" s="93" t="e">
        <f>VLOOKUP(A1,DIV_13Data!$A$1:$DZU$1000000,3158,FALSE)</f>
        <v>#N/A</v>
      </c>
      <c r="M186" s="33" t="e">
        <f>VLOOKUP(A1,DIV_13Data!$A$1:$DZU$1000000,3159,FALSE)</f>
        <v>#N/A</v>
      </c>
      <c r="N186" s="34" t="e">
        <f>VLOOKUP(A1,DIV_13Data!$A$1:$DZU$1000000,3160,FALSE)</f>
        <v>#N/A</v>
      </c>
      <c r="O186" s="33" t="e">
        <f>VLOOKUP(A1,DIV_13Data!$A$1:$DZU$1000000,3161,FALSE)</f>
        <v>#N/A</v>
      </c>
      <c r="P186" s="46" t="e">
        <f>VLOOKUP(A1,DIV_13Data!$A$1:$DZU$1000000,3162,FALSE)</f>
        <v>#N/A</v>
      </c>
      <c r="Q186" s="33" t="e">
        <f>VLOOKUP(A1,DIV_13Data!$A$1:$DZU$1000000,3163,FALSE)</f>
        <v>#N/A</v>
      </c>
    </row>
    <row r="187" spans="1:17" x14ac:dyDescent="0.35">
      <c r="A187" s="22" t="e">
        <f>VLOOKUP(A1,DIV_13Data!$A$1:$DZU$1000000,3164,FALSE)</f>
        <v>#N/A</v>
      </c>
      <c r="B187" s="37" t="e">
        <f>VLOOKUP(A1,DIV_13Data!$A$1:$DZU$1000000,3165,FALSE)</f>
        <v>#N/A</v>
      </c>
      <c r="C187" s="38" t="e">
        <f>VLOOKUP(A1,DIV_13Data!$A$1:$DZU$1000000,3166,FALSE)</f>
        <v>#N/A</v>
      </c>
      <c r="D187" s="31" t="e">
        <f>VLOOKUP(A1,DIV_13Data!$A$1:$DZU$1000000,3167,FALSE)</f>
        <v>#N/A</v>
      </c>
      <c r="E187" s="32" t="e">
        <f>VLOOKUP(A1,DIV_13Data!$A$1:$DZU$1000000,3168,FALSE)</f>
        <v>#N/A</v>
      </c>
      <c r="F187" s="34" t="e">
        <f>VLOOKUP(A1,DIV_13Data!$A$1:$DZU$1000000,3169,FALSE)</f>
        <v>#N/A</v>
      </c>
      <c r="G187" s="33" t="e">
        <f>VLOOKUP(A1,DIV_13Data!$A$1:$DZU$1000000,3170,FALSE)</f>
        <v>#N/A</v>
      </c>
      <c r="H187" s="34" t="e">
        <f>VLOOKUP(A1,DIV_13Data!$A$1:$DZU$1000000,3171,FALSE)</f>
        <v>#N/A</v>
      </c>
      <c r="I187" s="33" t="e">
        <f>VLOOKUP(A1,DIV_13Data!$A$1:$DZU$1000000,3172,FALSE)</f>
        <v>#N/A</v>
      </c>
      <c r="J187" s="34" t="e">
        <f>VLOOKUP(A1,DIV_13Data!$A$1:$DZU$1000000,3173,FALSE)</f>
        <v>#N/A</v>
      </c>
      <c r="K187" s="34" t="e">
        <f>VLOOKUP(A1,DIV_13Data!$A$1:$DZU$1000000,3174,FALSE)</f>
        <v>#N/A</v>
      </c>
      <c r="L187" s="93" t="e">
        <f>VLOOKUP(A1,DIV_13Data!$A$1:$DZU$1000000,3175,FALSE)</f>
        <v>#N/A</v>
      </c>
      <c r="M187" s="33" t="e">
        <f>VLOOKUP(A1,DIV_13Data!$A$1:$DZU$1000000,3176,FALSE)</f>
        <v>#N/A</v>
      </c>
      <c r="N187" s="34" t="e">
        <f>VLOOKUP(A1,DIV_13Data!$A$1:$DZU$1000000,3177,FALSE)</f>
        <v>#N/A</v>
      </c>
      <c r="O187" s="33" t="e">
        <f>VLOOKUP(A1,DIV_13Data!$A$1:$DZU$1000000,3178,FALSE)</f>
        <v>#N/A</v>
      </c>
      <c r="P187" s="46" t="e">
        <f>VLOOKUP(A1,DIV_13Data!$A$1:$DZU$1000000,3179,FALSE)</f>
        <v>#N/A</v>
      </c>
      <c r="Q187" s="33" t="e">
        <f>VLOOKUP(A1,DIV_13Data!$A$1:$DZU$1000000,3180,FALSE)</f>
        <v>#N/A</v>
      </c>
    </row>
    <row r="188" spans="1:17" x14ac:dyDescent="0.35">
      <c r="A188" s="22" t="e">
        <f>VLOOKUP(A1,DIV_13Data!$A$1:$DZU$1000000,3181,FALSE)</f>
        <v>#N/A</v>
      </c>
      <c r="B188" s="37" t="e">
        <f>VLOOKUP(A1,DIV_13Data!$A$1:$DZU$1000000,3182,FALSE)</f>
        <v>#N/A</v>
      </c>
      <c r="C188" s="38" t="e">
        <f>VLOOKUP(A1,DIV_13Data!$A$1:$DZU$1000000,3183,FALSE)</f>
        <v>#N/A</v>
      </c>
      <c r="D188" s="31" t="e">
        <f>VLOOKUP(A1,DIV_13Data!$A$1:$DZU$1000000,3184,FALSE)</f>
        <v>#N/A</v>
      </c>
      <c r="E188" s="32" t="e">
        <f>VLOOKUP(A1,DIV_13Data!$A$1:$DZU$1000000,3185,FALSE)</f>
        <v>#N/A</v>
      </c>
      <c r="F188" s="34" t="e">
        <f>VLOOKUP(A1,DIV_13Data!$A$1:$DZU$1000000,3186,FALSE)</f>
        <v>#N/A</v>
      </c>
      <c r="G188" s="33" t="e">
        <f>VLOOKUP(A1,DIV_13Data!$A$1:$DZU$1000000,3187,FALSE)</f>
        <v>#N/A</v>
      </c>
      <c r="H188" s="34" t="e">
        <f>VLOOKUP(A1,DIV_13Data!$A$1:$DZU$1000000,3188,FALSE)</f>
        <v>#N/A</v>
      </c>
      <c r="I188" s="33" t="e">
        <f>VLOOKUP(A1,DIV_13Data!$A$1:$DZU$1000000,3189,FALSE)</f>
        <v>#N/A</v>
      </c>
      <c r="J188" s="34" t="e">
        <f>VLOOKUP(A1,DIV_13Data!$A$1:$DZU$1000000,3190,FALSE)</f>
        <v>#N/A</v>
      </c>
      <c r="K188" s="34" t="e">
        <f>VLOOKUP(A1,DIV_13Data!$A$1:$DZU$1000000,3191,FALSE)</f>
        <v>#N/A</v>
      </c>
      <c r="L188" s="93" t="e">
        <f>VLOOKUP(A1,DIV_13Data!$A$1:$DZU$1000000,3192,FALSE)</f>
        <v>#N/A</v>
      </c>
      <c r="M188" s="33" t="e">
        <f>VLOOKUP(A1,DIV_13Data!$A$1:$DZU$1000000,3193,FALSE)</f>
        <v>#N/A</v>
      </c>
      <c r="N188" s="34" t="e">
        <f>VLOOKUP(A1,DIV_13Data!$A$1:$DZU$1000000,3194,FALSE)</f>
        <v>#N/A</v>
      </c>
      <c r="O188" s="33" t="e">
        <f>VLOOKUP(A1,DIV_13Data!$A$1:$DZU$1000000,3195,FALSE)</f>
        <v>#N/A</v>
      </c>
      <c r="P188" s="46" t="e">
        <f>VLOOKUP(A1,DIV_13Data!$A$1:$DZU$1000000,3196,FALSE)</f>
        <v>#N/A</v>
      </c>
      <c r="Q188" s="33" t="e">
        <f>VLOOKUP(A1,DIV_13Data!$A$1:$DZU$1000000,3197,FALSE)</f>
        <v>#N/A</v>
      </c>
    </row>
    <row r="189" spans="1:17" x14ac:dyDescent="0.35">
      <c r="A189" s="22" t="e">
        <f>VLOOKUP(A1,DIV_13Data!$A$1:$DZU$1000000,3198,FALSE)</f>
        <v>#N/A</v>
      </c>
      <c r="B189" s="37" t="e">
        <f>VLOOKUP(A1,DIV_13Data!$A$1:$DZU$1000000,3199,FALSE)</f>
        <v>#N/A</v>
      </c>
      <c r="C189" s="38" t="e">
        <f>VLOOKUP(A1,DIV_13Data!$A$1:$DZU$1000000,3200,FALSE)</f>
        <v>#N/A</v>
      </c>
      <c r="D189" s="31" t="e">
        <f>VLOOKUP(A1,DIV_13Data!$A$1:$DZU$1000000,3201,FALSE)</f>
        <v>#N/A</v>
      </c>
      <c r="E189" s="32" t="e">
        <f>VLOOKUP(A1,DIV_13Data!$A$1:$DZU$1000000,3202,FALSE)</f>
        <v>#N/A</v>
      </c>
      <c r="F189" s="34" t="e">
        <f>VLOOKUP(A1,DIV_13Data!$A$1:$DZU$1000000,3203,FALSE)</f>
        <v>#N/A</v>
      </c>
      <c r="G189" s="33" t="e">
        <f>VLOOKUP(A1,DIV_13Data!$A$1:$DZU$1000000,3204,FALSE)</f>
        <v>#N/A</v>
      </c>
      <c r="H189" s="34" t="e">
        <f>VLOOKUP(A1,DIV_13Data!$A$1:$DZU$1000000,3205,FALSE)</f>
        <v>#N/A</v>
      </c>
      <c r="I189" s="33" t="e">
        <f>VLOOKUP(A1,DIV_13Data!$A$1:$DZU$1000000,3206,FALSE)</f>
        <v>#N/A</v>
      </c>
      <c r="J189" s="34" t="e">
        <f>VLOOKUP(A1,DIV_13Data!$A$1:$DZU$1000000,3207,FALSE)</f>
        <v>#N/A</v>
      </c>
      <c r="K189" s="34" t="e">
        <f>VLOOKUP(A1,DIV_13Data!$A$1:$DZU$1000000,3208,FALSE)</f>
        <v>#N/A</v>
      </c>
      <c r="L189" s="93" t="e">
        <f>VLOOKUP(A1,DIV_13Data!$A$1:$DZU$1000000,3209,FALSE)</f>
        <v>#N/A</v>
      </c>
      <c r="M189" s="33" t="e">
        <f>VLOOKUP(A1,DIV_13Data!$A$1:$DZU$1000000,3210,FALSE)</f>
        <v>#N/A</v>
      </c>
      <c r="N189" s="34" t="e">
        <f>VLOOKUP(A1,DIV_13Data!$A$1:$DZU$1000000,3211,FALSE)</f>
        <v>#N/A</v>
      </c>
      <c r="O189" s="33" t="e">
        <f>VLOOKUP(A1,DIV_13Data!$A$1:$DZU$1000000,3212,FALSE)</f>
        <v>#N/A</v>
      </c>
      <c r="P189" s="46" t="e">
        <f>VLOOKUP(A1,DIV_13Data!$A$1:$DZU$1000000,3213,FALSE)</f>
        <v>#N/A</v>
      </c>
      <c r="Q189" s="33" t="e">
        <f>VLOOKUP(A1,DIV_13Data!$A$1:$DZU$1000000,3214,FALSE)</f>
        <v>#N/A</v>
      </c>
    </row>
    <row r="190" spans="1:17" x14ac:dyDescent="0.35">
      <c r="A190" s="22" t="e">
        <f>VLOOKUP(A1,DIV_13Data!$A$1:$DZU$1000000,3215,FALSE)</f>
        <v>#N/A</v>
      </c>
      <c r="B190" s="37" t="e">
        <f>VLOOKUP(A1,DIV_13Data!$A$1:$DZU$1000000,3216,FALSE)</f>
        <v>#N/A</v>
      </c>
      <c r="C190" s="38" t="e">
        <f>VLOOKUP(A1,DIV_13Data!$A$1:$DZU$1000000,3217,FALSE)</f>
        <v>#N/A</v>
      </c>
      <c r="D190" s="31" t="e">
        <f>VLOOKUP(A1,DIV_13Data!$A$1:$DZU$1000000,3218,FALSE)</f>
        <v>#N/A</v>
      </c>
      <c r="E190" s="32" t="e">
        <f>VLOOKUP(A1,DIV_13Data!$A$1:$DZU$1000000,3219,FALSE)</f>
        <v>#N/A</v>
      </c>
      <c r="F190" s="34" t="e">
        <f>VLOOKUP(A1,DIV_13Data!$A$1:$DZU$1000000,3220,FALSE)</f>
        <v>#N/A</v>
      </c>
      <c r="G190" s="33" t="e">
        <f>VLOOKUP(A1,DIV_13Data!$A$1:$DZU$1000000,3221,FALSE)</f>
        <v>#N/A</v>
      </c>
      <c r="H190" s="34" t="e">
        <f>VLOOKUP(A1,DIV_13Data!$A$1:$DZU$1000000,3222,FALSE)</f>
        <v>#N/A</v>
      </c>
      <c r="I190" s="33" t="e">
        <f>VLOOKUP(A1,DIV_13Data!$A$1:$DZU$1000000,3223,FALSE)</f>
        <v>#N/A</v>
      </c>
      <c r="J190" s="34" t="e">
        <f>VLOOKUP(A1,DIV_13Data!$A$1:$DZU$1000000,3224,FALSE)</f>
        <v>#N/A</v>
      </c>
      <c r="K190" s="34" t="e">
        <f>VLOOKUP(A1,DIV_13Data!$A$1:$DZU$1000000,3225,FALSE)</f>
        <v>#N/A</v>
      </c>
      <c r="L190" s="93" t="e">
        <f>VLOOKUP(A1,DIV_13Data!$A$1:$DZU$1000000,3226,FALSE)</f>
        <v>#N/A</v>
      </c>
      <c r="M190" s="33" t="e">
        <f>VLOOKUP(A1,DIV_13Data!$A$1:$DZU$1000000,3227,FALSE)</f>
        <v>#N/A</v>
      </c>
      <c r="N190" s="34" t="e">
        <f>VLOOKUP(A1,DIV_13Data!$A$1:$DZU$1000000,3228,FALSE)</f>
        <v>#N/A</v>
      </c>
      <c r="O190" s="33" t="e">
        <f>VLOOKUP(A1,DIV_13Data!$A$1:$DZU$1000000,3229,FALSE)</f>
        <v>#N/A</v>
      </c>
      <c r="P190" s="46" t="e">
        <f>VLOOKUP(A1,DIV_13Data!$A$1:$DZU$1000000,3230,FALSE)</f>
        <v>#N/A</v>
      </c>
      <c r="Q190" s="33" t="e">
        <f>VLOOKUP(A1,DIV_13Data!$A$1:$DZU$1000000,3231,FALSE)</f>
        <v>#N/A</v>
      </c>
    </row>
    <row r="191" spans="1:17" x14ac:dyDescent="0.35">
      <c r="A191" s="22" t="e">
        <f>VLOOKUP(A1,DIV_13Data!$A$1:$DZU$1000000,3232,FALSE)</f>
        <v>#N/A</v>
      </c>
      <c r="B191" s="37" t="e">
        <f>VLOOKUP(A1,DIV_13Data!$A$1:$DZU$1000000,3233,FALSE)</f>
        <v>#N/A</v>
      </c>
      <c r="C191" s="43" t="e">
        <f>VLOOKUP(A1,DIV_13Data!$A$1:$DZU$1000000,3234,FALSE)</f>
        <v>#N/A</v>
      </c>
      <c r="D191" s="31" t="e">
        <f>VLOOKUP(A1,DIV_13Data!$A$1:$DZU$1000000,3235,FALSE)</f>
        <v>#N/A</v>
      </c>
      <c r="E191" s="32" t="e">
        <f>VLOOKUP(A1,DIV_13Data!$A$1:$DZU$1000000,3236,FALSE)</f>
        <v>#N/A</v>
      </c>
      <c r="F191" s="44" t="e">
        <f>VLOOKUP(A1,DIV_13Data!$A$1:$DZU$1000000,3237,FALSE)</f>
        <v>#N/A</v>
      </c>
      <c r="G191" s="45" t="e">
        <f>VLOOKUP(A1,DIV_13Data!$A$1:$DZU$1000000,3238,FALSE)</f>
        <v>#N/A</v>
      </c>
      <c r="H191" s="44" t="e">
        <f>VLOOKUP(A1,DIV_13Data!$A$1:$DZU$1000000,3239,FALSE)</f>
        <v>#N/A</v>
      </c>
      <c r="I191" s="45" t="e">
        <f>VLOOKUP(A1,DIV_13Data!$A$1:$DZU$1000000,3240,FALSE)</f>
        <v>#N/A</v>
      </c>
      <c r="J191" s="34" t="e">
        <f>VLOOKUP(A1,DIV_13Data!$A$1:$DZU$1000000,3241,FALSE)</f>
        <v>#N/A</v>
      </c>
      <c r="K191" s="43" t="e">
        <f>VLOOKUP(A1,DIV_13Data!$A$1:$DZU$1000000,3242,FALSE)</f>
        <v>#N/A</v>
      </c>
      <c r="L191" s="44" t="e">
        <f>VLOOKUP(A1,DIV_13Data!$A$1:$DZU$1000000,3243,FALSE)</f>
        <v>#N/A</v>
      </c>
      <c r="M191" s="45" t="e">
        <f>VLOOKUP(A1,DIV_13Data!$A$1:$DZU$1000000,3244,FALSE)</f>
        <v>#N/A</v>
      </c>
      <c r="N191" s="44" t="e">
        <f>VLOOKUP(A1,DIV_13Data!$A$1:$DZU$1000000,3245,FALSE)</f>
        <v>#N/A</v>
      </c>
      <c r="O191" s="45" t="e">
        <f>VLOOKUP(A1,DIV_13Data!$A$1:$DZU$1000000,3246,FALSE)</f>
        <v>#N/A</v>
      </c>
      <c r="P191" s="46" t="e">
        <f>VLOOKUP(A1,DIV_13Data!$A$1:$DZU$1000000,3247,FALSE)</f>
        <v>#N/A</v>
      </c>
      <c r="Q191" s="45" t="e">
        <f>VLOOKUP(A1,DIV_13Data!$A$1:$DZU$1000000,3248,FALSE)</f>
        <v>#N/A</v>
      </c>
    </row>
    <row r="192" spans="1:17" x14ac:dyDescent="0.35">
      <c r="A192" s="22" t="e">
        <f>VLOOKUP(A1,DIV_13Data!$A$1:$DZU$1000000,3249,FALSE)</f>
        <v>#N/A</v>
      </c>
      <c r="B192" s="37" t="e">
        <f>VLOOKUP(A1,DIV_13Data!$A$1:$DZU$1000000,3250,FALSE)</f>
        <v>#N/A</v>
      </c>
      <c r="C192" s="38" t="e">
        <f>VLOOKUP(A1,DIV_13Data!$A$1:$DZU$1000000,3251,FALSE)</f>
        <v>#N/A</v>
      </c>
      <c r="D192" s="31" t="e">
        <f>VLOOKUP(A1,DIV_13Data!$A$1:$DZU$1000000,3252,FALSE)</f>
        <v>#N/A</v>
      </c>
      <c r="E192" s="32" t="e">
        <f>VLOOKUP(A1,DIV_13Data!$A$1:$DZU$1000000,3253,FALSE)</f>
        <v>#N/A</v>
      </c>
      <c r="F192" s="34" t="e">
        <f>VLOOKUP(A1,DIV_13Data!$A$1:$DZU$1000000,3254,FALSE)</f>
        <v>#N/A</v>
      </c>
      <c r="G192" s="33" t="e">
        <f>VLOOKUP(A1,DIV_13Data!$A$1:$DZU$1000000,3255,FALSE)</f>
        <v>#N/A</v>
      </c>
      <c r="H192" s="34" t="e">
        <f>VLOOKUP(A1,DIV_13Data!$A$1:$DZU$1000000,3256,FALSE)</f>
        <v>#N/A</v>
      </c>
      <c r="I192" s="33" t="e">
        <f>VLOOKUP(A1,DIV_13Data!$A$1:$DZU$1000000,3257,FALSE)</f>
        <v>#N/A</v>
      </c>
      <c r="J192" s="34" t="e">
        <f>VLOOKUP(A1,DIV_13Data!$A$1:$DZU$1000000,3258,FALSE)</f>
        <v>#N/A</v>
      </c>
      <c r="K192" s="34" t="e">
        <f>VLOOKUP(A1,DIV_13Data!$A$1:$DZU$1000000,3259,FALSE)</f>
        <v>#N/A</v>
      </c>
      <c r="L192" s="34" t="e">
        <f>VLOOKUP(A1,DIV_13Data!$A$1:$DZU$1000000,3260,FALSE)</f>
        <v>#N/A</v>
      </c>
      <c r="M192" s="33" t="e">
        <f>VLOOKUP(A1,DIV_13Data!$A$1:$DZU$1000000,3261,FALSE)</f>
        <v>#N/A</v>
      </c>
      <c r="N192" s="34" t="e">
        <f>VLOOKUP(A1,DIV_13Data!$A$1:$DZU$1000000,3262,FALSE)</f>
        <v>#N/A</v>
      </c>
      <c r="O192" s="33" t="e">
        <f>VLOOKUP(A1,DIV_13Data!$A$1:$DZU$1000000,3263,FALSE)</f>
        <v>#N/A</v>
      </c>
      <c r="P192" s="46" t="e">
        <f>VLOOKUP(A1,DIV_13Data!$A$1:$DZU$1000000,3264,FALSE)</f>
        <v>#N/A</v>
      </c>
      <c r="Q192" s="33" t="e">
        <f>VLOOKUP(A1,DIV_13Data!$A$1:$DZU$1000000,3265,FALSE)</f>
        <v>#N/A</v>
      </c>
    </row>
    <row r="193" spans="1:17" x14ac:dyDescent="0.35">
      <c r="A193" s="22" t="e">
        <f>VLOOKUP(A1,DIV_13Data!$A$1:$DZU$1000000,3266,FALSE)</f>
        <v>#N/A</v>
      </c>
      <c r="B193" s="37" t="e">
        <f>VLOOKUP(A1,DIV_13Data!$A$1:$DZU$1000000,3267,FALSE)</f>
        <v>#N/A</v>
      </c>
      <c r="C193" s="30" t="e">
        <f>VLOOKUP(A1,DIV_13Data!$A$1:$DZU$1000000,3268,FALSE)</f>
        <v>#N/A</v>
      </c>
      <c r="D193" s="31" t="e">
        <f>VLOOKUP(A1,DIV_13Data!$A$1:$DZU$1000000,3269,FALSE)</f>
        <v>#N/A</v>
      </c>
      <c r="E193" s="32" t="e">
        <f>VLOOKUP(A1,DIV_13Data!$A$1:$DZU$1000000,3270,FALSE)</f>
        <v>#N/A</v>
      </c>
      <c r="F193" s="34" t="e">
        <f>VLOOKUP(A1,DIV_13Data!$A$1:$DZU$1000000,3271,FALSE)</f>
        <v>#N/A</v>
      </c>
      <c r="G193" s="33" t="e">
        <f>VLOOKUP(A1,DIV_13Data!$A$1:$DZU$1000000,3272,FALSE)</f>
        <v>#N/A</v>
      </c>
      <c r="H193" s="34" t="e">
        <f>VLOOKUP(A1,DIV_13Data!$A$1:$DZU$1000000,3273,FALSE)</f>
        <v>#N/A</v>
      </c>
      <c r="I193" s="33" t="e">
        <f>VLOOKUP(A1,DIV_13Data!$A$1:$DZU$1000000,3274,FALSE)</f>
        <v>#N/A</v>
      </c>
      <c r="J193" s="34" t="e">
        <f>VLOOKUP(A1,DIV_13Data!$A$1:$DZU$1000000,3275,FALSE)</f>
        <v>#N/A</v>
      </c>
      <c r="K193" s="34" t="e">
        <f>VLOOKUP(A1,DIV_13Data!$A$1:$DZU$1000000,3276,FALSE)</f>
        <v>#N/A</v>
      </c>
      <c r="L193" s="34" t="e">
        <f>VLOOKUP(A1,DIV_13Data!$A$1:$DZU$1000000,3277,FALSE)</f>
        <v>#N/A</v>
      </c>
      <c r="M193" s="33" t="e">
        <f>VLOOKUP(A1,DIV_13Data!$A$1:$DZU$1000000,3278,FALSE)</f>
        <v>#N/A</v>
      </c>
      <c r="N193" s="34" t="e">
        <f>VLOOKUP(A1,DIV_13Data!$A$1:$DZU$1000000,3279,FALSE)</f>
        <v>#N/A</v>
      </c>
      <c r="O193" s="33" t="e">
        <f>VLOOKUP(A1,DIV_13Data!$A$1:$DZU$1000000,3280,FALSE)</f>
        <v>#N/A</v>
      </c>
      <c r="P193" s="46" t="e">
        <f>VLOOKUP(A1,DIV_13Data!$A$1:$DZU$1000000,3281,FALSE)</f>
        <v>#N/A</v>
      </c>
      <c r="Q193" s="33" t="e">
        <f>VLOOKUP(A1,DIV_13Data!$A$1:$DZU$1000000,3282,FALSE)</f>
        <v>#N/A</v>
      </c>
    </row>
    <row r="194" spans="1:17" x14ac:dyDescent="0.35">
      <c r="A194" s="22" t="e">
        <f>VLOOKUP(A1,DIV_13Data!$A$1:$DZU$1000000,3283,FALSE)</f>
        <v>#N/A</v>
      </c>
      <c r="B194" s="37" t="e">
        <f>VLOOKUP(A1,DIV_13Data!$A$1:$DZU$1000000,3284,FALSE)</f>
        <v>#N/A</v>
      </c>
      <c r="C194" s="38" t="e">
        <f>VLOOKUP(A1,DIV_13Data!$A$1:$DZU$1000000,3285,FALSE)</f>
        <v>#N/A</v>
      </c>
      <c r="D194" s="31" t="e">
        <f>VLOOKUP(A1,DIV_13Data!$A$1:$DZU$1000000,3286,FALSE)</f>
        <v>#N/A</v>
      </c>
      <c r="E194" s="32" t="e">
        <f>VLOOKUP(A1,DIV_13Data!$A$1:$DZU$1000000,3287,FALSE)</f>
        <v>#N/A</v>
      </c>
      <c r="F194" s="34" t="e">
        <f>VLOOKUP(A1,DIV_13Data!$A$1:$DZU$1000000,3288,FALSE)</f>
        <v>#N/A</v>
      </c>
      <c r="G194" s="33" t="e">
        <f>VLOOKUP(A1,DIV_13Data!$A$1:$DZU$1000000,3289,FALSE)</f>
        <v>#N/A</v>
      </c>
      <c r="H194" s="34" t="e">
        <f>VLOOKUP(A1,DIV_13Data!$A$1:$DZU$1000000,3290,FALSE)</f>
        <v>#N/A</v>
      </c>
      <c r="I194" s="33" t="e">
        <f>VLOOKUP(A1,DIV_13Data!$A$1:$DZU$1000000,3291,FALSE)</f>
        <v>#N/A</v>
      </c>
      <c r="J194" s="34" t="e">
        <f>VLOOKUP(A1,DIV_13Data!$A$1:$DZU$1000000,3292,FALSE)</f>
        <v>#N/A</v>
      </c>
      <c r="K194" s="34" t="e">
        <f>VLOOKUP(A1,DIV_13Data!$A$1:$DZU$1000000,3293,FALSE)</f>
        <v>#N/A</v>
      </c>
      <c r="L194" s="93" t="e">
        <f>VLOOKUP(A1,DIV_13Data!$A$1:$DZU$1000000,3294,FALSE)</f>
        <v>#N/A</v>
      </c>
      <c r="M194" s="33" t="e">
        <f>VLOOKUP(A1,DIV_13Data!$A$1:$DZU$1000000,3295,FALSE)</f>
        <v>#N/A</v>
      </c>
      <c r="N194" s="34" t="e">
        <f>VLOOKUP(A1,DIV_13Data!$A$1:$DZU$1000000,3296,FALSE)</f>
        <v>#N/A</v>
      </c>
      <c r="O194" s="33" t="e">
        <f>VLOOKUP(A1,DIV_13Data!$A$1:$DZU$1000000,3297,FALSE)</f>
        <v>#N/A</v>
      </c>
      <c r="P194" s="46" t="e">
        <f>VLOOKUP(A1,DIV_13Data!$A$1:$DZU$1000000,3298,FALSE)</f>
        <v>#N/A</v>
      </c>
      <c r="Q194" s="33" t="e">
        <f>VLOOKUP(A1,DIV_13Data!$A$1:$DZU$1000000,3299,FALSE)</f>
        <v>#N/A</v>
      </c>
    </row>
    <row r="195" spans="1:17" x14ac:dyDescent="0.35">
      <c r="A195" s="22" t="e">
        <f>VLOOKUP(A1,DIV_13Data!$A$1:$DZU$1000000,3300,FALSE)</f>
        <v>#N/A</v>
      </c>
      <c r="B195" s="37" t="e">
        <f>VLOOKUP(A1,DIV_13Data!$A$1:$DZU$1000000,3301,FALSE)</f>
        <v>#N/A</v>
      </c>
      <c r="C195" s="38" t="e">
        <f>VLOOKUP(A1,DIV_13Data!$A$1:$DZU$1000000,3302,FALSE)</f>
        <v>#N/A</v>
      </c>
      <c r="D195" s="31" t="e">
        <f>VLOOKUP(A1,DIV_13Data!$A$1:$DZU$1000000,3303,FALSE)</f>
        <v>#N/A</v>
      </c>
      <c r="E195" s="32" t="e">
        <f>VLOOKUP(A1,DIV_13Data!$A$1:$DZU$1000000,3304,FALSE)</f>
        <v>#N/A</v>
      </c>
      <c r="F195" s="34" t="e">
        <f>VLOOKUP(A1,DIV_13Data!$A$1:$DZU$1000000,3305,FALSE)</f>
        <v>#N/A</v>
      </c>
      <c r="G195" s="33" t="e">
        <f>VLOOKUP(A1,DIV_13Data!$A$1:$DZU$1000000,3306,FALSE)</f>
        <v>#N/A</v>
      </c>
      <c r="H195" s="34" t="e">
        <f>VLOOKUP(A1,DIV_13Data!$A$1:$DZU$1000000,3307,FALSE)</f>
        <v>#N/A</v>
      </c>
      <c r="I195" s="33" t="e">
        <f>VLOOKUP(A1,DIV_13Data!$A$1:$DZU$1000000,3308,FALSE)</f>
        <v>#N/A</v>
      </c>
      <c r="J195" s="34" t="e">
        <f>VLOOKUP(A1,DIV_13Data!$A$1:$DZU$1000000,3309,FALSE)</f>
        <v>#N/A</v>
      </c>
      <c r="K195" s="34" t="e">
        <f>VLOOKUP(A1,DIV_13Data!$A$1:$DZU$1000000,3310,FALSE)</f>
        <v>#N/A</v>
      </c>
      <c r="L195" s="93" t="e">
        <f>VLOOKUP(A1,DIV_13Data!$A$1:$DZU$1000000,3311,FALSE)</f>
        <v>#N/A</v>
      </c>
      <c r="M195" s="33" t="e">
        <f>VLOOKUP(A1,DIV_13Data!$A$1:$DZU$1000000,3312,FALSE)</f>
        <v>#N/A</v>
      </c>
      <c r="N195" s="34" t="e">
        <f>VLOOKUP(A1,DIV_13Data!$A$1:$DZU$1000000,3313,FALSE)</f>
        <v>#N/A</v>
      </c>
      <c r="O195" s="33" t="e">
        <f>VLOOKUP(A1,DIV_13Data!$A$1:$DZU$1000000,3314,FALSE)</f>
        <v>#N/A</v>
      </c>
      <c r="P195" s="46" t="e">
        <f>VLOOKUP(A1,DIV_13Data!$A$1:$DZU$1000000,3315,FALSE)</f>
        <v>#N/A</v>
      </c>
      <c r="Q195" s="33" t="e">
        <f>VLOOKUP(A1,DIV_13Data!$A$1:$DZU$1000000,3316,FALSE)</f>
        <v>#N/A</v>
      </c>
    </row>
    <row r="196" spans="1:17" x14ac:dyDescent="0.35">
      <c r="A196" s="22" t="e">
        <f>VLOOKUP(A1,DIV_13Data!$A$1:$DZU$1000000,3317,FALSE)</f>
        <v>#N/A</v>
      </c>
      <c r="B196" s="37" t="e">
        <f>VLOOKUP(A1,DIV_13Data!$A$1:$DZU$1000000,3318,FALSE)</f>
        <v>#N/A</v>
      </c>
      <c r="C196" s="38" t="e">
        <f>VLOOKUP(A1,DIV_13Data!$A$1:$DZU$1000000,3319,FALSE)</f>
        <v>#N/A</v>
      </c>
      <c r="D196" s="31" t="e">
        <f>VLOOKUP(A1,DIV_13Data!$A$1:$DZU$1000000,3320,FALSE)</f>
        <v>#N/A</v>
      </c>
      <c r="E196" s="32" t="e">
        <f>VLOOKUP(A1,DIV_13Data!$A$1:$DZU$1000000,3321,FALSE)</f>
        <v>#N/A</v>
      </c>
      <c r="F196" s="34" t="e">
        <f>VLOOKUP(A1,DIV_13Data!$A$1:$DZU$1000000,3322,FALSE)</f>
        <v>#N/A</v>
      </c>
      <c r="G196" s="33" t="e">
        <f>VLOOKUP(A1,DIV_13Data!$A$1:$DZU$1000000,3323,FALSE)</f>
        <v>#N/A</v>
      </c>
      <c r="H196" s="34" t="e">
        <f>VLOOKUP(A1,DIV_13Data!$A$1:$DZU$1000000,3324,FALSE)</f>
        <v>#N/A</v>
      </c>
      <c r="I196" s="33" t="e">
        <f>VLOOKUP(A1,DIV_13Data!$A$1:$DZU$1000000,3325,FALSE)</f>
        <v>#N/A</v>
      </c>
      <c r="J196" s="34" t="e">
        <f>VLOOKUP(A1,DIV_13Data!$A$1:$DZU$1000000,3326,FALSE)</f>
        <v>#N/A</v>
      </c>
      <c r="K196" s="34" t="e">
        <f>VLOOKUP(A1,DIV_13Data!$A$1:$DZU$1000000,3327,FALSE)</f>
        <v>#N/A</v>
      </c>
      <c r="L196" s="93" t="e">
        <f>VLOOKUP(A1,DIV_13Data!$A$1:$DZU$1000000,3328,FALSE)</f>
        <v>#N/A</v>
      </c>
      <c r="M196" s="33" t="e">
        <f>VLOOKUP(A1,DIV_13Data!$A$1:$DZU$1000000,3329,FALSE)</f>
        <v>#N/A</v>
      </c>
      <c r="N196" s="34" t="e">
        <f>VLOOKUP(A1,DIV_13Data!$A$1:$DZU$1000000,3330,FALSE)</f>
        <v>#N/A</v>
      </c>
      <c r="O196" s="33" t="e">
        <f>VLOOKUP(A1,DIV_13Data!$A$1:$DZU$1000000,3331,FALSE)</f>
        <v>#N/A</v>
      </c>
      <c r="P196" s="46" t="e">
        <f>VLOOKUP(A1,DIV_13Data!$A$1:$DZU$1000000,3332,FALSE)</f>
        <v>#N/A</v>
      </c>
      <c r="Q196" s="33" t="e">
        <f>VLOOKUP(A1,DIV_13Data!$A$1:$DZU$1000000,3333,FALSE)</f>
        <v>#N/A</v>
      </c>
    </row>
    <row r="197" spans="1:17" x14ac:dyDescent="0.35">
      <c r="A197" s="22" t="e">
        <f>VLOOKUP(A1,DIV_13Data!$A$1:$DZU$1000000,3334,FALSE)</f>
        <v>#N/A</v>
      </c>
      <c r="B197" s="37" t="e">
        <f>VLOOKUP(A1,DIV_13Data!$A$1:$DZU$1000000,3335,FALSE)</f>
        <v>#N/A</v>
      </c>
      <c r="C197" s="43" t="e">
        <f>VLOOKUP(A1,DIV_13Data!$A$1:$DZU$1000000,3336,FALSE)</f>
        <v>#N/A</v>
      </c>
      <c r="D197" s="31" t="e">
        <f>VLOOKUP(A1,DIV_13Data!$A$1:$DZU$1000000,3337,FALSE)</f>
        <v>#N/A</v>
      </c>
      <c r="E197" s="32" t="e">
        <f>VLOOKUP(A1,DIV_13Data!$A$1:$DZU$1000000,3338,FALSE)</f>
        <v>#N/A</v>
      </c>
      <c r="F197" s="44" t="e">
        <f>VLOOKUP(A1,DIV_13Data!$A$1:$DZU$1000000,3339,FALSE)</f>
        <v>#N/A</v>
      </c>
      <c r="G197" s="45" t="e">
        <f>VLOOKUP(A1,DIV_13Data!$A$1:$DZU$1000000,3340,FALSE)</f>
        <v>#N/A</v>
      </c>
      <c r="H197" s="44" t="e">
        <f>VLOOKUP(A1,DIV_13Data!$A$1:$DZU$1000000,3341,FALSE)</f>
        <v>#N/A</v>
      </c>
      <c r="I197" s="45" t="e">
        <f>VLOOKUP(A1,DIV_13Data!$A$1:$DZU$1000000,3342,FALSE)</f>
        <v>#N/A</v>
      </c>
      <c r="J197" s="34" t="e">
        <f>VLOOKUP(A1,DIV_13Data!$A$1:$DZU$1000000,3343,FALSE)</f>
        <v>#N/A</v>
      </c>
      <c r="K197" s="43" t="e">
        <f>VLOOKUP(A1,DIV_13Data!$A$1:$DZU$1000000,3344,FALSE)</f>
        <v>#N/A</v>
      </c>
      <c r="L197" s="44" t="e">
        <f>VLOOKUP(A1,DIV_13Data!$A$1:$DZU$1000000,3345,FALSE)</f>
        <v>#N/A</v>
      </c>
      <c r="M197" s="45" t="e">
        <f>VLOOKUP(A1,DIV_13Data!$A$1:$DZU$1000000,3346,FALSE)</f>
        <v>#N/A</v>
      </c>
      <c r="N197" s="44" t="e">
        <f>VLOOKUP(A1,DIV_13Data!$A$1:$DZU$1000000,3347,FALSE)</f>
        <v>#N/A</v>
      </c>
      <c r="O197" s="45" t="e">
        <f>VLOOKUP(A1,DIV_13Data!$A$1:$DZU$1000000,3348,FALSE)</f>
        <v>#N/A</v>
      </c>
      <c r="P197" s="36" t="e">
        <f>VLOOKUP(A1,DIV_13Data!$A$1:$DZU$1000000,3349,FALSE)</f>
        <v>#N/A</v>
      </c>
      <c r="Q197" s="45" t="e">
        <f>VLOOKUP(A1,DIV_13Data!$A$1:$DZU$1000000,3350,FALSE)</f>
        <v>#N/A</v>
      </c>
    </row>
    <row r="198" spans="1:17" x14ac:dyDescent="0.35">
      <c r="A198" s="22" t="e">
        <f>VLOOKUP(A1,DIV_13Data!$A$1:$DZU$1000000,3351,FALSE)</f>
        <v>#N/A</v>
      </c>
      <c r="B198" s="37" t="e">
        <f>VLOOKUP(A1,DIV_13Data!$A$1:$DZU$1000000,3352,FALSE)</f>
        <v>#N/A</v>
      </c>
      <c r="C198" s="38" t="e">
        <f>VLOOKUP(A1,DIV_13Data!$A$1:$DZU$1000000,3353,FALSE)</f>
        <v>#N/A</v>
      </c>
      <c r="D198" s="31" t="e">
        <f>VLOOKUP(A1,DIV_13Data!$A$1:$DZU$1000000,3354,FALSE)</f>
        <v>#N/A</v>
      </c>
      <c r="E198" s="32" t="e">
        <f>VLOOKUP(A1,DIV_13Data!$A$1:$DZU$1000000,3355,FALSE)</f>
        <v>#N/A</v>
      </c>
      <c r="F198" s="34" t="e">
        <f>VLOOKUP(A1,DIV_13Data!$A$1:$DZU$1000000,3356,FALSE)</f>
        <v>#N/A</v>
      </c>
      <c r="G198" s="33" t="e">
        <f>VLOOKUP(A1,DIV_13Data!$A$1:$DZU$1000000,3357,FALSE)</f>
        <v>#N/A</v>
      </c>
      <c r="H198" s="34" t="e">
        <f>VLOOKUP(A1,DIV_13Data!$A$1:$DZU$1000000,3358,FALSE)</f>
        <v>#N/A</v>
      </c>
      <c r="I198" s="33" t="e">
        <f>VLOOKUP(A1,DIV_13Data!$A$1:$DZU$1000000,3359,FALSE)</f>
        <v>#N/A</v>
      </c>
      <c r="J198" s="34" t="e">
        <f>VLOOKUP(A1,DIV_13Data!$A$1:$DZU$1000000,3360,FALSE)</f>
        <v>#N/A</v>
      </c>
      <c r="K198" s="34" t="e">
        <f>VLOOKUP(A1,DIV_13Data!$A$1:$DZU$1000000,3361,FALSE)</f>
        <v>#N/A</v>
      </c>
      <c r="L198" s="34" t="e">
        <f>VLOOKUP(A1,DIV_13Data!$A$1:$DZU$1000000,3362,FALSE)</f>
        <v>#N/A</v>
      </c>
      <c r="M198" s="33" t="e">
        <f>VLOOKUP(A1,DIV_13Data!$A$1:$DZU$1000000,3363,FALSE)</f>
        <v>#N/A</v>
      </c>
      <c r="N198" s="34" t="e">
        <f>VLOOKUP(A1,DIV_13Data!$A$1:$DZU$1000000,3364,FALSE)</f>
        <v>#N/A</v>
      </c>
      <c r="O198" s="35" t="e">
        <f>VLOOKUP(A1,DIV_13Data!$A$1:$DZU$1000000,3365,FALSE)</f>
        <v>#N/A</v>
      </c>
      <c r="P198" s="36" t="e">
        <f>VLOOKUP(A1,DIV_13Data!$A$1:$DZU$1000000,3366,FALSE)</f>
        <v>#N/A</v>
      </c>
      <c r="Q198" s="35" t="e">
        <f>VLOOKUP(A1,DIV_13Data!$A$1:$DZU$1000000,3367,FALSE)</f>
        <v>#N/A</v>
      </c>
    </row>
    <row r="199" spans="1:17" x14ac:dyDescent="0.35">
      <c r="A199" s="62" t="e">
        <f>VLOOKUP(A1,DIV_13Data!$A$1:$DZU$1000000,3368,FALSE)</f>
        <v>#N/A</v>
      </c>
      <c r="B199" s="63" t="e">
        <f>VLOOKUP(A1,DIV_13Data!$A$1:$DZU$1000000,3369,FALSE)</f>
        <v>#N/A</v>
      </c>
      <c r="C199" s="64" t="e">
        <f>VLOOKUP(A1,DIV_13Data!$A$1:$DZU$1000000,3370,FALSE)</f>
        <v>#N/A</v>
      </c>
      <c r="D199" s="65" t="e">
        <f>VLOOKUP(A1,DIV_13Data!$A$1:$DZU$1000000,3371,FALSE)</f>
        <v>#N/A</v>
      </c>
      <c r="E199" s="66" t="e">
        <f>VLOOKUP(A1,DIV_13Data!$A$1:$DZU$1000000,3372,FALSE)</f>
        <v>#N/A</v>
      </c>
      <c r="F199" s="67" t="e">
        <f>VLOOKUP(A1,DIV_13Data!$A$1:$DZU$1000000,3373,FALSE)</f>
        <v>#N/A</v>
      </c>
      <c r="G199" s="68" t="e">
        <f>VLOOKUP(A1,DIV_13Data!$A$1:$DZU$1000000,3374,FALSE)</f>
        <v>#N/A</v>
      </c>
      <c r="H199" s="67" t="e">
        <f>VLOOKUP(A1,DIV_13Data!$A$1:$DZU$1000000,3375,FALSE)</f>
        <v>#N/A</v>
      </c>
      <c r="I199" s="68" t="e">
        <f>VLOOKUP(A1,DIV_13Data!$A$1:$DZU$1000000,3376,FALSE)</f>
        <v>#N/A</v>
      </c>
      <c r="J199" s="67" t="e">
        <f>VLOOKUP(A1,DIV_13Data!$A$1:$DZU$1000000,3377,FALSE)</f>
        <v>#N/A</v>
      </c>
      <c r="K199" s="69" t="e">
        <f>VLOOKUP(A1,DIV_13Data!$A$1:$DZU$1000000,3378,FALSE)</f>
        <v>#N/A</v>
      </c>
      <c r="L199" s="67" t="e">
        <f>VLOOKUP(A1,DIV_13Data!$A$1:$DZU$1000000,3379,FALSE)</f>
        <v>#N/A</v>
      </c>
      <c r="M199" s="68" t="e">
        <f>VLOOKUP(A1,DIV_13Data!$A$1:$DZU$1000000,3380,FALSE)</f>
        <v>#N/A</v>
      </c>
      <c r="N199" s="67" t="e">
        <f>VLOOKUP(A1,DIV_13Data!$A$1:$DZU$1000000,3381,FALSE)</f>
        <v>#N/A</v>
      </c>
      <c r="O199" s="68" t="e">
        <f>VLOOKUP(A1,DIV_13Data!$A$1:$DZU$1000000,3382,FALSE)</f>
        <v>#N/A</v>
      </c>
      <c r="P199" s="70" t="e">
        <f>VLOOKUP(A1,DIV_13Data!$A$1:$DZU$1000000,3383,FALSE)</f>
        <v>#N/A</v>
      </c>
      <c r="Q199" s="68" t="e">
        <f>VLOOKUP(A1,DIV_13Data!$A$1:$DZU$1000000,3384,FALSE)</f>
        <v>#N/A</v>
      </c>
    </row>
    <row r="200" spans="1:17" x14ac:dyDescent="0.35">
      <c r="A200" s="1" t="e">
        <f>VLOOKUP(A1,DIV_13Data!$A$1:$DZU$1000000,3385,FALSE)</f>
        <v>#N/A</v>
      </c>
      <c r="B200" s="1" t="e">
        <f>VLOOKUP(A1,DIV_13Data!$A$1:$DZU$1000000,3386,FALSE)</f>
        <v>#N/A</v>
      </c>
      <c r="C200" s="1" t="e">
        <f>VLOOKUP(A1,DIV_13Data!$A$1:$DZU$1000000,3387,FALSE)</f>
        <v>#N/A</v>
      </c>
      <c r="D200" s="1" t="e">
        <f>VLOOKUP(A1,DIV_13Data!$A$1:$DZU$1000000,3388,FALSE)</f>
        <v>#N/A</v>
      </c>
      <c r="E200" s="1" t="e">
        <f>VLOOKUP(A1,DIV_13Data!$A$1:$DZU$1000000,3389,FALSE)</f>
        <v>#N/A</v>
      </c>
      <c r="F200" s="1" t="e">
        <f>VLOOKUP(A1,DIV_13Data!$A$1:$DZU$1000000,3390,FALSE)</f>
        <v>#N/A</v>
      </c>
      <c r="G200" s="1" t="e">
        <f>VLOOKUP(A1,DIV_13Data!$A$1:$DZU$1000000,3391,FALSE)</f>
        <v>#N/A</v>
      </c>
      <c r="H200" s="1" t="e">
        <f>VLOOKUP(A1,DIV_13Data!$A$1:$DZU$1000000,3392,FALSE)</f>
        <v>#N/A</v>
      </c>
      <c r="I200" s="1" t="e">
        <f>VLOOKUP(A1,DIV_13Data!$A$1:$DZU$1000000,3393,FALSE)</f>
        <v>#N/A</v>
      </c>
      <c r="J200" s="1" t="e">
        <f>VLOOKUP(A1,DIV_13Data!$A$1:$DZU$1000000,3394,FALSE)</f>
        <v>#N/A</v>
      </c>
      <c r="K200" s="1" t="e">
        <f>VLOOKUP(A1,DIV_13Data!$A$1:$DZU$1000000,3395,FALSE)</f>
        <v>#N/A</v>
      </c>
      <c r="L200" s="1" t="e">
        <f>VLOOKUP(A1,DIV_13Data!$A$1:$DZU$1000000,3396,FALSE)</f>
        <v>#N/A</v>
      </c>
      <c r="M200" s="1" t="e">
        <f>VLOOKUP(A1,DIV_13Data!$A$1:$DZU$1000000,3397,FALSE)</f>
        <v>#N/A</v>
      </c>
      <c r="N200" s="1" t="e">
        <f>VLOOKUP(A1,DIV_13Data!$A$1:$DZU$1000000,3398,FALSE)</f>
        <v>#N/A</v>
      </c>
      <c r="O200" s="1" t="e">
        <f>VLOOKUP(A1,DIV_13Data!$A$1:$DZU$1000000,3399,FALSE)</f>
        <v>#N/A</v>
      </c>
      <c r="P200" s="1" t="e">
        <f>VLOOKUP(A1,DIV_13Data!$A$1:$DZU$1000000,3400,FALSE)</f>
        <v>#N/A</v>
      </c>
      <c r="Q200" s="78" t="e">
        <f>VLOOKUP(A1,DIV_13Data!$A$1:$DZU$1000000,3401,FALSE)</f>
        <v>#N/A</v>
      </c>
    </row>
    <row r="201" spans="1:17" x14ac:dyDescent="0.35">
      <c r="A201" s="1"/>
      <c r="B201" s="1"/>
      <c r="C201" s="1"/>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1"/>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c r="D205" s="1"/>
      <c r="E205" s="1"/>
      <c r="F205" s="1"/>
      <c r="G205" s="1"/>
      <c r="H205" s="1"/>
      <c r="I205" s="1"/>
      <c r="J205" s="1"/>
      <c r="K205" s="1"/>
      <c r="L205" s="1"/>
      <c r="M205" s="1"/>
      <c r="N205" s="1"/>
      <c r="O205" s="1"/>
      <c r="P205" s="1"/>
      <c r="Q205" s="1"/>
    </row>
    <row r="206" spans="1:17" x14ac:dyDescent="0.35">
      <c r="A206" s="1"/>
      <c r="B206" s="1"/>
      <c r="C206" s="1"/>
      <c r="D206" s="1"/>
      <c r="E206" s="1"/>
      <c r="F206" s="1"/>
      <c r="G206" s="1"/>
      <c r="H206" s="1"/>
      <c r="I206" s="1"/>
      <c r="J206" s="1"/>
      <c r="K206" s="1"/>
      <c r="L206" s="1"/>
      <c r="M206" s="1"/>
      <c r="N206" s="1"/>
      <c r="O206" s="1"/>
      <c r="P206" s="1"/>
      <c r="Q206" s="1"/>
    </row>
    <row r="207" spans="1:17" x14ac:dyDescent="0.35">
      <c r="A207" s="1"/>
      <c r="B207" s="1"/>
      <c r="C207" s="1"/>
      <c r="D207" s="1"/>
      <c r="E207" s="1"/>
      <c r="F207" s="1"/>
      <c r="G207" s="1"/>
      <c r="H207" s="1"/>
      <c r="I207" s="1"/>
      <c r="J207" s="1"/>
      <c r="K207" s="1"/>
      <c r="L207" s="1"/>
      <c r="M207" s="1"/>
      <c r="N207" s="1"/>
      <c r="O207" s="1"/>
      <c r="P207" s="1"/>
      <c r="Q207" s="1"/>
    </row>
  </sheetData>
  <mergeCells count="9">
    <mergeCell ref="J5:K5"/>
    <mergeCell ref="J6:K6"/>
    <mergeCell ref="J7:K7"/>
    <mergeCell ref="B2:L2"/>
    <mergeCell ref="A3:B3"/>
    <mergeCell ref="D3:G3"/>
    <mergeCell ref="J3:K3"/>
    <mergeCell ref="A4:B4"/>
    <mergeCell ref="J4:K4"/>
  </mergeCells>
  <dataValidations count="1">
    <dataValidation type="list" allowBlank="1" showInputMessage="1" showErrorMessage="1" sqref="C16:C190" xr:uid="{40DE13D8-DA43-4CA5-A4A9-FE2420D51E3B}">
      <formula1>$C$205:$C207</formula1>
    </dataValidation>
  </dataValidations>
  <hyperlinks>
    <hyperlink ref="D3" r:id="rId1" display="datamateapp@gmail.com" xr:uid="{82D1AECE-1800-4D62-AF75-DA2A57A89863}"/>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75174" r:id="rId4" name="Button 6">
              <controlPr defaultSize="0" print="0" autoFill="0" autoPict="0" macro="[0]!ViewInput">
                <anchor moveWithCells="1" sizeWithCells="1">
                  <from>
                    <xdr:col>17</xdr:col>
                    <xdr:colOff>0</xdr:colOff>
                    <xdr:row>2</xdr:row>
                    <xdr:rowOff>50800</xdr:rowOff>
                  </from>
                  <to>
                    <xdr:col>19</xdr:col>
                    <xdr:colOff>50800</xdr:colOff>
                    <xdr:row>4</xdr:row>
                    <xdr:rowOff>101600</xdr:rowOff>
                  </to>
                </anchor>
              </controlPr>
            </control>
          </mc:Choice>
        </mc:AlternateContent>
        <mc:AlternateContent xmlns:mc="http://schemas.openxmlformats.org/markup-compatibility/2006">
          <mc:Choice Requires="x14">
            <control shapeId="775175" r:id="rId5" name="Button 7">
              <controlPr defaultSize="0" print="0" autoFill="0" autoPict="0" macro="[0]!ViewLog">
                <anchor moveWithCells="1" sizeWithCells="1">
                  <from>
                    <xdr:col>17</xdr:col>
                    <xdr:colOff>0</xdr:colOff>
                    <xdr:row>5</xdr:row>
                    <xdr:rowOff>50800</xdr:rowOff>
                  </from>
                  <to>
                    <xdr:col>19</xdr:col>
                    <xdr:colOff>50800</xdr:colOff>
                    <xdr:row>7</xdr:row>
                    <xdr:rowOff>57150</xdr:rowOff>
                  </to>
                </anchor>
              </controlPr>
            </control>
          </mc:Choice>
        </mc:AlternateContent>
        <mc:AlternateContent xmlns:mc="http://schemas.openxmlformats.org/markup-compatibility/2006">
          <mc:Choice Requires="x14">
            <control shapeId="775176" r:id="rId6" name="Button 8">
              <controlPr defaultSize="0" print="0" autoFill="0" autoPict="0" macro="[0]!OpenDataMateAppPage">
                <anchor moveWithCells="1" sizeWithCells="1">
                  <from>
                    <xdr:col>17</xdr:col>
                    <xdr:colOff>0</xdr:colOff>
                    <xdr:row>7</xdr:row>
                    <xdr:rowOff>171450</xdr:rowOff>
                  </from>
                  <to>
                    <xdr:col>19</xdr:col>
                    <xdr:colOff>50800</xdr:colOff>
                    <xdr:row>9</xdr:row>
                    <xdr:rowOff>171450</xdr:rowOff>
                  </to>
                </anchor>
              </controlPr>
            </control>
          </mc:Choice>
        </mc:AlternateContent>
        <mc:AlternateContent xmlns:mc="http://schemas.openxmlformats.org/markup-compatibility/2006">
          <mc:Choice Requires="x14">
            <control shapeId="775177" r:id="rId7" name="Button 9">
              <controlPr defaultSize="0" print="0" autoFill="0" autoPict="0" macro="RefreshView">
                <anchor moveWithCells="1" sizeWithCells="1">
                  <from>
                    <xdr:col>17</xdr:col>
                    <xdr:colOff>0</xdr:colOff>
                    <xdr:row>0</xdr:row>
                    <xdr:rowOff>0</xdr:rowOff>
                  </from>
                  <to>
                    <xdr:col>19</xdr:col>
                    <xdr:colOff>50800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6AA48A0-C447-4BF3-9C86-89B96120FDA2}">
          <x14:formula1>
            <xm:f>DIV_02Data!$A:$A</xm:f>
          </x14:formula1>
          <xm:sqref>B2:L2</xm:sqref>
        </x14:dataValidation>
      </x14:dataValidations>
    </ext>
  </extLst>
</worksheet>
</file>

<file path=xl/worksheets/sheet1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6A056-831F-48AD-B34D-5F907A87912F}">
  <sheetPr codeName="Sheet171"/>
  <dimension ref="A1:Q12"/>
  <sheetViews>
    <sheetView zoomScale="75" zoomScaleNormal="75" workbookViewId="0">
      <selection activeCell="D6" sqref="D6"/>
    </sheetView>
  </sheetViews>
  <sheetFormatPr defaultRowHeight="14.5" x14ac:dyDescent="0.35"/>
  <cols>
    <col min="1" max="1" width="28.26953125" customWidth="1"/>
    <col min="2" max="8" width="13.36328125" customWidth="1"/>
    <col min="9" max="9" width="50.36328125" customWidth="1"/>
    <col min="13" max="15" width="10.26953125" customWidth="1"/>
  </cols>
  <sheetData>
    <row r="1" spans="1:17" x14ac:dyDescent="0.35">
      <c r="A1" s="1"/>
      <c r="B1" s="1"/>
      <c r="C1" s="1"/>
      <c r="D1" s="1"/>
      <c r="E1" s="1"/>
      <c r="F1" s="1"/>
      <c r="G1" s="1"/>
      <c r="H1" s="1"/>
      <c r="I1" s="1"/>
      <c r="J1" s="1"/>
      <c r="K1" s="1"/>
      <c r="L1" s="1"/>
      <c r="M1" s="1"/>
      <c r="N1" s="1"/>
      <c r="O1" s="1"/>
      <c r="P1" s="1"/>
      <c r="Q1" s="1"/>
    </row>
    <row r="2" spans="1:17" ht="18.5" x14ac:dyDescent="0.45">
      <c r="A2" s="71" t="e">
        <f>[2]Blank!A3</f>
        <v>#REF!</v>
      </c>
      <c r="B2" s="1"/>
      <c r="C2" s="1"/>
      <c r="D2" s="1"/>
      <c r="E2" s="1"/>
      <c r="F2" s="1"/>
      <c r="G2" s="1"/>
      <c r="H2" s="1"/>
      <c r="I2" s="1"/>
      <c r="J2" s="1"/>
      <c r="K2" s="1"/>
      <c r="L2" s="1"/>
      <c r="M2" s="1"/>
      <c r="N2" s="1"/>
      <c r="O2" s="1"/>
      <c r="P2" s="1"/>
      <c r="Q2" s="1"/>
    </row>
    <row r="3" spans="1:17" x14ac:dyDescent="0.35">
      <c r="A3" s="1" t="s">
        <v>21395</v>
      </c>
      <c r="B3" s="246">
        <f ca="1">TODAY()</f>
        <v>45603</v>
      </c>
      <c r="C3" s="1"/>
      <c r="D3" s="1"/>
      <c r="E3" s="1"/>
      <c r="F3" s="1"/>
      <c r="G3" s="1"/>
      <c r="H3" s="1"/>
      <c r="I3" s="1"/>
      <c r="J3" s="1"/>
      <c r="K3" s="1"/>
      <c r="L3" s="1"/>
      <c r="M3" s="1"/>
      <c r="N3" s="1"/>
      <c r="O3" s="1"/>
      <c r="P3" s="1"/>
      <c r="Q3" s="1"/>
    </row>
    <row r="4" spans="1:17" x14ac:dyDescent="0.35">
      <c r="A4" s="1"/>
      <c r="B4" s="1"/>
      <c r="C4" s="1"/>
      <c r="D4" s="1"/>
      <c r="E4" s="1"/>
      <c r="F4" s="1"/>
      <c r="G4" s="1"/>
      <c r="H4" s="1"/>
      <c r="I4" s="1"/>
      <c r="J4" s="1"/>
      <c r="K4" s="1"/>
      <c r="L4" s="1"/>
      <c r="M4" s="1"/>
      <c r="N4" s="1"/>
      <c r="O4" s="1"/>
      <c r="P4" s="1"/>
      <c r="Q4" s="1"/>
    </row>
    <row r="5" spans="1:17" x14ac:dyDescent="0.35">
      <c r="A5" s="1"/>
      <c r="B5" s="1"/>
      <c r="C5" s="1"/>
      <c r="D5" s="1"/>
      <c r="E5" s="1"/>
      <c r="F5" s="1"/>
      <c r="G5" s="1"/>
      <c r="H5" s="1"/>
      <c r="I5" s="1"/>
      <c r="J5" s="1"/>
      <c r="K5" s="1"/>
      <c r="L5" s="1"/>
      <c r="M5" s="1"/>
      <c r="N5" s="1"/>
      <c r="O5" s="1"/>
      <c r="P5" s="1"/>
      <c r="Q5" s="1"/>
    </row>
    <row r="6" spans="1:17" x14ac:dyDescent="0.35">
      <c r="A6" s="1"/>
      <c r="B6" s="1"/>
      <c r="C6" s="1"/>
      <c r="D6" s="1"/>
      <c r="E6" s="1"/>
      <c r="F6" s="1"/>
      <c r="G6" s="1"/>
      <c r="H6" s="1"/>
      <c r="I6" s="1"/>
      <c r="J6" s="1"/>
      <c r="K6" s="1"/>
      <c r="L6" s="1"/>
      <c r="M6" s="1"/>
      <c r="N6" s="1"/>
      <c r="O6" s="1"/>
      <c r="P6" s="1"/>
      <c r="Q6" s="1"/>
    </row>
    <row r="7" spans="1:17" x14ac:dyDescent="0.35">
      <c r="A7" s="1"/>
      <c r="B7" s="1"/>
      <c r="C7" s="1"/>
      <c r="D7" s="1"/>
      <c r="E7" s="1"/>
      <c r="F7" s="1"/>
      <c r="G7" s="1"/>
      <c r="H7" s="1"/>
      <c r="I7" s="1"/>
      <c r="J7" s="1"/>
      <c r="K7" s="1"/>
      <c r="L7" s="1"/>
      <c r="M7" s="1"/>
      <c r="N7" s="1"/>
      <c r="O7" s="1"/>
      <c r="P7" s="1"/>
      <c r="Q7" s="1"/>
    </row>
    <row r="8" spans="1:17" x14ac:dyDescent="0.35">
      <c r="A8" s="1"/>
      <c r="B8" s="1"/>
      <c r="C8" s="1"/>
      <c r="D8" s="1"/>
      <c r="E8" s="1"/>
      <c r="F8" s="1"/>
      <c r="G8" s="1"/>
      <c r="H8" s="1"/>
      <c r="I8" s="1"/>
      <c r="J8" s="1"/>
      <c r="K8" s="1"/>
      <c r="L8" s="1"/>
      <c r="M8" s="1"/>
      <c r="N8" s="1"/>
      <c r="O8" s="1"/>
      <c r="P8" s="1"/>
      <c r="Q8" s="1"/>
    </row>
    <row r="9" spans="1:17" x14ac:dyDescent="0.35">
      <c r="A9" s="1"/>
      <c r="B9" s="1"/>
      <c r="C9" s="1"/>
      <c r="D9" s="1"/>
      <c r="E9" s="1"/>
      <c r="F9" s="1"/>
      <c r="G9" s="1"/>
      <c r="H9" s="1"/>
      <c r="I9" s="1"/>
      <c r="J9" s="1"/>
      <c r="K9" s="1"/>
      <c r="L9" s="1"/>
      <c r="M9" s="1"/>
      <c r="N9" s="1"/>
      <c r="O9" s="1"/>
      <c r="P9" s="1"/>
      <c r="Q9" s="1"/>
    </row>
    <row r="10" spans="1:17" x14ac:dyDescent="0.35">
      <c r="A10" s="1"/>
      <c r="B10" s="1"/>
      <c r="C10" s="1"/>
      <c r="D10" s="1"/>
      <c r="E10" s="1"/>
      <c r="F10" s="1"/>
      <c r="G10" s="1"/>
      <c r="H10" s="1"/>
      <c r="I10" s="1"/>
      <c r="J10" s="1"/>
      <c r="K10" s="1"/>
      <c r="L10" s="1"/>
      <c r="M10" s="1"/>
      <c r="N10" s="1"/>
      <c r="O10" s="1"/>
      <c r="P10" s="1"/>
      <c r="Q10" s="1"/>
    </row>
    <row r="11" spans="1:17" x14ac:dyDescent="0.35">
      <c r="A11" s="1"/>
      <c r="B11" s="1"/>
      <c r="C11" s="1"/>
      <c r="D11" s="1"/>
      <c r="E11" s="1"/>
      <c r="F11" s="1"/>
      <c r="G11" s="1"/>
      <c r="H11" s="1"/>
      <c r="I11" s="1"/>
      <c r="J11" s="1"/>
      <c r="K11" s="1"/>
      <c r="L11" s="1"/>
      <c r="M11" s="1"/>
      <c r="N11" s="1"/>
      <c r="O11" s="1"/>
      <c r="P11" s="1"/>
      <c r="Q11" s="1"/>
    </row>
    <row r="12" spans="1:17" x14ac:dyDescent="0.35">
      <c r="A12" s="1"/>
      <c r="B12" s="1"/>
      <c r="C12" s="1"/>
      <c r="D12" s="1"/>
      <c r="E12" s="1"/>
      <c r="F12" s="1"/>
      <c r="G12" s="1"/>
      <c r="H12" s="1"/>
      <c r="I12" s="1"/>
      <c r="J12" s="1"/>
      <c r="K12" s="1"/>
      <c r="L12" s="1"/>
      <c r="M12" s="1"/>
      <c r="N12" s="1"/>
      <c r="O12" s="1"/>
      <c r="P12" s="1"/>
      <c r="Q12"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76193" r:id="rId3" name="Button 1">
              <controlPr defaultSize="0" print="0" autoFill="0" autoPict="0" macro="[0]!ViewInput">
                <anchor moveWithCells="1" sizeWithCells="1">
                  <from>
                    <xdr:col>16</xdr:col>
                    <xdr:colOff>603250</xdr:colOff>
                    <xdr:row>0</xdr:row>
                    <xdr:rowOff>0</xdr:rowOff>
                  </from>
                  <to>
                    <xdr:col>19</xdr:col>
                    <xdr:colOff>44450</xdr:colOff>
                    <xdr:row>2</xdr:row>
                    <xdr:rowOff>12700</xdr:rowOff>
                  </to>
                </anchor>
              </controlPr>
            </control>
          </mc:Choice>
        </mc:AlternateContent>
        <mc:AlternateContent xmlns:mc="http://schemas.openxmlformats.org/markup-compatibility/2006">
          <mc:Choice Requires="x14">
            <control shapeId="776194" r:id="rId4" name="Button 2">
              <controlPr defaultSize="0" print="0" autoFill="0" autoPict="0" macro="[0]!ViewView_Print">
                <anchor moveWithCells="1" sizeWithCells="1">
                  <from>
                    <xdr:col>16</xdr:col>
                    <xdr:colOff>603250</xdr:colOff>
                    <xdr:row>2</xdr:row>
                    <xdr:rowOff>38100</xdr:rowOff>
                  </from>
                  <to>
                    <xdr:col>19</xdr:col>
                    <xdr:colOff>44450</xdr:colOff>
                    <xdr:row>4</xdr:row>
                    <xdr:rowOff>50800</xdr:rowOff>
                  </to>
                </anchor>
              </controlPr>
            </control>
          </mc:Choice>
        </mc:AlternateContent>
        <mc:AlternateContent xmlns:mc="http://schemas.openxmlformats.org/markup-compatibility/2006">
          <mc:Choice Requires="x14">
            <control shapeId="776195" r:id="rId5" name="Button 3">
              <controlPr defaultSize="0" print="0" autoFill="0" autoPict="0" macro="[0]!ViewUpdate">
                <anchor moveWithCells="1" sizeWithCells="1">
                  <from>
                    <xdr:col>16</xdr:col>
                    <xdr:colOff>603250</xdr:colOff>
                    <xdr:row>4</xdr:row>
                    <xdr:rowOff>76200</xdr:rowOff>
                  </from>
                  <to>
                    <xdr:col>19</xdr:col>
                    <xdr:colOff>44450</xdr:colOff>
                    <xdr:row>6</xdr:row>
                    <xdr:rowOff>88900</xdr:rowOff>
                  </to>
                </anchor>
              </controlPr>
            </control>
          </mc:Choice>
        </mc:AlternateContent>
      </controls>
    </mc:Choice>
  </mc:AlternateContent>
</worksheet>
</file>

<file path=xl/worksheets/sheet1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89C2C-C582-480D-ACD2-A576F48A2020}">
  <sheetPr codeName="Sheet172"/>
  <dimension ref="A1:Q207"/>
  <sheetViews>
    <sheetView workbookViewId="0">
      <selection activeCell="C4" sqref="C4"/>
    </sheetView>
  </sheetViews>
  <sheetFormatPr defaultRowHeight="14.5" x14ac:dyDescent="0.35"/>
  <cols>
    <col min="1" max="1" width="8.7265625" style="248"/>
    <col min="5" max="5" width="22.08984375" style="248" customWidth="1"/>
    <col min="6" max="6" width="8.7265625" style="248"/>
    <col min="7" max="11" width="11.6328125" style="248" customWidth="1"/>
    <col min="12" max="12" width="12.26953125" style="248" customWidth="1"/>
    <col min="13" max="13" width="34.54296875" style="248" customWidth="1"/>
    <col min="14" max="16" width="8.7265625" style="248"/>
  </cols>
  <sheetData>
    <row r="1" spans="1:17" x14ac:dyDescent="0.35">
      <c r="A1" s="76"/>
      <c r="B1" s="73" t="str">
        <f>DIV_08View_Print!M1</f>
        <v>Update 1</v>
      </c>
      <c r="C1" s="73" t="str">
        <f>DIV_08View_Print!N1</f>
        <v>Update 2</v>
      </c>
      <c r="D1" s="73" t="str">
        <f>DIV_08View_Print!O1</f>
        <v>Update 3</v>
      </c>
      <c r="E1" s="74" t="str">
        <f>SEC_081000!A1</f>
        <v>AREA/FLOOR/ZONE</v>
      </c>
      <c r="F1" s="74" t="str">
        <f>SEC_081000!B1</f>
        <v>Page</v>
      </c>
      <c r="G1" s="74" t="str">
        <f>SEC_081000!C1</f>
        <v>SUB COST</v>
      </c>
      <c r="H1" s="74" t="str">
        <f>SEC_081000!D1</f>
        <v>MAT COST</v>
      </c>
      <c r="I1" s="74" t="str">
        <f>SEC_081000!E1</f>
        <v>LAB COST</v>
      </c>
      <c r="J1" s="74" t="str">
        <f>SEC_081000!F1</f>
        <v>EQUIP COST</v>
      </c>
      <c r="K1" s="74" t="str">
        <f>SEC_081000!G1</f>
        <v>Total Cost</v>
      </c>
      <c r="L1" s="74" t="str">
        <f>SEC_081000!H1</f>
        <v>Date</v>
      </c>
      <c r="M1" s="74" t="str">
        <f>SEC_081000!I1</f>
        <v>Description</v>
      </c>
      <c r="N1" s="74" t="str">
        <f>SEC_081000!J1</f>
        <v>Log 10</v>
      </c>
      <c r="O1" s="74" t="str">
        <f>SEC_081000!K1</f>
        <v>Log 11</v>
      </c>
      <c r="P1" s="75" t="str">
        <f>SEC_081000!L1</f>
        <v>Log 12</v>
      </c>
      <c r="Q1" s="1"/>
    </row>
    <row r="2" spans="1:17" x14ac:dyDescent="0.35">
      <c r="A2" s="76"/>
      <c r="B2" s="1"/>
      <c r="C2" s="1"/>
      <c r="D2" s="1"/>
      <c r="E2" s="76"/>
      <c r="F2" s="76"/>
      <c r="G2" s="76"/>
      <c r="H2" s="76"/>
      <c r="I2" s="76"/>
      <c r="J2" s="76"/>
      <c r="K2" s="76"/>
      <c r="L2" s="76"/>
      <c r="M2" s="76"/>
      <c r="N2" s="76"/>
      <c r="O2" s="76"/>
      <c r="P2" s="76"/>
      <c r="Q2" s="1"/>
    </row>
    <row r="3" spans="1:17" x14ac:dyDescent="0.35">
      <c r="A3" s="76"/>
      <c r="B3" s="1"/>
      <c r="C3" s="1"/>
      <c r="D3" s="1"/>
      <c r="E3" s="76"/>
      <c r="F3" s="76"/>
      <c r="G3" s="76"/>
      <c r="H3" s="76"/>
      <c r="I3" s="76"/>
      <c r="J3" s="76"/>
      <c r="K3" s="76"/>
      <c r="L3" s="76"/>
      <c r="M3" s="76"/>
      <c r="N3" s="76"/>
      <c r="O3" s="76"/>
      <c r="P3" s="76"/>
      <c r="Q3" s="1"/>
    </row>
    <row r="4" spans="1:17" x14ac:dyDescent="0.35">
      <c r="A4" s="76"/>
      <c r="B4" s="1"/>
      <c r="C4" s="1"/>
      <c r="D4" s="1"/>
      <c r="E4" s="76"/>
      <c r="F4" s="76"/>
      <c r="G4" s="76"/>
      <c r="H4" s="76"/>
      <c r="I4" s="76"/>
      <c r="J4" s="76"/>
      <c r="K4" s="76"/>
      <c r="L4" s="76"/>
      <c r="M4" s="76"/>
      <c r="N4" s="76"/>
      <c r="O4" s="76"/>
      <c r="P4" s="76"/>
      <c r="Q4" s="1"/>
    </row>
    <row r="5" spans="1:17" x14ac:dyDescent="0.35">
      <c r="A5" s="76"/>
      <c r="B5" s="1"/>
      <c r="C5" s="1"/>
      <c r="D5" s="1"/>
      <c r="E5" s="76"/>
      <c r="F5" s="76"/>
      <c r="G5" s="76"/>
      <c r="H5" s="76"/>
      <c r="I5" s="76"/>
      <c r="J5" s="76"/>
      <c r="K5" s="76"/>
      <c r="L5" s="76"/>
      <c r="M5" s="76"/>
      <c r="N5" s="76"/>
      <c r="O5" s="76"/>
      <c r="P5" s="76"/>
      <c r="Q5" s="1"/>
    </row>
    <row r="6" spans="1:17" x14ac:dyDescent="0.35">
      <c r="A6" s="76"/>
      <c r="B6" s="1"/>
      <c r="C6" s="1"/>
      <c r="D6" s="1"/>
      <c r="E6" s="76"/>
      <c r="F6" s="76"/>
      <c r="G6" s="76"/>
      <c r="H6" s="76"/>
      <c r="I6" s="76"/>
      <c r="J6" s="76"/>
      <c r="K6" s="76"/>
      <c r="L6" s="76"/>
      <c r="M6" s="76"/>
      <c r="N6" s="76"/>
      <c r="O6" s="76"/>
      <c r="P6" s="76"/>
      <c r="Q6" s="1"/>
    </row>
    <row r="7" spans="1:17" x14ac:dyDescent="0.35">
      <c r="A7" s="76"/>
      <c r="B7" s="1"/>
      <c r="C7" s="1"/>
      <c r="D7" s="1"/>
      <c r="E7" s="76"/>
      <c r="F7" s="76"/>
      <c r="G7" s="76"/>
      <c r="H7" s="76"/>
      <c r="I7" s="76"/>
      <c r="J7" s="76"/>
      <c r="K7" s="76"/>
      <c r="L7" s="76"/>
      <c r="M7" s="76"/>
      <c r="N7" s="76"/>
      <c r="O7" s="76"/>
      <c r="P7" s="76"/>
      <c r="Q7" s="1"/>
    </row>
    <row r="8" spans="1:17" x14ac:dyDescent="0.35">
      <c r="A8" s="76"/>
      <c r="B8" s="1"/>
      <c r="C8" s="1"/>
      <c r="D8" s="1"/>
      <c r="E8" s="76"/>
      <c r="F8" s="76"/>
      <c r="G8" s="76"/>
      <c r="H8" s="76"/>
      <c r="I8" s="76"/>
      <c r="J8" s="76"/>
      <c r="K8" s="76"/>
      <c r="L8" s="76"/>
      <c r="M8" s="76"/>
      <c r="N8" s="76"/>
      <c r="O8" s="76"/>
      <c r="P8" s="76"/>
      <c r="Q8" s="1"/>
    </row>
    <row r="9" spans="1:17" x14ac:dyDescent="0.35">
      <c r="A9" s="76"/>
      <c r="B9" s="1"/>
      <c r="C9" s="1"/>
      <c r="D9" s="1"/>
      <c r="E9" s="76"/>
      <c r="F9" s="76"/>
      <c r="G9" s="76"/>
      <c r="H9" s="76"/>
      <c r="I9" s="76"/>
      <c r="J9" s="76"/>
      <c r="K9" s="76"/>
      <c r="L9" s="76"/>
      <c r="M9" s="76"/>
      <c r="N9" s="76"/>
      <c r="O9" s="76"/>
      <c r="P9" s="76"/>
      <c r="Q9" s="1"/>
    </row>
    <row r="10" spans="1:17" x14ac:dyDescent="0.35">
      <c r="A10" s="76"/>
      <c r="B10" s="1"/>
      <c r="C10" s="1"/>
      <c r="D10" s="1"/>
      <c r="E10" s="76"/>
      <c r="F10" s="76"/>
      <c r="G10" s="76"/>
      <c r="H10" s="76"/>
      <c r="I10" s="76"/>
      <c r="J10" s="76"/>
      <c r="K10" s="76"/>
      <c r="L10" s="76"/>
      <c r="M10" s="76"/>
      <c r="N10" s="76"/>
      <c r="O10" s="76"/>
      <c r="P10" s="76"/>
      <c r="Q10" s="1"/>
    </row>
    <row r="11" spans="1:17" x14ac:dyDescent="0.35">
      <c r="A11" s="76"/>
      <c r="B11" s="1"/>
      <c r="C11" s="1"/>
      <c r="D11" s="1"/>
      <c r="E11" s="76"/>
      <c r="F11" s="76"/>
      <c r="G11" s="76"/>
      <c r="H11" s="76"/>
      <c r="I11" s="76"/>
      <c r="J11" s="76"/>
      <c r="K11" s="76"/>
      <c r="L11" s="76"/>
      <c r="M11" s="76"/>
      <c r="N11" s="76"/>
      <c r="O11" s="76"/>
      <c r="P11" s="76"/>
      <c r="Q11" s="1"/>
    </row>
    <row r="12" spans="1:17" x14ac:dyDescent="0.35">
      <c r="A12" s="76"/>
      <c r="B12" s="1"/>
      <c r="C12" s="1"/>
      <c r="D12" s="1"/>
      <c r="E12" s="76"/>
      <c r="F12" s="76"/>
      <c r="G12" s="76"/>
      <c r="H12" s="76"/>
      <c r="I12" s="76"/>
      <c r="J12" s="76"/>
      <c r="K12" s="76"/>
      <c r="L12" s="76"/>
      <c r="M12" s="76"/>
      <c r="N12" s="76"/>
      <c r="O12" s="76"/>
      <c r="P12" s="76"/>
      <c r="Q12" s="1"/>
    </row>
    <row r="13" spans="1:17" x14ac:dyDescent="0.35">
      <c r="A13" s="76"/>
      <c r="B13" s="1"/>
      <c r="C13" s="1"/>
      <c r="D13" s="1"/>
      <c r="E13" s="76"/>
      <c r="F13" s="76"/>
      <c r="G13" s="76"/>
      <c r="H13" s="76"/>
      <c r="I13" s="76"/>
      <c r="J13" s="76"/>
      <c r="K13" s="76"/>
      <c r="L13" s="76"/>
      <c r="M13" s="76"/>
      <c r="N13" s="76"/>
      <c r="O13" s="76"/>
      <c r="P13" s="76"/>
      <c r="Q13" s="1"/>
    </row>
    <row r="14" spans="1:17" x14ac:dyDescent="0.35">
      <c r="A14" s="76"/>
      <c r="B14" s="1"/>
      <c r="C14" s="1"/>
      <c r="D14" s="1"/>
      <c r="E14" s="76"/>
      <c r="F14" s="76"/>
      <c r="G14" s="76"/>
      <c r="H14" s="76"/>
      <c r="I14" s="76"/>
      <c r="J14" s="76"/>
      <c r="K14" s="76"/>
      <c r="L14" s="76"/>
      <c r="M14" s="76"/>
      <c r="N14" s="76"/>
      <c r="O14" s="76"/>
      <c r="P14" s="76"/>
      <c r="Q14" s="1"/>
    </row>
    <row r="15" spans="1:17" x14ac:dyDescent="0.35">
      <c r="A15" s="76"/>
      <c r="B15" s="1"/>
      <c r="C15" s="1"/>
      <c r="D15" s="1"/>
      <c r="E15" s="76"/>
      <c r="F15" s="76"/>
      <c r="G15" s="76"/>
      <c r="H15" s="76"/>
      <c r="I15" s="76"/>
      <c r="J15" s="76"/>
      <c r="K15" s="76"/>
      <c r="L15" s="76"/>
      <c r="M15" s="76"/>
      <c r="N15" s="76"/>
      <c r="O15" s="76"/>
      <c r="P15" s="76"/>
      <c r="Q15" s="1"/>
    </row>
    <row r="16" spans="1:17" x14ac:dyDescent="0.35">
      <c r="A16" s="76"/>
      <c r="B16" s="1"/>
      <c r="C16" s="1"/>
      <c r="D16" s="1"/>
      <c r="E16" s="76"/>
      <c r="F16" s="76"/>
      <c r="G16" s="76"/>
      <c r="H16" s="76"/>
      <c r="I16" s="76"/>
      <c r="J16" s="76"/>
      <c r="K16" s="76"/>
      <c r="L16" s="76"/>
      <c r="M16" s="76"/>
      <c r="N16" s="76"/>
      <c r="O16" s="76"/>
      <c r="P16" s="76"/>
      <c r="Q16" s="1"/>
    </row>
    <row r="17" spans="1:17" x14ac:dyDescent="0.35">
      <c r="A17" s="76"/>
      <c r="B17" s="1"/>
      <c r="C17" s="1"/>
      <c r="D17" s="1"/>
      <c r="E17" s="76"/>
      <c r="F17" s="76"/>
      <c r="G17" s="76"/>
      <c r="H17" s="76"/>
      <c r="I17" s="76"/>
      <c r="J17" s="76"/>
      <c r="K17" s="76"/>
      <c r="L17" s="76"/>
      <c r="M17" s="76"/>
      <c r="N17" s="76"/>
      <c r="O17" s="76"/>
      <c r="P17" s="76"/>
      <c r="Q17" s="1"/>
    </row>
    <row r="18" spans="1:17" x14ac:dyDescent="0.35">
      <c r="A18" s="76"/>
      <c r="B18" s="1"/>
      <c r="C18" s="1"/>
      <c r="D18" s="1"/>
      <c r="E18" s="76"/>
      <c r="F18" s="76"/>
      <c r="G18" s="76"/>
      <c r="H18" s="76"/>
      <c r="I18" s="76"/>
      <c r="J18" s="76"/>
      <c r="K18" s="76"/>
      <c r="L18" s="76"/>
      <c r="M18" s="76"/>
      <c r="N18" s="76"/>
      <c r="O18" s="76"/>
      <c r="P18" s="76"/>
      <c r="Q18" s="1"/>
    </row>
    <row r="19" spans="1:17" x14ac:dyDescent="0.35">
      <c r="A19" s="76"/>
      <c r="B19" s="1"/>
      <c r="C19" s="1"/>
      <c r="D19" s="1"/>
      <c r="E19" s="76"/>
      <c r="F19" s="76"/>
      <c r="G19" s="76"/>
      <c r="H19" s="76"/>
      <c r="I19" s="76"/>
      <c r="J19" s="76"/>
      <c r="K19" s="76"/>
      <c r="L19" s="76"/>
      <c r="M19" s="76"/>
      <c r="N19" s="76"/>
      <c r="O19" s="76"/>
      <c r="P19" s="76"/>
      <c r="Q19" s="1"/>
    </row>
    <row r="20" spans="1:17" x14ac:dyDescent="0.35">
      <c r="A20" s="76"/>
      <c r="B20" s="1"/>
      <c r="C20" s="1"/>
      <c r="D20" s="1"/>
      <c r="E20" s="76"/>
      <c r="F20" s="76"/>
      <c r="G20" s="76"/>
      <c r="H20" s="76"/>
      <c r="I20" s="76"/>
      <c r="J20" s="76"/>
      <c r="K20" s="76"/>
      <c r="L20" s="76"/>
      <c r="M20" s="76"/>
      <c r="N20" s="76"/>
      <c r="O20" s="76"/>
      <c r="P20" s="76"/>
      <c r="Q20" s="1"/>
    </row>
    <row r="21" spans="1:17" x14ac:dyDescent="0.35">
      <c r="A21" s="76"/>
      <c r="B21" s="1"/>
      <c r="C21" s="1"/>
      <c r="D21" s="1"/>
      <c r="E21" s="76"/>
      <c r="F21" s="76"/>
      <c r="G21" s="76"/>
      <c r="H21" s="76"/>
      <c r="I21" s="76"/>
      <c r="J21" s="76"/>
      <c r="K21" s="76"/>
      <c r="L21" s="76"/>
      <c r="M21" s="76"/>
      <c r="N21" s="76"/>
      <c r="O21" s="76"/>
      <c r="P21" s="76"/>
      <c r="Q21" s="1"/>
    </row>
    <row r="22" spans="1:17" x14ac:dyDescent="0.35">
      <c r="A22" s="76"/>
      <c r="B22" s="1"/>
      <c r="C22" s="1"/>
      <c r="D22" s="1"/>
      <c r="E22" s="76"/>
      <c r="F22" s="76"/>
      <c r="G22" s="76"/>
      <c r="H22" s="76"/>
      <c r="I22" s="76"/>
      <c r="J22" s="76"/>
      <c r="K22" s="76"/>
      <c r="L22" s="76"/>
      <c r="M22" s="76"/>
      <c r="N22" s="76"/>
      <c r="O22" s="76"/>
      <c r="P22" s="76"/>
      <c r="Q22" s="1"/>
    </row>
    <row r="23" spans="1:17" x14ac:dyDescent="0.35">
      <c r="A23" s="76"/>
      <c r="B23" s="1"/>
      <c r="C23" s="1"/>
      <c r="D23" s="1"/>
      <c r="E23" s="76"/>
      <c r="F23" s="76"/>
      <c r="G23" s="76"/>
      <c r="H23" s="76"/>
      <c r="I23" s="76"/>
      <c r="J23" s="76"/>
      <c r="K23" s="76"/>
      <c r="L23" s="76"/>
      <c r="M23" s="76"/>
      <c r="N23" s="76"/>
      <c r="O23" s="76"/>
      <c r="P23" s="76"/>
      <c r="Q23" s="1"/>
    </row>
    <row r="24" spans="1:17" x14ac:dyDescent="0.35">
      <c r="A24" s="76"/>
      <c r="B24" s="1"/>
      <c r="C24" s="1"/>
      <c r="D24" s="1"/>
      <c r="E24" s="76"/>
      <c r="F24" s="76"/>
      <c r="G24" s="76"/>
      <c r="H24" s="76"/>
      <c r="I24" s="76"/>
      <c r="J24" s="76"/>
      <c r="K24" s="76"/>
      <c r="L24" s="76"/>
      <c r="M24" s="76"/>
      <c r="N24" s="76"/>
      <c r="O24" s="76"/>
      <c r="P24" s="76"/>
      <c r="Q24" s="1"/>
    </row>
    <row r="25" spans="1:17" x14ac:dyDescent="0.35">
      <c r="A25" s="76"/>
      <c r="B25" s="1"/>
      <c r="C25" s="1"/>
      <c r="D25" s="1"/>
      <c r="E25" s="76"/>
      <c r="F25" s="76"/>
      <c r="G25" s="76"/>
      <c r="H25" s="76"/>
      <c r="I25" s="76"/>
      <c r="J25" s="76"/>
      <c r="K25" s="76"/>
      <c r="L25" s="76"/>
      <c r="M25" s="76"/>
      <c r="N25" s="76"/>
      <c r="O25" s="76"/>
      <c r="P25" s="76"/>
      <c r="Q25" s="1"/>
    </row>
    <row r="26" spans="1:17" x14ac:dyDescent="0.35">
      <c r="A26" s="76"/>
      <c r="B26" s="1"/>
      <c r="C26" s="1"/>
      <c r="D26" s="1"/>
      <c r="E26" s="76"/>
      <c r="F26" s="76"/>
      <c r="G26" s="76"/>
      <c r="H26" s="76"/>
      <c r="I26" s="76"/>
      <c r="J26" s="76"/>
      <c r="K26" s="76"/>
      <c r="L26" s="76"/>
      <c r="M26" s="76"/>
      <c r="N26" s="76"/>
      <c r="O26" s="76"/>
      <c r="P26" s="76"/>
      <c r="Q26" s="1"/>
    </row>
    <row r="27" spans="1:17" x14ac:dyDescent="0.35">
      <c r="A27" s="76"/>
      <c r="B27" s="1"/>
      <c r="C27" s="1"/>
      <c r="D27" s="1"/>
      <c r="E27" s="76"/>
      <c r="F27" s="76"/>
      <c r="G27" s="76"/>
      <c r="H27" s="76"/>
      <c r="I27" s="76"/>
      <c r="J27" s="76"/>
      <c r="K27" s="76"/>
      <c r="L27" s="76"/>
      <c r="M27" s="76"/>
      <c r="N27" s="76"/>
      <c r="O27" s="76"/>
      <c r="P27" s="76"/>
      <c r="Q27" s="1"/>
    </row>
    <row r="28" spans="1:17" x14ac:dyDescent="0.35">
      <c r="A28" s="76"/>
      <c r="B28" s="1"/>
      <c r="C28" s="1"/>
      <c r="D28" s="1"/>
      <c r="E28" s="76"/>
      <c r="F28" s="76"/>
      <c r="G28" s="76"/>
      <c r="H28" s="76"/>
      <c r="I28" s="76"/>
      <c r="J28" s="76"/>
      <c r="K28" s="76"/>
      <c r="L28" s="76"/>
      <c r="M28" s="76"/>
      <c r="N28" s="76"/>
      <c r="O28" s="76"/>
      <c r="P28" s="76"/>
      <c r="Q28" s="1"/>
    </row>
    <row r="29" spans="1:17" x14ac:dyDescent="0.35">
      <c r="A29" s="76"/>
      <c r="B29" s="1"/>
      <c r="C29" s="1"/>
      <c r="D29" s="1"/>
      <c r="E29" s="76"/>
      <c r="F29" s="76"/>
      <c r="G29" s="76"/>
      <c r="H29" s="76"/>
      <c r="I29" s="76"/>
      <c r="J29" s="76"/>
      <c r="K29" s="76"/>
      <c r="L29" s="76"/>
      <c r="M29" s="76"/>
      <c r="N29" s="76"/>
      <c r="O29" s="76"/>
      <c r="P29" s="76"/>
      <c r="Q29" s="1"/>
    </row>
    <row r="30" spans="1:17" x14ac:dyDescent="0.35">
      <c r="A30" s="76"/>
      <c r="B30" s="1"/>
      <c r="C30" s="1"/>
      <c r="D30" s="1"/>
      <c r="E30" s="76"/>
      <c r="F30" s="76"/>
      <c r="G30" s="76"/>
      <c r="H30" s="76"/>
      <c r="I30" s="76"/>
      <c r="J30" s="76"/>
      <c r="K30" s="76"/>
      <c r="L30" s="76"/>
      <c r="M30" s="76"/>
      <c r="N30" s="76"/>
      <c r="O30" s="76"/>
      <c r="P30" s="76"/>
      <c r="Q30" s="1"/>
    </row>
    <row r="31" spans="1:17" x14ac:dyDescent="0.35">
      <c r="A31" s="76"/>
      <c r="B31" s="1"/>
      <c r="C31" s="1"/>
      <c r="D31" s="1"/>
      <c r="E31" s="76"/>
      <c r="F31" s="76"/>
      <c r="G31" s="76"/>
      <c r="H31" s="76"/>
      <c r="I31" s="76"/>
      <c r="J31" s="76"/>
      <c r="K31" s="76"/>
      <c r="L31" s="76"/>
      <c r="M31" s="76"/>
      <c r="N31" s="76"/>
      <c r="O31" s="76"/>
      <c r="P31" s="76"/>
      <c r="Q31" s="1"/>
    </row>
    <row r="32" spans="1:17" x14ac:dyDescent="0.35">
      <c r="A32" s="76"/>
      <c r="B32" s="1"/>
      <c r="C32" s="1"/>
      <c r="D32" s="1"/>
      <c r="E32" s="76"/>
      <c r="F32" s="76"/>
      <c r="G32" s="76"/>
      <c r="H32" s="76"/>
      <c r="I32" s="76"/>
      <c r="J32" s="76"/>
      <c r="K32" s="76"/>
      <c r="L32" s="76"/>
      <c r="M32" s="76"/>
      <c r="N32" s="76"/>
      <c r="O32" s="76"/>
      <c r="P32" s="76"/>
      <c r="Q32" s="1"/>
    </row>
    <row r="33" spans="1:17" x14ac:dyDescent="0.35">
      <c r="A33" s="76"/>
      <c r="B33" s="1"/>
      <c r="C33" s="1"/>
      <c r="D33" s="1"/>
      <c r="E33" s="76"/>
      <c r="F33" s="76"/>
      <c r="G33" s="76"/>
      <c r="H33" s="76"/>
      <c r="I33" s="76"/>
      <c r="J33" s="76"/>
      <c r="K33" s="76"/>
      <c r="L33" s="76"/>
      <c r="M33" s="76"/>
      <c r="N33" s="76"/>
      <c r="O33" s="76"/>
      <c r="P33" s="76"/>
      <c r="Q33" s="1"/>
    </row>
    <row r="34" spans="1:17" x14ac:dyDescent="0.35">
      <c r="A34" s="76"/>
      <c r="B34" s="1"/>
      <c r="C34" s="1"/>
      <c r="D34" s="1"/>
      <c r="E34" s="76"/>
      <c r="F34" s="76"/>
      <c r="G34" s="76"/>
      <c r="H34" s="76"/>
      <c r="I34" s="76"/>
      <c r="J34" s="76"/>
      <c r="K34" s="76"/>
      <c r="L34" s="76"/>
      <c r="M34" s="76"/>
      <c r="N34" s="76"/>
      <c r="O34" s="76"/>
      <c r="P34" s="76"/>
      <c r="Q34" s="1"/>
    </row>
    <row r="35" spans="1:17" x14ac:dyDescent="0.35">
      <c r="A35" s="76"/>
      <c r="B35" s="1"/>
      <c r="C35" s="1"/>
      <c r="D35" s="1"/>
      <c r="E35" s="76"/>
      <c r="F35" s="76"/>
      <c r="G35" s="76"/>
      <c r="H35" s="76"/>
      <c r="I35" s="76"/>
      <c r="J35" s="76"/>
      <c r="K35" s="76"/>
      <c r="L35" s="76"/>
      <c r="M35" s="76"/>
      <c r="N35" s="76"/>
      <c r="O35" s="76"/>
      <c r="P35" s="76"/>
      <c r="Q35" s="1"/>
    </row>
    <row r="36" spans="1:17" x14ac:dyDescent="0.35">
      <c r="A36" s="76"/>
      <c r="B36" s="1"/>
      <c r="C36" s="1"/>
      <c r="D36" s="1"/>
      <c r="E36" s="76"/>
      <c r="F36" s="76"/>
      <c r="G36" s="76"/>
      <c r="H36" s="76"/>
      <c r="I36" s="76"/>
      <c r="J36" s="76"/>
      <c r="K36" s="76"/>
      <c r="L36" s="76"/>
      <c r="M36" s="76"/>
      <c r="N36" s="76"/>
      <c r="O36" s="76"/>
      <c r="P36" s="76"/>
      <c r="Q36" s="1"/>
    </row>
    <row r="37" spans="1:17" x14ac:dyDescent="0.35">
      <c r="A37" s="76"/>
      <c r="B37" s="1"/>
      <c r="C37" s="1"/>
      <c r="D37" s="1"/>
      <c r="E37" s="76"/>
      <c r="F37" s="76"/>
      <c r="G37" s="76"/>
      <c r="H37" s="76"/>
      <c r="I37" s="76"/>
      <c r="J37" s="76"/>
      <c r="K37" s="76"/>
      <c r="L37" s="76"/>
      <c r="M37" s="76"/>
      <c r="N37" s="76"/>
      <c r="O37" s="76"/>
      <c r="P37" s="76"/>
      <c r="Q37" s="1"/>
    </row>
    <row r="38" spans="1:17" x14ac:dyDescent="0.35">
      <c r="A38" s="76"/>
      <c r="B38" s="1"/>
      <c r="C38" s="1"/>
      <c r="D38" s="1"/>
      <c r="E38" s="76"/>
      <c r="F38" s="76"/>
      <c r="G38" s="76"/>
      <c r="H38" s="76"/>
      <c r="I38" s="76"/>
      <c r="J38" s="76"/>
      <c r="K38" s="76"/>
      <c r="L38" s="76"/>
      <c r="M38" s="76"/>
      <c r="N38" s="76"/>
      <c r="O38" s="76"/>
      <c r="P38" s="76"/>
      <c r="Q38" s="1"/>
    </row>
    <row r="39" spans="1:17" x14ac:dyDescent="0.35">
      <c r="A39" s="76"/>
      <c r="B39" s="1"/>
      <c r="C39" s="1"/>
      <c r="D39" s="1"/>
      <c r="E39" s="76"/>
      <c r="F39" s="76"/>
      <c r="G39" s="76"/>
      <c r="H39" s="76"/>
      <c r="I39" s="76"/>
      <c r="J39" s="76"/>
      <c r="K39" s="76"/>
      <c r="L39" s="76"/>
      <c r="M39" s="76"/>
      <c r="N39" s="76"/>
      <c r="O39" s="76"/>
      <c r="P39" s="76"/>
      <c r="Q39" s="1"/>
    </row>
    <row r="40" spans="1:17" x14ac:dyDescent="0.35">
      <c r="A40" s="76"/>
      <c r="B40" s="1"/>
      <c r="C40" s="1"/>
      <c r="D40" s="1"/>
      <c r="E40" s="76"/>
      <c r="F40" s="76"/>
      <c r="G40" s="76"/>
      <c r="H40" s="76"/>
      <c r="I40" s="76"/>
      <c r="J40" s="76"/>
      <c r="K40" s="76"/>
      <c r="L40" s="76"/>
      <c r="M40" s="76"/>
      <c r="N40" s="76"/>
      <c r="O40" s="76"/>
      <c r="P40" s="76"/>
      <c r="Q40" s="1"/>
    </row>
    <row r="41" spans="1:17" x14ac:dyDescent="0.35">
      <c r="A41" s="76"/>
      <c r="B41" s="1"/>
      <c r="C41" s="1"/>
      <c r="D41" s="1"/>
      <c r="E41" s="76"/>
      <c r="F41" s="76"/>
      <c r="G41" s="76"/>
      <c r="H41" s="76"/>
      <c r="I41" s="76"/>
      <c r="J41" s="76"/>
      <c r="K41" s="76"/>
      <c r="L41" s="76"/>
      <c r="M41" s="76"/>
      <c r="N41" s="76"/>
      <c r="O41" s="76"/>
      <c r="P41" s="76"/>
      <c r="Q41" s="1"/>
    </row>
    <row r="42" spans="1:17" x14ac:dyDescent="0.35">
      <c r="A42" s="76"/>
      <c r="B42" s="1"/>
      <c r="C42" s="1"/>
      <c r="D42" s="1"/>
      <c r="E42" s="76"/>
      <c r="F42" s="76"/>
      <c r="G42" s="76"/>
      <c r="H42" s="76"/>
      <c r="I42" s="76"/>
      <c r="J42" s="76"/>
      <c r="K42" s="76"/>
      <c r="L42" s="76"/>
      <c r="M42" s="76"/>
      <c r="N42" s="76"/>
      <c r="O42" s="76"/>
      <c r="P42" s="76"/>
      <c r="Q42" s="1"/>
    </row>
    <row r="43" spans="1:17" x14ac:dyDescent="0.35">
      <c r="A43" s="76"/>
      <c r="B43" s="1"/>
      <c r="C43" s="1"/>
      <c r="D43" s="1"/>
      <c r="E43" s="76"/>
      <c r="F43" s="76"/>
      <c r="G43" s="76"/>
      <c r="H43" s="76"/>
      <c r="I43" s="76"/>
      <c r="J43" s="76"/>
      <c r="K43" s="76"/>
      <c r="L43" s="76"/>
      <c r="M43" s="76"/>
      <c r="N43" s="76"/>
      <c r="O43" s="76"/>
      <c r="P43" s="76"/>
      <c r="Q43" s="1"/>
    </row>
    <row r="44" spans="1:17" x14ac:dyDescent="0.35">
      <c r="A44" s="76"/>
      <c r="B44" s="1"/>
      <c r="C44" s="1"/>
      <c r="D44" s="1"/>
      <c r="E44" s="76"/>
      <c r="F44" s="76"/>
      <c r="G44" s="76"/>
      <c r="H44" s="76"/>
      <c r="I44" s="76"/>
      <c r="J44" s="76"/>
      <c r="K44" s="76"/>
      <c r="L44" s="76"/>
      <c r="M44" s="76"/>
      <c r="N44" s="76"/>
      <c r="O44" s="76"/>
      <c r="P44" s="76"/>
      <c r="Q44" s="1"/>
    </row>
    <row r="45" spans="1:17" x14ac:dyDescent="0.35">
      <c r="A45" s="76"/>
      <c r="B45" s="1"/>
      <c r="C45" s="1"/>
      <c r="D45" s="1"/>
      <c r="E45" s="76"/>
      <c r="F45" s="76"/>
      <c r="G45" s="76"/>
      <c r="H45" s="76"/>
      <c r="I45" s="76"/>
      <c r="J45" s="76"/>
      <c r="K45" s="76"/>
      <c r="L45" s="76"/>
      <c r="M45" s="76"/>
      <c r="N45" s="76"/>
      <c r="O45" s="76"/>
      <c r="P45" s="76"/>
      <c r="Q45" s="1"/>
    </row>
    <row r="46" spans="1:17" x14ac:dyDescent="0.35">
      <c r="A46" s="76"/>
      <c r="B46" s="1"/>
      <c r="C46" s="1"/>
      <c r="D46" s="1"/>
      <c r="E46" s="76"/>
      <c r="F46" s="76"/>
      <c r="G46" s="76"/>
      <c r="H46" s="76"/>
      <c r="I46" s="76"/>
      <c r="J46" s="76"/>
      <c r="K46" s="76"/>
      <c r="L46" s="76"/>
      <c r="M46" s="76"/>
      <c r="N46" s="76"/>
      <c r="O46" s="76"/>
      <c r="P46" s="76"/>
      <c r="Q46" s="1"/>
    </row>
    <row r="47" spans="1:17" x14ac:dyDescent="0.35">
      <c r="A47" s="76"/>
      <c r="B47" s="1"/>
      <c r="C47" s="1"/>
      <c r="D47" s="1"/>
      <c r="E47" s="76"/>
      <c r="F47" s="76"/>
      <c r="G47" s="76"/>
      <c r="H47" s="76"/>
      <c r="I47" s="76"/>
      <c r="J47" s="76"/>
      <c r="K47" s="76"/>
      <c r="L47" s="76"/>
      <c r="M47" s="76"/>
      <c r="N47" s="76"/>
      <c r="O47" s="76"/>
      <c r="P47" s="76"/>
      <c r="Q47" s="1"/>
    </row>
    <row r="48" spans="1:17" x14ac:dyDescent="0.35">
      <c r="A48" s="76"/>
      <c r="B48" s="1"/>
      <c r="C48" s="1"/>
      <c r="D48" s="1"/>
      <c r="E48" s="76"/>
      <c r="F48" s="76"/>
      <c r="G48" s="76"/>
      <c r="H48" s="76"/>
      <c r="I48" s="76"/>
      <c r="J48" s="76"/>
      <c r="K48" s="76"/>
      <c r="L48" s="76"/>
      <c r="M48" s="76"/>
      <c r="N48" s="76"/>
      <c r="O48" s="76"/>
      <c r="P48" s="76"/>
      <c r="Q48" s="1"/>
    </row>
    <row r="49" spans="1:17" x14ac:dyDescent="0.35">
      <c r="A49" s="76"/>
      <c r="B49" s="1"/>
      <c r="C49" s="1"/>
      <c r="D49" s="1"/>
      <c r="E49" s="76"/>
      <c r="F49" s="76"/>
      <c r="G49" s="76"/>
      <c r="H49" s="76"/>
      <c r="I49" s="76"/>
      <c r="J49" s="76"/>
      <c r="K49" s="76"/>
      <c r="L49" s="76"/>
      <c r="M49" s="76"/>
      <c r="N49" s="76"/>
      <c r="O49" s="76"/>
      <c r="P49" s="76"/>
      <c r="Q49" s="1"/>
    </row>
    <row r="50" spans="1:17" x14ac:dyDescent="0.35">
      <c r="A50" s="76"/>
      <c r="B50" s="1"/>
      <c r="C50" s="1"/>
      <c r="D50" s="1"/>
      <c r="E50" s="76"/>
      <c r="F50" s="76"/>
      <c r="G50" s="76"/>
      <c r="H50" s="76"/>
      <c r="I50" s="76"/>
      <c r="J50" s="76"/>
      <c r="K50" s="76"/>
      <c r="L50" s="76"/>
      <c r="M50" s="76"/>
      <c r="N50" s="76"/>
      <c r="O50" s="76"/>
      <c r="P50" s="76"/>
      <c r="Q50" s="1"/>
    </row>
    <row r="51" spans="1:17" x14ac:dyDescent="0.35">
      <c r="A51" s="76"/>
      <c r="B51" s="1"/>
      <c r="C51" s="1"/>
      <c r="D51" s="1"/>
      <c r="E51" s="76"/>
      <c r="F51" s="76"/>
      <c r="G51" s="76"/>
      <c r="H51" s="76"/>
      <c r="I51" s="76"/>
      <c r="J51" s="76"/>
      <c r="K51" s="76"/>
      <c r="L51" s="76"/>
      <c r="M51" s="76"/>
      <c r="N51" s="76"/>
      <c r="O51" s="76"/>
      <c r="P51" s="76"/>
      <c r="Q51" s="1"/>
    </row>
    <row r="52" spans="1:17" x14ac:dyDescent="0.35">
      <c r="A52" s="76"/>
      <c r="B52" s="1"/>
      <c r="C52" s="1"/>
      <c r="D52" s="1"/>
      <c r="E52" s="76"/>
      <c r="F52" s="76"/>
      <c r="G52" s="76"/>
      <c r="H52" s="76"/>
      <c r="I52" s="76"/>
      <c r="J52" s="76"/>
      <c r="K52" s="76"/>
      <c r="L52" s="76"/>
      <c r="M52" s="76"/>
      <c r="N52" s="76"/>
      <c r="O52" s="76"/>
      <c r="P52" s="76"/>
      <c r="Q52" s="1"/>
    </row>
    <row r="53" spans="1:17" x14ac:dyDescent="0.35">
      <c r="A53" s="76"/>
      <c r="B53" s="1"/>
      <c r="C53" s="1"/>
      <c r="D53" s="1"/>
      <c r="E53" s="76"/>
      <c r="F53" s="76"/>
      <c r="G53" s="76"/>
      <c r="H53" s="76"/>
      <c r="I53" s="76"/>
      <c r="J53" s="76"/>
      <c r="K53" s="76"/>
      <c r="L53" s="76"/>
      <c r="M53" s="76"/>
      <c r="N53" s="76"/>
      <c r="O53" s="76"/>
      <c r="P53" s="76"/>
      <c r="Q53" s="1"/>
    </row>
    <row r="54" spans="1:17" x14ac:dyDescent="0.35">
      <c r="A54" s="76"/>
      <c r="B54" s="1"/>
      <c r="C54" s="1"/>
      <c r="D54" s="1"/>
      <c r="E54" s="76"/>
      <c r="F54" s="76"/>
      <c r="G54" s="76"/>
      <c r="H54" s="76"/>
      <c r="I54" s="76"/>
      <c r="J54" s="76"/>
      <c r="K54" s="76"/>
      <c r="L54" s="76"/>
      <c r="M54" s="76"/>
      <c r="N54" s="76"/>
      <c r="O54" s="76"/>
      <c r="P54" s="76"/>
      <c r="Q54" s="1"/>
    </row>
    <row r="55" spans="1:17" x14ac:dyDescent="0.35">
      <c r="A55" s="76"/>
      <c r="B55" s="1"/>
      <c r="C55" s="1"/>
      <c r="D55" s="1"/>
      <c r="E55" s="76"/>
      <c r="F55" s="76"/>
      <c r="G55" s="76"/>
      <c r="H55" s="76"/>
      <c r="I55" s="76"/>
      <c r="J55" s="76"/>
      <c r="K55" s="76"/>
      <c r="L55" s="76"/>
      <c r="M55" s="76"/>
      <c r="N55" s="76"/>
      <c r="O55" s="76"/>
      <c r="P55" s="76"/>
      <c r="Q55" s="1"/>
    </row>
    <row r="56" spans="1:17" x14ac:dyDescent="0.35">
      <c r="A56" s="76"/>
      <c r="B56" s="1"/>
      <c r="C56" s="1"/>
      <c r="D56" s="1"/>
      <c r="E56" s="76"/>
      <c r="F56" s="76"/>
      <c r="G56" s="76"/>
      <c r="H56" s="76"/>
      <c r="I56" s="76"/>
      <c r="J56" s="76"/>
      <c r="K56" s="76"/>
      <c r="L56" s="76"/>
      <c r="M56" s="76"/>
      <c r="N56" s="76"/>
      <c r="O56" s="76"/>
      <c r="P56" s="76"/>
      <c r="Q56" s="1"/>
    </row>
    <row r="57" spans="1:17" x14ac:dyDescent="0.35">
      <c r="A57" s="76"/>
      <c r="B57" s="1"/>
      <c r="C57" s="1"/>
      <c r="D57" s="1"/>
      <c r="E57" s="76"/>
      <c r="F57" s="76"/>
      <c r="G57" s="76"/>
      <c r="H57" s="76"/>
      <c r="I57" s="76"/>
      <c r="J57" s="76"/>
      <c r="K57" s="76"/>
      <c r="L57" s="76"/>
      <c r="M57" s="76"/>
      <c r="N57" s="76"/>
      <c r="O57" s="76"/>
      <c r="P57" s="76"/>
      <c r="Q57" s="1"/>
    </row>
    <row r="58" spans="1:17" x14ac:dyDescent="0.35">
      <c r="A58" s="76"/>
      <c r="B58" s="1"/>
      <c r="C58" s="1"/>
      <c r="D58" s="1"/>
      <c r="E58" s="76"/>
      <c r="F58" s="76"/>
      <c r="G58" s="76"/>
      <c r="H58" s="76"/>
      <c r="I58" s="76"/>
      <c r="J58" s="76"/>
      <c r="K58" s="76"/>
      <c r="L58" s="76"/>
      <c r="M58" s="76"/>
      <c r="N58" s="76"/>
      <c r="O58" s="76"/>
      <c r="P58" s="76"/>
      <c r="Q58" s="1"/>
    </row>
    <row r="59" spans="1:17" x14ac:dyDescent="0.35">
      <c r="A59" s="76"/>
      <c r="B59" s="1"/>
      <c r="C59" s="1"/>
      <c r="D59" s="1"/>
      <c r="E59" s="76"/>
      <c r="F59" s="76"/>
      <c r="G59" s="76"/>
      <c r="H59" s="76"/>
      <c r="I59" s="76"/>
      <c r="J59" s="76"/>
      <c r="K59" s="76"/>
      <c r="L59" s="76"/>
      <c r="M59" s="76"/>
      <c r="N59" s="76"/>
      <c r="O59" s="76"/>
      <c r="P59" s="76"/>
      <c r="Q59" s="1"/>
    </row>
    <row r="60" spans="1:17" x14ac:dyDescent="0.35">
      <c r="A60" s="76"/>
      <c r="B60" s="1"/>
      <c r="C60" s="1"/>
      <c r="D60" s="1"/>
      <c r="E60" s="76"/>
      <c r="F60" s="76"/>
      <c r="G60" s="76"/>
      <c r="H60" s="76"/>
      <c r="I60" s="76"/>
      <c r="J60" s="76"/>
      <c r="K60" s="76"/>
      <c r="L60" s="76"/>
      <c r="M60" s="76"/>
      <c r="N60" s="76"/>
      <c r="O60" s="76"/>
      <c r="P60" s="76"/>
      <c r="Q60" s="1"/>
    </row>
    <row r="61" spans="1:17" x14ac:dyDescent="0.35">
      <c r="A61" s="76"/>
      <c r="B61" s="1"/>
      <c r="C61" s="1"/>
      <c r="D61" s="1"/>
      <c r="E61" s="76"/>
      <c r="F61" s="76"/>
      <c r="G61" s="76"/>
      <c r="H61" s="76"/>
      <c r="I61" s="76"/>
      <c r="J61" s="76"/>
      <c r="K61" s="76"/>
      <c r="L61" s="76"/>
      <c r="M61" s="76"/>
      <c r="N61" s="76"/>
      <c r="O61" s="76"/>
      <c r="P61" s="76"/>
      <c r="Q61" s="1"/>
    </row>
    <row r="62" spans="1:17" x14ac:dyDescent="0.35">
      <c r="A62" s="76"/>
      <c r="B62" s="1"/>
      <c r="C62" s="1"/>
      <c r="D62" s="1"/>
      <c r="E62" s="76"/>
      <c r="F62" s="76"/>
      <c r="G62" s="76"/>
      <c r="H62" s="76"/>
      <c r="I62" s="76"/>
      <c r="J62" s="76"/>
      <c r="K62" s="76"/>
      <c r="L62" s="76"/>
      <c r="M62" s="76"/>
      <c r="N62" s="76"/>
      <c r="O62" s="76"/>
      <c r="P62" s="76"/>
      <c r="Q62" s="1"/>
    </row>
    <row r="63" spans="1:17" x14ac:dyDescent="0.35">
      <c r="A63" s="76"/>
      <c r="B63" s="1"/>
      <c r="C63" s="1"/>
      <c r="D63" s="1"/>
      <c r="E63" s="76"/>
      <c r="F63" s="76"/>
      <c r="G63" s="76"/>
      <c r="H63" s="76"/>
      <c r="I63" s="76"/>
      <c r="J63" s="76"/>
      <c r="K63" s="76"/>
      <c r="L63" s="76"/>
      <c r="M63" s="76"/>
      <c r="N63" s="76"/>
      <c r="O63" s="76"/>
      <c r="P63" s="76"/>
      <c r="Q63" s="1"/>
    </row>
    <row r="64" spans="1:17" x14ac:dyDescent="0.35">
      <c r="A64" s="76"/>
      <c r="B64" s="1"/>
      <c r="C64" s="1"/>
      <c r="D64" s="1"/>
      <c r="E64" s="76"/>
      <c r="F64" s="76"/>
      <c r="G64" s="76"/>
      <c r="H64" s="76"/>
      <c r="I64" s="76"/>
      <c r="J64" s="76"/>
      <c r="K64" s="76"/>
      <c r="L64" s="76"/>
      <c r="M64" s="76"/>
      <c r="N64" s="76"/>
      <c r="O64" s="76"/>
      <c r="P64" s="76"/>
      <c r="Q64" s="1"/>
    </row>
    <row r="65" spans="1:17" x14ac:dyDescent="0.35">
      <c r="A65" s="76"/>
      <c r="B65" s="1"/>
      <c r="C65" s="1"/>
      <c r="D65" s="1"/>
      <c r="E65" s="76"/>
      <c r="F65" s="76"/>
      <c r="G65" s="76"/>
      <c r="H65" s="76"/>
      <c r="I65" s="76"/>
      <c r="J65" s="76"/>
      <c r="K65" s="76"/>
      <c r="L65" s="76"/>
      <c r="M65" s="76"/>
      <c r="N65" s="76"/>
      <c r="O65" s="76"/>
      <c r="P65" s="76"/>
      <c r="Q65" s="1"/>
    </row>
    <row r="66" spans="1:17" x14ac:dyDescent="0.35">
      <c r="A66" s="76"/>
      <c r="B66" s="1"/>
      <c r="C66" s="1"/>
      <c r="D66" s="1"/>
      <c r="E66" s="76"/>
      <c r="F66" s="76"/>
      <c r="G66" s="76"/>
      <c r="H66" s="76"/>
      <c r="I66" s="76"/>
      <c r="J66" s="76"/>
      <c r="K66" s="76"/>
      <c r="L66" s="76"/>
      <c r="M66" s="76"/>
      <c r="N66" s="76"/>
      <c r="O66" s="76"/>
      <c r="P66" s="76"/>
      <c r="Q66" s="1"/>
    </row>
    <row r="67" spans="1:17" x14ac:dyDescent="0.35">
      <c r="A67" s="76"/>
      <c r="B67" s="1"/>
      <c r="C67" s="1"/>
      <c r="D67" s="1"/>
      <c r="E67" s="76"/>
      <c r="F67" s="76"/>
      <c r="G67" s="76"/>
      <c r="H67" s="76"/>
      <c r="I67" s="76"/>
      <c r="J67" s="76"/>
      <c r="K67" s="76"/>
      <c r="L67" s="76"/>
      <c r="M67" s="76"/>
      <c r="N67" s="76"/>
      <c r="O67" s="76"/>
      <c r="P67" s="76"/>
      <c r="Q67" s="1"/>
    </row>
    <row r="68" spans="1:17" x14ac:dyDescent="0.35">
      <c r="A68" s="76"/>
      <c r="B68" s="1"/>
      <c r="C68" s="1"/>
      <c r="D68" s="1"/>
      <c r="E68" s="76"/>
      <c r="F68" s="76"/>
      <c r="G68" s="76"/>
      <c r="H68" s="76"/>
      <c r="I68" s="76"/>
      <c r="J68" s="76"/>
      <c r="K68" s="76"/>
      <c r="L68" s="76"/>
      <c r="M68" s="76"/>
      <c r="N68" s="76"/>
      <c r="O68" s="76"/>
      <c r="P68" s="76"/>
      <c r="Q68" s="1"/>
    </row>
    <row r="69" spans="1:17" x14ac:dyDescent="0.35">
      <c r="A69" s="76"/>
      <c r="B69" s="1"/>
      <c r="C69" s="1"/>
      <c r="D69" s="1"/>
      <c r="E69" s="76"/>
      <c r="F69" s="76"/>
      <c r="G69" s="76"/>
      <c r="H69" s="76"/>
      <c r="I69" s="76"/>
      <c r="J69" s="76"/>
      <c r="K69" s="76"/>
      <c r="L69" s="76"/>
      <c r="M69" s="76"/>
      <c r="N69" s="76"/>
      <c r="O69" s="76"/>
      <c r="P69" s="76"/>
      <c r="Q69" s="1"/>
    </row>
    <row r="70" spans="1:17" x14ac:dyDescent="0.35">
      <c r="A70" s="76"/>
      <c r="B70" s="1"/>
      <c r="C70" s="1"/>
      <c r="D70" s="1"/>
      <c r="E70" s="76"/>
      <c r="F70" s="76"/>
      <c r="G70" s="76"/>
      <c r="H70" s="76"/>
      <c r="I70" s="76"/>
      <c r="J70" s="76"/>
      <c r="K70" s="76"/>
      <c r="L70" s="76"/>
      <c r="M70" s="76"/>
      <c r="N70" s="76"/>
      <c r="O70" s="76"/>
      <c r="P70" s="76"/>
      <c r="Q70" s="1"/>
    </row>
    <row r="71" spans="1:17" x14ac:dyDescent="0.35">
      <c r="A71" s="76"/>
      <c r="B71" s="1"/>
      <c r="C71" s="1"/>
      <c r="D71" s="1"/>
      <c r="E71" s="76"/>
      <c r="F71" s="76"/>
      <c r="G71" s="76"/>
      <c r="H71" s="76"/>
      <c r="I71" s="76"/>
      <c r="J71" s="76"/>
      <c r="K71" s="76"/>
      <c r="L71" s="76"/>
      <c r="M71" s="76"/>
      <c r="N71" s="76"/>
      <c r="O71" s="76"/>
      <c r="P71" s="76"/>
      <c r="Q71" s="1"/>
    </row>
    <row r="72" spans="1:17" x14ac:dyDescent="0.35">
      <c r="A72" s="76"/>
      <c r="B72" s="1"/>
      <c r="C72" s="1"/>
      <c r="D72" s="1"/>
      <c r="E72" s="76"/>
      <c r="F72" s="76"/>
      <c r="G72" s="76"/>
      <c r="H72" s="76"/>
      <c r="I72" s="76"/>
      <c r="J72" s="76"/>
      <c r="K72" s="76"/>
      <c r="L72" s="76"/>
      <c r="M72" s="76"/>
      <c r="N72" s="76"/>
      <c r="O72" s="76"/>
      <c r="P72" s="76"/>
      <c r="Q72" s="1"/>
    </row>
    <row r="73" spans="1:17" x14ac:dyDescent="0.35">
      <c r="A73" s="76"/>
      <c r="B73" s="1"/>
      <c r="C73" s="1"/>
      <c r="D73" s="1"/>
      <c r="E73" s="76"/>
      <c r="F73" s="76"/>
      <c r="G73" s="76"/>
      <c r="H73" s="76"/>
      <c r="I73" s="76"/>
      <c r="J73" s="76"/>
      <c r="K73" s="76"/>
      <c r="L73" s="76"/>
      <c r="M73" s="76"/>
      <c r="N73" s="76"/>
      <c r="O73" s="76"/>
      <c r="P73" s="76"/>
      <c r="Q73" s="1"/>
    </row>
    <row r="74" spans="1:17" x14ac:dyDescent="0.35">
      <c r="A74" s="76"/>
      <c r="B74" s="1"/>
      <c r="C74" s="1"/>
      <c r="D74" s="1"/>
      <c r="E74" s="76"/>
      <c r="F74" s="76"/>
      <c r="G74" s="76"/>
      <c r="H74" s="76"/>
      <c r="I74" s="76"/>
      <c r="J74" s="76"/>
      <c r="K74" s="76"/>
      <c r="L74" s="76"/>
      <c r="M74" s="76"/>
      <c r="N74" s="76"/>
      <c r="O74" s="76"/>
      <c r="P74" s="76"/>
      <c r="Q74" s="1"/>
    </row>
    <row r="75" spans="1:17" x14ac:dyDescent="0.35">
      <c r="A75" s="76"/>
      <c r="B75" s="1"/>
      <c r="C75" s="1"/>
      <c r="D75" s="1"/>
      <c r="E75" s="76"/>
      <c r="F75" s="76"/>
      <c r="G75" s="76"/>
      <c r="H75" s="76"/>
      <c r="I75" s="76"/>
      <c r="J75" s="76"/>
      <c r="K75" s="76"/>
      <c r="L75" s="76"/>
      <c r="M75" s="76"/>
      <c r="N75" s="76"/>
      <c r="O75" s="76"/>
      <c r="P75" s="76"/>
      <c r="Q75" s="1"/>
    </row>
    <row r="76" spans="1:17" x14ac:dyDescent="0.35">
      <c r="A76" s="76"/>
      <c r="B76" s="1"/>
      <c r="C76" s="1"/>
      <c r="D76" s="1"/>
      <c r="E76" s="76"/>
      <c r="F76" s="76"/>
      <c r="G76" s="76"/>
      <c r="H76" s="76"/>
      <c r="I76" s="76"/>
      <c r="J76" s="76"/>
      <c r="K76" s="76"/>
      <c r="L76" s="76"/>
      <c r="M76" s="76"/>
      <c r="N76" s="76"/>
      <c r="O76" s="76"/>
      <c r="P76" s="76"/>
      <c r="Q76" s="1"/>
    </row>
    <row r="77" spans="1:17" x14ac:dyDescent="0.35">
      <c r="A77" s="76"/>
      <c r="B77" s="1"/>
      <c r="C77" s="1"/>
      <c r="D77" s="1"/>
      <c r="E77" s="76"/>
      <c r="F77" s="76"/>
      <c r="G77" s="76"/>
      <c r="H77" s="76"/>
      <c r="I77" s="76"/>
      <c r="J77" s="76"/>
      <c r="K77" s="76"/>
      <c r="L77" s="76"/>
      <c r="M77" s="76"/>
      <c r="N77" s="76"/>
      <c r="O77" s="76"/>
      <c r="P77" s="76"/>
      <c r="Q77" s="1"/>
    </row>
    <row r="78" spans="1:17" x14ac:dyDescent="0.35">
      <c r="A78" s="76"/>
      <c r="B78" s="1"/>
      <c r="C78" s="1"/>
      <c r="D78" s="1"/>
      <c r="E78" s="76"/>
      <c r="F78" s="76"/>
      <c r="G78" s="76"/>
      <c r="H78" s="76"/>
      <c r="I78" s="76"/>
      <c r="J78" s="76"/>
      <c r="K78" s="76"/>
      <c r="L78" s="76"/>
      <c r="M78" s="76"/>
      <c r="N78" s="76"/>
      <c r="O78" s="76"/>
      <c r="P78" s="76"/>
      <c r="Q78" s="1"/>
    </row>
    <row r="79" spans="1:17" x14ac:dyDescent="0.35">
      <c r="A79" s="76"/>
      <c r="B79" s="1"/>
      <c r="C79" s="1"/>
      <c r="D79" s="1"/>
      <c r="E79" s="76"/>
      <c r="F79" s="76"/>
      <c r="G79" s="76"/>
      <c r="H79" s="76"/>
      <c r="I79" s="76"/>
      <c r="J79" s="76"/>
      <c r="K79" s="76"/>
      <c r="L79" s="76"/>
      <c r="M79" s="76"/>
      <c r="N79" s="76"/>
      <c r="O79" s="76"/>
      <c r="P79" s="76"/>
      <c r="Q79" s="1"/>
    </row>
    <row r="80" spans="1:17" x14ac:dyDescent="0.35">
      <c r="A80" s="76"/>
      <c r="B80" s="1"/>
      <c r="C80" s="1"/>
      <c r="D80" s="1"/>
      <c r="E80" s="76"/>
      <c r="F80" s="76"/>
      <c r="G80" s="76"/>
      <c r="H80" s="76"/>
      <c r="I80" s="76"/>
      <c r="J80" s="76"/>
      <c r="K80" s="76"/>
      <c r="L80" s="76"/>
      <c r="M80" s="76"/>
      <c r="N80" s="76"/>
      <c r="O80" s="76"/>
      <c r="P80" s="76"/>
      <c r="Q80" s="1"/>
    </row>
    <row r="81" spans="1:17" x14ac:dyDescent="0.35">
      <c r="A81" s="76"/>
      <c r="B81" s="1"/>
      <c r="C81" s="1"/>
      <c r="D81" s="1"/>
      <c r="E81" s="76"/>
      <c r="F81" s="76"/>
      <c r="G81" s="76"/>
      <c r="H81" s="76"/>
      <c r="I81" s="76"/>
      <c r="J81" s="76"/>
      <c r="K81" s="76"/>
      <c r="L81" s="76"/>
      <c r="M81" s="76"/>
      <c r="N81" s="76"/>
      <c r="O81" s="76"/>
      <c r="P81" s="76"/>
      <c r="Q81" s="1"/>
    </row>
    <row r="82" spans="1:17" x14ac:dyDescent="0.35">
      <c r="A82" s="76"/>
      <c r="B82" s="1"/>
      <c r="C82" s="1"/>
      <c r="D82" s="1"/>
      <c r="E82" s="76"/>
      <c r="F82" s="76"/>
      <c r="G82" s="76"/>
      <c r="H82" s="76"/>
      <c r="I82" s="76"/>
      <c r="J82" s="76"/>
      <c r="K82" s="76"/>
      <c r="L82" s="76"/>
      <c r="M82" s="76"/>
      <c r="N82" s="76"/>
      <c r="O82" s="76"/>
      <c r="P82" s="76"/>
      <c r="Q82" s="1"/>
    </row>
    <row r="83" spans="1:17" x14ac:dyDescent="0.35">
      <c r="A83" s="76"/>
      <c r="B83" s="1"/>
      <c r="C83" s="1"/>
      <c r="D83" s="1"/>
      <c r="E83" s="76"/>
      <c r="F83" s="76"/>
      <c r="G83" s="76"/>
      <c r="H83" s="76"/>
      <c r="I83" s="76"/>
      <c r="J83" s="76"/>
      <c r="K83" s="76"/>
      <c r="L83" s="76"/>
      <c r="M83" s="76"/>
      <c r="N83" s="76"/>
      <c r="O83" s="76"/>
      <c r="P83" s="76"/>
      <c r="Q83" s="1"/>
    </row>
    <row r="84" spans="1:17" x14ac:dyDescent="0.35">
      <c r="A84" s="76"/>
      <c r="B84" s="1"/>
      <c r="C84" s="1"/>
      <c r="D84" s="1"/>
      <c r="E84" s="76"/>
      <c r="F84" s="76"/>
      <c r="G84" s="76"/>
      <c r="H84" s="76"/>
      <c r="I84" s="76"/>
      <c r="J84" s="76"/>
      <c r="K84" s="76"/>
      <c r="L84" s="76"/>
      <c r="M84" s="76"/>
      <c r="N84" s="76"/>
      <c r="O84" s="76"/>
      <c r="P84" s="76"/>
      <c r="Q84" s="1"/>
    </row>
    <row r="85" spans="1:17" x14ac:dyDescent="0.35">
      <c r="A85" s="76"/>
      <c r="B85" s="1"/>
      <c r="C85" s="1"/>
      <c r="D85" s="1"/>
      <c r="E85" s="76"/>
      <c r="F85" s="76"/>
      <c r="G85" s="76"/>
      <c r="H85" s="76"/>
      <c r="I85" s="76"/>
      <c r="J85" s="76"/>
      <c r="K85" s="76"/>
      <c r="L85" s="76"/>
      <c r="M85" s="76"/>
      <c r="N85" s="76"/>
      <c r="O85" s="76"/>
      <c r="P85" s="76"/>
      <c r="Q85" s="1"/>
    </row>
    <row r="86" spans="1:17" x14ac:dyDescent="0.35">
      <c r="A86" s="76"/>
      <c r="B86" s="1"/>
      <c r="C86" s="1"/>
      <c r="D86" s="1"/>
      <c r="E86" s="76"/>
      <c r="F86" s="76"/>
      <c r="G86" s="76"/>
      <c r="H86" s="76"/>
      <c r="I86" s="76"/>
      <c r="J86" s="76"/>
      <c r="K86" s="76"/>
      <c r="L86" s="76"/>
      <c r="M86" s="76"/>
      <c r="N86" s="76"/>
      <c r="O86" s="76"/>
      <c r="P86" s="76"/>
      <c r="Q86" s="1"/>
    </row>
    <row r="87" spans="1:17" x14ac:dyDescent="0.35">
      <c r="A87" s="76"/>
      <c r="B87" s="1"/>
      <c r="C87" s="1"/>
      <c r="D87" s="1"/>
      <c r="E87" s="76"/>
      <c r="F87" s="76"/>
      <c r="G87" s="76"/>
      <c r="H87" s="76"/>
      <c r="I87" s="76"/>
      <c r="J87" s="76"/>
      <c r="K87" s="76"/>
      <c r="L87" s="76"/>
      <c r="M87" s="76"/>
      <c r="N87" s="76"/>
      <c r="O87" s="76"/>
      <c r="P87" s="76"/>
      <c r="Q87" s="1"/>
    </row>
    <row r="88" spans="1:17" x14ac:dyDescent="0.35">
      <c r="A88" s="76"/>
      <c r="B88" s="1"/>
      <c r="C88" s="1"/>
      <c r="D88" s="1"/>
      <c r="E88" s="76"/>
      <c r="F88" s="76"/>
      <c r="G88" s="76"/>
      <c r="H88" s="76"/>
      <c r="I88" s="76"/>
      <c r="J88" s="76"/>
      <c r="K88" s="76"/>
      <c r="L88" s="76"/>
      <c r="M88" s="76"/>
      <c r="N88" s="76"/>
      <c r="O88" s="76"/>
      <c r="P88" s="76"/>
      <c r="Q88" s="1"/>
    </row>
    <row r="89" spans="1:17" x14ac:dyDescent="0.35">
      <c r="A89" s="76"/>
      <c r="B89" s="1"/>
      <c r="C89" s="1"/>
      <c r="D89" s="1"/>
      <c r="E89" s="76"/>
      <c r="F89" s="76"/>
      <c r="G89" s="76"/>
      <c r="H89" s="76"/>
      <c r="I89" s="76"/>
      <c r="J89" s="76"/>
      <c r="K89" s="76"/>
      <c r="L89" s="76"/>
      <c r="M89" s="76"/>
      <c r="N89" s="76"/>
      <c r="O89" s="76"/>
      <c r="P89" s="76"/>
      <c r="Q89" s="1"/>
    </row>
    <row r="90" spans="1:17" x14ac:dyDescent="0.35">
      <c r="A90" s="76"/>
      <c r="B90" s="1"/>
      <c r="C90" s="1"/>
      <c r="D90" s="1"/>
      <c r="E90" s="76"/>
      <c r="F90" s="76"/>
      <c r="G90" s="76"/>
      <c r="H90" s="76"/>
      <c r="I90" s="76"/>
      <c r="J90" s="76"/>
      <c r="K90" s="76"/>
      <c r="L90" s="76"/>
      <c r="M90" s="76"/>
      <c r="N90" s="76"/>
      <c r="O90" s="76"/>
      <c r="P90" s="76"/>
      <c r="Q90" s="1"/>
    </row>
    <row r="91" spans="1:17" x14ac:dyDescent="0.35">
      <c r="A91" s="76"/>
      <c r="B91" s="1"/>
      <c r="C91" s="1"/>
      <c r="D91" s="1"/>
      <c r="E91" s="76"/>
      <c r="F91" s="76"/>
      <c r="G91" s="76"/>
      <c r="H91" s="76"/>
      <c r="I91" s="76"/>
      <c r="J91" s="76"/>
      <c r="K91" s="76"/>
      <c r="L91" s="76"/>
      <c r="M91" s="76"/>
      <c r="N91" s="76"/>
      <c r="O91" s="76"/>
      <c r="P91" s="76"/>
      <c r="Q91" s="1"/>
    </row>
    <row r="92" spans="1:17" x14ac:dyDescent="0.35">
      <c r="A92" s="76"/>
      <c r="B92" s="1"/>
      <c r="C92" s="1"/>
      <c r="D92" s="1"/>
      <c r="E92" s="76"/>
      <c r="F92" s="76"/>
      <c r="G92" s="76"/>
      <c r="H92" s="76"/>
      <c r="I92" s="76"/>
      <c r="J92" s="76"/>
      <c r="K92" s="76"/>
      <c r="L92" s="76"/>
      <c r="M92" s="76"/>
      <c r="N92" s="76"/>
      <c r="O92" s="76"/>
      <c r="P92" s="76"/>
      <c r="Q92" s="1"/>
    </row>
    <row r="93" spans="1:17" x14ac:dyDescent="0.35">
      <c r="A93" s="76"/>
      <c r="B93" s="1"/>
      <c r="C93" s="1"/>
      <c r="D93" s="1"/>
      <c r="E93" s="76"/>
      <c r="F93" s="76"/>
      <c r="G93" s="76"/>
      <c r="H93" s="76"/>
      <c r="I93" s="76"/>
      <c r="J93" s="76"/>
      <c r="K93" s="76"/>
      <c r="L93" s="76"/>
      <c r="M93" s="76"/>
      <c r="N93" s="76"/>
      <c r="O93" s="76"/>
      <c r="P93" s="76"/>
      <c r="Q93" s="1"/>
    </row>
    <row r="94" spans="1:17" x14ac:dyDescent="0.35">
      <c r="A94" s="76"/>
      <c r="B94" s="1"/>
      <c r="C94" s="1"/>
      <c r="D94" s="1"/>
      <c r="E94" s="76"/>
      <c r="F94" s="76"/>
      <c r="G94" s="76"/>
      <c r="H94" s="76"/>
      <c r="I94" s="76"/>
      <c r="J94" s="76"/>
      <c r="K94" s="76"/>
      <c r="L94" s="76"/>
      <c r="M94" s="76"/>
      <c r="N94" s="76"/>
      <c r="O94" s="76"/>
      <c r="P94" s="76"/>
      <c r="Q94" s="1"/>
    </row>
    <row r="95" spans="1:17" x14ac:dyDescent="0.35">
      <c r="A95" s="76"/>
      <c r="B95" s="1"/>
      <c r="C95" s="1"/>
      <c r="D95" s="1"/>
      <c r="E95" s="76"/>
      <c r="F95" s="76"/>
      <c r="G95" s="76"/>
      <c r="H95" s="76"/>
      <c r="I95" s="76"/>
      <c r="J95" s="76"/>
      <c r="K95" s="76"/>
      <c r="L95" s="76"/>
      <c r="M95" s="76"/>
      <c r="N95" s="76"/>
      <c r="O95" s="76"/>
      <c r="P95" s="76"/>
      <c r="Q95" s="1"/>
    </row>
    <row r="96" spans="1:17" x14ac:dyDescent="0.35">
      <c r="A96" s="76"/>
      <c r="B96" s="1"/>
      <c r="C96" s="1"/>
      <c r="D96" s="1"/>
      <c r="E96" s="76"/>
      <c r="F96" s="76"/>
      <c r="G96" s="76"/>
      <c r="H96" s="76"/>
      <c r="I96" s="76"/>
      <c r="J96" s="76"/>
      <c r="K96" s="76"/>
      <c r="L96" s="76"/>
      <c r="M96" s="76"/>
      <c r="N96" s="76"/>
      <c r="O96" s="76"/>
      <c r="P96" s="76"/>
      <c r="Q96" s="1"/>
    </row>
    <row r="97" spans="1:17" x14ac:dyDescent="0.35">
      <c r="A97" s="76"/>
      <c r="B97" s="1"/>
      <c r="C97" s="1"/>
      <c r="D97" s="1"/>
      <c r="E97" s="76"/>
      <c r="F97" s="76"/>
      <c r="G97" s="76"/>
      <c r="H97" s="76"/>
      <c r="I97" s="76"/>
      <c r="J97" s="76"/>
      <c r="K97" s="76"/>
      <c r="L97" s="76"/>
      <c r="M97" s="76"/>
      <c r="N97" s="76"/>
      <c r="O97" s="76"/>
      <c r="P97" s="76"/>
      <c r="Q97" s="1"/>
    </row>
    <row r="98" spans="1:17" x14ac:dyDescent="0.35">
      <c r="A98" s="76"/>
      <c r="B98" s="1"/>
      <c r="C98" s="1"/>
      <c r="D98" s="1"/>
      <c r="E98" s="76"/>
      <c r="F98" s="76"/>
      <c r="G98" s="76"/>
      <c r="H98" s="76"/>
      <c r="I98" s="76"/>
      <c r="J98" s="76"/>
      <c r="K98" s="76"/>
      <c r="L98" s="76"/>
      <c r="M98" s="76"/>
      <c r="N98" s="76"/>
      <c r="O98" s="76"/>
      <c r="P98" s="76"/>
      <c r="Q98" s="1"/>
    </row>
    <row r="99" spans="1:17" x14ac:dyDescent="0.35">
      <c r="A99" s="76"/>
      <c r="B99" s="1"/>
      <c r="C99" s="1"/>
      <c r="D99" s="1"/>
      <c r="E99" s="76"/>
      <c r="F99" s="76"/>
      <c r="G99" s="76"/>
      <c r="H99" s="76"/>
      <c r="I99" s="76"/>
      <c r="J99" s="76"/>
      <c r="K99" s="76"/>
      <c r="L99" s="76"/>
      <c r="M99" s="76"/>
      <c r="N99" s="76"/>
      <c r="O99" s="76"/>
      <c r="P99" s="76"/>
      <c r="Q99" s="1"/>
    </row>
    <row r="100" spans="1:17" x14ac:dyDescent="0.35">
      <c r="A100" s="76"/>
      <c r="B100" s="1"/>
      <c r="C100" s="1"/>
      <c r="D100" s="1"/>
      <c r="E100" s="76"/>
      <c r="F100" s="76"/>
      <c r="G100" s="76"/>
      <c r="H100" s="76"/>
      <c r="I100" s="76"/>
      <c r="J100" s="76"/>
      <c r="K100" s="76"/>
      <c r="L100" s="76"/>
      <c r="M100" s="76"/>
      <c r="N100" s="76"/>
      <c r="O100" s="76"/>
      <c r="P100" s="76"/>
      <c r="Q100" s="1"/>
    </row>
    <row r="101" spans="1:17" x14ac:dyDescent="0.35">
      <c r="A101" s="76"/>
      <c r="B101" s="1"/>
      <c r="C101" s="1"/>
      <c r="D101" s="1"/>
      <c r="E101" s="76"/>
      <c r="F101" s="76"/>
      <c r="G101" s="76"/>
      <c r="H101" s="76"/>
      <c r="I101" s="76"/>
      <c r="J101" s="76"/>
      <c r="K101" s="76"/>
      <c r="L101" s="76"/>
      <c r="M101" s="76"/>
      <c r="N101" s="76"/>
      <c r="O101" s="76"/>
      <c r="P101" s="76"/>
      <c r="Q101" s="1"/>
    </row>
    <row r="102" spans="1:17" x14ac:dyDescent="0.35">
      <c r="A102" s="76"/>
      <c r="B102" s="1"/>
      <c r="C102" s="1"/>
      <c r="D102" s="1"/>
      <c r="E102" s="76"/>
      <c r="F102" s="76"/>
      <c r="G102" s="76"/>
      <c r="H102" s="76"/>
      <c r="I102" s="76"/>
      <c r="J102" s="76"/>
      <c r="K102" s="76"/>
      <c r="L102" s="76"/>
      <c r="M102" s="76"/>
      <c r="N102" s="76"/>
      <c r="O102" s="76"/>
      <c r="P102" s="76"/>
      <c r="Q102" s="1"/>
    </row>
    <row r="103" spans="1:17" x14ac:dyDescent="0.35">
      <c r="A103" s="76"/>
      <c r="B103" s="1"/>
      <c r="C103" s="1"/>
      <c r="D103" s="1"/>
      <c r="E103" s="76"/>
      <c r="F103" s="76"/>
      <c r="G103" s="76"/>
      <c r="H103" s="76"/>
      <c r="I103" s="76"/>
      <c r="J103" s="76"/>
      <c r="K103" s="76"/>
      <c r="L103" s="76"/>
      <c r="M103" s="76"/>
      <c r="N103" s="76"/>
      <c r="O103" s="76"/>
      <c r="P103" s="76"/>
      <c r="Q103" s="1"/>
    </row>
    <row r="104" spans="1:17" x14ac:dyDescent="0.35">
      <c r="A104" s="76"/>
      <c r="B104" s="1"/>
      <c r="C104" s="1"/>
      <c r="D104" s="1"/>
      <c r="E104" s="76"/>
      <c r="F104" s="76"/>
      <c r="G104" s="76"/>
      <c r="H104" s="76"/>
      <c r="I104" s="76"/>
      <c r="J104" s="76"/>
      <c r="K104" s="76"/>
      <c r="L104" s="76"/>
      <c r="M104" s="76"/>
      <c r="N104" s="76"/>
      <c r="O104" s="76"/>
      <c r="P104" s="76"/>
      <c r="Q104" s="1"/>
    </row>
    <row r="105" spans="1:17" x14ac:dyDescent="0.35">
      <c r="A105" s="76"/>
      <c r="B105" s="1"/>
      <c r="C105" s="1"/>
      <c r="D105" s="1"/>
      <c r="E105" s="76"/>
      <c r="F105" s="76"/>
      <c r="G105" s="76"/>
      <c r="H105" s="76"/>
      <c r="I105" s="76"/>
      <c r="J105" s="76"/>
      <c r="K105" s="76"/>
      <c r="L105" s="76"/>
      <c r="M105" s="76"/>
      <c r="N105" s="76"/>
      <c r="O105" s="76"/>
      <c r="P105" s="76"/>
      <c r="Q105" s="1"/>
    </row>
    <row r="106" spans="1:17" x14ac:dyDescent="0.35">
      <c r="A106" s="76"/>
      <c r="B106" s="1"/>
      <c r="C106" s="1"/>
      <c r="D106" s="1"/>
      <c r="E106" s="76"/>
      <c r="F106" s="76"/>
      <c r="G106" s="76"/>
      <c r="H106" s="76"/>
      <c r="I106" s="76"/>
      <c r="J106" s="76"/>
      <c r="K106" s="76"/>
      <c r="L106" s="76"/>
      <c r="M106" s="76"/>
      <c r="N106" s="76"/>
      <c r="O106" s="76"/>
      <c r="P106" s="76"/>
      <c r="Q106" s="1"/>
    </row>
    <row r="107" spans="1:17" x14ac:dyDescent="0.35">
      <c r="A107" s="76"/>
      <c r="B107" s="1"/>
      <c r="C107" s="1"/>
      <c r="D107" s="1"/>
      <c r="E107" s="76"/>
      <c r="F107" s="76"/>
      <c r="G107" s="76"/>
      <c r="H107" s="76"/>
      <c r="I107" s="76"/>
      <c r="J107" s="76"/>
      <c r="K107" s="76"/>
      <c r="L107" s="76"/>
      <c r="M107" s="76"/>
      <c r="N107" s="76"/>
      <c r="O107" s="76"/>
      <c r="P107" s="76"/>
      <c r="Q107" s="1"/>
    </row>
    <row r="108" spans="1:17" x14ac:dyDescent="0.35">
      <c r="A108" s="76"/>
      <c r="B108" s="1"/>
      <c r="C108" s="1"/>
      <c r="D108" s="1"/>
      <c r="E108" s="76"/>
      <c r="F108" s="76"/>
      <c r="G108" s="76"/>
      <c r="H108" s="76"/>
      <c r="I108" s="76"/>
      <c r="J108" s="76"/>
      <c r="K108" s="76"/>
      <c r="L108" s="76"/>
      <c r="M108" s="76"/>
      <c r="N108" s="76"/>
      <c r="O108" s="76"/>
      <c r="P108" s="76"/>
      <c r="Q108" s="1"/>
    </row>
    <row r="109" spans="1:17" x14ac:dyDescent="0.35">
      <c r="A109" s="76"/>
      <c r="B109" s="1"/>
      <c r="C109" s="1"/>
      <c r="D109" s="1"/>
      <c r="E109" s="76"/>
      <c r="F109" s="76"/>
      <c r="G109" s="76"/>
      <c r="H109" s="76"/>
      <c r="I109" s="76"/>
      <c r="J109" s="76"/>
      <c r="K109" s="76"/>
      <c r="L109" s="76"/>
      <c r="M109" s="76"/>
      <c r="N109" s="76"/>
      <c r="O109" s="76"/>
      <c r="P109" s="76"/>
      <c r="Q109" s="1"/>
    </row>
    <row r="110" spans="1:17" x14ac:dyDescent="0.35">
      <c r="A110" s="76"/>
      <c r="B110" s="1"/>
      <c r="C110" s="1"/>
      <c r="D110" s="1"/>
      <c r="E110" s="76"/>
      <c r="F110" s="76"/>
      <c r="G110" s="76"/>
      <c r="H110" s="76"/>
      <c r="I110" s="76"/>
      <c r="J110" s="76"/>
      <c r="K110" s="76"/>
      <c r="L110" s="76"/>
      <c r="M110" s="76"/>
      <c r="N110" s="76"/>
      <c r="O110" s="76"/>
      <c r="P110" s="76"/>
      <c r="Q110" s="1"/>
    </row>
    <row r="111" spans="1:17" x14ac:dyDescent="0.35">
      <c r="A111" s="76"/>
      <c r="B111" s="1"/>
      <c r="C111" s="1"/>
      <c r="D111" s="1"/>
      <c r="E111" s="76"/>
      <c r="F111" s="76"/>
      <c r="G111" s="76"/>
      <c r="H111" s="76"/>
      <c r="I111" s="76"/>
      <c r="J111" s="76"/>
      <c r="K111" s="76"/>
      <c r="L111" s="76"/>
      <c r="M111" s="76"/>
      <c r="N111" s="76"/>
      <c r="O111" s="76"/>
      <c r="P111" s="76"/>
      <c r="Q111" s="1"/>
    </row>
    <row r="112" spans="1:17" x14ac:dyDescent="0.35">
      <c r="A112" s="76"/>
      <c r="B112" s="1"/>
      <c r="C112" s="1"/>
      <c r="D112" s="1"/>
      <c r="E112" s="76"/>
      <c r="F112" s="76"/>
      <c r="G112" s="76"/>
      <c r="H112" s="76"/>
      <c r="I112" s="76"/>
      <c r="J112" s="76"/>
      <c r="K112" s="76"/>
      <c r="L112" s="76"/>
      <c r="M112" s="76"/>
      <c r="N112" s="76"/>
      <c r="O112" s="76"/>
      <c r="P112" s="76"/>
      <c r="Q112" s="1"/>
    </row>
    <row r="113" spans="1:17" x14ac:dyDescent="0.35">
      <c r="A113" s="76"/>
      <c r="B113" s="1"/>
      <c r="C113" s="1"/>
      <c r="D113" s="1"/>
      <c r="E113" s="76"/>
      <c r="F113" s="76"/>
      <c r="G113" s="76"/>
      <c r="H113" s="76"/>
      <c r="I113" s="76"/>
      <c r="J113" s="76"/>
      <c r="K113" s="76"/>
      <c r="L113" s="76"/>
      <c r="M113" s="76"/>
      <c r="N113" s="76"/>
      <c r="O113" s="76"/>
      <c r="P113" s="76"/>
      <c r="Q113" s="1"/>
    </row>
    <row r="114" spans="1:17" x14ac:dyDescent="0.35">
      <c r="A114" s="76"/>
      <c r="B114" s="1"/>
      <c r="C114" s="1"/>
      <c r="D114" s="1"/>
      <c r="E114" s="76"/>
      <c r="F114" s="76"/>
      <c r="G114" s="76"/>
      <c r="H114" s="76"/>
      <c r="I114" s="76"/>
      <c r="J114" s="76"/>
      <c r="K114" s="76"/>
      <c r="L114" s="76"/>
      <c r="M114" s="76"/>
      <c r="N114" s="76"/>
      <c r="O114" s="76"/>
      <c r="P114" s="76"/>
      <c r="Q114" s="1"/>
    </row>
    <row r="115" spans="1:17" x14ac:dyDescent="0.35">
      <c r="A115" s="76"/>
      <c r="B115" s="1"/>
      <c r="C115" s="1"/>
      <c r="D115" s="1"/>
      <c r="E115" s="76"/>
      <c r="F115" s="76"/>
      <c r="G115" s="76"/>
      <c r="H115" s="76"/>
      <c r="I115" s="76"/>
      <c r="J115" s="76"/>
      <c r="K115" s="76"/>
      <c r="L115" s="76"/>
      <c r="M115" s="76"/>
      <c r="N115" s="76"/>
      <c r="O115" s="76"/>
      <c r="P115" s="76"/>
      <c r="Q115" s="1"/>
    </row>
    <row r="116" spans="1:17" x14ac:dyDescent="0.35">
      <c r="A116" s="76"/>
      <c r="B116" s="1"/>
      <c r="C116" s="1"/>
      <c r="D116" s="1"/>
      <c r="E116" s="76"/>
      <c r="F116" s="76"/>
      <c r="G116" s="76"/>
      <c r="H116" s="76"/>
      <c r="I116" s="76"/>
      <c r="J116" s="76"/>
      <c r="K116" s="76"/>
      <c r="L116" s="76"/>
      <c r="M116" s="76"/>
      <c r="N116" s="76"/>
      <c r="O116" s="76"/>
      <c r="P116" s="76"/>
      <c r="Q116" s="1"/>
    </row>
    <row r="117" spans="1:17" x14ac:dyDescent="0.35">
      <c r="A117" s="76"/>
      <c r="B117" s="1"/>
      <c r="C117" s="1"/>
      <c r="D117" s="1"/>
      <c r="E117" s="76"/>
      <c r="F117" s="76"/>
      <c r="G117" s="76"/>
      <c r="H117" s="76"/>
      <c r="I117" s="76"/>
      <c r="J117" s="76"/>
      <c r="K117" s="76"/>
      <c r="L117" s="76"/>
      <c r="M117" s="76"/>
      <c r="N117" s="76"/>
      <c r="O117" s="76"/>
      <c r="P117" s="76"/>
      <c r="Q117" s="1"/>
    </row>
    <row r="118" spans="1:17" x14ac:dyDescent="0.35">
      <c r="A118" s="76"/>
      <c r="B118" s="1"/>
      <c r="C118" s="1"/>
      <c r="D118" s="1"/>
      <c r="E118" s="76"/>
      <c r="F118" s="76"/>
      <c r="G118" s="76"/>
      <c r="H118" s="76"/>
      <c r="I118" s="76"/>
      <c r="J118" s="76"/>
      <c r="K118" s="76"/>
      <c r="L118" s="76"/>
      <c r="M118" s="76"/>
      <c r="N118" s="76"/>
      <c r="O118" s="76"/>
      <c r="P118" s="76"/>
      <c r="Q118" s="1"/>
    </row>
    <row r="119" spans="1:17" x14ac:dyDescent="0.35">
      <c r="A119" s="76"/>
      <c r="B119" s="1"/>
      <c r="C119" s="1"/>
      <c r="D119" s="1"/>
      <c r="E119" s="76"/>
      <c r="F119" s="76"/>
      <c r="G119" s="76"/>
      <c r="H119" s="76"/>
      <c r="I119" s="76"/>
      <c r="J119" s="76"/>
      <c r="K119" s="76"/>
      <c r="L119" s="76"/>
      <c r="M119" s="76"/>
      <c r="N119" s="76"/>
      <c r="O119" s="76"/>
      <c r="P119" s="76"/>
      <c r="Q119" s="1"/>
    </row>
    <row r="120" spans="1:17" x14ac:dyDescent="0.35">
      <c r="A120" s="76"/>
      <c r="B120" s="1"/>
      <c r="C120" s="1"/>
      <c r="D120" s="1"/>
      <c r="E120" s="76"/>
      <c r="F120" s="76"/>
      <c r="G120" s="76"/>
      <c r="H120" s="76"/>
      <c r="I120" s="76"/>
      <c r="J120" s="76"/>
      <c r="K120" s="76"/>
      <c r="L120" s="76"/>
      <c r="M120" s="76"/>
      <c r="N120" s="76"/>
      <c r="O120" s="76"/>
      <c r="P120" s="76"/>
      <c r="Q120" s="1"/>
    </row>
    <row r="121" spans="1:17" x14ac:dyDescent="0.35">
      <c r="A121" s="76"/>
      <c r="B121" s="1"/>
      <c r="C121" s="1"/>
      <c r="D121" s="1"/>
      <c r="E121" s="76"/>
      <c r="F121" s="76"/>
      <c r="G121" s="76"/>
      <c r="H121" s="76"/>
      <c r="I121" s="76"/>
      <c r="J121" s="76"/>
      <c r="K121" s="76"/>
      <c r="L121" s="76"/>
      <c r="M121" s="76"/>
      <c r="N121" s="76"/>
      <c r="O121" s="76"/>
      <c r="P121" s="76"/>
      <c r="Q121" s="1"/>
    </row>
    <row r="122" spans="1:17" x14ac:dyDescent="0.35">
      <c r="A122" s="76"/>
      <c r="B122" s="1"/>
      <c r="C122" s="1"/>
      <c r="D122" s="1"/>
      <c r="E122" s="76"/>
      <c r="F122" s="76"/>
      <c r="G122" s="76"/>
      <c r="H122" s="76"/>
      <c r="I122" s="76"/>
      <c r="J122" s="76"/>
      <c r="K122" s="76"/>
      <c r="L122" s="76"/>
      <c r="M122" s="76"/>
      <c r="N122" s="76"/>
      <c r="O122" s="76"/>
      <c r="P122" s="76"/>
      <c r="Q122" s="1"/>
    </row>
    <row r="123" spans="1:17" x14ac:dyDescent="0.35">
      <c r="A123" s="76"/>
      <c r="B123" s="1"/>
      <c r="C123" s="1"/>
      <c r="D123" s="1"/>
      <c r="E123" s="76"/>
      <c r="F123" s="76"/>
      <c r="G123" s="76"/>
      <c r="H123" s="76"/>
      <c r="I123" s="76"/>
      <c r="J123" s="76"/>
      <c r="K123" s="76"/>
      <c r="L123" s="76"/>
      <c r="M123" s="76"/>
      <c r="N123" s="76"/>
      <c r="O123" s="76"/>
      <c r="P123" s="76"/>
      <c r="Q123" s="1"/>
    </row>
    <row r="124" spans="1:17" x14ac:dyDescent="0.35">
      <c r="A124" s="76"/>
      <c r="B124" s="1"/>
      <c r="C124" s="1"/>
      <c r="D124" s="1"/>
      <c r="E124" s="76"/>
      <c r="F124" s="76"/>
      <c r="G124" s="76"/>
      <c r="H124" s="76"/>
      <c r="I124" s="76"/>
      <c r="J124" s="76"/>
      <c r="K124" s="76"/>
      <c r="L124" s="76"/>
      <c r="M124" s="76"/>
      <c r="N124" s="76"/>
      <c r="O124" s="76"/>
      <c r="P124" s="76"/>
      <c r="Q124" s="1"/>
    </row>
    <row r="125" spans="1:17" x14ac:dyDescent="0.35">
      <c r="A125" s="76"/>
      <c r="B125" s="1"/>
      <c r="C125" s="1"/>
      <c r="D125" s="1"/>
      <c r="E125" s="76"/>
      <c r="F125" s="76"/>
      <c r="G125" s="76"/>
      <c r="H125" s="76"/>
      <c r="I125" s="76"/>
      <c r="J125" s="76"/>
      <c r="K125" s="76"/>
      <c r="L125" s="76"/>
      <c r="M125" s="76"/>
      <c r="N125" s="76"/>
      <c r="O125" s="76"/>
      <c r="P125" s="76"/>
      <c r="Q125" s="1"/>
    </row>
    <row r="126" spans="1:17" x14ac:dyDescent="0.35">
      <c r="A126" s="76"/>
      <c r="B126" s="1"/>
      <c r="C126" s="1"/>
      <c r="D126" s="1"/>
      <c r="E126" s="76"/>
      <c r="F126" s="76"/>
      <c r="G126" s="76"/>
      <c r="H126" s="76"/>
      <c r="I126" s="76"/>
      <c r="J126" s="76"/>
      <c r="K126" s="76"/>
      <c r="L126" s="76"/>
      <c r="M126" s="76"/>
      <c r="N126" s="76"/>
      <c r="O126" s="76"/>
      <c r="P126" s="76"/>
      <c r="Q126" s="1"/>
    </row>
    <row r="127" spans="1:17" x14ac:dyDescent="0.35">
      <c r="A127" s="76"/>
      <c r="B127" s="1"/>
      <c r="C127" s="1"/>
      <c r="D127" s="1"/>
      <c r="E127" s="76"/>
      <c r="F127" s="76"/>
      <c r="G127" s="76"/>
      <c r="H127" s="76"/>
      <c r="I127" s="76"/>
      <c r="J127" s="76"/>
      <c r="K127" s="76"/>
      <c r="L127" s="76"/>
      <c r="M127" s="76"/>
      <c r="N127" s="76"/>
      <c r="O127" s="76"/>
      <c r="P127" s="76"/>
      <c r="Q127" s="1"/>
    </row>
    <row r="128" spans="1:17" x14ac:dyDescent="0.35">
      <c r="A128" s="76"/>
      <c r="B128" s="1"/>
      <c r="C128" s="1"/>
      <c r="D128" s="1"/>
      <c r="E128" s="76"/>
      <c r="F128" s="76"/>
      <c r="G128" s="76"/>
      <c r="H128" s="76"/>
      <c r="I128" s="76"/>
      <c r="J128" s="76"/>
      <c r="K128" s="76"/>
      <c r="L128" s="76"/>
      <c r="M128" s="76"/>
      <c r="N128" s="76"/>
      <c r="O128" s="76"/>
      <c r="P128" s="76"/>
      <c r="Q128" s="1"/>
    </row>
    <row r="129" spans="1:17" x14ac:dyDescent="0.35">
      <c r="A129" s="76"/>
      <c r="B129" s="1"/>
      <c r="C129" s="1"/>
      <c r="D129" s="1"/>
      <c r="E129" s="76"/>
      <c r="F129" s="76"/>
      <c r="G129" s="76"/>
      <c r="H129" s="76"/>
      <c r="I129" s="76"/>
      <c r="J129" s="76"/>
      <c r="K129" s="76"/>
      <c r="L129" s="76"/>
      <c r="M129" s="76"/>
      <c r="N129" s="76"/>
      <c r="O129" s="76"/>
      <c r="P129" s="76"/>
      <c r="Q129" s="1"/>
    </row>
    <row r="130" spans="1:17" x14ac:dyDescent="0.35">
      <c r="A130" s="76"/>
      <c r="B130" s="1"/>
      <c r="C130" s="1"/>
      <c r="D130" s="1"/>
      <c r="E130" s="76"/>
      <c r="F130" s="76"/>
      <c r="G130" s="76"/>
      <c r="H130" s="76"/>
      <c r="I130" s="76"/>
      <c r="J130" s="76"/>
      <c r="K130" s="76"/>
      <c r="L130" s="76"/>
      <c r="M130" s="76"/>
      <c r="N130" s="76"/>
      <c r="O130" s="76"/>
      <c r="P130" s="76"/>
      <c r="Q130" s="1"/>
    </row>
    <row r="131" spans="1:17" x14ac:dyDescent="0.35">
      <c r="A131" s="76"/>
      <c r="B131" s="1"/>
      <c r="C131" s="1"/>
      <c r="D131" s="1"/>
      <c r="E131" s="76"/>
      <c r="F131" s="76"/>
      <c r="G131" s="76"/>
      <c r="H131" s="76"/>
      <c r="I131" s="76"/>
      <c r="J131" s="76"/>
      <c r="K131" s="76"/>
      <c r="L131" s="76"/>
      <c r="M131" s="76"/>
      <c r="N131" s="76"/>
      <c r="O131" s="76"/>
      <c r="P131" s="76"/>
      <c r="Q131" s="1"/>
    </row>
    <row r="132" spans="1:17" x14ac:dyDescent="0.35">
      <c r="A132" s="76"/>
      <c r="B132" s="1"/>
      <c r="C132" s="1"/>
      <c r="D132" s="1"/>
      <c r="E132" s="76"/>
      <c r="F132" s="76"/>
      <c r="G132" s="76"/>
      <c r="H132" s="76"/>
      <c r="I132" s="76"/>
      <c r="J132" s="76"/>
      <c r="K132" s="76"/>
      <c r="L132" s="76"/>
      <c r="M132" s="76"/>
      <c r="N132" s="76"/>
      <c r="O132" s="76"/>
      <c r="P132" s="76"/>
      <c r="Q132" s="1"/>
    </row>
    <row r="133" spans="1:17" x14ac:dyDescent="0.35">
      <c r="A133" s="76"/>
      <c r="B133" s="1"/>
      <c r="C133" s="1"/>
      <c r="D133" s="1"/>
      <c r="E133" s="76"/>
      <c r="F133" s="76"/>
      <c r="G133" s="76"/>
      <c r="H133" s="76"/>
      <c r="I133" s="76"/>
      <c r="J133" s="76"/>
      <c r="K133" s="76"/>
      <c r="L133" s="76"/>
      <c r="M133" s="76"/>
      <c r="N133" s="76"/>
      <c r="O133" s="76"/>
      <c r="P133" s="76"/>
      <c r="Q133" s="1"/>
    </row>
    <row r="134" spans="1:17" x14ac:dyDescent="0.35">
      <c r="A134" s="76"/>
      <c r="B134" s="1"/>
      <c r="C134" s="1"/>
      <c r="D134" s="1"/>
      <c r="E134" s="76"/>
      <c r="F134" s="76"/>
      <c r="G134" s="76"/>
      <c r="H134" s="76"/>
      <c r="I134" s="76"/>
      <c r="J134" s="76"/>
      <c r="K134" s="76"/>
      <c r="L134" s="76"/>
      <c r="M134" s="76"/>
      <c r="N134" s="76"/>
      <c r="O134" s="76"/>
      <c r="P134" s="76"/>
      <c r="Q134" s="1"/>
    </row>
    <row r="135" spans="1:17" x14ac:dyDescent="0.35">
      <c r="A135" s="76"/>
      <c r="B135" s="1"/>
      <c r="C135" s="1"/>
      <c r="D135" s="1"/>
      <c r="E135" s="76"/>
      <c r="F135" s="76"/>
      <c r="G135" s="76"/>
      <c r="H135" s="76"/>
      <c r="I135" s="76"/>
      <c r="J135" s="76"/>
      <c r="K135" s="76"/>
      <c r="L135" s="76"/>
      <c r="M135" s="76"/>
      <c r="N135" s="76"/>
      <c r="O135" s="76"/>
      <c r="P135" s="76"/>
      <c r="Q135" s="1"/>
    </row>
    <row r="136" spans="1:17" x14ac:dyDescent="0.35">
      <c r="A136" s="76"/>
      <c r="B136" s="1"/>
      <c r="C136" s="1"/>
      <c r="D136" s="1"/>
      <c r="E136" s="76"/>
      <c r="F136" s="76"/>
      <c r="G136" s="76"/>
      <c r="H136" s="76"/>
      <c r="I136" s="76"/>
      <c r="J136" s="76"/>
      <c r="K136" s="76"/>
      <c r="L136" s="76"/>
      <c r="M136" s="76"/>
      <c r="N136" s="76"/>
      <c r="O136" s="76"/>
      <c r="P136" s="76"/>
      <c r="Q136" s="1"/>
    </row>
    <row r="137" spans="1:17" x14ac:dyDescent="0.35">
      <c r="A137" s="76"/>
      <c r="B137" s="1"/>
      <c r="C137" s="1"/>
      <c r="D137" s="1"/>
      <c r="E137" s="76"/>
      <c r="F137" s="76"/>
      <c r="G137" s="76"/>
      <c r="H137" s="76"/>
      <c r="I137" s="76"/>
      <c r="J137" s="76"/>
      <c r="K137" s="76"/>
      <c r="L137" s="76"/>
      <c r="M137" s="76"/>
      <c r="N137" s="76"/>
      <c r="O137" s="76"/>
      <c r="P137" s="76"/>
      <c r="Q137" s="1"/>
    </row>
    <row r="138" spans="1:17" x14ac:dyDescent="0.35">
      <c r="A138" s="76"/>
      <c r="B138" s="1"/>
      <c r="C138" s="1"/>
      <c r="D138" s="1"/>
      <c r="E138" s="76"/>
      <c r="F138" s="76"/>
      <c r="G138" s="76"/>
      <c r="H138" s="76"/>
      <c r="I138" s="76"/>
      <c r="J138" s="76"/>
      <c r="K138" s="76"/>
      <c r="L138" s="76"/>
      <c r="M138" s="76"/>
      <c r="N138" s="76"/>
      <c r="O138" s="76"/>
      <c r="P138" s="76"/>
      <c r="Q138" s="1"/>
    </row>
    <row r="139" spans="1:17" x14ac:dyDescent="0.35">
      <c r="A139" s="76"/>
      <c r="B139" s="1"/>
      <c r="C139" s="1"/>
      <c r="D139" s="1"/>
      <c r="E139" s="76"/>
      <c r="F139" s="76"/>
      <c r="G139" s="76"/>
      <c r="H139" s="76"/>
      <c r="I139" s="76"/>
      <c r="J139" s="76"/>
      <c r="K139" s="76"/>
      <c r="L139" s="76"/>
      <c r="M139" s="76"/>
      <c r="N139" s="76"/>
      <c r="O139" s="76"/>
      <c r="P139" s="76"/>
      <c r="Q139" s="1"/>
    </row>
    <row r="140" spans="1:17" x14ac:dyDescent="0.35">
      <c r="A140" s="76"/>
      <c r="B140" s="1"/>
      <c r="C140" s="1"/>
      <c r="D140" s="1"/>
      <c r="E140" s="76"/>
      <c r="F140" s="76"/>
      <c r="G140" s="76"/>
      <c r="H140" s="76"/>
      <c r="I140" s="76"/>
      <c r="J140" s="76"/>
      <c r="K140" s="76"/>
      <c r="L140" s="76"/>
      <c r="M140" s="76"/>
      <c r="N140" s="76"/>
      <c r="O140" s="76"/>
      <c r="P140" s="76"/>
      <c r="Q140" s="1"/>
    </row>
    <row r="141" spans="1:17" x14ac:dyDescent="0.35">
      <c r="A141" s="76"/>
      <c r="B141" s="1"/>
      <c r="C141" s="1"/>
      <c r="D141" s="1"/>
      <c r="E141" s="76"/>
      <c r="F141" s="76"/>
      <c r="G141" s="76"/>
      <c r="H141" s="76"/>
      <c r="I141" s="76"/>
      <c r="J141" s="76"/>
      <c r="K141" s="76"/>
      <c r="L141" s="76"/>
      <c r="M141" s="76"/>
      <c r="N141" s="76"/>
      <c r="O141" s="76"/>
      <c r="P141" s="76"/>
      <c r="Q141" s="1"/>
    </row>
    <row r="142" spans="1:17" x14ac:dyDescent="0.35">
      <c r="A142" s="76"/>
      <c r="B142" s="1"/>
      <c r="C142" s="1"/>
      <c r="D142" s="1"/>
      <c r="E142" s="76"/>
      <c r="F142" s="76"/>
      <c r="G142" s="76"/>
      <c r="H142" s="76"/>
      <c r="I142" s="76"/>
      <c r="J142" s="76"/>
      <c r="K142" s="76"/>
      <c r="L142" s="76"/>
      <c r="M142" s="76"/>
      <c r="N142" s="76"/>
      <c r="O142" s="76"/>
      <c r="P142" s="76"/>
      <c r="Q142" s="1"/>
    </row>
    <row r="143" spans="1:17" x14ac:dyDescent="0.35">
      <c r="A143" s="76"/>
      <c r="B143" s="1"/>
      <c r="C143" s="1"/>
      <c r="D143" s="1"/>
      <c r="E143" s="76"/>
      <c r="F143" s="76"/>
      <c r="G143" s="76"/>
      <c r="H143" s="76"/>
      <c r="I143" s="76"/>
      <c r="J143" s="76"/>
      <c r="K143" s="76"/>
      <c r="L143" s="76"/>
      <c r="M143" s="76"/>
      <c r="N143" s="76"/>
      <c r="O143" s="76"/>
      <c r="P143" s="76"/>
      <c r="Q143" s="1"/>
    </row>
    <row r="144" spans="1:17" x14ac:dyDescent="0.35">
      <c r="A144" s="76"/>
      <c r="B144" s="1"/>
      <c r="C144" s="1"/>
      <c r="D144" s="1"/>
      <c r="E144" s="76"/>
      <c r="F144" s="76"/>
      <c r="G144" s="76"/>
      <c r="H144" s="76"/>
      <c r="I144" s="76"/>
      <c r="J144" s="76"/>
      <c r="K144" s="76"/>
      <c r="L144" s="76"/>
      <c r="M144" s="76"/>
      <c r="N144" s="76"/>
      <c r="O144" s="76"/>
      <c r="P144" s="76"/>
      <c r="Q144" s="1"/>
    </row>
    <row r="145" spans="1:17" x14ac:dyDescent="0.35">
      <c r="A145" s="76"/>
      <c r="B145" s="1"/>
      <c r="C145" s="1"/>
      <c r="D145" s="1"/>
      <c r="E145" s="76"/>
      <c r="F145" s="76"/>
      <c r="G145" s="76"/>
      <c r="H145" s="76"/>
      <c r="I145" s="76"/>
      <c r="J145" s="76"/>
      <c r="K145" s="76"/>
      <c r="L145" s="76"/>
      <c r="M145" s="76"/>
      <c r="N145" s="76"/>
      <c r="O145" s="76"/>
      <c r="P145" s="76"/>
      <c r="Q145" s="1"/>
    </row>
    <row r="146" spans="1:17" x14ac:dyDescent="0.35">
      <c r="A146" s="76"/>
      <c r="B146" s="1"/>
      <c r="C146" s="1"/>
      <c r="D146" s="1"/>
      <c r="E146" s="76"/>
      <c r="F146" s="76"/>
      <c r="G146" s="76"/>
      <c r="H146" s="76"/>
      <c r="I146" s="76"/>
      <c r="J146" s="76"/>
      <c r="K146" s="76"/>
      <c r="L146" s="76"/>
      <c r="M146" s="76"/>
      <c r="N146" s="76"/>
      <c r="O146" s="76"/>
      <c r="P146" s="76"/>
      <c r="Q146" s="1"/>
    </row>
    <row r="147" spans="1:17" x14ac:dyDescent="0.35">
      <c r="A147" s="76"/>
      <c r="B147" s="1"/>
      <c r="C147" s="1"/>
      <c r="D147" s="1"/>
      <c r="E147" s="76"/>
      <c r="F147" s="76"/>
      <c r="G147" s="76"/>
      <c r="H147" s="76"/>
      <c r="I147" s="76"/>
      <c r="J147" s="76"/>
      <c r="K147" s="76"/>
      <c r="L147" s="76"/>
      <c r="M147" s="76"/>
      <c r="N147" s="76"/>
      <c r="O147" s="76"/>
      <c r="P147" s="76"/>
      <c r="Q147" s="1"/>
    </row>
    <row r="148" spans="1:17" x14ac:dyDescent="0.35">
      <c r="A148" s="76"/>
      <c r="B148" s="1"/>
      <c r="C148" s="1"/>
      <c r="D148" s="1"/>
      <c r="E148" s="76"/>
      <c r="F148" s="76"/>
      <c r="G148" s="76"/>
      <c r="H148" s="76"/>
      <c r="I148" s="76"/>
      <c r="J148" s="76"/>
      <c r="K148" s="76"/>
      <c r="L148" s="76"/>
      <c r="M148" s="76"/>
      <c r="N148" s="76"/>
      <c r="O148" s="76"/>
      <c r="P148" s="76"/>
      <c r="Q148" s="1"/>
    </row>
    <row r="149" spans="1:17" x14ac:dyDescent="0.35">
      <c r="A149" s="76"/>
      <c r="B149" s="1"/>
      <c r="C149" s="1"/>
      <c r="D149" s="1"/>
      <c r="E149" s="76"/>
      <c r="F149" s="76"/>
      <c r="G149" s="76"/>
      <c r="H149" s="76"/>
      <c r="I149" s="76"/>
      <c r="J149" s="76"/>
      <c r="K149" s="76"/>
      <c r="L149" s="76"/>
      <c r="M149" s="76"/>
      <c r="N149" s="76"/>
      <c r="O149" s="76"/>
      <c r="P149" s="76"/>
      <c r="Q149" s="1"/>
    </row>
    <row r="150" spans="1:17" x14ac:dyDescent="0.35">
      <c r="A150" s="76"/>
      <c r="B150" s="1"/>
      <c r="C150" s="1"/>
      <c r="D150" s="1"/>
      <c r="E150" s="76"/>
      <c r="F150" s="76"/>
      <c r="G150" s="76"/>
      <c r="H150" s="76"/>
      <c r="I150" s="76"/>
      <c r="J150" s="76"/>
      <c r="K150" s="76"/>
      <c r="L150" s="76"/>
      <c r="M150" s="76"/>
      <c r="N150" s="76"/>
      <c r="O150" s="76"/>
      <c r="P150" s="76"/>
      <c r="Q150" s="1"/>
    </row>
    <row r="151" spans="1:17" x14ac:dyDescent="0.35">
      <c r="A151" s="76"/>
      <c r="B151" s="1"/>
      <c r="C151" s="1"/>
      <c r="D151" s="1"/>
      <c r="E151" s="76"/>
      <c r="F151" s="76"/>
      <c r="G151" s="76"/>
      <c r="H151" s="76"/>
      <c r="I151" s="76"/>
      <c r="J151" s="76"/>
      <c r="K151" s="76"/>
      <c r="L151" s="76"/>
      <c r="M151" s="76"/>
      <c r="N151" s="76"/>
      <c r="O151" s="76"/>
      <c r="P151" s="76"/>
      <c r="Q151" s="1"/>
    </row>
    <row r="152" spans="1:17" x14ac:dyDescent="0.35">
      <c r="A152" s="76"/>
      <c r="B152" s="1"/>
      <c r="C152" s="1"/>
      <c r="D152" s="1"/>
      <c r="E152" s="76"/>
      <c r="F152" s="76"/>
      <c r="G152" s="76"/>
      <c r="H152" s="76"/>
      <c r="I152" s="76"/>
      <c r="J152" s="76"/>
      <c r="K152" s="76"/>
      <c r="L152" s="76"/>
      <c r="M152" s="76"/>
      <c r="N152" s="76"/>
      <c r="O152" s="76"/>
      <c r="P152" s="76"/>
      <c r="Q152" s="1"/>
    </row>
    <row r="153" spans="1:17" x14ac:dyDescent="0.35">
      <c r="A153" s="76"/>
      <c r="B153" s="1"/>
      <c r="C153" s="1"/>
      <c r="D153" s="1"/>
      <c r="E153" s="76"/>
      <c r="F153" s="76"/>
      <c r="G153" s="76"/>
      <c r="H153" s="76"/>
      <c r="I153" s="76"/>
      <c r="J153" s="76"/>
      <c r="K153" s="76"/>
      <c r="L153" s="76"/>
      <c r="M153" s="76"/>
      <c r="N153" s="76"/>
      <c r="O153" s="76"/>
      <c r="P153" s="76"/>
      <c r="Q153" s="1"/>
    </row>
    <row r="154" spans="1:17" x14ac:dyDescent="0.35">
      <c r="A154" s="76"/>
      <c r="B154" s="1"/>
      <c r="C154" s="1"/>
      <c r="D154" s="1"/>
      <c r="E154" s="76"/>
      <c r="F154" s="76"/>
      <c r="G154" s="76"/>
      <c r="H154" s="76"/>
      <c r="I154" s="76"/>
      <c r="J154" s="76"/>
      <c r="K154" s="76"/>
      <c r="L154" s="76"/>
      <c r="M154" s="76"/>
      <c r="N154" s="76"/>
      <c r="O154" s="76"/>
      <c r="P154" s="76"/>
      <c r="Q154" s="1"/>
    </row>
    <row r="155" spans="1:17" x14ac:dyDescent="0.35">
      <c r="A155" s="76"/>
      <c r="B155" s="1"/>
      <c r="C155" s="1"/>
      <c r="D155" s="1"/>
      <c r="E155" s="76"/>
      <c r="F155" s="76"/>
      <c r="G155" s="76"/>
      <c r="H155" s="76"/>
      <c r="I155" s="76"/>
      <c r="J155" s="76"/>
      <c r="K155" s="76"/>
      <c r="L155" s="76"/>
      <c r="M155" s="76"/>
      <c r="N155" s="76"/>
      <c r="O155" s="76"/>
      <c r="P155" s="76"/>
      <c r="Q155" s="1"/>
    </row>
    <row r="156" spans="1:17" x14ac:dyDescent="0.35">
      <c r="A156" s="76"/>
      <c r="B156" s="1"/>
      <c r="C156" s="1"/>
      <c r="D156" s="1"/>
      <c r="E156" s="76"/>
      <c r="F156" s="76"/>
      <c r="G156" s="76"/>
      <c r="H156" s="76"/>
      <c r="I156" s="76"/>
      <c r="J156" s="76"/>
      <c r="K156" s="76"/>
      <c r="L156" s="76"/>
      <c r="M156" s="76"/>
      <c r="N156" s="76"/>
      <c r="O156" s="76"/>
      <c r="P156" s="76"/>
      <c r="Q156" s="1"/>
    </row>
    <row r="157" spans="1:17" x14ac:dyDescent="0.35">
      <c r="A157" s="76"/>
      <c r="B157" s="1"/>
      <c r="C157" s="1"/>
      <c r="D157" s="1"/>
      <c r="E157" s="76"/>
      <c r="F157" s="76"/>
      <c r="G157" s="76"/>
      <c r="H157" s="76"/>
      <c r="I157" s="76"/>
      <c r="J157" s="76"/>
      <c r="K157" s="76"/>
      <c r="L157" s="76"/>
      <c r="M157" s="76"/>
      <c r="N157" s="76"/>
      <c r="O157" s="76"/>
      <c r="P157" s="76"/>
      <c r="Q157" s="1"/>
    </row>
    <row r="158" spans="1:17" x14ac:dyDescent="0.35">
      <c r="A158" s="76"/>
      <c r="B158" s="1"/>
      <c r="C158" s="1"/>
      <c r="D158" s="1"/>
      <c r="E158" s="76"/>
      <c r="F158" s="76"/>
      <c r="G158" s="76"/>
      <c r="H158" s="76"/>
      <c r="I158" s="76"/>
      <c r="J158" s="76"/>
      <c r="K158" s="76"/>
      <c r="L158" s="76"/>
      <c r="M158" s="76"/>
      <c r="N158" s="76"/>
      <c r="O158" s="76"/>
      <c r="P158" s="76"/>
      <c r="Q158" s="1"/>
    </row>
    <row r="159" spans="1:17" x14ac:dyDescent="0.35">
      <c r="A159" s="76"/>
      <c r="B159" s="1"/>
      <c r="C159" s="1"/>
      <c r="D159" s="1"/>
      <c r="E159" s="76"/>
      <c r="F159" s="76"/>
      <c r="G159" s="76"/>
      <c r="H159" s="76"/>
      <c r="I159" s="76"/>
      <c r="J159" s="76"/>
      <c r="K159" s="76"/>
      <c r="L159" s="76"/>
      <c r="M159" s="76"/>
      <c r="N159" s="76"/>
      <c r="O159" s="76"/>
      <c r="P159" s="76"/>
      <c r="Q159" s="1"/>
    </row>
    <row r="160" spans="1:17" x14ac:dyDescent="0.35">
      <c r="A160" s="76"/>
      <c r="B160" s="1"/>
      <c r="C160" s="1"/>
      <c r="D160" s="1"/>
      <c r="E160" s="76"/>
      <c r="F160" s="76"/>
      <c r="G160" s="76"/>
      <c r="H160" s="76"/>
      <c r="I160" s="76"/>
      <c r="J160" s="76"/>
      <c r="K160" s="76"/>
      <c r="L160" s="76"/>
      <c r="M160" s="76"/>
      <c r="N160" s="76"/>
      <c r="O160" s="76"/>
      <c r="P160" s="76"/>
      <c r="Q160" s="1"/>
    </row>
    <row r="161" spans="1:17" x14ac:dyDescent="0.35">
      <c r="A161" s="76"/>
      <c r="B161" s="1"/>
      <c r="C161" s="1"/>
      <c r="D161" s="1"/>
      <c r="E161" s="76"/>
      <c r="F161" s="76"/>
      <c r="G161" s="76"/>
      <c r="H161" s="76"/>
      <c r="I161" s="76"/>
      <c r="J161" s="76"/>
      <c r="K161" s="76"/>
      <c r="L161" s="76"/>
      <c r="M161" s="76"/>
      <c r="N161" s="76"/>
      <c r="O161" s="76"/>
      <c r="P161" s="76"/>
      <c r="Q161" s="1"/>
    </row>
    <row r="162" spans="1:17" x14ac:dyDescent="0.35">
      <c r="A162" s="76"/>
      <c r="B162" s="1"/>
      <c r="C162" s="1"/>
      <c r="D162" s="1"/>
      <c r="E162" s="76"/>
      <c r="F162" s="76"/>
      <c r="G162" s="76"/>
      <c r="H162" s="76"/>
      <c r="I162" s="76"/>
      <c r="J162" s="76"/>
      <c r="K162" s="76"/>
      <c r="L162" s="76"/>
      <c r="M162" s="76"/>
      <c r="N162" s="76"/>
      <c r="O162" s="76"/>
      <c r="P162" s="76"/>
      <c r="Q162" s="1"/>
    </row>
    <row r="163" spans="1:17" x14ac:dyDescent="0.35">
      <c r="A163" s="76"/>
      <c r="B163" s="1"/>
      <c r="C163" s="1"/>
      <c r="D163" s="1"/>
      <c r="E163" s="76"/>
      <c r="F163" s="76"/>
      <c r="G163" s="76"/>
      <c r="H163" s="76"/>
      <c r="I163" s="76"/>
      <c r="J163" s="76"/>
      <c r="K163" s="76"/>
      <c r="L163" s="76"/>
      <c r="M163" s="76"/>
      <c r="N163" s="76"/>
      <c r="O163" s="76"/>
      <c r="P163" s="76"/>
      <c r="Q163" s="1"/>
    </row>
    <row r="164" spans="1:17" x14ac:dyDescent="0.35">
      <c r="A164" s="76"/>
      <c r="B164" s="1"/>
      <c r="C164" s="1"/>
      <c r="D164" s="1"/>
      <c r="E164" s="76"/>
      <c r="F164" s="76"/>
      <c r="G164" s="76"/>
      <c r="H164" s="76"/>
      <c r="I164" s="76"/>
      <c r="J164" s="76"/>
      <c r="K164" s="76"/>
      <c r="L164" s="76"/>
      <c r="M164" s="76"/>
      <c r="N164" s="76"/>
      <c r="O164" s="76"/>
      <c r="P164" s="76"/>
      <c r="Q164" s="1"/>
    </row>
    <row r="165" spans="1:17" x14ac:dyDescent="0.35">
      <c r="A165" s="76"/>
      <c r="B165" s="1"/>
      <c r="C165" s="1"/>
      <c r="D165" s="1"/>
      <c r="E165" s="76"/>
      <c r="F165" s="76"/>
      <c r="G165" s="76"/>
      <c r="H165" s="76"/>
      <c r="I165" s="76"/>
      <c r="J165" s="76"/>
      <c r="K165" s="76"/>
      <c r="L165" s="76"/>
      <c r="M165" s="76"/>
      <c r="N165" s="76"/>
      <c r="O165" s="76"/>
      <c r="P165" s="76"/>
      <c r="Q165" s="1"/>
    </row>
    <row r="166" spans="1:17" x14ac:dyDescent="0.35">
      <c r="A166" s="76"/>
      <c r="B166" s="1"/>
      <c r="C166" s="1"/>
      <c r="D166" s="1"/>
      <c r="E166" s="76"/>
      <c r="F166" s="76"/>
      <c r="G166" s="76"/>
      <c r="H166" s="76"/>
      <c r="I166" s="76"/>
      <c r="J166" s="76"/>
      <c r="K166" s="76"/>
      <c r="L166" s="76"/>
      <c r="M166" s="76"/>
      <c r="N166" s="76"/>
      <c r="O166" s="76"/>
      <c r="P166" s="76"/>
      <c r="Q166" s="1"/>
    </row>
    <row r="167" spans="1:17" x14ac:dyDescent="0.35">
      <c r="A167" s="76"/>
      <c r="B167" s="1"/>
      <c r="C167" s="1"/>
      <c r="D167" s="1"/>
      <c r="E167" s="76"/>
      <c r="F167" s="76"/>
      <c r="G167" s="76"/>
      <c r="H167" s="76"/>
      <c r="I167" s="76"/>
      <c r="J167" s="76"/>
      <c r="K167" s="76"/>
      <c r="L167" s="76"/>
      <c r="M167" s="76"/>
      <c r="N167" s="76"/>
      <c r="O167" s="76"/>
      <c r="P167" s="76"/>
      <c r="Q167" s="1"/>
    </row>
    <row r="168" spans="1:17" x14ac:dyDescent="0.35">
      <c r="A168" s="76"/>
      <c r="B168" s="1"/>
      <c r="C168" s="1"/>
      <c r="D168" s="1"/>
      <c r="E168" s="76"/>
      <c r="F168" s="76"/>
      <c r="G168" s="76"/>
      <c r="H168" s="76"/>
      <c r="I168" s="76"/>
      <c r="J168" s="76"/>
      <c r="K168" s="76"/>
      <c r="L168" s="76"/>
      <c r="M168" s="76"/>
      <c r="N168" s="76"/>
      <c r="O168" s="76"/>
      <c r="P168" s="76"/>
      <c r="Q168" s="1"/>
    </row>
    <row r="169" spans="1:17" x14ac:dyDescent="0.35">
      <c r="A169" s="76"/>
      <c r="B169" s="1"/>
      <c r="C169" s="1"/>
      <c r="D169" s="1"/>
      <c r="E169" s="76"/>
      <c r="F169" s="76"/>
      <c r="G169" s="76"/>
      <c r="H169" s="76"/>
      <c r="I169" s="76"/>
      <c r="J169" s="76"/>
      <c r="K169" s="76"/>
      <c r="L169" s="76"/>
      <c r="M169" s="76"/>
      <c r="N169" s="76"/>
      <c r="O169" s="76"/>
      <c r="P169" s="76"/>
      <c r="Q169" s="1"/>
    </row>
    <row r="170" spans="1:17" x14ac:dyDescent="0.35">
      <c r="A170" s="76"/>
      <c r="B170" s="1"/>
      <c r="C170" s="1"/>
      <c r="D170" s="1"/>
      <c r="E170" s="76"/>
      <c r="F170" s="76"/>
      <c r="G170" s="76"/>
      <c r="H170" s="76"/>
      <c r="I170" s="76"/>
      <c r="J170" s="76"/>
      <c r="K170" s="76"/>
      <c r="L170" s="76"/>
      <c r="M170" s="76"/>
      <c r="N170" s="76"/>
      <c r="O170" s="76"/>
      <c r="P170" s="76"/>
      <c r="Q170" s="1"/>
    </row>
    <row r="171" spans="1:17" x14ac:dyDescent="0.35">
      <c r="A171" s="76"/>
      <c r="B171" s="1"/>
      <c r="C171" s="1"/>
      <c r="D171" s="1"/>
      <c r="E171" s="76"/>
      <c r="F171" s="76"/>
      <c r="G171" s="76"/>
      <c r="H171" s="76"/>
      <c r="I171" s="76"/>
      <c r="J171" s="76"/>
      <c r="K171" s="76"/>
      <c r="L171" s="76"/>
      <c r="M171" s="76"/>
      <c r="N171" s="76"/>
      <c r="O171" s="76"/>
      <c r="P171" s="76"/>
      <c r="Q171" s="1"/>
    </row>
    <row r="172" spans="1:17" x14ac:dyDescent="0.35">
      <c r="A172" s="76"/>
      <c r="B172" s="1"/>
      <c r="C172" s="1"/>
      <c r="D172" s="1"/>
      <c r="E172" s="76"/>
      <c r="F172" s="76"/>
      <c r="G172" s="76"/>
      <c r="H172" s="76"/>
      <c r="I172" s="76"/>
      <c r="J172" s="76"/>
      <c r="K172" s="76"/>
      <c r="L172" s="76"/>
      <c r="M172" s="76"/>
      <c r="N172" s="76"/>
      <c r="O172" s="76"/>
      <c r="P172" s="76"/>
      <c r="Q172" s="1"/>
    </row>
    <row r="173" spans="1:17" x14ac:dyDescent="0.35">
      <c r="A173" s="76"/>
      <c r="B173" s="1"/>
      <c r="C173" s="1"/>
      <c r="D173" s="1"/>
      <c r="E173" s="76"/>
      <c r="F173" s="76"/>
      <c r="G173" s="76"/>
      <c r="H173" s="76"/>
      <c r="I173" s="76"/>
      <c r="J173" s="76"/>
      <c r="K173" s="76"/>
      <c r="L173" s="76"/>
      <c r="M173" s="76"/>
      <c r="N173" s="76"/>
      <c r="O173" s="76"/>
      <c r="P173" s="76"/>
      <c r="Q173" s="1"/>
    </row>
    <row r="174" spans="1:17" x14ac:dyDescent="0.35">
      <c r="A174" s="76"/>
      <c r="B174" s="1"/>
      <c r="C174" s="1"/>
      <c r="D174" s="1"/>
      <c r="E174" s="76"/>
      <c r="F174" s="76"/>
      <c r="G174" s="76"/>
      <c r="H174" s="76"/>
      <c r="I174" s="76"/>
      <c r="J174" s="76"/>
      <c r="K174" s="76"/>
      <c r="L174" s="76"/>
      <c r="M174" s="76"/>
      <c r="N174" s="76"/>
      <c r="O174" s="76"/>
      <c r="P174" s="76"/>
      <c r="Q174" s="1"/>
    </row>
    <row r="175" spans="1:17" x14ac:dyDescent="0.35">
      <c r="A175" s="76"/>
      <c r="B175" s="1"/>
      <c r="C175" s="1"/>
      <c r="D175" s="1"/>
      <c r="E175" s="76"/>
      <c r="F175" s="76"/>
      <c r="G175" s="76"/>
      <c r="H175" s="76"/>
      <c r="I175" s="76"/>
      <c r="J175" s="76"/>
      <c r="K175" s="76"/>
      <c r="L175" s="76"/>
      <c r="M175" s="76"/>
      <c r="N175" s="76"/>
      <c r="O175" s="76"/>
      <c r="P175" s="76"/>
      <c r="Q175" s="1"/>
    </row>
    <row r="176" spans="1:17" x14ac:dyDescent="0.35">
      <c r="A176" s="76"/>
      <c r="B176" s="1"/>
      <c r="C176" s="1"/>
      <c r="D176" s="1"/>
      <c r="E176" s="76"/>
      <c r="F176" s="76"/>
      <c r="G176" s="76"/>
      <c r="H176" s="76"/>
      <c r="I176" s="76"/>
      <c r="J176" s="76"/>
      <c r="K176" s="76"/>
      <c r="L176" s="76"/>
      <c r="M176" s="76"/>
      <c r="N176" s="76"/>
      <c r="O176" s="76"/>
      <c r="P176" s="76"/>
      <c r="Q176" s="1"/>
    </row>
    <row r="177" spans="1:17" x14ac:dyDescent="0.35">
      <c r="A177" s="76"/>
      <c r="B177" s="1"/>
      <c r="C177" s="1"/>
      <c r="D177" s="1"/>
      <c r="E177" s="76"/>
      <c r="F177" s="76"/>
      <c r="G177" s="76"/>
      <c r="H177" s="76"/>
      <c r="I177" s="76"/>
      <c r="J177" s="76"/>
      <c r="K177" s="76"/>
      <c r="L177" s="76"/>
      <c r="M177" s="76"/>
      <c r="N177" s="76"/>
      <c r="O177" s="76"/>
      <c r="P177" s="76"/>
      <c r="Q177" s="1"/>
    </row>
    <row r="178" spans="1:17" x14ac:dyDescent="0.35">
      <c r="A178" s="76"/>
      <c r="B178" s="1"/>
      <c r="C178" s="1"/>
      <c r="D178" s="1"/>
      <c r="E178" s="76"/>
      <c r="F178" s="76"/>
      <c r="G178" s="76"/>
      <c r="H178" s="76"/>
      <c r="I178" s="76"/>
      <c r="J178" s="76"/>
      <c r="K178" s="76"/>
      <c r="L178" s="76"/>
      <c r="M178" s="76"/>
      <c r="N178" s="76"/>
      <c r="O178" s="76"/>
      <c r="P178" s="76"/>
      <c r="Q178" s="1"/>
    </row>
    <row r="179" spans="1:17" x14ac:dyDescent="0.35">
      <c r="A179" s="76"/>
      <c r="B179" s="1"/>
      <c r="C179" s="1"/>
      <c r="D179" s="1"/>
      <c r="E179" s="76"/>
      <c r="F179" s="76"/>
      <c r="G179" s="76"/>
      <c r="H179" s="76"/>
      <c r="I179" s="76"/>
      <c r="J179" s="76"/>
      <c r="K179" s="76"/>
      <c r="L179" s="76"/>
      <c r="M179" s="76"/>
      <c r="N179" s="76"/>
      <c r="O179" s="76"/>
      <c r="P179" s="76"/>
      <c r="Q179" s="1"/>
    </row>
    <row r="180" spans="1:17" x14ac:dyDescent="0.35">
      <c r="A180" s="76"/>
      <c r="B180" s="1"/>
      <c r="C180" s="1"/>
      <c r="D180" s="1"/>
      <c r="E180" s="76"/>
      <c r="F180" s="76"/>
      <c r="G180" s="76"/>
      <c r="H180" s="76"/>
      <c r="I180" s="76"/>
      <c r="J180" s="76"/>
      <c r="K180" s="76"/>
      <c r="L180" s="76"/>
      <c r="M180" s="76"/>
      <c r="N180" s="76"/>
      <c r="O180" s="76"/>
      <c r="P180" s="76"/>
      <c r="Q180" s="1"/>
    </row>
    <row r="181" spans="1:17" x14ac:dyDescent="0.35">
      <c r="A181" s="76"/>
      <c r="B181" s="1"/>
      <c r="C181" s="1"/>
      <c r="D181" s="1"/>
      <c r="E181" s="76"/>
      <c r="F181" s="76"/>
      <c r="G181" s="76"/>
      <c r="H181" s="76"/>
      <c r="I181" s="76"/>
      <c r="J181" s="76"/>
      <c r="K181" s="76"/>
      <c r="L181" s="76"/>
      <c r="M181" s="76"/>
      <c r="N181" s="76"/>
      <c r="O181" s="76"/>
      <c r="P181" s="76"/>
      <c r="Q181" s="1"/>
    </row>
    <row r="182" spans="1:17" x14ac:dyDescent="0.35">
      <c r="A182" s="76"/>
      <c r="B182" s="1"/>
      <c r="C182" s="1"/>
      <c r="D182" s="1"/>
      <c r="E182" s="76"/>
      <c r="F182" s="76"/>
      <c r="G182" s="76"/>
      <c r="H182" s="76"/>
      <c r="I182" s="76"/>
      <c r="J182" s="76"/>
      <c r="K182" s="76"/>
      <c r="L182" s="76"/>
      <c r="M182" s="76"/>
      <c r="N182" s="76"/>
      <c r="O182" s="76"/>
      <c r="P182" s="76"/>
      <c r="Q182" s="1"/>
    </row>
    <row r="183" spans="1:17" x14ac:dyDescent="0.35">
      <c r="A183" s="76"/>
      <c r="B183" s="1"/>
      <c r="C183" s="1"/>
      <c r="D183" s="1"/>
      <c r="E183" s="76"/>
      <c r="F183" s="76"/>
      <c r="G183" s="76"/>
      <c r="H183" s="76"/>
      <c r="I183" s="76"/>
      <c r="J183" s="76"/>
      <c r="K183" s="76"/>
      <c r="L183" s="76"/>
      <c r="M183" s="76"/>
      <c r="N183" s="76"/>
      <c r="O183" s="76"/>
      <c r="P183" s="76"/>
      <c r="Q183" s="1"/>
    </row>
    <row r="184" spans="1:17" x14ac:dyDescent="0.35">
      <c r="A184" s="76"/>
      <c r="B184" s="1"/>
      <c r="C184" s="1"/>
      <c r="D184" s="1"/>
      <c r="E184" s="76"/>
      <c r="F184" s="76"/>
      <c r="G184" s="76"/>
      <c r="H184" s="76"/>
      <c r="I184" s="76"/>
      <c r="J184" s="76"/>
      <c r="K184" s="76"/>
      <c r="L184" s="76"/>
      <c r="M184" s="76"/>
      <c r="N184" s="76"/>
      <c r="O184" s="76"/>
      <c r="P184" s="76"/>
      <c r="Q184" s="1"/>
    </row>
    <row r="185" spans="1:17" x14ac:dyDescent="0.35">
      <c r="A185" s="76"/>
      <c r="B185" s="1"/>
      <c r="C185" s="1"/>
      <c r="D185" s="1"/>
      <c r="E185" s="76"/>
      <c r="F185" s="76"/>
      <c r="G185" s="76"/>
      <c r="H185" s="76"/>
      <c r="I185" s="76"/>
      <c r="J185" s="76"/>
      <c r="K185" s="76"/>
      <c r="L185" s="76"/>
      <c r="M185" s="76"/>
      <c r="N185" s="76"/>
      <c r="O185" s="76"/>
      <c r="P185" s="76"/>
      <c r="Q185" s="1"/>
    </row>
    <row r="186" spans="1:17" x14ac:dyDescent="0.35">
      <c r="A186" s="76"/>
      <c r="B186" s="1"/>
      <c r="C186" s="1"/>
      <c r="D186" s="1"/>
      <c r="E186" s="76"/>
      <c r="F186" s="76"/>
      <c r="G186" s="76"/>
      <c r="H186" s="76"/>
      <c r="I186" s="76"/>
      <c r="J186" s="76"/>
      <c r="K186" s="76"/>
      <c r="L186" s="76"/>
      <c r="M186" s="76"/>
      <c r="N186" s="76"/>
      <c r="O186" s="76"/>
      <c r="P186" s="76"/>
      <c r="Q186" s="1"/>
    </row>
    <row r="187" spans="1:17" x14ac:dyDescent="0.35">
      <c r="A187" s="76"/>
      <c r="B187" s="1"/>
      <c r="C187" s="1"/>
      <c r="D187" s="1"/>
      <c r="E187" s="76"/>
      <c r="F187" s="76"/>
      <c r="G187" s="76"/>
      <c r="H187" s="76"/>
      <c r="I187" s="76"/>
      <c r="J187" s="76"/>
      <c r="K187" s="76"/>
      <c r="L187" s="76"/>
      <c r="M187" s="76"/>
      <c r="N187" s="76"/>
      <c r="O187" s="76"/>
      <c r="P187" s="76"/>
      <c r="Q187" s="1"/>
    </row>
    <row r="188" spans="1:17" x14ac:dyDescent="0.35">
      <c r="A188" s="76"/>
      <c r="B188" s="1"/>
      <c r="C188" s="1"/>
      <c r="D188" s="1"/>
      <c r="E188" s="76"/>
      <c r="F188" s="76"/>
      <c r="G188" s="76"/>
      <c r="H188" s="76"/>
      <c r="I188" s="76"/>
      <c r="J188" s="76"/>
      <c r="K188" s="76"/>
      <c r="L188" s="76"/>
      <c r="M188" s="76"/>
      <c r="N188" s="76"/>
      <c r="O188" s="76"/>
      <c r="P188" s="76"/>
      <c r="Q188" s="1"/>
    </row>
    <row r="189" spans="1:17" x14ac:dyDescent="0.35">
      <c r="A189" s="76"/>
      <c r="B189" s="1"/>
      <c r="C189" s="1"/>
      <c r="D189" s="1"/>
      <c r="E189" s="76"/>
      <c r="F189" s="76"/>
      <c r="G189" s="76"/>
      <c r="H189" s="76"/>
      <c r="I189" s="76"/>
      <c r="J189" s="76"/>
      <c r="K189" s="76"/>
      <c r="L189" s="76"/>
      <c r="M189" s="76"/>
      <c r="N189" s="76"/>
      <c r="O189" s="76"/>
      <c r="P189" s="76"/>
      <c r="Q189" s="1"/>
    </row>
    <row r="190" spans="1:17" x14ac:dyDescent="0.35">
      <c r="A190" s="76"/>
      <c r="B190" s="1"/>
      <c r="C190" s="1"/>
      <c r="D190" s="1"/>
      <c r="E190" s="76"/>
      <c r="F190" s="76"/>
      <c r="G190" s="76"/>
      <c r="H190" s="76"/>
      <c r="I190" s="76"/>
      <c r="J190" s="76"/>
      <c r="K190" s="76"/>
      <c r="L190" s="76"/>
      <c r="M190" s="76"/>
      <c r="N190" s="76"/>
      <c r="O190" s="76"/>
      <c r="P190" s="76"/>
      <c r="Q190" s="1"/>
    </row>
    <row r="191" spans="1:17" x14ac:dyDescent="0.35">
      <c r="A191" s="76"/>
      <c r="B191" s="1"/>
      <c r="C191" s="1"/>
      <c r="D191" s="1"/>
      <c r="E191" s="76"/>
      <c r="F191" s="76"/>
      <c r="G191" s="76"/>
      <c r="H191" s="76"/>
      <c r="I191" s="76"/>
      <c r="J191" s="76"/>
      <c r="K191" s="76"/>
      <c r="L191" s="76"/>
      <c r="M191" s="76"/>
      <c r="N191" s="76"/>
      <c r="O191" s="76"/>
      <c r="P191" s="76"/>
      <c r="Q191" s="1"/>
    </row>
    <row r="192" spans="1:17" x14ac:dyDescent="0.35">
      <c r="A192" s="76"/>
      <c r="B192" s="1"/>
      <c r="C192" s="1"/>
      <c r="D192" s="1"/>
      <c r="E192" s="76"/>
      <c r="F192" s="76"/>
      <c r="G192" s="76"/>
      <c r="H192" s="76"/>
      <c r="I192" s="76"/>
      <c r="J192" s="76"/>
      <c r="K192" s="76"/>
      <c r="L192" s="76"/>
      <c r="M192" s="76"/>
      <c r="N192" s="76"/>
      <c r="O192" s="76"/>
      <c r="P192" s="76"/>
      <c r="Q192" s="1"/>
    </row>
    <row r="193" spans="1:17" x14ac:dyDescent="0.35">
      <c r="A193" s="76"/>
      <c r="B193" s="1"/>
      <c r="C193" s="1"/>
      <c r="D193" s="1"/>
      <c r="E193" s="76"/>
      <c r="F193" s="76"/>
      <c r="G193" s="76"/>
      <c r="H193" s="76"/>
      <c r="I193" s="76"/>
      <c r="J193" s="76"/>
      <c r="K193" s="76"/>
      <c r="L193" s="76"/>
      <c r="M193" s="76"/>
      <c r="N193" s="76"/>
      <c r="O193" s="76"/>
      <c r="P193" s="76"/>
      <c r="Q193" s="1"/>
    </row>
    <row r="194" spans="1:17" x14ac:dyDescent="0.35">
      <c r="A194" s="76"/>
      <c r="B194" s="1"/>
      <c r="C194" s="1"/>
      <c r="D194" s="1"/>
      <c r="E194" s="76"/>
      <c r="F194" s="76"/>
      <c r="G194" s="76"/>
      <c r="H194" s="76"/>
      <c r="I194" s="76"/>
      <c r="J194" s="76"/>
      <c r="K194" s="76"/>
      <c r="L194" s="76"/>
      <c r="M194" s="76"/>
      <c r="N194" s="76"/>
      <c r="O194" s="76"/>
      <c r="P194" s="76"/>
      <c r="Q194" s="1"/>
    </row>
    <row r="195" spans="1:17" x14ac:dyDescent="0.35">
      <c r="A195" s="76"/>
      <c r="B195" s="1"/>
      <c r="C195" s="1"/>
      <c r="D195" s="1"/>
      <c r="E195" s="76"/>
      <c r="F195" s="76"/>
      <c r="G195" s="76"/>
      <c r="H195" s="76"/>
      <c r="I195" s="76"/>
      <c r="J195" s="76"/>
      <c r="K195" s="76"/>
      <c r="L195" s="76"/>
      <c r="M195" s="76"/>
      <c r="N195" s="76"/>
      <c r="O195" s="76"/>
      <c r="P195" s="76"/>
      <c r="Q195" s="1"/>
    </row>
    <row r="196" spans="1:17" x14ac:dyDescent="0.35">
      <c r="A196" s="76"/>
      <c r="B196" s="1"/>
      <c r="C196" s="1"/>
      <c r="D196" s="1"/>
      <c r="E196" s="76"/>
      <c r="F196" s="76"/>
      <c r="G196" s="76"/>
      <c r="H196" s="76"/>
      <c r="I196" s="76"/>
      <c r="J196" s="76"/>
      <c r="K196" s="76"/>
      <c r="L196" s="76"/>
      <c r="M196" s="76"/>
      <c r="N196" s="76"/>
      <c r="O196" s="76"/>
      <c r="P196" s="76"/>
      <c r="Q196" s="1"/>
    </row>
    <row r="197" spans="1:17" x14ac:dyDescent="0.35">
      <c r="A197" s="76"/>
      <c r="B197" s="1"/>
      <c r="C197" s="1"/>
      <c r="D197" s="1"/>
      <c r="E197" s="76"/>
      <c r="F197" s="76"/>
      <c r="G197" s="76"/>
      <c r="H197" s="76"/>
      <c r="I197" s="76"/>
      <c r="J197" s="76"/>
      <c r="K197" s="76"/>
      <c r="L197" s="76"/>
      <c r="M197" s="76"/>
      <c r="N197" s="76"/>
      <c r="O197" s="76"/>
      <c r="P197" s="76"/>
      <c r="Q197" s="1"/>
    </row>
    <row r="198" spans="1:17" x14ac:dyDescent="0.35">
      <c r="A198" s="76"/>
      <c r="B198" s="1"/>
      <c r="C198" s="1"/>
      <c r="D198" s="1"/>
      <c r="E198" s="76"/>
      <c r="F198" s="76"/>
      <c r="G198" s="76"/>
      <c r="H198" s="76"/>
      <c r="I198" s="76"/>
      <c r="J198" s="76"/>
      <c r="K198" s="76"/>
      <c r="L198" s="76"/>
      <c r="M198" s="76"/>
      <c r="N198" s="76"/>
      <c r="O198" s="76"/>
      <c r="P198" s="76"/>
      <c r="Q198" s="1"/>
    </row>
    <row r="199" spans="1:17" x14ac:dyDescent="0.35">
      <c r="A199" s="76"/>
      <c r="B199" s="1"/>
      <c r="C199" s="1"/>
      <c r="D199" s="1"/>
      <c r="E199" s="76"/>
      <c r="F199" s="76"/>
      <c r="G199" s="76"/>
      <c r="H199" s="76"/>
      <c r="I199" s="76"/>
      <c r="J199" s="76"/>
      <c r="K199" s="76"/>
      <c r="L199" s="76"/>
      <c r="M199" s="76"/>
      <c r="N199" s="76"/>
      <c r="O199" s="76"/>
      <c r="P199" s="76"/>
      <c r="Q199" s="1"/>
    </row>
    <row r="200" spans="1:17" x14ac:dyDescent="0.35">
      <c r="A200" s="76"/>
      <c r="B200" s="1"/>
      <c r="C200" s="1"/>
      <c r="D200" s="1"/>
      <c r="E200" s="76"/>
      <c r="F200" s="76"/>
      <c r="G200" s="76"/>
      <c r="H200" s="76"/>
      <c r="I200" s="76"/>
      <c r="J200" s="76"/>
      <c r="K200" s="76"/>
      <c r="L200" s="76"/>
      <c r="M200" s="76"/>
      <c r="N200" s="76"/>
      <c r="O200" s="76"/>
      <c r="P200" s="76"/>
      <c r="Q200" s="1"/>
    </row>
    <row r="201" spans="1:17" x14ac:dyDescent="0.35">
      <c r="A201" s="76"/>
      <c r="B201" s="1"/>
      <c r="C201" s="1"/>
      <c r="D201" s="1"/>
      <c r="E201" s="76"/>
      <c r="F201" s="76"/>
      <c r="G201" s="76"/>
      <c r="H201" s="76"/>
      <c r="I201" s="76"/>
      <c r="J201" s="76"/>
      <c r="K201" s="76"/>
      <c r="L201" s="76"/>
      <c r="M201" s="76"/>
      <c r="N201" s="76"/>
      <c r="O201" s="76"/>
      <c r="P201" s="76"/>
      <c r="Q201" s="1"/>
    </row>
    <row r="202" spans="1:17" x14ac:dyDescent="0.35">
      <c r="A202" s="76"/>
      <c r="B202" s="1"/>
      <c r="C202" s="1"/>
      <c r="D202" s="1"/>
      <c r="E202" s="76"/>
      <c r="F202" s="76"/>
      <c r="G202" s="76"/>
      <c r="H202" s="76"/>
      <c r="I202" s="76"/>
      <c r="J202" s="76"/>
      <c r="K202" s="76"/>
      <c r="L202" s="76"/>
      <c r="M202" s="76"/>
      <c r="N202" s="76"/>
      <c r="O202" s="76"/>
      <c r="P202" s="76"/>
      <c r="Q202" s="1"/>
    </row>
    <row r="203" spans="1:17" x14ac:dyDescent="0.35">
      <c r="A203" s="76"/>
      <c r="B203" s="1"/>
      <c r="C203" s="1"/>
      <c r="D203" s="1"/>
      <c r="E203" s="76"/>
      <c r="F203" s="76"/>
      <c r="G203" s="76"/>
      <c r="H203" s="76"/>
      <c r="I203" s="76"/>
      <c r="J203" s="76"/>
      <c r="K203" s="76"/>
      <c r="L203" s="76"/>
      <c r="M203" s="76"/>
      <c r="N203" s="76"/>
      <c r="O203" s="76"/>
      <c r="P203" s="76"/>
      <c r="Q203" s="1"/>
    </row>
    <row r="204" spans="1:17" x14ac:dyDescent="0.35">
      <c r="A204" s="76"/>
      <c r="B204" s="1"/>
      <c r="C204" s="1"/>
      <c r="D204" s="1"/>
      <c r="E204" s="76"/>
      <c r="F204" s="76"/>
      <c r="G204" s="76"/>
      <c r="H204" s="76"/>
      <c r="I204" s="76"/>
      <c r="J204" s="76"/>
      <c r="K204" s="76"/>
      <c r="L204" s="76"/>
      <c r="M204" s="76"/>
      <c r="N204" s="76"/>
      <c r="O204" s="76"/>
      <c r="P204" s="76"/>
      <c r="Q204" s="1"/>
    </row>
    <row r="205" spans="1:17" x14ac:dyDescent="0.35">
      <c r="A205" s="76"/>
      <c r="B205" s="1"/>
      <c r="C205" s="1"/>
      <c r="D205" s="1"/>
      <c r="E205" s="76"/>
      <c r="F205" s="76"/>
      <c r="G205" s="76"/>
      <c r="H205" s="76"/>
      <c r="I205" s="76"/>
      <c r="J205" s="76"/>
      <c r="K205" s="76"/>
      <c r="L205" s="76"/>
      <c r="M205" s="76"/>
      <c r="N205" s="76"/>
      <c r="O205" s="76"/>
      <c r="P205" s="76"/>
      <c r="Q205" s="1"/>
    </row>
    <row r="206" spans="1:17" x14ac:dyDescent="0.35">
      <c r="A206" s="76"/>
      <c r="B206" s="1"/>
      <c r="C206" s="1"/>
      <c r="D206" s="1"/>
      <c r="E206" s="76"/>
      <c r="F206" s="76"/>
      <c r="G206" s="76"/>
      <c r="H206" s="76"/>
      <c r="I206" s="76"/>
      <c r="J206" s="76"/>
      <c r="K206" s="76"/>
      <c r="L206" s="76"/>
      <c r="M206" s="76"/>
      <c r="N206" s="76"/>
      <c r="O206" s="76"/>
      <c r="P206" s="76"/>
      <c r="Q206" s="1"/>
    </row>
    <row r="207" spans="1:17" x14ac:dyDescent="0.35">
      <c r="A207" s="76"/>
      <c r="B207" s="1"/>
      <c r="C207" s="1"/>
      <c r="D207" s="1"/>
      <c r="E207" s="76"/>
      <c r="F207" s="76"/>
      <c r="G207" s="76"/>
      <c r="H207" s="76"/>
      <c r="I207" s="76"/>
      <c r="J207" s="76"/>
      <c r="K207" s="76"/>
      <c r="L207" s="76"/>
      <c r="M207" s="76"/>
      <c r="N207" s="76"/>
      <c r="O207" s="76"/>
      <c r="P207" s="76"/>
      <c r="Q207"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77217" r:id="rId3" name="Button 1">
              <controlPr defaultSize="0" print="0" autoFill="0" autoPict="0" macro="[0]!ViewLog">
                <anchor moveWithCells="1" sizeWithCells="1">
                  <from>
                    <xdr:col>17</xdr:col>
                    <xdr:colOff>0</xdr:colOff>
                    <xdr:row>0</xdr:row>
                    <xdr:rowOff>50800</xdr:rowOff>
                  </from>
                  <to>
                    <xdr:col>18</xdr:col>
                    <xdr:colOff>228600</xdr:colOff>
                    <xdr:row>1</xdr:row>
                    <xdr:rowOff>146050</xdr:rowOff>
                  </to>
                </anchor>
              </controlPr>
            </control>
          </mc:Choice>
        </mc:AlternateContent>
      </controls>
    </mc:Choice>
  </mc:AlternateContent>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DD477-2B87-4605-AD32-2A8D3E907AED}">
  <sheetPr codeName="Sheet173"/>
  <dimension ref="S1:AG1"/>
  <sheetViews>
    <sheetView workbookViewId="0"/>
  </sheetViews>
  <sheetFormatPr defaultRowHeight="14.5" x14ac:dyDescent="0.35"/>
  <sheetData>
    <row r="1" spans="19:33" x14ac:dyDescent="0.35">
      <c r="S1" t="str">
        <f>DIV_13Input!A1</f>
        <v>AREA/FLOOR/ZONE</v>
      </c>
      <c r="T1" t="str">
        <f>DIV_13Input!B1</f>
        <v>Page</v>
      </c>
      <c r="U1" t="str">
        <f>DIV_13Input!C1</f>
        <v>SUB COST</v>
      </c>
      <c r="V1" t="str">
        <f>DIV_13Input!D1</f>
        <v>MAT COST</v>
      </c>
      <c r="W1" t="str">
        <f>DIV_13Input!E1</f>
        <v>LAB COST</v>
      </c>
      <c r="X1" t="str">
        <f>DIV_13Input!F1</f>
        <v>EQUIP COST</v>
      </c>
      <c r="Y1" t="str">
        <f>DIV_13Input!G1</f>
        <v>Total Cost</v>
      </c>
      <c r="Z1" t="str">
        <f>DIV_13Input!H1</f>
        <v>Date</v>
      </c>
      <c r="AA1" t="str">
        <f>DIV_13Input!I1</f>
        <v>Description</v>
      </c>
      <c r="AB1" t="str">
        <f>DIV_13Input!J1</f>
        <v>Log 10</v>
      </c>
      <c r="AC1" t="str">
        <f>DIV_13Input!K1</f>
        <v>Log 11</v>
      </c>
      <c r="AD1" t="str">
        <f>DIV_13Input!L1</f>
        <v>Log 12</v>
      </c>
      <c r="AE1" t="str">
        <f>DIV_13Input!M1</f>
        <v>Update 1</v>
      </c>
      <c r="AF1" t="str">
        <f>DIV_13Input!N1</f>
        <v>Update 2</v>
      </c>
      <c r="AG1" t="str">
        <f>DIV_13Input!O1</f>
        <v>Update 3</v>
      </c>
    </row>
  </sheetData>
  <pageMargins left="0.7" right="0.7" top="0.75" bottom="0.75" header="0.3" footer="0.3"/>
</worksheet>
</file>

<file path=xl/worksheets/sheet1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520345-D986-408F-9505-848FEA1C82E7}">
  <sheetPr codeName="Sheet174"/>
  <dimension ref="A1:Q221"/>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SPECIAL FACILITY COMPONENTS</v>
      </c>
      <c r="J2" s="59"/>
      <c r="K2" s="59"/>
      <c r="L2" s="1"/>
      <c r="M2" s="59"/>
      <c r="N2" s="59"/>
      <c r="O2" s="60"/>
      <c r="P2" s="57"/>
      <c r="Q2" s="57"/>
    </row>
    <row r="3" spans="1:17" ht="15" thickBot="1" x14ac:dyDescent="0.4">
      <c r="A3" s="446" t="s">
        <v>21563</v>
      </c>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13 10 00</v>
      </c>
      <c r="C10" s="24" t="str">
        <f>C206</f>
        <v>SPECIAL FACILITY COMPONENTS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SPECIAL FACILITY COMPONENTS</v>
      </c>
      <c r="D12" s="31"/>
      <c r="E12" s="32"/>
      <c r="F12" s="34"/>
      <c r="G12" s="33"/>
      <c r="H12" s="34"/>
      <c r="I12" s="33"/>
      <c r="J12" s="34"/>
      <c r="K12" s="34"/>
      <c r="L12" s="34"/>
      <c r="M12" s="33"/>
      <c r="N12" s="34"/>
      <c r="O12" s="35"/>
      <c r="P12" s="31"/>
      <c r="Q12" s="35"/>
    </row>
    <row r="13" spans="1:17" x14ac:dyDescent="0.35">
      <c r="A13" s="1"/>
      <c r="B13" s="1"/>
      <c r="C13" s="1"/>
      <c r="D13" s="1"/>
      <c r="E13" s="1"/>
      <c r="F13" s="1"/>
      <c r="G13" s="1"/>
      <c r="H13" s="1"/>
      <c r="I13" s="1"/>
      <c r="J13" s="1"/>
      <c r="K13" s="1"/>
      <c r="L13" s="1"/>
      <c r="M13" s="1"/>
      <c r="N13" s="1"/>
      <c r="O13" s="1"/>
      <c r="P13" s="1"/>
      <c r="Q13" s="1"/>
    </row>
    <row r="14" spans="1:17" x14ac:dyDescent="0.35">
      <c r="A14" s="1"/>
      <c r="B14" s="1"/>
      <c r="C14" s="1"/>
      <c r="D14" s="1"/>
      <c r="E14" s="1"/>
      <c r="F14" s="1"/>
      <c r="G14" s="1"/>
      <c r="H14" s="1"/>
      <c r="I14" s="1"/>
      <c r="J14" s="1"/>
      <c r="K14" s="1"/>
      <c r="L14" s="1"/>
      <c r="M14" s="1"/>
      <c r="N14" s="1"/>
      <c r="O14" s="1"/>
      <c r="P14" s="1"/>
      <c r="Q14" s="1"/>
    </row>
    <row r="15" spans="1:17" x14ac:dyDescent="0.35">
      <c r="A15" s="1"/>
      <c r="B15" s="1"/>
      <c r="C15" s="1"/>
      <c r="D15" s="1"/>
      <c r="E15" s="1"/>
      <c r="F15" s="1"/>
      <c r="G15" s="1"/>
      <c r="H15" s="1"/>
      <c r="I15" s="1"/>
      <c r="J15" s="1"/>
      <c r="K15" s="1"/>
      <c r="L15" s="1"/>
      <c r="M15" s="1"/>
      <c r="N15" s="1"/>
      <c r="O15" s="1"/>
      <c r="P15" s="1"/>
      <c r="Q15" s="1"/>
    </row>
    <row r="16" spans="1:17" x14ac:dyDescent="0.35">
      <c r="A16" s="1"/>
      <c r="B16" s="1"/>
      <c r="C16" s="1"/>
      <c r="D16" s="1"/>
      <c r="E16" s="1"/>
      <c r="F16" s="1"/>
      <c r="G16" s="1"/>
      <c r="H16" s="1"/>
      <c r="I16" s="1"/>
      <c r="J16" s="1"/>
      <c r="K16" s="1"/>
      <c r="L16" s="1"/>
      <c r="M16" s="1"/>
      <c r="N16" s="1"/>
      <c r="O16" s="1"/>
      <c r="P16" s="1"/>
      <c r="Q16" s="1"/>
    </row>
    <row r="17" spans="1:17" x14ac:dyDescent="0.35">
      <c r="A17" s="1"/>
      <c r="B17" s="1"/>
      <c r="C17" s="1"/>
      <c r="D17" s="1"/>
      <c r="E17" s="1"/>
      <c r="F17" s="1"/>
      <c r="G17" s="1"/>
      <c r="H17" s="1"/>
      <c r="I17" s="1"/>
      <c r="J17" s="1"/>
      <c r="K17" s="1"/>
      <c r="L17" s="1"/>
      <c r="M17" s="1"/>
      <c r="N17" s="1"/>
      <c r="O17" s="1"/>
      <c r="P17" s="1"/>
      <c r="Q17" s="1"/>
    </row>
    <row r="18" spans="1:17" x14ac:dyDescent="0.35">
      <c r="A18" s="1"/>
      <c r="B18" s="1"/>
      <c r="C18" s="1"/>
      <c r="D18" s="1"/>
      <c r="E18" s="1"/>
      <c r="F18" s="1"/>
      <c r="G18" s="1"/>
      <c r="H18" s="1"/>
      <c r="I18" s="1"/>
      <c r="J18" s="1"/>
      <c r="K18" s="1"/>
      <c r="L18" s="1"/>
      <c r="M18" s="1"/>
      <c r="N18" s="1"/>
      <c r="O18" s="1"/>
      <c r="P18" s="1"/>
      <c r="Q18" s="1"/>
    </row>
    <row r="19" spans="1:17" x14ac:dyDescent="0.35">
      <c r="A19" s="1"/>
      <c r="B19" s="1"/>
      <c r="C19" s="1"/>
      <c r="D19" s="1"/>
      <c r="E19" s="1"/>
      <c r="F19" s="1"/>
      <c r="G19" s="1"/>
      <c r="H19" s="1"/>
      <c r="I19" s="1"/>
      <c r="J19" s="1"/>
      <c r="K19" s="1"/>
      <c r="L19" s="1"/>
      <c r="M19" s="1"/>
      <c r="N19" s="1"/>
      <c r="O19" s="1"/>
      <c r="P19" s="1"/>
      <c r="Q19" s="1"/>
    </row>
    <row r="20" spans="1:17" x14ac:dyDescent="0.35">
      <c r="A20" s="1"/>
      <c r="B20" s="1"/>
      <c r="C20" s="1"/>
      <c r="D20" s="1"/>
      <c r="E20" s="1"/>
      <c r="F20" s="1"/>
      <c r="G20" s="1"/>
      <c r="H20" s="1"/>
      <c r="I20" s="1"/>
      <c r="J20" s="1"/>
      <c r="K20" s="1"/>
      <c r="L20" s="1"/>
      <c r="M20" s="1"/>
      <c r="N20" s="1"/>
      <c r="O20" s="1"/>
      <c r="P20" s="1"/>
      <c r="Q20" s="1"/>
    </row>
    <row r="21" spans="1:17" x14ac:dyDescent="0.35">
      <c r="A21" s="1"/>
      <c r="B21" s="1"/>
      <c r="C21" s="1"/>
      <c r="D21" s="1"/>
      <c r="E21" s="1"/>
      <c r="F21" s="1"/>
      <c r="G21" s="1"/>
      <c r="H21" s="1"/>
      <c r="I21" s="1"/>
      <c r="J21" s="1"/>
      <c r="K21" s="1"/>
      <c r="L21" s="1"/>
      <c r="M21" s="1"/>
      <c r="N21" s="1"/>
      <c r="O21" s="1"/>
      <c r="P21" s="1"/>
      <c r="Q21" s="1"/>
    </row>
    <row r="22" spans="1:17" x14ac:dyDescent="0.35">
      <c r="A22" s="1"/>
      <c r="B22" s="1"/>
      <c r="C22" s="1"/>
      <c r="D22" s="1"/>
      <c r="E22" s="1"/>
      <c r="F22" s="1"/>
      <c r="G22" s="1"/>
      <c r="H22" s="1"/>
      <c r="I22" s="1"/>
      <c r="J22" s="1"/>
      <c r="K22" s="1"/>
      <c r="L22" s="1"/>
      <c r="M22" s="1"/>
      <c r="N22" s="1"/>
      <c r="O22" s="1"/>
      <c r="P22" s="1"/>
      <c r="Q22" s="1"/>
    </row>
    <row r="23" spans="1:17" x14ac:dyDescent="0.35">
      <c r="A23" s="1"/>
      <c r="B23" s="1"/>
      <c r="C23" s="1"/>
      <c r="D23" s="1"/>
      <c r="E23" s="1"/>
      <c r="F23" s="1"/>
      <c r="G23" s="1"/>
      <c r="H23" s="1"/>
      <c r="I23" s="1"/>
      <c r="J23" s="1"/>
      <c r="K23" s="1"/>
      <c r="L23" s="1"/>
      <c r="M23" s="1"/>
      <c r="N23" s="1"/>
      <c r="O23" s="1"/>
      <c r="P23" s="1"/>
      <c r="Q23" s="1"/>
    </row>
    <row r="24" spans="1:17" x14ac:dyDescent="0.35">
      <c r="A24" s="1"/>
      <c r="B24" s="1"/>
      <c r="C24" s="1"/>
      <c r="D24" s="1"/>
      <c r="E24" s="1"/>
      <c r="F24" s="1"/>
      <c r="G24" s="1"/>
      <c r="H24" s="1"/>
      <c r="I24" s="1"/>
      <c r="J24" s="1"/>
      <c r="K24" s="1"/>
      <c r="L24" s="1"/>
      <c r="M24" s="1"/>
      <c r="N24" s="1"/>
      <c r="O24" s="1"/>
      <c r="P24" s="1"/>
      <c r="Q24" s="1"/>
    </row>
    <row r="25" spans="1:17" x14ac:dyDescent="0.35">
      <c r="A25" s="1"/>
      <c r="B25" s="1"/>
      <c r="C25" s="1"/>
      <c r="D25" s="1"/>
      <c r="E25" s="1"/>
      <c r="F25" s="1"/>
      <c r="G25" s="1"/>
      <c r="H25" s="1"/>
      <c r="I25" s="1"/>
      <c r="J25" s="1"/>
      <c r="K25" s="1"/>
      <c r="L25" s="1"/>
      <c r="M25" s="1"/>
      <c r="N25" s="1"/>
      <c r="O25" s="1"/>
      <c r="P25" s="1"/>
      <c r="Q25" s="1"/>
    </row>
    <row r="26" spans="1:17" x14ac:dyDescent="0.35">
      <c r="A26" s="1"/>
      <c r="B26" s="1"/>
      <c r="C26" s="1"/>
      <c r="D26" s="1"/>
      <c r="E26" s="1"/>
      <c r="F26" s="1"/>
      <c r="G26" s="1"/>
      <c r="H26" s="1"/>
      <c r="I26" s="1"/>
      <c r="J26" s="1"/>
      <c r="K26" s="1"/>
      <c r="L26" s="1"/>
      <c r="M26" s="1"/>
      <c r="N26" s="1"/>
      <c r="O26" s="1"/>
      <c r="P26" s="1"/>
      <c r="Q26" s="1"/>
    </row>
    <row r="27" spans="1:17" x14ac:dyDescent="0.35">
      <c r="A27" s="1"/>
      <c r="B27" s="1"/>
      <c r="C27" s="1"/>
      <c r="D27" s="1"/>
      <c r="E27" s="1"/>
      <c r="F27" s="1"/>
      <c r="G27" s="1"/>
      <c r="H27" s="1"/>
      <c r="I27" s="1"/>
      <c r="J27" s="1"/>
      <c r="K27" s="1"/>
      <c r="L27" s="1"/>
      <c r="M27" s="1"/>
      <c r="N27" s="1"/>
      <c r="O27" s="1"/>
      <c r="P27" s="1"/>
      <c r="Q27" s="1"/>
    </row>
    <row r="28" spans="1:17" x14ac:dyDescent="0.35">
      <c r="A28" s="1"/>
      <c r="B28" s="1"/>
      <c r="C28" s="1"/>
      <c r="D28" s="1"/>
      <c r="E28" s="1"/>
      <c r="F28" s="1"/>
      <c r="G28" s="1"/>
      <c r="H28" s="1"/>
      <c r="I28" s="1"/>
      <c r="J28" s="1"/>
      <c r="K28" s="1"/>
      <c r="L28" s="1"/>
      <c r="M28" s="1"/>
      <c r="N28" s="1"/>
      <c r="O28" s="1"/>
      <c r="P28" s="1"/>
      <c r="Q28" s="1"/>
    </row>
    <row r="29" spans="1:17" x14ac:dyDescent="0.35">
      <c r="A29" s="1"/>
      <c r="B29" s="1"/>
      <c r="C29" s="1"/>
      <c r="D29" s="1"/>
      <c r="E29" s="1"/>
      <c r="F29" s="1"/>
      <c r="G29" s="1"/>
      <c r="H29" s="1"/>
      <c r="I29" s="1"/>
      <c r="J29" s="1"/>
      <c r="K29" s="1"/>
      <c r="L29" s="1"/>
      <c r="M29" s="1"/>
      <c r="N29" s="1"/>
      <c r="O29" s="1"/>
      <c r="P29" s="1"/>
      <c r="Q29" s="1"/>
    </row>
    <row r="30" spans="1:17" x14ac:dyDescent="0.35">
      <c r="A30" s="1"/>
      <c r="B30" s="1"/>
      <c r="C30" s="1"/>
      <c r="D30" s="1"/>
      <c r="E30" s="1"/>
      <c r="F30" s="1"/>
      <c r="G30" s="1"/>
      <c r="H30" s="1"/>
      <c r="I30" s="1"/>
      <c r="J30" s="1"/>
      <c r="K30" s="1"/>
      <c r="L30" s="1"/>
      <c r="M30" s="1"/>
      <c r="N30" s="1"/>
      <c r="O30" s="1"/>
      <c r="P30" s="1"/>
      <c r="Q30" s="1"/>
    </row>
    <row r="31" spans="1:17" x14ac:dyDescent="0.35">
      <c r="A31" s="1"/>
      <c r="B31" s="1"/>
      <c r="C31" s="1"/>
      <c r="D31" s="1"/>
      <c r="E31" s="1"/>
      <c r="F31" s="1"/>
      <c r="G31" s="1"/>
      <c r="H31" s="1"/>
      <c r="I31" s="1"/>
      <c r="J31" s="1"/>
      <c r="K31" s="1"/>
      <c r="L31" s="1"/>
      <c r="M31" s="1"/>
      <c r="N31" s="1"/>
      <c r="O31" s="1"/>
      <c r="P31" s="1"/>
      <c r="Q31" s="1"/>
    </row>
    <row r="32" spans="1:17" x14ac:dyDescent="0.35">
      <c r="A32" s="1"/>
      <c r="B32" s="1"/>
      <c r="C32" s="1"/>
      <c r="D32" s="1"/>
      <c r="E32" s="1"/>
      <c r="F32" s="1"/>
      <c r="G32" s="1"/>
      <c r="H32" s="1"/>
      <c r="I32" s="1"/>
      <c r="J32" s="1"/>
      <c r="K32" s="1"/>
      <c r="L32" s="1"/>
      <c r="M32" s="1"/>
      <c r="N32" s="1"/>
      <c r="O32" s="1"/>
      <c r="P32" s="1"/>
      <c r="Q32" s="1"/>
    </row>
    <row r="33" spans="1:17" x14ac:dyDescent="0.35">
      <c r="A33" s="1"/>
      <c r="B33" s="1"/>
      <c r="C33" s="1"/>
      <c r="D33" s="1"/>
      <c r="E33" s="1"/>
      <c r="F33" s="1"/>
      <c r="G33" s="1"/>
      <c r="H33" s="1"/>
      <c r="I33" s="1"/>
      <c r="J33" s="1"/>
      <c r="K33" s="1"/>
      <c r="L33" s="1"/>
      <c r="M33" s="1"/>
      <c r="N33" s="1"/>
      <c r="O33" s="1"/>
      <c r="P33" s="1"/>
      <c r="Q33" s="1"/>
    </row>
    <row r="34" spans="1:17" x14ac:dyDescent="0.35">
      <c r="A34" s="1"/>
      <c r="B34" s="1"/>
      <c r="C34" s="1"/>
      <c r="D34" s="1"/>
      <c r="E34" s="1"/>
      <c r="F34" s="1"/>
      <c r="G34" s="1"/>
      <c r="H34" s="1"/>
      <c r="I34" s="1"/>
      <c r="J34" s="1"/>
      <c r="K34" s="1"/>
      <c r="L34" s="1"/>
      <c r="M34" s="1"/>
      <c r="N34" s="1"/>
      <c r="O34" s="1"/>
      <c r="P34" s="1"/>
      <c r="Q34" s="1"/>
    </row>
    <row r="35" spans="1:17" x14ac:dyDescent="0.35">
      <c r="A35" s="1"/>
      <c r="B35" s="1"/>
      <c r="C35" s="1"/>
      <c r="D35" s="1"/>
      <c r="E35" s="1"/>
      <c r="F35" s="1"/>
      <c r="G35" s="1"/>
      <c r="H35" s="1"/>
      <c r="I35" s="1"/>
      <c r="J35" s="1"/>
      <c r="K35" s="1"/>
      <c r="L35" s="1"/>
      <c r="M35" s="1"/>
      <c r="N35" s="1"/>
      <c r="O35" s="1"/>
      <c r="P35" s="1"/>
      <c r="Q35" s="1"/>
    </row>
    <row r="36" spans="1:17" x14ac:dyDescent="0.35">
      <c r="A36" s="1"/>
      <c r="B36" s="1"/>
      <c r="C36" s="1"/>
      <c r="D36" s="1"/>
      <c r="E36" s="1"/>
      <c r="F36" s="1"/>
      <c r="G36" s="1"/>
      <c r="H36" s="1"/>
      <c r="I36" s="1"/>
      <c r="J36" s="1"/>
      <c r="K36" s="1"/>
      <c r="L36" s="1"/>
      <c r="M36" s="1"/>
      <c r="N36" s="1"/>
      <c r="O36" s="1"/>
      <c r="P36" s="1"/>
      <c r="Q36" s="1"/>
    </row>
    <row r="37" spans="1:17" x14ac:dyDescent="0.35">
      <c r="A37" s="1"/>
      <c r="B37" s="1"/>
      <c r="C37" s="1"/>
      <c r="D37" s="1"/>
      <c r="E37" s="1"/>
      <c r="F37" s="1"/>
      <c r="G37" s="1"/>
      <c r="H37" s="1"/>
      <c r="I37" s="1"/>
      <c r="J37" s="1"/>
      <c r="K37" s="1"/>
      <c r="L37" s="1"/>
      <c r="M37" s="1"/>
      <c r="N37" s="1"/>
      <c r="O37" s="1"/>
      <c r="P37" s="1"/>
      <c r="Q37" s="1"/>
    </row>
    <row r="38" spans="1:17" x14ac:dyDescent="0.35">
      <c r="A38" s="1"/>
      <c r="B38" s="1"/>
      <c r="C38" s="1"/>
      <c r="D38" s="1"/>
      <c r="E38" s="1"/>
      <c r="F38" s="1"/>
      <c r="G38" s="1"/>
      <c r="H38" s="1"/>
      <c r="I38" s="1"/>
      <c r="J38" s="1"/>
      <c r="K38" s="1"/>
      <c r="L38" s="1"/>
      <c r="M38" s="1"/>
      <c r="N38" s="1"/>
      <c r="O38" s="1"/>
      <c r="P38" s="1"/>
      <c r="Q38" s="1"/>
    </row>
    <row r="39" spans="1:17" x14ac:dyDescent="0.35">
      <c r="A39" s="1"/>
      <c r="B39" s="1"/>
      <c r="C39" s="1"/>
      <c r="D39" s="1"/>
      <c r="E39" s="1"/>
      <c r="F39" s="1"/>
      <c r="G39" s="1"/>
      <c r="H39" s="1"/>
      <c r="I39" s="1"/>
      <c r="J39" s="1"/>
      <c r="K39" s="1"/>
      <c r="L39" s="1"/>
      <c r="M39" s="1"/>
      <c r="N39" s="1"/>
      <c r="O39" s="1"/>
      <c r="P39" s="1"/>
      <c r="Q39" s="1"/>
    </row>
    <row r="40" spans="1:17" x14ac:dyDescent="0.35">
      <c r="A40" s="1"/>
      <c r="B40" s="1"/>
      <c r="C40" s="1"/>
      <c r="D40" s="1"/>
      <c r="E40" s="1"/>
      <c r="F40" s="1"/>
      <c r="G40" s="1"/>
      <c r="H40" s="1"/>
      <c r="I40" s="1"/>
      <c r="J40" s="1"/>
      <c r="K40" s="1"/>
      <c r="L40" s="1"/>
      <c r="M40" s="1"/>
      <c r="N40" s="1"/>
      <c r="O40" s="1"/>
      <c r="P40" s="1"/>
      <c r="Q40" s="1"/>
    </row>
    <row r="41" spans="1:17" x14ac:dyDescent="0.35">
      <c r="A41" s="1"/>
      <c r="B41" s="1"/>
      <c r="C41" s="1"/>
      <c r="D41" s="1"/>
      <c r="E41" s="1"/>
      <c r="F41" s="1"/>
      <c r="G41" s="1"/>
      <c r="H41" s="1"/>
      <c r="I41" s="1"/>
      <c r="J41" s="1"/>
      <c r="K41" s="1"/>
      <c r="L41" s="1"/>
      <c r="M41" s="1"/>
      <c r="N41" s="1"/>
      <c r="O41" s="1"/>
      <c r="P41" s="1"/>
      <c r="Q41" s="1"/>
    </row>
    <row r="42" spans="1:17" x14ac:dyDescent="0.35">
      <c r="A42" s="1"/>
      <c r="B42" s="1"/>
      <c r="C42" s="1"/>
      <c r="D42" s="1"/>
      <c r="E42" s="1"/>
      <c r="F42" s="1"/>
      <c r="G42" s="1"/>
      <c r="H42" s="1"/>
      <c r="I42" s="1"/>
      <c r="J42" s="1"/>
      <c r="K42" s="1"/>
      <c r="L42" s="1"/>
      <c r="M42" s="1"/>
      <c r="N42" s="1"/>
      <c r="O42" s="1"/>
      <c r="P42" s="1"/>
      <c r="Q42" s="1"/>
    </row>
    <row r="43" spans="1:17" x14ac:dyDescent="0.35">
      <c r="A43" s="1"/>
      <c r="B43" s="1"/>
      <c r="C43" s="1"/>
      <c r="D43" s="1"/>
      <c r="E43" s="1"/>
      <c r="F43" s="1"/>
      <c r="G43" s="1"/>
      <c r="H43" s="1"/>
      <c r="I43" s="1"/>
      <c r="J43" s="1"/>
      <c r="K43" s="1"/>
      <c r="L43" s="1"/>
      <c r="M43" s="1"/>
      <c r="N43" s="1"/>
      <c r="O43" s="1"/>
      <c r="P43" s="1"/>
      <c r="Q43" s="1"/>
    </row>
    <row r="44" spans="1:17" x14ac:dyDescent="0.35">
      <c r="A44" s="1"/>
      <c r="B44" s="1"/>
      <c r="C44" s="1"/>
      <c r="D44" s="1"/>
      <c r="E44" s="1"/>
      <c r="F44" s="1"/>
      <c r="G44" s="1"/>
      <c r="H44" s="1"/>
      <c r="I44" s="1"/>
      <c r="J44" s="1"/>
      <c r="K44" s="1"/>
      <c r="L44" s="1"/>
      <c r="M44" s="1"/>
      <c r="N44" s="1"/>
      <c r="O44" s="1"/>
      <c r="P44" s="1"/>
      <c r="Q44" s="1"/>
    </row>
    <row r="45" spans="1:17" x14ac:dyDescent="0.35">
      <c r="A45" s="1"/>
      <c r="B45" s="1"/>
      <c r="C45" s="1"/>
      <c r="D45" s="1"/>
      <c r="E45" s="1"/>
      <c r="F45" s="1"/>
      <c r="G45" s="1"/>
      <c r="H45" s="1"/>
      <c r="I45" s="1"/>
      <c r="J45" s="1"/>
      <c r="K45" s="1"/>
      <c r="L45" s="1"/>
      <c r="M45" s="1"/>
      <c r="N45" s="1"/>
      <c r="O45" s="1"/>
      <c r="P45" s="1"/>
      <c r="Q45" s="1"/>
    </row>
    <row r="46" spans="1:17" x14ac:dyDescent="0.35">
      <c r="A46" s="1"/>
      <c r="B46" s="1"/>
      <c r="C46" s="1"/>
      <c r="D46" s="1"/>
      <c r="E46" s="1"/>
      <c r="F46" s="1"/>
      <c r="G46" s="1"/>
      <c r="H46" s="1"/>
      <c r="I46" s="1"/>
      <c r="J46" s="1"/>
      <c r="K46" s="1"/>
      <c r="L46" s="1"/>
      <c r="M46" s="1"/>
      <c r="N46" s="1"/>
      <c r="O46" s="1"/>
      <c r="P46" s="1"/>
      <c r="Q46" s="1"/>
    </row>
    <row r="47" spans="1:17" x14ac:dyDescent="0.35">
      <c r="A47" s="1"/>
      <c r="B47" s="1"/>
      <c r="C47" s="1"/>
      <c r="D47" s="1"/>
      <c r="E47" s="1"/>
      <c r="F47" s="1"/>
      <c r="G47" s="1"/>
      <c r="H47" s="1"/>
      <c r="I47" s="1"/>
      <c r="J47" s="1"/>
      <c r="K47" s="1"/>
      <c r="L47" s="1"/>
      <c r="M47" s="1"/>
      <c r="N47" s="1"/>
      <c r="O47" s="1"/>
      <c r="P47" s="1"/>
      <c r="Q47" s="1"/>
    </row>
    <row r="48" spans="1:17" x14ac:dyDescent="0.35">
      <c r="A48" s="1"/>
      <c r="B48" s="1"/>
      <c r="C48" s="1"/>
      <c r="D48" s="1"/>
      <c r="E48" s="1"/>
      <c r="F48" s="1"/>
      <c r="G48" s="1"/>
      <c r="H48" s="1"/>
      <c r="I48" s="1"/>
      <c r="J48" s="1"/>
      <c r="K48" s="1"/>
      <c r="L48" s="1"/>
      <c r="M48" s="1"/>
      <c r="N48" s="1"/>
      <c r="O48" s="1"/>
      <c r="P48" s="1"/>
      <c r="Q48" s="1"/>
    </row>
    <row r="49" spans="1:17" x14ac:dyDescent="0.35">
      <c r="A49" s="1"/>
      <c r="B49" s="1"/>
      <c r="C49" s="1"/>
      <c r="D49" s="1"/>
      <c r="E49" s="1"/>
      <c r="F49" s="1"/>
      <c r="G49" s="1"/>
      <c r="H49" s="1"/>
      <c r="I49" s="1"/>
      <c r="J49" s="1"/>
      <c r="K49" s="1"/>
      <c r="L49" s="1"/>
      <c r="M49" s="1"/>
      <c r="N49" s="1"/>
      <c r="O49" s="1"/>
      <c r="P49" s="1"/>
      <c r="Q49" s="1"/>
    </row>
    <row r="50" spans="1:17" x14ac:dyDescent="0.35">
      <c r="A50" s="1"/>
      <c r="B50" s="1"/>
      <c r="C50" s="1"/>
      <c r="D50" s="1"/>
      <c r="E50" s="1"/>
      <c r="F50" s="1"/>
      <c r="G50" s="1"/>
      <c r="H50" s="1"/>
      <c r="I50" s="1"/>
      <c r="J50" s="1"/>
      <c r="K50" s="1"/>
      <c r="L50" s="1"/>
      <c r="M50" s="1"/>
      <c r="N50" s="1"/>
      <c r="O50" s="1"/>
      <c r="P50" s="1"/>
      <c r="Q50" s="1"/>
    </row>
    <row r="51" spans="1:17" x14ac:dyDescent="0.35">
      <c r="A51" s="1"/>
      <c r="B51" s="1"/>
      <c r="C51" s="1"/>
      <c r="D51" s="1"/>
      <c r="E51" s="1"/>
      <c r="F51" s="1"/>
      <c r="G51" s="1"/>
      <c r="H51" s="1"/>
      <c r="I51" s="1"/>
      <c r="J51" s="1"/>
      <c r="K51" s="1"/>
      <c r="L51" s="1"/>
      <c r="M51" s="1"/>
      <c r="N51" s="1"/>
      <c r="O51" s="1"/>
      <c r="P51" s="1"/>
      <c r="Q51" s="1"/>
    </row>
    <row r="52" spans="1:17" x14ac:dyDescent="0.35">
      <c r="A52" s="1"/>
      <c r="B52" s="1"/>
      <c r="C52" s="1"/>
      <c r="D52" s="1"/>
      <c r="E52" s="1"/>
      <c r="F52" s="1"/>
      <c r="G52" s="1"/>
      <c r="H52" s="1"/>
      <c r="I52" s="1"/>
      <c r="J52" s="1"/>
      <c r="K52" s="1"/>
      <c r="L52" s="1"/>
      <c r="M52" s="1"/>
      <c r="N52" s="1"/>
      <c r="O52" s="1"/>
      <c r="P52" s="1"/>
      <c r="Q52" s="1"/>
    </row>
    <row r="53" spans="1:17" x14ac:dyDescent="0.35">
      <c r="A53" s="1"/>
      <c r="B53" s="1"/>
      <c r="C53" s="1"/>
      <c r="D53" s="1"/>
      <c r="E53" s="1"/>
      <c r="F53" s="1"/>
      <c r="G53" s="1"/>
      <c r="H53" s="1"/>
      <c r="I53" s="1"/>
      <c r="J53" s="1"/>
      <c r="K53" s="1"/>
      <c r="L53" s="1"/>
      <c r="M53" s="1"/>
      <c r="N53" s="1"/>
      <c r="O53" s="1"/>
      <c r="P53" s="1"/>
      <c r="Q53" s="1"/>
    </row>
    <row r="54" spans="1:17" x14ac:dyDescent="0.35">
      <c r="A54" s="1"/>
      <c r="B54" s="1"/>
      <c r="C54" s="1"/>
      <c r="D54" s="1"/>
      <c r="E54" s="1"/>
      <c r="F54" s="1"/>
      <c r="G54" s="1"/>
      <c r="H54" s="1"/>
      <c r="I54" s="1"/>
      <c r="J54" s="1"/>
      <c r="K54" s="1"/>
      <c r="L54" s="1"/>
      <c r="M54" s="1"/>
      <c r="N54" s="1"/>
      <c r="O54" s="1"/>
      <c r="P54" s="1"/>
      <c r="Q54" s="1"/>
    </row>
    <row r="55" spans="1:17" x14ac:dyDescent="0.35">
      <c r="A55" s="1"/>
      <c r="B55" s="1"/>
      <c r="C55" s="1"/>
      <c r="D55" s="1"/>
      <c r="E55" s="1"/>
      <c r="F55" s="1"/>
      <c r="G55" s="1"/>
      <c r="H55" s="1"/>
      <c r="I55" s="1"/>
      <c r="J55" s="1"/>
      <c r="K55" s="1"/>
      <c r="L55" s="1"/>
      <c r="M55" s="1"/>
      <c r="N55" s="1"/>
      <c r="O55" s="1"/>
      <c r="P55" s="1"/>
      <c r="Q55" s="1"/>
    </row>
    <row r="56" spans="1:17" x14ac:dyDescent="0.35">
      <c r="A56" s="1"/>
      <c r="B56" s="1"/>
      <c r="C56" s="1"/>
      <c r="D56" s="1"/>
      <c r="E56" s="1"/>
      <c r="F56" s="1"/>
      <c r="G56" s="1"/>
      <c r="H56" s="1"/>
      <c r="I56" s="1"/>
      <c r="J56" s="1"/>
      <c r="K56" s="1"/>
      <c r="L56" s="1"/>
      <c r="M56" s="1"/>
      <c r="N56" s="1"/>
      <c r="O56" s="1"/>
      <c r="P56" s="1"/>
      <c r="Q56" s="1"/>
    </row>
    <row r="57" spans="1:17" x14ac:dyDescent="0.35">
      <c r="A57" s="1"/>
      <c r="B57" s="1"/>
      <c r="C57" s="1"/>
      <c r="D57" s="1"/>
      <c r="E57" s="1"/>
      <c r="F57" s="1"/>
      <c r="G57" s="1"/>
      <c r="H57" s="1"/>
      <c r="I57" s="1"/>
      <c r="J57" s="1"/>
      <c r="K57" s="1"/>
      <c r="L57" s="1"/>
      <c r="M57" s="1"/>
      <c r="N57" s="1"/>
      <c r="O57" s="1"/>
      <c r="P57" s="1"/>
      <c r="Q57" s="1"/>
    </row>
    <row r="58" spans="1:17" x14ac:dyDescent="0.35">
      <c r="A58" s="1"/>
      <c r="B58" s="1"/>
      <c r="C58" s="1"/>
      <c r="D58" s="1"/>
      <c r="E58" s="1"/>
      <c r="F58" s="1"/>
      <c r="G58" s="1"/>
      <c r="H58" s="1"/>
      <c r="I58" s="1"/>
      <c r="J58" s="1"/>
      <c r="K58" s="1"/>
      <c r="L58" s="1"/>
      <c r="M58" s="1"/>
      <c r="N58" s="1"/>
      <c r="O58" s="1"/>
      <c r="P58" s="1"/>
      <c r="Q58" s="1"/>
    </row>
    <row r="59" spans="1:17" x14ac:dyDescent="0.35">
      <c r="A59" s="1"/>
      <c r="B59" s="1"/>
      <c r="C59" s="1"/>
      <c r="D59" s="1"/>
      <c r="E59" s="1"/>
      <c r="F59" s="1"/>
      <c r="G59" s="1"/>
      <c r="H59" s="1"/>
      <c r="I59" s="1"/>
      <c r="J59" s="1"/>
      <c r="K59" s="1"/>
      <c r="L59" s="1"/>
      <c r="M59" s="1"/>
      <c r="N59" s="1"/>
      <c r="O59" s="1"/>
      <c r="P59" s="1"/>
      <c r="Q59" s="1"/>
    </row>
    <row r="60" spans="1:17" x14ac:dyDescent="0.35">
      <c r="A60" s="1"/>
      <c r="B60" s="1"/>
      <c r="C60" s="1"/>
      <c r="D60" s="1"/>
      <c r="E60" s="1"/>
      <c r="F60" s="1"/>
      <c r="G60" s="1"/>
      <c r="H60" s="1"/>
      <c r="I60" s="1"/>
      <c r="J60" s="1"/>
      <c r="K60" s="1"/>
      <c r="L60" s="1"/>
      <c r="M60" s="1"/>
      <c r="N60" s="1"/>
      <c r="O60" s="1"/>
      <c r="P60" s="1"/>
      <c r="Q60" s="1"/>
    </row>
    <row r="61" spans="1:17" x14ac:dyDescent="0.35">
      <c r="A61" s="1"/>
      <c r="B61" s="1"/>
      <c r="C61" s="1"/>
      <c r="D61" s="1"/>
      <c r="E61" s="1"/>
      <c r="F61" s="1"/>
      <c r="G61" s="1"/>
      <c r="H61" s="1"/>
      <c r="I61" s="1"/>
      <c r="J61" s="1"/>
      <c r="K61" s="1"/>
      <c r="L61" s="1"/>
      <c r="M61" s="1"/>
      <c r="N61" s="1"/>
      <c r="O61" s="1"/>
      <c r="P61" s="1"/>
      <c r="Q61" s="1"/>
    </row>
    <row r="62" spans="1:17" x14ac:dyDescent="0.35">
      <c r="A62" s="1"/>
      <c r="B62" s="1"/>
      <c r="C62" s="1"/>
      <c r="D62" s="1"/>
      <c r="E62" s="1"/>
      <c r="F62" s="1"/>
      <c r="G62" s="1"/>
      <c r="H62" s="1"/>
      <c r="I62" s="1"/>
      <c r="J62" s="1"/>
      <c r="K62" s="1"/>
      <c r="L62" s="1"/>
      <c r="M62" s="1"/>
      <c r="N62" s="1"/>
      <c r="O62" s="1"/>
      <c r="P62" s="1"/>
      <c r="Q62" s="1"/>
    </row>
    <row r="63" spans="1:17" x14ac:dyDescent="0.35">
      <c r="A63" s="1"/>
      <c r="B63" s="1"/>
      <c r="C63" s="1"/>
      <c r="D63" s="1"/>
      <c r="E63" s="1"/>
      <c r="F63" s="1"/>
      <c r="G63" s="1"/>
      <c r="H63" s="1"/>
      <c r="I63" s="1"/>
      <c r="J63" s="1"/>
      <c r="K63" s="1"/>
      <c r="L63" s="1"/>
      <c r="M63" s="1"/>
      <c r="N63" s="1"/>
      <c r="O63" s="1"/>
      <c r="P63" s="1"/>
      <c r="Q63" s="1"/>
    </row>
    <row r="64" spans="1:17" x14ac:dyDescent="0.35">
      <c r="A64" s="1"/>
      <c r="B64" s="1"/>
      <c r="C64" s="1"/>
      <c r="D64" s="1"/>
      <c r="E64" s="1"/>
      <c r="F64" s="1"/>
      <c r="G64" s="1"/>
      <c r="H64" s="1"/>
      <c r="I64" s="1"/>
      <c r="J64" s="1"/>
      <c r="K64" s="1"/>
      <c r="L64" s="1"/>
      <c r="M64" s="1"/>
      <c r="N64" s="1"/>
      <c r="O64" s="1"/>
      <c r="P64" s="1"/>
      <c r="Q64" s="1"/>
    </row>
    <row r="65" spans="1:17" x14ac:dyDescent="0.35">
      <c r="A65" s="1"/>
      <c r="B65" s="1"/>
      <c r="C65" s="1"/>
      <c r="D65" s="1"/>
      <c r="E65" s="1"/>
      <c r="F65" s="1"/>
      <c r="G65" s="1"/>
      <c r="H65" s="1"/>
      <c r="I65" s="1"/>
      <c r="J65" s="1"/>
      <c r="K65" s="1"/>
      <c r="L65" s="1"/>
      <c r="M65" s="1"/>
      <c r="N65" s="1"/>
      <c r="O65" s="1"/>
      <c r="P65" s="1"/>
      <c r="Q65" s="1"/>
    </row>
    <row r="66" spans="1:17" x14ac:dyDescent="0.35">
      <c r="A66" s="1"/>
      <c r="B66" s="1"/>
      <c r="C66" s="1"/>
      <c r="D66" s="1"/>
      <c r="E66" s="1"/>
      <c r="F66" s="1"/>
      <c r="G66" s="1"/>
      <c r="H66" s="1"/>
      <c r="I66" s="1"/>
      <c r="J66" s="1"/>
      <c r="K66" s="1"/>
      <c r="L66" s="1"/>
      <c r="M66" s="1"/>
      <c r="N66" s="1"/>
      <c r="O66" s="1"/>
      <c r="P66" s="1"/>
      <c r="Q66" s="1"/>
    </row>
    <row r="67" spans="1:17" x14ac:dyDescent="0.35">
      <c r="A67" s="1"/>
      <c r="B67" s="1"/>
      <c r="C67" s="1"/>
      <c r="D67" s="1"/>
      <c r="E67" s="1"/>
      <c r="F67" s="1"/>
      <c r="G67" s="1"/>
      <c r="H67" s="1"/>
      <c r="I67" s="1"/>
      <c r="J67" s="1"/>
      <c r="K67" s="1"/>
      <c r="L67" s="1"/>
      <c r="M67" s="1"/>
      <c r="N67" s="1"/>
      <c r="O67" s="1"/>
      <c r="P67" s="1"/>
      <c r="Q67" s="1"/>
    </row>
    <row r="68" spans="1:17" x14ac:dyDescent="0.35">
      <c r="A68" s="1"/>
      <c r="B68" s="1"/>
      <c r="C68" s="1"/>
      <c r="D68" s="1"/>
      <c r="E68" s="1"/>
      <c r="F68" s="1"/>
      <c r="G68" s="1"/>
      <c r="H68" s="1"/>
      <c r="I68" s="1"/>
      <c r="J68" s="1"/>
      <c r="K68" s="1"/>
      <c r="L68" s="1"/>
      <c r="M68" s="1"/>
      <c r="N68" s="1"/>
      <c r="O68" s="1"/>
      <c r="P68" s="1"/>
      <c r="Q68" s="1"/>
    </row>
    <row r="69" spans="1:17" x14ac:dyDescent="0.35">
      <c r="A69" s="1"/>
      <c r="B69" s="1"/>
      <c r="C69" s="1"/>
      <c r="D69" s="1"/>
      <c r="E69" s="1"/>
      <c r="F69" s="1"/>
      <c r="G69" s="1"/>
      <c r="H69" s="1"/>
      <c r="I69" s="1"/>
      <c r="J69" s="1"/>
      <c r="K69" s="1"/>
      <c r="L69" s="1"/>
      <c r="M69" s="1"/>
      <c r="N69" s="1"/>
      <c r="O69" s="1"/>
      <c r="P69" s="1"/>
      <c r="Q69" s="1"/>
    </row>
    <row r="70" spans="1:17" x14ac:dyDescent="0.35">
      <c r="A70" s="1"/>
      <c r="B70" s="1"/>
      <c r="C70" s="1"/>
      <c r="D70" s="1"/>
      <c r="E70" s="1"/>
      <c r="F70" s="1"/>
      <c r="G70" s="1"/>
      <c r="H70" s="1"/>
      <c r="I70" s="1"/>
      <c r="J70" s="1"/>
      <c r="K70" s="1"/>
      <c r="L70" s="1"/>
      <c r="M70" s="1"/>
      <c r="N70" s="1"/>
      <c r="O70" s="1"/>
      <c r="P70" s="1"/>
      <c r="Q70" s="1"/>
    </row>
    <row r="71" spans="1:17" x14ac:dyDescent="0.35">
      <c r="A71" s="1"/>
      <c r="B71" s="1"/>
      <c r="C71" s="1"/>
      <c r="D71" s="1"/>
      <c r="E71" s="1"/>
      <c r="F71" s="1"/>
      <c r="G71" s="1"/>
      <c r="H71" s="1"/>
      <c r="I71" s="1"/>
      <c r="J71" s="1"/>
      <c r="K71" s="1"/>
      <c r="L71" s="1"/>
      <c r="M71" s="1"/>
      <c r="N71" s="1"/>
      <c r="O71" s="1"/>
      <c r="P71" s="1"/>
      <c r="Q71" s="1"/>
    </row>
    <row r="72" spans="1:17" x14ac:dyDescent="0.35">
      <c r="A72" s="1"/>
      <c r="B72" s="1"/>
      <c r="C72" s="1"/>
      <c r="D72" s="1"/>
      <c r="E72" s="1"/>
      <c r="F72" s="1"/>
      <c r="G72" s="1"/>
      <c r="H72" s="1"/>
      <c r="I72" s="1"/>
      <c r="J72" s="1"/>
      <c r="K72" s="1"/>
      <c r="L72" s="1"/>
      <c r="M72" s="1"/>
      <c r="N72" s="1"/>
      <c r="O72" s="1"/>
      <c r="P72" s="1"/>
      <c r="Q72" s="1"/>
    </row>
    <row r="73" spans="1:17" x14ac:dyDescent="0.35">
      <c r="A73" s="1"/>
      <c r="B73" s="1"/>
      <c r="C73" s="1"/>
      <c r="D73" s="1"/>
      <c r="E73" s="1"/>
      <c r="F73" s="1"/>
      <c r="G73" s="1"/>
      <c r="H73" s="1"/>
      <c r="I73" s="1"/>
      <c r="J73" s="1"/>
      <c r="K73" s="1"/>
      <c r="L73" s="1"/>
      <c r="M73" s="1"/>
      <c r="N73" s="1"/>
      <c r="O73" s="1"/>
      <c r="P73" s="1"/>
      <c r="Q73" s="1"/>
    </row>
    <row r="74" spans="1:17" x14ac:dyDescent="0.35">
      <c r="A74" s="1"/>
      <c r="B74" s="1"/>
      <c r="C74" s="1"/>
      <c r="D74" s="1"/>
      <c r="E74" s="1"/>
      <c r="F74" s="1"/>
      <c r="G74" s="1"/>
      <c r="H74" s="1"/>
      <c r="I74" s="1"/>
      <c r="J74" s="1"/>
      <c r="K74" s="1"/>
      <c r="L74" s="1"/>
      <c r="M74" s="1"/>
      <c r="N74" s="1"/>
      <c r="O74" s="1"/>
      <c r="P74" s="1"/>
      <c r="Q74" s="1"/>
    </row>
    <row r="75" spans="1:17" x14ac:dyDescent="0.35">
      <c r="A75" s="1"/>
      <c r="B75" s="1"/>
      <c r="C75" s="1"/>
      <c r="D75" s="1"/>
      <c r="E75" s="1"/>
      <c r="F75" s="1"/>
      <c r="G75" s="1"/>
      <c r="H75" s="1"/>
      <c r="I75" s="1"/>
      <c r="J75" s="1"/>
      <c r="K75" s="1"/>
      <c r="L75" s="1"/>
      <c r="M75" s="1"/>
      <c r="N75" s="1"/>
      <c r="O75" s="1"/>
      <c r="P75" s="1"/>
      <c r="Q75" s="1"/>
    </row>
    <row r="76" spans="1:17" x14ac:dyDescent="0.35">
      <c r="A76" s="1"/>
      <c r="B76" s="1"/>
      <c r="C76" s="1"/>
      <c r="D76" s="1"/>
      <c r="E76" s="1"/>
      <c r="F76" s="1"/>
      <c r="G76" s="1"/>
      <c r="H76" s="1"/>
      <c r="I76" s="1"/>
      <c r="J76" s="1"/>
      <c r="K76" s="1"/>
      <c r="L76" s="1"/>
      <c r="M76" s="1"/>
      <c r="N76" s="1"/>
      <c r="O76" s="1"/>
      <c r="P76" s="1"/>
      <c r="Q76" s="1"/>
    </row>
    <row r="77" spans="1:17" x14ac:dyDescent="0.35">
      <c r="A77" s="1"/>
      <c r="B77" s="1"/>
      <c r="C77" s="1"/>
      <c r="D77" s="1"/>
      <c r="E77" s="1"/>
      <c r="F77" s="1"/>
      <c r="G77" s="1"/>
      <c r="H77" s="1"/>
      <c r="I77" s="1"/>
      <c r="J77" s="1"/>
      <c r="K77" s="1"/>
      <c r="L77" s="1"/>
      <c r="M77" s="1"/>
      <c r="N77" s="1"/>
      <c r="O77" s="1"/>
      <c r="P77" s="1"/>
      <c r="Q77" s="1"/>
    </row>
    <row r="78" spans="1:17" x14ac:dyDescent="0.35">
      <c r="A78" s="1"/>
      <c r="B78" s="1"/>
      <c r="C78" s="1"/>
      <c r="D78" s="1"/>
      <c r="E78" s="1"/>
      <c r="F78" s="1"/>
      <c r="G78" s="1"/>
      <c r="H78" s="1"/>
      <c r="I78" s="1"/>
      <c r="J78" s="1"/>
      <c r="K78" s="1"/>
      <c r="L78" s="1"/>
      <c r="M78" s="1"/>
      <c r="N78" s="1"/>
      <c r="O78" s="1"/>
      <c r="P78" s="1"/>
      <c r="Q78" s="1"/>
    </row>
    <row r="79" spans="1:17" x14ac:dyDescent="0.35">
      <c r="A79" s="1"/>
      <c r="B79" s="1"/>
      <c r="C79" s="1"/>
      <c r="D79" s="1"/>
      <c r="E79" s="1"/>
      <c r="F79" s="1"/>
      <c r="G79" s="1"/>
      <c r="H79" s="1"/>
      <c r="I79" s="1"/>
      <c r="J79" s="1"/>
      <c r="K79" s="1"/>
      <c r="L79" s="1"/>
      <c r="M79" s="1"/>
      <c r="N79" s="1"/>
      <c r="O79" s="1"/>
      <c r="P79" s="1"/>
      <c r="Q79" s="1"/>
    </row>
    <row r="80" spans="1:17" x14ac:dyDescent="0.35">
      <c r="A80" s="1"/>
      <c r="B80" s="1"/>
      <c r="C80" s="1"/>
      <c r="D80" s="1"/>
      <c r="E80" s="1"/>
      <c r="F80" s="1"/>
      <c r="G80" s="1"/>
      <c r="H80" s="1"/>
      <c r="I80" s="1"/>
      <c r="J80" s="1"/>
      <c r="K80" s="1"/>
      <c r="L80" s="1"/>
      <c r="M80" s="1"/>
      <c r="N80" s="1"/>
      <c r="O80" s="1"/>
      <c r="P80" s="1"/>
      <c r="Q80" s="1"/>
    </row>
    <row r="81" spans="1:17" x14ac:dyDescent="0.35">
      <c r="A81" s="1"/>
      <c r="B81" s="1"/>
      <c r="C81" s="1"/>
      <c r="D81" s="1"/>
      <c r="E81" s="1"/>
      <c r="F81" s="1"/>
      <c r="G81" s="1"/>
      <c r="H81" s="1"/>
      <c r="I81" s="1"/>
      <c r="J81" s="1"/>
      <c r="K81" s="1"/>
      <c r="L81" s="1"/>
      <c r="M81" s="1"/>
      <c r="N81" s="1"/>
      <c r="O81" s="1"/>
      <c r="P81" s="1"/>
      <c r="Q81" s="1"/>
    </row>
    <row r="82" spans="1:17" x14ac:dyDescent="0.35">
      <c r="A82" s="1"/>
      <c r="B82" s="1"/>
      <c r="C82" s="1"/>
      <c r="D82" s="1"/>
      <c r="E82" s="1"/>
      <c r="F82" s="1"/>
      <c r="G82" s="1"/>
      <c r="H82" s="1"/>
      <c r="I82" s="1"/>
      <c r="J82" s="1"/>
      <c r="K82" s="1"/>
      <c r="L82" s="1"/>
      <c r="M82" s="1"/>
      <c r="N82" s="1"/>
      <c r="O82" s="1"/>
      <c r="P82" s="1"/>
      <c r="Q82" s="1"/>
    </row>
    <row r="83" spans="1:17" x14ac:dyDescent="0.35">
      <c r="A83" s="1"/>
      <c r="B83" s="1"/>
      <c r="C83" s="1"/>
      <c r="D83" s="1"/>
      <c r="E83" s="1"/>
      <c r="F83" s="1"/>
      <c r="G83" s="1"/>
      <c r="H83" s="1"/>
      <c r="I83" s="1"/>
      <c r="J83" s="1"/>
      <c r="K83" s="1"/>
      <c r="L83" s="1"/>
      <c r="M83" s="1"/>
      <c r="N83" s="1"/>
      <c r="O83" s="1"/>
      <c r="P83" s="1"/>
      <c r="Q83" s="1"/>
    </row>
    <row r="84" spans="1:17" x14ac:dyDescent="0.35">
      <c r="A84" s="1"/>
      <c r="B84" s="1"/>
      <c r="C84" s="1"/>
      <c r="D84" s="1"/>
      <c r="E84" s="1"/>
      <c r="F84" s="1"/>
      <c r="G84" s="1"/>
      <c r="H84" s="1"/>
      <c r="I84" s="1"/>
      <c r="J84" s="1"/>
      <c r="K84" s="1"/>
      <c r="L84" s="1"/>
      <c r="M84" s="1"/>
      <c r="N84" s="1"/>
      <c r="O84" s="1"/>
      <c r="P84" s="1"/>
      <c r="Q84" s="1"/>
    </row>
    <row r="85" spans="1:17" x14ac:dyDescent="0.35">
      <c r="A85" s="1"/>
      <c r="B85" s="1"/>
      <c r="C85" s="1"/>
      <c r="D85" s="1"/>
      <c r="E85" s="1"/>
      <c r="F85" s="1"/>
      <c r="G85" s="1"/>
      <c r="H85" s="1"/>
      <c r="I85" s="1"/>
      <c r="J85" s="1"/>
      <c r="K85" s="1"/>
      <c r="L85" s="1"/>
      <c r="M85" s="1"/>
      <c r="N85" s="1"/>
      <c r="O85" s="1"/>
      <c r="P85" s="1"/>
      <c r="Q85" s="1"/>
    </row>
    <row r="86" spans="1:17" x14ac:dyDescent="0.35">
      <c r="A86" s="1"/>
      <c r="B86" s="1"/>
      <c r="C86" s="1"/>
      <c r="D86" s="1"/>
      <c r="E86" s="1"/>
      <c r="F86" s="1"/>
      <c r="G86" s="1"/>
      <c r="H86" s="1"/>
      <c r="I86" s="1"/>
      <c r="J86" s="1"/>
      <c r="K86" s="1"/>
      <c r="L86" s="1"/>
      <c r="M86" s="1"/>
      <c r="N86" s="1"/>
      <c r="O86" s="1"/>
      <c r="P86" s="1"/>
      <c r="Q86" s="1"/>
    </row>
    <row r="87" spans="1:17" x14ac:dyDescent="0.35">
      <c r="A87" s="1"/>
      <c r="B87" s="1"/>
      <c r="C87" s="1"/>
      <c r="D87" s="1"/>
      <c r="E87" s="1"/>
      <c r="F87" s="1"/>
      <c r="G87" s="1"/>
      <c r="H87" s="1"/>
      <c r="I87" s="1"/>
      <c r="J87" s="1"/>
      <c r="K87" s="1"/>
      <c r="L87" s="1"/>
      <c r="M87" s="1"/>
      <c r="N87" s="1"/>
      <c r="O87" s="1"/>
      <c r="P87" s="1"/>
      <c r="Q87" s="1"/>
    </row>
    <row r="88" spans="1:17" x14ac:dyDescent="0.35">
      <c r="A88" s="1"/>
      <c r="B88" s="1"/>
      <c r="C88" s="1"/>
      <c r="D88" s="1"/>
      <c r="E88" s="1"/>
      <c r="F88" s="1"/>
      <c r="G88" s="1"/>
      <c r="H88" s="1"/>
      <c r="I88" s="1"/>
      <c r="J88" s="1"/>
      <c r="K88" s="1"/>
      <c r="L88" s="1"/>
      <c r="M88" s="1"/>
      <c r="N88" s="1"/>
      <c r="O88" s="1"/>
      <c r="P88" s="1"/>
      <c r="Q88" s="1"/>
    </row>
    <row r="89" spans="1:17" x14ac:dyDescent="0.35">
      <c r="A89" s="1"/>
      <c r="B89" s="1"/>
      <c r="C89" s="1"/>
      <c r="D89" s="1"/>
      <c r="E89" s="1"/>
      <c r="F89" s="1"/>
      <c r="G89" s="1"/>
      <c r="H89" s="1"/>
      <c r="I89" s="1"/>
      <c r="J89" s="1"/>
      <c r="K89" s="1"/>
      <c r="L89" s="1"/>
      <c r="M89" s="1"/>
      <c r="N89" s="1"/>
      <c r="O89" s="1"/>
      <c r="P89" s="1"/>
      <c r="Q89" s="1"/>
    </row>
    <row r="90" spans="1:17" x14ac:dyDescent="0.35">
      <c r="A90" s="1"/>
      <c r="B90" s="1"/>
      <c r="C90" s="1"/>
      <c r="D90" s="1"/>
      <c r="E90" s="1"/>
      <c r="F90" s="1"/>
      <c r="G90" s="1"/>
      <c r="H90" s="1"/>
      <c r="I90" s="1"/>
      <c r="J90" s="1"/>
      <c r="K90" s="1"/>
      <c r="L90" s="1"/>
      <c r="M90" s="1"/>
      <c r="N90" s="1"/>
      <c r="O90" s="1"/>
      <c r="P90" s="1"/>
      <c r="Q90" s="1"/>
    </row>
    <row r="91" spans="1:17" x14ac:dyDescent="0.35">
      <c r="A91" s="1"/>
      <c r="B91" s="1"/>
      <c r="C91" s="1"/>
      <c r="D91" s="1"/>
      <c r="E91" s="1"/>
      <c r="F91" s="1"/>
      <c r="G91" s="1"/>
      <c r="H91" s="1"/>
      <c r="I91" s="1"/>
      <c r="J91" s="1"/>
      <c r="K91" s="1"/>
      <c r="L91" s="1"/>
      <c r="M91" s="1"/>
      <c r="N91" s="1"/>
      <c r="O91" s="1"/>
      <c r="P91" s="1"/>
      <c r="Q91" s="1"/>
    </row>
    <row r="92" spans="1:17" x14ac:dyDescent="0.35">
      <c r="A92" s="1"/>
      <c r="B92" s="1"/>
      <c r="C92" s="1"/>
      <c r="D92" s="1"/>
      <c r="E92" s="1"/>
      <c r="F92" s="1"/>
      <c r="G92" s="1"/>
      <c r="H92" s="1"/>
      <c r="I92" s="1"/>
      <c r="J92" s="1"/>
      <c r="K92" s="1"/>
      <c r="L92" s="1"/>
      <c r="M92" s="1"/>
      <c r="N92" s="1"/>
      <c r="O92" s="1"/>
      <c r="P92" s="1"/>
      <c r="Q92" s="1"/>
    </row>
    <row r="93" spans="1:17" x14ac:dyDescent="0.35">
      <c r="A93" s="1"/>
      <c r="B93" s="1"/>
      <c r="C93" s="1"/>
      <c r="D93" s="1"/>
      <c r="E93" s="1"/>
      <c r="F93" s="1"/>
      <c r="G93" s="1"/>
      <c r="H93" s="1"/>
      <c r="I93" s="1"/>
      <c r="J93" s="1"/>
      <c r="K93" s="1"/>
      <c r="L93" s="1"/>
      <c r="M93" s="1"/>
      <c r="N93" s="1"/>
      <c r="O93" s="1"/>
      <c r="P93" s="1"/>
      <c r="Q93" s="1"/>
    </row>
    <row r="94" spans="1:17" x14ac:dyDescent="0.35">
      <c r="A94" s="1"/>
      <c r="B94" s="1"/>
      <c r="C94" s="1"/>
      <c r="D94" s="1"/>
      <c r="E94" s="1"/>
      <c r="F94" s="1"/>
      <c r="G94" s="1"/>
      <c r="H94" s="1"/>
      <c r="I94" s="1"/>
      <c r="J94" s="1"/>
      <c r="K94" s="1"/>
      <c r="L94" s="1"/>
      <c r="M94" s="1"/>
      <c r="N94" s="1"/>
      <c r="O94" s="1"/>
      <c r="P94" s="1"/>
      <c r="Q94" s="1"/>
    </row>
    <row r="95" spans="1:17" x14ac:dyDescent="0.35">
      <c r="A95" s="1"/>
      <c r="B95" s="1"/>
      <c r="C95" s="1"/>
      <c r="D95" s="1"/>
      <c r="E95" s="1"/>
      <c r="F95" s="1"/>
      <c r="G95" s="1"/>
      <c r="H95" s="1"/>
      <c r="I95" s="1"/>
      <c r="J95" s="1"/>
      <c r="K95" s="1"/>
      <c r="L95" s="1"/>
      <c r="M95" s="1"/>
      <c r="N95" s="1"/>
      <c r="O95" s="1"/>
      <c r="P95" s="1"/>
      <c r="Q95" s="1"/>
    </row>
    <row r="96" spans="1:17" x14ac:dyDescent="0.35">
      <c r="A96" s="1"/>
      <c r="B96" s="1"/>
      <c r="C96" s="1"/>
      <c r="D96" s="1"/>
      <c r="E96" s="1"/>
      <c r="F96" s="1"/>
      <c r="G96" s="1"/>
      <c r="H96" s="1"/>
      <c r="I96" s="1"/>
      <c r="J96" s="1"/>
      <c r="K96" s="1"/>
      <c r="L96" s="1"/>
      <c r="M96" s="1"/>
      <c r="N96" s="1"/>
      <c r="O96" s="1"/>
      <c r="P96" s="1"/>
      <c r="Q96" s="1"/>
    </row>
    <row r="97" spans="1:17" x14ac:dyDescent="0.35">
      <c r="A97" s="1"/>
      <c r="B97" s="1"/>
      <c r="C97" s="1"/>
      <c r="D97" s="1"/>
      <c r="E97" s="1"/>
      <c r="F97" s="1"/>
      <c r="G97" s="1"/>
      <c r="H97" s="1"/>
      <c r="I97" s="1"/>
      <c r="J97" s="1"/>
      <c r="K97" s="1"/>
      <c r="L97" s="1"/>
      <c r="M97" s="1"/>
      <c r="N97" s="1"/>
      <c r="O97" s="1"/>
      <c r="P97" s="1"/>
      <c r="Q97" s="1"/>
    </row>
    <row r="98" spans="1:17" x14ac:dyDescent="0.35">
      <c r="A98" s="1"/>
      <c r="B98" s="1"/>
      <c r="C98" s="1"/>
      <c r="D98" s="1"/>
      <c r="E98" s="1"/>
      <c r="F98" s="1"/>
      <c r="G98" s="1"/>
      <c r="H98" s="1"/>
      <c r="I98" s="1"/>
      <c r="J98" s="1"/>
      <c r="K98" s="1"/>
      <c r="L98" s="1"/>
      <c r="M98" s="1"/>
      <c r="N98" s="1"/>
      <c r="O98" s="1"/>
      <c r="P98" s="1"/>
      <c r="Q98" s="1"/>
    </row>
    <row r="99" spans="1:17" x14ac:dyDescent="0.35">
      <c r="A99" s="1"/>
      <c r="B99" s="1"/>
      <c r="C99" s="1"/>
      <c r="D99" s="1"/>
      <c r="E99" s="1"/>
      <c r="F99" s="1"/>
      <c r="G99" s="1"/>
      <c r="H99" s="1"/>
      <c r="I99" s="1"/>
      <c r="J99" s="1"/>
      <c r="K99" s="1"/>
      <c r="L99" s="1"/>
      <c r="M99" s="1"/>
      <c r="N99" s="1"/>
      <c r="O99" s="1"/>
      <c r="P99" s="1"/>
      <c r="Q99" s="1"/>
    </row>
    <row r="100" spans="1:17" x14ac:dyDescent="0.35">
      <c r="A100" s="1"/>
      <c r="B100" s="1"/>
      <c r="C100" s="1"/>
      <c r="D100" s="1"/>
      <c r="E100" s="1"/>
      <c r="F100" s="1"/>
      <c r="G100" s="1"/>
      <c r="H100" s="1"/>
      <c r="I100" s="1"/>
      <c r="J100" s="1"/>
      <c r="K100" s="1"/>
      <c r="L100" s="1"/>
      <c r="M100" s="1"/>
      <c r="N100" s="1"/>
      <c r="O100" s="1"/>
      <c r="P100" s="1"/>
      <c r="Q100" s="1"/>
    </row>
    <row r="101" spans="1:17" x14ac:dyDescent="0.35">
      <c r="A101" s="1"/>
      <c r="B101" s="1"/>
      <c r="C101" s="1"/>
      <c r="D101" s="1"/>
      <c r="E101" s="1"/>
      <c r="F101" s="1"/>
      <c r="G101" s="1"/>
      <c r="H101" s="1"/>
      <c r="I101" s="1"/>
      <c r="J101" s="1"/>
      <c r="K101" s="1"/>
      <c r="L101" s="1"/>
      <c r="M101" s="1"/>
      <c r="N101" s="1"/>
      <c r="O101" s="1"/>
      <c r="P101" s="1"/>
      <c r="Q101" s="1"/>
    </row>
    <row r="102" spans="1:17" x14ac:dyDescent="0.35">
      <c r="A102" s="1"/>
      <c r="B102" s="1"/>
      <c r="C102" s="1"/>
      <c r="D102" s="1"/>
      <c r="E102" s="1"/>
      <c r="F102" s="1"/>
      <c r="G102" s="1"/>
      <c r="H102" s="1"/>
      <c r="I102" s="1"/>
      <c r="J102" s="1"/>
      <c r="K102" s="1"/>
      <c r="L102" s="1"/>
      <c r="M102" s="1"/>
      <c r="N102" s="1"/>
      <c r="O102" s="1"/>
      <c r="P102" s="1"/>
      <c r="Q102" s="1"/>
    </row>
    <row r="103" spans="1:17" x14ac:dyDescent="0.35">
      <c r="A103" s="1"/>
      <c r="B103" s="1"/>
      <c r="C103" s="1"/>
      <c r="D103" s="1"/>
      <c r="E103" s="1"/>
      <c r="F103" s="1"/>
      <c r="G103" s="1"/>
      <c r="H103" s="1"/>
      <c r="I103" s="1"/>
      <c r="J103" s="1"/>
      <c r="K103" s="1"/>
      <c r="L103" s="1"/>
      <c r="M103" s="1"/>
      <c r="N103" s="1"/>
      <c r="O103" s="1"/>
      <c r="P103" s="1"/>
      <c r="Q103" s="1"/>
    </row>
    <row r="104" spans="1:17" x14ac:dyDescent="0.35">
      <c r="A104" s="1"/>
      <c r="B104" s="1"/>
      <c r="C104" s="1"/>
      <c r="D104" s="1"/>
      <c r="E104" s="1"/>
      <c r="F104" s="1"/>
      <c r="G104" s="1"/>
      <c r="H104" s="1"/>
      <c r="I104" s="1"/>
      <c r="J104" s="1"/>
      <c r="K104" s="1"/>
      <c r="L104" s="1"/>
      <c r="M104" s="1"/>
      <c r="N104" s="1"/>
      <c r="O104" s="1"/>
      <c r="P104" s="1"/>
      <c r="Q104" s="1"/>
    </row>
    <row r="105" spans="1:17" x14ac:dyDescent="0.35">
      <c r="A105" s="1"/>
      <c r="B105" s="1"/>
      <c r="C105" s="1"/>
      <c r="D105" s="1"/>
      <c r="E105" s="1"/>
      <c r="F105" s="1"/>
      <c r="G105" s="1"/>
      <c r="H105" s="1"/>
      <c r="I105" s="1"/>
      <c r="J105" s="1"/>
      <c r="K105" s="1"/>
      <c r="L105" s="1"/>
      <c r="M105" s="1"/>
      <c r="N105" s="1"/>
      <c r="O105" s="1"/>
      <c r="P105" s="1"/>
      <c r="Q105" s="1"/>
    </row>
    <row r="106" spans="1:17" x14ac:dyDescent="0.35">
      <c r="A106" s="1"/>
      <c r="B106" s="1"/>
      <c r="C106" s="1"/>
      <c r="D106" s="1"/>
      <c r="E106" s="1"/>
      <c r="F106" s="1"/>
      <c r="G106" s="1"/>
      <c r="H106" s="1"/>
      <c r="I106" s="1"/>
      <c r="J106" s="1"/>
      <c r="K106" s="1"/>
      <c r="L106" s="1"/>
      <c r="M106" s="1"/>
      <c r="N106" s="1"/>
      <c r="O106" s="1"/>
      <c r="P106" s="1"/>
      <c r="Q106" s="1"/>
    </row>
    <row r="107" spans="1:17" x14ac:dyDescent="0.35">
      <c r="A107" s="1"/>
      <c r="B107" s="1"/>
      <c r="C107" s="1"/>
      <c r="D107" s="1"/>
      <c r="E107" s="1"/>
      <c r="F107" s="1"/>
      <c r="G107" s="1"/>
      <c r="H107" s="1"/>
      <c r="I107" s="1"/>
      <c r="J107" s="1"/>
      <c r="K107" s="1"/>
      <c r="L107" s="1"/>
      <c r="M107" s="1"/>
      <c r="N107" s="1"/>
      <c r="O107" s="1"/>
      <c r="P107" s="1"/>
      <c r="Q107" s="1"/>
    </row>
    <row r="108" spans="1:17" x14ac:dyDescent="0.35">
      <c r="A108" s="1"/>
      <c r="B108" s="1"/>
      <c r="C108" s="1"/>
      <c r="D108" s="1"/>
      <c r="E108" s="1"/>
      <c r="F108" s="1"/>
      <c r="G108" s="1"/>
      <c r="H108" s="1"/>
      <c r="I108" s="1"/>
      <c r="J108" s="1"/>
      <c r="K108" s="1"/>
      <c r="L108" s="1"/>
      <c r="M108" s="1"/>
      <c r="N108" s="1"/>
      <c r="O108" s="1"/>
      <c r="P108" s="1"/>
      <c r="Q108" s="1"/>
    </row>
    <row r="109" spans="1:17" x14ac:dyDescent="0.35">
      <c r="A109" s="1"/>
      <c r="B109" s="1"/>
      <c r="C109" s="1"/>
      <c r="D109" s="1"/>
      <c r="E109" s="1"/>
      <c r="F109" s="1"/>
      <c r="G109" s="1"/>
      <c r="H109" s="1"/>
      <c r="I109" s="1"/>
      <c r="J109" s="1"/>
      <c r="K109" s="1"/>
      <c r="L109" s="1"/>
      <c r="M109" s="1"/>
      <c r="N109" s="1"/>
      <c r="O109" s="1"/>
      <c r="P109" s="1"/>
      <c r="Q109" s="1"/>
    </row>
    <row r="110" spans="1:17" x14ac:dyDescent="0.35">
      <c r="A110" s="1"/>
      <c r="B110" s="1"/>
      <c r="C110" s="1"/>
      <c r="D110" s="1"/>
      <c r="E110" s="1"/>
      <c r="F110" s="1"/>
      <c r="G110" s="1"/>
      <c r="H110" s="1"/>
      <c r="I110" s="1"/>
      <c r="J110" s="1"/>
      <c r="K110" s="1"/>
      <c r="L110" s="1"/>
      <c r="M110" s="1"/>
      <c r="N110" s="1"/>
      <c r="O110" s="1"/>
      <c r="P110" s="1"/>
      <c r="Q110" s="1"/>
    </row>
    <row r="111" spans="1:17" x14ac:dyDescent="0.35">
      <c r="A111" s="1"/>
      <c r="B111" s="1"/>
      <c r="C111" s="1"/>
      <c r="D111" s="1"/>
      <c r="E111" s="1"/>
      <c r="F111" s="1"/>
      <c r="G111" s="1"/>
      <c r="H111" s="1"/>
      <c r="I111" s="1"/>
      <c r="J111" s="1"/>
      <c r="K111" s="1"/>
      <c r="L111" s="1"/>
      <c r="M111" s="1"/>
      <c r="N111" s="1"/>
      <c r="O111" s="1"/>
      <c r="P111" s="1"/>
      <c r="Q111" s="1"/>
    </row>
    <row r="112" spans="1:17" x14ac:dyDescent="0.35">
      <c r="A112" s="1"/>
      <c r="B112" s="1"/>
      <c r="C112" s="1"/>
      <c r="D112" s="1"/>
      <c r="E112" s="1"/>
      <c r="F112" s="1"/>
      <c r="G112" s="1"/>
      <c r="H112" s="1"/>
      <c r="I112" s="1"/>
      <c r="J112" s="1"/>
      <c r="K112" s="1"/>
      <c r="L112" s="1"/>
      <c r="M112" s="1"/>
      <c r="N112" s="1"/>
      <c r="O112" s="1"/>
      <c r="P112" s="1"/>
      <c r="Q112" s="1"/>
    </row>
    <row r="113" spans="1:17" x14ac:dyDescent="0.35">
      <c r="A113" s="1"/>
      <c r="B113" s="1"/>
      <c r="C113" s="1"/>
      <c r="D113" s="1"/>
      <c r="E113" s="1"/>
      <c r="F113" s="1"/>
      <c r="G113" s="1"/>
      <c r="H113" s="1"/>
      <c r="I113" s="1"/>
      <c r="J113" s="1"/>
      <c r="K113" s="1"/>
      <c r="L113" s="1"/>
      <c r="M113" s="1"/>
      <c r="N113" s="1"/>
      <c r="O113" s="1"/>
      <c r="P113" s="1"/>
      <c r="Q113" s="1"/>
    </row>
    <row r="114" spans="1:17" x14ac:dyDescent="0.35">
      <c r="A114" s="1"/>
      <c r="B114" s="1"/>
      <c r="C114" s="1"/>
      <c r="D114" s="1"/>
      <c r="E114" s="1"/>
      <c r="F114" s="1"/>
      <c r="G114" s="1"/>
      <c r="H114" s="1"/>
      <c r="I114" s="1"/>
      <c r="J114" s="1"/>
      <c r="K114" s="1"/>
      <c r="L114" s="1"/>
      <c r="M114" s="1"/>
      <c r="N114" s="1"/>
      <c r="O114" s="1"/>
      <c r="P114" s="1"/>
      <c r="Q114" s="1"/>
    </row>
    <row r="115" spans="1:17" x14ac:dyDescent="0.35">
      <c r="A115" s="1"/>
      <c r="B115" s="1"/>
      <c r="C115" s="1"/>
      <c r="D115" s="1"/>
      <c r="E115" s="1"/>
      <c r="F115" s="1"/>
      <c r="G115" s="1"/>
      <c r="H115" s="1"/>
      <c r="I115" s="1"/>
      <c r="J115" s="1"/>
      <c r="K115" s="1"/>
      <c r="L115" s="1"/>
      <c r="M115" s="1"/>
      <c r="N115" s="1"/>
      <c r="O115" s="1"/>
      <c r="P115" s="1"/>
      <c r="Q115" s="1"/>
    </row>
    <row r="116" spans="1:17" x14ac:dyDescent="0.35">
      <c r="A116" s="1"/>
      <c r="B116" s="1"/>
      <c r="C116" s="1"/>
      <c r="D116" s="1"/>
      <c r="E116" s="1"/>
      <c r="F116" s="1"/>
      <c r="G116" s="1"/>
      <c r="H116" s="1"/>
      <c r="I116" s="1"/>
      <c r="J116" s="1"/>
      <c r="K116" s="1"/>
      <c r="L116" s="1"/>
      <c r="M116" s="1"/>
      <c r="N116" s="1"/>
      <c r="O116" s="1"/>
      <c r="P116" s="1"/>
      <c r="Q116" s="1"/>
    </row>
    <row r="117" spans="1:17" x14ac:dyDescent="0.35">
      <c r="A117" s="1"/>
      <c r="B117" s="1"/>
      <c r="C117" s="1"/>
      <c r="D117" s="1"/>
      <c r="E117" s="1"/>
      <c r="F117" s="1"/>
      <c r="G117" s="1"/>
      <c r="H117" s="1"/>
      <c r="I117" s="1"/>
      <c r="J117" s="1"/>
      <c r="K117" s="1"/>
      <c r="L117" s="1"/>
      <c r="M117" s="1"/>
      <c r="N117" s="1"/>
      <c r="O117" s="1"/>
      <c r="P117" s="1"/>
      <c r="Q117" s="1"/>
    </row>
    <row r="118" spans="1:17" x14ac:dyDescent="0.35">
      <c r="A118" s="1"/>
      <c r="B118" s="1"/>
      <c r="C118" s="1"/>
      <c r="D118" s="1"/>
      <c r="E118" s="1"/>
      <c r="F118" s="1"/>
      <c r="G118" s="1"/>
      <c r="H118" s="1"/>
      <c r="I118" s="1"/>
      <c r="J118" s="1"/>
      <c r="K118" s="1"/>
      <c r="L118" s="1"/>
      <c r="M118" s="1"/>
      <c r="N118" s="1"/>
      <c r="O118" s="1"/>
      <c r="P118" s="1"/>
      <c r="Q118" s="1"/>
    </row>
    <row r="119" spans="1:17" x14ac:dyDescent="0.35">
      <c r="A119" s="1"/>
      <c r="B119" s="1"/>
      <c r="C119" s="1"/>
      <c r="D119" s="1"/>
      <c r="E119" s="1"/>
      <c r="F119" s="1"/>
      <c r="G119" s="1"/>
      <c r="H119" s="1"/>
      <c r="I119" s="1"/>
      <c r="J119" s="1"/>
      <c r="K119" s="1"/>
      <c r="L119" s="1"/>
      <c r="M119" s="1"/>
      <c r="N119" s="1"/>
      <c r="O119" s="1"/>
      <c r="P119" s="1"/>
      <c r="Q119" s="1"/>
    </row>
    <row r="120" spans="1:17" x14ac:dyDescent="0.35">
      <c r="A120" s="1"/>
      <c r="B120" s="1"/>
      <c r="C120" s="1"/>
      <c r="D120" s="1"/>
      <c r="E120" s="1"/>
      <c r="F120" s="1"/>
      <c r="G120" s="1"/>
      <c r="H120" s="1"/>
      <c r="I120" s="1"/>
      <c r="J120" s="1"/>
      <c r="K120" s="1"/>
      <c r="L120" s="1"/>
      <c r="M120" s="1"/>
      <c r="N120" s="1"/>
      <c r="O120" s="1"/>
      <c r="P120" s="1"/>
      <c r="Q120" s="1"/>
    </row>
    <row r="121" spans="1:17" x14ac:dyDescent="0.35">
      <c r="A121" s="1"/>
      <c r="B121" s="1"/>
      <c r="C121" s="1"/>
      <c r="D121" s="1"/>
      <c r="E121" s="1"/>
      <c r="F121" s="1"/>
      <c r="G121" s="1"/>
      <c r="H121" s="1"/>
      <c r="I121" s="1"/>
      <c r="J121" s="1"/>
      <c r="K121" s="1"/>
      <c r="L121" s="1"/>
      <c r="M121" s="1"/>
      <c r="N121" s="1"/>
      <c r="O121" s="1"/>
      <c r="P121" s="1"/>
      <c r="Q121" s="1"/>
    </row>
    <row r="122" spans="1:17" x14ac:dyDescent="0.35">
      <c r="A122" s="1"/>
      <c r="B122" s="1"/>
      <c r="C122" s="1"/>
      <c r="D122" s="1"/>
      <c r="E122" s="1"/>
      <c r="F122" s="1"/>
      <c r="G122" s="1"/>
      <c r="H122" s="1"/>
      <c r="I122" s="1"/>
      <c r="J122" s="1"/>
      <c r="K122" s="1"/>
      <c r="L122" s="1"/>
      <c r="M122" s="1"/>
      <c r="N122" s="1"/>
      <c r="O122" s="1"/>
      <c r="P122" s="1"/>
      <c r="Q122" s="1"/>
    </row>
    <row r="123" spans="1:17" x14ac:dyDescent="0.35">
      <c r="A123" s="1"/>
      <c r="B123" s="1"/>
      <c r="C123" s="1"/>
      <c r="D123" s="1"/>
      <c r="E123" s="1"/>
      <c r="F123" s="1"/>
      <c r="G123" s="1"/>
      <c r="H123" s="1"/>
      <c r="I123" s="1"/>
      <c r="J123" s="1"/>
      <c r="K123" s="1"/>
      <c r="L123" s="1"/>
      <c r="M123" s="1"/>
      <c r="N123" s="1"/>
      <c r="O123" s="1"/>
      <c r="P123" s="1"/>
      <c r="Q123" s="1"/>
    </row>
    <row r="124" spans="1:17" x14ac:dyDescent="0.35">
      <c r="A124" s="1"/>
      <c r="B124" s="1"/>
      <c r="C124" s="1"/>
      <c r="D124" s="1"/>
      <c r="E124" s="1"/>
      <c r="F124" s="1"/>
      <c r="G124" s="1"/>
      <c r="H124" s="1"/>
      <c r="I124" s="1"/>
      <c r="J124" s="1"/>
      <c r="K124" s="1"/>
      <c r="L124" s="1"/>
      <c r="M124" s="1"/>
      <c r="N124" s="1"/>
      <c r="O124" s="1"/>
      <c r="P124" s="1"/>
      <c r="Q124" s="1"/>
    </row>
    <row r="125" spans="1:17" x14ac:dyDescent="0.35">
      <c r="A125" s="1"/>
      <c r="B125" s="1"/>
      <c r="C125" s="1"/>
      <c r="D125" s="1"/>
      <c r="E125" s="1"/>
      <c r="F125" s="1"/>
      <c r="G125" s="1"/>
      <c r="H125" s="1"/>
      <c r="I125" s="1"/>
      <c r="J125" s="1"/>
      <c r="K125" s="1"/>
      <c r="L125" s="1"/>
      <c r="M125" s="1"/>
      <c r="N125" s="1"/>
      <c r="O125" s="1"/>
      <c r="P125" s="1"/>
      <c r="Q125" s="1"/>
    </row>
    <row r="126" spans="1:17" x14ac:dyDescent="0.35">
      <c r="A126" s="1"/>
      <c r="B126" s="1"/>
      <c r="C126" s="1"/>
      <c r="D126" s="1"/>
      <c r="E126" s="1"/>
      <c r="F126" s="1"/>
      <c r="G126" s="1"/>
      <c r="H126" s="1"/>
      <c r="I126" s="1"/>
      <c r="J126" s="1"/>
      <c r="K126" s="1"/>
      <c r="L126" s="1"/>
      <c r="M126" s="1"/>
      <c r="N126" s="1"/>
      <c r="O126" s="1"/>
      <c r="P126" s="1"/>
      <c r="Q126" s="1"/>
    </row>
    <row r="127" spans="1:17" x14ac:dyDescent="0.35">
      <c r="A127" s="1"/>
      <c r="B127" s="1"/>
      <c r="C127" s="1"/>
      <c r="D127" s="1"/>
      <c r="E127" s="1"/>
      <c r="F127" s="1"/>
      <c r="G127" s="1"/>
      <c r="H127" s="1"/>
      <c r="I127" s="1"/>
      <c r="J127" s="1"/>
      <c r="K127" s="1"/>
      <c r="L127" s="1"/>
      <c r="M127" s="1"/>
      <c r="N127" s="1"/>
      <c r="O127" s="1"/>
      <c r="P127" s="1"/>
      <c r="Q127" s="1"/>
    </row>
    <row r="128" spans="1:17" x14ac:dyDescent="0.35">
      <c r="A128" s="1"/>
      <c r="B128" s="1"/>
      <c r="C128" s="1"/>
      <c r="D128" s="1"/>
      <c r="E128" s="1"/>
      <c r="F128" s="1"/>
      <c r="G128" s="1"/>
      <c r="H128" s="1"/>
      <c r="I128" s="1"/>
      <c r="J128" s="1"/>
      <c r="K128" s="1"/>
      <c r="L128" s="1"/>
      <c r="M128" s="1"/>
      <c r="N128" s="1"/>
      <c r="O128" s="1"/>
      <c r="P128" s="1"/>
      <c r="Q128" s="1"/>
    </row>
    <row r="129" spans="1:17" x14ac:dyDescent="0.35">
      <c r="A129" s="1"/>
      <c r="B129" s="1"/>
      <c r="C129" s="1"/>
      <c r="D129" s="1"/>
      <c r="E129" s="1"/>
      <c r="F129" s="1"/>
      <c r="G129" s="1"/>
      <c r="H129" s="1"/>
      <c r="I129" s="1"/>
      <c r="J129" s="1"/>
      <c r="K129" s="1"/>
      <c r="L129" s="1"/>
      <c r="M129" s="1"/>
      <c r="N129" s="1"/>
      <c r="O129" s="1"/>
      <c r="P129" s="1"/>
      <c r="Q129" s="1"/>
    </row>
    <row r="130" spans="1:17" x14ac:dyDescent="0.35">
      <c r="A130" s="1"/>
      <c r="B130" s="1"/>
      <c r="C130" s="1"/>
      <c r="D130" s="1"/>
      <c r="E130" s="1"/>
      <c r="F130" s="1"/>
      <c r="G130" s="1"/>
      <c r="H130" s="1"/>
      <c r="I130" s="1"/>
      <c r="J130" s="1"/>
      <c r="K130" s="1"/>
      <c r="L130" s="1"/>
      <c r="M130" s="1"/>
      <c r="N130" s="1"/>
      <c r="O130" s="1"/>
      <c r="P130" s="1"/>
      <c r="Q130" s="1"/>
    </row>
    <row r="131" spans="1:17" x14ac:dyDescent="0.35">
      <c r="A131" s="1"/>
      <c r="B131" s="1"/>
      <c r="C131" s="1"/>
      <c r="D131" s="1"/>
      <c r="E131" s="1"/>
      <c r="F131" s="1"/>
      <c r="G131" s="1"/>
      <c r="H131" s="1"/>
      <c r="I131" s="1"/>
      <c r="J131" s="1"/>
      <c r="K131" s="1"/>
      <c r="L131" s="1"/>
      <c r="M131" s="1"/>
      <c r="N131" s="1"/>
      <c r="O131" s="1"/>
      <c r="P131" s="1"/>
      <c r="Q131" s="1"/>
    </row>
    <row r="132" spans="1:17" x14ac:dyDescent="0.35">
      <c r="A132" s="1"/>
      <c r="B132" s="1"/>
      <c r="C132" s="1"/>
      <c r="D132" s="1"/>
      <c r="E132" s="1"/>
      <c r="F132" s="1"/>
      <c r="G132" s="1"/>
      <c r="H132" s="1"/>
      <c r="I132" s="1"/>
      <c r="J132" s="1"/>
      <c r="K132" s="1"/>
      <c r="L132" s="1"/>
      <c r="M132" s="1"/>
      <c r="N132" s="1"/>
      <c r="O132" s="1"/>
      <c r="P132" s="1"/>
      <c r="Q132" s="1"/>
    </row>
    <row r="133" spans="1:17" x14ac:dyDescent="0.35">
      <c r="A133" s="1"/>
      <c r="B133" s="1"/>
      <c r="C133" s="1"/>
      <c r="D133" s="1"/>
      <c r="E133" s="1"/>
      <c r="F133" s="1"/>
      <c r="G133" s="1"/>
      <c r="H133" s="1"/>
      <c r="I133" s="1"/>
      <c r="J133" s="1"/>
      <c r="K133" s="1"/>
      <c r="L133" s="1"/>
      <c r="M133" s="1"/>
      <c r="N133" s="1"/>
      <c r="O133" s="1"/>
      <c r="P133" s="1"/>
      <c r="Q133" s="1"/>
    </row>
    <row r="134" spans="1:17" x14ac:dyDescent="0.35">
      <c r="A134" s="1"/>
      <c r="B134" s="1"/>
      <c r="C134" s="1"/>
      <c r="D134" s="1"/>
      <c r="E134" s="1"/>
      <c r="F134" s="1"/>
      <c r="G134" s="1"/>
      <c r="H134" s="1"/>
      <c r="I134" s="1"/>
      <c r="J134" s="1"/>
      <c r="K134" s="1"/>
      <c r="L134" s="1"/>
      <c r="M134" s="1"/>
      <c r="N134" s="1"/>
      <c r="O134" s="1"/>
      <c r="P134" s="1"/>
      <c r="Q134" s="1"/>
    </row>
    <row r="135" spans="1:17" x14ac:dyDescent="0.35">
      <c r="A135" s="1"/>
      <c r="B135" s="1"/>
      <c r="C135" s="1"/>
      <c r="D135" s="1"/>
      <c r="E135" s="1"/>
      <c r="F135" s="1"/>
      <c r="G135" s="1"/>
      <c r="H135" s="1"/>
      <c r="I135" s="1"/>
      <c r="J135" s="1"/>
      <c r="K135" s="1"/>
      <c r="L135" s="1"/>
      <c r="M135" s="1"/>
      <c r="N135" s="1"/>
      <c r="O135" s="1"/>
      <c r="P135" s="1"/>
      <c r="Q135" s="1"/>
    </row>
    <row r="136" spans="1:17" x14ac:dyDescent="0.35">
      <c r="A136" s="1"/>
      <c r="B136" s="1"/>
      <c r="C136" s="1"/>
      <c r="D136" s="1"/>
      <c r="E136" s="1"/>
      <c r="F136" s="1"/>
      <c r="G136" s="1"/>
      <c r="H136" s="1"/>
      <c r="I136" s="1"/>
      <c r="J136" s="1"/>
      <c r="K136" s="1"/>
      <c r="L136" s="1"/>
      <c r="M136" s="1"/>
      <c r="N136" s="1"/>
      <c r="O136" s="1"/>
      <c r="P136" s="1"/>
      <c r="Q136" s="1"/>
    </row>
    <row r="137" spans="1:17" x14ac:dyDescent="0.35">
      <c r="A137" s="1"/>
      <c r="B137" s="1"/>
      <c r="C137" s="1"/>
      <c r="D137" s="1"/>
      <c r="E137" s="1"/>
      <c r="F137" s="1"/>
      <c r="G137" s="1"/>
      <c r="H137" s="1"/>
      <c r="I137" s="1"/>
      <c r="J137" s="1"/>
      <c r="K137" s="1"/>
      <c r="L137" s="1"/>
      <c r="M137" s="1"/>
      <c r="N137" s="1"/>
      <c r="O137" s="1"/>
      <c r="P137" s="1"/>
      <c r="Q137" s="1"/>
    </row>
    <row r="138" spans="1:17" x14ac:dyDescent="0.35">
      <c r="A138" s="1"/>
      <c r="B138" s="1"/>
      <c r="C138" s="1"/>
      <c r="D138" s="1"/>
      <c r="E138" s="1"/>
      <c r="F138" s="1"/>
      <c r="G138" s="1"/>
      <c r="H138" s="1"/>
      <c r="I138" s="1"/>
      <c r="J138" s="1"/>
      <c r="K138" s="1"/>
      <c r="L138" s="1"/>
      <c r="M138" s="1"/>
      <c r="N138" s="1"/>
      <c r="O138" s="1"/>
      <c r="P138" s="1"/>
      <c r="Q138" s="1"/>
    </row>
    <row r="139" spans="1:17" x14ac:dyDescent="0.35">
      <c r="A139" s="1"/>
      <c r="B139" s="1"/>
      <c r="C139" s="1"/>
      <c r="D139" s="1"/>
      <c r="E139" s="1"/>
      <c r="F139" s="1"/>
      <c r="G139" s="1"/>
      <c r="H139" s="1"/>
      <c r="I139" s="1"/>
      <c r="J139" s="1"/>
      <c r="K139" s="1"/>
      <c r="L139" s="1"/>
      <c r="M139" s="1"/>
      <c r="N139" s="1"/>
      <c r="O139" s="1"/>
      <c r="P139" s="1"/>
      <c r="Q139" s="1"/>
    </row>
    <row r="140" spans="1:17" x14ac:dyDescent="0.35">
      <c r="A140" s="1"/>
      <c r="B140" s="1"/>
      <c r="C140" s="1"/>
      <c r="D140" s="1"/>
      <c r="E140" s="1"/>
      <c r="F140" s="1"/>
      <c r="G140" s="1"/>
      <c r="H140" s="1"/>
      <c r="I140" s="1"/>
      <c r="J140" s="1"/>
      <c r="K140" s="1"/>
      <c r="L140" s="1"/>
      <c r="M140" s="1"/>
      <c r="N140" s="1"/>
      <c r="O140" s="1"/>
      <c r="P140" s="1"/>
      <c r="Q140" s="1"/>
    </row>
    <row r="141" spans="1:17" x14ac:dyDescent="0.35">
      <c r="A141" s="1"/>
      <c r="B141" s="1"/>
      <c r="C141" s="1"/>
      <c r="D141" s="1"/>
      <c r="E141" s="1"/>
      <c r="F141" s="1"/>
      <c r="G141" s="1"/>
      <c r="H141" s="1"/>
      <c r="I141" s="1"/>
      <c r="J141" s="1"/>
      <c r="K141" s="1"/>
      <c r="L141" s="1"/>
      <c r="M141" s="1"/>
      <c r="N141" s="1"/>
      <c r="O141" s="1"/>
      <c r="P141" s="1"/>
      <c r="Q141" s="1"/>
    </row>
    <row r="142" spans="1:17" x14ac:dyDescent="0.35">
      <c r="A142" s="1"/>
      <c r="B142" s="1"/>
      <c r="C142" s="1"/>
      <c r="D142" s="1"/>
      <c r="E142" s="1"/>
      <c r="F142" s="1"/>
      <c r="G142" s="1"/>
      <c r="H142" s="1"/>
      <c r="I142" s="1"/>
      <c r="J142" s="1"/>
      <c r="K142" s="1"/>
      <c r="L142" s="1"/>
      <c r="M142" s="1"/>
      <c r="N142" s="1"/>
      <c r="O142" s="1"/>
      <c r="P142" s="1"/>
      <c r="Q142" s="1"/>
    </row>
    <row r="143" spans="1:17" x14ac:dyDescent="0.35">
      <c r="A143" s="1"/>
      <c r="B143" s="1"/>
      <c r="C143" s="1"/>
      <c r="D143" s="1"/>
      <c r="E143" s="1"/>
      <c r="F143" s="1"/>
      <c r="G143" s="1"/>
      <c r="H143" s="1"/>
      <c r="I143" s="1"/>
      <c r="J143" s="1"/>
      <c r="K143" s="1"/>
      <c r="L143" s="1"/>
      <c r="M143" s="1"/>
      <c r="N143" s="1"/>
      <c r="O143" s="1"/>
      <c r="P143" s="1"/>
      <c r="Q143" s="1"/>
    </row>
    <row r="144" spans="1:17" x14ac:dyDescent="0.35">
      <c r="A144" s="1"/>
      <c r="B144" s="1"/>
      <c r="C144" s="1"/>
      <c r="D144" s="1"/>
      <c r="E144" s="1"/>
      <c r="F144" s="1"/>
      <c r="G144" s="1"/>
      <c r="H144" s="1"/>
      <c r="I144" s="1"/>
      <c r="J144" s="1"/>
      <c r="K144" s="1"/>
      <c r="L144" s="1"/>
      <c r="M144" s="1"/>
      <c r="N144" s="1"/>
      <c r="O144" s="1"/>
      <c r="P144" s="1"/>
      <c r="Q144" s="1"/>
    </row>
    <row r="145" spans="1:17" x14ac:dyDescent="0.35">
      <c r="A145" s="1"/>
      <c r="B145" s="1"/>
      <c r="C145" s="1"/>
      <c r="D145" s="1"/>
      <c r="E145" s="1"/>
      <c r="F145" s="1"/>
      <c r="G145" s="1"/>
      <c r="H145" s="1"/>
      <c r="I145" s="1"/>
      <c r="J145" s="1"/>
      <c r="K145" s="1"/>
      <c r="L145" s="1"/>
      <c r="M145" s="1"/>
      <c r="N145" s="1"/>
      <c r="O145" s="1"/>
      <c r="P145" s="1"/>
      <c r="Q145" s="1"/>
    </row>
    <row r="146" spans="1:17" x14ac:dyDescent="0.35">
      <c r="A146" s="1"/>
      <c r="B146" s="1"/>
      <c r="C146" s="1"/>
      <c r="D146" s="1"/>
      <c r="E146" s="1"/>
      <c r="F146" s="1"/>
      <c r="G146" s="1"/>
      <c r="H146" s="1"/>
      <c r="I146" s="1"/>
      <c r="J146" s="1"/>
      <c r="K146" s="1"/>
      <c r="L146" s="1"/>
      <c r="M146" s="1"/>
      <c r="N146" s="1"/>
      <c r="O146" s="1"/>
      <c r="P146" s="1"/>
      <c r="Q146" s="1"/>
    </row>
    <row r="147" spans="1:17" x14ac:dyDescent="0.35">
      <c r="A147" s="1"/>
      <c r="B147" s="1"/>
      <c r="C147" s="1"/>
      <c r="D147" s="1"/>
      <c r="E147" s="1"/>
      <c r="F147" s="1"/>
      <c r="G147" s="1"/>
      <c r="H147" s="1"/>
      <c r="I147" s="1"/>
      <c r="J147" s="1"/>
      <c r="K147" s="1"/>
      <c r="L147" s="1"/>
      <c r="M147" s="1"/>
      <c r="N147" s="1"/>
      <c r="O147" s="1"/>
      <c r="P147" s="1"/>
      <c r="Q147" s="1"/>
    </row>
    <row r="148" spans="1:17" x14ac:dyDescent="0.35">
      <c r="A148" s="1"/>
      <c r="B148" s="1"/>
      <c r="C148" s="1"/>
      <c r="D148" s="1"/>
      <c r="E148" s="1"/>
      <c r="F148" s="1"/>
      <c r="G148" s="1"/>
      <c r="H148" s="1"/>
      <c r="I148" s="1"/>
      <c r="J148" s="1"/>
      <c r="K148" s="1"/>
      <c r="L148" s="1"/>
      <c r="M148" s="1"/>
      <c r="N148" s="1"/>
      <c r="O148" s="1"/>
      <c r="P148" s="1"/>
      <c r="Q148" s="1"/>
    </row>
    <row r="149" spans="1:17" x14ac:dyDescent="0.35">
      <c r="A149" s="1"/>
      <c r="B149" s="1"/>
      <c r="C149" s="1"/>
      <c r="D149" s="1"/>
      <c r="E149" s="1"/>
      <c r="F149" s="1"/>
      <c r="G149" s="1"/>
      <c r="H149" s="1"/>
      <c r="I149" s="1"/>
      <c r="J149" s="1"/>
      <c r="K149" s="1"/>
      <c r="L149" s="1"/>
      <c r="M149" s="1"/>
      <c r="N149" s="1"/>
      <c r="O149" s="1"/>
      <c r="P149" s="1"/>
      <c r="Q149" s="1"/>
    </row>
    <row r="150" spans="1:17" x14ac:dyDescent="0.35">
      <c r="A150" s="1"/>
      <c r="B150" s="1"/>
      <c r="C150" s="1"/>
      <c r="D150" s="1"/>
      <c r="E150" s="1"/>
      <c r="F150" s="1"/>
      <c r="G150" s="1"/>
      <c r="H150" s="1"/>
      <c r="I150" s="1"/>
      <c r="J150" s="1"/>
      <c r="K150" s="1"/>
      <c r="L150" s="1"/>
      <c r="M150" s="1"/>
      <c r="N150" s="1"/>
      <c r="O150" s="1"/>
      <c r="P150" s="1"/>
      <c r="Q150" s="1"/>
    </row>
    <row r="151" spans="1:17" x14ac:dyDescent="0.35">
      <c r="A151" s="1"/>
      <c r="B151" s="1"/>
      <c r="C151" s="1"/>
      <c r="D151" s="1"/>
      <c r="E151" s="1"/>
      <c r="F151" s="1"/>
      <c r="G151" s="1"/>
      <c r="H151" s="1"/>
      <c r="I151" s="1"/>
      <c r="J151" s="1"/>
      <c r="K151" s="1"/>
      <c r="L151" s="1"/>
      <c r="M151" s="1"/>
      <c r="N151" s="1"/>
      <c r="O151" s="1"/>
      <c r="P151" s="1"/>
      <c r="Q151" s="1"/>
    </row>
    <row r="152" spans="1:17" x14ac:dyDescent="0.35">
      <c r="A152" s="1"/>
      <c r="B152" s="1"/>
      <c r="C152" s="1"/>
      <c r="D152" s="1"/>
      <c r="E152" s="1"/>
      <c r="F152" s="1"/>
      <c r="G152" s="1"/>
      <c r="H152" s="1"/>
      <c r="I152" s="1"/>
      <c r="J152" s="1"/>
      <c r="K152" s="1"/>
      <c r="L152" s="1"/>
      <c r="M152" s="1"/>
      <c r="N152" s="1"/>
      <c r="O152" s="1"/>
      <c r="P152" s="1"/>
      <c r="Q152" s="1"/>
    </row>
    <row r="153" spans="1:17" x14ac:dyDescent="0.35">
      <c r="A153" s="1"/>
      <c r="B153" s="1"/>
      <c r="C153" s="1"/>
      <c r="D153" s="1"/>
      <c r="E153" s="1"/>
      <c r="F153" s="1"/>
      <c r="G153" s="1"/>
      <c r="H153" s="1"/>
      <c r="I153" s="1"/>
      <c r="J153" s="1"/>
      <c r="K153" s="1"/>
      <c r="L153" s="1"/>
      <c r="M153" s="1"/>
      <c r="N153" s="1"/>
      <c r="O153" s="1"/>
      <c r="P153" s="1"/>
      <c r="Q153" s="1"/>
    </row>
    <row r="154" spans="1:17" x14ac:dyDescent="0.35">
      <c r="A154" s="1"/>
      <c r="B154" s="1"/>
      <c r="C154" s="1"/>
      <c r="D154" s="1"/>
      <c r="E154" s="1"/>
      <c r="F154" s="1"/>
      <c r="G154" s="1"/>
      <c r="H154" s="1"/>
      <c r="I154" s="1"/>
      <c r="J154" s="1"/>
      <c r="K154" s="1"/>
      <c r="L154" s="1"/>
      <c r="M154" s="1"/>
      <c r="N154" s="1"/>
      <c r="O154" s="1"/>
      <c r="P154" s="1"/>
      <c r="Q154" s="1"/>
    </row>
    <row r="155" spans="1:17" x14ac:dyDescent="0.35">
      <c r="A155" s="1"/>
      <c r="B155" s="1"/>
      <c r="C155" s="1"/>
      <c r="D155" s="1"/>
      <c r="E155" s="1"/>
      <c r="F155" s="1"/>
      <c r="G155" s="1"/>
      <c r="H155" s="1"/>
      <c r="I155" s="1"/>
      <c r="J155" s="1"/>
      <c r="K155" s="1"/>
      <c r="L155" s="1"/>
      <c r="M155" s="1"/>
      <c r="N155" s="1"/>
      <c r="O155" s="1"/>
      <c r="P155" s="1"/>
      <c r="Q155" s="1"/>
    </row>
    <row r="156" spans="1:17" x14ac:dyDescent="0.35">
      <c r="A156" s="1"/>
      <c r="B156" s="1"/>
      <c r="C156" s="1"/>
      <c r="D156" s="1"/>
      <c r="E156" s="1"/>
      <c r="F156" s="1"/>
      <c r="G156" s="1"/>
      <c r="H156" s="1"/>
      <c r="I156" s="1"/>
      <c r="J156" s="1"/>
      <c r="K156" s="1"/>
      <c r="L156" s="1"/>
      <c r="M156" s="1"/>
      <c r="N156" s="1"/>
      <c r="O156" s="1"/>
      <c r="P156" s="1"/>
      <c r="Q156" s="1"/>
    </row>
    <row r="157" spans="1:17" x14ac:dyDescent="0.35">
      <c r="A157" s="1"/>
      <c r="B157" s="1"/>
      <c r="C157" s="1"/>
      <c r="D157" s="1"/>
      <c r="E157" s="1"/>
      <c r="F157" s="1"/>
      <c r="G157" s="1"/>
      <c r="H157" s="1"/>
      <c r="I157" s="1"/>
      <c r="J157" s="1"/>
      <c r="K157" s="1"/>
      <c r="L157" s="1"/>
      <c r="M157" s="1"/>
      <c r="N157" s="1"/>
      <c r="O157" s="1"/>
      <c r="P157" s="1"/>
      <c r="Q157" s="1"/>
    </row>
    <row r="158" spans="1:17" x14ac:dyDescent="0.35">
      <c r="A158" s="1"/>
      <c r="B158" s="1"/>
      <c r="C158" s="1"/>
      <c r="D158" s="1"/>
      <c r="E158" s="1"/>
      <c r="F158" s="1"/>
      <c r="G158" s="1"/>
      <c r="H158" s="1"/>
      <c r="I158" s="1"/>
      <c r="J158" s="1"/>
      <c r="K158" s="1"/>
      <c r="L158" s="1"/>
      <c r="M158" s="1"/>
      <c r="N158" s="1"/>
      <c r="O158" s="1"/>
      <c r="P158" s="1"/>
      <c r="Q158" s="1"/>
    </row>
    <row r="159" spans="1:17" x14ac:dyDescent="0.35">
      <c r="A159" s="1"/>
      <c r="B159" s="1"/>
      <c r="C159" s="1"/>
      <c r="D159" s="1"/>
      <c r="E159" s="1"/>
      <c r="F159" s="1"/>
      <c r="G159" s="1"/>
      <c r="H159" s="1"/>
      <c r="I159" s="1"/>
      <c r="J159" s="1"/>
      <c r="K159" s="1"/>
      <c r="L159" s="1"/>
      <c r="M159" s="1"/>
      <c r="N159" s="1"/>
      <c r="O159" s="1"/>
      <c r="P159" s="1"/>
      <c r="Q159" s="1"/>
    </row>
    <row r="160" spans="1:17" x14ac:dyDescent="0.35">
      <c r="A160" s="1"/>
      <c r="B160" s="1"/>
      <c r="C160" s="1"/>
      <c r="D160" s="1"/>
      <c r="E160" s="1"/>
      <c r="F160" s="1"/>
      <c r="G160" s="1"/>
      <c r="H160" s="1"/>
      <c r="I160" s="1"/>
      <c r="J160" s="1"/>
      <c r="K160" s="1"/>
      <c r="L160" s="1"/>
      <c r="M160" s="1"/>
      <c r="N160" s="1"/>
      <c r="O160" s="1"/>
      <c r="P160" s="1"/>
      <c r="Q160" s="1"/>
    </row>
    <row r="161" spans="1:17" x14ac:dyDescent="0.35">
      <c r="A161" s="1"/>
      <c r="B161" s="1"/>
      <c r="C161" s="1"/>
      <c r="D161" s="1"/>
      <c r="E161" s="1"/>
      <c r="F161" s="1"/>
      <c r="G161" s="1"/>
      <c r="H161" s="1"/>
      <c r="I161" s="1"/>
      <c r="J161" s="1"/>
      <c r="K161" s="1"/>
      <c r="L161" s="1"/>
      <c r="M161" s="1"/>
      <c r="N161" s="1"/>
      <c r="O161" s="1"/>
      <c r="P161" s="1"/>
      <c r="Q161" s="1"/>
    </row>
    <row r="162" spans="1:17" x14ac:dyDescent="0.35">
      <c r="A162" s="1"/>
      <c r="B162" s="1"/>
      <c r="C162" s="1"/>
      <c r="D162" s="1"/>
      <c r="E162" s="1"/>
      <c r="F162" s="1"/>
      <c r="G162" s="1"/>
      <c r="H162" s="1"/>
      <c r="I162" s="1"/>
      <c r="J162" s="1"/>
      <c r="K162" s="1"/>
      <c r="L162" s="1"/>
      <c r="M162" s="1"/>
      <c r="N162" s="1"/>
      <c r="O162" s="1"/>
      <c r="P162" s="1"/>
      <c r="Q162" s="1"/>
    </row>
    <row r="163" spans="1:17" x14ac:dyDescent="0.35">
      <c r="A163" s="1"/>
      <c r="B163" s="1"/>
      <c r="C163" s="1"/>
      <c r="D163" s="1"/>
      <c r="E163" s="1"/>
      <c r="F163" s="1"/>
      <c r="G163" s="1"/>
      <c r="H163" s="1"/>
      <c r="I163" s="1"/>
      <c r="J163" s="1"/>
      <c r="K163" s="1"/>
      <c r="L163" s="1"/>
      <c r="M163" s="1"/>
      <c r="N163" s="1"/>
      <c r="O163" s="1"/>
      <c r="P163" s="1"/>
      <c r="Q163" s="1"/>
    </row>
    <row r="164" spans="1:17" x14ac:dyDescent="0.35">
      <c r="A164" s="1"/>
      <c r="B164" s="1"/>
      <c r="C164" s="1"/>
      <c r="D164" s="1"/>
      <c r="E164" s="1"/>
      <c r="F164" s="1"/>
      <c r="G164" s="1"/>
      <c r="H164" s="1"/>
      <c r="I164" s="1"/>
      <c r="J164" s="1"/>
      <c r="K164" s="1"/>
      <c r="L164" s="1"/>
      <c r="M164" s="1"/>
      <c r="N164" s="1"/>
      <c r="O164" s="1"/>
      <c r="P164" s="1"/>
      <c r="Q164" s="1"/>
    </row>
    <row r="165" spans="1:17" x14ac:dyDescent="0.35">
      <c r="A165" s="1"/>
      <c r="B165" s="1"/>
      <c r="C165" s="1"/>
      <c r="D165" s="1"/>
      <c r="E165" s="1"/>
      <c r="F165" s="1"/>
      <c r="G165" s="1"/>
      <c r="H165" s="1"/>
      <c r="I165" s="1"/>
      <c r="J165" s="1"/>
      <c r="K165" s="1"/>
      <c r="L165" s="1"/>
      <c r="M165" s="1"/>
      <c r="N165" s="1"/>
      <c r="O165" s="1"/>
      <c r="P165" s="1"/>
      <c r="Q165" s="1"/>
    </row>
    <row r="166" spans="1:17" x14ac:dyDescent="0.35">
      <c r="A166" s="1"/>
      <c r="B166" s="1"/>
      <c r="C166" s="1"/>
      <c r="D166" s="1"/>
      <c r="E166" s="1"/>
      <c r="F166" s="1"/>
      <c r="G166" s="1"/>
      <c r="H166" s="1"/>
      <c r="I166" s="1"/>
      <c r="J166" s="1"/>
      <c r="K166" s="1"/>
      <c r="L166" s="1"/>
      <c r="M166" s="1"/>
      <c r="N166" s="1"/>
      <c r="O166" s="1"/>
      <c r="P166" s="1"/>
      <c r="Q166" s="1"/>
    </row>
    <row r="167" spans="1:17" x14ac:dyDescent="0.35">
      <c r="A167" s="1"/>
      <c r="B167" s="1"/>
      <c r="C167" s="1"/>
      <c r="D167" s="1"/>
      <c r="E167" s="1"/>
      <c r="F167" s="1"/>
      <c r="G167" s="1"/>
      <c r="H167" s="1"/>
      <c r="I167" s="1"/>
      <c r="J167" s="1"/>
      <c r="K167" s="1"/>
      <c r="L167" s="1"/>
      <c r="M167" s="1"/>
      <c r="N167" s="1"/>
      <c r="O167" s="1"/>
      <c r="P167" s="1"/>
      <c r="Q167" s="1"/>
    </row>
    <row r="168" spans="1:17" x14ac:dyDescent="0.35">
      <c r="A168" s="1"/>
      <c r="B168" s="1"/>
      <c r="C168" s="1"/>
      <c r="D168" s="1"/>
      <c r="E168" s="1"/>
      <c r="F168" s="1"/>
      <c r="G168" s="1"/>
      <c r="H168" s="1"/>
      <c r="I168" s="1"/>
      <c r="J168" s="1"/>
      <c r="K168" s="1"/>
      <c r="L168" s="1"/>
      <c r="M168" s="1"/>
      <c r="N168" s="1"/>
      <c r="O168" s="1"/>
      <c r="P168" s="1"/>
      <c r="Q168" s="1"/>
    </row>
    <row r="169" spans="1:17" x14ac:dyDescent="0.35">
      <c r="A169" s="1"/>
      <c r="B169" s="1"/>
      <c r="C169" s="1"/>
      <c r="D169" s="1"/>
      <c r="E169" s="1"/>
      <c r="F169" s="1"/>
      <c r="G169" s="1"/>
      <c r="H169" s="1"/>
      <c r="I169" s="1"/>
      <c r="J169" s="1"/>
      <c r="K169" s="1"/>
      <c r="L169" s="1"/>
      <c r="M169" s="1"/>
      <c r="N169" s="1"/>
      <c r="O169" s="1"/>
      <c r="P169" s="1"/>
      <c r="Q169" s="1"/>
    </row>
    <row r="170" spans="1:17" x14ac:dyDescent="0.35">
      <c r="A170" s="1"/>
      <c r="B170" s="1"/>
      <c r="C170" s="1"/>
      <c r="D170" s="1"/>
      <c r="E170" s="1"/>
      <c r="F170" s="1"/>
      <c r="G170" s="1"/>
      <c r="H170" s="1"/>
      <c r="I170" s="1"/>
      <c r="J170" s="1"/>
      <c r="K170" s="1"/>
      <c r="L170" s="1"/>
      <c r="M170" s="1"/>
      <c r="N170" s="1"/>
      <c r="O170" s="1"/>
      <c r="P170" s="1"/>
      <c r="Q170" s="1"/>
    </row>
    <row r="171" spans="1:17" x14ac:dyDescent="0.35">
      <c r="A171" s="1"/>
      <c r="B171" s="1"/>
      <c r="C171" s="1"/>
      <c r="D171" s="1"/>
      <c r="E171" s="1"/>
      <c r="F171" s="1"/>
      <c r="G171" s="1"/>
      <c r="H171" s="1"/>
      <c r="I171" s="1"/>
      <c r="J171" s="1"/>
      <c r="K171" s="1"/>
      <c r="L171" s="1"/>
      <c r="M171" s="1"/>
      <c r="N171" s="1"/>
      <c r="O171" s="1"/>
      <c r="P171" s="1"/>
      <c r="Q171" s="1"/>
    </row>
    <row r="172" spans="1:17" x14ac:dyDescent="0.35">
      <c r="A172" s="1"/>
      <c r="B172" s="1"/>
      <c r="C172" s="1"/>
      <c r="D172" s="1"/>
      <c r="E172" s="1"/>
      <c r="F172" s="1"/>
      <c r="G172" s="1"/>
      <c r="H172" s="1"/>
      <c r="I172" s="1"/>
      <c r="J172" s="1"/>
      <c r="K172" s="1"/>
      <c r="L172" s="1"/>
      <c r="M172" s="1"/>
      <c r="N172" s="1"/>
      <c r="O172" s="1"/>
      <c r="P172" s="1"/>
      <c r="Q172" s="1"/>
    </row>
    <row r="173" spans="1:17" x14ac:dyDescent="0.35">
      <c r="A173" s="1"/>
      <c r="B173" s="1"/>
      <c r="C173" s="1"/>
      <c r="D173" s="1"/>
      <c r="E173" s="1"/>
      <c r="F173" s="1"/>
      <c r="G173" s="1"/>
      <c r="H173" s="1"/>
      <c r="I173" s="1"/>
      <c r="J173" s="1"/>
      <c r="K173" s="1"/>
      <c r="L173" s="1"/>
      <c r="M173" s="1"/>
      <c r="N173" s="1"/>
      <c r="O173" s="1"/>
      <c r="P173" s="1"/>
      <c r="Q173" s="1"/>
    </row>
    <row r="174" spans="1:17" x14ac:dyDescent="0.35">
      <c r="A174" s="1"/>
      <c r="B174" s="1"/>
      <c r="C174" s="1"/>
      <c r="D174" s="1"/>
      <c r="E174" s="1"/>
      <c r="F174" s="1"/>
      <c r="G174" s="1"/>
      <c r="H174" s="1"/>
      <c r="I174" s="1"/>
      <c r="J174" s="1"/>
      <c r="K174" s="1"/>
      <c r="L174" s="1"/>
      <c r="M174" s="1"/>
      <c r="N174" s="1"/>
      <c r="O174" s="1"/>
      <c r="P174" s="1"/>
      <c r="Q174" s="1"/>
    </row>
    <row r="175" spans="1:17" x14ac:dyDescent="0.35">
      <c r="A175" s="1"/>
      <c r="B175" s="1"/>
      <c r="C175" s="1"/>
      <c r="D175" s="1"/>
      <c r="E175" s="1"/>
      <c r="F175" s="1"/>
      <c r="G175" s="1"/>
      <c r="H175" s="1"/>
      <c r="I175" s="1"/>
      <c r="J175" s="1"/>
      <c r="K175" s="1"/>
      <c r="L175" s="1"/>
      <c r="M175" s="1"/>
      <c r="N175" s="1"/>
      <c r="O175" s="1"/>
      <c r="P175" s="1"/>
      <c r="Q175" s="1"/>
    </row>
    <row r="176" spans="1:17" x14ac:dyDescent="0.35">
      <c r="A176" s="1"/>
      <c r="B176" s="1"/>
      <c r="C176" s="1"/>
      <c r="D176" s="1"/>
      <c r="E176" s="1"/>
      <c r="F176" s="1"/>
      <c r="G176" s="1"/>
      <c r="H176" s="1"/>
      <c r="I176" s="1"/>
      <c r="J176" s="1"/>
      <c r="K176" s="1"/>
      <c r="L176" s="1"/>
      <c r="M176" s="1"/>
      <c r="N176" s="1"/>
      <c r="O176" s="1"/>
      <c r="P176" s="1"/>
      <c r="Q176" s="1"/>
    </row>
    <row r="177" spans="1:17" x14ac:dyDescent="0.35">
      <c r="A177" s="1"/>
      <c r="B177" s="1"/>
      <c r="C177" s="1"/>
      <c r="D177" s="1"/>
      <c r="E177" s="1"/>
      <c r="F177" s="1"/>
      <c r="G177" s="1"/>
      <c r="H177" s="1"/>
      <c r="I177" s="1"/>
      <c r="J177" s="1"/>
      <c r="K177" s="1"/>
      <c r="L177" s="1"/>
      <c r="M177" s="1"/>
      <c r="N177" s="1"/>
      <c r="O177" s="1"/>
      <c r="P177" s="1"/>
      <c r="Q177" s="1"/>
    </row>
    <row r="178" spans="1:17" x14ac:dyDescent="0.35">
      <c r="A178" s="1"/>
      <c r="B178" s="1"/>
      <c r="C178" s="1"/>
      <c r="D178" s="1"/>
      <c r="E178" s="1"/>
      <c r="F178" s="1"/>
      <c r="G178" s="1"/>
      <c r="H178" s="1"/>
      <c r="I178" s="1"/>
      <c r="J178" s="1"/>
      <c r="K178" s="1"/>
      <c r="L178" s="1"/>
      <c r="M178" s="1"/>
      <c r="N178" s="1"/>
      <c r="O178" s="1"/>
      <c r="P178" s="1"/>
      <c r="Q178" s="1"/>
    </row>
    <row r="179" spans="1:17" x14ac:dyDescent="0.35">
      <c r="A179" s="1"/>
      <c r="B179" s="1"/>
      <c r="C179" s="1"/>
      <c r="D179" s="1"/>
      <c r="E179" s="1"/>
      <c r="F179" s="1"/>
      <c r="G179" s="1"/>
      <c r="H179" s="1"/>
      <c r="I179" s="1"/>
      <c r="J179" s="1"/>
      <c r="K179" s="1"/>
      <c r="L179" s="1"/>
      <c r="M179" s="1"/>
      <c r="N179" s="1"/>
      <c r="O179" s="1"/>
      <c r="P179" s="1"/>
      <c r="Q179" s="1"/>
    </row>
    <row r="180" spans="1:17" x14ac:dyDescent="0.35">
      <c r="A180" s="1"/>
      <c r="B180" s="1"/>
      <c r="C180" s="1"/>
      <c r="D180" s="1"/>
      <c r="E180" s="1"/>
      <c r="F180" s="1"/>
      <c r="G180" s="1"/>
      <c r="H180" s="1"/>
      <c r="I180" s="1"/>
      <c r="J180" s="1"/>
      <c r="K180" s="1"/>
      <c r="L180" s="1"/>
      <c r="M180" s="1"/>
      <c r="N180" s="1"/>
      <c r="O180" s="1"/>
      <c r="P180" s="1"/>
      <c r="Q180" s="1"/>
    </row>
    <row r="181" spans="1:17" x14ac:dyDescent="0.35">
      <c r="A181" s="1"/>
      <c r="B181" s="1"/>
      <c r="C181" s="1"/>
      <c r="D181" s="1"/>
      <c r="E181" s="1"/>
      <c r="F181" s="1"/>
      <c r="G181" s="1"/>
      <c r="H181" s="1"/>
      <c r="I181" s="1"/>
      <c r="J181" s="1"/>
      <c r="K181" s="1"/>
      <c r="L181" s="1"/>
      <c r="M181" s="1"/>
      <c r="N181" s="1"/>
      <c r="O181" s="1"/>
      <c r="P181" s="1"/>
      <c r="Q181" s="1"/>
    </row>
    <row r="182" spans="1:17" x14ac:dyDescent="0.35">
      <c r="A182" s="1"/>
      <c r="B182" s="1"/>
      <c r="C182" s="1"/>
      <c r="D182" s="1"/>
      <c r="E182" s="1"/>
      <c r="F182" s="1"/>
      <c r="G182" s="1"/>
      <c r="H182" s="1"/>
      <c r="I182" s="1"/>
      <c r="J182" s="1"/>
      <c r="K182" s="1"/>
      <c r="L182" s="1"/>
      <c r="M182" s="1"/>
      <c r="N182" s="1"/>
      <c r="O182" s="1"/>
      <c r="P182" s="1"/>
      <c r="Q182" s="1"/>
    </row>
    <row r="183" spans="1:17" x14ac:dyDescent="0.35">
      <c r="A183" s="1"/>
      <c r="B183" s="1"/>
      <c r="C183" s="1"/>
      <c r="D183" s="1"/>
      <c r="E183" s="1"/>
      <c r="F183" s="1"/>
      <c r="G183" s="1"/>
      <c r="H183" s="1"/>
      <c r="I183" s="1"/>
      <c r="J183" s="1"/>
      <c r="K183" s="1"/>
      <c r="L183" s="1"/>
      <c r="M183" s="1"/>
      <c r="N183" s="1"/>
      <c r="O183" s="1"/>
      <c r="P183" s="1"/>
      <c r="Q183" s="1"/>
    </row>
    <row r="184" spans="1:17" x14ac:dyDescent="0.35">
      <c r="A184" s="1"/>
      <c r="B184" s="1"/>
      <c r="C184" s="1"/>
      <c r="D184" s="1"/>
      <c r="E184" s="1"/>
      <c r="F184" s="1"/>
      <c r="G184" s="1"/>
      <c r="H184" s="1"/>
      <c r="I184" s="1"/>
      <c r="J184" s="1"/>
      <c r="K184" s="1"/>
      <c r="L184" s="1"/>
      <c r="M184" s="1"/>
      <c r="N184" s="1"/>
      <c r="O184" s="1"/>
      <c r="P184" s="1"/>
      <c r="Q184" s="1"/>
    </row>
    <row r="185" spans="1:17" x14ac:dyDescent="0.35">
      <c r="A185" s="1"/>
      <c r="B185" s="1"/>
      <c r="C185" s="1"/>
      <c r="D185" s="1"/>
      <c r="E185" s="1"/>
      <c r="F185" s="1"/>
      <c r="G185" s="1"/>
      <c r="H185" s="1"/>
      <c r="I185" s="1"/>
      <c r="J185" s="1"/>
      <c r="K185" s="1"/>
      <c r="L185" s="1"/>
      <c r="M185" s="1"/>
      <c r="N185" s="1"/>
      <c r="O185" s="1"/>
      <c r="P185" s="1"/>
      <c r="Q185" s="1"/>
    </row>
    <row r="186" spans="1:17" x14ac:dyDescent="0.35">
      <c r="A186" s="1"/>
      <c r="B186" s="1"/>
      <c r="C186" s="1"/>
      <c r="D186" s="1"/>
      <c r="E186" s="1"/>
      <c r="F186" s="1"/>
      <c r="G186" s="1"/>
      <c r="H186" s="1"/>
      <c r="I186" s="1"/>
      <c r="J186" s="1"/>
      <c r="K186" s="1"/>
      <c r="L186" s="1"/>
      <c r="M186" s="1"/>
      <c r="N186" s="1"/>
      <c r="O186" s="1"/>
      <c r="P186" s="1"/>
      <c r="Q186" s="1"/>
    </row>
    <row r="187" spans="1:17" x14ac:dyDescent="0.35">
      <c r="A187" s="1"/>
      <c r="B187" s="1"/>
      <c r="C187" s="1"/>
      <c r="D187" s="1"/>
      <c r="E187" s="1"/>
      <c r="F187" s="1"/>
      <c r="G187" s="1"/>
      <c r="H187" s="1"/>
      <c r="I187" s="1"/>
      <c r="J187" s="1"/>
      <c r="K187" s="1"/>
      <c r="L187" s="1"/>
      <c r="M187" s="1"/>
      <c r="N187" s="1"/>
      <c r="O187" s="1"/>
      <c r="P187" s="1"/>
      <c r="Q187" s="1"/>
    </row>
    <row r="188" spans="1:17" x14ac:dyDescent="0.35">
      <c r="A188" s="1"/>
      <c r="B188" s="1"/>
      <c r="C188" s="1"/>
      <c r="D188" s="1"/>
      <c r="E188" s="1"/>
      <c r="F188" s="1"/>
      <c r="G188" s="1"/>
      <c r="H188" s="1"/>
      <c r="I188" s="1"/>
      <c r="J188" s="1"/>
      <c r="K188" s="1"/>
      <c r="L188" s="1"/>
      <c r="M188" s="1"/>
      <c r="N188" s="1"/>
      <c r="O188" s="1"/>
      <c r="P188" s="1"/>
      <c r="Q188" s="1"/>
    </row>
    <row r="189" spans="1:17" x14ac:dyDescent="0.35">
      <c r="A189" s="1"/>
      <c r="B189" s="1"/>
      <c r="C189" s="1"/>
      <c r="D189" s="1"/>
      <c r="E189" s="1"/>
      <c r="F189" s="1"/>
      <c r="G189" s="1"/>
      <c r="H189" s="1"/>
      <c r="I189" s="1"/>
      <c r="J189" s="1"/>
      <c r="K189" s="1"/>
      <c r="L189" s="1"/>
      <c r="M189" s="1"/>
      <c r="N189" s="1"/>
      <c r="O189" s="1"/>
      <c r="P189" s="1"/>
      <c r="Q189" s="1"/>
    </row>
    <row r="190" spans="1:17" x14ac:dyDescent="0.35">
      <c r="A190" s="1"/>
      <c r="B190" s="1"/>
      <c r="C190" s="1"/>
      <c r="D190" s="1"/>
      <c r="E190" s="1"/>
      <c r="F190" s="1"/>
      <c r="G190" s="1"/>
      <c r="H190" s="1"/>
      <c r="I190" s="1"/>
      <c r="J190" s="1"/>
      <c r="K190" s="1"/>
      <c r="L190" s="1"/>
      <c r="M190" s="1"/>
      <c r="N190" s="1"/>
      <c r="O190" s="1"/>
      <c r="P190" s="1"/>
      <c r="Q190" s="1"/>
    </row>
    <row r="191" spans="1:17" x14ac:dyDescent="0.35">
      <c r="A191" s="1"/>
      <c r="B191" s="1"/>
      <c r="C191" s="1"/>
      <c r="D191" s="1"/>
      <c r="E191" s="1"/>
      <c r="F191" s="1"/>
      <c r="G191" s="1"/>
      <c r="H191" s="1"/>
      <c r="I191" s="1"/>
      <c r="J191" s="1"/>
      <c r="K191" s="1"/>
      <c r="L191" s="1"/>
      <c r="M191" s="1"/>
      <c r="N191" s="1"/>
      <c r="O191" s="1"/>
      <c r="P191" s="1"/>
      <c r="Q191" s="1"/>
    </row>
    <row r="192" spans="1:17" x14ac:dyDescent="0.35">
      <c r="A192" s="1"/>
      <c r="B192" s="1"/>
      <c r="C192" s="1"/>
      <c r="D192" s="1"/>
      <c r="E192" s="1"/>
      <c r="F192" s="1"/>
      <c r="G192" s="1"/>
      <c r="H192" s="1"/>
      <c r="I192" s="1"/>
      <c r="J192" s="1"/>
      <c r="K192" s="1"/>
      <c r="L192" s="1"/>
      <c r="M192" s="1"/>
      <c r="N192" s="1"/>
      <c r="O192" s="1"/>
      <c r="P192" s="1"/>
      <c r="Q192" s="1"/>
    </row>
    <row r="193" spans="1:17" x14ac:dyDescent="0.35">
      <c r="A193" s="1"/>
      <c r="B193" s="1"/>
      <c r="C193" s="1"/>
      <c r="D193" s="1"/>
      <c r="E193" s="1"/>
      <c r="F193" s="1"/>
      <c r="G193" s="1"/>
      <c r="H193" s="1"/>
      <c r="I193" s="1"/>
      <c r="J193" s="1"/>
      <c r="K193" s="1"/>
      <c r="L193" s="1"/>
      <c r="M193" s="1"/>
      <c r="N193" s="1"/>
      <c r="O193" s="1"/>
      <c r="P193" s="1"/>
      <c r="Q193" s="1"/>
    </row>
    <row r="194" spans="1:17" x14ac:dyDescent="0.35">
      <c r="A194" s="1"/>
      <c r="B194" s="1"/>
      <c r="C194" s="1"/>
      <c r="D194" s="1"/>
      <c r="E194" s="1"/>
      <c r="F194" s="1"/>
      <c r="G194" s="1"/>
      <c r="H194" s="1"/>
      <c r="I194" s="1"/>
      <c r="J194" s="1"/>
      <c r="K194" s="1"/>
      <c r="L194" s="1"/>
      <c r="M194" s="1"/>
      <c r="N194" s="1"/>
      <c r="O194" s="1"/>
      <c r="P194" s="1"/>
      <c r="Q194" s="1"/>
    </row>
    <row r="195" spans="1:17" x14ac:dyDescent="0.35">
      <c r="A195" s="1"/>
      <c r="B195" s="1"/>
      <c r="C195" s="1"/>
      <c r="D195" s="1"/>
      <c r="E195" s="1"/>
      <c r="F195" s="1"/>
      <c r="G195" s="1"/>
      <c r="H195" s="1"/>
      <c r="I195" s="1"/>
      <c r="J195" s="1"/>
      <c r="K195" s="1"/>
      <c r="L195" s="1"/>
      <c r="M195" s="1"/>
      <c r="N195" s="1"/>
      <c r="O195" s="1"/>
      <c r="P195" s="1"/>
      <c r="Q195" s="1"/>
    </row>
    <row r="196" spans="1:17" x14ac:dyDescent="0.35">
      <c r="A196" s="1"/>
      <c r="B196" s="1"/>
      <c r="C196" s="1"/>
      <c r="D196" s="1"/>
      <c r="E196" s="1"/>
      <c r="F196" s="1"/>
      <c r="G196" s="1"/>
      <c r="H196" s="1"/>
      <c r="I196" s="1"/>
      <c r="J196" s="1"/>
      <c r="K196" s="1"/>
      <c r="L196" s="1"/>
      <c r="M196" s="1"/>
      <c r="N196" s="1"/>
      <c r="O196" s="1"/>
      <c r="P196" s="1"/>
      <c r="Q196" s="1"/>
    </row>
    <row r="197" spans="1:17" x14ac:dyDescent="0.35">
      <c r="A197" s="1"/>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1:17" x14ac:dyDescent="0.35">
      <c r="A198" s="1"/>
      <c r="B198" s="37"/>
      <c r="C198" s="38"/>
      <c r="D198" s="31"/>
      <c r="E198" s="32"/>
      <c r="F198" s="34"/>
      <c r="G198" s="33"/>
      <c r="H198" s="34"/>
      <c r="I198" s="33"/>
      <c r="J198" s="34"/>
      <c r="K198" s="34"/>
      <c r="L198" s="34"/>
      <c r="M198" s="33"/>
      <c r="N198" s="34"/>
      <c r="O198" s="35"/>
      <c r="P198" s="36"/>
      <c r="Q198" s="35"/>
    </row>
    <row r="199" spans="1:17" x14ac:dyDescent="0.35">
      <c r="A199" s="1"/>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1:17" x14ac:dyDescent="0.35">
      <c r="A200" s="1"/>
      <c r="B200" s="1"/>
      <c r="C200" s="1"/>
      <c r="D200" s="1"/>
      <c r="E200" s="1"/>
      <c r="F200" s="1"/>
      <c r="G200" s="1"/>
      <c r="H200" s="1"/>
      <c r="I200" s="1"/>
      <c r="J200" s="1"/>
      <c r="K200" s="1"/>
      <c r="L200" s="1"/>
      <c r="M200" s="1"/>
      <c r="N200" s="1"/>
      <c r="O200" s="1"/>
      <c r="P200" s="1"/>
      <c r="Q200" s="78" t="s">
        <v>21404</v>
      </c>
    </row>
    <row r="201" spans="1:17" x14ac:dyDescent="0.35">
      <c r="A201" s="1"/>
      <c r="B201" s="1"/>
      <c r="C201" s="78" t="s">
        <v>21592</v>
      </c>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77" t="s">
        <v>21399</v>
      </c>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t="s">
        <v>21398</v>
      </c>
      <c r="D205" s="1" t="s">
        <v>75</v>
      </c>
      <c r="E205" s="1" t="s">
        <v>13768</v>
      </c>
      <c r="F205" s="2" t="s">
        <v>21397</v>
      </c>
      <c r="G205" s="1" t="s">
        <v>9</v>
      </c>
      <c r="H205" s="1"/>
      <c r="I205" s="1"/>
      <c r="J205" s="1"/>
      <c r="K205" s="1"/>
      <c r="L205" s="1"/>
      <c r="M205" s="1"/>
      <c r="N205" s="1"/>
      <c r="O205" s="1"/>
      <c r="P205" s="1"/>
      <c r="Q205" s="1"/>
    </row>
    <row r="206" spans="1:17" x14ac:dyDescent="0.35">
      <c r="B206" s="49" t="s">
        <v>14970</v>
      </c>
      <c r="C206" s="352" t="s">
        <v>14971</v>
      </c>
    </row>
    <row r="207" spans="1:17" x14ac:dyDescent="0.35">
      <c r="B207" s="49" t="s">
        <v>14972</v>
      </c>
      <c r="C207" s="53" t="s">
        <v>14973</v>
      </c>
    </row>
    <row r="208" spans="1:17" x14ac:dyDescent="0.35">
      <c r="B208" s="49" t="s">
        <v>14974</v>
      </c>
      <c r="C208" s="53" t="s">
        <v>14975</v>
      </c>
    </row>
    <row r="209" spans="2:8" x14ac:dyDescent="0.35">
      <c r="B209" s="49" t="s">
        <v>14976</v>
      </c>
      <c r="C209" s="53" t="s">
        <v>14977</v>
      </c>
    </row>
    <row r="210" spans="2:8" x14ac:dyDescent="0.35">
      <c r="B210" s="49" t="s">
        <v>14978</v>
      </c>
      <c r="C210" s="53" t="s">
        <v>14979</v>
      </c>
    </row>
    <row r="211" spans="2:8" x14ac:dyDescent="0.35">
      <c r="B211" s="49" t="s">
        <v>14980</v>
      </c>
      <c r="C211" s="53" t="s">
        <v>14981</v>
      </c>
    </row>
    <row r="212" spans="2:8" x14ac:dyDescent="0.35">
      <c r="B212" s="49" t="s">
        <v>14982</v>
      </c>
      <c r="C212" s="53" t="s">
        <v>14983</v>
      </c>
    </row>
    <row r="213" spans="2:8" x14ac:dyDescent="0.35">
      <c r="B213" s="49" t="s">
        <v>14984</v>
      </c>
      <c r="C213" s="53" t="s">
        <v>14985</v>
      </c>
    </row>
    <row r="214" spans="2:8" x14ac:dyDescent="0.35">
      <c r="B214" s="49" t="s">
        <v>14986</v>
      </c>
      <c r="C214" s="53" t="s">
        <v>14987</v>
      </c>
    </row>
    <row r="215" spans="2:8" ht="116" x14ac:dyDescent="0.35">
      <c r="C215" s="390" t="s">
        <v>14973</v>
      </c>
      <c r="D215" s="388" t="s">
        <v>20</v>
      </c>
      <c r="E215" s="388">
        <v>13100.01</v>
      </c>
      <c r="F215" s="388" t="s">
        <v>22286</v>
      </c>
      <c r="G215" s="388" t="s">
        <v>22287</v>
      </c>
      <c r="H215" s="388" t="s">
        <v>22288</v>
      </c>
    </row>
    <row r="216" spans="2:8" ht="116" x14ac:dyDescent="0.35">
      <c r="C216" s="390" t="s">
        <v>14975</v>
      </c>
      <c r="D216" s="388" t="s">
        <v>18</v>
      </c>
      <c r="E216" s="388">
        <v>13110.01</v>
      </c>
      <c r="F216" s="388" t="s">
        <v>22289</v>
      </c>
      <c r="G216" s="388" t="s">
        <v>21670</v>
      </c>
      <c r="H216" s="388" t="s">
        <v>22290</v>
      </c>
    </row>
    <row r="217" spans="2:8" ht="116" x14ac:dyDescent="0.35">
      <c r="C217" s="390" t="s">
        <v>14977</v>
      </c>
      <c r="D217" s="388" t="s">
        <v>20</v>
      </c>
      <c r="E217" s="388">
        <v>13120.01</v>
      </c>
      <c r="F217" s="388" t="s">
        <v>22291</v>
      </c>
      <c r="G217" s="388" t="s">
        <v>22292</v>
      </c>
      <c r="H217" s="388" t="s">
        <v>22293</v>
      </c>
    </row>
    <row r="218" spans="2:8" ht="145" x14ac:dyDescent="0.35">
      <c r="C218" s="390" t="s">
        <v>22294</v>
      </c>
      <c r="D218" s="388" t="s">
        <v>18</v>
      </c>
      <c r="E218" s="388">
        <v>13150.01</v>
      </c>
      <c r="F218" s="388" t="s">
        <v>22295</v>
      </c>
      <c r="G218" s="388" t="s">
        <v>22296</v>
      </c>
      <c r="H218" s="388" t="s">
        <v>22297</v>
      </c>
    </row>
    <row r="219" spans="2:8" ht="130.5" x14ac:dyDescent="0.35">
      <c r="C219" s="390" t="s">
        <v>22298</v>
      </c>
      <c r="D219" s="388" t="s">
        <v>18</v>
      </c>
      <c r="E219" s="388">
        <v>13160.01</v>
      </c>
      <c r="F219" s="388" t="s">
        <v>21813</v>
      </c>
      <c r="G219" s="388" t="s">
        <v>21671</v>
      </c>
      <c r="H219" s="388" t="s">
        <v>22299</v>
      </c>
    </row>
    <row r="220" spans="2:8" ht="130.5" x14ac:dyDescent="0.35">
      <c r="C220" s="390" t="s">
        <v>14985</v>
      </c>
      <c r="D220" s="388" t="s">
        <v>20</v>
      </c>
      <c r="E220" s="388">
        <v>13170.01</v>
      </c>
      <c r="F220" s="388" t="s">
        <v>22300</v>
      </c>
      <c r="G220" s="388" t="s">
        <v>22301</v>
      </c>
      <c r="H220" s="388" t="s">
        <v>22302</v>
      </c>
    </row>
    <row r="221" spans="2:8" ht="145" x14ac:dyDescent="0.35">
      <c r="C221" s="390" t="s">
        <v>14987</v>
      </c>
      <c r="D221" s="388" t="s">
        <v>20</v>
      </c>
      <c r="E221" s="388">
        <v>13180.01</v>
      </c>
      <c r="F221" s="388" t="s">
        <v>22303</v>
      </c>
      <c r="G221" s="388" t="s">
        <v>21794</v>
      </c>
      <c r="H221" s="388" t="s">
        <v>22304</v>
      </c>
    </row>
  </sheetData>
  <mergeCells count="9">
    <mergeCell ref="J5:K5"/>
    <mergeCell ref="J6:K6"/>
    <mergeCell ref="J7:K7"/>
    <mergeCell ref="A3:B3"/>
    <mergeCell ref="D3:G3"/>
    <mergeCell ref="J3:K3"/>
    <mergeCell ref="P3:Q3"/>
    <mergeCell ref="A4:B4"/>
    <mergeCell ref="J4:K4"/>
  </mergeCells>
  <dataValidations count="1">
    <dataValidation type="list" allowBlank="1" showInputMessage="1" showErrorMessage="1" sqref="C16:C190" xr:uid="{4E13261F-DB9A-42FA-97B0-81B06B4795DB}">
      <formula1>$C$205:$C207</formula1>
    </dataValidation>
  </dataValidations>
  <hyperlinks>
    <hyperlink ref="D3" r:id="rId1" display="datamateapp@gmail.com" xr:uid="{66D433BB-D826-4858-8A0D-6048B42339FC}"/>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78241" r:id="rId4" name="Button 1">
              <controlPr defaultSize="0" print="0" autoFill="0" autoPict="0" macro="SaveData">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778242" r:id="rId5" name="Button 2">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778243"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778244"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778245" r:id="rId8" name="Button 5">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778246" r:id="rId9" name="Button 6">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778247" r:id="rId10" name="Button 7">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778248" r:id="rId11" name="Button 8">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mc:AlternateContent xmlns:mc="http://schemas.openxmlformats.org/markup-compatibility/2006">
          <mc:Choice Requires="x14">
            <control shapeId="778249" r:id="rId12" name="Button 9">
              <controlPr defaultSize="0" print="0" autoFill="0" autoPict="0" macro="[0]!ExitSEC_131000">
                <anchor moveWithCells="1" sizeWithCells="1">
                  <from>
                    <xdr:col>16</xdr:col>
                    <xdr:colOff>0</xdr:colOff>
                    <xdr:row>0</xdr:row>
                    <xdr:rowOff>0</xdr:rowOff>
                  </from>
                  <to>
                    <xdr:col>16</xdr:col>
                    <xdr:colOff>1270000</xdr:colOff>
                    <xdr:row>2</xdr:row>
                    <xdr:rowOff>12700</xdr:rowOff>
                  </to>
                </anchor>
              </controlPr>
            </control>
          </mc:Choice>
        </mc:AlternateContent>
      </controls>
    </mc:Choice>
  </mc:AlternateContent>
</worksheet>
</file>

<file path=xl/worksheets/sheet1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1B144-1C4F-4566-8290-B9D8AD34B57C}">
  <sheetPr codeName="Sheet175"/>
  <dimension ref="A1:Q220"/>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SPECIAL PURPOSE ROOMS</v>
      </c>
      <c r="J2" s="59"/>
      <c r="K2" s="59"/>
      <c r="L2" s="1"/>
      <c r="M2" s="59"/>
      <c r="N2" s="59"/>
      <c r="O2" s="60"/>
      <c r="P2" s="57"/>
      <c r="Q2" s="57"/>
    </row>
    <row r="3" spans="1:17" ht="15" thickBot="1" x14ac:dyDescent="0.4">
      <c r="A3" s="446" t="s">
        <v>21563</v>
      </c>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13 20 00</v>
      </c>
      <c r="C10" s="24" t="str">
        <f>C206</f>
        <v>SPECIAL PURPOSE ROOMS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SPECIAL PURPOSE ROOMS</v>
      </c>
      <c r="D12" s="31"/>
      <c r="E12" s="32"/>
      <c r="F12" s="34"/>
      <c r="G12" s="33"/>
      <c r="H12" s="34"/>
      <c r="I12" s="33"/>
      <c r="J12" s="34"/>
      <c r="K12" s="34"/>
      <c r="L12" s="34"/>
      <c r="M12" s="33"/>
      <c r="N12" s="34"/>
      <c r="O12" s="35"/>
      <c r="P12" s="31"/>
      <c r="Q12" s="35"/>
    </row>
    <row r="13" spans="1:17" x14ac:dyDescent="0.35">
      <c r="A13" s="1"/>
      <c r="B13" s="1"/>
      <c r="C13" s="1"/>
      <c r="D13" s="1"/>
      <c r="E13" s="1"/>
      <c r="F13" s="1"/>
      <c r="G13" s="1"/>
      <c r="H13" s="1"/>
      <c r="I13" s="1"/>
      <c r="J13" s="1"/>
      <c r="K13" s="1"/>
      <c r="L13" s="1"/>
      <c r="M13" s="1"/>
      <c r="N13" s="1"/>
      <c r="O13" s="1"/>
      <c r="P13" s="1"/>
      <c r="Q13" s="1"/>
    </row>
    <row r="14" spans="1:17" x14ac:dyDescent="0.35">
      <c r="A14" s="1"/>
      <c r="B14" s="1"/>
      <c r="C14" s="1"/>
      <c r="D14" s="1"/>
      <c r="E14" s="1"/>
      <c r="F14" s="1"/>
      <c r="G14" s="1"/>
      <c r="H14" s="1"/>
      <c r="I14" s="1"/>
      <c r="J14" s="1"/>
      <c r="K14" s="1"/>
      <c r="L14" s="1"/>
      <c r="M14" s="1"/>
      <c r="N14" s="1"/>
      <c r="O14" s="1"/>
      <c r="P14" s="1"/>
      <c r="Q14" s="1"/>
    </row>
    <row r="15" spans="1:17" x14ac:dyDescent="0.35">
      <c r="A15" s="1"/>
      <c r="B15" s="1"/>
      <c r="C15" s="1"/>
      <c r="D15" s="1"/>
      <c r="E15" s="1"/>
      <c r="F15" s="1"/>
      <c r="G15" s="1"/>
      <c r="H15" s="1"/>
      <c r="I15" s="1"/>
      <c r="J15" s="1"/>
      <c r="K15" s="1"/>
      <c r="L15" s="1"/>
      <c r="M15" s="1"/>
      <c r="N15" s="1"/>
      <c r="O15" s="1"/>
      <c r="P15" s="1"/>
      <c r="Q15" s="1"/>
    </row>
    <row r="16" spans="1:17" x14ac:dyDescent="0.35">
      <c r="A16" s="1"/>
      <c r="B16" s="1"/>
      <c r="C16" s="1"/>
      <c r="D16" s="1"/>
      <c r="E16" s="1"/>
      <c r="F16" s="1"/>
      <c r="G16" s="1"/>
      <c r="H16" s="1"/>
      <c r="I16" s="1"/>
      <c r="J16" s="1"/>
      <c r="K16" s="1"/>
      <c r="L16" s="1"/>
      <c r="M16" s="1"/>
      <c r="N16" s="1"/>
      <c r="O16" s="1"/>
      <c r="P16" s="1"/>
      <c r="Q16" s="1"/>
    </row>
    <row r="17" spans="1:17" x14ac:dyDescent="0.35">
      <c r="A17" s="1"/>
      <c r="B17" s="1"/>
      <c r="C17" s="1"/>
      <c r="D17" s="1"/>
      <c r="E17" s="1"/>
      <c r="F17" s="1"/>
      <c r="G17" s="1"/>
      <c r="H17" s="1"/>
      <c r="I17" s="1"/>
      <c r="J17" s="1"/>
      <c r="K17" s="1"/>
      <c r="L17" s="1"/>
      <c r="M17" s="1"/>
      <c r="N17" s="1"/>
      <c r="O17" s="1"/>
      <c r="P17" s="1"/>
      <c r="Q17" s="1"/>
    </row>
    <row r="18" spans="1:17" x14ac:dyDescent="0.35">
      <c r="A18" s="1"/>
      <c r="B18" s="1"/>
      <c r="C18" s="1"/>
      <c r="D18" s="1"/>
      <c r="E18" s="1"/>
      <c r="F18" s="1"/>
      <c r="G18" s="1"/>
      <c r="H18" s="1"/>
      <c r="I18" s="1"/>
      <c r="J18" s="1"/>
      <c r="K18" s="1"/>
      <c r="L18" s="1"/>
      <c r="M18" s="1"/>
      <c r="N18" s="1"/>
      <c r="O18" s="1"/>
      <c r="P18" s="1"/>
      <c r="Q18" s="1"/>
    </row>
    <row r="19" spans="1:17" x14ac:dyDescent="0.35">
      <c r="A19" s="1"/>
      <c r="B19" s="1"/>
      <c r="C19" s="1"/>
      <c r="D19" s="1"/>
      <c r="E19" s="1"/>
      <c r="F19" s="1"/>
      <c r="G19" s="1"/>
      <c r="H19" s="1"/>
      <c r="I19" s="1"/>
      <c r="J19" s="1"/>
      <c r="K19" s="1"/>
      <c r="L19" s="1"/>
      <c r="M19" s="1"/>
      <c r="N19" s="1"/>
      <c r="O19" s="1"/>
      <c r="P19" s="1"/>
      <c r="Q19" s="1"/>
    </row>
    <row r="20" spans="1:17" x14ac:dyDescent="0.35">
      <c r="A20" s="1"/>
      <c r="B20" s="1"/>
      <c r="C20" s="1"/>
      <c r="D20" s="1"/>
      <c r="E20" s="1"/>
      <c r="F20" s="1"/>
      <c r="G20" s="1"/>
      <c r="H20" s="1"/>
      <c r="I20" s="1"/>
      <c r="J20" s="1"/>
      <c r="K20" s="1"/>
      <c r="L20" s="1"/>
      <c r="M20" s="1"/>
      <c r="N20" s="1"/>
      <c r="O20" s="1"/>
      <c r="P20" s="1"/>
      <c r="Q20" s="1"/>
    </row>
    <row r="21" spans="1:17" x14ac:dyDescent="0.35">
      <c r="A21" s="1"/>
      <c r="B21" s="1"/>
      <c r="C21" s="1"/>
      <c r="D21" s="1"/>
      <c r="E21" s="1"/>
      <c r="F21" s="1"/>
      <c r="G21" s="1"/>
      <c r="H21" s="1"/>
      <c r="I21" s="1"/>
      <c r="J21" s="1"/>
      <c r="K21" s="1"/>
      <c r="L21" s="1"/>
      <c r="M21" s="1"/>
      <c r="N21" s="1"/>
      <c r="O21" s="1"/>
      <c r="P21" s="1"/>
      <c r="Q21" s="1"/>
    </row>
    <row r="22" spans="1:17" x14ac:dyDescent="0.35">
      <c r="A22" s="1"/>
      <c r="B22" s="1"/>
      <c r="C22" s="1"/>
      <c r="D22" s="1"/>
      <c r="E22" s="1"/>
      <c r="F22" s="1"/>
      <c r="G22" s="1"/>
      <c r="H22" s="1"/>
      <c r="I22" s="1"/>
      <c r="J22" s="1"/>
      <c r="K22" s="1"/>
      <c r="L22" s="1"/>
      <c r="M22" s="1"/>
      <c r="N22" s="1"/>
      <c r="O22" s="1"/>
      <c r="P22" s="1"/>
      <c r="Q22" s="1"/>
    </row>
    <row r="23" spans="1:17" x14ac:dyDescent="0.35">
      <c r="A23" s="1"/>
      <c r="B23" s="1"/>
      <c r="C23" s="1"/>
      <c r="D23" s="1"/>
      <c r="E23" s="1"/>
      <c r="F23" s="1"/>
      <c r="G23" s="1"/>
      <c r="H23" s="1"/>
      <c r="I23" s="1"/>
      <c r="J23" s="1"/>
      <c r="K23" s="1"/>
      <c r="L23" s="1"/>
      <c r="M23" s="1"/>
      <c r="N23" s="1"/>
      <c r="O23" s="1"/>
      <c r="P23" s="1"/>
      <c r="Q23" s="1"/>
    </row>
    <row r="24" spans="1:17" x14ac:dyDescent="0.35">
      <c r="A24" s="1"/>
      <c r="B24" s="1"/>
      <c r="C24" s="1"/>
      <c r="D24" s="1"/>
      <c r="E24" s="1"/>
      <c r="F24" s="1"/>
      <c r="G24" s="1"/>
      <c r="H24" s="1"/>
      <c r="I24" s="1"/>
      <c r="J24" s="1"/>
      <c r="K24" s="1"/>
      <c r="L24" s="1"/>
      <c r="M24" s="1"/>
      <c r="N24" s="1"/>
      <c r="O24" s="1"/>
      <c r="P24" s="1"/>
      <c r="Q24" s="1"/>
    </row>
    <row r="25" spans="1:17" x14ac:dyDescent="0.35">
      <c r="A25" s="1"/>
      <c r="B25" s="1"/>
      <c r="C25" s="1"/>
      <c r="D25" s="1"/>
      <c r="E25" s="1"/>
      <c r="F25" s="1"/>
      <c r="G25" s="1"/>
      <c r="H25" s="1"/>
      <c r="I25" s="1"/>
      <c r="J25" s="1"/>
      <c r="K25" s="1"/>
      <c r="L25" s="1"/>
      <c r="M25" s="1"/>
      <c r="N25" s="1"/>
      <c r="O25" s="1"/>
      <c r="P25" s="1"/>
      <c r="Q25" s="1"/>
    </row>
    <row r="26" spans="1:17" x14ac:dyDescent="0.35">
      <c r="A26" s="1"/>
      <c r="B26" s="1"/>
      <c r="C26" s="1"/>
      <c r="D26" s="1"/>
      <c r="E26" s="1"/>
      <c r="F26" s="1"/>
      <c r="G26" s="1"/>
      <c r="H26" s="1"/>
      <c r="I26" s="1"/>
      <c r="J26" s="1"/>
      <c r="K26" s="1"/>
      <c r="L26" s="1"/>
      <c r="M26" s="1"/>
      <c r="N26" s="1"/>
      <c r="O26" s="1"/>
      <c r="P26" s="1"/>
      <c r="Q26" s="1"/>
    </row>
    <row r="27" spans="1:17" x14ac:dyDescent="0.35">
      <c r="A27" s="1"/>
      <c r="B27" s="1"/>
      <c r="C27" s="1"/>
      <c r="D27" s="1"/>
      <c r="E27" s="1"/>
      <c r="F27" s="1"/>
      <c r="G27" s="1"/>
      <c r="H27" s="1"/>
      <c r="I27" s="1"/>
      <c r="J27" s="1"/>
      <c r="K27" s="1"/>
      <c r="L27" s="1"/>
      <c r="M27" s="1"/>
      <c r="N27" s="1"/>
      <c r="O27" s="1"/>
      <c r="P27" s="1"/>
      <c r="Q27" s="1"/>
    </row>
    <row r="28" spans="1:17" x14ac:dyDescent="0.35">
      <c r="A28" s="1"/>
      <c r="B28" s="1"/>
      <c r="C28" s="1"/>
      <c r="D28" s="1"/>
      <c r="E28" s="1"/>
      <c r="F28" s="1"/>
      <c r="G28" s="1"/>
      <c r="H28" s="1"/>
      <c r="I28" s="1"/>
      <c r="J28" s="1"/>
      <c r="K28" s="1"/>
      <c r="L28" s="1"/>
      <c r="M28" s="1"/>
      <c r="N28" s="1"/>
      <c r="O28" s="1"/>
      <c r="P28" s="1"/>
      <c r="Q28" s="1"/>
    </row>
    <row r="29" spans="1:17" x14ac:dyDescent="0.35">
      <c r="A29" s="1"/>
      <c r="B29" s="1"/>
      <c r="C29" s="1"/>
      <c r="D29" s="1"/>
      <c r="E29" s="1"/>
      <c r="F29" s="1"/>
      <c r="G29" s="1"/>
      <c r="H29" s="1"/>
      <c r="I29" s="1"/>
      <c r="J29" s="1"/>
      <c r="K29" s="1"/>
      <c r="L29" s="1"/>
      <c r="M29" s="1"/>
      <c r="N29" s="1"/>
      <c r="O29" s="1"/>
      <c r="P29" s="1"/>
      <c r="Q29" s="1"/>
    </row>
    <row r="30" spans="1:17" x14ac:dyDescent="0.35">
      <c r="A30" s="1"/>
      <c r="B30" s="1"/>
      <c r="C30" s="1"/>
      <c r="D30" s="1"/>
      <c r="E30" s="1"/>
      <c r="F30" s="1"/>
      <c r="G30" s="1"/>
      <c r="H30" s="1"/>
      <c r="I30" s="1"/>
      <c r="J30" s="1"/>
      <c r="K30" s="1"/>
      <c r="L30" s="1"/>
      <c r="M30" s="1"/>
      <c r="N30" s="1"/>
      <c r="O30" s="1"/>
      <c r="P30" s="1"/>
      <c r="Q30" s="1"/>
    </row>
    <row r="31" spans="1:17" x14ac:dyDescent="0.35">
      <c r="A31" s="1"/>
      <c r="B31" s="1"/>
      <c r="C31" s="1"/>
      <c r="D31" s="1"/>
      <c r="E31" s="1"/>
      <c r="F31" s="1"/>
      <c r="G31" s="1"/>
      <c r="H31" s="1"/>
      <c r="I31" s="1"/>
      <c r="J31" s="1"/>
      <c r="K31" s="1"/>
      <c r="L31" s="1"/>
      <c r="M31" s="1"/>
      <c r="N31" s="1"/>
      <c r="O31" s="1"/>
      <c r="P31" s="1"/>
      <c r="Q31" s="1"/>
    </row>
    <row r="32" spans="1:17" x14ac:dyDescent="0.35">
      <c r="A32" s="1"/>
      <c r="B32" s="1"/>
      <c r="C32" s="1"/>
      <c r="D32" s="1"/>
      <c r="E32" s="1"/>
      <c r="F32" s="1"/>
      <c r="G32" s="1"/>
      <c r="H32" s="1"/>
      <c r="I32" s="1"/>
      <c r="J32" s="1"/>
      <c r="K32" s="1"/>
      <c r="L32" s="1"/>
      <c r="M32" s="1"/>
      <c r="N32" s="1"/>
      <c r="O32" s="1"/>
      <c r="P32" s="1"/>
      <c r="Q32" s="1"/>
    </row>
    <row r="33" spans="1:17" x14ac:dyDescent="0.35">
      <c r="A33" s="1"/>
      <c r="B33" s="1"/>
      <c r="C33" s="1"/>
      <c r="D33" s="1"/>
      <c r="E33" s="1"/>
      <c r="F33" s="1"/>
      <c r="G33" s="1"/>
      <c r="H33" s="1"/>
      <c r="I33" s="1"/>
      <c r="J33" s="1"/>
      <c r="K33" s="1"/>
      <c r="L33" s="1"/>
      <c r="M33" s="1"/>
      <c r="N33" s="1"/>
      <c r="O33" s="1"/>
      <c r="P33" s="1"/>
      <c r="Q33" s="1"/>
    </row>
    <row r="34" spans="1:17" x14ac:dyDescent="0.35">
      <c r="A34" s="1"/>
      <c r="B34" s="1"/>
      <c r="C34" s="1"/>
      <c r="D34" s="1"/>
      <c r="E34" s="1"/>
      <c r="F34" s="1"/>
      <c r="G34" s="1"/>
      <c r="H34" s="1"/>
      <c r="I34" s="1"/>
      <c r="J34" s="1"/>
      <c r="K34" s="1"/>
      <c r="L34" s="1"/>
      <c r="M34" s="1"/>
      <c r="N34" s="1"/>
      <c r="O34" s="1"/>
      <c r="P34" s="1"/>
      <c r="Q34" s="1"/>
    </row>
    <row r="35" spans="1:17" x14ac:dyDescent="0.35">
      <c r="A35" s="1"/>
      <c r="B35" s="1"/>
      <c r="C35" s="1"/>
      <c r="D35" s="1"/>
      <c r="E35" s="1"/>
      <c r="F35" s="1"/>
      <c r="G35" s="1"/>
      <c r="H35" s="1"/>
      <c r="I35" s="1"/>
      <c r="J35" s="1"/>
      <c r="K35" s="1"/>
      <c r="L35" s="1"/>
      <c r="M35" s="1"/>
      <c r="N35" s="1"/>
      <c r="O35" s="1"/>
      <c r="P35" s="1"/>
      <c r="Q35" s="1"/>
    </row>
    <row r="36" spans="1:17" x14ac:dyDescent="0.35">
      <c r="A36" s="1"/>
      <c r="B36" s="1"/>
      <c r="C36" s="1"/>
      <c r="D36" s="1"/>
      <c r="E36" s="1"/>
      <c r="F36" s="1"/>
      <c r="G36" s="1"/>
      <c r="H36" s="1"/>
      <c r="I36" s="1"/>
      <c r="J36" s="1"/>
      <c r="K36" s="1"/>
      <c r="L36" s="1"/>
      <c r="M36" s="1"/>
      <c r="N36" s="1"/>
      <c r="O36" s="1"/>
      <c r="P36" s="1"/>
      <c r="Q36" s="1"/>
    </row>
    <row r="37" spans="1:17" x14ac:dyDescent="0.35">
      <c r="A37" s="1"/>
      <c r="B37" s="1"/>
      <c r="C37" s="1"/>
      <c r="D37" s="1"/>
      <c r="E37" s="1"/>
      <c r="F37" s="1"/>
      <c r="G37" s="1"/>
      <c r="H37" s="1"/>
      <c r="I37" s="1"/>
      <c r="J37" s="1"/>
      <c r="K37" s="1"/>
      <c r="L37" s="1"/>
      <c r="M37" s="1"/>
      <c r="N37" s="1"/>
      <c r="O37" s="1"/>
      <c r="P37" s="1"/>
      <c r="Q37" s="1"/>
    </row>
    <row r="38" spans="1:17" x14ac:dyDescent="0.35">
      <c r="A38" s="1"/>
      <c r="B38" s="1"/>
      <c r="C38" s="1"/>
      <c r="D38" s="1"/>
      <c r="E38" s="1"/>
      <c r="F38" s="1"/>
      <c r="G38" s="1"/>
      <c r="H38" s="1"/>
      <c r="I38" s="1"/>
      <c r="J38" s="1"/>
      <c r="K38" s="1"/>
      <c r="L38" s="1"/>
      <c r="M38" s="1"/>
      <c r="N38" s="1"/>
      <c r="O38" s="1"/>
      <c r="P38" s="1"/>
      <c r="Q38" s="1"/>
    </row>
    <row r="39" spans="1:17" x14ac:dyDescent="0.35">
      <c r="A39" s="1"/>
      <c r="B39" s="1"/>
      <c r="C39" s="1"/>
      <c r="D39" s="1"/>
      <c r="E39" s="1"/>
      <c r="F39" s="1"/>
      <c r="G39" s="1"/>
      <c r="H39" s="1"/>
      <c r="I39" s="1"/>
      <c r="J39" s="1"/>
      <c r="K39" s="1"/>
      <c r="L39" s="1"/>
      <c r="M39" s="1"/>
      <c r="N39" s="1"/>
      <c r="O39" s="1"/>
      <c r="P39" s="1"/>
      <c r="Q39" s="1"/>
    </row>
    <row r="40" spans="1:17" x14ac:dyDescent="0.35">
      <c r="A40" s="1"/>
      <c r="B40" s="1"/>
      <c r="C40" s="1"/>
      <c r="D40" s="1"/>
      <c r="E40" s="1"/>
      <c r="F40" s="1"/>
      <c r="G40" s="1"/>
      <c r="H40" s="1"/>
      <c r="I40" s="1"/>
      <c r="J40" s="1"/>
      <c r="K40" s="1"/>
      <c r="L40" s="1"/>
      <c r="M40" s="1"/>
      <c r="N40" s="1"/>
      <c r="O40" s="1"/>
      <c r="P40" s="1"/>
      <c r="Q40" s="1"/>
    </row>
    <row r="41" spans="1:17" x14ac:dyDescent="0.35">
      <c r="A41" s="1"/>
      <c r="B41" s="1"/>
      <c r="C41" s="1"/>
      <c r="D41" s="1"/>
      <c r="E41" s="1"/>
      <c r="F41" s="1"/>
      <c r="G41" s="1"/>
      <c r="H41" s="1"/>
      <c r="I41" s="1"/>
      <c r="J41" s="1"/>
      <c r="K41" s="1"/>
      <c r="L41" s="1"/>
      <c r="M41" s="1"/>
      <c r="N41" s="1"/>
      <c r="O41" s="1"/>
      <c r="P41" s="1"/>
      <c r="Q41" s="1"/>
    </row>
    <row r="42" spans="1:17" x14ac:dyDescent="0.35">
      <c r="A42" s="1"/>
      <c r="B42" s="1"/>
      <c r="C42" s="1"/>
      <c r="D42" s="1"/>
      <c r="E42" s="1"/>
      <c r="F42" s="1"/>
      <c r="G42" s="1"/>
      <c r="H42" s="1"/>
      <c r="I42" s="1"/>
      <c r="J42" s="1"/>
      <c r="K42" s="1"/>
      <c r="L42" s="1"/>
      <c r="M42" s="1"/>
      <c r="N42" s="1"/>
      <c r="O42" s="1"/>
      <c r="P42" s="1"/>
      <c r="Q42" s="1"/>
    </row>
    <row r="43" spans="1:17" x14ac:dyDescent="0.35">
      <c r="A43" s="1"/>
      <c r="B43" s="1"/>
      <c r="C43" s="1"/>
      <c r="D43" s="1"/>
      <c r="E43" s="1"/>
      <c r="F43" s="1"/>
      <c r="G43" s="1"/>
      <c r="H43" s="1"/>
      <c r="I43" s="1"/>
      <c r="J43" s="1"/>
      <c r="K43" s="1"/>
      <c r="L43" s="1"/>
      <c r="M43" s="1"/>
      <c r="N43" s="1"/>
      <c r="O43" s="1"/>
      <c r="P43" s="1"/>
      <c r="Q43" s="1"/>
    </row>
    <row r="44" spans="1:17" x14ac:dyDescent="0.35">
      <c r="A44" s="1"/>
      <c r="B44" s="1"/>
      <c r="C44" s="1"/>
      <c r="D44" s="1"/>
      <c r="E44" s="1"/>
      <c r="F44" s="1"/>
      <c r="G44" s="1"/>
      <c r="H44" s="1"/>
      <c r="I44" s="1"/>
      <c r="J44" s="1"/>
      <c r="K44" s="1"/>
      <c r="L44" s="1"/>
      <c r="M44" s="1"/>
      <c r="N44" s="1"/>
      <c r="O44" s="1"/>
      <c r="P44" s="1"/>
      <c r="Q44" s="1"/>
    </row>
    <row r="45" spans="1:17" x14ac:dyDescent="0.35">
      <c r="A45" s="1"/>
      <c r="B45" s="1"/>
      <c r="C45" s="1"/>
      <c r="D45" s="1"/>
      <c r="E45" s="1"/>
      <c r="F45" s="1"/>
      <c r="G45" s="1"/>
      <c r="H45" s="1"/>
      <c r="I45" s="1"/>
      <c r="J45" s="1"/>
      <c r="K45" s="1"/>
      <c r="L45" s="1"/>
      <c r="M45" s="1"/>
      <c r="N45" s="1"/>
      <c r="O45" s="1"/>
      <c r="P45" s="1"/>
      <c r="Q45" s="1"/>
    </row>
    <row r="46" spans="1:17" x14ac:dyDescent="0.35">
      <c r="A46" s="1"/>
      <c r="B46" s="1"/>
      <c r="C46" s="1"/>
      <c r="D46" s="1"/>
      <c r="E46" s="1"/>
      <c r="F46" s="1"/>
      <c r="G46" s="1"/>
      <c r="H46" s="1"/>
      <c r="I46" s="1"/>
      <c r="J46" s="1"/>
      <c r="K46" s="1"/>
      <c r="L46" s="1"/>
      <c r="M46" s="1"/>
      <c r="N46" s="1"/>
      <c r="O46" s="1"/>
      <c r="P46" s="1"/>
      <c r="Q46" s="1"/>
    </row>
    <row r="47" spans="1:17" x14ac:dyDescent="0.35">
      <c r="A47" s="1"/>
      <c r="B47" s="1"/>
      <c r="C47" s="1"/>
      <c r="D47" s="1"/>
      <c r="E47" s="1"/>
      <c r="F47" s="1"/>
      <c r="G47" s="1"/>
      <c r="H47" s="1"/>
      <c r="I47" s="1"/>
      <c r="J47" s="1"/>
      <c r="K47" s="1"/>
      <c r="L47" s="1"/>
      <c r="M47" s="1"/>
      <c r="N47" s="1"/>
      <c r="O47" s="1"/>
      <c r="P47" s="1"/>
      <c r="Q47" s="1"/>
    </row>
    <row r="48" spans="1:17" x14ac:dyDescent="0.35">
      <c r="A48" s="1"/>
      <c r="B48" s="1"/>
      <c r="C48" s="1"/>
      <c r="D48" s="1"/>
      <c r="E48" s="1"/>
      <c r="F48" s="1"/>
      <c r="G48" s="1"/>
      <c r="H48" s="1"/>
      <c r="I48" s="1"/>
      <c r="J48" s="1"/>
      <c r="K48" s="1"/>
      <c r="L48" s="1"/>
      <c r="M48" s="1"/>
      <c r="N48" s="1"/>
      <c r="O48" s="1"/>
      <c r="P48" s="1"/>
      <c r="Q48" s="1"/>
    </row>
    <row r="49" spans="1:17" x14ac:dyDescent="0.35">
      <c r="A49" s="1"/>
      <c r="B49" s="1"/>
      <c r="C49" s="1"/>
      <c r="D49" s="1"/>
      <c r="E49" s="1"/>
      <c r="F49" s="1"/>
      <c r="G49" s="1"/>
      <c r="H49" s="1"/>
      <c r="I49" s="1"/>
      <c r="J49" s="1"/>
      <c r="K49" s="1"/>
      <c r="L49" s="1"/>
      <c r="M49" s="1"/>
      <c r="N49" s="1"/>
      <c r="O49" s="1"/>
      <c r="P49" s="1"/>
      <c r="Q49" s="1"/>
    </row>
    <row r="50" spans="1:17" x14ac:dyDescent="0.35">
      <c r="A50" s="1"/>
      <c r="B50" s="1"/>
      <c r="C50" s="1"/>
      <c r="D50" s="1"/>
      <c r="E50" s="1"/>
      <c r="F50" s="1"/>
      <c r="G50" s="1"/>
      <c r="H50" s="1"/>
      <c r="I50" s="1"/>
      <c r="J50" s="1"/>
      <c r="K50" s="1"/>
      <c r="L50" s="1"/>
      <c r="M50" s="1"/>
      <c r="N50" s="1"/>
      <c r="O50" s="1"/>
      <c r="P50" s="1"/>
      <c r="Q50" s="1"/>
    </row>
    <row r="51" spans="1:17" x14ac:dyDescent="0.35">
      <c r="A51" s="1"/>
      <c r="B51" s="1"/>
      <c r="C51" s="1"/>
      <c r="D51" s="1"/>
      <c r="E51" s="1"/>
      <c r="F51" s="1"/>
      <c r="G51" s="1"/>
      <c r="H51" s="1"/>
      <c r="I51" s="1"/>
      <c r="J51" s="1"/>
      <c r="K51" s="1"/>
      <c r="L51" s="1"/>
      <c r="M51" s="1"/>
      <c r="N51" s="1"/>
      <c r="O51" s="1"/>
      <c r="P51" s="1"/>
      <c r="Q51" s="1"/>
    </row>
    <row r="52" spans="1:17" x14ac:dyDescent="0.35">
      <c r="A52" s="1"/>
      <c r="B52" s="1"/>
      <c r="C52" s="1"/>
      <c r="D52" s="1"/>
      <c r="E52" s="1"/>
      <c r="F52" s="1"/>
      <c r="G52" s="1"/>
      <c r="H52" s="1"/>
      <c r="I52" s="1"/>
      <c r="J52" s="1"/>
      <c r="K52" s="1"/>
      <c r="L52" s="1"/>
      <c r="M52" s="1"/>
      <c r="N52" s="1"/>
      <c r="O52" s="1"/>
      <c r="P52" s="1"/>
      <c r="Q52" s="1"/>
    </row>
    <row r="53" spans="1:17" x14ac:dyDescent="0.35">
      <c r="A53" s="1"/>
      <c r="B53" s="1"/>
      <c r="C53" s="1"/>
      <c r="D53" s="1"/>
      <c r="E53" s="1"/>
      <c r="F53" s="1"/>
      <c r="G53" s="1"/>
      <c r="H53" s="1"/>
      <c r="I53" s="1"/>
      <c r="J53" s="1"/>
      <c r="K53" s="1"/>
      <c r="L53" s="1"/>
      <c r="M53" s="1"/>
      <c r="N53" s="1"/>
      <c r="O53" s="1"/>
      <c r="P53" s="1"/>
      <c r="Q53" s="1"/>
    </row>
    <row r="54" spans="1:17" x14ac:dyDescent="0.35">
      <c r="A54" s="1"/>
      <c r="B54" s="1"/>
      <c r="C54" s="1"/>
      <c r="D54" s="1"/>
      <c r="E54" s="1"/>
      <c r="F54" s="1"/>
      <c r="G54" s="1"/>
      <c r="H54" s="1"/>
      <c r="I54" s="1"/>
      <c r="J54" s="1"/>
      <c r="K54" s="1"/>
      <c r="L54" s="1"/>
      <c r="M54" s="1"/>
      <c r="N54" s="1"/>
      <c r="O54" s="1"/>
      <c r="P54" s="1"/>
      <c r="Q54" s="1"/>
    </row>
    <row r="55" spans="1:17" x14ac:dyDescent="0.35">
      <c r="A55" s="1"/>
      <c r="B55" s="1"/>
      <c r="C55" s="1"/>
      <c r="D55" s="1"/>
      <c r="E55" s="1"/>
      <c r="F55" s="1"/>
      <c r="G55" s="1"/>
      <c r="H55" s="1"/>
      <c r="I55" s="1"/>
      <c r="J55" s="1"/>
      <c r="K55" s="1"/>
      <c r="L55" s="1"/>
      <c r="M55" s="1"/>
      <c r="N55" s="1"/>
      <c r="O55" s="1"/>
      <c r="P55" s="1"/>
      <c r="Q55" s="1"/>
    </row>
    <row r="56" spans="1:17" x14ac:dyDescent="0.35">
      <c r="A56" s="1"/>
      <c r="B56" s="1"/>
      <c r="C56" s="1"/>
      <c r="D56" s="1"/>
      <c r="E56" s="1"/>
      <c r="F56" s="1"/>
      <c r="G56" s="1"/>
      <c r="H56" s="1"/>
      <c r="I56" s="1"/>
      <c r="J56" s="1"/>
      <c r="K56" s="1"/>
      <c r="L56" s="1"/>
      <c r="M56" s="1"/>
      <c r="N56" s="1"/>
      <c r="O56" s="1"/>
      <c r="P56" s="1"/>
      <c r="Q56" s="1"/>
    </row>
    <row r="57" spans="1:17" x14ac:dyDescent="0.35">
      <c r="A57" s="1"/>
      <c r="B57" s="1"/>
      <c r="C57" s="1"/>
      <c r="D57" s="1"/>
      <c r="E57" s="1"/>
      <c r="F57" s="1"/>
      <c r="G57" s="1"/>
      <c r="H57" s="1"/>
      <c r="I57" s="1"/>
      <c r="J57" s="1"/>
      <c r="K57" s="1"/>
      <c r="L57" s="1"/>
      <c r="M57" s="1"/>
      <c r="N57" s="1"/>
      <c r="O57" s="1"/>
      <c r="P57" s="1"/>
      <c r="Q57" s="1"/>
    </row>
    <row r="58" spans="1:17" x14ac:dyDescent="0.35">
      <c r="A58" s="1"/>
      <c r="B58" s="1"/>
      <c r="C58" s="1"/>
      <c r="D58" s="1"/>
      <c r="E58" s="1"/>
      <c r="F58" s="1"/>
      <c r="G58" s="1"/>
      <c r="H58" s="1"/>
      <c r="I58" s="1"/>
      <c r="J58" s="1"/>
      <c r="K58" s="1"/>
      <c r="L58" s="1"/>
      <c r="M58" s="1"/>
      <c r="N58" s="1"/>
      <c r="O58" s="1"/>
      <c r="P58" s="1"/>
      <c r="Q58" s="1"/>
    </row>
    <row r="59" spans="1:17" x14ac:dyDescent="0.35">
      <c r="A59" s="1"/>
      <c r="B59" s="1"/>
      <c r="C59" s="1"/>
      <c r="D59" s="1"/>
      <c r="E59" s="1"/>
      <c r="F59" s="1"/>
      <c r="G59" s="1"/>
      <c r="H59" s="1"/>
      <c r="I59" s="1"/>
      <c r="J59" s="1"/>
      <c r="K59" s="1"/>
      <c r="L59" s="1"/>
      <c r="M59" s="1"/>
      <c r="N59" s="1"/>
      <c r="O59" s="1"/>
      <c r="P59" s="1"/>
      <c r="Q59" s="1"/>
    </row>
    <row r="60" spans="1:17" x14ac:dyDescent="0.35">
      <c r="A60" s="1"/>
      <c r="B60" s="1"/>
      <c r="C60" s="1"/>
      <c r="D60" s="1"/>
      <c r="E60" s="1"/>
      <c r="F60" s="1"/>
      <c r="G60" s="1"/>
      <c r="H60" s="1"/>
      <c r="I60" s="1"/>
      <c r="J60" s="1"/>
      <c r="K60" s="1"/>
      <c r="L60" s="1"/>
      <c r="M60" s="1"/>
      <c r="N60" s="1"/>
      <c r="O60" s="1"/>
      <c r="P60" s="1"/>
      <c r="Q60" s="1"/>
    </row>
    <row r="61" spans="1:17" x14ac:dyDescent="0.35">
      <c r="A61" s="1"/>
      <c r="B61" s="1"/>
      <c r="C61" s="1"/>
      <c r="D61" s="1"/>
      <c r="E61" s="1"/>
      <c r="F61" s="1"/>
      <c r="G61" s="1"/>
      <c r="H61" s="1"/>
      <c r="I61" s="1"/>
      <c r="J61" s="1"/>
      <c r="K61" s="1"/>
      <c r="L61" s="1"/>
      <c r="M61" s="1"/>
      <c r="N61" s="1"/>
      <c r="O61" s="1"/>
      <c r="P61" s="1"/>
      <c r="Q61" s="1"/>
    </row>
    <row r="62" spans="1:17" x14ac:dyDescent="0.35">
      <c r="A62" s="1"/>
      <c r="B62" s="1"/>
      <c r="C62" s="1"/>
      <c r="D62" s="1"/>
      <c r="E62" s="1"/>
      <c r="F62" s="1"/>
      <c r="G62" s="1"/>
      <c r="H62" s="1"/>
      <c r="I62" s="1"/>
      <c r="J62" s="1"/>
      <c r="K62" s="1"/>
      <c r="L62" s="1"/>
      <c r="M62" s="1"/>
      <c r="N62" s="1"/>
      <c r="O62" s="1"/>
      <c r="P62" s="1"/>
      <c r="Q62" s="1"/>
    </row>
    <row r="63" spans="1:17" x14ac:dyDescent="0.35">
      <c r="A63" s="1"/>
      <c r="B63" s="1"/>
      <c r="C63" s="1"/>
      <c r="D63" s="1"/>
      <c r="E63" s="1"/>
      <c r="F63" s="1"/>
      <c r="G63" s="1"/>
      <c r="H63" s="1"/>
      <c r="I63" s="1"/>
      <c r="J63" s="1"/>
      <c r="K63" s="1"/>
      <c r="L63" s="1"/>
      <c r="M63" s="1"/>
      <c r="N63" s="1"/>
      <c r="O63" s="1"/>
      <c r="P63" s="1"/>
      <c r="Q63" s="1"/>
    </row>
    <row r="64" spans="1:17" x14ac:dyDescent="0.35">
      <c r="A64" s="1"/>
      <c r="B64" s="1"/>
      <c r="C64" s="1"/>
      <c r="D64" s="1"/>
      <c r="E64" s="1"/>
      <c r="F64" s="1"/>
      <c r="G64" s="1"/>
      <c r="H64" s="1"/>
      <c r="I64" s="1"/>
      <c r="J64" s="1"/>
      <c r="K64" s="1"/>
      <c r="L64" s="1"/>
      <c r="M64" s="1"/>
      <c r="N64" s="1"/>
      <c r="O64" s="1"/>
      <c r="P64" s="1"/>
      <c r="Q64" s="1"/>
    </row>
    <row r="65" spans="1:17" x14ac:dyDescent="0.35">
      <c r="A65" s="1"/>
      <c r="B65" s="1"/>
      <c r="C65" s="1"/>
      <c r="D65" s="1"/>
      <c r="E65" s="1"/>
      <c r="F65" s="1"/>
      <c r="G65" s="1"/>
      <c r="H65" s="1"/>
      <c r="I65" s="1"/>
      <c r="J65" s="1"/>
      <c r="K65" s="1"/>
      <c r="L65" s="1"/>
      <c r="M65" s="1"/>
      <c r="N65" s="1"/>
      <c r="O65" s="1"/>
      <c r="P65" s="1"/>
      <c r="Q65" s="1"/>
    </row>
    <row r="66" spans="1:17" x14ac:dyDescent="0.35">
      <c r="A66" s="1"/>
      <c r="B66" s="1"/>
      <c r="C66" s="1"/>
      <c r="D66" s="1"/>
      <c r="E66" s="1"/>
      <c r="F66" s="1"/>
      <c r="G66" s="1"/>
      <c r="H66" s="1"/>
      <c r="I66" s="1"/>
      <c r="J66" s="1"/>
      <c r="K66" s="1"/>
      <c r="L66" s="1"/>
      <c r="M66" s="1"/>
      <c r="N66" s="1"/>
      <c r="O66" s="1"/>
      <c r="P66" s="1"/>
      <c r="Q66" s="1"/>
    </row>
    <row r="67" spans="1:17" x14ac:dyDescent="0.35">
      <c r="A67" s="1"/>
      <c r="B67" s="1"/>
      <c r="C67" s="1"/>
      <c r="D67" s="1"/>
      <c r="E67" s="1"/>
      <c r="F67" s="1"/>
      <c r="G67" s="1"/>
      <c r="H67" s="1"/>
      <c r="I67" s="1"/>
      <c r="J67" s="1"/>
      <c r="K67" s="1"/>
      <c r="L67" s="1"/>
      <c r="M67" s="1"/>
      <c r="N67" s="1"/>
      <c r="O67" s="1"/>
      <c r="P67" s="1"/>
      <c r="Q67" s="1"/>
    </row>
    <row r="68" spans="1:17" x14ac:dyDescent="0.35">
      <c r="A68" s="1"/>
      <c r="B68" s="1"/>
      <c r="C68" s="1"/>
      <c r="D68" s="1"/>
      <c r="E68" s="1"/>
      <c r="F68" s="1"/>
      <c r="G68" s="1"/>
      <c r="H68" s="1"/>
      <c r="I68" s="1"/>
      <c r="J68" s="1"/>
      <c r="K68" s="1"/>
      <c r="L68" s="1"/>
      <c r="M68" s="1"/>
      <c r="N68" s="1"/>
      <c r="O68" s="1"/>
      <c r="P68" s="1"/>
      <c r="Q68" s="1"/>
    </row>
    <row r="69" spans="1:17" x14ac:dyDescent="0.35">
      <c r="A69" s="1"/>
      <c r="B69" s="1"/>
      <c r="C69" s="1"/>
      <c r="D69" s="1"/>
      <c r="E69" s="1"/>
      <c r="F69" s="1"/>
      <c r="G69" s="1"/>
      <c r="H69" s="1"/>
      <c r="I69" s="1"/>
      <c r="J69" s="1"/>
      <c r="K69" s="1"/>
      <c r="L69" s="1"/>
      <c r="M69" s="1"/>
      <c r="N69" s="1"/>
      <c r="O69" s="1"/>
      <c r="P69" s="1"/>
      <c r="Q69" s="1"/>
    </row>
    <row r="70" spans="1:17" x14ac:dyDescent="0.35">
      <c r="A70" s="1"/>
      <c r="B70" s="1"/>
      <c r="C70" s="1"/>
      <c r="D70" s="1"/>
      <c r="E70" s="1"/>
      <c r="F70" s="1"/>
      <c r="G70" s="1"/>
      <c r="H70" s="1"/>
      <c r="I70" s="1"/>
      <c r="J70" s="1"/>
      <c r="K70" s="1"/>
      <c r="L70" s="1"/>
      <c r="M70" s="1"/>
      <c r="N70" s="1"/>
      <c r="O70" s="1"/>
      <c r="P70" s="1"/>
      <c r="Q70" s="1"/>
    </row>
    <row r="71" spans="1:17" x14ac:dyDescent="0.35">
      <c r="A71" s="1"/>
      <c r="B71" s="1"/>
      <c r="C71" s="1"/>
      <c r="D71" s="1"/>
      <c r="E71" s="1"/>
      <c r="F71" s="1"/>
      <c r="G71" s="1"/>
      <c r="H71" s="1"/>
      <c r="I71" s="1"/>
      <c r="J71" s="1"/>
      <c r="K71" s="1"/>
      <c r="L71" s="1"/>
      <c r="M71" s="1"/>
      <c r="N71" s="1"/>
      <c r="O71" s="1"/>
      <c r="P71" s="1"/>
      <c r="Q71" s="1"/>
    </row>
    <row r="72" spans="1:17" x14ac:dyDescent="0.35">
      <c r="A72" s="1"/>
      <c r="B72" s="1"/>
      <c r="C72" s="1"/>
      <c r="D72" s="1"/>
      <c r="E72" s="1"/>
      <c r="F72" s="1"/>
      <c r="G72" s="1"/>
      <c r="H72" s="1"/>
      <c r="I72" s="1"/>
      <c r="J72" s="1"/>
      <c r="K72" s="1"/>
      <c r="L72" s="1"/>
      <c r="M72" s="1"/>
      <c r="N72" s="1"/>
      <c r="O72" s="1"/>
      <c r="P72" s="1"/>
      <c r="Q72" s="1"/>
    </row>
    <row r="73" spans="1:17" x14ac:dyDescent="0.35">
      <c r="A73" s="1"/>
      <c r="B73" s="1"/>
      <c r="C73" s="1"/>
      <c r="D73" s="1"/>
      <c r="E73" s="1"/>
      <c r="F73" s="1"/>
      <c r="G73" s="1"/>
      <c r="H73" s="1"/>
      <c r="I73" s="1"/>
      <c r="J73" s="1"/>
      <c r="K73" s="1"/>
      <c r="L73" s="1"/>
      <c r="M73" s="1"/>
      <c r="N73" s="1"/>
      <c r="O73" s="1"/>
      <c r="P73" s="1"/>
      <c r="Q73" s="1"/>
    </row>
    <row r="74" spans="1:17" x14ac:dyDescent="0.35">
      <c r="A74" s="1"/>
      <c r="B74" s="1"/>
      <c r="C74" s="1"/>
      <c r="D74" s="1"/>
      <c r="E74" s="1"/>
      <c r="F74" s="1"/>
      <c r="G74" s="1"/>
      <c r="H74" s="1"/>
      <c r="I74" s="1"/>
      <c r="J74" s="1"/>
      <c r="K74" s="1"/>
      <c r="L74" s="1"/>
      <c r="M74" s="1"/>
      <c r="N74" s="1"/>
      <c r="O74" s="1"/>
      <c r="P74" s="1"/>
      <c r="Q74" s="1"/>
    </row>
    <row r="75" spans="1:17" x14ac:dyDescent="0.35">
      <c r="A75" s="1"/>
      <c r="B75" s="1"/>
      <c r="C75" s="1"/>
      <c r="D75" s="1"/>
      <c r="E75" s="1"/>
      <c r="F75" s="1"/>
      <c r="G75" s="1"/>
      <c r="H75" s="1"/>
      <c r="I75" s="1"/>
      <c r="J75" s="1"/>
      <c r="K75" s="1"/>
      <c r="L75" s="1"/>
      <c r="M75" s="1"/>
      <c r="N75" s="1"/>
      <c r="O75" s="1"/>
      <c r="P75" s="1"/>
      <c r="Q75" s="1"/>
    </row>
    <row r="76" spans="1:17" x14ac:dyDescent="0.35">
      <c r="A76" s="1"/>
      <c r="B76" s="1"/>
      <c r="C76" s="1"/>
      <c r="D76" s="1"/>
      <c r="E76" s="1"/>
      <c r="F76" s="1"/>
      <c r="G76" s="1"/>
      <c r="H76" s="1"/>
      <c r="I76" s="1"/>
      <c r="J76" s="1"/>
      <c r="K76" s="1"/>
      <c r="L76" s="1"/>
      <c r="M76" s="1"/>
      <c r="N76" s="1"/>
      <c r="O76" s="1"/>
      <c r="P76" s="1"/>
      <c r="Q76" s="1"/>
    </row>
    <row r="77" spans="1:17" x14ac:dyDescent="0.35">
      <c r="A77" s="1"/>
      <c r="B77" s="1"/>
      <c r="C77" s="1"/>
      <c r="D77" s="1"/>
      <c r="E77" s="1"/>
      <c r="F77" s="1"/>
      <c r="G77" s="1"/>
      <c r="H77" s="1"/>
      <c r="I77" s="1"/>
      <c r="J77" s="1"/>
      <c r="K77" s="1"/>
      <c r="L77" s="1"/>
      <c r="M77" s="1"/>
      <c r="N77" s="1"/>
      <c r="O77" s="1"/>
      <c r="P77" s="1"/>
      <c r="Q77" s="1"/>
    </row>
    <row r="78" spans="1:17" x14ac:dyDescent="0.35">
      <c r="A78" s="1"/>
      <c r="B78" s="1"/>
      <c r="C78" s="1"/>
      <c r="D78" s="1"/>
      <c r="E78" s="1"/>
      <c r="F78" s="1"/>
      <c r="G78" s="1"/>
      <c r="H78" s="1"/>
      <c r="I78" s="1"/>
      <c r="J78" s="1"/>
      <c r="K78" s="1"/>
      <c r="L78" s="1"/>
      <c r="M78" s="1"/>
      <c r="N78" s="1"/>
      <c r="O78" s="1"/>
      <c r="P78" s="1"/>
      <c r="Q78" s="1"/>
    </row>
    <row r="79" spans="1:17" x14ac:dyDescent="0.35">
      <c r="A79" s="1"/>
      <c r="B79" s="1"/>
      <c r="C79" s="1"/>
      <c r="D79" s="1"/>
      <c r="E79" s="1"/>
      <c r="F79" s="1"/>
      <c r="G79" s="1"/>
      <c r="H79" s="1"/>
      <c r="I79" s="1"/>
      <c r="J79" s="1"/>
      <c r="K79" s="1"/>
      <c r="L79" s="1"/>
      <c r="M79" s="1"/>
      <c r="N79" s="1"/>
      <c r="O79" s="1"/>
      <c r="P79" s="1"/>
      <c r="Q79" s="1"/>
    </row>
    <row r="80" spans="1:17" x14ac:dyDescent="0.35">
      <c r="A80" s="1"/>
      <c r="B80" s="1"/>
      <c r="C80" s="1"/>
      <c r="D80" s="1"/>
      <c r="E80" s="1"/>
      <c r="F80" s="1"/>
      <c r="G80" s="1"/>
      <c r="H80" s="1"/>
      <c r="I80" s="1"/>
      <c r="J80" s="1"/>
      <c r="K80" s="1"/>
      <c r="L80" s="1"/>
      <c r="M80" s="1"/>
      <c r="N80" s="1"/>
      <c r="O80" s="1"/>
      <c r="P80" s="1"/>
      <c r="Q80" s="1"/>
    </row>
    <row r="81" spans="1:17" x14ac:dyDescent="0.35">
      <c r="A81" s="1"/>
      <c r="B81" s="1"/>
      <c r="C81" s="1"/>
      <c r="D81" s="1"/>
      <c r="E81" s="1"/>
      <c r="F81" s="1"/>
      <c r="G81" s="1"/>
      <c r="H81" s="1"/>
      <c r="I81" s="1"/>
      <c r="J81" s="1"/>
      <c r="K81" s="1"/>
      <c r="L81" s="1"/>
      <c r="M81" s="1"/>
      <c r="N81" s="1"/>
      <c r="O81" s="1"/>
      <c r="P81" s="1"/>
      <c r="Q81" s="1"/>
    </row>
    <row r="82" spans="1:17" x14ac:dyDescent="0.35">
      <c r="A82" s="1"/>
      <c r="B82" s="1"/>
      <c r="C82" s="1"/>
      <c r="D82" s="1"/>
      <c r="E82" s="1"/>
      <c r="F82" s="1"/>
      <c r="G82" s="1"/>
      <c r="H82" s="1"/>
      <c r="I82" s="1"/>
      <c r="J82" s="1"/>
      <c r="K82" s="1"/>
      <c r="L82" s="1"/>
      <c r="M82" s="1"/>
      <c r="N82" s="1"/>
      <c r="O82" s="1"/>
      <c r="P82" s="1"/>
      <c r="Q82" s="1"/>
    </row>
    <row r="83" spans="1:17" x14ac:dyDescent="0.35">
      <c r="A83" s="1"/>
      <c r="B83" s="1"/>
      <c r="C83" s="1"/>
      <c r="D83" s="1"/>
      <c r="E83" s="1"/>
      <c r="F83" s="1"/>
      <c r="G83" s="1"/>
      <c r="H83" s="1"/>
      <c r="I83" s="1"/>
      <c r="J83" s="1"/>
      <c r="K83" s="1"/>
      <c r="L83" s="1"/>
      <c r="M83" s="1"/>
      <c r="N83" s="1"/>
      <c r="O83" s="1"/>
      <c r="P83" s="1"/>
      <c r="Q83" s="1"/>
    </row>
    <row r="84" spans="1:17" x14ac:dyDescent="0.35">
      <c r="A84" s="1"/>
      <c r="B84" s="1"/>
      <c r="C84" s="1"/>
      <c r="D84" s="1"/>
      <c r="E84" s="1"/>
      <c r="F84" s="1"/>
      <c r="G84" s="1"/>
      <c r="H84" s="1"/>
      <c r="I84" s="1"/>
      <c r="J84" s="1"/>
      <c r="K84" s="1"/>
      <c r="L84" s="1"/>
      <c r="M84" s="1"/>
      <c r="N84" s="1"/>
      <c r="O84" s="1"/>
      <c r="P84" s="1"/>
      <c r="Q84" s="1"/>
    </row>
    <row r="85" spans="1:17" x14ac:dyDescent="0.35">
      <c r="A85" s="1"/>
      <c r="B85" s="1"/>
      <c r="C85" s="1"/>
      <c r="D85" s="1"/>
      <c r="E85" s="1"/>
      <c r="F85" s="1"/>
      <c r="G85" s="1"/>
      <c r="H85" s="1"/>
      <c r="I85" s="1"/>
      <c r="J85" s="1"/>
      <c r="K85" s="1"/>
      <c r="L85" s="1"/>
      <c r="M85" s="1"/>
      <c r="N85" s="1"/>
      <c r="O85" s="1"/>
      <c r="P85" s="1"/>
      <c r="Q85" s="1"/>
    </row>
    <row r="86" spans="1:17" x14ac:dyDescent="0.35">
      <c r="A86" s="1"/>
      <c r="B86" s="1"/>
      <c r="C86" s="1"/>
      <c r="D86" s="1"/>
      <c r="E86" s="1"/>
      <c r="F86" s="1"/>
      <c r="G86" s="1"/>
      <c r="H86" s="1"/>
      <c r="I86" s="1"/>
      <c r="J86" s="1"/>
      <c r="K86" s="1"/>
      <c r="L86" s="1"/>
      <c r="M86" s="1"/>
      <c r="N86" s="1"/>
      <c r="O86" s="1"/>
      <c r="P86" s="1"/>
      <c r="Q86" s="1"/>
    </row>
    <row r="87" spans="1:17" x14ac:dyDescent="0.35">
      <c r="A87" s="1"/>
      <c r="B87" s="1"/>
      <c r="C87" s="1"/>
      <c r="D87" s="1"/>
      <c r="E87" s="1"/>
      <c r="F87" s="1"/>
      <c r="G87" s="1"/>
      <c r="H87" s="1"/>
      <c r="I87" s="1"/>
      <c r="J87" s="1"/>
      <c r="K87" s="1"/>
      <c r="L87" s="1"/>
      <c r="M87" s="1"/>
      <c r="N87" s="1"/>
      <c r="O87" s="1"/>
      <c r="P87" s="1"/>
      <c r="Q87" s="1"/>
    </row>
    <row r="88" spans="1:17" x14ac:dyDescent="0.35">
      <c r="A88" s="1"/>
      <c r="B88" s="1"/>
      <c r="C88" s="1"/>
      <c r="D88" s="1"/>
      <c r="E88" s="1"/>
      <c r="F88" s="1"/>
      <c r="G88" s="1"/>
      <c r="H88" s="1"/>
      <c r="I88" s="1"/>
      <c r="J88" s="1"/>
      <c r="K88" s="1"/>
      <c r="L88" s="1"/>
      <c r="M88" s="1"/>
      <c r="N88" s="1"/>
      <c r="O88" s="1"/>
      <c r="P88" s="1"/>
      <c r="Q88" s="1"/>
    </row>
    <row r="89" spans="1:17" x14ac:dyDescent="0.35">
      <c r="A89" s="1"/>
      <c r="B89" s="1"/>
      <c r="C89" s="1"/>
      <c r="D89" s="1"/>
      <c r="E89" s="1"/>
      <c r="F89" s="1"/>
      <c r="G89" s="1"/>
      <c r="H89" s="1"/>
      <c r="I89" s="1"/>
      <c r="J89" s="1"/>
      <c r="K89" s="1"/>
      <c r="L89" s="1"/>
      <c r="M89" s="1"/>
      <c r="N89" s="1"/>
      <c r="O89" s="1"/>
      <c r="P89" s="1"/>
      <c r="Q89" s="1"/>
    </row>
    <row r="90" spans="1:17" x14ac:dyDescent="0.35">
      <c r="A90" s="1"/>
      <c r="B90" s="1"/>
      <c r="C90" s="1"/>
      <c r="D90" s="1"/>
      <c r="E90" s="1"/>
      <c r="F90" s="1"/>
      <c r="G90" s="1"/>
      <c r="H90" s="1"/>
      <c r="I90" s="1"/>
      <c r="J90" s="1"/>
      <c r="K90" s="1"/>
      <c r="L90" s="1"/>
      <c r="M90" s="1"/>
      <c r="N90" s="1"/>
      <c r="O90" s="1"/>
      <c r="P90" s="1"/>
      <c r="Q90" s="1"/>
    </row>
    <row r="91" spans="1:17" x14ac:dyDescent="0.35">
      <c r="A91" s="1"/>
      <c r="B91" s="1"/>
      <c r="C91" s="1"/>
      <c r="D91" s="1"/>
      <c r="E91" s="1"/>
      <c r="F91" s="1"/>
      <c r="G91" s="1"/>
      <c r="H91" s="1"/>
      <c r="I91" s="1"/>
      <c r="J91" s="1"/>
      <c r="K91" s="1"/>
      <c r="L91" s="1"/>
      <c r="M91" s="1"/>
      <c r="N91" s="1"/>
      <c r="O91" s="1"/>
      <c r="P91" s="1"/>
      <c r="Q91" s="1"/>
    </row>
    <row r="92" spans="1:17" x14ac:dyDescent="0.35">
      <c r="A92" s="1"/>
      <c r="B92" s="1"/>
      <c r="C92" s="1"/>
      <c r="D92" s="1"/>
      <c r="E92" s="1"/>
      <c r="F92" s="1"/>
      <c r="G92" s="1"/>
      <c r="H92" s="1"/>
      <c r="I92" s="1"/>
      <c r="J92" s="1"/>
      <c r="K92" s="1"/>
      <c r="L92" s="1"/>
      <c r="M92" s="1"/>
      <c r="N92" s="1"/>
      <c r="O92" s="1"/>
      <c r="P92" s="1"/>
      <c r="Q92" s="1"/>
    </row>
    <row r="93" spans="1:17" x14ac:dyDescent="0.35">
      <c r="A93" s="1"/>
      <c r="B93" s="1"/>
      <c r="C93" s="1"/>
      <c r="D93" s="1"/>
      <c r="E93" s="1"/>
      <c r="F93" s="1"/>
      <c r="G93" s="1"/>
      <c r="H93" s="1"/>
      <c r="I93" s="1"/>
      <c r="J93" s="1"/>
      <c r="K93" s="1"/>
      <c r="L93" s="1"/>
      <c r="M93" s="1"/>
      <c r="N93" s="1"/>
      <c r="O93" s="1"/>
      <c r="P93" s="1"/>
      <c r="Q93" s="1"/>
    </row>
    <row r="94" spans="1:17" x14ac:dyDescent="0.35">
      <c r="A94" s="1"/>
      <c r="B94" s="1"/>
      <c r="C94" s="1"/>
      <c r="D94" s="1"/>
      <c r="E94" s="1"/>
      <c r="F94" s="1"/>
      <c r="G94" s="1"/>
      <c r="H94" s="1"/>
      <c r="I94" s="1"/>
      <c r="J94" s="1"/>
      <c r="K94" s="1"/>
      <c r="L94" s="1"/>
      <c r="M94" s="1"/>
      <c r="N94" s="1"/>
      <c r="O94" s="1"/>
      <c r="P94" s="1"/>
      <c r="Q94" s="1"/>
    </row>
    <row r="95" spans="1:17" x14ac:dyDescent="0.35">
      <c r="A95" s="1"/>
      <c r="B95" s="1"/>
      <c r="C95" s="1"/>
      <c r="D95" s="1"/>
      <c r="E95" s="1"/>
      <c r="F95" s="1"/>
      <c r="G95" s="1"/>
      <c r="H95" s="1"/>
      <c r="I95" s="1"/>
      <c r="J95" s="1"/>
      <c r="K95" s="1"/>
      <c r="L95" s="1"/>
      <c r="M95" s="1"/>
      <c r="N95" s="1"/>
      <c r="O95" s="1"/>
      <c r="P95" s="1"/>
      <c r="Q95" s="1"/>
    </row>
    <row r="96" spans="1:17" x14ac:dyDescent="0.35">
      <c r="A96" s="1"/>
      <c r="B96" s="1"/>
      <c r="C96" s="1"/>
      <c r="D96" s="1"/>
      <c r="E96" s="1"/>
      <c r="F96" s="1"/>
      <c r="G96" s="1"/>
      <c r="H96" s="1"/>
      <c r="I96" s="1"/>
      <c r="J96" s="1"/>
      <c r="K96" s="1"/>
      <c r="L96" s="1"/>
      <c r="M96" s="1"/>
      <c r="N96" s="1"/>
      <c r="O96" s="1"/>
      <c r="P96" s="1"/>
      <c r="Q96" s="1"/>
    </row>
    <row r="97" spans="1:17" x14ac:dyDescent="0.35">
      <c r="A97" s="1"/>
      <c r="B97" s="1"/>
      <c r="C97" s="1"/>
      <c r="D97" s="1"/>
      <c r="E97" s="1"/>
      <c r="F97" s="1"/>
      <c r="G97" s="1"/>
      <c r="H97" s="1"/>
      <c r="I97" s="1"/>
      <c r="J97" s="1"/>
      <c r="K97" s="1"/>
      <c r="L97" s="1"/>
      <c r="M97" s="1"/>
      <c r="N97" s="1"/>
      <c r="O97" s="1"/>
      <c r="P97" s="1"/>
      <c r="Q97" s="1"/>
    </row>
    <row r="98" spans="1:17" x14ac:dyDescent="0.35">
      <c r="A98" s="1"/>
      <c r="B98" s="1"/>
      <c r="C98" s="1"/>
      <c r="D98" s="1"/>
      <c r="E98" s="1"/>
      <c r="F98" s="1"/>
      <c r="G98" s="1"/>
      <c r="H98" s="1"/>
      <c r="I98" s="1"/>
      <c r="J98" s="1"/>
      <c r="K98" s="1"/>
      <c r="L98" s="1"/>
      <c r="M98" s="1"/>
      <c r="N98" s="1"/>
      <c r="O98" s="1"/>
      <c r="P98" s="1"/>
      <c r="Q98" s="1"/>
    </row>
    <row r="99" spans="1:17" x14ac:dyDescent="0.35">
      <c r="A99" s="1"/>
      <c r="B99" s="1"/>
      <c r="C99" s="1"/>
      <c r="D99" s="1"/>
      <c r="E99" s="1"/>
      <c r="F99" s="1"/>
      <c r="G99" s="1"/>
      <c r="H99" s="1"/>
      <c r="I99" s="1"/>
      <c r="J99" s="1"/>
      <c r="K99" s="1"/>
      <c r="L99" s="1"/>
      <c r="M99" s="1"/>
      <c r="N99" s="1"/>
      <c r="O99" s="1"/>
      <c r="P99" s="1"/>
      <c r="Q99" s="1"/>
    </row>
    <row r="100" spans="1:17" x14ac:dyDescent="0.35">
      <c r="A100" s="1"/>
      <c r="B100" s="1"/>
      <c r="C100" s="1"/>
      <c r="D100" s="1"/>
      <c r="E100" s="1"/>
      <c r="F100" s="1"/>
      <c r="G100" s="1"/>
      <c r="H100" s="1"/>
      <c r="I100" s="1"/>
      <c r="J100" s="1"/>
      <c r="K100" s="1"/>
      <c r="L100" s="1"/>
      <c r="M100" s="1"/>
      <c r="N100" s="1"/>
      <c r="O100" s="1"/>
      <c r="P100" s="1"/>
      <c r="Q100" s="1"/>
    </row>
    <row r="101" spans="1:17" x14ac:dyDescent="0.35">
      <c r="A101" s="1"/>
      <c r="B101" s="1"/>
      <c r="C101" s="1"/>
      <c r="D101" s="1"/>
      <c r="E101" s="1"/>
      <c r="F101" s="1"/>
      <c r="G101" s="1"/>
      <c r="H101" s="1"/>
      <c r="I101" s="1"/>
      <c r="J101" s="1"/>
      <c r="K101" s="1"/>
      <c r="L101" s="1"/>
      <c r="M101" s="1"/>
      <c r="N101" s="1"/>
      <c r="O101" s="1"/>
      <c r="P101" s="1"/>
      <c r="Q101" s="1"/>
    </row>
    <row r="102" spans="1:17" x14ac:dyDescent="0.35">
      <c r="A102" s="1"/>
      <c r="B102" s="1"/>
      <c r="C102" s="1"/>
      <c r="D102" s="1"/>
      <c r="E102" s="1"/>
      <c r="F102" s="1"/>
      <c r="G102" s="1"/>
      <c r="H102" s="1"/>
      <c r="I102" s="1"/>
      <c r="J102" s="1"/>
      <c r="K102" s="1"/>
      <c r="L102" s="1"/>
      <c r="M102" s="1"/>
      <c r="N102" s="1"/>
      <c r="O102" s="1"/>
      <c r="P102" s="1"/>
      <c r="Q102" s="1"/>
    </row>
    <row r="103" spans="1:17" x14ac:dyDescent="0.35">
      <c r="A103" s="1"/>
      <c r="B103" s="1"/>
      <c r="C103" s="1"/>
      <c r="D103" s="1"/>
      <c r="E103" s="1"/>
      <c r="F103" s="1"/>
      <c r="G103" s="1"/>
      <c r="H103" s="1"/>
      <c r="I103" s="1"/>
      <c r="J103" s="1"/>
      <c r="K103" s="1"/>
      <c r="L103" s="1"/>
      <c r="M103" s="1"/>
      <c r="N103" s="1"/>
      <c r="O103" s="1"/>
      <c r="P103" s="1"/>
      <c r="Q103" s="1"/>
    </row>
    <row r="104" spans="1:17" x14ac:dyDescent="0.35">
      <c r="A104" s="1"/>
      <c r="B104" s="1"/>
      <c r="C104" s="1"/>
      <c r="D104" s="1"/>
      <c r="E104" s="1"/>
      <c r="F104" s="1"/>
      <c r="G104" s="1"/>
      <c r="H104" s="1"/>
      <c r="I104" s="1"/>
      <c r="J104" s="1"/>
      <c r="K104" s="1"/>
      <c r="L104" s="1"/>
      <c r="M104" s="1"/>
      <c r="N104" s="1"/>
      <c r="O104" s="1"/>
      <c r="P104" s="1"/>
      <c r="Q104" s="1"/>
    </row>
    <row r="105" spans="1:17" x14ac:dyDescent="0.35">
      <c r="A105" s="1"/>
      <c r="B105" s="1"/>
      <c r="C105" s="1"/>
      <c r="D105" s="1"/>
      <c r="E105" s="1"/>
      <c r="F105" s="1"/>
      <c r="G105" s="1"/>
      <c r="H105" s="1"/>
      <c r="I105" s="1"/>
      <c r="J105" s="1"/>
      <c r="K105" s="1"/>
      <c r="L105" s="1"/>
      <c r="M105" s="1"/>
      <c r="N105" s="1"/>
      <c r="O105" s="1"/>
      <c r="P105" s="1"/>
      <c r="Q105" s="1"/>
    </row>
    <row r="106" spans="1:17" x14ac:dyDescent="0.35">
      <c r="A106" s="1"/>
      <c r="B106" s="1"/>
      <c r="C106" s="1"/>
      <c r="D106" s="1"/>
      <c r="E106" s="1"/>
      <c r="F106" s="1"/>
      <c r="G106" s="1"/>
      <c r="H106" s="1"/>
      <c r="I106" s="1"/>
      <c r="J106" s="1"/>
      <c r="K106" s="1"/>
      <c r="L106" s="1"/>
      <c r="M106" s="1"/>
      <c r="N106" s="1"/>
      <c r="O106" s="1"/>
      <c r="P106" s="1"/>
      <c r="Q106" s="1"/>
    </row>
    <row r="107" spans="1:17" x14ac:dyDescent="0.35">
      <c r="A107" s="1"/>
      <c r="B107" s="1"/>
      <c r="C107" s="1"/>
      <c r="D107" s="1"/>
      <c r="E107" s="1"/>
      <c r="F107" s="1"/>
      <c r="G107" s="1"/>
      <c r="H107" s="1"/>
      <c r="I107" s="1"/>
      <c r="J107" s="1"/>
      <c r="K107" s="1"/>
      <c r="L107" s="1"/>
      <c r="M107" s="1"/>
      <c r="N107" s="1"/>
      <c r="O107" s="1"/>
      <c r="P107" s="1"/>
      <c r="Q107" s="1"/>
    </row>
    <row r="108" spans="1:17" x14ac:dyDescent="0.35">
      <c r="A108" s="1"/>
      <c r="B108" s="1"/>
      <c r="C108" s="1"/>
      <c r="D108" s="1"/>
      <c r="E108" s="1"/>
      <c r="F108" s="1"/>
      <c r="G108" s="1"/>
      <c r="H108" s="1"/>
      <c r="I108" s="1"/>
      <c r="J108" s="1"/>
      <c r="K108" s="1"/>
      <c r="L108" s="1"/>
      <c r="M108" s="1"/>
      <c r="N108" s="1"/>
      <c r="O108" s="1"/>
      <c r="P108" s="1"/>
      <c r="Q108" s="1"/>
    </row>
    <row r="109" spans="1:17" x14ac:dyDescent="0.35">
      <c r="A109" s="1"/>
      <c r="B109" s="1"/>
      <c r="C109" s="1"/>
      <c r="D109" s="1"/>
      <c r="E109" s="1"/>
      <c r="F109" s="1"/>
      <c r="G109" s="1"/>
      <c r="H109" s="1"/>
      <c r="I109" s="1"/>
      <c r="J109" s="1"/>
      <c r="K109" s="1"/>
      <c r="L109" s="1"/>
      <c r="M109" s="1"/>
      <c r="N109" s="1"/>
      <c r="O109" s="1"/>
      <c r="P109" s="1"/>
      <c r="Q109" s="1"/>
    </row>
    <row r="110" spans="1:17" x14ac:dyDescent="0.35">
      <c r="A110" s="1"/>
      <c r="B110" s="1"/>
      <c r="C110" s="1"/>
      <c r="D110" s="1"/>
      <c r="E110" s="1"/>
      <c r="F110" s="1"/>
      <c r="G110" s="1"/>
      <c r="H110" s="1"/>
      <c r="I110" s="1"/>
      <c r="J110" s="1"/>
      <c r="K110" s="1"/>
      <c r="L110" s="1"/>
      <c r="M110" s="1"/>
      <c r="N110" s="1"/>
      <c r="O110" s="1"/>
      <c r="P110" s="1"/>
      <c r="Q110" s="1"/>
    </row>
    <row r="111" spans="1:17" x14ac:dyDescent="0.35">
      <c r="A111" s="1"/>
      <c r="B111" s="1"/>
      <c r="C111" s="1"/>
      <c r="D111" s="1"/>
      <c r="E111" s="1"/>
      <c r="F111" s="1"/>
      <c r="G111" s="1"/>
      <c r="H111" s="1"/>
      <c r="I111" s="1"/>
      <c r="J111" s="1"/>
      <c r="K111" s="1"/>
      <c r="L111" s="1"/>
      <c r="M111" s="1"/>
      <c r="N111" s="1"/>
      <c r="O111" s="1"/>
      <c r="P111" s="1"/>
      <c r="Q111" s="1"/>
    </row>
    <row r="112" spans="1:17" x14ac:dyDescent="0.35">
      <c r="A112" s="1"/>
      <c r="B112" s="1"/>
      <c r="C112" s="1"/>
      <c r="D112" s="1"/>
      <c r="E112" s="1"/>
      <c r="F112" s="1"/>
      <c r="G112" s="1"/>
      <c r="H112" s="1"/>
      <c r="I112" s="1"/>
      <c r="J112" s="1"/>
      <c r="K112" s="1"/>
      <c r="L112" s="1"/>
      <c r="M112" s="1"/>
      <c r="N112" s="1"/>
      <c r="O112" s="1"/>
      <c r="P112" s="1"/>
      <c r="Q112" s="1"/>
    </row>
    <row r="113" spans="1:17" x14ac:dyDescent="0.35">
      <c r="A113" s="1"/>
      <c r="B113" s="1"/>
      <c r="C113" s="1"/>
      <c r="D113" s="1"/>
      <c r="E113" s="1"/>
      <c r="F113" s="1"/>
      <c r="G113" s="1"/>
      <c r="H113" s="1"/>
      <c r="I113" s="1"/>
      <c r="J113" s="1"/>
      <c r="K113" s="1"/>
      <c r="L113" s="1"/>
      <c r="M113" s="1"/>
      <c r="N113" s="1"/>
      <c r="O113" s="1"/>
      <c r="P113" s="1"/>
      <c r="Q113" s="1"/>
    </row>
    <row r="114" spans="1:17" x14ac:dyDescent="0.35">
      <c r="A114" s="1"/>
      <c r="B114" s="1"/>
      <c r="C114" s="1"/>
      <c r="D114" s="1"/>
      <c r="E114" s="1"/>
      <c r="F114" s="1"/>
      <c r="G114" s="1"/>
      <c r="H114" s="1"/>
      <c r="I114" s="1"/>
      <c r="J114" s="1"/>
      <c r="K114" s="1"/>
      <c r="L114" s="1"/>
      <c r="M114" s="1"/>
      <c r="N114" s="1"/>
      <c r="O114" s="1"/>
      <c r="P114" s="1"/>
      <c r="Q114" s="1"/>
    </row>
    <row r="115" spans="1:17" x14ac:dyDescent="0.35">
      <c r="A115" s="1"/>
      <c r="B115" s="1"/>
      <c r="C115" s="1"/>
      <c r="D115" s="1"/>
      <c r="E115" s="1"/>
      <c r="F115" s="1"/>
      <c r="G115" s="1"/>
      <c r="H115" s="1"/>
      <c r="I115" s="1"/>
      <c r="J115" s="1"/>
      <c r="K115" s="1"/>
      <c r="L115" s="1"/>
      <c r="M115" s="1"/>
      <c r="N115" s="1"/>
      <c r="O115" s="1"/>
      <c r="P115" s="1"/>
      <c r="Q115" s="1"/>
    </row>
    <row r="116" spans="1:17" x14ac:dyDescent="0.35">
      <c r="A116" s="1"/>
      <c r="B116" s="1"/>
      <c r="C116" s="1"/>
      <c r="D116" s="1"/>
      <c r="E116" s="1"/>
      <c r="F116" s="1"/>
      <c r="G116" s="1"/>
      <c r="H116" s="1"/>
      <c r="I116" s="1"/>
      <c r="J116" s="1"/>
      <c r="K116" s="1"/>
      <c r="L116" s="1"/>
      <c r="M116" s="1"/>
      <c r="N116" s="1"/>
      <c r="O116" s="1"/>
      <c r="P116" s="1"/>
      <c r="Q116" s="1"/>
    </row>
    <row r="117" spans="1:17" x14ac:dyDescent="0.35">
      <c r="A117" s="1"/>
      <c r="B117" s="1"/>
      <c r="C117" s="1"/>
      <c r="D117" s="1"/>
      <c r="E117" s="1"/>
      <c r="F117" s="1"/>
      <c r="G117" s="1"/>
      <c r="H117" s="1"/>
      <c r="I117" s="1"/>
      <c r="J117" s="1"/>
      <c r="K117" s="1"/>
      <c r="L117" s="1"/>
      <c r="M117" s="1"/>
      <c r="N117" s="1"/>
      <c r="O117" s="1"/>
      <c r="P117" s="1"/>
      <c r="Q117" s="1"/>
    </row>
    <row r="118" spans="1:17" x14ac:dyDescent="0.35">
      <c r="A118" s="1"/>
      <c r="B118" s="1"/>
      <c r="C118" s="1"/>
      <c r="D118" s="1"/>
      <c r="E118" s="1"/>
      <c r="F118" s="1"/>
      <c r="G118" s="1"/>
      <c r="H118" s="1"/>
      <c r="I118" s="1"/>
      <c r="J118" s="1"/>
      <c r="K118" s="1"/>
      <c r="L118" s="1"/>
      <c r="M118" s="1"/>
      <c r="N118" s="1"/>
      <c r="O118" s="1"/>
      <c r="P118" s="1"/>
      <c r="Q118" s="1"/>
    </row>
    <row r="119" spans="1:17" x14ac:dyDescent="0.35">
      <c r="A119" s="1"/>
      <c r="B119" s="1"/>
      <c r="C119" s="1"/>
      <c r="D119" s="1"/>
      <c r="E119" s="1"/>
      <c r="F119" s="1"/>
      <c r="G119" s="1"/>
      <c r="H119" s="1"/>
      <c r="I119" s="1"/>
      <c r="J119" s="1"/>
      <c r="K119" s="1"/>
      <c r="L119" s="1"/>
      <c r="M119" s="1"/>
      <c r="N119" s="1"/>
      <c r="O119" s="1"/>
      <c r="P119" s="1"/>
      <c r="Q119" s="1"/>
    </row>
    <row r="120" spans="1:17" x14ac:dyDescent="0.35">
      <c r="A120" s="1"/>
      <c r="B120" s="1"/>
      <c r="C120" s="1"/>
      <c r="D120" s="1"/>
      <c r="E120" s="1"/>
      <c r="F120" s="1"/>
      <c r="G120" s="1"/>
      <c r="H120" s="1"/>
      <c r="I120" s="1"/>
      <c r="J120" s="1"/>
      <c r="K120" s="1"/>
      <c r="L120" s="1"/>
      <c r="M120" s="1"/>
      <c r="N120" s="1"/>
      <c r="O120" s="1"/>
      <c r="P120" s="1"/>
      <c r="Q120" s="1"/>
    </row>
    <row r="121" spans="1:17" x14ac:dyDescent="0.35">
      <c r="A121" s="1"/>
      <c r="B121" s="1"/>
      <c r="C121" s="1"/>
      <c r="D121" s="1"/>
      <c r="E121" s="1"/>
      <c r="F121" s="1"/>
      <c r="G121" s="1"/>
      <c r="H121" s="1"/>
      <c r="I121" s="1"/>
      <c r="J121" s="1"/>
      <c r="K121" s="1"/>
      <c r="L121" s="1"/>
      <c r="M121" s="1"/>
      <c r="N121" s="1"/>
      <c r="O121" s="1"/>
      <c r="P121" s="1"/>
      <c r="Q121" s="1"/>
    </row>
    <row r="122" spans="1:17" x14ac:dyDescent="0.35">
      <c r="A122" s="1"/>
      <c r="B122" s="1"/>
      <c r="C122" s="1"/>
      <c r="D122" s="1"/>
      <c r="E122" s="1"/>
      <c r="F122" s="1"/>
      <c r="G122" s="1"/>
      <c r="H122" s="1"/>
      <c r="I122" s="1"/>
      <c r="J122" s="1"/>
      <c r="K122" s="1"/>
      <c r="L122" s="1"/>
      <c r="M122" s="1"/>
      <c r="N122" s="1"/>
      <c r="O122" s="1"/>
      <c r="P122" s="1"/>
      <c r="Q122" s="1"/>
    </row>
    <row r="123" spans="1:17" x14ac:dyDescent="0.35">
      <c r="A123" s="1"/>
      <c r="B123" s="1"/>
      <c r="C123" s="1"/>
      <c r="D123" s="1"/>
      <c r="E123" s="1"/>
      <c r="F123" s="1"/>
      <c r="G123" s="1"/>
      <c r="H123" s="1"/>
      <c r="I123" s="1"/>
      <c r="J123" s="1"/>
      <c r="K123" s="1"/>
      <c r="L123" s="1"/>
      <c r="M123" s="1"/>
      <c r="N123" s="1"/>
      <c r="O123" s="1"/>
      <c r="P123" s="1"/>
      <c r="Q123" s="1"/>
    </row>
    <row r="124" spans="1:17" x14ac:dyDescent="0.35">
      <c r="A124" s="1"/>
      <c r="B124" s="1"/>
      <c r="C124" s="1"/>
      <c r="D124" s="1"/>
      <c r="E124" s="1"/>
      <c r="F124" s="1"/>
      <c r="G124" s="1"/>
      <c r="H124" s="1"/>
      <c r="I124" s="1"/>
      <c r="J124" s="1"/>
      <c r="K124" s="1"/>
      <c r="L124" s="1"/>
      <c r="M124" s="1"/>
      <c r="N124" s="1"/>
      <c r="O124" s="1"/>
      <c r="P124" s="1"/>
      <c r="Q124" s="1"/>
    </row>
    <row r="125" spans="1:17" x14ac:dyDescent="0.35">
      <c r="A125" s="1"/>
      <c r="B125" s="1"/>
      <c r="C125" s="1"/>
      <c r="D125" s="1"/>
      <c r="E125" s="1"/>
      <c r="F125" s="1"/>
      <c r="G125" s="1"/>
      <c r="H125" s="1"/>
      <c r="I125" s="1"/>
      <c r="J125" s="1"/>
      <c r="K125" s="1"/>
      <c r="L125" s="1"/>
      <c r="M125" s="1"/>
      <c r="N125" s="1"/>
      <c r="O125" s="1"/>
      <c r="P125" s="1"/>
      <c r="Q125" s="1"/>
    </row>
    <row r="126" spans="1:17" x14ac:dyDescent="0.35">
      <c r="A126" s="1"/>
      <c r="B126" s="1"/>
      <c r="C126" s="1"/>
      <c r="D126" s="1"/>
      <c r="E126" s="1"/>
      <c r="F126" s="1"/>
      <c r="G126" s="1"/>
      <c r="H126" s="1"/>
      <c r="I126" s="1"/>
      <c r="J126" s="1"/>
      <c r="K126" s="1"/>
      <c r="L126" s="1"/>
      <c r="M126" s="1"/>
      <c r="N126" s="1"/>
      <c r="O126" s="1"/>
      <c r="P126" s="1"/>
      <c r="Q126" s="1"/>
    </row>
    <row r="127" spans="1:17" x14ac:dyDescent="0.35">
      <c r="A127" s="1"/>
      <c r="B127" s="1"/>
      <c r="C127" s="1"/>
      <c r="D127" s="1"/>
      <c r="E127" s="1"/>
      <c r="F127" s="1"/>
      <c r="G127" s="1"/>
      <c r="H127" s="1"/>
      <c r="I127" s="1"/>
      <c r="J127" s="1"/>
      <c r="K127" s="1"/>
      <c r="L127" s="1"/>
      <c r="M127" s="1"/>
      <c r="N127" s="1"/>
      <c r="O127" s="1"/>
      <c r="P127" s="1"/>
      <c r="Q127" s="1"/>
    </row>
    <row r="128" spans="1:17" x14ac:dyDescent="0.35">
      <c r="A128" s="1"/>
      <c r="B128" s="1"/>
      <c r="C128" s="1"/>
      <c r="D128" s="1"/>
      <c r="E128" s="1"/>
      <c r="F128" s="1"/>
      <c r="G128" s="1"/>
      <c r="H128" s="1"/>
      <c r="I128" s="1"/>
      <c r="J128" s="1"/>
      <c r="K128" s="1"/>
      <c r="L128" s="1"/>
      <c r="M128" s="1"/>
      <c r="N128" s="1"/>
      <c r="O128" s="1"/>
      <c r="P128" s="1"/>
      <c r="Q128" s="1"/>
    </row>
    <row r="129" spans="1:17" x14ac:dyDescent="0.35">
      <c r="A129" s="1"/>
      <c r="B129" s="1"/>
      <c r="C129" s="1"/>
      <c r="D129" s="1"/>
      <c r="E129" s="1"/>
      <c r="F129" s="1"/>
      <c r="G129" s="1"/>
      <c r="H129" s="1"/>
      <c r="I129" s="1"/>
      <c r="J129" s="1"/>
      <c r="K129" s="1"/>
      <c r="L129" s="1"/>
      <c r="M129" s="1"/>
      <c r="N129" s="1"/>
      <c r="O129" s="1"/>
      <c r="P129" s="1"/>
      <c r="Q129" s="1"/>
    </row>
    <row r="130" spans="1:17" x14ac:dyDescent="0.35">
      <c r="A130" s="1"/>
      <c r="B130" s="1"/>
      <c r="C130" s="1"/>
      <c r="D130" s="1"/>
      <c r="E130" s="1"/>
      <c r="F130" s="1"/>
      <c r="G130" s="1"/>
      <c r="H130" s="1"/>
      <c r="I130" s="1"/>
      <c r="J130" s="1"/>
      <c r="K130" s="1"/>
      <c r="L130" s="1"/>
      <c r="M130" s="1"/>
      <c r="N130" s="1"/>
      <c r="O130" s="1"/>
      <c r="P130" s="1"/>
      <c r="Q130" s="1"/>
    </row>
    <row r="131" spans="1:17" x14ac:dyDescent="0.35">
      <c r="A131" s="1"/>
      <c r="B131" s="1"/>
      <c r="C131" s="1"/>
      <c r="D131" s="1"/>
      <c r="E131" s="1"/>
      <c r="F131" s="1"/>
      <c r="G131" s="1"/>
      <c r="H131" s="1"/>
      <c r="I131" s="1"/>
      <c r="J131" s="1"/>
      <c r="K131" s="1"/>
      <c r="L131" s="1"/>
      <c r="M131" s="1"/>
      <c r="N131" s="1"/>
      <c r="O131" s="1"/>
      <c r="P131" s="1"/>
      <c r="Q131" s="1"/>
    </row>
    <row r="132" spans="1:17" x14ac:dyDescent="0.35">
      <c r="A132" s="1"/>
      <c r="B132" s="1"/>
      <c r="C132" s="1"/>
      <c r="D132" s="1"/>
      <c r="E132" s="1"/>
      <c r="F132" s="1"/>
      <c r="G132" s="1"/>
      <c r="H132" s="1"/>
      <c r="I132" s="1"/>
      <c r="J132" s="1"/>
      <c r="K132" s="1"/>
      <c r="L132" s="1"/>
      <c r="M132" s="1"/>
      <c r="N132" s="1"/>
      <c r="O132" s="1"/>
      <c r="P132" s="1"/>
      <c r="Q132" s="1"/>
    </row>
    <row r="133" spans="1:17" x14ac:dyDescent="0.35">
      <c r="A133" s="1"/>
      <c r="B133" s="1"/>
      <c r="C133" s="1"/>
      <c r="D133" s="1"/>
      <c r="E133" s="1"/>
      <c r="F133" s="1"/>
      <c r="G133" s="1"/>
      <c r="H133" s="1"/>
      <c r="I133" s="1"/>
      <c r="J133" s="1"/>
      <c r="K133" s="1"/>
      <c r="L133" s="1"/>
      <c r="M133" s="1"/>
      <c r="N133" s="1"/>
      <c r="O133" s="1"/>
      <c r="P133" s="1"/>
      <c r="Q133" s="1"/>
    </row>
    <row r="134" spans="1:17" x14ac:dyDescent="0.35">
      <c r="A134" s="1"/>
      <c r="B134" s="1"/>
      <c r="C134" s="1"/>
      <c r="D134" s="1"/>
      <c r="E134" s="1"/>
      <c r="F134" s="1"/>
      <c r="G134" s="1"/>
      <c r="H134" s="1"/>
      <c r="I134" s="1"/>
      <c r="J134" s="1"/>
      <c r="K134" s="1"/>
      <c r="L134" s="1"/>
      <c r="M134" s="1"/>
      <c r="N134" s="1"/>
      <c r="O134" s="1"/>
      <c r="P134" s="1"/>
      <c r="Q134" s="1"/>
    </row>
    <row r="135" spans="1:17" x14ac:dyDescent="0.35">
      <c r="A135" s="1"/>
      <c r="B135" s="1"/>
      <c r="C135" s="1"/>
      <c r="D135" s="1"/>
      <c r="E135" s="1"/>
      <c r="F135" s="1"/>
      <c r="G135" s="1"/>
      <c r="H135" s="1"/>
      <c r="I135" s="1"/>
      <c r="J135" s="1"/>
      <c r="K135" s="1"/>
      <c r="L135" s="1"/>
      <c r="M135" s="1"/>
      <c r="N135" s="1"/>
      <c r="O135" s="1"/>
      <c r="P135" s="1"/>
      <c r="Q135" s="1"/>
    </row>
    <row r="136" spans="1:17" x14ac:dyDescent="0.35">
      <c r="A136" s="1"/>
      <c r="B136" s="1"/>
      <c r="C136" s="1"/>
      <c r="D136" s="1"/>
      <c r="E136" s="1"/>
      <c r="F136" s="1"/>
      <c r="G136" s="1"/>
      <c r="H136" s="1"/>
      <c r="I136" s="1"/>
      <c r="J136" s="1"/>
      <c r="K136" s="1"/>
      <c r="L136" s="1"/>
      <c r="M136" s="1"/>
      <c r="N136" s="1"/>
      <c r="O136" s="1"/>
      <c r="P136" s="1"/>
      <c r="Q136" s="1"/>
    </row>
    <row r="137" spans="1:17" x14ac:dyDescent="0.35">
      <c r="A137" s="1"/>
      <c r="B137" s="1"/>
      <c r="C137" s="1"/>
      <c r="D137" s="1"/>
      <c r="E137" s="1"/>
      <c r="F137" s="1"/>
      <c r="G137" s="1"/>
      <c r="H137" s="1"/>
      <c r="I137" s="1"/>
      <c r="J137" s="1"/>
      <c r="K137" s="1"/>
      <c r="L137" s="1"/>
      <c r="M137" s="1"/>
      <c r="N137" s="1"/>
      <c r="O137" s="1"/>
      <c r="P137" s="1"/>
      <c r="Q137" s="1"/>
    </row>
    <row r="138" spans="1:17" x14ac:dyDescent="0.35">
      <c r="A138" s="1"/>
      <c r="B138" s="1"/>
      <c r="C138" s="1"/>
      <c r="D138" s="1"/>
      <c r="E138" s="1"/>
      <c r="F138" s="1"/>
      <c r="G138" s="1"/>
      <c r="H138" s="1"/>
      <c r="I138" s="1"/>
      <c r="J138" s="1"/>
      <c r="K138" s="1"/>
      <c r="L138" s="1"/>
      <c r="M138" s="1"/>
      <c r="N138" s="1"/>
      <c r="O138" s="1"/>
      <c r="P138" s="1"/>
      <c r="Q138" s="1"/>
    </row>
    <row r="139" spans="1:17" x14ac:dyDescent="0.35">
      <c r="A139" s="1"/>
      <c r="B139" s="1"/>
      <c r="C139" s="1"/>
      <c r="D139" s="1"/>
      <c r="E139" s="1"/>
      <c r="F139" s="1"/>
      <c r="G139" s="1"/>
      <c r="H139" s="1"/>
      <c r="I139" s="1"/>
      <c r="J139" s="1"/>
      <c r="K139" s="1"/>
      <c r="L139" s="1"/>
      <c r="M139" s="1"/>
      <c r="N139" s="1"/>
      <c r="O139" s="1"/>
      <c r="P139" s="1"/>
      <c r="Q139" s="1"/>
    </row>
    <row r="140" spans="1:17" x14ac:dyDescent="0.35">
      <c r="A140" s="1"/>
      <c r="B140" s="1"/>
      <c r="C140" s="1"/>
      <c r="D140" s="1"/>
      <c r="E140" s="1"/>
      <c r="F140" s="1"/>
      <c r="G140" s="1"/>
      <c r="H140" s="1"/>
      <c r="I140" s="1"/>
      <c r="J140" s="1"/>
      <c r="K140" s="1"/>
      <c r="L140" s="1"/>
      <c r="M140" s="1"/>
      <c r="N140" s="1"/>
      <c r="O140" s="1"/>
      <c r="P140" s="1"/>
      <c r="Q140" s="1"/>
    </row>
    <row r="141" spans="1:17" x14ac:dyDescent="0.35">
      <c r="A141" s="1"/>
      <c r="B141" s="1"/>
      <c r="C141" s="1"/>
      <c r="D141" s="1"/>
      <c r="E141" s="1"/>
      <c r="F141" s="1"/>
      <c r="G141" s="1"/>
      <c r="H141" s="1"/>
      <c r="I141" s="1"/>
      <c r="J141" s="1"/>
      <c r="K141" s="1"/>
      <c r="L141" s="1"/>
      <c r="M141" s="1"/>
      <c r="N141" s="1"/>
      <c r="O141" s="1"/>
      <c r="P141" s="1"/>
      <c r="Q141" s="1"/>
    </row>
    <row r="142" spans="1:17" x14ac:dyDescent="0.35">
      <c r="A142" s="1"/>
      <c r="B142" s="1"/>
      <c r="C142" s="1"/>
      <c r="D142" s="1"/>
      <c r="E142" s="1"/>
      <c r="F142" s="1"/>
      <c r="G142" s="1"/>
      <c r="H142" s="1"/>
      <c r="I142" s="1"/>
      <c r="J142" s="1"/>
      <c r="K142" s="1"/>
      <c r="L142" s="1"/>
      <c r="M142" s="1"/>
      <c r="N142" s="1"/>
      <c r="O142" s="1"/>
      <c r="P142" s="1"/>
      <c r="Q142" s="1"/>
    </row>
    <row r="143" spans="1:17" x14ac:dyDescent="0.35">
      <c r="A143" s="1"/>
      <c r="B143" s="1"/>
      <c r="C143" s="1"/>
      <c r="D143" s="1"/>
      <c r="E143" s="1"/>
      <c r="F143" s="1"/>
      <c r="G143" s="1"/>
      <c r="H143" s="1"/>
      <c r="I143" s="1"/>
      <c r="J143" s="1"/>
      <c r="K143" s="1"/>
      <c r="L143" s="1"/>
      <c r="M143" s="1"/>
      <c r="N143" s="1"/>
      <c r="O143" s="1"/>
      <c r="P143" s="1"/>
      <c r="Q143" s="1"/>
    </row>
    <row r="144" spans="1:17" x14ac:dyDescent="0.35">
      <c r="A144" s="1"/>
      <c r="B144" s="1"/>
      <c r="C144" s="1"/>
      <c r="D144" s="1"/>
      <c r="E144" s="1"/>
      <c r="F144" s="1"/>
      <c r="G144" s="1"/>
      <c r="H144" s="1"/>
      <c r="I144" s="1"/>
      <c r="J144" s="1"/>
      <c r="K144" s="1"/>
      <c r="L144" s="1"/>
      <c r="M144" s="1"/>
      <c r="N144" s="1"/>
      <c r="O144" s="1"/>
      <c r="P144" s="1"/>
      <c r="Q144" s="1"/>
    </row>
    <row r="145" spans="1:17" x14ac:dyDescent="0.35">
      <c r="A145" s="1"/>
      <c r="B145" s="1"/>
      <c r="C145" s="1"/>
      <c r="D145" s="1"/>
      <c r="E145" s="1"/>
      <c r="F145" s="1"/>
      <c r="G145" s="1"/>
      <c r="H145" s="1"/>
      <c r="I145" s="1"/>
      <c r="J145" s="1"/>
      <c r="K145" s="1"/>
      <c r="L145" s="1"/>
      <c r="M145" s="1"/>
      <c r="N145" s="1"/>
      <c r="O145" s="1"/>
      <c r="P145" s="1"/>
      <c r="Q145" s="1"/>
    </row>
    <row r="146" spans="1:17" x14ac:dyDescent="0.35">
      <c r="A146" s="1"/>
      <c r="B146" s="1"/>
      <c r="C146" s="1"/>
      <c r="D146" s="1"/>
      <c r="E146" s="1"/>
      <c r="F146" s="1"/>
      <c r="G146" s="1"/>
      <c r="H146" s="1"/>
      <c r="I146" s="1"/>
      <c r="J146" s="1"/>
      <c r="K146" s="1"/>
      <c r="L146" s="1"/>
      <c r="M146" s="1"/>
      <c r="N146" s="1"/>
      <c r="O146" s="1"/>
      <c r="P146" s="1"/>
      <c r="Q146" s="1"/>
    </row>
    <row r="147" spans="1:17" x14ac:dyDescent="0.35">
      <c r="A147" s="1"/>
      <c r="B147" s="1"/>
      <c r="C147" s="1"/>
      <c r="D147" s="1"/>
      <c r="E147" s="1"/>
      <c r="F147" s="1"/>
      <c r="G147" s="1"/>
      <c r="H147" s="1"/>
      <c r="I147" s="1"/>
      <c r="J147" s="1"/>
      <c r="K147" s="1"/>
      <c r="L147" s="1"/>
      <c r="M147" s="1"/>
      <c r="N147" s="1"/>
      <c r="O147" s="1"/>
      <c r="P147" s="1"/>
      <c r="Q147" s="1"/>
    </row>
    <row r="148" spans="1:17" x14ac:dyDescent="0.35">
      <c r="A148" s="1"/>
      <c r="B148" s="1"/>
      <c r="C148" s="1"/>
      <c r="D148" s="1"/>
      <c r="E148" s="1"/>
      <c r="F148" s="1"/>
      <c r="G148" s="1"/>
      <c r="H148" s="1"/>
      <c r="I148" s="1"/>
      <c r="J148" s="1"/>
      <c r="K148" s="1"/>
      <c r="L148" s="1"/>
      <c r="M148" s="1"/>
      <c r="N148" s="1"/>
      <c r="O148" s="1"/>
      <c r="P148" s="1"/>
      <c r="Q148" s="1"/>
    </row>
    <row r="149" spans="1:17" x14ac:dyDescent="0.35">
      <c r="A149" s="1"/>
      <c r="B149" s="1"/>
      <c r="C149" s="1"/>
      <c r="D149" s="1"/>
      <c r="E149" s="1"/>
      <c r="F149" s="1"/>
      <c r="G149" s="1"/>
      <c r="H149" s="1"/>
      <c r="I149" s="1"/>
      <c r="J149" s="1"/>
      <c r="K149" s="1"/>
      <c r="L149" s="1"/>
      <c r="M149" s="1"/>
      <c r="N149" s="1"/>
      <c r="O149" s="1"/>
      <c r="P149" s="1"/>
      <c r="Q149" s="1"/>
    </row>
    <row r="150" spans="1:17" x14ac:dyDescent="0.35">
      <c r="A150" s="1"/>
      <c r="B150" s="1"/>
      <c r="C150" s="1"/>
      <c r="D150" s="1"/>
      <c r="E150" s="1"/>
      <c r="F150" s="1"/>
      <c r="G150" s="1"/>
      <c r="H150" s="1"/>
      <c r="I150" s="1"/>
      <c r="J150" s="1"/>
      <c r="K150" s="1"/>
      <c r="L150" s="1"/>
      <c r="M150" s="1"/>
      <c r="N150" s="1"/>
      <c r="O150" s="1"/>
      <c r="P150" s="1"/>
      <c r="Q150" s="1"/>
    </row>
    <row r="151" spans="1:17" x14ac:dyDescent="0.35">
      <c r="A151" s="1"/>
      <c r="B151" s="1"/>
      <c r="C151" s="1"/>
      <c r="D151" s="1"/>
      <c r="E151" s="1"/>
      <c r="F151" s="1"/>
      <c r="G151" s="1"/>
      <c r="H151" s="1"/>
      <c r="I151" s="1"/>
      <c r="J151" s="1"/>
      <c r="K151" s="1"/>
      <c r="L151" s="1"/>
      <c r="M151" s="1"/>
      <c r="N151" s="1"/>
      <c r="O151" s="1"/>
      <c r="P151" s="1"/>
      <c r="Q151" s="1"/>
    </row>
    <row r="152" spans="1:17" x14ac:dyDescent="0.35">
      <c r="A152" s="1"/>
      <c r="B152" s="1"/>
      <c r="C152" s="1"/>
      <c r="D152" s="1"/>
      <c r="E152" s="1"/>
      <c r="F152" s="1"/>
      <c r="G152" s="1"/>
      <c r="H152" s="1"/>
      <c r="I152" s="1"/>
      <c r="J152" s="1"/>
      <c r="K152" s="1"/>
      <c r="L152" s="1"/>
      <c r="M152" s="1"/>
      <c r="N152" s="1"/>
      <c r="O152" s="1"/>
      <c r="P152" s="1"/>
      <c r="Q152" s="1"/>
    </row>
    <row r="153" spans="1:17" x14ac:dyDescent="0.35">
      <c r="A153" s="1"/>
      <c r="B153" s="1"/>
      <c r="C153" s="1"/>
      <c r="D153" s="1"/>
      <c r="E153" s="1"/>
      <c r="F153" s="1"/>
      <c r="G153" s="1"/>
      <c r="H153" s="1"/>
      <c r="I153" s="1"/>
      <c r="J153" s="1"/>
      <c r="K153" s="1"/>
      <c r="L153" s="1"/>
      <c r="M153" s="1"/>
      <c r="N153" s="1"/>
      <c r="O153" s="1"/>
      <c r="P153" s="1"/>
      <c r="Q153" s="1"/>
    </row>
    <row r="154" spans="1:17" x14ac:dyDescent="0.35">
      <c r="A154" s="1"/>
      <c r="B154" s="1"/>
      <c r="C154" s="1"/>
      <c r="D154" s="1"/>
      <c r="E154" s="1"/>
      <c r="F154" s="1"/>
      <c r="G154" s="1"/>
      <c r="H154" s="1"/>
      <c r="I154" s="1"/>
      <c r="J154" s="1"/>
      <c r="K154" s="1"/>
      <c r="L154" s="1"/>
      <c r="M154" s="1"/>
      <c r="N154" s="1"/>
      <c r="O154" s="1"/>
      <c r="P154" s="1"/>
      <c r="Q154" s="1"/>
    </row>
    <row r="155" spans="1:17" x14ac:dyDescent="0.35">
      <c r="A155" s="1"/>
      <c r="B155" s="1"/>
      <c r="C155" s="1"/>
      <c r="D155" s="1"/>
      <c r="E155" s="1"/>
      <c r="F155" s="1"/>
      <c r="G155" s="1"/>
      <c r="H155" s="1"/>
      <c r="I155" s="1"/>
      <c r="J155" s="1"/>
      <c r="K155" s="1"/>
      <c r="L155" s="1"/>
      <c r="M155" s="1"/>
      <c r="N155" s="1"/>
      <c r="O155" s="1"/>
      <c r="P155" s="1"/>
      <c r="Q155" s="1"/>
    </row>
    <row r="156" spans="1:17" x14ac:dyDescent="0.35">
      <c r="A156" s="1"/>
      <c r="B156" s="1"/>
      <c r="C156" s="1"/>
      <c r="D156" s="1"/>
      <c r="E156" s="1"/>
      <c r="F156" s="1"/>
      <c r="G156" s="1"/>
      <c r="H156" s="1"/>
      <c r="I156" s="1"/>
      <c r="J156" s="1"/>
      <c r="K156" s="1"/>
      <c r="L156" s="1"/>
      <c r="M156" s="1"/>
      <c r="N156" s="1"/>
      <c r="O156" s="1"/>
      <c r="P156" s="1"/>
      <c r="Q156" s="1"/>
    </row>
    <row r="157" spans="1:17" x14ac:dyDescent="0.35">
      <c r="A157" s="1"/>
      <c r="B157" s="1"/>
      <c r="C157" s="1"/>
      <c r="D157" s="1"/>
      <c r="E157" s="1"/>
      <c r="F157" s="1"/>
      <c r="G157" s="1"/>
      <c r="H157" s="1"/>
      <c r="I157" s="1"/>
      <c r="J157" s="1"/>
      <c r="K157" s="1"/>
      <c r="L157" s="1"/>
      <c r="M157" s="1"/>
      <c r="N157" s="1"/>
      <c r="O157" s="1"/>
      <c r="P157" s="1"/>
      <c r="Q157" s="1"/>
    </row>
    <row r="158" spans="1:17" x14ac:dyDescent="0.35">
      <c r="A158" s="1"/>
      <c r="B158" s="1"/>
      <c r="C158" s="1"/>
      <c r="D158" s="1"/>
      <c r="E158" s="1"/>
      <c r="F158" s="1"/>
      <c r="G158" s="1"/>
      <c r="H158" s="1"/>
      <c r="I158" s="1"/>
      <c r="J158" s="1"/>
      <c r="K158" s="1"/>
      <c r="L158" s="1"/>
      <c r="M158" s="1"/>
      <c r="N158" s="1"/>
      <c r="O158" s="1"/>
      <c r="P158" s="1"/>
      <c r="Q158" s="1"/>
    </row>
    <row r="159" spans="1:17" x14ac:dyDescent="0.35">
      <c r="A159" s="1"/>
      <c r="B159" s="1"/>
      <c r="C159" s="1"/>
      <c r="D159" s="1"/>
      <c r="E159" s="1"/>
      <c r="F159" s="1"/>
      <c r="G159" s="1"/>
      <c r="H159" s="1"/>
      <c r="I159" s="1"/>
      <c r="J159" s="1"/>
      <c r="K159" s="1"/>
      <c r="L159" s="1"/>
      <c r="M159" s="1"/>
      <c r="N159" s="1"/>
      <c r="O159" s="1"/>
      <c r="P159" s="1"/>
      <c r="Q159" s="1"/>
    </row>
    <row r="160" spans="1:17" x14ac:dyDescent="0.35">
      <c r="A160" s="1"/>
      <c r="B160" s="1"/>
      <c r="C160" s="1"/>
      <c r="D160" s="1"/>
      <c r="E160" s="1"/>
      <c r="F160" s="1"/>
      <c r="G160" s="1"/>
      <c r="H160" s="1"/>
      <c r="I160" s="1"/>
      <c r="J160" s="1"/>
      <c r="K160" s="1"/>
      <c r="L160" s="1"/>
      <c r="M160" s="1"/>
      <c r="N160" s="1"/>
      <c r="O160" s="1"/>
      <c r="P160" s="1"/>
      <c r="Q160" s="1"/>
    </row>
    <row r="161" spans="1:17" x14ac:dyDescent="0.35">
      <c r="A161" s="1"/>
      <c r="B161" s="1"/>
      <c r="C161" s="1"/>
      <c r="D161" s="1"/>
      <c r="E161" s="1"/>
      <c r="F161" s="1"/>
      <c r="G161" s="1"/>
      <c r="H161" s="1"/>
      <c r="I161" s="1"/>
      <c r="J161" s="1"/>
      <c r="K161" s="1"/>
      <c r="L161" s="1"/>
      <c r="M161" s="1"/>
      <c r="N161" s="1"/>
      <c r="O161" s="1"/>
      <c r="P161" s="1"/>
      <c r="Q161" s="1"/>
    </row>
    <row r="162" spans="1:17" x14ac:dyDescent="0.35">
      <c r="A162" s="1"/>
      <c r="B162" s="1"/>
      <c r="C162" s="1"/>
      <c r="D162" s="1"/>
      <c r="E162" s="1"/>
      <c r="F162" s="1"/>
      <c r="G162" s="1"/>
      <c r="H162" s="1"/>
      <c r="I162" s="1"/>
      <c r="J162" s="1"/>
      <c r="K162" s="1"/>
      <c r="L162" s="1"/>
      <c r="M162" s="1"/>
      <c r="N162" s="1"/>
      <c r="O162" s="1"/>
      <c r="P162" s="1"/>
      <c r="Q162" s="1"/>
    </row>
    <row r="163" spans="1:17" x14ac:dyDescent="0.35">
      <c r="A163" s="1"/>
      <c r="B163" s="1"/>
      <c r="C163" s="1"/>
      <c r="D163" s="1"/>
      <c r="E163" s="1"/>
      <c r="F163" s="1"/>
      <c r="G163" s="1"/>
      <c r="H163" s="1"/>
      <c r="I163" s="1"/>
      <c r="J163" s="1"/>
      <c r="K163" s="1"/>
      <c r="L163" s="1"/>
      <c r="M163" s="1"/>
      <c r="N163" s="1"/>
      <c r="O163" s="1"/>
      <c r="P163" s="1"/>
      <c r="Q163" s="1"/>
    </row>
    <row r="164" spans="1:17" x14ac:dyDescent="0.35">
      <c r="A164" s="1"/>
      <c r="B164" s="1"/>
      <c r="C164" s="1"/>
      <c r="D164" s="1"/>
      <c r="E164" s="1"/>
      <c r="F164" s="1"/>
      <c r="G164" s="1"/>
      <c r="H164" s="1"/>
      <c r="I164" s="1"/>
      <c r="J164" s="1"/>
      <c r="K164" s="1"/>
      <c r="L164" s="1"/>
      <c r="M164" s="1"/>
      <c r="N164" s="1"/>
      <c r="O164" s="1"/>
      <c r="P164" s="1"/>
      <c r="Q164" s="1"/>
    </row>
    <row r="165" spans="1:17" x14ac:dyDescent="0.35">
      <c r="A165" s="1"/>
      <c r="B165" s="1"/>
      <c r="C165" s="1"/>
      <c r="D165" s="1"/>
      <c r="E165" s="1"/>
      <c r="F165" s="1"/>
      <c r="G165" s="1"/>
      <c r="H165" s="1"/>
      <c r="I165" s="1"/>
      <c r="J165" s="1"/>
      <c r="K165" s="1"/>
      <c r="L165" s="1"/>
      <c r="M165" s="1"/>
      <c r="N165" s="1"/>
      <c r="O165" s="1"/>
      <c r="P165" s="1"/>
      <c r="Q165" s="1"/>
    </row>
    <row r="166" spans="1:17" x14ac:dyDescent="0.35">
      <c r="A166" s="1"/>
      <c r="B166" s="1"/>
      <c r="C166" s="1"/>
      <c r="D166" s="1"/>
      <c r="E166" s="1"/>
      <c r="F166" s="1"/>
      <c r="G166" s="1"/>
      <c r="H166" s="1"/>
      <c r="I166" s="1"/>
      <c r="J166" s="1"/>
      <c r="K166" s="1"/>
      <c r="L166" s="1"/>
      <c r="M166" s="1"/>
      <c r="N166" s="1"/>
      <c r="O166" s="1"/>
      <c r="P166" s="1"/>
      <c r="Q166" s="1"/>
    </row>
    <row r="167" spans="1:17" x14ac:dyDescent="0.35">
      <c r="A167" s="1"/>
      <c r="B167" s="1"/>
      <c r="C167" s="1"/>
      <c r="D167" s="1"/>
      <c r="E167" s="1"/>
      <c r="F167" s="1"/>
      <c r="G167" s="1"/>
      <c r="H167" s="1"/>
      <c r="I167" s="1"/>
      <c r="J167" s="1"/>
      <c r="K167" s="1"/>
      <c r="L167" s="1"/>
      <c r="M167" s="1"/>
      <c r="N167" s="1"/>
      <c r="O167" s="1"/>
      <c r="P167" s="1"/>
      <c r="Q167" s="1"/>
    </row>
    <row r="168" spans="1:17" x14ac:dyDescent="0.35">
      <c r="A168" s="1"/>
      <c r="B168" s="1"/>
      <c r="C168" s="1"/>
      <c r="D168" s="1"/>
      <c r="E168" s="1"/>
      <c r="F168" s="1"/>
      <c r="G168" s="1"/>
      <c r="H168" s="1"/>
      <c r="I168" s="1"/>
      <c r="J168" s="1"/>
      <c r="K168" s="1"/>
      <c r="L168" s="1"/>
      <c r="M168" s="1"/>
      <c r="N168" s="1"/>
      <c r="O168" s="1"/>
      <c r="P168" s="1"/>
      <c r="Q168" s="1"/>
    </row>
    <row r="169" spans="1:17" x14ac:dyDescent="0.35">
      <c r="A169" s="1"/>
      <c r="B169" s="1"/>
      <c r="C169" s="1"/>
      <c r="D169" s="1"/>
      <c r="E169" s="1"/>
      <c r="F169" s="1"/>
      <c r="G169" s="1"/>
      <c r="H169" s="1"/>
      <c r="I169" s="1"/>
      <c r="J169" s="1"/>
      <c r="K169" s="1"/>
      <c r="L169" s="1"/>
      <c r="M169" s="1"/>
      <c r="N169" s="1"/>
      <c r="O169" s="1"/>
      <c r="P169" s="1"/>
      <c r="Q169" s="1"/>
    </row>
    <row r="170" spans="1:17" x14ac:dyDescent="0.35">
      <c r="A170" s="1"/>
      <c r="B170" s="1"/>
      <c r="C170" s="1"/>
      <c r="D170" s="1"/>
      <c r="E170" s="1"/>
      <c r="F170" s="1"/>
      <c r="G170" s="1"/>
      <c r="H170" s="1"/>
      <c r="I170" s="1"/>
      <c r="J170" s="1"/>
      <c r="K170" s="1"/>
      <c r="L170" s="1"/>
      <c r="M170" s="1"/>
      <c r="N170" s="1"/>
      <c r="O170" s="1"/>
      <c r="P170" s="1"/>
      <c r="Q170" s="1"/>
    </row>
    <row r="171" spans="1:17" x14ac:dyDescent="0.35">
      <c r="A171" s="1"/>
      <c r="B171" s="1"/>
      <c r="C171" s="1"/>
      <c r="D171" s="1"/>
      <c r="E171" s="1"/>
      <c r="F171" s="1"/>
      <c r="G171" s="1"/>
      <c r="H171" s="1"/>
      <c r="I171" s="1"/>
      <c r="J171" s="1"/>
      <c r="K171" s="1"/>
      <c r="L171" s="1"/>
      <c r="M171" s="1"/>
      <c r="N171" s="1"/>
      <c r="O171" s="1"/>
      <c r="P171" s="1"/>
      <c r="Q171" s="1"/>
    </row>
    <row r="172" spans="1:17" x14ac:dyDescent="0.35">
      <c r="A172" s="1"/>
      <c r="B172" s="1"/>
      <c r="C172" s="1"/>
      <c r="D172" s="1"/>
      <c r="E172" s="1"/>
      <c r="F172" s="1"/>
      <c r="G172" s="1"/>
      <c r="H172" s="1"/>
      <c r="I172" s="1"/>
      <c r="J172" s="1"/>
      <c r="K172" s="1"/>
      <c r="L172" s="1"/>
      <c r="M172" s="1"/>
      <c r="N172" s="1"/>
      <c r="O172" s="1"/>
      <c r="P172" s="1"/>
      <c r="Q172" s="1"/>
    </row>
    <row r="173" spans="1:17" x14ac:dyDescent="0.35">
      <c r="A173" s="1"/>
      <c r="B173" s="1"/>
      <c r="C173" s="1"/>
      <c r="D173" s="1"/>
      <c r="E173" s="1"/>
      <c r="F173" s="1"/>
      <c r="G173" s="1"/>
      <c r="H173" s="1"/>
      <c r="I173" s="1"/>
      <c r="J173" s="1"/>
      <c r="K173" s="1"/>
      <c r="L173" s="1"/>
      <c r="M173" s="1"/>
      <c r="N173" s="1"/>
      <c r="O173" s="1"/>
      <c r="P173" s="1"/>
      <c r="Q173" s="1"/>
    </row>
    <row r="174" spans="1:17" x14ac:dyDescent="0.35">
      <c r="A174" s="1"/>
      <c r="B174" s="1"/>
      <c r="C174" s="1"/>
      <c r="D174" s="1"/>
      <c r="E174" s="1"/>
      <c r="F174" s="1"/>
      <c r="G174" s="1"/>
      <c r="H174" s="1"/>
      <c r="I174" s="1"/>
      <c r="J174" s="1"/>
      <c r="K174" s="1"/>
      <c r="L174" s="1"/>
      <c r="M174" s="1"/>
      <c r="N174" s="1"/>
      <c r="O174" s="1"/>
      <c r="P174" s="1"/>
      <c r="Q174" s="1"/>
    </row>
    <row r="175" spans="1:17" x14ac:dyDescent="0.35">
      <c r="A175" s="1"/>
      <c r="B175" s="1"/>
      <c r="C175" s="1"/>
      <c r="D175" s="1"/>
      <c r="E175" s="1"/>
      <c r="F175" s="1"/>
      <c r="G175" s="1"/>
      <c r="H175" s="1"/>
      <c r="I175" s="1"/>
      <c r="J175" s="1"/>
      <c r="K175" s="1"/>
      <c r="L175" s="1"/>
      <c r="M175" s="1"/>
      <c r="N175" s="1"/>
      <c r="O175" s="1"/>
      <c r="P175" s="1"/>
      <c r="Q175" s="1"/>
    </row>
    <row r="176" spans="1:17" x14ac:dyDescent="0.35">
      <c r="A176" s="1"/>
      <c r="B176" s="1"/>
      <c r="C176" s="1"/>
      <c r="D176" s="1"/>
      <c r="E176" s="1"/>
      <c r="F176" s="1"/>
      <c r="G176" s="1"/>
      <c r="H176" s="1"/>
      <c r="I176" s="1"/>
      <c r="J176" s="1"/>
      <c r="K176" s="1"/>
      <c r="L176" s="1"/>
      <c r="M176" s="1"/>
      <c r="N176" s="1"/>
      <c r="O176" s="1"/>
      <c r="P176" s="1"/>
      <c r="Q176" s="1"/>
    </row>
    <row r="177" spans="1:17" x14ac:dyDescent="0.35">
      <c r="A177" s="1"/>
      <c r="B177" s="1"/>
      <c r="C177" s="1"/>
      <c r="D177" s="1"/>
      <c r="E177" s="1"/>
      <c r="F177" s="1"/>
      <c r="G177" s="1"/>
      <c r="H177" s="1"/>
      <c r="I177" s="1"/>
      <c r="J177" s="1"/>
      <c r="K177" s="1"/>
      <c r="L177" s="1"/>
      <c r="M177" s="1"/>
      <c r="N177" s="1"/>
      <c r="O177" s="1"/>
      <c r="P177" s="1"/>
      <c r="Q177" s="1"/>
    </row>
    <row r="178" spans="1:17" x14ac:dyDescent="0.35">
      <c r="A178" s="1"/>
      <c r="B178" s="1"/>
      <c r="C178" s="1"/>
      <c r="D178" s="1"/>
      <c r="E178" s="1"/>
      <c r="F178" s="1"/>
      <c r="G178" s="1"/>
      <c r="H178" s="1"/>
      <c r="I178" s="1"/>
      <c r="J178" s="1"/>
      <c r="K178" s="1"/>
      <c r="L178" s="1"/>
      <c r="M178" s="1"/>
      <c r="N178" s="1"/>
      <c r="O178" s="1"/>
      <c r="P178" s="1"/>
      <c r="Q178" s="1"/>
    </row>
    <row r="179" spans="1:17" x14ac:dyDescent="0.35">
      <c r="A179" s="1"/>
      <c r="B179" s="1"/>
      <c r="C179" s="1"/>
      <c r="D179" s="1"/>
      <c r="E179" s="1"/>
      <c r="F179" s="1"/>
      <c r="G179" s="1"/>
      <c r="H179" s="1"/>
      <c r="I179" s="1"/>
      <c r="J179" s="1"/>
      <c r="K179" s="1"/>
      <c r="L179" s="1"/>
      <c r="M179" s="1"/>
      <c r="N179" s="1"/>
      <c r="O179" s="1"/>
      <c r="P179" s="1"/>
      <c r="Q179" s="1"/>
    </row>
    <row r="180" spans="1:17" x14ac:dyDescent="0.35">
      <c r="A180" s="1"/>
      <c r="B180" s="1"/>
      <c r="C180" s="1"/>
      <c r="D180" s="1"/>
      <c r="E180" s="1"/>
      <c r="F180" s="1"/>
      <c r="G180" s="1"/>
      <c r="H180" s="1"/>
      <c r="I180" s="1"/>
      <c r="J180" s="1"/>
      <c r="K180" s="1"/>
      <c r="L180" s="1"/>
      <c r="M180" s="1"/>
      <c r="N180" s="1"/>
      <c r="O180" s="1"/>
      <c r="P180" s="1"/>
      <c r="Q180" s="1"/>
    </row>
    <row r="181" spans="1:17" x14ac:dyDescent="0.35">
      <c r="A181" s="1"/>
      <c r="B181" s="1"/>
      <c r="C181" s="1"/>
      <c r="D181" s="1"/>
      <c r="E181" s="1"/>
      <c r="F181" s="1"/>
      <c r="G181" s="1"/>
      <c r="H181" s="1"/>
      <c r="I181" s="1"/>
      <c r="J181" s="1"/>
      <c r="K181" s="1"/>
      <c r="L181" s="1"/>
      <c r="M181" s="1"/>
      <c r="N181" s="1"/>
      <c r="O181" s="1"/>
      <c r="P181" s="1"/>
      <c r="Q181" s="1"/>
    </row>
    <row r="182" spans="1:17" x14ac:dyDescent="0.35">
      <c r="A182" s="1"/>
      <c r="B182" s="1"/>
      <c r="C182" s="1"/>
      <c r="D182" s="1"/>
      <c r="E182" s="1"/>
      <c r="F182" s="1"/>
      <c r="G182" s="1"/>
      <c r="H182" s="1"/>
      <c r="I182" s="1"/>
      <c r="J182" s="1"/>
      <c r="K182" s="1"/>
      <c r="L182" s="1"/>
      <c r="M182" s="1"/>
      <c r="N182" s="1"/>
      <c r="O182" s="1"/>
      <c r="P182" s="1"/>
      <c r="Q182" s="1"/>
    </row>
    <row r="183" spans="1:17" x14ac:dyDescent="0.35">
      <c r="A183" s="1"/>
      <c r="B183" s="1"/>
      <c r="C183" s="1"/>
      <c r="D183" s="1"/>
      <c r="E183" s="1"/>
      <c r="F183" s="1"/>
      <c r="G183" s="1"/>
      <c r="H183" s="1"/>
      <c r="I183" s="1"/>
      <c r="J183" s="1"/>
      <c r="K183" s="1"/>
      <c r="L183" s="1"/>
      <c r="M183" s="1"/>
      <c r="N183" s="1"/>
      <c r="O183" s="1"/>
      <c r="P183" s="1"/>
      <c r="Q183" s="1"/>
    </row>
    <row r="184" spans="1:17" x14ac:dyDescent="0.35">
      <c r="A184" s="1"/>
      <c r="B184" s="1"/>
      <c r="C184" s="1"/>
      <c r="D184" s="1"/>
      <c r="E184" s="1"/>
      <c r="F184" s="1"/>
      <c r="G184" s="1"/>
      <c r="H184" s="1"/>
      <c r="I184" s="1"/>
      <c r="J184" s="1"/>
      <c r="K184" s="1"/>
      <c r="L184" s="1"/>
      <c r="M184" s="1"/>
      <c r="N184" s="1"/>
      <c r="O184" s="1"/>
      <c r="P184" s="1"/>
      <c r="Q184" s="1"/>
    </row>
    <row r="185" spans="1:17" x14ac:dyDescent="0.35">
      <c r="A185" s="1"/>
      <c r="B185" s="1"/>
      <c r="C185" s="1"/>
      <c r="D185" s="1"/>
      <c r="E185" s="1"/>
      <c r="F185" s="1"/>
      <c r="G185" s="1"/>
      <c r="H185" s="1"/>
      <c r="I185" s="1"/>
      <c r="J185" s="1"/>
      <c r="K185" s="1"/>
      <c r="L185" s="1"/>
      <c r="M185" s="1"/>
      <c r="N185" s="1"/>
      <c r="O185" s="1"/>
      <c r="P185" s="1"/>
      <c r="Q185" s="1"/>
    </row>
    <row r="186" spans="1:17" x14ac:dyDescent="0.35">
      <c r="A186" s="1"/>
      <c r="B186" s="1"/>
      <c r="C186" s="1"/>
      <c r="D186" s="1"/>
      <c r="E186" s="1"/>
      <c r="F186" s="1"/>
      <c r="G186" s="1"/>
      <c r="H186" s="1"/>
      <c r="I186" s="1"/>
      <c r="J186" s="1"/>
      <c r="K186" s="1"/>
      <c r="L186" s="1"/>
      <c r="M186" s="1"/>
      <c r="N186" s="1"/>
      <c r="O186" s="1"/>
      <c r="P186" s="1"/>
      <c r="Q186" s="1"/>
    </row>
    <row r="187" spans="1:17" x14ac:dyDescent="0.35">
      <c r="A187" s="1"/>
      <c r="B187" s="1"/>
      <c r="C187" s="1"/>
      <c r="D187" s="1"/>
      <c r="E187" s="1"/>
      <c r="F187" s="1"/>
      <c r="G187" s="1"/>
      <c r="H187" s="1"/>
      <c r="I187" s="1"/>
      <c r="J187" s="1"/>
      <c r="K187" s="1"/>
      <c r="L187" s="1"/>
      <c r="M187" s="1"/>
      <c r="N187" s="1"/>
      <c r="O187" s="1"/>
      <c r="P187" s="1"/>
      <c r="Q187" s="1"/>
    </row>
    <row r="188" spans="1:17" x14ac:dyDescent="0.35">
      <c r="A188" s="1"/>
      <c r="B188" s="1"/>
      <c r="C188" s="1"/>
      <c r="D188" s="1"/>
      <c r="E188" s="1"/>
      <c r="F188" s="1"/>
      <c r="G188" s="1"/>
      <c r="H188" s="1"/>
      <c r="I188" s="1"/>
      <c r="J188" s="1"/>
      <c r="K188" s="1"/>
      <c r="L188" s="1"/>
      <c r="M188" s="1"/>
      <c r="N188" s="1"/>
      <c r="O188" s="1"/>
      <c r="P188" s="1"/>
      <c r="Q188" s="1"/>
    </row>
    <row r="189" spans="1:17" x14ac:dyDescent="0.35">
      <c r="A189" s="1"/>
      <c r="B189" s="1"/>
      <c r="C189" s="1"/>
      <c r="D189" s="1"/>
      <c r="E189" s="1"/>
      <c r="F189" s="1"/>
      <c r="G189" s="1"/>
      <c r="H189" s="1"/>
      <c r="I189" s="1"/>
      <c r="J189" s="1"/>
      <c r="K189" s="1"/>
      <c r="L189" s="1"/>
      <c r="M189" s="1"/>
      <c r="N189" s="1"/>
      <c r="O189" s="1"/>
      <c r="P189" s="1"/>
      <c r="Q189" s="1"/>
    </row>
    <row r="190" spans="1:17" x14ac:dyDescent="0.35">
      <c r="A190" s="1"/>
      <c r="B190" s="1"/>
      <c r="C190" s="1"/>
      <c r="D190" s="1"/>
      <c r="E190" s="1"/>
      <c r="F190" s="1"/>
      <c r="G190" s="1"/>
      <c r="H190" s="1"/>
      <c r="I190" s="1"/>
      <c r="J190" s="1"/>
      <c r="K190" s="1"/>
      <c r="L190" s="1"/>
      <c r="M190" s="1"/>
      <c r="N190" s="1"/>
      <c r="O190" s="1"/>
      <c r="P190" s="1"/>
      <c r="Q190" s="1"/>
    </row>
    <row r="191" spans="1:17" x14ac:dyDescent="0.35">
      <c r="A191" s="1"/>
      <c r="B191" s="1"/>
      <c r="C191" s="1"/>
      <c r="D191" s="1"/>
      <c r="E191" s="1"/>
      <c r="F191" s="1"/>
      <c r="G191" s="1"/>
      <c r="H191" s="1"/>
      <c r="I191" s="1"/>
      <c r="J191" s="1"/>
      <c r="K191" s="1"/>
      <c r="L191" s="1"/>
      <c r="M191" s="1"/>
      <c r="N191" s="1"/>
      <c r="O191" s="1"/>
      <c r="P191" s="1"/>
      <c r="Q191" s="1"/>
    </row>
    <row r="192" spans="1:17" x14ac:dyDescent="0.35">
      <c r="A192" s="1"/>
      <c r="B192" s="1"/>
      <c r="C192" s="1"/>
      <c r="D192" s="1"/>
      <c r="E192" s="1"/>
      <c r="F192" s="1"/>
      <c r="G192" s="1"/>
      <c r="H192" s="1"/>
      <c r="I192" s="1"/>
      <c r="J192" s="1"/>
      <c r="K192" s="1"/>
      <c r="L192" s="1"/>
      <c r="M192" s="1"/>
      <c r="N192" s="1"/>
      <c r="O192" s="1"/>
      <c r="P192" s="1"/>
      <c r="Q192" s="1"/>
    </row>
    <row r="193" spans="1:17" x14ac:dyDescent="0.35">
      <c r="A193" s="1"/>
      <c r="B193" s="1"/>
      <c r="C193" s="1"/>
      <c r="D193" s="1"/>
      <c r="E193" s="1"/>
      <c r="F193" s="1"/>
      <c r="G193" s="1"/>
      <c r="H193" s="1"/>
      <c r="I193" s="1"/>
      <c r="J193" s="1"/>
      <c r="K193" s="1"/>
      <c r="L193" s="1"/>
      <c r="M193" s="1"/>
      <c r="N193" s="1"/>
      <c r="O193" s="1"/>
      <c r="P193" s="1"/>
      <c r="Q193" s="1"/>
    </row>
    <row r="194" spans="1:17" x14ac:dyDescent="0.35">
      <c r="A194" s="1"/>
      <c r="B194" s="1"/>
      <c r="C194" s="1"/>
      <c r="D194" s="1"/>
      <c r="E194" s="1"/>
      <c r="F194" s="1"/>
      <c r="G194" s="1"/>
      <c r="H194" s="1"/>
      <c r="I194" s="1"/>
      <c r="J194" s="1"/>
      <c r="K194" s="1"/>
      <c r="L194" s="1"/>
      <c r="M194" s="1"/>
      <c r="N194" s="1"/>
      <c r="O194" s="1"/>
      <c r="P194" s="1"/>
      <c r="Q194" s="1"/>
    </row>
    <row r="195" spans="1:17" x14ac:dyDescent="0.35">
      <c r="A195" s="1"/>
      <c r="B195" s="1"/>
      <c r="C195" s="1"/>
      <c r="D195" s="1"/>
      <c r="E195" s="1"/>
      <c r="F195" s="1"/>
      <c r="G195" s="1"/>
      <c r="H195" s="1"/>
      <c r="I195" s="1"/>
      <c r="J195" s="1"/>
      <c r="K195" s="1"/>
      <c r="L195" s="1"/>
      <c r="M195" s="1"/>
      <c r="N195" s="1"/>
      <c r="O195" s="1"/>
      <c r="P195" s="1"/>
      <c r="Q195" s="1"/>
    </row>
    <row r="196" spans="1:17" x14ac:dyDescent="0.35">
      <c r="A196" s="1"/>
      <c r="B196" s="1"/>
      <c r="C196" s="1"/>
      <c r="D196" s="1"/>
      <c r="E196" s="1"/>
      <c r="F196" s="1"/>
      <c r="G196" s="1"/>
      <c r="H196" s="1"/>
      <c r="I196" s="1"/>
      <c r="J196" s="1"/>
      <c r="K196" s="1"/>
      <c r="L196" s="1"/>
      <c r="M196" s="1"/>
      <c r="N196" s="1"/>
      <c r="O196" s="1"/>
      <c r="P196" s="1"/>
      <c r="Q196" s="1"/>
    </row>
    <row r="197" spans="1:17" x14ac:dyDescent="0.35">
      <c r="A197" s="1"/>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1:17" x14ac:dyDescent="0.35">
      <c r="A198" s="1"/>
      <c r="B198" s="37"/>
      <c r="C198" s="38"/>
      <c r="D198" s="31"/>
      <c r="E198" s="32"/>
      <c r="F198" s="34"/>
      <c r="G198" s="33"/>
      <c r="H198" s="34"/>
      <c r="I198" s="33"/>
      <c r="J198" s="34"/>
      <c r="K198" s="34"/>
      <c r="L198" s="34"/>
      <c r="M198" s="33"/>
      <c r="N198" s="34"/>
      <c r="O198" s="35"/>
      <c r="P198" s="36"/>
      <c r="Q198" s="35"/>
    </row>
    <row r="199" spans="1:17" x14ac:dyDescent="0.35">
      <c r="A199" s="1"/>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1:17" x14ac:dyDescent="0.35">
      <c r="A200" s="1"/>
      <c r="B200" s="1"/>
      <c r="C200" s="1"/>
      <c r="D200" s="1"/>
      <c r="E200" s="1"/>
      <c r="F200" s="1"/>
      <c r="G200" s="1"/>
      <c r="H200" s="1"/>
      <c r="I200" s="1"/>
      <c r="J200" s="1"/>
      <c r="K200" s="1"/>
      <c r="L200" s="1"/>
      <c r="M200" s="1"/>
      <c r="N200" s="1"/>
      <c r="O200" s="1"/>
      <c r="P200" s="1"/>
      <c r="Q200" s="78" t="s">
        <v>21404</v>
      </c>
    </row>
    <row r="201" spans="1:17" x14ac:dyDescent="0.35">
      <c r="A201" s="1"/>
      <c r="B201" s="1"/>
      <c r="C201" s="78" t="s">
        <v>21592</v>
      </c>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77" t="s">
        <v>21399</v>
      </c>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t="s">
        <v>21398</v>
      </c>
      <c r="D205" s="1" t="s">
        <v>75</v>
      </c>
      <c r="E205" s="1" t="s">
        <v>13768</v>
      </c>
      <c r="F205" s="2" t="s">
        <v>21397</v>
      </c>
      <c r="G205" s="1" t="s">
        <v>9</v>
      </c>
      <c r="H205" s="1"/>
      <c r="I205" s="1"/>
      <c r="J205" s="1"/>
      <c r="K205" s="1"/>
      <c r="L205" s="1"/>
      <c r="M205" s="1"/>
      <c r="N205" s="1"/>
      <c r="O205" s="1"/>
      <c r="P205" s="1"/>
      <c r="Q205" s="1"/>
    </row>
    <row r="206" spans="1:17" x14ac:dyDescent="0.35">
      <c r="B206" s="49" t="s">
        <v>14988</v>
      </c>
      <c r="C206" s="352" t="s">
        <v>14989</v>
      </c>
    </row>
    <row r="207" spans="1:17" x14ac:dyDescent="0.35">
      <c r="B207" s="49" t="s">
        <v>14990</v>
      </c>
      <c r="C207" s="53" t="s">
        <v>14991</v>
      </c>
    </row>
    <row r="208" spans="1:17" x14ac:dyDescent="0.35">
      <c r="B208" s="49" t="s">
        <v>14992</v>
      </c>
      <c r="C208" s="53" t="s">
        <v>14993</v>
      </c>
    </row>
    <row r="209" spans="2:8" x14ac:dyDescent="0.35">
      <c r="B209" s="49" t="s">
        <v>14994</v>
      </c>
      <c r="C209" s="53" t="s">
        <v>14995</v>
      </c>
    </row>
    <row r="210" spans="2:8" x14ac:dyDescent="0.35">
      <c r="B210" s="49" t="s">
        <v>14996</v>
      </c>
      <c r="C210" s="53" t="s">
        <v>14997</v>
      </c>
    </row>
    <row r="211" spans="2:8" x14ac:dyDescent="0.35">
      <c r="B211" s="49" t="s">
        <v>14998</v>
      </c>
      <c r="C211" s="53" t="s">
        <v>14999</v>
      </c>
    </row>
    <row r="212" spans="2:8" x14ac:dyDescent="0.35">
      <c r="B212" s="49" t="s">
        <v>15000</v>
      </c>
      <c r="C212" s="53" t="s">
        <v>15001</v>
      </c>
    </row>
    <row r="213" spans="2:8" x14ac:dyDescent="0.35">
      <c r="B213" s="49" t="s">
        <v>15002</v>
      </c>
      <c r="C213" s="53" t="s">
        <v>15003</v>
      </c>
    </row>
    <row r="214" spans="2:8" ht="116" x14ac:dyDescent="0.35">
      <c r="C214" s="390" t="s">
        <v>14991</v>
      </c>
      <c r="D214" s="388" t="s">
        <v>20</v>
      </c>
      <c r="E214" s="388">
        <v>13200.01</v>
      </c>
      <c r="F214" s="388" t="s">
        <v>22305</v>
      </c>
      <c r="G214" s="388" t="s">
        <v>22306</v>
      </c>
      <c r="H214" s="388" t="s">
        <v>22307</v>
      </c>
    </row>
    <row r="215" spans="2:8" ht="101.5" x14ac:dyDescent="0.35">
      <c r="C215" s="390" t="s">
        <v>14993</v>
      </c>
      <c r="D215" s="388" t="s">
        <v>18</v>
      </c>
      <c r="E215" s="388">
        <v>13210.01</v>
      </c>
      <c r="F215" s="388" t="s">
        <v>22308</v>
      </c>
      <c r="G215" s="388" t="s">
        <v>21671</v>
      </c>
      <c r="H215" s="388" t="s">
        <v>22309</v>
      </c>
    </row>
    <row r="216" spans="2:8" ht="145" x14ac:dyDescent="0.35">
      <c r="C216" s="390" t="s">
        <v>14995</v>
      </c>
      <c r="D216" s="388" t="s">
        <v>20</v>
      </c>
      <c r="E216" s="388">
        <v>13220.01</v>
      </c>
      <c r="F216" s="388" t="s">
        <v>22310</v>
      </c>
      <c r="G216" s="388" t="s">
        <v>22292</v>
      </c>
      <c r="H216" s="388" t="s">
        <v>22311</v>
      </c>
    </row>
    <row r="217" spans="2:8" ht="116" x14ac:dyDescent="0.35">
      <c r="C217" s="390" t="s">
        <v>14997</v>
      </c>
      <c r="D217" s="388" t="s">
        <v>20</v>
      </c>
      <c r="E217" s="388">
        <v>13230.01</v>
      </c>
      <c r="F217" s="388" t="s">
        <v>22312</v>
      </c>
      <c r="G217" s="388" t="s">
        <v>22313</v>
      </c>
      <c r="H217" s="388" t="s">
        <v>22314</v>
      </c>
    </row>
    <row r="218" spans="2:8" ht="116" x14ac:dyDescent="0.35">
      <c r="C218" s="390" t="s">
        <v>14999</v>
      </c>
      <c r="D218" s="388" t="s">
        <v>20</v>
      </c>
      <c r="E218" s="388">
        <v>13240.01</v>
      </c>
      <c r="F218" s="388" t="s">
        <v>22315</v>
      </c>
      <c r="G218" s="388" t="s">
        <v>22316</v>
      </c>
      <c r="H218" s="388" t="s">
        <v>22317</v>
      </c>
    </row>
    <row r="219" spans="2:8" ht="116" x14ac:dyDescent="0.35">
      <c r="C219" s="390" t="s">
        <v>15001</v>
      </c>
      <c r="D219" s="388" t="s">
        <v>20</v>
      </c>
      <c r="E219" s="388">
        <v>13250.01</v>
      </c>
      <c r="F219" s="388" t="s">
        <v>22318</v>
      </c>
      <c r="G219" s="388" t="s">
        <v>22292</v>
      </c>
      <c r="H219" s="388" t="s">
        <v>22319</v>
      </c>
    </row>
    <row r="220" spans="2:8" ht="116" x14ac:dyDescent="0.35">
      <c r="C220" s="390" t="s">
        <v>15003</v>
      </c>
      <c r="D220" s="388" t="s">
        <v>20</v>
      </c>
      <c r="E220" s="388">
        <v>13260.01</v>
      </c>
      <c r="F220" s="388" t="s">
        <v>22320</v>
      </c>
      <c r="G220" s="388" t="s">
        <v>22287</v>
      </c>
      <c r="H220" s="388" t="s">
        <v>22321</v>
      </c>
    </row>
  </sheetData>
  <mergeCells count="9">
    <mergeCell ref="J5:K5"/>
    <mergeCell ref="J6:K6"/>
    <mergeCell ref="J7:K7"/>
    <mergeCell ref="A3:B3"/>
    <mergeCell ref="D3:G3"/>
    <mergeCell ref="J3:K3"/>
    <mergeCell ref="P3:Q3"/>
    <mergeCell ref="A4:B4"/>
    <mergeCell ref="J4:K4"/>
  </mergeCells>
  <dataValidations count="1">
    <dataValidation type="list" allowBlank="1" showInputMessage="1" showErrorMessage="1" sqref="C16:C190" xr:uid="{9FEE7347-5E05-44F9-84A1-27BD58B4C71E}">
      <formula1>$C$205:$C207</formula1>
    </dataValidation>
  </dataValidations>
  <hyperlinks>
    <hyperlink ref="D3" r:id="rId1" display="datamateapp@gmail.com" xr:uid="{600887CD-2FA3-4C0D-A330-F1DFBFB0BCA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79265" r:id="rId4" name="Button 1">
              <controlPr defaultSize="0" print="0" autoFill="0" autoPict="0" macro="SaveData">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779266" r:id="rId5" name="Button 2">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779267"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779268"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779269" r:id="rId8" name="Button 5">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779270" r:id="rId9" name="Button 6">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779271" r:id="rId10" name="Button 7">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779272" r:id="rId11" name="Button 8">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mc:AlternateContent xmlns:mc="http://schemas.openxmlformats.org/markup-compatibility/2006">
          <mc:Choice Requires="x14">
            <control shapeId="779273" r:id="rId12" name="Button 9">
              <controlPr defaultSize="0" print="0" autoFill="0" autoPict="0" macro="[0]!ExitSEC_132000">
                <anchor moveWithCells="1" sizeWithCells="1">
                  <from>
                    <xdr:col>16</xdr:col>
                    <xdr:colOff>0</xdr:colOff>
                    <xdr:row>0</xdr:row>
                    <xdr:rowOff>0</xdr:rowOff>
                  </from>
                  <to>
                    <xdr:col>16</xdr:col>
                    <xdr:colOff>1270000</xdr:colOff>
                    <xdr:row>2</xdr:row>
                    <xdr:rowOff>12700</xdr:rowOff>
                  </to>
                </anchor>
              </controlPr>
            </control>
          </mc:Choice>
        </mc:AlternateContent>
      </controls>
    </mc:Choice>
  </mc:AlternateContent>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00C7F-B50B-42C5-BCD1-20C14BCF9693}">
  <sheetPr codeName="Sheet176"/>
  <dimension ref="A1:Q218"/>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SPECIAL STRUCTURES</v>
      </c>
      <c r="J2" s="59"/>
      <c r="K2" s="59"/>
      <c r="L2" s="1"/>
      <c r="M2" s="59"/>
      <c r="N2" s="59"/>
      <c r="O2" s="60"/>
      <c r="P2" s="57"/>
      <c r="Q2" s="57"/>
    </row>
    <row r="3" spans="1:17" ht="15" thickBot="1" x14ac:dyDescent="0.4">
      <c r="A3" s="446" t="s">
        <v>21563</v>
      </c>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13 30 00</v>
      </c>
      <c r="C10" s="24" t="str">
        <f>C206</f>
        <v>SPECIAL STRUCTURES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SPECIAL STRUCTURES</v>
      </c>
      <c r="D12" s="31"/>
      <c r="E12" s="32"/>
      <c r="F12" s="34"/>
      <c r="G12" s="33"/>
      <c r="H12" s="34"/>
      <c r="I12" s="33"/>
      <c r="J12" s="34"/>
      <c r="K12" s="34"/>
      <c r="L12" s="34"/>
      <c r="M12" s="33"/>
      <c r="N12" s="34"/>
      <c r="O12" s="35"/>
      <c r="P12" s="31"/>
      <c r="Q12" s="35"/>
    </row>
    <row r="13" spans="1:17" x14ac:dyDescent="0.35">
      <c r="A13" s="1"/>
      <c r="B13" s="1"/>
      <c r="C13" s="1"/>
      <c r="D13" s="1"/>
      <c r="E13" s="1"/>
      <c r="F13" s="1"/>
      <c r="G13" s="1"/>
      <c r="H13" s="1"/>
      <c r="I13" s="1"/>
      <c r="J13" s="1"/>
      <c r="K13" s="1"/>
      <c r="L13" s="1"/>
      <c r="M13" s="1"/>
      <c r="N13" s="1"/>
      <c r="O13" s="1"/>
      <c r="P13" s="1"/>
      <c r="Q13" s="1"/>
    </row>
    <row r="14" spans="1:17" x14ac:dyDescent="0.35">
      <c r="A14" s="1"/>
      <c r="B14" s="1"/>
      <c r="C14" s="1"/>
      <c r="D14" s="1"/>
      <c r="E14" s="1"/>
      <c r="F14" s="1"/>
      <c r="G14" s="1"/>
      <c r="H14" s="1"/>
      <c r="I14" s="1"/>
      <c r="J14" s="1"/>
      <c r="K14" s="1"/>
      <c r="L14" s="1"/>
      <c r="M14" s="1"/>
      <c r="N14" s="1"/>
      <c r="O14" s="1"/>
      <c r="P14" s="1"/>
      <c r="Q14" s="1"/>
    </row>
    <row r="15" spans="1:17" x14ac:dyDescent="0.35">
      <c r="A15" s="1"/>
      <c r="B15" s="1"/>
      <c r="C15" s="1"/>
      <c r="D15" s="1"/>
      <c r="E15" s="1"/>
      <c r="F15" s="1"/>
      <c r="G15" s="1"/>
      <c r="H15" s="1"/>
      <c r="I15" s="1"/>
      <c r="J15" s="1"/>
      <c r="K15" s="1"/>
      <c r="L15" s="1"/>
      <c r="M15" s="1"/>
      <c r="N15" s="1"/>
      <c r="O15" s="1"/>
      <c r="P15" s="1"/>
      <c r="Q15" s="1"/>
    </row>
    <row r="16" spans="1:17" x14ac:dyDescent="0.35">
      <c r="A16" s="1"/>
      <c r="B16" s="1"/>
      <c r="C16" s="1"/>
      <c r="D16" s="1"/>
      <c r="E16" s="1"/>
      <c r="F16" s="1"/>
      <c r="G16" s="1"/>
      <c r="H16" s="1"/>
      <c r="I16" s="1"/>
      <c r="J16" s="1"/>
      <c r="K16" s="1"/>
      <c r="L16" s="1"/>
      <c r="M16" s="1"/>
      <c r="N16" s="1"/>
      <c r="O16" s="1"/>
      <c r="P16" s="1"/>
      <c r="Q16" s="1"/>
    </row>
    <row r="17" spans="1:17" x14ac:dyDescent="0.35">
      <c r="A17" s="1"/>
      <c r="B17" s="1"/>
      <c r="C17" s="1"/>
      <c r="D17" s="1"/>
      <c r="E17" s="1"/>
      <c r="F17" s="1"/>
      <c r="G17" s="1"/>
      <c r="H17" s="1"/>
      <c r="I17" s="1"/>
      <c r="J17" s="1"/>
      <c r="K17" s="1"/>
      <c r="L17" s="1"/>
      <c r="M17" s="1"/>
      <c r="N17" s="1"/>
      <c r="O17" s="1"/>
      <c r="P17" s="1"/>
      <c r="Q17" s="1"/>
    </row>
    <row r="18" spans="1:17" x14ac:dyDescent="0.35">
      <c r="A18" s="1"/>
      <c r="B18" s="1"/>
      <c r="C18" s="1"/>
      <c r="D18" s="1"/>
      <c r="E18" s="1"/>
      <c r="F18" s="1"/>
      <c r="G18" s="1"/>
      <c r="H18" s="1"/>
      <c r="I18" s="1"/>
      <c r="J18" s="1"/>
      <c r="K18" s="1"/>
      <c r="L18" s="1"/>
      <c r="M18" s="1"/>
      <c r="N18" s="1"/>
      <c r="O18" s="1"/>
      <c r="P18" s="1"/>
      <c r="Q18" s="1"/>
    </row>
    <row r="19" spans="1:17" x14ac:dyDescent="0.35">
      <c r="A19" s="1"/>
      <c r="B19" s="1"/>
      <c r="C19" s="1"/>
      <c r="D19" s="1"/>
      <c r="E19" s="1"/>
      <c r="F19" s="1"/>
      <c r="G19" s="1"/>
      <c r="H19" s="1"/>
      <c r="I19" s="1"/>
      <c r="J19" s="1"/>
      <c r="K19" s="1"/>
      <c r="L19" s="1"/>
      <c r="M19" s="1"/>
      <c r="N19" s="1"/>
      <c r="O19" s="1"/>
      <c r="P19" s="1"/>
      <c r="Q19" s="1"/>
    </row>
    <row r="20" spans="1:17" x14ac:dyDescent="0.35">
      <c r="A20" s="1"/>
      <c r="B20" s="1"/>
      <c r="C20" s="1"/>
      <c r="D20" s="1"/>
      <c r="E20" s="1"/>
      <c r="F20" s="1"/>
      <c r="G20" s="1"/>
      <c r="H20" s="1"/>
      <c r="I20" s="1"/>
      <c r="J20" s="1"/>
      <c r="K20" s="1"/>
      <c r="L20" s="1"/>
      <c r="M20" s="1"/>
      <c r="N20" s="1"/>
      <c r="O20" s="1"/>
      <c r="P20" s="1"/>
      <c r="Q20" s="1"/>
    </row>
    <row r="21" spans="1:17" x14ac:dyDescent="0.35">
      <c r="A21" s="1"/>
      <c r="B21" s="1"/>
      <c r="C21" s="1"/>
      <c r="D21" s="1"/>
      <c r="E21" s="1"/>
      <c r="F21" s="1"/>
      <c r="G21" s="1"/>
      <c r="H21" s="1"/>
      <c r="I21" s="1"/>
      <c r="J21" s="1"/>
      <c r="K21" s="1"/>
      <c r="L21" s="1"/>
      <c r="M21" s="1"/>
      <c r="N21" s="1"/>
      <c r="O21" s="1"/>
      <c r="P21" s="1"/>
      <c r="Q21" s="1"/>
    </row>
    <row r="22" spans="1:17" x14ac:dyDescent="0.35">
      <c r="A22" s="1"/>
      <c r="B22" s="1"/>
      <c r="C22" s="1"/>
      <c r="D22" s="1"/>
      <c r="E22" s="1"/>
      <c r="F22" s="1"/>
      <c r="G22" s="1"/>
      <c r="H22" s="1"/>
      <c r="I22" s="1"/>
      <c r="J22" s="1"/>
      <c r="K22" s="1"/>
      <c r="L22" s="1"/>
      <c r="M22" s="1"/>
      <c r="N22" s="1"/>
      <c r="O22" s="1"/>
      <c r="P22" s="1"/>
      <c r="Q22" s="1"/>
    </row>
    <row r="23" spans="1:17" x14ac:dyDescent="0.35">
      <c r="A23" s="1"/>
      <c r="B23" s="1"/>
      <c r="C23" s="1"/>
      <c r="D23" s="1"/>
      <c r="E23" s="1"/>
      <c r="F23" s="1"/>
      <c r="G23" s="1"/>
      <c r="H23" s="1"/>
      <c r="I23" s="1"/>
      <c r="J23" s="1"/>
      <c r="K23" s="1"/>
      <c r="L23" s="1"/>
      <c r="M23" s="1"/>
      <c r="N23" s="1"/>
      <c r="O23" s="1"/>
      <c r="P23" s="1"/>
      <c r="Q23" s="1"/>
    </row>
    <row r="24" spans="1:17" x14ac:dyDescent="0.35">
      <c r="A24" s="1"/>
      <c r="B24" s="1"/>
      <c r="C24" s="1"/>
      <c r="D24" s="1"/>
      <c r="E24" s="1"/>
      <c r="F24" s="1"/>
      <c r="G24" s="1"/>
      <c r="H24" s="1"/>
      <c r="I24" s="1"/>
      <c r="J24" s="1"/>
      <c r="K24" s="1"/>
      <c r="L24" s="1"/>
      <c r="M24" s="1"/>
      <c r="N24" s="1"/>
      <c r="O24" s="1"/>
      <c r="P24" s="1"/>
      <c r="Q24" s="1"/>
    </row>
    <row r="25" spans="1:17" x14ac:dyDescent="0.35">
      <c r="A25" s="1"/>
      <c r="B25" s="1"/>
      <c r="C25" s="1"/>
      <c r="D25" s="1"/>
      <c r="E25" s="1"/>
      <c r="F25" s="1"/>
      <c r="G25" s="1"/>
      <c r="H25" s="1"/>
      <c r="I25" s="1"/>
      <c r="J25" s="1"/>
      <c r="K25" s="1"/>
      <c r="L25" s="1"/>
      <c r="M25" s="1"/>
      <c r="N25" s="1"/>
      <c r="O25" s="1"/>
      <c r="P25" s="1"/>
      <c r="Q25" s="1"/>
    </row>
    <row r="26" spans="1:17" x14ac:dyDescent="0.35">
      <c r="A26" s="1"/>
      <c r="B26" s="1"/>
      <c r="C26" s="1"/>
      <c r="D26" s="1"/>
      <c r="E26" s="1"/>
      <c r="F26" s="1"/>
      <c r="G26" s="1"/>
      <c r="H26" s="1"/>
      <c r="I26" s="1"/>
      <c r="J26" s="1"/>
      <c r="K26" s="1"/>
      <c r="L26" s="1"/>
      <c r="M26" s="1"/>
      <c r="N26" s="1"/>
      <c r="O26" s="1"/>
      <c r="P26" s="1"/>
      <c r="Q26" s="1"/>
    </row>
    <row r="27" spans="1:17" x14ac:dyDescent="0.35">
      <c r="A27" s="1"/>
      <c r="B27" s="1"/>
      <c r="C27" s="1"/>
      <c r="D27" s="1"/>
      <c r="E27" s="1"/>
      <c r="F27" s="1"/>
      <c r="G27" s="1"/>
      <c r="H27" s="1"/>
      <c r="I27" s="1"/>
      <c r="J27" s="1"/>
      <c r="K27" s="1"/>
      <c r="L27" s="1"/>
      <c r="M27" s="1"/>
      <c r="N27" s="1"/>
      <c r="O27" s="1"/>
      <c r="P27" s="1"/>
      <c r="Q27" s="1"/>
    </row>
    <row r="28" spans="1:17" x14ac:dyDescent="0.35">
      <c r="A28" s="1"/>
      <c r="B28" s="1"/>
      <c r="C28" s="1"/>
      <c r="D28" s="1"/>
      <c r="E28" s="1"/>
      <c r="F28" s="1"/>
      <c r="G28" s="1"/>
      <c r="H28" s="1"/>
      <c r="I28" s="1"/>
      <c r="J28" s="1"/>
      <c r="K28" s="1"/>
      <c r="L28" s="1"/>
      <c r="M28" s="1"/>
      <c r="N28" s="1"/>
      <c r="O28" s="1"/>
      <c r="P28" s="1"/>
      <c r="Q28" s="1"/>
    </row>
    <row r="29" spans="1:17" x14ac:dyDescent="0.35">
      <c r="A29" s="1"/>
      <c r="B29" s="1"/>
      <c r="C29" s="1"/>
      <c r="D29" s="1"/>
      <c r="E29" s="1"/>
      <c r="F29" s="1"/>
      <c r="G29" s="1"/>
      <c r="H29" s="1"/>
      <c r="I29" s="1"/>
      <c r="J29" s="1"/>
      <c r="K29" s="1"/>
      <c r="L29" s="1"/>
      <c r="M29" s="1"/>
      <c r="N29" s="1"/>
      <c r="O29" s="1"/>
      <c r="P29" s="1"/>
      <c r="Q29" s="1"/>
    </row>
    <row r="30" spans="1:17" x14ac:dyDescent="0.35">
      <c r="A30" s="1"/>
      <c r="B30" s="1"/>
      <c r="C30" s="1"/>
      <c r="D30" s="1"/>
      <c r="E30" s="1"/>
      <c r="F30" s="1"/>
      <c r="G30" s="1"/>
      <c r="H30" s="1"/>
      <c r="I30" s="1"/>
      <c r="J30" s="1"/>
      <c r="K30" s="1"/>
      <c r="L30" s="1"/>
      <c r="M30" s="1"/>
      <c r="N30" s="1"/>
      <c r="O30" s="1"/>
      <c r="P30" s="1"/>
      <c r="Q30" s="1"/>
    </row>
    <row r="31" spans="1:17" x14ac:dyDescent="0.35">
      <c r="A31" s="1"/>
      <c r="B31" s="1"/>
      <c r="C31" s="1"/>
      <c r="D31" s="1"/>
      <c r="E31" s="1"/>
      <c r="F31" s="1"/>
      <c r="G31" s="1"/>
      <c r="H31" s="1"/>
      <c r="I31" s="1"/>
      <c r="J31" s="1"/>
      <c r="K31" s="1"/>
      <c r="L31" s="1"/>
      <c r="M31" s="1"/>
      <c r="N31" s="1"/>
      <c r="O31" s="1"/>
      <c r="P31" s="1"/>
      <c r="Q31" s="1"/>
    </row>
    <row r="32" spans="1:17" x14ac:dyDescent="0.35">
      <c r="A32" s="1"/>
      <c r="B32" s="1"/>
      <c r="C32" s="1"/>
      <c r="D32" s="1"/>
      <c r="E32" s="1"/>
      <c r="F32" s="1"/>
      <c r="G32" s="1"/>
      <c r="H32" s="1"/>
      <c r="I32" s="1"/>
      <c r="J32" s="1"/>
      <c r="K32" s="1"/>
      <c r="L32" s="1"/>
      <c r="M32" s="1"/>
      <c r="N32" s="1"/>
      <c r="O32" s="1"/>
      <c r="P32" s="1"/>
      <c r="Q32" s="1"/>
    </row>
    <row r="33" spans="1:17" x14ac:dyDescent="0.35">
      <c r="A33" s="1"/>
      <c r="B33" s="1"/>
      <c r="C33" s="1"/>
      <c r="D33" s="1"/>
      <c r="E33" s="1"/>
      <c r="F33" s="1"/>
      <c r="G33" s="1"/>
      <c r="H33" s="1"/>
      <c r="I33" s="1"/>
      <c r="J33" s="1"/>
      <c r="K33" s="1"/>
      <c r="L33" s="1"/>
      <c r="M33" s="1"/>
      <c r="N33" s="1"/>
      <c r="O33" s="1"/>
      <c r="P33" s="1"/>
      <c r="Q33" s="1"/>
    </row>
    <row r="34" spans="1:17" x14ac:dyDescent="0.35">
      <c r="A34" s="1"/>
      <c r="B34" s="1"/>
      <c r="C34" s="1"/>
      <c r="D34" s="1"/>
      <c r="E34" s="1"/>
      <c r="F34" s="1"/>
      <c r="G34" s="1"/>
      <c r="H34" s="1"/>
      <c r="I34" s="1"/>
      <c r="J34" s="1"/>
      <c r="K34" s="1"/>
      <c r="L34" s="1"/>
      <c r="M34" s="1"/>
      <c r="N34" s="1"/>
      <c r="O34" s="1"/>
      <c r="P34" s="1"/>
      <c r="Q34" s="1"/>
    </row>
    <row r="35" spans="1:17" x14ac:dyDescent="0.35">
      <c r="A35" s="1"/>
      <c r="B35" s="1"/>
      <c r="C35" s="1"/>
      <c r="D35" s="1"/>
      <c r="E35" s="1"/>
      <c r="F35" s="1"/>
      <c r="G35" s="1"/>
      <c r="H35" s="1"/>
      <c r="I35" s="1"/>
      <c r="J35" s="1"/>
      <c r="K35" s="1"/>
      <c r="L35" s="1"/>
      <c r="M35" s="1"/>
      <c r="N35" s="1"/>
      <c r="O35" s="1"/>
      <c r="P35" s="1"/>
      <c r="Q35" s="1"/>
    </row>
    <row r="36" spans="1:17" x14ac:dyDescent="0.35">
      <c r="A36" s="1"/>
      <c r="B36" s="1"/>
      <c r="C36" s="1"/>
      <c r="D36" s="1"/>
      <c r="E36" s="1"/>
      <c r="F36" s="1"/>
      <c r="G36" s="1"/>
      <c r="H36" s="1"/>
      <c r="I36" s="1"/>
      <c r="J36" s="1"/>
      <c r="K36" s="1"/>
      <c r="L36" s="1"/>
      <c r="M36" s="1"/>
      <c r="N36" s="1"/>
      <c r="O36" s="1"/>
      <c r="P36" s="1"/>
      <c r="Q36" s="1"/>
    </row>
    <row r="37" spans="1:17" x14ac:dyDescent="0.35">
      <c r="A37" s="1"/>
      <c r="B37" s="1"/>
      <c r="C37" s="1"/>
      <c r="D37" s="1"/>
      <c r="E37" s="1"/>
      <c r="F37" s="1"/>
      <c r="G37" s="1"/>
      <c r="H37" s="1"/>
      <c r="I37" s="1"/>
      <c r="J37" s="1"/>
      <c r="K37" s="1"/>
      <c r="L37" s="1"/>
      <c r="M37" s="1"/>
      <c r="N37" s="1"/>
      <c r="O37" s="1"/>
      <c r="P37" s="1"/>
      <c r="Q37" s="1"/>
    </row>
    <row r="38" spans="1:17" x14ac:dyDescent="0.35">
      <c r="A38" s="1"/>
      <c r="B38" s="1"/>
      <c r="C38" s="1"/>
      <c r="D38" s="1"/>
      <c r="E38" s="1"/>
      <c r="F38" s="1"/>
      <c r="G38" s="1"/>
      <c r="H38" s="1"/>
      <c r="I38" s="1"/>
      <c r="J38" s="1"/>
      <c r="K38" s="1"/>
      <c r="L38" s="1"/>
      <c r="M38" s="1"/>
      <c r="N38" s="1"/>
      <c r="O38" s="1"/>
      <c r="P38" s="1"/>
      <c r="Q38" s="1"/>
    </row>
    <row r="39" spans="1:17" x14ac:dyDescent="0.35">
      <c r="A39" s="1"/>
      <c r="B39" s="1"/>
      <c r="C39" s="1"/>
      <c r="D39" s="1"/>
      <c r="E39" s="1"/>
      <c r="F39" s="1"/>
      <c r="G39" s="1"/>
      <c r="H39" s="1"/>
      <c r="I39" s="1"/>
      <c r="J39" s="1"/>
      <c r="K39" s="1"/>
      <c r="L39" s="1"/>
      <c r="M39" s="1"/>
      <c r="N39" s="1"/>
      <c r="O39" s="1"/>
      <c r="P39" s="1"/>
      <c r="Q39" s="1"/>
    </row>
    <row r="40" spans="1:17" x14ac:dyDescent="0.35">
      <c r="A40" s="1"/>
      <c r="B40" s="1"/>
      <c r="C40" s="1"/>
      <c r="D40" s="1"/>
      <c r="E40" s="1"/>
      <c r="F40" s="1"/>
      <c r="G40" s="1"/>
      <c r="H40" s="1"/>
      <c r="I40" s="1"/>
      <c r="J40" s="1"/>
      <c r="K40" s="1"/>
      <c r="L40" s="1"/>
      <c r="M40" s="1"/>
      <c r="N40" s="1"/>
      <c r="O40" s="1"/>
      <c r="P40" s="1"/>
      <c r="Q40" s="1"/>
    </row>
    <row r="41" spans="1:17" x14ac:dyDescent="0.35">
      <c r="A41" s="1"/>
      <c r="B41" s="1"/>
      <c r="C41" s="1"/>
      <c r="D41" s="1"/>
      <c r="E41" s="1"/>
      <c r="F41" s="1"/>
      <c r="G41" s="1"/>
      <c r="H41" s="1"/>
      <c r="I41" s="1"/>
      <c r="J41" s="1"/>
      <c r="K41" s="1"/>
      <c r="L41" s="1"/>
      <c r="M41" s="1"/>
      <c r="N41" s="1"/>
      <c r="O41" s="1"/>
      <c r="P41" s="1"/>
      <c r="Q41" s="1"/>
    </row>
    <row r="42" spans="1:17" x14ac:dyDescent="0.35">
      <c r="A42" s="1"/>
      <c r="B42" s="1"/>
      <c r="C42" s="1"/>
      <c r="D42" s="1"/>
      <c r="E42" s="1"/>
      <c r="F42" s="1"/>
      <c r="G42" s="1"/>
      <c r="H42" s="1"/>
      <c r="I42" s="1"/>
      <c r="J42" s="1"/>
      <c r="K42" s="1"/>
      <c r="L42" s="1"/>
      <c r="M42" s="1"/>
      <c r="N42" s="1"/>
      <c r="O42" s="1"/>
      <c r="P42" s="1"/>
      <c r="Q42" s="1"/>
    </row>
    <row r="43" spans="1:17" x14ac:dyDescent="0.35">
      <c r="A43" s="1"/>
      <c r="B43" s="1"/>
      <c r="C43" s="1"/>
      <c r="D43" s="1"/>
      <c r="E43" s="1"/>
      <c r="F43" s="1"/>
      <c r="G43" s="1"/>
      <c r="H43" s="1"/>
      <c r="I43" s="1"/>
      <c r="J43" s="1"/>
      <c r="K43" s="1"/>
      <c r="L43" s="1"/>
      <c r="M43" s="1"/>
      <c r="N43" s="1"/>
      <c r="O43" s="1"/>
      <c r="P43" s="1"/>
      <c r="Q43" s="1"/>
    </row>
    <row r="44" spans="1:17" x14ac:dyDescent="0.35">
      <c r="A44" s="1"/>
      <c r="B44" s="1"/>
      <c r="C44" s="1"/>
      <c r="D44" s="1"/>
      <c r="E44" s="1"/>
      <c r="F44" s="1"/>
      <c r="G44" s="1"/>
      <c r="H44" s="1"/>
      <c r="I44" s="1"/>
      <c r="J44" s="1"/>
      <c r="K44" s="1"/>
      <c r="L44" s="1"/>
      <c r="M44" s="1"/>
      <c r="N44" s="1"/>
      <c r="O44" s="1"/>
      <c r="P44" s="1"/>
      <c r="Q44" s="1"/>
    </row>
    <row r="45" spans="1:17" x14ac:dyDescent="0.35">
      <c r="A45" s="1"/>
      <c r="B45" s="1"/>
      <c r="C45" s="1"/>
      <c r="D45" s="1"/>
      <c r="E45" s="1"/>
      <c r="F45" s="1"/>
      <c r="G45" s="1"/>
      <c r="H45" s="1"/>
      <c r="I45" s="1"/>
      <c r="J45" s="1"/>
      <c r="K45" s="1"/>
      <c r="L45" s="1"/>
      <c r="M45" s="1"/>
      <c r="N45" s="1"/>
      <c r="O45" s="1"/>
      <c r="P45" s="1"/>
      <c r="Q45" s="1"/>
    </row>
    <row r="46" spans="1:17" x14ac:dyDescent="0.35">
      <c r="A46" s="1"/>
      <c r="B46" s="1"/>
      <c r="C46" s="1"/>
      <c r="D46" s="1"/>
      <c r="E46" s="1"/>
      <c r="F46" s="1"/>
      <c r="G46" s="1"/>
      <c r="H46" s="1"/>
      <c r="I46" s="1"/>
      <c r="J46" s="1"/>
      <c r="K46" s="1"/>
      <c r="L46" s="1"/>
      <c r="M46" s="1"/>
      <c r="N46" s="1"/>
      <c r="O46" s="1"/>
      <c r="P46" s="1"/>
      <c r="Q46" s="1"/>
    </row>
    <row r="47" spans="1:17" x14ac:dyDescent="0.35">
      <c r="A47" s="1"/>
      <c r="B47" s="1"/>
      <c r="C47" s="1"/>
      <c r="D47" s="1"/>
      <c r="E47" s="1"/>
      <c r="F47" s="1"/>
      <c r="G47" s="1"/>
      <c r="H47" s="1"/>
      <c r="I47" s="1"/>
      <c r="J47" s="1"/>
      <c r="K47" s="1"/>
      <c r="L47" s="1"/>
      <c r="M47" s="1"/>
      <c r="N47" s="1"/>
      <c r="O47" s="1"/>
      <c r="P47" s="1"/>
      <c r="Q47" s="1"/>
    </row>
    <row r="48" spans="1:17" x14ac:dyDescent="0.35">
      <c r="A48" s="1"/>
      <c r="B48" s="1"/>
      <c r="C48" s="1"/>
      <c r="D48" s="1"/>
      <c r="E48" s="1"/>
      <c r="F48" s="1"/>
      <c r="G48" s="1"/>
      <c r="H48" s="1"/>
      <c r="I48" s="1"/>
      <c r="J48" s="1"/>
      <c r="K48" s="1"/>
      <c r="L48" s="1"/>
      <c r="M48" s="1"/>
      <c r="N48" s="1"/>
      <c r="O48" s="1"/>
      <c r="P48" s="1"/>
      <c r="Q48" s="1"/>
    </row>
    <row r="49" spans="1:17" x14ac:dyDescent="0.35">
      <c r="A49" s="1"/>
      <c r="B49" s="1"/>
      <c r="C49" s="1"/>
      <c r="D49" s="1"/>
      <c r="E49" s="1"/>
      <c r="F49" s="1"/>
      <c r="G49" s="1"/>
      <c r="H49" s="1"/>
      <c r="I49" s="1"/>
      <c r="J49" s="1"/>
      <c r="K49" s="1"/>
      <c r="L49" s="1"/>
      <c r="M49" s="1"/>
      <c r="N49" s="1"/>
      <c r="O49" s="1"/>
      <c r="P49" s="1"/>
      <c r="Q49" s="1"/>
    </row>
    <row r="50" spans="1:17" x14ac:dyDescent="0.35">
      <c r="A50" s="1"/>
      <c r="B50" s="1"/>
      <c r="C50" s="1"/>
      <c r="D50" s="1"/>
      <c r="E50" s="1"/>
      <c r="F50" s="1"/>
      <c r="G50" s="1"/>
      <c r="H50" s="1"/>
      <c r="I50" s="1"/>
      <c r="J50" s="1"/>
      <c r="K50" s="1"/>
      <c r="L50" s="1"/>
      <c r="M50" s="1"/>
      <c r="N50" s="1"/>
      <c r="O50" s="1"/>
      <c r="P50" s="1"/>
      <c r="Q50" s="1"/>
    </row>
    <row r="51" spans="1:17" x14ac:dyDescent="0.35">
      <c r="A51" s="1"/>
      <c r="B51" s="1"/>
      <c r="C51" s="1"/>
      <c r="D51" s="1"/>
      <c r="E51" s="1"/>
      <c r="F51" s="1"/>
      <c r="G51" s="1"/>
      <c r="H51" s="1"/>
      <c r="I51" s="1"/>
      <c r="J51" s="1"/>
      <c r="K51" s="1"/>
      <c r="L51" s="1"/>
      <c r="M51" s="1"/>
      <c r="N51" s="1"/>
      <c r="O51" s="1"/>
      <c r="P51" s="1"/>
      <c r="Q51" s="1"/>
    </row>
    <row r="52" spans="1:17" x14ac:dyDescent="0.35">
      <c r="A52" s="1"/>
      <c r="B52" s="1"/>
      <c r="C52" s="1"/>
      <c r="D52" s="1"/>
      <c r="E52" s="1"/>
      <c r="F52" s="1"/>
      <c r="G52" s="1"/>
      <c r="H52" s="1"/>
      <c r="I52" s="1"/>
      <c r="J52" s="1"/>
      <c r="K52" s="1"/>
      <c r="L52" s="1"/>
      <c r="M52" s="1"/>
      <c r="N52" s="1"/>
      <c r="O52" s="1"/>
      <c r="P52" s="1"/>
      <c r="Q52" s="1"/>
    </row>
    <row r="53" spans="1:17" x14ac:dyDescent="0.35">
      <c r="A53" s="1"/>
      <c r="B53" s="1"/>
      <c r="C53" s="1"/>
      <c r="D53" s="1"/>
      <c r="E53" s="1"/>
      <c r="F53" s="1"/>
      <c r="G53" s="1"/>
      <c r="H53" s="1"/>
      <c r="I53" s="1"/>
      <c r="J53" s="1"/>
      <c r="K53" s="1"/>
      <c r="L53" s="1"/>
      <c r="M53" s="1"/>
      <c r="N53" s="1"/>
      <c r="O53" s="1"/>
      <c r="P53" s="1"/>
      <c r="Q53" s="1"/>
    </row>
    <row r="54" spans="1:17" x14ac:dyDescent="0.35">
      <c r="A54" s="1"/>
      <c r="B54" s="1"/>
      <c r="C54" s="1"/>
      <c r="D54" s="1"/>
      <c r="E54" s="1"/>
      <c r="F54" s="1"/>
      <c r="G54" s="1"/>
      <c r="H54" s="1"/>
      <c r="I54" s="1"/>
      <c r="J54" s="1"/>
      <c r="K54" s="1"/>
      <c r="L54" s="1"/>
      <c r="M54" s="1"/>
      <c r="N54" s="1"/>
      <c r="O54" s="1"/>
      <c r="P54" s="1"/>
      <c r="Q54" s="1"/>
    </row>
    <row r="55" spans="1:17" x14ac:dyDescent="0.35">
      <c r="A55" s="1"/>
      <c r="B55" s="1"/>
      <c r="C55" s="1"/>
      <c r="D55" s="1"/>
      <c r="E55" s="1"/>
      <c r="F55" s="1"/>
      <c r="G55" s="1"/>
      <c r="H55" s="1"/>
      <c r="I55" s="1"/>
      <c r="J55" s="1"/>
      <c r="K55" s="1"/>
      <c r="L55" s="1"/>
      <c r="M55" s="1"/>
      <c r="N55" s="1"/>
      <c r="O55" s="1"/>
      <c r="P55" s="1"/>
      <c r="Q55" s="1"/>
    </row>
    <row r="56" spans="1:17" x14ac:dyDescent="0.35">
      <c r="A56" s="1"/>
      <c r="B56" s="1"/>
      <c r="C56" s="1"/>
      <c r="D56" s="1"/>
      <c r="E56" s="1"/>
      <c r="F56" s="1"/>
      <c r="G56" s="1"/>
      <c r="H56" s="1"/>
      <c r="I56" s="1"/>
      <c r="J56" s="1"/>
      <c r="K56" s="1"/>
      <c r="L56" s="1"/>
      <c r="M56" s="1"/>
      <c r="N56" s="1"/>
      <c r="O56" s="1"/>
      <c r="P56" s="1"/>
      <c r="Q56" s="1"/>
    </row>
    <row r="57" spans="1:17" x14ac:dyDescent="0.35">
      <c r="A57" s="1"/>
      <c r="B57" s="1"/>
      <c r="C57" s="1"/>
      <c r="D57" s="1"/>
      <c r="E57" s="1"/>
      <c r="F57" s="1"/>
      <c r="G57" s="1"/>
      <c r="H57" s="1"/>
      <c r="I57" s="1"/>
      <c r="J57" s="1"/>
      <c r="K57" s="1"/>
      <c r="L57" s="1"/>
      <c r="M57" s="1"/>
      <c r="N57" s="1"/>
      <c r="O57" s="1"/>
      <c r="P57" s="1"/>
      <c r="Q57" s="1"/>
    </row>
    <row r="58" spans="1:17" x14ac:dyDescent="0.35">
      <c r="A58" s="1"/>
      <c r="B58" s="1"/>
      <c r="C58" s="1"/>
      <c r="D58" s="1"/>
      <c r="E58" s="1"/>
      <c r="F58" s="1"/>
      <c r="G58" s="1"/>
      <c r="H58" s="1"/>
      <c r="I58" s="1"/>
      <c r="J58" s="1"/>
      <c r="K58" s="1"/>
      <c r="L58" s="1"/>
      <c r="M58" s="1"/>
      <c r="N58" s="1"/>
      <c r="O58" s="1"/>
      <c r="P58" s="1"/>
      <c r="Q58" s="1"/>
    </row>
    <row r="59" spans="1:17" x14ac:dyDescent="0.35">
      <c r="A59" s="1"/>
      <c r="B59" s="1"/>
      <c r="C59" s="1"/>
      <c r="D59" s="1"/>
      <c r="E59" s="1"/>
      <c r="F59" s="1"/>
      <c r="G59" s="1"/>
      <c r="H59" s="1"/>
      <c r="I59" s="1"/>
      <c r="J59" s="1"/>
      <c r="K59" s="1"/>
      <c r="L59" s="1"/>
      <c r="M59" s="1"/>
      <c r="N59" s="1"/>
      <c r="O59" s="1"/>
      <c r="P59" s="1"/>
      <c r="Q59" s="1"/>
    </row>
    <row r="60" spans="1:17" x14ac:dyDescent="0.35">
      <c r="A60" s="1"/>
      <c r="B60" s="1"/>
      <c r="C60" s="1"/>
      <c r="D60" s="1"/>
      <c r="E60" s="1"/>
      <c r="F60" s="1"/>
      <c r="G60" s="1"/>
      <c r="H60" s="1"/>
      <c r="I60" s="1"/>
      <c r="J60" s="1"/>
      <c r="K60" s="1"/>
      <c r="L60" s="1"/>
      <c r="M60" s="1"/>
      <c r="N60" s="1"/>
      <c r="O60" s="1"/>
      <c r="P60" s="1"/>
      <c r="Q60" s="1"/>
    </row>
    <row r="61" spans="1:17" x14ac:dyDescent="0.35">
      <c r="A61" s="1"/>
      <c r="B61" s="1"/>
      <c r="C61" s="1"/>
      <c r="D61" s="1"/>
      <c r="E61" s="1"/>
      <c r="F61" s="1"/>
      <c r="G61" s="1"/>
      <c r="H61" s="1"/>
      <c r="I61" s="1"/>
      <c r="J61" s="1"/>
      <c r="K61" s="1"/>
      <c r="L61" s="1"/>
      <c r="M61" s="1"/>
      <c r="N61" s="1"/>
      <c r="O61" s="1"/>
      <c r="P61" s="1"/>
      <c r="Q61" s="1"/>
    </row>
    <row r="62" spans="1:17" x14ac:dyDescent="0.35">
      <c r="A62" s="1"/>
      <c r="B62" s="1"/>
      <c r="C62" s="1"/>
      <c r="D62" s="1"/>
      <c r="E62" s="1"/>
      <c r="F62" s="1"/>
      <c r="G62" s="1"/>
      <c r="H62" s="1"/>
      <c r="I62" s="1"/>
      <c r="J62" s="1"/>
      <c r="K62" s="1"/>
      <c r="L62" s="1"/>
      <c r="M62" s="1"/>
      <c r="N62" s="1"/>
      <c r="O62" s="1"/>
      <c r="P62" s="1"/>
      <c r="Q62" s="1"/>
    </row>
    <row r="63" spans="1:17" x14ac:dyDescent="0.35">
      <c r="A63" s="1"/>
      <c r="B63" s="1"/>
      <c r="C63" s="1"/>
      <c r="D63" s="1"/>
      <c r="E63" s="1"/>
      <c r="F63" s="1"/>
      <c r="G63" s="1"/>
      <c r="H63" s="1"/>
      <c r="I63" s="1"/>
      <c r="J63" s="1"/>
      <c r="K63" s="1"/>
      <c r="L63" s="1"/>
      <c r="M63" s="1"/>
      <c r="N63" s="1"/>
      <c r="O63" s="1"/>
      <c r="P63" s="1"/>
      <c r="Q63" s="1"/>
    </row>
    <row r="64" spans="1:17" x14ac:dyDescent="0.35">
      <c r="A64" s="1"/>
      <c r="B64" s="1"/>
      <c r="C64" s="1"/>
      <c r="D64" s="1"/>
      <c r="E64" s="1"/>
      <c r="F64" s="1"/>
      <c r="G64" s="1"/>
      <c r="H64" s="1"/>
      <c r="I64" s="1"/>
      <c r="J64" s="1"/>
      <c r="K64" s="1"/>
      <c r="L64" s="1"/>
      <c r="M64" s="1"/>
      <c r="N64" s="1"/>
      <c r="O64" s="1"/>
      <c r="P64" s="1"/>
      <c r="Q64" s="1"/>
    </row>
    <row r="65" spans="1:17" x14ac:dyDescent="0.35">
      <c r="A65" s="1"/>
      <c r="B65" s="1"/>
      <c r="C65" s="1"/>
      <c r="D65" s="1"/>
      <c r="E65" s="1"/>
      <c r="F65" s="1"/>
      <c r="G65" s="1"/>
      <c r="H65" s="1"/>
      <c r="I65" s="1"/>
      <c r="J65" s="1"/>
      <c r="K65" s="1"/>
      <c r="L65" s="1"/>
      <c r="M65" s="1"/>
      <c r="N65" s="1"/>
      <c r="O65" s="1"/>
      <c r="P65" s="1"/>
      <c r="Q65" s="1"/>
    </row>
    <row r="66" spans="1:17" x14ac:dyDescent="0.35">
      <c r="A66" s="1"/>
      <c r="B66" s="1"/>
      <c r="C66" s="1"/>
      <c r="D66" s="1"/>
      <c r="E66" s="1"/>
      <c r="F66" s="1"/>
      <c r="G66" s="1"/>
      <c r="H66" s="1"/>
      <c r="I66" s="1"/>
      <c r="J66" s="1"/>
      <c r="K66" s="1"/>
      <c r="L66" s="1"/>
      <c r="M66" s="1"/>
      <c r="N66" s="1"/>
      <c r="O66" s="1"/>
      <c r="P66" s="1"/>
      <c r="Q66" s="1"/>
    </row>
    <row r="67" spans="1:17" x14ac:dyDescent="0.35">
      <c r="A67" s="1"/>
      <c r="B67" s="1"/>
      <c r="C67" s="1"/>
      <c r="D67" s="1"/>
      <c r="E67" s="1"/>
      <c r="F67" s="1"/>
      <c r="G67" s="1"/>
      <c r="H67" s="1"/>
      <c r="I67" s="1"/>
      <c r="J67" s="1"/>
      <c r="K67" s="1"/>
      <c r="L67" s="1"/>
      <c r="M67" s="1"/>
      <c r="N67" s="1"/>
      <c r="O67" s="1"/>
      <c r="P67" s="1"/>
      <c r="Q67" s="1"/>
    </row>
    <row r="68" spans="1:17" x14ac:dyDescent="0.35">
      <c r="A68" s="1"/>
      <c r="B68" s="1"/>
      <c r="C68" s="1"/>
      <c r="D68" s="1"/>
      <c r="E68" s="1"/>
      <c r="F68" s="1"/>
      <c r="G68" s="1"/>
      <c r="H68" s="1"/>
      <c r="I68" s="1"/>
      <c r="J68" s="1"/>
      <c r="K68" s="1"/>
      <c r="L68" s="1"/>
      <c r="M68" s="1"/>
      <c r="N68" s="1"/>
      <c r="O68" s="1"/>
      <c r="P68" s="1"/>
      <c r="Q68" s="1"/>
    </row>
    <row r="69" spans="1:17" x14ac:dyDescent="0.35">
      <c r="A69" s="1"/>
      <c r="B69" s="1"/>
      <c r="C69" s="1"/>
      <c r="D69" s="1"/>
      <c r="E69" s="1"/>
      <c r="F69" s="1"/>
      <c r="G69" s="1"/>
      <c r="H69" s="1"/>
      <c r="I69" s="1"/>
      <c r="J69" s="1"/>
      <c r="K69" s="1"/>
      <c r="L69" s="1"/>
      <c r="M69" s="1"/>
      <c r="N69" s="1"/>
      <c r="O69" s="1"/>
      <c r="P69" s="1"/>
      <c r="Q69" s="1"/>
    </row>
    <row r="70" spans="1:17" x14ac:dyDescent="0.35">
      <c r="A70" s="1"/>
      <c r="B70" s="1"/>
      <c r="C70" s="1"/>
      <c r="D70" s="1"/>
      <c r="E70" s="1"/>
      <c r="F70" s="1"/>
      <c r="G70" s="1"/>
      <c r="H70" s="1"/>
      <c r="I70" s="1"/>
      <c r="J70" s="1"/>
      <c r="K70" s="1"/>
      <c r="L70" s="1"/>
      <c r="M70" s="1"/>
      <c r="N70" s="1"/>
      <c r="O70" s="1"/>
      <c r="P70" s="1"/>
      <c r="Q70" s="1"/>
    </row>
    <row r="71" spans="1:17" x14ac:dyDescent="0.35">
      <c r="A71" s="1"/>
      <c r="B71" s="1"/>
      <c r="C71" s="1"/>
      <c r="D71" s="1"/>
      <c r="E71" s="1"/>
      <c r="F71" s="1"/>
      <c r="G71" s="1"/>
      <c r="H71" s="1"/>
      <c r="I71" s="1"/>
      <c r="J71" s="1"/>
      <c r="K71" s="1"/>
      <c r="L71" s="1"/>
      <c r="M71" s="1"/>
      <c r="N71" s="1"/>
      <c r="O71" s="1"/>
      <c r="P71" s="1"/>
      <c r="Q71" s="1"/>
    </row>
    <row r="72" spans="1:17" x14ac:dyDescent="0.35">
      <c r="A72" s="1"/>
      <c r="B72" s="1"/>
      <c r="C72" s="1"/>
      <c r="D72" s="1"/>
      <c r="E72" s="1"/>
      <c r="F72" s="1"/>
      <c r="G72" s="1"/>
      <c r="H72" s="1"/>
      <c r="I72" s="1"/>
      <c r="J72" s="1"/>
      <c r="K72" s="1"/>
      <c r="L72" s="1"/>
      <c r="M72" s="1"/>
      <c r="N72" s="1"/>
      <c r="O72" s="1"/>
      <c r="P72" s="1"/>
      <c r="Q72" s="1"/>
    </row>
    <row r="73" spans="1:17" x14ac:dyDescent="0.35">
      <c r="A73" s="1"/>
      <c r="B73" s="1"/>
      <c r="C73" s="1"/>
      <c r="D73" s="1"/>
      <c r="E73" s="1"/>
      <c r="F73" s="1"/>
      <c r="G73" s="1"/>
      <c r="H73" s="1"/>
      <c r="I73" s="1"/>
      <c r="J73" s="1"/>
      <c r="K73" s="1"/>
      <c r="L73" s="1"/>
      <c r="M73" s="1"/>
      <c r="N73" s="1"/>
      <c r="O73" s="1"/>
      <c r="P73" s="1"/>
      <c r="Q73" s="1"/>
    </row>
    <row r="74" spans="1:17" x14ac:dyDescent="0.35">
      <c r="A74" s="1"/>
      <c r="B74" s="1"/>
      <c r="C74" s="1"/>
      <c r="D74" s="1"/>
      <c r="E74" s="1"/>
      <c r="F74" s="1"/>
      <c r="G74" s="1"/>
      <c r="H74" s="1"/>
      <c r="I74" s="1"/>
      <c r="J74" s="1"/>
      <c r="K74" s="1"/>
      <c r="L74" s="1"/>
      <c r="M74" s="1"/>
      <c r="N74" s="1"/>
      <c r="O74" s="1"/>
      <c r="P74" s="1"/>
      <c r="Q74" s="1"/>
    </row>
    <row r="75" spans="1:17" x14ac:dyDescent="0.35">
      <c r="A75" s="1"/>
      <c r="B75" s="1"/>
      <c r="C75" s="1"/>
      <c r="D75" s="1"/>
      <c r="E75" s="1"/>
      <c r="F75" s="1"/>
      <c r="G75" s="1"/>
      <c r="H75" s="1"/>
      <c r="I75" s="1"/>
      <c r="J75" s="1"/>
      <c r="K75" s="1"/>
      <c r="L75" s="1"/>
      <c r="M75" s="1"/>
      <c r="N75" s="1"/>
      <c r="O75" s="1"/>
      <c r="P75" s="1"/>
      <c r="Q75" s="1"/>
    </row>
    <row r="76" spans="1:17" x14ac:dyDescent="0.35">
      <c r="A76" s="1"/>
      <c r="B76" s="1"/>
      <c r="C76" s="1"/>
      <c r="D76" s="1"/>
      <c r="E76" s="1"/>
      <c r="F76" s="1"/>
      <c r="G76" s="1"/>
      <c r="H76" s="1"/>
      <c r="I76" s="1"/>
      <c r="J76" s="1"/>
      <c r="K76" s="1"/>
      <c r="L76" s="1"/>
      <c r="M76" s="1"/>
      <c r="N76" s="1"/>
      <c r="O76" s="1"/>
      <c r="P76" s="1"/>
      <c r="Q76" s="1"/>
    </row>
    <row r="77" spans="1:17" x14ac:dyDescent="0.35">
      <c r="A77" s="1"/>
      <c r="B77" s="1"/>
      <c r="C77" s="1"/>
      <c r="D77" s="1"/>
      <c r="E77" s="1"/>
      <c r="F77" s="1"/>
      <c r="G77" s="1"/>
      <c r="H77" s="1"/>
      <c r="I77" s="1"/>
      <c r="J77" s="1"/>
      <c r="K77" s="1"/>
      <c r="L77" s="1"/>
      <c r="M77" s="1"/>
      <c r="N77" s="1"/>
      <c r="O77" s="1"/>
      <c r="P77" s="1"/>
      <c r="Q77" s="1"/>
    </row>
    <row r="78" spans="1:17" x14ac:dyDescent="0.35">
      <c r="A78" s="1"/>
      <c r="B78" s="1"/>
      <c r="C78" s="1"/>
      <c r="D78" s="1"/>
      <c r="E78" s="1"/>
      <c r="F78" s="1"/>
      <c r="G78" s="1"/>
      <c r="H78" s="1"/>
      <c r="I78" s="1"/>
      <c r="J78" s="1"/>
      <c r="K78" s="1"/>
      <c r="L78" s="1"/>
      <c r="M78" s="1"/>
      <c r="N78" s="1"/>
      <c r="O78" s="1"/>
      <c r="P78" s="1"/>
      <c r="Q78" s="1"/>
    </row>
    <row r="79" spans="1:17" x14ac:dyDescent="0.35">
      <c r="A79" s="1"/>
      <c r="B79" s="1"/>
      <c r="C79" s="1"/>
      <c r="D79" s="1"/>
      <c r="E79" s="1"/>
      <c r="F79" s="1"/>
      <c r="G79" s="1"/>
      <c r="H79" s="1"/>
      <c r="I79" s="1"/>
      <c r="J79" s="1"/>
      <c r="K79" s="1"/>
      <c r="L79" s="1"/>
      <c r="M79" s="1"/>
      <c r="N79" s="1"/>
      <c r="O79" s="1"/>
      <c r="P79" s="1"/>
      <c r="Q79" s="1"/>
    </row>
    <row r="80" spans="1:17" x14ac:dyDescent="0.35">
      <c r="A80" s="1"/>
      <c r="B80" s="1"/>
      <c r="C80" s="1"/>
      <c r="D80" s="1"/>
      <c r="E80" s="1"/>
      <c r="F80" s="1"/>
      <c r="G80" s="1"/>
      <c r="H80" s="1"/>
      <c r="I80" s="1"/>
      <c r="J80" s="1"/>
      <c r="K80" s="1"/>
      <c r="L80" s="1"/>
      <c r="M80" s="1"/>
      <c r="N80" s="1"/>
      <c r="O80" s="1"/>
      <c r="P80" s="1"/>
      <c r="Q80" s="1"/>
    </row>
    <row r="81" spans="1:17" x14ac:dyDescent="0.35">
      <c r="A81" s="1"/>
      <c r="B81" s="1"/>
      <c r="C81" s="1"/>
      <c r="D81" s="1"/>
      <c r="E81" s="1"/>
      <c r="F81" s="1"/>
      <c r="G81" s="1"/>
      <c r="H81" s="1"/>
      <c r="I81" s="1"/>
      <c r="J81" s="1"/>
      <c r="K81" s="1"/>
      <c r="L81" s="1"/>
      <c r="M81" s="1"/>
      <c r="N81" s="1"/>
      <c r="O81" s="1"/>
      <c r="P81" s="1"/>
      <c r="Q81" s="1"/>
    </row>
    <row r="82" spans="1:17" x14ac:dyDescent="0.35">
      <c r="A82" s="1"/>
      <c r="B82" s="1"/>
      <c r="C82" s="1"/>
      <c r="D82" s="1"/>
      <c r="E82" s="1"/>
      <c r="F82" s="1"/>
      <c r="G82" s="1"/>
      <c r="H82" s="1"/>
      <c r="I82" s="1"/>
      <c r="J82" s="1"/>
      <c r="K82" s="1"/>
      <c r="L82" s="1"/>
      <c r="M82" s="1"/>
      <c r="N82" s="1"/>
      <c r="O82" s="1"/>
      <c r="P82" s="1"/>
      <c r="Q82" s="1"/>
    </row>
    <row r="83" spans="1:17" x14ac:dyDescent="0.35">
      <c r="A83" s="1"/>
      <c r="B83" s="1"/>
      <c r="C83" s="1"/>
      <c r="D83" s="1"/>
      <c r="E83" s="1"/>
      <c r="F83" s="1"/>
      <c r="G83" s="1"/>
      <c r="H83" s="1"/>
      <c r="I83" s="1"/>
      <c r="J83" s="1"/>
      <c r="K83" s="1"/>
      <c r="L83" s="1"/>
      <c r="M83" s="1"/>
      <c r="N83" s="1"/>
      <c r="O83" s="1"/>
      <c r="P83" s="1"/>
      <c r="Q83" s="1"/>
    </row>
    <row r="84" spans="1:17" x14ac:dyDescent="0.35">
      <c r="A84" s="1"/>
      <c r="B84" s="1"/>
      <c r="C84" s="1"/>
      <c r="D84" s="1"/>
      <c r="E84" s="1"/>
      <c r="F84" s="1"/>
      <c r="G84" s="1"/>
      <c r="H84" s="1"/>
      <c r="I84" s="1"/>
      <c r="J84" s="1"/>
      <c r="K84" s="1"/>
      <c r="L84" s="1"/>
      <c r="M84" s="1"/>
      <c r="N84" s="1"/>
      <c r="O84" s="1"/>
      <c r="P84" s="1"/>
      <c r="Q84" s="1"/>
    </row>
    <row r="85" spans="1:17" x14ac:dyDescent="0.35">
      <c r="A85" s="1"/>
      <c r="B85" s="1"/>
      <c r="C85" s="1"/>
      <c r="D85" s="1"/>
      <c r="E85" s="1"/>
      <c r="F85" s="1"/>
      <c r="G85" s="1"/>
      <c r="H85" s="1"/>
      <c r="I85" s="1"/>
      <c r="J85" s="1"/>
      <c r="K85" s="1"/>
      <c r="L85" s="1"/>
      <c r="M85" s="1"/>
      <c r="N85" s="1"/>
      <c r="O85" s="1"/>
      <c r="P85" s="1"/>
      <c r="Q85" s="1"/>
    </row>
    <row r="86" spans="1:17" x14ac:dyDescent="0.35">
      <c r="A86" s="1"/>
      <c r="B86" s="1"/>
      <c r="C86" s="1"/>
      <c r="D86" s="1"/>
      <c r="E86" s="1"/>
      <c r="F86" s="1"/>
      <c r="G86" s="1"/>
      <c r="H86" s="1"/>
      <c r="I86" s="1"/>
      <c r="J86" s="1"/>
      <c r="K86" s="1"/>
      <c r="L86" s="1"/>
      <c r="M86" s="1"/>
      <c r="N86" s="1"/>
      <c r="O86" s="1"/>
      <c r="P86" s="1"/>
      <c r="Q86" s="1"/>
    </row>
    <row r="87" spans="1:17" x14ac:dyDescent="0.35">
      <c r="A87" s="1"/>
      <c r="B87" s="1"/>
      <c r="C87" s="1"/>
      <c r="D87" s="1"/>
      <c r="E87" s="1"/>
      <c r="F87" s="1"/>
      <c r="G87" s="1"/>
      <c r="H87" s="1"/>
      <c r="I87" s="1"/>
      <c r="J87" s="1"/>
      <c r="K87" s="1"/>
      <c r="L87" s="1"/>
      <c r="M87" s="1"/>
      <c r="N87" s="1"/>
      <c r="O87" s="1"/>
      <c r="P87" s="1"/>
      <c r="Q87" s="1"/>
    </row>
    <row r="88" spans="1:17" x14ac:dyDescent="0.35">
      <c r="A88" s="1"/>
      <c r="B88" s="1"/>
      <c r="C88" s="1"/>
      <c r="D88" s="1"/>
      <c r="E88" s="1"/>
      <c r="F88" s="1"/>
      <c r="G88" s="1"/>
      <c r="H88" s="1"/>
      <c r="I88" s="1"/>
      <c r="J88" s="1"/>
      <c r="K88" s="1"/>
      <c r="L88" s="1"/>
      <c r="M88" s="1"/>
      <c r="N88" s="1"/>
      <c r="O88" s="1"/>
      <c r="P88" s="1"/>
      <c r="Q88" s="1"/>
    </row>
    <row r="89" spans="1:17" x14ac:dyDescent="0.35">
      <c r="A89" s="1"/>
      <c r="B89" s="1"/>
      <c r="C89" s="1"/>
      <c r="D89" s="1"/>
      <c r="E89" s="1"/>
      <c r="F89" s="1"/>
      <c r="G89" s="1"/>
      <c r="H89" s="1"/>
      <c r="I89" s="1"/>
      <c r="J89" s="1"/>
      <c r="K89" s="1"/>
      <c r="L89" s="1"/>
      <c r="M89" s="1"/>
      <c r="N89" s="1"/>
      <c r="O89" s="1"/>
      <c r="P89" s="1"/>
      <c r="Q89" s="1"/>
    </row>
    <row r="90" spans="1:17" x14ac:dyDescent="0.35">
      <c r="A90" s="1"/>
      <c r="B90" s="1"/>
      <c r="C90" s="1"/>
      <c r="D90" s="1"/>
      <c r="E90" s="1"/>
      <c r="F90" s="1"/>
      <c r="G90" s="1"/>
      <c r="H90" s="1"/>
      <c r="I90" s="1"/>
      <c r="J90" s="1"/>
      <c r="K90" s="1"/>
      <c r="L90" s="1"/>
      <c r="M90" s="1"/>
      <c r="N90" s="1"/>
      <c r="O90" s="1"/>
      <c r="P90" s="1"/>
      <c r="Q90" s="1"/>
    </row>
    <row r="91" spans="1:17" x14ac:dyDescent="0.35">
      <c r="A91" s="1"/>
      <c r="B91" s="1"/>
      <c r="C91" s="1"/>
      <c r="D91" s="1"/>
      <c r="E91" s="1"/>
      <c r="F91" s="1"/>
      <c r="G91" s="1"/>
      <c r="H91" s="1"/>
      <c r="I91" s="1"/>
      <c r="J91" s="1"/>
      <c r="K91" s="1"/>
      <c r="L91" s="1"/>
      <c r="M91" s="1"/>
      <c r="N91" s="1"/>
      <c r="O91" s="1"/>
      <c r="P91" s="1"/>
      <c r="Q91" s="1"/>
    </row>
    <row r="92" spans="1:17" x14ac:dyDescent="0.35">
      <c r="A92" s="1"/>
      <c r="B92" s="1"/>
      <c r="C92" s="1"/>
      <c r="D92" s="1"/>
      <c r="E92" s="1"/>
      <c r="F92" s="1"/>
      <c r="G92" s="1"/>
      <c r="H92" s="1"/>
      <c r="I92" s="1"/>
      <c r="J92" s="1"/>
      <c r="K92" s="1"/>
      <c r="L92" s="1"/>
      <c r="M92" s="1"/>
      <c r="N92" s="1"/>
      <c r="O92" s="1"/>
      <c r="P92" s="1"/>
      <c r="Q92" s="1"/>
    </row>
    <row r="93" spans="1:17" x14ac:dyDescent="0.35">
      <c r="A93" s="1"/>
      <c r="B93" s="1"/>
      <c r="C93" s="1"/>
      <c r="D93" s="1"/>
      <c r="E93" s="1"/>
      <c r="F93" s="1"/>
      <c r="G93" s="1"/>
      <c r="H93" s="1"/>
      <c r="I93" s="1"/>
      <c r="J93" s="1"/>
      <c r="K93" s="1"/>
      <c r="L93" s="1"/>
      <c r="M93" s="1"/>
      <c r="N93" s="1"/>
      <c r="O93" s="1"/>
      <c r="P93" s="1"/>
      <c r="Q93" s="1"/>
    </row>
    <row r="94" spans="1:17" x14ac:dyDescent="0.35">
      <c r="A94" s="1"/>
      <c r="B94" s="1"/>
      <c r="C94" s="1"/>
      <c r="D94" s="1"/>
      <c r="E94" s="1"/>
      <c r="F94" s="1"/>
      <c r="G94" s="1"/>
      <c r="H94" s="1"/>
      <c r="I94" s="1"/>
      <c r="J94" s="1"/>
      <c r="K94" s="1"/>
      <c r="L94" s="1"/>
      <c r="M94" s="1"/>
      <c r="N94" s="1"/>
      <c r="O94" s="1"/>
      <c r="P94" s="1"/>
      <c r="Q94" s="1"/>
    </row>
    <row r="95" spans="1:17" x14ac:dyDescent="0.35">
      <c r="A95" s="1"/>
      <c r="B95" s="1"/>
      <c r="C95" s="1"/>
      <c r="D95" s="1"/>
      <c r="E95" s="1"/>
      <c r="F95" s="1"/>
      <c r="G95" s="1"/>
      <c r="H95" s="1"/>
      <c r="I95" s="1"/>
      <c r="J95" s="1"/>
      <c r="K95" s="1"/>
      <c r="L95" s="1"/>
      <c r="M95" s="1"/>
      <c r="N95" s="1"/>
      <c r="O95" s="1"/>
      <c r="P95" s="1"/>
      <c r="Q95" s="1"/>
    </row>
    <row r="96" spans="1:17" x14ac:dyDescent="0.35">
      <c r="A96" s="1"/>
      <c r="B96" s="1"/>
      <c r="C96" s="1"/>
      <c r="D96" s="1"/>
      <c r="E96" s="1"/>
      <c r="F96" s="1"/>
      <c r="G96" s="1"/>
      <c r="H96" s="1"/>
      <c r="I96" s="1"/>
      <c r="J96" s="1"/>
      <c r="K96" s="1"/>
      <c r="L96" s="1"/>
      <c r="M96" s="1"/>
      <c r="N96" s="1"/>
      <c r="O96" s="1"/>
      <c r="P96" s="1"/>
      <c r="Q96" s="1"/>
    </row>
    <row r="97" spans="1:17" x14ac:dyDescent="0.35">
      <c r="A97" s="1"/>
      <c r="B97" s="1"/>
      <c r="C97" s="1"/>
      <c r="D97" s="1"/>
      <c r="E97" s="1"/>
      <c r="F97" s="1"/>
      <c r="G97" s="1"/>
      <c r="H97" s="1"/>
      <c r="I97" s="1"/>
      <c r="J97" s="1"/>
      <c r="K97" s="1"/>
      <c r="L97" s="1"/>
      <c r="M97" s="1"/>
      <c r="N97" s="1"/>
      <c r="O97" s="1"/>
      <c r="P97" s="1"/>
      <c r="Q97" s="1"/>
    </row>
    <row r="98" spans="1:17" x14ac:dyDescent="0.35">
      <c r="A98" s="1"/>
      <c r="B98" s="1"/>
      <c r="C98" s="1"/>
      <c r="D98" s="1"/>
      <c r="E98" s="1"/>
      <c r="F98" s="1"/>
      <c r="G98" s="1"/>
      <c r="H98" s="1"/>
      <c r="I98" s="1"/>
      <c r="J98" s="1"/>
      <c r="K98" s="1"/>
      <c r="L98" s="1"/>
      <c r="M98" s="1"/>
      <c r="N98" s="1"/>
      <c r="O98" s="1"/>
      <c r="P98" s="1"/>
      <c r="Q98" s="1"/>
    </row>
    <row r="99" spans="1:17" x14ac:dyDescent="0.35">
      <c r="A99" s="1"/>
      <c r="B99" s="1"/>
      <c r="C99" s="1"/>
      <c r="D99" s="1"/>
      <c r="E99" s="1"/>
      <c r="F99" s="1"/>
      <c r="G99" s="1"/>
      <c r="H99" s="1"/>
      <c r="I99" s="1"/>
      <c r="J99" s="1"/>
      <c r="K99" s="1"/>
      <c r="L99" s="1"/>
      <c r="M99" s="1"/>
      <c r="N99" s="1"/>
      <c r="O99" s="1"/>
      <c r="P99" s="1"/>
      <c r="Q99" s="1"/>
    </row>
    <row r="100" spans="1:17" x14ac:dyDescent="0.35">
      <c r="A100" s="1"/>
      <c r="B100" s="1"/>
      <c r="C100" s="1"/>
      <c r="D100" s="1"/>
      <c r="E100" s="1"/>
      <c r="F100" s="1"/>
      <c r="G100" s="1"/>
      <c r="H100" s="1"/>
      <c r="I100" s="1"/>
      <c r="J100" s="1"/>
      <c r="K100" s="1"/>
      <c r="L100" s="1"/>
      <c r="M100" s="1"/>
      <c r="N100" s="1"/>
      <c r="O100" s="1"/>
      <c r="P100" s="1"/>
      <c r="Q100" s="1"/>
    </row>
    <row r="101" spans="1:17" x14ac:dyDescent="0.35">
      <c r="A101" s="1"/>
      <c r="B101" s="1"/>
      <c r="C101" s="1"/>
      <c r="D101" s="1"/>
      <c r="E101" s="1"/>
      <c r="F101" s="1"/>
      <c r="G101" s="1"/>
      <c r="H101" s="1"/>
      <c r="I101" s="1"/>
      <c r="J101" s="1"/>
      <c r="K101" s="1"/>
      <c r="L101" s="1"/>
      <c r="M101" s="1"/>
      <c r="N101" s="1"/>
      <c r="O101" s="1"/>
      <c r="P101" s="1"/>
      <c r="Q101" s="1"/>
    </row>
    <row r="102" spans="1:17" x14ac:dyDescent="0.35">
      <c r="A102" s="1"/>
      <c r="B102" s="1"/>
      <c r="C102" s="1"/>
      <c r="D102" s="1"/>
      <c r="E102" s="1"/>
      <c r="F102" s="1"/>
      <c r="G102" s="1"/>
      <c r="H102" s="1"/>
      <c r="I102" s="1"/>
      <c r="J102" s="1"/>
      <c r="K102" s="1"/>
      <c r="L102" s="1"/>
      <c r="M102" s="1"/>
      <c r="N102" s="1"/>
      <c r="O102" s="1"/>
      <c r="P102" s="1"/>
      <c r="Q102" s="1"/>
    </row>
    <row r="103" spans="1:17" x14ac:dyDescent="0.35">
      <c r="A103" s="1"/>
      <c r="B103" s="1"/>
      <c r="C103" s="1"/>
      <c r="D103" s="1"/>
      <c r="E103" s="1"/>
      <c r="F103" s="1"/>
      <c r="G103" s="1"/>
      <c r="H103" s="1"/>
      <c r="I103" s="1"/>
      <c r="J103" s="1"/>
      <c r="K103" s="1"/>
      <c r="L103" s="1"/>
      <c r="M103" s="1"/>
      <c r="N103" s="1"/>
      <c r="O103" s="1"/>
      <c r="P103" s="1"/>
      <c r="Q103" s="1"/>
    </row>
    <row r="104" spans="1:17" x14ac:dyDescent="0.35">
      <c r="A104" s="1"/>
      <c r="B104" s="1"/>
      <c r="C104" s="1"/>
      <c r="D104" s="1"/>
      <c r="E104" s="1"/>
      <c r="F104" s="1"/>
      <c r="G104" s="1"/>
      <c r="H104" s="1"/>
      <c r="I104" s="1"/>
      <c r="J104" s="1"/>
      <c r="K104" s="1"/>
      <c r="L104" s="1"/>
      <c r="M104" s="1"/>
      <c r="N104" s="1"/>
      <c r="O104" s="1"/>
      <c r="P104" s="1"/>
      <c r="Q104" s="1"/>
    </row>
    <row r="105" spans="1:17" x14ac:dyDescent="0.35">
      <c r="A105" s="1"/>
      <c r="B105" s="1"/>
      <c r="C105" s="1"/>
      <c r="D105" s="1"/>
      <c r="E105" s="1"/>
      <c r="F105" s="1"/>
      <c r="G105" s="1"/>
      <c r="H105" s="1"/>
      <c r="I105" s="1"/>
      <c r="J105" s="1"/>
      <c r="K105" s="1"/>
      <c r="L105" s="1"/>
      <c r="M105" s="1"/>
      <c r="N105" s="1"/>
      <c r="O105" s="1"/>
      <c r="P105" s="1"/>
      <c r="Q105" s="1"/>
    </row>
    <row r="106" spans="1:17" x14ac:dyDescent="0.35">
      <c r="A106" s="1"/>
      <c r="B106" s="1"/>
      <c r="C106" s="1"/>
      <c r="D106" s="1"/>
      <c r="E106" s="1"/>
      <c r="F106" s="1"/>
      <c r="G106" s="1"/>
      <c r="H106" s="1"/>
      <c r="I106" s="1"/>
      <c r="J106" s="1"/>
      <c r="K106" s="1"/>
      <c r="L106" s="1"/>
      <c r="M106" s="1"/>
      <c r="N106" s="1"/>
      <c r="O106" s="1"/>
      <c r="P106" s="1"/>
      <c r="Q106" s="1"/>
    </row>
    <row r="107" spans="1:17" x14ac:dyDescent="0.35">
      <c r="A107" s="1"/>
      <c r="B107" s="1"/>
      <c r="C107" s="1"/>
      <c r="D107" s="1"/>
      <c r="E107" s="1"/>
      <c r="F107" s="1"/>
      <c r="G107" s="1"/>
      <c r="H107" s="1"/>
      <c r="I107" s="1"/>
      <c r="J107" s="1"/>
      <c r="K107" s="1"/>
      <c r="L107" s="1"/>
      <c r="M107" s="1"/>
      <c r="N107" s="1"/>
      <c r="O107" s="1"/>
      <c r="P107" s="1"/>
      <c r="Q107" s="1"/>
    </row>
    <row r="108" spans="1:17" x14ac:dyDescent="0.35">
      <c r="A108" s="1"/>
      <c r="B108" s="1"/>
      <c r="C108" s="1"/>
      <c r="D108" s="1"/>
      <c r="E108" s="1"/>
      <c r="F108" s="1"/>
      <c r="G108" s="1"/>
      <c r="H108" s="1"/>
      <c r="I108" s="1"/>
      <c r="J108" s="1"/>
      <c r="K108" s="1"/>
      <c r="L108" s="1"/>
      <c r="M108" s="1"/>
      <c r="N108" s="1"/>
      <c r="O108" s="1"/>
      <c r="P108" s="1"/>
      <c r="Q108" s="1"/>
    </row>
    <row r="109" spans="1:17" x14ac:dyDescent="0.35">
      <c r="A109" s="1"/>
      <c r="B109" s="1"/>
      <c r="C109" s="1"/>
      <c r="D109" s="1"/>
      <c r="E109" s="1"/>
      <c r="F109" s="1"/>
      <c r="G109" s="1"/>
      <c r="H109" s="1"/>
      <c r="I109" s="1"/>
      <c r="J109" s="1"/>
      <c r="K109" s="1"/>
      <c r="L109" s="1"/>
      <c r="M109" s="1"/>
      <c r="N109" s="1"/>
      <c r="O109" s="1"/>
      <c r="P109" s="1"/>
      <c r="Q109" s="1"/>
    </row>
    <row r="110" spans="1:17" x14ac:dyDescent="0.35">
      <c r="A110" s="1"/>
      <c r="B110" s="1"/>
      <c r="C110" s="1"/>
      <c r="D110" s="1"/>
      <c r="E110" s="1"/>
      <c r="F110" s="1"/>
      <c r="G110" s="1"/>
      <c r="H110" s="1"/>
      <c r="I110" s="1"/>
      <c r="J110" s="1"/>
      <c r="K110" s="1"/>
      <c r="L110" s="1"/>
      <c r="M110" s="1"/>
      <c r="N110" s="1"/>
      <c r="O110" s="1"/>
      <c r="P110" s="1"/>
      <c r="Q110" s="1"/>
    </row>
    <row r="111" spans="1:17" x14ac:dyDescent="0.35">
      <c r="A111" s="1"/>
      <c r="B111" s="1"/>
      <c r="C111" s="1"/>
      <c r="D111" s="1"/>
      <c r="E111" s="1"/>
      <c r="F111" s="1"/>
      <c r="G111" s="1"/>
      <c r="H111" s="1"/>
      <c r="I111" s="1"/>
      <c r="J111" s="1"/>
      <c r="K111" s="1"/>
      <c r="L111" s="1"/>
      <c r="M111" s="1"/>
      <c r="N111" s="1"/>
      <c r="O111" s="1"/>
      <c r="P111" s="1"/>
      <c r="Q111" s="1"/>
    </row>
    <row r="112" spans="1:17" x14ac:dyDescent="0.35">
      <c r="A112" s="1"/>
      <c r="B112" s="1"/>
      <c r="C112" s="1"/>
      <c r="D112" s="1"/>
      <c r="E112" s="1"/>
      <c r="F112" s="1"/>
      <c r="G112" s="1"/>
      <c r="H112" s="1"/>
      <c r="I112" s="1"/>
      <c r="J112" s="1"/>
      <c r="K112" s="1"/>
      <c r="L112" s="1"/>
      <c r="M112" s="1"/>
      <c r="N112" s="1"/>
      <c r="O112" s="1"/>
      <c r="P112" s="1"/>
      <c r="Q112" s="1"/>
    </row>
    <row r="113" spans="1:17" x14ac:dyDescent="0.35">
      <c r="A113" s="1"/>
      <c r="B113" s="1"/>
      <c r="C113" s="1"/>
      <c r="D113" s="1"/>
      <c r="E113" s="1"/>
      <c r="F113" s="1"/>
      <c r="G113" s="1"/>
      <c r="H113" s="1"/>
      <c r="I113" s="1"/>
      <c r="J113" s="1"/>
      <c r="K113" s="1"/>
      <c r="L113" s="1"/>
      <c r="M113" s="1"/>
      <c r="N113" s="1"/>
      <c r="O113" s="1"/>
      <c r="P113" s="1"/>
      <c r="Q113" s="1"/>
    </row>
    <row r="114" spans="1:17" x14ac:dyDescent="0.35">
      <c r="A114" s="1"/>
      <c r="B114" s="1"/>
      <c r="C114" s="1"/>
      <c r="D114" s="1"/>
      <c r="E114" s="1"/>
      <c r="F114" s="1"/>
      <c r="G114" s="1"/>
      <c r="H114" s="1"/>
      <c r="I114" s="1"/>
      <c r="J114" s="1"/>
      <c r="K114" s="1"/>
      <c r="L114" s="1"/>
      <c r="M114" s="1"/>
      <c r="N114" s="1"/>
      <c r="O114" s="1"/>
      <c r="P114" s="1"/>
      <c r="Q114" s="1"/>
    </row>
    <row r="115" spans="1:17" x14ac:dyDescent="0.35">
      <c r="A115" s="1"/>
      <c r="B115" s="1"/>
      <c r="C115" s="1"/>
      <c r="D115" s="1"/>
      <c r="E115" s="1"/>
      <c r="F115" s="1"/>
      <c r="G115" s="1"/>
      <c r="H115" s="1"/>
      <c r="I115" s="1"/>
      <c r="J115" s="1"/>
      <c r="K115" s="1"/>
      <c r="L115" s="1"/>
      <c r="M115" s="1"/>
      <c r="N115" s="1"/>
      <c r="O115" s="1"/>
      <c r="P115" s="1"/>
      <c r="Q115" s="1"/>
    </row>
    <row r="116" spans="1:17" x14ac:dyDescent="0.35">
      <c r="A116" s="1"/>
      <c r="B116" s="1"/>
      <c r="C116" s="1"/>
      <c r="D116" s="1"/>
      <c r="E116" s="1"/>
      <c r="F116" s="1"/>
      <c r="G116" s="1"/>
      <c r="H116" s="1"/>
      <c r="I116" s="1"/>
      <c r="J116" s="1"/>
      <c r="K116" s="1"/>
      <c r="L116" s="1"/>
      <c r="M116" s="1"/>
      <c r="N116" s="1"/>
      <c r="O116" s="1"/>
      <c r="P116" s="1"/>
      <c r="Q116" s="1"/>
    </row>
    <row r="117" spans="1:17" x14ac:dyDescent="0.35">
      <c r="A117" s="1"/>
      <c r="B117" s="1"/>
      <c r="C117" s="1"/>
      <c r="D117" s="1"/>
      <c r="E117" s="1"/>
      <c r="F117" s="1"/>
      <c r="G117" s="1"/>
      <c r="H117" s="1"/>
      <c r="I117" s="1"/>
      <c r="J117" s="1"/>
      <c r="K117" s="1"/>
      <c r="L117" s="1"/>
      <c r="M117" s="1"/>
      <c r="N117" s="1"/>
      <c r="O117" s="1"/>
      <c r="P117" s="1"/>
      <c r="Q117" s="1"/>
    </row>
    <row r="118" spans="1:17" x14ac:dyDescent="0.35">
      <c r="A118" s="1"/>
      <c r="B118" s="1"/>
      <c r="C118" s="1"/>
      <c r="D118" s="1"/>
      <c r="E118" s="1"/>
      <c r="F118" s="1"/>
      <c r="G118" s="1"/>
      <c r="H118" s="1"/>
      <c r="I118" s="1"/>
      <c r="J118" s="1"/>
      <c r="K118" s="1"/>
      <c r="L118" s="1"/>
      <c r="M118" s="1"/>
      <c r="N118" s="1"/>
      <c r="O118" s="1"/>
      <c r="P118" s="1"/>
      <c r="Q118" s="1"/>
    </row>
    <row r="119" spans="1:17" x14ac:dyDescent="0.35">
      <c r="A119" s="1"/>
      <c r="B119" s="1"/>
      <c r="C119" s="1"/>
      <c r="D119" s="1"/>
      <c r="E119" s="1"/>
      <c r="F119" s="1"/>
      <c r="G119" s="1"/>
      <c r="H119" s="1"/>
      <c r="I119" s="1"/>
      <c r="J119" s="1"/>
      <c r="K119" s="1"/>
      <c r="L119" s="1"/>
      <c r="M119" s="1"/>
      <c r="N119" s="1"/>
      <c r="O119" s="1"/>
      <c r="P119" s="1"/>
      <c r="Q119" s="1"/>
    </row>
    <row r="120" spans="1:17" x14ac:dyDescent="0.35">
      <c r="A120" s="1"/>
      <c r="B120" s="1"/>
      <c r="C120" s="1"/>
      <c r="D120" s="1"/>
      <c r="E120" s="1"/>
      <c r="F120" s="1"/>
      <c r="G120" s="1"/>
      <c r="H120" s="1"/>
      <c r="I120" s="1"/>
      <c r="J120" s="1"/>
      <c r="K120" s="1"/>
      <c r="L120" s="1"/>
      <c r="M120" s="1"/>
      <c r="N120" s="1"/>
      <c r="O120" s="1"/>
      <c r="P120" s="1"/>
      <c r="Q120" s="1"/>
    </row>
    <row r="121" spans="1:17" x14ac:dyDescent="0.35">
      <c r="A121" s="1"/>
      <c r="B121" s="1"/>
      <c r="C121" s="1"/>
      <c r="D121" s="1"/>
      <c r="E121" s="1"/>
      <c r="F121" s="1"/>
      <c r="G121" s="1"/>
      <c r="H121" s="1"/>
      <c r="I121" s="1"/>
      <c r="J121" s="1"/>
      <c r="K121" s="1"/>
      <c r="L121" s="1"/>
      <c r="M121" s="1"/>
      <c r="N121" s="1"/>
      <c r="O121" s="1"/>
      <c r="P121" s="1"/>
      <c r="Q121" s="1"/>
    </row>
    <row r="122" spans="1:17" x14ac:dyDescent="0.35">
      <c r="A122" s="1"/>
      <c r="B122" s="1"/>
      <c r="C122" s="1"/>
      <c r="D122" s="1"/>
      <c r="E122" s="1"/>
      <c r="F122" s="1"/>
      <c r="G122" s="1"/>
      <c r="H122" s="1"/>
      <c r="I122" s="1"/>
      <c r="J122" s="1"/>
      <c r="K122" s="1"/>
      <c r="L122" s="1"/>
      <c r="M122" s="1"/>
      <c r="N122" s="1"/>
      <c r="O122" s="1"/>
      <c r="P122" s="1"/>
      <c r="Q122" s="1"/>
    </row>
    <row r="123" spans="1:17" x14ac:dyDescent="0.35">
      <c r="A123" s="1"/>
      <c r="B123" s="1"/>
      <c r="C123" s="1"/>
      <c r="D123" s="1"/>
      <c r="E123" s="1"/>
      <c r="F123" s="1"/>
      <c r="G123" s="1"/>
      <c r="H123" s="1"/>
      <c r="I123" s="1"/>
      <c r="J123" s="1"/>
      <c r="K123" s="1"/>
      <c r="L123" s="1"/>
      <c r="M123" s="1"/>
      <c r="N123" s="1"/>
      <c r="O123" s="1"/>
      <c r="P123" s="1"/>
      <c r="Q123" s="1"/>
    </row>
    <row r="124" spans="1:17" x14ac:dyDescent="0.35">
      <c r="A124" s="1"/>
      <c r="B124" s="1"/>
      <c r="C124" s="1"/>
      <c r="D124" s="1"/>
      <c r="E124" s="1"/>
      <c r="F124" s="1"/>
      <c r="G124" s="1"/>
      <c r="H124" s="1"/>
      <c r="I124" s="1"/>
      <c r="J124" s="1"/>
      <c r="K124" s="1"/>
      <c r="L124" s="1"/>
      <c r="M124" s="1"/>
      <c r="N124" s="1"/>
      <c r="O124" s="1"/>
      <c r="P124" s="1"/>
      <c r="Q124" s="1"/>
    </row>
    <row r="125" spans="1:17" x14ac:dyDescent="0.35">
      <c r="A125" s="1"/>
      <c r="B125" s="1"/>
      <c r="C125" s="1"/>
      <c r="D125" s="1"/>
      <c r="E125" s="1"/>
      <c r="F125" s="1"/>
      <c r="G125" s="1"/>
      <c r="H125" s="1"/>
      <c r="I125" s="1"/>
      <c r="J125" s="1"/>
      <c r="K125" s="1"/>
      <c r="L125" s="1"/>
      <c r="M125" s="1"/>
      <c r="N125" s="1"/>
      <c r="O125" s="1"/>
      <c r="P125" s="1"/>
      <c r="Q125" s="1"/>
    </row>
    <row r="126" spans="1:17" x14ac:dyDescent="0.35">
      <c r="A126" s="1"/>
      <c r="B126" s="1"/>
      <c r="C126" s="1"/>
      <c r="D126" s="1"/>
      <c r="E126" s="1"/>
      <c r="F126" s="1"/>
      <c r="G126" s="1"/>
      <c r="H126" s="1"/>
      <c r="I126" s="1"/>
      <c r="J126" s="1"/>
      <c r="K126" s="1"/>
      <c r="L126" s="1"/>
      <c r="M126" s="1"/>
      <c r="N126" s="1"/>
      <c r="O126" s="1"/>
      <c r="P126" s="1"/>
      <c r="Q126" s="1"/>
    </row>
    <row r="127" spans="1:17" x14ac:dyDescent="0.35">
      <c r="A127" s="1"/>
      <c r="B127" s="1"/>
      <c r="C127" s="1"/>
      <c r="D127" s="1"/>
      <c r="E127" s="1"/>
      <c r="F127" s="1"/>
      <c r="G127" s="1"/>
      <c r="H127" s="1"/>
      <c r="I127" s="1"/>
      <c r="J127" s="1"/>
      <c r="K127" s="1"/>
      <c r="L127" s="1"/>
      <c r="M127" s="1"/>
      <c r="N127" s="1"/>
      <c r="O127" s="1"/>
      <c r="P127" s="1"/>
      <c r="Q127" s="1"/>
    </row>
    <row r="128" spans="1:17" x14ac:dyDescent="0.35">
      <c r="A128" s="1"/>
      <c r="B128" s="1"/>
      <c r="C128" s="1"/>
      <c r="D128" s="1"/>
      <c r="E128" s="1"/>
      <c r="F128" s="1"/>
      <c r="G128" s="1"/>
      <c r="H128" s="1"/>
      <c r="I128" s="1"/>
      <c r="J128" s="1"/>
      <c r="K128" s="1"/>
      <c r="L128" s="1"/>
      <c r="M128" s="1"/>
      <c r="N128" s="1"/>
      <c r="O128" s="1"/>
      <c r="P128" s="1"/>
      <c r="Q128" s="1"/>
    </row>
    <row r="129" spans="1:17" x14ac:dyDescent="0.35">
      <c r="A129" s="1"/>
      <c r="B129" s="1"/>
      <c r="C129" s="1"/>
      <c r="D129" s="1"/>
      <c r="E129" s="1"/>
      <c r="F129" s="1"/>
      <c r="G129" s="1"/>
      <c r="H129" s="1"/>
      <c r="I129" s="1"/>
      <c r="J129" s="1"/>
      <c r="K129" s="1"/>
      <c r="L129" s="1"/>
      <c r="M129" s="1"/>
      <c r="N129" s="1"/>
      <c r="O129" s="1"/>
      <c r="P129" s="1"/>
      <c r="Q129" s="1"/>
    </row>
    <row r="130" spans="1:17" x14ac:dyDescent="0.35">
      <c r="A130" s="1"/>
      <c r="B130" s="1"/>
      <c r="C130" s="1"/>
      <c r="D130" s="1"/>
      <c r="E130" s="1"/>
      <c r="F130" s="1"/>
      <c r="G130" s="1"/>
      <c r="H130" s="1"/>
      <c r="I130" s="1"/>
      <c r="J130" s="1"/>
      <c r="K130" s="1"/>
      <c r="L130" s="1"/>
      <c r="M130" s="1"/>
      <c r="N130" s="1"/>
      <c r="O130" s="1"/>
      <c r="P130" s="1"/>
      <c r="Q130" s="1"/>
    </row>
    <row r="131" spans="1:17" x14ac:dyDescent="0.35">
      <c r="A131" s="1"/>
      <c r="B131" s="1"/>
      <c r="C131" s="1"/>
      <c r="D131" s="1"/>
      <c r="E131" s="1"/>
      <c r="F131" s="1"/>
      <c r="G131" s="1"/>
      <c r="H131" s="1"/>
      <c r="I131" s="1"/>
      <c r="J131" s="1"/>
      <c r="K131" s="1"/>
      <c r="L131" s="1"/>
      <c r="M131" s="1"/>
      <c r="N131" s="1"/>
      <c r="O131" s="1"/>
      <c r="P131" s="1"/>
      <c r="Q131" s="1"/>
    </row>
    <row r="132" spans="1:17" x14ac:dyDescent="0.35">
      <c r="A132" s="1"/>
      <c r="B132" s="1"/>
      <c r="C132" s="1"/>
      <c r="D132" s="1"/>
      <c r="E132" s="1"/>
      <c r="F132" s="1"/>
      <c r="G132" s="1"/>
      <c r="H132" s="1"/>
      <c r="I132" s="1"/>
      <c r="J132" s="1"/>
      <c r="K132" s="1"/>
      <c r="L132" s="1"/>
      <c r="M132" s="1"/>
      <c r="N132" s="1"/>
      <c r="O132" s="1"/>
      <c r="P132" s="1"/>
      <c r="Q132" s="1"/>
    </row>
    <row r="133" spans="1:17" x14ac:dyDescent="0.35">
      <c r="A133" s="1"/>
      <c r="B133" s="1"/>
      <c r="C133" s="1"/>
      <c r="D133" s="1"/>
      <c r="E133" s="1"/>
      <c r="F133" s="1"/>
      <c r="G133" s="1"/>
      <c r="H133" s="1"/>
      <c r="I133" s="1"/>
      <c r="J133" s="1"/>
      <c r="K133" s="1"/>
      <c r="L133" s="1"/>
      <c r="M133" s="1"/>
      <c r="N133" s="1"/>
      <c r="O133" s="1"/>
      <c r="P133" s="1"/>
      <c r="Q133" s="1"/>
    </row>
    <row r="134" spans="1:17" x14ac:dyDescent="0.35">
      <c r="A134" s="1"/>
      <c r="B134" s="1"/>
      <c r="C134" s="1"/>
      <c r="D134" s="1"/>
      <c r="E134" s="1"/>
      <c r="F134" s="1"/>
      <c r="G134" s="1"/>
      <c r="H134" s="1"/>
      <c r="I134" s="1"/>
      <c r="J134" s="1"/>
      <c r="K134" s="1"/>
      <c r="L134" s="1"/>
      <c r="M134" s="1"/>
      <c r="N134" s="1"/>
      <c r="O134" s="1"/>
      <c r="P134" s="1"/>
      <c r="Q134" s="1"/>
    </row>
    <row r="135" spans="1:17" x14ac:dyDescent="0.35">
      <c r="A135" s="1"/>
      <c r="B135" s="1"/>
      <c r="C135" s="1"/>
      <c r="D135" s="1"/>
      <c r="E135" s="1"/>
      <c r="F135" s="1"/>
      <c r="G135" s="1"/>
      <c r="H135" s="1"/>
      <c r="I135" s="1"/>
      <c r="J135" s="1"/>
      <c r="K135" s="1"/>
      <c r="L135" s="1"/>
      <c r="M135" s="1"/>
      <c r="N135" s="1"/>
      <c r="O135" s="1"/>
      <c r="P135" s="1"/>
      <c r="Q135" s="1"/>
    </row>
    <row r="136" spans="1:17" x14ac:dyDescent="0.35">
      <c r="A136" s="1"/>
      <c r="B136" s="1"/>
      <c r="C136" s="1"/>
      <c r="D136" s="1"/>
      <c r="E136" s="1"/>
      <c r="F136" s="1"/>
      <c r="G136" s="1"/>
      <c r="H136" s="1"/>
      <c r="I136" s="1"/>
      <c r="J136" s="1"/>
      <c r="K136" s="1"/>
      <c r="L136" s="1"/>
      <c r="M136" s="1"/>
      <c r="N136" s="1"/>
      <c r="O136" s="1"/>
      <c r="P136" s="1"/>
      <c r="Q136" s="1"/>
    </row>
    <row r="137" spans="1:17" x14ac:dyDescent="0.35">
      <c r="A137" s="1"/>
      <c r="B137" s="1"/>
      <c r="C137" s="1"/>
      <c r="D137" s="1"/>
      <c r="E137" s="1"/>
      <c r="F137" s="1"/>
      <c r="G137" s="1"/>
      <c r="H137" s="1"/>
      <c r="I137" s="1"/>
      <c r="J137" s="1"/>
      <c r="K137" s="1"/>
      <c r="L137" s="1"/>
      <c r="M137" s="1"/>
      <c r="N137" s="1"/>
      <c r="O137" s="1"/>
      <c r="P137" s="1"/>
      <c r="Q137" s="1"/>
    </row>
    <row r="138" spans="1:17" x14ac:dyDescent="0.35">
      <c r="A138" s="1"/>
      <c r="B138" s="1"/>
      <c r="C138" s="1"/>
      <c r="D138" s="1"/>
      <c r="E138" s="1"/>
      <c r="F138" s="1"/>
      <c r="G138" s="1"/>
      <c r="H138" s="1"/>
      <c r="I138" s="1"/>
      <c r="J138" s="1"/>
      <c r="K138" s="1"/>
      <c r="L138" s="1"/>
      <c r="M138" s="1"/>
      <c r="N138" s="1"/>
      <c r="O138" s="1"/>
      <c r="P138" s="1"/>
      <c r="Q138" s="1"/>
    </row>
    <row r="139" spans="1:17" x14ac:dyDescent="0.35">
      <c r="A139" s="1"/>
      <c r="B139" s="1"/>
      <c r="C139" s="1"/>
      <c r="D139" s="1"/>
      <c r="E139" s="1"/>
      <c r="F139" s="1"/>
      <c r="G139" s="1"/>
      <c r="H139" s="1"/>
      <c r="I139" s="1"/>
      <c r="J139" s="1"/>
      <c r="K139" s="1"/>
      <c r="L139" s="1"/>
      <c r="M139" s="1"/>
      <c r="N139" s="1"/>
      <c r="O139" s="1"/>
      <c r="P139" s="1"/>
      <c r="Q139" s="1"/>
    </row>
    <row r="140" spans="1:17" x14ac:dyDescent="0.35">
      <c r="A140" s="1"/>
      <c r="B140" s="1"/>
      <c r="C140" s="1"/>
      <c r="D140" s="1"/>
      <c r="E140" s="1"/>
      <c r="F140" s="1"/>
      <c r="G140" s="1"/>
      <c r="H140" s="1"/>
      <c r="I140" s="1"/>
      <c r="J140" s="1"/>
      <c r="K140" s="1"/>
      <c r="L140" s="1"/>
      <c r="M140" s="1"/>
      <c r="N140" s="1"/>
      <c r="O140" s="1"/>
      <c r="P140" s="1"/>
      <c r="Q140" s="1"/>
    </row>
    <row r="141" spans="1:17" x14ac:dyDescent="0.35">
      <c r="A141" s="1"/>
      <c r="B141" s="1"/>
      <c r="C141" s="1"/>
      <c r="D141" s="1"/>
      <c r="E141" s="1"/>
      <c r="F141" s="1"/>
      <c r="G141" s="1"/>
      <c r="H141" s="1"/>
      <c r="I141" s="1"/>
      <c r="J141" s="1"/>
      <c r="K141" s="1"/>
      <c r="L141" s="1"/>
      <c r="M141" s="1"/>
      <c r="N141" s="1"/>
      <c r="O141" s="1"/>
      <c r="P141" s="1"/>
      <c r="Q141" s="1"/>
    </row>
    <row r="142" spans="1:17" x14ac:dyDescent="0.35">
      <c r="A142" s="1"/>
      <c r="B142" s="1"/>
      <c r="C142" s="1"/>
      <c r="D142" s="1"/>
      <c r="E142" s="1"/>
      <c r="F142" s="1"/>
      <c r="G142" s="1"/>
      <c r="H142" s="1"/>
      <c r="I142" s="1"/>
      <c r="J142" s="1"/>
      <c r="K142" s="1"/>
      <c r="L142" s="1"/>
      <c r="M142" s="1"/>
      <c r="N142" s="1"/>
      <c r="O142" s="1"/>
      <c r="P142" s="1"/>
      <c r="Q142" s="1"/>
    </row>
    <row r="143" spans="1:17" x14ac:dyDescent="0.35">
      <c r="A143" s="1"/>
      <c r="B143" s="1"/>
      <c r="C143" s="1"/>
      <c r="D143" s="1"/>
      <c r="E143" s="1"/>
      <c r="F143" s="1"/>
      <c r="G143" s="1"/>
      <c r="H143" s="1"/>
      <c r="I143" s="1"/>
      <c r="J143" s="1"/>
      <c r="K143" s="1"/>
      <c r="L143" s="1"/>
      <c r="M143" s="1"/>
      <c r="N143" s="1"/>
      <c r="O143" s="1"/>
      <c r="P143" s="1"/>
      <c r="Q143" s="1"/>
    </row>
    <row r="144" spans="1:17" x14ac:dyDescent="0.35">
      <c r="A144" s="1"/>
      <c r="B144" s="1"/>
      <c r="C144" s="1"/>
      <c r="D144" s="1"/>
      <c r="E144" s="1"/>
      <c r="F144" s="1"/>
      <c r="G144" s="1"/>
      <c r="H144" s="1"/>
      <c r="I144" s="1"/>
      <c r="J144" s="1"/>
      <c r="K144" s="1"/>
      <c r="L144" s="1"/>
      <c r="M144" s="1"/>
      <c r="N144" s="1"/>
      <c r="O144" s="1"/>
      <c r="P144" s="1"/>
      <c r="Q144" s="1"/>
    </row>
    <row r="145" spans="1:17" x14ac:dyDescent="0.35">
      <c r="A145" s="1"/>
      <c r="B145" s="1"/>
      <c r="C145" s="1"/>
      <c r="D145" s="1"/>
      <c r="E145" s="1"/>
      <c r="F145" s="1"/>
      <c r="G145" s="1"/>
      <c r="H145" s="1"/>
      <c r="I145" s="1"/>
      <c r="J145" s="1"/>
      <c r="K145" s="1"/>
      <c r="L145" s="1"/>
      <c r="M145" s="1"/>
      <c r="N145" s="1"/>
      <c r="O145" s="1"/>
      <c r="P145" s="1"/>
      <c r="Q145" s="1"/>
    </row>
    <row r="146" spans="1:17" x14ac:dyDescent="0.35">
      <c r="A146" s="1"/>
      <c r="B146" s="1"/>
      <c r="C146" s="1"/>
      <c r="D146" s="1"/>
      <c r="E146" s="1"/>
      <c r="F146" s="1"/>
      <c r="G146" s="1"/>
      <c r="H146" s="1"/>
      <c r="I146" s="1"/>
      <c r="J146" s="1"/>
      <c r="K146" s="1"/>
      <c r="L146" s="1"/>
      <c r="M146" s="1"/>
      <c r="N146" s="1"/>
      <c r="O146" s="1"/>
      <c r="P146" s="1"/>
      <c r="Q146" s="1"/>
    </row>
    <row r="147" spans="1:17" x14ac:dyDescent="0.35">
      <c r="A147" s="1"/>
      <c r="B147" s="1"/>
      <c r="C147" s="1"/>
      <c r="D147" s="1"/>
      <c r="E147" s="1"/>
      <c r="F147" s="1"/>
      <c r="G147" s="1"/>
      <c r="H147" s="1"/>
      <c r="I147" s="1"/>
      <c r="J147" s="1"/>
      <c r="K147" s="1"/>
      <c r="L147" s="1"/>
      <c r="M147" s="1"/>
      <c r="N147" s="1"/>
      <c r="O147" s="1"/>
      <c r="P147" s="1"/>
      <c r="Q147" s="1"/>
    </row>
    <row r="148" spans="1:17" x14ac:dyDescent="0.35">
      <c r="A148" s="1"/>
      <c r="B148" s="1"/>
      <c r="C148" s="1"/>
      <c r="D148" s="1"/>
      <c r="E148" s="1"/>
      <c r="F148" s="1"/>
      <c r="G148" s="1"/>
      <c r="H148" s="1"/>
      <c r="I148" s="1"/>
      <c r="J148" s="1"/>
      <c r="K148" s="1"/>
      <c r="L148" s="1"/>
      <c r="M148" s="1"/>
      <c r="N148" s="1"/>
      <c r="O148" s="1"/>
      <c r="P148" s="1"/>
      <c r="Q148" s="1"/>
    </row>
    <row r="149" spans="1:17" x14ac:dyDescent="0.35">
      <c r="A149" s="1"/>
      <c r="B149" s="1"/>
      <c r="C149" s="1"/>
      <c r="D149" s="1"/>
      <c r="E149" s="1"/>
      <c r="F149" s="1"/>
      <c r="G149" s="1"/>
      <c r="H149" s="1"/>
      <c r="I149" s="1"/>
      <c r="J149" s="1"/>
      <c r="K149" s="1"/>
      <c r="L149" s="1"/>
      <c r="M149" s="1"/>
      <c r="N149" s="1"/>
      <c r="O149" s="1"/>
      <c r="P149" s="1"/>
      <c r="Q149" s="1"/>
    </row>
    <row r="150" spans="1:17" x14ac:dyDescent="0.35">
      <c r="A150" s="1"/>
      <c r="B150" s="1"/>
      <c r="C150" s="1"/>
      <c r="D150" s="1"/>
      <c r="E150" s="1"/>
      <c r="F150" s="1"/>
      <c r="G150" s="1"/>
      <c r="H150" s="1"/>
      <c r="I150" s="1"/>
      <c r="J150" s="1"/>
      <c r="K150" s="1"/>
      <c r="L150" s="1"/>
      <c r="M150" s="1"/>
      <c r="N150" s="1"/>
      <c r="O150" s="1"/>
      <c r="P150" s="1"/>
      <c r="Q150" s="1"/>
    </row>
    <row r="151" spans="1:17" x14ac:dyDescent="0.35">
      <c r="A151" s="1"/>
      <c r="B151" s="1"/>
      <c r="C151" s="1"/>
      <c r="D151" s="1"/>
      <c r="E151" s="1"/>
      <c r="F151" s="1"/>
      <c r="G151" s="1"/>
      <c r="H151" s="1"/>
      <c r="I151" s="1"/>
      <c r="J151" s="1"/>
      <c r="K151" s="1"/>
      <c r="L151" s="1"/>
      <c r="M151" s="1"/>
      <c r="N151" s="1"/>
      <c r="O151" s="1"/>
      <c r="P151" s="1"/>
      <c r="Q151" s="1"/>
    </row>
    <row r="152" spans="1:17" x14ac:dyDescent="0.35">
      <c r="A152" s="1"/>
      <c r="B152" s="1"/>
      <c r="C152" s="1"/>
      <c r="D152" s="1"/>
      <c r="E152" s="1"/>
      <c r="F152" s="1"/>
      <c r="G152" s="1"/>
      <c r="H152" s="1"/>
      <c r="I152" s="1"/>
      <c r="J152" s="1"/>
      <c r="K152" s="1"/>
      <c r="L152" s="1"/>
      <c r="M152" s="1"/>
      <c r="N152" s="1"/>
      <c r="O152" s="1"/>
      <c r="P152" s="1"/>
      <c r="Q152" s="1"/>
    </row>
    <row r="153" spans="1:17" x14ac:dyDescent="0.35">
      <c r="A153" s="1"/>
      <c r="B153" s="1"/>
      <c r="C153" s="1"/>
      <c r="D153" s="1"/>
      <c r="E153" s="1"/>
      <c r="F153" s="1"/>
      <c r="G153" s="1"/>
      <c r="H153" s="1"/>
      <c r="I153" s="1"/>
      <c r="J153" s="1"/>
      <c r="K153" s="1"/>
      <c r="L153" s="1"/>
      <c r="M153" s="1"/>
      <c r="N153" s="1"/>
      <c r="O153" s="1"/>
      <c r="P153" s="1"/>
      <c r="Q153" s="1"/>
    </row>
    <row r="154" spans="1:17" x14ac:dyDescent="0.35">
      <c r="A154" s="1"/>
      <c r="B154" s="1"/>
      <c r="C154" s="1"/>
      <c r="D154" s="1"/>
      <c r="E154" s="1"/>
      <c r="F154" s="1"/>
      <c r="G154" s="1"/>
      <c r="H154" s="1"/>
      <c r="I154" s="1"/>
      <c r="J154" s="1"/>
      <c r="K154" s="1"/>
      <c r="L154" s="1"/>
      <c r="M154" s="1"/>
      <c r="N154" s="1"/>
      <c r="O154" s="1"/>
      <c r="P154" s="1"/>
      <c r="Q154" s="1"/>
    </row>
    <row r="155" spans="1:17" x14ac:dyDescent="0.35">
      <c r="A155" s="1"/>
      <c r="B155" s="1"/>
      <c r="C155" s="1"/>
      <c r="D155" s="1"/>
      <c r="E155" s="1"/>
      <c r="F155" s="1"/>
      <c r="G155" s="1"/>
      <c r="H155" s="1"/>
      <c r="I155" s="1"/>
      <c r="J155" s="1"/>
      <c r="K155" s="1"/>
      <c r="L155" s="1"/>
      <c r="M155" s="1"/>
      <c r="N155" s="1"/>
      <c r="O155" s="1"/>
      <c r="P155" s="1"/>
      <c r="Q155" s="1"/>
    </row>
    <row r="156" spans="1:17" x14ac:dyDescent="0.35">
      <c r="A156" s="1"/>
      <c r="B156" s="1"/>
      <c r="C156" s="1"/>
      <c r="D156" s="1"/>
      <c r="E156" s="1"/>
      <c r="F156" s="1"/>
      <c r="G156" s="1"/>
      <c r="H156" s="1"/>
      <c r="I156" s="1"/>
      <c r="J156" s="1"/>
      <c r="K156" s="1"/>
      <c r="L156" s="1"/>
      <c r="M156" s="1"/>
      <c r="N156" s="1"/>
      <c r="O156" s="1"/>
      <c r="P156" s="1"/>
      <c r="Q156" s="1"/>
    </row>
    <row r="157" spans="1:17" x14ac:dyDescent="0.35">
      <c r="A157" s="1"/>
      <c r="B157" s="1"/>
      <c r="C157" s="1"/>
      <c r="D157" s="1"/>
      <c r="E157" s="1"/>
      <c r="F157" s="1"/>
      <c r="G157" s="1"/>
      <c r="H157" s="1"/>
      <c r="I157" s="1"/>
      <c r="J157" s="1"/>
      <c r="K157" s="1"/>
      <c r="L157" s="1"/>
      <c r="M157" s="1"/>
      <c r="N157" s="1"/>
      <c r="O157" s="1"/>
      <c r="P157" s="1"/>
      <c r="Q157" s="1"/>
    </row>
    <row r="158" spans="1:17" x14ac:dyDescent="0.35">
      <c r="A158" s="1"/>
      <c r="B158" s="1"/>
      <c r="C158" s="1"/>
      <c r="D158" s="1"/>
      <c r="E158" s="1"/>
      <c r="F158" s="1"/>
      <c r="G158" s="1"/>
      <c r="H158" s="1"/>
      <c r="I158" s="1"/>
      <c r="J158" s="1"/>
      <c r="K158" s="1"/>
      <c r="L158" s="1"/>
      <c r="M158" s="1"/>
      <c r="N158" s="1"/>
      <c r="O158" s="1"/>
      <c r="P158" s="1"/>
      <c r="Q158" s="1"/>
    </row>
    <row r="159" spans="1:17" x14ac:dyDescent="0.35">
      <c r="A159" s="1"/>
      <c r="B159" s="1"/>
      <c r="C159" s="1"/>
      <c r="D159" s="1"/>
      <c r="E159" s="1"/>
      <c r="F159" s="1"/>
      <c r="G159" s="1"/>
      <c r="H159" s="1"/>
      <c r="I159" s="1"/>
      <c r="J159" s="1"/>
      <c r="K159" s="1"/>
      <c r="L159" s="1"/>
      <c r="M159" s="1"/>
      <c r="N159" s="1"/>
      <c r="O159" s="1"/>
      <c r="P159" s="1"/>
      <c r="Q159" s="1"/>
    </row>
    <row r="160" spans="1:17" x14ac:dyDescent="0.35">
      <c r="A160" s="1"/>
      <c r="B160" s="1"/>
      <c r="C160" s="1"/>
      <c r="D160" s="1"/>
      <c r="E160" s="1"/>
      <c r="F160" s="1"/>
      <c r="G160" s="1"/>
      <c r="H160" s="1"/>
      <c r="I160" s="1"/>
      <c r="J160" s="1"/>
      <c r="K160" s="1"/>
      <c r="L160" s="1"/>
      <c r="M160" s="1"/>
      <c r="N160" s="1"/>
      <c r="O160" s="1"/>
      <c r="P160" s="1"/>
      <c r="Q160" s="1"/>
    </row>
    <row r="161" spans="1:17" x14ac:dyDescent="0.35">
      <c r="A161" s="1"/>
      <c r="B161" s="1"/>
      <c r="C161" s="1"/>
      <c r="D161" s="1"/>
      <c r="E161" s="1"/>
      <c r="F161" s="1"/>
      <c r="G161" s="1"/>
      <c r="H161" s="1"/>
      <c r="I161" s="1"/>
      <c r="J161" s="1"/>
      <c r="K161" s="1"/>
      <c r="L161" s="1"/>
      <c r="M161" s="1"/>
      <c r="N161" s="1"/>
      <c r="O161" s="1"/>
      <c r="P161" s="1"/>
      <c r="Q161" s="1"/>
    </row>
    <row r="162" spans="1:17" x14ac:dyDescent="0.35">
      <c r="A162" s="1"/>
      <c r="B162" s="1"/>
      <c r="C162" s="1"/>
      <c r="D162" s="1"/>
      <c r="E162" s="1"/>
      <c r="F162" s="1"/>
      <c r="G162" s="1"/>
      <c r="H162" s="1"/>
      <c r="I162" s="1"/>
      <c r="J162" s="1"/>
      <c r="K162" s="1"/>
      <c r="L162" s="1"/>
      <c r="M162" s="1"/>
      <c r="N162" s="1"/>
      <c r="O162" s="1"/>
      <c r="P162" s="1"/>
      <c r="Q162" s="1"/>
    </row>
    <row r="163" spans="1:17" x14ac:dyDescent="0.35">
      <c r="A163" s="1"/>
      <c r="B163" s="1"/>
      <c r="C163" s="1"/>
      <c r="D163" s="1"/>
      <c r="E163" s="1"/>
      <c r="F163" s="1"/>
      <c r="G163" s="1"/>
      <c r="H163" s="1"/>
      <c r="I163" s="1"/>
      <c r="J163" s="1"/>
      <c r="K163" s="1"/>
      <c r="L163" s="1"/>
      <c r="M163" s="1"/>
      <c r="N163" s="1"/>
      <c r="O163" s="1"/>
      <c r="P163" s="1"/>
      <c r="Q163" s="1"/>
    </row>
    <row r="164" spans="1:17" x14ac:dyDescent="0.35">
      <c r="A164" s="1"/>
      <c r="B164" s="1"/>
      <c r="C164" s="1"/>
      <c r="D164" s="1"/>
      <c r="E164" s="1"/>
      <c r="F164" s="1"/>
      <c r="G164" s="1"/>
      <c r="H164" s="1"/>
      <c r="I164" s="1"/>
      <c r="J164" s="1"/>
      <c r="K164" s="1"/>
      <c r="L164" s="1"/>
      <c r="M164" s="1"/>
      <c r="N164" s="1"/>
      <c r="O164" s="1"/>
      <c r="P164" s="1"/>
      <c r="Q164" s="1"/>
    </row>
    <row r="165" spans="1:17" x14ac:dyDescent="0.35">
      <c r="A165" s="1"/>
      <c r="B165" s="1"/>
      <c r="C165" s="1"/>
      <c r="D165" s="1"/>
      <c r="E165" s="1"/>
      <c r="F165" s="1"/>
      <c r="G165" s="1"/>
      <c r="H165" s="1"/>
      <c r="I165" s="1"/>
      <c r="J165" s="1"/>
      <c r="K165" s="1"/>
      <c r="L165" s="1"/>
      <c r="M165" s="1"/>
      <c r="N165" s="1"/>
      <c r="O165" s="1"/>
      <c r="P165" s="1"/>
      <c r="Q165" s="1"/>
    </row>
    <row r="166" spans="1:17" x14ac:dyDescent="0.35">
      <c r="A166" s="1"/>
      <c r="B166" s="1"/>
      <c r="C166" s="1"/>
      <c r="D166" s="1"/>
      <c r="E166" s="1"/>
      <c r="F166" s="1"/>
      <c r="G166" s="1"/>
      <c r="H166" s="1"/>
      <c r="I166" s="1"/>
      <c r="J166" s="1"/>
      <c r="K166" s="1"/>
      <c r="L166" s="1"/>
      <c r="M166" s="1"/>
      <c r="N166" s="1"/>
      <c r="O166" s="1"/>
      <c r="P166" s="1"/>
      <c r="Q166" s="1"/>
    </row>
    <row r="167" spans="1:17" x14ac:dyDescent="0.35">
      <c r="A167" s="1"/>
      <c r="B167" s="1"/>
      <c r="C167" s="1"/>
      <c r="D167" s="1"/>
      <c r="E167" s="1"/>
      <c r="F167" s="1"/>
      <c r="G167" s="1"/>
      <c r="H167" s="1"/>
      <c r="I167" s="1"/>
      <c r="J167" s="1"/>
      <c r="K167" s="1"/>
      <c r="L167" s="1"/>
      <c r="M167" s="1"/>
      <c r="N167" s="1"/>
      <c r="O167" s="1"/>
      <c r="P167" s="1"/>
      <c r="Q167" s="1"/>
    </row>
    <row r="168" spans="1:17" x14ac:dyDescent="0.35">
      <c r="A168" s="1"/>
      <c r="B168" s="1"/>
      <c r="C168" s="1"/>
      <c r="D168" s="1"/>
      <c r="E168" s="1"/>
      <c r="F168" s="1"/>
      <c r="G168" s="1"/>
      <c r="H168" s="1"/>
      <c r="I168" s="1"/>
      <c r="J168" s="1"/>
      <c r="K168" s="1"/>
      <c r="L168" s="1"/>
      <c r="M168" s="1"/>
      <c r="N168" s="1"/>
      <c r="O168" s="1"/>
      <c r="P168" s="1"/>
      <c r="Q168" s="1"/>
    </row>
    <row r="169" spans="1:17" x14ac:dyDescent="0.35">
      <c r="A169" s="1"/>
      <c r="B169" s="1"/>
      <c r="C169" s="1"/>
      <c r="D169" s="1"/>
      <c r="E169" s="1"/>
      <c r="F169" s="1"/>
      <c r="G169" s="1"/>
      <c r="H169" s="1"/>
      <c r="I169" s="1"/>
      <c r="J169" s="1"/>
      <c r="K169" s="1"/>
      <c r="L169" s="1"/>
      <c r="M169" s="1"/>
      <c r="N169" s="1"/>
      <c r="O169" s="1"/>
      <c r="P169" s="1"/>
      <c r="Q169" s="1"/>
    </row>
    <row r="170" spans="1:17" x14ac:dyDescent="0.35">
      <c r="A170" s="1"/>
      <c r="B170" s="1"/>
      <c r="C170" s="1"/>
      <c r="D170" s="1"/>
      <c r="E170" s="1"/>
      <c r="F170" s="1"/>
      <c r="G170" s="1"/>
      <c r="H170" s="1"/>
      <c r="I170" s="1"/>
      <c r="J170" s="1"/>
      <c r="K170" s="1"/>
      <c r="L170" s="1"/>
      <c r="M170" s="1"/>
      <c r="N170" s="1"/>
      <c r="O170" s="1"/>
      <c r="P170" s="1"/>
      <c r="Q170" s="1"/>
    </row>
    <row r="171" spans="1:17" x14ac:dyDescent="0.35">
      <c r="A171" s="1"/>
      <c r="B171" s="1"/>
      <c r="C171" s="1"/>
      <c r="D171" s="1"/>
      <c r="E171" s="1"/>
      <c r="F171" s="1"/>
      <c r="G171" s="1"/>
      <c r="H171" s="1"/>
      <c r="I171" s="1"/>
      <c r="J171" s="1"/>
      <c r="K171" s="1"/>
      <c r="L171" s="1"/>
      <c r="M171" s="1"/>
      <c r="N171" s="1"/>
      <c r="O171" s="1"/>
      <c r="P171" s="1"/>
      <c r="Q171" s="1"/>
    </row>
    <row r="172" spans="1:17" x14ac:dyDescent="0.35">
      <c r="A172" s="1"/>
      <c r="B172" s="1"/>
      <c r="C172" s="1"/>
      <c r="D172" s="1"/>
      <c r="E172" s="1"/>
      <c r="F172" s="1"/>
      <c r="G172" s="1"/>
      <c r="H172" s="1"/>
      <c r="I172" s="1"/>
      <c r="J172" s="1"/>
      <c r="K172" s="1"/>
      <c r="L172" s="1"/>
      <c r="M172" s="1"/>
      <c r="N172" s="1"/>
      <c r="O172" s="1"/>
      <c r="P172" s="1"/>
      <c r="Q172" s="1"/>
    </row>
    <row r="173" spans="1:17" x14ac:dyDescent="0.35">
      <c r="A173" s="1"/>
      <c r="B173" s="1"/>
      <c r="C173" s="1"/>
      <c r="D173" s="1"/>
      <c r="E173" s="1"/>
      <c r="F173" s="1"/>
      <c r="G173" s="1"/>
      <c r="H173" s="1"/>
      <c r="I173" s="1"/>
      <c r="J173" s="1"/>
      <c r="K173" s="1"/>
      <c r="L173" s="1"/>
      <c r="M173" s="1"/>
      <c r="N173" s="1"/>
      <c r="O173" s="1"/>
      <c r="P173" s="1"/>
      <c r="Q173" s="1"/>
    </row>
    <row r="174" spans="1:17" x14ac:dyDescent="0.35">
      <c r="A174" s="1"/>
      <c r="B174" s="1"/>
      <c r="C174" s="1"/>
      <c r="D174" s="1"/>
      <c r="E174" s="1"/>
      <c r="F174" s="1"/>
      <c r="G174" s="1"/>
      <c r="H174" s="1"/>
      <c r="I174" s="1"/>
      <c r="J174" s="1"/>
      <c r="K174" s="1"/>
      <c r="L174" s="1"/>
      <c r="M174" s="1"/>
      <c r="N174" s="1"/>
      <c r="O174" s="1"/>
      <c r="P174" s="1"/>
      <c r="Q174" s="1"/>
    </row>
    <row r="175" spans="1:17" x14ac:dyDescent="0.35">
      <c r="A175" s="1"/>
      <c r="B175" s="1"/>
      <c r="C175" s="1"/>
      <c r="D175" s="1"/>
      <c r="E175" s="1"/>
      <c r="F175" s="1"/>
      <c r="G175" s="1"/>
      <c r="H175" s="1"/>
      <c r="I175" s="1"/>
      <c r="J175" s="1"/>
      <c r="K175" s="1"/>
      <c r="L175" s="1"/>
      <c r="M175" s="1"/>
      <c r="N175" s="1"/>
      <c r="O175" s="1"/>
      <c r="P175" s="1"/>
      <c r="Q175" s="1"/>
    </row>
    <row r="176" spans="1:17" x14ac:dyDescent="0.35">
      <c r="A176" s="1"/>
      <c r="B176" s="1"/>
      <c r="C176" s="1"/>
      <c r="D176" s="1"/>
      <c r="E176" s="1"/>
      <c r="F176" s="1"/>
      <c r="G176" s="1"/>
      <c r="H176" s="1"/>
      <c r="I176" s="1"/>
      <c r="J176" s="1"/>
      <c r="K176" s="1"/>
      <c r="L176" s="1"/>
      <c r="M176" s="1"/>
      <c r="N176" s="1"/>
      <c r="O176" s="1"/>
      <c r="P176" s="1"/>
      <c r="Q176" s="1"/>
    </row>
    <row r="177" spans="1:17" x14ac:dyDescent="0.35">
      <c r="A177" s="1"/>
      <c r="B177" s="1"/>
      <c r="C177" s="1"/>
      <c r="D177" s="1"/>
      <c r="E177" s="1"/>
      <c r="F177" s="1"/>
      <c r="G177" s="1"/>
      <c r="H177" s="1"/>
      <c r="I177" s="1"/>
      <c r="J177" s="1"/>
      <c r="K177" s="1"/>
      <c r="L177" s="1"/>
      <c r="M177" s="1"/>
      <c r="N177" s="1"/>
      <c r="O177" s="1"/>
      <c r="P177" s="1"/>
      <c r="Q177" s="1"/>
    </row>
    <row r="178" spans="1:17" x14ac:dyDescent="0.35">
      <c r="A178" s="1"/>
      <c r="B178" s="1"/>
      <c r="C178" s="1"/>
      <c r="D178" s="1"/>
      <c r="E178" s="1"/>
      <c r="F178" s="1"/>
      <c r="G178" s="1"/>
      <c r="H178" s="1"/>
      <c r="I178" s="1"/>
      <c r="J178" s="1"/>
      <c r="K178" s="1"/>
      <c r="L178" s="1"/>
      <c r="M178" s="1"/>
      <c r="N178" s="1"/>
      <c r="O178" s="1"/>
      <c r="P178" s="1"/>
      <c r="Q178" s="1"/>
    </row>
    <row r="179" spans="1:17" x14ac:dyDescent="0.35">
      <c r="A179" s="1"/>
      <c r="B179" s="1"/>
      <c r="C179" s="1"/>
      <c r="D179" s="1"/>
      <c r="E179" s="1"/>
      <c r="F179" s="1"/>
      <c r="G179" s="1"/>
      <c r="H179" s="1"/>
      <c r="I179" s="1"/>
      <c r="J179" s="1"/>
      <c r="K179" s="1"/>
      <c r="L179" s="1"/>
      <c r="M179" s="1"/>
      <c r="N179" s="1"/>
      <c r="O179" s="1"/>
      <c r="P179" s="1"/>
      <c r="Q179" s="1"/>
    </row>
    <row r="180" spans="1:17" x14ac:dyDescent="0.35">
      <c r="A180" s="1"/>
      <c r="B180" s="1"/>
      <c r="C180" s="1"/>
      <c r="D180" s="1"/>
      <c r="E180" s="1"/>
      <c r="F180" s="1"/>
      <c r="G180" s="1"/>
      <c r="H180" s="1"/>
      <c r="I180" s="1"/>
      <c r="J180" s="1"/>
      <c r="K180" s="1"/>
      <c r="L180" s="1"/>
      <c r="M180" s="1"/>
      <c r="N180" s="1"/>
      <c r="O180" s="1"/>
      <c r="P180" s="1"/>
      <c r="Q180" s="1"/>
    </row>
    <row r="181" spans="1:17" x14ac:dyDescent="0.35">
      <c r="A181" s="1"/>
      <c r="B181" s="1"/>
      <c r="C181" s="1"/>
      <c r="D181" s="1"/>
      <c r="E181" s="1"/>
      <c r="F181" s="1"/>
      <c r="G181" s="1"/>
      <c r="H181" s="1"/>
      <c r="I181" s="1"/>
      <c r="J181" s="1"/>
      <c r="K181" s="1"/>
      <c r="L181" s="1"/>
      <c r="M181" s="1"/>
      <c r="N181" s="1"/>
      <c r="O181" s="1"/>
      <c r="P181" s="1"/>
      <c r="Q181" s="1"/>
    </row>
    <row r="182" spans="1:17" x14ac:dyDescent="0.35">
      <c r="A182" s="1"/>
      <c r="B182" s="1"/>
      <c r="C182" s="1"/>
      <c r="D182" s="1"/>
      <c r="E182" s="1"/>
      <c r="F182" s="1"/>
      <c r="G182" s="1"/>
      <c r="H182" s="1"/>
      <c r="I182" s="1"/>
      <c r="J182" s="1"/>
      <c r="K182" s="1"/>
      <c r="L182" s="1"/>
      <c r="M182" s="1"/>
      <c r="N182" s="1"/>
      <c r="O182" s="1"/>
      <c r="P182" s="1"/>
      <c r="Q182" s="1"/>
    </row>
    <row r="183" spans="1:17" x14ac:dyDescent="0.35">
      <c r="A183" s="1"/>
      <c r="B183" s="1"/>
      <c r="C183" s="1"/>
      <c r="D183" s="1"/>
      <c r="E183" s="1"/>
      <c r="F183" s="1"/>
      <c r="G183" s="1"/>
      <c r="H183" s="1"/>
      <c r="I183" s="1"/>
      <c r="J183" s="1"/>
      <c r="K183" s="1"/>
      <c r="L183" s="1"/>
      <c r="M183" s="1"/>
      <c r="N183" s="1"/>
      <c r="O183" s="1"/>
      <c r="P183" s="1"/>
      <c r="Q183" s="1"/>
    </row>
    <row r="184" spans="1:17" x14ac:dyDescent="0.35">
      <c r="A184" s="1"/>
      <c r="B184" s="1"/>
      <c r="C184" s="1"/>
      <c r="D184" s="1"/>
      <c r="E184" s="1"/>
      <c r="F184" s="1"/>
      <c r="G184" s="1"/>
      <c r="H184" s="1"/>
      <c r="I184" s="1"/>
      <c r="J184" s="1"/>
      <c r="K184" s="1"/>
      <c r="L184" s="1"/>
      <c r="M184" s="1"/>
      <c r="N184" s="1"/>
      <c r="O184" s="1"/>
      <c r="P184" s="1"/>
      <c r="Q184" s="1"/>
    </row>
    <row r="185" spans="1:17" x14ac:dyDescent="0.35">
      <c r="A185" s="1"/>
      <c r="B185" s="1"/>
      <c r="C185" s="1"/>
      <c r="D185" s="1"/>
      <c r="E185" s="1"/>
      <c r="F185" s="1"/>
      <c r="G185" s="1"/>
      <c r="H185" s="1"/>
      <c r="I185" s="1"/>
      <c r="J185" s="1"/>
      <c r="K185" s="1"/>
      <c r="L185" s="1"/>
      <c r="M185" s="1"/>
      <c r="N185" s="1"/>
      <c r="O185" s="1"/>
      <c r="P185" s="1"/>
      <c r="Q185" s="1"/>
    </row>
    <row r="186" spans="1:17" x14ac:dyDescent="0.35">
      <c r="A186" s="1"/>
      <c r="B186" s="1"/>
      <c r="C186" s="1"/>
      <c r="D186" s="1"/>
      <c r="E186" s="1"/>
      <c r="F186" s="1"/>
      <c r="G186" s="1"/>
      <c r="H186" s="1"/>
      <c r="I186" s="1"/>
      <c r="J186" s="1"/>
      <c r="K186" s="1"/>
      <c r="L186" s="1"/>
      <c r="M186" s="1"/>
      <c r="N186" s="1"/>
      <c r="O186" s="1"/>
      <c r="P186" s="1"/>
      <c r="Q186" s="1"/>
    </row>
    <row r="187" spans="1:17" x14ac:dyDescent="0.35">
      <c r="A187" s="1"/>
      <c r="B187" s="1"/>
      <c r="C187" s="1"/>
      <c r="D187" s="1"/>
      <c r="E187" s="1"/>
      <c r="F187" s="1"/>
      <c r="G187" s="1"/>
      <c r="H187" s="1"/>
      <c r="I187" s="1"/>
      <c r="J187" s="1"/>
      <c r="K187" s="1"/>
      <c r="L187" s="1"/>
      <c r="M187" s="1"/>
      <c r="N187" s="1"/>
      <c r="O187" s="1"/>
      <c r="P187" s="1"/>
      <c r="Q187" s="1"/>
    </row>
    <row r="188" spans="1:17" x14ac:dyDescent="0.35">
      <c r="A188" s="1"/>
      <c r="B188" s="1"/>
      <c r="C188" s="1"/>
      <c r="D188" s="1"/>
      <c r="E188" s="1"/>
      <c r="F188" s="1"/>
      <c r="G188" s="1"/>
      <c r="H188" s="1"/>
      <c r="I188" s="1"/>
      <c r="J188" s="1"/>
      <c r="K188" s="1"/>
      <c r="L188" s="1"/>
      <c r="M188" s="1"/>
      <c r="N188" s="1"/>
      <c r="O188" s="1"/>
      <c r="P188" s="1"/>
      <c r="Q188" s="1"/>
    </row>
    <row r="189" spans="1:17" x14ac:dyDescent="0.35">
      <c r="A189" s="1"/>
      <c r="B189" s="1"/>
      <c r="C189" s="1"/>
      <c r="D189" s="1"/>
      <c r="E189" s="1"/>
      <c r="F189" s="1"/>
      <c r="G189" s="1"/>
      <c r="H189" s="1"/>
      <c r="I189" s="1"/>
      <c r="J189" s="1"/>
      <c r="K189" s="1"/>
      <c r="L189" s="1"/>
      <c r="M189" s="1"/>
      <c r="N189" s="1"/>
      <c r="O189" s="1"/>
      <c r="P189" s="1"/>
      <c r="Q189" s="1"/>
    </row>
    <row r="190" spans="1:17" x14ac:dyDescent="0.35">
      <c r="A190" s="1"/>
      <c r="B190" s="1"/>
      <c r="C190" s="1"/>
      <c r="D190" s="1"/>
      <c r="E190" s="1"/>
      <c r="F190" s="1"/>
      <c r="G190" s="1"/>
      <c r="H190" s="1"/>
      <c r="I190" s="1"/>
      <c r="J190" s="1"/>
      <c r="K190" s="1"/>
      <c r="L190" s="1"/>
      <c r="M190" s="1"/>
      <c r="N190" s="1"/>
      <c r="O190" s="1"/>
      <c r="P190" s="1"/>
      <c r="Q190" s="1"/>
    </row>
    <row r="191" spans="1:17" x14ac:dyDescent="0.35">
      <c r="A191" s="1"/>
      <c r="B191" s="1"/>
      <c r="C191" s="1"/>
      <c r="D191" s="1"/>
      <c r="E191" s="1"/>
      <c r="F191" s="1"/>
      <c r="G191" s="1"/>
      <c r="H191" s="1"/>
      <c r="I191" s="1"/>
      <c r="J191" s="1"/>
      <c r="K191" s="1"/>
      <c r="L191" s="1"/>
      <c r="M191" s="1"/>
      <c r="N191" s="1"/>
      <c r="O191" s="1"/>
      <c r="P191" s="1"/>
      <c r="Q191" s="1"/>
    </row>
    <row r="192" spans="1:17" x14ac:dyDescent="0.35">
      <c r="A192" s="1"/>
      <c r="B192" s="1"/>
      <c r="C192" s="1"/>
      <c r="D192" s="1"/>
      <c r="E192" s="1"/>
      <c r="F192" s="1"/>
      <c r="G192" s="1"/>
      <c r="H192" s="1"/>
      <c r="I192" s="1"/>
      <c r="J192" s="1"/>
      <c r="K192" s="1"/>
      <c r="L192" s="1"/>
      <c r="M192" s="1"/>
      <c r="N192" s="1"/>
      <c r="O192" s="1"/>
      <c r="P192" s="1"/>
      <c r="Q192" s="1"/>
    </row>
    <row r="193" spans="1:17" x14ac:dyDescent="0.35">
      <c r="A193" s="1"/>
      <c r="B193" s="1"/>
      <c r="C193" s="1"/>
      <c r="D193" s="1"/>
      <c r="E193" s="1"/>
      <c r="F193" s="1"/>
      <c r="G193" s="1"/>
      <c r="H193" s="1"/>
      <c r="I193" s="1"/>
      <c r="J193" s="1"/>
      <c r="K193" s="1"/>
      <c r="L193" s="1"/>
      <c r="M193" s="1"/>
      <c r="N193" s="1"/>
      <c r="O193" s="1"/>
      <c r="P193" s="1"/>
      <c r="Q193" s="1"/>
    </row>
    <row r="194" spans="1:17" x14ac:dyDescent="0.35">
      <c r="A194" s="1"/>
      <c r="B194" s="1"/>
      <c r="C194" s="1"/>
      <c r="D194" s="1"/>
      <c r="E194" s="1"/>
      <c r="F194" s="1"/>
      <c r="G194" s="1"/>
      <c r="H194" s="1"/>
      <c r="I194" s="1"/>
      <c r="J194" s="1"/>
      <c r="K194" s="1"/>
      <c r="L194" s="1"/>
      <c r="M194" s="1"/>
      <c r="N194" s="1"/>
      <c r="O194" s="1"/>
      <c r="P194" s="1"/>
      <c r="Q194" s="1"/>
    </row>
    <row r="195" spans="1:17" x14ac:dyDescent="0.35">
      <c r="A195" s="1"/>
      <c r="B195" s="1"/>
      <c r="C195" s="1"/>
      <c r="D195" s="1"/>
      <c r="E195" s="1"/>
      <c r="F195" s="1"/>
      <c r="G195" s="1"/>
      <c r="H195" s="1"/>
      <c r="I195" s="1"/>
      <c r="J195" s="1"/>
      <c r="K195" s="1"/>
      <c r="L195" s="1"/>
      <c r="M195" s="1"/>
      <c r="N195" s="1"/>
      <c r="O195" s="1"/>
      <c r="P195" s="1"/>
      <c r="Q195" s="1"/>
    </row>
    <row r="196" spans="1:17" x14ac:dyDescent="0.35">
      <c r="A196" s="1"/>
      <c r="B196" s="1"/>
      <c r="C196" s="1"/>
      <c r="D196" s="1"/>
      <c r="E196" s="1"/>
      <c r="F196" s="1"/>
      <c r="G196" s="1"/>
      <c r="H196" s="1"/>
      <c r="I196" s="1"/>
      <c r="J196" s="1"/>
      <c r="K196" s="1"/>
      <c r="L196" s="1"/>
      <c r="M196" s="1"/>
      <c r="N196" s="1"/>
      <c r="O196" s="1"/>
      <c r="P196" s="1"/>
      <c r="Q196" s="1"/>
    </row>
    <row r="197" spans="1:17" x14ac:dyDescent="0.35">
      <c r="A197" s="1"/>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1:17" x14ac:dyDescent="0.35">
      <c r="A198" s="1"/>
      <c r="B198" s="37"/>
      <c r="C198" s="38"/>
      <c r="D198" s="31"/>
      <c r="E198" s="32"/>
      <c r="F198" s="34"/>
      <c r="G198" s="33"/>
      <c r="H198" s="34"/>
      <c r="I198" s="33"/>
      <c r="J198" s="34"/>
      <c r="K198" s="34"/>
      <c r="L198" s="34"/>
      <c r="M198" s="33"/>
      <c r="N198" s="34"/>
      <c r="O198" s="35"/>
      <c r="P198" s="36"/>
      <c r="Q198" s="35"/>
    </row>
    <row r="199" spans="1:17" x14ac:dyDescent="0.35">
      <c r="A199" s="1"/>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1:17" x14ac:dyDescent="0.35">
      <c r="A200" s="1"/>
      <c r="B200" s="1"/>
      <c r="C200" s="1"/>
      <c r="D200" s="1"/>
      <c r="E200" s="1"/>
      <c r="F200" s="1"/>
      <c r="G200" s="1"/>
      <c r="H200" s="1"/>
      <c r="I200" s="1"/>
      <c r="J200" s="1"/>
      <c r="K200" s="1"/>
      <c r="L200" s="1"/>
      <c r="M200" s="1"/>
      <c r="N200" s="1"/>
      <c r="O200" s="1"/>
      <c r="P200" s="1"/>
      <c r="Q200" s="78" t="s">
        <v>21404</v>
      </c>
    </row>
    <row r="201" spans="1:17" x14ac:dyDescent="0.35">
      <c r="A201" s="1"/>
      <c r="B201" s="1"/>
      <c r="C201" s="78" t="s">
        <v>21592</v>
      </c>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77" t="s">
        <v>21399</v>
      </c>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t="s">
        <v>21398</v>
      </c>
      <c r="D205" s="1" t="s">
        <v>75</v>
      </c>
      <c r="E205" s="1" t="s">
        <v>13768</v>
      </c>
      <c r="F205" s="2" t="s">
        <v>21397</v>
      </c>
      <c r="G205" s="1" t="s">
        <v>9</v>
      </c>
      <c r="H205" s="1"/>
      <c r="I205" s="1"/>
      <c r="J205" s="1"/>
      <c r="K205" s="1"/>
      <c r="L205" s="1"/>
      <c r="M205" s="1"/>
      <c r="N205" s="1"/>
      <c r="O205" s="1"/>
      <c r="P205" s="1"/>
      <c r="Q205" s="1"/>
    </row>
    <row r="206" spans="1:17" x14ac:dyDescent="0.35">
      <c r="B206" s="49" t="s">
        <v>15004</v>
      </c>
      <c r="C206" s="352" t="s">
        <v>15005</v>
      </c>
    </row>
    <row r="207" spans="1:17" x14ac:dyDescent="0.35">
      <c r="B207" s="49" t="s">
        <v>15006</v>
      </c>
      <c r="C207" s="53" t="s">
        <v>15007</v>
      </c>
    </row>
    <row r="208" spans="1:17" x14ac:dyDescent="0.35">
      <c r="B208" s="49" t="s">
        <v>15008</v>
      </c>
      <c r="C208" s="53" t="s">
        <v>15009</v>
      </c>
    </row>
    <row r="209" spans="2:8" x14ac:dyDescent="0.35">
      <c r="B209" s="49" t="s">
        <v>15010</v>
      </c>
      <c r="C209" s="53" t="s">
        <v>15011</v>
      </c>
    </row>
    <row r="210" spans="2:8" x14ac:dyDescent="0.35">
      <c r="B210" s="49" t="s">
        <v>15012</v>
      </c>
      <c r="C210" s="53" t="s">
        <v>15013</v>
      </c>
    </row>
    <row r="211" spans="2:8" x14ac:dyDescent="0.35">
      <c r="B211" s="49" t="s">
        <v>15014</v>
      </c>
      <c r="C211" s="53" t="s">
        <v>15015</v>
      </c>
    </row>
    <row r="212" spans="2:8" x14ac:dyDescent="0.35">
      <c r="B212" s="49" t="s">
        <v>15016</v>
      </c>
      <c r="C212" s="53" t="s">
        <v>15017</v>
      </c>
    </row>
    <row r="213" spans="2:8" ht="130.5" x14ac:dyDescent="0.35">
      <c r="C213" s="390" t="s">
        <v>15007</v>
      </c>
      <c r="D213" s="388" t="s">
        <v>20</v>
      </c>
      <c r="E213" s="388">
        <v>13300.01</v>
      </c>
      <c r="F213" s="388" t="s">
        <v>22322</v>
      </c>
      <c r="G213" s="388" t="s">
        <v>22323</v>
      </c>
      <c r="H213" s="388" t="s">
        <v>22324</v>
      </c>
    </row>
    <row r="214" spans="2:8" ht="116" x14ac:dyDescent="0.35">
      <c r="C214" s="390" t="s">
        <v>15009</v>
      </c>
      <c r="D214" s="388" t="s">
        <v>20</v>
      </c>
      <c r="E214" s="388">
        <v>13310.01</v>
      </c>
      <c r="F214" s="388" t="s">
        <v>22325</v>
      </c>
      <c r="G214" s="388" t="s">
        <v>22301</v>
      </c>
      <c r="H214" s="388" t="s">
        <v>22326</v>
      </c>
    </row>
    <row r="215" spans="2:8" ht="145" x14ac:dyDescent="0.35">
      <c r="C215" s="390" t="s">
        <v>15011</v>
      </c>
      <c r="D215" s="388" t="s">
        <v>20</v>
      </c>
      <c r="E215" s="388">
        <v>13320.01</v>
      </c>
      <c r="F215" s="388" t="s">
        <v>22327</v>
      </c>
      <c r="G215" s="388" t="s">
        <v>22328</v>
      </c>
      <c r="H215" s="388" t="s">
        <v>22329</v>
      </c>
    </row>
    <row r="216" spans="2:8" ht="145" x14ac:dyDescent="0.35">
      <c r="C216" s="390" t="s">
        <v>15013</v>
      </c>
      <c r="D216" s="388" t="s">
        <v>20</v>
      </c>
      <c r="E216" s="388">
        <v>13330.01</v>
      </c>
      <c r="F216" s="388" t="s">
        <v>22330</v>
      </c>
      <c r="G216" s="388" t="s">
        <v>22287</v>
      </c>
      <c r="H216" s="388" t="s">
        <v>22331</v>
      </c>
    </row>
    <row r="217" spans="2:8" ht="116" x14ac:dyDescent="0.35">
      <c r="C217" s="390" t="s">
        <v>15015</v>
      </c>
      <c r="D217" s="388" t="s">
        <v>22</v>
      </c>
      <c r="E217" s="388">
        <v>13340.01</v>
      </c>
      <c r="F217" s="388" t="s">
        <v>22332</v>
      </c>
      <c r="G217" s="388" t="s">
        <v>22333</v>
      </c>
      <c r="H217" s="388" t="s">
        <v>22334</v>
      </c>
    </row>
    <row r="218" spans="2:8" ht="130.5" x14ac:dyDescent="0.35">
      <c r="C218" s="390" t="s">
        <v>15017</v>
      </c>
      <c r="D218" s="388" t="s">
        <v>19</v>
      </c>
      <c r="E218" s="388">
        <v>13350.01</v>
      </c>
      <c r="F218" s="388" t="s">
        <v>22335</v>
      </c>
      <c r="G218" s="388" t="s">
        <v>22336</v>
      </c>
      <c r="H218" s="388" t="s">
        <v>22337</v>
      </c>
    </row>
  </sheetData>
  <mergeCells count="9">
    <mergeCell ref="J5:K5"/>
    <mergeCell ref="J6:K6"/>
    <mergeCell ref="J7:K7"/>
    <mergeCell ref="A3:B3"/>
    <mergeCell ref="D3:G3"/>
    <mergeCell ref="J3:K3"/>
    <mergeCell ref="P3:Q3"/>
    <mergeCell ref="A4:B4"/>
    <mergeCell ref="J4:K4"/>
  </mergeCells>
  <dataValidations count="1">
    <dataValidation type="list" allowBlank="1" showInputMessage="1" showErrorMessage="1" sqref="C16:C190" xr:uid="{B99DE625-DFE9-4F9E-B663-AE2D5462E689}">
      <formula1>$C$205:$C207</formula1>
    </dataValidation>
  </dataValidations>
  <hyperlinks>
    <hyperlink ref="D3" r:id="rId1" display="datamateapp@gmail.com" xr:uid="{7A04F822-7189-4B5B-B22A-B2BD68BC2514}"/>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81313" r:id="rId4" name="Button 1">
              <controlPr defaultSize="0" print="0" autoFill="0" autoPict="0" macro="SaveData">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781314" r:id="rId5" name="Button 2">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781315"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781316"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781317" r:id="rId8" name="Button 5">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781318" r:id="rId9" name="Button 6">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781319" r:id="rId10" name="Button 7">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781320" r:id="rId11" name="Button 8">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mc:AlternateContent xmlns:mc="http://schemas.openxmlformats.org/markup-compatibility/2006">
          <mc:Choice Requires="x14">
            <control shapeId="781321" r:id="rId12" name="Button 9">
              <controlPr defaultSize="0" print="0" autoFill="0" autoPict="0" macro="[0]!ExitSEC_133000">
                <anchor moveWithCells="1" sizeWithCells="1">
                  <from>
                    <xdr:col>16</xdr:col>
                    <xdr:colOff>0</xdr:colOff>
                    <xdr:row>0</xdr:row>
                    <xdr:rowOff>0</xdr:rowOff>
                  </from>
                  <to>
                    <xdr:col>16</xdr:col>
                    <xdr:colOff>1270000</xdr:colOff>
                    <xdr:row>2</xdr:row>
                    <xdr:rowOff>12700</xdr:rowOff>
                  </to>
                </anchor>
              </controlPr>
            </control>
          </mc:Choice>
        </mc:AlternateContent>
      </controls>
    </mc:Choice>
  </mc:AlternateContent>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8EAEE-0E81-422E-8D36-1998FD61D3AA}">
  <sheetPr codeName="Sheet177"/>
  <dimension ref="A1:Q218"/>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INTEGRATED CONSTRUCTION</v>
      </c>
      <c r="J2" s="59"/>
      <c r="K2" s="59"/>
      <c r="L2" s="1"/>
      <c r="M2" s="59"/>
      <c r="N2" s="59"/>
      <c r="O2" s="60"/>
      <c r="P2" s="57"/>
      <c r="Q2" s="57"/>
    </row>
    <row r="3" spans="1:17" ht="15" thickBot="1" x14ac:dyDescent="0.4">
      <c r="A3" s="446" t="s">
        <v>21563</v>
      </c>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13 40 00</v>
      </c>
      <c r="C10" s="24" t="str">
        <f>C206</f>
        <v>INTEGRATED CONSTRUCTION</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INTEGRATED CONSTRUCTION</v>
      </c>
      <c r="D12" s="31"/>
      <c r="E12" s="32"/>
      <c r="F12" s="34"/>
      <c r="G12" s="33"/>
      <c r="H12" s="34"/>
      <c r="I12" s="33"/>
      <c r="J12" s="34"/>
      <c r="K12" s="34"/>
      <c r="L12" s="34"/>
      <c r="M12" s="33"/>
      <c r="N12" s="34"/>
      <c r="O12" s="35"/>
      <c r="P12" s="31"/>
      <c r="Q12" s="35"/>
    </row>
    <row r="13" spans="1:17" x14ac:dyDescent="0.35">
      <c r="A13" s="1"/>
      <c r="B13" s="1"/>
      <c r="C13" s="1"/>
      <c r="D13" s="1"/>
      <c r="E13" s="1"/>
      <c r="F13" s="1"/>
      <c r="G13" s="1"/>
      <c r="H13" s="1"/>
      <c r="I13" s="1"/>
      <c r="J13" s="1"/>
      <c r="K13" s="1"/>
      <c r="L13" s="1"/>
      <c r="M13" s="1"/>
      <c r="N13" s="1"/>
      <c r="O13" s="1"/>
      <c r="P13" s="1"/>
      <c r="Q13" s="1"/>
    </row>
    <row r="14" spans="1:17" x14ac:dyDescent="0.35">
      <c r="A14" s="1"/>
      <c r="B14" s="1"/>
      <c r="C14" s="1"/>
      <c r="D14" s="1"/>
      <c r="E14" s="1"/>
      <c r="F14" s="1"/>
      <c r="G14" s="1"/>
      <c r="H14" s="1"/>
      <c r="I14" s="1"/>
      <c r="J14" s="1"/>
      <c r="K14" s="1"/>
      <c r="L14" s="1"/>
      <c r="M14" s="1"/>
      <c r="N14" s="1"/>
      <c r="O14" s="1"/>
      <c r="P14" s="1"/>
      <c r="Q14" s="1"/>
    </row>
    <row r="15" spans="1:17" x14ac:dyDescent="0.35">
      <c r="A15" s="1"/>
      <c r="B15" s="1"/>
      <c r="C15" s="1"/>
      <c r="D15" s="1"/>
      <c r="E15" s="1"/>
      <c r="F15" s="1"/>
      <c r="G15" s="1"/>
      <c r="H15" s="1"/>
      <c r="I15" s="1"/>
      <c r="J15" s="1"/>
      <c r="K15" s="1"/>
      <c r="L15" s="1"/>
      <c r="M15" s="1"/>
      <c r="N15" s="1"/>
      <c r="O15" s="1"/>
      <c r="P15" s="1"/>
      <c r="Q15" s="1"/>
    </row>
    <row r="16" spans="1:17" x14ac:dyDescent="0.35">
      <c r="A16" s="1"/>
      <c r="B16" s="1"/>
      <c r="C16" s="1"/>
      <c r="D16" s="1"/>
      <c r="E16" s="1"/>
      <c r="F16" s="1"/>
      <c r="G16" s="1"/>
      <c r="H16" s="1"/>
      <c r="I16" s="1"/>
      <c r="J16" s="1"/>
      <c r="K16" s="1"/>
      <c r="L16" s="1"/>
      <c r="M16" s="1"/>
      <c r="N16" s="1"/>
      <c r="O16" s="1"/>
      <c r="P16" s="1"/>
      <c r="Q16" s="1"/>
    </row>
    <row r="17" spans="1:17" x14ac:dyDescent="0.35">
      <c r="A17" s="1"/>
      <c r="B17" s="1"/>
      <c r="C17" s="1"/>
      <c r="D17" s="1"/>
      <c r="E17" s="1"/>
      <c r="F17" s="1"/>
      <c r="G17" s="1"/>
      <c r="H17" s="1"/>
      <c r="I17" s="1"/>
      <c r="J17" s="1"/>
      <c r="K17" s="1"/>
      <c r="L17" s="1"/>
      <c r="M17" s="1"/>
      <c r="N17" s="1"/>
      <c r="O17" s="1"/>
      <c r="P17" s="1"/>
      <c r="Q17" s="1"/>
    </row>
    <row r="18" spans="1:17" x14ac:dyDescent="0.35">
      <c r="A18" s="1"/>
      <c r="B18" s="1"/>
      <c r="C18" s="1"/>
      <c r="D18" s="1"/>
      <c r="E18" s="1"/>
      <c r="F18" s="1"/>
      <c r="G18" s="1"/>
      <c r="H18" s="1"/>
      <c r="I18" s="1"/>
      <c r="J18" s="1"/>
      <c r="K18" s="1"/>
      <c r="L18" s="1"/>
      <c r="M18" s="1"/>
      <c r="N18" s="1"/>
      <c r="O18" s="1"/>
      <c r="P18" s="1"/>
      <c r="Q18" s="1"/>
    </row>
    <row r="19" spans="1:17" x14ac:dyDescent="0.35">
      <c r="A19" s="1"/>
      <c r="B19" s="1"/>
      <c r="C19" s="1"/>
      <c r="D19" s="1"/>
      <c r="E19" s="1"/>
      <c r="F19" s="1"/>
      <c r="G19" s="1"/>
      <c r="H19" s="1"/>
      <c r="I19" s="1"/>
      <c r="J19" s="1"/>
      <c r="K19" s="1"/>
      <c r="L19" s="1"/>
      <c r="M19" s="1"/>
      <c r="N19" s="1"/>
      <c r="O19" s="1"/>
      <c r="P19" s="1"/>
      <c r="Q19" s="1"/>
    </row>
    <row r="20" spans="1:17" x14ac:dyDescent="0.35">
      <c r="A20" s="1"/>
      <c r="B20" s="1"/>
      <c r="C20" s="1"/>
      <c r="D20" s="1"/>
      <c r="E20" s="1"/>
      <c r="F20" s="1"/>
      <c r="G20" s="1"/>
      <c r="H20" s="1"/>
      <c r="I20" s="1"/>
      <c r="J20" s="1"/>
      <c r="K20" s="1"/>
      <c r="L20" s="1"/>
      <c r="M20" s="1"/>
      <c r="N20" s="1"/>
      <c r="O20" s="1"/>
      <c r="P20" s="1"/>
      <c r="Q20" s="1"/>
    </row>
    <row r="21" spans="1:17" x14ac:dyDescent="0.35">
      <c r="A21" s="1"/>
      <c r="B21" s="1"/>
      <c r="C21" s="1"/>
      <c r="D21" s="1"/>
      <c r="E21" s="1"/>
      <c r="F21" s="1"/>
      <c r="G21" s="1"/>
      <c r="H21" s="1"/>
      <c r="I21" s="1"/>
      <c r="J21" s="1"/>
      <c r="K21" s="1"/>
      <c r="L21" s="1"/>
      <c r="M21" s="1"/>
      <c r="N21" s="1"/>
      <c r="O21" s="1"/>
      <c r="P21" s="1"/>
      <c r="Q21" s="1"/>
    </row>
    <row r="22" spans="1:17" x14ac:dyDescent="0.35">
      <c r="A22" s="1"/>
      <c r="B22" s="1"/>
      <c r="C22" s="1"/>
      <c r="D22" s="1"/>
      <c r="E22" s="1"/>
      <c r="F22" s="1"/>
      <c r="G22" s="1"/>
      <c r="H22" s="1"/>
      <c r="I22" s="1"/>
      <c r="J22" s="1"/>
      <c r="K22" s="1"/>
      <c r="L22" s="1"/>
      <c r="M22" s="1"/>
      <c r="N22" s="1"/>
      <c r="O22" s="1"/>
      <c r="P22" s="1"/>
      <c r="Q22" s="1"/>
    </row>
    <row r="23" spans="1:17" x14ac:dyDescent="0.35">
      <c r="A23" s="1"/>
      <c r="B23" s="1"/>
      <c r="C23" s="1"/>
      <c r="D23" s="1"/>
      <c r="E23" s="1"/>
      <c r="F23" s="1"/>
      <c r="G23" s="1"/>
      <c r="H23" s="1"/>
      <c r="I23" s="1"/>
      <c r="J23" s="1"/>
      <c r="K23" s="1"/>
      <c r="L23" s="1"/>
      <c r="M23" s="1"/>
      <c r="N23" s="1"/>
      <c r="O23" s="1"/>
      <c r="P23" s="1"/>
      <c r="Q23" s="1"/>
    </row>
    <row r="24" spans="1:17" x14ac:dyDescent="0.35">
      <c r="A24" s="1"/>
      <c r="B24" s="1"/>
      <c r="C24" s="1"/>
      <c r="D24" s="1"/>
      <c r="E24" s="1"/>
      <c r="F24" s="1"/>
      <c r="G24" s="1"/>
      <c r="H24" s="1"/>
      <c r="I24" s="1"/>
      <c r="J24" s="1"/>
      <c r="K24" s="1"/>
      <c r="L24" s="1"/>
      <c r="M24" s="1"/>
      <c r="N24" s="1"/>
      <c r="O24" s="1"/>
      <c r="P24" s="1"/>
      <c r="Q24" s="1"/>
    </row>
    <row r="25" spans="1:17" x14ac:dyDescent="0.35">
      <c r="A25" s="1"/>
      <c r="B25" s="1"/>
      <c r="C25" s="1"/>
      <c r="D25" s="1"/>
      <c r="E25" s="1"/>
      <c r="F25" s="1"/>
      <c r="G25" s="1"/>
      <c r="H25" s="1"/>
      <c r="I25" s="1"/>
      <c r="J25" s="1"/>
      <c r="K25" s="1"/>
      <c r="L25" s="1"/>
      <c r="M25" s="1"/>
      <c r="N25" s="1"/>
      <c r="O25" s="1"/>
      <c r="P25" s="1"/>
      <c r="Q25" s="1"/>
    </row>
    <row r="26" spans="1:17" x14ac:dyDescent="0.35">
      <c r="A26" s="1"/>
      <c r="B26" s="1"/>
      <c r="C26" s="1"/>
      <c r="D26" s="1"/>
      <c r="E26" s="1"/>
      <c r="F26" s="1"/>
      <c r="G26" s="1"/>
      <c r="H26" s="1"/>
      <c r="I26" s="1"/>
      <c r="J26" s="1"/>
      <c r="K26" s="1"/>
      <c r="L26" s="1"/>
      <c r="M26" s="1"/>
      <c r="N26" s="1"/>
      <c r="O26" s="1"/>
      <c r="P26" s="1"/>
      <c r="Q26" s="1"/>
    </row>
    <row r="27" spans="1:17" x14ac:dyDescent="0.35">
      <c r="A27" s="1"/>
      <c r="B27" s="1"/>
      <c r="C27" s="1"/>
      <c r="D27" s="1"/>
      <c r="E27" s="1"/>
      <c r="F27" s="1"/>
      <c r="G27" s="1"/>
      <c r="H27" s="1"/>
      <c r="I27" s="1"/>
      <c r="J27" s="1"/>
      <c r="K27" s="1"/>
      <c r="L27" s="1"/>
      <c r="M27" s="1"/>
      <c r="N27" s="1"/>
      <c r="O27" s="1"/>
      <c r="P27" s="1"/>
      <c r="Q27" s="1"/>
    </row>
    <row r="28" spans="1:17" x14ac:dyDescent="0.35">
      <c r="A28" s="1"/>
      <c r="B28" s="1"/>
      <c r="C28" s="1"/>
      <c r="D28" s="1"/>
      <c r="E28" s="1"/>
      <c r="F28" s="1"/>
      <c r="G28" s="1"/>
      <c r="H28" s="1"/>
      <c r="I28" s="1"/>
      <c r="J28" s="1"/>
      <c r="K28" s="1"/>
      <c r="L28" s="1"/>
      <c r="M28" s="1"/>
      <c r="N28" s="1"/>
      <c r="O28" s="1"/>
      <c r="P28" s="1"/>
      <c r="Q28" s="1"/>
    </row>
    <row r="29" spans="1:17" x14ac:dyDescent="0.35">
      <c r="A29" s="1"/>
      <c r="B29" s="1"/>
      <c r="C29" s="1"/>
      <c r="D29" s="1"/>
      <c r="E29" s="1"/>
      <c r="F29" s="1"/>
      <c r="G29" s="1"/>
      <c r="H29" s="1"/>
      <c r="I29" s="1"/>
      <c r="J29" s="1"/>
      <c r="K29" s="1"/>
      <c r="L29" s="1"/>
      <c r="M29" s="1"/>
      <c r="N29" s="1"/>
      <c r="O29" s="1"/>
      <c r="P29" s="1"/>
      <c r="Q29" s="1"/>
    </row>
    <row r="30" spans="1:17" x14ac:dyDescent="0.35">
      <c r="A30" s="1"/>
      <c r="B30" s="1"/>
      <c r="C30" s="1"/>
      <c r="D30" s="1"/>
      <c r="E30" s="1"/>
      <c r="F30" s="1"/>
      <c r="G30" s="1"/>
      <c r="H30" s="1"/>
      <c r="I30" s="1"/>
      <c r="J30" s="1"/>
      <c r="K30" s="1"/>
      <c r="L30" s="1"/>
      <c r="M30" s="1"/>
      <c r="N30" s="1"/>
      <c r="O30" s="1"/>
      <c r="P30" s="1"/>
      <c r="Q30" s="1"/>
    </row>
    <row r="31" spans="1:17" x14ac:dyDescent="0.35">
      <c r="A31" s="1"/>
      <c r="B31" s="1"/>
      <c r="C31" s="1"/>
      <c r="D31" s="1"/>
      <c r="E31" s="1"/>
      <c r="F31" s="1"/>
      <c r="G31" s="1"/>
      <c r="H31" s="1"/>
      <c r="I31" s="1"/>
      <c r="J31" s="1"/>
      <c r="K31" s="1"/>
      <c r="L31" s="1"/>
      <c r="M31" s="1"/>
      <c r="N31" s="1"/>
      <c r="O31" s="1"/>
      <c r="P31" s="1"/>
      <c r="Q31" s="1"/>
    </row>
    <row r="32" spans="1:17" x14ac:dyDescent="0.35">
      <c r="A32" s="1"/>
      <c r="B32" s="1"/>
      <c r="C32" s="1"/>
      <c r="D32" s="1"/>
      <c r="E32" s="1"/>
      <c r="F32" s="1"/>
      <c r="G32" s="1"/>
      <c r="H32" s="1"/>
      <c r="I32" s="1"/>
      <c r="J32" s="1"/>
      <c r="K32" s="1"/>
      <c r="L32" s="1"/>
      <c r="M32" s="1"/>
      <c r="N32" s="1"/>
      <c r="O32" s="1"/>
      <c r="P32" s="1"/>
      <c r="Q32" s="1"/>
    </row>
    <row r="33" spans="1:17" x14ac:dyDescent="0.35">
      <c r="A33" s="1"/>
      <c r="B33" s="1"/>
      <c r="C33" s="1"/>
      <c r="D33" s="1"/>
      <c r="E33" s="1"/>
      <c r="F33" s="1"/>
      <c r="G33" s="1"/>
      <c r="H33" s="1"/>
      <c r="I33" s="1"/>
      <c r="J33" s="1"/>
      <c r="K33" s="1"/>
      <c r="L33" s="1"/>
      <c r="M33" s="1"/>
      <c r="N33" s="1"/>
      <c r="O33" s="1"/>
      <c r="P33" s="1"/>
      <c r="Q33" s="1"/>
    </row>
    <row r="34" spans="1:17" x14ac:dyDescent="0.35">
      <c r="A34" s="1"/>
      <c r="B34" s="1"/>
      <c r="C34" s="1"/>
      <c r="D34" s="1"/>
      <c r="E34" s="1"/>
      <c r="F34" s="1"/>
      <c r="G34" s="1"/>
      <c r="H34" s="1"/>
      <c r="I34" s="1"/>
      <c r="J34" s="1"/>
      <c r="K34" s="1"/>
      <c r="L34" s="1"/>
      <c r="M34" s="1"/>
      <c r="N34" s="1"/>
      <c r="O34" s="1"/>
      <c r="P34" s="1"/>
      <c r="Q34" s="1"/>
    </row>
    <row r="35" spans="1:17" x14ac:dyDescent="0.35">
      <c r="A35" s="1"/>
      <c r="B35" s="1"/>
      <c r="C35" s="1"/>
      <c r="D35" s="1"/>
      <c r="E35" s="1"/>
      <c r="F35" s="1"/>
      <c r="G35" s="1"/>
      <c r="H35" s="1"/>
      <c r="I35" s="1"/>
      <c r="J35" s="1"/>
      <c r="K35" s="1"/>
      <c r="L35" s="1"/>
      <c r="M35" s="1"/>
      <c r="N35" s="1"/>
      <c r="O35" s="1"/>
      <c r="P35" s="1"/>
      <c r="Q35" s="1"/>
    </row>
    <row r="36" spans="1:17" x14ac:dyDescent="0.35">
      <c r="A36" s="1"/>
      <c r="B36" s="1"/>
      <c r="C36" s="1"/>
      <c r="D36" s="1"/>
      <c r="E36" s="1"/>
      <c r="F36" s="1"/>
      <c r="G36" s="1"/>
      <c r="H36" s="1"/>
      <c r="I36" s="1"/>
      <c r="J36" s="1"/>
      <c r="K36" s="1"/>
      <c r="L36" s="1"/>
      <c r="M36" s="1"/>
      <c r="N36" s="1"/>
      <c r="O36" s="1"/>
      <c r="P36" s="1"/>
      <c r="Q36" s="1"/>
    </row>
    <row r="37" spans="1:17" x14ac:dyDescent="0.35">
      <c r="A37" s="1"/>
      <c r="B37" s="1"/>
      <c r="C37" s="1"/>
      <c r="D37" s="1"/>
      <c r="E37" s="1"/>
      <c r="F37" s="1"/>
      <c r="G37" s="1"/>
      <c r="H37" s="1"/>
      <c r="I37" s="1"/>
      <c r="J37" s="1"/>
      <c r="K37" s="1"/>
      <c r="L37" s="1"/>
      <c r="M37" s="1"/>
      <c r="N37" s="1"/>
      <c r="O37" s="1"/>
      <c r="P37" s="1"/>
      <c r="Q37" s="1"/>
    </row>
    <row r="38" spans="1:17" x14ac:dyDescent="0.35">
      <c r="A38" s="1"/>
      <c r="B38" s="1"/>
      <c r="C38" s="1"/>
      <c r="D38" s="1"/>
      <c r="E38" s="1"/>
      <c r="F38" s="1"/>
      <c r="G38" s="1"/>
      <c r="H38" s="1"/>
      <c r="I38" s="1"/>
      <c r="J38" s="1"/>
      <c r="K38" s="1"/>
      <c r="L38" s="1"/>
      <c r="M38" s="1"/>
      <c r="N38" s="1"/>
      <c r="O38" s="1"/>
      <c r="P38" s="1"/>
      <c r="Q38" s="1"/>
    </row>
    <row r="39" spans="1:17" x14ac:dyDescent="0.35">
      <c r="A39" s="1"/>
      <c r="B39" s="1"/>
      <c r="C39" s="1"/>
      <c r="D39" s="1"/>
      <c r="E39" s="1"/>
      <c r="F39" s="1"/>
      <c r="G39" s="1"/>
      <c r="H39" s="1"/>
      <c r="I39" s="1"/>
      <c r="J39" s="1"/>
      <c r="K39" s="1"/>
      <c r="L39" s="1"/>
      <c r="M39" s="1"/>
      <c r="N39" s="1"/>
      <c r="O39" s="1"/>
      <c r="P39" s="1"/>
      <c r="Q39" s="1"/>
    </row>
    <row r="40" spans="1:17" x14ac:dyDescent="0.35">
      <c r="A40" s="1"/>
      <c r="B40" s="1"/>
      <c r="C40" s="1"/>
      <c r="D40" s="1"/>
      <c r="E40" s="1"/>
      <c r="F40" s="1"/>
      <c r="G40" s="1"/>
      <c r="H40" s="1"/>
      <c r="I40" s="1"/>
      <c r="J40" s="1"/>
      <c r="K40" s="1"/>
      <c r="L40" s="1"/>
      <c r="M40" s="1"/>
      <c r="N40" s="1"/>
      <c r="O40" s="1"/>
      <c r="P40" s="1"/>
      <c r="Q40" s="1"/>
    </row>
    <row r="41" spans="1:17" x14ac:dyDescent="0.35">
      <c r="A41" s="1"/>
      <c r="B41" s="1"/>
      <c r="C41" s="1"/>
      <c r="D41" s="1"/>
      <c r="E41" s="1"/>
      <c r="F41" s="1"/>
      <c r="G41" s="1"/>
      <c r="H41" s="1"/>
      <c r="I41" s="1"/>
      <c r="J41" s="1"/>
      <c r="K41" s="1"/>
      <c r="L41" s="1"/>
      <c r="M41" s="1"/>
      <c r="N41" s="1"/>
      <c r="O41" s="1"/>
      <c r="P41" s="1"/>
      <c r="Q41" s="1"/>
    </row>
    <row r="42" spans="1:17" x14ac:dyDescent="0.35">
      <c r="A42" s="1"/>
      <c r="B42" s="1"/>
      <c r="C42" s="1"/>
      <c r="D42" s="1"/>
      <c r="E42" s="1"/>
      <c r="F42" s="1"/>
      <c r="G42" s="1"/>
      <c r="H42" s="1"/>
      <c r="I42" s="1"/>
      <c r="J42" s="1"/>
      <c r="K42" s="1"/>
      <c r="L42" s="1"/>
      <c r="M42" s="1"/>
      <c r="N42" s="1"/>
      <c r="O42" s="1"/>
      <c r="P42" s="1"/>
      <c r="Q42" s="1"/>
    </row>
    <row r="43" spans="1:17" x14ac:dyDescent="0.35">
      <c r="A43" s="1"/>
      <c r="B43" s="1"/>
      <c r="C43" s="1"/>
      <c r="D43" s="1"/>
      <c r="E43" s="1"/>
      <c r="F43" s="1"/>
      <c r="G43" s="1"/>
      <c r="H43" s="1"/>
      <c r="I43" s="1"/>
      <c r="J43" s="1"/>
      <c r="K43" s="1"/>
      <c r="L43" s="1"/>
      <c r="M43" s="1"/>
      <c r="N43" s="1"/>
      <c r="O43" s="1"/>
      <c r="P43" s="1"/>
      <c r="Q43" s="1"/>
    </row>
    <row r="44" spans="1:17" x14ac:dyDescent="0.35">
      <c r="A44" s="1"/>
      <c r="B44" s="1"/>
      <c r="C44" s="1"/>
      <c r="D44" s="1"/>
      <c r="E44" s="1"/>
      <c r="F44" s="1"/>
      <c r="G44" s="1"/>
      <c r="H44" s="1"/>
      <c r="I44" s="1"/>
      <c r="J44" s="1"/>
      <c r="K44" s="1"/>
      <c r="L44" s="1"/>
      <c r="M44" s="1"/>
      <c r="N44" s="1"/>
      <c r="O44" s="1"/>
      <c r="P44" s="1"/>
      <c r="Q44" s="1"/>
    </row>
    <row r="45" spans="1:17" x14ac:dyDescent="0.35">
      <c r="A45" s="1"/>
      <c r="B45" s="1"/>
      <c r="C45" s="1"/>
      <c r="D45" s="1"/>
      <c r="E45" s="1"/>
      <c r="F45" s="1"/>
      <c r="G45" s="1"/>
      <c r="H45" s="1"/>
      <c r="I45" s="1"/>
      <c r="J45" s="1"/>
      <c r="K45" s="1"/>
      <c r="L45" s="1"/>
      <c r="M45" s="1"/>
      <c r="N45" s="1"/>
      <c r="O45" s="1"/>
      <c r="P45" s="1"/>
      <c r="Q45" s="1"/>
    </row>
    <row r="46" spans="1:17" x14ac:dyDescent="0.35">
      <c r="A46" s="1"/>
      <c r="B46" s="1"/>
      <c r="C46" s="1"/>
      <c r="D46" s="1"/>
      <c r="E46" s="1"/>
      <c r="F46" s="1"/>
      <c r="G46" s="1"/>
      <c r="H46" s="1"/>
      <c r="I46" s="1"/>
      <c r="J46" s="1"/>
      <c r="K46" s="1"/>
      <c r="L46" s="1"/>
      <c r="M46" s="1"/>
      <c r="N46" s="1"/>
      <c r="O46" s="1"/>
      <c r="P46" s="1"/>
      <c r="Q46" s="1"/>
    </row>
    <row r="47" spans="1:17" x14ac:dyDescent="0.35">
      <c r="A47" s="1"/>
      <c r="B47" s="1"/>
      <c r="C47" s="1"/>
      <c r="D47" s="1"/>
      <c r="E47" s="1"/>
      <c r="F47" s="1"/>
      <c r="G47" s="1"/>
      <c r="H47" s="1"/>
      <c r="I47" s="1"/>
      <c r="J47" s="1"/>
      <c r="K47" s="1"/>
      <c r="L47" s="1"/>
      <c r="M47" s="1"/>
      <c r="N47" s="1"/>
      <c r="O47" s="1"/>
      <c r="P47" s="1"/>
      <c r="Q47" s="1"/>
    </row>
    <row r="48" spans="1:17" x14ac:dyDescent="0.35">
      <c r="A48" s="1"/>
      <c r="B48" s="1"/>
      <c r="C48" s="1"/>
      <c r="D48" s="1"/>
      <c r="E48" s="1"/>
      <c r="F48" s="1"/>
      <c r="G48" s="1"/>
      <c r="H48" s="1"/>
      <c r="I48" s="1"/>
      <c r="J48" s="1"/>
      <c r="K48" s="1"/>
      <c r="L48" s="1"/>
      <c r="M48" s="1"/>
      <c r="N48" s="1"/>
      <c r="O48" s="1"/>
      <c r="P48" s="1"/>
      <c r="Q48" s="1"/>
    </row>
    <row r="49" spans="1:17" x14ac:dyDescent="0.35">
      <c r="A49" s="1"/>
      <c r="B49" s="1"/>
      <c r="C49" s="1"/>
      <c r="D49" s="1"/>
      <c r="E49" s="1"/>
      <c r="F49" s="1"/>
      <c r="G49" s="1"/>
      <c r="H49" s="1"/>
      <c r="I49" s="1"/>
      <c r="J49" s="1"/>
      <c r="K49" s="1"/>
      <c r="L49" s="1"/>
      <c r="M49" s="1"/>
      <c r="N49" s="1"/>
      <c r="O49" s="1"/>
      <c r="P49" s="1"/>
      <c r="Q49" s="1"/>
    </row>
    <row r="50" spans="1:17" x14ac:dyDescent="0.35">
      <c r="A50" s="1"/>
      <c r="B50" s="1"/>
      <c r="C50" s="1"/>
      <c r="D50" s="1"/>
      <c r="E50" s="1"/>
      <c r="F50" s="1"/>
      <c r="G50" s="1"/>
      <c r="H50" s="1"/>
      <c r="I50" s="1"/>
      <c r="J50" s="1"/>
      <c r="K50" s="1"/>
      <c r="L50" s="1"/>
      <c r="M50" s="1"/>
      <c r="N50" s="1"/>
      <c r="O50" s="1"/>
      <c r="P50" s="1"/>
      <c r="Q50" s="1"/>
    </row>
    <row r="51" spans="1:17" x14ac:dyDescent="0.35">
      <c r="A51" s="1"/>
      <c r="B51" s="1"/>
      <c r="C51" s="1"/>
      <c r="D51" s="1"/>
      <c r="E51" s="1"/>
      <c r="F51" s="1"/>
      <c r="G51" s="1"/>
      <c r="H51" s="1"/>
      <c r="I51" s="1"/>
      <c r="J51" s="1"/>
      <c r="K51" s="1"/>
      <c r="L51" s="1"/>
      <c r="M51" s="1"/>
      <c r="N51" s="1"/>
      <c r="O51" s="1"/>
      <c r="P51" s="1"/>
      <c r="Q51" s="1"/>
    </row>
    <row r="52" spans="1:17" x14ac:dyDescent="0.35">
      <c r="A52" s="1"/>
      <c r="B52" s="1"/>
      <c r="C52" s="1"/>
      <c r="D52" s="1"/>
      <c r="E52" s="1"/>
      <c r="F52" s="1"/>
      <c r="G52" s="1"/>
      <c r="H52" s="1"/>
      <c r="I52" s="1"/>
      <c r="J52" s="1"/>
      <c r="K52" s="1"/>
      <c r="L52" s="1"/>
      <c r="M52" s="1"/>
      <c r="N52" s="1"/>
      <c r="O52" s="1"/>
      <c r="P52" s="1"/>
      <c r="Q52" s="1"/>
    </row>
    <row r="53" spans="1:17" x14ac:dyDescent="0.35">
      <c r="A53" s="1"/>
      <c r="B53" s="1"/>
      <c r="C53" s="1"/>
      <c r="D53" s="1"/>
      <c r="E53" s="1"/>
      <c r="F53" s="1"/>
      <c r="G53" s="1"/>
      <c r="H53" s="1"/>
      <c r="I53" s="1"/>
      <c r="J53" s="1"/>
      <c r="K53" s="1"/>
      <c r="L53" s="1"/>
      <c r="M53" s="1"/>
      <c r="N53" s="1"/>
      <c r="O53" s="1"/>
      <c r="P53" s="1"/>
      <c r="Q53" s="1"/>
    </row>
    <row r="54" spans="1:17" x14ac:dyDescent="0.35">
      <c r="A54" s="1"/>
      <c r="B54" s="1"/>
      <c r="C54" s="1"/>
      <c r="D54" s="1"/>
      <c r="E54" s="1"/>
      <c r="F54" s="1"/>
      <c r="G54" s="1"/>
      <c r="H54" s="1"/>
      <c r="I54" s="1"/>
      <c r="J54" s="1"/>
      <c r="K54" s="1"/>
      <c r="L54" s="1"/>
      <c r="M54" s="1"/>
      <c r="N54" s="1"/>
      <c r="O54" s="1"/>
      <c r="P54" s="1"/>
      <c r="Q54" s="1"/>
    </row>
    <row r="55" spans="1:17" x14ac:dyDescent="0.35">
      <c r="A55" s="1"/>
      <c r="B55" s="1"/>
      <c r="C55" s="1"/>
      <c r="D55" s="1"/>
      <c r="E55" s="1"/>
      <c r="F55" s="1"/>
      <c r="G55" s="1"/>
      <c r="H55" s="1"/>
      <c r="I55" s="1"/>
      <c r="J55" s="1"/>
      <c r="K55" s="1"/>
      <c r="L55" s="1"/>
      <c r="M55" s="1"/>
      <c r="N55" s="1"/>
      <c r="O55" s="1"/>
      <c r="P55" s="1"/>
      <c r="Q55" s="1"/>
    </row>
    <row r="56" spans="1:17" x14ac:dyDescent="0.35">
      <c r="A56" s="1"/>
      <c r="B56" s="1"/>
      <c r="C56" s="1"/>
      <c r="D56" s="1"/>
      <c r="E56" s="1"/>
      <c r="F56" s="1"/>
      <c r="G56" s="1"/>
      <c r="H56" s="1"/>
      <c r="I56" s="1"/>
      <c r="J56" s="1"/>
      <c r="K56" s="1"/>
      <c r="L56" s="1"/>
      <c r="M56" s="1"/>
      <c r="N56" s="1"/>
      <c r="O56" s="1"/>
      <c r="P56" s="1"/>
      <c r="Q56" s="1"/>
    </row>
    <row r="57" spans="1:17" x14ac:dyDescent="0.35">
      <c r="A57" s="1"/>
      <c r="B57" s="1"/>
      <c r="C57" s="1"/>
      <c r="D57" s="1"/>
      <c r="E57" s="1"/>
      <c r="F57" s="1"/>
      <c r="G57" s="1"/>
      <c r="H57" s="1"/>
      <c r="I57" s="1"/>
      <c r="J57" s="1"/>
      <c r="K57" s="1"/>
      <c r="L57" s="1"/>
      <c r="M57" s="1"/>
      <c r="N57" s="1"/>
      <c r="O57" s="1"/>
      <c r="P57" s="1"/>
      <c r="Q57" s="1"/>
    </row>
    <row r="58" spans="1:17" x14ac:dyDescent="0.35">
      <c r="A58" s="1"/>
      <c r="B58" s="1"/>
      <c r="C58" s="1"/>
      <c r="D58" s="1"/>
      <c r="E58" s="1"/>
      <c r="F58" s="1"/>
      <c r="G58" s="1"/>
      <c r="H58" s="1"/>
      <c r="I58" s="1"/>
      <c r="J58" s="1"/>
      <c r="K58" s="1"/>
      <c r="L58" s="1"/>
      <c r="M58" s="1"/>
      <c r="N58" s="1"/>
      <c r="O58" s="1"/>
      <c r="P58" s="1"/>
      <c r="Q58" s="1"/>
    </row>
    <row r="59" spans="1:17" x14ac:dyDescent="0.35">
      <c r="A59" s="1"/>
      <c r="B59" s="1"/>
      <c r="C59" s="1"/>
      <c r="D59" s="1"/>
      <c r="E59" s="1"/>
      <c r="F59" s="1"/>
      <c r="G59" s="1"/>
      <c r="H59" s="1"/>
      <c r="I59" s="1"/>
      <c r="J59" s="1"/>
      <c r="K59" s="1"/>
      <c r="L59" s="1"/>
      <c r="M59" s="1"/>
      <c r="N59" s="1"/>
      <c r="O59" s="1"/>
      <c r="P59" s="1"/>
      <c r="Q59" s="1"/>
    </row>
    <row r="60" spans="1:17" x14ac:dyDescent="0.35">
      <c r="A60" s="1"/>
      <c r="B60" s="1"/>
      <c r="C60" s="1"/>
      <c r="D60" s="1"/>
      <c r="E60" s="1"/>
      <c r="F60" s="1"/>
      <c r="G60" s="1"/>
      <c r="H60" s="1"/>
      <c r="I60" s="1"/>
      <c r="J60" s="1"/>
      <c r="K60" s="1"/>
      <c r="L60" s="1"/>
      <c r="M60" s="1"/>
      <c r="N60" s="1"/>
      <c r="O60" s="1"/>
      <c r="P60" s="1"/>
      <c r="Q60" s="1"/>
    </row>
    <row r="61" spans="1:17" x14ac:dyDescent="0.35">
      <c r="A61" s="1"/>
      <c r="B61" s="1"/>
      <c r="C61" s="1"/>
      <c r="D61" s="1"/>
      <c r="E61" s="1"/>
      <c r="F61" s="1"/>
      <c r="G61" s="1"/>
      <c r="H61" s="1"/>
      <c r="I61" s="1"/>
      <c r="J61" s="1"/>
      <c r="K61" s="1"/>
      <c r="L61" s="1"/>
      <c r="M61" s="1"/>
      <c r="N61" s="1"/>
      <c r="O61" s="1"/>
      <c r="P61" s="1"/>
      <c r="Q61" s="1"/>
    </row>
    <row r="62" spans="1:17" x14ac:dyDescent="0.35">
      <c r="A62" s="1"/>
      <c r="B62" s="1"/>
      <c r="C62" s="1"/>
      <c r="D62" s="1"/>
      <c r="E62" s="1"/>
      <c r="F62" s="1"/>
      <c r="G62" s="1"/>
      <c r="H62" s="1"/>
      <c r="I62" s="1"/>
      <c r="J62" s="1"/>
      <c r="K62" s="1"/>
      <c r="L62" s="1"/>
      <c r="M62" s="1"/>
      <c r="N62" s="1"/>
      <c r="O62" s="1"/>
      <c r="P62" s="1"/>
      <c r="Q62" s="1"/>
    </row>
    <row r="63" spans="1:17" x14ac:dyDescent="0.35">
      <c r="A63" s="1"/>
      <c r="B63" s="1"/>
      <c r="C63" s="1"/>
      <c r="D63" s="1"/>
      <c r="E63" s="1"/>
      <c r="F63" s="1"/>
      <c r="G63" s="1"/>
      <c r="H63" s="1"/>
      <c r="I63" s="1"/>
      <c r="J63" s="1"/>
      <c r="K63" s="1"/>
      <c r="L63" s="1"/>
      <c r="M63" s="1"/>
      <c r="N63" s="1"/>
      <c r="O63" s="1"/>
      <c r="P63" s="1"/>
      <c r="Q63" s="1"/>
    </row>
    <row r="64" spans="1:17" x14ac:dyDescent="0.35">
      <c r="A64" s="1"/>
      <c r="B64" s="1"/>
      <c r="C64" s="1"/>
      <c r="D64" s="1"/>
      <c r="E64" s="1"/>
      <c r="F64" s="1"/>
      <c r="G64" s="1"/>
      <c r="H64" s="1"/>
      <c r="I64" s="1"/>
      <c r="J64" s="1"/>
      <c r="K64" s="1"/>
      <c r="L64" s="1"/>
      <c r="M64" s="1"/>
      <c r="N64" s="1"/>
      <c r="O64" s="1"/>
      <c r="P64" s="1"/>
      <c r="Q64" s="1"/>
    </row>
    <row r="65" spans="1:17" x14ac:dyDescent="0.35">
      <c r="A65" s="1"/>
      <c r="B65" s="1"/>
      <c r="C65" s="1"/>
      <c r="D65" s="1"/>
      <c r="E65" s="1"/>
      <c r="F65" s="1"/>
      <c r="G65" s="1"/>
      <c r="H65" s="1"/>
      <c r="I65" s="1"/>
      <c r="J65" s="1"/>
      <c r="K65" s="1"/>
      <c r="L65" s="1"/>
      <c r="M65" s="1"/>
      <c r="N65" s="1"/>
      <c r="O65" s="1"/>
      <c r="P65" s="1"/>
      <c r="Q65" s="1"/>
    </row>
    <row r="66" spans="1:17" x14ac:dyDescent="0.35">
      <c r="A66" s="1"/>
      <c r="B66" s="1"/>
      <c r="C66" s="1"/>
      <c r="D66" s="1"/>
      <c r="E66" s="1"/>
      <c r="F66" s="1"/>
      <c r="G66" s="1"/>
      <c r="H66" s="1"/>
      <c r="I66" s="1"/>
      <c r="J66" s="1"/>
      <c r="K66" s="1"/>
      <c r="L66" s="1"/>
      <c r="M66" s="1"/>
      <c r="N66" s="1"/>
      <c r="O66" s="1"/>
      <c r="P66" s="1"/>
      <c r="Q66" s="1"/>
    </row>
    <row r="67" spans="1:17" x14ac:dyDescent="0.35">
      <c r="A67" s="1"/>
      <c r="B67" s="1"/>
      <c r="C67" s="1"/>
      <c r="D67" s="1"/>
      <c r="E67" s="1"/>
      <c r="F67" s="1"/>
      <c r="G67" s="1"/>
      <c r="H67" s="1"/>
      <c r="I67" s="1"/>
      <c r="J67" s="1"/>
      <c r="K67" s="1"/>
      <c r="L67" s="1"/>
      <c r="M67" s="1"/>
      <c r="N67" s="1"/>
      <c r="O67" s="1"/>
      <c r="P67" s="1"/>
      <c r="Q67" s="1"/>
    </row>
    <row r="68" spans="1:17" x14ac:dyDescent="0.35">
      <c r="A68" s="1"/>
      <c r="B68" s="1"/>
      <c r="C68" s="1"/>
      <c r="D68" s="1"/>
      <c r="E68" s="1"/>
      <c r="F68" s="1"/>
      <c r="G68" s="1"/>
      <c r="H68" s="1"/>
      <c r="I68" s="1"/>
      <c r="J68" s="1"/>
      <c r="K68" s="1"/>
      <c r="L68" s="1"/>
      <c r="M68" s="1"/>
      <c r="N68" s="1"/>
      <c r="O68" s="1"/>
      <c r="P68" s="1"/>
      <c r="Q68" s="1"/>
    </row>
    <row r="69" spans="1:17" x14ac:dyDescent="0.35">
      <c r="A69" s="1"/>
      <c r="B69" s="1"/>
      <c r="C69" s="1"/>
      <c r="D69" s="1"/>
      <c r="E69" s="1"/>
      <c r="F69" s="1"/>
      <c r="G69" s="1"/>
      <c r="H69" s="1"/>
      <c r="I69" s="1"/>
      <c r="J69" s="1"/>
      <c r="K69" s="1"/>
      <c r="L69" s="1"/>
      <c r="M69" s="1"/>
      <c r="N69" s="1"/>
      <c r="O69" s="1"/>
      <c r="P69" s="1"/>
      <c r="Q69" s="1"/>
    </row>
    <row r="70" spans="1:17" x14ac:dyDescent="0.35">
      <c r="A70" s="1"/>
      <c r="B70" s="1"/>
      <c r="C70" s="1"/>
      <c r="D70" s="1"/>
      <c r="E70" s="1"/>
      <c r="F70" s="1"/>
      <c r="G70" s="1"/>
      <c r="H70" s="1"/>
      <c r="I70" s="1"/>
      <c r="J70" s="1"/>
      <c r="K70" s="1"/>
      <c r="L70" s="1"/>
      <c r="M70" s="1"/>
      <c r="N70" s="1"/>
      <c r="O70" s="1"/>
      <c r="P70" s="1"/>
      <c r="Q70" s="1"/>
    </row>
    <row r="71" spans="1:17" x14ac:dyDescent="0.35">
      <c r="A71" s="1"/>
      <c r="B71" s="1"/>
      <c r="C71" s="1"/>
      <c r="D71" s="1"/>
      <c r="E71" s="1"/>
      <c r="F71" s="1"/>
      <c r="G71" s="1"/>
      <c r="H71" s="1"/>
      <c r="I71" s="1"/>
      <c r="J71" s="1"/>
      <c r="K71" s="1"/>
      <c r="L71" s="1"/>
      <c r="M71" s="1"/>
      <c r="N71" s="1"/>
      <c r="O71" s="1"/>
      <c r="P71" s="1"/>
      <c r="Q71" s="1"/>
    </row>
    <row r="72" spans="1:17" x14ac:dyDescent="0.35">
      <c r="A72" s="1"/>
      <c r="B72" s="1"/>
      <c r="C72" s="1"/>
      <c r="D72" s="1"/>
      <c r="E72" s="1"/>
      <c r="F72" s="1"/>
      <c r="G72" s="1"/>
      <c r="H72" s="1"/>
      <c r="I72" s="1"/>
      <c r="J72" s="1"/>
      <c r="K72" s="1"/>
      <c r="L72" s="1"/>
      <c r="M72" s="1"/>
      <c r="N72" s="1"/>
      <c r="O72" s="1"/>
      <c r="P72" s="1"/>
      <c r="Q72" s="1"/>
    </row>
    <row r="73" spans="1:17" x14ac:dyDescent="0.35">
      <c r="A73" s="1"/>
      <c r="B73" s="1"/>
      <c r="C73" s="1"/>
      <c r="D73" s="1"/>
      <c r="E73" s="1"/>
      <c r="F73" s="1"/>
      <c r="G73" s="1"/>
      <c r="H73" s="1"/>
      <c r="I73" s="1"/>
      <c r="J73" s="1"/>
      <c r="K73" s="1"/>
      <c r="L73" s="1"/>
      <c r="M73" s="1"/>
      <c r="N73" s="1"/>
      <c r="O73" s="1"/>
      <c r="P73" s="1"/>
      <c r="Q73" s="1"/>
    </row>
    <row r="74" spans="1:17" x14ac:dyDescent="0.35">
      <c r="A74" s="1"/>
      <c r="B74" s="1"/>
      <c r="C74" s="1"/>
      <c r="D74" s="1"/>
      <c r="E74" s="1"/>
      <c r="F74" s="1"/>
      <c r="G74" s="1"/>
      <c r="H74" s="1"/>
      <c r="I74" s="1"/>
      <c r="J74" s="1"/>
      <c r="K74" s="1"/>
      <c r="L74" s="1"/>
      <c r="M74" s="1"/>
      <c r="N74" s="1"/>
      <c r="O74" s="1"/>
      <c r="P74" s="1"/>
      <c r="Q74" s="1"/>
    </row>
    <row r="75" spans="1:17" x14ac:dyDescent="0.35">
      <c r="A75" s="1"/>
      <c r="B75" s="1"/>
      <c r="C75" s="1"/>
      <c r="D75" s="1"/>
      <c r="E75" s="1"/>
      <c r="F75" s="1"/>
      <c r="G75" s="1"/>
      <c r="H75" s="1"/>
      <c r="I75" s="1"/>
      <c r="J75" s="1"/>
      <c r="K75" s="1"/>
      <c r="L75" s="1"/>
      <c r="M75" s="1"/>
      <c r="N75" s="1"/>
      <c r="O75" s="1"/>
      <c r="P75" s="1"/>
      <c r="Q75" s="1"/>
    </row>
    <row r="76" spans="1:17" x14ac:dyDescent="0.35">
      <c r="A76" s="1"/>
      <c r="B76" s="1"/>
      <c r="C76" s="1"/>
      <c r="D76" s="1"/>
      <c r="E76" s="1"/>
      <c r="F76" s="1"/>
      <c r="G76" s="1"/>
      <c r="H76" s="1"/>
      <c r="I76" s="1"/>
      <c r="J76" s="1"/>
      <c r="K76" s="1"/>
      <c r="L76" s="1"/>
      <c r="M76" s="1"/>
      <c r="N76" s="1"/>
      <c r="O76" s="1"/>
      <c r="P76" s="1"/>
      <c r="Q76" s="1"/>
    </row>
    <row r="77" spans="1:17" x14ac:dyDescent="0.35">
      <c r="A77" s="1"/>
      <c r="B77" s="1"/>
      <c r="C77" s="1"/>
      <c r="D77" s="1"/>
      <c r="E77" s="1"/>
      <c r="F77" s="1"/>
      <c r="G77" s="1"/>
      <c r="H77" s="1"/>
      <c r="I77" s="1"/>
      <c r="J77" s="1"/>
      <c r="K77" s="1"/>
      <c r="L77" s="1"/>
      <c r="M77" s="1"/>
      <c r="N77" s="1"/>
      <c r="O77" s="1"/>
      <c r="P77" s="1"/>
      <c r="Q77" s="1"/>
    </row>
    <row r="78" spans="1:17" x14ac:dyDescent="0.35">
      <c r="A78" s="1"/>
      <c r="B78" s="1"/>
      <c r="C78" s="1"/>
      <c r="D78" s="1"/>
      <c r="E78" s="1"/>
      <c r="F78" s="1"/>
      <c r="G78" s="1"/>
      <c r="H78" s="1"/>
      <c r="I78" s="1"/>
      <c r="J78" s="1"/>
      <c r="K78" s="1"/>
      <c r="L78" s="1"/>
      <c r="M78" s="1"/>
      <c r="N78" s="1"/>
      <c r="O78" s="1"/>
      <c r="P78" s="1"/>
      <c r="Q78" s="1"/>
    </row>
    <row r="79" spans="1:17" x14ac:dyDescent="0.35">
      <c r="A79" s="1"/>
      <c r="B79" s="1"/>
      <c r="C79" s="1"/>
      <c r="D79" s="1"/>
      <c r="E79" s="1"/>
      <c r="F79" s="1"/>
      <c r="G79" s="1"/>
      <c r="H79" s="1"/>
      <c r="I79" s="1"/>
      <c r="J79" s="1"/>
      <c r="K79" s="1"/>
      <c r="L79" s="1"/>
      <c r="M79" s="1"/>
      <c r="N79" s="1"/>
      <c r="O79" s="1"/>
      <c r="P79" s="1"/>
      <c r="Q79" s="1"/>
    </row>
    <row r="80" spans="1:17" x14ac:dyDescent="0.35">
      <c r="A80" s="1"/>
      <c r="B80" s="1"/>
      <c r="C80" s="1"/>
      <c r="D80" s="1"/>
      <c r="E80" s="1"/>
      <c r="F80" s="1"/>
      <c r="G80" s="1"/>
      <c r="H80" s="1"/>
      <c r="I80" s="1"/>
      <c r="J80" s="1"/>
      <c r="K80" s="1"/>
      <c r="L80" s="1"/>
      <c r="M80" s="1"/>
      <c r="N80" s="1"/>
      <c r="O80" s="1"/>
      <c r="P80" s="1"/>
      <c r="Q80" s="1"/>
    </row>
    <row r="81" spans="1:17" x14ac:dyDescent="0.35">
      <c r="A81" s="1"/>
      <c r="B81" s="1"/>
      <c r="C81" s="1"/>
      <c r="D81" s="1"/>
      <c r="E81" s="1"/>
      <c r="F81" s="1"/>
      <c r="G81" s="1"/>
      <c r="H81" s="1"/>
      <c r="I81" s="1"/>
      <c r="J81" s="1"/>
      <c r="K81" s="1"/>
      <c r="L81" s="1"/>
      <c r="M81" s="1"/>
      <c r="N81" s="1"/>
      <c r="O81" s="1"/>
      <c r="P81" s="1"/>
      <c r="Q81" s="1"/>
    </row>
    <row r="82" spans="1:17" x14ac:dyDescent="0.35">
      <c r="A82" s="1"/>
      <c r="B82" s="1"/>
      <c r="C82" s="1"/>
      <c r="D82" s="1"/>
      <c r="E82" s="1"/>
      <c r="F82" s="1"/>
      <c r="G82" s="1"/>
      <c r="H82" s="1"/>
      <c r="I82" s="1"/>
      <c r="J82" s="1"/>
      <c r="K82" s="1"/>
      <c r="L82" s="1"/>
      <c r="M82" s="1"/>
      <c r="N82" s="1"/>
      <c r="O82" s="1"/>
      <c r="P82" s="1"/>
      <c r="Q82" s="1"/>
    </row>
    <row r="83" spans="1:17" x14ac:dyDescent="0.35">
      <c r="A83" s="1"/>
      <c r="B83" s="1"/>
      <c r="C83" s="1"/>
      <c r="D83" s="1"/>
      <c r="E83" s="1"/>
      <c r="F83" s="1"/>
      <c r="G83" s="1"/>
      <c r="H83" s="1"/>
      <c r="I83" s="1"/>
      <c r="J83" s="1"/>
      <c r="K83" s="1"/>
      <c r="L83" s="1"/>
      <c r="M83" s="1"/>
      <c r="N83" s="1"/>
      <c r="O83" s="1"/>
      <c r="P83" s="1"/>
      <c r="Q83" s="1"/>
    </row>
    <row r="84" spans="1:17" x14ac:dyDescent="0.35">
      <c r="A84" s="1"/>
      <c r="B84" s="1"/>
      <c r="C84" s="1"/>
      <c r="D84" s="1"/>
      <c r="E84" s="1"/>
      <c r="F84" s="1"/>
      <c r="G84" s="1"/>
      <c r="H84" s="1"/>
      <c r="I84" s="1"/>
      <c r="J84" s="1"/>
      <c r="K84" s="1"/>
      <c r="L84" s="1"/>
      <c r="M84" s="1"/>
      <c r="N84" s="1"/>
      <c r="O84" s="1"/>
      <c r="P84" s="1"/>
      <c r="Q84" s="1"/>
    </row>
    <row r="85" spans="1:17" x14ac:dyDescent="0.35">
      <c r="A85" s="1"/>
      <c r="B85" s="1"/>
      <c r="C85" s="1"/>
      <c r="D85" s="1"/>
      <c r="E85" s="1"/>
      <c r="F85" s="1"/>
      <c r="G85" s="1"/>
      <c r="H85" s="1"/>
      <c r="I85" s="1"/>
      <c r="J85" s="1"/>
      <c r="K85" s="1"/>
      <c r="L85" s="1"/>
      <c r="M85" s="1"/>
      <c r="N85" s="1"/>
      <c r="O85" s="1"/>
      <c r="P85" s="1"/>
      <c r="Q85" s="1"/>
    </row>
    <row r="86" spans="1:17" x14ac:dyDescent="0.35">
      <c r="A86" s="1"/>
      <c r="B86" s="1"/>
      <c r="C86" s="1"/>
      <c r="D86" s="1"/>
      <c r="E86" s="1"/>
      <c r="F86" s="1"/>
      <c r="G86" s="1"/>
      <c r="H86" s="1"/>
      <c r="I86" s="1"/>
      <c r="J86" s="1"/>
      <c r="K86" s="1"/>
      <c r="L86" s="1"/>
      <c r="M86" s="1"/>
      <c r="N86" s="1"/>
      <c r="O86" s="1"/>
      <c r="P86" s="1"/>
      <c r="Q86" s="1"/>
    </row>
    <row r="87" spans="1:17" x14ac:dyDescent="0.35">
      <c r="A87" s="1"/>
      <c r="B87" s="1"/>
      <c r="C87" s="1"/>
      <c r="D87" s="1"/>
      <c r="E87" s="1"/>
      <c r="F87" s="1"/>
      <c r="G87" s="1"/>
      <c r="H87" s="1"/>
      <c r="I87" s="1"/>
      <c r="J87" s="1"/>
      <c r="K87" s="1"/>
      <c r="L87" s="1"/>
      <c r="M87" s="1"/>
      <c r="N87" s="1"/>
      <c r="O87" s="1"/>
      <c r="P87" s="1"/>
      <c r="Q87" s="1"/>
    </row>
    <row r="88" spans="1:17" x14ac:dyDescent="0.35">
      <c r="A88" s="1"/>
      <c r="B88" s="1"/>
      <c r="C88" s="1"/>
      <c r="D88" s="1"/>
      <c r="E88" s="1"/>
      <c r="F88" s="1"/>
      <c r="G88" s="1"/>
      <c r="H88" s="1"/>
      <c r="I88" s="1"/>
      <c r="J88" s="1"/>
      <c r="K88" s="1"/>
      <c r="L88" s="1"/>
      <c r="M88" s="1"/>
      <c r="N88" s="1"/>
      <c r="O88" s="1"/>
      <c r="P88" s="1"/>
      <c r="Q88" s="1"/>
    </row>
    <row r="89" spans="1:17" x14ac:dyDescent="0.35">
      <c r="A89" s="1"/>
      <c r="B89" s="1"/>
      <c r="C89" s="1"/>
      <c r="D89" s="1"/>
      <c r="E89" s="1"/>
      <c r="F89" s="1"/>
      <c r="G89" s="1"/>
      <c r="H89" s="1"/>
      <c r="I89" s="1"/>
      <c r="J89" s="1"/>
      <c r="K89" s="1"/>
      <c r="L89" s="1"/>
      <c r="M89" s="1"/>
      <c r="N89" s="1"/>
      <c r="O89" s="1"/>
      <c r="P89" s="1"/>
      <c r="Q89" s="1"/>
    </row>
    <row r="90" spans="1:17" x14ac:dyDescent="0.35">
      <c r="A90" s="1"/>
      <c r="B90" s="1"/>
      <c r="C90" s="1"/>
      <c r="D90" s="1"/>
      <c r="E90" s="1"/>
      <c r="F90" s="1"/>
      <c r="G90" s="1"/>
      <c r="H90" s="1"/>
      <c r="I90" s="1"/>
      <c r="J90" s="1"/>
      <c r="K90" s="1"/>
      <c r="L90" s="1"/>
      <c r="M90" s="1"/>
      <c r="N90" s="1"/>
      <c r="O90" s="1"/>
      <c r="P90" s="1"/>
      <c r="Q90" s="1"/>
    </row>
    <row r="91" spans="1:17" x14ac:dyDescent="0.35">
      <c r="A91" s="1"/>
      <c r="B91" s="1"/>
      <c r="C91" s="1"/>
      <c r="D91" s="1"/>
      <c r="E91" s="1"/>
      <c r="F91" s="1"/>
      <c r="G91" s="1"/>
      <c r="H91" s="1"/>
      <c r="I91" s="1"/>
      <c r="J91" s="1"/>
      <c r="K91" s="1"/>
      <c r="L91" s="1"/>
      <c r="M91" s="1"/>
      <c r="N91" s="1"/>
      <c r="O91" s="1"/>
      <c r="P91" s="1"/>
      <c r="Q91" s="1"/>
    </row>
    <row r="92" spans="1:17" x14ac:dyDescent="0.35">
      <c r="A92" s="1"/>
      <c r="B92" s="1"/>
      <c r="C92" s="1"/>
      <c r="D92" s="1"/>
      <c r="E92" s="1"/>
      <c r="F92" s="1"/>
      <c r="G92" s="1"/>
      <c r="H92" s="1"/>
      <c r="I92" s="1"/>
      <c r="J92" s="1"/>
      <c r="K92" s="1"/>
      <c r="L92" s="1"/>
      <c r="M92" s="1"/>
      <c r="N92" s="1"/>
      <c r="O92" s="1"/>
      <c r="P92" s="1"/>
      <c r="Q92" s="1"/>
    </row>
    <row r="93" spans="1:17" x14ac:dyDescent="0.35">
      <c r="A93" s="1"/>
      <c r="B93" s="1"/>
      <c r="C93" s="1"/>
      <c r="D93" s="1"/>
      <c r="E93" s="1"/>
      <c r="F93" s="1"/>
      <c r="G93" s="1"/>
      <c r="H93" s="1"/>
      <c r="I93" s="1"/>
      <c r="J93" s="1"/>
      <c r="K93" s="1"/>
      <c r="L93" s="1"/>
      <c r="M93" s="1"/>
      <c r="N93" s="1"/>
      <c r="O93" s="1"/>
      <c r="P93" s="1"/>
      <c r="Q93" s="1"/>
    </row>
    <row r="94" spans="1:17" x14ac:dyDescent="0.35">
      <c r="A94" s="1"/>
      <c r="B94" s="1"/>
      <c r="C94" s="1"/>
      <c r="D94" s="1"/>
      <c r="E94" s="1"/>
      <c r="F94" s="1"/>
      <c r="G94" s="1"/>
      <c r="H94" s="1"/>
      <c r="I94" s="1"/>
      <c r="J94" s="1"/>
      <c r="K94" s="1"/>
      <c r="L94" s="1"/>
      <c r="M94" s="1"/>
      <c r="N94" s="1"/>
      <c r="O94" s="1"/>
      <c r="P94" s="1"/>
      <c r="Q94" s="1"/>
    </row>
    <row r="95" spans="1:17" x14ac:dyDescent="0.35">
      <c r="A95" s="1"/>
      <c r="B95" s="1"/>
      <c r="C95" s="1"/>
      <c r="D95" s="1"/>
      <c r="E95" s="1"/>
      <c r="F95" s="1"/>
      <c r="G95" s="1"/>
      <c r="H95" s="1"/>
      <c r="I95" s="1"/>
      <c r="J95" s="1"/>
      <c r="K95" s="1"/>
      <c r="L95" s="1"/>
      <c r="M95" s="1"/>
      <c r="N95" s="1"/>
      <c r="O95" s="1"/>
      <c r="P95" s="1"/>
      <c r="Q95" s="1"/>
    </row>
    <row r="96" spans="1:17" x14ac:dyDescent="0.35">
      <c r="A96" s="1"/>
      <c r="B96" s="1"/>
      <c r="C96" s="1"/>
      <c r="D96" s="1"/>
      <c r="E96" s="1"/>
      <c r="F96" s="1"/>
      <c r="G96" s="1"/>
      <c r="H96" s="1"/>
      <c r="I96" s="1"/>
      <c r="J96" s="1"/>
      <c r="K96" s="1"/>
      <c r="L96" s="1"/>
      <c r="M96" s="1"/>
      <c r="N96" s="1"/>
      <c r="O96" s="1"/>
      <c r="P96" s="1"/>
      <c r="Q96" s="1"/>
    </row>
    <row r="97" spans="1:17" x14ac:dyDescent="0.35">
      <c r="A97" s="1"/>
      <c r="B97" s="1"/>
      <c r="C97" s="1"/>
      <c r="D97" s="1"/>
      <c r="E97" s="1"/>
      <c r="F97" s="1"/>
      <c r="G97" s="1"/>
      <c r="H97" s="1"/>
      <c r="I97" s="1"/>
      <c r="J97" s="1"/>
      <c r="K97" s="1"/>
      <c r="L97" s="1"/>
      <c r="M97" s="1"/>
      <c r="N97" s="1"/>
      <c r="O97" s="1"/>
      <c r="P97" s="1"/>
      <c r="Q97" s="1"/>
    </row>
    <row r="98" spans="1:17" x14ac:dyDescent="0.35">
      <c r="A98" s="1"/>
      <c r="B98" s="1"/>
      <c r="C98" s="1"/>
      <c r="D98" s="1"/>
      <c r="E98" s="1"/>
      <c r="F98" s="1"/>
      <c r="G98" s="1"/>
      <c r="H98" s="1"/>
      <c r="I98" s="1"/>
      <c r="J98" s="1"/>
      <c r="K98" s="1"/>
      <c r="L98" s="1"/>
      <c r="M98" s="1"/>
      <c r="N98" s="1"/>
      <c r="O98" s="1"/>
      <c r="P98" s="1"/>
      <c r="Q98" s="1"/>
    </row>
    <row r="99" spans="1:17" x14ac:dyDescent="0.35">
      <c r="A99" s="1"/>
      <c r="B99" s="1"/>
      <c r="C99" s="1"/>
      <c r="D99" s="1"/>
      <c r="E99" s="1"/>
      <c r="F99" s="1"/>
      <c r="G99" s="1"/>
      <c r="H99" s="1"/>
      <c r="I99" s="1"/>
      <c r="J99" s="1"/>
      <c r="K99" s="1"/>
      <c r="L99" s="1"/>
      <c r="M99" s="1"/>
      <c r="N99" s="1"/>
      <c r="O99" s="1"/>
      <c r="P99" s="1"/>
      <c r="Q99" s="1"/>
    </row>
    <row r="100" spans="1:17" x14ac:dyDescent="0.35">
      <c r="A100" s="1"/>
      <c r="B100" s="1"/>
      <c r="C100" s="1"/>
      <c r="D100" s="1"/>
      <c r="E100" s="1"/>
      <c r="F100" s="1"/>
      <c r="G100" s="1"/>
      <c r="H100" s="1"/>
      <c r="I100" s="1"/>
      <c r="J100" s="1"/>
      <c r="K100" s="1"/>
      <c r="L100" s="1"/>
      <c r="M100" s="1"/>
      <c r="N100" s="1"/>
      <c r="O100" s="1"/>
      <c r="P100" s="1"/>
      <c r="Q100" s="1"/>
    </row>
    <row r="101" spans="1:17" x14ac:dyDescent="0.35">
      <c r="A101" s="1"/>
      <c r="B101" s="1"/>
      <c r="C101" s="1"/>
      <c r="D101" s="1"/>
      <c r="E101" s="1"/>
      <c r="F101" s="1"/>
      <c r="G101" s="1"/>
      <c r="H101" s="1"/>
      <c r="I101" s="1"/>
      <c r="J101" s="1"/>
      <c r="K101" s="1"/>
      <c r="L101" s="1"/>
      <c r="M101" s="1"/>
      <c r="N101" s="1"/>
      <c r="O101" s="1"/>
      <c r="P101" s="1"/>
      <c r="Q101" s="1"/>
    </row>
    <row r="102" spans="1:17" x14ac:dyDescent="0.35">
      <c r="A102" s="1"/>
      <c r="B102" s="1"/>
      <c r="C102" s="1"/>
      <c r="D102" s="1"/>
      <c r="E102" s="1"/>
      <c r="F102" s="1"/>
      <c r="G102" s="1"/>
      <c r="H102" s="1"/>
      <c r="I102" s="1"/>
      <c r="J102" s="1"/>
      <c r="K102" s="1"/>
      <c r="L102" s="1"/>
      <c r="M102" s="1"/>
      <c r="N102" s="1"/>
      <c r="O102" s="1"/>
      <c r="P102" s="1"/>
      <c r="Q102" s="1"/>
    </row>
    <row r="103" spans="1:17" x14ac:dyDescent="0.35">
      <c r="A103" s="1"/>
      <c r="B103" s="1"/>
      <c r="C103" s="1"/>
      <c r="D103" s="1"/>
      <c r="E103" s="1"/>
      <c r="F103" s="1"/>
      <c r="G103" s="1"/>
      <c r="H103" s="1"/>
      <c r="I103" s="1"/>
      <c r="J103" s="1"/>
      <c r="K103" s="1"/>
      <c r="L103" s="1"/>
      <c r="M103" s="1"/>
      <c r="N103" s="1"/>
      <c r="O103" s="1"/>
      <c r="P103" s="1"/>
      <c r="Q103" s="1"/>
    </row>
    <row r="104" spans="1:17" x14ac:dyDescent="0.35">
      <c r="A104" s="1"/>
      <c r="B104" s="1"/>
      <c r="C104" s="1"/>
      <c r="D104" s="1"/>
      <c r="E104" s="1"/>
      <c r="F104" s="1"/>
      <c r="G104" s="1"/>
      <c r="H104" s="1"/>
      <c r="I104" s="1"/>
      <c r="J104" s="1"/>
      <c r="K104" s="1"/>
      <c r="L104" s="1"/>
      <c r="M104" s="1"/>
      <c r="N104" s="1"/>
      <c r="O104" s="1"/>
      <c r="P104" s="1"/>
      <c r="Q104" s="1"/>
    </row>
    <row r="105" spans="1:17" x14ac:dyDescent="0.35">
      <c r="A105" s="1"/>
      <c r="B105" s="1"/>
      <c r="C105" s="1"/>
      <c r="D105" s="1"/>
      <c r="E105" s="1"/>
      <c r="F105" s="1"/>
      <c r="G105" s="1"/>
      <c r="H105" s="1"/>
      <c r="I105" s="1"/>
      <c r="J105" s="1"/>
      <c r="K105" s="1"/>
      <c r="L105" s="1"/>
      <c r="M105" s="1"/>
      <c r="N105" s="1"/>
      <c r="O105" s="1"/>
      <c r="P105" s="1"/>
      <c r="Q105" s="1"/>
    </row>
    <row r="106" spans="1:17" x14ac:dyDescent="0.35">
      <c r="A106" s="1"/>
      <c r="B106" s="1"/>
      <c r="C106" s="1"/>
      <c r="D106" s="1"/>
      <c r="E106" s="1"/>
      <c r="F106" s="1"/>
      <c r="G106" s="1"/>
      <c r="H106" s="1"/>
      <c r="I106" s="1"/>
      <c r="J106" s="1"/>
      <c r="K106" s="1"/>
      <c r="L106" s="1"/>
      <c r="M106" s="1"/>
      <c r="N106" s="1"/>
      <c r="O106" s="1"/>
      <c r="P106" s="1"/>
      <c r="Q106" s="1"/>
    </row>
    <row r="107" spans="1:17" x14ac:dyDescent="0.35">
      <c r="A107" s="1"/>
      <c r="B107" s="1"/>
      <c r="C107" s="1"/>
      <c r="D107" s="1"/>
      <c r="E107" s="1"/>
      <c r="F107" s="1"/>
      <c r="G107" s="1"/>
      <c r="H107" s="1"/>
      <c r="I107" s="1"/>
      <c r="J107" s="1"/>
      <c r="K107" s="1"/>
      <c r="L107" s="1"/>
      <c r="M107" s="1"/>
      <c r="N107" s="1"/>
      <c r="O107" s="1"/>
      <c r="P107" s="1"/>
      <c r="Q107" s="1"/>
    </row>
    <row r="108" spans="1:17" x14ac:dyDescent="0.35">
      <c r="A108" s="1"/>
      <c r="B108" s="1"/>
      <c r="C108" s="1"/>
      <c r="D108" s="1"/>
      <c r="E108" s="1"/>
      <c r="F108" s="1"/>
      <c r="G108" s="1"/>
      <c r="H108" s="1"/>
      <c r="I108" s="1"/>
      <c r="J108" s="1"/>
      <c r="K108" s="1"/>
      <c r="L108" s="1"/>
      <c r="M108" s="1"/>
      <c r="N108" s="1"/>
      <c r="O108" s="1"/>
      <c r="P108" s="1"/>
      <c r="Q108" s="1"/>
    </row>
    <row r="109" spans="1:17" x14ac:dyDescent="0.35">
      <c r="A109" s="1"/>
      <c r="B109" s="1"/>
      <c r="C109" s="1"/>
      <c r="D109" s="1"/>
      <c r="E109" s="1"/>
      <c r="F109" s="1"/>
      <c r="G109" s="1"/>
      <c r="H109" s="1"/>
      <c r="I109" s="1"/>
      <c r="J109" s="1"/>
      <c r="K109" s="1"/>
      <c r="L109" s="1"/>
      <c r="M109" s="1"/>
      <c r="N109" s="1"/>
      <c r="O109" s="1"/>
      <c r="P109" s="1"/>
      <c r="Q109" s="1"/>
    </row>
    <row r="110" spans="1:17" x14ac:dyDescent="0.35">
      <c r="A110" s="1"/>
      <c r="B110" s="1"/>
      <c r="C110" s="1"/>
      <c r="D110" s="1"/>
      <c r="E110" s="1"/>
      <c r="F110" s="1"/>
      <c r="G110" s="1"/>
      <c r="H110" s="1"/>
      <c r="I110" s="1"/>
      <c r="J110" s="1"/>
      <c r="K110" s="1"/>
      <c r="L110" s="1"/>
      <c r="M110" s="1"/>
      <c r="N110" s="1"/>
      <c r="O110" s="1"/>
      <c r="P110" s="1"/>
      <c r="Q110" s="1"/>
    </row>
    <row r="111" spans="1:17" x14ac:dyDescent="0.35">
      <c r="A111" s="1"/>
      <c r="B111" s="1"/>
      <c r="C111" s="1"/>
      <c r="D111" s="1"/>
      <c r="E111" s="1"/>
      <c r="F111" s="1"/>
      <c r="G111" s="1"/>
      <c r="H111" s="1"/>
      <c r="I111" s="1"/>
      <c r="J111" s="1"/>
      <c r="K111" s="1"/>
      <c r="L111" s="1"/>
      <c r="M111" s="1"/>
      <c r="N111" s="1"/>
      <c r="O111" s="1"/>
      <c r="P111" s="1"/>
      <c r="Q111" s="1"/>
    </row>
    <row r="112" spans="1:17" x14ac:dyDescent="0.35">
      <c r="A112" s="1"/>
      <c r="B112" s="1"/>
      <c r="C112" s="1"/>
      <c r="D112" s="1"/>
      <c r="E112" s="1"/>
      <c r="F112" s="1"/>
      <c r="G112" s="1"/>
      <c r="H112" s="1"/>
      <c r="I112" s="1"/>
      <c r="J112" s="1"/>
      <c r="K112" s="1"/>
      <c r="L112" s="1"/>
      <c r="M112" s="1"/>
      <c r="N112" s="1"/>
      <c r="O112" s="1"/>
      <c r="P112" s="1"/>
      <c r="Q112" s="1"/>
    </row>
    <row r="113" spans="1:17" x14ac:dyDescent="0.35">
      <c r="A113" s="1"/>
      <c r="B113" s="1"/>
      <c r="C113" s="1"/>
      <c r="D113" s="1"/>
      <c r="E113" s="1"/>
      <c r="F113" s="1"/>
      <c r="G113" s="1"/>
      <c r="H113" s="1"/>
      <c r="I113" s="1"/>
      <c r="J113" s="1"/>
      <c r="K113" s="1"/>
      <c r="L113" s="1"/>
      <c r="M113" s="1"/>
      <c r="N113" s="1"/>
      <c r="O113" s="1"/>
      <c r="P113" s="1"/>
      <c r="Q113" s="1"/>
    </row>
    <row r="114" spans="1:17" x14ac:dyDescent="0.35">
      <c r="A114" s="1"/>
      <c r="B114" s="1"/>
      <c r="C114" s="1"/>
      <c r="D114" s="1"/>
      <c r="E114" s="1"/>
      <c r="F114" s="1"/>
      <c r="G114" s="1"/>
      <c r="H114" s="1"/>
      <c r="I114" s="1"/>
      <c r="J114" s="1"/>
      <c r="K114" s="1"/>
      <c r="L114" s="1"/>
      <c r="M114" s="1"/>
      <c r="N114" s="1"/>
      <c r="O114" s="1"/>
      <c r="P114" s="1"/>
      <c r="Q114" s="1"/>
    </row>
    <row r="115" spans="1:17" x14ac:dyDescent="0.35">
      <c r="A115" s="1"/>
      <c r="B115" s="1"/>
      <c r="C115" s="1"/>
      <c r="D115" s="1"/>
      <c r="E115" s="1"/>
      <c r="F115" s="1"/>
      <c r="G115" s="1"/>
      <c r="H115" s="1"/>
      <c r="I115" s="1"/>
      <c r="J115" s="1"/>
      <c r="K115" s="1"/>
      <c r="L115" s="1"/>
      <c r="M115" s="1"/>
      <c r="N115" s="1"/>
      <c r="O115" s="1"/>
      <c r="P115" s="1"/>
      <c r="Q115" s="1"/>
    </row>
    <row r="116" spans="1:17" x14ac:dyDescent="0.35">
      <c r="A116" s="1"/>
      <c r="B116" s="1"/>
      <c r="C116" s="1"/>
      <c r="D116" s="1"/>
      <c r="E116" s="1"/>
      <c r="F116" s="1"/>
      <c r="G116" s="1"/>
      <c r="H116" s="1"/>
      <c r="I116" s="1"/>
      <c r="J116" s="1"/>
      <c r="K116" s="1"/>
      <c r="L116" s="1"/>
      <c r="M116" s="1"/>
      <c r="N116" s="1"/>
      <c r="O116" s="1"/>
      <c r="P116" s="1"/>
      <c r="Q116" s="1"/>
    </row>
    <row r="117" spans="1:17" x14ac:dyDescent="0.35">
      <c r="A117" s="1"/>
      <c r="B117" s="1"/>
      <c r="C117" s="1"/>
      <c r="D117" s="1"/>
      <c r="E117" s="1"/>
      <c r="F117" s="1"/>
      <c r="G117" s="1"/>
      <c r="H117" s="1"/>
      <c r="I117" s="1"/>
      <c r="J117" s="1"/>
      <c r="K117" s="1"/>
      <c r="L117" s="1"/>
      <c r="M117" s="1"/>
      <c r="N117" s="1"/>
      <c r="O117" s="1"/>
      <c r="P117" s="1"/>
      <c r="Q117" s="1"/>
    </row>
    <row r="118" spans="1:17" x14ac:dyDescent="0.35">
      <c r="A118" s="1"/>
      <c r="B118" s="1"/>
      <c r="C118" s="1"/>
      <c r="D118" s="1"/>
      <c r="E118" s="1"/>
      <c r="F118" s="1"/>
      <c r="G118" s="1"/>
      <c r="H118" s="1"/>
      <c r="I118" s="1"/>
      <c r="J118" s="1"/>
      <c r="K118" s="1"/>
      <c r="L118" s="1"/>
      <c r="M118" s="1"/>
      <c r="N118" s="1"/>
      <c r="O118" s="1"/>
      <c r="P118" s="1"/>
      <c r="Q118" s="1"/>
    </row>
    <row r="119" spans="1:17" x14ac:dyDescent="0.35">
      <c r="A119" s="1"/>
      <c r="B119" s="1"/>
      <c r="C119" s="1"/>
      <c r="D119" s="1"/>
      <c r="E119" s="1"/>
      <c r="F119" s="1"/>
      <c r="G119" s="1"/>
      <c r="H119" s="1"/>
      <c r="I119" s="1"/>
      <c r="J119" s="1"/>
      <c r="K119" s="1"/>
      <c r="L119" s="1"/>
      <c r="M119" s="1"/>
      <c r="N119" s="1"/>
      <c r="O119" s="1"/>
      <c r="P119" s="1"/>
      <c r="Q119" s="1"/>
    </row>
    <row r="120" spans="1:17" x14ac:dyDescent="0.35">
      <c r="A120" s="1"/>
      <c r="B120" s="1"/>
      <c r="C120" s="1"/>
      <c r="D120" s="1"/>
      <c r="E120" s="1"/>
      <c r="F120" s="1"/>
      <c r="G120" s="1"/>
      <c r="H120" s="1"/>
      <c r="I120" s="1"/>
      <c r="J120" s="1"/>
      <c r="K120" s="1"/>
      <c r="L120" s="1"/>
      <c r="M120" s="1"/>
      <c r="N120" s="1"/>
      <c r="O120" s="1"/>
      <c r="P120" s="1"/>
      <c r="Q120" s="1"/>
    </row>
    <row r="121" spans="1:17" x14ac:dyDescent="0.35">
      <c r="A121" s="1"/>
      <c r="B121" s="1"/>
      <c r="C121" s="1"/>
      <c r="D121" s="1"/>
      <c r="E121" s="1"/>
      <c r="F121" s="1"/>
      <c r="G121" s="1"/>
      <c r="H121" s="1"/>
      <c r="I121" s="1"/>
      <c r="J121" s="1"/>
      <c r="K121" s="1"/>
      <c r="L121" s="1"/>
      <c r="M121" s="1"/>
      <c r="N121" s="1"/>
      <c r="O121" s="1"/>
      <c r="P121" s="1"/>
      <c r="Q121" s="1"/>
    </row>
    <row r="122" spans="1:17" x14ac:dyDescent="0.35">
      <c r="A122" s="1"/>
      <c r="B122" s="1"/>
      <c r="C122" s="1"/>
      <c r="D122" s="1"/>
      <c r="E122" s="1"/>
      <c r="F122" s="1"/>
      <c r="G122" s="1"/>
      <c r="H122" s="1"/>
      <c r="I122" s="1"/>
      <c r="J122" s="1"/>
      <c r="K122" s="1"/>
      <c r="L122" s="1"/>
      <c r="M122" s="1"/>
      <c r="N122" s="1"/>
      <c r="O122" s="1"/>
      <c r="P122" s="1"/>
      <c r="Q122" s="1"/>
    </row>
    <row r="123" spans="1:17" x14ac:dyDescent="0.35">
      <c r="A123" s="1"/>
      <c r="B123" s="1"/>
      <c r="C123" s="1"/>
      <c r="D123" s="1"/>
      <c r="E123" s="1"/>
      <c r="F123" s="1"/>
      <c r="G123" s="1"/>
      <c r="H123" s="1"/>
      <c r="I123" s="1"/>
      <c r="J123" s="1"/>
      <c r="K123" s="1"/>
      <c r="L123" s="1"/>
      <c r="M123" s="1"/>
      <c r="N123" s="1"/>
      <c r="O123" s="1"/>
      <c r="P123" s="1"/>
      <c r="Q123" s="1"/>
    </row>
    <row r="124" spans="1:17" x14ac:dyDescent="0.35">
      <c r="A124" s="1"/>
      <c r="B124" s="1"/>
      <c r="C124" s="1"/>
      <c r="D124" s="1"/>
      <c r="E124" s="1"/>
      <c r="F124" s="1"/>
      <c r="G124" s="1"/>
      <c r="H124" s="1"/>
      <c r="I124" s="1"/>
      <c r="J124" s="1"/>
      <c r="K124" s="1"/>
      <c r="L124" s="1"/>
      <c r="M124" s="1"/>
      <c r="N124" s="1"/>
      <c r="O124" s="1"/>
      <c r="P124" s="1"/>
      <c r="Q124" s="1"/>
    </row>
    <row r="125" spans="1:17" x14ac:dyDescent="0.35">
      <c r="A125" s="1"/>
      <c r="B125" s="1"/>
      <c r="C125" s="1"/>
      <c r="D125" s="1"/>
      <c r="E125" s="1"/>
      <c r="F125" s="1"/>
      <c r="G125" s="1"/>
      <c r="H125" s="1"/>
      <c r="I125" s="1"/>
      <c r="J125" s="1"/>
      <c r="K125" s="1"/>
      <c r="L125" s="1"/>
      <c r="M125" s="1"/>
      <c r="N125" s="1"/>
      <c r="O125" s="1"/>
      <c r="P125" s="1"/>
      <c r="Q125" s="1"/>
    </row>
    <row r="126" spans="1:17" x14ac:dyDescent="0.35">
      <c r="A126" s="1"/>
      <c r="B126" s="1"/>
      <c r="C126" s="1"/>
      <c r="D126" s="1"/>
      <c r="E126" s="1"/>
      <c r="F126" s="1"/>
      <c r="G126" s="1"/>
      <c r="H126" s="1"/>
      <c r="I126" s="1"/>
      <c r="J126" s="1"/>
      <c r="K126" s="1"/>
      <c r="L126" s="1"/>
      <c r="M126" s="1"/>
      <c r="N126" s="1"/>
      <c r="O126" s="1"/>
      <c r="P126" s="1"/>
      <c r="Q126" s="1"/>
    </row>
    <row r="127" spans="1:17" x14ac:dyDescent="0.35">
      <c r="A127" s="1"/>
      <c r="B127" s="1"/>
      <c r="C127" s="1"/>
      <c r="D127" s="1"/>
      <c r="E127" s="1"/>
      <c r="F127" s="1"/>
      <c r="G127" s="1"/>
      <c r="H127" s="1"/>
      <c r="I127" s="1"/>
      <c r="J127" s="1"/>
      <c r="K127" s="1"/>
      <c r="L127" s="1"/>
      <c r="M127" s="1"/>
      <c r="N127" s="1"/>
      <c r="O127" s="1"/>
      <c r="P127" s="1"/>
      <c r="Q127" s="1"/>
    </row>
    <row r="128" spans="1:17" x14ac:dyDescent="0.35">
      <c r="A128" s="1"/>
      <c r="B128" s="1"/>
      <c r="C128" s="1"/>
      <c r="D128" s="1"/>
      <c r="E128" s="1"/>
      <c r="F128" s="1"/>
      <c r="G128" s="1"/>
      <c r="H128" s="1"/>
      <c r="I128" s="1"/>
      <c r="J128" s="1"/>
      <c r="K128" s="1"/>
      <c r="L128" s="1"/>
      <c r="M128" s="1"/>
      <c r="N128" s="1"/>
      <c r="O128" s="1"/>
      <c r="P128" s="1"/>
      <c r="Q128" s="1"/>
    </row>
    <row r="129" spans="1:17" x14ac:dyDescent="0.35">
      <c r="A129" s="1"/>
      <c r="B129" s="1"/>
      <c r="C129" s="1"/>
      <c r="D129" s="1"/>
      <c r="E129" s="1"/>
      <c r="F129" s="1"/>
      <c r="G129" s="1"/>
      <c r="H129" s="1"/>
      <c r="I129" s="1"/>
      <c r="J129" s="1"/>
      <c r="K129" s="1"/>
      <c r="L129" s="1"/>
      <c r="M129" s="1"/>
      <c r="N129" s="1"/>
      <c r="O129" s="1"/>
      <c r="P129" s="1"/>
      <c r="Q129" s="1"/>
    </row>
    <row r="130" spans="1:17" x14ac:dyDescent="0.35">
      <c r="A130" s="1"/>
      <c r="B130" s="1"/>
      <c r="C130" s="1"/>
      <c r="D130" s="1"/>
      <c r="E130" s="1"/>
      <c r="F130" s="1"/>
      <c r="G130" s="1"/>
      <c r="H130" s="1"/>
      <c r="I130" s="1"/>
      <c r="J130" s="1"/>
      <c r="K130" s="1"/>
      <c r="L130" s="1"/>
      <c r="M130" s="1"/>
      <c r="N130" s="1"/>
      <c r="O130" s="1"/>
      <c r="P130" s="1"/>
      <c r="Q130" s="1"/>
    </row>
    <row r="131" spans="1:17" x14ac:dyDescent="0.35">
      <c r="A131" s="1"/>
      <c r="B131" s="1"/>
      <c r="C131" s="1"/>
      <c r="D131" s="1"/>
      <c r="E131" s="1"/>
      <c r="F131" s="1"/>
      <c r="G131" s="1"/>
      <c r="H131" s="1"/>
      <c r="I131" s="1"/>
      <c r="J131" s="1"/>
      <c r="K131" s="1"/>
      <c r="L131" s="1"/>
      <c r="M131" s="1"/>
      <c r="N131" s="1"/>
      <c r="O131" s="1"/>
      <c r="P131" s="1"/>
      <c r="Q131" s="1"/>
    </row>
    <row r="132" spans="1:17" x14ac:dyDescent="0.35">
      <c r="A132" s="1"/>
      <c r="B132" s="1"/>
      <c r="C132" s="1"/>
      <c r="D132" s="1"/>
      <c r="E132" s="1"/>
      <c r="F132" s="1"/>
      <c r="G132" s="1"/>
      <c r="H132" s="1"/>
      <c r="I132" s="1"/>
      <c r="J132" s="1"/>
      <c r="K132" s="1"/>
      <c r="L132" s="1"/>
      <c r="M132" s="1"/>
      <c r="N132" s="1"/>
      <c r="O132" s="1"/>
      <c r="P132" s="1"/>
      <c r="Q132" s="1"/>
    </row>
    <row r="133" spans="1:17" x14ac:dyDescent="0.35">
      <c r="A133" s="1"/>
      <c r="B133" s="1"/>
      <c r="C133" s="1"/>
      <c r="D133" s="1"/>
      <c r="E133" s="1"/>
      <c r="F133" s="1"/>
      <c r="G133" s="1"/>
      <c r="H133" s="1"/>
      <c r="I133" s="1"/>
      <c r="J133" s="1"/>
      <c r="K133" s="1"/>
      <c r="L133" s="1"/>
      <c r="M133" s="1"/>
      <c r="N133" s="1"/>
      <c r="O133" s="1"/>
      <c r="P133" s="1"/>
      <c r="Q133" s="1"/>
    </row>
    <row r="134" spans="1:17" x14ac:dyDescent="0.35">
      <c r="A134" s="1"/>
      <c r="B134" s="1"/>
      <c r="C134" s="1"/>
      <c r="D134" s="1"/>
      <c r="E134" s="1"/>
      <c r="F134" s="1"/>
      <c r="G134" s="1"/>
      <c r="H134" s="1"/>
      <c r="I134" s="1"/>
      <c r="J134" s="1"/>
      <c r="K134" s="1"/>
      <c r="L134" s="1"/>
      <c r="M134" s="1"/>
      <c r="N134" s="1"/>
      <c r="O134" s="1"/>
      <c r="P134" s="1"/>
      <c r="Q134" s="1"/>
    </row>
    <row r="135" spans="1:17" x14ac:dyDescent="0.35">
      <c r="A135" s="1"/>
      <c r="B135" s="1"/>
      <c r="C135" s="1"/>
      <c r="D135" s="1"/>
      <c r="E135" s="1"/>
      <c r="F135" s="1"/>
      <c r="G135" s="1"/>
      <c r="H135" s="1"/>
      <c r="I135" s="1"/>
      <c r="J135" s="1"/>
      <c r="K135" s="1"/>
      <c r="L135" s="1"/>
      <c r="M135" s="1"/>
      <c r="N135" s="1"/>
      <c r="O135" s="1"/>
      <c r="P135" s="1"/>
      <c r="Q135" s="1"/>
    </row>
    <row r="136" spans="1:17" x14ac:dyDescent="0.35">
      <c r="A136" s="1"/>
      <c r="B136" s="1"/>
      <c r="C136" s="1"/>
      <c r="D136" s="1"/>
      <c r="E136" s="1"/>
      <c r="F136" s="1"/>
      <c r="G136" s="1"/>
      <c r="H136" s="1"/>
      <c r="I136" s="1"/>
      <c r="J136" s="1"/>
      <c r="K136" s="1"/>
      <c r="L136" s="1"/>
      <c r="M136" s="1"/>
      <c r="N136" s="1"/>
      <c r="O136" s="1"/>
      <c r="P136" s="1"/>
      <c r="Q136" s="1"/>
    </row>
    <row r="137" spans="1:17" x14ac:dyDescent="0.35">
      <c r="A137" s="1"/>
      <c r="B137" s="1"/>
      <c r="C137" s="1"/>
      <c r="D137" s="1"/>
      <c r="E137" s="1"/>
      <c r="F137" s="1"/>
      <c r="G137" s="1"/>
      <c r="H137" s="1"/>
      <c r="I137" s="1"/>
      <c r="J137" s="1"/>
      <c r="K137" s="1"/>
      <c r="L137" s="1"/>
      <c r="M137" s="1"/>
      <c r="N137" s="1"/>
      <c r="O137" s="1"/>
      <c r="P137" s="1"/>
      <c r="Q137" s="1"/>
    </row>
    <row r="138" spans="1:17" x14ac:dyDescent="0.35">
      <c r="A138" s="1"/>
      <c r="B138" s="1"/>
      <c r="C138" s="1"/>
      <c r="D138" s="1"/>
      <c r="E138" s="1"/>
      <c r="F138" s="1"/>
      <c r="G138" s="1"/>
      <c r="H138" s="1"/>
      <c r="I138" s="1"/>
      <c r="J138" s="1"/>
      <c r="K138" s="1"/>
      <c r="L138" s="1"/>
      <c r="M138" s="1"/>
      <c r="N138" s="1"/>
      <c r="O138" s="1"/>
      <c r="P138" s="1"/>
      <c r="Q138" s="1"/>
    </row>
    <row r="139" spans="1:17" x14ac:dyDescent="0.35">
      <c r="A139" s="1"/>
      <c r="B139" s="1"/>
      <c r="C139" s="1"/>
      <c r="D139" s="1"/>
      <c r="E139" s="1"/>
      <c r="F139" s="1"/>
      <c r="G139" s="1"/>
      <c r="H139" s="1"/>
      <c r="I139" s="1"/>
      <c r="J139" s="1"/>
      <c r="K139" s="1"/>
      <c r="L139" s="1"/>
      <c r="M139" s="1"/>
      <c r="N139" s="1"/>
      <c r="O139" s="1"/>
      <c r="P139" s="1"/>
      <c r="Q139" s="1"/>
    </row>
    <row r="140" spans="1:17" x14ac:dyDescent="0.35">
      <c r="A140" s="1"/>
      <c r="B140" s="1"/>
      <c r="C140" s="1"/>
      <c r="D140" s="1"/>
      <c r="E140" s="1"/>
      <c r="F140" s="1"/>
      <c r="G140" s="1"/>
      <c r="H140" s="1"/>
      <c r="I140" s="1"/>
      <c r="J140" s="1"/>
      <c r="K140" s="1"/>
      <c r="L140" s="1"/>
      <c r="M140" s="1"/>
      <c r="N140" s="1"/>
      <c r="O140" s="1"/>
      <c r="P140" s="1"/>
      <c r="Q140" s="1"/>
    </row>
    <row r="141" spans="1:17" x14ac:dyDescent="0.35">
      <c r="A141" s="1"/>
      <c r="B141" s="1"/>
      <c r="C141" s="1"/>
      <c r="D141" s="1"/>
      <c r="E141" s="1"/>
      <c r="F141" s="1"/>
      <c r="G141" s="1"/>
      <c r="H141" s="1"/>
      <c r="I141" s="1"/>
      <c r="J141" s="1"/>
      <c r="K141" s="1"/>
      <c r="L141" s="1"/>
      <c r="M141" s="1"/>
      <c r="N141" s="1"/>
      <c r="O141" s="1"/>
      <c r="P141" s="1"/>
      <c r="Q141" s="1"/>
    </row>
    <row r="142" spans="1:17" x14ac:dyDescent="0.35">
      <c r="A142" s="1"/>
      <c r="B142" s="1"/>
      <c r="C142" s="1"/>
      <c r="D142" s="1"/>
      <c r="E142" s="1"/>
      <c r="F142" s="1"/>
      <c r="G142" s="1"/>
      <c r="H142" s="1"/>
      <c r="I142" s="1"/>
      <c r="J142" s="1"/>
      <c r="K142" s="1"/>
      <c r="L142" s="1"/>
      <c r="M142" s="1"/>
      <c r="N142" s="1"/>
      <c r="O142" s="1"/>
      <c r="P142" s="1"/>
      <c r="Q142" s="1"/>
    </row>
    <row r="143" spans="1:17" x14ac:dyDescent="0.35">
      <c r="A143" s="1"/>
      <c r="B143" s="1"/>
      <c r="C143" s="1"/>
      <c r="D143" s="1"/>
      <c r="E143" s="1"/>
      <c r="F143" s="1"/>
      <c r="G143" s="1"/>
      <c r="H143" s="1"/>
      <c r="I143" s="1"/>
      <c r="J143" s="1"/>
      <c r="K143" s="1"/>
      <c r="L143" s="1"/>
      <c r="M143" s="1"/>
      <c r="N143" s="1"/>
      <c r="O143" s="1"/>
      <c r="P143" s="1"/>
      <c r="Q143" s="1"/>
    </row>
    <row r="144" spans="1:17" x14ac:dyDescent="0.35">
      <c r="A144" s="1"/>
      <c r="B144" s="1"/>
      <c r="C144" s="1"/>
      <c r="D144" s="1"/>
      <c r="E144" s="1"/>
      <c r="F144" s="1"/>
      <c r="G144" s="1"/>
      <c r="H144" s="1"/>
      <c r="I144" s="1"/>
      <c r="J144" s="1"/>
      <c r="K144" s="1"/>
      <c r="L144" s="1"/>
      <c r="M144" s="1"/>
      <c r="N144" s="1"/>
      <c r="O144" s="1"/>
      <c r="P144" s="1"/>
      <c r="Q144" s="1"/>
    </row>
    <row r="145" spans="1:17" x14ac:dyDescent="0.35">
      <c r="A145" s="1"/>
      <c r="B145" s="1"/>
      <c r="C145" s="1"/>
      <c r="D145" s="1"/>
      <c r="E145" s="1"/>
      <c r="F145" s="1"/>
      <c r="G145" s="1"/>
      <c r="H145" s="1"/>
      <c r="I145" s="1"/>
      <c r="J145" s="1"/>
      <c r="K145" s="1"/>
      <c r="L145" s="1"/>
      <c r="M145" s="1"/>
      <c r="N145" s="1"/>
      <c r="O145" s="1"/>
      <c r="P145" s="1"/>
      <c r="Q145" s="1"/>
    </row>
    <row r="146" spans="1:17" x14ac:dyDescent="0.35">
      <c r="A146" s="1"/>
      <c r="B146" s="1"/>
      <c r="C146" s="1"/>
      <c r="D146" s="1"/>
      <c r="E146" s="1"/>
      <c r="F146" s="1"/>
      <c r="G146" s="1"/>
      <c r="H146" s="1"/>
      <c r="I146" s="1"/>
      <c r="J146" s="1"/>
      <c r="K146" s="1"/>
      <c r="L146" s="1"/>
      <c r="M146" s="1"/>
      <c r="N146" s="1"/>
      <c r="O146" s="1"/>
      <c r="P146" s="1"/>
      <c r="Q146" s="1"/>
    </row>
    <row r="147" spans="1:17" x14ac:dyDescent="0.35">
      <c r="A147" s="1"/>
      <c r="B147" s="1"/>
      <c r="C147" s="1"/>
      <c r="D147" s="1"/>
      <c r="E147" s="1"/>
      <c r="F147" s="1"/>
      <c r="G147" s="1"/>
      <c r="H147" s="1"/>
      <c r="I147" s="1"/>
      <c r="J147" s="1"/>
      <c r="K147" s="1"/>
      <c r="L147" s="1"/>
      <c r="M147" s="1"/>
      <c r="N147" s="1"/>
      <c r="O147" s="1"/>
      <c r="P147" s="1"/>
      <c r="Q147" s="1"/>
    </row>
    <row r="148" spans="1:17" x14ac:dyDescent="0.35">
      <c r="A148" s="1"/>
      <c r="B148" s="1"/>
      <c r="C148" s="1"/>
      <c r="D148" s="1"/>
      <c r="E148" s="1"/>
      <c r="F148" s="1"/>
      <c r="G148" s="1"/>
      <c r="H148" s="1"/>
      <c r="I148" s="1"/>
      <c r="J148" s="1"/>
      <c r="K148" s="1"/>
      <c r="L148" s="1"/>
      <c r="M148" s="1"/>
      <c r="N148" s="1"/>
      <c r="O148" s="1"/>
      <c r="P148" s="1"/>
      <c r="Q148" s="1"/>
    </row>
    <row r="149" spans="1:17" x14ac:dyDescent="0.35">
      <c r="A149" s="1"/>
      <c r="B149" s="1"/>
      <c r="C149" s="1"/>
      <c r="D149" s="1"/>
      <c r="E149" s="1"/>
      <c r="F149" s="1"/>
      <c r="G149" s="1"/>
      <c r="H149" s="1"/>
      <c r="I149" s="1"/>
      <c r="J149" s="1"/>
      <c r="K149" s="1"/>
      <c r="L149" s="1"/>
      <c r="M149" s="1"/>
      <c r="N149" s="1"/>
      <c r="O149" s="1"/>
      <c r="P149" s="1"/>
      <c r="Q149" s="1"/>
    </row>
    <row r="150" spans="1:17" x14ac:dyDescent="0.35">
      <c r="A150" s="1"/>
      <c r="B150" s="1"/>
      <c r="C150" s="1"/>
      <c r="D150" s="1"/>
      <c r="E150" s="1"/>
      <c r="F150" s="1"/>
      <c r="G150" s="1"/>
      <c r="H150" s="1"/>
      <c r="I150" s="1"/>
      <c r="J150" s="1"/>
      <c r="K150" s="1"/>
      <c r="L150" s="1"/>
      <c r="M150" s="1"/>
      <c r="N150" s="1"/>
      <c r="O150" s="1"/>
      <c r="P150" s="1"/>
      <c r="Q150" s="1"/>
    </row>
    <row r="151" spans="1:17" x14ac:dyDescent="0.35">
      <c r="A151" s="1"/>
      <c r="B151" s="1"/>
      <c r="C151" s="1"/>
      <c r="D151" s="1"/>
      <c r="E151" s="1"/>
      <c r="F151" s="1"/>
      <c r="G151" s="1"/>
      <c r="H151" s="1"/>
      <c r="I151" s="1"/>
      <c r="J151" s="1"/>
      <c r="K151" s="1"/>
      <c r="L151" s="1"/>
      <c r="M151" s="1"/>
      <c r="N151" s="1"/>
      <c r="O151" s="1"/>
      <c r="P151" s="1"/>
      <c r="Q151" s="1"/>
    </row>
    <row r="152" spans="1:17" x14ac:dyDescent="0.35">
      <c r="A152" s="1"/>
      <c r="B152" s="1"/>
      <c r="C152" s="1"/>
      <c r="D152" s="1"/>
      <c r="E152" s="1"/>
      <c r="F152" s="1"/>
      <c r="G152" s="1"/>
      <c r="H152" s="1"/>
      <c r="I152" s="1"/>
      <c r="J152" s="1"/>
      <c r="K152" s="1"/>
      <c r="L152" s="1"/>
      <c r="M152" s="1"/>
      <c r="N152" s="1"/>
      <c r="O152" s="1"/>
      <c r="P152" s="1"/>
      <c r="Q152" s="1"/>
    </row>
    <row r="153" spans="1:17" x14ac:dyDescent="0.35">
      <c r="A153" s="1"/>
      <c r="B153" s="1"/>
      <c r="C153" s="1"/>
      <c r="D153" s="1"/>
      <c r="E153" s="1"/>
      <c r="F153" s="1"/>
      <c r="G153" s="1"/>
      <c r="H153" s="1"/>
      <c r="I153" s="1"/>
      <c r="J153" s="1"/>
      <c r="K153" s="1"/>
      <c r="L153" s="1"/>
      <c r="M153" s="1"/>
      <c r="N153" s="1"/>
      <c r="O153" s="1"/>
      <c r="P153" s="1"/>
      <c r="Q153" s="1"/>
    </row>
    <row r="154" spans="1:17" x14ac:dyDescent="0.35">
      <c r="A154" s="1"/>
      <c r="B154" s="1"/>
      <c r="C154" s="1"/>
      <c r="D154" s="1"/>
      <c r="E154" s="1"/>
      <c r="F154" s="1"/>
      <c r="G154" s="1"/>
      <c r="H154" s="1"/>
      <c r="I154" s="1"/>
      <c r="J154" s="1"/>
      <c r="K154" s="1"/>
      <c r="L154" s="1"/>
      <c r="M154" s="1"/>
      <c r="N154" s="1"/>
      <c r="O154" s="1"/>
      <c r="P154" s="1"/>
      <c r="Q154" s="1"/>
    </row>
    <row r="155" spans="1:17" x14ac:dyDescent="0.35">
      <c r="A155" s="1"/>
      <c r="B155" s="1"/>
      <c r="C155" s="1"/>
      <c r="D155" s="1"/>
      <c r="E155" s="1"/>
      <c r="F155" s="1"/>
      <c r="G155" s="1"/>
      <c r="H155" s="1"/>
      <c r="I155" s="1"/>
      <c r="J155" s="1"/>
      <c r="K155" s="1"/>
      <c r="L155" s="1"/>
      <c r="M155" s="1"/>
      <c r="N155" s="1"/>
      <c r="O155" s="1"/>
      <c r="P155" s="1"/>
      <c r="Q155" s="1"/>
    </row>
    <row r="156" spans="1:17" x14ac:dyDescent="0.35">
      <c r="A156" s="1"/>
      <c r="B156" s="1"/>
      <c r="C156" s="1"/>
      <c r="D156" s="1"/>
      <c r="E156" s="1"/>
      <c r="F156" s="1"/>
      <c r="G156" s="1"/>
      <c r="H156" s="1"/>
      <c r="I156" s="1"/>
      <c r="J156" s="1"/>
      <c r="K156" s="1"/>
      <c r="L156" s="1"/>
      <c r="M156" s="1"/>
      <c r="N156" s="1"/>
      <c r="O156" s="1"/>
      <c r="P156" s="1"/>
      <c r="Q156" s="1"/>
    </row>
    <row r="157" spans="1:17" x14ac:dyDescent="0.35">
      <c r="A157" s="1"/>
      <c r="B157" s="1"/>
      <c r="C157" s="1"/>
      <c r="D157" s="1"/>
      <c r="E157" s="1"/>
      <c r="F157" s="1"/>
      <c r="G157" s="1"/>
      <c r="H157" s="1"/>
      <c r="I157" s="1"/>
      <c r="J157" s="1"/>
      <c r="K157" s="1"/>
      <c r="L157" s="1"/>
      <c r="M157" s="1"/>
      <c r="N157" s="1"/>
      <c r="O157" s="1"/>
      <c r="P157" s="1"/>
      <c r="Q157" s="1"/>
    </row>
    <row r="158" spans="1:17" x14ac:dyDescent="0.35">
      <c r="A158" s="1"/>
      <c r="B158" s="1"/>
      <c r="C158" s="1"/>
      <c r="D158" s="1"/>
      <c r="E158" s="1"/>
      <c r="F158" s="1"/>
      <c r="G158" s="1"/>
      <c r="H158" s="1"/>
      <c r="I158" s="1"/>
      <c r="J158" s="1"/>
      <c r="K158" s="1"/>
      <c r="L158" s="1"/>
      <c r="M158" s="1"/>
      <c r="N158" s="1"/>
      <c r="O158" s="1"/>
      <c r="P158" s="1"/>
      <c r="Q158" s="1"/>
    </row>
    <row r="159" spans="1:17" x14ac:dyDescent="0.35">
      <c r="A159" s="1"/>
      <c r="B159" s="1"/>
      <c r="C159" s="1"/>
      <c r="D159" s="1"/>
      <c r="E159" s="1"/>
      <c r="F159" s="1"/>
      <c r="G159" s="1"/>
      <c r="H159" s="1"/>
      <c r="I159" s="1"/>
      <c r="J159" s="1"/>
      <c r="K159" s="1"/>
      <c r="L159" s="1"/>
      <c r="M159" s="1"/>
      <c r="N159" s="1"/>
      <c r="O159" s="1"/>
      <c r="P159" s="1"/>
      <c r="Q159" s="1"/>
    </row>
    <row r="160" spans="1:17" x14ac:dyDescent="0.35">
      <c r="A160" s="1"/>
      <c r="B160" s="1"/>
      <c r="C160" s="1"/>
      <c r="D160" s="1"/>
      <c r="E160" s="1"/>
      <c r="F160" s="1"/>
      <c r="G160" s="1"/>
      <c r="H160" s="1"/>
      <c r="I160" s="1"/>
      <c r="J160" s="1"/>
      <c r="K160" s="1"/>
      <c r="L160" s="1"/>
      <c r="M160" s="1"/>
      <c r="N160" s="1"/>
      <c r="O160" s="1"/>
      <c r="P160" s="1"/>
      <c r="Q160" s="1"/>
    </row>
    <row r="161" spans="1:17" x14ac:dyDescent="0.35">
      <c r="A161" s="1"/>
      <c r="B161" s="1"/>
      <c r="C161" s="1"/>
      <c r="D161" s="1"/>
      <c r="E161" s="1"/>
      <c r="F161" s="1"/>
      <c r="G161" s="1"/>
      <c r="H161" s="1"/>
      <c r="I161" s="1"/>
      <c r="J161" s="1"/>
      <c r="K161" s="1"/>
      <c r="L161" s="1"/>
      <c r="M161" s="1"/>
      <c r="N161" s="1"/>
      <c r="O161" s="1"/>
      <c r="P161" s="1"/>
      <c r="Q161" s="1"/>
    </row>
    <row r="162" spans="1:17" x14ac:dyDescent="0.35">
      <c r="A162" s="1"/>
      <c r="B162" s="1"/>
      <c r="C162" s="1"/>
      <c r="D162" s="1"/>
      <c r="E162" s="1"/>
      <c r="F162" s="1"/>
      <c r="G162" s="1"/>
      <c r="H162" s="1"/>
      <c r="I162" s="1"/>
      <c r="J162" s="1"/>
      <c r="K162" s="1"/>
      <c r="L162" s="1"/>
      <c r="M162" s="1"/>
      <c r="N162" s="1"/>
      <c r="O162" s="1"/>
      <c r="P162" s="1"/>
      <c r="Q162" s="1"/>
    </row>
    <row r="163" spans="1:17" x14ac:dyDescent="0.35">
      <c r="A163" s="1"/>
      <c r="B163" s="1"/>
      <c r="C163" s="1"/>
      <c r="D163" s="1"/>
      <c r="E163" s="1"/>
      <c r="F163" s="1"/>
      <c r="G163" s="1"/>
      <c r="H163" s="1"/>
      <c r="I163" s="1"/>
      <c r="J163" s="1"/>
      <c r="K163" s="1"/>
      <c r="L163" s="1"/>
      <c r="M163" s="1"/>
      <c r="N163" s="1"/>
      <c r="O163" s="1"/>
      <c r="P163" s="1"/>
      <c r="Q163" s="1"/>
    </row>
    <row r="164" spans="1:17" x14ac:dyDescent="0.35">
      <c r="A164" s="1"/>
      <c r="B164" s="1"/>
      <c r="C164" s="1"/>
      <c r="D164" s="1"/>
      <c r="E164" s="1"/>
      <c r="F164" s="1"/>
      <c r="G164" s="1"/>
      <c r="H164" s="1"/>
      <c r="I164" s="1"/>
      <c r="J164" s="1"/>
      <c r="K164" s="1"/>
      <c r="L164" s="1"/>
      <c r="M164" s="1"/>
      <c r="N164" s="1"/>
      <c r="O164" s="1"/>
      <c r="P164" s="1"/>
      <c r="Q164" s="1"/>
    </row>
    <row r="165" spans="1:17" x14ac:dyDescent="0.35">
      <c r="A165" s="1"/>
      <c r="B165" s="1"/>
      <c r="C165" s="1"/>
      <c r="D165" s="1"/>
      <c r="E165" s="1"/>
      <c r="F165" s="1"/>
      <c r="G165" s="1"/>
      <c r="H165" s="1"/>
      <c r="I165" s="1"/>
      <c r="J165" s="1"/>
      <c r="K165" s="1"/>
      <c r="L165" s="1"/>
      <c r="M165" s="1"/>
      <c r="N165" s="1"/>
      <c r="O165" s="1"/>
      <c r="P165" s="1"/>
      <c r="Q165" s="1"/>
    </row>
    <row r="166" spans="1:17" x14ac:dyDescent="0.35">
      <c r="A166" s="1"/>
      <c r="B166" s="1"/>
      <c r="C166" s="1"/>
      <c r="D166" s="1"/>
      <c r="E166" s="1"/>
      <c r="F166" s="1"/>
      <c r="G166" s="1"/>
      <c r="H166" s="1"/>
      <c r="I166" s="1"/>
      <c r="J166" s="1"/>
      <c r="K166" s="1"/>
      <c r="L166" s="1"/>
      <c r="M166" s="1"/>
      <c r="N166" s="1"/>
      <c r="O166" s="1"/>
      <c r="P166" s="1"/>
      <c r="Q166" s="1"/>
    </row>
    <row r="167" spans="1:17" x14ac:dyDescent="0.35">
      <c r="A167" s="1"/>
      <c r="B167" s="1"/>
      <c r="C167" s="1"/>
      <c r="D167" s="1"/>
      <c r="E167" s="1"/>
      <c r="F167" s="1"/>
      <c r="G167" s="1"/>
      <c r="H167" s="1"/>
      <c r="I167" s="1"/>
      <c r="J167" s="1"/>
      <c r="K167" s="1"/>
      <c r="L167" s="1"/>
      <c r="M167" s="1"/>
      <c r="N167" s="1"/>
      <c r="O167" s="1"/>
      <c r="P167" s="1"/>
      <c r="Q167" s="1"/>
    </row>
    <row r="168" spans="1:17" x14ac:dyDescent="0.35">
      <c r="A168" s="1"/>
      <c r="B168" s="1"/>
      <c r="C168" s="1"/>
      <c r="D168" s="1"/>
      <c r="E168" s="1"/>
      <c r="F168" s="1"/>
      <c r="G168" s="1"/>
      <c r="H168" s="1"/>
      <c r="I168" s="1"/>
      <c r="J168" s="1"/>
      <c r="K168" s="1"/>
      <c r="L168" s="1"/>
      <c r="M168" s="1"/>
      <c r="N168" s="1"/>
      <c r="O168" s="1"/>
      <c r="P168" s="1"/>
      <c r="Q168" s="1"/>
    </row>
    <row r="169" spans="1:17" x14ac:dyDescent="0.35">
      <c r="A169" s="1"/>
      <c r="B169" s="1"/>
      <c r="C169" s="1"/>
      <c r="D169" s="1"/>
      <c r="E169" s="1"/>
      <c r="F169" s="1"/>
      <c r="G169" s="1"/>
      <c r="H169" s="1"/>
      <c r="I169" s="1"/>
      <c r="J169" s="1"/>
      <c r="K169" s="1"/>
      <c r="L169" s="1"/>
      <c r="M169" s="1"/>
      <c r="N169" s="1"/>
      <c r="O169" s="1"/>
      <c r="P169" s="1"/>
      <c r="Q169" s="1"/>
    </row>
    <row r="170" spans="1:17" x14ac:dyDescent="0.35">
      <c r="A170" s="1"/>
      <c r="B170" s="1"/>
      <c r="C170" s="1"/>
      <c r="D170" s="1"/>
      <c r="E170" s="1"/>
      <c r="F170" s="1"/>
      <c r="G170" s="1"/>
      <c r="H170" s="1"/>
      <c r="I170" s="1"/>
      <c r="J170" s="1"/>
      <c r="K170" s="1"/>
      <c r="L170" s="1"/>
      <c r="M170" s="1"/>
      <c r="N170" s="1"/>
      <c r="O170" s="1"/>
      <c r="P170" s="1"/>
      <c r="Q170" s="1"/>
    </row>
    <row r="171" spans="1:17" x14ac:dyDescent="0.35">
      <c r="A171" s="1"/>
      <c r="B171" s="1"/>
      <c r="C171" s="1"/>
      <c r="D171" s="1"/>
      <c r="E171" s="1"/>
      <c r="F171" s="1"/>
      <c r="G171" s="1"/>
      <c r="H171" s="1"/>
      <c r="I171" s="1"/>
      <c r="J171" s="1"/>
      <c r="K171" s="1"/>
      <c r="L171" s="1"/>
      <c r="M171" s="1"/>
      <c r="N171" s="1"/>
      <c r="O171" s="1"/>
      <c r="P171" s="1"/>
      <c r="Q171" s="1"/>
    </row>
    <row r="172" spans="1:17" x14ac:dyDescent="0.35">
      <c r="A172" s="1"/>
      <c r="B172" s="1"/>
      <c r="C172" s="1"/>
      <c r="D172" s="1"/>
      <c r="E172" s="1"/>
      <c r="F172" s="1"/>
      <c r="G172" s="1"/>
      <c r="H172" s="1"/>
      <c r="I172" s="1"/>
      <c r="J172" s="1"/>
      <c r="K172" s="1"/>
      <c r="L172" s="1"/>
      <c r="M172" s="1"/>
      <c r="N172" s="1"/>
      <c r="O172" s="1"/>
      <c r="P172" s="1"/>
      <c r="Q172" s="1"/>
    </row>
    <row r="173" spans="1:17" x14ac:dyDescent="0.35">
      <c r="A173" s="1"/>
      <c r="B173" s="1"/>
      <c r="C173" s="1"/>
      <c r="D173" s="1"/>
      <c r="E173" s="1"/>
      <c r="F173" s="1"/>
      <c r="G173" s="1"/>
      <c r="H173" s="1"/>
      <c r="I173" s="1"/>
      <c r="J173" s="1"/>
      <c r="K173" s="1"/>
      <c r="L173" s="1"/>
      <c r="M173" s="1"/>
      <c r="N173" s="1"/>
      <c r="O173" s="1"/>
      <c r="P173" s="1"/>
      <c r="Q173" s="1"/>
    </row>
    <row r="174" spans="1:17" x14ac:dyDescent="0.35">
      <c r="A174" s="1"/>
      <c r="B174" s="1"/>
      <c r="C174" s="1"/>
      <c r="D174" s="1"/>
      <c r="E174" s="1"/>
      <c r="F174" s="1"/>
      <c r="G174" s="1"/>
      <c r="H174" s="1"/>
      <c r="I174" s="1"/>
      <c r="J174" s="1"/>
      <c r="K174" s="1"/>
      <c r="L174" s="1"/>
      <c r="M174" s="1"/>
      <c r="N174" s="1"/>
      <c r="O174" s="1"/>
      <c r="P174" s="1"/>
      <c r="Q174" s="1"/>
    </row>
    <row r="175" spans="1:17" x14ac:dyDescent="0.35">
      <c r="A175" s="1"/>
      <c r="B175" s="1"/>
      <c r="C175" s="1"/>
      <c r="D175" s="1"/>
      <c r="E175" s="1"/>
      <c r="F175" s="1"/>
      <c r="G175" s="1"/>
      <c r="H175" s="1"/>
      <c r="I175" s="1"/>
      <c r="J175" s="1"/>
      <c r="K175" s="1"/>
      <c r="L175" s="1"/>
      <c r="M175" s="1"/>
      <c r="N175" s="1"/>
      <c r="O175" s="1"/>
      <c r="P175" s="1"/>
      <c r="Q175" s="1"/>
    </row>
    <row r="176" spans="1:17" x14ac:dyDescent="0.35">
      <c r="A176" s="1"/>
      <c r="B176" s="1"/>
      <c r="C176" s="1"/>
      <c r="D176" s="1"/>
      <c r="E176" s="1"/>
      <c r="F176" s="1"/>
      <c r="G176" s="1"/>
      <c r="H176" s="1"/>
      <c r="I176" s="1"/>
      <c r="J176" s="1"/>
      <c r="K176" s="1"/>
      <c r="L176" s="1"/>
      <c r="M176" s="1"/>
      <c r="N176" s="1"/>
      <c r="O176" s="1"/>
      <c r="P176" s="1"/>
      <c r="Q176" s="1"/>
    </row>
    <row r="177" spans="1:17" x14ac:dyDescent="0.35">
      <c r="A177" s="1"/>
      <c r="B177" s="1"/>
      <c r="C177" s="1"/>
      <c r="D177" s="1"/>
      <c r="E177" s="1"/>
      <c r="F177" s="1"/>
      <c r="G177" s="1"/>
      <c r="H177" s="1"/>
      <c r="I177" s="1"/>
      <c r="J177" s="1"/>
      <c r="K177" s="1"/>
      <c r="L177" s="1"/>
      <c r="M177" s="1"/>
      <c r="N177" s="1"/>
      <c r="O177" s="1"/>
      <c r="P177" s="1"/>
      <c r="Q177" s="1"/>
    </row>
    <row r="178" spans="1:17" x14ac:dyDescent="0.35">
      <c r="A178" s="1"/>
      <c r="B178" s="1"/>
      <c r="C178" s="1"/>
      <c r="D178" s="1"/>
      <c r="E178" s="1"/>
      <c r="F178" s="1"/>
      <c r="G178" s="1"/>
      <c r="H178" s="1"/>
      <c r="I178" s="1"/>
      <c r="J178" s="1"/>
      <c r="K178" s="1"/>
      <c r="L178" s="1"/>
      <c r="M178" s="1"/>
      <c r="N178" s="1"/>
      <c r="O178" s="1"/>
      <c r="P178" s="1"/>
      <c r="Q178" s="1"/>
    </row>
    <row r="179" spans="1:17" x14ac:dyDescent="0.35">
      <c r="A179" s="1"/>
      <c r="B179" s="1"/>
      <c r="C179" s="1"/>
      <c r="D179" s="1"/>
      <c r="E179" s="1"/>
      <c r="F179" s="1"/>
      <c r="G179" s="1"/>
      <c r="H179" s="1"/>
      <c r="I179" s="1"/>
      <c r="J179" s="1"/>
      <c r="K179" s="1"/>
      <c r="L179" s="1"/>
      <c r="M179" s="1"/>
      <c r="N179" s="1"/>
      <c r="O179" s="1"/>
      <c r="P179" s="1"/>
      <c r="Q179" s="1"/>
    </row>
    <row r="180" spans="1:17" x14ac:dyDescent="0.35">
      <c r="A180" s="1"/>
      <c r="B180" s="1"/>
      <c r="C180" s="1"/>
      <c r="D180" s="1"/>
      <c r="E180" s="1"/>
      <c r="F180" s="1"/>
      <c r="G180" s="1"/>
      <c r="H180" s="1"/>
      <c r="I180" s="1"/>
      <c r="J180" s="1"/>
      <c r="K180" s="1"/>
      <c r="L180" s="1"/>
      <c r="M180" s="1"/>
      <c r="N180" s="1"/>
      <c r="O180" s="1"/>
      <c r="P180" s="1"/>
      <c r="Q180" s="1"/>
    </row>
    <row r="181" spans="1:17" x14ac:dyDescent="0.35">
      <c r="A181" s="1"/>
      <c r="B181" s="1"/>
      <c r="C181" s="1"/>
      <c r="D181" s="1"/>
      <c r="E181" s="1"/>
      <c r="F181" s="1"/>
      <c r="G181" s="1"/>
      <c r="H181" s="1"/>
      <c r="I181" s="1"/>
      <c r="J181" s="1"/>
      <c r="K181" s="1"/>
      <c r="L181" s="1"/>
      <c r="M181" s="1"/>
      <c r="N181" s="1"/>
      <c r="O181" s="1"/>
      <c r="P181" s="1"/>
      <c r="Q181" s="1"/>
    </row>
    <row r="182" spans="1:17" x14ac:dyDescent="0.35">
      <c r="A182" s="1"/>
      <c r="B182" s="1"/>
      <c r="C182" s="1"/>
      <c r="D182" s="1"/>
      <c r="E182" s="1"/>
      <c r="F182" s="1"/>
      <c r="G182" s="1"/>
      <c r="H182" s="1"/>
      <c r="I182" s="1"/>
      <c r="J182" s="1"/>
      <c r="K182" s="1"/>
      <c r="L182" s="1"/>
      <c r="M182" s="1"/>
      <c r="N182" s="1"/>
      <c r="O182" s="1"/>
      <c r="P182" s="1"/>
      <c r="Q182" s="1"/>
    </row>
    <row r="183" spans="1:17" x14ac:dyDescent="0.35">
      <c r="A183" s="1"/>
      <c r="B183" s="1"/>
      <c r="C183" s="1"/>
      <c r="D183" s="1"/>
      <c r="E183" s="1"/>
      <c r="F183" s="1"/>
      <c r="G183" s="1"/>
      <c r="H183" s="1"/>
      <c r="I183" s="1"/>
      <c r="J183" s="1"/>
      <c r="K183" s="1"/>
      <c r="L183" s="1"/>
      <c r="M183" s="1"/>
      <c r="N183" s="1"/>
      <c r="O183" s="1"/>
      <c r="P183" s="1"/>
      <c r="Q183" s="1"/>
    </row>
    <row r="184" spans="1:17" x14ac:dyDescent="0.35">
      <c r="A184" s="1"/>
      <c r="B184" s="1"/>
      <c r="C184" s="1"/>
      <c r="D184" s="1"/>
      <c r="E184" s="1"/>
      <c r="F184" s="1"/>
      <c r="G184" s="1"/>
      <c r="H184" s="1"/>
      <c r="I184" s="1"/>
      <c r="J184" s="1"/>
      <c r="K184" s="1"/>
      <c r="L184" s="1"/>
      <c r="M184" s="1"/>
      <c r="N184" s="1"/>
      <c r="O184" s="1"/>
      <c r="P184" s="1"/>
      <c r="Q184" s="1"/>
    </row>
    <row r="185" spans="1:17" x14ac:dyDescent="0.35">
      <c r="A185" s="1"/>
      <c r="B185" s="1"/>
      <c r="C185" s="1"/>
      <c r="D185" s="1"/>
      <c r="E185" s="1"/>
      <c r="F185" s="1"/>
      <c r="G185" s="1"/>
      <c r="H185" s="1"/>
      <c r="I185" s="1"/>
      <c r="J185" s="1"/>
      <c r="K185" s="1"/>
      <c r="L185" s="1"/>
      <c r="M185" s="1"/>
      <c r="N185" s="1"/>
      <c r="O185" s="1"/>
      <c r="P185" s="1"/>
      <c r="Q185" s="1"/>
    </row>
    <row r="186" spans="1:17" x14ac:dyDescent="0.35">
      <c r="A186" s="1"/>
      <c r="B186" s="1"/>
      <c r="C186" s="1"/>
      <c r="D186" s="1"/>
      <c r="E186" s="1"/>
      <c r="F186" s="1"/>
      <c r="G186" s="1"/>
      <c r="H186" s="1"/>
      <c r="I186" s="1"/>
      <c r="J186" s="1"/>
      <c r="K186" s="1"/>
      <c r="L186" s="1"/>
      <c r="M186" s="1"/>
      <c r="N186" s="1"/>
      <c r="O186" s="1"/>
      <c r="P186" s="1"/>
      <c r="Q186" s="1"/>
    </row>
    <row r="187" spans="1:17" x14ac:dyDescent="0.35">
      <c r="A187" s="1"/>
      <c r="B187" s="1"/>
      <c r="C187" s="1"/>
      <c r="D187" s="1"/>
      <c r="E187" s="1"/>
      <c r="F187" s="1"/>
      <c r="G187" s="1"/>
      <c r="H187" s="1"/>
      <c r="I187" s="1"/>
      <c r="J187" s="1"/>
      <c r="K187" s="1"/>
      <c r="L187" s="1"/>
      <c r="M187" s="1"/>
      <c r="N187" s="1"/>
      <c r="O187" s="1"/>
      <c r="P187" s="1"/>
      <c r="Q187" s="1"/>
    </row>
    <row r="188" spans="1:17" x14ac:dyDescent="0.35">
      <c r="A188" s="1"/>
      <c r="B188" s="1"/>
      <c r="C188" s="1"/>
      <c r="D188" s="1"/>
      <c r="E188" s="1"/>
      <c r="F188" s="1"/>
      <c r="G188" s="1"/>
      <c r="H188" s="1"/>
      <c r="I188" s="1"/>
      <c r="J188" s="1"/>
      <c r="K188" s="1"/>
      <c r="L188" s="1"/>
      <c r="M188" s="1"/>
      <c r="N188" s="1"/>
      <c r="O188" s="1"/>
      <c r="P188" s="1"/>
      <c r="Q188" s="1"/>
    </row>
    <row r="189" spans="1:17" x14ac:dyDescent="0.35">
      <c r="A189" s="1"/>
      <c r="B189" s="1"/>
      <c r="C189" s="1"/>
      <c r="D189" s="1"/>
      <c r="E189" s="1"/>
      <c r="F189" s="1"/>
      <c r="G189" s="1"/>
      <c r="H189" s="1"/>
      <c r="I189" s="1"/>
      <c r="J189" s="1"/>
      <c r="K189" s="1"/>
      <c r="L189" s="1"/>
      <c r="M189" s="1"/>
      <c r="N189" s="1"/>
      <c r="O189" s="1"/>
      <c r="P189" s="1"/>
      <c r="Q189" s="1"/>
    </row>
    <row r="190" spans="1:17" x14ac:dyDescent="0.35">
      <c r="A190" s="1"/>
      <c r="B190" s="1"/>
      <c r="C190" s="1"/>
      <c r="D190" s="1"/>
      <c r="E190" s="1"/>
      <c r="F190" s="1"/>
      <c r="G190" s="1"/>
      <c r="H190" s="1"/>
      <c r="I190" s="1"/>
      <c r="J190" s="1"/>
      <c r="K190" s="1"/>
      <c r="L190" s="1"/>
      <c r="M190" s="1"/>
      <c r="N190" s="1"/>
      <c r="O190" s="1"/>
      <c r="P190" s="1"/>
      <c r="Q190" s="1"/>
    </row>
    <row r="191" spans="1:17" x14ac:dyDescent="0.35">
      <c r="A191" s="1"/>
      <c r="B191" s="1"/>
      <c r="C191" s="1"/>
      <c r="D191" s="1"/>
      <c r="E191" s="1"/>
      <c r="F191" s="1"/>
      <c r="G191" s="1"/>
      <c r="H191" s="1"/>
      <c r="I191" s="1"/>
      <c r="J191" s="1"/>
      <c r="K191" s="1"/>
      <c r="L191" s="1"/>
      <c r="M191" s="1"/>
      <c r="N191" s="1"/>
      <c r="O191" s="1"/>
      <c r="P191" s="1"/>
      <c r="Q191" s="1"/>
    </row>
    <row r="192" spans="1:17" x14ac:dyDescent="0.35">
      <c r="A192" s="1"/>
      <c r="B192" s="1"/>
      <c r="C192" s="1"/>
      <c r="D192" s="1"/>
      <c r="E192" s="1"/>
      <c r="F192" s="1"/>
      <c r="G192" s="1"/>
      <c r="H192" s="1"/>
      <c r="I192" s="1"/>
      <c r="J192" s="1"/>
      <c r="K192" s="1"/>
      <c r="L192" s="1"/>
      <c r="M192" s="1"/>
      <c r="N192" s="1"/>
      <c r="O192" s="1"/>
      <c r="P192" s="1"/>
      <c r="Q192" s="1"/>
    </row>
    <row r="193" spans="1:17" x14ac:dyDescent="0.35">
      <c r="A193" s="1"/>
      <c r="B193" s="1"/>
      <c r="C193" s="1"/>
      <c r="D193" s="1"/>
      <c r="E193" s="1"/>
      <c r="F193" s="1"/>
      <c r="G193" s="1"/>
      <c r="H193" s="1"/>
      <c r="I193" s="1"/>
      <c r="J193" s="1"/>
      <c r="K193" s="1"/>
      <c r="L193" s="1"/>
      <c r="M193" s="1"/>
      <c r="N193" s="1"/>
      <c r="O193" s="1"/>
      <c r="P193" s="1"/>
      <c r="Q193" s="1"/>
    </row>
    <row r="194" spans="1:17" x14ac:dyDescent="0.35">
      <c r="A194" s="1"/>
      <c r="B194" s="1"/>
      <c r="C194" s="1"/>
      <c r="D194" s="1"/>
      <c r="E194" s="1"/>
      <c r="F194" s="1"/>
      <c r="G194" s="1"/>
      <c r="H194" s="1"/>
      <c r="I194" s="1"/>
      <c r="J194" s="1"/>
      <c r="K194" s="1"/>
      <c r="L194" s="1"/>
      <c r="M194" s="1"/>
      <c r="N194" s="1"/>
      <c r="O194" s="1"/>
      <c r="P194" s="1"/>
      <c r="Q194" s="1"/>
    </row>
    <row r="195" spans="1:17" x14ac:dyDescent="0.35">
      <c r="A195" s="1"/>
      <c r="B195" s="1"/>
      <c r="C195" s="1"/>
      <c r="D195" s="1"/>
      <c r="E195" s="1"/>
      <c r="F195" s="1"/>
      <c r="G195" s="1"/>
      <c r="H195" s="1"/>
      <c r="I195" s="1"/>
      <c r="J195" s="1"/>
      <c r="K195" s="1"/>
      <c r="L195" s="1"/>
      <c r="M195" s="1"/>
      <c r="N195" s="1"/>
      <c r="O195" s="1"/>
      <c r="P195" s="1"/>
      <c r="Q195" s="1"/>
    </row>
    <row r="196" spans="1:17" x14ac:dyDescent="0.35">
      <c r="A196" s="1"/>
      <c r="B196" s="1"/>
      <c r="C196" s="1"/>
      <c r="D196" s="1"/>
      <c r="E196" s="1"/>
      <c r="F196" s="1"/>
      <c r="G196" s="1"/>
      <c r="H196" s="1"/>
      <c r="I196" s="1"/>
      <c r="J196" s="1"/>
      <c r="K196" s="1"/>
      <c r="L196" s="1"/>
      <c r="M196" s="1"/>
      <c r="N196" s="1"/>
      <c r="O196" s="1"/>
      <c r="P196" s="1"/>
      <c r="Q196" s="1"/>
    </row>
    <row r="197" spans="1:17" x14ac:dyDescent="0.35">
      <c r="A197" s="1"/>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1:17" x14ac:dyDescent="0.35">
      <c r="A198" s="1"/>
      <c r="B198" s="37"/>
      <c r="C198" s="38"/>
      <c r="D198" s="31"/>
      <c r="E198" s="32"/>
      <c r="F198" s="34"/>
      <c r="G198" s="33"/>
      <c r="H198" s="34"/>
      <c r="I198" s="33"/>
      <c r="J198" s="34"/>
      <c r="K198" s="34"/>
      <c r="L198" s="34"/>
      <c r="M198" s="33"/>
      <c r="N198" s="34"/>
      <c r="O198" s="35"/>
      <c r="P198" s="36"/>
      <c r="Q198" s="35"/>
    </row>
    <row r="199" spans="1:17" x14ac:dyDescent="0.35">
      <c r="A199" s="1"/>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1:17" x14ac:dyDescent="0.35">
      <c r="A200" s="1"/>
      <c r="B200" s="1"/>
      <c r="C200" s="1"/>
      <c r="D200" s="1"/>
      <c r="E200" s="1"/>
      <c r="F200" s="1"/>
      <c r="G200" s="1"/>
      <c r="H200" s="1"/>
      <c r="I200" s="1"/>
      <c r="J200" s="1"/>
      <c r="K200" s="1"/>
      <c r="L200" s="1"/>
      <c r="M200" s="1"/>
      <c r="N200" s="1"/>
      <c r="O200" s="1"/>
      <c r="P200" s="1"/>
      <c r="Q200" s="78" t="s">
        <v>21404</v>
      </c>
    </row>
    <row r="201" spans="1:17" x14ac:dyDescent="0.35">
      <c r="A201" s="1"/>
      <c r="B201" s="1"/>
      <c r="C201" s="78" t="s">
        <v>21592</v>
      </c>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77" t="s">
        <v>21399</v>
      </c>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t="s">
        <v>21398</v>
      </c>
      <c r="D205" s="1" t="s">
        <v>75</v>
      </c>
      <c r="E205" s="1" t="s">
        <v>13768</v>
      </c>
      <c r="F205" s="2" t="s">
        <v>21397</v>
      </c>
      <c r="G205" s="1" t="s">
        <v>9</v>
      </c>
      <c r="H205" s="1"/>
      <c r="I205" s="1"/>
      <c r="J205" s="1"/>
      <c r="K205" s="1"/>
      <c r="L205" s="1"/>
      <c r="M205" s="1"/>
      <c r="N205" s="1"/>
      <c r="O205" s="1"/>
      <c r="P205" s="1"/>
      <c r="Q205" s="1"/>
    </row>
    <row r="206" spans="1:17" x14ac:dyDescent="0.35">
      <c r="B206" s="49" t="s">
        <v>15018</v>
      </c>
      <c r="C206" s="352" t="s">
        <v>15019</v>
      </c>
    </row>
    <row r="207" spans="1:17" x14ac:dyDescent="0.35">
      <c r="B207" s="49" t="s">
        <v>15020</v>
      </c>
      <c r="C207" s="53" t="s">
        <v>15021</v>
      </c>
    </row>
    <row r="208" spans="1:17" x14ac:dyDescent="0.35">
      <c r="B208" s="49" t="s">
        <v>15022</v>
      </c>
      <c r="C208" s="53" t="s">
        <v>15023</v>
      </c>
    </row>
    <row r="209" spans="2:8" x14ac:dyDescent="0.35">
      <c r="B209" s="49" t="s">
        <v>15024</v>
      </c>
      <c r="C209" s="53" t="s">
        <v>15025</v>
      </c>
    </row>
    <row r="210" spans="2:8" x14ac:dyDescent="0.35">
      <c r="B210" s="49" t="s">
        <v>15026</v>
      </c>
      <c r="C210" s="53" t="s">
        <v>15027</v>
      </c>
    </row>
    <row r="211" spans="2:8" x14ac:dyDescent="0.35">
      <c r="B211" s="49" t="s">
        <v>15028</v>
      </c>
      <c r="C211" s="53" t="s">
        <v>15029</v>
      </c>
    </row>
    <row r="212" spans="2:8" ht="130.5" x14ac:dyDescent="0.35">
      <c r="C212" s="390" t="s">
        <v>15021</v>
      </c>
      <c r="D212" s="388" t="s">
        <v>22338</v>
      </c>
      <c r="E212" s="388">
        <v>13400.01</v>
      </c>
      <c r="F212" s="388" t="s">
        <v>22339</v>
      </c>
      <c r="G212" s="388" t="s">
        <v>22323</v>
      </c>
      <c r="H212" s="388" t="s">
        <v>22340</v>
      </c>
    </row>
    <row r="213" spans="2:8" ht="145" x14ac:dyDescent="0.35">
      <c r="C213" s="390" t="s">
        <v>15023</v>
      </c>
      <c r="D213" s="388" t="s">
        <v>20</v>
      </c>
      <c r="E213" s="388">
        <v>13410.01</v>
      </c>
      <c r="F213" s="388" t="s">
        <v>22341</v>
      </c>
      <c r="G213" s="388" t="s">
        <v>22301</v>
      </c>
      <c r="H213" s="388" t="s">
        <v>22342</v>
      </c>
    </row>
    <row r="214" spans="2:8" ht="130.5" x14ac:dyDescent="0.35">
      <c r="C214" s="390" t="s">
        <v>22343</v>
      </c>
      <c r="D214" s="388" t="s">
        <v>22344</v>
      </c>
      <c r="E214" s="388">
        <v>13420.01</v>
      </c>
      <c r="F214" s="388" t="s">
        <v>22345</v>
      </c>
      <c r="G214" s="388" t="s">
        <v>21613</v>
      </c>
      <c r="H214" s="388" t="s">
        <v>22346</v>
      </c>
    </row>
    <row r="215" spans="2:8" ht="130.5" x14ac:dyDescent="0.35">
      <c r="C215" s="390" t="s">
        <v>22347</v>
      </c>
      <c r="D215" s="388" t="s">
        <v>20</v>
      </c>
      <c r="E215" s="388">
        <v>13430.01</v>
      </c>
      <c r="F215" s="388" t="s">
        <v>22348</v>
      </c>
      <c r="G215" s="388" t="s">
        <v>22349</v>
      </c>
      <c r="H215" s="388" t="s">
        <v>22350</v>
      </c>
    </row>
    <row r="216" spans="2:8" ht="130.5" x14ac:dyDescent="0.35">
      <c r="C216" s="390" t="s">
        <v>22351</v>
      </c>
      <c r="D216" s="388" t="s">
        <v>22338</v>
      </c>
      <c r="E216" s="388">
        <v>13430.02</v>
      </c>
      <c r="F216" s="388" t="s">
        <v>22352</v>
      </c>
      <c r="G216" s="388" t="s">
        <v>22353</v>
      </c>
      <c r="H216" s="388" t="s">
        <v>22354</v>
      </c>
    </row>
    <row r="217" spans="2:8" ht="145" x14ac:dyDescent="0.35">
      <c r="C217" s="390" t="s">
        <v>22355</v>
      </c>
      <c r="D217" s="388" t="s">
        <v>29</v>
      </c>
      <c r="E217" s="388">
        <v>13430.03</v>
      </c>
      <c r="F217" s="388" t="s">
        <v>22356</v>
      </c>
      <c r="G217" s="388" t="s">
        <v>22357</v>
      </c>
      <c r="H217" s="388" t="s">
        <v>22358</v>
      </c>
    </row>
    <row r="218" spans="2:8" ht="116" x14ac:dyDescent="0.35">
      <c r="C218" s="390" t="s">
        <v>22359</v>
      </c>
      <c r="D218" s="388" t="s">
        <v>22338</v>
      </c>
      <c r="E218" s="388">
        <v>13440.01</v>
      </c>
      <c r="F218" s="388" t="s">
        <v>22360</v>
      </c>
      <c r="G218" s="388" t="s">
        <v>22306</v>
      </c>
      <c r="H218" s="388" t="s">
        <v>22361</v>
      </c>
    </row>
  </sheetData>
  <mergeCells count="9">
    <mergeCell ref="J5:K5"/>
    <mergeCell ref="J6:K6"/>
    <mergeCell ref="J7:K7"/>
    <mergeCell ref="A3:B3"/>
    <mergeCell ref="D3:G3"/>
    <mergeCell ref="J3:K3"/>
    <mergeCell ref="P3:Q3"/>
    <mergeCell ref="A4:B4"/>
    <mergeCell ref="J4:K4"/>
  </mergeCells>
  <dataValidations count="1">
    <dataValidation type="list" allowBlank="1" showInputMessage="1" showErrorMessage="1" sqref="C16:C190" xr:uid="{B36673C0-3848-4948-8479-12E3267E10BF}">
      <formula1>$C$205:$C207</formula1>
    </dataValidation>
  </dataValidations>
  <hyperlinks>
    <hyperlink ref="D3" r:id="rId1" display="datamateapp@gmail.com" xr:uid="{413089E2-711B-4799-936D-79596295A34F}"/>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82337" r:id="rId4" name="Button 1">
              <controlPr defaultSize="0" print="0" autoFill="0" autoPict="0" macro="SaveData">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782338" r:id="rId5" name="Button 2">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782339"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782340"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782341" r:id="rId8" name="Button 5">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782342" r:id="rId9" name="Button 6">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782343" r:id="rId10" name="Button 7">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782344" r:id="rId11" name="Button 8">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mc:AlternateContent xmlns:mc="http://schemas.openxmlformats.org/markup-compatibility/2006">
          <mc:Choice Requires="x14">
            <control shapeId="782345" r:id="rId12" name="Button 9">
              <controlPr defaultSize="0" print="0" autoFill="0" autoPict="0" macro="[0]!ExitSEC_134000">
                <anchor moveWithCells="1" sizeWithCells="1">
                  <from>
                    <xdr:col>16</xdr:col>
                    <xdr:colOff>0</xdr:colOff>
                    <xdr:row>0</xdr:row>
                    <xdr:rowOff>0</xdr:rowOff>
                  </from>
                  <to>
                    <xdr:col>16</xdr:col>
                    <xdr:colOff>1270000</xdr:colOff>
                    <xdr:row>2</xdr:row>
                    <xdr:rowOff>12700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CE0A1-2DDF-4A06-9130-B989E43BC3F9}">
  <sheetPr codeName="Sheet178"/>
  <dimension ref="A1:Q212"/>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SPECIAL INSTRUMENTATION</v>
      </c>
      <c r="J2" s="59"/>
      <c r="K2" s="59"/>
      <c r="L2" s="1"/>
      <c r="M2" s="59"/>
      <c r="N2" s="59"/>
      <c r="O2" s="60"/>
      <c r="P2" s="57"/>
      <c r="Q2" s="57"/>
    </row>
    <row r="3" spans="1:17" ht="15" thickBot="1" x14ac:dyDescent="0.4">
      <c r="A3" s="446" t="s">
        <v>21563</v>
      </c>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13 50 00</v>
      </c>
      <c r="C10" s="24" t="str">
        <f>C206</f>
        <v>SPECIAL INSTRUMENTATION</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SPECIAL INSTRUMENTATION</v>
      </c>
      <c r="D12" s="31"/>
      <c r="E12" s="32"/>
      <c r="F12" s="34"/>
      <c r="G12" s="33"/>
      <c r="H12" s="34"/>
      <c r="I12" s="33"/>
      <c r="J12" s="34"/>
      <c r="K12" s="34"/>
      <c r="L12" s="34"/>
      <c r="M12" s="33"/>
      <c r="N12" s="34"/>
      <c r="O12" s="35"/>
      <c r="P12" s="31"/>
      <c r="Q12" s="35"/>
    </row>
    <row r="13" spans="1:17" x14ac:dyDescent="0.35">
      <c r="A13" s="1"/>
      <c r="B13" s="1"/>
      <c r="C13" s="1"/>
      <c r="D13" s="1"/>
      <c r="E13" s="1"/>
      <c r="F13" s="1"/>
      <c r="G13" s="1"/>
      <c r="H13" s="1"/>
      <c r="I13" s="1"/>
      <c r="J13" s="1"/>
      <c r="K13" s="1"/>
      <c r="L13" s="1"/>
      <c r="M13" s="1"/>
      <c r="N13" s="1"/>
      <c r="O13" s="1"/>
      <c r="P13" s="1"/>
      <c r="Q13" s="1"/>
    </row>
    <row r="14" spans="1:17" x14ac:dyDescent="0.35">
      <c r="A14" s="1"/>
      <c r="B14" s="1"/>
      <c r="C14" s="1"/>
      <c r="D14" s="1"/>
      <c r="E14" s="1"/>
      <c r="F14" s="1"/>
      <c r="G14" s="1"/>
      <c r="H14" s="1"/>
      <c r="I14" s="1"/>
      <c r="J14" s="1"/>
      <c r="K14" s="1"/>
      <c r="L14" s="1"/>
      <c r="M14" s="1"/>
      <c r="N14" s="1"/>
      <c r="O14" s="1"/>
      <c r="P14" s="1"/>
      <c r="Q14" s="1"/>
    </row>
    <row r="15" spans="1:17" x14ac:dyDescent="0.35">
      <c r="A15" s="1"/>
      <c r="B15" s="1"/>
      <c r="C15" s="1"/>
      <c r="D15" s="1"/>
      <c r="E15" s="1"/>
      <c r="F15" s="1"/>
      <c r="G15" s="1"/>
      <c r="H15" s="1"/>
      <c r="I15" s="1"/>
      <c r="J15" s="1"/>
      <c r="K15" s="1"/>
      <c r="L15" s="1"/>
      <c r="M15" s="1"/>
      <c r="N15" s="1"/>
      <c r="O15" s="1"/>
      <c r="P15" s="1"/>
      <c r="Q15" s="1"/>
    </row>
    <row r="16" spans="1:17" x14ac:dyDescent="0.35">
      <c r="A16" s="1"/>
      <c r="B16" s="1"/>
      <c r="C16" s="1"/>
      <c r="D16" s="1"/>
      <c r="E16" s="1"/>
      <c r="F16" s="1"/>
      <c r="G16" s="1"/>
      <c r="H16" s="1"/>
      <c r="I16" s="1"/>
      <c r="J16" s="1"/>
      <c r="K16" s="1"/>
      <c r="L16" s="1"/>
      <c r="M16" s="1"/>
      <c r="N16" s="1"/>
      <c r="O16" s="1"/>
      <c r="P16" s="1"/>
      <c r="Q16" s="1"/>
    </row>
    <row r="17" spans="1:17" x14ac:dyDescent="0.35">
      <c r="A17" s="1"/>
      <c r="B17" s="1"/>
      <c r="C17" s="1"/>
      <c r="D17" s="1"/>
      <c r="E17" s="1"/>
      <c r="F17" s="1"/>
      <c r="G17" s="1"/>
      <c r="H17" s="1"/>
      <c r="I17" s="1"/>
      <c r="J17" s="1"/>
      <c r="K17" s="1"/>
      <c r="L17" s="1"/>
      <c r="M17" s="1"/>
      <c r="N17" s="1"/>
      <c r="O17" s="1"/>
      <c r="P17" s="1"/>
      <c r="Q17" s="1"/>
    </row>
    <row r="18" spans="1:17" x14ac:dyDescent="0.35">
      <c r="A18" s="1"/>
      <c r="B18" s="1"/>
      <c r="C18" s="1"/>
      <c r="D18" s="1"/>
      <c r="E18" s="1"/>
      <c r="F18" s="1"/>
      <c r="G18" s="1"/>
      <c r="H18" s="1"/>
      <c r="I18" s="1"/>
      <c r="J18" s="1"/>
      <c r="K18" s="1"/>
      <c r="L18" s="1"/>
      <c r="M18" s="1"/>
      <c r="N18" s="1"/>
      <c r="O18" s="1"/>
      <c r="P18" s="1"/>
      <c r="Q18" s="1"/>
    </row>
    <row r="19" spans="1:17" x14ac:dyDescent="0.35">
      <c r="A19" s="1"/>
      <c r="B19" s="1"/>
      <c r="C19" s="1"/>
      <c r="D19" s="1"/>
      <c r="E19" s="1"/>
      <c r="F19" s="1"/>
      <c r="G19" s="1"/>
      <c r="H19" s="1"/>
      <c r="I19" s="1"/>
      <c r="J19" s="1"/>
      <c r="K19" s="1"/>
      <c r="L19" s="1"/>
      <c r="M19" s="1"/>
      <c r="N19" s="1"/>
      <c r="O19" s="1"/>
      <c r="P19" s="1"/>
      <c r="Q19" s="1"/>
    </row>
    <row r="20" spans="1:17" x14ac:dyDescent="0.35">
      <c r="A20" s="1"/>
      <c r="B20" s="1"/>
      <c r="C20" s="1"/>
      <c r="D20" s="1"/>
      <c r="E20" s="1"/>
      <c r="F20" s="1"/>
      <c r="G20" s="1"/>
      <c r="H20" s="1"/>
      <c r="I20" s="1"/>
      <c r="J20" s="1"/>
      <c r="K20" s="1"/>
      <c r="L20" s="1"/>
      <c r="M20" s="1"/>
      <c r="N20" s="1"/>
      <c r="O20" s="1"/>
      <c r="P20" s="1"/>
      <c r="Q20" s="1"/>
    </row>
    <row r="21" spans="1:17" x14ac:dyDescent="0.35">
      <c r="A21" s="1"/>
      <c r="B21" s="1"/>
      <c r="C21" s="1"/>
      <c r="D21" s="1"/>
      <c r="E21" s="1"/>
      <c r="F21" s="1"/>
      <c r="G21" s="1"/>
      <c r="H21" s="1"/>
      <c r="I21" s="1"/>
      <c r="J21" s="1"/>
      <c r="K21" s="1"/>
      <c r="L21" s="1"/>
      <c r="M21" s="1"/>
      <c r="N21" s="1"/>
      <c r="O21" s="1"/>
      <c r="P21" s="1"/>
      <c r="Q21" s="1"/>
    </row>
    <row r="22" spans="1:17" x14ac:dyDescent="0.35">
      <c r="A22" s="1"/>
      <c r="B22" s="1"/>
      <c r="C22" s="1"/>
      <c r="D22" s="1"/>
      <c r="E22" s="1"/>
      <c r="F22" s="1"/>
      <c r="G22" s="1"/>
      <c r="H22" s="1"/>
      <c r="I22" s="1"/>
      <c r="J22" s="1"/>
      <c r="K22" s="1"/>
      <c r="L22" s="1"/>
      <c r="M22" s="1"/>
      <c r="N22" s="1"/>
      <c r="O22" s="1"/>
      <c r="P22" s="1"/>
      <c r="Q22" s="1"/>
    </row>
    <row r="23" spans="1:17" x14ac:dyDescent="0.35">
      <c r="A23" s="1"/>
      <c r="B23" s="1"/>
      <c r="C23" s="1"/>
      <c r="D23" s="1"/>
      <c r="E23" s="1"/>
      <c r="F23" s="1"/>
      <c r="G23" s="1"/>
      <c r="H23" s="1"/>
      <c r="I23" s="1"/>
      <c r="J23" s="1"/>
      <c r="K23" s="1"/>
      <c r="L23" s="1"/>
      <c r="M23" s="1"/>
      <c r="N23" s="1"/>
      <c r="O23" s="1"/>
      <c r="P23" s="1"/>
      <c r="Q23" s="1"/>
    </row>
    <row r="24" spans="1:17" x14ac:dyDescent="0.35">
      <c r="A24" s="1"/>
      <c r="B24" s="1"/>
      <c r="C24" s="1"/>
      <c r="D24" s="1"/>
      <c r="E24" s="1"/>
      <c r="F24" s="1"/>
      <c r="G24" s="1"/>
      <c r="H24" s="1"/>
      <c r="I24" s="1"/>
      <c r="J24" s="1"/>
      <c r="K24" s="1"/>
      <c r="L24" s="1"/>
      <c r="M24" s="1"/>
      <c r="N24" s="1"/>
      <c r="O24" s="1"/>
      <c r="P24" s="1"/>
      <c r="Q24" s="1"/>
    </row>
    <row r="25" spans="1:17" x14ac:dyDescent="0.35">
      <c r="A25" s="1"/>
      <c r="B25" s="1"/>
      <c r="C25" s="1"/>
      <c r="D25" s="1"/>
      <c r="E25" s="1"/>
      <c r="F25" s="1"/>
      <c r="G25" s="1"/>
      <c r="H25" s="1"/>
      <c r="I25" s="1"/>
      <c r="J25" s="1"/>
      <c r="K25" s="1"/>
      <c r="L25" s="1"/>
      <c r="M25" s="1"/>
      <c r="N25" s="1"/>
      <c r="O25" s="1"/>
      <c r="P25" s="1"/>
      <c r="Q25" s="1"/>
    </row>
    <row r="26" spans="1:17" x14ac:dyDescent="0.35">
      <c r="A26" s="1"/>
      <c r="B26" s="1"/>
      <c r="C26" s="1"/>
      <c r="D26" s="1"/>
      <c r="E26" s="1"/>
      <c r="F26" s="1"/>
      <c r="G26" s="1"/>
      <c r="H26" s="1"/>
      <c r="I26" s="1"/>
      <c r="J26" s="1"/>
      <c r="K26" s="1"/>
      <c r="L26" s="1"/>
      <c r="M26" s="1"/>
      <c r="N26" s="1"/>
      <c r="O26" s="1"/>
      <c r="P26" s="1"/>
      <c r="Q26" s="1"/>
    </row>
    <row r="27" spans="1:17" x14ac:dyDescent="0.35">
      <c r="A27" s="1"/>
      <c r="B27" s="1"/>
      <c r="C27" s="1"/>
      <c r="D27" s="1"/>
      <c r="E27" s="1"/>
      <c r="F27" s="1"/>
      <c r="G27" s="1"/>
      <c r="H27" s="1"/>
      <c r="I27" s="1"/>
      <c r="J27" s="1"/>
      <c r="K27" s="1"/>
      <c r="L27" s="1"/>
      <c r="M27" s="1"/>
      <c r="N27" s="1"/>
      <c r="O27" s="1"/>
      <c r="P27" s="1"/>
      <c r="Q27" s="1"/>
    </row>
    <row r="28" spans="1:17" x14ac:dyDescent="0.35">
      <c r="A28" s="1"/>
      <c r="B28" s="1"/>
      <c r="C28" s="1"/>
      <c r="D28" s="1"/>
      <c r="E28" s="1"/>
      <c r="F28" s="1"/>
      <c r="G28" s="1"/>
      <c r="H28" s="1"/>
      <c r="I28" s="1"/>
      <c r="J28" s="1"/>
      <c r="K28" s="1"/>
      <c r="L28" s="1"/>
      <c r="M28" s="1"/>
      <c r="N28" s="1"/>
      <c r="O28" s="1"/>
      <c r="P28" s="1"/>
      <c r="Q28" s="1"/>
    </row>
    <row r="29" spans="1:17" x14ac:dyDescent="0.35">
      <c r="A29" s="1"/>
      <c r="B29" s="1"/>
      <c r="C29" s="1"/>
      <c r="D29" s="1"/>
      <c r="E29" s="1"/>
      <c r="F29" s="1"/>
      <c r="G29" s="1"/>
      <c r="H29" s="1"/>
      <c r="I29" s="1"/>
      <c r="J29" s="1"/>
      <c r="K29" s="1"/>
      <c r="L29" s="1"/>
      <c r="M29" s="1"/>
      <c r="N29" s="1"/>
      <c r="O29" s="1"/>
      <c r="P29" s="1"/>
      <c r="Q29" s="1"/>
    </row>
    <row r="30" spans="1:17" x14ac:dyDescent="0.35">
      <c r="A30" s="1"/>
      <c r="B30" s="1"/>
      <c r="C30" s="1"/>
      <c r="D30" s="1"/>
      <c r="E30" s="1"/>
      <c r="F30" s="1"/>
      <c r="G30" s="1"/>
      <c r="H30" s="1"/>
      <c r="I30" s="1"/>
      <c r="J30" s="1"/>
      <c r="K30" s="1"/>
      <c r="L30" s="1"/>
      <c r="M30" s="1"/>
      <c r="N30" s="1"/>
      <c r="O30" s="1"/>
      <c r="P30" s="1"/>
      <c r="Q30" s="1"/>
    </row>
    <row r="31" spans="1:17" x14ac:dyDescent="0.35">
      <c r="A31" s="1"/>
      <c r="B31" s="1"/>
      <c r="C31" s="1"/>
      <c r="D31" s="1"/>
      <c r="E31" s="1"/>
      <c r="F31" s="1"/>
      <c r="G31" s="1"/>
      <c r="H31" s="1"/>
      <c r="I31" s="1"/>
      <c r="J31" s="1"/>
      <c r="K31" s="1"/>
      <c r="L31" s="1"/>
      <c r="M31" s="1"/>
      <c r="N31" s="1"/>
      <c r="O31" s="1"/>
      <c r="P31" s="1"/>
      <c r="Q31" s="1"/>
    </row>
    <row r="32" spans="1:17" x14ac:dyDescent="0.35">
      <c r="A32" s="1"/>
      <c r="B32" s="1"/>
      <c r="C32" s="1"/>
      <c r="D32" s="1"/>
      <c r="E32" s="1"/>
      <c r="F32" s="1"/>
      <c r="G32" s="1"/>
      <c r="H32" s="1"/>
      <c r="I32" s="1"/>
      <c r="J32" s="1"/>
      <c r="K32" s="1"/>
      <c r="L32" s="1"/>
      <c r="M32" s="1"/>
      <c r="N32" s="1"/>
      <c r="O32" s="1"/>
      <c r="P32" s="1"/>
      <c r="Q32" s="1"/>
    </row>
    <row r="33" spans="1:17" x14ac:dyDescent="0.35">
      <c r="A33" s="1"/>
      <c r="B33" s="1"/>
      <c r="C33" s="1"/>
      <c r="D33" s="1"/>
      <c r="E33" s="1"/>
      <c r="F33" s="1"/>
      <c r="G33" s="1"/>
      <c r="H33" s="1"/>
      <c r="I33" s="1"/>
      <c r="J33" s="1"/>
      <c r="K33" s="1"/>
      <c r="L33" s="1"/>
      <c r="M33" s="1"/>
      <c r="N33" s="1"/>
      <c r="O33" s="1"/>
      <c r="P33" s="1"/>
      <c r="Q33" s="1"/>
    </row>
    <row r="34" spans="1:17" x14ac:dyDescent="0.35">
      <c r="A34" s="1"/>
      <c r="B34" s="1"/>
      <c r="C34" s="1"/>
      <c r="D34" s="1"/>
      <c r="E34" s="1"/>
      <c r="F34" s="1"/>
      <c r="G34" s="1"/>
      <c r="H34" s="1"/>
      <c r="I34" s="1"/>
      <c r="J34" s="1"/>
      <c r="K34" s="1"/>
      <c r="L34" s="1"/>
      <c r="M34" s="1"/>
      <c r="N34" s="1"/>
      <c r="O34" s="1"/>
      <c r="P34" s="1"/>
      <c r="Q34" s="1"/>
    </row>
    <row r="35" spans="1:17" x14ac:dyDescent="0.35">
      <c r="A35" s="1"/>
      <c r="B35" s="1"/>
      <c r="C35" s="1"/>
      <c r="D35" s="1"/>
      <c r="E35" s="1"/>
      <c r="F35" s="1"/>
      <c r="G35" s="1"/>
      <c r="H35" s="1"/>
      <c r="I35" s="1"/>
      <c r="J35" s="1"/>
      <c r="K35" s="1"/>
      <c r="L35" s="1"/>
      <c r="M35" s="1"/>
      <c r="N35" s="1"/>
      <c r="O35" s="1"/>
      <c r="P35" s="1"/>
      <c r="Q35" s="1"/>
    </row>
    <row r="36" spans="1:17" x14ac:dyDescent="0.35">
      <c r="A36" s="1"/>
      <c r="B36" s="1"/>
      <c r="C36" s="1"/>
      <c r="D36" s="1"/>
      <c r="E36" s="1"/>
      <c r="F36" s="1"/>
      <c r="G36" s="1"/>
      <c r="H36" s="1"/>
      <c r="I36" s="1"/>
      <c r="J36" s="1"/>
      <c r="K36" s="1"/>
      <c r="L36" s="1"/>
      <c r="M36" s="1"/>
      <c r="N36" s="1"/>
      <c r="O36" s="1"/>
      <c r="P36" s="1"/>
      <c r="Q36" s="1"/>
    </row>
    <row r="37" spans="1:17" x14ac:dyDescent="0.35">
      <c r="A37" s="1"/>
      <c r="B37" s="1"/>
      <c r="C37" s="1"/>
      <c r="D37" s="1"/>
      <c r="E37" s="1"/>
      <c r="F37" s="1"/>
      <c r="G37" s="1"/>
      <c r="H37" s="1"/>
      <c r="I37" s="1"/>
      <c r="J37" s="1"/>
      <c r="K37" s="1"/>
      <c r="L37" s="1"/>
      <c r="M37" s="1"/>
      <c r="N37" s="1"/>
      <c r="O37" s="1"/>
      <c r="P37" s="1"/>
      <c r="Q37" s="1"/>
    </row>
    <row r="38" spans="1:17" x14ac:dyDescent="0.35">
      <c r="A38" s="1"/>
      <c r="B38" s="1"/>
      <c r="C38" s="1"/>
      <c r="D38" s="1"/>
      <c r="E38" s="1"/>
      <c r="F38" s="1"/>
      <c r="G38" s="1"/>
      <c r="H38" s="1"/>
      <c r="I38" s="1"/>
      <c r="J38" s="1"/>
      <c r="K38" s="1"/>
      <c r="L38" s="1"/>
      <c r="M38" s="1"/>
      <c r="N38" s="1"/>
      <c r="O38" s="1"/>
      <c r="P38" s="1"/>
      <c r="Q38" s="1"/>
    </row>
    <row r="39" spans="1:17" x14ac:dyDescent="0.35">
      <c r="A39" s="1"/>
      <c r="B39" s="1"/>
      <c r="C39" s="1"/>
      <c r="D39" s="1"/>
      <c r="E39" s="1"/>
      <c r="F39" s="1"/>
      <c r="G39" s="1"/>
      <c r="H39" s="1"/>
      <c r="I39" s="1"/>
      <c r="J39" s="1"/>
      <c r="K39" s="1"/>
      <c r="L39" s="1"/>
      <c r="M39" s="1"/>
      <c r="N39" s="1"/>
      <c r="O39" s="1"/>
      <c r="P39" s="1"/>
      <c r="Q39" s="1"/>
    </row>
    <row r="40" spans="1:17" x14ac:dyDescent="0.35">
      <c r="A40" s="1"/>
      <c r="B40" s="1"/>
      <c r="C40" s="1"/>
      <c r="D40" s="1"/>
      <c r="E40" s="1"/>
      <c r="F40" s="1"/>
      <c r="G40" s="1"/>
      <c r="H40" s="1"/>
      <c r="I40" s="1"/>
      <c r="J40" s="1"/>
      <c r="K40" s="1"/>
      <c r="L40" s="1"/>
      <c r="M40" s="1"/>
      <c r="N40" s="1"/>
      <c r="O40" s="1"/>
      <c r="P40" s="1"/>
      <c r="Q40" s="1"/>
    </row>
    <row r="41" spans="1:17" x14ac:dyDescent="0.35">
      <c r="A41" s="1"/>
      <c r="B41" s="1"/>
      <c r="C41" s="1"/>
      <c r="D41" s="1"/>
      <c r="E41" s="1"/>
      <c r="F41" s="1"/>
      <c r="G41" s="1"/>
      <c r="H41" s="1"/>
      <c r="I41" s="1"/>
      <c r="J41" s="1"/>
      <c r="K41" s="1"/>
      <c r="L41" s="1"/>
      <c r="M41" s="1"/>
      <c r="N41" s="1"/>
      <c r="O41" s="1"/>
      <c r="P41" s="1"/>
      <c r="Q41" s="1"/>
    </row>
    <row r="42" spans="1:17" x14ac:dyDescent="0.35">
      <c r="A42" s="1"/>
      <c r="B42" s="1"/>
      <c r="C42" s="1"/>
      <c r="D42" s="1"/>
      <c r="E42" s="1"/>
      <c r="F42" s="1"/>
      <c r="G42" s="1"/>
      <c r="H42" s="1"/>
      <c r="I42" s="1"/>
      <c r="J42" s="1"/>
      <c r="K42" s="1"/>
      <c r="L42" s="1"/>
      <c r="M42" s="1"/>
      <c r="N42" s="1"/>
      <c r="O42" s="1"/>
      <c r="P42" s="1"/>
      <c r="Q42" s="1"/>
    </row>
    <row r="43" spans="1:17" x14ac:dyDescent="0.35">
      <c r="A43" s="1"/>
      <c r="B43" s="1"/>
      <c r="C43" s="1"/>
      <c r="D43" s="1"/>
      <c r="E43" s="1"/>
      <c r="F43" s="1"/>
      <c r="G43" s="1"/>
      <c r="H43" s="1"/>
      <c r="I43" s="1"/>
      <c r="J43" s="1"/>
      <c r="K43" s="1"/>
      <c r="L43" s="1"/>
      <c r="M43" s="1"/>
      <c r="N43" s="1"/>
      <c r="O43" s="1"/>
      <c r="P43" s="1"/>
      <c r="Q43" s="1"/>
    </row>
    <row r="44" spans="1:17" x14ac:dyDescent="0.35">
      <c r="A44" s="1"/>
      <c r="B44" s="1"/>
      <c r="C44" s="1"/>
      <c r="D44" s="1"/>
      <c r="E44" s="1"/>
      <c r="F44" s="1"/>
      <c r="G44" s="1"/>
      <c r="H44" s="1"/>
      <c r="I44" s="1"/>
      <c r="J44" s="1"/>
      <c r="K44" s="1"/>
      <c r="L44" s="1"/>
      <c r="M44" s="1"/>
      <c r="N44" s="1"/>
      <c r="O44" s="1"/>
      <c r="P44" s="1"/>
      <c r="Q44" s="1"/>
    </row>
    <row r="45" spans="1:17" x14ac:dyDescent="0.35">
      <c r="A45" s="1"/>
      <c r="B45" s="1"/>
      <c r="C45" s="1"/>
      <c r="D45" s="1"/>
      <c r="E45" s="1"/>
      <c r="F45" s="1"/>
      <c r="G45" s="1"/>
      <c r="H45" s="1"/>
      <c r="I45" s="1"/>
      <c r="J45" s="1"/>
      <c r="K45" s="1"/>
      <c r="L45" s="1"/>
      <c r="M45" s="1"/>
      <c r="N45" s="1"/>
      <c r="O45" s="1"/>
      <c r="P45" s="1"/>
      <c r="Q45" s="1"/>
    </row>
    <row r="46" spans="1:17" x14ac:dyDescent="0.35">
      <c r="A46" s="1"/>
      <c r="B46" s="1"/>
      <c r="C46" s="1"/>
      <c r="D46" s="1"/>
      <c r="E46" s="1"/>
      <c r="F46" s="1"/>
      <c r="G46" s="1"/>
      <c r="H46" s="1"/>
      <c r="I46" s="1"/>
      <c r="J46" s="1"/>
      <c r="K46" s="1"/>
      <c r="L46" s="1"/>
      <c r="M46" s="1"/>
      <c r="N46" s="1"/>
      <c r="O46" s="1"/>
      <c r="P46" s="1"/>
      <c r="Q46" s="1"/>
    </row>
    <row r="47" spans="1:17" x14ac:dyDescent="0.35">
      <c r="A47" s="1"/>
      <c r="B47" s="1"/>
      <c r="C47" s="1"/>
      <c r="D47" s="1"/>
      <c r="E47" s="1"/>
      <c r="F47" s="1"/>
      <c r="G47" s="1"/>
      <c r="H47" s="1"/>
      <c r="I47" s="1"/>
      <c r="J47" s="1"/>
      <c r="K47" s="1"/>
      <c r="L47" s="1"/>
      <c r="M47" s="1"/>
      <c r="N47" s="1"/>
      <c r="O47" s="1"/>
      <c r="P47" s="1"/>
      <c r="Q47" s="1"/>
    </row>
    <row r="48" spans="1:17" x14ac:dyDescent="0.35">
      <c r="A48" s="1"/>
      <c r="B48" s="1"/>
      <c r="C48" s="1"/>
      <c r="D48" s="1"/>
      <c r="E48" s="1"/>
      <c r="F48" s="1"/>
      <c r="G48" s="1"/>
      <c r="H48" s="1"/>
      <c r="I48" s="1"/>
      <c r="J48" s="1"/>
      <c r="K48" s="1"/>
      <c r="L48" s="1"/>
      <c r="M48" s="1"/>
      <c r="N48" s="1"/>
      <c r="O48" s="1"/>
      <c r="P48" s="1"/>
      <c r="Q48" s="1"/>
    </row>
    <row r="49" spans="1:17" x14ac:dyDescent="0.35">
      <c r="A49" s="1"/>
      <c r="B49" s="1"/>
      <c r="C49" s="1"/>
      <c r="D49" s="1"/>
      <c r="E49" s="1"/>
      <c r="F49" s="1"/>
      <c r="G49" s="1"/>
      <c r="H49" s="1"/>
      <c r="I49" s="1"/>
      <c r="J49" s="1"/>
      <c r="K49" s="1"/>
      <c r="L49" s="1"/>
      <c r="M49" s="1"/>
      <c r="N49" s="1"/>
      <c r="O49" s="1"/>
      <c r="P49" s="1"/>
      <c r="Q49" s="1"/>
    </row>
    <row r="50" spans="1:17" x14ac:dyDescent="0.35">
      <c r="A50" s="1"/>
      <c r="B50" s="1"/>
      <c r="C50" s="1"/>
      <c r="D50" s="1"/>
      <c r="E50" s="1"/>
      <c r="F50" s="1"/>
      <c r="G50" s="1"/>
      <c r="H50" s="1"/>
      <c r="I50" s="1"/>
      <c r="J50" s="1"/>
      <c r="K50" s="1"/>
      <c r="L50" s="1"/>
      <c r="M50" s="1"/>
      <c r="N50" s="1"/>
      <c r="O50" s="1"/>
      <c r="P50" s="1"/>
      <c r="Q50" s="1"/>
    </row>
    <row r="51" spans="1:17" x14ac:dyDescent="0.35">
      <c r="A51" s="1"/>
      <c r="B51" s="1"/>
      <c r="C51" s="1"/>
      <c r="D51" s="1"/>
      <c r="E51" s="1"/>
      <c r="F51" s="1"/>
      <c r="G51" s="1"/>
      <c r="H51" s="1"/>
      <c r="I51" s="1"/>
      <c r="J51" s="1"/>
      <c r="K51" s="1"/>
      <c r="L51" s="1"/>
      <c r="M51" s="1"/>
      <c r="N51" s="1"/>
      <c r="O51" s="1"/>
      <c r="P51" s="1"/>
      <c r="Q51" s="1"/>
    </row>
    <row r="52" spans="1:17" x14ac:dyDescent="0.35">
      <c r="A52" s="1"/>
      <c r="B52" s="1"/>
      <c r="C52" s="1"/>
      <c r="D52" s="1"/>
      <c r="E52" s="1"/>
      <c r="F52" s="1"/>
      <c r="G52" s="1"/>
      <c r="H52" s="1"/>
      <c r="I52" s="1"/>
      <c r="J52" s="1"/>
      <c r="K52" s="1"/>
      <c r="L52" s="1"/>
      <c r="M52" s="1"/>
      <c r="N52" s="1"/>
      <c r="O52" s="1"/>
      <c r="P52" s="1"/>
      <c r="Q52" s="1"/>
    </row>
    <row r="53" spans="1:17" x14ac:dyDescent="0.35">
      <c r="A53" s="1"/>
      <c r="B53" s="1"/>
      <c r="C53" s="1"/>
      <c r="D53" s="1"/>
      <c r="E53" s="1"/>
      <c r="F53" s="1"/>
      <c r="G53" s="1"/>
      <c r="H53" s="1"/>
      <c r="I53" s="1"/>
      <c r="J53" s="1"/>
      <c r="K53" s="1"/>
      <c r="L53" s="1"/>
      <c r="M53" s="1"/>
      <c r="N53" s="1"/>
      <c r="O53" s="1"/>
      <c r="P53" s="1"/>
      <c r="Q53" s="1"/>
    </row>
    <row r="54" spans="1:17" x14ac:dyDescent="0.35">
      <c r="A54" s="1"/>
      <c r="B54" s="1"/>
      <c r="C54" s="1"/>
      <c r="D54" s="1"/>
      <c r="E54" s="1"/>
      <c r="F54" s="1"/>
      <c r="G54" s="1"/>
      <c r="H54" s="1"/>
      <c r="I54" s="1"/>
      <c r="J54" s="1"/>
      <c r="K54" s="1"/>
      <c r="L54" s="1"/>
      <c r="M54" s="1"/>
      <c r="N54" s="1"/>
      <c r="O54" s="1"/>
      <c r="P54" s="1"/>
      <c r="Q54" s="1"/>
    </row>
    <row r="55" spans="1:17" x14ac:dyDescent="0.35">
      <c r="A55" s="1"/>
      <c r="B55" s="1"/>
      <c r="C55" s="1"/>
      <c r="D55" s="1"/>
      <c r="E55" s="1"/>
      <c r="F55" s="1"/>
      <c r="G55" s="1"/>
      <c r="H55" s="1"/>
      <c r="I55" s="1"/>
      <c r="J55" s="1"/>
      <c r="K55" s="1"/>
      <c r="L55" s="1"/>
      <c r="M55" s="1"/>
      <c r="N55" s="1"/>
      <c r="O55" s="1"/>
      <c r="P55" s="1"/>
      <c r="Q55" s="1"/>
    </row>
    <row r="56" spans="1:17" x14ac:dyDescent="0.35">
      <c r="A56" s="1"/>
      <c r="B56" s="1"/>
      <c r="C56" s="1"/>
      <c r="D56" s="1"/>
      <c r="E56" s="1"/>
      <c r="F56" s="1"/>
      <c r="G56" s="1"/>
      <c r="H56" s="1"/>
      <c r="I56" s="1"/>
      <c r="J56" s="1"/>
      <c r="K56" s="1"/>
      <c r="L56" s="1"/>
      <c r="M56" s="1"/>
      <c r="N56" s="1"/>
      <c r="O56" s="1"/>
      <c r="P56" s="1"/>
      <c r="Q56" s="1"/>
    </row>
    <row r="57" spans="1:17" x14ac:dyDescent="0.35">
      <c r="A57" s="1"/>
      <c r="B57" s="1"/>
      <c r="C57" s="1"/>
      <c r="D57" s="1"/>
      <c r="E57" s="1"/>
      <c r="F57" s="1"/>
      <c r="G57" s="1"/>
      <c r="H57" s="1"/>
      <c r="I57" s="1"/>
      <c r="J57" s="1"/>
      <c r="K57" s="1"/>
      <c r="L57" s="1"/>
      <c r="M57" s="1"/>
      <c r="N57" s="1"/>
      <c r="O57" s="1"/>
      <c r="P57" s="1"/>
      <c r="Q57" s="1"/>
    </row>
    <row r="58" spans="1:17" x14ac:dyDescent="0.35">
      <c r="A58" s="1"/>
      <c r="B58" s="1"/>
      <c r="C58" s="1"/>
      <c r="D58" s="1"/>
      <c r="E58" s="1"/>
      <c r="F58" s="1"/>
      <c r="G58" s="1"/>
      <c r="H58" s="1"/>
      <c r="I58" s="1"/>
      <c r="J58" s="1"/>
      <c r="K58" s="1"/>
      <c r="L58" s="1"/>
      <c r="M58" s="1"/>
      <c r="N58" s="1"/>
      <c r="O58" s="1"/>
      <c r="P58" s="1"/>
      <c r="Q58" s="1"/>
    </row>
    <row r="59" spans="1:17" x14ac:dyDescent="0.35">
      <c r="A59" s="1"/>
      <c r="B59" s="1"/>
      <c r="C59" s="1"/>
      <c r="D59" s="1"/>
      <c r="E59" s="1"/>
      <c r="F59" s="1"/>
      <c r="G59" s="1"/>
      <c r="H59" s="1"/>
      <c r="I59" s="1"/>
      <c r="J59" s="1"/>
      <c r="K59" s="1"/>
      <c r="L59" s="1"/>
      <c r="M59" s="1"/>
      <c r="N59" s="1"/>
      <c r="O59" s="1"/>
      <c r="P59" s="1"/>
      <c r="Q59" s="1"/>
    </row>
    <row r="60" spans="1:17" x14ac:dyDescent="0.35">
      <c r="A60" s="1"/>
      <c r="B60" s="1"/>
      <c r="C60" s="1"/>
      <c r="D60" s="1"/>
      <c r="E60" s="1"/>
      <c r="F60" s="1"/>
      <c r="G60" s="1"/>
      <c r="H60" s="1"/>
      <c r="I60" s="1"/>
      <c r="J60" s="1"/>
      <c r="K60" s="1"/>
      <c r="L60" s="1"/>
      <c r="M60" s="1"/>
      <c r="N60" s="1"/>
      <c r="O60" s="1"/>
      <c r="P60" s="1"/>
      <c r="Q60" s="1"/>
    </row>
    <row r="61" spans="1:17" x14ac:dyDescent="0.35">
      <c r="A61" s="1"/>
      <c r="B61" s="1"/>
      <c r="C61" s="1"/>
      <c r="D61" s="1"/>
      <c r="E61" s="1"/>
      <c r="F61" s="1"/>
      <c r="G61" s="1"/>
      <c r="H61" s="1"/>
      <c r="I61" s="1"/>
      <c r="J61" s="1"/>
      <c r="K61" s="1"/>
      <c r="L61" s="1"/>
      <c r="M61" s="1"/>
      <c r="N61" s="1"/>
      <c r="O61" s="1"/>
      <c r="P61" s="1"/>
      <c r="Q61" s="1"/>
    </row>
    <row r="62" spans="1:17" x14ac:dyDescent="0.35">
      <c r="A62" s="1"/>
      <c r="B62" s="1"/>
      <c r="C62" s="1"/>
      <c r="D62" s="1"/>
      <c r="E62" s="1"/>
      <c r="F62" s="1"/>
      <c r="G62" s="1"/>
      <c r="H62" s="1"/>
      <c r="I62" s="1"/>
      <c r="J62" s="1"/>
      <c r="K62" s="1"/>
      <c r="L62" s="1"/>
      <c r="M62" s="1"/>
      <c r="N62" s="1"/>
      <c r="O62" s="1"/>
      <c r="P62" s="1"/>
      <c r="Q62" s="1"/>
    </row>
    <row r="63" spans="1:17" x14ac:dyDescent="0.35">
      <c r="A63" s="1"/>
      <c r="B63" s="1"/>
      <c r="C63" s="1"/>
      <c r="D63" s="1"/>
      <c r="E63" s="1"/>
      <c r="F63" s="1"/>
      <c r="G63" s="1"/>
      <c r="H63" s="1"/>
      <c r="I63" s="1"/>
      <c r="J63" s="1"/>
      <c r="K63" s="1"/>
      <c r="L63" s="1"/>
      <c r="M63" s="1"/>
      <c r="N63" s="1"/>
      <c r="O63" s="1"/>
      <c r="P63" s="1"/>
      <c r="Q63" s="1"/>
    </row>
    <row r="64" spans="1:17" x14ac:dyDescent="0.35">
      <c r="A64" s="1"/>
      <c r="B64" s="1"/>
      <c r="C64" s="1"/>
      <c r="D64" s="1"/>
      <c r="E64" s="1"/>
      <c r="F64" s="1"/>
      <c r="G64" s="1"/>
      <c r="H64" s="1"/>
      <c r="I64" s="1"/>
      <c r="J64" s="1"/>
      <c r="K64" s="1"/>
      <c r="L64" s="1"/>
      <c r="M64" s="1"/>
      <c r="N64" s="1"/>
      <c r="O64" s="1"/>
      <c r="P64" s="1"/>
      <c r="Q64" s="1"/>
    </row>
    <row r="65" spans="1:17" x14ac:dyDescent="0.35">
      <c r="A65" s="1"/>
      <c r="B65" s="1"/>
      <c r="C65" s="1"/>
      <c r="D65" s="1"/>
      <c r="E65" s="1"/>
      <c r="F65" s="1"/>
      <c r="G65" s="1"/>
      <c r="H65" s="1"/>
      <c r="I65" s="1"/>
      <c r="J65" s="1"/>
      <c r="K65" s="1"/>
      <c r="L65" s="1"/>
      <c r="M65" s="1"/>
      <c r="N65" s="1"/>
      <c r="O65" s="1"/>
      <c r="P65" s="1"/>
      <c r="Q65" s="1"/>
    </row>
    <row r="66" spans="1:17" x14ac:dyDescent="0.35">
      <c r="A66" s="1"/>
      <c r="B66" s="1"/>
      <c r="C66" s="1"/>
      <c r="D66" s="1"/>
      <c r="E66" s="1"/>
      <c r="F66" s="1"/>
      <c r="G66" s="1"/>
      <c r="H66" s="1"/>
      <c r="I66" s="1"/>
      <c r="J66" s="1"/>
      <c r="K66" s="1"/>
      <c r="L66" s="1"/>
      <c r="M66" s="1"/>
      <c r="N66" s="1"/>
      <c r="O66" s="1"/>
      <c r="P66" s="1"/>
      <c r="Q66" s="1"/>
    </row>
    <row r="67" spans="1:17" x14ac:dyDescent="0.35">
      <c r="A67" s="1"/>
      <c r="B67" s="1"/>
      <c r="C67" s="1"/>
      <c r="D67" s="1"/>
      <c r="E67" s="1"/>
      <c r="F67" s="1"/>
      <c r="G67" s="1"/>
      <c r="H67" s="1"/>
      <c r="I67" s="1"/>
      <c r="J67" s="1"/>
      <c r="K67" s="1"/>
      <c r="L67" s="1"/>
      <c r="M67" s="1"/>
      <c r="N67" s="1"/>
      <c r="O67" s="1"/>
      <c r="P67" s="1"/>
      <c r="Q67" s="1"/>
    </row>
    <row r="68" spans="1:17" x14ac:dyDescent="0.35">
      <c r="A68" s="1"/>
      <c r="B68" s="1"/>
      <c r="C68" s="1"/>
      <c r="D68" s="1"/>
      <c r="E68" s="1"/>
      <c r="F68" s="1"/>
      <c r="G68" s="1"/>
      <c r="H68" s="1"/>
      <c r="I68" s="1"/>
      <c r="J68" s="1"/>
      <c r="K68" s="1"/>
      <c r="L68" s="1"/>
      <c r="M68" s="1"/>
      <c r="N68" s="1"/>
      <c r="O68" s="1"/>
      <c r="P68" s="1"/>
      <c r="Q68" s="1"/>
    </row>
    <row r="69" spans="1:17" x14ac:dyDescent="0.35">
      <c r="A69" s="1"/>
      <c r="B69" s="1"/>
      <c r="C69" s="1"/>
      <c r="D69" s="1"/>
      <c r="E69" s="1"/>
      <c r="F69" s="1"/>
      <c r="G69" s="1"/>
      <c r="H69" s="1"/>
      <c r="I69" s="1"/>
      <c r="J69" s="1"/>
      <c r="K69" s="1"/>
      <c r="L69" s="1"/>
      <c r="M69" s="1"/>
      <c r="N69" s="1"/>
      <c r="O69" s="1"/>
      <c r="P69" s="1"/>
      <c r="Q69" s="1"/>
    </row>
    <row r="70" spans="1:17" x14ac:dyDescent="0.35">
      <c r="A70" s="1"/>
      <c r="B70" s="1"/>
      <c r="C70" s="1"/>
      <c r="D70" s="1"/>
      <c r="E70" s="1"/>
      <c r="F70" s="1"/>
      <c r="G70" s="1"/>
      <c r="H70" s="1"/>
      <c r="I70" s="1"/>
      <c r="J70" s="1"/>
      <c r="K70" s="1"/>
      <c r="L70" s="1"/>
      <c r="M70" s="1"/>
      <c r="N70" s="1"/>
      <c r="O70" s="1"/>
      <c r="P70" s="1"/>
      <c r="Q70" s="1"/>
    </row>
    <row r="71" spans="1:17" x14ac:dyDescent="0.35">
      <c r="A71" s="1"/>
      <c r="B71" s="1"/>
      <c r="C71" s="1"/>
      <c r="D71" s="1"/>
      <c r="E71" s="1"/>
      <c r="F71" s="1"/>
      <c r="G71" s="1"/>
      <c r="H71" s="1"/>
      <c r="I71" s="1"/>
      <c r="J71" s="1"/>
      <c r="K71" s="1"/>
      <c r="L71" s="1"/>
      <c r="M71" s="1"/>
      <c r="N71" s="1"/>
      <c r="O71" s="1"/>
      <c r="P71" s="1"/>
      <c r="Q71" s="1"/>
    </row>
    <row r="72" spans="1:17" x14ac:dyDescent="0.35">
      <c r="A72" s="1"/>
      <c r="B72" s="1"/>
      <c r="C72" s="1"/>
      <c r="D72" s="1"/>
      <c r="E72" s="1"/>
      <c r="F72" s="1"/>
      <c r="G72" s="1"/>
      <c r="H72" s="1"/>
      <c r="I72" s="1"/>
      <c r="J72" s="1"/>
      <c r="K72" s="1"/>
      <c r="L72" s="1"/>
      <c r="M72" s="1"/>
      <c r="N72" s="1"/>
      <c r="O72" s="1"/>
      <c r="P72" s="1"/>
      <c r="Q72" s="1"/>
    </row>
    <row r="73" spans="1:17" x14ac:dyDescent="0.35">
      <c r="A73" s="1"/>
      <c r="B73" s="1"/>
      <c r="C73" s="1"/>
      <c r="D73" s="1"/>
      <c r="E73" s="1"/>
      <c r="F73" s="1"/>
      <c r="G73" s="1"/>
      <c r="H73" s="1"/>
      <c r="I73" s="1"/>
      <c r="J73" s="1"/>
      <c r="K73" s="1"/>
      <c r="L73" s="1"/>
      <c r="M73" s="1"/>
      <c r="N73" s="1"/>
      <c r="O73" s="1"/>
      <c r="P73" s="1"/>
      <c r="Q73" s="1"/>
    </row>
    <row r="74" spans="1:17" x14ac:dyDescent="0.35">
      <c r="A74" s="1"/>
      <c r="B74" s="1"/>
      <c r="C74" s="1"/>
      <c r="D74" s="1"/>
      <c r="E74" s="1"/>
      <c r="F74" s="1"/>
      <c r="G74" s="1"/>
      <c r="H74" s="1"/>
      <c r="I74" s="1"/>
      <c r="J74" s="1"/>
      <c r="K74" s="1"/>
      <c r="L74" s="1"/>
      <c r="M74" s="1"/>
      <c r="N74" s="1"/>
      <c r="O74" s="1"/>
      <c r="P74" s="1"/>
      <c r="Q74" s="1"/>
    </row>
    <row r="75" spans="1:17" x14ac:dyDescent="0.35">
      <c r="A75" s="1"/>
      <c r="B75" s="1"/>
      <c r="C75" s="1"/>
      <c r="D75" s="1"/>
      <c r="E75" s="1"/>
      <c r="F75" s="1"/>
      <c r="G75" s="1"/>
      <c r="H75" s="1"/>
      <c r="I75" s="1"/>
      <c r="J75" s="1"/>
      <c r="K75" s="1"/>
      <c r="L75" s="1"/>
      <c r="M75" s="1"/>
      <c r="N75" s="1"/>
      <c r="O75" s="1"/>
      <c r="P75" s="1"/>
      <c r="Q75" s="1"/>
    </row>
    <row r="76" spans="1:17" x14ac:dyDescent="0.35">
      <c r="A76" s="1"/>
      <c r="B76" s="1"/>
      <c r="C76" s="1"/>
      <c r="D76" s="1"/>
      <c r="E76" s="1"/>
      <c r="F76" s="1"/>
      <c r="G76" s="1"/>
      <c r="H76" s="1"/>
      <c r="I76" s="1"/>
      <c r="J76" s="1"/>
      <c r="K76" s="1"/>
      <c r="L76" s="1"/>
      <c r="M76" s="1"/>
      <c r="N76" s="1"/>
      <c r="O76" s="1"/>
      <c r="P76" s="1"/>
      <c r="Q76" s="1"/>
    </row>
    <row r="77" spans="1:17" x14ac:dyDescent="0.35">
      <c r="A77" s="1"/>
      <c r="B77" s="1"/>
      <c r="C77" s="1"/>
      <c r="D77" s="1"/>
      <c r="E77" s="1"/>
      <c r="F77" s="1"/>
      <c r="G77" s="1"/>
      <c r="H77" s="1"/>
      <c r="I77" s="1"/>
      <c r="J77" s="1"/>
      <c r="K77" s="1"/>
      <c r="L77" s="1"/>
      <c r="M77" s="1"/>
      <c r="N77" s="1"/>
      <c r="O77" s="1"/>
      <c r="P77" s="1"/>
      <c r="Q77" s="1"/>
    </row>
    <row r="78" spans="1:17" x14ac:dyDescent="0.35">
      <c r="A78" s="1"/>
      <c r="B78" s="1"/>
      <c r="C78" s="1"/>
      <c r="D78" s="1"/>
      <c r="E78" s="1"/>
      <c r="F78" s="1"/>
      <c r="G78" s="1"/>
      <c r="H78" s="1"/>
      <c r="I78" s="1"/>
      <c r="J78" s="1"/>
      <c r="K78" s="1"/>
      <c r="L78" s="1"/>
      <c r="M78" s="1"/>
      <c r="N78" s="1"/>
      <c r="O78" s="1"/>
      <c r="P78" s="1"/>
      <c r="Q78" s="1"/>
    </row>
    <row r="79" spans="1:17" x14ac:dyDescent="0.35">
      <c r="A79" s="1"/>
      <c r="B79" s="1"/>
      <c r="C79" s="1"/>
      <c r="D79" s="1"/>
      <c r="E79" s="1"/>
      <c r="F79" s="1"/>
      <c r="G79" s="1"/>
      <c r="H79" s="1"/>
      <c r="I79" s="1"/>
      <c r="J79" s="1"/>
      <c r="K79" s="1"/>
      <c r="L79" s="1"/>
      <c r="M79" s="1"/>
      <c r="N79" s="1"/>
      <c r="O79" s="1"/>
      <c r="P79" s="1"/>
      <c r="Q79" s="1"/>
    </row>
    <row r="80" spans="1:17" x14ac:dyDescent="0.35">
      <c r="A80" s="1"/>
      <c r="B80" s="1"/>
      <c r="C80" s="1"/>
      <c r="D80" s="1"/>
      <c r="E80" s="1"/>
      <c r="F80" s="1"/>
      <c r="G80" s="1"/>
      <c r="H80" s="1"/>
      <c r="I80" s="1"/>
      <c r="J80" s="1"/>
      <c r="K80" s="1"/>
      <c r="L80" s="1"/>
      <c r="M80" s="1"/>
      <c r="N80" s="1"/>
      <c r="O80" s="1"/>
      <c r="P80" s="1"/>
      <c r="Q80" s="1"/>
    </row>
    <row r="81" spans="1:17" x14ac:dyDescent="0.35">
      <c r="A81" s="1"/>
      <c r="B81" s="1"/>
      <c r="C81" s="1"/>
      <c r="D81" s="1"/>
      <c r="E81" s="1"/>
      <c r="F81" s="1"/>
      <c r="G81" s="1"/>
      <c r="H81" s="1"/>
      <c r="I81" s="1"/>
      <c r="J81" s="1"/>
      <c r="K81" s="1"/>
      <c r="L81" s="1"/>
      <c r="M81" s="1"/>
      <c r="N81" s="1"/>
      <c r="O81" s="1"/>
      <c r="P81" s="1"/>
      <c r="Q81" s="1"/>
    </row>
    <row r="82" spans="1:17" x14ac:dyDescent="0.35">
      <c r="A82" s="1"/>
      <c r="B82" s="1"/>
      <c r="C82" s="1"/>
      <c r="D82" s="1"/>
      <c r="E82" s="1"/>
      <c r="F82" s="1"/>
      <c r="G82" s="1"/>
      <c r="H82" s="1"/>
      <c r="I82" s="1"/>
      <c r="J82" s="1"/>
      <c r="K82" s="1"/>
      <c r="L82" s="1"/>
      <c r="M82" s="1"/>
      <c r="N82" s="1"/>
      <c r="O82" s="1"/>
      <c r="P82" s="1"/>
      <c r="Q82" s="1"/>
    </row>
    <row r="83" spans="1:17" x14ac:dyDescent="0.35">
      <c r="A83" s="1"/>
      <c r="B83" s="1"/>
      <c r="C83" s="1"/>
      <c r="D83" s="1"/>
      <c r="E83" s="1"/>
      <c r="F83" s="1"/>
      <c r="G83" s="1"/>
      <c r="H83" s="1"/>
      <c r="I83" s="1"/>
      <c r="J83" s="1"/>
      <c r="K83" s="1"/>
      <c r="L83" s="1"/>
      <c r="M83" s="1"/>
      <c r="N83" s="1"/>
      <c r="O83" s="1"/>
      <c r="P83" s="1"/>
      <c r="Q83" s="1"/>
    </row>
    <row r="84" spans="1:17" x14ac:dyDescent="0.35">
      <c r="A84" s="1"/>
      <c r="B84" s="1"/>
      <c r="C84" s="1"/>
      <c r="D84" s="1"/>
      <c r="E84" s="1"/>
      <c r="F84" s="1"/>
      <c r="G84" s="1"/>
      <c r="H84" s="1"/>
      <c r="I84" s="1"/>
      <c r="J84" s="1"/>
      <c r="K84" s="1"/>
      <c r="L84" s="1"/>
      <c r="M84" s="1"/>
      <c r="N84" s="1"/>
      <c r="O84" s="1"/>
      <c r="P84" s="1"/>
      <c r="Q84" s="1"/>
    </row>
    <row r="85" spans="1:17" x14ac:dyDescent="0.35">
      <c r="A85" s="1"/>
      <c r="B85" s="1"/>
      <c r="C85" s="1"/>
      <c r="D85" s="1"/>
      <c r="E85" s="1"/>
      <c r="F85" s="1"/>
      <c r="G85" s="1"/>
      <c r="H85" s="1"/>
      <c r="I85" s="1"/>
      <c r="J85" s="1"/>
      <c r="K85" s="1"/>
      <c r="L85" s="1"/>
      <c r="M85" s="1"/>
      <c r="N85" s="1"/>
      <c r="O85" s="1"/>
      <c r="P85" s="1"/>
      <c r="Q85" s="1"/>
    </row>
    <row r="86" spans="1:17" x14ac:dyDescent="0.35">
      <c r="A86" s="1"/>
      <c r="B86" s="1"/>
      <c r="C86" s="1"/>
      <c r="D86" s="1"/>
      <c r="E86" s="1"/>
      <c r="F86" s="1"/>
      <c r="G86" s="1"/>
      <c r="H86" s="1"/>
      <c r="I86" s="1"/>
      <c r="J86" s="1"/>
      <c r="K86" s="1"/>
      <c r="L86" s="1"/>
      <c r="M86" s="1"/>
      <c r="N86" s="1"/>
      <c r="O86" s="1"/>
      <c r="P86" s="1"/>
      <c r="Q86" s="1"/>
    </row>
    <row r="87" spans="1:17" x14ac:dyDescent="0.35">
      <c r="A87" s="1"/>
      <c r="B87" s="1"/>
      <c r="C87" s="1"/>
      <c r="D87" s="1"/>
      <c r="E87" s="1"/>
      <c r="F87" s="1"/>
      <c r="G87" s="1"/>
      <c r="H87" s="1"/>
      <c r="I87" s="1"/>
      <c r="J87" s="1"/>
      <c r="K87" s="1"/>
      <c r="L87" s="1"/>
      <c r="M87" s="1"/>
      <c r="N87" s="1"/>
      <c r="O87" s="1"/>
      <c r="P87" s="1"/>
      <c r="Q87" s="1"/>
    </row>
    <row r="88" spans="1:17" x14ac:dyDescent="0.35">
      <c r="A88" s="1"/>
      <c r="B88" s="1"/>
      <c r="C88" s="1"/>
      <c r="D88" s="1"/>
      <c r="E88" s="1"/>
      <c r="F88" s="1"/>
      <c r="G88" s="1"/>
      <c r="H88" s="1"/>
      <c r="I88" s="1"/>
      <c r="J88" s="1"/>
      <c r="K88" s="1"/>
      <c r="L88" s="1"/>
      <c r="M88" s="1"/>
      <c r="N88" s="1"/>
      <c r="O88" s="1"/>
      <c r="P88" s="1"/>
      <c r="Q88" s="1"/>
    </row>
    <row r="89" spans="1:17" x14ac:dyDescent="0.35">
      <c r="A89" s="1"/>
      <c r="B89" s="1"/>
      <c r="C89" s="1"/>
      <c r="D89" s="1"/>
      <c r="E89" s="1"/>
      <c r="F89" s="1"/>
      <c r="G89" s="1"/>
      <c r="H89" s="1"/>
      <c r="I89" s="1"/>
      <c r="J89" s="1"/>
      <c r="K89" s="1"/>
      <c r="L89" s="1"/>
      <c r="M89" s="1"/>
      <c r="N89" s="1"/>
      <c r="O89" s="1"/>
      <c r="P89" s="1"/>
      <c r="Q89" s="1"/>
    </row>
    <row r="90" spans="1:17" x14ac:dyDescent="0.35">
      <c r="A90" s="1"/>
      <c r="B90" s="1"/>
      <c r="C90" s="1"/>
      <c r="D90" s="1"/>
      <c r="E90" s="1"/>
      <c r="F90" s="1"/>
      <c r="G90" s="1"/>
      <c r="H90" s="1"/>
      <c r="I90" s="1"/>
      <c r="J90" s="1"/>
      <c r="K90" s="1"/>
      <c r="L90" s="1"/>
      <c r="M90" s="1"/>
      <c r="N90" s="1"/>
      <c r="O90" s="1"/>
      <c r="P90" s="1"/>
      <c r="Q90" s="1"/>
    </row>
    <row r="91" spans="1:17" x14ac:dyDescent="0.35">
      <c r="A91" s="1"/>
      <c r="B91" s="1"/>
      <c r="C91" s="1"/>
      <c r="D91" s="1"/>
      <c r="E91" s="1"/>
      <c r="F91" s="1"/>
      <c r="G91" s="1"/>
      <c r="H91" s="1"/>
      <c r="I91" s="1"/>
      <c r="J91" s="1"/>
      <c r="K91" s="1"/>
      <c r="L91" s="1"/>
      <c r="M91" s="1"/>
      <c r="N91" s="1"/>
      <c r="O91" s="1"/>
      <c r="P91" s="1"/>
      <c r="Q91" s="1"/>
    </row>
    <row r="92" spans="1:17" x14ac:dyDescent="0.35">
      <c r="A92" s="1"/>
      <c r="B92" s="1"/>
      <c r="C92" s="1"/>
      <c r="D92" s="1"/>
      <c r="E92" s="1"/>
      <c r="F92" s="1"/>
      <c r="G92" s="1"/>
      <c r="H92" s="1"/>
      <c r="I92" s="1"/>
      <c r="J92" s="1"/>
      <c r="K92" s="1"/>
      <c r="L92" s="1"/>
      <c r="M92" s="1"/>
      <c r="N92" s="1"/>
      <c r="O92" s="1"/>
      <c r="P92" s="1"/>
      <c r="Q92" s="1"/>
    </row>
    <row r="93" spans="1:17" x14ac:dyDescent="0.35">
      <c r="A93" s="1"/>
      <c r="B93" s="1"/>
      <c r="C93" s="1"/>
      <c r="D93" s="1"/>
      <c r="E93" s="1"/>
      <c r="F93" s="1"/>
      <c r="G93" s="1"/>
      <c r="H93" s="1"/>
      <c r="I93" s="1"/>
      <c r="J93" s="1"/>
      <c r="K93" s="1"/>
      <c r="L93" s="1"/>
      <c r="M93" s="1"/>
      <c r="N93" s="1"/>
      <c r="O93" s="1"/>
      <c r="P93" s="1"/>
      <c r="Q93" s="1"/>
    </row>
    <row r="94" spans="1:17" x14ac:dyDescent="0.35">
      <c r="A94" s="1"/>
      <c r="B94" s="1"/>
      <c r="C94" s="1"/>
      <c r="D94" s="1"/>
      <c r="E94" s="1"/>
      <c r="F94" s="1"/>
      <c r="G94" s="1"/>
      <c r="H94" s="1"/>
      <c r="I94" s="1"/>
      <c r="J94" s="1"/>
      <c r="K94" s="1"/>
      <c r="L94" s="1"/>
      <c r="M94" s="1"/>
      <c r="N94" s="1"/>
      <c r="O94" s="1"/>
      <c r="P94" s="1"/>
      <c r="Q94" s="1"/>
    </row>
    <row r="95" spans="1:17" x14ac:dyDescent="0.35">
      <c r="A95" s="1"/>
      <c r="B95" s="1"/>
      <c r="C95" s="1"/>
      <c r="D95" s="1"/>
      <c r="E95" s="1"/>
      <c r="F95" s="1"/>
      <c r="G95" s="1"/>
      <c r="H95" s="1"/>
      <c r="I95" s="1"/>
      <c r="J95" s="1"/>
      <c r="K95" s="1"/>
      <c r="L95" s="1"/>
      <c r="M95" s="1"/>
      <c r="N95" s="1"/>
      <c r="O95" s="1"/>
      <c r="P95" s="1"/>
      <c r="Q95" s="1"/>
    </row>
    <row r="96" spans="1:17" x14ac:dyDescent="0.35">
      <c r="A96" s="1"/>
      <c r="B96" s="1"/>
      <c r="C96" s="1"/>
      <c r="D96" s="1"/>
      <c r="E96" s="1"/>
      <c r="F96" s="1"/>
      <c r="G96" s="1"/>
      <c r="H96" s="1"/>
      <c r="I96" s="1"/>
      <c r="J96" s="1"/>
      <c r="K96" s="1"/>
      <c r="L96" s="1"/>
      <c r="M96" s="1"/>
      <c r="N96" s="1"/>
      <c r="O96" s="1"/>
      <c r="P96" s="1"/>
      <c r="Q96" s="1"/>
    </row>
    <row r="97" spans="1:17" x14ac:dyDescent="0.35">
      <c r="A97" s="1"/>
      <c r="B97" s="1"/>
      <c r="C97" s="1"/>
      <c r="D97" s="1"/>
      <c r="E97" s="1"/>
      <c r="F97" s="1"/>
      <c r="G97" s="1"/>
      <c r="H97" s="1"/>
      <c r="I97" s="1"/>
      <c r="J97" s="1"/>
      <c r="K97" s="1"/>
      <c r="L97" s="1"/>
      <c r="M97" s="1"/>
      <c r="N97" s="1"/>
      <c r="O97" s="1"/>
      <c r="P97" s="1"/>
      <c r="Q97" s="1"/>
    </row>
    <row r="98" spans="1:17" x14ac:dyDescent="0.35">
      <c r="A98" s="1"/>
      <c r="B98" s="1"/>
      <c r="C98" s="1"/>
      <c r="D98" s="1"/>
      <c r="E98" s="1"/>
      <c r="F98" s="1"/>
      <c r="G98" s="1"/>
      <c r="H98" s="1"/>
      <c r="I98" s="1"/>
      <c r="J98" s="1"/>
      <c r="K98" s="1"/>
      <c r="L98" s="1"/>
      <c r="M98" s="1"/>
      <c r="N98" s="1"/>
      <c r="O98" s="1"/>
      <c r="P98" s="1"/>
      <c r="Q98" s="1"/>
    </row>
    <row r="99" spans="1:17" x14ac:dyDescent="0.35">
      <c r="A99" s="1"/>
      <c r="B99" s="1"/>
      <c r="C99" s="1"/>
      <c r="D99" s="1"/>
      <c r="E99" s="1"/>
      <c r="F99" s="1"/>
      <c r="G99" s="1"/>
      <c r="H99" s="1"/>
      <c r="I99" s="1"/>
      <c r="J99" s="1"/>
      <c r="K99" s="1"/>
      <c r="L99" s="1"/>
      <c r="M99" s="1"/>
      <c r="N99" s="1"/>
      <c r="O99" s="1"/>
      <c r="P99" s="1"/>
      <c r="Q99" s="1"/>
    </row>
    <row r="100" spans="1:17" x14ac:dyDescent="0.35">
      <c r="A100" s="1"/>
      <c r="B100" s="1"/>
      <c r="C100" s="1"/>
      <c r="D100" s="1"/>
      <c r="E100" s="1"/>
      <c r="F100" s="1"/>
      <c r="G100" s="1"/>
      <c r="H100" s="1"/>
      <c r="I100" s="1"/>
      <c r="J100" s="1"/>
      <c r="K100" s="1"/>
      <c r="L100" s="1"/>
      <c r="M100" s="1"/>
      <c r="N100" s="1"/>
      <c r="O100" s="1"/>
      <c r="P100" s="1"/>
      <c r="Q100" s="1"/>
    </row>
    <row r="101" spans="1:17" x14ac:dyDescent="0.35">
      <c r="A101" s="1"/>
      <c r="B101" s="1"/>
      <c r="C101" s="1"/>
      <c r="D101" s="1"/>
      <c r="E101" s="1"/>
      <c r="F101" s="1"/>
      <c r="G101" s="1"/>
      <c r="H101" s="1"/>
      <c r="I101" s="1"/>
      <c r="J101" s="1"/>
      <c r="K101" s="1"/>
      <c r="L101" s="1"/>
      <c r="M101" s="1"/>
      <c r="N101" s="1"/>
      <c r="O101" s="1"/>
      <c r="P101" s="1"/>
      <c r="Q101" s="1"/>
    </row>
    <row r="102" spans="1:17" x14ac:dyDescent="0.35">
      <c r="A102" s="1"/>
      <c r="B102" s="1"/>
      <c r="C102" s="1"/>
      <c r="D102" s="1"/>
      <c r="E102" s="1"/>
      <c r="F102" s="1"/>
      <c r="G102" s="1"/>
      <c r="H102" s="1"/>
      <c r="I102" s="1"/>
      <c r="J102" s="1"/>
      <c r="K102" s="1"/>
      <c r="L102" s="1"/>
      <c r="M102" s="1"/>
      <c r="N102" s="1"/>
      <c r="O102" s="1"/>
      <c r="P102" s="1"/>
      <c r="Q102" s="1"/>
    </row>
    <row r="103" spans="1:17" x14ac:dyDescent="0.35">
      <c r="A103" s="1"/>
      <c r="B103" s="1"/>
      <c r="C103" s="1"/>
      <c r="D103" s="1"/>
      <c r="E103" s="1"/>
      <c r="F103" s="1"/>
      <c r="G103" s="1"/>
      <c r="H103" s="1"/>
      <c r="I103" s="1"/>
      <c r="J103" s="1"/>
      <c r="K103" s="1"/>
      <c r="L103" s="1"/>
      <c r="M103" s="1"/>
      <c r="N103" s="1"/>
      <c r="O103" s="1"/>
      <c r="P103" s="1"/>
      <c r="Q103" s="1"/>
    </row>
    <row r="104" spans="1:17" x14ac:dyDescent="0.35">
      <c r="A104" s="1"/>
      <c r="B104" s="1"/>
      <c r="C104" s="1"/>
      <c r="D104" s="1"/>
      <c r="E104" s="1"/>
      <c r="F104" s="1"/>
      <c r="G104" s="1"/>
      <c r="H104" s="1"/>
      <c r="I104" s="1"/>
      <c r="J104" s="1"/>
      <c r="K104" s="1"/>
      <c r="L104" s="1"/>
      <c r="M104" s="1"/>
      <c r="N104" s="1"/>
      <c r="O104" s="1"/>
      <c r="P104" s="1"/>
      <c r="Q104" s="1"/>
    </row>
    <row r="105" spans="1:17" x14ac:dyDescent="0.35">
      <c r="A105" s="1"/>
      <c r="B105" s="1"/>
      <c r="C105" s="1"/>
      <c r="D105" s="1"/>
      <c r="E105" s="1"/>
      <c r="F105" s="1"/>
      <c r="G105" s="1"/>
      <c r="H105" s="1"/>
      <c r="I105" s="1"/>
      <c r="J105" s="1"/>
      <c r="K105" s="1"/>
      <c r="L105" s="1"/>
      <c r="M105" s="1"/>
      <c r="N105" s="1"/>
      <c r="O105" s="1"/>
      <c r="P105" s="1"/>
      <c r="Q105" s="1"/>
    </row>
    <row r="106" spans="1:17" x14ac:dyDescent="0.35">
      <c r="A106" s="1"/>
      <c r="B106" s="1"/>
      <c r="C106" s="1"/>
      <c r="D106" s="1"/>
      <c r="E106" s="1"/>
      <c r="F106" s="1"/>
      <c r="G106" s="1"/>
      <c r="H106" s="1"/>
      <c r="I106" s="1"/>
      <c r="J106" s="1"/>
      <c r="K106" s="1"/>
      <c r="L106" s="1"/>
      <c r="M106" s="1"/>
      <c r="N106" s="1"/>
      <c r="O106" s="1"/>
      <c r="P106" s="1"/>
      <c r="Q106" s="1"/>
    </row>
    <row r="107" spans="1:17" x14ac:dyDescent="0.35">
      <c r="A107" s="1"/>
      <c r="B107" s="1"/>
      <c r="C107" s="1"/>
      <c r="D107" s="1"/>
      <c r="E107" s="1"/>
      <c r="F107" s="1"/>
      <c r="G107" s="1"/>
      <c r="H107" s="1"/>
      <c r="I107" s="1"/>
      <c r="J107" s="1"/>
      <c r="K107" s="1"/>
      <c r="L107" s="1"/>
      <c r="M107" s="1"/>
      <c r="N107" s="1"/>
      <c r="O107" s="1"/>
      <c r="P107" s="1"/>
      <c r="Q107" s="1"/>
    </row>
    <row r="108" spans="1:17" x14ac:dyDescent="0.35">
      <c r="A108" s="1"/>
      <c r="B108" s="1"/>
      <c r="C108" s="1"/>
      <c r="D108" s="1"/>
      <c r="E108" s="1"/>
      <c r="F108" s="1"/>
      <c r="G108" s="1"/>
      <c r="H108" s="1"/>
      <c r="I108" s="1"/>
      <c r="J108" s="1"/>
      <c r="K108" s="1"/>
      <c r="L108" s="1"/>
      <c r="M108" s="1"/>
      <c r="N108" s="1"/>
      <c r="O108" s="1"/>
      <c r="P108" s="1"/>
      <c r="Q108" s="1"/>
    </row>
    <row r="109" spans="1:17" x14ac:dyDescent="0.35">
      <c r="A109" s="1"/>
      <c r="B109" s="1"/>
      <c r="C109" s="1"/>
      <c r="D109" s="1"/>
      <c r="E109" s="1"/>
      <c r="F109" s="1"/>
      <c r="G109" s="1"/>
      <c r="H109" s="1"/>
      <c r="I109" s="1"/>
      <c r="J109" s="1"/>
      <c r="K109" s="1"/>
      <c r="L109" s="1"/>
      <c r="M109" s="1"/>
      <c r="N109" s="1"/>
      <c r="O109" s="1"/>
      <c r="P109" s="1"/>
      <c r="Q109" s="1"/>
    </row>
    <row r="110" spans="1:17" x14ac:dyDescent="0.35">
      <c r="A110" s="1"/>
      <c r="B110" s="1"/>
      <c r="C110" s="1"/>
      <c r="D110" s="1"/>
      <c r="E110" s="1"/>
      <c r="F110" s="1"/>
      <c r="G110" s="1"/>
      <c r="H110" s="1"/>
      <c r="I110" s="1"/>
      <c r="J110" s="1"/>
      <c r="K110" s="1"/>
      <c r="L110" s="1"/>
      <c r="M110" s="1"/>
      <c r="N110" s="1"/>
      <c r="O110" s="1"/>
      <c r="P110" s="1"/>
      <c r="Q110" s="1"/>
    </row>
    <row r="111" spans="1:17" x14ac:dyDescent="0.35">
      <c r="A111" s="1"/>
      <c r="B111" s="1"/>
      <c r="C111" s="1"/>
      <c r="D111" s="1"/>
      <c r="E111" s="1"/>
      <c r="F111" s="1"/>
      <c r="G111" s="1"/>
      <c r="H111" s="1"/>
      <c r="I111" s="1"/>
      <c r="J111" s="1"/>
      <c r="K111" s="1"/>
      <c r="L111" s="1"/>
      <c r="M111" s="1"/>
      <c r="N111" s="1"/>
      <c r="O111" s="1"/>
      <c r="P111" s="1"/>
      <c r="Q111" s="1"/>
    </row>
    <row r="112" spans="1:17" x14ac:dyDescent="0.35">
      <c r="A112" s="1"/>
      <c r="B112" s="1"/>
      <c r="C112" s="1"/>
      <c r="D112" s="1"/>
      <c r="E112" s="1"/>
      <c r="F112" s="1"/>
      <c r="G112" s="1"/>
      <c r="H112" s="1"/>
      <c r="I112" s="1"/>
      <c r="J112" s="1"/>
      <c r="K112" s="1"/>
      <c r="L112" s="1"/>
      <c r="M112" s="1"/>
      <c r="N112" s="1"/>
      <c r="O112" s="1"/>
      <c r="P112" s="1"/>
      <c r="Q112" s="1"/>
    </row>
    <row r="113" spans="1:17" x14ac:dyDescent="0.35">
      <c r="A113" s="1"/>
      <c r="B113" s="1"/>
      <c r="C113" s="1"/>
      <c r="D113" s="1"/>
      <c r="E113" s="1"/>
      <c r="F113" s="1"/>
      <c r="G113" s="1"/>
      <c r="H113" s="1"/>
      <c r="I113" s="1"/>
      <c r="J113" s="1"/>
      <c r="K113" s="1"/>
      <c r="L113" s="1"/>
      <c r="M113" s="1"/>
      <c r="N113" s="1"/>
      <c r="O113" s="1"/>
      <c r="P113" s="1"/>
      <c r="Q113" s="1"/>
    </row>
    <row r="114" spans="1:17" x14ac:dyDescent="0.35">
      <c r="A114" s="1"/>
      <c r="B114" s="1"/>
      <c r="C114" s="1"/>
      <c r="D114" s="1"/>
      <c r="E114" s="1"/>
      <c r="F114" s="1"/>
      <c r="G114" s="1"/>
      <c r="H114" s="1"/>
      <c r="I114" s="1"/>
      <c r="J114" s="1"/>
      <c r="K114" s="1"/>
      <c r="L114" s="1"/>
      <c r="M114" s="1"/>
      <c r="N114" s="1"/>
      <c r="O114" s="1"/>
      <c r="P114" s="1"/>
      <c r="Q114" s="1"/>
    </row>
    <row r="115" spans="1:17" x14ac:dyDescent="0.35">
      <c r="A115" s="1"/>
      <c r="B115" s="1"/>
      <c r="C115" s="1"/>
      <c r="D115" s="1"/>
      <c r="E115" s="1"/>
      <c r="F115" s="1"/>
      <c r="G115" s="1"/>
      <c r="H115" s="1"/>
      <c r="I115" s="1"/>
      <c r="J115" s="1"/>
      <c r="K115" s="1"/>
      <c r="L115" s="1"/>
      <c r="M115" s="1"/>
      <c r="N115" s="1"/>
      <c r="O115" s="1"/>
      <c r="P115" s="1"/>
      <c r="Q115" s="1"/>
    </row>
    <row r="116" spans="1:17" x14ac:dyDescent="0.35">
      <c r="A116" s="1"/>
      <c r="B116" s="1"/>
      <c r="C116" s="1"/>
      <c r="D116" s="1"/>
      <c r="E116" s="1"/>
      <c r="F116" s="1"/>
      <c r="G116" s="1"/>
      <c r="H116" s="1"/>
      <c r="I116" s="1"/>
      <c r="J116" s="1"/>
      <c r="K116" s="1"/>
      <c r="L116" s="1"/>
      <c r="M116" s="1"/>
      <c r="N116" s="1"/>
      <c r="O116" s="1"/>
      <c r="P116" s="1"/>
      <c r="Q116" s="1"/>
    </row>
    <row r="117" spans="1:17" x14ac:dyDescent="0.35">
      <c r="A117" s="1"/>
      <c r="B117" s="1"/>
      <c r="C117" s="1"/>
      <c r="D117" s="1"/>
      <c r="E117" s="1"/>
      <c r="F117" s="1"/>
      <c r="G117" s="1"/>
      <c r="H117" s="1"/>
      <c r="I117" s="1"/>
      <c r="J117" s="1"/>
      <c r="K117" s="1"/>
      <c r="L117" s="1"/>
      <c r="M117" s="1"/>
      <c r="N117" s="1"/>
      <c r="O117" s="1"/>
      <c r="P117" s="1"/>
      <c r="Q117" s="1"/>
    </row>
    <row r="118" spans="1:17" x14ac:dyDescent="0.35">
      <c r="A118" s="1"/>
      <c r="B118" s="1"/>
      <c r="C118" s="1"/>
      <c r="D118" s="1"/>
      <c r="E118" s="1"/>
      <c r="F118" s="1"/>
      <c r="G118" s="1"/>
      <c r="H118" s="1"/>
      <c r="I118" s="1"/>
      <c r="J118" s="1"/>
      <c r="K118" s="1"/>
      <c r="L118" s="1"/>
      <c r="M118" s="1"/>
      <c r="N118" s="1"/>
      <c r="O118" s="1"/>
      <c r="P118" s="1"/>
      <c r="Q118" s="1"/>
    </row>
    <row r="119" spans="1:17" x14ac:dyDescent="0.35">
      <c r="A119" s="1"/>
      <c r="B119" s="1"/>
      <c r="C119" s="1"/>
      <c r="D119" s="1"/>
      <c r="E119" s="1"/>
      <c r="F119" s="1"/>
      <c r="G119" s="1"/>
      <c r="H119" s="1"/>
      <c r="I119" s="1"/>
      <c r="J119" s="1"/>
      <c r="K119" s="1"/>
      <c r="L119" s="1"/>
      <c r="M119" s="1"/>
      <c r="N119" s="1"/>
      <c r="O119" s="1"/>
      <c r="P119" s="1"/>
      <c r="Q119" s="1"/>
    </row>
    <row r="120" spans="1:17" x14ac:dyDescent="0.35">
      <c r="A120" s="1"/>
      <c r="B120" s="1"/>
      <c r="C120" s="1"/>
      <c r="D120" s="1"/>
      <c r="E120" s="1"/>
      <c r="F120" s="1"/>
      <c r="G120" s="1"/>
      <c r="H120" s="1"/>
      <c r="I120" s="1"/>
      <c r="J120" s="1"/>
      <c r="K120" s="1"/>
      <c r="L120" s="1"/>
      <c r="M120" s="1"/>
      <c r="N120" s="1"/>
      <c r="O120" s="1"/>
      <c r="P120" s="1"/>
      <c r="Q120" s="1"/>
    </row>
    <row r="121" spans="1:17" x14ac:dyDescent="0.35">
      <c r="A121" s="1"/>
      <c r="B121" s="1"/>
      <c r="C121" s="1"/>
      <c r="D121" s="1"/>
      <c r="E121" s="1"/>
      <c r="F121" s="1"/>
      <c r="G121" s="1"/>
      <c r="H121" s="1"/>
      <c r="I121" s="1"/>
      <c r="J121" s="1"/>
      <c r="K121" s="1"/>
      <c r="L121" s="1"/>
      <c r="M121" s="1"/>
      <c r="N121" s="1"/>
      <c r="O121" s="1"/>
      <c r="P121" s="1"/>
      <c r="Q121" s="1"/>
    </row>
    <row r="122" spans="1:17" x14ac:dyDescent="0.35">
      <c r="A122" s="1"/>
      <c r="B122" s="1"/>
      <c r="C122" s="1"/>
      <c r="D122" s="1"/>
      <c r="E122" s="1"/>
      <c r="F122" s="1"/>
      <c r="G122" s="1"/>
      <c r="H122" s="1"/>
      <c r="I122" s="1"/>
      <c r="J122" s="1"/>
      <c r="K122" s="1"/>
      <c r="L122" s="1"/>
      <c r="M122" s="1"/>
      <c r="N122" s="1"/>
      <c r="O122" s="1"/>
      <c r="P122" s="1"/>
      <c r="Q122" s="1"/>
    </row>
    <row r="123" spans="1:17" x14ac:dyDescent="0.35">
      <c r="A123" s="1"/>
      <c r="B123" s="1"/>
      <c r="C123" s="1"/>
      <c r="D123" s="1"/>
      <c r="E123" s="1"/>
      <c r="F123" s="1"/>
      <c r="G123" s="1"/>
      <c r="H123" s="1"/>
      <c r="I123" s="1"/>
      <c r="J123" s="1"/>
      <c r="K123" s="1"/>
      <c r="L123" s="1"/>
      <c r="M123" s="1"/>
      <c r="N123" s="1"/>
      <c r="O123" s="1"/>
      <c r="P123" s="1"/>
      <c r="Q123" s="1"/>
    </row>
    <row r="124" spans="1:17" x14ac:dyDescent="0.35">
      <c r="A124" s="1"/>
      <c r="B124" s="1"/>
      <c r="C124" s="1"/>
      <c r="D124" s="1"/>
      <c r="E124" s="1"/>
      <c r="F124" s="1"/>
      <c r="G124" s="1"/>
      <c r="H124" s="1"/>
      <c r="I124" s="1"/>
      <c r="J124" s="1"/>
      <c r="K124" s="1"/>
      <c r="L124" s="1"/>
      <c r="M124" s="1"/>
      <c r="N124" s="1"/>
      <c r="O124" s="1"/>
      <c r="P124" s="1"/>
      <c r="Q124" s="1"/>
    </row>
    <row r="125" spans="1:17" x14ac:dyDescent="0.35">
      <c r="A125" s="1"/>
      <c r="B125" s="1"/>
      <c r="C125" s="1"/>
      <c r="D125" s="1"/>
      <c r="E125" s="1"/>
      <c r="F125" s="1"/>
      <c r="G125" s="1"/>
      <c r="H125" s="1"/>
      <c r="I125" s="1"/>
      <c r="J125" s="1"/>
      <c r="K125" s="1"/>
      <c r="L125" s="1"/>
      <c r="M125" s="1"/>
      <c r="N125" s="1"/>
      <c r="O125" s="1"/>
      <c r="P125" s="1"/>
      <c r="Q125" s="1"/>
    </row>
    <row r="126" spans="1:17" x14ac:dyDescent="0.35">
      <c r="A126" s="1"/>
      <c r="B126" s="1"/>
      <c r="C126" s="1"/>
      <c r="D126" s="1"/>
      <c r="E126" s="1"/>
      <c r="F126" s="1"/>
      <c r="G126" s="1"/>
      <c r="H126" s="1"/>
      <c r="I126" s="1"/>
      <c r="J126" s="1"/>
      <c r="K126" s="1"/>
      <c r="L126" s="1"/>
      <c r="M126" s="1"/>
      <c r="N126" s="1"/>
      <c r="O126" s="1"/>
      <c r="P126" s="1"/>
      <c r="Q126" s="1"/>
    </row>
    <row r="127" spans="1:17" x14ac:dyDescent="0.35">
      <c r="A127" s="1"/>
      <c r="B127" s="1"/>
      <c r="C127" s="1"/>
      <c r="D127" s="1"/>
      <c r="E127" s="1"/>
      <c r="F127" s="1"/>
      <c r="G127" s="1"/>
      <c r="H127" s="1"/>
      <c r="I127" s="1"/>
      <c r="J127" s="1"/>
      <c r="K127" s="1"/>
      <c r="L127" s="1"/>
      <c r="M127" s="1"/>
      <c r="N127" s="1"/>
      <c r="O127" s="1"/>
      <c r="P127" s="1"/>
      <c r="Q127" s="1"/>
    </row>
    <row r="128" spans="1:17" x14ac:dyDescent="0.35">
      <c r="A128" s="1"/>
      <c r="B128" s="1"/>
      <c r="C128" s="1"/>
      <c r="D128" s="1"/>
      <c r="E128" s="1"/>
      <c r="F128" s="1"/>
      <c r="G128" s="1"/>
      <c r="H128" s="1"/>
      <c r="I128" s="1"/>
      <c r="J128" s="1"/>
      <c r="K128" s="1"/>
      <c r="L128" s="1"/>
      <c r="M128" s="1"/>
      <c r="N128" s="1"/>
      <c r="O128" s="1"/>
      <c r="P128" s="1"/>
      <c r="Q128" s="1"/>
    </row>
    <row r="129" spans="1:17" x14ac:dyDescent="0.35">
      <c r="A129" s="1"/>
      <c r="B129" s="1"/>
      <c r="C129" s="1"/>
      <c r="D129" s="1"/>
      <c r="E129" s="1"/>
      <c r="F129" s="1"/>
      <c r="G129" s="1"/>
      <c r="H129" s="1"/>
      <c r="I129" s="1"/>
      <c r="J129" s="1"/>
      <c r="K129" s="1"/>
      <c r="L129" s="1"/>
      <c r="M129" s="1"/>
      <c r="N129" s="1"/>
      <c r="O129" s="1"/>
      <c r="P129" s="1"/>
      <c r="Q129" s="1"/>
    </row>
    <row r="130" spans="1:17" x14ac:dyDescent="0.35">
      <c r="A130" s="1"/>
      <c r="B130" s="1"/>
      <c r="C130" s="1"/>
      <c r="D130" s="1"/>
      <c r="E130" s="1"/>
      <c r="F130" s="1"/>
      <c r="G130" s="1"/>
      <c r="H130" s="1"/>
      <c r="I130" s="1"/>
      <c r="J130" s="1"/>
      <c r="K130" s="1"/>
      <c r="L130" s="1"/>
      <c r="M130" s="1"/>
      <c r="N130" s="1"/>
      <c r="O130" s="1"/>
      <c r="P130" s="1"/>
      <c r="Q130" s="1"/>
    </row>
    <row r="131" spans="1:17" x14ac:dyDescent="0.35">
      <c r="A131" s="1"/>
      <c r="B131" s="1"/>
      <c r="C131" s="1"/>
      <c r="D131" s="1"/>
      <c r="E131" s="1"/>
      <c r="F131" s="1"/>
      <c r="G131" s="1"/>
      <c r="H131" s="1"/>
      <c r="I131" s="1"/>
      <c r="J131" s="1"/>
      <c r="K131" s="1"/>
      <c r="L131" s="1"/>
      <c r="M131" s="1"/>
      <c r="N131" s="1"/>
      <c r="O131" s="1"/>
      <c r="P131" s="1"/>
      <c r="Q131" s="1"/>
    </row>
    <row r="132" spans="1:17" x14ac:dyDescent="0.35">
      <c r="A132" s="1"/>
      <c r="B132" s="1"/>
      <c r="C132" s="1"/>
      <c r="D132" s="1"/>
      <c r="E132" s="1"/>
      <c r="F132" s="1"/>
      <c r="G132" s="1"/>
      <c r="H132" s="1"/>
      <c r="I132" s="1"/>
      <c r="J132" s="1"/>
      <c r="K132" s="1"/>
      <c r="L132" s="1"/>
      <c r="M132" s="1"/>
      <c r="N132" s="1"/>
      <c r="O132" s="1"/>
      <c r="P132" s="1"/>
      <c r="Q132" s="1"/>
    </row>
    <row r="133" spans="1:17" x14ac:dyDescent="0.35">
      <c r="A133" s="1"/>
      <c r="B133" s="1"/>
      <c r="C133" s="1"/>
      <c r="D133" s="1"/>
      <c r="E133" s="1"/>
      <c r="F133" s="1"/>
      <c r="G133" s="1"/>
      <c r="H133" s="1"/>
      <c r="I133" s="1"/>
      <c r="J133" s="1"/>
      <c r="K133" s="1"/>
      <c r="L133" s="1"/>
      <c r="M133" s="1"/>
      <c r="N133" s="1"/>
      <c r="O133" s="1"/>
      <c r="P133" s="1"/>
      <c r="Q133" s="1"/>
    </row>
    <row r="134" spans="1:17" x14ac:dyDescent="0.35">
      <c r="A134" s="1"/>
      <c r="B134" s="1"/>
      <c r="C134" s="1"/>
      <c r="D134" s="1"/>
      <c r="E134" s="1"/>
      <c r="F134" s="1"/>
      <c r="G134" s="1"/>
      <c r="H134" s="1"/>
      <c r="I134" s="1"/>
      <c r="J134" s="1"/>
      <c r="K134" s="1"/>
      <c r="L134" s="1"/>
      <c r="M134" s="1"/>
      <c r="N134" s="1"/>
      <c r="O134" s="1"/>
      <c r="P134" s="1"/>
      <c r="Q134" s="1"/>
    </row>
    <row r="135" spans="1:17" x14ac:dyDescent="0.35">
      <c r="A135" s="1"/>
      <c r="B135" s="1"/>
      <c r="C135" s="1"/>
      <c r="D135" s="1"/>
      <c r="E135" s="1"/>
      <c r="F135" s="1"/>
      <c r="G135" s="1"/>
      <c r="H135" s="1"/>
      <c r="I135" s="1"/>
      <c r="J135" s="1"/>
      <c r="K135" s="1"/>
      <c r="L135" s="1"/>
      <c r="M135" s="1"/>
      <c r="N135" s="1"/>
      <c r="O135" s="1"/>
      <c r="P135" s="1"/>
      <c r="Q135" s="1"/>
    </row>
    <row r="136" spans="1:17" x14ac:dyDescent="0.35">
      <c r="A136" s="1"/>
      <c r="B136" s="1"/>
      <c r="C136" s="1"/>
      <c r="D136" s="1"/>
      <c r="E136" s="1"/>
      <c r="F136" s="1"/>
      <c r="G136" s="1"/>
      <c r="H136" s="1"/>
      <c r="I136" s="1"/>
      <c r="J136" s="1"/>
      <c r="K136" s="1"/>
      <c r="L136" s="1"/>
      <c r="M136" s="1"/>
      <c r="N136" s="1"/>
      <c r="O136" s="1"/>
      <c r="P136" s="1"/>
      <c r="Q136" s="1"/>
    </row>
    <row r="137" spans="1:17" x14ac:dyDescent="0.35">
      <c r="A137" s="1"/>
      <c r="B137" s="1"/>
      <c r="C137" s="1"/>
      <c r="D137" s="1"/>
      <c r="E137" s="1"/>
      <c r="F137" s="1"/>
      <c r="G137" s="1"/>
      <c r="H137" s="1"/>
      <c r="I137" s="1"/>
      <c r="J137" s="1"/>
      <c r="K137" s="1"/>
      <c r="L137" s="1"/>
      <c r="M137" s="1"/>
      <c r="N137" s="1"/>
      <c r="O137" s="1"/>
      <c r="P137" s="1"/>
      <c r="Q137" s="1"/>
    </row>
    <row r="138" spans="1:17" x14ac:dyDescent="0.35">
      <c r="A138" s="1"/>
      <c r="B138" s="1"/>
      <c r="C138" s="1"/>
      <c r="D138" s="1"/>
      <c r="E138" s="1"/>
      <c r="F138" s="1"/>
      <c r="G138" s="1"/>
      <c r="H138" s="1"/>
      <c r="I138" s="1"/>
      <c r="J138" s="1"/>
      <c r="K138" s="1"/>
      <c r="L138" s="1"/>
      <c r="M138" s="1"/>
      <c r="N138" s="1"/>
      <c r="O138" s="1"/>
      <c r="P138" s="1"/>
      <c r="Q138" s="1"/>
    </row>
    <row r="139" spans="1:17" x14ac:dyDescent="0.35">
      <c r="A139" s="1"/>
      <c r="B139" s="1"/>
      <c r="C139" s="1"/>
      <c r="D139" s="1"/>
      <c r="E139" s="1"/>
      <c r="F139" s="1"/>
      <c r="G139" s="1"/>
      <c r="H139" s="1"/>
      <c r="I139" s="1"/>
      <c r="J139" s="1"/>
      <c r="K139" s="1"/>
      <c r="L139" s="1"/>
      <c r="M139" s="1"/>
      <c r="N139" s="1"/>
      <c r="O139" s="1"/>
      <c r="P139" s="1"/>
      <c r="Q139" s="1"/>
    </row>
    <row r="140" spans="1:17" x14ac:dyDescent="0.35">
      <c r="A140" s="1"/>
      <c r="B140" s="1"/>
      <c r="C140" s="1"/>
      <c r="D140" s="1"/>
      <c r="E140" s="1"/>
      <c r="F140" s="1"/>
      <c r="G140" s="1"/>
      <c r="H140" s="1"/>
      <c r="I140" s="1"/>
      <c r="J140" s="1"/>
      <c r="K140" s="1"/>
      <c r="L140" s="1"/>
      <c r="M140" s="1"/>
      <c r="N140" s="1"/>
      <c r="O140" s="1"/>
      <c r="P140" s="1"/>
      <c r="Q140" s="1"/>
    </row>
    <row r="141" spans="1:17" x14ac:dyDescent="0.35">
      <c r="A141" s="1"/>
      <c r="B141" s="1"/>
      <c r="C141" s="1"/>
      <c r="D141" s="1"/>
      <c r="E141" s="1"/>
      <c r="F141" s="1"/>
      <c r="G141" s="1"/>
      <c r="H141" s="1"/>
      <c r="I141" s="1"/>
      <c r="J141" s="1"/>
      <c r="K141" s="1"/>
      <c r="L141" s="1"/>
      <c r="M141" s="1"/>
      <c r="N141" s="1"/>
      <c r="O141" s="1"/>
      <c r="P141" s="1"/>
      <c r="Q141" s="1"/>
    </row>
    <row r="142" spans="1:17" x14ac:dyDescent="0.35">
      <c r="A142" s="1"/>
      <c r="B142" s="1"/>
      <c r="C142" s="1"/>
      <c r="D142" s="1"/>
      <c r="E142" s="1"/>
      <c r="F142" s="1"/>
      <c r="G142" s="1"/>
      <c r="H142" s="1"/>
      <c r="I142" s="1"/>
      <c r="J142" s="1"/>
      <c r="K142" s="1"/>
      <c r="L142" s="1"/>
      <c r="M142" s="1"/>
      <c r="N142" s="1"/>
      <c r="O142" s="1"/>
      <c r="P142" s="1"/>
      <c r="Q142" s="1"/>
    </row>
    <row r="143" spans="1:17" x14ac:dyDescent="0.35">
      <c r="A143" s="1"/>
      <c r="B143" s="1"/>
      <c r="C143" s="1"/>
      <c r="D143" s="1"/>
      <c r="E143" s="1"/>
      <c r="F143" s="1"/>
      <c r="G143" s="1"/>
      <c r="H143" s="1"/>
      <c r="I143" s="1"/>
      <c r="J143" s="1"/>
      <c r="K143" s="1"/>
      <c r="L143" s="1"/>
      <c r="M143" s="1"/>
      <c r="N143" s="1"/>
      <c r="O143" s="1"/>
      <c r="P143" s="1"/>
      <c r="Q143" s="1"/>
    </row>
    <row r="144" spans="1:17" x14ac:dyDescent="0.35">
      <c r="A144" s="1"/>
      <c r="B144" s="1"/>
      <c r="C144" s="1"/>
      <c r="D144" s="1"/>
      <c r="E144" s="1"/>
      <c r="F144" s="1"/>
      <c r="G144" s="1"/>
      <c r="H144" s="1"/>
      <c r="I144" s="1"/>
      <c r="J144" s="1"/>
      <c r="K144" s="1"/>
      <c r="L144" s="1"/>
      <c r="M144" s="1"/>
      <c r="N144" s="1"/>
      <c r="O144" s="1"/>
      <c r="P144" s="1"/>
      <c r="Q144" s="1"/>
    </row>
    <row r="145" spans="1:17" x14ac:dyDescent="0.35">
      <c r="A145" s="1"/>
      <c r="B145" s="1"/>
      <c r="C145" s="1"/>
      <c r="D145" s="1"/>
      <c r="E145" s="1"/>
      <c r="F145" s="1"/>
      <c r="G145" s="1"/>
      <c r="H145" s="1"/>
      <c r="I145" s="1"/>
      <c r="J145" s="1"/>
      <c r="K145" s="1"/>
      <c r="L145" s="1"/>
      <c r="M145" s="1"/>
      <c r="N145" s="1"/>
      <c r="O145" s="1"/>
      <c r="P145" s="1"/>
      <c r="Q145" s="1"/>
    </row>
    <row r="146" spans="1:17" x14ac:dyDescent="0.35">
      <c r="A146" s="1"/>
      <c r="B146" s="1"/>
      <c r="C146" s="1"/>
      <c r="D146" s="1"/>
      <c r="E146" s="1"/>
      <c r="F146" s="1"/>
      <c r="G146" s="1"/>
      <c r="H146" s="1"/>
      <c r="I146" s="1"/>
      <c r="J146" s="1"/>
      <c r="K146" s="1"/>
      <c r="L146" s="1"/>
      <c r="M146" s="1"/>
      <c r="N146" s="1"/>
      <c r="O146" s="1"/>
      <c r="P146" s="1"/>
      <c r="Q146" s="1"/>
    </row>
    <row r="147" spans="1:17" x14ac:dyDescent="0.35">
      <c r="A147" s="1"/>
      <c r="B147" s="1"/>
      <c r="C147" s="1"/>
      <c r="D147" s="1"/>
      <c r="E147" s="1"/>
      <c r="F147" s="1"/>
      <c r="G147" s="1"/>
      <c r="H147" s="1"/>
      <c r="I147" s="1"/>
      <c r="J147" s="1"/>
      <c r="K147" s="1"/>
      <c r="L147" s="1"/>
      <c r="M147" s="1"/>
      <c r="N147" s="1"/>
      <c r="O147" s="1"/>
      <c r="P147" s="1"/>
      <c r="Q147" s="1"/>
    </row>
    <row r="148" spans="1:17" x14ac:dyDescent="0.35">
      <c r="A148" s="1"/>
      <c r="B148" s="1"/>
      <c r="C148" s="1"/>
      <c r="D148" s="1"/>
      <c r="E148" s="1"/>
      <c r="F148" s="1"/>
      <c r="G148" s="1"/>
      <c r="H148" s="1"/>
      <c r="I148" s="1"/>
      <c r="J148" s="1"/>
      <c r="K148" s="1"/>
      <c r="L148" s="1"/>
      <c r="M148" s="1"/>
      <c r="N148" s="1"/>
      <c r="O148" s="1"/>
      <c r="P148" s="1"/>
      <c r="Q148" s="1"/>
    </row>
    <row r="149" spans="1:17" x14ac:dyDescent="0.35">
      <c r="A149" s="1"/>
      <c r="B149" s="1"/>
      <c r="C149" s="1"/>
      <c r="D149" s="1"/>
      <c r="E149" s="1"/>
      <c r="F149" s="1"/>
      <c r="G149" s="1"/>
      <c r="H149" s="1"/>
      <c r="I149" s="1"/>
      <c r="J149" s="1"/>
      <c r="K149" s="1"/>
      <c r="L149" s="1"/>
      <c r="M149" s="1"/>
      <c r="N149" s="1"/>
      <c r="O149" s="1"/>
      <c r="P149" s="1"/>
      <c r="Q149" s="1"/>
    </row>
    <row r="150" spans="1:17" x14ac:dyDescent="0.35">
      <c r="A150" s="1"/>
      <c r="B150" s="1"/>
      <c r="C150" s="1"/>
      <c r="D150" s="1"/>
      <c r="E150" s="1"/>
      <c r="F150" s="1"/>
      <c r="G150" s="1"/>
      <c r="H150" s="1"/>
      <c r="I150" s="1"/>
      <c r="J150" s="1"/>
      <c r="K150" s="1"/>
      <c r="L150" s="1"/>
      <c r="M150" s="1"/>
      <c r="N150" s="1"/>
      <c r="O150" s="1"/>
      <c r="P150" s="1"/>
      <c r="Q150" s="1"/>
    </row>
    <row r="151" spans="1:17" x14ac:dyDescent="0.35">
      <c r="A151" s="1"/>
      <c r="B151" s="1"/>
      <c r="C151" s="1"/>
      <c r="D151" s="1"/>
      <c r="E151" s="1"/>
      <c r="F151" s="1"/>
      <c r="G151" s="1"/>
      <c r="H151" s="1"/>
      <c r="I151" s="1"/>
      <c r="J151" s="1"/>
      <c r="K151" s="1"/>
      <c r="L151" s="1"/>
      <c r="M151" s="1"/>
      <c r="N151" s="1"/>
      <c r="O151" s="1"/>
      <c r="P151" s="1"/>
      <c r="Q151" s="1"/>
    </row>
    <row r="152" spans="1:17" x14ac:dyDescent="0.35">
      <c r="A152" s="1"/>
      <c r="B152" s="1"/>
      <c r="C152" s="1"/>
      <c r="D152" s="1"/>
      <c r="E152" s="1"/>
      <c r="F152" s="1"/>
      <c r="G152" s="1"/>
      <c r="H152" s="1"/>
      <c r="I152" s="1"/>
      <c r="J152" s="1"/>
      <c r="K152" s="1"/>
      <c r="L152" s="1"/>
      <c r="M152" s="1"/>
      <c r="N152" s="1"/>
      <c r="O152" s="1"/>
      <c r="P152" s="1"/>
      <c r="Q152" s="1"/>
    </row>
    <row r="153" spans="1:17" x14ac:dyDescent="0.35">
      <c r="A153" s="1"/>
      <c r="B153" s="1"/>
      <c r="C153" s="1"/>
      <c r="D153" s="1"/>
      <c r="E153" s="1"/>
      <c r="F153" s="1"/>
      <c r="G153" s="1"/>
      <c r="H153" s="1"/>
      <c r="I153" s="1"/>
      <c r="J153" s="1"/>
      <c r="K153" s="1"/>
      <c r="L153" s="1"/>
      <c r="M153" s="1"/>
      <c r="N153" s="1"/>
      <c r="O153" s="1"/>
      <c r="P153" s="1"/>
      <c r="Q153" s="1"/>
    </row>
    <row r="154" spans="1:17" x14ac:dyDescent="0.35">
      <c r="A154" s="1"/>
      <c r="B154" s="1"/>
      <c r="C154" s="1"/>
      <c r="D154" s="1"/>
      <c r="E154" s="1"/>
      <c r="F154" s="1"/>
      <c r="G154" s="1"/>
      <c r="H154" s="1"/>
      <c r="I154" s="1"/>
      <c r="J154" s="1"/>
      <c r="K154" s="1"/>
      <c r="L154" s="1"/>
      <c r="M154" s="1"/>
      <c r="N154" s="1"/>
      <c r="O154" s="1"/>
      <c r="P154" s="1"/>
      <c r="Q154" s="1"/>
    </row>
    <row r="155" spans="1:17" x14ac:dyDescent="0.35">
      <c r="A155" s="1"/>
      <c r="B155" s="1"/>
      <c r="C155" s="1"/>
      <c r="D155" s="1"/>
      <c r="E155" s="1"/>
      <c r="F155" s="1"/>
      <c r="G155" s="1"/>
      <c r="H155" s="1"/>
      <c r="I155" s="1"/>
      <c r="J155" s="1"/>
      <c r="K155" s="1"/>
      <c r="L155" s="1"/>
      <c r="M155" s="1"/>
      <c r="N155" s="1"/>
      <c r="O155" s="1"/>
      <c r="P155" s="1"/>
      <c r="Q155" s="1"/>
    </row>
    <row r="156" spans="1:17" x14ac:dyDescent="0.35">
      <c r="A156" s="1"/>
      <c r="B156" s="1"/>
      <c r="C156" s="1"/>
      <c r="D156" s="1"/>
      <c r="E156" s="1"/>
      <c r="F156" s="1"/>
      <c r="G156" s="1"/>
      <c r="H156" s="1"/>
      <c r="I156" s="1"/>
      <c r="J156" s="1"/>
      <c r="K156" s="1"/>
      <c r="L156" s="1"/>
      <c r="M156" s="1"/>
      <c r="N156" s="1"/>
      <c r="O156" s="1"/>
      <c r="P156" s="1"/>
      <c r="Q156" s="1"/>
    </row>
    <row r="157" spans="1:17" x14ac:dyDescent="0.35">
      <c r="A157" s="1"/>
      <c r="B157" s="1"/>
      <c r="C157" s="1"/>
      <c r="D157" s="1"/>
      <c r="E157" s="1"/>
      <c r="F157" s="1"/>
      <c r="G157" s="1"/>
      <c r="H157" s="1"/>
      <c r="I157" s="1"/>
      <c r="J157" s="1"/>
      <c r="K157" s="1"/>
      <c r="L157" s="1"/>
      <c r="M157" s="1"/>
      <c r="N157" s="1"/>
      <c r="O157" s="1"/>
      <c r="P157" s="1"/>
      <c r="Q157" s="1"/>
    </row>
    <row r="158" spans="1:17" x14ac:dyDescent="0.35">
      <c r="A158" s="1"/>
      <c r="B158" s="1"/>
      <c r="C158" s="1"/>
      <c r="D158" s="1"/>
      <c r="E158" s="1"/>
      <c r="F158" s="1"/>
      <c r="G158" s="1"/>
      <c r="H158" s="1"/>
      <c r="I158" s="1"/>
      <c r="J158" s="1"/>
      <c r="K158" s="1"/>
      <c r="L158" s="1"/>
      <c r="M158" s="1"/>
      <c r="N158" s="1"/>
      <c r="O158" s="1"/>
      <c r="P158" s="1"/>
      <c r="Q158" s="1"/>
    </row>
    <row r="159" spans="1:17" x14ac:dyDescent="0.35">
      <c r="A159" s="1"/>
      <c r="B159" s="1"/>
      <c r="C159" s="1"/>
      <c r="D159" s="1"/>
      <c r="E159" s="1"/>
      <c r="F159" s="1"/>
      <c r="G159" s="1"/>
      <c r="H159" s="1"/>
      <c r="I159" s="1"/>
      <c r="J159" s="1"/>
      <c r="K159" s="1"/>
      <c r="L159" s="1"/>
      <c r="M159" s="1"/>
      <c r="N159" s="1"/>
      <c r="O159" s="1"/>
      <c r="P159" s="1"/>
      <c r="Q159" s="1"/>
    </row>
    <row r="160" spans="1:17" x14ac:dyDescent="0.35">
      <c r="A160" s="1"/>
      <c r="B160" s="1"/>
      <c r="C160" s="1"/>
      <c r="D160" s="1"/>
      <c r="E160" s="1"/>
      <c r="F160" s="1"/>
      <c r="G160" s="1"/>
      <c r="H160" s="1"/>
      <c r="I160" s="1"/>
      <c r="J160" s="1"/>
      <c r="K160" s="1"/>
      <c r="L160" s="1"/>
      <c r="M160" s="1"/>
      <c r="N160" s="1"/>
      <c r="O160" s="1"/>
      <c r="P160" s="1"/>
      <c r="Q160" s="1"/>
    </row>
    <row r="161" spans="1:17" x14ac:dyDescent="0.35">
      <c r="A161" s="1"/>
      <c r="B161" s="1"/>
      <c r="C161" s="1"/>
      <c r="D161" s="1"/>
      <c r="E161" s="1"/>
      <c r="F161" s="1"/>
      <c r="G161" s="1"/>
      <c r="H161" s="1"/>
      <c r="I161" s="1"/>
      <c r="J161" s="1"/>
      <c r="K161" s="1"/>
      <c r="L161" s="1"/>
      <c r="M161" s="1"/>
      <c r="N161" s="1"/>
      <c r="O161" s="1"/>
      <c r="P161" s="1"/>
      <c r="Q161" s="1"/>
    </row>
    <row r="162" spans="1:17" x14ac:dyDescent="0.35">
      <c r="A162" s="1"/>
      <c r="B162" s="1"/>
      <c r="C162" s="1"/>
      <c r="D162" s="1"/>
      <c r="E162" s="1"/>
      <c r="F162" s="1"/>
      <c r="G162" s="1"/>
      <c r="H162" s="1"/>
      <c r="I162" s="1"/>
      <c r="J162" s="1"/>
      <c r="K162" s="1"/>
      <c r="L162" s="1"/>
      <c r="M162" s="1"/>
      <c r="N162" s="1"/>
      <c r="O162" s="1"/>
      <c r="P162" s="1"/>
      <c r="Q162" s="1"/>
    </row>
    <row r="163" spans="1:17" x14ac:dyDescent="0.35">
      <c r="A163" s="1"/>
      <c r="B163" s="1"/>
      <c r="C163" s="1"/>
      <c r="D163" s="1"/>
      <c r="E163" s="1"/>
      <c r="F163" s="1"/>
      <c r="G163" s="1"/>
      <c r="H163" s="1"/>
      <c r="I163" s="1"/>
      <c r="J163" s="1"/>
      <c r="K163" s="1"/>
      <c r="L163" s="1"/>
      <c r="M163" s="1"/>
      <c r="N163" s="1"/>
      <c r="O163" s="1"/>
      <c r="P163" s="1"/>
      <c r="Q163" s="1"/>
    </row>
    <row r="164" spans="1:17" x14ac:dyDescent="0.35">
      <c r="A164" s="1"/>
      <c r="B164" s="1"/>
      <c r="C164" s="1"/>
      <c r="D164" s="1"/>
      <c r="E164" s="1"/>
      <c r="F164" s="1"/>
      <c r="G164" s="1"/>
      <c r="H164" s="1"/>
      <c r="I164" s="1"/>
      <c r="J164" s="1"/>
      <c r="K164" s="1"/>
      <c r="L164" s="1"/>
      <c r="M164" s="1"/>
      <c r="N164" s="1"/>
      <c r="O164" s="1"/>
      <c r="P164" s="1"/>
      <c r="Q164" s="1"/>
    </row>
    <row r="165" spans="1:17" x14ac:dyDescent="0.35">
      <c r="A165" s="1"/>
      <c r="B165" s="1"/>
      <c r="C165" s="1"/>
      <c r="D165" s="1"/>
      <c r="E165" s="1"/>
      <c r="F165" s="1"/>
      <c r="G165" s="1"/>
      <c r="H165" s="1"/>
      <c r="I165" s="1"/>
      <c r="J165" s="1"/>
      <c r="K165" s="1"/>
      <c r="L165" s="1"/>
      <c r="M165" s="1"/>
      <c r="N165" s="1"/>
      <c r="O165" s="1"/>
      <c r="P165" s="1"/>
      <c r="Q165" s="1"/>
    </row>
    <row r="166" spans="1:17" x14ac:dyDescent="0.35">
      <c r="A166" s="1"/>
      <c r="B166" s="1"/>
      <c r="C166" s="1"/>
      <c r="D166" s="1"/>
      <c r="E166" s="1"/>
      <c r="F166" s="1"/>
      <c r="G166" s="1"/>
      <c r="H166" s="1"/>
      <c r="I166" s="1"/>
      <c r="J166" s="1"/>
      <c r="K166" s="1"/>
      <c r="L166" s="1"/>
      <c r="M166" s="1"/>
      <c r="N166" s="1"/>
      <c r="O166" s="1"/>
      <c r="P166" s="1"/>
      <c r="Q166" s="1"/>
    </row>
    <row r="167" spans="1:17" x14ac:dyDescent="0.35">
      <c r="A167" s="1"/>
      <c r="B167" s="1"/>
      <c r="C167" s="1"/>
      <c r="D167" s="1"/>
      <c r="E167" s="1"/>
      <c r="F167" s="1"/>
      <c r="G167" s="1"/>
      <c r="H167" s="1"/>
      <c r="I167" s="1"/>
      <c r="J167" s="1"/>
      <c r="K167" s="1"/>
      <c r="L167" s="1"/>
      <c r="M167" s="1"/>
      <c r="N167" s="1"/>
      <c r="O167" s="1"/>
      <c r="P167" s="1"/>
      <c r="Q167" s="1"/>
    </row>
    <row r="168" spans="1:17" x14ac:dyDescent="0.35">
      <c r="A168" s="1"/>
      <c r="B168" s="1"/>
      <c r="C168" s="1"/>
      <c r="D168" s="1"/>
      <c r="E168" s="1"/>
      <c r="F168" s="1"/>
      <c r="G168" s="1"/>
      <c r="H168" s="1"/>
      <c r="I168" s="1"/>
      <c r="J168" s="1"/>
      <c r="K168" s="1"/>
      <c r="L168" s="1"/>
      <c r="M168" s="1"/>
      <c r="N168" s="1"/>
      <c r="O168" s="1"/>
      <c r="P168" s="1"/>
      <c r="Q168" s="1"/>
    </row>
    <row r="169" spans="1:17" x14ac:dyDescent="0.35">
      <c r="A169" s="1"/>
      <c r="B169" s="1"/>
      <c r="C169" s="1"/>
      <c r="D169" s="1"/>
      <c r="E169" s="1"/>
      <c r="F169" s="1"/>
      <c r="G169" s="1"/>
      <c r="H169" s="1"/>
      <c r="I169" s="1"/>
      <c r="J169" s="1"/>
      <c r="K169" s="1"/>
      <c r="L169" s="1"/>
      <c r="M169" s="1"/>
      <c r="N169" s="1"/>
      <c r="O169" s="1"/>
      <c r="P169" s="1"/>
      <c r="Q169" s="1"/>
    </row>
    <row r="170" spans="1:17" x14ac:dyDescent="0.35">
      <c r="A170" s="1"/>
      <c r="B170" s="1"/>
      <c r="C170" s="1"/>
      <c r="D170" s="1"/>
      <c r="E170" s="1"/>
      <c r="F170" s="1"/>
      <c r="G170" s="1"/>
      <c r="H170" s="1"/>
      <c r="I170" s="1"/>
      <c r="J170" s="1"/>
      <c r="K170" s="1"/>
      <c r="L170" s="1"/>
      <c r="M170" s="1"/>
      <c r="N170" s="1"/>
      <c r="O170" s="1"/>
      <c r="P170" s="1"/>
      <c r="Q170" s="1"/>
    </row>
    <row r="171" spans="1:17" x14ac:dyDescent="0.35">
      <c r="A171" s="1"/>
      <c r="B171" s="1"/>
      <c r="C171" s="1"/>
      <c r="D171" s="1"/>
      <c r="E171" s="1"/>
      <c r="F171" s="1"/>
      <c r="G171" s="1"/>
      <c r="H171" s="1"/>
      <c r="I171" s="1"/>
      <c r="J171" s="1"/>
      <c r="K171" s="1"/>
      <c r="L171" s="1"/>
      <c r="M171" s="1"/>
      <c r="N171" s="1"/>
      <c r="O171" s="1"/>
      <c r="P171" s="1"/>
      <c r="Q171" s="1"/>
    </row>
    <row r="172" spans="1:17" x14ac:dyDescent="0.35">
      <c r="A172" s="1"/>
      <c r="B172" s="1"/>
      <c r="C172" s="1"/>
      <c r="D172" s="1"/>
      <c r="E172" s="1"/>
      <c r="F172" s="1"/>
      <c r="G172" s="1"/>
      <c r="H172" s="1"/>
      <c r="I172" s="1"/>
      <c r="J172" s="1"/>
      <c r="K172" s="1"/>
      <c r="L172" s="1"/>
      <c r="M172" s="1"/>
      <c r="N172" s="1"/>
      <c r="O172" s="1"/>
      <c r="P172" s="1"/>
      <c r="Q172" s="1"/>
    </row>
    <row r="173" spans="1:17" x14ac:dyDescent="0.35">
      <c r="A173" s="1"/>
      <c r="B173" s="1"/>
      <c r="C173" s="1"/>
      <c r="D173" s="1"/>
      <c r="E173" s="1"/>
      <c r="F173" s="1"/>
      <c r="G173" s="1"/>
      <c r="H173" s="1"/>
      <c r="I173" s="1"/>
      <c r="J173" s="1"/>
      <c r="K173" s="1"/>
      <c r="L173" s="1"/>
      <c r="M173" s="1"/>
      <c r="N173" s="1"/>
      <c r="O173" s="1"/>
      <c r="P173" s="1"/>
      <c r="Q173" s="1"/>
    </row>
    <row r="174" spans="1:17" x14ac:dyDescent="0.35">
      <c r="A174" s="1"/>
      <c r="B174" s="1"/>
      <c r="C174" s="1"/>
      <c r="D174" s="1"/>
      <c r="E174" s="1"/>
      <c r="F174" s="1"/>
      <c r="G174" s="1"/>
      <c r="H174" s="1"/>
      <c r="I174" s="1"/>
      <c r="J174" s="1"/>
      <c r="K174" s="1"/>
      <c r="L174" s="1"/>
      <c r="M174" s="1"/>
      <c r="N174" s="1"/>
      <c r="O174" s="1"/>
      <c r="P174" s="1"/>
      <c r="Q174" s="1"/>
    </row>
    <row r="175" spans="1:17" x14ac:dyDescent="0.35">
      <c r="A175" s="1"/>
      <c r="B175" s="1"/>
      <c r="C175" s="1"/>
      <c r="D175" s="1"/>
      <c r="E175" s="1"/>
      <c r="F175" s="1"/>
      <c r="G175" s="1"/>
      <c r="H175" s="1"/>
      <c r="I175" s="1"/>
      <c r="J175" s="1"/>
      <c r="K175" s="1"/>
      <c r="L175" s="1"/>
      <c r="M175" s="1"/>
      <c r="N175" s="1"/>
      <c r="O175" s="1"/>
      <c r="P175" s="1"/>
      <c r="Q175" s="1"/>
    </row>
    <row r="176" spans="1:17" x14ac:dyDescent="0.35">
      <c r="A176" s="1"/>
      <c r="B176" s="1"/>
      <c r="C176" s="1"/>
      <c r="D176" s="1"/>
      <c r="E176" s="1"/>
      <c r="F176" s="1"/>
      <c r="G176" s="1"/>
      <c r="H176" s="1"/>
      <c r="I176" s="1"/>
      <c r="J176" s="1"/>
      <c r="K176" s="1"/>
      <c r="L176" s="1"/>
      <c r="M176" s="1"/>
      <c r="N176" s="1"/>
      <c r="O176" s="1"/>
      <c r="P176" s="1"/>
      <c r="Q176" s="1"/>
    </row>
    <row r="177" spans="1:17" x14ac:dyDescent="0.35">
      <c r="A177" s="1"/>
      <c r="B177" s="1"/>
      <c r="C177" s="1"/>
      <c r="D177" s="1"/>
      <c r="E177" s="1"/>
      <c r="F177" s="1"/>
      <c r="G177" s="1"/>
      <c r="H177" s="1"/>
      <c r="I177" s="1"/>
      <c r="J177" s="1"/>
      <c r="K177" s="1"/>
      <c r="L177" s="1"/>
      <c r="M177" s="1"/>
      <c r="N177" s="1"/>
      <c r="O177" s="1"/>
      <c r="P177" s="1"/>
      <c r="Q177" s="1"/>
    </row>
    <row r="178" spans="1:17" x14ac:dyDescent="0.35">
      <c r="A178" s="1"/>
      <c r="B178" s="1"/>
      <c r="C178" s="1"/>
      <c r="D178" s="1"/>
      <c r="E178" s="1"/>
      <c r="F178" s="1"/>
      <c r="G178" s="1"/>
      <c r="H178" s="1"/>
      <c r="I178" s="1"/>
      <c r="J178" s="1"/>
      <c r="K178" s="1"/>
      <c r="L178" s="1"/>
      <c r="M178" s="1"/>
      <c r="N178" s="1"/>
      <c r="O178" s="1"/>
      <c r="P178" s="1"/>
      <c r="Q178" s="1"/>
    </row>
    <row r="179" spans="1:17" x14ac:dyDescent="0.35">
      <c r="A179" s="1"/>
      <c r="B179" s="1"/>
      <c r="C179" s="1"/>
      <c r="D179" s="1"/>
      <c r="E179" s="1"/>
      <c r="F179" s="1"/>
      <c r="G179" s="1"/>
      <c r="H179" s="1"/>
      <c r="I179" s="1"/>
      <c r="J179" s="1"/>
      <c r="K179" s="1"/>
      <c r="L179" s="1"/>
      <c r="M179" s="1"/>
      <c r="N179" s="1"/>
      <c r="O179" s="1"/>
      <c r="P179" s="1"/>
      <c r="Q179" s="1"/>
    </row>
    <row r="180" spans="1:17" x14ac:dyDescent="0.35">
      <c r="A180" s="1"/>
      <c r="B180" s="1"/>
      <c r="C180" s="1"/>
      <c r="D180" s="1"/>
      <c r="E180" s="1"/>
      <c r="F180" s="1"/>
      <c r="G180" s="1"/>
      <c r="H180" s="1"/>
      <c r="I180" s="1"/>
      <c r="J180" s="1"/>
      <c r="K180" s="1"/>
      <c r="L180" s="1"/>
      <c r="M180" s="1"/>
      <c r="N180" s="1"/>
      <c r="O180" s="1"/>
      <c r="P180" s="1"/>
      <c r="Q180" s="1"/>
    </row>
    <row r="181" spans="1:17" x14ac:dyDescent="0.35">
      <c r="A181" s="1"/>
      <c r="B181" s="1"/>
      <c r="C181" s="1"/>
      <c r="D181" s="1"/>
      <c r="E181" s="1"/>
      <c r="F181" s="1"/>
      <c r="G181" s="1"/>
      <c r="H181" s="1"/>
      <c r="I181" s="1"/>
      <c r="J181" s="1"/>
      <c r="K181" s="1"/>
      <c r="L181" s="1"/>
      <c r="M181" s="1"/>
      <c r="N181" s="1"/>
      <c r="O181" s="1"/>
      <c r="P181" s="1"/>
      <c r="Q181" s="1"/>
    </row>
    <row r="182" spans="1:17" x14ac:dyDescent="0.35">
      <c r="A182" s="1"/>
      <c r="B182" s="1"/>
      <c r="C182" s="1"/>
      <c r="D182" s="1"/>
      <c r="E182" s="1"/>
      <c r="F182" s="1"/>
      <c r="G182" s="1"/>
      <c r="H182" s="1"/>
      <c r="I182" s="1"/>
      <c r="J182" s="1"/>
      <c r="K182" s="1"/>
      <c r="L182" s="1"/>
      <c r="M182" s="1"/>
      <c r="N182" s="1"/>
      <c r="O182" s="1"/>
      <c r="P182" s="1"/>
      <c r="Q182" s="1"/>
    </row>
    <row r="183" spans="1:17" x14ac:dyDescent="0.35">
      <c r="A183" s="1"/>
      <c r="B183" s="1"/>
      <c r="C183" s="1"/>
      <c r="D183" s="1"/>
      <c r="E183" s="1"/>
      <c r="F183" s="1"/>
      <c r="G183" s="1"/>
      <c r="H183" s="1"/>
      <c r="I183" s="1"/>
      <c r="J183" s="1"/>
      <c r="K183" s="1"/>
      <c r="L183" s="1"/>
      <c r="M183" s="1"/>
      <c r="N183" s="1"/>
      <c r="O183" s="1"/>
      <c r="P183" s="1"/>
      <c r="Q183" s="1"/>
    </row>
    <row r="184" spans="1:17" x14ac:dyDescent="0.35">
      <c r="A184" s="1"/>
      <c r="B184" s="1"/>
      <c r="C184" s="1"/>
      <c r="D184" s="1"/>
      <c r="E184" s="1"/>
      <c r="F184" s="1"/>
      <c r="G184" s="1"/>
      <c r="H184" s="1"/>
      <c r="I184" s="1"/>
      <c r="J184" s="1"/>
      <c r="K184" s="1"/>
      <c r="L184" s="1"/>
      <c r="M184" s="1"/>
      <c r="N184" s="1"/>
      <c r="O184" s="1"/>
      <c r="P184" s="1"/>
      <c r="Q184" s="1"/>
    </row>
    <row r="185" spans="1:17" x14ac:dyDescent="0.35">
      <c r="A185" s="1"/>
      <c r="B185" s="1"/>
      <c r="C185" s="1"/>
      <c r="D185" s="1"/>
      <c r="E185" s="1"/>
      <c r="F185" s="1"/>
      <c r="G185" s="1"/>
      <c r="H185" s="1"/>
      <c r="I185" s="1"/>
      <c r="J185" s="1"/>
      <c r="K185" s="1"/>
      <c r="L185" s="1"/>
      <c r="M185" s="1"/>
      <c r="N185" s="1"/>
      <c r="O185" s="1"/>
      <c r="P185" s="1"/>
      <c r="Q185" s="1"/>
    </row>
    <row r="186" spans="1:17" x14ac:dyDescent="0.35">
      <c r="A186" s="1"/>
      <c r="B186" s="1"/>
      <c r="C186" s="1"/>
      <c r="D186" s="1"/>
      <c r="E186" s="1"/>
      <c r="F186" s="1"/>
      <c r="G186" s="1"/>
      <c r="H186" s="1"/>
      <c r="I186" s="1"/>
      <c r="J186" s="1"/>
      <c r="K186" s="1"/>
      <c r="L186" s="1"/>
      <c r="M186" s="1"/>
      <c r="N186" s="1"/>
      <c r="O186" s="1"/>
      <c r="P186" s="1"/>
      <c r="Q186" s="1"/>
    </row>
    <row r="187" spans="1:17" x14ac:dyDescent="0.35">
      <c r="A187" s="1"/>
      <c r="B187" s="1"/>
      <c r="C187" s="1"/>
      <c r="D187" s="1"/>
      <c r="E187" s="1"/>
      <c r="F187" s="1"/>
      <c r="G187" s="1"/>
      <c r="H187" s="1"/>
      <c r="I187" s="1"/>
      <c r="J187" s="1"/>
      <c r="K187" s="1"/>
      <c r="L187" s="1"/>
      <c r="M187" s="1"/>
      <c r="N187" s="1"/>
      <c r="O187" s="1"/>
      <c r="P187" s="1"/>
      <c r="Q187" s="1"/>
    </row>
    <row r="188" spans="1:17" x14ac:dyDescent="0.35">
      <c r="A188" s="1"/>
      <c r="B188" s="1"/>
      <c r="C188" s="1"/>
      <c r="D188" s="1"/>
      <c r="E188" s="1"/>
      <c r="F188" s="1"/>
      <c r="G188" s="1"/>
      <c r="H188" s="1"/>
      <c r="I188" s="1"/>
      <c r="J188" s="1"/>
      <c r="K188" s="1"/>
      <c r="L188" s="1"/>
      <c r="M188" s="1"/>
      <c r="N188" s="1"/>
      <c r="O188" s="1"/>
      <c r="P188" s="1"/>
      <c r="Q188" s="1"/>
    </row>
    <row r="189" spans="1:17" x14ac:dyDescent="0.35">
      <c r="A189" s="1"/>
      <c r="B189" s="1"/>
      <c r="C189" s="1"/>
      <c r="D189" s="1"/>
      <c r="E189" s="1"/>
      <c r="F189" s="1"/>
      <c r="G189" s="1"/>
      <c r="H189" s="1"/>
      <c r="I189" s="1"/>
      <c r="J189" s="1"/>
      <c r="K189" s="1"/>
      <c r="L189" s="1"/>
      <c r="M189" s="1"/>
      <c r="N189" s="1"/>
      <c r="O189" s="1"/>
      <c r="P189" s="1"/>
      <c r="Q189" s="1"/>
    </row>
    <row r="190" spans="1:17" x14ac:dyDescent="0.35">
      <c r="A190" s="1"/>
      <c r="B190" s="1"/>
      <c r="C190" s="1"/>
      <c r="D190" s="1"/>
      <c r="E190" s="1"/>
      <c r="F190" s="1"/>
      <c r="G190" s="1"/>
      <c r="H190" s="1"/>
      <c r="I190" s="1"/>
      <c r="J190" s="1"/>
      <c r="K190" s="1"/>
      <c r="L190" s="1"/>
      <c r="M190" s="1"/>
      <c r="N190" s="1"/>
      <c r="O190" s="1"/>
      <c r="P190" s="1"/>
      <c r="Q190" s="1"/>
    </row>
    <row r="191" spans="1:17" x14ac:dyDescent="0.35">
      <c r="A191" s="1"/>
      <c r="B191" s="1"/>
      <c r="C191" s="1"/>
      <c r="D191" s="1"/>
      <c r="E191" s="1"/>
      <c r="F191" s="1"/>
      <c r="G191" s="1"/>
      <c r="H191" s="1"/>
      <c r="I191" s="1"/>
      <c r="J191" s="1"/>
      <c r="K191" s="1"/>
      <c r="L191" s="1"/>
      <c r="M191" s="1"/>
      <c r="N191" s="1"/>
      <c r="O191" s="1"/>
      <c r="P191" s="1"/>
      <c r="Q191" s="1"/>
    </row>
    <row r="192" spans="1:17" x14ac:dyDescent="0.35">
      <c r="A192" s="1"/>
      <c r="B192" s="1"/>
      <c r="C192" s="1"/>
      <c r="D192" s="1"/>
      <c r="E192" s="1"/>
      <c r="F192" s="1"/>
      <c r="G192" s="1"/>
      <c r="H192" s="1"/>
      <c r="I192" s="1"/>
      <c r="J192" s="1"/>
      <c r="K192" s="1"/>
      <c r="L192" s="1"/>
      <c r="M192" s="1"/>
      <c r="N192" s="1"/>
      <c r="O192" s="1"/>
      <c r="P192" s="1"/>
      <c r="Q192" s="1"/>
    </row>
    <row r="193" spans="1:17" x14ac:dyDescent="0.35">
      <c r="A193" s="1"/>
      <c r="B193" s="1"/>
      <c r="C193" s="1"/>
      <c r="D193" s="1"/>
      <c r="E193" s="1"/>
      <c r="F193" s="1"/>
      <c r="G193" s="1"/>
      <c r="H193" s="1"/>
      <c r="I193" s="1"/>
      <c r="J193" s="1"/>
      <c r="K193" s="1"/>
      <c r="L193" s="1"/>
      <c r="M193" s="1"/>
      <c r="N193" s="1"/>
      <c r="O193" s="1"/>
      <c r="P193" s="1"/>
      <c r="Q193" s="1"/>
    </row>
    <row r="194" spans="1:17" x14ac:dyDescent="0.35">
      <c r="A194" s="1"/>
      <c r="B194" s="1"/>
      <c r="C194" s="1"/>
      <c r="D194" s="1"/>
      <c r="E194" s="1"/>
      <c r="F194" s="1"/>
      <c r="G194" s="1"/>
      <c r="H194" s="1"/>
      <c r="I194" s="1"/>
      <c r="J194" s="1"/>
      <c r="K194" s="1"/>
      <c r="L194" s="1"/>
      <c r="M194" s="1"/>
      <c r="N194" s="1"/>
      <c r="O194" s="1"/>
      <c r="P194" s="1"/>
      <c r="Q194" s="1"/>
    </row>
    <row r="195" spans="1:17" x14ac:dyDescent="0.35">
      <c r="A195" s="1"/>
      <c r="B195" s="1"/>
      <c r="C195" s="1"/>
      <c r="D195" s="1"/>
      <c r="E195" s="1"/>
      <c r="F195" s="1"/>
      <c r="G195" s="1"/>
      <c r="H195" s="1"/>
      <c r="I195" s="1"/>
      <c r="J195" s="1"/>
      <c r="K195" s="1"/>
      <c r="L195" s="1"/>
      <c r="M195" s="1"/>
      <c r="N195" s="1"/>
      <c r="O195" s="1"/>
      <c r="P195" s="1"/>
      <c r="Q195" s="1"/>
    </row>
    <row r="196" spans="1:17" x14ac:dyDescent="0.35">
      <c r="A196" s="1"/>
      <c r="B196" s="1"/>
      <c r="C196" s="1"/>
      <c r="D196" s="1"/>
      <c r="E196" s="1"/>
      <c r="F196" s="1"/>
      <c r="G196" s="1"/>
      <c r="H196" s="1"/>
      <c r="I196" s="1"/>
      <c r="J196" s="1"/>
      <c r="K196" s="1"/>
      <c r="L196" s="1"/>
      <c r="M196" s="1"/>
      <c r="N196" s="1"/>
      <c r="O196" s="1"/>
      <c r="P196" s="1"/>
      <c r="Q196" s="1"/>
    </row>
    <row r="197" spans="1:17" x14ac:dyDescent="0.35">
      <c r="A197" s="1"/>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1:17" x14ac:dyDescent="0.35">
      <c r="A198" s="1"/>
      <c r="B198" s="37"/>
      <c r="C198" s="38"/>
      <c r="D198" s="31"/>
      <c r="E198" s="32"/>
      <c r="F198" s="34"/>
      <c r="G198" s="33"/>
      <c r="H198" s="34"/>
      <c r="I198" s="33"/>
      <c r="J198" s="34"/>
      <c r="K198" s="34"/>
      <c r="L198" s="34"/>
      <c r="M198" s="33"/>
      <c r="N198" s="34"/>
      <c r="O198" s="35"/>
      <c r="P198" s="36"/>
      <c r="Q198" s="35"/>
    </row>
    <row r="199" spans="1:17" x14ac:dyDescent="0.35">
      <c r="A199" s="1"/>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1:17" x14ac:dyDescent="0.35">
      <c r="A200" s="1"/>
      <c r="B200" s="1"/>
      <c r="C200" s="1"/>
      <c r="D200" s="1"/>
      <c r="E200" s="1"/>
      <c r="F200" s="1"/>
      <c r="G200" s="1"/>
      <c r="H200" s="1"/>
      <c r="I200" s="1"/>
      <c r="J200" s="1"/>
      <c r="K200" s="1"/>
      <c r="L200" s="1"/>
      <c r="M200" s="1"/>
      <c r="N200" s="1"/>
      <c r="O200" s="1"/>
      <c r="P200" s="1"/>
      <c r="Q200" s="78" t="s">
        <v>21404</v>
      </c>
    </row>
    <row r="201" spans="1:17" x14ac:dyDescent="0.35">
      <c r="A201" s="1"/>
      <c r="B201" s="1"/>
      <c r="C201" s="78" t="s">
        <v>21592</v>
      </c>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77" t="s">
        <v>21399</v>
      </c>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t="s">
        <v>21398</v>
      </c>
      <c r="D205" s="1" t="s">
        <v>75</v>
      </c>
      <c r="E205" s="1" t="s">
        <v>13768</v>
      </c>
      <c r="F205" s="2" t="s">
        <v>21397</v>
      </c>
      <c r="G205" s="1" t="s">
        <v>9</v>
      </c>
      <c r="H205" s="1"/>
      <c r="I205" s="1"/>
      <c r="J205" s="1"/>
      <c r="K205" s="1"/>
      <c r="L205" s="1"/>
      <c r="M205" s="1"/>
      <c r="N205" s="1"/>
      <c r="O205" s="1"/>
      <c r="P205" s="1"/>
      <c r="Q205" s="1"/>
    </row>
    <row r="206" spans="1:17" x14ac:dyDescent="0.35">
      <c r="B206" s="49" t="s">
        <v>15030</v>
      </c>
      <c r="C206" s="352" t="s">
        <v>15031</v>
      </c>
    </row>
    <row r="207" spans="1:17" x14ac:dyDescent="0.35">
      <c r="B207" s="49" t="s">
        <v>15032</v>
      </c>
      <c r="C207" s="53" t="s">
        <v>15033</v>
      </c>
    </row>
    <row r="208" spans="1:17" x14ac:dyDescent="0.35">
      <c r="B208" s="49" t="s">
        <v>15034</v>
      </c>
      <c r="C208" s="53" t="s">
        <v>15035</v>
      </c>
    </row>
    <row r="209" spans="2:8" x14ac:dyDescent="0.35">
      <c r="B209" s="49" t="s">
        <v>15036</v>
      </c>
      <c r="C209" s="53" t="s">
        <v>15037</v>
      </c>
    </row>
    <row r="210" spans="2:8" ht="116" x14ac:dyDescent="0.35">
      <c r="C210" s="390" t="s">
        <v>15033</v>
      </c>
      <c r="D210" s="388" t="s">
        <v>22362</v>
      </c>
      <c r="E210" s="388">
        <v>13450.01</v>
      </c>
      <c r="F210" s="388" t="s">
        <v>22363</v>
      </c>
      <c r="G210" s="388" t="s">
        <v>22364</v>
      </c>
      <c r="H210" s="388" t="s">
        <v>22365</v>
      </c>
    </row>
    <row r="211" spans="2:8" ht="130.5" x14ac:dyDescent="0.35">
      <c r="C211" s="390" t="s">
        <v>15035</v>
      </c>
      <c r="D211" s="388" t="s">
        <v>29</v>
      </c>
      <c r="E211" s="388">
        <v>13460.01</v>
      </c>
      <c r="F211" s="388" t="s">
        <v>22366</v>
      </c>
      <c r="G211" s="388" t="s">
        <v>22367</v>
      </c>
      <c r="H211" s="388" t="s">
        <v>22368</v>
      </c>
    </row>
    <row r="212" spans="2:8" ht="159.5" x14ac:dyDescent="0.35">
      <c r="C212" s="390" t="s">
        <v>15037</v>
      </c>
      <c r="D212" s="388" t="s">
        <v>29</v>
      </c>
      <c r="E212" s="388">
        <v>13470.01</v>
      </c>
      <c r="F212" s="388" t="s">
        <v>22369</v>
      </c>
      <c r="G212" s="388" t="s">
        <v>22357</v>
      </c>
      <c r="H212" s="388" t="s">
        <v>22370</v>
      </c>
    </row>
  </sheetData>
  <mergeCells count="9">
    <mergeCell ref="J5:K5"/>
    <mergeCell ref="J6:K6"/>
    <mergeCell ref="J7:K7"/>
    <mergeCell ref="A3:B3"/>
    <mergeCell ref="D3:G3"/>
    <mergeCell ref="J3:K3"/>
    <mergeCell ref="P3:Q3"/>
    <mergeCell ref="A4:B4"/>
    <mergeCell ref="J4:K4"/>
  </mergeCells>
  <dataValidations count="1">
    <dataValidation type="list" allowBlank="1" showInputMessage="1" showErrorMessage="1" sqref="C16:C190" xr:uid="{65BBD1AE-BA97-4405-8651-46C9315347A6}">
      <formula1>$C$205:$C207</formula1>
    </dataValidation>
  </dataValidations>
  <hyperlinks>
    <hyperlink ref="D3" r:id="rId1" display="datamateapp@gmail.com" xr:uid="{3DFB6CB5-B359-4F33-961B-4ECFC854BF57}"/>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84385" r:id="rId4" name="Button 1">
              <controlPr defaultSize="0" print="0" autoFill="0" autoPict="0" macro="SaveData">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784386" r:id="rId5" name="Button 2">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784387"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784388"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784389" r:id="rId8" name="Button 5">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784390" r:id="rId9" name="Button 6">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784391" r:id="rId10" name="Button 7">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784392" r:id="rId11" name="Button 8">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mc:AlternateContent xmlns:mc="http://schemas.openxmlformats.org/markup-compatibility/2006">
          <mc:Choice Requires="x14">
            <control shapeId="784394" r:id="rId12" name="Button 10">
              <controlPr defaultSize="0" print="0" autoFill="0" autoPict="0" macro="[0]!ExitSEC_135000">
                <anchor moveWithCells="1" sizeWithCells="1">
                  <from>
                    <xdr:col>16</xdr:col>
                    <xdr:colOff>0</xdr:colOff>
                    <xdr:row>0</xdr:row>
                    <xdr:rowOff>0</xdr:rowOff>
                  </from>
                  <to>
                    <xdr:col>16</xdr:col>
                    <xdr:colOff>1270000</xdr:colOff>
                    <xdr:row>2</xdr:row>
                    <xdr:rowOff>12700</xdr:rowOff>
                  </to>
                </anchor>
              </controlPr>
            </control>
          </mc:Choice>
        </mc:AlternateContent>
      </controls>
    </mc:Choice>
  </mc:AlternateContent>
</worksheet>
</file>

<file path=xl/worksheets/sheet1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DD462-74F3-424E-B590-DBD9C2D0E865}">
  <sheetPr codeName="Sheet4"/>
  <dimension ref="A2:N361"/>
  <sheetViews>
    <sheetView tabSelected="1" zoomScaleNormal="100" workbookViewId="0">
      <selection activeCell="A3" sqref="A3:N3"/>
    </sheetView>
  </sheetViews>
  <sheetFormatPr defaultRowHeight="14.5" x14ac:dyDescent="0.35"/>
  <cols>
    <col min="1" max="9" width="8.7265625" style="1"/>
    <col min="10" max="10" width="9.6328125" style="1" customWidth="1"/>
    <col min="11" max="12" width="8.7265625" style="1"/>
    <col min="13" max="13" width="12.1796875" style="1" customWidth="1"/>
    <col min="14" max="14" width="90.90625" style="1" customWidth="1"/>
    <col min="15" max="15" width="10.36328125" style="1" customWidth="1"/>
    <col min="16" max="16" width="9.1796875" style="1" customWidth="1"/>
    <col min="17" max="16384" width="8.7265625" style="1"/>
  </cols>
  <sheetData>
    <row r="2" spans="1:14" ht="18.5" x14ac:dyDescent="0.45">
      <c r="A2" s="71" t="s">
        <v>21538</v>
      </c>
    </row>
    <row r="3" spans="1:14" ht="409.5" customHeight="1" x14ac:dyDescent="0.35">
      <c r="A3" s="469" t="s">
        <v>22371</v>
      </c>
      <c r="B3" s="470"/>
      <c r="C3" s="470"/>
      <c r="D3" s="470"/>
      <c r="E3" s="470"/>
      <c r="F3" s="470"/>
      <c r="G3" s="470"/>
      <c r="H3" s="470"/>
      <c r="I3" s="470"/>
      <c r="J3" s="470"/>
      <c r="K3" s="470"/>
      <c r="L3" s="470"/>
      <c r="M3" s="470"/>
      <c r="N3" s="470"/>
    </row>
    <row r="4" spans="1:14" x14ac:dyDescent="0.35">
      <c r="A4" s="467" t="s">
        <v>21531</v>
      </c>
      <c r="B4" s="409"/>
      <c r="C4" s="409"/>
      <c r="D4" s="409"/>
      <c r="E4" s="468"/>
      <c r="F4" s="468"/>
      <c r="M4" s="88"/>
      <c r="N4" s="88"/>
    </row>
    <row r="5" spans="1:14" x14ac:dyDescent="0.35">
      <c r="A5" s="92"/>
      <c r="M5" s="88"/>
      <c r="N5" s="88"/>
    </row>
    <row r="6" spans="1:14" x14ac:dyDescent="0.35">
      <c r="A6" s="247" t="str">
        <f>HYPERLINK("https://datamateapp.github.io/DownloadConstruction.html","Updated Download")</f>
        <v>Updated Download</v>
      </c>
      <c r="M6" s="88"/>
      <c r="N6" s="88"/>
    </row>
    <row r="7" spans="1:14" x14ac:dyDescent="0.35">
      <c r="A7" s="467"/>
      <c r="B7" s="409"/>
      <c r="C7" s="409"/>
      <c r="D7" s="409"/>
      <c r="E7" s="468"/>
      <c r="F7" s="468"/>
      <c r="K7" s="89"/>
    </row>
    <row r="8" spans="1:14" x14ac:dyDescent="0.35">
      <c r="A8" s="230"/>
      <c r="E8"/>
      <c r="F8"/>
      <c r="K8" s="89"/>
    </row>
    <row r="9" spans="1:14" s="231" customFormat="1" ht="21" x14ac:dyDescent="0.5">
      <c r="A9" s="229" t="s">
        <v>21534</v>
      </c>
      <c r="E9" s="232"/>
      <c r="F9" s="232"/>
      <c r="K9" s="228"/>
    </row>
    <row r="10" spans="1:14" x14ac:dyDescent="0.35">
      <c r="A10" s="230"/>
      <c r="E10"/>
      <c r="F10"/>
      <c r="K10" s="89"/>
    </row>
    <row r="11" spans="1:14" x14ac:dyDescent="0.35">
      <c r="A11" s="233" t="s">
        <v>21536</v>
      </c>
      <c r="E11"/>
      <c r="F11"/>
      <c r="K11" s="89"/>
    </row>
    <row r="12" spans="1:14" x14ac:dyDescent="0.35">
      <c r="A12" s="230"/>
      <c r="E12"/>
      <c r="F12"/>
      <c r="K12" s="89"/>
    </row>
    <row r="13" spans="1:14" x14ac:dyDescent="0.35">
      <c r="A13" s="230"/>
      <c r="E13"/>
      <c r="F13"/>
      <c r="K13" s="89"/>
    </row>
    <row r="14" spans="1:14" s="231" customFormat="1" ht="20" customHeight="1" x14ac:dyDescent="0.5">
      <c r="A14" s="229" t="s">
        <v>21535</v>
      </c>
      <c r="E14" s="232"/>
      <c r="F14" s="232"/>
      <c r="K14" s="228"/>
    </row>
    <row r="19" spans="1:14" ht="15.5" customHeight="1" x14ac:dyDescent="0.5">
      <c r="A19" s="229" t="s">
        <v>21533</v>
      </c>
      <c r="E19"/>
      <c r="F19"/>
      <c r="K19" s="89"/>
    </row>
    <row r="20" spans="1:14" ht="14.5" customHeight="1" x14ac:dyDescent="0.5">
      <c r="A20" s="229"/>
      <c r="E20"/>
      <c r="F20"/>
      <c r="K20" s="89"/>
    </row>
    <row r="21" spans="1:14" ht="14.5" customHeight="1" x14ac:dyDescent="0.35">
      <c r="E21"/>
      <c r="F21"/>
      <c r="K21" s="89"/>
    </row>
    <row r="22" spans="1:14" ht="14.5" customHeight="1" x14ac:dyDescent="0.5">
      <c r="A22" s="229"/>
      <c r="E22"/>
      <c r="F22"/>
      <c r="K22" s="89"/>
    </row>
    <row r="24" spans="1:14" ht="16" x14ac:dyDescent="0.4">
      <c r="N24" s="274" t="s">
        <v>21421</v>
      </c>
    </row>
    <row r="25" spans="1:14" ht="16" x14ac:dyDescent="0.4">
      <c r="D25" s="85" t="s">
        <v>13845</v>
      </c>
      <c r="N25" s="274" t="s">
        <v>21546</v>
      </c>
    </row>
    <row r="26" spans="1:14" ht="16" x14ac:dyDescent="0.4">
      <c r="N26" s="274" t="s">
        <v>21547</v>
      </c>
    </row>
    <row r="27" spans="1:14" ht="16" x14ac:dyDescent="0.4">
      <c r="N27" s="274" t="s">
        <v>21532</v>
      </c>
    </row>
    <row r="28" spans="1:14" ht="16" x14ac:dyDescent="0.4">
      <c r="D28" s="87" t="s">
        <v>13873</v>
      </c>
      <c r="N28" s="275" t="s">
        <v>21530</v>
      </c>
    </row>
    <row r="31" spans="1:14" x14ac:dyDescent="0.35">
      <c r="D31" s="87" t="s">
        <v>13883</v>
      </c>
    </row>
    <row r="34" spans="4:4" x14ac:dyDescent="0.35">
      <c r="D34" s="87" t="s">
        <v>13893</v>
      </c>
    </row>
    <row r="37" spans="4:4" x14ac:dyDescent="0.35">
      <c r="D37" s="87" t="s">
        <v>13911</v>
      </c>
    </row>
    <row r="39" spans="4:4" x14ac:dyDescent="0.35">
      <c r="D39" s="87"/>
    </row>
    <row r="40" spans="4:4" x14ac:dyDescent="0.35">
      <c r="D40" s="87" t="s">
        <v>13923</v>
      </c>
    </row>
    <row r="42" spans="4:4" x14ac:dyDescent="0.35">
      <c r="D42" s="87"/>
    </row>
    <row r="43" spans="4:4" x14ac:dyDescent="0.35">
      <c r="D43" s="87" t="s">
        <v>13941</v>
      </c>
    </row>
    <row r="45" spans="4:4" x14ac:dyDescent="0.35">
      <c r="D45" s="87"/>
    </row>
    <row r="46" spans="4:4" x14ac:dyDescent="0.35">
      <c r="D46" s="87" t="s">
        <v>13961</v>
      </c>
    </row>
    <row r="49" spans="4:4" x14ac:dyDescent="0.35">
      <c r="D49" s="85" t="s">
        <v>13972</v>
      </c>
    </row>
    <row r="51" spans="4:4" x14ac:dyDescent="0.35">
      <c r="D51" s="87"/>
    </row>
    <row r="52" spans="4:4" x14ac:dyDescent="0.35">
      <c r="D52" s="87" t="s">
        <v>13974</v>
      </c>
    </row>
    <row r="53" spans="4:4" ht="16.5" customHeight="1" x14ac:dyDescent="0.35"/>
    <row r="55" spans="4:4" x14ac:dyDescent="0.35">
      <c r="D55" s="87" t="s">
        <v>13986</v>
      </c>
    </row>
    <row r="58" spans="4:4" x14ac:dyDescent="0.35">
      <c r="D58" s="87" t="s">
        <v>13992</v>
      </c>
    </row>
    <row r="61" spans="4:4" x14ac:dyDescent="0.35">
      <c r="D61" s="87" t="s">
        <v>14000</v>
      </c>
    </row>
    <row r="64" spans="4:4" x14ac:dyDescent="0.35">
      <c r="D64" s="87" t="s">
        <v>14018</v>
      </c>
    </row>
    <row r="67" spans="4:4" x14ac:dyDescent="0.35">
      <c r="D67" s="87" t="s">
        <v>14026</v>
      </c>
    </row>
    <row r="70" spans="4:4" x14ac:dyDescent="0.35">
      <c r="D70" s="87" t="s">
        <v>14032</v>
      </c>
    </row>
    <row r="73" spans="4:4" x14ac:dyDescent="0.35">
      <c r="D73" s="85" t="s">
        <v>14047</v>
      </c>
    </row>
    <row r="76" spans="4:4" x14ac:dyDescent="0.35">
      <c r="D76" s="87" t="s">
        <v>14049</v>
      </c>
    </row>
    <row r="79" spans="4:4" x14ac:dyDescent="0.35">
      <c r="D79" s="87" t="s">
        <v>14055</v>
      </c>
    </row>
    <row r="82" spans="4:4" x14ac:dyDescent="0.35">
      <c r="D82" s="87" t="s">
        <v>14067</v>
      </c>
    </row>
    <row r="85" spans="4:4" x14ac:dyDescent="0.35">
      <c r="D85" s="87" t="s">
        <v>14083</v>
      </c>
    </row>
    <row r="88" spans="4:4" x14ac:dyDescent="0.35">
      <c r="D88" s="87" t="s">
        <v>14095</v>
      </c>
    </row>
    <row r="91" spans="4:4" x14ac:dyDescent="0.35">
      <c r="D91" s="87" t="s">
        <v>14105</v>
      </c>
    </row>
    <row r="94" spans="4:4" x14ac:dyDescent="0.35">
      <c r="D94" s="87" t="s">
        <v>14115</v>
      </c>
    </row>
    <row r="97" spans="4:4" x14ac:dyDescent="0.35">
      <c r="D97" s="87" t="s">
        <v>14121</v>
      </c>
    </row>
    <row r="99" spans="4:4" x14ac:dyDescent="0.35">
      <c r="D99" s="234"/>
    </row>
    <row r="100" spans="4:4" x14ac:dyDescent="0.35">
      <c r="D100" s="85" t="s">
        <v>14128</v>
      </c>
    </row>
    <row r="103" spans="4:4" x14ac:dyDescent="0.35">
      <c r="D103" s="87" t="s">
        <v>14130</v>
      </c>
    </row>
    <row r="106" spans="4:4" x14ac:dyDescent="0.35">
      <c r="D106" s="87" t="s">
        <v>14150</v>
      </c>
    </row>
    <row r="109" spans="4:4" x14ac:dyDescent="0.35">
      <c r="D109" s="87" t="s">
        <v>14158</v>
      </c>
    </row>
    <row r="112" spans="4:4" x14ac:dyDescent="0.35">
      <c r="D112" s="87" t="s">
        <v>14170</v>
      </c>
    </row>
    <row r="115" spans="4:4" x14ac:dyDescent="0.35">
      <c r="D115" s="87" t="s">
        <v>14176</v>
      </c>
    </row>
    <row r="118" spans="4:4" x14ac:dyDescent="0.35">
      <c r="D118" s="85" t="s">
        <v>14185</v>
      </c>
    </row>
    <row r="121" spans="4:4" x14ac:dyDescent="0.35">
      <c r="D121" s="87" t="s">
        <v>14187</v>
      </c>
    </row>
    <row r="124" spans="4:4" x14ac:dyDescent="0.35">
      <c r="D124" s="87" t="s">
        <v>14203</v>
      </c>
    </row>
    <row r="127" spans="4:4" x14ac:dyDescent="0.35">
      <c r="D127" s="87" t="s">
        <v>14209</v>
      </c>
    </row>
    <row r="130" spans="4:4" x14ac:dyDescent="0.35">
      <c r="D130" s="87" t="s">
        <v>14221</v>
      </c>
    </row>
    <row r="133" spans="4:4" x14ac:dyDescent="0.35">
      <c r="D133" s="87" t="s">
        <v>14233</v>
      </c>
    </row>
    <row r="136" spans="4:4" x14ac:dyDescent="0.35">
      <c r="D136" s="87" t="s">
        <v>14251</v>
      </c>
    </row>
    <row r="139" spans="4:4" x14ac:dyDescent="0.35">
      <c r="D139" s="85" t="s">
        <v>14266</v>
      </c>
    </row>
    <row r="142" spans="4:4" x14ac:dyDescent="0.35">
      <c r="D142" s="252" t="s">
        <v>14268</v>
      </c>
    </row>
    <row r="145" spans="4:4" x14ac:dyDescent="0.35">
      <c r="D145" s="87" t="s">
        <v>14286</v>
      </c>
    </row>
    <row r="148" spans="4:4" x14ac:dyDescent="0.35">
      <c r="D148" s="87" t="s">
        <v>14293</v>
      </c>
    </row>
    <row r="151" spans="4:4" x14ac:dyDescent="0.35">
      <c r="D151" s="87" t="s">
        <v>14309</v>
      </c>
    </row>
    <row r="154" spans="4:4" x14ac:dyDescent="0.35">
      <c r="D154" s="87" t="s">
        <v>14317</v>
      </c>
    </row>
    <row r="155" spans="4:4" x14ac:dyDescent="0.35">
      <c r="D155" s="87"/>
    </row>
    <row r="156" spans="4:4" x14ac:dyDescent="0.35">
      <c r="D156" s="87"/>
    </row>
    <row r="157" spans="4:4" x14ac:dyDescent="0.35">
      <c r="D157" s="87" t="s">
        <v>14331</v>
      </c>
    </row>
    <row r="158" spans="4:4" x14ac:dyDescent="0.35">
      <c r="D158" s="87"/>
    </row>
    <row r="159" spans="4:4" x14ac:dyDescent="0.35">
      <c r="D159" s="87"/>
    </row>
    <row r="160" spans="4:4" x14ac:dyDescent="0.35">
      <c r="D160" s="87" t="s">
        <v>14341</v>
      </c>
    </row>
    <row r="163" spans="4:4" x14ac:dyDescent="0.35">
      <c r="D163" s="85" t="s">
        <v>14350</v>
      </c>
    </row>
    <row r="166" spans="4:4" x14ac:dyDescent="0.35">
      <c r="D166" s="87" t="s">
        <v>14352</v>
      </c>
    </row>
    <row r="169" spans="4:4" x14ac:dyDescent="0.35">
      <c r="D169" s="87" t="s">
        <v>14371</v>
      </c>
    </row>
    <row r="172" spans="4:4" x14ac:dyDescent="0.35">
      <c r="D172" s="87" t="s">
        <v>14385</v>
      </c>
    </row>
    <row r="175" spans="4:4" x14ac:dyDescent="0.35">
      <c r="D175" s="87" t="s">
        <v>14393</v>
      </c>
    </row>
    <row r="178" spans="4:4" x14ac:dyDescent="0.35">
      <c r="D178" s="87" t="s">
        <v>14403</v>
      </c>
    </row>
    <row r="181" spans="4:4" x14ac:dyDescent="0.35">
      <c r="D181" s="87" t="s">
        <v>14421</v>
      </c>
    </row>
    <row r="184" spans="4:4" x14ac:dyDescent="0.35">
      <c r="D184" s="87" t="s">
        <v>14433</v>
      </c>
    </row>
    <row r="187" spans="4:4" x14ac:dyDescent="0.35">
      <c r="D187" s="87" t="s">
        <v>14443</v>
      </c>
    </row>
    <row r="190" spans="4:4" x14ac:dyDescent="0.35">
      <c r="D190" s="87" t="s">
        <v>14455</v>
      </c>
    </row>
    <row r="193" spans="4:4" x14ac:dyDescent="0.35">
      <c r="D193" s="85" t="s">
        <v>14464</v>
      </c>
    </row>
    <row r="196" spans="4:4" x14ac:dyDescent="0.35">
      <c r="D196" s="87" t="s">
        <v>14466</v>
      </c>
    </row>
    <row r="199" spans="4:4" x14ac:dyDescent="0.35">
      <c r="D199" s="87" t="s">
        <v>14482</v>
      </c>
    </row>
    <row r="202" spans="4:4" x14ac:dyDescent="0.35">
      <c r="D202" s="87" t="s">
        <v>14500</v>
      </c>
    </row>
    <row r="205" spans="4:4" x14ac:dyDescent="0.35">
      <c r="D205" s="87" t="s">
        <v>14513</v>
      </c>
    </row>
    <row r="208" spans="4:4" x14ac:dyDescent="0.35">
      <c r="D208" s="87" t="s">
        <v>14527</v>
      </c>
    </row>
    <row r="211" spans="4:4" x14ac:dyDescent="0.35">
      <c r="D211" s="87" t="s">
        <v>14541</v>
      </c>
    </row>
    <row r="214" spans="4:4" x14ac:dyDescent="0.35">
      <c r="D214" s="87" t="s">
        <v>14553</v>
      </c>
    </row>
    <row r="217" spans="4:4" x14ac:dyDescent="0.35">
      <c r="D217" s="87" t="s">
        <v>14567</v>
      </c>
    </row>
    <row r="220" spans="4:4" x14ac:dyDescent="0.35">
      <c r="D220" s="85" t="s">
        <v>14575</v>
      </c>
    </row>
    <row r="223" spans="4:4" x14ac:dyDescent="0.35">
      <c r="D223" s="87" t="s">
        <v>14577</v>
      </c>
    </row>
    <row r="226" spans="4:4" x14ac:dyDescent="0.35">
      <c r="D226" s="87" t="s">
        <v>14597</v>
      </c>
    </row>
    <row r="229" spans="4:4" x14ac:dyDescent="0.35">
      <c r="D229" s="87" t="s">
        <v>14609</v>
      </c>
    </row>
    <row r="232" spans="4:4" x14ac:dyDescent="0.35">
      <c r="D232" s="92" t="s">
        <v>14623</v>
      </c>
    </row>
    <row r="235" spans="4:4" x14ac:dyDescent="0.35">
      <c r="D235" s="87" t="s">
        <v>14641</v>
      </c>
    </row>
    <row r="238" spans="4:4" x14ac:dyDescent="0.35">
      <c r="D238" s="87" t="s">
        <v>14657</v>
      </c>
    </row>
    <row r="241" spans="4:4" x14ac:dyDescent="0.35">
      <c r="D241" s="87" t="s">
        <v>14665</v>
      </c>
    </row>
    <row r="244" spans="4:4" x14ac:dyDescent="0.35">
      <c r="D244" s="351" t="s">
        <v>14677</v>
      </c>
    </row>
    <row r="247" spans="4:4" x14ac:dyDescent="0.35">
      <c r="D247" s="252" t="s">
        <v>14679</v>
      </c>
    </row>
    <row r="250" spans="4:4" x14ac:dyDescent="0.35">
      <c r="D250" s="252" t="s">
        <v>14692</v>
      </c>
    </row>
    <row r="253" spans="4:4" x14ac:dyDescent="0.35">
      <c r="D253" s="352" t="s">
        <v>14704</v>
      </c>
    </row>
    <row r="256" spans="4:4" x14ac:dyDescent="0.35">
      <c r="D256" s="352" t="s">
        <v>14712</v>
      </c>
    </row>
    <row r="259" spans="4:4" x14ac:dyDescent="0.35">
      <c r="D259" s="352" t="s">
        <v>14722</v>
      </c>
    </row>
    <row r="262" spans="4:4" x14ac:dyDescent="0.35">
      <c r="D262" s="352" t="s">
        <v>14731</v>
      </c>
    </row>
    <row r="265" spans="4:4" x14ac:dyDescent="0.35">
      <c r="D265" s="352" t="s">
        <v>14740</v>
      </c>
    </row>
    <row r="268" spans="4:4" x14ac:dyDescent="0.35">
      <c r="D268" s="351" t="s">
        <v>38</v>
      </c>
    </row>
    <row r="271" spans="4:4" x14ac:dyDescent="0.35">
      <c r="D271" s="352" t="s">
        <v>14756</v>
      </c>
    </row>
    <row r="274" spans="4:4" x14ac:dyDescent="0.35">
      <c r="D274" s="352" t="s">
        <v>14768</v>
      </c>
    </row>
    <row r="277" spans="4:4" x14ac:dyDescent="0.35">
      <c r="D277" s="352" t="s">
        <v>14780</v>
      </c>
    </row>
    <row r="280" spans="4:4" x14ac:dyDescent="0.35">
      <c r="D280" s="352" t="s">
        <v>14784</v>
      </c>
    </row>
    <row r="283" spans="4:4" x14ac:dyDescent="0.35">
      <c r="D283" s="352" t="s">
        <v>14798</v>
      </c>
    </row>
    <row r="286" spans="4:4" x14ac:dyDescent="0.35">
      <c r="D286" s="352" t="s">
        <v>14814</v>
      </c>
    </row>
    <row r="289" spans="4:4" x14ac:dyDescent="0.35">
      <c r="D289" s="352" t="s">
        <v>14826</v>
      </c>
    </row>
    <row r="292" spans="4:4" x14ac:dyDescent="0.35">
      <c r="D292" s="352" t="s">
        <v>14846</v>
      </c>
    </row>
    <row r="295" spans="4:4" x14ac:dyDescent="0.35">
      <c r="D295" s="351" t="s">
        <v>14869</v>
      </c>
    </row>
    <row r="298" spans="4:4" x14ac:dyDescent="0.35">
      <c r="D298" s="352" t="s">
        <v>14871</v>
      </c>
    </row>
    <row r="301" spans="4:4" x14ac:dyDescent="0.35">
      <c r="D301" s="352" t="s">
        <v>14883</v>
      </c>
    </row>
    <row r="304" spans="4:4" x14ac:dyDescent="0.35">
      <c r="D304" s="352" t="s">
        <v>44</v>
      </c>
    </row>
    <row r="307" spans="4:4" x14ac:dyDescent="0.35">
      <c r="D307" s="352" t="s">
        <v>14908</v>
      </c>
    </row>
    <row r="310" spans="4:4" x14ac:dyDescent="0.35">
      <c r="D310" s="352" t="s">
        <v>14924</v>
      </c>
    </row>
    <row r="313" spans="4:4" x14ac:dyDescent="0.35">
      <c r="D313" s="352" t="s">
        <v>14944</v>
      </c>
    </row>
    <row r="316" spans="4:4" x14ac:dyDescent="0.35">
      <c r="D316" s="352" t="s">
        <v>14962</v>
      </c>
    </row>
    <row r="319" spans="4:4" x14ac:dyDescent="0.35">
      <c r="D319" s="351" t="s">
        <v>14969</v>
      </c>
    </row>
    <row r="322" spans="4:4" x14ac:dyDescent="0.35">
      <c r="D322" s="352" t="s">
        <v>14971</v>
      </c>
    </row>
    <row r="325" spans="4:4" x14ac:dyDescent="0.35">
      <c r="D325" s="352" t="s">
        <v>14989</v>
      </c>
    </row>
    <row r="328" spans="4:4" x14ac:dyDescent="0.35">
      <c r="D328" s="352" t="s">
        <v>15005</v>
      </c>
    </row>
    <row r="331" spans="4:4" x14ac:dyDescent="0.35">
      <c r="D331" s="352" t="s">
        <v>15019</v>
      </c>
    </row>
    <row r="334" spans="4:4" x14ac:dyDescent="0.35">
      <c r="D334" s="352" t="s">
        <v>15031</v>
      </c>
    </row>
    <row r="337" spans="4:4" x14ac:dyDescent="0.35">
      <c r="D337" s="85" t="s">
        <v>15040</v>
      </c>
    </row>
    <row r="340" spans="4:4" x14ac:dyDescent="0.35">
      <c r="D340" s="352" t="s">
        <v>15042</v>
      </c>
    </row>
    <row r="343" spans="4:4" x14ac:dyDescent="0.35">
      <c r="D343" s="352" t="s">
        <v>15050</v>
      </c>
    </row>
    <row r="346" spans="4:4" x14ac:dyDescent="0.35">
      <c r="D346" s="352" t="s">
        <v>15064</v>
      </c>
    </row>
    <row r="349" spans="4:4" x14ac:dyDescent="0.35">
      <c r="D349" s="352" t="s">
        <v>15071</v>
      </c>
    </row>
    <row r="352" spans="4:4" x14ac:dyDescent="0.35">
      <c r="D352" s="352" t="s">
        <v>15085</v>
      </c>
    </row>
    <row r="355" spans="4:4" x14ac:dyDescent="0.35">
      <c r="D355" s="352" t="s">
        <v>15095</v>
      </c>
    </row>
    <row r="358" spans="4:4" x14ac:dyDescent="0.35">
      <c r="D358" s="352" t="s">
        <v>15105</v>
      </c>
    </row>
    <row r="361" spans="4:4" x14ac:dyDescent="0.35">
      <c r="D361" s="85" t="s">
        <v>15114</v>
      </c>
    </row>
  </sheetData>
  <mergeCells count="3">
    <mergeCell ref="A7:F7"/>
    <mergeCell ref="A3:N3"/>
    <mergeCell ref="A4:F4"/>
  </mergeCells>
  <hyperlinks>
    <hyperlink ref="A4" r:id="rId1" display="datamateapp@gmail.com" xr:uid="{3C572E63-3AE8-421D-A97E-0E446B81FCBD}"/>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EnterDIV_01Sheets">
                <anchor moveWithCells="1" sizeWithCells="1">
                  <from>
                    <xdr:col>0</xdr:col>
                    <xdr:colOff>120650</xdr:colOff>
                    <xdr:row>23</xdr:row>
                    <xdr:rowOff>0</xdr:rowOff>
                  </from>
                  <to>
                    <xdr:col>2</xdr:col>
                    <xdr:colOff>171450</xdr:colOff>
                    <xdr:row>25</xdr:row>
                    <xdr:rowOff>12700</xdr:rowOff>
                  </to>
                </anchor>
              </controlPr>
            </control>
          </mc:Choice>
        </mc:AlternateContent>
        <mc:AlternateContent xmlns:mc="http://schemas.openxmlformats.org/markup-compatibility/2006">
          <mc:Choice Requires="x14">
            <control shapeId="5126" r:id="rId5" name="Button 6">
              <controlPr defaultSize="0" print="0" autoFill="0" autoPict="0" macro="[0]!EnterSEC_013000">
                <anchor moveWithCells="1" sizeWithCells="1">
                  <from>
                    <xdr:col>0</xdr:col>
                    <xdr:colOff>107950</xdr:colOff>
                    <xdr:row>25</xdr:row>
                    <xdr:rowOff>171450</xdr:rowOff>
                  </from>
                  <to>
                    <xdr:col>2</xdr:col>
                    <xdr:colOff>158750</xdr:colOff>
                    <xdr:row>28</xdr:row>
                    <xdr:rowOff>0</xdr:rowOff>
                  </to>
                </anchor>
              </controlPr>
            </control>
          </mc:Choice>
        </mc:AlternateContent>
        <mc:AlternateContent xmlns:mc="http://schemas.openxmlformats.org/markup-compatibility/2006">
          <mc:Choice Requires="x14">
            <control shapeId="5127" r:id="rId6" name="Button 7">
              <controlPr defaultSize="0" print="0" autoFill="0" autoPict="0" macro="[0]!EnterSEC_014000">
                <anchor moveWithCells="1" sizeWithCells="1">
                  <from>
                    <xdr:col>0</xdr:col>
                    <xdr:colOff>107950</xdr:colOff>
                    <xdr:row>28</xdr:row>
                    <xdr:rowOff>171450</xdr:rowOff>
                  </from>
                  <to>
                    <xdr:col>2</xdr:col>
                    <xdr:colOff>158750</xdr:colOff>
                    <xdr:row>31</xdr:row>
                    <xdr:rowOff>0</xdr:rowOff>
                  </to>
                </anchor>
              </controlPr>
            </control>
          </mc:Choice>
        </mc:AlternateContent>
        <mc:AlternateContent xmlns:mc="http://schemas.openxmlformats.org/markup-compatibility/2006">
          <mc:Choice Requires="x14">
            <control shapeId="5128" r:id="rId7" name="Button 8">
              <controlPr defaultSize="0" print="0" autoFill="0" autoPict="0" macro="[0]!EnterSEC_015000">
                <anchor moveWithCells="1" sizeWithCells="1">
                  <from>
                    <xdr:col>0</xdr:col>
                    <xdr:colOff>127000</xdr:colOff>
                    <xdr:row>31</xdr:row>
                    <xdr:rowOff>177800</xdr:rowOff>
                  </from>
                  <to>
                    <xdr:col>2</xdr:col>
                    <xdr:colOff>177800</xdr:colOff>
                    <xdr:row>34</xdr:row>
                    <xdr:rowOff>6350</xdr:rowOff>
                  </to>
                </anchor>
              </controlPr>
            </control>
          </mc:Choice>
        </mc:AlternateContent>
        <mc:AlternateContent xmlns:mc="http://schemas.openxmlformats.org/markup-compatibility/2006">
          <mc:Choice Requires="x14">
            <control shapeId="5129" r:id="rId8" name="Button 9">
              <controlPr defaultSize="0" print="0" autoFill="0" autoPict="0" macro="[0]!EnterSEC_016000">
                <anchor moveWithCells="1" sizeWithCells="1">
                  <from>
                    <xdr:col>0</xdr:col>
                    <xdr:colOff>114300</xdr:colOff>
                    <xdr:row>34</xdr:row>
                    <xdr:rowOff>146050</xdr:rowOff>
                  </from>
                  <to>
                    <xdr:col>2</xdr:col>
                    <xdr:colOff>165100</xdr:colOff>
                    <xdr:row>36</xdr:row>
                    <xdr:rowOff>158750</xdr:rowOff>
                  </to>
                </anchor>
              </controlPr>
            </control>
          </mc:Choice>
        </mc:AlternateContent>
        <mc:AlternateContent xmlns:mc="http://schemas.openxmlformats.org/markup-compatibility/2006">
          <mc:Choice Requires="x14">
            <control shapeId="5130" r:id="rId9" name="Button 10">
              <controlPr defaultSize="0" print="0" autoFill="0" autoPict="0" macro="[0]!EnterSEC_017000">
                <anchor moveWithCells="1" sizeWithCells="1">
                  <from>
                    <xdr:col>0</xdr:col>
                    <xdr:colOff>120650</xdr:colOff>
                    <xdr:row>37</xdr:row>
                    <xdr:rowOff>146050</xdr:rowOff>
                  </from>
                  <to>
                    <xdr:col>2</xdr:col>
                    <xdr:colOff>171450</xdr:colOff>
                    <xdr:row>39</xdr:row>
                    <xdr:rowOff>158750</xdr:rowOff>
                  </to>
                </anchor>
              </controlPr>
            </control>
          </mc:Choice>
        </mc:AlternateContent>
        <mc:AlternateContent xmlns:mc="http://schemas.openxmlformats.org/markup-compatibility/2006">
          <mc:Choice Requires="x14">
            <control shapeId="5131" r:id="rId10" name="Button 11">
              <controlPr defaultSize="0" print="0" autoFill="0" autoPict="0" macro="[0]!EnterSEC_018000">
                <anchor moveWithCells="1" sizeWithCells="1">
                  <from>
                    <xdr:col>0</xdr:col>
                    <xdr:colOff>107950</xdr:colOff>
                    <xdr:row>40</xdr:row>
                    <xdr:rowOff>139700</xdr:rowOff>
                  </from>
                  <to>
                    <xdr:col>2</xdr:col>
                    <xdr:colOff>158750</xdr:colOff>
                    <xdr:row>42</xdr:row>
                    <xdr:rowOff>152400</xdr:rowOff>
                  </to>
                </anchor>
              </controlPr>
            </control>
          </mc:Choice>
        </mc:AlternateContent>
        <mc:AlternateContent xmlns:mc="http://schemas.openxmlformats.org/markup-compatibility/2006">
          <mc:Choice Requires="x14">
            <control shapeId="5132" r:id="rId11" name="Button 12">
              <controlPr defaultSize="0" print="0" autoFill="0" autoPict="0" macro="[0]!EnterSEC_019000">
                <anchor moveWithCells="1" sizeWithCells="1">
                  <from>
                    <xdr:col>0</xdr:col>
                    <xdr:colOff>107950</xdr:colOff>
                    <xdr:row>43</xdr:row>
                    <xdr:rowOff>165100</xdr:rowOff>
                  </from>
                  <to>
                    <xdr:col>2</xdr:col>
                    <xdr:colOff>158750</xdr:colOff>
                    <xdr:row>45</xdr:row>
                    <xdr:rowOff>177800</xdr:rowOff>
                  </to>
                </anchor>
              </controlPr>
            </control>
          </mc:Choice>
        </mc:AlternateContent>
        <mc:AlternateContent xmlns:mc="http://schemas.openxmlformats.org/markup-compatibility/2006">
          <mc:Choice Requires="x14">
            <control shapeId="5133" r:id="rId12" name="Button 13">
              <controlPr defaultSize="0" print="0" autoFill="0" autoPict="0" macro="[0]!EnterDIV_02Sheets">
                <anchor moveWithCells="1" sizeWithCells="1">
                  <from>
                    <xdr:col>0</xdr:col>
                    <xdr:colOff>82550</xdr:colOff>
                    <xdr:row>47</xdr:row>
                    <xdr:rowOff>0</xdr:rowOff>
                  </from>
                  <to>
                    <xdr:col>2</xdr:col>
                    <xdr:colOff>133350</xdr:colOff>
                    <xdr:row>49</xdr:row>
                    <xdr:rowOff>12700</xdr:rowOff>
                  </to>
                </anchor>
              </controlPr>
            </control>
          </mc:Choice>
        </mc:AlternateContent>
        <mc:AlternateContent xmlns:mc="http://schemas.openxmlformats.org/markup-compatibility/2006">
          <mc:Choice Requires="x14">
            <control shapeId="5134" r:id="rId13" name="Button 14">
              <controlPr defaultSize="0" print="0" autoFill="0" autoPict="0" macro="[0]!EnterSEC_022000">
                <anchor moveWithCells="1" sizeWithCells="1">
                  <from>
                    <xdr:col>0</xdr:col>
                    <xdr:colOff>120650</xdr:colOff>
                    <xdr:row>49</xdr:row>
                    <xdr:rowOff>165100</xdr:rowOff>
                  </from>
                  <to>
                    <xdr:col>2</xdr:col>
                    <xdr:colOff>171450</xdr:colOff>
                    <xdr:row>51</xdr:row>
                    <xdr:rowOff>177800</xdr:rowOff>
                  </to>
                </anchor>
              </controlPr>
            </control>
          </mc:Choice>
        </mc:AlternateContent>
        <mc:AlternateContent xmlns:mc="http://schemas.openxmlformats.org/markup-compatibility/2006">
          <mc:Choice Requires="x14">
            <control shapeId="5135" r:id="rId14" name="Button 15">
              <controlPr defaultSize="0" print="0" autoFill="0" autoPict="0" macro="[0]!EnterSEC_023000">
                <anchor moveWithCells="1" sizeWithCells="1">
                  <from>
                    <xdr:col>0</xdr:col>
                    <xdr:colOff>120650</xdr:colOff>
                    <xdr:row>52</xdr:row>
                    <xdr:rowOff>158750</xdr:rowOff>
                  </from>
                  <to>
                    <xdr:col>2</xdr:col>
                    <xdr:colOff>171450</xdr:colOff>
                    <xdr:row>54</xdr:row>
                    <xdr:rowOff>171450</xdr:rowOff>
                  </to>
                </anchor>
              </controlPr>
            </control>
          </mc:Choice>
        </mc:AlternateContent>
        <mc:AlternateContent xmlns:mc="http://schemas.openxmlformats.org/markup-compatibility/2006">
          <mc:Choice Requires="x14">
            <control shapeId="5136" r:id="rId15" name="Button 16">
              <controlPr defaultSize="0" print="0" autoFill="0" autoPict="0" macro="[0]!EnterSEC_024000">
                <anchor moveWithCells="1" sizeWithCells="1">
                  <from>
                    <xdr:col>0</xdr:col>
                    <xdr:colOff>120650</xdr:colOff>
                    <xdr:row>55</xdr:row>
                    <xdr:rowOff>146050</xdr:rowOff>
                  </from>
                  <to>
                    <xdr:col>2</xdr:col>
                    <xdr:colOff>171450</xdr:colOff>
                    <xdr:row>57</xdr:row>
                    <xdr:rowOff>158750</xdr:rowOff>
                  </to>
                </anchor>
              </controlPr>
            </control>
          </mc:Choice>
        </mc:AlternateContent>
        <mc:AlternateContent xmlns:mc="http://schemas.openxmlformats.org/markup-compatibility/2006">
          <mc:Choice Requires="x14">
            <control shapeId="5137" r:id="rId16" name="Button 17">
              <controlPr defaultSize="0" print="0" autoFill="0" autoPict="0" macro="[0]!EnterSEC_025000">
                <anchor moveWithCells="1" sizeWithCells="1">
                  <from>
                    <xdr:col>0</xdr:col>
                    <xdr:colOff>107950</xdr:colOff>
                    <xdr:row>58</xdr:row>
                    <xdr:rowOff>165100</xdr:rowOff>
                  </from>
                  <to>
                    <xdr:col>2</xdr:col>
                    <xdr:colOff>158750</xdr:colOff>
                    <xdr:row>60</xdr:row>
                    <xdr:rowOff>177800</xdr:rowOff>
                  </to>
                </anchor>
              </controlPr>
            </control>
          </mc:Choice>
        </mc:AlternateContent>
        <mc:AlternateContent xmlns:mc="http://schemas.openxmlformats.org/markup-compatibility/2006">
          <mc:Choice Requires="x14">
            <control shapeId="5138" r:id="rId17" name="Button 18">
              <controlPr defaultSize="0" print="0" autoFill="0" autoPict="0" macro="[0]!EnterSEC_026000">
                <anchor moveWithCells="1" sizeWithCells="1">
                  <from>
                    <xdr:col>0</xdr:col>
                    <xdr:colOff>107950</xdr:colOff>
                    <xdr:row>61</xdr:row>
                    <xdr:rowOff>152400</xdr:rowOff>
                  </from>
                  <to>
                    <xdr:col>2</xdr:col>
                    <xdr:colOff>158750</xdr:colOff>
                    <xdr:row>63</xdr:row>
                    <xdr:rowOff>165100</xdr:rowOff>
                  </to>
                </anchor>
              </controlPr>
            </control>
          </mc:Choice>
        </mc:AlternateContent>
        <mc:AlternateContent xmlns:mc="http://schemas.openxmlformats.org/markup-compatibility/2006">
          <mc:Choice Requires="x14">
            <control shapeId="5139" r:id="rId18" name="Button 19">
              <controlPr defaultSize="0" print="0" autoFill="0" autoPict="0" macro="[0]!EnterSEC_027000">
                <anchor moveWithCells="1" sizeWithCells="1">
                  <from>
                    <xdr:col>0</xdr:col>
                    <xdr:colOff>120650</xdr:colOff>
                    <xdr:row>64</xdr:row>
                    <xdr:rowOff>177800</xdr:rowOff>
                  </from>
                  <to>
                    <xdr:col>2</xdr:col>
                    <xdr:colOff>171450</xdr:colOff>
                    <xdr:row>67</xdr:row>
                    <xdr:rowOff>6350</xdr:rowOff>
                  </to>
                </anchor>
              </controlPr>
            </control>
          </mc:Choice>
        </mc:AlternateContent>
        <mc:AlternateContent xmlns:mc="http://schemas.openxmlformats.org/markup-compatibility/2006">
          <mc:Choice Requires="x14">
            <control shapeId="5140" r:id="rId19" name="Button 20">
              <controlPr defaultSize="0" print="0" autoFill="0" autoPict="0" macro="[0]!EnterSEC_028000">
                <anchor moveWithCells="1" sizeWithCells="1">
                  <from>
                    <xdr:col>0</xdr:col>
                    <xdr:colOff>127000</xdr:colOff>
                    <xdr:row>67</xdr:row>
                    <xdr:rowOff>171450</xdr:rowOff>
                  </from>
                  <to>
                    <xdr:col>2</xdr:col>
                    <xdr:colOff>177800</xdr:colOff>
                    <xdr:row>70</xdr:row>
                    <xdr:rowOff>0</xdr:rowOff>
                  </to>
                </anchor>
              </controlPr>
            </control>
          </mc:Choice>
        </mc:AlternateContent>
        <mc:AlternateContent xmlns:mc="http://schemas.openxmlformats.org/markup-compatibility/2006">
          <mc:Choice Requires="x14">
            <control shapeId="5141" r:id="rId20" name="Button 21">
              <controlPr defaultSize="0" print="0" autoFill="0" autoPict="0" macro="[0]!ExitDIV_02Sheets">
                <anchor moveWithCells="1" sizeWithCells="1">
                  <from>
                    <xdr:col>10</xdr:col>
                    <xdr:colOff>6350</xdr:colOff>
                    <xdr:row>46</xdr:row>
                    <xdr:rowOff>146050</xdr:rowOff>
                  </from>
                  <to>
                    <xdr:col>12</xdr:col>
                    <xdr:colOff>31750</xdr:colOff>
                    <xdr:row>48</xdr:row>
                    <xdr:rowOff>165100</xdr:rowOff>
                  </to>
                </anchor>
              </controlPr>
            </control>
          </mc:Choice>
        </mc:AlternateContent>
        <mc:AlternateContent xmlns:mc="http://schemas.openxmlformats.org/markup-compatibility/2006">
          <mc:Choice Requires="x14">
            <control shapeId="5143" r:id="rId21" name="Button 23">
              <controlPr defaultSize="0" print="0" autoFill="0" autoPict="0" macro="[0]!EnterDIV_03Sheets">
                <anchor moveWithCells="1" sizeWithCells="1">
                  <from>
                    <xdr:col>0</xdr:col>
                    <xdr:colOff>127000</xdr:colOff>
                    <xdr:row>70</xdr:row>
                    <xdr:rowOff>158750</xdr:rowOff>
                  </from>
                  <to>
                    <xdr:col>2</xdr:col>
                    <xdr:colOff>177800</xdr:colOff>
                    <xdr:row>72</xdr:row>
                    <xdr:rowOff>171450</xdr:rowOff>
                  </to>
                </anchor>
              </controlPr>
            </control>
          </mc:Choice>
        </mc:AlternateContent>
        <mc:AlternateContent xmlns:mc="http://schemas.openxmlformats.org/markup-compatibility/2006">
          <mc:Choice Requires="x14">
            <control shapeId="5144" r:id="rId22" name="Button 24">
              <controlPr defaultSize="0" print="0" autoFill="0" autoPict="0" macro="[0]!ExitDIV_03Sheets">
                <anchor moveWithCells="1" sizeWithCells="1">
                  <from>
                    <xdr:col>10</xdr:col>
                    <xdr:colOff>0</xdr:colOff>
                    <xdr:row>71</xdr:row>
                    <xdr:rowOff>0</xdr:rowOff>
                  </from>
                  <to>
                    <xdr:col>12</xdr:col>
                    <xdr:colOff>50800</xdr:colOff>
                    <xdr:row>73</xdr:row>
                    <xdr:rowOff>12700</xdr:rowOff>
                  </to>
                </anchor>
              </controlPr>
            </control>
          </mc:Choice>
        </mc:AlternateContent>
        <mc:AlternateContent xmlns:mc="http://schemas.openxmlformats.org/markup-compatibility/2006">
          <mc:Choice Requires="x14">
            <control shapeId="5145" r:id="rId23" name="Button 25">
              <controlPr defaultSize="0" print="0" autoFill="0" autoPict="0" macro="[0]!EnterSEC_031000">
                <anchor moveWithCells="1" sizeWithCells="1">
                  <from>
                    <xdr:col>0</xdr:col>
                    <xdr:colOff>114300</xdr:colOff>
                    <xdr:row>73</xdr:row>
                    <xdr:rowOff>165100</xdr:rowOff>
                  </from>
                  <to>
                    <xdr:col>2</xdr:col>
                    <xdr:colOff>165100</xdr:colOff>
                    <xdr:row>75</xdr:row>
                    <xdr:rowOff>177800</xdr:rowOff>
                  </to>
                </anchor>
              </controlPr>
            </control>
          </mc:Choice>
        </mc:AlternateContent>
        <mc:AlternateContent xmlns:mc="http://schemas.openxmlformats.org/markup-compatibility/2006">
          <mc:Choice Requires="x14">
            <control shapeId="5146" r:id="rId24" name="Button 26">
              <controlPr defaultSize="0" print="0" autoFill="0" autoPict="0" macro="[0]!EnterSEC_032000">
                <anchor moveWithCells="1" sizeWithCells="1">
                  <from>
                    <xdr:col>0</xdr:col>
                    <xdr:colOff>95250</xdr:colOff>
                    <xdr:row>76</xdr:row>
                    <xdr:rowOff>165100</xdr:rowOff>
                  </from>
                  <to>
                    <xdr:col>2</xdr:col>
                    <xdr:colOff>146050</xdr:colOff>
                    <xdr:row>78</xdr:row>
                    <xdr:rowOff>177800</xdr:rowOff>
                  </to>
                </anchor>
              </controlPr>
            </control>
          </mc:Choice>
        </mc:AlternateContent>
        <mc:AlternateContent xmlns:mc="http://schemas.openxmlformats.org/markup-compatibility/2006">
          <mc:Choice Requires="x14">
            <control shapeId="5147" r:id="rId25" name="Button 27">
              <controlPr defaultSize="0" print="0" autoFill="0" autoPict="0" macro="[0]!EnterSEC_033000">
                <anchor moveWithCells="1" sizeWithCells="1">
                  <from>
                    <xdr:col>0</xdr:col>
                    <xdr:colOff>120650</xdr:colOff>
                    <xdr:row>79</xdr:row>
                    <xdr:rowOff>177800</xdr:rowOff>
                  </from>
                  <to>
                    <xdr:col>2</xdr:col>
                    <xdr:colOff>171450</xdr:colOff>
                    <xdr:row>82</xdr:row>
                    <xdr:rowOff>6350</xdr:rowOff>
                  </to>
                </anchor>
              </controlPr>
            </control>
          </mc:Choice>
        </mc:AlternateContent>
        <mc:AlternateContent xmlns:mc="http://schemas.openxmlformats.org/markup-compatibility/2006">
          <mc:Choice Requires="x14">
            <control shapeId="5148" r:id="rId26" name="Button 28">
              <controlPr defaultSize="0" print="0" autoFill="0" autoPict="0" macro="[0]!EnterSEC_034000">
                <anchor moveWithCells="1" sizeWithCells="1">
                  <from>
                    <xdr:col>0</xdr:col>
                    <xdr:colOff>120650</xdr:colOff>
                    <xdr:row>82</xdr:row>
                    <xdr:rowOff>158750</xdr:rowOff>
                  </from>
                  <to>
                    <xdr:col>2</xdr:col>
                    <xdr:colOff>171450</xdr:colOff>
                    <xdr:row>84</xdr:row>
                    <xdr:rowOff>171450</xdr:rowOff>
                  </to>
                </anchor>
              </controlPr>
            </control>
          </mc:Choice>
        </mc:AlternateContent>
        <mc:AlternateContent xmlns:mc="http://schemas.openxmlformats.org/markup-compatibility/2006">
          <mc:Choice Requires="x14">
            <control shapeId="5149" r:id="rId27" name="Button 29">
              <controlPr defaultSize="0" print="0" autoFill="0" autoPict="0" macro="[0]!EnterSEC_035000">
                <anchor moveWithCells="1" sizeWithCells="1">
                  <from>
                    <xdr:col>0</xdr:col>
                    <xdr:colOff>114300</xdr:colOff>
                    <xdr:row>85</xdr:row>
                    <xdr:rowOff>133350</xdr:rowOff>
                  </from>
                  <to>
                    <xdr:col>2</xdr:col>
                    <xdr:colOff>165100</xdr:colOff>
                    <xdr:row>87</xdr:row>
                    <xdr:rowOff>146050</xdr:rowOff>
                  </to>
                </anchor>
              </controlPr>
            </control>
          </mc:Choice>
        </mc:AlternateContent>
        <mc:AlternateContent xmlns:mc="http://schemas.openxmlformats.org/markup-compatibility/2006">
          <mc:Choice Requires="x14">
            <control shapeId="5150" r:id="rId28" name="Button 30">
              <controlPr defaultSize="0" print="0" autoFill="0" autoPict="0" macro="[0]!EnterSEC_036000">
                <anchor moveWithCells="1" sizeWithCells="1">
                  <from>
                    <xdr:col>0</xdr:col>
                    <xdr:colOff>114300</xdr:colOff>
                    <xdr:row>88</xdr:row>
                    <xdr:rowOff>139700</xdr:rowOff>
                  </from>
                  <to>
                    <xdr:col>2</xdr:col>
                    <xdr:colOff>165100</xdr:colOff>
                    <xdr:row>90</xdr:row>
                    <xdr:rowOff>152400</xdr:rowOff>
                  </to>
                </anchor>
              </controlPr>
            </control>
          </mc:Choice>
        </mc:AlternateContent>
        <mc:AlternateContent xmlns:mc="http://schemas.openxmlformats.org/markup-compatibility/2006">
          <mc:Choice Requires="x14">
            <control shapeId="5151" r:id="rId29" name="Button 31">
              <controlPr defaultSize="0" print="0" autoFill="0" autoPict="0" macro="[0]!EnterSEC_037000">
                <anchor moveWithCells="1" sizeWithCells="1">
                  <from>
                    <xdr:col>0</xdr:col>
                    <xdr:colOff>120650</xdr:colOff>
                    <xdr:row>91</xdr:row>
                    <xdr:rowOff>139700</xdr:rowOff>
                  </from>
                  <to>
                    <xdr:col>2</xdr:col>
                    <xdr:colOff>171450</xdr:colOff>
                    <xdr:row>93</xdr:row>
                    <xdr:rowOff>152400</xdr:rowOff>
                  </to>
                </anchor>
              </controlPr>
            </control>
          </mc:Choice>
        </mc:AlternateContent>
        <mc:AlternateContent xmlns:mc="http://schemas.openxmlformats.org/markup-compatibility/2006">
          <mc:Choice Requires="x14">
            <control shapeId="5152" r:id="rId30" name="Button 32">
              <controlPr defaultSize="0" print="0" autoFill="0" autoPict="0" macro="[0]!EnterSEC_038000">
                <anchor moveWithCells="1" sizeWithCells="1">
                  <from>
                    <xdr:col>0</xdr:col>
                    <xdr:colOff>127000</xdr:colOff>
                    <xdr:row>94</xdr:row>
                    <xdr:rowOff>152400</xdr:rowOff>
                  </from>
                  <to>
                    <xdr:col>2</xdr:col>
                    <xdr:colOff>177800</xdr:colOff>
                    <xdr:row>96</xdr:row>
                    <xdr:rowOff>165100</xdr:rowOff>
                  </to>
                </anchor>
              </controlPr>
            </control>
          </mc:Choice>
        </mc:AlternateContent>
        <mc:AlternateContent xmlns:mc="http://schemas.openxmlformats.org/markup-compatibility/2006">
          <mc:Choice Requires="x14">
            <control shapeId="5156" r:id="rId31" name="Button 36">
              <controlPr defaultSize="0" print="0" autoFill="0" autoPict="0" macro="[0]!ExitDIV_01Sheets">
                <anchor moveWithCells="1" sizeWithCells="1">
                  <from>
                    <xdr:col>9</xdr:col>
                    <xdr:colOff>596900</xdr:colOff>
                    <xdr:row>22</xdr:row>
                    <xdr:rowOff>158750</xdr:rowOff>
                  </from>
                  <to>
                    <xdr:col>12</xdr:col>
                    <xdr:colOff>12700</xdr:colOff>
                    <xdr:row>24</xdr:row>
                    <xdr:rowOff>177800</xdr:rowOff>
                  </to>
                </anchor>
              </controlPr>
            </control>
          </mc:Choice>
        </mc:AlternateContent>
        <mc:AlternateContent xmlns:mc="http://schemas.openxmlformats.org/markup-compatibility/2006">
          <mc:Choice Requires="x14">
            <control shapeId="5157" r:id="rId32" name="Button 37">
              <controlPr defaultSize="0" print="0" autoFill="0" autoPict="0" macro="[0]!EnterPOsSheets">
                <anchor moveWithCells="1" sizeWithCells="1">
                  <from>
                    <xdr:col>0</xdr:col>
                    <xdr:colOff>152400</xdr:colOff>
                    <xdr:row>14</xdr:row>
                    <xdr:rowOff>146050</xdr:rowOff>
                  </from>
                  <to>
                    <xdr:col>2</xdr:col>
                    <xdr:colOff>146050</xdr:colOff>
                    <xdr:row>16</xdr:row>
                    <xdr:rowOff>165100</xdr:rowOff>
                  </to>
                </anchor>
              </controlPr>
            </control>
          </mc:Choice>
        </mc:AlternateContent>
        <mc:AlternateContent xmlns:mc="http://schemas.openxmlformats.org/markup-compatibility/2006">
          <mc:Choice Requires="x14">
            <control shapeId="5158" r:id="rId33" name="Button 38">
              <controlPr defaultSize="0" print="0" autoFill="0" autoPict="0" macro="[0]!EnterDIV_04Sheets">
                <anchor moveWithCells="1" sizeWithCells="1">
                  <from>
                    <xdr:col>0</xdr:col>
                    <xdr:colOff>127000</xdr:colOff>
                    <xdr:row>97</xdr:row>
                    <xdr:rowOff>165100</xdr:rowOff>
                  </from>
                  <to>
                    <xdr:col>2</xdr:col>
                    <xdr:colOff>177800</xdr:colOff>
                    <xdr:row>99</xdr:row>
                    <xdr:rowOff>177800</xdr:rowOff>
                  </to>
                </anchor>
              </controlPr>
            </control>
          </mc:Choice>
        </mc:AlternateContent>
        <mc:AlternateContent xmlns:mc="http://schemas.openxmlformats.org/markup-compatibility/2006">
          <mc:Choice Requires="x14">
            <control shapeId="5159" r:id="rId34" name="Button 39">
              <controlPr defaultSize="0" print="0" autoFill="0" autoPict="0" macro="[0]!ExitDIV_04Sheets">
                <anchor moveWithCells="1" sizeWithCells="1">
                  <from>
                    <xdr:col>10</xdr:col>
                    <xdr:colOff>19050</xdr:colOff>
                    <xdr:row>97</xdr:row>
                    <xdr:rowOff>165100</xdr:rowOff>
                  </from>
                  <to>
                    <xdr:col>12</xdr:col>
                    <xdr:colOff>69850</xdr:colOff>
                    <xdr:row>99</xdr:row>
                    <xdr:rowOff>177800</xdr:rowOff>
                  </to>
                </anchor>
              </controlPr>
            </control>
          </mc:Choice>
        </mc:AlternateContent>
        <mc:AlternateContent xmlns:mc="http://schemas.openxmlformats.org/markup-compatibility/2006">
          <mc:Choice Requires="x14">
            <control shapeId="5165" r:id="rId35" name="Button 45">
              <controlPr defaultSize="0" print="0" autoFill="0" autoPict="0" macro="[0]!EnterSEC_042000">
                <anchor moveWithCells="1" sizeWithCells="1">
                  <from>
                    <xdr:col>0</xdr:col>
                    <xdr:colOff>127000</xdr:colOff>
                    <xdr:row>100</xdr:row>
                    <xdr:rowOff>152400</xdr:rowOff>
                  </from>
                  <to>
                    <xdr:col>2</xdr:col>
                    <xdr:colOff>177800</xdr:colOff>
                    <xdr:row>102</xdr:row>
                    <xdr:rowOff>165100</xdr:rowOff>
                  </to>
                </anchor>
              </controlPr>
            </control>
          </mc:Choice>
        </mc:AlternateContent>
        <mc:AlternateContent xmlns:mc="http://schemas.openxmlformats.org/markup-compatibility/2006">
          <mc:Choice Requires="x14">
            <control shapeId="5166" r:id="rId36" name="Button 46">
              <controlPr defaultSize="0" print="0" autoFill="0" autoPict="0" macro="[0]!EnterSEC_044000">
                <anchor moveWithCells="1" sizeWithCells="1">
                  <from>
                    <xdr:col>0</xdr:col>
                    <xdr:colOff>114300</xdr:colOff>
                    <xdr:row>103</xdr:row>
                    <xdr:rowOff>152400</xdr:rowOff>
                  </from>
                  <to>
                    <xdr:col>2</xdr:col>
                    <xdr:colOff>165100</xdr:colOff>
                    <xdr:row>105</xdr:row>
                    <xdr:rowOff>165100</xdr:rowOff>
                  </to>
                </anchor>
              </controlPr>
            </control>
          </mc:Choice>
        </mc:AlternateContent>
        <mc:AlternateContent xmlns:mc="http://schemas.openxmlformats.org/markup-compatibility/2006">
          <mc:Choice Requires="x14">
            <control shapeId="5167" r:id="rId37" name="Button 47">
              <controlPr defaultSize="0" print="0" autoFill="0" autoPict="0" macro="[0]!EnterSEC_045000">
                <anchor moveWithCells="1" sizeWithCells="1">
                  <from>
                    <xdr:col>0</xdr:col>
                    <xdr:colOff>107950</xdr:colOff>
                    <xdr:row>106</xdr:row>
                    <xdr:rowOff>158750</xdr:rowOff>
                  </from>
                  <to>
                    <xdr:col>2</xdr:col>
                    <xdr:colOff>158750</xdr:colOff>
                    <xdr:row>108</xdr:row>
                    <xdr:rowOff>171450</xdr:rowOff>
                  </to>
                </anchor>
              </controlPr>
            </control>
          </mc:Choice>
        </mc:AlternateContent>
        <mc:AlternateContent xmlns:mc="http://schemas.openxmlformats.org/markup-compatibility/2006">
          <mc:Choice Requires="x14">
            <control shapeId="5168" r:id="rId38" name="Button 48">
              <controlPr defaultSize="0" print="0" autoFill="0" autoPict="0" macro="[0]!EnterSEC_046000">
                <anchor moveWithCells="1" sizeWithCells="1">
                  <from>
                    <xdr:col>0</xdr:col>
                    <xdr:colOff>107950</xdr:colOff>
                    <xdr:row>109</xdr:row>
                    <xdr:rowOff>152400</xdr:rowOff>
                  </from>
                  <to>
                    <xdr:col>2</xdr:col>
                    <xdr:colOff>158750</xdr:colOff>
                    <xdr:row>111</xdr:row>
                    <xdr:rowOff>165100</xdr:rowOff>
                  </to>
                </anchor>
              </controlPr>
            </control>
          </mc:Choice>
        </mc:AlternateContent>
        <mc:AlternateContent xmlns:mc="http://schemas.openxmlformats.org/markup-compatibility/2006">
          <mc:Choice Requires="x14">
            <control shapeId="5169" r:id="rId39" name="Button 49">
              <controlPr defaultSize="0" print="0" autoFill="0" autoPict="0" macro="[0]!EnterSEC_047000">
                <anchor moveWithCells="1" sizeWithCells="1">
                  <from>
                    <xdr:col>0</xdr:col>
                    <xdr:colOff>82550</xdr:colOff>
                    <xdr:row>112</xdr:row>
                    <xdr:rowOff>165100</xdr:rowOff>
                  </from>
                  <to>
                    <xdr:col>2</xdr:col>
                    <xdr:colOff>133350</xdr:colOff>
                    <xdr:row>114</xdr:row>
                    <xdr:rowOff>177800</xdr:rowOff>
                  </to>
                </anchor>
              </controlPr>
            </control>
          </mc:Choice>
        </mc:AlternateContent>
        <mc:AlternateContent xmlns:mc="http://schemas.openxmlformats.org/markup-compatibility/2006">
          <mc:Choice Requires="x14">
            <control shapeId="5170" r:id="rId40" name="Button 50">
              <controlPr defaultSize="0" print="0" autoFill="0" autoPict="0" macro="[0]!EnterDIV_05Sheets">
                <anchor moveWithCells="1" sizeWithCells="1">
                  <from>
                    <xdr:col>0</xdr:col>
                    <xdr:colOff>95250</xdr:colOff>
                    <xdr:row>115</xdr:row>
                    <xdr:rowOff>133350</xdr:rowOff>
                  </from>
                  <to>
                    <xdr:col>2</xdr:col>
                    <xdr:colOff>146050</xdr:colOff>
                    <xdr:row>117</xdr:row>
                    <xdr:rowOff>146050</xdr:rowOff>
                  </to>
                </anchor>
              </controlPr>
            </control>
          </mc:Choice>
        </mc:AlternateContent>
        <mc:AlternateContent xmlns:mc="http://schemas.openxmlformats.org/markup-compatibility/2006">
          <mc:Choice Requires="x14">
            <control shapeId="5171" r:id="rId41" name="Button 51">
              <controlPr defaultSize="0" print="0" autoFill="0" autoPict="0" macro="[0]!ExitDIV_05Sheets">
                <anchor moveWithCells="1" sizeWithCells="1">
                  <from>
                    <xdr:col>9</xdr:col>
                    <xdr:colOff>666750</xdr:colOff>
                    <xdr:row>115</xdr:row>
                    <xdr:rowOff>158750</xdr:rowOff>
                  </from>
                  <to>
                    <xdr:col>12</xdr:col>
                    <xdr:colOff>44450</xdr:colOff>
                    <xdr:row>117</xdr:row>
                    <xdr:rowOff>171450</xdr:rowOff>
                  </to>
                </anchor>
              </controlPr>
            </control>
          </mc:Choice>
        </mc:AlternateContent>
        <mc:AlternateContent xmlns:mc="http://schemas.openxmlformats.org/markup-compatibility/2006">
          <mc:Choice Requires="x14">
            <control shapeId="5172" r:id="rId42" name="Button 52">
              <controlPr defaultSize="0" print="0" autoFill="0" autoPict="0" macro="[0]!EnterSEC_051000">
                <anchor moveWithCells="1" sizeWithCells="1">
                  <from>
                    <xdr:col>0</xdr:col>
                    <xdr:colOff>95250</xdr:colOff>
                    <xdr:row>118</xdr:row>
                    <xdr:rowOff>146050</xdr:rowOff>
                  </from>
                  <to>
                    <xdr:col>2</xdr:col>
                    <xdr:colOff>146050</xdr:colOff>
                    <xdr:row>120</xdr:row>
                    <xdr:rowOff>158750</xdr:rowOff>
                  </to>
                </anchor>
              </controlPr>
            </control>
          </mc:Choice>
        </mc:AlternateContent>
        <mc:AlternateContent xmlns:mc="http://schemas.openxmlformats.org/markup-compatibility/2006">
          <mc:Choice Requires="x14">
            <control shapeId="5173" r:id="rId43" name="Button 53">
              <controlPr defaultSize="0" print="0" autoFill="0" autoPict="0" macro="[0]!EnterSEC_052000">
                <anchor moveWithCells="1" sizeWithCells="1">
                  <from>
                    <xdr:col>0</xdr:col>
                    <xdr:colOff>95250</xdr:colOff>
                    <xdr:row>121</xdr:row>
                    <xdr:rowOff>158750</xdr:rowOff>
                  </from>
                  <to>
                    <xdr:col>2</xdr:col>
                    <xdr:colOff>146050</xdr:colOff>
                    <xdr:row>123</xdr:row>
                    <xdr:rowOff>171450</xdr:rowOff>
                  </to>
                </anchor>
              </controlPr>
            </control>
          </mc:Choice>
        </mc:AlternateContent>
        <mc:AlternateContent xmlns:mc="http://schemas.openxmlformats.org/markup-compatibility/2006">
          <mc:Choice Requires="x14">
            <control shapeId="5174" r:id="rId44" name="Button 54">
              <controlPr defaultSize="0" print="0" autoFill="0" autoPict="0" macro="[0]!EnterSEC_053000">
                <anchor moveWithCells="1" sizeWithCells="1">
                  <from>
                    <xdr:col>0</xdr:col>
                    <xdr:colOff>127000</xdr:colOff>
                    <xdr:row>125</xdr:row>
                    <xdr:rowOff>0</xdr:rowOff>
                  </from>
                  <to>
                    <xdr:col>2</xdr:col>
                    <xdr:colOff>177800</xdr:colOff>
                    <xdr:row>127</xdr:row>
                    <xdr:rowOff>12700</xdr:rowOff>
                  </to>
                </anchor>
              </controlPr>
            </control>
          </mc:Choice>
        </mc:AlternateContent>
        <mc:AlternateContent xmlns:mc="http://schemas.openxmlformats.org/markup-compatibility/2006">
          <mc:Choice Requires="x14">
            <control shapeId="5175" r:id="rId45" name="Button 55">
              <controlPr defaultSize="0" print="0" autoFill="0" autoPict="0" macro="[0]!EnterSEC_054000">
                <anchor moveWithCells="1" sizeWithCells="1">
                  <from>
                    <xdr:col>0</xdr:col>
                    <xdr:colOff>114300</xdr:colOff>
                    <xdr:row>128</xdr:row>
                    <xdr:rowOff>0</xdr:rowOff>
                  </from>
                  <to>
                    <xdr:col>2</xdr:col>
                    <xdr:colOff>165100</xdr:colOff>
                    <xdr:row>130</xdr:row>
                    <xdr:rowOff>12700</xdr:rowOff>
                  </to>
                </anchor>
              </controlPr>
            </control>
          </mc:Choice>
        </mc:AlternateContent>
        <mc:AlternateContent xmlns:mc="http://schemas.openxmlformats.org/markup-compatibility/2006">
          <mc:Choice Requires="x14">
            <control shapeId="5176" r:id="rId46" name="Button 56">
              <controlPr defaultSize="0" print="0" autoFill="0" autoPict="0" macro="[0]!EnterSEC_055000">
                <anchor moveWithCells="1" sizeWithCells="1">
                  <from>
                    <xdr:col>0</xdr:col>
                    <xdr:colOff>127000</xdr:colOff>
                    <xdr:row>130</xdr:row>
                    <xdr:rowOff>177800</xdr:rowOff>
                  </from>
                  <to>
                    <xdr:col>2</xdr:col>
                    <xdr:colOff>177800</xdr:colOff>
                    <xdr:row>133</xdr:row>
                    <xdr:rowOff>6350</xdr:rowOff>
                  </to>
                </anchor>
              </controlPr>
            </control>
          </mc:Choice>
        </mc:AlternateContent>
        <mc:AlternateContent xmlns:mc="http://schemas.openxmlformats.org/markup-compatibility/2006">
          <mc:Choice Requires="x14">
            <control shapeId="5177" r:id="rId47" name="Button 57">
              <controlPr defaultSize="0" print="0" autoFill="0" autoPict="0" macro="[0]!EnterSEC_057000">
                <anchor moveWithCells="1" sizeWithCells="1">
                  <from>
                    <xdr:col>0</xdr:col>
                    <xdr:colOff>120650</xdr:colOff>
                    <xdr:row>133</xdr:row>
                    <xdr:rowOff>158750</xdr:rowOff>
                  </from>
                  <to>
                    <xdr:col>2</xdr:col>
                    <xdr:colOff>171450</xdr:colOff>
                    <xdr:row>135</xdr:row>
                    <xdr:rowOff>171450</xdr:rowOff>
                  </to>
                </anchor>
              </controlPr>
            </control>
          </mc:Choice>
        </mc:AlternateContent>
        <mc:AlternateContent xmlns:mc="http://schemas.openxmlformats.org/markup-compatibility/2006">
          <mc:Choice Requires="x14">
            <control shapeId="5178" r:id="rId48" name="Button 58">
              <controlPr defaultSize="0" print="0" autoFill="0" autoPict="0" macro="[0]!EnterDIV_06Sheets">
                <anchor moveWithCells="1" sizeWithCells="1">
                  <from>
                    <xdr:col>0</xdr:col>
                    <xdr:colOff>107950</xdr:colOff>
                    <xdr:row>136</xdr:row>
                    <xdr:rowOff>158750</xdr:rowOff>
                  </from>
                  <to>
                    <xdr:col>2</xdr:col>
                    <xdr:colOff>158750</xdr:colOff>
                    <xdr:row>138</xdr:row>
                    <xdr:rowOff>171450</xdr:rowOff>
                  </to>
                </anchor>
              </controlPr>
            </control>
          </mc:Choice>
        </mc:AlternateContent>
        <mc:AlternateContent xmlns:mc="http://schemas.openxmlformats.org/markup-compatibility/2006">
          <mc:Choice Requires="x14">
            <control shapeId="5180" r:id="rId49" name="Button 60">
              <controlPr defaultSize="0" print="0" autoFill="0" autoPict="0" macro="[0]!ExitDIV_06Sheets">
                <anchor moveWithCells="1" sizeWithCells="1">
                  <from>
                    <xdr:col>9</xdr:col>
                    <xdr:colOff>635000</xdr:colOff>
                    <xdr:row>136</xdr:row>
                    <xdr:rowOff>139700</xdr:rowOff>
                  </from>
                  <to>
                    <xdr:col>12</xdr:col>
                    <xdr:colOff>19050</xdr:colOff>
                    <xdr:row>138</xdr:row>
                    <xdr:rowOff>152400</xdr:rowOff>
                  </to>
                </anchor>
              </controlPr>
            </control>
          </mc:Choice>
        </mc:AlternateContent>
        <mc:AlternateContent xmlns:mc="http://schemas.openxmlformats.org/markup-compatibility/2006">
          <mc:Choice Requires="x14">
            <control shapeId="5181" r:id="rId50" name="Button 61">
              <controlPr defaultSize="0" print="0" autoFill="0" autoPict="0" macro="[0]!EnterSEC_061000">
                <anchor moveWithCells="1" sizeWithCells="1">
                  <from>
                    <xdr:col>0</xdr:col>
                    <xdr:colOff>114300</xdr:colOff>
                    <xdr:row>139</xdr:row>
                    <xdr:rowOff>158750</xdr:rowOff>
                  </from>
                  <to>
                    <xdr:col>2</xdr:col>
                    <xdr:colOff>165100</xdr:colOff>
                    <xdr:row>141</xdr:row>
                    <xdr:rowOff>171450</xdr:rowOff>
                  </to>
                </anchor>
              </controlPr>
            </control>
          </mc:Choice>
        </mc:AlternateContent>
        <mc:AlternateContent xmlns:mc="http://schemas.openxmlformats.org/markup-compatibility/2006">
          <mc:Choice Requires="x14">
            <control shapeId="5182" r:id="rId51" name="Button 62">
              <controlPr defaultSize="0" print="0" autoFill="0" autoPict="0" macro="[0]!EnterSEC_062000">
                <anchor moveWithCells="1" sizeWithCells="1">
                  <from>
                    <xdr:col>0</xdr:col>
                    <xdr:colOff>101600</xdr:colOff>
                    <xdr:row>142</xdr:row>
                    <xdr:rowOff>165100</xdr:rowOff>
                  </from>
                  <to>
                    <xdr:col>2</xdr:col>
                    <xdr:colOff>152400</xdr:colOff>
                    <xdr:row>144</xdr:row>
                    <xdr:rowOff>177800</xdr:rowOff>
                  </to>
                </anchor>
              </controlPr>
            </control>
          </mc:Choice>
        </mc:AlternateContent>
        <mc:AlternateContent xmlns:mc="http://schemas.openxmlformats.org/markup-compatibility/2006">
          <mc:Choice Requires="x14">
            <control shapeId="5183" r:id="rId52" name="Button 63">
              <controlPr defaultSize="0" print="0" autoFill="0" autoPict="0" macro="[0]!EnterSEC_064000">
                <anchor moveWithCells="1" sizeWithCells="1">
                  <from>
                    <xdr:col>0</xdr:col>
                    <xdr:colOff>114300</xdr:colOff>
                    <xdr:row>145</xdr:row>
                    <xdr:rowOff>165100</xdr:rowOff>
                  </from>
                  <to>
                    <xdr:col>2</xdr:col>
                    <xdr:colOff>165100</xdr:colOff>
                    <xdr:row>147</xdr:row>
                    <xdr:rowOff>177800</xdr:rowOff>
                  </to>
                </anchor>
              </controlPr>
            </control>
          </mc:Choice>
        </mc:AlternateContent>
        <mc:AlternateContent xmlns:mc="http://schemas.openxmlformats.org/markup-compatibility/2006">
          <mc:Choice Requires="x14">
            <control shapeId="5184" r:id="rId53" name="Button 64">
              <controlPr defaultSize="0" print="0" autoFill="0" autoPict="0" macro="[0]!EnterSEC_065000">
                <anchor moveWithCells="1" sizeWithCells="1">
                  <from>
                    <xdr:col>0</xdr:col>
                    <xdr:colOff>120650</xdr:colOff>
                    <xdr:row>148</xdr:row>
                    <xdr:rowOff>171450</xdr:rowOff>
                  </from>
                  <to>
                    <xdr:col>2</xdr:col>
                    <xdr:colOff>171450</xdr:colOff>
                    <xdr:row>151</xdr:row>
                    <xdr:rowOff>0</xdr:rowOff>
                  </to>
                </anchor>
              </controlPr>
            </control>
          </mc:Choice>
        </mc:AlternateContent>
        <mc:AlternateContent xmlns:mc="http://schemas.openxmlformats.org/markup-compatibility/2006">
          <mc:Choice Requires="x14">
            <control shapeId="5185" r:id="rId54" name="Button 65">
              <controlPr defaultSize="0" print="0" autoFill="0" autoPict="0" macro="[0]!EnterSEC_066000">
                <anchor moveWithCells="1" sizeWithCells="1">
                  <from>
                    <xdr:col>0</xdr:col>
                    <xdr:colOff>127000</xdr:colOff>
                    <xdr:row>152</xdr:row>
                    <xdr:rowOff>0</xdr:rowOff>
                  </from>
                  <to>
                    <xdr:col>2</xdr:col>
                    <xdr:colOff>177800</xdr:colOff>
                    <xdr:row>154</xdr:row>
                    <xdr:rowOff>0</xdr:rowOff>
                  </to>
                </anchor>
              </controlPr>
            </control>
          </mc:Choice>
        </mc:AlternateContent>
        <mc:AlternateContent xmlns:mc="http://schemas.openxmlformats.org/markup-compatibility/2006">
          <mc:Choice Requires="x14">
            <control shapeId="5186" r:id="rId55" name="Button 66">
              <controlPr defaultSize="0" print="0" autoFill="0" autoPict="0" macro="[0]!EnterDIV_07Sheets">
                <anchor moveWithCells="1" sizeWithCells="1">
                  <from>
                    <xdr:col>0</xdr:col>
                    <xdr:colOff>114300</xdr:colOff>
                    <xdr:row>160</xdr:row>
                    <xdr:rowOff>171450</xdr:rowOff>
                  </from>
                  <to>
                    <xdr:col>2</xdr:col>
                    <xdr:colOff>165100</xdr:colOff>
                    <xdr:row>163</xdr:row>
                    <xdr:rowOff>0</xdr:rowOff>
                  </to>
                </anchor>
              </controlPr>
            </control>
          </mc:Choice>
        </mc:AlternateContent>
        <mc:AlternateContent xmlns:mc="http://schemas.openxmlformats.org/markup-compatibility/2006">
          <mc:Choice Requires="x14">
            <control shapeId="5187" r:id="rId56" name="Button 67">
              <controlPr defaultSize="0" print="0" autoFill="0" autoPict="0" macro="[0]!ExitDIV_07Sheets">
                <anchor moveWithCells="1" sizeWithCells="1">
                  <from>
                    <xdr:col>10</xdr:col>
                    <xdr:colOff>0</xdr:colOff>
                    <xdr:row>160</xdr:row>
                    <xdr:rowOff>171450</xdr:rowOff>
                  </from>
                  <to>
                    <xdr:col>12</xdr:col>
                    <xdr:colOff>50800</xdr:colOff>
                    <xdr:row>163</xdr:row>
                    <xdr:rowOff>0</xdr:rowOff>
                  </to>
                </anchor>
              </controlPr>
            </control>
          </mc:Choice>
        </mc:AlternateContent>
        <mc:AlternateContent xmlns:mc="http://schemas.openxmlformats.org/markup-compatibility/2006">
          <mc:Choice Requires="x14">
            <control shapeId="5188" r:id="rId57" name="Button 68">
              <controlPr defaultSize="0" print="0" autoFill="0" autoPict="0" macro="[0]!EnterSEC_071000">
                <anchor moveWithCells="1" sizeWithCells="1">
                  <from>
                    <xdr:col>0</xdr:col>
                    <xdr:colOff>114300</xdr:colOff>
                    <xdr:row>163</xdr:row>
                    <xdr:rowOff>165100</xdr:rowOff>
                  </from>
                  <to>
                    <xdr:col>2</xdr:col>
                    <xdr:colOff>165100</xdr:colOff>
                    <xdr:row>165</xdr:row>
                    <xdr:rowOff>177800</xdr:rowOff>
                  </to>
                </anchor>
              </controlPr>
            </control>
          </mc:Choice>
        </mc:AlternateContent>
        <mc:AlternateContent xmlns:mc="http://schemas.openxmlformats.org/markup-compatibility/2006">
          <mc:Choice Requires="x14">
            <control shapeId="5189" r:id="rId58" name="Button 69">
              <controlPr defaultSize="0" print="0" autoFill="0" autoPict="0" macro="[0]!EnterSEC_072000">
                <anchor moveWithCells="1" sizeWithCells="1">
                  <from>
                    <xdr:col>0</xdr:col>
                    <xdr:colOff>127000</xdr:colOff>
                    <xdr:row>166</xdr:row>
                    <xdr:rowOff>120650</xdr:rowOff>
                  </from>
                  <to>
                    <xdr:col>2</xdr:col>
                    <xdr:colOff>177800</xdr:colOff>
                    <xdr:row>168</xdr:row>
                    <xdr:rowOff>133350</xdr:rowOff>
                  </to>
                </anchor>
              </controlPr>
            </control>
          </mc:Choice>
        </mc:AlternateContent>
        <mc:AlternateContent xmlns:mc="http://schemas.openxmlformats.org/markup-compatibility/2006">
          <mc:Choice Requires="x14">
            <control shapeId="5190" r:id="rId59" name="Button 70">
              <controlPr defaultSize="0" print="0" autoFill="0" autoPict="0" macro="[0]!EnterSEC_073000">
                <anchor moveWithCells="1" sizeWithCells="1">
                  <from>
                    <xdr:col>0</xdr:col>
                    <xdr:colOff>120650</xdr:colOff>
                    <xdr:row>169</xdr:row>
                    <xdr:rowOff>158750</xdr:rowOff>
                  </from>
                  <to>
                    <xdr:col>2</xdr:col>
                    <xdr:colOff>171450</xdr:colOff>
                    <xdr:row>171</xdr:row>
                    <xdr:rowOff>171450</xdr:rowOff>
                  </to>
                </anchor>
              </controlPr>
            </control>
          </mc:Choice>
        </mc:AlternateContent>
        <mc:AlternateContent xmlns:mc="http://schemas.openxmlformats.org/markup-compatibility/2006">
          <mc:Choice Requires="x14">
            <control shapeId="5191" r:id="rId60" name="Button 71">
              <controlPr defaultSize="0" print="0" autoFill="0" autoPict="0" macro="[0]!EnterSEC_074000">
                <anchor moveWithCells="1" sizeWithCells="1">
                  <from>
                    <xdr:col>0</xdr:col>
                    <xdr:colOff>114300</xdr:colOff>
                    <xdr:row>172</xdr:row>
                    <xdr:rowOff>158750</xdr:rowOff>
                  </from>
                  <to>
                    <xdr:col>2</xdr:col>
                    <xdr:colOff>165100</xdr:colOff>
                    <xdr:row>174</xdr:row>
                    <xdr:rowOff>171450</xdr:rowOff>
                  </to>
                </anchor>
              </controlPr>
            </control>
          </mc:Choice>
        </mc:AlternateContent>
        <mc:AlternateContent xmlns:mc="http://schemas.openxmlformats.org/markup-compatibility/2006">
          <mc:Choice Requires="x14">
            <control shapeId="5192" r:id="rId61" name="Button 72">
              <controlPr defaultSize="0" print="0" autoFill="0" autoPict="0" macro="[0]!EnterSEC_075000">
                <anchor moveWithCells="1" sizeWithCells="1">
                  <from>
                    <xdr:col>0</xdr:col>
                    <xdr:colOff>127000</xdr:colOff>
                    <xdr:row>175</xdr:row>
                    <xdr:rowOff>165100</xdr:rowOff>
                  </from>
                  <to>
                    <xdr:col>2</xdr:col>
                    <xdr:colOff>177800</xdr:colOff>
                    <xdr:row>177</xdr:row>
                    <xdr:rowOff>177800</xdr:rowOff>
                  </to>
                </anchor>
              </controlPr>
            </control>
          </mc:Choice>
        </mc:AlternateContent>
        <mc:AlternateContent xmlns:mc="http://schemas.openxmlformats.org/markup-compatibility/2006">
          <mc:Choice Requires="x14">
            <control shapeId="5193" r:id="rId62" name="Button 73">
              <controlPr defaultSize="0" print="0" autoFill="0" autoPict="0" macro="[0]!EnterSEC_076000">
                <anchor moveWithCells="1" sizeWithCells="1">
                  <from>
                    <xdr:col>0</xdr:col>
                    <xdr:colOff>120650</xdr:colOff>
                    <xdr:row>178</xdr:row>
                    <xdr:rowOff>152400</xdr:rowOff>
                  </from>
                  <to>
                    <xdr:col>2</xdr:col>
                    <xdr:colOff>171450</xdr:colOff>
                    <xdr:row>180</xdr:row>
                    <xdr:rowOff>165100</xdr:rowOff>
                  </to>
                </anchor>
              </controlPr>
            </control>
          </mc:Choice>
        </mc:AlternateContent>
        <mc:AlternateContent xmlns:mc="http://schemas.openxmlformats.org/markup-compatibility/2006">
          <mc:Choice Requires="x14">
            <control shapeId="5194" r:id="rId63" name="Button 74">
              <controlPr defaultSize="0" print="0" autoFill="0" autoPict="0" macro="[0]!EnterSEC_077000">
                <anchor moveWithCells="1" sizeWithCells="1">
                  <from>
                    <xdr:col>0</xdr:col>
                    <xdr:colOff>114300</xdr:colOff>
                    <xdr:row>181</xdr:row>
                    <xdr:rowOff>158750</xdr:rowOff>
                  </from>
                  <to>
                    <xdr:col>2</xdr:col>
                    <xdr:colOff>165100</xdr:colOff>
                    <xdr:row>183</xdr:row>
                    <xdr:rowOff>171450</xdr:rowOff>
                  </to>
                </anchor>
              </controlPr>
            </control>
          </mc:Choice>
        </mc:AlternateContent>
        <mc:AlternateContent xmlns:mc="http://schemas.openxmlformats.org/markup-compatibility/2006">
          <mc:Choice Requires="x14">
            <control shapeId="5195" r:id="rId64" name="Button 75">
              <controlPr defaultSize="0" print="0" autoFill="0" autoPict="0" macro="[0]!EnterSEC_078000">
                <anchor moveWithCells="1" sizeWithCells="1">
                  <from>
                    <xdr:col>0</xdr:col>
                    <xdr:colOff>127000</xdr:colOff>
                    <xdr:row>184</xdr:row>
                    <xdr:rowOff>177800</xdr:rowOff>
                  </from>
                  <to>
                    <xdr:col>2</xdr:col>
                    <xdr:colOff>177800</xdr:colOff>
                    <xdr:row>187</xdr:row>
                    <xdr:rowOff>6350</xdr:rowOff>
                  </to>
                </anchor>
              </controlPr>
            </control>
          </mc:Choice>
        </mc:AlternateContent>
        <mc:AlternateContent xmlns:mc="http://schemas.openxmlformats.org/markup-compatibility/2006">
          <mc:Choice Requires="x14">
            <control shapeId="5196" r:id="rId65" name="Button 76">
              <controlPr defaultSize="0" print="0" autoFill="0" autoPict="0" macro="[0]!EnterSEC_079000">
                <anchor moveWithCells="1" sizeWithCells="1">
                  <from>
                    <xdr:col>0</xdr:col>
                    <xdr:colOff>114300</xdr:colOff>
                    <xdr:row>187</xdr:row>
                    <xdr:rowOff>165100</xdr:rowOff>
                  </from>
                  <to>
                    <xdr:col>2</xdr:col>
                    <xdr:colOff>165100</xdr:colOff>
                    <xdr:row>189</xdr:row>
                    <xdr:rowOff>177800</xdr:rowOff>
                  </to>
                </anchor>
              </controlPr>
            </control>
          </mc:Choice>
        </mc:AlternateContent>
        <mc:AlternateContent xmlns:mc="http://schemas.openxmlformats.org/markup-compatibility/2006">
          <mc:Choice Requires="x14">
            <control shapeId="5197" r:id="rId66" name="Button 77">
              <controlPr defaultSize="0" print="0" autoFill="0" autoPict="0" macro="[0]!EnterDIV_08Sheets">
                <anchor moveWithCells="1" sizeWithCells="1">
                  <from>
                    <xdr:col>0</xdr:col>
                    <xdr:colOff>127000</xdr:colOff>
                    <xdr:row>190</xdr:row>
                    <xdr:rowOff>165100</xdr:rowOff>
                  </from>
                  <to>
                    <xdr:col>2</xdr:col>
                    <xdr:colOff>177800</xdr:colOff>
                    <xdr:row>192</xdr:row>
                    <xdr:rowOff>177800</xdr:rowOff>
                  </to>
                </anchor>
              </controlPr>
            </control>
          </mc:Choice>
        </mc:AlternateContent>
        <mc:AlternateContent xmlns:mc="http://schemas.openxmlformats.org/markup-compatibility/2006">
          <mc:Choice Requires="x14">
            <control shapeId="5198" r:id="rId67" name="Button 78">
              <controlPr defaultSize="0" print="0" autoFill="0" autoPict="0" macro="[0]!ExitDIV_08Sheets">
                <anchor moveWithCells="1" sizeWithCells="1">
                  <from>
                    <xdr:col>10</xdr:col>
                    <xdr:colOff>6350</xdr:colOff>
                    <xdr:row>190</xdr:row>
                    <xdr:rowOff>171450</xdr:rowOff>
                  </from>
                  <to>
                    <xdr:col>12</xdr:col>
                    <xdr:colOff>57150</xdr:colOff>
                    <xdr:row>193</xdr:row>
                    <xdr:rowOff>0</xdr:rowOff>
                  </to>
                </anchor>
              </controlPr>
            </control>
          </mc:Choice>
        </mc:AlternateContent>
        <mc:AlternateContent xmlns:mc="http://schemas.openxmlformats.org/markup-compatibility/2006">
          <mc:Choice Requires="x14">
            <control shapeId="5199" r:id="rId68" name="Button 79">
              <controlPr defaultSize="0" print="0" autoFill="0" autoPict="0" macro="[0]!EnterSEC_081000">
                <anchor moveWithCells="1" sizeWithCells="1">
                  <from>
                    <xdr:col>0</xdr:col>
                    <xdr:colOff>133350</xdr:colOff>
                    <xdr:row>193</xdr:row>
                    <xdr:rowOff>158750</xdr:rowOff>
                  </from>
                  <to>
                    <xdr:col>2</xdr:col>
                    <xdr:colOff>184150</xdr:colOff>
                    <xdr:row>195</xdr:row>
                    <xdr:rowOff>171450</xdr:rowOff>
                  </to>
                </anchor>
              </controlPr>
            </control>
          </mc:Choice>
        </mc:AlternateContent>
        <mc:AlternateContent xmlns:mc="http://schemas.openxmlformats.org/markup-compatibility/2006">
          <mc:Choice Requires="x14">
            <control shapeId="5200" r:id="rId69" name="Button 80">
              <controlPr defaultSize="0" print="0" autoFill="0" autoPict="0" macro="[0]!EnterSEC_083000">
                <anchor moveWithCells="1" sizeWithCells="1">
                  <from>
                    <xdr:col>0</xdr:col>
                    <xdr:colOff>127000</xdr:colOff>
                    <xdr:row>196</xdr:row>
                    <xdr:rowOff>133350</xdr:rowOff>
                  </from>
                  <to>
                    <xdr:col>2</xdr:col>
                    <xdr:colOff>177800</xdr:colOff>
                    <xdr:row>198</xdr:row>
                    <xdr:rowOff>146050</xdr:rowOff>
                  </to>
                </anchor>
              </controlPr>
            </control>
          </mc:Choice>
        </mc:AlternateContent>
        <mc:AlternateContent xmlns:mc="http://schemas.openxmlformats.org/markup-compatibility/2006">
          <mc:Choice Requires="x14">
            <control shapeId="5201" r:id="rId70" name="Button 81">
              <controlPr defaultSize="0" print="0" autoFill="0" autoPict="0" macro="[0]!EnterSEC_084000">
                <anchor moveWithCells="1" sizeWithCells="1">
                  <from>
                    <xdr:col>0</xdr:col>
                    <xdr:colOff>127000</xdr:colOff>
                    <xdr:row>199</xdr:row>
                    <xdr:rowOff>158750</xdr:rowOff>
                  </from>
                  <to>
                    <xdr:col>2</xdr:col>
                    <xdr:colOff>177800</xdr:colOff>
                    <xdr:row>201</xdr:row>
                    <xdr:rowOff>171450</xdr:rowOff>
                  </to>
                </anchor>
              </controlPr>
            </control>
          </mc:Choice>
        </mc:AlternateContent>
        <mc:AlternateContent xmlns:mc="http://schemas.openxmlformats.org/markup-compatibility/2006">
          <mc:Choice Requires="x14">
            <control shapeId="5202" r:id="rId71" name="Button 82">
              <controlPr defaultSize="0" print="0" autoFill="0" autoPict="0" macro="[0]!EnterSEC_085000">
                <anchor moveWithCells="1" sizeWithCells="1">
                  <from>
                    <xdr:col>0</xdr:col>
                    <xdr:colOff>127000</xdr:colOff>
                    <xdr:row>202</xdr:row>
                    <xdr:rowOff>165100</xdr:rowOff>
                  </from>
                  <to>
                    <xdr:col>2</xdr:col>
                    <xdr:colOff>177800</xdr:colOff>
                    <xdr:row>204</xdr:row>
                    <xdr:rowOff>177800</xdr:rowOff>
                  </to>
                </anchor>
              </controlPr>
            </control>
          </mc:Choice>
        </mc:AlternateContent>
        <mc:AlternateContent xmlns:mc="http://schemas.openxmlformats.org/markup-compatibility/2006">
          <mc:Choice Requires="x14">
            <control shapeId="5203" r:id="rId72" name="Button 83">
              <controlPr defaultSize="0" print="0" autoFill="0" autoPict="0" macro="[0]!EnterSEC_086000">
                <anchor moveWithCells="1" sizeWithCells="1">
                  <from>
                    <xdr:col>0</xdr:col>
                    <xdr:colOff>120650</xdr:colOff>
                    <xdr:row>205</xdr:row>
                    <xdr:rowOff>171450</xdr:rowOff>
                  </from>
                  <to>
                    <xdr:col>2</xdr:col>
                    <xdr:colOff>171450</xdr:colOff>
                    <xdr:row>208</xdr:row>
                    <xdr:rowOff>0</xdr:rowOff>
                  </to>
                </anchor>
              </controlPr>
            </control>
          </mc:Choice>
        </mc:AlternateContent>
        <mc:AlternateContent xmlns:mc="http://schemas.openxmlformats.org/markup-compatibility/2006">
          <mc:Choice Requires="x14">
            <control shapeId="5204" r:id="rId73" name="Button 84">
              <controlPr defaultSize="0" print="0" autoFill="0" autoPict="0" macro="[0]!EnterSEC_087000">
                <anchor moveWithCells="1" sizeWithCells="1">
                  <from>
                    <xdr:col>0</xdr:col>
                    <xdr:colOff>127000</xdr:colOff>
                    <xdr:row>208</xdr:row>
                    <xdr:rowOff>171450</xdr:rowOff>
                  </from>
                  <to>
                    <xdr:col>2</xdr:col>
                    <xdr:colOff>177800</xdr:colOff>
                    <xdr:row>211</xdr:row>
                    <xdr:rowOff>0</xdr:rowOff>
                  </to>
                </anchor>
              </controlPr>
            </control>
          </mc:Choice>
        </mc:AlternateContent>
        <mc:AlternateContent xmlns:mc="http://schemas.openxmlformats.org/markup-compatibility/2006">
          <mc:Choice Requires="x14">
            <control shapeId="5205" r:id="rId74" name="Button 85">
              <controlPr defaultSize="0" print="0" autoFill="0" autoPict="0" macro="[0]!EnterSEC_088000">
                <anchor moveWithCells="1" sizeWithCells="1">
                  <from>
                    <xdr:col>0</xdr:col>
                    <xdr:colOff>127000</xdr:colOff>
                    <xdr:row>211</xdr:row>
                    <xdr:rowOff>165100</xdr:rowOff>
                  </from>
                  <to>
                    <xdr:col>2</xdr:col>
                    <xdr:colOff>177800</xdr:colOff>
                    <xdr:row>213</xdr:row>
                    <xdr:rowOff>177800</xdr:rowOff>
                  </to>
                </anchor>
              </controlPr>
            </control>
          </mc:Choice>
        </mc:AlternateContent>
        <mc:AlternateContent xmlns:mc="http://schemas.openxmlformats.org/markup-compatibility/2006">
          <mc:Choice Requires="x14">
            <control shapeId="5206" r:id="rId75" name="Button 86">
              <controlPr defaultSize="0" print="0" autoFill="0" autoPict="0" macro="[0]!EnterSEC_089000">
                <anchor moveWithCells="1" sizeWithCells="1">
                  <from>
                    <xdr:col>0</xdr:col>
                    <xdr:colOff>127000</xdr:colOff>
                    <xdr:row>215</xdr:row>
                    <xdr:rowOff>0</xdr:rowOff>
                  </from>
                  <to>
                    <xdr:col>2</xdr:col>
                    <xdr:colOff>177800</xdr:colOff>
                    <xdr:row>217</xdr:row>
                    <xdr:rowOff>12700</xdr:rowOff>
                  </to>
                </anchor>
              </controlPr>
            </control>
          </mc:Choice>
        </mc:AlternateContent>
        <mc:AlternateContent xmlns:mc="http://schemas.openxmlformats.org/markup-compatibility/2006">
          <mc:Choice Requires="x14">
            <control shapeId="5207" r:id="rId76" name="Button 87">
              <controlPr defaultSize="0" print="0" autoFill="0" autoPict="0" macro="[0]!EnterDIV_09Sheets">
                <anchor moveWithCells="1" sizeWithCells="1">
                  <from>
                    <xdr:col>0</xdr:col>
                    <xdr:colOff>120650</xdr:colOff>
                    <xdr:row>217</xdr:row>
                    <xdr:rowOff>158750</xdr:rowOff>
                  </from>
                  <to>
                    <xdr:col>2</xdr:col>
                    <xdr:colOff>171450</xdr:colOff>
                    <xdr:row>219</xdr:row>
                    <xdr:rowOff>171450</xdr:rowOff>
                  </to>
                </anchor>
              </controlPr>
            </control>
          </mc:Choice>
        </mc:AlternateContent>
        <mc:AlternateContent xmlns:mc="http://schemas.openxmlformats.org/markup-compatibility/2006">
          <mc:Choice Requires="x14">
            <control shapeId="5208" r:id="rId77" name="Button 88">
              <controlPr defaultSize="0" print="0" autoFill="0" autoPict="0" macro="[0]!ExitDIV_09Sheets">
                <anchor moveWithCells="1" sizeWithCells="1">
                  <from>
                    <xdr:col>10</xdr:col>
                    <xdr:colOff>0</xdr:colOff>
                    <xdr:row>217</xdr:row>
                    <xdr:rowOff>139700</xdr:rowOff>
                  </from>
                  <to>
                    <xdr:col>12</xdr:col>
                    <xdr:colOff>50800</xdr:colOff>
                    <xdr:row>219</xdr:row>
                    <xdr:rowOff>152400</xdr:rowOff>
                  </to>
                </anchor>
              </controlPr>
            </control>
          </mc:Choice>
        </mc:AlternateContent>
        <mc:AlternateContent xmlns:mc="http://schemas.openxmlformats.org/markup-compatibility/2006">
          <mc:Choice Requires="x14">
            <control shapeId="5209" r:id="rId78" name="Button 89">
              <controlPr defaultSize="0" print="0" autoFill="0" autoPict="0" macro="[0]!EnterSEC_092000">
                <anchor moveWithCells="1" sizeWithCells="1">
                  <from>
                    <xdr:col>0</xdr:col>
                    <xdr:colOff>127000</xdr:colOff>
                    <xdr:row>220</xdr:row>
                    <xdr:rowOff>165100</xdr:rowOff>
                  </from>
                  <to>
                    <xdr:col>2</xdr:col>
                    <xdr:colOff>177800</xdr:colOff>
                    <xdr:row>222</xdr:row>
                    <xdr:rowOff>177800</xdr:rowOff>
                  </to>
                </anchor>
              </controlPr>
            </control>
          </mc:Choice>
        </mc:AlternateContent>
        <mc:AlternateContent xmlns:mc="http://schemas.openxmlformats.org/markup-compatibility/2006">
          <mc:Choice Requires="x14">
            <control shapeId="5210" r:id="rId79" name="Button 90">
              <controlPr defaultSize="0" print="0" autoFill="0" autoPict="0" macro="[0]!EnterSEC_093000">
                <anchor moveWithCells="1" sizeWithCells="1">
                  <from>
                    <xdr:col>0</xdr:col>
                    <xdr:colOff>120650</xdr:colOff>
                    <xdr:row>223</xdr:row>
                    <xdr:rowOff>171450</xdr:rowOff>
                  </from>
                  <to>
                    <xdr:col>2</xdr:col>
                    <xdr:colOff>171450</xdr:colOff>
                    <xdr:row>226</xdr:row>
                    <xdr:rowOff>0</xdr:rowOff>
                  </to>
                </anchor>
              </controlPr>
            </control>
          </mc:Choice>
        </mc:AlternateContent>
        <mc:AlternateContent xmlns:mc="http://schemas.openxmlformats.org/markup-compatibility/2006">
          <mc:Choice Requires="x14">
            <control shapeId="5211" r:id="rId80" name="Button 91">
              <controlPr defaultSize="0" print="0" autoFill="0" autoPict="0" macro="[0]!EnterSEC_095000">
                <anchor moveWithCells="1" sizeWithCells="1">
                  <from>
                    <xdr:col>0</xdr:col>
                    <xdr:colOff>127000</xdr:colOff>
                    <xdr:row>226</xdr:row>
                    <xdr:rowOff>165100</xdr:rowOff>
                  </from>
                  <to>
                    <xdr:col>2</xdr:col>
                    <xdr:colOff>177800</xdr:colOff>
                    <xdr:row>228</xdr:row>
                    <xdr:rowOff>177800</xdr:rowOff>
                  </to>
                </anchor>
              </controlPr>
            </control>
          </mc:Choice>
        </mc:AlternateContent>
        <mc:AlternateContent xmlns:mc="http://schemas.openxmlformats.org/markup-compatibility/2006">
          <mc:Choice Requires="x14">
            <control shapeId="5212" r:id="rId81" name="Button 92">
              <controlPr defaultSize="0" print="0" autoFill="0" autoPict="0" macro="[0]!EnterSEC_096000">
                <anchor moveWithCells="1" sizeWithCells="1">
                  <from>
                    <xdr:col>0</xdr:col>
                    <xdr:colOff>127000</xdr:colOff>
                    <xdr:row>229</xdr:row>
                    <xdr:rowOff>177800</xdr:rowOff>
                  </from>
                  <to>
                    <xdr:col>2</xdr:col>
                    <xdr:colOff>177800</xdr:colOff>
                    <xdr:row>232</xdr:row>
                    <xdr:rowOff>6350</xdr:rowOff>
                  </to>
                </anchor>
              </controlPr>
            </control>
          </mc:Choice>
        </mc:AlternateContent>
        <mc:AlternateContent xmlns:mc="http://schemas.openxmlformats.org/markup-compatibility/2006">
          <mc:Choice Requires="x14">
            <control shapeId="5213" r:id="rId82" name="Button 93">
              <controlPr defaultSize="0" print="0" autoFill="0" autoPict="0" macro="[0]!EnterSEC_097000">
                <anchor moveWithCells="1" sizeWithCells="1">
                  <from>
                    <xdr:col>0</xdr:col>
                    <xdr:colOff>127000</xdr:colOff>
                    <xdr:row>232</xdr:row>
                    <xdr:rowOff>165100</xdr:rowOff>
                  </from>
                  <to>
                    <xdr:col>2</xdr:col>
                    <xdr:colOff>177800</xdr:colOff>
                    <xdr:row>234</xdr:row>
                    <xdr:rowOff>177800</xdr:rowOff>
                  </to>
                </anchor>
              </controlPr>
            </control>
          </mc:Choice>
        </mc:AlternateContent>
        <mc:AlternateContent xmlns:mc="http://schemas.openxmlformats.org/markup-compatibility/2006">
          <mc:Choice Requires="x14">
            <control shapeId="5214" r:id="rId83" name="Button 94">
              <controlPr defaultSize="0" print="0" autoFill="0" autoPict="0" macro="[0]!EnterSEC_098000">
                <anchor moveWithCells="1" sizeWithCells="1">
                  <from>
                    <xdr:col>0</xdr:col>
                    <xdr:colOff>120650</xdr:colOff>
                    <xdr:row>235</xdr:row>
                    <xdr:rowOff>177800</xdr:rowOff>
                  </from>
                  <to>
                    <xdr:col>2</xdr:col>
                    <xdr:colOff>171450</xdr:colOff>
                    <xdr:row>238</xdr:row>
                    <xdr:rowOff>6350</xdr:rowOff>
                  </to>
                </anchor>
              </controlPr>
            </control>
          </mc:Choice>
        </mc:AlternateContent>
        <mc:AlternateContent xmlns:mc="http://schemas.openxmlformats.org/markup-compatibility/2006">
          <mc:Choice Requires="x14">
            <control shapeId="5215" r:id="rId84" name="Button 95">
              <controlPr defaultSize="0" print="0" autoFill="0" autoPict="0" macro="[0]!EnterSEC_099000">
                <anchor moveWithCells="1" sizeWithCells="1">
                  <from>
                    <xdr:col>0</xdr:col>
                    <xdr:colOff>114300</xdr:colOff>
                    <xdr:row>238</xdr:row>
                    <xdr:rowOff>171450</xdr:rowOff>
                  </from>
                  <to>
                    <xdr:col>2</xdr:col>
                    <xdr:colOff>165100</xdr:colOff>
                    <xdr:row>241</xdr:row>
                    <xdr:rowOff>0</xdr:rowOff>
                  </to>
                </anchor>
              </controlPr>
            </control>
          </mc:Choice>
        </mc:AlternateContent>
        <mc:AlternateContent xmlns:mc="http://schemas.openxmlformats.org/markup-compatibility/2006">
          <mc:Choice Requires="x14">
            <control shapeId="5224" r:id="rId85" name="Button 104">
              <controlPr defaultSize="0" print="0" autoFill="0" autoPict="0" macro="[0]!EnterDIV_10">
                <anchor moveWithCells="1" sizeWithCells="1">
                  <from>
                    <xdr:col>0</xdr:col>
                    <xdr:colOff>114300</xdr:colOff>
                    <xdr:row>241</xdr:row>
                    <xdr:rowOff>158750</xdr:rowOff>
                  </from>
                  <to>
                    <xdr:col>2</xdr:col>
                    <xdr:colOff>165100</xdr:colOff>
                    <xdr:row>243</xdr:row>
                    <xdr:rowOff>171450</xdr:rowOff>
                  </to>
                </anchor>
              </controlPr>
            </control>
          </mc:Choice>
        </mc:AlternateContent>
        <mc:AlternateContent xmlns:mc="http://schemas.openxmlformats.org/markup-compatibility/2006">
          <mc:Choice Requires="x14">
            <control shapeId="5225" r:id="rId86" name="Button 105">
              <controlPr defaultSize="0" print="0" autoFill="0" autoPict="0" macro="[0]!ExitDIV_10">
                <anchor moveWithCells="1" sizeWithCells="1">
                  <from>
                    <xdr:col>9</xdr:col>
                    <xdr:colOff>666750</xdr:colOff>
                    <xdr:row>241</xdr:row>
                    <xdr:rowOff>171450</xdr:rowOff>
                  </from>
                  <to>
                    <xdr:col>12</xdr:col>
                    <xdr:colOff>44450</xdr:colOff>
                    <xdr:row>244</xdr:row>
                    <xdr:rowOff>0</xdr:rowOff>
                  </to>
                </anchor>
              </controlPr>
            </control>
          </mc:Choice>
        </mc:AlternateContent>
        <mc:AlternateContent xmlns:mc="http://schemas.openxmlformats.org/markup-compatibility/2006">
          <mc:Choice Requires="x14">
            <control shapeId="5226" r:id="rId87" name="Button 106">
              <controlPr defaultSize="0" print="0" autoFill="0" autoPict="0" macro="[0]!EnterSEC_101000">
                <anchor moveWithCells="1" sizeWithCells="1">
                  <from>
                    <xdr:col>0</xdr:col>
                    <xdr:colOff>127000</xdr:colOff>
                    <xdr:row>244</xdr:row>
                    <xdr:rowOff>158750</xdr:rowOff>
                  </from>
                  <to>
                    <xdr:col>2</xdr:col>
                    <xdr:colOff>177800</xdr:colOff>
                    <xdr:row>246</xdr:row>
                    <xdr:rowOff>171450</xdr:rowOff>
                  </to>
                </anchor>
              </controlPr>
            </control>
          </mc:Choice>
        </mc:AlternateContent>
        <mc:AlternateContent xmlns:mc="http://schemas.openxmlformats.org/markup-compatibility/2006">
          <mc:Choice Requires="x14">
            <control shapeId="5227" r:id="rId88" name="Button 107">
              <controlPr defaultSize="0" print="0" autoFill="0" autoPict="0" macro="[0]!EnterSEC_102000">
                <anchor moveWithCells="1" sizeWithCells="1">
                  <from>
                    <xdr:col>0</xdr:col>
                    <xdr:colOff>120650</xdr:colOff>
                    <xdr:row>247</xdr:row>
                    <xdr:rowOff>165100</xdr:rowOff>
                  </from>
                  <to>
                    <xdr:col>2</xdr:col>
                    <xdr:colOff>171450</xdr:colOff>
                    <xdr:row>249</xdr:row>
                    <xdr:rowOff>177800</xdr:rowOff>
                  </to>
                </anchor>
              </controlPr>
            </control>
          </mc:Choice>
        </mc:AlternateContent>
        <mc:AlternateContent xmlns:mc="http://schemas.openxmlformats.org/markup-compatibility/2006">
          <mc:Choice Requires="x14">
            <control shapeId="5228" r:id="rId89" name="Button 108">
              <controlPr defaultSize="0" print="0" autoFill="0" autoPict="0" macro="[0]!EnterSEC_103000">
                <anchor moveWithCells="1" sizeWithCells="1">
                  <from>
                    <xdr:col>0</xdr:col>
                    <xdr:colOff>127000</xdr:colOff>
                    <xdr:row>250</xdr:row>
                    <xdr:rowOff>177800</xdr:rowOff>
                  </from>
                  <to>
                    <xdr:col>2</xdr:col>
                    <xdr:colOff>177800</xdr:colOff>
                    <xdr:row>253</xdr:row>
                    <xdr:rowOff>6350</xdr:rowOff>
                  </to>
                </anchor>
              </controlPr>
            </control>
          </mc:Choice>
        </mc:AlternateContent>
        <mc:AlternateContent xmlns:mc="http://schemas.openxmlformats.org/markup-compatibility/2006">
          <mc:Choice Requires="x14">
            <control shapeId="5229" r:id="rId90" name="Button 109">
              <controlPr defaultSize="0" print="0" autoFill="0" autoPict="0" macro="[0]!EnterSEC_104000">
                <anchor moveWithCells="1" sizeWithCells="1">
                  <from>
                    <xdr:col>0</xdr:col>
                    <xdr:colOff>127000</xdr:colOff>
                    <xdr:row>254</xdr:row>
                    <xdr:rowOff>6350</xdr:rowOff>
                  </from>
                  <to>
                    <xdr:col>2</xdr:col>
                    <xdr:colOff>177800</xdr:colOff>
                    <xdr:row>256</xdr:row>
                    <xdr:rowOff>19050</xdr:rowOff>
                  </to>
                </anchor>
              </controlPr>
            </control>
          </mc:Choice>
        </mc:AlternateContent>
        <mc:AlternateContent xmlns:mc="http://schemas.openxmlformats.org/markup-compatibility/2006">
          <mc:Choice Requires="x14">
            <control shapeId="5230" r:id="rId91" name="Button 110">
              <controlPr defaultSize="0" print="0" autoFill="0" autoPict="0" macro="[0]!EnterSEC_105000">
                <anchor moveWithCells="1" sizeWithCells="1">
                  <from>
                    <xdr:col>0</xdr:col>
                    <xdr:colOff>127000</xdr:colOff>
                    <xdr:row>257</xdr:row>
                    <xdr:rowOff>0</xdr:rowOff>
                  </from>
                  <to>
                    <xdr:col>2</xdr:col>
                    <xdr:colOff>177800</xdr:colOff>
                    <xdr:row>259</xdr:row>
                    <xdr:rowOff>12700</xdr:rowOff>
                  </to>
                </anchor>
              </controlPr>
            </control>
          </mc:Choice>
        </mc:AlternateContent>
        <mc:AlternateContent xmlns:mc="http://schemas.openxmlformats.org/markup-compatibility/2006">
          <mc:Choice Requires="x14">
            <control shapeId="5234" r:id="rId92" name="Button 114">
              <controlPr defaultSize="0" print="0" autoFill="0" autoPict="0" macro="[0]!EnterSEC_067000">
                <anchor moveWithCells="1" sizeWithCells="1">
                  <from>
                    <xdr:col>0</xdr:col>
                    <xdr:colOff>120650</xdr:colOff>
                    <xdr:row>154</xdr:row>
                    <xdr:rowOff>171450</xdr:rowOff>
                  </from>
                  <to>
                    <xdr:col>2</xdr:col>
                    <xdr:colOff>171450</xdr:colOff>
                    <xdr:row>157</xdr:row>
                    <xdr:rowOff>0</xdr:rowOff>
                  </to>
                </anchor>
              </controlPr>
            </control>
          </mc:Choice>
        </mc:AlternateContent>
        <mc:AlternateContent xmlns:mc="http://schemas.openxmlformats.org/markup-compatibility/2006">
          <mc:Choice Requires="x14">
            <control shapeId="5236" r:id="rId93" name="Button 116">
              <controlPr defaultSize="0" print="0" autoFill="0" autoPict="0" macro="[0]!EnterSEC_068000">
                <anchor moveWithCells="1" sizeWithCells="1">
                  <from>
                    <xdr:col>0</xdr:col>
                    <xdr:colOff>120650</xdr:colOff>
                    <xdr:row>158</xdr:row>
                    <xdr:rowOff>6350</xdr:rowOff>
                  </from>
                  <to>
                    <xdr:col>2</xdr:col>
                    <xdr:colOff>171450</xdr:colOff>
                    <xdr:row>160</xdr:row>
                    <xdr:rowOff>19050</xdr:rowOff>
                  </to>
                </anchor>
              </controlPr>
            </control>
          </mc:Choice>
        </mc:AlternateContent>
        <mc:AlternateContent xmlns:mc="http://schemas.openxmlformats.org/markup-compatibility/2006">
          <mc:Choice Requires="x14">
            <control shapeId="5237" r:id="rId94" name="Button 117">
              <controlPr defaultSize="0" print="0" autoFill="0" autoPict="0" macro="[0]!EnterSEC_107000">
                <anchor moveWithCells="1" sizeWithCells="1">
                  <from>
                    <xdr:col>0</xdr:col>
                    <xdr:colOff>127000</xdr:colOff>
                    <xdr:row>259</xdr:row>
                    <xdr:rowOff>139700</xdr:rowOff>
                  </from>
                  <to>
                    <xdr:col>2</xdr:col>
                    <xdr:colOff>177800</xdr:colOff>
                    <xdr:row>261</xdr:row>
                    <xdr:rowOff>152400</xdr:rowOff>
                  </to>
                </anchor>
              </controlPr>
            </control>
          </mc:Choice>
        </mc:AlternateContent>
        <mc:AlternateContent xmlns:mc="http://schemas.openxmlformats.org/markup-compatibility/2006">
          <mc:Choice Requires="x14">
            <control shapeId="5238" r:id="rId95" name="Button 118">
              <controlPr defaultSize="0" print="0" autoFill="0" autoPict="0" macro="[0]!EnterSEC_108000">
                <anchor moveWithCells="1" sizeWithCells="1">
                  <from>
                    <xdr:col>0</xdr:col>
                    <xdr:colOff>107950</xdr:colOff>
                    <xdr:row>262</xdr:row>
                    <xdr:rowOff>158750</xdr:rowOff>
                  </from>
                  <to>
                    <xdr:col>2</xdr:col>
                    <xdr:colOff>158750</xdr:colOff>
                    <xdr:row>264</xdr:row>
                    <xdr:rowOff>171450</xdr:rowOff>
                  </to>
                </anchor>
              </controlPr>
            </control>
          </mc:Choice>
        </mc:AlternateContent>
        <mc:AlternateContent xmlns:mc="http://schemas.openxmlformats.org/markup-compatibility/2006">
          <mc:Choice Requires="x14">
            <control shapeId="5240" r:id="rId96" name="Button 120">
              <controlPr defaultSize="0" print="0" autoFill="0" autoPict="0" macro="[0]!Summary">
                <anchor moveWithCells="1" sizeWithCells="1">
                  <from>
                    <xdr:col>0</xdr:col>
                    <xdr:colOff>158750</xdr:colOff>
                    <xdr:row>19</xdr:row>
                    <xdr:rowOff>139700</xdr:rowOff>
                  </from>
                  <to>
                    <xdr:col>2</xdr:col>
                    <xdr:colOff>152400</xdr:colOff>
                    <xdr:row>21</xdr:row>
                    <xdr:rowOff>158750</xdr:rowOff>
                  </to>
                </anchor>
              </controlPr>
            </control>
          </mc:Choice>
        </mc:AlternateContent>
        <mc:AlternateContent xmlns:mc="http://schemas.openxmlformats.org/markup-compatibility/2006">
          <mc:Choice Requires="x14">
            <control shapeId="5241" r:id="rId97" name="Button 121">
              <controlPr defaultSize="0" print="0" autoFill="0" autoPict="0" macro="[0]!EnterDIV_11">
                <anchor moveWithCells="1" sizeWithCells="1">
                  <from>
                    <xdr:col>0</xdr:col>
                    <xdr:colOff>120650</xdr:colOff>
                    <xdr:row>265</xdr:row>
                    <xdr:rowOff>171450</xdr:rowOff>
                  </from>
                  <to>
                    <xdr:col>2</xdr:col>
                    <xdr:colOff>171450</xdr:colOff>
                    <xdr:row>268</xdr:row>
                    <xdr:rowOff>0</xdr:rowOff>
                  </to>
                </anchor>
              </controlPr>
            </control>
          </mc:Choice>
        </mc:AlternateContent>
        <mc:AlternateContent xmlns:mc="http://schemas.openxmlformats.org/markup-compatibility/2006">
          <mc:Choice Requires="x14">
            <control shapeId="5242" r:id="rId98" name="Button 122">
              <controlPr defaultSize="0" print="0" autoFill="0" autoPict="0" macro="[0]!ExitDIV_11">
                <anchor moveWithCells="1" sizeWithCells="1">
                  <from>
                    <xdr:col>10</xdr:col>
                    <xdr:colOff>0</xdr:colOff>
                    <xdr:row>265</xdr:row>
                    <xdr:rowOff>165100</xdr:rowOff>
                  </from>
                  <to>
                    <xdr:col>12</xdr:col>
                    <xdr:colOff>50800</xdr:colOff>
                    <xdr:row>267</xdr:row>
                    <xdr:rowOff>177800</xdr:rowOff>
                  </to>
                </anchor>
              </controlPr>
            </control>
          </mc:Choice>
        </mc:AlternateContent>
        <mc:AlternateContent xmlns:mc="http://schemas.openxmlformats.org/markup-compatibility/2006">
          <mc:Choice Requires="x14">
            <control shapeId="5243" r:id="rId99" name="Button 123">
              <controlPr defaultSize="0" print="0" autoFill="0" autoPict="0" macro="[0]!EnterSEC_111000">
                <anchor moveWithCells="1" sizeWithCells="1">
                  <from>
                    <xdr:col>0</xdr:col>
                    <xdr:colOff>114300</xdr:colOff>
                    <xdr:row>268</xdr:row>
                    <xdr:rowOff>165100</xdr:rowOff>
                  </from>
                  <to>
                    <xdr:col>2</xdr:col>
                    <xdr:colOff>165100</xdr:colOff>
                    <xdr:row>270</xdr:row>
                    <xdr:rowOff>177800</xdr:rowOff>
                  </to>
                </anchor>
              </controlPr>
            </control>
          </mc:Choice>
        </mc:AlternateContent>
        <mc:AlternateContent xmlns:mc="http://schemas.openxmlformats.org/markup-compatibility/2006">
          <mc:Choice Requires="x14">
            <control shapeId="5244" r:id="rId100" name="Button 124">
              <controlPr defaultSize="0" print="0" autoFill="0" autoPict="0" macro="[0]!EnterSEC_112000">
                <anchor moveWithCells="1" sizeWithCells="1">
                  <from>
                    <xdr:col>0</xdr:col>
                    <xdr:colOff>127000</xdr:colOff>
                    <xdr:row>271</xdr:row>
                    <xdr:rowOff>165100</xdr:rowOff>
                  </from>
                  <to>
                    <xdr:col>2</xdr:col>
                    <xdr:colOff>177800</xdr:colOff>
                    <xdr:row>273</xdr:row>
                    <xdr:rowOff>177800</xdr:rowOff>
                  </to>
                </anchor>
              </controlPr>
            </control>
          </mc:Choice>
        </mc:AlternateContent>
        <mc:AlternateContent xmlns:mc="http://schemas.openxmlformats.org/markup-compatibility/2006">
          <mc:Choice Requires="x14">
            <control shapeId="5245" r:id="rId101" name="Button 125">
              <controlPr defaultSize="0" print="0" autoFill="0" autoPict="0" macro="[0]!EnterSEC_113000">
                <anchor moveWithCells="1" sizeWithCells="1">
                  <from>
                    <xdr:col>0</xdr:col>
                    <xdr:colOff>133350</xdr:colOff>
                    <xdr:row>274</xdr:row>
                    <xdr:rowOff>158750</xdr:rowOff>
                  </from>
                  <to>
                    <xdr:col>2</xdr:col>
                    <xdr:colOff>184150</xdr:colOff>
                    <xdr:row>276</xdr:row>
                    <xdr:rowOff>171450</xdr:rowOff>
                  </to>
                </anchor>
              </controlPr>
            </control>
          </mc:Choice>
        </mc:AlternateContent>
        <mc:AlternateContent xmlns:mc="http://schemas.openxmlformats.org/markup-compatibility/2006">
          <mc:Choice Requires="x14">
            <control shapeId="5246" r:id="rId102" name="Button 126">
              <controlPr defaultSize="0" print="0" autoFill="0" autoPict="0" macro="[0]!EnterSEC_114000">
                <anchor moveWithCells="1" sizeWithCells="1">
                  <from>
                    <xdr:col>0</xdr:col>
                    <xdr:colOff>127000</xdr:colOff>
                    <xdr:row>277</xdr:row>
                    <xdr:rowOff>177800</xdr:rowOff>
                  </from>
                  <to>
                    <xdr:col>2</xdr:col>
                    <xdr:colOff>177800</xdr:colOff>
                    <xdr:row>280</xdr:row>
                    <xdr:rowOff>6350</xdr:rowOff>
                  </to>
                </anchor>
              </controlPr>
            </control>
          </mc:Choice>
        </mc:AlternateContent>
        <mc:AlternateContent xmlns:mc="http://schemas.openxmlformats.org/markup-compatibility/2006">
          <mc:Choice Requires="x14">
            <control shapeId="5247" r:id="rId103" name="Button 127">
              <controlPr defaultSize="0" print="0" autoFill="0" autoPict="0" macro="[0]!EnterSEC_115000">
                <anchor moveWithCells="1" sizeWithCells="1">
                  <from>
                    <xdr:col>0</xdr:col>
                    <xdr:colOff>114300</xdr:colOff>
                    <xdr:row>280</xdr:row>
                    <xdr:rowOff>177800</xdr:rowOff>
                  </from>
                  <to>
                    <xdr:col>2</xdr:col>
                    <xdr:colOff>165100</xdr:colOff>
                    <xdr:row>283</xdr:row>
                    <xdr:rowOff>6350</xdr:rowOff>
                  </to>
                </anchor>
              </controlPr>
            </control>
          </mc:Choice>
        </mc:AlternateContent>
        <mc:AlternateContent xmlns:mc="http://schemas.openxmlformats.org/markup-compatibility/2006">
          <mc:Choice Requires="x14">
            <control shapeId="5248" r:id="rId104" name="Button 128">
              <controlPr defaultSize="0" print="0" autoFill="0" autoPict="0" macro="[0]!EnterSEC_116000">
                <anchor moveWithCells="1" sizeWithCells="1">
                  <from>
                    <xdr:col>0</xdr:col>
                    <xdr:colOff>114300</xdr:colOff>
                    <xdr:row>283</xdr:row>
                    <xdr:rowOff>165100</xdr:rowOff>
                  </from>
                  <to>
                    <xdr:col>2</xdr:col>
                    <xdr:colOff>165100</xdr:colOff>
                    <xdr:row>285</xdr:row>
                    <xdr:rowOff>177800</xdr:rowOff>
                  </to>
                </anchor>
              </controlPr>
            </control>
          </mc:Choice>
        </mc:AlternateContent>
        <mc:AlternateContent xmlns:mc="http://schemas.openxmlformats.org/markup-compatibility/2006">
          <mc:Choice Requires="x14">
            <control shapeId="5249" r:id="rId105" name="Button 129">
              <controlPr defaultSize="0" print="0" autoFill="0" autoPict="0" macro="[0]!EnterSEC_117000">
                <anchor moveWithCells="1" sizeWithCells="1">
                  <from>
                    <xdr:col>0</xdr:col>
                    <xdr:colOff>127000</xdr:colOff>
                    <xdr:row>286</xdr:row>
                    <xdr:rowOff>171450</xdr:rowOff>
                  </from>
                  <to>
                    <xdr:col>2</xdr:col>
                    <xdr:colOff>177800</xdr:colOff>
                    <xdr:row>289</xdr:row>
                    <xdr:rowOff>0</xdr:rowOff>
                  </to>
                </anchor>
              </controlPr>
            </control>
          </mc:Choice>
        </mc:AlternateContent>
        <mc:AlternateContent xmlns:mc="http://schemas.openxmlformats.org/markup-compatibility/2006">
          <mc:Choice Requires="x14">
            <control shapeId="5250" r:id="rId106" name="Button 130">
              <controlPr defaultSize="0" print="0" autoFill="0" autoPict="0" macro="[0]!EnterSEC_118000">
                <anchor moveWithCells="1" sizeWithCells="1">
                  <from>
                    <xdr:col>0</xdr:col>
                    <xdr:colOff>127000</xdr:colOff>
                    <xdr:row>290</xdr:row>
                    <xdr:rowOff>0</xdr:rowOff>
                  </from>
                  <to>
                    <xdr:col>2</xdr:col>
                    <xdr:colOff>177800</xdr:colOff>
                    <xdr:row>292</xdr:row>
                    <xdr:rowOff>12700</xdr:rowOff>
                  </to>
                </anchor>
              </controlPr>
            </control>
          </mc:Choice>
        </mc:AlternateContent>
        <mc:AlternateContent xmlns:mc="http://schemas.openxmlformats.org/markup-compatibility/2006">
          <mc:Choice Requires="x14">
            <control shapeId="5253" r:id="rId107" name="Button 133">
              <controlPr defaultSize="0" print="0" autoFill="0" autoPict="0" macro="[0]!EnterSEC_121000">
                <anchor moveWithCells="1" sizeWithCells="1">
                  <from>
                    <xdr:col>0</xdr:col>
                    <xdr:colOff>120650</xdr:colOff>
                    <xdr:row>295</xdr:row>
                    <xdr:rowOff>165100</xdr:rowOff>
                  </from>
                  <to>
                    <xdr:col>2</xdr:col>
                    <xdr:colOff>171450</xdr:colOff>
                    <xdr:row>297</xdr:row>
                    <xdr:rowOff>177800</xdr:rowOff>
                  </to>
                </anchor>
              </controlPr>
            </control>
          </mc:Choice>
        </mc:AlternateContent>
        <mc:AlternateContent xmlns:mc="http://schemas.openxmlformats.org/markup-compatibility/2006">
          <mc:Choice Requires="x14">
            <control shapeId="5254" r:id="rId108" name="Button 134">
              <controlPr defaultSize="0" print="0" autoFill="0" autoPict="0" macro="[0]!EnterSEC_122000">
                <anchor moveWithCells="1" sizeWithCells="1">
                  <from>
                    <xdr:col>0</xdr:col>
                    <xdr:colOff>120650</xdr:colOff>
                    <xdr:row>298</xdr:row>
                    <xdr:rowOff>171450</xdr:rowOff>
                  </from>
                  <to>
                    <xdr:col>2</xdr:col>
                    <xdr:colOff>171450</xdr:colOff>
                    <xdr:row>301</xdr:row>
                    <xdr:rowOff>0</xdr:rowOff>
                  </to>
                </anchor>
              </controlPr>
            </control>
          </mc:Choice>
        </mc:AlternateContent>
        <mc:AlternateContent xmlns:mc="http://schemas.openxmlformats.org/markup-compatibility/2006">
          <mc:Choice Requires="x14">
            <control shapeId="5255" r:id="rId109" name="Button 135">
              <controlPr defaultSize="0" print="0" autoFill="0" autoPict="0" macro="[0]!EnterSEC_123000">
                <anchor moveWithCells="1" sizeWithCells="1">
                  <from>
                    <xdr:col>0</xdr:col>
                    <xdr:colOff>127000</xdr:colOff>
                    <xdr:row>301</xdr:row>
                    <xdr:rowOff>165100</xdr:rowOff>
                  </from>
                  <to>
                    <xdr:col>2</xdr:col>
                    <xdr:colOff>177800</xdr:colOff>
                    <xdr:row>303</xdr:row>
                    <xdr:rowOff>177800</xdr:rowOff>
                  </to>
                </anchor>
              </controlPr>
            </control>
          </mc:Choice>
        </mc:AlternateContent>
        <mc:AlternateContent xmlns:mc="http://schemas.openxmlformats.org/markup-compatibility/2006">
          <mc:Choice Requires="x14">
            <control shapeId="5256" r:id="rId110" name="Button 136">
              <controlPr defaultSize="0" print="0" autoFill="0" autoPict="0" macro="[0]!EnterSEC_124000">
                <anchor moveWithCells="1" sizeWithCells="1">
                  <from>
                    <xdr:col>0</xdr:col>
                    <xdr:colOff>114300</xdr:colOff>
                    <xdr:row>304</xdr:row>
                    <xdr:rowOff>177800</xdr:rowOff>
                  </from>
                  <to>
                    <xdr:col>2</xdr:col>
                    <xdr:colOff>165100</xdr:colOff>
                    <xdr:row>307</xdr:row>
                    <xdr:rowOff>6350</xdr:rowOff>
                  </to>
                </anchor>
              </controlPr>
            </control>
          </mc:Choice>
        </mc:AlternateContent>
        <mc:AlternateContent xmlns:mc="http://schemas.openxmlformats.org/markup-compatibility/2006">
          <mc:Choice Requires="x14">
            <control shapeId="5257" r:id="rId111" name="Button 137">
              <controlPr defaultSize="0" print="0" autoFill="0" autoPict="0" macro="[0]!EnterSEC_125000">
                <anchor moveWithCells="1" sizeWithCells="1">
                  <from>
                    <xdr:col>0</xdr:col>
                    <xdr:colOff>127000</xdr:colOff>
                    <xdr:row>308</xdr:row>
                    <xdr:rowOff>0</xdr:rowOff>
                  </from>
                  <to>
                    <xdr:col>2</xdr:col>
                    <xdr:colOff>177800</xdr:colOff>
                    <xdr:row>310</xdr:row>
                    <xdr:rowOff>12700</xdr:rowOff>
                  </to>
                </anchor>
              </controlPr>
            </control>
          </mc:Choice>
        </mc:AlternateContent>
        <mc:AlternateContent xmlns:mc="http://schemas.openxmlformats.org/markup-compatibility/2006">
          <mc:Choice Requires="x14">
            <control shapeId="5258" r:id="rId112" name="Button 138">
              <controlPr defaultSize="0" print="0" autoFill="0" autoPict="0" macro="[0]!EnterSEC_126000">
                <anchor moveWithCells="1" sizeWithCells="1">
                  <from>
                    <xdr:col>0</xdr:col>
                    <xdr:colOff>139700</xdr:colOff>
                    <xdr:row>310</xdr:row>
                    <xdr:rowOff>165100</xdr:rowOff>
                  </from>
                  <to>
                    <xdr:col>2</xdr:col>
                    <xdr:colOff>190500</xdr:colOff>
                    <xdr:row>312</xdr:row>
                    <xdr:rowOff>177800</xdr:rowOff>
                  </to>
                </anchor>
              </controlPr>
            </control>
          </mc:Choice>
        </mc:AlternateContent>
        <mc:AlternateContent xmlns:mc="http://schemas.openxmlformats.org/markup-compatibility/2006">
          <mc:Choice Requires="x14">
            <control shapeId="5259" r:id="rId113" name="Button 139">
              <controlPr defaultSize="0" print="0" autoFill="0" autoPict="0" macro="[0]!EnterSEC_129000">
                <anchor moveWithCells="1" sizeWithCells="1">
                  <from>
                    <xdr:col>0</xdr:col>
                    <xdr:colOff>114300</xdr:colOff>
                    <xdr:row>313</xdr:row>
                    <xdr:rowOff>177800</xdr:rowOff>
                  </from>
                  <to>
                    <xdr:col>2</xdr:col>
                    <xdr:colOff>165100</xdr:colOff>
                    <xdr:row>316</xdr:row>
                    <xdr:rowOff>6350</xdr:rowOff>
                  </to>
                </anchor>
              </controlPr>
            </control>
          </mc:Choice>
        </mc:AlternateContent>
        <mc:AlternateContent xmlns:mc="http://schemas.openxmlformats.org/markup-compatibility/2006">
          <mc:Choice Requires="x14">
            <control shapeId="5261" r:id="rId114" name="Button 141">
              <controlPr defaultSize="0" print="0" autoFill="0" autoPict="0" macro="[0]!EnterDIV_13">
                <anchor moveWithCells="1" sizeWithCells="1">
                  <from>
                    <xdr:col>0</xdr:col>
                    <xdr:colOff>120650</xdr:colOff>
                    <xdr:row>317</xdr:row>
                    <xdr:rowOff>19050</xdr:rowOff>
                  </from>
                  <to>
                    <xdr:col>2</xdr:col>
                    <xdr:colOff>171450</xdr:colOff>
                    <xdr:row>319</xdr:row>
                    <xdr:rowOff>31750</xdr:rowOff>
                  </to>
                </anchor>
              </controlPr>
            </control>
          </mc:Choice>
        </mc:AlternateContent>
        <mc:AlternateContent xmlns:mc="http://schemas.openxmlformats.org/markup-compatibility/2006">
          <mc:Choice Requires="x14">
            <control shapeId="5262" r:id="rId115" name="Button 142">
              <controlPr defaultSize="0" print="0" autoFill="0" autoPict="0" macro="[0]!ExitDIV_13">
                <anchor moveWithCells="1" sizeWithCells="1">
                  <from>
                    <xdr:col>10</xdr:col>
                    <xdr:colOff>6350</xdr:colOff>
                    <xdr:row>316</xdr:row>
                    <xdr:rowOff>152400</xdr:rowOff>
                  </from>
                  <to>
                    <xdr:col>12</xdr:col>
                    <xdr:colOff>57150</xdr:colOff>
                    <xdr:row>318</xdr:row>
                    <xdr:rowOff>165100</xdr:rowOff>
                  </to>
                </anchor>
              </controlPr>
            </control>
          </mc:Choice>
        </mc:AlternateContent>
        <mc:AlternateContent xmlns:mc="http://schemas.openxmlformats.org/markup-compatibility/2006">
          <mc:Choice Requires="x14">
            <control shapeId="5263" r:id="rId116" name="Button 143">
              <controlPr defaultSize="0" print="0" autoFill="0" autoPict="0" macro="[0]!EnterSEC_131000">
                <anchor moveWithCells="1" sizeWithCells="1">
                  <from>
                    <xdr:col>0</xdr:col>
                    <xdr:colOff>127000</xdr:colOff>
                    <xdr:row>319</xdr:row>
                    <xdr:rowOff>177800</xdr:rowOff>
                  </from>
                  <to>
                    <xdr:col>2</xdr:col>
                    <xdr:colOff>177800</xdr:colOff>
                    <xdr:row>322</xdr:row>
                    <xdr:rowOff>6350</xdr:rowOff>
                  </to>
                </anchor>
              </controlPr>
            </control>
          </mc:Choice>
        </mc:AlternateContent>
        <mc:AlternateContent xmlns:mc="http://schemas.openxmlformats.org/markup-compatibility/2006">
          <mc:Choice Requires="x14">
            <control shapeId="5264" r:id="rId117" name="Button 144">
              <controlPr defaultSize="0" print="0" autoFill="0" autoPict="0" macro="[0]!EnterSEC_132000">
                <anchor moveWithCells="1" sizeWithCells="1">
                  <from>
                    <xdr:col>0</xdr:col>
                    <xdr:colOff>133350</xdr:colOff>
                    <xdr:row>322</xdr:row>
                    <xdr:rowOff>171450</xdr:rowOff>
                  </from>
                  <to>
                    <xdr:col>2</xdr:col>
                    <xdr:colOff>184150</xdr:colOff>
                    <xdr:row>325</xdr:row>
                    <xdr:rowOff>0</xdr:rowOff>
                  </to>
                </anchor>
              </controlPr>
            </control>
          </mc:Choice>
        </mc:AlternateContent>
        <mc:AlternateContent xmlns:mc="http://schemas.openxmlformats.org/markup-compatibility/2006">
          <mc:Choice Requires="x14">
            <control shapeId="5265" r:id="rId118" name="Button 145">
              <controlPr defaultSize="0" print="0" autoFill="0" autoPict="0" macro="[0]!EnterSEC_133000">
                <anchor moveWithCells="1" sizeWithCells="1">
                  <from>
                    <xdr:col>0</xdr:col>
                    <xdr:colOff>114300</xdr:colOff>
                    <xdr:row>326</xdr:row>
                    <xdr:rowOff>0</xdr:rowOff>
                  </from>
                  <to>
                    <xdr:col>2</xdr:col>
                    <xdr:colOff>165100</xdr:colOff>
                    <xdr:row>328</xdr:row>
                    <xdr:rowOff>12700</xdr:rowOff>
                  </to>
                </anchor>
              </controlPr>
            </control>
          </mc:Choice>
        </mc:AlternateContent>
        <mc:AlternateContent xmlns:mc="http://schemas.openxmlformats.org/markup-compatibility/2006">
          <mc:Choice Requires="x14">
            <control shapeId="5266" r:id="rId119" name="Button 146">
              <controlPr defaultSize="0" print="0" autoFill="0" autoPict="0" macro="[0]!EnterSEC_134000">
                <anchor moveWithCells="1" sizeWithCells="1">
                  <from>
                    <xdr:col>0</xdr:col>
                    <xdr:colOff>120650</xdr:colOff>
                    <xdr:row>328</xdr:row>
                    <xdr:rowOff>165100</xdr:rowOff>
                  </from>
                  <to>
                    <xdr:col>2</xdr:col>
                    <xdr:colOff>171450</xdr:colOff>
                    <xdr:row>330</xdr:row>
                    <xdr:rowOff>177800</xdr:rowOff>
                  </to>
                </anchor>
              </controlPr>
            </control>
          </mc:Choice>
        </mc:AlternateContent>
        <mc:AlternateContent xmlns:mc="http://schemas.openxmlformats.org/markup-compatibility/2006">
          <mc:Choice Requires="x14">
            <control shapeId="5267" r:id="rId120" name="Button 147">
              <controlPr defaultSize="0" print="0" autoFill="0" autoPict="0" macro="[0]!EnterSEC_135000">
                <anchor moveWithCells="1" sizeWithCells="1">
                  <from>
                    <xdr:col>0</xdr:col>
                    <xdr:colOff>120650</xdr:colOff>
                    <xdr:row>331</xdr:row>
                    <xdr:rowOff>171450</xdr:rowOff>
                  </from>
                  <to>
                    <xdr:col>2</xdr:col>
                    <xdr:colOff>171450</xdr:colOff>
                    <xdr:row>334</xdr:row>
                    <xdr:rowOff>0</xdr:rowOff>
                  </to>
                </anchor>
              </controlPr>
            </control>
          </mc:Choice>
        </mc:AlternateContent>
        <mc:AlternateContent xmlns:mc="http://schemas.openxmlformats.org/markup-compatibility/2006">
          <mc:Choice Requires="x14">
            <control shapeId="5268" r:id="rId121" name="Button 148">
              <controlPr defaultSize="0" print="0" autoFill="0" autoPict="0" macro="[0]!EnterDIV_14">
                <anchor moveWithCells="1" sizeWithCells="1">
                  <from>
                    <xdr:col>0</xdr:col>
                    <xdr:colOff>133350</xdr:colOff>
                    <xdr:row>334</xdr:row>
                    <xdr:rowOff>165100</xdr:rowOff>
                  </from>
                  <to>
                    <xdr:col>2</xdr:col>
                    <xdr:colOff>184150</xdr:colOff>
                    <xdr:row>336</xdr:row>
                    <xdr:rowOff>177800</xdr:rowOff>
                  </to>
                </anchor>
              </controlPr>
            </control>
          </mc:Choice>
        </mc:AlternateContent>
        <mc:AlternateContent xmlns:mc="http://schemas.openxmlformats.org/markup-compatibility/2006">
          <mc:Choice Requires="x14">
            <control shapeId="5269" r:id="rId122" name="Button 149">
              <controlPr defaultSize="0" print="0" autoFill="0" autoPict="0" macro="[0]!ExitDIV_14">
                <anchor moveWithCells="1" sizeWithCells="1">
                  <from>
                    <xdr:col>9</xdr:col>
                    <xdr:colOff>666750</xdr:colOff>
                    <xdr:row>334</xdr:row>
                    <xdr:rowOff>165100</xdr:rowOff>
                  </from>
                  <to>
                    <xdr:col>12</xdr:col>
                    <xdr:colOff>44450</xdr:colOff>
                    <xdr:row>336</xdr:row>
                    <xdr:rowOff>177800</xdr:rowOff>
                  </to>
                </anchor>
              </controlPr>
            </control>
          </mc:Choice>
        </mc:AlternateContent>
        <mc:AlternateContent xmlns:mc="http://schemas.openxmlformats.org/markup-compatibility/2006">
          <mc:Choice Requires="x14">
            <control shapeId="5270" r:id="rId123" name="Button 150">
              <controlPr defaultSize="0" print="0" autoFill="0" autoPict="0" macro="[0]!EnterSEC_141000">
                <anchor moveWithCells="1" sizeWithCells="1">
                  <from>
                    <xdr:col>0</xdr:col>
                    <xdr:colOff>133350</xdr:colOff>
                    <xdr:row>337</xdr:row>
                    <xdr:rowOff>171450</xdr:rowOff>
                  </from>
                  <to>
                    <xdr:col>2</xdr:col>
                    <xdr:colOff>184150</xdr:colOff>
                    <xdr:row>340</xdr:row>
                    <xdr:rowOff>0</xdr:rowOff>
                  </to>
                </anchor>
              </controlPr>
            </control>
          </mc:Choice>
        </mc:AlternateContent>
        <mc:AlternateContent xmlns:mc="http://schemas.openxmlformats.org/markup-compatibility/2006">
          <mc:Choice Requires="x14">
            <control shapeId="5271" r:id="rId124" name="Button 151">
              <controlPr defaultSize="0" print="0" autoFill="0" autoPict="0" macro="[0]!EnterSEC_142000">
                <anchor moveWithCells="1" sizeWithCells="1">
                  <from>
                    <xdr:col>0</xdr:col>
                    <xdr:colOff>127000</xdr:colOff>
                    <xdr:row>341</xdr:row>
                    <xdr:rowOff>0</xdr:rowOff>
                  </from>
                  <to>
                    <xdr:col>2</xdr:col>
                    <xdr:colOff>177800</xdr:colOff>
                    <xdr:row>343</xdr:row>
                    <xdr:rowOff>12700</xdr:rowOff>
                  </to>
                </anchor>
              </controlPr>
            </control>
          </mc:Choice>
        </mc:AlternateContent>
        <mc:AlternateContent xmlns:mc="http://schemas.openxmlformats.org/markup-compatibility/2006">
          <mc:Choice Requires="x14">
            <control shapeId="5272" r:id="rId125" name="Button 152">
              <controlPr defaultSize="0" print="0" autoFill="0" autoPict="0" macro="[0]!EnterSEC_143000">
                <anchor moveWithCells="1" sizeWithCells="1">
                  <from>
                    <xdr:col>0</xdr:col>
                    <xdr:colOff>133350</xdr:colOff>
                    <xdr:row>343</xdr:row>
                    <xdr:rowOff>177800</xdr:rowOff>
                  </from>
                  <to>
                    <xdr:col>2</xdr:col>
                    <xdr:colOff>184150</xdr:colOff>
                    <xdr:row>346</xdr:row>
                    <xdr:rowOff>6350</xdr:rowOff>
                  </to>
                </anchor>
              </controlPr>
            </control>
          </mc:Choice>
        </mc:AlternateContent>
        <mc:AlternateContent xmlns:mc="http://schemas.openxmlformats.org/markup-compatibility/2006">
          <mc:Choice Requires="x14">
            <control shapeId="5273" r:id="rId126" name="Button 153">
              <controlPr defaultSize="0" print="0" autoFill="0" autoPict="0" macro="[0]!EnterSEC_144000">
                <anchor moveWithCells="1" sizeWithCells="1">
                  <from>
                    <xdr:col>0</xdr:col>
                    <xdr:colOff>114300</xdr:colOff>
                    <xdr:row>347</xdr:row>
                    <xdr:rowOff>0</xdr:rowOff>
                  </from>
                  <to>
                    <xdr:col>2</xdr:col>
                    <xdr:colOff>165100</xdr:colOff>
                    <xdr:row>349</xdr:row>
                    <xdr:rowOff>12700</xdr:rowOff>
                  </to>
                </anchor>
              </controlPr>
            </control>
          </mc:Choice>
        </mc:AlternateContent>
        <mc:AlternateContent xmlns:mc="http://schemas.openxmlformats.org/markup-compatibility/2006">
          <mc:Choice Requires="x14">
            <control shapeId="5274" r:id="rId127" name="Button 154">
              <controlPr defaultSize="0" print="0" autoFill="0" autoPict="0" macro="[0]!EnterSEC_147000">
                <anchor moveWithCells="1" sizeWithCells="1">
                  <from>
                    <xdr:col>0</xdr:col>
                    <xdr:colOff>127000</xdr:colOff>
                    <xdr:row>350</xdr:row>
                    <xdr:rowOff>12700</xdr:rowOff>
                  </from>
                  <to>
                    <xdr:col>2</xdr:col>
                    <xdr:colOff>177800</xdr:colOff>
                    <xdr:row>352</xdr:row>
                    <xdr:rowOff>25400</xdr:rowOff>
                  </to>
                </anchor>
              </controlPr>
            </control>
          </mc:Choice>
        </mc:AlternateContent>
        <mc:AlternateContent xmlns:mc="http://schemas.openxmlformats.org/markup-compatibility/2006">
          <mc:Choice Requires="x14">
            <control shapeId="5275" r:id="rId128" name="Button 155">
              <controlPr defaultSize="0" print="0" autoFill="0" autoPict="0" macro="[0]!EnterSEC_148000">
                <anchor moveWithCells="1" sizeWithCells="1">
                  <from>
                    <xdr:col>0</xdr:col>
                    <xdr:colOff>120650</xdr:colOff>
                    <xdr:row>353</xdr:row>
                    <xdr:rowOff>6350</xdr:rowOff>
                  </from>
                  <to>
                    <xdr:col>2</xdr:col>
                    <xdr:colOff>171450</xdr:colOff>
                    <xdr:row>355</xdr:row>
                    <xdr:rowOff>19050</xdr:rowOff>
                  </to>
                </anchor>
              </controlPr>
            </control>
          </mc:Choice>
        </mc:AlternateContent>
        <mc:AlternateContent xmlns:mc="http://schemas.openxmlformats.org/markup-compatibility/2006">
          <mc:Choice Requires="x14">
            <control shapeId="5276" r:id="rId129" name="Button 156">
              <controlPr defaultSize="0" print="0" autoFill="0" autoPict="0" macro="[0]!EnterSEC_149000">
                <anchor moveWithCells="1" sizeWithCells="1">
                  <from>
                    <xdr:col>0</xdr:col>
                    <xdr:colOff>127000</xdr:colOff>
                    <xdr:row>355</xdr:row>
                    <xdr:rowOff>146050</xdr:rowOff>
                  </from>
                  <to>
                    <xdr:col>2</xdr:col>
                    <xdr:colOff>177800</xdr:colOff>
                    <xdr:row>357</xdr:row>
                    <xdr:rowOff>158750</xdr:rowOff>
                  </to>
                </anchor>
              </controlPr>
            </control>
          </mc:Choice>
        </mc:AlternateContent>
        <mc:AlternateContent xmlns:mc="http://schemas.openxmlformats.org/markup-compatibility/2006">
          <mc:Choice Requires="x14">
            <control shapeId="5279" r:id="rId130" name="Button 159">
              <controlPr defaultSize="0" print="0" autoFill="0" autoPict="0" macro="[0]!EnterDIV_12">
                <anchor moveWithCells="1" sizeWithCells="1">
                  <from>
                    <xdr:col>0</xdr:col>
                    <xdr:colOff>152400</xdr:colOff>
                    <xdr:row>292</xdr:row>
                    <xdr:rowOff>158750</xdr:rowOff>
                  </from>
                  <to>
                    <xdr:col>2</xdr:col>
                    <xdr:colOff>203200</xdr:colOff>
                    <xdr:row>294</xdr:row>
                    <xdr:rowOff>171450</xdr:rowOff>
                  </to>
                </anchor>
              </controlPr>
            </control>
          </mc:Choice>
        </mc:AlternateContent>
        <mc:AlternateContent xmlns:mc="http://schemas.openxmlformats.org/markup-compatibility/2006">
          <mc:Choice Requires="x14">
            <control shapeId="5280" r:id="rId131" name="Button 160">
              <controlPr defaultSize="0" print="0" autoFill="0" autoPict="0" macro="[0]!ExitDIV_12">
                <anchor moveWithCells="1" sizeWithCells="1">
                  <from>
                    <xdr:col>9</xdr:col>
                    <xdr:colOff>666750</xdr:colOff>
                    <xdr:row>292</xdr:row>
                    <xdr:rowOff>152400</xdr:rowOff>
                  </from>
                  <to>
                    <xdr:col>12</xdr:col>
                    <xdr:colOff>44450</xdr:colOff>
                    <xdr:row>294</xdr:row>
                    <xdr:rowOff>165100</xdr:rowOff>
                  </to>
                </anchor>
              </controlPr>
            </control>
          </mc:Choice>
        </mc:AlternateContent>
      </controls>
    </mc:Choice>
  </mc:AlternateContent>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E62A8-63EF-43FD-9B47-7A5A0BF5D8C8}">
  <sheetPr codeName="Sheet3"/>
  <dimension ref="A1:O937"/>
  <sheetViews>
    <sheetView topLeftCell="A652" zoomScaleNormal="100" workbookViewId="0">
      <selection activeCell="I674" sqref="I674"/>
    </sheetView>
  </sheetViews>
  <sheetFormatPr defaultRowHeight="14.5" x14ac:dyDescent="0.35"/>
  <cols>
    <col min="1" max="10" width="8.7265625" style="1"/>
    <col min="11" max="11" width="35.1796875" style="1" customWidth="1"/>
    <col min="12" max="12" width="8.7265625" style="1"/>
    <col min="13" max="13" width="17.26953125" style="1" customWidth="1"/>
    <col min="14" max="14" width="19.1796875" style="1" customWidth="1"/>
    <col min="15" max="15" width="25.26953125" style="1" customWidth="1"/>
    <col min="16" max="16384" width="8.7265625" style="1"/>
  </cols>
  <sheetData>
    <row r="1" spans="1:3" x14ac:dyDescent="0.35">
      <c r="A1" s="49"/>
      <c r="B1" s="49"/>
      <c r="C1" s="50" t="s">
        <v>13769</v>
      </c>
    </row>
    <row r="2" spans="1:3" ht="55.5" x14ac:dyDescent="0.45">
      <c r="A2" s="51" t="s">
        <v>13770</v>
      </c>
      <c r="B2" s="52" t="s">
        <v>13771</v>
      </c>
      <c r="C2" s="51" t="s">
        <v>13772</v>
      </c>
    </row>
    <row r="3" spans="1:3" x14ac:dyDescent="0.35">
      <c r="A3" s="49" t="s">
        <v>13773</v>
      </c>
      <c r="B3" s="49" t="s">
        <v>13774</v>
      </c>
      <c r="C3" s="53" t="s">
        <v>13775</v>
      </c>
    </row>
    <row r="4" spans="1:3" x14ac:dyDescent="0.35">
      <c r="A4" s="49" t="s">
        <v>13773</v>
      </c>
      <c r="B4" s="49" t="s">
        <v>13776</v>
      </c>
      <c r="C4" s="53" t="s">
        <v>13777</v>
      </c>
    </row>
    <row r="5" spans="1:3" x14ac:dyDescent="0.35">
      <c r="A5" s="49" t="s">
        <v>13773</v>
      </c>
      <c r="B5" s="49" t="s">
        <v>13778</v>
      </c>
      <c r="C5" s="53" t="s">
        <v>13779</v>
      </c>
    </row>
    <row r="6" spans="1:3" x14ac:dyDescent="0.35">
      <c r="A6" s="49" t="s">
        <v>13773</v>
      </c>
      <c r="B6" s="49" t="s">
        <v>13780</v>
      </c>
      <c r="C6" s="53" t="s">
        <v>13781</v>
      </c>
    </row>
    <row r="7" spans="1:3" x14ac:dyDescent="0.35">
      <c r="A7" s="49" t="s">
        <v>13773</v>
      </c>
      <c r="B7" s="49" t="s">
        <v>13782</v>
      </c>
      <c r="C7" s="53" t="s">
        <v>13783</v>
      </c>
    </row>
    <row r="8" spans="1:3" x14ac:dyDescent="0.35">
      <c r="A8" s="49" t="s">
        <v>13773</v>
      </c>
      <c r="B8" s="49" t="s">
        <v>13784</v>
      </c>
      <c r="C8" s="53" t="s">
        <v>13785</v>
      </c>
    </row>
    <row r="9" spans="1:3" x14ac:dyDescent="0.35">
      <c r="A9" s="49" t="s">
        <v>13773</v>
      </c>
      <c r="B9" s="49" t="s">
        <v>13786</v>
      </c>
      <c r="C9" s="53" t="s">
        <v>13787</v>
      </c>
    </row>
    <row r="10" spans="1:3" x14ac:dyDescent="0.35">
      <c r="A10" s="49" t="s">
        <v>13773</v>
      </c>
      <c r="B10" s="49" t="s">
        <v>13788</v>
      </c>
      <c r="C10" s="53" t="s">
        <v>13789</v>
      </c>
    </row>
    <row r="11" spans="1:3" x14ac:dyDescent="0.35">
      <c r="A11" s="49" t="s">
        <v>13773</v>
      </c>
      <c r="B11" s="49" t="s">
        <v>13790</v>
      </c>
      <c r="C11" s="53" t="s">
        <v>13791</v>
      </c>
    </row>
    <row r="12" spans="1:3" x14ac:dyDescent="0.35">
      <c r="A12" s="49" t="s">
        <v>13773</v>
      </c>
      <c r="B12" s="49" t="s">
        <v>13792</v>
      </c>
      <c r="C12" s="53" t="s">
        <v>13793</v>
      </c>
    </row>
    <row r="13" spans="1:3" x14ac:dyDescent="0.35">
      <c r="A13" s="49" t="s">
        <v>13773</v>
      </c>
      <c r="B13" s="49" t="s">
        <v>13794</v>
      </c>
      <c r="C13" s="53" t="s">
        <v>13795</v>
      </c>
    </row>
    <row r="14" spans="1:3" x14ac:dyDescent="0.35">
      <c r="A14" s="49" t="s">
        <v>13773</v>
      </c>
      <c r="B14" s="49" t="s">
        <v>13796</v>
      </c>
      <c r="C14" s="53" t="s">
        <v>13797</v>
      </c>
    </row>
    <row r="15" spans="1:3" x14ac:dyDescent="0.35">
      <c r="A15" s="49" t="s">
        <v>13773</v>
      </c>
      <c r="B15" s="49" t="s">
        <v>13798</v>
      </c>
      <c r="C15" s="53" t="s">
        <v>13799</v>
      </c>
    </row>
    <row r="16" spans="1:3" x14ac:dyDescent="0.35">
      <c r="A16" s="49" t="s">
        <v>13773</v>
      </c>
      <c r="B16" s="49" t="s">
        <v>13800</v>
      </c>
      <c r="C16" s="53" t="s">
        <v>13801</v>
      </c>
    </row>
    <row r="17" spans="1:3" x14ac:dyDescent="0.35">
      <c r="A17" s="49" t="s">
        <v>13773</v>
      </c>
      <c r="B17" s="49" t="s">
        <v>13802</v>
      </c>
      <c r="C17" s="53" t="s">
        <v>13803</v>
      </c>
    </row>
    <row r="18" spans="1:3" x14ac:dyDescent="0.35">
      <c r="A18" s="49" t="s">
        <v>13773</v>
      </c>
      <c r="B18" s="49" t="s">
        <v>13804</v>
      </c>
      <c r="C18" s="53" t="s">
        <v>13805</v>
      </c>
    </row>
    <row r="19" spans="1:3" x14ac:dyDescent="0.35">
      <c r="A19" s="49" t="s">
        <v>13773</v>
      </c>
      <c r="B19" s="49" t="s">
        <v>13806</v>
      </c>
      <c r="C19" s="53" t="s">
        <v>13807</v>
      </c>
    </row>
    <row r="20" spans="1:3" x14ac:dyDescent="0.35">
      <c r="A20" s="49" t="s">
        <v>13773</v>
      </c>
      <c r="B20" s="49" t="s">
        <v>13808</v>
      </c>
      <c r="C20" s="53" t="s">
        <v>13809</v>
      </c>
    </row>
    <row r="21" spans="1:3" x14ac:dyDescent="0.35">
      <c r="A21" s="49" t="s">
        <v>13773</v>
      </c>
      <c r="B21" s="49" t="s">
        <v>13810</v>
      </c>
      <c r="C21" s="53" t="s">
        <v>13811</v>
      </c>
    </row>
    <row r="22" spans="1:3" x14ac:dyDescent="0.35">
      <c r="A22" s="49" t="s">
        <v>13773</v>
      </c>
      <c r="B22" s="49" t="s">
        <v>13812</v>
      </c>
      <c r="C22" s="53" t="s">
        <v>13813</v>
      </c>
    </row>
    <row r="23" spans="1:3" x14ac:dyDescent="0.35">
      <c r="A23" s="49" t="s">
        <v>13773</v>
      </c>
      <c r="B23" s="49" t="s">
        <v>13814</v>
      </c>
      <c r="C23" s="53" t="s">
        <v>13815</v>
      </c>
    </row>
    <row r="24" spans="1:3" x14ac:dyDescent="0.35">
      <c r="A24" s="49" t="s">
        <v>13773</v>
      </c>
      <c r="B24" s="49" t="s">
        <v>13816</v>
      </c>
      <c r="C24" s="53" t="s">
        <v>13817</v>
      </c>
    </row>
    <row r="25" spans="1:3" x14ac:dyDescent="0.35">
      <c r="A25" s="49" t="s">
        <v>13773</v>
      </c>
      <c r="B25" s="49" t="s">
        <v>13818</v>
      </c>
      <c r="C25" s="53" t="s">
        <v>13819</v>
      </c>
    </row>
    <row r="26" spans="1:3" x14ac:dyDescent="0.35">
      <c r="A26" s="49" t="s">
        <v>13773</v>
      </c>
      <c r="B26" s="49" t="s">
        <v>13820</v>
      </c>
      <c r="C26" s="53" t="s">
        <v>13821</v>
      </c>
    </row>
    <row r="27" spans="1:3" x14ac:dyDescent="0.35">
      <c r="A27" s="49" t="s">
        <v>13773</v>
      </c>
      <c r="B27" s="49" t="s">
        <v>13822</v>
      </c>
      <c r="C27" s="53" t="s">
        <v>13823</v>
      </c>
    </row>
    <row r="28" spans="1:3" x14ac:dyDescent="0.35">
      <c r="A28" s="49" t="s">
        <v>13773</v>
      </c>
      <c r="B28" s="49" t="s">
        <v>13824</v>
      </c>
      <c r="C28" s="53" t="s">
        <v>13825</v>
      </c>
    </row>
    <row r="29" spans="1:3" x14ac:dyDescent="0.35">
      <c r="A29" s="49" t="s">
        <v>13773</v>
      </c>
      <c r="B29" s="49" t="s">
        <v>13826</v>
      </c>
      <c r="C29" s="53" t="s">
        <v>13827</v>
      </c>
    </row>
    <row r="30" spans="1:3" x14ac:dyDescent="0.35">
      <c r="A30" s="49" t="s">
        <v>13773</v>
      </c>
      <c r="B30" s="49" t="s">
        <v>13828</v>
      </c>
      <c r="C30" s="53" t="s">
        <v>13829</v>
      </c>
    </row>
    <row r="31" spans="1:3" x14ac:dyDescent="0.35">
      <c r="A31" s="49" t="s">
        <v>13773</v>
      </c>
      <c r="B31" s="49" t="s">
        <v>13830</v>
      </c>
      <c r="C31" s="53" t="s">
        <v>13831</v>
      </c>
    </row>
    <row r="32" spans="1:3" x14ac:dyDescent="0.35">
      <c r="A32" s="49" t="s">
        <v>13773</v>
      </c>
      <c r="B32" s="49" t="s">
        <v>13832</v>
      </c>
      <c r="C32" s="53" t="s">
        <v>56</v>
      </c>
    </row>
    <row r="33" spans="1:3" x14ac:dyDescent="0.35">
      <c r="A33" s="49" t="s">
        <v>13773</v>
      </c>
      <c r="B33" s="49" t="s">
        <v>13833</v>
      </c>
      <c r="C33" s="53" t="s">
        <v>13834</v>
      </c>
    </row>
    <row r="34" spans="1:3" x14ac:dyDescent="0.35">
      <c r="A34" s="49" t="s">
        <v>13773</v>
      </c>
      <c r="B34" s="49" t="s">
        <v>13835</v>
      </c>
      <c r="C34" s="53" t="s">
        <v>13836</v>
      </c>
    </row>
    <row r="35" spans="1:3" x14ac:dyDescent="0.35">
      <c r="A35" s="49" t="s">
        <v>13773</v>
      </c>
      <c r="B35" s="49" t="s">
        <v>13837</v>
      </c>
      <c r="C35" s="53" t="s">
        <v>13838</v>
      </c>
    </row>
    <row r="36" spans="1:3" x14ac:dyDescent="0.35">
      <c r="A36" s="49" t="s">
        <v>13773</v>
      </c>
      <c r="B36" s="49" t="s">
        <v>13839</v>
      </c>
      <c r="C36" s="53" t="s">
        <v>13840</v>
      </c>
    </row>
    <row r="37" spans="1:3" x14ac:dyDescent="0.35">
      <c r="A37" s="49" t="s">
        <v>13773</v>
      </c>
      <c r="B37" s="49" t="s">
        <v>13841</v>
      </c>
      <c r="C37" s="53" t="s">
        <v>13842</v>
      </c>
    </row>
    <row r="38" spans="1:3" x14ac:dyDescent="0.35">
      <c r="A38" s="49" t="s">
        <v>13843</v>
      </c>
      <c r="B38" s="80" t="s">
        <v>13844</v>
      </c>
      <c r="C38" s="81" t="s">
        <v>13845</v>
      </c>
    </row>
    <row r="39" spans="1:3" x14ac:dyDescent="0.35">
      <c r="A39" s="49" t="s">
        <v>13843</v>
      </c>
      <c r="B39" s="49" t="s">
        <v>13846</v>
      </c>
      <c r="C39" s="53" t="s">
        <v>13847</v>
      </c>
    </row>
    <row r="40" spans="1:3" x14ac:dyDescent="0.35">
      <c r="A40" s="49" t="s">
        <v>13843</v>
      </c>
      <c r="B40" s="49" t="s">
        <v>13848</v>
      </c>
      <c r="C40" s="53" t="s">
        <v>13849</v>
      </c>
    </row>
    <row r="41" spans="1:3" x14ac:dyDescent="0.35">
      <c r="A41" s="49" t="s">
        <v>13843</v>
      </c>
      <c r="B41" s="49" t="s">
        <v>13850</v>
      </c>
      <c r="C41" s="53" t="s">
        <v>13851</v>
      </c>
    </row>
    <row r="42" spans="1:3" x14ac:dyDescent="0.35">
      <c r="A42" s="49" t="s">
        <v>13843</v>
      </c>
      <c r="B42" s="49" t="s">
        <v>13852</v>
      </c>
      <c r="C42" s="53" t="s">
        <v>13853</v>
      </c>
    </row>
    <row r="43" spans="1:3" x14ac:dyDescent="0.35">
      <c r="A43" s="49" t="s">
        <v>13843</v>
      </c>
      <c r="B43" s="49" t="s">
        <v>13854</v>
      </c>
      <c r="C43" s="53" t="s">
        <v>13855</v>
      </c>
    </row>
    <row r="44" spans="1:3" x14ac:dyDescent="0.35">
      <c r="A44" s="49" t="s">
        <v>13843</v>
      </c>
      <c r="B44" s="49" t="s">
        <v>13856</v>
      </c>
      <c r="C44" s="53" t="s">
        <v>13857</v>
      </c>
    </row>
    <row r="45" spans="1:3" x14ac:dyDescent="0.35">
      <c r="A45" s="49" t="s">
        <v>13843</v>
      </c>
      <c r="B45" s="49" t="s">
        <v>13858</v>
      </c>
      <c r="C45" s="53" t="s">
        <v>13859</v>
      </c>
    </row>
    <row r="46" spans="1:3" x14ac:dyDescent="0.35">
      <c r="A46" s="49" t="s">
        <v>13843</v>
      </c>
      <c r="B46" s="49" t="s">
        <v>13860</v>
      </c>
      <c r="C46" s="53" t="s">
        <v>13861</v>
      </c>
    </row>
    <row r="47" spans="1:3" x14ac:dyDescent="0.35">
      <c r="A47" s="49" t="s">
        <v>13843</v>
      </c>
      <c r="B47" s="49" t="s">
        <v>13862</v>
      </c>
      <c r="C47" s="53" t="s">
        <v>13863</v>
      </c>
    </row>
    <row r="48" spans="1:3" x14ac:dyDescent="0.35">
      <c r="A48" s="49" t="s">
        <v>13843</v>
      </c>
      <c r="B48" s="49" t="s">
        <v>13864</v>
      </c>
      <c r="C48" s="53" t="s">
        <v>13865</v>
      </c>
    </row>
    <row r="49" spans="1:3" x14ac:dyDescent="0.35">
      <c r="A49" s="49" t="s">
        <v>13843</v>
      </c>
      <c r="B49" s="49" t="s">
        <v>13866</v>
      </c>
      <c r="C49" s="53" t="s">
        <v>13867</v>
      </c>
    </row>
    <row r="50" spans="1:3" x14ac:dyDescent="0.35">
      <c r="A50" s="49" t="s">
        <v>13843</v>
      </c>
      <c r="B50" s="49" t="s">
        <v>13868</v>
      </c>
      <c r="C50" s="53" t="s">
        <v>13869</v>
      </c>
    </row>
    <row r="51" spans="1:3" x14ac:dyDescent="0.35">
      <c r="A51" s="49" t="s">
        <v>13843</v>
      </c>
      <c r="B51" s="49" t="s">
        <v>13870</v>
      </c>
      <c r="C51" s="53" t="s">
        <v>13871</v>
      </c>
    </row>
    <row r="52" spans="1:3" x14ac:dyDescent="0.35">
      <c r="A52" s="49" t="s">
        <v>13843</v>
      </c>
      <c r="B52" s="49" t="s">
        <v>13872</v>
      </c>
      <c r="C52" s="82" t="s">
        <v>13873</v>
      </c>
    </row>
    <row r="53" spans="1:3" x14ac:dyDescent="0.35">
      <c r="A53" s="49" t="s">
        <v>13843</v>
      </c>
      <c r="B53" s="49" t="s">
        <v>13874</v>
      </c>
      <c r="C53" s="53" t="s">
        <v>13875</v>
      </c>
    </row>
    <row r="54" spans="1:3" x14ac:dyDescent="0.35">
      <c r="A54" s="49" t="s">
        <v>13843</v>
      </c>
      <c r="B54" s="49" t="s">
        <v>13876</v>
      </c>
      <c r="C54" s="53" t="s">
        <v>13877</v>
      </c>
    </row>
    <row r="55" spans="1:3" x14ac:dyDescent="0.35">
      <c r="A55" s="49" t="s">
        <v>13843</v>
      </c>
      <c r="B55" s="49" t="s">
        <v>13878</v>
      </c>
      <c r="C55" s="53" t="s">
        <v>13879</v>
      </c>
    </row>
    <row r="56" spans="1:3" x14ac:dyDescent="0.35">
      <c r="A56" s="49" t="s">
        <v>13843</v>
      </c>
      <c r="B56" s="49" t="s">
        <v>13880</v>
      </c>
      <c r="C56" s="53" t="s">
        <v>13881</v>
      </c>
    </row>
    <row r="57" spans="1:3" x14ac:dyDescent="0.35">
      <c r="A57" s="49" t="s">
        <v>13843</v>
      </c>
      <c r="B57" s="49" t="s">
        <v>13882</v>
      </c>
      <c r="C57" s="82" t="s">
        <v>13883</v>
      </c>
    </row>
    <row r="58" spans="1:3" x14ac:dyDescent="0.35">
      <c r="A58" s="49" t="s">
        <v>13843</v>
      </c>
      <c r="B58" s="49" t="s">
        <v>13884</v>
      </c>
      <c r="C58" s="53" t="s">
        <v>13885</v>
      </c>
    </row>
    <row r="59" spans="1:3" x14ac:dyDescent="0.35">
      <c r="A59" s="49" t="s">
        <v>13843</v>
      </c>
      <c r="B59" s="49" t="s">
        <v>13886</v>
      </c>
      <c r="C59" s="53" t="s">
        <v>13887</v>
      </c>
    </row>
    <row r="60" spans="1:3" x14ac:dyDescent="0.35">
      <c r="A60" s="49" t="s">
        <v>13843</v>
      </c>
      <c r="B60" s="49" t="s">
        <v>13888</v>
      </c>
      <c r="C60" s="53" t="s">
        <v>13889</v>
      </c>
    </row>
    <row r="61" spans="1:3" x14ac:dyDescent="0.35">
      <c r="A61" s="49" t="s">
        <v>13843</v>
      </c>
      <c r="B61" s="49" t="s">
        <v>13890</v>
      </c>
      <c r="C61" s="53" t="s">
        <v>13891</v>
      </c>
    </row>
    <row r="62" spans="1:3" x14ac:dyDescent="0.35">
      <c r="A62" s="49" t="s">
        <v>13843</v>
      </c>
      <c r="B62" s="49" t="s">
        <v>13892</v>
      </c>
      <c r="C62" s="82" t="s">
        <v>13893</v>
      </c>
    </row>
    <row r="63" spans="1:3" x14ac:dyDescent="0.35">
      <c r="A63" s="49" t="s">
        <v>13843</v>
      </c>
      <c r="B63" s="49" t="s">
        <v>13894</v>
      </c>
      <c r="C63" s="53" t="s">
        <v>13895</v>
      </c>
    </row>
    <row r="64" spans="1:3" x14ac:dyDescent="0.35">
      <c r="A64" s="49" t="s">
        <v>13843</v>
      </c>
      <c r="B64" s="49" t="s">
        <v>13896</v>
      </c>
      <c r="C64" s="53" t="s">
        <v>13897</v>
      </c>
    </row>
    <row r="65" spans="1:3" x14ac:dyDescent="0.35">
      <c r="A65" s="49" t="s">
        <v>13843</v>
      </c>
      <c r="B65" s="49" t="s">
        <v>13898</v>
      </c>
      <c r="C65" s="53" t="s">
        <v>13899</v>
      </c>
    </row>
    <row r="66" spans="1:3" x14ac:dyDescent="0.35">
      <c r="A66" s="49" t="s">
        <v>13843</v>
      </c>
      <c r="B66" s="49" t="s">
        <v>13900</v>
      </c>
      <c r="C66" s="53" t="s">
        <v>13901</v>
      </c>
    </row>
    <row r="67" spans="1:3" x14ac:dyDescent="0.35">
      <c r="A67" s="49" t="s">
        <v>13843</v>
      </c>
      <c r="B67" s="49" t="s">
        <v>13902</v>
      </c>
      <c r="C67" s="53" t="s">
        <v>13903</v>
      </c>
    </row>
    <row r="68" spans="1:3" x14ac:dyDescent="0.35">
      <c r="A68" s="49" t="s">
        <v>13843</v>
      </c>
      <c r="B68" s="49" t="s">
        <v>13904</v>
      </c>
      <c r="C68" s="53" t="s">
        <v>13905</v>
      </c>
    </row>
    <row r="69" spans="1:3" x14ac:dyDescent="0.35">
      <c r="A69" s="49" t="s">
        <v>13843</v>
      </c>
      <c r="B69" s="49" t="s">
        <v>13906</v>
      </c>
      <c r="C69" s="53" t="s">
        <v>13907</v>
      </c>
    </row>
    <row r="70" spans="1:3" x14ac:dyDescent="0.35">
      <c r="A70" s="49" t="s">
        <v>13843</v>
      </c>
      <c r="B70" s="49" t="s">
        <v>13908</v>
      </c>
      <c r="C70" s="53" t="s">
        <v>13909</v>
      </c>
    </row>
    <row r="71" spans="1:3" x14ac:dyDescent="0.35">
      <c r="A71" s="49" t="s">
        <v>13843</v>
      </c>
      <c r="B71" s="49" t="s">
        <v>13910</v>
      </c>
      <c r="C71" s="82" t="s">
        <v>13911</v>
      </c>
    </row>
    <row r="72" spans="1:3" x14ac:dyDescent="0.35">
      <c r="A72" s="49" t="s">
        <v>13843</v>
      </c>
      <c r="B72" s="49" t="s">
        <v>13912</v>
      </c>
      <c r="C72" s="53" t="s">
        <v>13913</v>
      </c>
    </row>
    <row r="73" spans="1:3" x14ac:dyDescent="0.35">
      <c r="A73" s="49" t="s">
        <v>13843</v>
      </c>
      <c r="B73" s="49" t="s">
        <v>13914</v>
      </c>
      <c r="C73" s="53" t="s">
        <v>13915</v>
      </c>
    </row>
    <row r="74" spans="1:3" x14ac:dyDescent="0.35">
      <c r="A74" s="49" t="s">
        <v>13843</v>
      </c>
      <c r="B74" s="49" t="s">
        <v>13916</v>
      </c>
      <c r="C74" s="53" t="s">
        <v>13917</v>
      </c>
    </row>
    <row r="75" spans="1:3" x14ac:dyDescent="0.35">
      <c r="A75" s="49" t="s">
        <v>13843</v>
      </c>
      <c r="B75" s="49" t="s">
        <v>13918</v>
      </c>
      <c r="C75" s="53" t="s">
        <v>13919</v>
      </c>
    </row>
    <row r="76" spans="1:3" x14ac:dyDescent="0.35">
      <c r="A76" s="49" t="s">
        <v>13843</v>
      </c>
      <c r="B76" s="49" t="s">
        <v>13920</v>
      </c>
      <c r="C76" s="53" t="s">
        <v>13921</v>
      </c>
    </row>
    <row r="77" spans="1:3" x14ac:dyDescent="0.35">
      <c r="A77" s="49" t="s">
        <v>13843</v>
      </c>
      <c r="B77" s="49" t="s">
        <v>13922</v>
      </c>
      <c r="C77" s="82" t="s">
        <v>13923</v>
      </c>
    </row>
    <row r="78" spans="1:3" x14ac:dyDescent="0.35">
      <c r="A78" s="49" t="s">
        <v>13843</v>
      </c>
      <c r="B78" s="49" t="s">
        <v>13924</v>
      </c>
      <c r="C78" s="53" t="s">
        <v>13925</v>
      </c>
    </row>
    <row r="79" spans="1:3" x14ac:dyDescent="0.35">
      <c r="A79" s="49" t="s">
        <v>13843</v>
      </c>
      <c r="B79" s="49" t="s">
        <v>13926</v>
      </c>
      <c r="C79" s="53" t="s">
        <v>13927</v>
      </c>
    </row>
    <row r="80" spans="1:3" x14ac:dyDescent="0.35">
      <c r="A80" s="49" t="s">
        <v>13843</v>
      </c>
      <c r="B80" s="49" t="s">
        <v>13928</v>
      </c>
      <c r="C80" s="53" t="s">
        <v>13929</v>
      </c>
    </row>
    <row r="81" spans="1:3" x14ac:dyDescent="0.35">
      <c r="A81" s="49" t="s">
        <v>13843</v>
      </c>
      <c r="B81" s="49" t="s">
        <v>13930</v>
      </c>
      <c r="C81" s="53" t="s">
        <v>13931</v>
      </c>
    </row>
    <row r="82" spans="1:3" x14ac:dyDescent="0.35">
      <c r="A82" s="49" t="s">
        <v>13843</v>
      </c>
      <c r="B82" s="49" t="s">
        <v>13932</v>
      </c>
      <c r="C82" s="53" t="s">
        <v>13933</v>
      </c>
    </row>
    <row r="83" spans="1:3" x14ac:dyDescent="0.35">
      <c r="A83" s="49" t="s">
        <v>13843</v>
      </c>
      <c r="B83" s="49" t="s">
        <v>13934</v>
      </c>
      <c r="C83" s="53" t="s">
        <v>13935</v>
      </c>
    </row>
    <row r="84" spans="1:3" x14ac:dyDescent="0.35">
      <c r="A84" s="49" t="s">
        <v>13843</v>
      </c>
      <c r="B84" s="49" t="s">
        <v>13936</v>
      </c>
      <c r="C84" s="53" t="s">
        <v>13937</v>
      </c>
    </row>
    <row r="85" spans="1:3" x14ac:dyDescent="0.35">
      <c r="A85" s="49" t="s">
        <v>13843</v>
      </c>
      <c r="B85" s="49" t="s">
        <v>13938</v>
      </c>
      <c r="C85" s="53" t="s">
        <v>13939</v>
      </c>
    </row>
    <row r="86" spans="1:3" x14ac:dyDescent="0.35">
      <c r="A86" s="49" t="s">
        <v>13843</v>
      </c>
      <c r="B86" s="49" t="s">
        <v>13940</v>
      </c>
      <c r="C86" s="82" t="s">
        <v>13941</v>
      </c>
    </row>
    <row r="87" spans="1:3" x14ac:dyDescent="0.35">
      <c r="A87" s="49" t="s">
        <v>13843</v>
      </c>
      <c r="B87" s="49" t="s">
        <v>13942</v>
      </c>
      <c r="C87" s="53" t="s">
        <v>13943</v>
      </c>
    </row>
    <row r="88" spans="1:3" x14ac:dyDescent="0.35">
      <c r="A88" s="49" t="s">
        <v>13843</v>
      </c>
      <c r="B88" s="49" t="s">
        <v>13944</v>
      </c>
      <c r="C88" s="53" t="s">
        <v>13945</v>
      </c>
    </row>
    <row r="89" spans="1:3" x14ac:dyDescent="0.35">
      <c r="A89" s="49" t="s">
        <v>13843</v>
      </c>
      <c r="B89" s="49" t="s">
        <v>13946</v>
      </c>
      <c r="C89" s="53" t="s">
        <v>13947</v>
      </c>
    </row>
    <row r="90" spans="1:3" x14ac:dyDescent="0.35">
      <c r="A90" s="49" t="s">
        <v>13843</v>
      </c>
      <c r="B90" s="49" t="s">
        <v>13948</v>
      </c>
      <c r="C90" s="53" t="s">
        <v>13949</v>
      </c>
    </row>
    <row r="91" spans="1:3" x14ac:dyDescent="0.35">
      <c r="A91" s="49" t="s">
        <v>13843</v>
      </c>
      <c r="B91" s="49" t="s">
        <v>13950</v>
      </c>
      <c r="C91" s="53" t="s">
        <v>13951</v>
      </c>
    </row>
    <row r="92" spans="1:3" x14ac:dyDescent="0.35">
      <c r="A92" s="49" t="s">
        <v>13843</v>
      </c>
      <c r="B92" s="49" t="s">
        <v>13952</v>
      </c>
      <c r="C92" s="53" t="s">
        <v>13953</v>
      </c>
    </row>
    <row r="93" spans="1:3" x14ac:dyDescent="0.35">
      <c r="A93" s="49" t="s">
        <v>13843</v>
      </c>
      <c r="B93" s="49" t="s">
        <v>13954</v>
      </c>
      <c r="C93" s="53" t="s">
        <v>13955</v>
      </c>
    </row>
    <row r="94" spans="1:3" x14ac:dyDescent="0.35">
      <c r="A94" s="49" t="s">
        <v>13843</v>
      </c>
      <c r="B94" s="49" t="s">
        <v>13956</v>
      </c>
      <c r="C94" s="53" t="s">
        <v>13957</v>
      </c>
    </row>
    <row r="95" spans="1:3" x14ac:dyDescent="0.35">
      <c r="A95" s="49" t="s">
        <v>13843</v>
      </c>
      <c r="B95" s="49" t="s">
        <v>13958</v>
      </c>
      <c r="C95" s="53" t="s">
        <v>13959</v>
      </c>
    </row>
    <row r="96" spans="1:3" x14ac:dyDescent="0.35">
      <c r="A96" s="49" t="s">
        <v>13843</v>
      </c>
      <c r="B96" s="49" t="s">
        <v>13960</v>
      </c>
      <c r="C96" s="82" t="s">
        <v>13961</v>
      </c>
    </row>
    <row r="97" spans="1:3" x14ac:dyDescent="0.35">
      <c r="A97" s="49" t="s">
        <v>13843</v>
      </c>
      <c r="B97" s="49" t="s">
        <v>13962</v>
      </c>
      <c r="C97" s="53" t="s">
        <v>13963</v>
      </c>
    </row>
    <row r="98" spans="1:3" x14ac:dyDescent="0.35">
      <c r="A98" s="49" t="s">
        <v>13843</v>
      </c>
      <c r="B98" s="49" t="s">
        <v>13964</v>
      </c>
      <c r="C98" s="53" t="s">
        <v>13965</v>
      </c>
    </row>
    <row r="99" spans="1:3" x14ac:dyDescent="0.35">
      <c r="A99" s="49" t="s">
        <v>13843</v>
      </c>
      <c r="B99" s="49" t="s">
        <v>13966</v>
      </c>
      <c r="C99" s="53" t="s">
        <v>13967</v>
      </c>
    </row>
    <row r="100" spans="1:3" x14ac:dyDescent="0.35">
      <c r="A100" s="49" t="s">
        <v>13843</v>
      </c>
      <c r="B100" s="49" t="s">
        <v>13968</v>
      </c>
      <c r="C100" s="53" t="s">
        <v>13969</v>
      </c>
    </row>
    <row r="101" spans="1:3" x14ac:dyDescent="0.35">
      <c r="A101" s="49" t="s">
        <v>13970</v>
      </c>
      <c r="B101" s="49" t="s">
        <v>13971</v>
      </c>
      <c r="C101" s="81" t="s">
        <v>13972</v>
      </c>
    </row>
    <row r="102" spans="1:3" x14ac:dyDescent="0.35">
      <c r="A102" s="49" t="s">
        <v>13970</v>
      </c>
      <c r="B102" s="49" t="s">
        <v>13973</v>
      </c>
      <c r="C102" s="82" t="s">
        <v>13974</v>
      </c>
    </row>
    <row r="103" spans="1:3" x14ac:dyDescent="0.35">
      <c r="A103" s="49" t="s">
        <v>13970</v>
      </c>
      <c r="B103" s="49" t="s">
        <v>13975</v>
      </c>
      <c r="C103" s="53" t="s">
        <v>13976</v>
      </c>
    </row>
    <row r="104" spans="1:3" x14ac:dyDescent="0.35">
      <c r="A104" s="49" t="s">
        <v>13970</v>
      </c>
      <c r="B104" s="49" t="s">
        <v>13977</v>
      </c>
      <c r="C104" s="53" t="s">
        <v>13978</v>
      </c>
    </row>
    <row r="105" spans="1:3" x14ac:dyDescent="0.35">
      <c r="A105" s="49" t="s">
        <v>13970</v>
      </c>
      <c r="B105" s="49" t="s">
        <v>13979</v>
      </c>
      <c r="C105" s="53" t="s">
        <v>13980</v>
      </c>
    </row>
    <row r="106" spans="1:3" x14ac:dyDescent="0.35">
      <c r="A106" s="49" t="s">
        <v>13970</v>
      </c>
      <c r="B106" s="49" t="s">
        <v>13981</v>
      </c>
      <c r="C106" s="53" t="s">
        <v>13982</v>
      </c>
    </row>
    <row r="107" spans="1:3" x14ac:dyDescent="0.35">
      <c r="A107" s="49" t="s">
        <v>13970</v>
      </c>
      <c r="B107" s="49" t="s">
        <v>13983</v>
      </c>
      <c r="C107" s="53" t="s">
        <v>13984</v>
      </c>
    </row>
    <row r="108" spans="1:3" x14ac:dyDescent="0.35">
      <c r="A108" s="49" t="s">
        <v>13970</v>
      </c>
      <c r="B108" s="49" t="s">
        <v>13985</v>
      </c>
      <c r="C108" s="82" t="s">
        <v>13986</v>
      </c>
    </row>
    <row r="109" spans="1:3" x14ac:dyDescent="0.35">
      <c r="A109" s="49" t="s">
        <v>13970</v>
      </c>
      <c r="B109" s="49" t="s">
        <v>13987</v>
      </c>
      <c r="C109" s="53" t="s">
        <v>13988</v>
      </c>
    </row>
    <row r="110" spans="1:3" x14ac:dyDescent="0.35">
      <c r="A110" s="49" t="s">
        <v>13970</v>
      </c>
      <c r="B110" s="49" t="s">
        <v>13989</v>
      </c>
      <c r="C110" s="53" t="s">
        <v>13990</v>
      </c>
    </row>
    <row r="111" spans="1:3" x14ac:dyDescent="0.35">
      <c r="A111" s="49" t="s">
        <v>13970</v>
      </c>
      <c r="B111" s="49" t="s">
        <v>13991</v>
      </c>
      <c r="C111" s="82" t="s">
        <v>13992</v>
      </c>
    </row>
    <row r="112" spans="1:3" x14ac:dyDescent="0.35">
      <c r="A112" s="49" t="s">
        <v>13970</v>
      </c>
      <c r="B112" s="49" t="s">
        <v>13993</v>
      </c>
      <c r="C112" s="53" t="s">
        <v>13994</v>
      </c>
    </row>
    <row r="113" spans="1:3" x14ac:dyDescent="0.35">
      <c r="A113" s="49" t="s">
        <v>13970</v>
      </c>
      <c r="B113" s="49" t="s">
        <v>13995</v>
      </c>
      <c r="C113" s="53" t="s">
        <v>13996</v>
      </c>
    </row>
    <row r="114" spans="1:3" x14ac:dyDescent="0.35">
      <c r="A114" s="49" t="s">
        <v>13970</v>
      </c>
      <c r="B114" s="49" t="s">
        <v>13997</v>
      </c>
      <c r="C114" s="53" t="s">
        <v>13998</v>
      </c>
    </row>
    <row r="115" spans="1:3" x14ac:dyDescent="0.35">
      <c r="A115" s="49" t="s">
        <v>13970</v>
      </c>
      <c r="B115" s="49" t="s">
        <v>13999</v>
      </c>
      <c r="C115" s="82" t="s">
        <v>14000</v>
      </c>
    </row>
    <row r="116" spans="1:3" x14ac:dyDescent="0.35">
      <c r="A116" s="49" t="s">
        <v>13970</v>
      </c>
      <c r="B116" s="49" t="s">
        <v>14001</v>
      </c>
      <c r="C116" s="53" t="s">
        <v>14002</v>
      </c>
    </row>
    <row r="117" spans="1:3" x14ac:dyDescent="0.35">
      <c r="A117" s="49" t="s">
        <v>13970</v>
      </c>
      <c r="B117" s="49" t="s">
        <v>14003</v>
      </c>
      <c r="C117" s="53" t="s">
        <v>14004</v>
      </c>
    </row>
    <row r="118" spans="1:3" x14ac:dyDescent="0.35">
      <c r="A118" s="49" t="s">
        <v>13970</v>
      </c>
      <c r="B118" s="49" t="s">
        <v>14005</v>
      </c>
      <c r="C118" s="53" t="s">
        <v>14006</v>
      </c>
    </row>
    <row r="119" spans="1:3" x14ac:dyDescent="0.35">
      <c r="A119" s="49" t="s">
        <v>13970</v>
      </c>
      <c r="B119" s="49" t="s">
        <v>14007</v>
      </c>
      <c r="C119" s="53" t="s">
        <v>14008</v>
      </c>
    </row>
    <row r="120" spans="1:3" x14ac:dyDescent="0.35">
      <c r="A120" s="49" t="s">
        <v>13970</v>
      </c>
      <c r="B120" s="49" t="s">
        <v>14009</v>
      </c>
      <c r="C120" s="53" t="s">
        <v>14010</v>
      </c>
    </row>
    <row r="121" spans="1:3" x14ac:dyDescent="0.35">
      <c r="A121" s="49" t="s">
        <v>13970</v>
      </c>
      <c r="B121" s="49" t="s">
        <v>14011</v>
      </c>
      <c r="C121" s="53" t="s">
        <v>14012</v>
      </c>
    </row>
    <row r="122" spans="1:3" x14ac:dyDescent="0.35">
      <c r="A122" s="49" t="s">
        <v>13970</v>
      </c>
      <c r="B122" s="49" t="s">
        <v>14013</v>
      </c>
      <c r="C122" s="53" t="s">
        <v>14014</v>
      </c>
    </row>
    <row r="123" spans="1:3" x14ac:dyDescent="0.35">
      <c r="A123" s="49" t="s">
        <v>13970</v>
      </c>
      <c r="B123" s="49" t="s">
        <v>14015</v>
      </c>
      <c r="C123" s="53" t="s">
        <v>14016</v>
      </c>
    </row>
    <row r="124" spans="1:3" x14ac:dyDescent="0.35">
      <c r="A124" s="49" t="s">
        <v>13970</v>
      </c>
      <c r="B124" s="49" t="s">
        <v>14017</v>
      </c>
      <c r="C124" s="82" t="s">
        <v>14018</v>
      </c>
    </row>
    <row r="125" spans="1:3" x14ac:dyDescent="0.35">
      <c r="A125" s="49" t="s">
        <v>13970</v>
      </c>
      <c r="B125" s="49" t="s">
        <v>14019</v>
      </c>
      <c r="C125" s="53" t="s">
        <v>14020</v>
      </c>
    </row>
    <row r="126" spans="1:3" x14ac:dyDescent="0.35">
      <c r="A126" s="49" t="s">
        <v>13970</v>
      </c>
      <c r="B126" s="49" t="s">
        <v>14021</v>
      </c>
      <c r="C126" s="53" t="s">
        <v>14022</v>
      </c>
    </row>
    <row r="127" spans="1:3" x14ac:dyDescent="0.35">
      <c r="A127" s="49" t="s">
        <v>13970</v>
      </c>
      <c r="B127" s="49" t="s">
        <v>14023</v>
      </c>
      <c r="C127" s="53" t="s">
        <v>14024</v>
      </c>
    </row>
    <row r="128" spans="1:3" x14ac:dyDescent="0.35">
      <c r="A128" s="49" t="s">
        <v>13970</v>
      </c>
      <c r="B128" s="49" t="s">
        <v>14025</v>
      </c>
      <c r="C128" s="82" t="s">
        <v>14026</v>
      </c>
    </row>
    <row r="129" spans="1:3" x14ac:dyDescent="0.35">
      <c r="A129" s="49" t="s">
        <v>13970</v>
      </c>
      <c r="B129" s="49" t="s">
        <v>14027</v>
      </c>
      <c r="C129" s="53" t="s">
        <v>14028</v>
      </c>
    </row>
    <row r="130" spans="1:3" x14ac:dyDescent="0.35">
      <c r="A130" s="49" t="s">
        <v>13970</v>
      </c>
      <c r="B130" s="49" t="s">
        <v>14029</v>
      </c>
      <c r="C130" s="53" t="s">
        <v>14030</v>
      </c>
    </row>
    <row r="131" spans="1:3" x14ac:dyDescent="0.35">
      <c r="A131" s="49" t="s">
        <v>13970</v>
      </c>
      <c r="B131" s="49" t="s">
        <v>14031</v>
      </c>
      <c r="C131" s="82" t="s">
        <v>14032</v>
      </c>
    </row>
    <row r="132" spans="1:3" x14ac:dyDescent="0.35">
      <c r="A132" s="49" t="s">
        <v>13970</v>
      </c>
      <c r="B132" s="49" t="s">
        <v>14033</v>
      </c>
      <c r="C132" s="53" t="s">
        <v>14034</v>
      </c>
    </row>
    <row r="133" spans="1:3" x14ac:dyDescent="0.35">
      <c r="A133" s="49" t="s">
        <v>13970</v>
      </c>
      <c r="B133" s="49" t="s">
        <v>14035</v>
      </c>
      <c r="C133" s="53" t="s">
        <v>14036</v>
      </c>
    </row>
    <row r="134" spans="1:3" x14ac:dyDescent="0.35">
      <c r="A134" s="49" t="s">
        <v>13970</v>
      </c>
      <c r="B134" s="49" t="s">
        <v>14037</v>
      </c>
      <c r="C134" s="53" t="s">
        <v>14038</v>
      </c>
    </row>
    <row r="135" spans="1:3" x14ac:dyDescent="0.35">
      <c r="A135" s="49" t="s">
        <v>13970</v>
      </c>
      <c r="B135" s="49" t="s">
        <v>14039</v>
      </c>
      <c r="C135" s="53" t="s">
        <v>14040</v>
      </c>
    </row>
    <row r="136" spans="1:3" x14ac:dyDescent="0.35">
      <c r="A136" s="49" t="s">
        <v>13970</v>
      </c>
      <c r="B136" s="49" t="s">
        <v>14041</v>
      </c>
      <c r="C136" s="53" t="s">
        <v>14042</v>
      </c>
    </row>
    <row r="137" spans="1:3" x14ac:dyDescent="0.35">
      <c r="A137" s="49" t="s">
        <v>13970</v>
      </c>
      <c r="B137" s="49" t="s">
        <v>14043</v>
      </c>
      <c r="C137" s="53" t="s">
        <v>14044</v>
      </c>
    </row>
    <row r="138" spans="1:3" x14ac:dyDescent="0.35">
      <c r="A138" s="49" t="s">
        <v>14045</v>
      </c>
      <c r="B138" s="49" t="s">
        <v>14046</v>
      </c>
      <c r="C138" s="81" t="s">
        <v>14047</v>
      </c>
    </row>
    <row r="139" spans="1:3" x14ac:dyDescent="0.35">
      <c r="A139" s="49" t="s">
        <v>14045</v>
      </c>
      <c r="B139" s="49" t="s">
        <v>14048</v>
      </c>
      <c r="C139" s="82" t="s">
        <v>14049</v>
      </c>
    </row>
    <row r="140" spans="1:3" x14ac:dyDescent="0.35">
      <c r="A140" s="49" t="s">
        <v>14045</v>
      </c>
      <c r="B140" s="49" t="s">
        <v>14050</v>
      </c>
      <c r="C140" s="53" t="s">
        <v>14051</v>
      </c>
    </row>
    <row r="141" spans="1:3" x14ac:dyDescent="0.35">
      <c r="A141" s="49" t="s">
        <v>14045</v>
      </c>
      <c r="B141" s="49" t="s">
        <v>14052</v>
      </c>
      <c r="C141" s="53" t="s">
        <v>14053</v>
      </c>
    </row>
    <row r="142" spans="1:3" x14ac:dyDescent="0.35">
      <c r="A142" s="49" t="s">
        <v>14045</v>
      </c>
      <c r="B142" s="49" t="s">
        <v>14054</v>
      </c>
      <c r="C142" s="82" t="s">
        <v>14055</v>
      </c>
    </row>
    <row r="143" spans="1:3" x14ac:dyDescent="0.35">
      <c r="A143" s="49" t="s">
        <v>14045</v>
      </c>
      <c r="B143" s="49" t="s">
        <v>14056</v>
      </c>
      <c r="C143" s="53" t="s">
        <v>14057</v>
      </c>
    </row>
    <row r="144" spans="1:3" x14ac:dyDescent="0.35">
      <c r="A144" s="49" t="s">
        <v>14045</v>
      </c>
      <c r="B144" s="49" t="s">
        <v>14058</v>
      </c>
      <c r="C144" s="53" t="s">
        <v>14059</v>
      </c>
    </row>
    <row r="145" spans="1:3" x14ac:dyDescent="0.35">
      <c r="A145" s="49" t="s">
        <v>14045</v>
      </c>
      <c r="B145" s="49" t="s">
        <v>14060</v>
      </c>
      <c r="C145" s="53" t="s">
        <v>14061</v>
      </c>
    </row>
    <row r="146" spans="1:3" x14ac:dyDescent="0.35">
      <c r="A146" s="49" t="s">
        <v>14045</v>
      </c>
      <c r="B146" s="49" t="s">
        <v>14062</v>
      </c>
      <c r="C146" s="53" t="s">
        <v>14063</v>
      </c>
    </row>
    <row r="147" spans="1:3" x14ac:dyDescent="0.35">
      <c r="A147" s="49" t="s">
        <v>14045</v>
      </c>
      <c r="B147" s="49" t="s">
        <v>14064</v>
      </c>
      <c r="C147" s="53" t="s">
        <v>14065</v>
      </c>
    </row>
    <row r="148" spans="1:3" x14ac:dyDescent="0.35">
      <c r="A148" s="49" t="s">
        <v>14045</v>
      </c>
      <c r="B148" s="49" t="s">
        <v>14066</v>
      </c>
      <c r="C148" s="82" t="s">
        <v>14067</v>
      </c>
    </row>
    <row r="149" spans="1:3" x14ac:dyDescent="0.35">
      <c r="A149" s="49" t="s">
        <v>14045</v>
      </c>
      <c r="B149" s="49" t="s">
        <v>14068</v>
      </c>
      <c r="C149" s="53" t="s">
        <v>14069</v>
      </c>
    </row>
    <row r="150" spans="1:3" x14ac:dyDescent="0.35">
      <c r="A150" s="49" t="s">
        <v>14045</v>
      </c>
      <c r="B150" s="49" t="s">
        <v>14070</v>
      </c>
      <c r="C150" s="53" t="s">
        <v>14071</v>
      </c>
    </row>
    <row r="151" spans="1:3" x14ac:dyDescent="0.35">
      <c r="A151" s="49" t="s">
        <v>14045</v>
      </c>
      <c r="B151" s="49" t="s">
        <v>14072</v>
      </c>
      <c r="C151" s="53" t="s">
        <v>14073</v>
      </c>
    </row>
    <row r="152" spans="1:3" x14ac:dyDescent="0.35">
      <c r="A152" s="49" t="s">
        <v>14045</v>
      </c>
      <c r="B152" s="49" t="s">
        <v>14074</v>
      </c>
      <c r="C152" s="53" t="s">
        <v>14075</v>
      </c>
    </row>
    <row r="153" spans="1:3" x14ac:dyDescent="0.35">
      <c r="A153" s="49" t="s">
        <v>14045</v>
      </c>
      <c r="B153" s="49" t="s">
        <v>14076</v>
      </c>
      <c r="C153" s="53" t="s">
        <v>14077</v>
      </c>
    </row>
    <row r="154" spans="1:3" x14ac:dyDescent="0.35">
      <c r="A154" s="49" t="s">
        <v>14045</v>
      </c>
      <c r="B154" s="49" t="s">
        <v>14078</v>
      </c>
      <c r="C154" s="53" t="s">
        <v>14079</v>
      </c>
    </row>
    <row r="155" spans="1:3" x14ac:dyDescent="0.35">
      <c r="A155" s="49" t="s">
        <v>14045</v>
      </c>
      <c r="B155" s="49" t="s">
        <v>14080</v>
      </c>
      <c r="C155" s="53" t="s">
        <v>14081</v>
      </c>
    </row>
    <row r="156" spans="1:3" x14ac:dyDescent="0.35">
      <c r="A156" s="49" t="s">
        <v>14045</v>
      </c>
      <c r="B156" s="49" t="s">
        <v>14082</v>
      </c>
      <c r="C156" s="82" t="s">
        <v>14083</v>
      </c>
    </row>
    <row r="157" spans="1:3" x14ac:dyDescent="0.35">
      <c r="A157" s="49" t="s">
        <v>14045</v>
      </c>
      <c r="B157" s="49" t="s">
        <v>14084</v>
      </c>
      <c r="C157" s="53" t="s">
        <v>14085</v>
      </c>
    </row>
    <row r="158" spans="1:3" x14ac:dyDescent="0.35">
      <c r="A158" s="49" t="s">
        <v>14045</v>
      </c>
      <c r="B158" s="49" t="s">
        <v>14086</v>
      </c>
      <c r="C158" s="53" t="s">
        <v>14087</v>
      </c>
    </row>
    <row r="159" spans="1:3" x14ac:dyDescent="0.35">
      <c r="A159" s="49" t="s">
        <v>14045</v>
      </c>
      <c r="B159" s="49" t="s">
        <v>14088</v>
      </c>
      <c r="C159" s="53" t="s">
        <v>14089</v>
      </c>
    </row>
    <row r="160" spans="1:3" x14ac:dyDescent="0.35">
      <c r="A160" s="49" t="s">
        <v>14045</v>
      </c>
      <c r="B160" s="49" t="s">
        <v>14090</v>
      </c>
      <c r="C160" s="53" t="s">
        <v>14091</v>
      </c>
    </row>
    <row r="161" spans="1:3" x14ac:dyDescent="0.35">
      <c r="A161" s="49" t="s">
        <v>14045</v>
      </c>
      <c r="B161" s="49" t="s">
        <v>14092</v>
      </c>
      <c r="C161" s="53" t="s">
        <v>14093</v>
      </c>
    </row>
    <row r="162" spans="1:3" x14ac:dyDescent="0.35">
      <c r="A162" s="49" t="s">
        <v>14045</v>
      </c>
      <c r="B162" s="49" t="s">
        <v>14094</v>
      </c>
      <c r="C162" s="82" t="s">
        <v>14095</v>
      </c>
    </row>
    <row r="163" spans="1:3" x14ac:dyDescent="0.35">
      <c r="A163" s="49" t="s">
        <v>14045</v>
      </c>
      <c r="B163" s="49" t="s">
        <v>14096</v>
      </c>
      <c r="C163" s="53" t="s">
        <v>14097</v>
      </c>
    </row>
    <row r="164" spans="1:3" x14ac:dyDescent="0.35">
      <c r="A164" s="49" t="s">
        <v>14045</v>
      </c>
      <c r="B164" s="49" t="s">
        <v>14098</v>
      </c>
      <c r="C164" s="53" t="s">
        <v>14099</v>
      </c>
    </row>
    <row r="165" spans="1:3" x14ac:dyDescent="0.35">
      <c r="A165" s="49" t="s">
        <v>14045</v>
      </c>
      <c r="B165" s="49" t="s">
        <v>14100</v>
      </c>
      <c r="C165" s="53" t="s">
        <v>14101</v>
      </c>
    </row>
    <row r="166" spans="1:3" x14ac:dyDescent="0.35">
      <c r="A166" s="49" t="s">
        <v>14045</v>
      </c>
      <c r="B166" s="49" t="s">
        <v>14102</v>
      </c>
      <c r="C166" s="53" t="s">
        <v>14103</v>
      </c>
    </row>
    <row r="167" spans="1:3" x14ac:dyDescent="0.35">
      <c r="A167" s="49" t="s">
        <v>14045</v>
      </c>
      <c r="B167" s="49" t="s">
        <v>14104</v>
      </c>
      <c r="C167" s="82" t="s">
        <v>14105</v>
      </c>
    </row>
    <row r="168" spans="1:3" x14ac:dyDescent="0.35">
      <c r="A168" s="49" t="s">
        <v>14045</v>
      </c>
      <c r="B168" s="49" t="s">
        <v>14106</v>
      </c>
      <c r="C168" s="53" t="s">
        <v>14107</v>
      </c>
    </row>
    <row r="169" spans="1:3" x14ac:dyDescent="0.35">
      <c r="A169" s="49" t="s">
        <v>14045</v>
      </c>
      <c r="B169" s="49" t="s">
        <v>14108</v>
      </c>
      <c r="C169" s="53" t="s">
        <v>14109</v>
      </c>
    </row>
    <row r="170" spans="1:3" x14ac:dyDescent="0.35">
      <c r="A170" s="49" t="s">
        <v>14045</v>
      </c>
      <c r="B170" s="49" t="s">
        <v>14110</v>
      </c>
      <c r="C170" s="53" t="s">
        <v>14111</v>
      </c>
    </row>
    <row r="171" spans="1:3" x14ac:dyDescent="0.35">
      <c r="A171" s="49" t="s">
        <v>14045</v>
      </c>
      <c r="B171" s="49" t="s">
        <v>14112</v>
      </c>
      <c r="C171" s="53" t="s">
        <v>14113</v>
      </c>
    </row>
    <row r="172" spans="1:3" x14ac:dyDescent="0.35">
      <c r="A172" s="49" t="s">
        <v>14045</v>
      </c>
      <c r="B172" s="49" t="s">
        <v>14114</v>
      </c>
      <c r="C172" s="82" t="s">
        <v>14115</v>
      </c>
    </row>
    <row r="173" spans="1:3" x14ac:dyDescent="0.35">
      <c r="A173" s="49" t="s">
        <v>14045</v>
      </c>
      <c r="B173" s="49" t="s">
        <v>14116</v>
      </c>
      <c r="C173" s="53" t="s">
        <v>14117</v>
      </c>
    </row>
    <row r="174" spans="1:3" x14ac:dyDescent="0.35">
      <c r="A174" s="49" t="s">
        <v>14045</v>
      </c>
      <c r="B174" s="49" t="s">
        <v>14118</v>
      </c>
      <c r="C174" s="53" t="s">
        <v>14119</v>
      </c>
    </row>
    <row r="175" spans="1:3" x14ac:dyDescent="0.35">
      <c r="A175" s="49" t="s">
        <v>14045</v>
      </c>
      <c r="B175" s="49" t="s">
        <v>14120</v>
      </c>
      <c r="C175" s="82" t="s">
        <v>14121</v>
      </c>
    </row>
    <row r="176" spans="1:3" x14ac:dyDescent="0.35">
      <c r="A176" s="49" t="s">
        <v>14045</v>
      </c>
      <c r="B176" s="49" t="s">
        <v>14122</v>
      </c>
      <c r="C176" s="53" t="s">
        <v>14123</v>
      </c>
    </row>
    <row r="177" spans="1:3" x14ac:dyDescent="0.35">
      <c r="A177" s="49" t="s">
        <v>14045</v>
      </c>
      <c r="B177" s="49" t="s">
        <v>14124</v>
      </c>
      <c r="C177" s="53" t="s">
        <v>14125</v>
      </c>
    </row>
    <row r="178" spans="1:3" x14ac:dyDescent="0.35">
      <c r="A178" s="49" t="s">
        <v>14126</v>
      </c>
      <c r="B178" s="49" t="s">
        <v>14127</v>
      </c>
      <c r="C178" s="236" t="s">
        <v>14128</v>
      </c>
    </row>
    <row r="179" spans="1:3" x14ac:dyDescent="0.35">
      <c r="A179" s="49" t="s">
        <v>14126</v>
      </c>
      <c r="B179" s="49" t="s">
        <v>14129</v>
      </c>
      <c r="C179" s="82" t="s">
        <v>14130</v>
      </c>
    </row>
    <row r="180" spans="1:3" x14ac:dyDescent="0.35">
      <c r="A180" s="49" t="s">
        <v>14126</v>
      </c>
      <c r="B180" s="49" t="s">
        <v>14131</v>
      </c>
      <c r="C180" s="53" t="s">
        <v>14132</v>
      </c>
    </row>
    <row r="181" spans="1:3" x14ac:dyDescent="0.35">
      <c r="A181" s="49" t="s">
        <v>14126</v>
      </c>
      <c r="B181" s="49" t="s">
        <v>14133</v>
      </c>
      <c r="C181" s="53" t="s">
        <v>14134</v>
      </c>
    </row>
    <row r="182" spans="1:3" x14ac:dyDescent="0.35">
      <c r="A182" s="49" t="s">
        <v>14126</v>
      </c>
      <c r="B182" s="49" t="s">
        <v>14135</v>
      </c>
      <c r="C182" s="53" t="s">
        <v>14136</v>
      </c>
    </row>
    <row r="183" spans="1:3" x14ac:dyDescent="0.35">
      <c r="A183" s="49" t="s">
        <v>14126</v>
      </c>
      <c r="B183" s="49" t="s">
        <v>14137</v>
      </c>
      <c r="C183" s="53" t="s">
        <v>14138</v>
      </c>
    </row>
    <row r="184" spans="1:3" x14ac:dyDescent="0.35">
      <c r="A184" s="49" t="s">
        <v>14126</v>
      </c>
      <c r="B184" s="49" t="s">
        <v>14139</v>
      </c>
      <c r="C184" s="53" t="s">
        <v>14140</v>
      </c>
    </row>
    <row r="185" spans="1:3" x14ac:dyDescent="0.35">
      <c r="A185" s="49" t="s">
        <v>14126</v>
      </c>
      <c r="B185" s="49" t="s">
        <v>14141</v>
      </c>
      <c r="C185" s="53" t="s">
        <v>14142</v>
      </c>
    </row>
    <row r="186" spans="1:3" x14ac:dyDescent="0.35">
      <c r="A186" s="49" t="s">
        <v>14126</v>
      </c>
      <c r="B186" s="49" t="s">
        <v>14143</v>
      </c>
      <c r="C186" s="53" t="s">
        <v>14144</v>
      </c>
    </row>
    <row r="187" spans="1:3" x14ac:dyDescent="0.35">
      <c r="A187" s="49" t="s">
        <v>14126</v>
      </c>
      <c r="B187" s="49" t="s">
        <v>14145</v>
      </c>
      <c r="C187" s="53" t="s">
        <v>14146</v>
      </c>
    </row>
    <row r="188" spans="1:3" x14ac:dyDescent="0.35">
      <c r="A188" s="49" t="s">
        <v>14126</v>
      </c>
      <c r="B188" s="49" t="s">
        <v>14147</v>
      </c>
      <c r="C188" s="53" t="s">
        <v>14148</v>
      </c>
    </row>
    <row r="189" spans="1:3" x14ac:dyDescent="0.35">
      <c r="A189" s="49" t="s">
        <v>14126</v>
      </c>
      <c r="B189" s="49" t="s">
        <v>14149</v>
      </c>
      <c r="C189" s="82" t="s">
        <v>14150</v>
      </c>
    </row>
    <row r="190" spans="1:3" x14ac:dyDescent="0.35">
      <c r="A190" s="49" t="s">
        <v>14126</v>
      </c>
      <c r="B190" s="49" t="s">
        <v>14151</v>
      </c>
      <c r="C190" s="53" t="s">
        <v>14152</v>
      </c>
    </row>
    <row r="191" spans="1:3" x14ac:dyDescent="0.35">
      <c r="A191" s="49" t="s">
        <v>14126</v>
      </c>
      <c r="B191" s="49" t="s">
        <v>14153</v>
      </c>
      <c r="C191" s="53" t="s">
        <v>14154</v>
      </c>
    </row>
    <row r="192" spans="1:3" x14ac:dyDescent="0.35">
      <c r="A192" s="49" t="s">
        <v>14126</v>
      </c>
      <c r="B192" s="49" t="s">
        <v>14155</v>
      </c>
      <c r="C192" s="53" t="s">
        <v>14156</v>
      </c>
    </row>
    <row r="193" spans="1:3" x14ac:dyDescent="0.35">
      <c r="A193" s="49" t="s">
        <v>14126</v>
      </c>
      <c r="B193" s="49" t="s">
        <v>14157</v>
      </c>
      <c r="C193" s="82" t="s">
        <v>14158</v>
      </c>
    </row>
    <row r="194" spans="1:3" x14ac:dyDescent="0.35">
      <c r="A194" s="49" t="s">
        <v>14126</v>
      </c>
      <c r="B194" s="49" t="s">
        <v>14159</v>
      </c>
      <c r="C194" s="53" t="s">
        <v>14160</v>
      </c>
    </row>
    <row r="195" spans="1:3" x14ac:dyDescent="0.35">
      <c r="A195" s="49" t="s">
        <v>14126</v>
      </c>
      <c r="B195" s="49" t="s">
        <v>14161</v>
      </c>
      <c r="C195" s="53" t="s">
        <v>14162</v>
      </c>
    </row>
    <row r="196" spans="1:3" x14ac:dyDescent="0.35">
      <c r="A196" s="49" t="s">
        <v>14126</v>
      </c>
      <c r="B196" s="49" t="s">
        <v>14163</v>
      </c>
      <c r="C196" s="53" t="s">
        <v>14164</v>
      </c>
    </row>
    <row r="197" spans="1:3" x14ac:dyDescent="0.35">
      <c r="A197" s="49" t="s">
        <v>14126</v>
      </c>
      <c r="B197" s="49" t="s">
        <v>14165</v>
      </c>
      <c r="C197" s="53" t="s">
        <v>14166</v>
      </c>
    </row>
    <row r="198" spans="1:3" x14ac:dyDescent="0.35">
      <c r="A198" s="49" t="s">
        <v>14126</v>
      </c>
      <c r="B198" s="49" t="s">
        <v>14167</v>
      </c>
      <c r="C198" s="53" t="s">
        <v>14168</v>
      </c>
    </row>
    <row r="199" spans="1:3" x14ac:dyDescent="0.35">
      <c r="A199" s="49" t="s">
        <v>14126</v>
      </c>
      <c r="B199" s="49" t="s">
        <v>14169</v>
      </c>
      <c r="C199" s="82" t="s">
        <v>14170</v>
      </c>
    </row>
    <row r="200" spans="1:3" x14ac:dyDescent="0.35">
      <c r="A200" s="49" t="s">
        <v>14126</v>
      </c>
      <c r="B200" s="49" t="s">
        <v>14171</v>
      </c>
      <c r="C200" s="53" t="s">
        <v>14172</v>
      </c>
    </row>
    <row r="201" spans="1:3" x14ac:dyDescent="0.35">
      <c r="A201" s="49" t="s">
        <v>14126</v>
      </c>
      <c r="B201" s="49" t="s">
        <v>14173</v>
      </c>
      <c r="C201" s="53" t="s">
        <v>14174</v>
      </c>
    </row>
    <row r="202" spans="1:3" x14ac:dyDescent="0.35">
      <c r="A202" s="49" t="s">
        <v>14126</v>
      </c>
      <c r="B202" s="49" t="s">
        <v>14175</v>
      </c>
      <c r="C202" s="82" t="s">
        <v>14176</v>
      </c>
    </row>
    <row r="203" spans="1:3" x14ac:dyDescent="0.35">
      <c r="A203" s="49" t="s">
        <v>14126</v>
      </c>
      <c r="B203" s="49" t="s">
        <v>14177</v>
      </c>
      <c r="C203" s="53" t="s">
        <v>14178</v>
      </c>
    </row>
    <row r="204" spans="1:3" x14ac:dyDescent="0.35">
      <c r="A204" s="49" t="s">
        <v>14126</v>
      </c>
      <c r="B204" s="49" t="s">
        <v>14179</v>
      </c>
      <c r="C204" s="53" t="s">
        <v>14180</v>
      </c>
    </row>
    <row r="205" spans="1:3" x14ac:dyDescent="0.35">
      <c r="A205" s="49" t="s">
        <v>14126</v>
      </c>
      <c r="B205" s="49" t="s">
        <v>14181</v>
      </c>
      <c r="C205" s="53" t="s">
        <v>14182</v>
      </c>
    </row>
    <row r="206" spans="1:3" x14ac:dyDescent="0.35">
      <c r="A206" s="49" t="s">
        <v>14183</v>
      </c>
      <c r="B206" s="49" t="s">
        <v>14184</v>
      </c>
      <c r="C206" s="236" t="s">
        <v>14185</v>
      </c>
    </row>
    <row r="207" spans="1:3" x14ac:dyDescent="0.35">
      <c r="A207" s="49" t="s">
        <v>14183</v>
      </c>
      <c r="B207" s="49" t="s">
        <v>14186</v>
      </c>
      <c r="C207" s="82" t="s">
        <v>14187</v>
      </c>
    </row>
    <row r="208" spans="1:3" x14ac:dyDescent="0.35">
      <c r="A208" s="49" t="s">
        <v>14183</v>
      </c>
      <c r="B208" s="49" t="s">
        <v>14188</v>
      </c>
      <c r="C208" s="53" t="s">
        <v>14189</v>
      </c>
    </row>
    <row r="209" spans="1:3" x14ac:dyDescent="0.35">
      <c r="A209" s="49" t="s">
        <v>14183</v>
      </c>
      <c r="B209" s="49" t="s">
        <v>14190</v>
      </c>
      <c r="C209" s="53" t="s">
        <v>14191</v>
      </c>
    </row>
    <row r="210" spans="1:3" x14ac:dyDescent="0.35">
      <c r="A210" s="49" t="s">
        <v>14183</v>
      </c>
      <c r="B210" s="49" t="s">
        <v>14192</v>
      </c>
      <c r="C210" s="53" t="s">
        <v>14193</v>
      </c>
    </row>
    <row r="211" spans="1:3" x14ac:dyDescent="0.35">
      <c r="A211" s="49" t="s">
        <v>14183</v>
      </c>
      <c r="B211" s="49" t="s">
        <v>14194</v>
      </c>
      <c r="C211" s="53" t="s">
        <v>14195</v>
      </c>
    </row>
    <row r="212" spans="1:3" x14ac:dyDescent="0.35">
      <c r="A212" s="49" t="s">
        <v>14183</v>
      </c>
      <c r="B212" s="49" t="s">
        <v>14196</v>
      </c>
      <c r="C212" s="53" t="s">
        <v>14197</v>
      </c>
    </row>
    <row r="213" spans="1:3" x14ac:dyDescent="0.35">
      <c r="A213" s="49" t="s">
        <v>14183</v>
      </c>
      <c r="B213" s="49" t="s">
        <v>14198</v>
      </c>
      <c r="C213" s="53" t="s">
        <v>14199</v>
      </c>
    </row>
    <row r="214" spans="1:3" x14ac:dyDescent="0.35">
      <c r="A214" s="49" t="s">
        <v>14183</v>
      </c>
      <c r="B214" s="49" t="s">
        <v>14200</v>
      </c>
      <c r="C214" s="53" t="s">
        <v>14201</v>
      </c>
    </row>
    <row r="215" spans="1:3" x14ac:dyDescent="0.35">
      <c r="A215" s="49" t="s">
        <v>14183</v>
      </c>
      <c r="B215" s="49" t="s">
        <v>14202</v>
      </c>
      <c r="C215" s="82" t="s">
        <v>14203</v>
      </c>
    </row>
    <row r="216" spans="1:3" x14ac:dyDescent="0.35">
      <c r="A216" s="49" t="s">
        <v>14183</v>
      </c>
      <c r="B216" s="49" t="s">
        <v>14204</v>
      </c>
      <c r="C216" s="53" t="s">
        <v>14205</v>
      </c>
    </row>
    <row r="217" spans="1:3" x14ac:dyDescent="0.35">
      <c r="A217" s="49" t="s">
        <v>14183</v>
      </c>
      <c r="B217" s="49" t="s">
        <v>14206</v>
      </c>
      <c r="C217" s="53" t="s">
        <v>14207</v>
      </c>
    </row>
    <row r="218" spans="1:3" x14ac:dyDescent="0.35">
      <c r="A218" s="49" t="s">
        <v>14183</v>
      </c>
      <c r="B218" s="49" t="s">
        <v>14208</v>
      </c>
      <c r="C218" s="82" t="s">
        <v>14209</v>
      </c>
    </row>
    <row r="219" spans="1:3" x14ac:dyDescent="0.35">
      <c r="A219" s="49" t="s">
        <v>14183</v>
      </c>
      <c r="B219" s="49" t="s">
        <v>14210</v>
      </c>
      <c r="C219" s="53" t="s">
        <v>14211</v>
      </c>
    </row>
    <row r="220" spans="1:3" x14ac:dyDescent="0.35">
      <c r="A220" s="49" t="s">
        <v>14183</v>
      </c>
      <c r="B220" s="49" t="s">
        <v>14212</v>
      </c>
      <c r="C220" s="53" t="s">
        <v>14213</v>
      </c>
    </row>
    <row r="221" spans="1:3" x14ac:dyDescent="0.35">
      <c r="A221" s="49" t="s">
        <v>14183</v>
      </c>
      <c r="B221" s="49" t="s">
        <v>14214</v>
      </c>
      <c r="C221" s="53" t="s">
        <v>14215</v>
      </c>
    </row>
    <row r="222" spans="1:3" x14ac:dyDescent="0.35">
      <c r="A222" s="49" t="s">
        <v>14183</v>
      </c>
      <c r="B222" s="49" t="s">
        <v>14216</v>
      </c>
      <c r="C222" s="53" t="s">
        <v>14217</v>
      </c>
    </row>
    <row r="223" spans="1:3" x14ac:dyDescent="0.35">
      <c r="A223" s="49" t="s">
        <v>14183</v>
      </c>
      <c r="B223" s="49" t="s">
        <v>14218</v>
      </c>
      <c r="C223" s="53" t="s">
        <v>14219</v>
      </c>
    </row>
    <row r="224" spans="1:3" x14ac:dyDescent="0.35">
      <c r="A224" s="49" t="s">
        <v>14183</v>
      </c>
      <c r="B224" s="49" t="s">
        <v>14220</v>
      </c>
      <c r="C224" s="82" t="s">
        <v>14221</v>
      </c>
    </row>
    <row r="225" spans="1:3" x14ac:dyDescent="0.35">
      <c r="A225" s="49" t="s">
        <v>14183</v>
      </c>
      <c r="B225" s="49" t="s">
        <v>14222</v>
      </c>
      <c r="C225" s="53" t="s">
        <v>14223</v>
      </c>
    </row>
    <row r="226" spans="1:3" x14ac:dyDescent="0.35">
      <c r="A226" s="49" t="s">
        <v>14183</v>
      </c>
      <c r="B226" s="49" t="s">
        <v>14224</v>
      </c>
      <c r="C226" s="53" t="s">
        <v>14225</v>
      </c>
    </row>
    <row r="227" spans="1:3" x14ac:dyDescent="0.35">
      <c r="A227" s="49" t="s">
        <v>14183</v>
      </c>
      <c r="B227" s="49" t="s">
        <v>14226</v>
      </c>
      <c r="C227" s="53" t="s">
        <v>14227</v>
      </c>
    </row>
    <row r="228" spans="1:3" x14ac:dyDescent="0.35">
      <c r="A228" s="49" t="s">
        <v>14183</v>
      </c>
      <c r="B228" s="49" t="s">
        <v>14228</v>
      </c>
      <c r="C228" s="53" t="s">
        <v>14229</v>
      </c>
    </row>
    <row r="229" spans="1:3" x14ac:dyDescent="0.35">
      <c r="A229" s="49" t="s">
        <v>14183</v>
      </c>
      <c r="B229" s="49" t="s">
        <v>14230</v>
      </c>
      <c r="C229" s="53" t="s">
        <v>14231</v>
      </c>
    </row>
    <row r="230" spans="1:3" x14ac:dyDescent="0.35">
      <c r="A230" s="49" t="s">
        <v>14183</v>
      </c>
      <c r="B230" s="49" t="s">
        <v>14232</v>
      </c>
      <c r="C230" s="82" t="s">
        <v>14233</v>
      </c>
    </row>
    <row r="231" spans="1:3" x14ac:dyDescent="0.35">
      <c r="A231" s="49" t="s">
        <v>14183</v>
      </c>
      <c r="B231" s="49" t="s">
        <v>14234</v>
      </c>
      <c r="C231" s="53" t="s">
        <v>14235</v>
      </c>
    </row>
    <row r="232" spans="1:3" x14ac:dyDescent="0.35">
      <c r="A232" s="49" t="s">
        <v>14183</v>
      </c>
      <c r="B232" s="49" t="s">
        <v>14236</v>
      </c>
      <c r="C232" s="53" t="s">
        <v>14237</v>
      </c>
    </row>
    <row r="233" spans="1:3" x14ac:dyDescent="0.35">
      <c r="A233" s="49" t="s">
        <v>14183</v>
      </c>
      <c r="B233" s="49" t="s">
        <v>14238</v>
      </c>
      <c r="C233" s="53" t="s">
        <v>14239</v>
      </c>
    </row>
    <row r="234" spans="1:3" x14ac:dyDescent="0.35">
      <c r="A234" s="49" t="s">
        <v>14183</v>
      </c>
      <c r="B234" s="49" t="s">
        <v>14240</v>
      </c>
      <c r="C234" s="53" t="s">
        <v>14241</v>
      </c>
    </row>
    <row r="235" spans="1:3" x14ac:dyDescent="0.35">
      <c r="A235" s="49" t="s">
        <v>14183</v>
      </c>
      <c r="B235" s="49" t="s">
        <v>14242</v>
      </c>
      <c r="C235" s="53" t="s">
        <v>14243</v>
      </c>
    </row>
    <row r="236" spans="1:3" x14ac:dyDescent="0.35">
      <c r="A236" s="49" t="s">
        <v>14183</v>
      </c>
      <c r="B236" s="49" t="s">
        <v>14244</v>
      </c>
      <c r="C236" s="53" t="s">
        <v>14245</v>
      </c>
    </row>
    <row r="237" spans="1:3" x14ac:dyDescent="0.35">
      <c r="A237" s="49" t="s">
        <v>14183</v>
      </c>
      <c r="B237" s="49" t="s">
        <v>14246</v>
      </c>
      <c r="C237" s="53" t="s">
        <v>14247</v>
      </c>
    </row>
    <row r="238" spans="1:3" x14ac:dyDescent="0.35">
      <c r="A238" s="49" t="s">
        <v>14183</v>
      </c>
      <c r="B238" s="49" t="s">
        <v>14248</v>
      </c>
      <c r="C238" s="53" t="s">
        <v>14249</v>
      </c>
    </row>
    <row r="239" spans="1:3" x14ac:dyDescent="0.35">
      <c r="A239" s="49" t="s">
        <v>14183</v>
      </c>
      <c r="B239" s="49" t="s">
        <v>14250</v>
      </c>
      <c r="C239" s="82" t="s">
        <v>14251</v>
      </c>
    </row>
    <row r="240" spans="1:3" x14ac:dyDescent="0.35">
      <c r="A240" s="49" t="s">
        <v>14183</v>
      </c>
      <c r="B240" s="49" t="s">
        <v>14252</v>
      </c>
      <c r="C240" s="53" t="s">
        <v>14253</v>
      </c>
    </row>
    <row r="241" spans="1:3" x14ac:dyDescent="0.35">
      <c r="A241" s="49" t="s">
        <v>14183</v>
      </c>
      <c r="B241" s="49" t="s">
        <v>14254</v>
      </c>
      <c r="C241" s="53" t="s">
        <v>14255</v>
      </c>
    </row>
    <row r="242" spans="1:3" x14ac:dyDescent="0.35">
      <c r="A242" s="49" t="s">
        <v>14183</v>
      </c>
      <c r="B242" s="49" t="s">
        <v>14256</v>
      </c>
      <c r="C242" s="53" t="s">
        <v>14257</v>
      </c>
    </row>
    <row r="243" spans="1:3" x14ac:dyDescent="0.35">
      <c r="A243" s="49" t="s">
        <v>14183</v>
      </c>
      <c r="B243" s="49" t="s">
        <v>14258</v>
      </c>
      <c r="C243" s="53" t="s">
        <v>14259</v>
      </c>
    </row>
    <row r="244" spans="1:3" x14ac:dyDescent="0.35">
      <c r="A244" s="49" t="s">
        <v>14183</v>
      </c>
      <c r="B244" s="49" t="s">
        <v>14260</v>
      </c>
      <c r="C244" s="53" t="s">
        <v>14261</v>
      </c>
    </row>
    <row r="245" spans="1:3" x14ac:dyDescent="0.35">
      <c r="A245" s="49" t="s">
        <v>14183</v>
      </c>
      <c r="B245" s="49" t="s">
        <v>14262</v>
      </c>
      <c r="C245" s="53" t="s">
        <v>14263</v>
      </c>
    </row>
    <row r="246" spans="1:3" x14ac:dyDescent="0.35">
      <c r="A246" s="49" t="s">
        <v>14264</v>
      </c>
      <c r="B246" s="49" t="s">
        <v>14265</v>
      </c>
      <c r="C246" s="236" t="s">
        <v>14266</v>
      </c>
    </row>
    <row r="247" spans="1:3" x14ac:dyDescent="0.35">
      <c r="A247" s="49" t="s">
        <v>14264</v>
      </c>
      <c r="B247" s="49" t="s">
        <v>14267</v>
      </c>
      <c r="C247" s="82" t="s">
        <v>14268</v>
      </c>
    </row>
    <row r="248" spans="1:3" x14ac:dyDescent="0.35">
      <c r="A248" s="49" t="s">
        <v>14264</v>
      </c>
      <c r="B248" s="49" t="s">
        <v>14269</v>
      </c>
      <c r="C248" s="53" t="s">
        <v>14270</v>
      </c>
    </row>
    <row r="249" spans="1:3" x14ac:dyDescent="0.35">
      <c r="A249" s="49" t="s">
        <v>14264</v>
      </c>
      <c r="B249" s="49" t="s">
        <v>14271</v>
      </c>
      <c r="C249" s="53" t="s">
        <v>14272</v>
      </c>
    </row>
    <row r="250" spans="1:3" x14ac:dyDescent="0.35">
      <c r="A250" s="49" t="s">
        <v>14264</v>
      </c>
      <c r="B250" s="49" t="s">
        <v>14273</v>
      </c>
      <c r="C250" s="53" t="s">
        <v>14274</v>
      </c>
    </row>
    <row r="251" spans="1:3" x14ac:dyDescent="0.35">
      <c r="A251" s="49" t="s">
        <v>14264</v>
      </c>
      <c r="B251" s="49" t="s">
        <v>14275</v>
      </c>
      <c r="C251" s="53" t="s">
        <v>14276</v>
      </c>
    </row>
    <row r="252" spans="1:3" x14ac:dyDescent="0.35">
      <c r="A252" s="49" t="s">
        <v>14264</v>
      </c>
      <c r="B252" s="49" t="s">
        <v>14277</v>
      </c>
      <c r="C252" s="53" t="s">
        <v>14278</v>
      </c>
    </row>
    <row r="253" spans="1:3" x14ac:dyDescent="0.35">
      <c r="A253" s="49" t="s">
        <v>14264</v>
      </c>
      <c r="B253" s="49" t="s">
        <v>14279</v>
      </c>
      <c r="C253" s="53" t="s">
        <v>14280</v>
      </c>
    </row>
    <row r="254" spans="1:3" x14ac:dyDescent="0.35">
      <c r="A254" s="49" t="s">
        <v>14264</v>
      </c>
      <c r="B254" s="49" t="s">
        <v>14281</v>
      </c>
      <c r="C254" s="53" t="s">
        <v>14282</v>
      </c>
    </row>
    <row r="255" spans="1:3" x14ac:dyDescent="0.35">
      <c r="A255" s="49" t="s">
        <v>14264</v>
      </c>
      <c r="B255" s="49" t="s">
        <v>14283</v>
      </c>
      <c r="C255" s="53" t="s">
        <v>14284</v>
      </c>
    </row>
    <row r="256" spans="1:3" x14ac:dyDescent="0.35">
      <c r="A256" s="49" t="s">
        <v>14264</v>
      </c>
      <c r="B256" s="49" t="s">
        <v>14285</v>
      </c>
      <c r="C256" s="82" t="s">
        <v>14286</v>
      </c>
    </row>
    <row r="257" spans="1:3" x14ac:dyDescent="0.35">
      <c r="A257" s="49" t="s">
        <v>14264</v>
      </c>
      <c r="B257" s="49" t="s">
        <v>14287</v>
      </c>
      <c r="C257" s="53" t="s">
        <v>4367</v>
      </c>
    </row>
    <row r="258" spans="1:3" x14ac:dyDescent="0.35">
      <c r="A258" s="49" t="s">
        <v>14264</v>
      </c>
      <c r="B258" s="49" t="s">
        <v>14288</v>
      </c>
      <c r="C258" s="53" t="s">
        <v>14289</v>
      </c>
    </row>
    <row r="259" spans="1:3" x14ac:dyDescent="0.35">
      <c r="A259" s="49" t="s">
        <v>14264</v>
      </c>
      <c r="B259" s="49" t="s">
        <v>14290</v>
      </c>
      <c r="C259" s="53" t="s">
        <v>14291</v>
      </c>
    </row>
    <row r="260" spans="1:3" x14ac:dyDescent="0.35">
      <c r="A260" s="49" t="s">
        <v>14264</v>
      </c>
      <c r="B260" s="49" t="s">
        <v>14292</v>
      </c>
      <c r="C260" s="82" t="s">
        <v>14293</v>
      </c>
    </row>
    <row r="261" spans="1:3" x14ac:dyDescent="0.35">
      <c r="A261" s="49" t="s">
        <v>14264</v>
      </c>
      <c r="B261" s="49" t="s">
        <v>14294</v>
      </c>
      <c r="C261" s="53" t="s">
        <v>14295</v>
      </c>
    </row>
    <row r="262" spans="1:3" x14ac:dyDescent="0.35">
      <c r="A262" s="49" t="s">
        <v>14264</v>
      </c>
      <c r="B262" s="49" t="s">
        <v>14296</v>
      </c>
      <c r="C262" s="53" t="s">
        <v>14297</v>
      </c>
    </row>
    <row r="263" spans="1:3" x14ac:dyDescent="0.35">
      <c r="A263" s="49" t="s">
        <v>14264</v>
      </c>
      <c r="B263" s="49" t="s">
        <v>14298</v>
      </c>
      <c r="C263" s="53" t="s">
        <v>14299</v>
      </c>
    </row>
    <row r="264" spans="1:3" x14ac:dyDescent="0.35">
      <c r="A264" s="49" t="s">
        <v>14264</v>
      </c>
      <c r="B264" s="49" t="s">
        <v>14300</v>
      </c>
      <c r="C264" s="53" t="s">
        <v>14301</v>
      </c>
    </row>
    <row r="265" spans="1:3" x14ac:dyDescent="0.35">
      <c r="A265" s="49" t="s">
        <v>14264</v>
      </c>
      <c r="B265" s="49" t="s">
        <v>14302</v>
      </c>
      <c r="C265" s="53" t="s">
        <v>14303</v>
      </c>
    </row>
    <row r="266" spans="1:3" x14ac:dyDescent="0.35">
      <c r="A266" s="49" t="s">
        <v>14264</v>
      </c>
      <c r="B266" s="49" t="s">
        <v>14304</v>
      </c>
      <c r="C266" s="53" t="s">
        <v>14305</v>
      </c>
    </row>
    <row r="267" spans="1:3" x14ac:dyDescent="0.35">
      <c r="A267" s="49" t="s">
        <v>14264</v>
      </c>
      <c r="B267" s="49" t="s">
        <v>14306</v>
      </c>
      <c r="C267" s="53" t="s">
        <v>14307</v>
      </c>
    </row>
    <row r="268" spans="1:3" x14ac:dyDescent="0.35">
      <c r="A268" s="49" t="s">
        <v>14264</v>
      </c>
      <c r="B268" s="49" t="s">
        <v>14308</v>
      </c>
      <c r="C268" s="82" t="s">
        <v>14309</v>
      </c>
    </row>
    <row r="269" spans="1:3" x14ac:dyDescent="0.35">
      <c r="A269" s="49" t="s">
        <v>14264</v>
      </c>
      <c r="B269" s="49" t="s">
        <v>14310</v>
      </c>
      <c r="C269" s="53" t="s">
        <v>14311</v>
      </c>
    </row>
    <row r="270" spans="1:3" x14ac:dyDescent="0.35">
      <c r="A270" s="49" t="s">
        <v>14264</v>
      </c>
      <c r="B270" s="49" t="s">
        <v>14312</v>
      </c>
      <c r="C270" s="53" t="s">
        <v>14313</v>
      </c>
    </row>
    <row r="271" spans="1:3" x14ac:dyDescent="0.35">
      <c r="A271" s="49" t="s">
        <v>14264</v>
      </c>
      <c r="B271" s="49" t="s">
        <v>14314</v>
      </c>
      <c r="C271" s="53" t="s">
        <v>14315</v>
      </c>
    </row>
    <row r="272" spans="1:3" x14ac:dyDescent="0.35">
      <c r="A272" s="49" t="s">
        <v>14264</v>
      </c>
      <c r="B272" s="49" t="s">
        <v>14316</v>
      </c>
      <c r="C272" s="82" t="s">
        <v>14317</v>
      </c>
    </row>
    <row r="273" spans="1:8" x14ac:dyDescent="0.35">
      <c r="A273" s="49" t="s">
        <v>14264</v>
      </c>
      <c r="B273" s="49" t="s">
        <v>14318</v>
      </c>
      <c r="C273" s="53" t="s">
        <v>14319</v>
      </c>
    </row>
    <row r="274" spans="1:8" x14ac:dyDescent="0.35">
      <c r="A274" s="49" t="s">
        <v>14264</v>
      </c>
      <c r="B274" s="49" t="s">
        <v>14320</v>
      </c>
      <c r="C274" s="53" t="s">
        <v>14321</v>
      </c>
    </row>
    <row r="275" spans="1:8" x14ac:dyDescent="0.35">
      <c r="A275" s="49" t="s">
        <v>14264</v>
      </c>
      <c r="B275" s="49" t="s">
        <v>14322</v>
      </c>
      <c r="C275" s="53" t="s">
        <v>14323</v>
      </c>
    </row>
    <row r="276" spans="1:8" x14ac:dyDescent="0.35">
      <c r="A276" s="49" t="s">
        <v>14264</v>
      </c>
      <c r="B276" s="49" t="s">
        <v>14324</v>
      </c>
      <c r="C276" s="53" t="s">
        <v>14325</v>
      </c>
    </row>
    <row r="277" spans="1:8" x14ac:dyDescent="0.35">
      <c r="A277" s="49" t="s">
        <v>14264</v>
      </c>
      <c r="B277" s="49" t="s">
        <v>14326</v>
      </c>
      <c r="C277" s="53" t="s">
        <v>14327</v>
      </c>
    </row>
    <row r="278" spans="1:8" x14ac:dyDescent="0.35">
      <c r="A278" s="49" t="s">
        <v>14264</v>
      </c>
      <c r="B278" s="49" t="s">
        <v>14328</v>
      </c>
      <c r="C278" s="53" t="s">
        <v>14329</v>
      </c>
    </row>
    <row r="279" spans="1:8" x14ac:dyDescent="0.35">
      <c r="A279" s="49" t="s">
        <v>14264</v>
      </c>
      <c r="B279" s="49" t="s">
        <v>14330</v>
      </c>
      <c r="C279" s="82" t="s">
        <v>14331</v>
      </c>
      <c r="H279" s="1" t="s">
        <v>21550</v>
      </c>
    </row>
    <row r="280" spans="1:8" x14ac:dyDescent="0.35">
      <c r="A280" s="49" t="s">
        <v>14264</v>
      </c>
      <c r="B280" s="49" t="s">
        <v>14332</v>
      </c>
      <c r="C280" s="53" t="s">
        <v>14333</v>
      </c>
    </row>
    <row r="281" spans="1:8" x14ac:dyDescent="0.35">
      <c r="A281" s="49" t="s">
        <v>14264</v>
      </c>
      <c r="B281" s="49" t="s">
        <v>14334</v>
      </c>
      <c r="C281" s="53" t="s">
        <v>14335</v>
      </c>
    </row>
    <row r="282" spans="1:8" x14ac:dyDescent="0.35">
      <c r="A282" s="49" t="s">
        <v>14264</v>
      </c>
      <c r="B282" s="49" t="s">
        <v>14336</v>
      </c>
      <c r="C282" s="53" t="s">
        <v>14337</v>
      </c>
    </row>
    <row r="283" spans="1:8" x14ac:dyDescent="0.35">
      <c r="A283" s="49" t="s">
        <v>14264</v>
      </c>
      <c r="B283" s="49" t="s">
        <v>14338</v>
      </c>
      <c r="C283" s="53" t="s">
        <v>14339</v>
      </c>
    </row>
    <row r="284" spans="1:8" x14ac:dyDescent="0.35">
      <c r="A284" s="49" t="s">
        <v>14264</v>
      </c>
      <c r="B284" s="49" t="s">
        <v>14340</v>
      </c>
      <c r="C284" s="82" t="s">
        <v>14341</v>
      </c>
    </row>
    <row r="285" spans="1:8" x14ac:dyDescent="0.35">
      <c r="A285" s="49" t="s">
        <v>14264</v>
      </c>
      <c r="B285" s="49" t="s">
        <v>14342</v>
      </c>
      <c r="C285" s="53" t="s">
        <v>14343</v>
      </c>
    </row>
    <row r="286" spans="1:8" x14ac:dyDescent="0.35">
      <c r="A286" s="49" t="s">
        <v>14264</v>
      </c>
      <c r="B286" s="49" t="s">
        <v>14344</v>
      </c>
      <c r="C286" s="53" t="s">
        <v>14345</v>
      </c>
    </row>
    <row r="287" spans="1:8" x14ac:dyDescent="0.35">
      <c r="A287" s="49" t="s">
        <v>14264</v>
      </c>
      <c r="B287" s="49" t="s">
        <v>14346</v>
      </c>
      <c r="C287" s="53" t="s">
        <v>14347</v>
      </c>
    </row>
    <row r="288" spans="1:8" x14ac:dyDescent="0.35">
      <c r="A288" s="49" t="s">
        <v>14348</v>
      </c>
      <c r="B288" s="49" t="s">
        <v>14349</v>
      </c>
      <c r="C288" s="236" t="s">
        <v>14350</v>
      </c>
    </row>
    <row r="289" spans="1:3" x14ac:dyDescent="0.35">
      <c r="A289" s="49" t="s">
        <v>14348</v>
      </c>
      <c r="B289" s="49" t="s">
        <v>14351</v>
      </c>
      <c r="C289" s="82" t="s">
        <v>14352</v>
      </c>
    </row>
    <row r="290" spans="1:3" x14ac:dyDescent="0.35">
      <c r="A290" s="49" t="s">
        <v>14348</v>
      </c>
      <c r="B290" s="49" t="s">
        <v>14353</v>
      </c>
      <c r="C290" s="53" t="s">
        <v>2752</v>
      </c>
    </row>
    <row r="291" spans="1:3" x14ac:dyDescent="0.35">
      <c r="A291" s="49" t="s">
        <v>14348</v>
      </c>
      <c r="B291" s="49" t="s">
        <v>14354</v>
      </c>
      <c r="C291" s="53" t="s">
        <v>14355</v>
      </c>
    </row>
    <row r="292" spans="1:3" x14ac:dyDescent="0.35">
      <c r="A292" s="49" t="s">
        <v>14348</v>
      </c>
      <c r="B292" s="49" t="s">
        <v>14356</v>
      </c>
      <c r="C292" s="53" t="s">
        <v>14357</v>
      </c>
    </row>
    <row r="293" spans="1:3" x14ac:dyDescent="0.35">
      <c r="A293" s="49" t="s">
        <v>14348</v>
      </c>
      <c r="B293" s="49" t="s">
        <v>14358</v>
      </c>
      <c r="C293" s="53" t="s">
        <v>14359</v>
      </c>
    </row>
    <row r="294" spans="1:3" x14ac:dyDescent="0.35">
      <c r="A294" s="49" t="s">
        <v>14348</v>
      </c>
      <c r="B294" s="49" t="s">
        <v>14360</v>
      </c>
      <c r="C294" s="53" t="s">
        <v>14361</v>
      </c>
    </row>
    <row r="295" spans="1:3" x14ac:dyDescent="0.35">
      <c r="A295" s="49" t="s">
        <v>14348</v>
      </c>
      <c r="B295" s="49" t="s">
        <v>14362</v>
      </c>
      <c r="C295" s="53" t="s">
        <v>14363</v>
      </c>
    </row>
    <row r="296" spans="1:3" x14ac:dyDescent="0.35">
      <c r="A296" s="49" t="s">
        <v>14348</v>
      </c>
      <c r="B296" s="49" t="s">
        <v>14364</v>
      </c>
      <c r="C296" s="53" t="s">
        <v>14365</v>
      </c>
    </row>
    <row r="297" spans="1:3" x14ac:dyDescent="0.35">
      <c r="A297" s="49" t="s">
        <v>14348</v>
      </c>
      <c r="B297" s="49" t="s">
        <v>14366</v>
      </c>
      <c r="C297" s="53" t="s">
        <v>14367</v>
      </c>
    </row>
    <row r="298" spans="1:3" x14ac:dyDescent="0.35">
      <c r="A298" s="49" t="s">
        <v>14348</v>
      </c>
      <c r="B298" s="49" t="s">
        <v>14368</v>
      </c>
      <c r="C298" s="53" t="s">
        <v>14369</v>
      </c>
    </row>
    <row r="299" spans="1:3" x14ac:dyDescent="0.35">
      <c r="A299" s="49" t="s">
        <v>14348</v>
      </c>
      <c r="B299" s="49" t="s">
        <v>14370</v>
      </c>
      <c r="C299" s="82" t="s">
        <v>14371</v>
      </c>
    </row>
    <row r="300" spans="1:3" x14ac:dyDescent="0.35">
      <c r="A300" s="49" t="s">
        <v>14348</v>
      </c>
      <c r="B300" s="49" t="s">
        <v>14372</v>
      </c>
      <c r="C300" s="53" t="s">
        <v>14373</v>
      </c>
    </row>
    <row r="301" spans="1:3" x14ac:dyDescent="0.35">
      <c r="A301" s="49" t="s">
        <v>14348</v>
      </c>
      <c r="B301" s="49" t="s">
        <v>14374</v>
      </c>
      <c r="C301" s="53" t="s">
        <v>14375</v>
      </c>
    </row>
    <row r="302" spans="1:3" x14ac:dyDescent="0.35">
      <c r="A302" s="49" t="s">
        <v>14348</v>
      </c>
      <c r="B302" s="49" t="s">
        <v>14376</v>
      </c>
      <c r="C302" s="53" t="s">
        <v>14377</v>
      </c>
    </row>
    <row r="303" spans="1:3" x14ac:dyDescent="0.35">
      <c r="A303" s="49" t="s">
        <v>14348</v>
      </c>
      <c r="B303" s="49" t="s">
        <v>14378</v>
      </c>
      <c r="C303" s="53" t="s">
        <v>14379</v>
      </c>
    </row>
    <row r="304" spans="1:3" x14ac:dyDescent="0.35">
      <c r="A304" s="49" t="s">
        <v>14348</v>
      </c>
      <c r="B304" s="49" t="s">
        <v>14380</v>
      </c>
      <c r="C304" s="53" t="s">
        <v>14381</v>
      </c>
    </row>
    <row r="305" spans="1:3" x14ac:dyDescent="0.35">
      <c r="A305" s="49" t="s">
        <v>14348</v>
      </c>
      <c r="B305" s="49" t="s">
        <v>14382</v>
      </c>
      <c r="C305" s="53" t="s">
        <v>14383</v>
      </c>
    </row>
    <row r="306" spans="1:3" x14ac:dyDescent="0.35">
      <c r="A306" s="49" t="s">
        <v>14348</v>
      </c>
      <c r="B306" s="49" t="s">
        <v>14384</v>
      </c>
      <c r="C306" s="82" t="s">
        <v>14385</v>
      </c>
    </row>
    <row r="307" spans="1:3" x14ac:dyDescent="0.35">
      <c r="A307" s="49" t="s">
        <v>14348</v>
      </c>
      <c r="B307" s="49" t="s">
        <v>14386</v>
      </c>
      <c r="C307" s="53" t="s">
        <v>14387</v>
      </c>
    </row>
    <row r="308" spans="1:3" x14ac:dyDescent="0.35">
      <c r="A308" s="49" t="s">
        <v>14348</v>
      </c>
      <c r="B308" s="49" t="s">
        <v>14388</v>
      </c>
      <c r="C308" s="53" t="s">
        <v>14389</v>
      </c>
    </row>
    <row r="309" spans="1:3" x14ac:dyDescent="0.35">
      <c r="A309" s="49" t="s">
        <v>14348</v>
      </c>
      <c r="B309" s="49" t="s">
        <v>14390</v>
      </c>
      <c r="C309" s="53" t="s">
        <v>14391</v>
      </c>
    </row>
    <row r="310" spans="1:3" x14ac:dyDescent="0.35">
      <c r="A310" s="49" t="s">
        <v>14348</v>
      </c>
      <c r="B310" s="49" t="s">
        <v>14392</v>
      </c>
      <c r="C310" s="82" t="s">
        <v>14393</v>
      </c>
    </row>
    <row r="311" spans="1:3" x14ac:dyDescent="0.35">
      <c r="A311" s="49" t="s">
        <v>14348</v>
      </c>
      <c r="B311" s="49" t="s">
        <v>14394</v>
      </c>
      <c r="C311" s="53" t="s">
        <v>14395</v>
      </c>
    </row>
    <row r="312" spans="1:3" x14ac:dyDescent="0.35">
      <c r="A312" s="49" t="s">
        <v>14348</v>
      </c>
      <c r="B312" s="49" t="s">
        <v>14396</v>
      </c>
      <c r="C312" s="53" t="s">
        <v>14397</v>
      </c>
    </row>
    <row r="313" spans="1:3" x14ac:dyDescent="0.35">
      <c r="A313" s="49" t="s">
        <v>14348</v>
      </c>
      <c r="B313" s="49" t="s">
        <v>14398</v>
      </c>
      <c r="C313" s="53" t="s">
        <v>14399</v>
      </c>
    </row>
    <row r="314" spans="1:3" x14ac:dyDescent="0.35">
      <c r="A314" s="49" t="s">
        <v>14348</v>
      </c>
      <c r="B314" s="49" t="s">
        <v>14400</v>
      </c>
      <c r="C314" s="53" t="s">
        <v>14401</v>
      </c>
    </row>
    <row r="315" spans="1:3" x14ac:dyDescent="0.35">
      <c r="A315" s="49" t="s">
        <v>14348</v>
      </c>
      <c r="B315" s="49" t="s">
        <v>14402</v>
      </c>
      <c r="C315" s="82" t="s">
        <v>14403</v>
      </c>
    </row>
    <row r="316" spans="1:3" x14ac:dyDescent="0.35">
      <c r="A316" s="49" t="s">
        <v>14348</v>
      </c>
      <c r="B316" s="49" t="s">
        <v>14404</v>
      </c>
      <c r="C316" s="53" t="s">
        <v>14405</v>
      </c>
    </row>
    <row r="317" spans="1:3" x14ac:dyDescent="0.35">
      <c r="A317" s="49" t="s">
        <v>14348</v>
      </c>
      <c r="B317" s="49" t="s">
        <v>14406</v>
      </c>
      <c r="C317" s="53" t="s">
        <v>14407</v>
      </c>
    </row>
    <row r="318" spans="1:3" x14ac:dyDescent="0.35">
      <c r="A318" s="49" t="s">
        <v>14348</v>
      </c>
      <c r="B318" s="49" t="s">
        <v>14408</v>
      </c>
      <c r="C318" s="53" t="s">
        <v>14409</v>
      </c>
    </row>
    <row r="319" spans="1:3" x14ac:dyDescent="0.35">
      <c r="A319" s="49" t="s">
        <v>14348</v>
      </c>
      <c r="B319" s="49" t="s">
        <v>14410</v>
      </c>
      <c r="C319" s="53" t="s">
        <v>14411</v>
      </c>
    </row>
    <row r="320" spans="1:3" x14ac:dyDescent="0.35">
      <c r="A320" s="49" t="s">
        <v>14348</v>
      </c>
      <c r="B320" s="49" t="s">
        <v>14412</v>
      </c>
      <c r="C320" s="53" t="s">
        <v>14413</v>
      </c>
    </row>
    <row r="321" spans="1:3" x14ac:dyDescent="0.35">
      <c r="A321" s="49" t="s">
        <v>14348</v>
      </c>
      <c r="B321" s="49" t="s">
        <v>14414</v>
      </c>
      <c r="C321" s="53" t="s">
        <v>14415</v>
      </c>
    </row>
    <row r="322" spans="1:3" x14ac:dyDescent="0.35">
      <c r="A322" s="49" t="s">
        <v>14348</v>
      </c>
      <c r="B322" s="49" t="s">
        <v>14416</v>
      </c>
      <c r="C322" s="53" t="s">
        <v>14417</v>
      </c>
    </row>
    <row r="323" spans="1:3" x14ac:dyDescent="0.35">
      <c r="A323" s="49" t="s">
        <v>14348</v>
      </c>
      <c r="B323" s="49" t="s">
        <v>14418</v>
      </c>
      <c r="C323" s="53" t="s">
        <v>14419</v>
      </c>
    </row>
    <row r="324" spans="1:3" x14ac:dyDescent="0.35">
      <c r="A324" s="49" t="s">
        <v>14348</v>
      </c>
      <c r="B324" s="49" t="s">
        <v>14420</v>
      </c>
      <c r="C324" s="82" t="s">
        <v>14421</v>
      </c>
    </row>
    <row r="325" spans="1:3" x14ac:dyDescent="0.35">
      <c r="A325" s="49" t="s">
        <v>14348</v>
      </c>
      <c r="B325" s="49" t="s">
        <v>14422</v>
      </c>
      <c r="C325" s="53" t="s">
        <v>14423</v>
      </c>
    </row>
    <row r="326" spans="1:3" x14ac:dyDescent="0.35">
      <c r="A326" s="49" t="s">
        <v>14348</v>
      </c>
      <c r="B326" s="49" t="s">
        <v>14424</v>
      </c>
      <c r="C326" s="53" t="s">
        <v>14425</v>
      </c>
    </row>
    <row r="327" spans="1:3" x14ac:dyDescent="0.35">
      <c r="A327" s="49" t="s">
        <v>14348</v>
      </c>
      <c r="B327" s="49" t="s">
        <v>14426</v>
      </c>
      <c r="C327" s="53" t="s">
        <v>14427</v>
      </c>
    </row>
    <row r="328" spans="1:3" x14ac:dyDescent="0.35">
      <c r="A328" s="49" t="s">
        <v>14348</v>
      </c>
      <c r="B328" s="49" t="s">
        <v>14428</v>
      </c>
      <c r="C328" s="53" t="s">
        <v>14429</v>
      </c>
    </row>
    <row r="329" spans="1:3" x14ac:dyDescent="0.35">
      <c r="A329" s="49" t="s">
        <v>14348</v>
      </c>
      <c r="B329" s="49" t="s">
        <v>14430</v>
      </c>
      <c r="C329" s="53" t="s">
        <v>14431</v>
      </c>
    </row>
    <row r="330" spans="1:3" x14ac:dyDescent="0.35">
      <c r="A330" s="49" t="s">
        <v>14348</v>
      </c>
      <c r="B330" s="49" t="s">
        <v>14432</v>
      </c>
      <c r="C330" s="82" t="s">
        <v>14433</v>
      </c>
    </row>
    <row r="331" spans="1:3" x14ac:dyDescent="0.35">
      <c r="A331" s="49" t="s">
        <v>14348</v>
      </c>
      <c r="B331" s="49" t="s">
        <v>14434</v>
      </c>
      <c r="C331" s="53" t="s">
        <v>14435</v>
      </c>
    </row>
    <row r="332" spans="1:3" x14ac:dyDescent="0.35">
      <c r="A332" s="49" t="s">
        <v>14348</v>
      </c>
      <c r="B332" s="49" t="s">
        <v>14436</v>
      </c>
      <c r="C332" s="53" t="s">
        <v>14437</v>
      </c>
    </row>
    <row r="333" spans="1:3" x14ac:dyDescent="0.35">
      <c r="A333" s="49" t="s">
        <v>14348</v>
      </c>
      <c r="B333" s="49" t="s">
        <v>14438</v>
      </c>
      <c r="C333" s="53" t="s">
        <v>14439</v>
      </c>
    </row>
    <row r="334" spans="1:3" x14ac:dyDescent="0.35">
      <c r="A334" s="49" t="s">
        <v>14348</v>
      </c>
      <c r="B334" s="49" t="s">
        <v>14440</v>
      </c>
      <c r="C334" s="53" t="s">
        <v>14441</v>
      </c>
    </row>
    <row r="335" spans="1:3" x14ac:dyDescent="0.35">
      <c r="A335" s="49" t="s">
        <v>14348</v>
      </c>
      <c r="B335" s="49" t="s">
        <v>14442</v>
      </c>
      <c r="C335" s="82" t="s">
        <v>14443</v>
      </c>
    </row>
    <row r="336" spans="1:3" x14ac:dyDescent="0.35">
      <c r="A336" s="49" t="s">
        <v>14348</v>
      </c>
      <c r="B336" s="49" t="s">
        <v>14444</v>
      </c>
      <c r="C336" s="53" t="s">
        <v>14445</v>
      </c>
    </row>
    <row r="337" spans="1:3" x14ac:dyDescent="0.35">
      <c r="A337" s="49" t="s">
        <v>14348</v>
      </c>
      <c r="B337" s="49" t="s">
        <v>14446</v>
      </c>
      <c r="C337" s="53" t="s">
        <v>14447</v>
      </c>
    </row>
    <row r="338" spans="1:3" x14ac:dyDescent="0.35">
      <c r="A338" s="49" t="s">
        <v>14348</v>
      </c>
      <c r="B338" s="49" t="s">
        <v>14448</v>
      </c>
      <c r="C338" s="53" t="s">
        <v>14449</v>
      </c>
    </row>
    <row r="339" spans="1:3" x14ac:dyDescent="0.35">
      <c r="A339" s="49" t="s">
        <v>14348</v>
      </c>
      <c r="B339" s="49" t="s">
        <v>14450</v>
      </c>
      <c r="C339" s="53" t="s">
        <v>14451</v>
      </c>
    </row>
    <row r="340" spans="1:3" x14ac:dyDescent="0.35">
      <c r="A340" s="49" t="s">
        <v>14348</v>
      </c>
      <c r="B340" s="49" t="s">
        <v>14452</v>
      </c>
      <c r="C340" s="53" t="s">
        <v>14453</v>
      </c>
    </row>
    <row r="341" spans="1:3" x14ac:dyDescent="0.35">
      <c r="A341" s="49" t="s">
        <v>14348</v>
      </c>
      <c r="B341" s="49" t="s">
        <v>14454</v>
      </c>
      <c r="C341" s="82" t="s">
        <v>14455</v>
      </c>
    </row>
    <row r="342" spans="1:3" x14ac:dyDescent="0.35">
      <c r="A342" s="49" t="s">
        <v>14348</v>
      </c>
      <c r="B342" s="49" t="s">
        <v>14456</v>
      </c>
      <c r="C342" s="53" t="s">
        <v>14457</v>
      </c>
    </row>
    <row r="343" spans="1:3" x14ac:dyDescent="0.35">
      <c r="A343" s="49" t="s">
        <v>14348</v>
      </c>
      <c r="B343" s="49" t="s">
        <v>14458</v>
      </c>
      <c r="C343" s="53" t="s">
        <v>14459</v>
      </c>
    </row>
    <row r="344" spans="1:3" x14ac:dyDescent="0.35">
      <c r="A344" s="49" t="s">
        <v>14348</v>
      </c>
      <c r="B344" s="49" t="s">
        <v>14460</v>
      </c>
      <c r="C344" s="53" t="s">
        <v>14461</v>
      </c>
    </row>
    <row r="345" spans="1:3" x14ac:dyDescent="0.35">
      <c r="A345" s="49" t="s">
        <v>14462</v>
      </c>
      <c r="B345" s="49" t="s">
        <v>14463</v>
      </c>
      <c r="C345" s="236" t="s">
        <v>14464</v>
      </c>
    </row>
    <row r="346" spans="1:3" x14ac:dyDescent="0.35">
      <c r="A346" s="49" t="s">
        <v>14462</v>
      </c>
      <c r="B346" s="49" t="s">
        <v>14465</v>
      </c>
      <c r="C346" s="82" t="s">
        <v>14466</v>
      </c>
    </row>
    <row r="347" spans="1:3" x14ac:dyDescent="0.35">
      <c r="A347" s="49" t="s">
        <v>14462</v>
      </c>
      <c r="B347" s="49" t="s">
        <v>14467</v>
      </c>
      <c r="C347" s="53" t="s">
        <v>14468</v>
      </c>
    </row>
    <row r="348" spans="1:3" x14ac:dyDescent="0.35">
      <c r="A348" s="49" t="s">
        <v>14462</v>
      </c>
      <c r="B348" s="49" t="s">
        <v>14469</v>
      </c>
      <c r="C348" s="53" t="s">
        <v>14470</v>
      </c>
    </row>
    <row r="349" spans="1:3" x14ac:dyDescent="0.35">
      <c r="A349" s="49" t="s">
        <v>14462</v>
      </c>
      <c r="B349" s="49" t="s">
        <v>14471</v>
      </c>
      <c r="C349" s="53" t="s">
        <v>14472</v>
      </c>
    </row>
    <row r="350" spans="1:3" x14ac:dyDescent="0.35">
      <c r="A350" s="49" t="s">
        <v>14462</v>
      </c>
      <c r="B350" s="49" t="s">
        <v>14473</v>
      </c>
      <c r="C350" s="53" t="s">
        <v>14474</v>
      </c>
    </row>
    <row r="351" spans="1:3" x14ac:dyDescent="0.35">
      <c r="A351" s="49" t="s">
        <v>14462</v>
      </c>
      <c r="B351" s="49" t="s">
        <v>14475</v>
      </c>
      <c r="C351" s="53" t="s">
        <v>14476</v>
      </c>
    </row>
    <row r="352" spans="1:3" x14ac:dyDescent="0.35">
      <c r="A352" s="49" t="s">
        <v>14462</v>
      </c>
      <c r="B352" s="49" t="s">
        <v>14477</v>
      </c>
      <c r="C352" s="53" t="s">
        <v>14478</v>
      </c>
    </row>
    <row r="353" spans="1:3" x14ac:dyDescent="0.35">
      <c r="A353" s="49" t="s">
        <v>14462</v>
      </c>
      <c r="B353" s="49" t="s">
        <v>14479</v>
      </c>
      <c r="C353" s="53" t="s">
        <v>14480</v>
      </c>
    </row>
    <row r="354" spans="1:3" x14ac:dyDescent="0.35">
      <c r="A354" s="49" t="s">
        <v>14462</v>
      </c>
      <c r="B354" s="49" t="s">
        <v>14481</v>
      </c>
      <c r="C354" s="82" t="s">
        <v>14482</v>
      </c>
    </row>
    <row r="355" spans="1:3" x14ac:dyDescent="0.35">
      <c r="A355" s="49" t="s">
        <v>14462</v>
      </c>
      <c r="B355" s="49" t="s">
        <v>14483</v>
      </c>
      <c r="C355" s="53" t="s">
        <v>14484</v>
      </c>
    </row>
    <row r="356" spans="1:3" x14ac:dyDescent="0.35">
      <c r="A356" s="49" t="s">
        <v>14462</v>
      </c>
      <c r="B356" s="49" t="s">
        <v>14485</v>
      </c>
      <c r="C356" s="53" t="s">
        <v>14486</v>
      </c>
    </row>
    <row r="357" spans="1:3" x14ac:dyDescent="0.35">
      <c r="A357" s="49" t="s">
        <v>14462</v>
      </c>
      <c r="B357" s="49" t="s">
        <v>14487</v>
      </c>
      <c r="C357" s="53" t="s">
        <v>14488</v>
      </c>
    </row>
    <row r="358" spans="1:3" x14ac:dyDescent="0.35">
      <c r="A358" s="49" t="s">
        <v>14462</v>
      </c>
      <c r="B358" s="49" t="s">
        <v>14489</v>
      </c>
      <c r="C358" s="53" t="s">
        <v>14490</v>
      </c>
    </row>
    <row r="359" spans="1:3" x14ac:dyDescent="0.35">
      <c r="A359" s="49" t="s">
        <v>14462</v>
      </c>
      <c r="B359" s="49" t="s">
        <v>14491</v>
      </c>
      <c r="C359" s="53" t="s">
        <v>14492</v>
      </c>
    </row>
    <row r="360" spans="1:3" x14ac:dyDescent="0.35">
      <c r="A360" s="49" t="s">
        <v>14462</v>
      </c>
      <c r="B360" s="49" t="s">
        <v>14493</v>
      </c>
      <c r="C360" s="53" t="s">
        <v>14494</v>
      </c>
    </row>
    <row r="361" spans="1:3" x14ac:dyDescent="0.35">
      <c r="A361" s="49" t="s">
        <v>14462</v>
      </c>
      <c r="B361" s="49" t="s">
        <v>14495</v>
      </c>
      <c r="C361" s="53" t="s">
        <v>14496</v>
      </c>
    </row>
    <row r="362" spans="1:3" x14ac:dyDescent="0.35">
      <c r="A362" s="49" t="s">
        <v>14462</v>
      </c>
      <c r="B362" s="49" t="s">
        <v>14497</v>
      </c>
      <c r="C362" s="53" t="s">
        <v>14498</v>
      </c>
    </row>
    <row r="363" spans="1:3" x14ac:dyDescent="0.35">
      <c r="A363" s="49" t="s">
        <v>14462</v>
      </c>
      <c r="B363" s="49" t="s">
        <v>14499</v>
      </c>
      <c r="C363" s="82" t="s">
        <v>14500</v>
      </c>
    </row>
    <row r="364" spans="1:3" x14ac:dyDescent="0.35">
      <c r="A364" s="49" t="s">
        <v>14462</v>
      </c>
      <c r="B364" s="49" t="s">
        <v>14501</v>
      </c>
      <c r="C364" s="53" t="s">
        <v>14502</v>
      </c>
    </row>
    <row r="365" spans="1:3" x14ac:dyDescent="0.35">
      <c r="A365" s="49" t="s">
        <v>14462</v>
      </c>
      <c r="B365" s="49" t="s">
        <v>14503</v>
      </c>
      <c r="C365" s="53" t="s">
        <v>46</v>
      </c>
    </row>
    <row r="366" spans="1:3" x14ac:dyDescent="0.35">
      <c r="A366" s="49" t="s">
        <v>14462</v>
      </c>
      <c r="B366" s="49" t="s">
        <v>14504</v>
      </c>
      <c r="C366" s="53" t="s">
        <v>14505</v>
      </c>
    </row>
    <row r="367" spans="1:3" x14ac:dyDescent="0.35">
      <c r="A367" s="49" t="s">
        <v>14462</v>
      </c>
      <c r="B367" s="49" t="s">
        <v>14506</v>
      </c>
      <c r="C367" s="53" t="s">
        <v>14507</v>
      </c>
    </row>
    <row r="368" spans="1:3" x14ac:dyDescent="0.35">
      <c r="A368" s="49" t="s">
        <v>14462</v>
      </c>
      <c r="B368" s="49" t="s">
        <v>14508</v>
      </c>
      <c r="C368" s="53" t="s">
        <v>14509</v>
      </c>
    </row>
    <row r="369" spans="1:3" x14ac:dyDescent="0.35">
      <c r="A369" s="49" t="s">
        <v>14462</v>
      </c>
      <c r="B369" s="49" t="s">
        <v>14510</v>
      </c>
      <c r="C369" s="53" t="s">
        <v>14511</v>
      </c>
    </row>
    <row r="370" spans="1:3" x14ac:dyDescent="0.35">
      <c r="A370" s="49" t="s">
        <v>14462</v>
      </c>
      <c r="B370" s="49" t="s">
        <v>14512</v>
      </c>
      <c r="C370" s="82" t="s">
        <v>14513</v>
      </c>
    </row>
    <row r="371" spans="1:3" x14ac:dyDescent="0.35">
      <c r="A371" s="49" t="s">
        <v>14462</v>
      </c>
      <c r="B371" s="49" t="s">
        <v>14514</v>
      </c>
      <c r="C371" s="53" t="s">
        <v>14515</v>
      </c>
    </row>
    <row r="372" spans="1:3" x14ac:dyDescent="0.35">
      <c r="A372" s="49" t="s">
        <v>14462</v>
      </c>
      <c r="B372" s="49" t="s">
        <v>14516</v>
      </c>
      <c r="C372" s="53" t="s">
        <v>14517</v>
      </c>
    </row>
    <row r="373" spans="1:3" x14ac:dyDescent="0.35">
      <c r="A373" s="49" t="s">
        <v>14462</v>
      </c>
      <c r="B373" s="49" t="s">
        <v>14518</v>
      </c>
      <c r="C373" s="53" t="s">
        <v>14519</v>
      </c>
    </row>
    <row r="374" spans="1:3" x14ac:dyDescent="0.35">
      <c r="A374" s="49" t="s">
        <v>14462</v>
      </c>
      <c r="B374" s="49" t="s">
        <v>14520</v>
      </c>
      <c r="C374" s="53" t="s">
        <v>14521</v>
      </c>
    </row>
    <row r="375" spans="1:3" x14ac:dyDescent="0.35">
      <c r="A375" s="49" t="s">
        <v>14462</v>
      </c>
      <c r="B375" s="49" t="s">
        <v>14522</v>
      </c>
      <c r="C375" s="53" t="s">
        <v>14523</v>
      </c>
    </row>
    <row r="376" spans="1:3" x14ac:dyDescent="0.35">
      <c r="A376" s="49" t="s">
        <v>14462</v>
      </c>
      <c r="B376" s="49" t="s">
        <v>14524</v>
      </c>
      <c r="C376" s="53" t="s">
        <v>14525</v>
      </c>
    </row>
    <row r="377" spans="1:3" x14ac:dyDescent="0.35">
      <c r="A377" s="49" t="s">
        <v>14462</v>
      </c>
      <c r="B377" s="49" t="s">
        <v>14526</v>
      </c>
      <c r="C377" s="82" t="s">
        <v>14527</v>
      </c>
    </row>
    <row r="378" spans="1:3" x14ac:dyDescent="0.35">
      <c r="A378" s="49" t="s">
        <v>14462</v>
      </c>
      <c r="B378" s="49" t="s">
        <v>14528</v>
      </c>
      <c r="C378" s="53" t="s">
        <v>14529</v>
      </c>
    </row>
    <row r="379" spans="1:3" x14ac:dyDescent="0.35">
      <c r="A379" s="49" t="s">
        <v>14462</v>
      </c>
      <c r="B379" s="49" t="s">
        <v>14530</v>
      </c>
      <c r="C379" s="53" t="s">
        <v>14531</v>
      </c>
    </row>
    <row r="380" spans="1:3" x14ac:dyDescent="0.35">
      <c r="A380" s="49" t="s">
        <v>14462</v>
      </c>
      <c r="B380" s="49" t="s">
        <v>14532</v>
      </c>
      <c r="C380" s="53" t="s">
        <v>14533</v>
      </c>
    </row>
    <row r="381" spans="1:3" x14ac:dyDescent="0.35">
      <c r="A381" s="49" t="s">
        <v>14462</v>
      </c>
      <c r="B381" s="49" t="s">
        <v>14534</v>
      </c>
      <c r="C381" s="53" t="s">
        <v>14535</v>
      </c>
    </row>
    <row r="382" spans="1:3" x14ac:dyDescent="0.35">
      <c r="A382" s="49" t="s">
        <v>14462</v>
      </c>
      <c r="B382" s="49" t="s">
        <v>14536</v>
      </c>
      <c r="C382" s="53" t="s">
        <v>14537</v>
      </c>
    </row>
    <row r="383" spans="1:3" x14ac:dyDescent="0.35">
      <c r="A383" s="49" t="s">
        <v>14462</v>
      </c>
      <c r="B383" s="49" t="s">
        <v>14538</v>
      </c>
      <c r="C383" s="53" t="s">
        <v>14539</v>
      </c>
    </row>
    <row r="384" spans="1:3" x14ac:dyDescent="0.35">
      <c r="A384" s="49" t="s">
        <v>14462</v>
      </c>
      <c r="B384" s="49" t="s">
        <v>14540</v>
      </c>
      <c r="C384" s="273" t="s">
        <v>14541</v>
      </c>
    </row>
    <row r="385" spans="1:3" x14ac:dyDescent="0.35">
      <c r="A385" s="49" t="s">
        <v>14462</v>
      </c>
      <c r="B385" s="49" t="s">
        <v>14542</v>
      </c>
      <c r="C385" s="53" t="s">
        <v>14543</v>
      </c>
    </row>
    <row r="386" spans="1:3" x14ac:dyDescent="0.35">
      <c r="A386" s="49" t="s">
        <v>14462</v>
      </c>
      <c r="B386" s="49" t="s">
        <v>14544</v>
      </c>
      <c r="C386" s="53" t="s">
        <v>14545</v>
      </c>
    </row>
    <row r="387" spans="1:3" x14ac:dyDescent="0.35">
      <c r="A387" s="49" t="s">
        <v>14462</v>
      </c>
      <c r="B387" s="49" t="s">
        <v>14546</v>
      </c>
      <c r="C387" s="53" t="s">
        <v>14547</v>
      </c>
    </row>
    <row r="388" spans="1:3" x14ac:dyDescent="0.35">
      <c r="A388" s="49" t="s">
        <v>14462</v>
      </c>
      <c r="B388" s="49" t="s">
        <v>14548</v>
      </c>
      <c r="C388" s="53" t="s">
        <v>14549</v>
      </c>
    </row>
    <row r="389" spans="1:3" x14ac:dyDescent="0.35">
      <c r="A389" s="49" t="s">
        <v>14462</v>
      </c>
      <c r="B389" s="49" t="s">
        <v>14550</v>
      </c>
      <c r="C389" s="53" t="s">
        <v>14551</v>
      </c>
    </row>
    <row r="390" spans="1:3" x14ac:dyDescent="0.35">
      <c r="A390" s="49" t="s">
        <v>14462</v>
      </c>
      <c r="B390" s="49" t="s">
        <v>14552</v>
      </c>
      <c r="C390" s="82" t="s">
        <v>14553</v>
      </c>
    </row>
    <row r="391" spans="1:3" x14ac:dyDescent="0.35">
      <c r="A391" s="49" t="s">
        <v>14462</v>
      </c>
      <c r="B391" s="49" t="s">
        <v>14554</v>
      </c>
      <c r="C391" s="53" t="s">
        <v>14555</v>
      </c>
    </row>
    <row r="392" spans="1:3" x14ac:dyDescent="0.35">
      <c r="A392" s="49" t="s">
        <v>14462</v>
      </c>
      <c r="B392" s="49" t="s">
        <v>14556</v>
      </c>
      <c r="C392" s="53" t="s">
        <v>14557</v>
      </c>
    </row>
    <row r="393" spans="1:3" x14ac:dyDescent="0.35">
      <c r="A393" s="49" t="s">
        <v>14462</v>
      </c>
      <c r="B393" s="49" t="s">
        <v>14558</v>
      </c>
      <c r="C393" s="53" t="s">
        <v>14559</v>
      </c>
    </row>
    <row r="394" spans="1:3" x14ac:dyDescent="0.35">
      <c r="A394" s="49" t="s">
        <v>14462</v>
      </c>
      <c r="B394" s="49" t="s">
        <v>14560</v>
      </c>
      <c r="C394" s="53" t="s">
        <v>14561</v>
      </c>
    </row>
    <row r="395" spans="1:3" x14ac:dyDescent="0.35">
      <c r="A395" s="49" t="s">
        <v>14462</v>
      </c>
      <c r="B395" s="49" t="s">
        <v>14562</v>
      </c>
      <c r="C395" s="53" t="s">
        <v>14563</v>
      </c>
    </row>
    <row r="396" spans="1:3" x14ac:dyDescent="0.35">
      <c r="A396" s="49" t="s">
        <v>14462</v>
      </c>
      <c r="B396" s="49" t="s">
        <v>14564</v>
      </c>
      <c r="C396" s="53" t="s">
        <v>14565</v>
      </c>
    </row>
    <row r="397" spans="1:3" x14ac:dyDescent="0.35">
      <c r="A397" s="49" t="s">
        <v>14462</v>
      </c>
      <c r="B397" s="49" t="s">
        <v>14566</v>
      </c>
      <c r="C397" s="82" t="s">
        <v>14567</v>
      </c>
    </row>
    <row r="398" spans="1:3" x14ac:dyDescent="0.35">
      <c r="A398" s="49" t="s">
        <v>14462</v>
      </c>
      <c r="B398" s="49" t="s">
        <v>14568</v>
      </c>
      <c r="C398" s="53" t="s">
        <v>1670</v>
      </c>
    </row>
    <row r="399" spans="1:3" x14ac:dyDescent="0.35">
      <c r="A399" s="49" t="s">
        <v>14462</v>
      </c>
      <c r="B399" s="49" t="s">
        <v>14569</v>
      </c>
      <c r="C399" s="53" t="s">
        <v>14570</v>
      </c>
    </row>
    <row r="400" spans="1:3" x14ac:dyDescent="0.35">
      <c r="A400" s="49" t="s">
        <v>14462</v>
      </c>
      <c r="B400" s="49" t="s">
        <v>14571</v>
      </c>
      <c r="C400" s="53" t="s">
        <v>14572</v>
      </c>
    </row>
    <row r="401" spans="1:3" x14ac:dyDescent="0.35">
      <c r="A401" s="49" t="s">
        <v>14573</v>
      </c>
      <c r="B401" s="49" t="s">
        <v>14574</v>
      </c>
      <c r="C401" s="236" t="s">
        <v>14575</v>
      </c>
    </row>
    <row r="402" spans="1:3" x14ac:dyDescent="0.35">
      <c r="A402" s="49" t="s">
        <v>14573</v>
      </c>
      <c r="B402" s="49" t="s">
        <v>14576</v>
      </c>
      <c r="C402" s="82" t="s">
        <v>14577</v>
      </c>
    </row>
    <row r="403" spans="1:3" x14ac:dyDescent="0.35">
      <c r="A403" s="49" t="s">
        <v>14573</v>
      </c>
      <c r="B403" s="49" t="s">
        <v>14578</v>
      </c>
      <c r="C403" s="53" t="s">
        <v>14579</v>
      </c>
    </row>
    <row r="404" spans="1:3" x14ac:dyDescent="0.35">
      <c r="A404" s="49" t="s">
        <v>14573</v>
      </c>
      <c r="B404" s="49" t="s">
        <v>14580</v>
      </c>
      <c r="C404" s="53" t="s">
        <v>14581</v>
      </c>
    </row>
    <row r="405" spans="1:3" x14ac:dyDescent="0.35">
      <c r="A405" s="49" t="s">
        <v>14573</v>
      </c>
      <c r="B405" s="49" t="s">
        <v>14582</v>
      </c>
      <c r="C405" s="53" t="s">
        <v>14583</v>
      </c>
    </row>
    <row r="406" spans="1:3" x14ac:dyDescent="0.35">
      <c r="A406" s="49" t="s">
        <v>14573</v>
      </c>
      <c r="B406" s="49" t="s">
        <v>14584</v>
      </c>
      <c r="C406" s="53" t="s">
        <v>14585</v>
      </c>
    </row>
    <row r="407" spans="1:3" x14ac:dyDescent="0.35">
      <c r="A407" s="49" t="s">
        <v>14573</v>
      </c>
      <c r="B407" s="49" t="s">
        <v>14586</v>
      </c>
      <c r="C407" s="53" t="s">
        <v>14587</v>
      </c>
    </row>
    <row r="408" spans="1:3" x14ac:dyDescent="0.35">
      <c r="A408" s="49" t="s">
        <v>14573</v>
      </c>
      <c r="B408" s="49" t="s">
        <v>14588</v>
      </c>
      <c r="C408" s="53" t="s">
        <v>14589</v>
      </c>
    </row>
    <row r="409" spans="1:3" x14ac:dyDescent="0.35">
      <c r="A409" s="49" t="s">
        <v>14573</v>
      </c>
      <c r="B409" s="49" t="s">
        <v>14590</v>
      </c>
      <c r="C409" s="53" t="s">
        <v>14591</v>
      </c>
    </row>
    <row r="410" spans="1:3" x14ac:dyDescent="0.35">
      <c r="A410" s="49" t="s">
        <v>14573</v>
      </c>
      <c r="B410" s="49" t="s">
        <v>14592</v>
      </c>
      <c r="C410" s="53" t="s">
        <v>14593</v>
      </c>
    </row>
    <row r="411" spans="1:3" x14ac:dyDescent="0.35">
      <c r="A411" s="49" t="s">
        <v>14573</v>
      </c>
      <c r="B411" s="49" t="s">
        <v>14594</v>
      </c>
      <c r="C411" s="53" t="s">
        <v>14595</v>
      </c>
    </row>
    <row r="412" spans="1:3" x14ac:dyDescent="0.35">
      <c r="A412" s="49" t="s">
        <v>14573</v>
      </c>
      <c r="B412" s="49" t="s">
        <v>14596</v>
      </c>
      <c r="C412" s="82" t="s">
        <v>14597</v>
      </c>
    </row>
    <row r="413" spans="1:3" x14ac:dyDescent="0.35">
      <c r="A413" s="49" t="s">
        <v>14573</v>
      </c>
      <c r="B413" s="49" t="s">
        <v>14598</v>
      </c>
      <c r="C413" s="53" t="s">
        <v>14599</v>
      </c>
    </row>
    <row r="414" spans="1:3" x14ac:dyDescent="0.35">
      <c r="A414" s="49" t="s">
        <v>14573</v>
      </c>
      <c r="B414" s="49" t="s">
        <v>14600</v>
      </c>
      <c r="C414" s="53" t="s">
        <v>14601</v>
      </c>
    </row>
    <row r="415" spans="1:3" x14ac:dyDescent="0.35">
      <c r="A415" s="49" t="s">
        <v>14573</v>
      </c>
      <c r="B415" s="49" t="s">
        <v>14602</v>
      </c>
      <c r="C415" s="53" t="s">
        <v>14603</v>
      </c>
    </row>
    <row r="416" spans="1:3" x14ac:dyDescent="0.35">
      <c r="A416" s="49" t="s">
        <v>14573</v>
      </c>
      <c r="B416" s="49" t="s">
        <v>14604</v>
      </c>
      <c r="C416" s="53" t="s">
        <v>14605</v>
      </c>
    </row>
    <row r="417" spans="1:3" x14ac:dyDescent="0.35">
      <c r="A417" s="49" t="s">
        <v>14573</v>
      </c>
      <c r="B417" s="49" t="s">
        <v>14606</v>
      </c>
      <c r="C417" s="53" t="s">
        <v>14607</v>
      </c>
    </row>
    <row r="418" spans="1:3" x14ac:dyDescent="0.35">
      <c r="A418" s="49" t="s">
        <v>14573</v>
      </c>
      <c r="B418" s="49" t="s">
        <v>14608</v>
      </c>
      <c r="C418" s="82" t="s">
        <v>14609</v>
      </c>
    </row>
    <row r="419" spans="1:3" x14ac:dyDescent="0.35">
      <c r="A419" s="49" t="s">
        <v>14573</v>
      </c>
      <c r="B419" s="49" t="s">
        <v>14610</v>
      </c>
      <c r="C419" s="53" t="s">
        <v>14611</v>
      </c>
    </row>
    <row r="420" spans="1:3" x14ac:dyDescent="0.35">
      <c r="A420" s="49" t="s">
        <v>14573</v>
      </c>
      <c r="B420" s="49" t="s">
        <v>14612</v>
      </c>
      <c r="C420" s="53" t="s">
        <v>14613</v>
      </c>
    </row>
    <row r="421" spans="1:3" x14ac:dyDescent="0.35">
      <c r="A421" s="49" t="s">
        <v>14573</v>
      </c>
      <c r="B421" s="49" t="s">
        <v>14614</v>
      </c>
      <c r="C421" s="53" t="s">
        <v>14615</v>
      </c>
    </row>
    <row r="422" spans="1:3" x14ac:dyDescent="0.35">
      <c r="A422" s="49" t="s">
        <v>14573</v>
      </c>
      <c r="B422" s="49" t="s">
        <v>14616</v>
      </c>
      <c r="C422" s="53" t="s">
        <v>14617</v>
      </c>
    </row>
    <row r="423" spans="1:3" x14ac:dyDescent="0.35">
      <c r="A423" s="49" t="s">
        <v>14573</v>
      </c>
      <c r="B423" s="49" t="s">
        <v>14618</v>
      </c>
      <c r="C423" s="53" t="s">
        <v>14619</v>
      </c>
    </row>
    <row r="424" spans="1:3" x14ac:dyDescent="0.35">
      <c r="A424" s="49" t="s">
        <v>14573</v>
      </c>
      <c r="B424" s="49" t="s">
        <v>14620</v>
      </c>
      <c r="C424" s="53" t="s">
        <v>14621</v>
      </c>
    </row>
    <row r="425" spans="1:3" x14ac:dyDescent="0.35">
      <c r="A425" s="49" t="s">
        <v>14573</v>
      </c>
      <c r="B425" s="49" t="s">
        <v>14622</v>
      </c>
      <c r="C425" s="82" t="s">
        <v>14623</v>
      </c>
    </row>
    <row r="426" spans="1:3" x14ac:dyDescent="0.35">
      <c r="A426" s="49" t="s">
        <v>14573</v>
      </c>
      <c r="B426" s="49" t="s">
        <v>14624</v>
      </c>
      <c r="C426" s="53" t="s">
        <v>14625</v>
      </c>
    </row>
    <row r="427" spans="1:3" x14ac:dyDescent="0.35">
      <c r="A427" s="49" t="s">
        <v>14573</v>
      </c>
      <c r="B427" s="49" t="s">
        <v>14626</v>
      </c>
      <c r="C427" s="53" t="s">
        <v>14627</v>
      </c>
    </row>
    <row r="428" spans="1:3" x14ac:dyDescent="0.35">
      <c r="A428" s="49" t="s">
        <v>14573</v>
      </c>
      <c r="B428" s="49" t="s">
        <v>14628</v>
      </c>
      <c r="C428" s="53" t="s">
        <v>14629</v>
      </c>
    </row>
    <row r="429" spans="1:3" x14ac:dyDescent="0.35">
      <c r="A429" s="49" t="s">
        <v>14573</v>
      </c>
      <c r="B429" s="49" t="s">
        <v>14630</v>
      </c>
      <c r="C429" s="53" t="s">
        <v>14631</v>
      </c>
    </row>
    <row r="430" spans="1:3" x14ac:dyDescent="0.35">
      <c r="A430" s="49" t="s">
        <v>14573</v>
      </c>
      <c r="B430" s="49" t="s">
        <v>14632</v>
      </c>
      <c r="C430" s="53" t="s">
        <v>14633</v>
      </c>
    </row>
    <row r="431" spans="1:3" x14ac:dyDescent="0.35">
      <c r="A431" s="49" t="s">
        <v>14573</v>
      </c>
      <c r="B431" s="49" t="s">
        <v>14634</v>
      </c>
      <c r="C431" s="53" t="s">
        <v>14635</v>
      </c>
    </row>
    <row r="432" spans="1:3" x14ac:dyDescent="0.35">
      <c r="A432" s="49" t="s">
        <v>14573</v>
      </c>
      <c r="B432" s="49" t="s">
        <v>14636</v>
      </c>
      <c r="C432" s="53" t="s">
        <v>14637</v>
      </c>
    </row>
    <row r="433" spans="1:3" x14ac:dyDescent="0.35">
      <c r="A433" s="49" t="s">
        <v>14573</v>
      </c>
      <c r="B433" s="49" t="s">
        <v>14638</v>
      </c>
      <c r="C433" s="53" t="s">
        <v>34</v>
      </c>
    </row>
    <row r="434" spans="1:3" x14ac:dyDescent="0.35">
      <c r="A434" s="49" t="s">
        <v>14573</v>
      </c>
      <c r="B434" s="49" t="s">
        <v>14639</v>
      </c>
      <c r="C434" s="53" t="s">
        <v>33</v>
      </c>
    </row>
    <row r="435" spans="1:3" x14ac:dyDescent="0.35">
      <c r="A435" s="49" t="s">
        <v>14573</v>
      </c>
      <c r="B435" s="49" t="s">
        <v>14640</v>
      </c>
      <c r="C435" s="82" t="s">
        <v>14641</v>
      </c>
    </row>
    <row r="436" spans="1:3" x14ac:dyDescent="0.35">
      <c r="A436" s="49" t="s">
        <v>14573</v>
      </c>
      <c r="B436" s="49" t="s">
        <v>14642</v>
      </c>
      <c r="C436" s="53" t="s">
        <v>14643</v>
      </c>
    </row>
    <row r="437" spans="1:3" x14ac:dyDescent="0.35">
      <c r="A437" s="49" t="s">
        <v>14573</v>
      </c>
      <c r="B437" s="49" t="s">
        <v>14644</v>
      </c>
      <c r="C437" s="53" t="s">
        <v>14645</v>
      </c>
    </row>
    <row r="438" spans="1:3" x14ac:dyDescent="0.35">
      <c r="A438" s="49" t="s">
        <v>14573</v>
      </c>
      <c r="B438" s="49" t="s">
        <v>14646</v>
      </c>
      <c r="C438" s="53" t="s">
        <v>14647</v>
      </c>
    </row>
    <row r="439" spans="1:3" x14ac:dyDescent="0.35">
      <c r="A439" s="49" t="s">
        <v>14573</v>
      </c>
      <c r="B439" s="49" t="s">
        <v>14648</v>
      </c>
      <c r="C439" s="53" t="s">
        <v>14649</v>
      </c>
    </row>
    <row r="440" spans="1:3" x14ac:dyDescent="0.35">
      <c r="A440" s="49" t="s">
        <v>14573</v>
      </c>
      <c r="B440" s="49" t="s">
        <v>14650</v>
      </c>
      <c r="C440" s="53" t="s">
        <v>14651</v>
      </c>
    </row>
    <row r="441" spans="1:3" x14ac:dyDescent="0.35">
      <c r="A441" s="49" t="s">
        <v>14573</v>
      </c>
      <c r="B441" s="49" t="s">
        <v>14652</v>
      </c>
      <c r="C441" s="53" t="s">
        <v>14653</v>
      </c>
    </row>
    <row r="442" spans="1:3" x14ac:dyDescent="0.35">
      <c r="A442" s="49" t="s">
        <v>14573</v>
      </c>
      <c r="B442" s="49" t="s">
        <v>14654</v>
      </c>
      <c r="C442" s="53" t="s">
        <v>14655</v>
      </c>
    </row>
    <row r="443" spans="1:3" x14ac:dyDescent="0.35">
      <c r="A443" s="49" t="s">
        <v>14573</v>
      </c>
      <c r="B443" s="49" t="s">
        <v>14656</v>
      </c>
      <c r="C443" s="82" t="s">
        <v>14657</v>
      </c>
    </row>
    <row r="444" spans="1:3" x14ac:dyDescent="0.35">
      <c r="A444" s="49" t="s">
        <v>14573</v>
      </c>
      <c r="B444" s="49" t="s">
        <v>14658</v>
      </c>
      <c r="C444" s="53" t="s">
        <v>14659</v>
      </c>
    </row>
    <row r="445" spans="1:3" x14ac:dyDescent="0.35">
      <c r="A445" s="49" t="s">
        <v>14573</v>
      </c>
      <c r="B445" s="49" t="s">
        <v>14660</v>
      </c>
      <c r="C445" s="53" t="s">
        <v>14661</v>
      </c>
    </row>
    <row r="446" spans="1:3" x14ac:dyDescent="0.35">
      <c r="A446" s="49" t="s">
        <v>14573</v>
      </c>
      <c r="B446" s="49" t="s">
        <v>14662</v>
      </c>
      <c r="C446" s="53" t="s">
        <v>14663</v>
      </c>
    </row>
    <row r="447" spans="1:3" x14ac:dyDescent="0.35">
      <c r="A447" s="49" t="s">
        <v>14573</v>
      </c>
      <c r="B447" s="49" t="s">
        <v>14664</v>
      </c>
      <c r="C447" s="82" t="s">
        <v>14665</v>
      </c>
    </row>
    <row r="448" spans="1:3" x14ac:dyDescent="0.35">
      <c r="A448" s="49" t="s">
        <v>14573</v>
      </c>
      <c r="B448" s="49" t="s">
        <v>14666</v>
      </c>
      <c r="C448" s="53" t="s">
        <v>1700</v>
      </c>
    </row>
    <row r="449" spans="1:3" x14ac:dyDescent="0.35">
      <c r="A449" s="49" t="s">
        <v>14573</v>
      </c>
      <c r="B449" s="49" t="s">
        <v>14667</v>
      </c>
      <c r="C449" s="53" t="s">
        <v>14668</v>
      </c>
    </row>
    <row r="450" spans="1:3" x14ac:dyDescent="0.35">
      <c r="A450" s="49" t="s">
        <v>14573</v>
      </c>
      <c r="B450" s="49" t="s">
        <v>14669</v>
      </c>
      <c r="C450" s="53" t="s">
        <v>14670</v>
      </c>
    </row>
    <row r="451" spans="1:3" x14ac:dyDescent="0.35">
      <c r="A451" s="49" t="s">
        <v>14573</v>
      </c>
      <c r="B451" s="49" t="s">
        <v>14671</v>
      </c>
      <c r="C451" s="53" t="s">
        <v>14672</v>
      </c>
    </row>
    <row r="452" spans="1:3" x14ac:dyDescent="0.35">
      <c r="A452" s="49" t="s">
        <v>14573</v>
      </c>
      <c r="B452" s="49" t="s">
        <v>14673</v>
      </c>
      <c r="C452" s="53" t="s">
        <v>14674</v>
      </c>
    </row>
    <row r="453" spans="1:3" x14ac:dyDescent="0.35">
      <c r="A453" s="49" t="s">
        <v>14675</v>
      </c>
      <c r="B453" s="49" t="s">
        <v>14676</v>
      </c>
      <c r="C453" s="351" t="s">
        <v>14677</v>
      </c>
    </row>
    <row r="454" spans="1:3" x14ac:dyDescent="0.35">
      <c r="A454" s="350" t="s">
        <v>14675</v>
      </c>
      <c r="B454" s="49" t="s">
        <v>14678</v>
      </c>
      <c r="C454" s="252" t="s">
        <v>14679</v>
      </c>
    </row>
    <row r="455" spans="1:3" x14ac:dyDescent="0.35">
      <c r="A455" s="49" t="s">
        <v>14675</v>
      </c>
      <c r="B455" s="49" t="s">
        <v>14680</v>
      </c>
      <c r="C455" s="53" t="s">
        <v>14681</v>
      </c>
    </row>
    <row r="456" spans="1:3" x14ac:dyDescent="0.35">
      <c r="A456" s="49" t="s">
        <v>14675</v>
      </c>
      <c r="B456" s="49" t="s">
        <v>14682</v>
      </c>
      <c r="C456" s="53" t="s">
        <v>14683</v>
      </c>
    </row>
    <row r="457" spans="1:3" x14ac:dyDescent="0.35">
      <c r="A457" s="49" t="s">
        <v>14675</v>
      </c>
      <c r="B457" s="49" t="s">
        <v>14684</v>
      </c>
      <c r="C457" s="53" t="s">
        <v>1686</v>
      </c>
    </row>
    <row r="458" spans="1:3" x14ac:dyDescent="0.35">
      <c r="A458" s="49" t="s">
        <v>14675</v>
      </c>
      <c r="B458" s="49" t="s">
        <v>14685</v>
      </c>
      <c r="C458" s="53" t="s">
        <v>14686</v>
      </c>
    </row>
    <row r="459" spans="1:3" x14ac:dyDescent="0.35">
      <c r="A459" s="49" t="s">
        <v>14675</v>
      </c>
      <c r="B459" s="49" t="s">
        <v>14687</v>
      </c>
      <c r="C459" s="53" t="s">
        <v>14688</v>
      </c>
    </row>
    <row r="460" spans="1:3" x14ac:dyDescent="0.35">
      <c r="A460" s="49" t="s">
        <v>14675</v>
      </c>
      <c r="B460" s="49" t="s">
        <v>14689</v>
      </c>
      <c r="C460" s="53" t="s">
        <v>14690</v>
      </c>
    </row>
    <row r="461" spans="1:3" x14ac:dyDescent="0.35">
      <c r="A461" s="350" t="s">
        <v>14675</v>
      </c>
      <c r="B461" s="49" t="s">
        <v>14691</v>
      </c>
      <c r="C461" s="252" t="s">
        <v>14692</v>
      </c>
    </row>
    <row r="462" spans="1:3" x14ac:dyDescent="0.35">
      <c r="A462" s="49" t="s">
        <v>14675</v>
      </c>
      <c r="B462" s="49" t="s">
        <v>14693</v>
      </c>
      <c r="C462" s="53" t="s">
        <v>14694</v>
      </c>
    </row>
    <row r="463" spans="1:3" x14ac:dyDescent="0.35">
      <c r="A463" s="49" t="s">
        <v>14675</v>
      </c>
      <c r="B463" s="49" t="s">
        <v>14695</v>
      </c>
      <c r="C463" s="53" t="s">
        <v>14696</v>
      </c>
    </row>
    <row r="464" spans="1:3" x14ac:dyDescent="0.35">
      <c r="A464" s="49" t="s">
        <v>14675</v>
      </c>
      <c r="B464" s="49" t="s">
        <v>14697</v>
      </c>
      <c r="C464" s="53" t="s">
        <v>14698</v>
      </c>
    </row>
    <row r="465" spans="1:3" x14ac:dyDescent="0.35">
      <c r="A465" s="49" t="s">
        <v>14675</v>
      </c>
      <c r="B465" s="49" t="s">
        <v>14699</v>
      </c>
      <c r="C465" s="53" t="s">
        <v>14700</v>
      </c>
    </row>
    <row r="466" spans="1:3" x14ac:dyDescent="0.35">
      <c r="A466" s="49" t="s">
        <v>14675</v>
      </c>
      <c r="B466" s="49" t="s">
        <v>14701</v>
      </c>
      <c r="C466" s="53" t="s">
        <v>14702</v>
      </c>
    </row>
    <row r="467" spans="1:3" x14ac:dyDescent="0.35">
      <c r="A467" s="350" t="s">
        <v>14675</v>
      </c>
      <c r="B467" s="49" t="s">
        <v>14703</v>
      </c>
      <c r="C467" s="352" t="s">
        <v>14704</v>
      </c>
    </row>
    <row r="468" spans="1:3" x14ac:dyDescent="0.35">
      <c r="A468" s="49" t="s">
        <v>14675</v>
      </c>
      <c r="B468" s="49" t="s">
        <v>14705</v>
      </c>
      <c r="C468" s="53" t="s">
        <v>14706</v>
      </c>
    </row>
    <row r="469" spans="1:3" x14ac:dyDescent="0.35">
      <c r="A469" s="49" t="s">
        <v>14675</v>
      </c>
      <c r="B469" s="49" t="s">
        <v>14707</v>
      </c>
      <c r="C469" s="53" t="s">
        <v>14708</v>
      </c>
    </row>
    <row r="470" spans="1:3" x14ac:dyDescent="0.35">
      <c r="A470" s="49" t="s">
        <v>14675</v>
      </c>
      <c r="B470" s="49" t="s">
        <v>14709</v>
      </c>
      <c r="C470" s="53" t="s">
        <v>14710</v>
      </c>
    </row>
    <row r="471" spans="1:3" x14ac:dyDescent="0.35">
      <c r="A471" s="350" t="s">
        <v>14675</v>
      </c>
      <c r="B471" s="49" t="s">
        <v>14711</v>
      </c>
      <c r="C471" s="352" t="s">
        <v>14712</v>
      </c>
    </row>
    <row r="472" spans="1:3" x14ac:dyDescent="0.35">
      <c r="A472" s="49" t="s">
        <v>14675</v>
      </c>
      <c r="B472" s="49" t="s">
        <v>14713</v>
      </c>
      <c r="C472" s="53" t="s">
        <v>14714</v>
      </c>
    </row>
    <row r="473" spans="1:3" x14ac:dyDescent="0.35">
      <c r="A473" s="49" t="s">
        <v>14675</v>
      </c>
      <c r="B473" s="49" t="s">
        <v>14715</v>
      </c>
      <c r="C473" s="53" t="s">
        <v>14716</v>
      </c>
    </row>
    <row r="474" spans="1:3" x14ac:dyDescent="0.35">
      <c r="A474" s="49" t="s">
        <v>14675</v>
      </c>
      <c r="B474" s="49" t="s">
        <v>14717</v>
      </c>
      <c r="C474" s="53" t="s">
        <v>14718</v>
      </c>
    </row>
    <row r="475" spans="1:3" x14ac:dyDescent="0.35">
      <c r="A475" s="49" t="s">
        <v>14675</v>
      </c>
      <c r="B475" s="49" t="s">
        <v>14719</v>
      </c>
      <c r="C475" s="53" t="s">
        <v>14720</v>
      </c>
    </row>
    <row r="476" spans="1:3" x14ac:dyDescent="0.35">
      <c r="A476" s="350" t="s">
        <v>14675</v>
      </c>
      <c r="B476" s="49" t="s">
        <v>14721</v>
      </c>
      <c r="C476" s="352" t="s">
        <v>14722</v>
      </c>
    </row>
    <row r="477" spans="1:3" x14ac:dyDescent="0.35">
      <c r="A477" s="49" t="s">
        <v>14675</v>
      </c>
      <c r="B477" s="49" t="s">
        <v>14723</v>
      </c>
      <c r="C477" s="53" t="s">
        <v>1683</v>
      </c>
    </row>
    <row r="478" spans="1:3" x14ac:dyDescent="0.35">
      <c r="A478" s="49" t="s">
        <v>14675</v>
      </c>
      <c r="B478" s="49" t="s">
        <v>14724</v>
      </c>
      <c r="C478" s="53" t="s">
        <v>14725</v>
      </c>
    </row>
    <row r="479" spans="1:3" x14ac:dyDescent="0.35">
      <c r="A479" s="49" t="s">
        <v>14675</v>
      </c>
      <c r="B479" s="49" t="s">
        <v>14726</v>
      </c>
      <c r="C479" s="53" t="s">
        <v>14727</v>
      </c>
    </row>
    <row r="480" spans="1:3" x14ac:dyDescent="0.35">
      <c r="A480" s="49" t="s">
        <v>14675</v>
      </c>
      <c r="B480" s="49" t="s">
        <v>14728</v>
      </c>
      <c r="C480" s="53" t="s">
        <v>14729</v>
      </c>
    </row>
    <row r="481" spans="1:3" x14ac:dyDescent="0.35">
      <c r="A481" s="350" t="s">
        <v>14675</v>
      </c>
      <c r="B481" s="49" t="s">
        <v>14730</v>
      </c>
      <c r="C481" s="352" t="s">
        <v>14731</v>
      </c>
    </row>
    <row r="482" spans="1:3" x14ac:dyDescent="0.35">
      <c r="A482" s="49" t="s">
        <v>14675</v>
      </c>
      <c r="B482" s="49" t="s">
        <v>14732</v>
      </c>
      <c r="C482" s="53" t="s">
        <v>14733</v>
      </c>
    </row>
    <row r="483" spans="1:3" x14ac:dyDescent="0.35">
      <c r="A483" s="49" t="s">
        <v>14675</v>
      </c>
      <c r="B483" s="49" t="s">
        <v>14734</v>
      </c>
      <c r="C483" s="53" t="s">
        <v>14735</v>
      </c>
    </row>
    <row r="484" spans="1:3" x14ac:dyDescent="0.35">
      <c r="A484" s="49" t="s">
        <v>14675</v>
      </c>
      <c r="B484" s="49" t="s">
        <v>14736</v>
      </c>
      <c r="C484" s="53" t="s">
        <v>14737</v>
      </c>
    </row>
    <row r="485" spans="1:3" x14ac:dyDescent="0.35">
      <c r="A485" s="49" t="s">
        <v>14675</v>
      </c>
      <c r="B485" s="49" t="s">
        <v>14738</v>
      </c>
      <c r="C485" s="53" t="s">
        <v>1687</v>
      </c>
    </row>
    <row r="486" spans="1:3" x14ac:dyDescent="0.35">
      <c r="A486" s="350" t="s">
        <v>14675</v>
      </c>
      <c r="B486" s="49" t="s">
        <v>14739</v>
      </c>
      <c r="C486" s="352" t="s">
        <v>14740</v>
      </c>
    </row>
    <row r="487" spans="1:3" x14ac:dyDescent="0.35">
      <c r="A487" s="49" t="s">
        <v>14675</v>
      </c>
      <c r="B487" s="49" t="s">
        <v>14741</v>
      </c>
      <c r="C487" s="53" t="s">
        <v>14742</v>
      </c>
    </row>
    <row r="488" spans="1:3" x14ac:dyDescent="0.35">
      <c r="A488" s="49" t="s">
        <v>14675</v>
      </c>
      <c r="B488" s="49" t="s">
        <v>14743</v>
      </c>
      <c r="C488" s="53" t="s">
        <v>14744</v>
      </c>
    </row>
    <row r="489" spans="1:3" x14ac:dyDescent="0.35">
      <c r="A489" s="49" t="s">
        <v>14675</v>
      </c>
      <c r="B489" s="49" t="s">
        <v>14745</v>
      </c>
      <c r="C489" s="53" t="s">
        <v>14746</v>
      </c>
    </row>
    <row r="490" spans="1:3" x14ac:dyDescent="0.35">
      <c r="A490" s="49" t="s">
        <v>14675</v>
      </c>
      <c r="B490" s="49" t="s">
        <v>14747</v>
      </c>
      <c r="C490" s="53" t="s">
        <v>14748</v>
      </c>
    </row>
    <row r="491" spans="1:3" x14ac:dyDescent="0.35">
      <c r="A491" s="49" t="s">
        <v>14675</v>
      </c>
      <c r="B491" s="49" t="s">
        <v>14749</v>
      </c>
      <c r="C491" s="53" t="s">
        <v>14750</v>
      </c>
    </row>
    <row r="492" spans="1:3" x14ac:dyDescent="0.35">
      <c r="A492" s="49" t="s">
        <v>14675</v>
      </c>
      <c r="B492" s="49" t="s">
        <v>14751</v>
      </c>
      <c r="C492" s="53" t="s">
        <v>14752</v>
      </c>
    </row>
    <row r="493" spans="1:3" x14ac:dyDescent="0.35">
      <c r="A493" s="49" t="s">
        <v>14753</v>
      </c>
      <c r="B493" s="49" t="s">
        <v>14754</v>
      </c>
      <c r="C493" s="82" t="s">
        <v>38</v>
      </c>
    </row>
    <row r="494" spans="1:3" x14ac:dyDescent="0.35">
      <c r="A494" s="350" t="s">
        <v>14753</v>
      </c>
      <c r="B494" s="49" t="s">
        <v>14755</v>
      </c>
      <c r="C494" s="352" t="s">
        <v>14756</v>
      </c>
    </row>
    <row r="495" spans="1:3" x14ac:dyDescent="0.35">
      <c r="A495" s="49" t="s">
        <v>14753</v>
      </c>
      <c r="B495" s="49" t="s">
        <v>14757</v>
      </c>
      <c r="C495" s="53" t="s">
        <v>14758</v>
      </c>
    </row>
    <row r="496" spans="1:3" x14ac:dyDescent="0.35">
      <c r="A496" s="49" t="s">
        <v>14753</v>
      </c>
      <c r="B496" s="49" t="s">
        <v>14759</v>
      </c>
      <c r="C496" s="53" t="s">
        <v>14760</v>
      </c>
    </row>
    <row r="497" spans="1:3" x14ac:dyDescent="0.35">
      <c r="A497" s="49" t="s">
        <v>14753</v>
      </c>
      <c r="B497" s="49" t="s">
        <v>14761</v>
      </c>
      <c r="C497" s="53" t="s">
        <v>14762</v>
      </c>
    </row>
    <row r="498" spans="1:3" x14ac:dyDescent="0.35">
      <c r="A498" s="49" t="s">
        <v>14753</v>
      </c>
      <c r="B498" s="49" t="s">
        <v>14763</v>
      </c>
      <c r="C498" s="53" t="s">
        <v>14764</v>
      </c>
    </row>
    <row r="499" spans="1:3" x14ac:dyDescent="0.35">
      <c r="A499" s="49" t="s">
        <v>14753</v>
      </c>
      <c r="B499" s="49" t="s">
        <v>14765</v>
      </c>
      <c r="C499" s="53" t="s">
        <v>14766</v>
      </c>
    </row>
    <row r="500" spans="1:3" x14ac:dyDescent="0.35">
      <c r="A500" s="350" t="s">
        <v>14753</v>
      </c>
      <c r="B500" s="49" t="s">
        <v>14767</v>
      </c>
      <c r="C500" s="352" t="s">
        <v>14768</v>
      </c>
    </row>
    <row r="501" spans="1:3" x14ac:dyDescent="0.35">
      <c r="A501" s="49" t="s">
        <v>14753</v>
      </c>
      <c r="B501" s="49" t="s">
        <v>14769</v>
      </c>
      <c r="C501" s="53" t="s">
        <v>14770</v>
      </c>
    </row>
    <row r="502" spans="1:3" x14ac:dyDescent="0.35">
      <c r="A502" s="49" t="s">
        <v>14753</v>
      </c>
      <c r="B502" s="49" t="s">
        <v>14771</v>
      </c>
      <c r="C502" s="53" t="s">
        <v>14772</v>
      </c>
    </row>
    <row r="503" spans="1:3" x14ac:dyDescent="0.35">
      <c r="A503" s="49" t="s">
        <v>14753</v>
      </c>
      <c r="B503" s="49" t="s">
        <v>14773</v>
      </c>
      <c r="C503" s="53" t="s">
        <v>14774</v>
      </c>
    </row>
    <row r="504" spans="1:3" x14ac:dyDescent="0.35">
      <c r="A504" s="49" t="s">
        <v>14753</v>
      </c>
      <c r="B504" s="49" t="s">
        <v>14775</v>
      </c>
      <c r="C504" s="53" t="s">
        <v>14776</v>
      </c>
    </row>
    <row r="505" spans="1:3" x14ac:dyDescent="0.35">
      <c r="A505" s="49" t="s">
        <v>14753</v>
      </c>
      <c r="B505" s="49" t="s">
        <v>14777</v>
      </c>
      <c r="C505" s="53" t="s">
        <v>14778</v>
      </c>
    </row>
    <row r="506" spans="1:3" x14ac:dyDescent="0.35">
      <c r="A506" s="350" t="s">
        <v>14753</v>
      </c>
      <c r="B506" s="49" t="s">
        <v>14779</v>
      </c>
      <c r="C506" s="352" t="s">
        <v>14780</v>
      </c>
    </row>
    <row r="507" spans="1:3" x14ac:dyDescent="0.35">
      <c r="A507" s="49" t="s">
        <v>14753</v>
      </c>
      <c r="B507" s="49" t="s">
        <v>14781</v>
      </c>
      <c r="C507" s="53" t="s">
        <v>14782</v>
      </c>
    </row>
    <row r="508" spans="1:3" x14ac:dyDescent="0.35">
      <c r="A508" s="350" t="s">
        <v>14753</v>
      </c>
      <c r="B508" s="49" t="s">
        <v>14783</v>
      </c>
      <c r="C508" s="352" t="s">
        <v>14784</v>
      </c>
    </row>
    <row r="509" spans="1:3" x14ac:dyDescent="0.35">
      <c r="A509" s="49" t="s">
        <v>14753</v>
      </c>
      <c r="B509" s="49" t="s">
        <v>14785</v>
      </c>
      <c r="C509" s="53" t="s">
        <v>14786</v>
      </c>
    </row>
    <row r="510" spans="1:3" x14ac:dyDescent="0.35">
      <c r="A510" s="49" t="s">
        <v>14753</v>
      </c>
      <c r="B510" s="49" t="s">
        <v>14787</v>
      </c>
      <c r="C510" s="53" t="s">
        <v>14788</v>
      </c>
    </row>
    <row r="511" spans="1:3" x14ac:dyDescent="0.35">
      <c r="A511" s="49" t="s">
        <v>14753</v>
      </c>
      <c r="B511" s="49" t="s">
        <v>14789</v>
      </c>
      <c r="C511" s="53" t="s">
        <v>14790</v>
      </c>
    </row>
    <row r="512" spans="1:3" x14ac:dyDescent="0.35">
      <c r="A512" s="49" t="s">
        <v>14753</v>
      </c>
      <c r="B512" s="49" t="s">
        <v>14791</v>
      </c>
      <c r="C512" s="53" t="s">
        <v>14792</v>
      </c>
    </row>
    <row r="513" spans="1:3" x14ac:dyDescent="0.35">
      <c r="A513" s="49" t="s">
        <v>14753</v>
      </c>
      <c r="B513" s="49" t="s">
        <v>14793</v>
      </c>
      <c r="C513" s="53" t="s">
        <v>14794</v>
      </c>
    </row>
    <row r="514" spans="1:3" x14ac:dyDescent="0.35">
      <c r="A514" s="49" t="s">
        <v>14753</v>
      </c>
      <c r="B514" s="49" t="s">
        <v>14795</v>
      </c>
      <c r="C514" s="53" t="s">
        <v>14796</v>
      </c>
    </row>
    <row r="515" spans="1:3" x14ac:dyDescent="0.35">
      <c r="A515" s="350" t="s">
        <v>14753</v>
      </c>
      <c r="B515" s="49" t="s">
        <v>14797</v>
      </c>
      <c r="C515" s="352" t="s">
        <v>14798</v>
      </c>
    </row>
    <row r="516" spans="1:3" x14ac:dyDescent="0.35">
      <c r="A516" s="49" t="s">
        <v>14753</v>
      </c>
      <c r="B516" s="49" t="s">
        <v>14799</v>
      </c>
      <c r="C516" s="53" t="s">
        <v>14800</v>
      </c>
    </row>
    <row r="517" spans="1:3" x14ac:dyDescent="0.35">
      <c r="A517" s="49" t="s">
        <v>14753</v>
      </c>
      <c r="B517" s="49" t="s">
        <v>14801</v>
      </c>
      <c r="C517" s="53" t="s">
        <v>14802</v>
      </c>
    </row>
    <row r="518" spans="1:3" x14ac:dyDescent="0.35">
      <c r="A518" s="49" t="s">
        <v>14753</v>
      </c>
      <c r="B518" s="49" t="s">
        <v>14803</v>
      </c>
      <c r="C518" s="53" t="s">
        <v>14804</v>
      </c>
    </row>
    <row r="519" spans="1:3" x14ac:dyDescent="0.35">
      <c r="A519" s="49" t="s">
        <v>14753</v>
      </c>
      <c r="B519" s="49" t="s">
        <v>14805</v>
      </c>
      <c r="C519" s="53" t="s">
        <v>14806</v>
      </c>
    </row>
    <row r="520" spans="1:3" x14ac:dyDescent="0.35">
      <c r="A520" s="49" t="s">
        <v>14753</v>
      </c>
      <c r="B520" s="49" t="s">
        <v>14807</v>
      </c>
      <c r="C520" s="53" t="s">
        <v>14808</v>
      </c>
    </row>
    <row r="521" spans="1:3" x14ac:dyDescent="0.35">
      <c r="A521" s="49" t="s">
        <v>14753</v>
      </c>
      <c r="B521" s="49" t="s">
        <v>14809</v>
      </c>
      <c r="C521" s="53" t="s">
        <v>14810</v>
      </c>
    </row>
    <row r="522" spans="1:3" x14ac:dyDescent="0.35">
      <c r="A522" s="49" t="s">
        <v>14753</v>
      </c>
      <c r="B522" s="49" t="s">
        <v>14811</v>
      </c>
      <c r="C522" s="53" t="s">
        <v>14812</v>
      </c>
    </row>
    <row r="523" spans="1:3" x14ac:dyDescent="0.35">
      <c r="A523" s="350" t="s">
        <v>14753</v>
      </c>
      <c r="B523" s="49" t="s">
        <v>14813</v>
      </c>
      <c r="C523" s="352" t="s">
        <v>14814</v>
      </c>
    </row>
    <row r="524" spans="1:3" x14ac:dyDescent="0.35">
      <c r="A524" s="49" t="s">
        <v>14753</v>
      </c>
      <c r="B524" s="49" t="s">
        <v>14815</v>
      </c>
      <c r="C524" s="53" t="s">
        <v>14816</v>
      </c>
    </row>
    <row r="525" spans="1:3" x14ac:dyDescent="0.35">
      <c r="A525" s="49" t="s">
        <v>14753</v>
      </c>
      <c r="B525" s="49" t="s">
        <v>14817</v>
      </c>
      <c r="C525" s="53" t="s">
        <v>14818</v>
      </c>
    </row>
    <row r="526" spans="1:3" x14ac:dyDescent="0.35">
      <c r="A526" s="49" t="s">
        <v>14753</v>
      </c>
      <c r="B526" s="49" t="s">
        <v>14819</v>
      </c>
      <c r="C526" s="53" t="s">
        <v>14820</v>
      </c>
    </row>
    <row r="527" spans="1:3" x14ac:dyDescent="0.35">
      <c r="A527" s="49" t="s">
        <v>14753</v>
      </c>
      <c r="B527" s="49" t="s">
        <v>14821</v>
      </c>
      <c r="C527" s="53" t="s">
        <v>14822</v>
      </c>
    </row>
    <row r="528" spans="1:3" x14ac:dyDescent="0.35">
      <c r="A528" s="49" t="s">
        <v>14753</v>
      </c>
      <c r="B528" s="49" t="s">
        <v>14823</v>
      </c>
      <c r="C528" s="53" t="s">
        <v>14824</v>
      </c>
    </row>
    <row r="529" spans="1:3" x14ac:dyDescent="0.35">
      <c r="A529" s="350" t="s">
        <v>14753</v>
      </c>
      <c r="B529" s="49" t="s">
        <v>14825</v>
      </c>
      <c r="C529" s="352" t="s">
        <v>14826</v>
      </c>
    </row>
    <row r="530" spans="1:3" x14ac:dyDescent="0.35">
      <c r="A530" s="49" t="s">
        <v>14753</v>
      </c>
      <c r="B530" s="49" t="s">
        <v>14827</v>
      </c>
      <c r="C530" s="53" t="s">
        <v>14828</v>
      </c>
    </row>
    <row r="531" spans="1:3" x14ac:dyDescent="0.35">
      <c r="A531" s="49" t="s">
        <v>14753</v>
      </c>
      <c r="B531" s="49" t="s">
        <v>14829</v>
      </c>
      <c r="C531" s="53" t="s">
        <v>14830</v>
      </c>
    </row>
    <row r="532" spans="1:3" x14ac:dyDescent="0.35">
      <c r="A532" s="49" t="s">
        <v>14753</v>
      </c>
      <c r="B532" s="49" t="s">
        <v>14831</v>
      </c>
      <c r="C532" s="53" t="s">
        <v>14832</v>
      </c>
    </row>
    <row r="533" spans="1:3" x14ac:dyDescent="0.35">
      <c r="A533" s="49" t="s">
        <v>14753</v>
      </c>
      <c r="B533" s="49" t="s">
        <v>14833</v>
      </c>
      <c r="C533" s="53" t="s">
        <v>14834</v>
      </c>
    </row>
    <row r="534" spans="1:3" x14ac:dyDescent="0.35">
      <c r="A534" s="49" t="s">
        <v>14753</v>
      </c>
      <c r="B534" s="49" t="s">
        <v>14835</v>
      </c>
      <c r="C534" s="53" t="s">
        <v>14836</v>
      </c>
    </row>
    <row r="535" spans="1:3" x14ac:dyDescent="0.35">
      <c r="A535" s="49" t="s">
        <v>14753</v>
      </c>
      <c r="B535" s="49" t="s">
        <v>14837</v>
      </c>
      <c r="C535" s="53" t="s">
        <v>14838</v>
      </c>
    </row>
    <row r="536" spans="1:3" x14ac:dyDescent="0.35">
      <c r="A536" s="49" t="s">
        <v>14753</v>
      </c>
      <c r="B536" s="49" t="s">
        <v>14839</v>
      </c>
      <c r="C536" s="53" t="s">
        <v>14840</v>
      </c>
    </row>
    <row r="537" spans="1:3" x14ac:dyDescent="0.35">
      <c r="A537" s="49" t="s">
        <v>14753</v>
      </c>
      <c r="B537" s="49" t="s">
        <v>14841</v>
      </c>
      <c r="C537" s="53" t="s">
        <v>14842</v>
      </c>
    </row>
    <row r="538" spans="1:3" x14ac:dyDescent="0.35">
      <c r="A538" s="49" t="s">
        <v>14753</v>
      </c>
      <c r="B538" s="49" t="s">
        <v>14843</v>
      </c>
      <c r="C538" s="53" t="s">
        <v>14844</v>
      </c>
    </row>
    <row r="539" spans="1:3" x14ac:dyDescent="0.35">
      <c r="A539" s="350" t="s">
        <v>14753</v>
      </c>
      <c r="B539" s="49" t="s">
        <v>14845</v>
      </c>
      <c r="C539" s="352" t="s">
        <v>14846</v>
      </c>
    </row>
    <row r="540" spans="1:3" x14ac:dyDescent="0.35">
      <c r="A540" s="49" t="s">
        <v>14753</v>
      </c>
      <c r="B540" s="49" t="s">
        <v>14847</v>
      </c>
      <c r="C540" s="53" t="s">
        <v>14848</v>
      </c>
    </row>
    <row r="541" spans="1:3" x14ac:dyDescent="0.35">
      <c r="A541" s="49" t="s">
        <v>14753</v>
      </c>
      <c r="B541" s="49" t="s">
        <v>14849</v>
      </c>
      <c r="C541" s="53" t="s">
        <v>14850</v>
      </c>
    </row>
    <row r="542" spans="1:3" x14ac:dyDescent="0.35">
      <c r="A542" s="350" t="s">
        <v>14753</v>
      </c>
      <c r="B542" s="49" t="s">
        <v>14851</v>
      </c>
      <c r="C542" s="53" t="s">
        <v>14852</v>
      </c>
    </row>
    <row r="543" spans="1:3" x14ac:dyDescent="0.35">
      <c r="A543" s="49" t="s">
        <v>14753</v>
      </c>
      <c r="B543" s="49" t="s">
        <v>14853</v>
      </c>
      <c r="C543" s="53" t="s">
        <v>14854</v>
      </c>
    </row>
    <row r="544" spans="1:3" x14ac:dyDescent="0.35">
      <c r="A544" s="49" t="s">
        <v>14753</v>
      </c>
      <c r="B544" s="49" t="s">
        <v>14855</v>
      </c>
      <c r="C544" s="53" t="s">
        <v>14856</v>
      </c>
    </row>
    <row r="545" spans="1:3" x14ac:dyDescent="0.35">
      <c r="A545" s="49" t="s">
        <v>14753</v>
      </c>
      <c r="B545" s="49" t="s">
        <v>14857</v>
      </c>
      <c r="C545" s="53" t="s">
        <v>14858</v>
      </c>
    </row>
    <row r="546" spans="1:3" x14ac:dyDescent="0.35">
      <c r="A546" s="49" t="s">
        <v>14753</v>
      </c>
      <c r="B546" s="49" t="s">
        <v>14859</v>
      </c>
      <c r="C546" s="53" t="s">
        <v>14860</v>
      </c>
    </row>
    <row r="547" spans="1:3" x14ac:dyDescent="0.35">
      <c r="A547" s="49" t="s">
        <v>14753</v>
      </c>
      <c r="B547" s="49" t="s">
        <v>14861</v>
      </c>
      <c r="C547" s="53" t="s">
        <v>14862</v>
      </c>
    </row>
    <row r="548" spans="1:3" x14ac:dyDescent="0.35">
      <c r="A548" s="49" t="s">
        <v>14753</v>
      </c>
      <c r="B548" s="49" t="s">
        <v>14863</v>
      </c>
      <c r="C548" s="53" t="s">
        <v>14864</v>
      </c>
    </row>
    <row r="549" spans="1:3" x14ac:dyDescent="0.35">
      <c r="A549" s="49" t="s">
        <v>14753</v>
      </c>
      <c r="B549" s="49" t="s">
        <v>14865</v>
      </c>
      <c r="C549" s="53" t="s">
        <v>14866</v>
      </c>
    </row>
    <row r="550" spans="1:3" x14ac:dyDescent="0.35">
      <c r="A550" s="49" t="s">
        <v>14867</v>
      </c>
      <c r="B550" s="49" t="s">
        <v>14868</v>
      </c>
      <c r="C550" s="82" t="s">
        <v>14869</v>
      </c>
    </row>
    <row r="551" spans="1:3" x14ac:dyDescent="0.35">
      <c r="A551" s="350" t="s">
        <v>14867</v>
      </c>
      <c r="B551" s="49" t="s">
        <v>14870</v>
      </c>
      <c r="C551" s="352" t="s">
        <v>14871</v>
      </c>
    </row>
    <row r="552" spans="1:3" x14ac:dyDescent="0.35">
      <c r="A552" s="49" t="s">
        <v>14867</v>
      </c>
      <c r="B552" s="49" t="s">
        <v>14872</v>
      </c>
      <c r="C552" s="53" t="s">
        <v>14873</v>
      </c>
    </row>
    <row r="553" spans="1:3" x14ac:dyDescent="0.35">
      <c r="A553" s="49" t="s">
        <v>14867</v>
      </c>
      <c r="B553" s="49" t="s">
        <v>14874</v>
      </c>
      <c r="C553" s="53" t="s">
        <v>14875</v>
      </c>
    </row>
    <row r="554" spans="1:3" x14ac:dyDescent="0.35">
      <c r="A554" s="49" t="s">
        <v>14867</v>
      </c>
      <c r="B554" s="49" t="s">
        <v>14876</v>
      </c>
      <c r="C554" s="53" t="s">
        <v>14877</v>
      </c>
    </row>
    <row r="555" spans="1:3" x14ac:dyDescent="0.35">
      <c r="A555" s="49" t="s">
        <v>14867</v>
      </c>
      <c r="B555" s="49" t="s">
        <v>14878</v>
      </c>
      <c r="C555" s="53" t="s">
        <v>14879</v>
      </c>
    </row>
    <row r="556" spans="1:3" x14ac:dyDescent="0.35">
      <c r="A556" s="49" t="s">
        <v>14867</v>
      </c>
      <c r="B556" s="49" t="s">
        <v>14880</v>
      </c>
      <c r="C556" s="53" t="s">
        <v>14881</v>
      </c>
    </row>
    <row r="557" spans="1:3" x14ac:dyDescent="0.35">
      <c r="A557" s="350" t="s">
        <v>14867</v>
      </c>
      <c r="B557" s="49" t="s">
        <v>14882</v>
      </c>
      <c r="C557" s="352" t="s">
        <v>14883</v>
      </c>
    </row>
    <row r="558" spans="1:3" x14ac:dyDescent="0.35">
      <c r="A558" s="49" t="s">
        <v>14867</v>
      </c>
      <c r="B558" s="49" t="s">
        <v>14884</v>
      </c>
      <c r="C558" s="53" t="s">
        <v>14885</v>
      </c>
    </row>
    <row r="559" spans="1:3" x14ac:dyDescent="0.35">
      <c r="A559" s="49" t="s">
        <v>14867</v>
      </c>
      <c r="B559" s="49" t="s">
        <v>14886</v>
      </c>
      <c r="C559" s="53" t="s">
        <v>14887</v>
      </c>
    </row>
    <row r="560" spans="1:3" x14ac:dyDescent="0.35">
      <c r="A560" s="49" t="s">
        <v>14867</v>
      </c>
      <c r="B560" s="49" t="s">
        <v>14888</v>
      </c>
      <c r="C560" s="53" t="s">
        <v>14889</v>
      </c>
    </row>
    <row r="561" spans="1:3" x14ac:dyDescent="0.35">
      <c r="A561" s="49" t="s">
        <v>14867</v>
      </c>
      <c r="B561" s="49" t="s">
        <v>14890</v>
      </c>
      <c r="C561" s="53" t="s">
        <v>14891</v>
      </c>
    </row>
    <row r="562" spans="1:3" x14ac:dyDescent="0.35">
      <c r="A562" s="49" t="s">
        <v>14867</v>
      </c>
      <c r="B562" s="49" t="s">
        <v>14892</v>
      </c>
      <c r="C562" s="53" t="s">
        <v>14893</v>
      </c>
    </row>
    <row r="563" spans="1:3" x14ac:dyDescent="0.35">
      <c r="A563" s="49" t="s">
        <v>14867</v>
      </c>
      <c r="B563" s="49" t="s">
        <v>14894</v>
      </c>
      <c r="C563" s="53" t="s">
        <v>14895</v>
      </c>
    </row>
    <row r="564" spans="1:3" x14ac:dyDescent="0.35">
      <c r="A564" s="350" t="s">
        <v>14867</v>
      </c>
      <c r="B564" s="49" t="s">
        <v>14896</v>
      </c>
      <c r="C564" s="352" t="s">
        <v>44</v>
      </c>
    </row>
    <row r="565" spans="1:3" x14ac:dyDescent="0.35">
      <c r="A565" s="49" t="s">
        <v>14867</v>
      </c>
      <c r="B565" s="49" t="s">
        <v>14897</v>
      </c>
      <c r="C565" s="53" t="s">
        <v>14898</v>
      </c>
    </row>
    <row r="566" spans="1:3" x14ac:dyDescent="0.35">
      <c r="A566" s="49" t="s">
        <v>14867</v>
      </c>
      <c r="B566" s="49" t="s">
        <v>14899</v>
      </c>
      <c r="C566" s="53" t="s">
        <v>14900</v>
      </c>
    </row>
    <row r="567" spans="1:3" x14ac:dyDescent="0.35">
      <c r="A567" s="49" t="s">
        <v>14867</v>
      </c>
      <c r="B567" s="49" t="s">
        <v>14901</v>
      </c>
      <c r="C567" s="53" t="s">
        <v>14902</v>
      </c>
    </row>
    <row r="568" spans="1:3" x14ac:dyDescent="0.35">
      <c r="A568" s="49" t="s">
        <v>14867</v>
      </c>
      <c r="B568" s="49" t="s">
        <v>14903</v>
      </c>
      <c r="C568" s="53" t="s">
        <v>14904</v>
      </c>
    </row>
    <row r="569" spans="1:3" x14ac:dyDescent="0.35">
      <c r="A569" s="49" t="s">
        <v>14867</v>
      </c>
      <c r="B569" s="49" t="s">
        <v>14905</v>
      </c>
      <c r="C569" s="53" t="s">
        <v>14906</v>
      </c>
    </row>
    <row r="570" spans="1:3" x14ac:dyDescent="0.35">
      <c r="A570" s="350" t="s">
        <v>14867</v>
      </c>
      <c r="B570" s="49" t="s">
        <v>14907</v>
      </c>
      <c r="C570" s="352" t="s">
        <v>14908</v>
      </c>
    </row>
    <row r="571" spans="1:3" x14ac:dyDescent="0.35">
      <c r="A571" s="49" t="s">
        <v>14867</v>
      </c>
      <c r="B571" s="49" t="s">
        <v>14909</v>
      </c>
      <c r="C571" s="53" t="s">
        <v>14910</v>
      </c>
    </row>
    <row r="572" spans="1:3" x14ac:dyDescent="0.35">
      <c r="A572" s="49" t="s">
        <v>14867</v>
      </c>
      <c r="B572" s="49" t="s">
        <v>14911</v>
      </c>
      <c r="C572" s="53" t="s">
        <v>14912</v>
      </c>
    </row>
    <row r="573" spans="1:3" x14ac:dyDescent="0.35">
      <c r="A573" s="49" t="s">
        <v>14867</v>
      </c>
      <c r="B573" s="49" t="s">
        <v>14913</v>
      </c>
      <c r="C573" s="53" t="s">
        <v>14914</v>
      </c>
    </row>
    <row r="574" spans="1:3" x14ac:dyDescent="0.35">
      <c r="A574" s="49" t="s">
        <v>14867</v>
      </c>
      <c r="B574" s="49" t="s">
        <v>14915</v>
      </c>
      <c r="C574" s="53" t="s">
        <v>14916</v>
      </c>
    </row>
    <row r="575" spans="1:3" x14ac:dyDescent="0.35">
      <c r="A575" s="49" t="s">
        <v>14867</v>
      </c>
      <c r="B575" s="49" t="s">
        <v>14917</v>
      </c>
      <c r="C575" s="53" t="s">
        <v>14918</v>
      </c>
    </row>
    <row r="576" spans="1:3" x14ac:dyDescent="0.35">
      <c r="A576" s="49" t="s">
        <v>14867</v>
      </c>
      <c r="B576" s="49" t="s">
        <v>14919</v>
      </c>
      <c r="C576" s="53" t="s">
        <v>14920</v>
      </c>
    </row>
    <row r="577" spans="1:3" x14ac:dyDescent="0.35">
      <c r="A577" s="49" t="s">
        <v>14867</v>
      </c>
      <c r="B577" s="49" t="s">
        <v>14921</v>
      </c>
      <c r="C577" s="53" t="s">
        <v>14922</v>
      </c>
    </row>
    <row r="578" spans="1:3" x14ac:dyDescent="0.35">
      <c r="A578" s="350" t="s">
        <v>14867</v>
      </c>
      <c r="B578" s="49" t="s">
        <v>14923</v>
      </c>
      <c r="C578" s="352" t="s">
        <v>14924</v>
      </c>
    </row>
    <row r="579" spans="1:3" x14ac:dyDescent="0.35">
      <c r="A579" s="49" t="s">
        <v>14867</v>
      </c>
      <c r="B579" s="49" t="s">
        <v>14925</v>
      </c>
      <c r="C579" s="53" t="s">
        <v>14926</v>
      </c>
    </row>
    <row r="580" spans="1:3" x14ac:dyDescent="0.35">
      <c r="A580" s="49" t="s">
        <v>14867</v>
      </c>
      <c r="B580" s="49" t="s">
        <v>14927</v>
      </c>
      <c r="C580" s="53" t="s">
        <v>14928</v>
      </c>
    </row>
    <row r="581" spans="1:3" x14ac:dyDescent="0.35">
      <c r="A581" s="49" t="s">
        <v>14867</v>
      </c>
      <c r="B581" s="49" t="s">
        <v>14929</v>
      </c>
      <c r="C581" s="53" t="s">
        <v>14930</v>
      </c>
    </row>
    <row r="582" spans="1:3" x14ac:dyDescent="0.35">
      <c r="A582" s="49" t="s">
        <v>14867</v>
      </c>
      <c r="B582" s="49" t="s">
        <v>14931</v>
      </c>
      <c r="C582" s="53" t="s">
        <v>14932</v>
      </c>
    </row>
    <row r="583" spans="1:3" x14ac:dyDescent="0.35">
      <c r="A583" s="49" t="s">
        <v>14867</v>
      </c>
      <c r="B583" s="49" t="s">
        <v>14933</v>
      </c>
      <c r="C583" s="53" t="s">
        <v>14934</v>
      </c>
    </row>
    <row r="584" spans="1:3" x14ac:dyDescent="0.35">
      <c r="A584" s="49" t="s">
        <v>14867</v>
      </c>
      <c r="B584" s="49" t="s">
        <v>14935</v>
      </c>
      <c r="C584" s="53" t="s">
        <v>14936</v>
      </c>
    </row>
    <row r="585" spans="1:3" x14ac:dyDescent="0.35">
      <c r="A585" s="49" t="s">
        <v>14867</v>
      </c>
      <c r="B585" s="49" t="s">
        <v>14937</v>
      </c>
      <c r="C585" s="53" t="s">
        <v>14938</v>
      </c>
    </row>
    <row r="586" spans="1:3" x14ac:dyDescent="0.35">
      <c r="A586" s="49" t="s">
        <v>14867</v>
      </c>
      <c r="B586" s="49" t="s">
        <v>14939</v>
      </c>
      <c r="C586" s="53" t="s">
        <v>14940</v>
      </c>
    </row>
    <row r="587" spans="1:3" x14ac:dyDescent="0.35">
      <c r="A587" s="49" t="s">
        <v>14867</v>
      </c>
      <c r="B587" s="49" t="s">
        <v>14941</v>
      </c>
      <c r="C587" s="53" t="s">
        <v>14942</v>
      </c>
    </row>
    <row r="588" spans="1:3" x14ac:dyDescent="0.35">
      <c r="A588" s="350" t="s">
        <v>14867</v>
      </c>
      <c r="B588" s="49" t="s">
        <v>14943</v>
      </c>
      <c r="C588" s="352" t="s">
        <v>14944</v>
      </c>
    </row>
    <row r="589" spans="1:3" x14ac:dyDescent="0.35">
      <c r="A589" s="49" t="s">
        <v>14867</v>
      </c>
      <c r="B589" s="49" t="s">
        <v>14945</v>
      </c>
      <c r="C589" s="53" t="s">
        <v>14946</v>
      </c>
    </row>
    <row r="590" spans="1:3" x14ac:dyDescent="0.35">
      <c r="A590" s="49" t="s">
        <v>14867</v>
      </c>
      <c r="B590" s="49" t="s">
        <v>14947</v>
      </c>
      <c r="C590" s="53" t="s">
        <v>14948</v>
      </c>
    </row>
    <row r="591" spans="1:3" x14ac:dyDescent="0.35">
      <c r="A591" s="49" t="s">
        <v>14867</v>
      </c>
      <c r="B591" s="49" t="s">
        <v>14949</v>
      </c>
      <c r="C591" s="53" t="s">
        <v>14950</v>
      </c>
    </row>
    <row r="592" spans="1:3" x14ac:dyDescent="0.35">
      <c r="A592" s="49" t="s">
        <v>14867</v>
      </c>
      <c r="B592" s="49" t="s">
        <v>14951</v>
      </c>
      <c r="C592" s="53" t="s">
        <v>14952</v>
      </c>
    </row>
    <row r="593" spans="1:3" x14ac:dyDescent="0.35">
      <c r="A593" s="49" t="s">
        <v>14867</v>
      </c>
      <c r="B593" s="49" t="s">
        <v>14953</v>
      </c>
      <c r="C593" s="53" t="s">
        <v>14954</v>
      </c>
    </row>
    <row r="594" spans="1:3" x14ac:dyDescent="0.35">
      <c r="A594" s="49" t="s">
        <v>14867</v>
      </c>
      <c r="B594" s="49" t="s">
        <v>14955</v>
      </c>
      <c r="C594" s="53" t="s">
        <v>14956</v>
      </c>
    </row>
    <row r="595" spans="1:3" x14ac:dyDescent="0.35">
      <c r="A595" s="49" t="s">
        <v>14867</v>
      </c>
      <c r="B595" s="49" t="s">
        <v>14957</v>
      </c>
      <c r="C595" s="53" t="s">
        <v>14958</v>
      </c>
    </row>
    <row r="596" spans="1:3" x14ac:dyDescent="0.35">
      <c r="A596" s="49" t="s">
        <v>14867</v>
      </c>
      <c r="B596" s="49" t="s">
        <v>14959</v>
      </c>
      <c r="C596" s="53" t="s">
        <v>14960</v>
      </c>
    </row>
    <row r="597" spans="1:3" x14ac:dyDescent="0.35">
      <c r="A597" s="350" t="s">
        <v>14867</v>
      </c>
      <c r="B597" s="49" t="s">
        <v>14961</v>
      </c>
      <c r="C597" s="352" t="s">
        <v>14962</v>
      </c>
    </row>
    <row r="598" spans="1:3" x14ac:dyDescent="0.35">
      <c r="A598" s="49" t="s">
        <v>14867</v>
      </c>
      <c r="B598" s="49" t="s">
        <v>14963</v>
      </c>
      <c r="C598" s="53" t="s">
        <v>14964</v>
      </c>
    </row>
    <row r="599" spans="1:3" x14ac:dyDescent="0.35">
      <c r="A599" s="49" t="s">
        <v>14867</v>
      </c>
      <c r="B599" s="49" t="s">
        <v>14965</v>
      </c>
      <c r="C599" s="53" t="s">
        <v>14966</v>
      </c>
    </row>
    <row r="600" spans="1:3" x14ac:dyDescent="0.35">
      <c r="A600" s="49" t="s">
        <v>14967</v>
      </c>
      <c r="B600" s="49" t="s">
        <v>14968</v>
      </c>
      <c r="C600" s="82" t="s">
        <v>14969</v>
      </c>
    </row>
    <row r="601" spans="1:3" x14ac:dyDescent="0.35">
      <c r="A601" s="350" t="s">
        <v>14967</v>
      </c>
      <c r="B601" s="49" t="s">
        <v>14970</v>
      </c>
      <c r="C601" s="352" t="s">
        <v>14971</v>
      </c>
    </row>
    <row r="602" spans="1:3" x14ac:dyDescent="0.35">
      <c r="A602" s="49" t="s">
        <v>14967</v>
      </c>
      <c r="B602" s="49" t="s">
        <v>14972</v>
      </c>
      <c r="C602" s="53" t="s">
        <v>14973</v>
      </c>
    </row>
    <row r="603" spans="1:3" x14ac:dyDescent="0.35">
      <c r="A603" s="49" t="s">
        <v>14967</v>
      </c>
      <c r="B603" s="49" t="s">
        <v>14974</v>
      </c>
      <c r="C603" s="53" t="s">
        <v>14975</v>
      </c>
    </row>
    <row r="604" spans="1:3" x14ac:dyDescent="0.35">
      <c r="A604" s="49" t="s">
        <v>14967</v>
      </c>
      <c r="B604" s="49" t="s">
        <v>14976</v>
      </c>
      <c r="C604" s="53" t="s">
        <v>14977</v>
      </c>
    </row>
    <row r="605" spans="1:3" x14ac:dyDescent="0.35">
      <c r="A605" s="49" t="s">
        <v>14967</v>
      </c>
      <c r="B605" s="49" t="s">
        <v>14978</v>
      </c>
      <c r="C605" s="53" t="s">
        <v>14979</v>
      </c>
    </row>
    <row r="606" spans="1:3" x14ac:dyDescent="0.35">
      <c r="A606" s="49" t="s">
        <v>14967</v>
      </c>
      <c r="B606" s="49" t="s">
        <v>14980</v>
      </c>
      <c r="C606" s="53" t="s">
        <v>14981</v>
      </c>
    </row>
    <row r="607" spans="1:3" x14ac:dyDescent="0.35">
      <c r="A607" s="49" t="s">
        <v>14967</v>
      </c>
      <c r="B607" s="49" t="s">
        <v>14982</v>
      </c>
      <c r="C607" s="53" t="s">
        <v>14983</v>
      </c>
    </row>
    <row r="608" spans="1:3" x14ac:dyDescent="0.35">
      <c r="A608" s="49" t="s">
        <v>14967</v>
      </c>
      <c r="B608" s="49" t="s">
        <v>14984</v>
      </c>
      <c r="C608" s="53" t="s">
        <v>14985</v>
      </c>
    </row>
    <row r="609" spans="1:3" x14ac:dyDescent="0.35">
      <c r="A609" s="49" t="s">
        <v>14967</v>
      </c>
      <c r="B609" s="49" t="s">
        <v>14986</v>
      </c>
      <c r="C609" s="53" t="s">
        <v>14987</v>
      </c>
    </row>
    <row r="610" spans="1:3" x14ac:dyDescent="0.35">
      <c r="A610" s="350" t="s">
        <v>14967</v>
      </c>
      <c r="B610" s="49" t="s">
        <v>14988</v>
      </c>
      <c r="C610" s="352" t="s">
        <v>14989</v>
      </c>
    </row>
    <row r="611" spans="1:3" x14ac:dyDescent="0.35">
      <c r="A611" s="49" t="s">
        <v>14967</v>
      </c>
      <c r="B611" s="49" t="s">
        <v>14990</v>
      </c>
      <c r="C611" s="53" t="s">
        <v>14991</v>
      </c>
    </row>
    <row r="612" spans="1:3" x14ac:dyDescent="0.35">
      <c r="A612" s="49" t="s">
        <v>14967</v>
      </c>
      <c r="B612" s="49" t="s">
        <v>14992</v>
      </c>
      <c r="C612" s="53" t="s">
        <v>14993</v>
      </c>
    </row>
    <row r="613" spans="1:3" x14ac:dyDescent="0.35">
      <c r="A613" s="49" t="s">
        <v>14967</v>
      </c>
      <c r="B613" s="49" t="s">
        <v>14994</v>
      </c>
      <c r="C613" s="53" t="s">
        <v>14995</v>
      </c>
    </row>
    <row r="614" spans="1:3" x14ac:dyDescent="0.35">
      <c r="A614" s="49" t="s">
        <v>14967</v>
      </c>
      <c r="B614" s="49" t="s">
        <v>14996</v>
      </c>
      <c r="C614" s="53" t="s">
        <v>14997</v>
      </c>
    </row>
    <row r="615" spans="1:3" x14ac:dyDescent="0.35">
      <c r="A615" s="49" t="s">
        <v>14967</v>
      </c>
      <c r="B615" s="49" t="s">
        <v>14998</v>
      </c>
      <c r="C615" s="53" t="s">
        <v>14999</v>
      </c>
    </row>
    <row r="616" spans="1:3" x14ac:dyDescent="0.35">
      <c r="A616" s="49" t="s">
        <v>14967</v>
      </c>
      <c r="B616" s="49" t="s">
        <v>15000</v>
      </c>
      <c r="C616" s="53" t="s">
        <v>15001</v>
      </c>
    </row>
    <row r="617" spans="1:3" x14ac:dyDescent="0.35">
      <c r="A617" s="49" t="s">
        <v>14967</v>
      </c>
      <c r="B617" s="49" t="s">
        <v>15002</v>
      </c>
      <c r="C617" s="53" t="s">
        <v>15003</v>
      </c>
    </row>
    <row r="618" spans="1:3" x14ac:dyDescent="0.35">
      <c r="A618" s="350" t="s">
        <v>14967</v>
      </c>
      <c r="B618" s="49" t="s">
        <v>15004</v>
      </c>
      <c r="C618" s="352" t="s">
        <v>15005</v>
      </c>
    </row>
    <row r="619" spans="1:3" x14ac:dyDescent="0.35">
      <c r="A619" s="49" t="s">
        <v>14967</v>
      </c>
      <c r="B619" s="49" t="s">
        <v>15006</v>
      </c>
      <c r="C619" s="53" t="s">
        <v>15007</v>
      </c>
    </row>
    <row r="620" spans="1:3" x14ac:dyDescent="0.35">
      <c r="A620" s="49" t="s">
        <v>14967</v>
      </c>
      <c r="B620" s="49" t="s">
        <v>15008</v>
      </c>
      <c r="C620" s="53" t="s">
        <v>15009</v>
      </c>
    </row>
    <row r="621" spans="1:3" x14ac:dyDescent="0.35">
      <c r="A621" s="49" t="s">
        <v>14967</v>
      </c>
      <c r="B621" s="49" t="s">
        <v>15010</v>
      </c>
      <c r="C621" s="53" t="s">
        <v>15011</v>
      </c>
    </row>
    <row r="622" spans="1:3" x14ac:dyDescent="0.35">
      <c r="A622" s="49" t="s">
        <v>14967</v>
      </c>
      <c r="B622" s="49" t="s">
        <v>15012</v>
      </c>
      <c r="C622" s="53" t="s">
        <v>15013</v>
      </c>
    </row>
    <row r="623" spans="1:3" x14ac:dyDescent="0.35">
      <c r="A623" s="49" t="s">
        <v>14967</v>
      </c>
      <c r="B623" s="49" t="s">
        <v>15014</v>
      </c>
      <c r="C623" s="53" t="s">
        <v>15015</v>
      </c>
    </row>
    <row r="624" spans="1:3" x14ac:dyDescent="0.35">
      <c r="A624" s="49" t="s">
        <v>14967</v>
      </c>
      <c r="B624" s="49" t="s">
        <v>15016</v>
      </c>
      <c r="C624" s="53" t="s">
        <v>15017</v>
      </c>
    </row>
    <row r="625" spans="1:15" x14ac:dyDescent="0.35">
      <c r="A625" s="350" t="s">
        <v>14967</v>
      </c>
      <c r="B625" s="49" t="s">
        <v>15018</v>
      </c>
      <c r="C625" s="352" t="s">
        <v>15019</v>
      </c>
    </row>
    <row r="626" spans="1:15" x14ac:dyDescent="0.35">
      <c r="A626" s="49" t="s">
        <v>14967</v>
      </c>
      <c r="B626" s="49" t="s">
        <v>15020</v>
      </c>
      <c r="C626" s="53" t="s">
        <v>15021</v>
      </c>
    </row>
    <row r="627" spans="1:15" x14ac:dyDescent="0.35">
      <c r="A627" s="49" t="s">
        <v>14967</v>
      </c>
      <c r="B627" s="49" t="s">
        <v>15022</v>
      </c>
      <c r="C627" s="53" t="s">
        <v>15023</v>
      </c>
    </row>
    <row r="628" spans="1:15" x14ac:dyDescent="0.35">
      <c r="A628" s="49" t="s">
        <v>14967</v>
      </c>
      <c r="B628" s="49" t="s">
        <v>15024</v>
      </c>
      <c r="C628" s="53" t="s">
        <v>15025</v>
      </c>
    </row>
    <row r="629" spans="1:15" x14ac:dyDescent="0.35">
      <c r="A629" s="49" t="s">
        <v>14967</v>
      </c>
      <c r="B629" s="49" t="s">
        <v>15026</v>
      </c>
      <c r="C629" s="53" t="s">
        <v>15027</v>
      </c>
    </row>
    <row r="630" spans="1:15" x14ac:dyDescent="0.35">
      <c r="A630" s="49" t="s">
        <v>14967</v>
      </c>
      <c r="B630" s="49" t="s">
        <v>15028</v>
      </c>
      <c r="C630" s="53" t="s">
        <v>15029</v>
      </c>
    </row>
    <row r="631" spans="1:15" x14ac:dyDescent="0.35">
      <c r="A631" s="350" t="s">
        <v>14967</v>
      </c>
      <c r="B631" s="49" t="s">
        <v>15030</v>
      </c>
      <c r="C631" s="352" t="s">
        <v>15031</v>
      </c>
    </row>
    <row r="632" spans="1:15" x14ac:dyDescent="0.35">
      <c r="A632" s="49" t="s">
        <v>14967</v>
      </c>
      <c r="B632" s="49" t="s">
        <v>15032</v>
      </c>
      <c r="C632" s="53" t="s">
        <v>15033</v>
      </c>
    </row>
    <row r="633" spans="1:15" x14ac:dyDescent="0.35">
      <c r="A633" s="49" t="s">
        <v>14967</v>
      </c>
      <c r="B633" s="49" t="s">
        <v>15034</v>
      </c>
      <c r="C633" s="53" t="s">
        <v>15035</v>
      </c>
    </row>
    <row r="634" spans="1:15" x14ac:dyDescent="0.35">
      <c r="A634" s="49" t="s">
        <v>14967</v>
      </c>
      <c r="B634" s="49" t="s">
        <v>15036</v>
      </c>
      <c r="C634" s="53" t="s">
        <v>15037</v>
      </c>
    </row>
    <row r="635" spans="1:15" ht="43.5" x14ac:dyDescent="0.35">
      <c r="A635" s="49" t="s">
        <v>15038</v>
      </c>
      <c r="B635" s="49" t="s">
        <v>15039</v>
      </c>
      <c r="C635" s="82" t="s">
        <v>15040</v>
      </c>
      <c r="K635" s="387" t="s">
        <v>2</v>
      </c>
      <c r="L635" s="387" t="s">
        <v>75</v>
      </c>
      <c r="M635" s="387" t="s">
        <v>13768</v>
      </c>
      <c r="N635" s="387" t="s">
        <v>21597</v>
      </c>
      <c r="O635" s="387" t="s">
        <v>9</v>
      </c>
    </row>
    <row r="636" spans="1:15" ht="58" x14ac:dyDescent="0.35">
      <c r="A636" s="350" t="s">
        <v>15038</v>
      </c>
      <c r="B636" s="49" t="s">
        <v>15041</v>
      </c>
      <c r="C636" s="352" t="s">
        <v>15042</v>
      </c>
      <c r="K636" s="388" t="s">
        <v>21598</v>
      </c>
      <c r="L636" s="388" t="s">
        <v>18</v>
      </c>
      <c r="M636" s="388">
        <v>14210.01</v>
      </c>
      <c r="N636" s="388" t="s">
        <v>21599</v>
      </c>
      <c r="O636" s="388" t="s">
        <v>21600</v>
      </c>
    </row>
    <row r="637" spans="1:15" ht="58" x14ac:dyDescent="0.35">
      <c r="A637" s="49" t="s">
        <v>15038</v>
      </c>
      <c r="B637" s="49" t="s">
        <v>15043</v>
      </c>
      <c r="C637" s="53" t="s">
        <v>15044</v>
      </c>
      <c r="K637" s="388" t="s">
        <v>21601</v>
      </c>
      <c r="L637" s="388" t="s">
        <v>18</v>
      </c>
      <c r="M637" s="388">
        <v>14210.02</v>
      </c>
      <c r="N637" s="388" t="s">
        <v>21599</v>
      </c>
      <c r="O637" s="388" t="s">
        <v>21602</v>
      </c>
    </row>
    <row r="638" spans="1:15" ht="58" x14ac:dyDescent="0.35">
      <c r="A638" s="49" t="s">
        <v>15038</v>
      </c>
      <c r="B638" s="49" t="s">
        <v>15045</v>
      </c>
      <c r="C638" s="53" t="s">
        <v>15046</v>
      </c>
      <c r="K638" s="388" t="s">
        <v>21603</v>
      </c>
      <c r="L638" s="388" t="s">
        <v>18</v>
      </c>
      <c r="M638" s="388">
        <v>14240.01</v>
      </c>
      <c r="N638" s="388" t="s">
        <v>21599</v>
      </c>
      <c r="O638" s="388" t="s">
        <v>21604</v>
      </c>
    </row>
    <row r="639" spans="1:15" ht="58" x14ac:dyDescent="0.35">
      <c r="A639" s="49" t="s">
        <v>15038</v>
      </c>
      <c r="B639" s="49" t="s">
        <v>15047</v>
      </c>
      <c r="C639" s="53" t="s">
        <v>15048</v>
      </c>
      <c r="K639" s="388" t="s">
        <v>21605</v>
      </c>
      <c r="L639" s="388" t="s">
        <v>18</v>
      </c>
      <c r="M639" s="388">
        <v>14240.02</v>
      </c>
      <c r="N639" s="388" t="s">
        <v>21599</v>
      </c>
      <c r="O639" s="388" t="s">
        <v>21602</v>
      </c>
    </row>
    <row r="640" spans="1:15" ht="58" x14ac:dyDescent="0.35">
      <c r="A640" s="350" t="s">
        <v>15038</v>
      </c>
      <c r="B640" s="49" t="s">
        <v>15049</v>
      </c>
      <c r="C640" s="352" t="s">
        <v>15050</v>
      </c>
      <c r="K640" s="388" t="s">
        <v>21606</v>
      </c>
      <c r="L640" s="388" t="s">
        <v>18</v>
      </c>
      <c r="M640" s="388">
        <v>14270.01</v>
      </c>
      <c r="N640" s="388" t="s">
        <v>21599</v>
      </c>
      <c r="O640" s="388" t="s">
        <v>21607</v>
      </c>
    </row>
    <row r="641" spans="1:15" ht="43.5" x14ac:dyDescent="0.35">
      <c r="A641" s="49" t="s">
        <v>15038</v>
      </c>
      <c r="B641" s="49" t="s">
        <v>15051</v>
      </c>
      <c r="C641" s="53" t="s">
        <v>15052</v>
      </c>
      <c r="K641" s="388" t="s">
        <v>21608</v>
      </c>
      <c r="L641" s="388" t="s">
        <v>18</v>
      </c>
      <c r="M641" s="388">
        <v>14270.02</v>
      </c>
      <c r="N641" s="388" t="s">
        <v>21599</v>
      </c>
      <c r="O641" s="388" t="s">
        <v>21604</v>
      </c>
    </row>
    <row r="642" spans="1:15" ht="43.5" x14ac:dyDescent="0.35">
      <c r="A642" s="49" t="s">
        <v>15038</v>
      </c>
      <c r="B642" s="49" t="s">
        <v>15053</v>
      </c>
      <c r="C642" s="53" t="s">
        <v>15054</v>
      </c>
      <c r="K642" s="388" t="s">
        <v>21609</v>
      </c>
      <c r="L642" s="388" t="s">
        <v>18</v>
      </c>
      <c r="M642" s="388">
        <v>14270.03</v>
      </c>
      <c r="N642" s="388" t="s">
        <v>21599</v>
      </c>
      <c r="O642" s="388" t="s">
        <v>21610</v>
      </c>
    </row>
    <row r="643" spans="1:15" ht="43.5" x14ac:dyDescent="0.35">
      <c r="A643" s="49" t="s">
        <v>15038</v>
      </c>
      <c r="B643" s="49" t="s">
        <v>15055</v>
      </c>
      <c r="C643" s="53" t="s">
        <v>15056</v>
      </c>
      <c r="K643" s="388" t="s">
        <v>21611</v>
      </c>
      <c r="L643" s="388" t="s">
        <v>18</v>
      </c>
      <c r="M643" s="388">
        <v>14270.04</v>
      </c>
      <c r="N643" s="388" t="s">
        <v>21599</v>
      </c>
      <c r="O643" s="388" t="s">
        <v>21604</v>
      </c>
    </row>
    <row r="644" spans="1:15" ht="29" x14ac:dyDescent="0.35">
      <c r="A644" s="49" t="s">
        <v>15038</v>
      </c>
      <c r="B644" s="49" t="s">
        <v>15057</v>
      </c>
      <c r="C644" s="53" t="s">
        <v>15058</v>
      </c>
      <c r="K644" s="388" t="s">
        <v>96</v>
      </c>
      <c r="L644" s="388" t="s">
        <v>18</v>
      </c>
      <c r="M644" s="388">
        <v>14300.01</v>
      </c>
      <c r="N644" s="388" t="s">
        <v>21599</v>
      </c>
      <c r="O644" s="388" t="s">
        <v>21612</v>
      </c>
    </row>
    <row r="645" spans="1:15" ht="29" x14ac:dyDescent="0.35">
      <c r="A645" s="49" t="s">
        <v>15038</v>
      </c>
      <c r="B645" s="49" t="s">
        <v>15059</v>
      </c>
      <c r="C645" s="53" t="s">
        <v>15060</v>
      </c>
      <c r="K645" s="388" t="s">
        <v>15067</v>
      </c>
      <c r="L645" s="388" t="s">
        <v>19</v>
      </c>
      <c r="M645" s="388">
        <v>14300.01</v>
      </c>
      <c r="N645" s="388" t="s">
        <v>21599</v>
      </c>
      <c r="O645" s="388" t="s">
        <v>21613</v>
      </c>
    </row>
    <row r="646" spans="1:15" ht="29" x14ac:dyDescent="0.35">
      <c r="A646" s="49" t="s">
        <v>15038</v>
      </c>
      <c r="B646" s="49" t="s">
        <v>15061</v>
      </c>
      <c r="C646" s="53" t="s">
        <v>15062</v>
      </c>
      <c r="K646" s="388" t="s">
        <v>21614</v>
      </c>
      <c r="L646" s="388" t="s">
        <v>19</v>
      </c>
      <c r="M646" s="388">
        <v>14550.01</v>
      </c>
      <c r="N646" s="388" t="s">
        <v>21599</v>
      </c>
      <c r="O646" s="388" t="s">
        <v>21615</v>
      </c>
    </row>
    <row r="647" spans="1:15" ht="29" x14ac:dyDescent="0.35">
      <c r="A647" s="350" t="s">
        <v>15038</v>
      </c>
      <c r="B647" s="49" t="s">
        <v>15063</v>
      </c>
      <c r="C647" s="352" t="s">
        <v>15064</v>
      </c>
      <c r="K647" s="388" t="s">
        <v>21616</v>
      </c>
      <c r="L647" s="388" t="s">
        <v>18</v>
      </c>
      <c r="M647" s="388">
        <v>14560.01</v>
      </c>
      <c r="N647" s="388" t="s">
        <v>21599</v>
      </c>
      <c r="O647" s="388" t="s">
        <v>21617</v>
      </c>
    </row>
    <row r="648" spans="1:15" x14ac:dyDescent="0.35">
      <c r="A648" s="49" t="s">
        <v>15038</v>
      </c>
      <c r="B648" s="49" t="s">
        <v>15065</v>
      </c>
      <c r="C648" s="53" t="s">
        <v>96</v>
      </c>
      <c r="K648" s="388" t="s">
        <v>21618</v>
      </c>
      <c r="L648" s="388" t="s">
        <v>18</v>
      </c>
      <c r="M648" s="388">
        <v>14560.02</v>
      </c>
      <c r="N648" s="388" t="s">
        <v>21599</v>
      </c>
      <c r="O648" s="388" t="s">
        <v>21617</v>
      </c>
    </row>
    <row r="649" spans="1:15" x14ac:dyDescent="0.35">
      <c r="A649" s="49" t="s">
        <v>15038</v>
      </c>
      <c r="B649" s="49" t="s">
        <v>15066</v>
      </c>
      <c r="C649" s="53" t="s">
        <v>15067</v>
      </c>
      <c r="K649" s="388" t="s">
        <v>21619</v>
      </c>
      <c r="L649" s="388" t="s">
        <v>90</v>
      </c>
      <c r="M649" s="388">
        <v>14580.01</v>
      </c>
      <c r="N649" s="388" t="s">
        <v>21599</v>
      </c>
      <c r="O649" s="388" t="s">
        <v>21620</v>
      </c>
    </row>
    <row r="650" spans="1:15" x14ac:dyDescent="0.35">
      <c r="A650" s="49" t="s">
        <v>15038</v>
      </c>
      <c r="B650" s="49" t="s">
        <v>15068</v>
      </c>
      <c r="C650" s="53" t="s">
        <v>15069</v>
      </c>
      <c r="K650" s="388" t="s">
        <v>21621</v>
      </c>
      <c r="L650" s="388" t="s">
        <v>77</v>
      </c>
      <c r="M650" s="388">
        <v>14605.01</v>
      </c>
      <c r="N650" s="388" t="s">
        <v>21599</v>
      </c>
      <c r="O650" s="388" t="s">
        <v>21622</v>
      </c>
    </row>
    <row r="651" spans="1:15" x14ac:dyDescent="0.35">
      <c r="A651" s="350" t="s">
        <v>15038</v>
      </c>
      <c r="B651" s="49" t="s">
        <v>15070</v>
      </c>
      <c r="C651" s="352" t="s">
        <v>15071</v>
      </c>
      <c r="K651" s="388" t="s">
        <v>21623</v>
      </c>
      <c r="L651" s="388" t="s">
        <v>77</v>
      </c>
      <c r="M651" s="388">
        <v>14605.01</v>
      </c>
      <c r="N651" s="388" t="s">
        <v>21599</v>
      </c>
      <c r="O651" s="388" t="s">
        <v>21624</v>
      </c>
    </row>
    <row r="652" spans="1:15" x14ac:dyDescent="0.35">
      <c r="A652" s="49" t="s">
        <v>15038</v>
      </c>
      <c r="B652" s="49" t="s">
        <v>15072</v>
      </c>
      <c r="C652" s="53" t="s">
        <v>15073</v>
      </c>
      <c r="K652" s="388" t="s">
        <v>21625</v>
      </c>
      <c r="L652" s="388" t="s">
        <v>77</v>
      </c>
      <c r="M652" s="388">
        <v>14605.01</v>
      </c>
      <c r="N652" s="388" t="s">
        <v>21599</v>
      </c>
      <c r="O652" s="388" t="s">
        <v>21624</v>
      </c>
    </row>
    <row r="653" spans="1:15" x14ac:dyDescent="0.35">
      <c r="A653" s="49" t="s">
        <v>15038</v>
      </c>
      <c r="B653" s="49" t="s">
        <v>15074</v>
      </c>
      <c r="C653" s="53" t="s">
        <v>15075</v>
      </c>
      <c r="K653" s="388" t="s">
        <v>21626</v>
      </c>
      <c r="L653" s="388" t="s">
        <v>77</v>
      </c>
      <c r="M653" s="388">
        <v>14605.01</v>
      </c>
      <c r="N653" s="388" t="s">
        <v>21599</v>
      </c>
      <c r="O653" s="388" t="s">
        <v>21627</v>
      </c>
    </row>
    <row r="654" spans="1:15" x14ac:dyDescent="0.35">
      <c r="A654" s="49" t="s">
        <v>15038</v>
      </c>
      <c r="B654" s="49" t="s">
        <v>15076</v>
      </c>
      <c r="C654" s="53" t="s">
        <v>15077</v>
      </c>
      <c r="K654" s="388" t="s">
        <v>21628</v>
      </c>
      <c r="L654" s="388" t="s">
        <v>77</v>
      </c>
      <c r="M654" s="388">
        <v>14605.02</v>
      </c>
      <c r="N654" s="388" t="s">
        <v>21599</v>
      </c>
      <c r="O654" s="388" t="s">
        <v>21627</v>
      </c>
    </row>
    <row r="655" spans="1:15" x14ac:dyDescent="0.35">
      <c r="A655" s="49" t="s">
        <v>15038</v>
      </c>
      <c r="B655" s="49" t="s">
        <v>15078</v>
      </c>
      <c r="C655" s="53" t="s">
        <v>15079</v>
      </c>
      <c r="K655" s="388" t="s">
        <v>21629</v>
      </c>
      <c r="L655" s="388" t="s">
        <v>77</v>
      </c>
      <c r="M655" s="388">
        <v>14605.02</v>
      </c>
      <c r="N655" s="388" t="s">
        <v>21599</v>
      </c>
      <c r="O655" s="388" t="s">
        <v>21630</v>
      </c>
    </row>
    <row r="656" spans="1:15" x14ac:dyDescent="0.35">
      <c r="A656" s="49" t="s">
        <v>15038</v>
      </c>
      <c r="B656" s="49" t="s">
        <v>15080</v>
      </c>
      <c r="C656" s="53" t="s">
        <v>15081</v>
      </c>
      <c r="K656" s="388" t="s">
        <v>21631</v>
      </c>
      <c r="L656" s="388" t="s">
        <v>77</v>
      </c>
      <c r="M656" s="388">
        <v>14605.02</v>
      </c>
      <c r="N656" s="388" t="s">
        <v>21599</v>
      </c>
      <c r="O656" s="388" t="s">
        <v>21630</v>
      </c>
    </row>
    <row r="657" spans="1:15" x14ac:dyDescent="0.35">
      <c r="A657" s="49" t="s">
        <v>15038</v>
      </c>
      <c r="B657" s="49" t="s">
        <v>15082</v>
      </c>
      <c r="C657" s="53" t="s">
        <v>15083</v>
      </c>
      <c r="K657" s="388" t="s">
        <v>21632</v>
      </c>
      <c r="L657" s="388" t="s">
        <v>77</v>
      </c>
      <c r="M657" s="388">
        <v>14605.02</v>
      </c>
      <c r="N657" s="388" t="s">
        <v>21599</v>
      </c>
      <c r="O657" s="388" t="s">
        <v>21633</v>
      </c>
    </row>
    <row r="658" spans="1:15" x14ac:dyDescent="0.35">
      <c r="A658" s="350" t="s">
        <v>15038</v>
      </c>
      <c r="B658" s="49" t="s">
        <v>15084</v>
      </c>
      <c r="C658" s="352" t="s">
        <v>15085</v>
      </c>
      <c r="K658" s="388" t="s">
        <v>21634</v>
      </c>
      <c r="L658" s="388" t="s">
        <v>77</v>
      </c>
      <c r="M658" s="388">
        <v>14605.02</v>
      </c>
      <c r="N658" s="388" t="s">
        <v>21599</v>
      </c>
      <c r="O658" s="388" t="s">
        <v>21633</v>
      </c>
    </row>
    <row r="659" spans="1:15" x14ac:dyDescent="0.35">
      <c r="A659" s="49" t="s">
        <v>15038</v>
      </c>
      <c r="B659" s="49" t="s">
        <v>15086</v>
      </c>
      <c r="C659" s="53" t="s">
        <v>15087</v>
      </c>
      <c r="K659" s="388" t="s">
        <v>21635</v>
      </c>
      <c r="L659" s="388" t="s">
        <v>77</v>
      </c>
      <c r="M659" s="388">
        <v>14605.02</v>
      </c>
      <c r="N659" s="388" t="s">
        <v>21599</v>
      </c>
      <c r="O659" s="388" t="s">
        <v>21636</v>
      </c>
    </row>
    <row r="660" spans="1:15" x14ac:dyDescent="0.35">
      <c r="A660" s="49" t="s">
        <v>15038</v>
      </c>
      <c r="B660" s="49" t="s">
        <v>15088</v>
      </c>
      <c r="C660" s="53" t="s">
        <v>15089</v>
      </c>
      <c r="K660" s="388" t="s">
        <v>21637</v>
      </c>
      <c r="L660" s="388" t="s">
        <v>77</v>
      </c>
      <c r="M660" s="388">
        <v>14605.02</v>
      </c>
      <c r="N660" s="388" t="s">
        <v>21599</v>
      </c>
      <c r="O660" s="388" t="s">
        <v>21638</v>
      </c>
    </row>
    <row r="661" spans="1:15" x14ac:dyDescent="0.35">
      <c r="A661" s="49" t="s">
        <v>15038</v>
      </c>
      <c r="B661" s="49" t="s">
        <v>15090</v>
      </c>
      <c r="C661" s="53" t="s">
        <v>15091</v>
      </c>
      <c r="K661" s="388" t="s">
        <v>21639</v>
      </c>
      <c r="L661" s="388" t="s">
        <v>77</v>
      </c>
      <c r="M661" s="388">
        <v>14605.02</v>
      </c>
      <c r="N661" s="388" t="s">
        <v>21599</v>
      </c>
      <c r="O661" s="388" t="s">
        <v>21638</v>
      </c>
    </row>
    <row r="662" spans="1:15" x14ac:dyDescent="0.35">
      <c r="A662" s="49" t="s">
        <v>15038</v>
      </c>
      <c r="B662" s="49" t="s">
        <v>15092</v>
      </c>
      <c r="C662" s="53" t="s">
        <v>15093</v>
      </c>
    </row>
    <row r="663" spans="1:15" x14ac:dyDescent="0.35">
      <c r="A663" s="350" t="s">
        <v>15038</v>
      </c>
      <c r="B663" s="49" t="s">
        <v>15094</v>
      </c>
      <c r="C663" s="352" t="s">
        <v>15095</v>
      </c>
    </row>
    <row r="664" spans="1:15" x14ac:dyDescent="0.35">
      <c r="A664" s="49" t="s">
        <v>15038</v>
      </c>
      <c r="B664" s="49" t="s">
        <v>15096</v>
      </c>
      <c r="C664" s="53" t="s">
        <v>15097</v>
      </c>
    </row>
    <row r="665" spans="1:15" x14ac:dyDescent="0.35">
      <c r="A665" s="49" t="s">
        <v>15038</v>
      </c>
      <c r="B665" s="49" t="s">
        <v>15098</v>
      </c>
      <c r="C665" s="53" t="s">
        <v>15099</v>
      </c>
    </row>
    <row r="666" spans="1:15" x14ac:dyDescent="0.35">
      <c r="A666" s="49" t="s">
        <v>15038</v>
      </c>
      <c r="B666" s="49" t="s">
        <v>15100</v>
      </c>
      <c r="C666" s="53" t="s">
        <v>15101</v>
      </c>
    </row>
    <row r="667" spans="1:15" x14ac:dyDescent="0.35">
      <c r="A667" s="49" t="s">
        <v>15038</v>
      </c>
      <c r="B667" s="49" t="s">
        <v>15102</v>
      </c>
      <c r="C667" s="53" t="s">
        <v>15103</v>
      </c>
    </row>
    <row r="668" spans="1:15" x14ac:dyDescent="0.35">
      <c r="A668" s="350" t="s">
        <v>15038</v>
      </c>
      <c r="B668" s="49" t="s">
        <v>15104</v>
      </c>
      <c r="C668" s="352" t="s">
        <v>15105</v>
      </c>
    </row>
    <row r="669" spans="1:15" x14ac:dyDescent="0.35">
      <c r="A669" s="49" t="s">
        <v>15038</v>
      </c>
      <c r="B669" s="49" t="s">
        <v>15106</v>
      </c>
      <c r="C669" s="53" t="s">
        <v>15107</v>
      </c>
    </row>
    <row r="670" spans="1:15" x14ac:dyDescent="0.35">
      <c r="A670" s="49" t="s">
        <v>15038</v>
      </c>
      <c r="B670" s="49" t="s">
        <v>15108</v>
      </c>
      <c r="C670" s="53" t="s">
        <v>15109</v>
      </c>
    </row>
    <row r="671" spans="1:15" x14ac:dyDescent="0.35">
      <c r="A671" s="49" t="s">
        <v>15038</v>
      </c>
      <c r="B671" s="49" t="s">
        <v>15110</v>
      </c>
      <c r="C671" s="53" t="s">
        <v>15111</v>
      </c>
    </row>
    <row r="672" spans="1:15" x14ac:dyDescent="0.35">
      <c r="A672" s="49" t="s">
        <v>15112</v>
      </c>
      <c r="B672" s="49" t="s">
        <v>15113</v>
      </c>
      <c r="C672" s="81" t="s">
        <v>15114</v>
      </c>
      <c r="J672" s="1">
        <v>8</v>
      </c>
    </row>
    <row r="673" spans="1:10" x14ac:dyDescent="0.35">
      <c r="A673" s="350" t="s">
        <v>15112</v>
      </c>
      <c r="B673" s="49" t="s">
        <v>15115</v>
      </c>
      <c r="C673" s="352" t="s">
        <v>15116</v>
      </c>
      <c r="J673" s="1">
        <v>14</v>
      </c>
    </row>
    <row r="674" spans="1:10" x14ac:dyDescent="0.35">
      <c r="A674" s="49" t="s">
        <v>15112</v>
      </c>
      <c r="B674" s="49" t="s">
        <v>15117</v>
      </c>
      <c r="C674" s="53" t="s">
        <v>15118</v>
      </c>
    </row>
    <row r="675" spans="1:10" x14ac:dyDescent="0.35">
      <c r="A675" s="49" t="s">
        <v>15112</v>
      </c>
      <c r="B675" s="49" t="s">
        <v>15119</v>
      </c>
      <c r="C675" s="53" t="s">
        <v>15120</v>
      </c>
    </row>
    <row r="676" spans="1:10" x14ac:dyDescent="0.35">
      <c r="A676" s="49" t="s">
        <v>15112</v>
      </c>
      <c r="B676" s="49" t="s">
        <v>15121</v>
      </c>
      <c r="C676" s="53" t="s">
        <v>15122</v>
      </c>
    </row>
    <row r="677" spans="1:10" x14ac:dyDescent="0.35">
      <c r="A677" s="49" t="s">
        <v>15112</v>
      </c>
      <c r="B677" s="49" t="s">
        <v>15123</v>
      </c>
      <c r="C677" s="53" t="s">
        <v>15124</v>
      </c>
    </row>
    <row r="678" spans="1:10" x14ac:dyDescent="0.35">
      <c r="A678" s="49" t="s">
        <v>15112</v>
      </c>
      <c r="B678" s="49" t="s">
        <v>15125</v>
      </c>
      <c r="C678" s="352" t="s">
        <v>15126</v>
      </c>
    </row>
    <row r="679" spans="1:10" x14ac:dyDescent="0.35">
      <c r="A679" s="49" t="s">
        <v>15112</v>
      </c>
      <c r="B679" s="49" t="s">
        <v>15127</v>
      </c>
      <c r="C679" s="53" t="s">
        <v>15128</v>
      </c>
    </row>
    <row r="680" spans="1:10" x14ac:dyDescent="0.35">
      <c r="A680" s="49" t="s">
        <v>15112</v>
      </c>
      <c r="B680" s="49" t="s">
        <v>15129</v>
      </c>
      <c r="C680" s="53" t="s">
        <v>15130</v>
      </c>
    </row>
    <row r="681" spans="1:10" x14ac:dyDescent="0.35">
      <c r="A681" s="49" t="s">
        <v>15112</v>
      </c>
      <c r="B681" s="49" t="s">
        <v>15131</v>
      </c>
      <c r="C681" s="53" t="s">
        <v>15132</v>
      </c>
    </row>
    <row r="682" spans="1:10" x14ac:dyDescent="0.35">
      <c r="A682" s="49" t="s">
        <v>15112</v>
      </c>
      <c r="B682" s="49" t="s">
        <v>15133</v>
      </c>
      <c r="C682" s="53" t="s">
        <v>15134</v>
      </c>
    </row>
    <row r="683" spans="1:10" x14ac:dyDescent="0.35">
      <c r="A683" s="49" t="s">
        <v>15112</v>
      </c>
      <c r="B683" s="49" t="s">
        <v>15135</v>
      </c>
      <c r="C683" s="352" t="s">
        <v>15136</v>
      </c>
    </row>
    <row r="684" spans="1:10" x14ac:dyDescent="0.35">
      <c r="A684" s="49" t="s">
        <v>15112</v>
      </c>
      <c r="B684" s="49" t="s">
        <v>15137</v>
      </c>
      <c r="C684" s="53" t="s">
        <v>15138</v>
      </c>
    </row>
    <row r="685" spans="1:10" x14ac:dyDescent="0.35">
      <c r="A685" s="49" t="s">
        <v>15112</v>
      </c>
      <c r="B685" s="49" t="s">
        <v>15139</v>
      </c>
      <c r="C685" s="53" t="s">
        <v>15140</v>
      </c>
    </row>
    <row r="686" spans="1:10" x14ac:dyDescent="0.35">
      <c r="A686" s="49" t="s">
        <v>15112</v>
      </c>
      <c r="B686" s="49" t="s">
        <v>15141</v>
      </c>
      <c r="C686" s="53" t="s">
        <v>15142</v>
      </c>
    </row>
    <row r="687" spans="1:10" x14ac:dyDescent="0.35">
      <c r="A687" s="49" t="s">
        <v>15112</v>
      </c>
      <c r="B687" s="49" t="s">
        <v>15143</v>
      </c>
      <c r="C687" s="53" t="s">
        <v>15144</v>
      </c>
    </row>
    <row r="688" spans="1:10" x14ac:dyDescent="0.35">
      <c r="A688" s="49" t="s">
        <v>15112</v>
      </c>
      <c r="B688" s="49" t="s">
        <v>15145</v>
      </c>
      <c r="C688" s="53" t="s">
        <v>15146</v>
      </c>
    </row>
    <row r="689" spans="1:3" x14ac:dyDescent="0.35">
      <c r="A689" s="49" t="s">
        <v>15112</v>
      </c>
      <c r="B689" s="49" t="s">
        <v>15147</v>
      </c>
      <c r="C689" s="53" t="s">
        <v>15148</v>
      </c>
    </row>
    <row r="690" spans="1:3" x14ac:dyDescent="0.35">
      <c r="A690" s="49" t="s">
        <v>15149</v>
      </c>
      <c r="B690" s="49" t="s">
        <v>15150</v>
      </c>
      <c r="C690" s="480" t="s">
        <v>68</v>
      </c>
    </row>
    <row r="691" spans="1:3" x14ac:dyDescent="0.35">
      <c r="A691" s="49" t="s">
        <v>15149</v>
      </c>
      <c r="B691" s="49" t="s">
        <v>15151</v>
      </c>
      <c r="C691" s="352" t="s">
        <v>15152</v>
      </c>
    </row>
    <row r="692" spans="1:3" x14ac:dyDescent="0.35">
      <c r="A692" s="49" t="s">
        <v>15149</v>
      </c>
      <c r="B692" s="49" t="s">
        <v>15153</v>
      </c>
      <c r="C692" s="53" t="s">
        <v>15154</v>
      </c>
    </row>
    <row r="693" spans="1:3" x14ac:dyDescent="0.35">
      <c r="A693" s="49" t="s">
        <v>15149</v>
      </c>
      <c r="B693" s="49" t="s">
        <v>15155</v>
      </c>
      <c r="C693" s="53" t="s">
        <v>15156</v>
      </c>
    </row>
    <row r="694" spans="1:3" x14ac:dyDescent="0.35">
      <c r="A694" s="49" t="s">
        <v>15149</v>
      </c>
      <c r="B694" s="49" t="s">
        <v>15157</v>
      </c>
      <c r="C694" s="53" t="s">
        <v>15158</v>
      </c>
    </row>
    <row r="695" spans="1:3" x14ac:dyDescent="0.35">
      <c r="A695" s="49" t="s">
        <v>15149</v>
      </c>
      <c r="B695" s="49" t="s">
        <v>15159</v>
      </c>
      <c r="C695" s="53" t="s">
        <v>15160</v>
      </c>
    </row>
    <row r="696" spans="1:3" x14ac:dyDescent="0.35">
      <c r="A696" s="49" t="s">
        <v>15149</v>
      </c>
      <c r="B696" s="49" t="s">
        <v>15161</v>
      </c>
      <c r="C696" s="53" t="s">
        <v>15162</v>
      </c>
    </row>
    <row r="697" spans="1:3" x14ac:dyDescent="0.35">
      <c r="A697" s="49" t="s">
        <v>15149</v>
      </c>
      <c r="B697" s="49" t="s">
        <v>15163</v>
      </c>
      <c r="C697" s="352" t="s">
        <v>15164</v>
      </c>
    </row>
    <row r="698" spans="1:3" x14ac:dyDescent="0.35">
      <c r="A698" s="49" t="s">
        <v>15149</v>
      </c>
      <c r="B698" s="49" t="s">
        <v>15165</v>
      </c>
      <c r="C698" s="53" t="s">
        <v>15166</v>
      </c>
    </row>
    <row r="699" spans="1:3" x14ac:dyDescent="0.35">
      <c r="A699" s="49" t="s">
        <v>15149</v>
      </c>
      <c r="B699" s="49" t="s">
        <v>15167</v>
      </c>
      <c r="C699" s="53" t="s">
        <v>15168</v>
      </c>
    </row>
    <row r="700" spans="1:3" x14ac:dyDescent="0.35">
      <c r="A700" s="49" t="s">
        <v>15149</v>
      </c>
      <c r="B700" s="49" t="s">
        <v>15169</v>
      </c>
      <c r="C700" s="53" t="s">
        <v>15170</v>
      </c>
    </row>
    <row r="701" spans="1:3" x14ac:dyDescent="0.35">
      <c r="A701" s="49" t="s">
        <v>15149</v>
      </c>
      <c r="B701" s="49" t="s">
        <v>15171</v>
      </c>
      <c r="C701" s="53" t="s">
        <v>15172</v>
      </c>
    </row>
    <row r="702" spans="1:3" x14ac:dyDescent="0.35">
      <c r="A702" s="49" t="s">
        <v>15149</v>
      </c>
      <c r="B702" s="49" t="s">
        <v>15173</v>
      </c>
      <c r="C702" s="53" t="s">
        <v>15174</v>
      </c>
    </row>
    <row r="703" spans="1:3" x14ac:dyDescent="0.35">
      <c r="A703" s="49" t="s">
        <v>15149</v>
      </c>
      <c r="B703" s="49" t="s">
        <v>15175</v>
      </c>
      <c r="C703" s="53" t="s">
        <v>15176</v>
      </c>
    </row>
    <row r="704" spans="1:3" x14ac:dyDescent="0.35">
      <c r="A704" s="49" t="s">
        <v>15149</v>
      </c>
      <c r="B704" s="49" t="s">
        <v>15177</v>
      </c>
      <c r="C704" s="352" t="s">
        <v>15178</v>
      </c>
    </row>
    <row r="705" spans="1:3" x14ac:dyDescent="0.35">
      <c r="A705" s="49" t="s">
        <v>15149</v>
      </c>
      <c r="B705" s="49" t="s">
        <v>15179</v>
      </c>
      <c r="C705" s="53" t="s">
        <v>15180</v>
      </c>
    </row>
    <row r="706" spans="1:3" x14ac:dyDescent="0.35">
      <c r="A706" s="49" t="s">
        <v>15149</v>
      </c>
      <c r="B706" s="49" t="s">
        <v>15181</v>
      </c>
      <c r="C706" s="53" t="s">
        <v>15182</v>
      </c>
    </row>
    <row r="707" spans="1:3" x14ac:dyDescent="0.35">
      <c r="A707" s="49" t="s">
        <v>15149</v>
      </c>
      <c r="B707" s="49" t="s">
        <v>15183</v>
      </c>
      <c r="C707" s="53" t="s">
        <v>15184</v>
      </c>
    </row>
    <row r="708" spans="1:3" x14ac:dyDescent="0.35">
      <c r="A708" s="49" t="s">
        <v>15149</v>
      </c>
      <c r="B708" s="49" t="s">
        <v>15185</v>
      </c>
      <c r="C708" s="53" t="s">
        <v>15186</v>
      </c>
    </row>
    <row r="709" spans="1:3" x14ac:dyDescent="0.35">
      <c r="A709" s="49" t="s">
        <v>15149</v>
      </c>
      <c r="B709" s="49" t="s">
        <v>15187</v>
      </c>
      <c r="C709" s="53" t="s">
        <v>15188</v>
      </c>
    </row>
    <row r="710" spans="1:3" x14ac:dyDescent="0.35">
      <c r="A710" s="49" t="s">
        <v>15149</v>
      </c>
      <c r="B710" s="49" t="s">
        <v>15189</v>
      </c>
      <c r="C710" s="53" t="s">
        <v>15190</v>
      </c>
    </row>
    <row r="711" spans="1:3" x14ac:dyDescent="0.35">
      <c r="A711" s="49" t="s">
        <v>15149</v>
      </c>
      <c r="B711" s="49" t="s">
        <v>15191</v>
      </c>
      <c r="C711" s="352" t="s">
        <v>15192</v>
      </c>
    </row>
    <row r="712" spans="1:3" x14ac:dyDescent="0.35">
      <c r="A712" s="49" t="s">
        <v>15149</v>
      </c>
      <c r="B712" s="49" t="s">
        <v>15193</v>
      </c>
      <c r="C712" s="53" t="s">
        <v>15194</v>
      </c>
    </row>
    <row r="713" spans="1:3" x14ac:dyDescent="0.35">
      <c r="A713" s="49" t="s">
        <v>15149</v>
      </c>
      <c r="B713" s="49" t="s">
        <v>15195</v>
      </c>
      <c r="C713" s="53" t="s">
        <v>15196</v>
      </c>
    </row>
    <row r="714" spans="1:3" x14ac:dyDescent="0.35">
      <c r="A714" s="49" t="s">
        <v>15149</v>
      </c>
      <c r="B714" s="49" t="s">
        <v>15197</v>
      </c>
      <c r="C714" s="352" t="s">
        <v>15198</v>
      </c>
    </row>
    <row r="715" spans="1:3" x14ac:dyDescent="0.35">
      <c r="A715" s="49" t="s">
        <v>15149</v>
      </c>
      <c r="B715" s="49" t="s">
        <v>15199</v>
      </c>
      <c r="C715" s="53" t="s">
        <v>15200</v>
      </c>
    </row>
    <row r="716" spans="1:3" x14ac:dyDescent="0.35">
      <c r="A716" s="49" t="s">
        <v>15149</v>
      </c>
      <c r="B716" s="49" t="s">
        <v>15201</v>
      </c>
      <c r="C716" s="53" t="s">
        <v>15202</v>
      </c>
    </row>
    <row r="717" spans="1:3" x14ac:dyDescent="0.35">
      <c r="A717" s="49" t="s">
        <v>15149</v>
      </c>
      <c r="B717" s="49" t="s">
        <v>15203</v>
      </c>
      <c r="C717" s="53" t="s">
        <v>15204</v>
      </c>
    </row>
    <row r="718" spans="1:3" x14ac:dyDescent="0.35">
      <c r="A718" s="49" t="s">
        <v>15149</v>
      </c>
      <c r="B718" s="49" t="s">
        <v>15205</v>
      </c>
      <c r="C718" s="53" t="s">
        <v>15206</v>
      </c>
    </row>
    <row r="719" spans="1:3" x14ac:dyDescent="0.35">
      <c r="A719" s="49" t="s">
        <v>15149</v>
      </c>
      <c r="B719" s="49" t="s">
        <v>15207</v>
      </c>
      <c r="C719" s="53" t="s">
        <v>15208</v>
      </c>
    </row>
    <row r="720" spans="1:3" x14ac:dyDescent="0.35">
      <c r="A720" s="49" t="s">
        <v>15209</v>
      </c>
      <c r="B720" s="49" t="s">
        <v>15210</v>
      </c>
      <c r="C720" s="351" t="s">
        <v>50</v>
      </c>
    </row>
    <row r="721" spans="1:3" x14ac:dyDescent="0.35">
      <c r="A721" s="49" t="s">
        <v>15209</v>
      </c>
      <c r="B721" s="49" t="s">
        <v>15211</v>
      </c>
      <c r="C721" s="352" t="s">
        <v>15212</v>
      </c>
    </row>
    <row r="722" spans="1:3" x14ac:dyDescent="0.35">
      <c r="A722" s="49" t="s">
        <v>15209</v>
      </c>
      <c r="B722" s="49" t="s">
        <v>15213</v>
      </c>
      <c r="C722" s="53" t="s">
        <v>15214</v>
      </c>
    </row>
    <row r="723" spans="1:3" x14ac:dyDescent="0.35">
      <c r="A723" s="49" t="s">
        <v>15209</v>
      </c>
      <c r="B723" s="49" t="s">
        <v>15215</v>
      </c>
      <c r="C723" s="53" t="s">
        <v>15216</v>
      </c>
    </row>
    <row r="724" spans="1:3" x14ac:dyDescent="0.35">
      <c r="A724" s="49" t="s">
        <v>15209</v>
      </c>
      <c r="B724" s="49" t="s">
        <v>15217</v>
      </c>
      <c r="C724" s="53" t="s">
        <v>15218</v>
      </c>
    </row>
    <row r="725" spans="1:3" x14ac:dyDescent="0.35">
      <c r="A725" s="49" t="s">
        <v>15209</v>
      </c>
      <c r="B725" s="49" t="s">
        <v>15219</v>
      </c>
      <c r="C725" s="53" t="s">
        <v>15220</v>
      </c>
    </row>
    <row r="726" spans="1:3" x14ac:dyDescent="0.35">
      <c r="A726" s="49" t="s">
        <v>15209</v>
      </c>
      <c r="B726" s="49" t="s">
        <v>15221</v>
      </c>
      <c r="C726" s="53" t="s">
        <v>15222</v>
      </c>
    </row>
    <row r="727" spans="1:3" x14ac:dyDescent="0.35">
      <c r="A727" s="49" t="s">
        <v>15209</v>
      </c>
      <c r="B727" s="49" t="s">
        <v>15223</v>
      </c>
      <c r="C727" s="53" t="s">
        <v>15224</v>
      </c>
    </row>
    <row r="728" spans="1:3" x14ac:dyDescent="0.35">
      <c r="A728" s="49" t="s">
        <v>15209</v>
      </c>
      <c r="B728" s="49" t="s">
        <v>15225</v>
      </c>
      <c r="C728" s="53" t="s">
        <v>15226</v>
      </c>
    </row>
    <row r="729" spans="1:3" x14ac:dyDescent="0.35">
      <c r="A729" s="49" t="s">
        <v>15209</v>
      </c>
      <c r="B729" s="49" t="s">
        <v>15227</v>
      </c>
      <c r="C729" s="53" t="s">
        <v>15228</v>
      </c>
    </row>
    <row r="730" spans="1:3" x14ac:dyDescent="0.35">
      <c r="A730" s="49" t="s">
        <v>15209</v>
      </c>
      <c r="B730" s="49" t="s">
        <v>15229</v>
      </c>
      <c r="C730" s="53" t="s">
        <v>15230</v>
      </c>
    </row>
    <row r="731" spans="1:3" x14ac:dyDescent="0.35">
      <c r="A731" s="49" t="s">
        <v>15209</v>
      </c>
      <c r="B731" s="49" t="s">
        <v>15231</v>
      </c>
      <c r="C731" s="53" t="s">
        <v>15232</v>
      </c>
    </row>
    <row r="732" spans="1:3" x14ac:dyDescent="0.35">
      <c r="A732" s="49" t="s">
        <v>15209</v>
      </c>
      <c r="B732" s="49" t="s">
        <v>15233</v>
      </c>
      <c r="C732" s="53" t="s">
        <v>15234</v>
      </c>
    </row>
    <row r="733" spans="1:3" x14ac:dyDescent="0.35">
      <c r="A733" s="49" t="s">
        <v>15209</v>
      </c>
      <c r="B733" s="49" t="s">
        <v>15235</v>
      </c>
      <c r="C733" s="53" t="s">
        <v>15236</v>
      </c>
    </row>
    <row r="734" spans="1:3" x14ac:dyDescent="0.35">
      <c r="A734" s="49" t="s">
        <v>15209</v>
      </c>
      <c r="B734" s="49" t="s">
        <v>15237</v>
      </c>
      <c r="C734" s="53" t="s">
        <v>15238</v>
      </c>
    </row>
    <row r="735" spans="1:3" x14ac:dyDescent="0.35">
      <c r="A735" s="49" t="s">
        <v>15209</v>
      </c>
      <c r="B735" s="49" t="s">
        <v>15239</v>
      </c>
      <c r="C735" s="53" t="s">
        <v>15240</v>
      </c>
    </row>
    <row r="736" spans="1:3" x14ac:dyDescent="0.35">
      <c r="A736" s="49" t="s">
        <v>15209</v>
      </c>
      <c r="B736" s="49" t="s">
        <v>15241</v>
      </c>
      <c r="C736" s="53" t="s">
        <v>15242</v>
      </c>
    </row>
    <row r="737" spans="1:3" x14ac:dyDescent="0.35">
      <c r="A737" s="49" t="s">
        <v>15209</v>
      </c>
      <c r="B737" s="49" t="s">
        <v>15243</v>
      </c>
      <c r="C737" s="53" t="s">
        <v>15244</v>
      </c>
    </row>
    <row r="738" spans="1:3" x14ac:dyDescent="0.35">
      <c r="A738" s="49" t="s">
        <v>15209</v>
      </c>
      <c r="B738" s="49" t="s">
        <v>15245</v>
      </c>
      <c r="C738" s="53" t="s">
        <v>15246</v>
      </c>
    </row>
    <row r="739" spans="1:3" x14ac:dyDescent="0.35">
      <c r="A739" s="49" t="s">
        <v>15209</v>
      </c>
      <c r="B739" s="49" t="s">
        <v>15247</v>
      </c>
      <c r="C739" s="53" t="s">
        <v>15248</v>
      </c>
    </row>
    <row r="740" spans="1:3" x14ac:dyDescent="0.35">
      <c r="A740" s="49" t="s">
        <v>15209</v>
      </c>
      <c r="B740" s="49" t="s">
        <v>15249</v>
      </c>
      <c r="C740" s="352" t="s">
        <v>15250</v>
      </c>
    </row>
    <row r="741" spans="1:3" x14ac:dyDescent="0.35">
      <c r="A741" s="49" t="s">
        <v>15209</v>
      </c>
      <c r="B741" s="49" t="s">
        <v>15251</v>
      </c>
      <c r="C741" s="53" t="s">
        <v>15252</v>
      </c>
    </row>
    <row r="742" spans="1:3" x14ac:dyDescent="0.35">
      <c r="A742" s="49" t="s">
        <v>15209</v>
      </c>
      <c r="B742" s="49" t="s">
        <v>15253</v>
      </c>
      <c r="C742" s="53" t="s">
        <v>15254</v>
      </c>
    </row>
    <row r="743" spans="1:3" x14ac:dyDescent="0.35">
      <c r="A743" s="49" t="s">
        <v>15209</v>
      </c>
      <c r="B743" s="49" t="s">
        <v>15255</v>
      </c>
      <c r="C743" s="53" t="s">
        <v>15256</v>
      </c>
    </row>
    <row r="744" spans="1:3" x14ac:dyDescent="0.35">
      <c r="A744" s="49" t="s">
        <v>15209</v>
      </c>
      <c r="B744" s="49" t="s">
        <v>15257</v>
      </c>
      <c r="C744" s="352" t="s">
        <v>15258</v>
      </c>
    </row>
    <row r="745" spans="1:3" x14ac:dyDescent="0.35">
      <c r="A745" s="49" t="s">
        <v>15209</v>
      </c>
      <c r="B745" s="49" t="s">
        <v>15259</v>
      </c>
      <c r="C745" s="53" t="s">
        <v>15260</v>
      </c>
    </row>
    <row r="746" spans="1:3" x14ac:dyDescent="0.35">
      <c r="A746" s="49" t="s">
        <v>15209</v>
      </c>
      <c r="B746" s="49" t="s">
        <v>15261</v>
      </c>
      <c r="C746" s="53" t="s">
        <v>15262</v>
      </c>
    </row>
    <row r="747" spans="1:3" x14ac:dyDescent="0.35">
      <c r="A747" s="49" t="s">
        <v>15209</v>
      </c>
      <c r="B747" s="49" t="s">
        <v>15263</v>
      </c>
      <c r="C747" s="53" t="s">
        <v>15264</v>
      </c>
    </row>
    <row r="748" spans="1:3" x14ac:dyDescent="0.35">
      <c r="A748" s="49" t="s">
        <v>15209</v>
      </c>
      <c r="B748" s="49" t="s">
        <v>15265</v>
      </c>
      <c r="C748" s="53" t="s">
        <v>15266</v>
      </c>
    </row>
    <row r="749" spans="1:3" x14ac:dyDescent="0.35">
      <c r="A749" s="49" t="s">
        <v>15209</v>
      </c>
      <c r="B749" s="49" t="s">
        <v>15267</v>
      </c>
      <c r="C749" s="53" t="s">
        <v>15268</v>
      </c>
    </row>
    <row r="750" spans="1:3" x14ac:dyDescent="0.35">
      <c r="A750" s="49" t="s">
        <v>15209</v>
      </c>
      <c r="B750" s="49" t="s">
        <v>15269</v>
      </c>
      <c r="C750" s="53" t="s">
        <v>15270</v>
      </c>
    </row>
    <row r="751" spans="1:3" x14ac:dyDescent="0.35">
      <c r="A751" s="49" t="s">
        <v>15209</v>
      </c>
      <c r="B751" s="49" t="s">
        <v>15271</v>
      </c>
      <c r="C751" s="53" t="s">
        <v>15272</v>
      </c>
    </row>
    <row r="752" spans="1:3" x14ac:dyDescent="0.35">
      <c r="A752" s="49" t="s">
        <v>15209</v>
      </c>
      <c r="B752" s="49" t="s">
        <v>15273</v>
      </c>
      <c r="C752" s="352" t="s">
        <v>15274</v>
      </c>
    </row>
    <row r="753" spans="1:3" x14ac:dyDescent="0.35">
      <c r="A753" s="49" t="s">
        <v>15209</v>
      </c>
      <c r="B753" s="49" t="s">
        <v>15275</v>
      </c>
      <c r="C753" s="53" t="s">
        <v>15276</v>
      </c>
    </row>
    <row r="754" spans="1:3" x14ac:dyDescent="0.35">
      <c r="A754" s="49" t="s">
        <v>15209</v>
      </c>
      <c r="B754" s="49" t="s">
        <v>15277</v>
      </c>
      <c r="C754" s="53" t="s">
        <v>15278</v>
      </c>
    </row>
    <row r="755" spans="1:3" x14ac:dyDescent="0.35">
      <c r="A755" s="49" t="s">
        <v>15209</v>
      </c>
      <c r="B755" s="49" t="s">
        <v>15279</v>
      </c>
      <c r="C755" s="53" t="s">
        <v>15280</v>
      </c>
    </row>
    <row r="756" spans="1:3" x14ac:dyDescent="0.35">
      <c r="A756" s="49" t="s">
        <v>15209</v>
      </c>
      <c r="B756" s="49" t="s">
        <v>15281</v>
      </c>
      <c r="C756" s="53" t="s">
        <v>15282</v>
      </c>
    </row>
    <row r="757" spans="1:3" x14ac:dyDescent="0.35">
      <c r="A757" s="49" t="s">
        <v>15209</v>
      </c>
      <c r="B757" s="49" t="s">
        <v>15283</v>
      </c>
      <c r="C757" s="53" t="s">
        <v>15284</v>
      </c>
    </row>
    <row r="758" spans="1:3" x14ac:dyDescent="0.35">
      <c r="A758" s="49" t="s">
        <v>15209</v>
      </c>
      <c r="B758" s="49" t="s">
        <v>15285</v>
      </c>
      <c r="C758" s="352" t="s">
        <v>15286</v>
      </c>
    </row>
    <row r="759" spans="1:3" x14ac:dyDescent="0.35">
      <c r="A759" s="49" t="s">
        <v>15209</v>
      </c>
      <c r="B759" s="49" t="s">
        <v>15287</v>
      </c>
      <c r="C759" s="53" t="s">
        <v>15288</v>
      </c>
    </row>
    <row r="760" spans="1:3" x14ac:dyDescent="0.35">
      <c r="A760" s="49" t="s">
        <v>15209</v>
      </c>
      <c r="B760" s="49" t="s">
        <v>15289</v>
      </c>
      <c r="C760" s="53" t="s">
        <v>15290</v>
      </c>
    </row>
    <row r="761" spans="1:3" x14ac:dyDescent="0.35">
      <c r="A761" s="49" t="s">
        <v>15209</v>
      </c>
      <c r="B761" s="49" t="s">
        <v>15291</v>
      </c>
      <c r="C761" s="53" t="s">
        <v>15292</v>
      </c>
    </row>
    <row r="762" spans="1:3" x14ac:dyDescent="0.35">
      <c r="A762" s="49" t="s">
        <v>15209</v>
      </c>
      <c r="B762" s="49" t="s">
        <v>15293</v>
      </c>
      <c r="C762" s="53" t="s">
        <v>15294</v>
      </c>
    </row>
    <row r="763" spans="1:3" x14ac:dyDescent="0.35">
      <c r="A763" s="49" t="s">
        <v>15209</v>
      </c>
      <c r="B763" s="49" t="s">
        <v>15295</v>
      </c>
      <c r="C763" s="53" t="s">
        <v>15296</v>
      </c>
    </row>
    <row r="764" spans="1:3" x14ac:dyDescent="0.35">
      <c r="A764" s="49" t="s">
        <v>15209</v>
      </c>
      <c r="B764" s="49" t="s">
        <v>15297</v>
      </c>
      <c r="C764" s="53" t="s">
        <v>15298</v>
      </c>
    </row>
    <row r="765" spans="1:3" x14ac:dyDescent="0.35">
      <c r="A765" s="49" t="s">
        <v>15209</v>
      </c>
      <c r="B765" s="49" t="s">
        <v>15299</v>
      </c>
      <c r="C765" s="53" t="s">
        <v>15300</v>
      </c>
    </row>
    <row r="766" spans="1:3" x14ac:dyDescent="0.35">
      <c r="A766" s="49" t="s">
        <v>15209</v>
      </c>
      <c r="B766" s="49" t="s">
        <v>15301</v>
      </c>
      <c r="C766" s="53" t="s">
        <v>15302</v>
      </c>
    </row>
    <row r="767" spans="1:3" x14ac:dyDescent="0.35">
      <c r="A767" s="49" t="s">
        <v>15209</v>
      </c>
      <c r="B767" s="49" t="s">
        <v>15303</v>
      </c>
      <c r="C767" s="53" t="s">
        <v>15304</v>
      </c>
    </row>
    <row r="768" spans="1:3" x14ac:dyDescent="0.35">
      <c r="A768" s="49" t="s">
        <v>15209</v>
      </c>
      <c r="B768" s="49" t="s">
        <v>15305</v>
      </c>
      <c r="C768" s="53" t="s">
        <v>15306</v>
      </c>
    </row>
    <row r="769" spans="1:3" x14ac:dyDescent="0.35">
      <c r="A769" s="49" t="s">
        <v>15209</v>
      </c>
      <c r="B769" s="49" t="s">
        <v>15307</v>
      </c>
      <c r="C769" s="53" t="s">
        <v>15308</v>
      </c>
    </row>
    <row r="770" spans="1:3" x14ac:dyDescent="0.35">
      <c r="A770" s="49" t="s">
        <v>15309</v>
      </c>
      <c r="B770" s="49" t="s">
        <v>15310</v>
      </c>
      <c r="C770" s="351" t="s">
        <v>63</v>
      </c>
    </row>
    <row r="771" spans="1:3" x14ac:dyDescent="0.35">
      <c r="A771" s="49" t="s">
        <v>15309</v>
      </c>
      <c r="B771" s="49" t="s">
        <v>15311</v>
      </c>
      <c r="C771" s="352" t="s">
        <v>15312</v>
      </c>
    </row>
    <row r="772" spans="1:3" x14ac:dyDescent="0.35">
      <c r="A772" s="49" t="s">
        <v>15309</v>
      </c>
      <c r="B772" s="49" t="s">
        <v>15313</v>
      </c>
      <c r="C772" s="53" t="s">
        <v>15314</v>
      </c>
    </row>
    <row r="773" spans="1:3" x14ac:dyDescent="0.35">
      <c r="A773" s="49" t="s">
        <v>15309</v>
      </c>
      <c r="B773" s="49" t="s">
        <v>15315</v>
      </c>
      <c r="C773" s="53" t="s">
        <v>15316</v>
      </c>
    </row>
    <row r="774" spans="1:3" x14ac:dyDescent="0.35">
      <c r="A774" s="49" t="s">
        <v>15309</v>
      </c>
      <c r="B774" s="49" t="s">
        <v>15317</v>
      </c>
      <c r="C774" s="53" t="s">
        <v>15318</v>
      </c>
    </row>
    <row r="775" spans="1:3" x14ac:dyDescent="0.35">
      <c r="A775" s="49" t="s">
        <v>15309</v>
      </c>
      <c r="B775" s="49" t="s">
        <v>15319</v>
      </c>
      <c r="C775" s="53" t="s">
        <v>15320</v>
      </c>
    </row>
    <row r="776" spans="1:3" x14ac:dyDescent="0.35">
      <c r="A776" s="49" t="s">
        <v>15309</v>
      </c>
      <c r="B776" s="49" t="s">
        <v>15321</v>
      </c>
      <c r="C776" s="53" t="s">
        <v>15322</v>
      </c>
    </row>
    <row r="777" spans="1:3" x14ac:dyDescent="0.35">
      <c r="A777" s="49" t="s">
        <v>15309</v>
      </c>
      <c r="B777" s="49" t="s">
        <v>15323</v>
      </c>
      <c r="C777" s="53" t="s">
        <v>15324</v>
      </c>
    </row>
    <row r="778" spans="1:3" x14ac:dyDescent="0.35">
      <c r="A778" s="49" t="s">
        <v>15309</v>
      </c>
      <c r="B778" s="49" t="s">
        <v>15325</v>
      </c>
      <c r="C778" s="352" t="s">
        <v>15326</v>
      </c>
    </row>
    <row r="779" spans="1:3" x14ac:dyDescent="0.35">
      <c r="A779" s="49" t="s">
        <v>15309</v>
      </c>
      <c r="B779" s="49" t="s">
        <v>15327</v>
      </c>
      <c r="C779" s="53" t="s">
        <v>15328</v>
      </c>
    </row>
    <row r="780" spans="1:3" x14ac:dyDescent="0.35">
      <c r="A780" s="49" t="s">
        <v>15309</v>
      </c>
      <c r="B780" s="49" t="s">
        <v>15329</v>
      </c>
      <c r="C780" s="53" t="s">
        <v>15330</v>
      </c>
    </row>
    <row r="781" spans="1:3" x14ac:dyDescent="0.35">
      <c r="A781" s="49" t="s">
        <v>15309</v>
      </c>
      <c r="B781" s="49" t="s">
        <v>15331</v>
      </c>
      <c r="C781" s="53" t="s">
        <v>15332</v>
      </c>
    </row>
    <row r="782" spans="1:3" x14ac:dyDescent="0.35">
      <c r="A782" s="49" t="s">
        <v>15309</v>
      </c>
      <c r="B782" s="49" t="s">
        <v>15333</v>
      </c>
      <c r="C782" s="53" t="s">
        <v>15334</v>
      </c>
    </row>
    <row r="783" spans="1:3" x14ac:dyDescent="0.35">
      <c r="A783" s="49" t="s">
        <v>15309</v>
      </c>
      <c r="B783" s="49" t="s">
        <v>15335</v>
      </c>
      <c r="C783" s="53" t="s">
        <v>15336</v>
      </c>
    </row>
    <row r="784" spans="1:3" x14ac:dyDescent="0.35">
      <c r="A784" s="49" t="s">
        <v>15309</v>
      </c>
      <c r="B784" s="49" t="s">
        <v>15337</v>
      </c>
      <c r="C784" s="53" t="s">
        <v>15338</v>
      </c>
    </row>
    <row r="785" spans="1:3" x14ac:dyDescent="0.35">
      <c r="A785" s="49" t="s">
        <v>15309</v>
      </c>
      <c r="B785" s="49" t="s">
        <v>15339</v>
      </c>
      <c r="C785" s="53" t="s">
        <v>15340</v>
      </c>
    </row>
    <row r="786" spans="1:3" x14ac:dyDescent="0.35">
      <c r="A786" s="49" t="s">
        <v>15309</v>
      </c>
      <c r="B786" s="49" t="s">
        <v>15341</v>
      </c>
      <c r="C786" s="53" t="s">
        <v>15342</v>
      </c>
    </row>
    <row r="787" spans="1:3" x14ac:dyDescent="0.35">
      <c r="A787" s="49" t="s">
        <v>15309</v>
      </c>
      <c r="B787" s="49" t="s">
        <v>15343</v>
      </c>
      <c r="C787" s="352" t="s">
        <v>15344</v>
      </c>
    </row>
    <row r="788" spans="1:3" x14ac:dyDescent="0.35">
      <c r="A788" s="49" t="s">
        <v>15309</v>
      </c>
      <c r="B788" s="49" t="s">
        <v>15345</v>
      </c>
      <c r="C788" s="53" t="s">
        <v>15346</v>
      </c>
    </row>
    <row r="789" spans="1:3" x14ac:dyDescent="0.35">
      <c r="A789" s="49" t="s">
        <v>15309</v>
      </c>
      <c r="B789" s="49" t="s">
        <v>15347</v>
      </c>
      <c r="C789" s="53" t="s">
        <v>15348</v>
      </c>
    </row>
    <row r="790" spans="1:3" x14ac:dyDescent="0.35">
      <c r="A790" s="49" t="s">
        <v>15309</v>
      </c>
      <c r="B790" s="49" t="s">
        <v>15349</v>
      </c>
      <c r="C790" s="53" t="s">
        <v>15350</v>
      </c>
    </row>
    <row r="791" spans="1:3" x14ac:dyDescent="0.35">
      <c r="A791" s="49" t="s">
        <v>15309</v>
      </c>
      <c r="B791" s="49" t="s">
        <v>15351</v>
      </c>
      <c r="C791" s="53" t="s">
        <v>15352</v>
      </c>
    </row>
    <row r="792" spans="1:3" x14ac:dyDescent="0.35">
      <c r="A792" s="49" t="s">
        <v>15309</v>
      </c>
      <c r="B792" s="49" t="s">
        <v>15353</v>
      </c>
      <c r="C792" s="53" t="s">
        <v>15354</v>
      </c>
    </row>
    <row r="793" spans="1:3" x14ac:dyDescent="0.35">
      <c r="A793" s="49" t="s">
        <v>15309</v>
      </c>
      <c r="B793" s="49" t="s">
        <v>15355</v>
      </c>
      <c r="C793" s="352" t="s">
        <v>15356</v>
      </c>
    </row>
    <row r="794" spans="1:3" x14ac:dyDescent="0.35">
      <c r="A794" s="49" t="s">
        <v>15309</v>
      </c>
      <c r="B794" s="49" t="s">
        <v>15357</v>
      </c>
      <c r="C794" s="53" t="s">
        <v>15358</v>
      </c>
    </row>
    <row r="795" spans="1:3" x14ac:dyDescent="0.35">
      <c r="A795" s="49" t="s">
        <v>15309</v>
      </c>
      <c r="B795" s="49" t="s">
        <v>15359</v>
      </c>
      <c r="C795" s="53" t="s">
        <v>15360</v>
      </c>
    </row>
    <row r="796" spans="1:3" x14ac:dyDescent="0.35">
      <c r="A796" s="49" t="s">
        <v>15309</v>
      </c>
      <c r="B796" s="49" t="s">
        <v>15361</v>
      </c>
      <c r="C796" s="53" t="s">
        <v>15362</v>
      </c>
    </row>
    <row r="797" spans="1:3" x14ac:dyDescent="0.35">
      <c r="A797" s="49" t="s">
        <v>15309</v>
      </c>
      <c r="B797" s="49" t="s">
        <v>15363</v>
      </c>
      <c r="C797" s="53" t="s">
        <v>15364</v>
      </c>
    </row>
    <row r="798" spans="1:3" x14ac:dyDescent="0.35">
      <c r="A798" s="49" t="s">
        <v>15309</v>
      </c>
      <c r="B798" s="49" t="s">
        <v>15365</v>
      </c>
      <c r="C798" s="53" t="s">
        <v>15366</v>
      </c>
    </row>
    <row r="799" spans="1:3" x14ac:dyDescent="0.35">
      <c r="A799" s="49" t="s">
        <v>15309</v>
      </c>
      <c r="B799" s="49" t="s">
        <v>15367</v>
      </c>
      <c r="C799" s="53" t="s">
        <v>15368</v>
      </c>
    </row>
    <row r="800" spans="1:3" x14ac:dyDescent="0.35">
      <c r="A800" s="49" t="s">
        <v>15309</v>
      </c>
      <c r="B800" s="49" t="s">
        <v>15369</v>
      </c>
      <c r="C800" s="53" t="s">
        <v>15370</v>
      </c>
    </row>
    <row r="801" spans="1:3" x14ac:dyDescent="0.35">
      <c r="A801" s="49" t="s">
        <v>15309</v>
      </c>
      <c r="B801" s="49" t="s">
        <v>15371</v>
      </c>
      <c r="C801" s="53" t="s">
        <v>15372</v>
      </c>
    </row>
    <row r="802" spans="1:3" x14ac:dyDescent="0.35">
      <c r="A802" s="49" t="s">
        <v>15373</v>
      </c>
      <c r="B802" s="49" t="s">
        <v>15374</v>
      </c>
      <c r="C802" s="351" t="s">
        <v>15375</v>
      </c>
    </row>
    <row r="803" spans="1:3" x14ac:dyDescent="0.35">
      <c r="A803" s="49" t="s">
        <v>15373</v>
      </c>
      <c r="B803" s="49" t="s">
        <v>15376</v>
      </c>
      <c r="C803" s="352" t="s">
        <v>15377</v>
      </c>
    </row>
    <row r="804" spans="1:3" x14ac:dyDescent="0.35">
      <c r="A804" s="49" t="s">
        <v>15373</v>
      </c>
      <c r="B804" s="49" t="s">
        <v>15378</v>
      </c>
      <c r="C804" s="53" t="s">
        <v>15379</v>
      </c>
    </row>
    <row r="805" spans="1:3" x14ac:dyDescent="0.35">
      <c r="A805" s="49" t="s">
        <v>15373</v>
      </c>
      <c r="B805" s="49" t="s">
        <v>15380</v>
      </c>
      <c r="C805" s="53" t="s">
        <v>15381</v>
      </c>
    </row>
    <row r="806" spans="1:3" x14ac:dyDescent="0.35">
      <c r="A806" s="49" t="s">
        <v>15373</v>
      </c>
      <c r="B806" s="49" t="s">
        <v>15382</v>
      </c>
      <c r="C806" s="53" t="s">
        <v>15383</v>
      </c>
    </row>
    <row r="807" spans="1:3" x14ac:dyDescent="0.35">
      <c r="A807" s="49" t="s">
        <v>15373</v>
      </c>
      <c r="B807" s="49" t="s">
        <v>15384</v>
      </c>
      <c r="C807" s="53" t="s">
        <v>15385</v>
      </c>
    </row>
    <row r="808" spans="1:3" x14ac:dyDescent="0.35">
      <c r="A808" s="49" t="s">
        <v>15373</v>
      </c>
      <c r="B808" s="49" t="s">
        <v>15386</v>
      </c>
      <c r="C808" s="352" t="s">
        <v>15387</v>
      </c>
    </row>
    <row r="809" spans="1:3" x14ac:dyDescent="0.35">
      <c r="A809" s="49" t="s">
        <v>15373</v>
      </c>
      <c r="B809" s="49" t="s">
        <v>15388</v>
      </c>
      <c r="C809" s="53" t="s">
        <v>15389</v>
      </c>
    </row>
    <row r="810" spans="1:3" x14ac:dyDescent="0.35">
      <c r="A810" s="49" t="s">
        <v>15373</v>
      </c>
      <c r="B810" s="49" t="s">
        <v>15390</v>
      </c>
      <c r="C810" s="53" t="s">
        <v>15391</v>
      </c>
    </row>
    <row r="811" spans="1:3" x14ac:dyDescent="0.35">
      <c r="A811" s="49" t="s">
        <v>15373</v>
      </c>
      <c r="B811" s="49" t="s">
        <v>15392</v>
      </c>
      <c r="C811" s="53" t="s">
        <v>15393</v>
      </c>
    </row>
    <row r="812" spans="1:3" x14ac:dyDescent="0.35">
      <c r="A812" s="49" t="s">
        <v>15373</v>
      </c>
      <c r="B812" s="49" t="s">
        <v>15394</v>
      </c>
      <c r="C812" s="53" t="s">
        <v>15395</v>
      </c>
    </row>
    <row r="813" spans="1:3" x14ac:dyDescent="0.35">
      <c r="A813" s="49" t="s">
        <v>15373</v>
      </c>
      <c r="B813" s="49" t="s">
        <v>15396</v>
      </c>
      <c r="C813" s="53" t="s">
        <v>15397</v>
      </c>
    </row>
    <row r="814" spans="1:3" x14ac:dyDescent="0.35">
      <c r="A814" s="49" t="s">
        <v>15373</v>
      </c>
      <c r="B814" s="49" t="s">
        <v>15398</v>
      </c>
      <c r="C814" s="352" t="s">
        <v>15399</v>
      </c>
    </row>
    <row r="815" spans="1:3" x14ac:dyDescent="0.35">
      <c r="A815" s="49" t="s">
        <v>15373</v>
      </c>
      <c r="B815" s="49" t="s">
        <v>15400</v>
      </c>
      <c r="C815" s="53" t="s">
        <v>15401</v>
      </c>
    </row>
    <row r="816" spans="1:3" x14ac:dyDescent="0.35">
      <c r="A816" s="49" t="s">
        <v>15373</v>
      </c>
      <c r="B816" s="49" t="s">
        <v>15402</v>
      </c>
      <c r="C816" s="53" t="s">
        <v>15403</v>
      </c>
    </row>
    <row r="817" spans="1:3" x14ac:dyDescent="0.35">
      <c r="A817" s="49" t="s">
        <v>15373</v>
      </c>
      <c r="B817" s="49" t="s">
        <v>15404</v>
      </c>
      <c r="C817" s="53" t="s">
        <v>15405</v>
      </c>
    </row>
    <row r="818" spans="1:3" x14ac:dyDescent="0.35">
      <c r="A818" s="49" t="s">
        <v>15373</v>
      </c>
      <c r="B818" s="49" t="s">
        <v>15406</v>
      </c>
      <c r="C818" s="53" t="s">
        <v>15407</v>
      </c>
    </row>
    <row r="819" spans="1:3" x14ac:dyDescent="0.35">
      <c r="A819" s="49" t="s">
        <v>15373</v>
      </c>
      <c r="B819" s="49" t="s">
        <v>15408</v>
      </c>
      <c r="C819" s="53" t="s">
        <v>15409</v>
      </c>
    </row>
    <row r="820" spans="1:3" x14ac:dyDescent="0.35">
      <c r="A820" s="49" t="s">
        <v>15373</v>
      </c>
      <c r="B820" s="49" t="s">
        <v>15410</v>
      </c>
      <c r="C820" s="352" t="s">
        <v>15411</v>
      </c>
    </row>
    <row r="821" spans="1:3" x14ac:dyDescent="0.35">
      <c r="A821" s="49" t="s">
        <v>15373</v>
      </c>
      <c r="B821" s="49" t="s">
        <v>15412</v>
      </c>
      <c r="C821" s="53" t="s">
        <v>15413</v>
      </c>
    </row>
    <row r="822" spans="1:3" x14ac:dyDescent="0.35">
      <c r="A822" s="49" t="s">
        <v>15373</v>
      </c>
      <c r="B822" s="49" t="s">
        <v>15414</v>
      </c>
      <c r="C822" s="53" t="s">
        <v>15415</v>
      </c>
    </row>
    <row r="823" spans="1:3" x14ac:dyDescent="0.35">
      <c r="A823" s="49" t="s">
        <v>15373</v>
      </c>
      <c r="B823" s="49" t="s">
        <v>15416</v>
      </c>
      <c r="C823" s="53" t="s">
        <v>15417</v>
      </c>
    </row>
    <row r="824" spans="1:3" x14ac:dyDescent="0.35">
      <c r="A824" s="49" t="s">
        <v>15373</v>
      </c>
      <c r="B824" s="49" t="s">
        <v>15418</v>
      </c>
      <c r="C824" s="53" t="s">
        <v>15419</v>
      </c>
    </row>
    <row r="825" spans="1:3" x14ac:dyDescent="0.35">
      <c r="A825" s="49" t="s">
        <v>15373</v>
      </c>
      <c r="B825" s="49" t="s">
        <v>15420</v>
      </c>
      <c r="C825" s="53" t="s">
        <v>15421</v>
      </c>
    </row>
    <row r="826" spans="1:3" x14ac:dyDescent="0.35">
      <c r="A826" s="49" t="s">
        <v>15373</v>
      </c>
      <c r="B826" s="49" t="s">
        <v>15422</v>
      </c>
      <c r="C826" s="53" t="s">
        <v>15423</v>
      </c>
    </row>
    <row r="827" spans="1:3" x14ac:dyDescent="0.35">
      <c r="A827" s="49" t="s">
        <v>15424</v>
      </c>
      <c r="B827" s="49" t="s">
        <v>15425</v>
      </c>
      <c r="C827" s="351" t="s">
        <v>15426</v>
      </c>
    </row>
    <row r="828" spans="1:3" x14ac:dyDescent="0.35">
      <c r="A828" s="49" t="s">
        <v>15424</v>
      </c>
      <c r="B828" s="49" t="s">
        <v>15427</v>
      </c>
      <c r="C828" s="352" t="s">
        <v>15428</v>
      </c>
    </row>
    <row r="829" spans="1:3" x14ac:dyDescent="0.35">
      <c r="A829" s="49" t="s">
        <v>15424</v>
      </c>
      <c r="B829" s="49" t="s">
        <v>15429</v>
      </c>
      <c r="C829" s="53" t="s">
        <v>15430</v>
      </c>
    </row>
    <row r="830" spans="1:3" x14ac:dyDescent="0.35">
      <c r="A830" s="49" t="s">
        <v>15424</v>
      </c>
      <c r="B830" s="49" t="s">
        <v>15431</v>
      </c>
      <c r="C830" s="53" t="s">
        <v>15432</v>
      </c>
    </row>
    <row r="831" spans="1:3" x14ac:dyDescent="0.35">
      <c r="A831" s="49" t="s">
        <v>15424</v>
      </c>
      <c r="B831" s="49" t="s">
        <v>15433</v>
      </c>
      <c r="C831" s="53" t="s">
        <v>15434</v>
      </c>
    </row>
    <row r="832" spans="1:3" x14ac:dyDescent="0.35">
      <c r="A832" s="49" t="s">
        <v>15424</v>
      </c>
      <c r="B832" s="49" t="s">
        <v>15435</v>
      </c>
      <c r="C832" s="53" t="s">
        <v>15436</v>
      </c>
    </row>
    <row r="833" spans="1:3" x14ac:dyDescent="0.35">
      <c r="A833" s="49" t="s">
        <v>15424</v>
      </c>
      <c r="B833" s="49" t="s">
        <v>15437</v>
      </c>
      <c r="C833" s="53" t="s">
        <v>15438</v>
      </c>
    </row>
    <row r="834" spans="1:3" x14ac:dyDescent="0.35">
      <c r="A834" s="49" t="s">
        <v>15424</v>
      </c>
      <c r="B834" s="49" t="s">
        <v>15439</v>
      </c>
      <c r="C834" s="53" t="s">
        <v>15440</v>
      </c>
    </row>
    <row r="835" spans="1:3" x14ac:dyDescent="0.35">
      <c r="A835" s="49" t="s">
        <v>15424</v>
      </c>
      <c r="B835" s="49" t="s">
        <v>15441</v>
      </c>
      <c r="C835" s="53" t="s">
        <v>15442</v>
      </c>
    </row>
    <row r="836" spans="1:3" x14ac:dyDescent="0.35">
      <c r="A836" s="49" t="s">
        <v>15424</v>
      </c>
      <c r="B836" s="49" t="s">
        <v>15443</v>
      </c>
      <c r="C836" s="53" t="s">
        <v>15444</v>
      </c>
    </row>
    <row r="837" spans="1:3" x14ac:dyDescent="0.35">
      <c r="A837" s="49" t="s">
        <v>15424</v>
      </c>
      <c r="B837" s="49" t="s">
        <v>15445</v>
      </c>
      <c r="C837" s="53" t="s">
        <v>15446</v>
      </c>
    </row>
    <row r="838" spans="1:3" x14ac:dyDescent="0.35">
      <c r="A838" s="49" t="s">
        <v>15424</v>
      </c>
      <c r="B838" s="49" t="s">
        <v>15447</v>
      </c>
      <c r="C838" s="352" t="s">
        <v>15448</v>
      </c>
    </row>
    <row r="839" spans="1:3" x14ac:dyDescent="0.35">
      <c r="A839" s="49" t="s">
        <v>15424</v>
      </c>
      <c r="B839" s="49" t="s">
        <v>15449</v>
      </c>
      <c r="C839" s="53" t="s">
        <v>15450</v>
      </c>
    </row>
    <row r="840" spans="1:3" x14ac:dyDescent="0.35">
      <c r="A840" s="49" t="s">
        <v>15424</v>
      </c>
      <c r="B840" s="49" t="s">
        <v>15451</v>
      </c>
      <c r="C840" s="53" t="s">
        <v>15452</v>
      </c>
    </row>
    <row r="841" spans="1:3" x14ac:dyDescent="0.35">
      <c r="A841" s="49" t="s">
        <v>15424</v>
      </c>
      <c r="B841" s="49" t="s">
        <v>15453</v>
      </c>
      <c r="C841" s="53" t="s">
        <v>15454</v>
      </c>
    </row>
    <row r="842" spans="1:3" x14ac:dyDescent="0.35">
      <c r="A842" s="49" t="s">
        <v>15424</v>
      </c>
      <c r="B842" s="49" t="s">
        <v>15455</v>
      </c>
      <c r="C842" s="352" t="s">
        <v>15456</v>
      </c>
    </row>
    <row r="843" spans="1:3" x14ac:dyDescent="0.35">
      <c r="A843" s="49" t="s">
        <v>15424</v>
      </c>
      <c r="B843" s="49" t="s">
        <v>15457</v>
      </c>
      <c r="C843" s="53" t="s">
        <v>15458</v>
      </c>
    </row>
    <row r="844" spans="1:3" x14ac:dyDescent="0.35">
      <c r="A844" s="49" t="s">
        <v>15424</v>
      </c>
      <c r="B844" s="49" t="s">
        <v>15459</v>
      </c>
      <c r="C844" s="53" t="s">
        <v>15460</v>
      </c>
    </row>
    <row r="845" spans="1:3" x14ac:dyDescent="0.35">
      <c r="A845" s="49" t="s">
        <v>15424</v>
      </c>
      <c r="B845" s="49" t="s">
        <v>15461</v>
      </c>
      <c r="C845" s="53" t="s">
        <v>15462</v>
      </c>
    </row>
    <row r="846" spans="1:3" x14ac:dyDescent="0.35">
      <c r="A846" s="49" t="s">
        <v>15424</v>
      </c>
      <c r="B846" s="49" t="s">
        <v>15463</v>
      </c>
      <c r="C846" s="53" t="s">
        <v>15464</v>
      </c>
    </row>
    <row r="847" spans="1:3" x14ac:dyDescent="0.35">
      <c r="A847" s="49" t="s">
        <v>15424</v>
      </c>
      <c r="B847" s="49" t="s">
        <v>15465</v>
      </c>
      <c r="C847" s="352" t="s">
        <v>15466</v>
      </c>
    </row>
    <row r="848" spans="1:3" x14ac:dyDescent="0.35">
      <c r="A848" s="49" t="s">
        <v>15424</v>
      </c>
      <c r="B848" s="49" t="s">
        <v>15467</v>
      </c>
      <c r="C848" s="53" t="s">
        <v>15468</v>
      </c>
    </row>
    <row r="849" spans="1:3" x14ac:dyDescent="0.35">
      <c r="A849" s="49" t="s">
        <v>15424</v>
      </c>
      <c r="B849" s="49" t="s">
        <v>15469</v>
      </c>
      <c r="C849" s="53" t="s">
        <v>15470</v>
      </c>
    </row>
    <row r="850" spans="1:3" x14ac:dyDescent="0.35">
      <c r="A850" s="49" t="s">
        <v>15424</v>
      </c>
      <c r="B850" s="49" t="s">
        <v>15471</v>
      </c>
      <c r="C850" s="53" t="s">
        <v>15472</v>
      </c>
    </row>
    <row r="851" spans="1:3" x14ac:dyDescent="0.35">
      <c r="A851" s="49" t="s">
        <v>15424</v>
      </c>
      <c r="B851" s="49" t="s">
        <v>15473</v>
      </c>
      <c r="C851" s="53" t="s">
        <v>15474</v>
      </c>
    </row>
    <row r="852" spans="1:3" x14ac:dyDescent="0.35">
      <c r="A852" s="49" t="s">
        <v>15424</v>
      </c>
      <c r="B852" s="49" t="s">
        <v>15475</v>
      </c>
      <c r="C852" s="53" t="s">
        <v>15476</v>
      </c>
    </row>
    <row r="853" spans="1:3" x14ac:dyDescent="0.35">
      <c r="A853" s="49" t="s">
        <v>15424</v>
      </c>
      <c r="B853" s="49" t="s">
        <v>15477</v>
      </c>
      <c r="C853" s="53" t="s">
        <v>15478</v>
      </c>
    </row>
    <row r="854" spans="1:3" x14ac:dyDescent="0.35">
      <c r="A854" s="49" t="s">
        <v>15424</v>
      </c>
      <c r="B854" s="49" t="s">
        <v>15479</v>
      </c>
      <c r="C854" s="53" t="s">
        <v>15480</v>
      </c>
    </row>
    <row r="855" spans="1:3" x14ac:dyDescent="0.35">
      <c r="A855" s="49" t="s">
        <v>15424</v>
      </c>
      <c r="B855" s="49" t="s">
        <v>15481</v>
      </c>
      <c r="C855" s="53" t="s">
        <v>15482</v>
      </c>
    </row>
    <row r="856" spans="1:3" x14ac:dyDescent="0.35">
      <c r="A856" s="49" t="s">
        <v>15424</v>
      </c>
      <c r="B856" s="49" t="s">
        <v>15483</v>
      </c>
      <c r="C856" s="53" t="s">
        <v>15484</v>
      </c>
    </row>
    <row r="857" spans="1:3" x14ac:dyDescent="0.35">
      <c r="A857" s="49" t="s">
        <v>15424</v>
      </c>
      <c r="B857" s="49" t="s">
        <v>15485</v>
      </c>
      <c r="C857" s="352" t="s">
        <v>15486</v>
      </c>
    </row>
    <row r="858" spans="1:3" x14ac:dyDescent="0.35">
      <c r="A858" s="49" t="s">
        <v>15424</v>
      </c>
      <c r="B858" s="49" t="s">
        <v>15487</v>
      </c>
      <c r="C858" s="53" t="s">
        <v>15488</v>
      </c>
    </row>
    <row r="859" spans="1:3" x14ac:dyDescent="0.35">
      <c r="A859" s="49" t="s">
        <v>15424</v>
      </c>
      <c r="B859" s="49" t="s">
        <v>15489</v>
      </c>
      <c r="C859" s="53" t="s">
        <v>15490</v>
      </c>
    </row>
    <row r="860" spans="1:3" x14ac:dyDescent="0.35">
      <c r="A860" s="49" t="s">
        <v>15491</v>
      </c>
      <c r="B860" s="49" t="s">
        <v>15492</v>
      </c>
      <c r="C860" s="351" t="s">
        <v>15493</v>
      </c>
    </row>
    <row r="861" spans="1:3" x14ac:dyDescent="0.35">
      <c r="A861" s="49" t="s">
        <v>15491</v>
      </c>
      <c r="B861" s="49" t="s">
        <v>15494</v>
      </c>
      <c r="C861" s="352" t="s">
        <v>15495</v>
      </c>
    </row>
    <row r="862" spans="1:3" x14ac:dyDescent="0.35">
      <c r="A862" s="49" t="s">
        <v>15491</v>
      </c>
      <c r="B862" s="49" t="s">
        <v>15496</v>
      </c>
      <c r="C862" s="53" t="s">
        <v>15497</v>
      </c>
    </row>
    <row r="863" spans="1:3" x14ac:dyDescent="0.35">
      <c r="A863" s="49" t="s">
        <v>15491</v>
      </c>
      <c r="B863" s="49" t="s">
        <v>15498</v>
      </c>
      <c r="C863" s="53" t="s">
        <v>15499</v>
      </c>
    </row>
    <row r="864" spans="1:3" x14ac:dyDescent="0.35">
      <c r="A864" s="49" t="s">
        <v>15491</v>
      </c>
      <c r="B864" s="49" t="s">
        <v>15500</v>
      </c>
      <c r="C864" s="53" t="s">
        <v>15501</v>
      </c>
    </row>
    <row r="865" spans="1:3" x14ac:dyDescent="0.35">
      <c r="A865" s="49" t="s">
        <v>15491</v>
      </c>
      <c r="B865" s="49" t="s">
        <v>15502</v>
      </c>
      <c r="C865" s="53" t="s">
        <v>15503</v>
      </c>
    </row>
    <row r="866" spans="1:3" x14ac:dyDescent="0.35">
      <c r="A866" s="49" t="s">
        <v>15491</v>
      </c>
      <c r="B866" s="49" t="s">
        <v>15504</v>
      </c>
      <c r="C866" s="352" t="s">
        <v>15505</v>
      </c>
    </row>
    <row r="867" spans="1:3" x14ac:dyDescent="0.35">
      <c r="A867" s="49" t="s">
        <v>15491</v>
      </c>
      <c r="B867" s="49" t="s">
        <v>15506</v>
      </c>
      <c r="C867" s="53" t="s">
        <v>15507</v>
      </c>
    </row>
    <row r="868" spans="1:3" x14ac:dyDescent="0.35">
      <c r="A868" s="49" t="s">
        <v>15491</v>
      </c>
      <c r="B868" s="49" t="s">
        <v>15508</v>
      </c>
      <c r="C868" s="53" t="s">
        <v>15509</v>
      </c>
    </row>
    <row r="869" spans="1:3" x14ac:dyDescent="0.35">
      <c r="A869" s="49" t="s">
        <v>15491</v>
      </c>
      <c r="B869" s="49" t="s">
        <v>15510</v>
      </c>
      <c r="C869" s="53" t="s">
        <v>15511</v>
      </c>
    </row>
    <row r="870" spans="1:3" x14ac:dyDescent="0.35">
      <c r="A870" s="49" t="s">
        <v>15491</v>
      </c>
      <c r="B870" s="49" t="s">
        <v>15512</v>
      </c>
      <c r="C870" s="53" t="s">
        <v>15513</v>
      </c>
    </row>
    <row r="871" spans="1:3" x14ac:dyDescent="0.35">
      <c r="A871" s="49" t="s">
        <v>15491</v>
      </c>
      <c r="B871" s="49" t="s">
        <v>15514</v>
      </c>
      <c r="C871" s="53" t="s">
        <v>15515</v>
      </c>
    </row>
    <row r="872" spans="1:3" x14ac:dyDescent="0.35">
      <c r="A872" s="49" t="s">
        <v>15491</v>
      </c>
      <c r="B872" s="49" t="s">
        <v>15516</v>
      </c>
      <c r="C872" s="352" t="s">
        <v>15517</v>
      </c>
    </row>
    <row r="873" spans="1:3" x14ac:dyDescent="0.35">
      <c r="A873" s="49" t="s">
        <v>15491</v>
      </c>
      <c r="B873" s="49" t="s">
        <v>15518</v>
      </c>
      <c r="C873" s="53" t="s">
        <v>15519</v>
      </c>
    </row>
    <row r="874" spans="1:3" x14ac:dyDescent="0.35">
      <c r="A874" s="49" t="s">
        <v>15491</v>
      </c>
      <c r="B874" s="49" t="s">
        <v>15520</v>
      </c>
      <c r="C874" s="53" t="s">
        <v>15521</v>
      </c>
    </row>
    <row r="875" spans="1:3" x14ac:dyDescent="0.35">
      <c r="A875" s="49" t="s">
        <v>15491</v>
      </c>
      <c r="B875" s="49" t="s">
        <v>15522</v>
      </c>
      <c r="C875" s="53" t="s">
        <v>15523</v>
      </c>
    </row>
    <row r="876" spans="1:3" x14ac:dyDescent="0.35">
      <c r="A876" s="49" t="s">
        <v>15491</v>
      </c>
      <c r="B876" s="49" t="s">
        <v>15524</v>
      </c>
      <c r="C876" s="53" t="s">
        <v>15525</v>
      </c>
    </row>
    <row r="877" spans="1:3" x14ac:dyDescent="0.35">
      <c r="A877" s="49" t="s">
        <v>15491</v>
      </c>
      <c r="B877" s="49" t="s">
        <v>15526</v>
      </c>
      <c r="C877" s="53" t="s">
        <v>15527</v>
      </c>
    </row>
    <row r="878" spans="1:3" x14ac:dyDescent="0.35">
      <c r="A878" s="49" t="s">
        <v>15491</v>
      </c>
      <c r="B878" s="49" t="s">
        <v>15528</v>
      </c>
      <c r="C878" s="53" t="s">
        <v>15529</v>
      </c>
    </row>
    <row r="879" spans="1:3" x14ac:dyDescent="0.35">
      <c r="A879" s="49" t="s">
        <v>15491</v>
      </c>
      <c r="B879" s="49" t="s">
        <v>15530</v>
      </c>
      <c r="C879" s="53" t="s">
        <v>15531</v>
      </c>
    </row>
    <row r="880" spans="1:3" x14ac:dyDescent="0.35">
      <c r="A880" s="49" t="s">
        <v>15491</v>
      </c>
      <c r="B880" s="49" t="s">
        <v>15532</v>
      </c>
      <c r="C880" s="352" t="s">
        <v>15533</v>
      </c>
    </row>
    <row r="881" spans="1:3" x14ac:dyDescent="0.35">
      <c r="A881" s="49" t="s">
        <v>15491</v>
      </c>
      <c r="B881" s="49" t="s">
        <v>15534</v>
      </c>
      <c r="C881" s="53" t="s">
        <v>15535</v>
      </c>
    </row>
    <row r="882" spans="1:3" x14ac:dyDescent="0.35">
      <c r="A882" s="49" t="s">
        <v>15491</v>
      </c>
      <c r="B882" s="49" t="s">
        <v>15536</v>
      </c>
      <c r="C882" s="53" t="s">
        <v>15537</v>
      </c>
    </row>
    <row r="883" spans="1:3" x14ac:dyDescent="0.35">
      <c r="A883" s="49" t="s">
        <v>15491</v>
      </c>
      <c r="B883" s="49" t="s">
        <v>15538</v>
      </c>
      <c r="C883" s="53" t="s">
        <v>15539</v>
      </c>
    </row>
    <row r="884" spans="1:3" x14ac:dyDescent="0.35">
      <c r="A884" s="49" t="s">
        <v>15491</v>
      </c>
      <c r="B884" s="49" t="s">
        <v>15540</v>
      </c>
      <c r="C884" s="53" t="s">
        <v>15541</v>
      </c>
    </row>
    <row r="885" spans="1:3" x14ac:dyDescent="0.35">
      <c r="A885" s="49" t="s">
        <v>15491</v>
      </c>
      <c r="B885" s="49" t="s">
        <v>15542</v>
      </c>
      <c r="C885" s="53" t="s">
        <v>15543</v>
      </c>
    </row>
    <row r="886" spans="1:3" x14ac:dyDescent="0.35">
      <c r="A886" s="49" t="s">
        <v>15491</v>
      </c>
      <c r="B886" s="49" t="s">
        <v>15544</v>
      </c>
      <c r="C886" s="352" t="s">
        <v>15545</v>
      </c>
    </row>
    <row r="887" spans="1:3" x14ac:dyDescent="0.35">
      <c r="A887" s="49" t="s">
        <v>15491</v>
      </c>
      <c r="B887" s="49" t="s">
        <v>15546</v>
      </c>
      <c r="C887" s="53" t="s">
        <v>15547</v>
      </c>
    </row>
    <row r="888" spans="1:3" x14ac:dyDescent="0.35">
      <c r="A888" s="49" t="s">
        <v>15491</v>
      </c>
      <c r="B888" s="49" t="s">
        <v>15548</v>
      </c>
      <c r="C888" s="53" t="s">
        <v>15549</v>
      </c>
    </row>
    <row r="889" spans="1:3" x14ac:dyDescent="0.35">
      <c r="A889" s="49" t="s">
        <v>15491</v>
      </c>
      <c r="B889" s="49" t="s">
        <v>15550</v>
      </c>
      <c r="C889" s="53" t="s">
        <v>15551</v>
      </c>
    </row>
    <row r="890" spans="1:3" x14ac:dyDescent="0.35">
      <c r="A890" s="49" t="s">
        <v>15491</v>
      </c>
      <c r="B890" s="49" t="s">
        <v>15552</v>
      </c>
      <c r="C890" s="53" t="s">
        <v>15553</v>
      </c>
    </row>
    <row r="891" spans="1:3" x14ac:dyDescent="0.35">
      <c r="A891" s="49" t="s">
        <v>15491</v>
      </c>
      <c r="B891" s="49" t="s">
        <v>15554</v>
      </c>
      <c r="C891" s="53" t="s">
        <v>15555</v>
      </c>
    </row>
    <row r="892" spans="1:3" x14ac:dyDescent="0.35">
      <c r="A892" s="49" t="s">
        <v>15491</v>
      </c>
      <c r="B892" s="49" t="s">
        <v>15556</v>
      </c>
      <c r="C892" s="352" t="s">
        <v>15557</v>
      </c>
    </row>
    <row r="893" spans="1:3" x14ac:dyDescent="0.35">
      <c r="A893" s="49" t="s">
        <v>15491</v>
      </c>
      <c r="B893" s="49" t="s">
        <v>15558</v>
      </c>
      <c r="C893" s="53" t="s">
        <v>15559</v>
      </c>
    </row>
    <row r="894" spans="1:3" x14ac:dyDescent="0.35">
      <c r="A894" s="49" t="s">
        <v>15491</v>
      </c>
      <c r="B894" s="49" t="s">
        <v>15560</v>
      </c>
      <c r="C894" s="53" t="s">
        <v>15561</v>
      </c>
    </row>
    <row r="895" spans="1:3" x14ac:dyDescent="0.35">
      <c r="A895" s="49" t="s">
        <v>15491</v>
      </c>
      <c r="B895" s="49" t="s">
        <v>15562</v>
      </c>
      <c r="C895" s="53" t="s">
        <v>55</v>
      </c>
    </row>
    <row r="896" spans="1:3" x14ac:dyDescent="0.35">
      <c r="A896" s="49" t="s">
        <v>15491</v>
      </c>
      <c r="B896" s="49" t="s">
        <v>15563</v>
      </c>
      <c r="C896" s="53" t="s">
        <v>15564</v>
      </c>
    </row>
    <row r="897" spans="1:3" x14ac:dyDescent="0.35">
      <c r="A897" s="49" t="s">
        <v>15491</v>
      </c>
      <c r="B897" s="49" t="s">
        <v>15565</v>
      </c>
      <c r="C897" s="53" t="s">
        <v>15566</v>
      </c>
    </row>
    <row r="898" spans="1:3" x14ac:dyDescent="0.35">
      <c r="A898" s="49" t="s">
        <v>15491</v>
      </c>
      <c r="B898" s="49" t="s">
        <v>15567</v>
      </c>
      <c r="C898" s="352" t="s">
        <v>15568</v>
      </c>
    </row>
    <row r="899" spans="1:3" x14ac:dyDescent="0.35">
      <c r="A899" s="49" t="s">
        <v>15491</v>
      </c>
      <c r="B899" s="49" t="s">
        <v>15569</v>
      </c>
      <c r="C899" s="53" t="s">
        <v>15570</v>
      </c>
    </row>
    <row r="900" spans="1:3" x14ac:dyDescent="0.35">
      <c r="A900" s="49" t="s">
        <v>15491</v>
      </c>
      <c r="B900" s="49" t="s">
        <v>15571</v>
      </c>
      <c r="C900" s="53" t="s">
        <v>15572</v>
      </c>
    </row>
    <row r="901" spans="1:3" x14ac:dyDescent="0.35">
      <c r="A901" s="49" t="s">
        <v>15491</v>
      </c>
      <c r="B901" s="49" t="s">
        <v>15573</v>
      </c>
      <c r="C901" s="53" t="s">
        <v>15574</v>
      </c>
    </row>
    <row r="902" spans="1:3" x14ac:dyDescent="0.35">
      <c r="A902" s="49" t="s">
        <v>15491</v>
      </c>
      <c r="B902" s="49" t="s">
        <v>15575</v>
      </c>
      <c r="C902" s="53" t="s">
        <v>15576</v>
      </c>
    </row>
    <row r="903" spans="1:3" x14ac:dyDescent="0.35">
      <c r="A903" s="49" t="s">
        <v>15491</v>
      </c>
      <c r="B903" s="49" t="s">
        <v>15577</v>
      </c>
      <c r="C903" s="53" t="s">
        <v>15578</v>
      </c>
    </row>
    <row r="904" spans="1:3" x14ac:dyDescent="0.35">
      <c r="A904" s="49" t="s">
        <v>15491</v>
      </c>
      <c r="B904" s="49" t="s">
        <v>15579</v>
      </c>
      <c r="C904" s="53" t="s">
        <v>15580</v>
      </c>
    </row>
    <row r="905" spans="1:3" x14ac:dyDescent="0.35">
      <c r="A905" s="49" t="s">
        <v>15581</v>
      </c>
      <c r="B905" s="49" t="s">
        <v>15582</v>
      </c>
      <c r="C905" s="351" t="s">
        <v>15583</v>
      </c>
    </row>
    <row r="906" spans="1:3" x14ac:dyDescent="0.35">
      <c r="A906" s="49" t="s">
        <v>15581</v>
      </c>
      <c r="B906" s="49" t="s">
        <v>15584</v>
      </c>
      <c r="C906" s="352" t="s">
        <v>15585</v>
      </c>
    </row>
    <row r="907" spans="1:3" x14ac:dyDescent="0.35">
      <c r="A907" s="49" t="s">
        <v>15581</v>
      </c>
      <c r="B907" s="49" t="s">
        <v>15586</v>
      </c>
      <c r="C907" s="53" t="s">
        <v>15587</v>
      </c>
    </row>
    <row r="908" spans="1:3" x14ac:dyDescent="0.35">
      <c r="A908" s="49" t="s">
        <v>15581</v>
      </c>
      <c r="B908" s="49" t="s">
        <v>15588</v>
      </c>
      <c r="C908" s="53" t="s">
        <v>15589</v>
      </c>
    </row>
    <row r="909" spans="1:3" x14ac:dyDescent="0.35">
      <c r="A909" s="49" t="s">
        <v>15581</v>
      </c>
      <c r="B909" s="49" t="s">
        <v>15590</v>
      </c>
      <c r="C909" s="53" t="s">
        <v>15591</v>
      </c>
    </row>
    <row r="910" spans="1:3" x14ac:dyDescent="0.35">
      <c r="A910" s="49" t="s">
        <v>15581</v>
      </c>
      <c r="B910" s="49" t="s">
        <v>15592</v>
      </c>
      <c r="C910" s="53" t="s">
        <v>15593</v>
      </c>
    </row>
    <row r="911" spans="1:3" x14ac:dyDescent="0.35">
      <c r="A911" s="49" t="s">
        <v>15581</v>
      </c>
      <c r="B911" s="49" t="s">
        <v>15594</v>
      </c>
      <c r="C911" s="53" t="s">
        <v>15595</v>
      </c>
    </row>
    <row r="912" spans="1:3" x14ac:dyDescent="0.35">
      <c r="A912" s="49" t="s">
        <v>15581</v>
      </c>
      <c r="B912" s="49" t="s">
        <v>15596</v>
      </c>
      <c r="C912" s="53" t="s">
        <v>15597</v>
      </c>
    </row>
    <row r="913" spans="1:3" x14ac:dyDescent="0.35">
      <c r="A913" s="49" t="s">
        <v>15581</v>
      </c>
      <c r="B913" s="49" t="s">
        <v>15598</v>
      </c>
      <c r="C913" s="53" t="s">
        <v>15599</v>
      </c>
    </row>
    <row r="914" spans="1:3" x14ac:dyDescent="0.35">
      <c r="A914" s="49" t="s">
        <v>15581</v>
      </c>
      <c r="B914" s="49" t="s">
        <v>15600</v>
      </c>
      <c r="C914" s="53" t="s">
        <v>15601</v>
      </c>
    </row>
    <row r="915" spans="1:3" x14ac:dyDescent="0.35">
      <c r="A915" s="49" t="s">
        <v>15581</v>
      </c>
      <c r="B915" s="49" t="s">
        <v>15602</v>
      </c>
      <c r="C915" s="352" t="s">
        <v>15603</v>
      </c>
    </row>
    <row r="916" spans="1:3" x14ac:dyDescent="0.35">
      <c r="A916" s="49" t="s">
        <v>15581</v>
      </c>
      <c r="B916" s="49" t="s">
        <v>15604</v>
      </c>
      <c r="C916" s="53" t="s">
        <v>15605</v>
      </c>
    </row>
    <row r="917" spans="1:3" x14ac:dyDescent="0.35">
      <c r="A917" s="49" t="s">
        <v>15581</v>
      </c>
      <c r="B917" s="49" t="s">
        <v>15606</v>
      </c>
      <c r="C917" s="53" t="s">
        <v>15607</v>
      </c>
    </row>
    <row r="918" spans="1:3" x14ac:dyDescent="0.35">
      <c r="A918" s="49" t="s">
        <v>15581</v>
      </c>
      <c r="B918" s="49" t="s">
        <v>15608</v>
      </c>
      <c r="C918" s="53" t="s">
        <v>15609</v>
      </c>
    </row>
    <row r="919" spans="1:3" x14ac:dyDescent="0.35">
      <c r="A919" s="49" t="s">
        <v>15581</v>
      </c>
      <c r="B919" s="49" t="s">
        <v>15610</v>
      </c>
      <c r="C919" s="53" t="s">
        <v>15611</v>
      </c>
    </row>
    <row r="920" spans="1:3" x14ac:dyDescent="0.35">
      <c r="A920" s="49" t="s">
        <v>15581</v>
      </c>
      <c r="B920" s="49" t="s">
        <v>15612</v>
      </c>
      <c r="C920" s="53" t="s">
        <v>15613</v>
      </c>
    </row>
    <row r="921" spans="1:3" x14ac:dyDescent="0.35">
      <c r="A921" s="49" t="s">
        <v>15581</v>
      </c>
      <c r="B921" s="49" t="s">
        <v>15614</v>
      </c>
      <c r="C921" s="53" t="s">
        <v>15615</v>
      </c>
    </row>
    <row r="922" spans="1:3" x14ac:dyDescent="0.35">
      <c r="A922" s="49" t="s">
        <v>15581</v>
      </c>
      <c r="B922" s="49" t="s">
        <v>15616</v>
      </c>
      <c r="C922" s="352" t="s">
        <v>15617</v>
      </c>
    </row>
    <row r="923" spans="1:3" x14ac:dyDescent="0.35">
      <c r="A923" s="49" t="s">
        <v>15581</v>
      </c>
      <c r="B923" s="49" t="s">
        <v>15618</v>
      </c>
      <c r="C923" s="53" t="s">
        <v>15619</v>
      </c>
    </row>
    <row r="924" spans="1:3" x14ac:dyDescent="0.35">
      <c r="A924" s="49" t="s">
        <v>15581</v>
      </c>
      <c r="B924" s="49" t="s">
        <v>15620</v>
      </c>
      <c r="C924" s="53" t="s">
        <v>15621</v>
      </c>
    </row>
    <row r="925" spans="1:3" x14ac:dyDescent="0.35">
      <c r="A925" s="49" t="s">
        <v>15581</v>
      </c>
      <c r="B925" s="49" t="s">
        <v>15622</v>
      </c>
      <c r="C925" s="352" t="s">
        <v>15623</v>
      </c>
    </row>
    <row r="926" spans="1:3" x14ac:dyDescent="0.35">
      <c r="A926" s="49" t="s">
        <v>15581</v>
      </c>
      <c r="B926" s="49" t="s">
        <v>15624</v>
      </c>
      <c r="C926" s="53" t="s">
        <v>15625</v>
      </c>
    </row>
    <row r="927" spans="1:3" x14ac:dyDescent="0.35">
      <c r="A927" s="49" t="s">
        <v>15581</v>
      </c>
      <c r="B927" s="49" t="s">
        <v>15626</v>
      </c>
      <c r="C927" s="53" t="s">
        <v>15627</v>
      </c>
    </row>
    <row r="928" spans="1:3" x14ac:dyDescent="0.35">
      <c r="A928" s="49" t="s">
        <v>15581</v>
      </c>
      <c r="B928" s="49" t="s">
        <v>15628</v>
      </c>
      <c r="C928" s="53" t="s">
        <v>15629</v>
      </c>
    </row>
    <row r="929" spans="1:3" x14ac:dyDescent="0.35">
      <c r="A929" s="49" t="s">
        <v>15581</v>
      </c>
      <c r="B929" s="49" t="s">
        <v>15630</v>
      </c>
      <c r="C929" s="53" t="s">
        <v>15631</v>
      </c>
    </row>
    <row r="930" spans="1:3" x14ac:dyDescent="0.35">
      <c r="A930" s="49" t="s">
        <v>15581</v>
      </c>
      <c r="B930" s="49" t="s">
        <v>15632</v>
      </c>
      <c r="C930" s="352" t="s">
        <v>15633</v>
      </c>
    </row>
    <row r="931" spans="1:3" x14ac:dyDescent="0.35">
      <c r="A931" s="49" t="s">
        <v>15581</v>
      </c>
      <c r="B931" s="49" t="s">
        <v>15634</v>
      </c>
      <c r="C931" s="53" t="s">
        <v>15635</v>
      </c>
    </row>
    <row r="932" spans="1:3" x14ac:dyDescent="0.35">
      <c r="A932" s="49" t="s">
        <v>15581</v>
      </c>
      <c r="B932" s="49" t="s">
        <v>15636</v>
      </c>
      <c r="C932" s="53" t="s">
        <v>15637</v>
      </c>
    </row>
    <row r="933" spans="1:3" x14ac:dyDescent="0.35">
      <c r="A933" s="49" t="s">
        <v>15581</v>
      </c>
      <c r="B933" s="49" t="s">
        <v>15638</v>
      </c>
      <c r="C933" s="53" t="s">
        <v>15639</v>
      </c>
    </row>
    <row r="934" spans="1:3" x14ac:dyDescent="0.35">
      <c r="A934" s="49" t="s">
        <v>15581</v>
      </c>
      <c r="B934" s="49" t="s">
        <v>15640</v>
      </c>
      <c r="C934" s="53" t="s">
        <v>15641</v>
      </c>
    </row>
    <row r="935" spans="1:3" x14ac:dyDescent="0.35">
      <c r="A935" s="49" t="s">
        <v>15581</v>
      </c>
      <c r="B935" s="49" t="s">
        <v>15642</v>
      </c>
      <c r="C935" s="53" t="s">
        <v>15643</v>
      </c>
    </row>
    <row r="936" spans="1:3" x14ac:dyDescent="0.35">
      <c r="A936" s="49" t="s">
        <v>15581</v>
      </c>
      <c r="B936" s="49" t="s">
        <v>15644</v>
      </c>
      <c r="C936" s="53" t="s">
        <v>15645</v>
      </c>
    </row>
    <row r="937" spans="1:3" x14ac:dyDescent="0.35">
      <c r="A937" s="49" t="s">
        <v>15646</v>
      </c>
      <c r="B937" s="49" t="s">
        <v>15647</v>
      </c>
      <c r="C937" s="351" t="s">
        <v>15648</v>
      </c>
    </row>
  </sheetData>
  <phoneticPr fontId="15" type="noConversion"/>
  <pageMargins left="0.7" right="0.7" top="0.75" bottom="0.75" header="0.3" footer="0.3"/>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83FD7D-9E7B-431B-B417-B797937DB5D7}">
  <sheetPr codeName="Sheet1"/>
  <dimension ref="A1:E6078"/>
  <sheetViews>
    <sheetView topLeftCell="A6038" zoomScaleNormal="100" workbookViewId="0">
      <selection activeCell="E6049" sqref="C6049:E6049"/>
    </sheetView>
  </sheetViews>
  <sheetFormatPr defaultRowHeight="14.5" x14ac:dyDescent="0.35"/>
  <cols>
    <col min="1" max="1" width="44.453125" style="1" customWidth="1"/>
    <col min="2" max="2" width="5.7265625" style="1" customWidth="1"/>
    <col min="3" max="3" width="59" style="1" customWidth="1"/>
    <col min="4" max="4" width="8.7265625" style="1"/>
    <col min="5" max="5" width="11.1796875" style="250" customWidth="1"/>
    <col min="6" max="16384" width="8.7265625" style="1"/>
  </cols>
  <sheetData>
    <row r="1" spans="1:5" x14ac:dyDescent="0.35">
      <c r="A1" s="1" t="s">
        <v>15649</v>
      </c>
      <c r="B1" s="1" t="s">
        <v>75</v>
      </c>
      <c r="C1" s="1" t="s">
        <v>13767</v>
      </c>
      <c r="D1" s="1" t="s">
        <v>75</v>
      </c>
      <c r="E1" s="250" t="s">
        <v>13768</v>
      </c>
    </row>
    <row r="2" spans="1:5" x14ac:dyDescent="0.35">
      <c r="A2" s="1" t="s">
        <v>15650</v>
      </c>
      <c r="B2" s="1" t="s">
        <v>1391</v>
      </c>
      <c r="C2" s="1" t="s">
        <v>13766</v>
      </c>
      <c r="D2" s="1" t="s">
        <v>1391</v>
      </c>
      <c r="E2" s="250">
        <v>1</v>
      </c>
    </row>
    <row r="3" spans="1:5" x14ac:dyDescent="0.35">
      <c r="A3" s="1" t="s">
        <v>15651</v>
      </c>
      <c r="B3" s="1" t="s">
        <v>1391</v>
      </c>
      <c r="C3" s="1" t="s">
        <v>13765</v>
      </c>
      <c r="D3" s="1" t="s">
        <v>1391</v>
      </c>
      <c r="E3" s="250">
        <v>1.1000000000000001</v>
      </c>
    </row>
    <row r="4" spans="1:5" x14ac:dyDescent="0.35">
      <c r="A4" s="1" t="s">
        <v>15652</v>
      </c>
      <c r="B4" s="1" t="s">
        <v>1391</v>
      </c>
      <c r="C4" s="1" t="s">
        <v>13764</v>
      </c>
      <c r="D4" s="1" t="s">
        <v>1391</v>
      </c>
      <c r="E4" s="250">
        <v>1.1100000000000001</v>
      </c>
    </row>
    <row r="5" spans="1:5" x14ac:dyDescent="0.35">
      <c r="A5" s="1" t="s">
        <v>15653</v>
      </c>
      <c r="B5" s="1" t="s">
        <v>1391</v>
      </c>
      <c r="C5" s="1" t="s">
        <v>13763</v>
      </c>
      <c r="D5" s="1" t="s">
        <v>1391</v>
      </c>
      <c r="E5" s="250">
        <v>1.2</v>
      </c>
    </row>
    <row r="6" spans="1:5" x14ac:dyDescent="0.35">
      <c r="A6" s="1" t="s">
        <v>15654</v>
      </c>
      <c r="B6" s="1" t="s">
        <v>1391</v>
      </c>
      <c r="C6" s="1" t="s">
        <v>13762</v>
      </c>
      <c r="D6" s="1" t="s">
        <v>1391</v>
      </c>
      <c r="E6" s="250">
        <v>1.21</v>
      </c>
    </row>
    <row r="7" spans="1:5" x14ac:dyDescent="0.35">
      <c r="A7" s="1" t="s">
        <v>15655</v>
      </c>
      <c r="B7" s="1" t="s">
        <v>1391</v>
      </c>
      <c r="C7" s="1" t="s">
        <v>13761</v>
      </c>
      <c r="D7" s="1" t="s">
        <v>1391</v>
      </c>
      <c r="E7" s="250">
        <v>1.2110000000000001</v>
      </c>
    </row>
    <row r="8" spans="1:5" x14ac:dyDescent="0.35">
      <c r="A8" s="1" t="s">
        <v>15656</v>
      </c>
      <c r="B8" s="1" t="s">
        <v>1391</v>
      </c>
      <c r="C8" s="1" t="s">
        <v>13760</v>
      </c>
      <c r="D8" s="1" t="s">
        <v>1391</v>
      </c>
      <c r="E8" s="250">
        <v>1.212</v>
      </c>
    </row>
    <row r="9" spans="1:5" x14ac:dyDescent="0.35">
      <c r="A9" s="1" t="s">
        <v>15657</v>
      </c>
      <c r="B9" s="1" t="s">
        <v>1391</v>
      </c>
      <c r="C9" s="1" t="s">
        <v>13759</v>
      </c>
      <c r="D9" s="1" t="s">
        <v>1391</v>
      </c>
      <c r="E9" s="250">
        <v>1.3</v>
      </c>
    </row>
    <row r="10" spans="1:5" x14ac:dyDescent="0.35">
      <c r="A10" s="1" t="s">
        <v>15658</v>
      </c>
      <c r="B10" s="1" t="s">
        <v>1391</v>
      </c>
      <c r="C10" s="1" t="s">
        <v>13758</v>
      </c>
      <c r="D10" s="1" t="s">
        <v>1391</v>
      </c>
      <c r="E10" s="250">
        <v>1.31</v>
      </c>
    </row>
    <row r="11" spans="1:5" x14ac:dyDescent="0.35">
      <c r="A11" s="1" t="s">
        <v>15659</v>
      </c>
      <c r="B11" s="1" t="s">
        <v>1391</v>
      </c>
      <c r="C11" s="1" t="s">
        <v>13757</v>
      </c>
      <c r="D11" s="1" t="s">
        <v>1391</v>
      </c>
      <c r="E11" s="250">
        <v>1.32</v>
      </c>
    </row>
    <row r="12" spans="1:5" x14ac:dyDescent="0.35">
      <c r="A12" s="1" t="s">
        <v>15660</v>
      </c>
      <c r="B12" s="1" t="s">
        <v>1391</v>
      </c>
      <c r="C12" s="1" t="s">
        <v>13756</v>
      </c>
      <c r="D12" s="1" t="s">
        <v>1391</v>
      </c>
      <c r="E12" s="250">
        <v>1.33</v>
      </c>
    </row>
    <row r="13" spans="1:5" x14ac:dyDescent="0.35">
      <c r="A13" s="1" t="s">
        <v>15661</v>
      </c>
      <c r="B13" s="1" t="s">
        <v>58</v>
      </c>
      <c r="C13" s="1" t="s">
        <v>13755</v>
      </c>
      <c r="D13" s="1" t="s">
        <v>58</v>
      </c>
      <c r="E13" s="250">
        <v>1300.201</v>
      </c>
    </row>
    <row r="14" spans="1:5" x14ac:dyDescent="0.35">
      <c r="A14" s="2" t="s">
        <v>15662</v>
      </c>
      <c r="B14" s="1" t="s">
        <v>13673</v>
      </c>
      <c r="C14" s="1" t="s">
        <v>13754</v>
      </c>
      <c r="D14" s="1" t="s">
        <v>13673</v>
      </c>
      <c r="E14" s="250">
        <v>1310.0820000000001</v>
      </c>
    </row>
    <row r="15" spans="1:5" x14ac:dyDescent="0.35">
      <c r="A15" s="1" t="s">
        <v>15663</v>
      </c>
      <c r="B15" s="1" t="s">
        <v>13673</v>
      </c>
      <c r="C15" s="1" t="s">
        <v>13753</v>
      </c>
      <c r="D15" s="1" t="s">
        <v>13673</v>
      </c>
      <c r="E15" s="250">
        <v>1310.085</v>
      </c>
    </row>
    <row r="16" spans="1:5" x14ac:dyDescent="0.35">
      <c r="A16" s="1" t="s">
        <v>15664</v>
      </c>
      <c r="B16" s="1" t="s">
        <v>13673</v>
      </c>
      <c r="C16" s="1" t="s">
        <v>13752</v>
      </c>
      <c r="D16" s="1" t="s">
        <v>13673</v>
      </c>
      <c r="E16" s="250">
        <v>1310.0899999999999</v>
      </c>
    </row>
    <row r="17" spans="1:5" x14ac:dyDescent="0.35">
      <c r="A17" s="1" t="s">
        <v>15665</v>
      </c>
      <c r="B17" s="1" t="s">
        <v>13673</v>
      </c>
      <c r="C17" s="1" t="s">
        <v>13751</v>
      </c>
      <c r="D17" s="1" t="s">
        <v>13673</v>
      </c>
      <c r="E17" s="250">
        <v>1310.095</v>
      </c>
    </row>
    <row r="18" spans="1:5" x14ac:dyDescent="0.35">
      <c r="A18" s="1" t="s">
        <v>15666</v>
      </c>
      <c r="B18" s="1" t="s">
        <v>13673</v>
      </c>
      <c r="C18" s="1" t="s">
        <v>13750</v>
      </c>
      <c r="D18" s="1" t="s">
        <v>13673</v>
      </c>
      <c r="E18" s="250">
        <v>1310.096</v>
      </c>
    </row>
    <row r="19" spans="1:5" x14ac:dyDescent="0.35">
      <c r="A19" s="1" t="s">
        <v>15667</v>
      </c>
      <c r="B19" s="1" t="s">
        <v>13673</v>
      </c>
      <c r="C19" s="1" t="s">
        <v>13749</v>
      </c>
      <c r="D19" s="1" t="s">
        <v>13673</v>
      </c>
      <c r="E19" s="250">
        <v>1310.1079999999999</v>
      </c>
    </row>
    <row r="20" spans="1:5" x14ac:dyDescent="0.35">
      <c r="A20" s="1" t="s">
        <v>15668</v>
      </c>
      <c r="B20" s="1" t="s">
        <v>13673</v>
      </c>
      <c r="C20" s="1" t="s">
        <v>13748</v>
      </c>
      <c r="D20" s="1" t="s">
        <v>13673</v>
      </c>
      <c r="E20" s="250">
        <v>1310.1110000000001</v>
      </c>
    </row>
    <row r="21" spans="1:5" x14ac:dyDescent="0.35">
      <c r="A21" s="1" t="s">
        <v>15669</v>
      </c>
      <c r="B21" s="1" t="s">
        <v>13673</v>
      </c>
      <c r="C21" s="1" t="s">
        <v>13747</v>
      </c>
      <c r="D21" s="1" t="s">
        <v>13673</v>
      </c>
      <c r="E21" s="250">
        <v>1310.115</v>
      </c>
    </row>
    <row r="22" spans="1:5" x14ac:dyDescent="0.35">
      <c r="A22" s="1" t="s">
        <v>15670</v>
      </c>
      <c r="B22" s="1" t="s">
        <v>13673</v>
      </c>
      <c r="C22" s="1" t="s">
        <v>13746</v>
      </c>
      <c r="D22" s="1" t="s">
        <v>13673</v>
      </c>
      <c r="E22" s="250">
        <v>1310.116</v>
      </c>
    </row>
    <row r="23" spans="1:5" x14ac:dyDescent="0.35">
      <c r="A23" s="1" t="s">
        <v>15671</v>
      </c>
      <c r="B23" s="1" t="s">
        <v>13673</v>
      </c>
      <c r="C23" s="1" t="s">
        <v>13745</v>
      </c>
      <c r="D23" s="1" t="s">
        <v>13673</v>
      </c>
      <c r="E23" s="250">
        <v>1310.117</v>
      </c>
    </row>
    <row r="24" spans="1:5" x14ac:dyDescent="0.35">
      <c r="A24" s="1" t="s">
        <v>15672</v>
      </c>
      <c r="B24" s="1" t="s">
        <v>13673</v>
      </c>
      <c r="C24" s="1" t="s">
        <v>13744</v>
      </c>
      <c r="D24" s="1" t="s">
        <v>13673</v>
      </c>
      <c r="E24" s="250">
        <v>1310.1220000000001</v>
      </c>
    </row>
    <row r="25" spans="1:5" x14ac:dyDescent="0.35">
      <c r="A25" s="1" t="s">
        <v>15673</v>
      </c>
      <c r="B25" s="1" t="s">
        <v>13673</v>
      </c>
      <c r="C25" s="1" t="s">
        <v>13743</v>
      </c>
      <c r="D25" s="1" t="s">
        <v>13673</v>
      </c>
      <c r="E25" s="250">
        <v>1310.124</v>
      </c>
    </row>
    <row r="26" spans="1:5" x14ac:dyDescent="0.35">
      <c r="A26" s="1" t="s">
        <v>15674</v>
      </c>
      <c r="B26" s="1" t="s">
        <v>13673</v>
      </c>
      <c r="C26" s="1" t="s">
        <v>13742</v>
      </c>
      <c r="D26" s="1" t="s">
        <v>13673</v>
      </c>
      <c r="E26" s="250">
        <v>1310.125</v>
      </c>
    </row>
    <row r="27" spans="1:5" x14ac:dyDescent="0.35">
      <c r="A27" s="1" t="s">
        <v>15675</v>
      </c>
      <c r="B27" s="1" t="s">
        <v>13673</v>
      </c>
      <c r="C27" s="1" t="s">
        <v>13741</v>
      </c>
      <c r="D27" s="1" t="s">
        <v>13673</v>
      </c>
      <c r="E27" s="250">
        <v>1310.126</v>
      </c>
    </row>
    <row r="28" spans="1:5" x14ac:dyDescent="0.35">
      <c r="A28" s="1" t="s">
        <v>15676</v>
      </c>
      <c r="B28" s="1" t="s">
        <v>13673</v>
      </c>
      <c r="C28" s="1" t="s">
        <v>13740</v>
      </c>
      <c r="D28" s="1" t="s">
        <v>13673</v>
      </c>
      <c r="E28" s="250">
        <v>1310.1310000000001</v>
      </c>
    </row>
    <row r="29" spans="1:5" x14ac:dyDescent="0.35">
      <c r="A29" s="1" t="s">
        <v>15677</v>
      </c>
      <c r="B29" s="1" t="s">
        <v>13673</v>
      </c>
      <c r="C29" s="1" t="s">
        <v>13739</v>
      </c>
      <c r="D29" s="1" t="s">
        <v>13673</v>
      </c>
      <c r="E29" s="250">
        <v>1310.135</v>
      </c>
    </row>
    <row r="30" spans="1:5" x14ac:dyDescent="0.35">
      <c r="A30" s="1" t="s">
        <v>15678</v>
      </c>
      <c r="B30" s="1" t="s">
        <v>13673</v>
      </c>
      <c r="C30" s="1" t="s">
        <v>13738</v>
      </c>
      <c r="D30" s="1" t="s">
        <v>13673</v>
      </c>
      <c r="E30" s="250">
        <v>1310.136</v>
      </c>
    </row>
    <row r="31" spans="1:5" x14ac:dyDescent="0.35">
      <c r="A31" s="1" t="s">
        <v>15679</v>
      </c>
      <c r="B31" s="1" t="s">
        <v>13673</v>
      </c>
      <c r="C31" s="1" t="s">
        <v>13737</v>
      </c>
      <c r="D31" s="1" t="s">
        <v>13673</v>
      </c>
      <c r="E31" s="250">
        <v>1310.1369999999999</v>
      </c>
    </row>
    <row r="32" spans="1:5" x14ac:dyDescent="0.35">
      <c r="A32" s="1" t="s">
        <v>15680</v>
      </c>
      <c r="B32" s="1" t="s">
        <v>13673</v>
      </c>
      <c r="C32" s="1" t="s">
        <v>13736</v>
      </c>
      <c r="D32" s="1" t="s">
        <v>13673</v>
      </c>
      <c r="E32" s="250">
        <v>1310.1389999999999</v>
      </c>
    </row>
    <row r="33" spans="1:5" x14ac:dyDescent="0.35">
      <c r="A33" s="1" t="s">
        <v>15681</v>
      </c>
      <c r="B33" s="1" t="s">
        <v>13673</v>
      </c>
      <c r="C33" s="1" t="s">
        <v>13735</v>
      </c>
      <c r="D33" s="1" t="s">
        <v>13673</v>
      </c>
      <c r="E33" s="250">
        <v>1310.1410000000001</v>
      </c>
    </row>
    <row r="34" spans="1:5" x14ac:dyDescent="0.35">
      <c r="A34" s="1" t="s">
        <v>15682</v>
      </c>
      <c r="B34" s="1" t="s">
        <v>13673</v>
      </c>
      <c r="C34" s="1" t="s">
        <v>13734</v>
      </c>
      <c r="D34" s="1" t="s">
        <v>13673</v>
      </c>
      <c r="E34" s="250">
        <v>1310.1420000000001</v>
      </c>
    </row>
    <row r="35" spans="1:5" x14ac:dyDescent="0.35">
      <c r="A35" s="1" t="s">
        <v>15683</v>
      </c>
      <c r="B35" s="1" t="s">
        <v>13673</v>
      </c>
      <c r="C35" s="1" t="s">
        <v>13733</v>
      </c>
      <c r="D35" s="1" t="s">
        <v>13673</v>
      </c>
      <c r="E35" s="250">
        <v>1310.1510000000001</v>
      </c>
    </row>
    <row r="36" spans="1:5" x14ac:dyDescent="0.35">
      <c r="A36" s="1" t="s">
        <v>15684</v>
      </c>
      <c r="B36" s="1" t="s">
        <v>13673</v>
      </c>
      <c r="C36" s="1" t="s">
        <v>13732</v>
      </c>
      <c r="D36" s="1" t="s">
        <v>13673</v>
      </c>
      <c r="E36" s="250">
        <v>1310.152</v>
      </c>
    </row>
    <row r="37" spans="1:5" x14ac:dyDescent="0.35">
      <c r="A37" s="1" t="s">
        <v>15685</v>
      </c>
      <c r="B37" s="1" t="s">
        <v>13673</v>
      </c>
      <c r="C37" s="1" t="s">
        <v>13731</v>
      </c>
      <c r="D37" s="1" t="s">
        <v>13673</v>
      </c>
      <c r="E37" s="250">
        <v>1310.1610000000001</v>
      </c>
    </row>
    <row r="38" spans="1:5" x14ac:dyDescent="0.35">
      <c r="A38" s="1" t="s">
        <v>15686</v>
      </c>
      <c r="B38" s="1" t="s">
        <v>13673</v>
      </c>
      <c r="C38" s="1" t="s">
        <v>13730</v>
      </c>
      <c r="D38" s="1" t="s">
        <v>13673</v>
      </c>
      <c r="E38" s="250">
        <v>1310.165</v>
      </c>
    </row>
    <row r="39" spans="1:5" x14ac:dyDescent="0.35">
      <c r="A39" s="1" t="s">
        <v>15687</v>
      </c>
      <c r="B39" s="1" t="s">
        <v>13673</v>
      </c>
      <c r="C39" s="1" t="s">
        <v>13729</v>
      </c>
      <c r="D39" s="1" t="s">
        <v>13673</v>
      </c>
      <c r="E39" s="250">
        <v>1310.1669999999999</v>
      </c>
    </row>
    <row r="40" spans="1:5" x14ac:dyDescent="0.35">
      <c r="A40" s="1" t="s">
        <v>15688</v>
      </c>
      <c r="B40" s="1" t="s">
        <v>13727</v>
      </c>
      <c r="C40" s="1" t="s">
        <v>13728</v>
      </c>
      <c r="D40" s="1" t="s">
        <v>13727</v>
      </c>
      <c r="E40" s="250">
        <v>1310.18</v>
      </c>
    </row>
    <row r="41" spans="1:5" x14ac:dyDescent="0.35">
      <c r="A41" s="1" t="s">
        <v>15689</v>
      </c>
      <c r="B41" s="1" t="s">
        <v>13673</v>
      </c>
      <c r="C41" s="1" t="s">
        <v>13726</v>
      </c>
      <c r="D41" s="1" t="s">
        <v>13673</v>
      </c>
      <c r="E41" s="250">
        <v>1310.212</v>
      </c>
    </row>
    <row r="42" spans="1:5" x14ac:dyDescent="0.35">
      <c r="A42" s="2" t="s">
        <v>15690</v>
      </c>
      <c r="B42" s="1" t="s">
        <v>13673</v>
      </c>
      <c r="C42" s="1" t="s">
        <v>13725</v>
      </c>
      <c r="D42" s="1" t="s">
        <v>13673</v>
      </c>
      <c r="E42" s="250">
        <v>1315.011</v>
      </c>
    </row>
    <row r="43" spans="1:5" x14ac:dyDescent="0.35">
      <c r="A43" s="1" t="s">
        <v>15691</v>
      </c>
      <c r="B43" s="1" t="s">
        <v>13673</v>
      </c>
      <c r="C43" s="1" t="s">
        <v>13724</v>
      </c>
      <c r="D43" s="1" t="s">
        <v>13673</v>
      </c>
      <c r="E43" s="250">
        <v>1315.0119999999999</v>
      </c>
    </row>
    <row r="44" spans="1:5" x14ac:dyDescent="0.35">
      <c r="A44" s="1" t="s">
        <v>15692</v>
      </c>
      <c r="B44" s="1" t="s">
        <v>13673</v>
      </c>
      <c r="C44" s="1" t="s">
        <v>13723</v>
      </c>
      <c r="D44" s="1" t="s">
        <v>13673</v>
      </c>
      <c r="E44" s="250">
        <v>1315.0150000000001</v>
      </c>
    </row>
    <row r="45" spans="1:5" x14ac:dyDescent="0.35">
      <c r="A45" s="1" t="s">
        <v>15693</v>
      </c>
      <c r="B45" s="1" t="s">
        <v>13673</v>
      </c>
      <c r="C45" s="1" t="s">
        <v>13722</v>
      </c>
      <c r="D45" s="1" t="s">
        <v>13673</v>
      </c>
      <c r="E45" s="250">
        <v>1315.021</v>
      </c>
    </row>
    <row r="46" spans="1:5" x14ac:dyDescent="0.35">
      <c r="A46" s="1" t="s">
        <v>15694</v>
      </c>
      <c r="B46" s="1" t="s">
        <v>13673</v>
      </c>
      <c r="C46" s="1" t="s">
        <v>13721</v>
      </c>
      <c r="D46" s="1" t="s">
        <v>13673</v>
      </c>
      <c r="E46" s="250">
        <v>1315.0219999999999</v>
      </c>
    </row>
    <row r="47" spans="1:5" x14ac:dyDescent="0.35">
      <c r="A47" s="1" t="s">
        <v>15695</v>
      </c>
      <c r="B47" s="1" t="s">
        <v>13673</v>
      </c>
      <c r="C47" s="1" t="s">
        <v>13720</v>
      </c>
      <c r="D47" s="1" t="s">
        <v>13673</v>
      </c>
      <c r="E47" s="250">
        <v>1315.0229999999999</v>
      </c>
    </row>
    <row r="48" spans="1:5" x14ac:dyDescent="0.35">
      <c r="A48" s="2" t="s">
        <v>15696</v>
      </c>
      <c r="B48" s="1" t="s">
        <v>58</v>
      </c>
      <c r="C48" s="1" t="s">
        <v>13719</v>
      </c>
      <c r="D48" s="1" t="s">
        <v>58</v>
      </c>
      <c r="E48" s="250">
        <v>1320.1010000000001</v>
      </c>
    </row>
    <row r="49" spans="1:5" x14ac:dyDescent="0.35">
      <c r="A49" s="1" t="s">
        <v>15697</v>
      </c>
      <c r="B49" s="1" t="s">
        <v>13673</v>
      </c>
      <c r="C49" s="1" t="s">
        <v>13718</v>
      </c>
      <c r="D49" s="1" t="s">
        <v>13673</v>
      </c>
      <c r="E49" s="250">
        <v>1320.1120000000001</v>
      </c>
    </row>
    <row r="50" spans="1:5" x14ac:dyDescent="0.35">
      <c r="A50" s="2" t="s">
        <v>15698</v>
      </c>
      <c r="B50" s="1" t="s">
        <v>13670</v>
      </c>
      <c r="C50" s="1" t="s">
        <v>13717</v>
      </c>
      <c r="D50" s="1" t="s">
        <v>13670</v>
      </c>
      <c r="E50" s="250">
        <v>1450.105</v>
      </c>
    </row>
    <row r="51" spans="1:5" x14ac:dyDescent="0.35">
      <c r="A51" s="1" t="s">
        <v>15699</v>
      </c>
      <c r="B51" s="1" t="s">
        <v>13670</v>
      </c>
      <c r="C51" s="1" t="s">
        <v>13716</v>
      </c>
      <c r="D51" s="1" t="s">
        <v>13670</v>
      </c>
      <c r="E51" s="250">
        <v>1450.106</v>
      </c>
    </row>
    <row r="52" spans="1:5" x14ac:dyDescent="0.35">
      <c r="A52" s="1" t="s">
        <v>15700</v>
      </c>
      <c r="B52" s="1" t="s">
        <v>13670</v>
      </c>
      <c r="C52" s="1" t="s">
        <v>13715</v>
      </c>
      <c r="D52" s="1" t="s">
        <v>13670</v>
      </c>
      <c r="E52" s="250">
        <v>1450.107</v>
      </c>
    </row>
    <row r="53" spans="1:5" x14ac:dyDescent="0.35">
      <c r="A53" s="1" t="s">
        <v>15701</v>
      </c>
      <c r="B53" s="1" t="s">
        <v>13670</v>
      </c>
      <c r="C53" s="1" t="s">
        <v>13714</v>
      </c>
      <c r="D53" s="1" t="s">
        <v>13670</v>
      </c>
      <c r="E53" s="250">
        <v>1450.1079999999999</v>
      </c>
    </row>
    <row r="54" spans="1:5" x14ac:dyDescent="0.35">
      <c r="A54" s="2" t="s">
        <v>15702</v>
      </c>
      <c r="B54" s="1" t="s">
        <v>13670</v>
      </c>
      <c r="C54" s="1" t="s">
        <v>13713</v>
      </c>
      <c r="D54" s="1" t="s">
        <v>13670</v>
      </c>
      <c r="E54" s="250">
        <v>1510.1210000000001</v>
      </c>
    </row>
    <row r="55" spans="1:5" x14ac:dyDescent="0.35">
      <c r="A55" s="1" t="s">
        <v>15703</v>
      </c>
      <c r="B55" s="1" t="s">
        <v>13670</v>
      </c>
      <c r="C55" s="1" t="s">
        <v>13712</v>
      </c>
      <c r="D55" s="1" t="s">
        <v>13670</v>
      </c>
      <c r="E55" s="250">
        <v>1510.1310000000001</v>
      </c>
    </row>
    <row r="56" spans="1:5" x14ac:dyDescent="0.35">
      <c r="A56" s="1" t="s">
        <v>15704</v>
      </c>
      <c r="B56" s="1" t="s">
        <v>13670</v>
      </c>
      <c r="C56" s="1" t="s">
        <v>13711</v>
      </c>
      <c r="D56" s="1" t="s">
        <v>13670</v>
      </c>
      <c r="E56" s="250">
        <v>1510.1410000000001</v>
      </c>
    </row>
    <row r="57" spans="1:5" x14ac:dyDescent="0.35">
      <c r="A57" s="2" t="s">
        <v>15705</v>
      </c>
      <c r="B57" s="1" t="s">
        <v>13670</v>
      </c>
      <c r="C57" s="1" t="s">
        <v>13710</v>
      </c>
      <c r="D57" s="1" t="s">
        <v>13670</v>
      </c>
      <c r="E57" s="250">
        <v>1520.1010000000001</v>
      </c>
    </row>
    <row r="58" spans="1:5" x14ac:dyDescent="0.35">
      <c r="A58" s="1" t="s">
        <v>15706</v>
      </c>
      <c r="B58" s="1" t="s">
        <v>13670</v>
      </c>
      <c r="C58" s="1" t="s">
        <v>13709</v>
      </c>
      <c r="D58" s="1" t="s">
        <v>13670</v>
      </c>
      <c r="E58" s="250">
        <v>1520.1020000000001</v>
      </c>
    </row>
    <row r="59" spans="1:5" x14ac:dyDescent="0.35">
      <c r="A59" s="1" t="s">
        <v>15707</v>
      </c>
      <c r="B59" s="1" t="s">
        <v>13670</v>
      </c>
      <c r="C59" s="1" t="s">
        <v>13708</v>
      </c>
      <c r="D59" s="1" t="s">
        <v>13670</v>
      </c>
      <c r="E59" s="250">
        <v>1520.1110000000001</v>
      </c>
    </row>
    <row r="60" spans="1:5" x14ac:dyDescent="0.35">
      <c r="A60" s="1" t="s">
        <v>15708</v>
      </c>
      <c r="B60" s="1" t="s">
        <v>13670</v>
      </c>
      <c r="C60" s="1" t="s">
        <v>13707</v>
      </c>
      <c r="D60" s="1" t="s">
        <v>13670</v>
      </c>
      <c r="E60" s="250">
        <v>1520.114</v>
      </c>
    </row>
    <row r="61" spans="1:5" x14ac:dyDescent="0.35">
      <c r="A61" s="1" t="s">
        <v>15709</v>
      </c>
      <c r="B61" s="1" t="s">
        <v>58</v>
      </c>
      <c r="C61" s="1" t="s">
        <v>13706</v>
      </c>
      <c r="D61" s="1" t="s">
        <v>58</v>
      </c>
      <c r="E61" s="250">
        <v>1520.1210000000001</v>
      </c>
    </row>
    <row r="62" spans="1:5" x14ac:dyDescent="0.35">
      <c r="A62" s="1" t="s">
        <v>15710</v>
      </c>
      <c r="B62" s="1" t="s">
        <v>58</v>
      </c>
      <c r="C62" s="1" t="s">
        <v>13705</v>
      </c>
      <c r="D62" s="1" t="s">
        <v>58</v>
      </c>
      <c r="E62" s="250">
        <v>1520.201</v>
      </c>
    </row>
    <row r="63" spans="1:5" x14ac:dyDescent="0.35">
      <c r="A63" s="1" t="s">
        <v>15711</v>
      </c>
      <c r="B63" s="1" t="s">
        <v>13701</v>
      </c>
      <c r="C63" s="1" t="s">
        <v>13704</v>
      </c>
      <c r="D63" s="1" t="s">
        <v>13701</v>
      </c>
      <c r="E63" s="250">
        <v>1520.2049999999999</v>
      </c>
    </row>
    <row r="64" spans="1:5" x14ac:dyDescent="0.35">
      <c r="A64" s="1" t="s">
        <v>15712</v>
      </c>
      <c r="B64" s="1" t="s">
        <v>13670</v>
      </c>
      <c r="C64" s="1" t="s">
        <v>13703</v>
      </c>
      <c r="D64" s="1" t="s">
        <v>13670</v>
      </c>
      <c r="E64" s="250">
        <v>1520.2070000000001</v>
      </c>
    </row>
    <row r="65" spans="1:5" x14ac:dyDescent="0.35">
      <c r="A65" s="1" t="s">
        <v>15713</v>
      </c>
      <c r="B65" s="1" t="s">
        <v>13701</v>
      </c>
      <c r="C65" s="1" t="s">
        <v>13702</v>
      </c>
      <c r="D65" s="1" t="s">
        <v>13701</v>
      </c>
      <c r="E65" s="250">
        <v>1520.22</v>
      </c>
    </row>
    <row r="66" spans="1:5" x14ac:dyDescent="0.35">
      <c r="A66" s="1" t="s">
        <v>15714</v>
      </c>
      <c r="B66" s="1" t="s">
        <v>58</v>
      </c>
      <c r="C66" s="1" t="s">
        <v>13700</v>
      </c>
      <c r="D66" s="1" t="s">
        <v>58</v>
      </c>
      <c r="E66" s="250">
        <v>1520.241</v>
      </c>
    </row>
    <row r="67" spans="1:5" x14ac:dyDescent="0.35">
      <c r="A67" s="1" t="s">
        <v>15715</v>
      </c>
      <c r="B67" s="1" t="s">
        <v>13670</v>
      </c>
      <c r="C67" s="1" t="s">
        <v>13699</v>
      </c>
      <c r="D67" s="1" t="s">
        <v>13670</v>
      </c>
      <c r="E67" s="250">
        <v>1520.25</v>
      </c>
    </row>
    <row r="68" spans="1:5" x14ac:dyDescent="0.35">
      <c r="A68" s="1" t="s">
        <v>15716</v>
      </c>
      <c r="B68" s="1" t="s">
        <v>13670</v>
      </c>
      <c r="C68" s="1" t="s">
        <v>13698</v>
      </c>
      <c r="D68" s="1" t="s">
        <v>13670</v>
      </c>
      <c r="E68" s="250">
        <v>1520.251</v>
      </c>
    </row>
    <row r="69" spans="1:5" x14ac:dyDescent="0.35">
      <c r="A69" s="2" t="s">
        <v>15717</v>
      </c>
      <c r="B69" s="1" t="s">
        <v>13670</v>
      </c>
      <c r="C69" s="1" t="s">
        <v>13697</v>
      </c>
      <c r="D69" s="1" t="s">
        <v>13670</v>
      </c>
      <c r="E69" s="250">
        <v>1540.115</v>
      </c>
    </row>
    <row r="70" spans="1:5" x14ac:dyDescent="0.35">
      <c r="A70" s="1" t="s">
        <v>15718</v>
      </c>
      <c r="B70" s="1" t="s">
        <v>13670</v>
      </c>
      <c r="C70" s="1" t="s">
        <v>13696</v>
      </c>
      <c r="D70" s="1" t="s">
        <v>13670</v>
      </c>
      <c r="E70" s="250">
        <v>1540.1310000000001</v>
      </c>
    </row>
    <row r="71" spans="1:5" x14ac:dyDescent="0.35">
      <c r="A71" s="1" t="s">
        <v>15719</v>
      </c>
      <c r="B71" s="1" t="s">
        <v>13670</v>
      </c>
      <c r="C71" s="1" t="s">
        <v>13695</v>
      </c>
      <c r="D71" s="1" t="s">
        <v>13670</v>
      </c>
      <c r="E71" s="250">
        <v>1540.1790000000001</v>
      </c>
    </row>
    <row r="72" spans="1:5" x14ac:dyDescent="0.35">
      <c r="A72" s="1" t="s">
        <v>15720</v>
      </c>
      <c r="B72" s="1" t="s">
        <v>13670</v>
      </c>
      <c r="C72" s="1" t="s">
        <v>13694</v>
      </c>
      <c r="D72" s="1" t="s">
        <v>13670</v>
      </c>
      <c r="E72" s="250">
        <v>1540.1849999999999</v>
      </c>
    </row>
    <row r="73" spans="1:5" x14ac:dyDescent="0.35">
      <c r="A73" s="1" t="s">
        <v>15721</v>
      </c>
      <c r="B73" s="1" t="s">
        <v>58</v>
      </c>
      <c r="C73" s="1" t="s">
        <v>13693</v>
      </c>
      <c r="D73" s="1" t="s">
        <v>58</v>
      </c>
      <c r="E73" s="250">
        <v>1540.192</v>
      </c>
    </row>
    <row r="74" spans="1:5" x14ac:dyDescent="0.35">
      <c r="A74" s="1" t="s">
        <v>15722</v>
      </c>
      <c r="B74" s="1" t="s">
        <v>58</v>
      </c>
      <c r="C74" s="1" t="s">
        <v>13692</v>
      </c>
      <c r="D74" s="1" t="s">
        <v>58</v>
      </c>
      <c r="E74" s="250">
        <v>1540.193</v>
      </c>
    </row>
    <row r="75" spans="1:5" x14ac:dyDescent="0.35">
      <c r="A75" s="1" t="s">
        <v>15723</v>
      </c>
      <c r="B75" s="1" t="s">
        <v>58</v>
      </c>
      <c r="C75" s="1" t="s">
        <v>13691</v>
      </c>
      <c r="D75" s="1" t="s">
        <v>58</v>
      </c>
      <c r="E75" s="250">
        <v>1540.194</v>
      </c>
    </row>
    <row r="76" spans="1:5" x14ac:dyDescent="0.35">
      <c r="A76" s="1" t="s">
        <v>15724</v>
      </c>
      <c r="B76" s="1" t="s">
        <v>13670</v>
      </c>
      <c r="C76" s="1" t="s">
        <v>13690</v>
      </c>
      <c r="D76" s="1" t="s">
        <v>13670</v>
      </c>
      <c r="E76" s="250">
        <v>1540.268</v>
      </c>
    </row>
    <row r="77" spans="1:5" x14ac:dyDescent="0.35">
      <c r="A77" s="1" t="s">
        <v>15725</v>
      </c>
      <c r="B77" s="1" t="s">
        <v>13670</v>
      </c>
      <c r="C77" s="1" t="s">
        <v>13689</v>
      </c>
      <c r="D77" s="1" t="s">
        <v>13670</v>
      </c>
      <c r="E77" s="250">
        <v>1540.2819999999999</v>
      </c>
    </row>
    <row r="78" spans="1:5" x14ac:dyDescent="0.35">
      <c r="A78" s="1" t="s">
        <v>15726</v>
      </c>
      <c r="B78" s="1" t="s">
        <v>13670</v>
      </c>
      <c r="C78" s="1" t="s">
        <v>13688</v>
      </c>
      <c r="D78" s="1" t="s">
        <v>13670</v>
      </c>
      <c r="E78" s="250">
        <v>1540.289</v>
      </c>
    </row>
    <row r="79" spans="1:5" x14ac:dyDescent="0.35">
      <c r="A79" s="1" t="s">
        <v>15727</v>
      </c>
      <c r="B79" s="1" t="s">
        <v>13670</v>
      </c>
      <c r="C79" s="1" t="s">
        <v>13687</v>
      </c>
      <c r="D79" s="1" t="s">
        <v>13670</v>
      </c>
      <c r="E79" s="250">
        <v>1540.3009999999999</v>
      </c>
    </row>
    <row r="80" spans="1:5" x14ac:dyDescent="0.35">
      <c r="A80" s="1" t="s">
        <v>15728</v>
      </c>
      <c r="B80" s="1" t="s">
        <v>18</v>
      </c>
      <c r="C80" s="1" t="s">
        <v>13686</v>
      </c>
      <c r="D80" s="1" t="s">
        <v>18</v>
      </c>
      <c r="E80" s="250">
        <v>1540.3109999999999</v>
      </c>
    </row>
    <row r="81" spans="1:5" x14ac:dyDescent="0.35">
      <c r="A81" s="1" t="s">
        <v>15729</v>
      </c>
      <c r="B81" s="1" t="s">
        <v>20</v>
      </c>
      <c r="C81" s="1" t="s">
        <v>13685</v>
      </c>
      <c r="D81" s="1" t="s">
        <v>20</v>
      </c>
      <c r="E81" s="250">
        <v>1540.33</v>
      </c>
    </row>
    <row r="82" spans="1:5" x14ac:dyDescent="0.35">
      <c r="A82" s="1" t="s">
        <v>15730</v>
      </c>
      <c r="B82" s="1" t="s">
        <v>20</v>
      </c>
      <c r="C82" s="1" t="s">
        <v>13684</v>
      </c>
      <c r="D82" s="1" t="s">
        <v>20</v>
      </c>
      <c r="E82" s="250">
        <v>1540.511</v>
      </c>
    </row>
    <row r="83" spans="1:5" x14ac:dyDescent="0.35">
      <c r="A83" s="1" t="s">
        <v>15731</v>
      </c>
      <c r="B83" s="1" t="s">
        <v>18</v>
      </c>
      <c r="C83" s="1" t="s">
        <v>13683</v>
      </c>
      <c r="D83" s="1" t="s">
        <v>18</v>
      </c>
      <c r="E83" s="250">
        <v>1540.52</v>
      </c>
    </row>
    <row r="84" spans="1:5" x14ac:dyDescent="0.35">
      <c r="A84" s="1" t="s">
        <v>15732</v>
      </c>
      <c r="B84" s="1" t="s">
        <v>18</v>
      </c>
      <c r="C84" s="1" t="s">
        <v>13682</v>
      </c>
      <c r="D84" s="1" t="s">
        <v>18</v>
      </c>
      <c r="E84" s="250">
        <v>1540.5350000000001</v>
      </c>
    </row>
    <row r="85" spans="1:5" x14ac:dyDescent="0.35">
      <c r="A85" s="1" t="s">
        <v>15733</v>
      </c>
      <c r="B85" s="1" t="s">
        <v>18</v>
      </c>
      <c r="C85" s="1" t="s">
        <v>13681</v>
      </c>
      <c r="D85" s="1" t="s">
        <v>18</v>
      </c>
      <c r="E85" s="250">
        <v>1540.538</v>
      </c>
    </row>
    <row r="86" spans="1:5" x14ac:dyDescent="0.35">
      <c r="A86" s="2" t="s">
        <v>15734</v>
      </c>
      <c r="B86" s="1" t="s">
        <v>13670</v>
      </c>
      <c r="C86" s="1" t="s">
        <v>13680</v>
      </c>
      <c r="D86" s="1" t="s">
        <v>13670</v>
      </c>
      <c r="E86" s="250">
        <v>1560.1020000000001</v>
      </c>
    </row>
    <row r="87" spans="1:5" x14ac:dyDescent="0.35">
      <c r="A87" s="1" t="s">
        <v>15735</v>
      </c>
      <c r="B87" s="1" t="s">
        <v>13670</v>
      </c>
      <c r="C87" s="1" t="s">
        <v>13679</v>
      </c>
      <c r="D87" s="1" t="s">
        <v>13670</v>
      </c>
      <c r="E87" s="250">
        <v>1560.1089999999999</v>
      </c>
    </row>
    <row r="88" spans="1:5" x14ac:dyDescent="0.35">
      <c r="A88" s="1" t="s">
        <v>15736</v>
      </c>
      <c r="B88" s="1" t="s">
        <v>62</v>
      </c>
      <c r="C88" s="1" t="s">
        <v>13678</v>
      </c>
      <c r="D88" s="1" t="s">
        <v>62</v>
      </c>
      <c r="E88" s="250">
        <v>1560.1210000000001</v>
      </c>
    </row>
    <row r="89" spans="1:5" x14ac:dyDescent="0.35">
      <c r="A89" s="1" t="s">
        <v>15737</v>
      </c>
      <c r="B89" s="1" t="s">
        <v>18</v>
      </c>
      <c r="C89" s="1" t="s">
        <v>13677</v>
      </c>
      <c r="D89" s="1" t="s">
        <v>18</v>
      </c>
      <c r="E89" s="250">
        <v>1560.21</v>
      </c>
    </row>
    <row r="90" spans="1:5" x14ac:dyDescent="0.35">
      <c r="A90" s="1" t="s">
        <v>15738</v>
      </c>
      <c r="B90" s="1" t="s">
        <v>19</v>
      </c>
      <c r="C90" s="1" t="s">
        <v>13676</v>
      </c>
      <c r="D90" s="1" t="s">
        <v>19</v>
      </c>
      <c r="E90" s="250">
        <v>1560.2149999999999</v>
      </c>
    </row>
    <row r="91" spans="1:5" x14ac:dyDescent="0.35">
      <c r="A91" s="1" t="s">
        <v>15739</v>
      </c>
      <c r="B91" s="1" t="s">
        <v>58</v>
      </c>
      <c r="C91" s="1" t="s">
        <v>13675</v>
      </c>
      <c r="D91" s="1" t="s">
        <v>58</v>
      </c>
      <c r="E91" s="250">
        <v>1580.1010000000001</v>
      </c>
    </row>
    <row r="92" spans="1:5" x14ac:dyDescent="0.35">
      <c r="A92" s="2" t="s">
        <v>15740</v>
      </c>
      <c r="B92" s="1" t="s">
        <v>13673</v>
      </c>
      <c r="C92" s="1" t="s">
        <v>13674</v>
      </c>
      <c r="D92" s="1" t="s">
        <v>13673</v>
      </c>
      <c r="E92" s="250">
        <v>1740.0989999999999</v>
      </c>
    </row>
    <row r="93" spans="1:5" x14ac:dyDescent="0.35">
      <c r="A93" s="1" t="s">
        <v>15741</v>
      </c>
      <c r="B93" s="1" t="s">
        <v>58</v>
      </c>
      <c r="C93" s="1" t="s">
        <v>13672</v>
      </c>
      <c r="D93" s="1" t="s">
        <v>58</v>
      </c>
      <c r="E93" s="250">
        <v>1740.1210000000001</v>
      </c>
    </row>
    <row r="94" spans="1:5" x14ac:dyDescent="0.35">
      <c r="A94" s="1" t="s">
        <v>15742</v>
      </c>
      <c r="B94" s="1" t="s">
        <v>13670</v>
      </c>
      <c r="C94" s="1" t="s">
        <v>13671</v>
      </c>
      <c r="D94" s="1" t="s">
        <v>13670</v>
      </c>
      <c r="E94" s="250">
        <v>1740.125</v>
      </c>
    </row>
    <row r="95" spans="1:5" x14ac:dyDescent="0.35">
      <c r="A95" s="2" t="s">
        <v>15743</v>
      </c>
      <c r="B95" s="1" t="s">
        <v>23</v>
      </c>
      <c r="C95" s="1" t="s">
        <v>10867</v>
      </c>
      <c r="D95" s="1" t="s">
        <v>23</v>
      </c>
      <c r="E95" s="250">
        <v>2069.9</v>
      </c>
    </row>
    <row r="96" spans="1:5" x14ac:dyDescent="0.35">
      <c r="A96" s="2" t="s">
        <v>15744</v>
      </c>
      <c r="B96" s="1" t="s">
        <v>20</v>
      </c>
      <c r="C96" s="1" t="s">
        <v>13669</v>
      </c>
      <c r="D96" s="1" t="s">
        <v>20</v>
      </c>
      <c r="E96" s="250">
        <v>2220.1</v>
      </c>
    </row>
    <row r="97" spans="1:5" x14ac:dyDescent="0.35">
      <c r="A97" s="1" t="s">
        <v>15745</v>
      </c>
      <c r="B97" s="1" t="s">
        <v>20</v>
      </c>
      <c r="C97" s="1" t="s">
        <v>13668</v>
      </c>
      <c r="D97" s="1" t="s">
        <v>20</v>
      </c>
      <c r="E97" s="250">
        <v>2220.1010000000001</v>
      </c>
    </row>
    <row r="98" spans="1:5" x14ac:dyDescent="0.35">
      <c r="A98" s="1" t="s">
        <v>15746</v>
      </c>
      <c r="B98" s="1" t="s">
        <v>20</v>
      </c>
      <c r="C98" s="1" t="s">
        <v>13667</v>
      </c>
      <c r="D98" s="1" t="s">
        <v>20</v>
      </c>
      <c r="E98" s="250">
        <v>2220.1019999999999</v>
      </c>
    </row>
    <row r="99" spans="1:5" x14ac:dyDescent="0.35">
      <c r="A99" s="1" t="s">
        <v>15747</v>
      </c>
      <c r="B99" s="1" t="s">
        <v>20</v>
      </c>
      <c r="C99" s="1" t="s">
        <v>13666</v>
      </c>
      <c r="D99" s="1" t="s">
        <v>20</v>
      </c>
      <c r="E99" s="250">
        <v>2220.1030000000001</v>
      </c>
    </row>
    <row r="100" spans="1:5" x14ac:dyDescent="0.35">
      <c r="A100" s="1" t="s">
        <v>15748</v>
      </c>
      <c r="B100" s="1" t="s">
        <v>20</v>
      </c>
      <c r="C100" s="1" t="s">
        <v>13665</v>
      </c>
      <c r="D100" s="1" t="s">
        <v>20</v>
      </c>
      <c r="E100" s="250">
        <v>2220.11</v>
      </c>
    </row>
    <row r="101" spans="1:5" x14ac:dyDescent="0.35">
      <c r="A101" s="1" t="s">
        <v>15749</v>
      </c>
      <c r="B101" s="1" t="s">
        <v>20</v>
      </c>
      <c r="C101" s="1" t="s">
        <v>13664</v>
      </c>
      <c r="D101" s="1" t="s">
        <v>20</v>
      </c>
      <c r="E101" s="250">
        <v>2220.1109999999999</v>
      </c>
    </row>
    <row r="102" spans="1:5" x14ac:dyDescent="0.35">
      <c r="A102" s="1" t="s">
        <v>15750</v>
      </c>
      <c r="B102" s="1" t="s">
        <v>20</v>
      </c>
      <c r="C102" s="1" t="s">
        <v>13663</v>
      </c>
      <c r="D102" s="1" t="s">
        <v>20</v>
      </c>
      <c r="E102" s="250">
        <v>2220.12</v>
      </c>
    </row>
    <row r="103" spans="1:5" x14ac:dyDescent="0.35">
      <c r="A103" s="1" t="s">
        <v>15751</v>
      </c>
      <c r="B103" s="1" t="s">
        <v>20</v>
      </c>
      <c r="C103" s="1" t="s">
        <v>13662</v>
      </c>
      <c r="D103" s="1" t="s">
        <v>20</v>
      </c>
      <c r="E103" s="250">
        <v>2220.13</v>
      </c>
    </row>
    <row r="104" spans="1:5" x14ac:dyDescent="0.35">
      <c r="A104" s="1" t="s">
        <v>15752</v>
      </c>
      <c r="B104" s="1" t="s">
        <v>20</v>
      </c>
      <c r="C104" s="1" t="s">
        <v>13661</v>
      </c>
      <c r="D104" s="1" t="s">
        <v>20</v>
      </c>
      <c r="E104" s="250">
        <v>2220.14</v>
      </c>
    </row>
    <row r="105" spans="1:5" x14ac:dyDescent="0.35">
      <c r="A105" s="1" t="s">
        <v>15753</v>
      </c>
      <c r="B105" s="1" t="s">
        <v>20</v>
      </c>
      <c r="C105" s="1" t="s">
        <v>13660</v>
      </c>
      <c r="D105" s="1" t="s">
        <v>20</v>
      </c>
      <c r="E105" s="250">
        <v>2220.1999999999998</v>
      </c>
    </row>
    <row r="106" spans="1:5" x14ac:dyDescent="0.35">
      <c r="A106" s="1" t="s">
        <v>15754</v>
      </c>
      <c r="B106" s="1" t="s">
        <v>18</v>
      </c>
      <c r="C106" s="1" t="s">
        <v>13659</v>
      </c>
      <c r="D106" s="1" t="s">
        <v>18</v>
      </c>
      <c r="E106" s="250">
        <v>2220.21</v>
      </c>
    </row>
    <row r="107" spans="1:5" x14ac:dyDescent="0.35">
      <c r="A107" s="1" t="s">
        <v>15755</v>
      </c>
      <c r="B107" s="1" t="s">
        <v>19</v>
      </c>
      <c r="C107" s="1" t="s">
        <v>13658</v>
      </c>
      <c r="D107" s="1" t="s">
        <v>19</v>
      </c>
      <c r="E107" s="250">
        <v>2220.2199999999998</v>
      </c>
    </row>
    <row r="108" spans="1:5" x14ac:dyDescent="0.35">
      <c r="A108" s="1" t="s">
        <v>15756</v>
      </c>
      <c r="B108" s="1" t="s">
        <v>19</v>
      </c>
      <c r="C108" s="1" t="s">
        <v>13657</v>
      </c>
      <c r="D108" s="1" t="s">
        <v>19</v>
      </c>
      <c r="E108" s="250">
        <v>2220.23</v>
      </c>
    </row>
    <row r="109" spans="1:5" x14ac:dyDescent="0.35">
      <c r="A109" s="1" t="s">
        <v>15757</v>
      </c>
      <c r="B109" s="1" t="s">
        <v>20</v>
      </c>
      <c r="C109" s="1" t="s">
        <v>13656</v>
      </c>
      <c r="D109" s="1" t="s">
        <v>20</v>
      </c>
      <c r="E109" s="250">
        <v>2220.3000000000002</v>
      </c>
    </row>
    <row r="110" spans="1:5" x14ac:dyDescent="0.35">
      <c r="A110" s="1" t="s">
        <v>15758</v>
      </c>
      <c r="B110" s="1" t="s">
        <v>20</v>
      </c>
      <c r="C110" s="1" t="s">
        <v>13655</v>
      </c>
      <c r="D110" s="1" t="s">
        <v>20</v>
      </c>
      <c r="E110" s="250">
        <v>2220.31</v>
      </c>
    </row>
    <row r="111" spans="1:5" x14ac:dyDescent="0.35">
      <c r="A111" s="1" t="s">
        <v>15759</v>
      </c>
      <c r="B111" s="1" t="s">
        <v>20</v>
      </c>
      <c r="C111" s="1" t="s">
        <v>13654</v>
      </c>
      <c r="D111" s="1" t="s">
        <v>20</v>
      </c>
      <c r="E111" s="250">
        <v>2220.3200000000002</v>
      </c>
    </row>
    <row r="112" spans="1:5" x14ac:dyDescent="0.35">
      <c r="A112" s="1" t="s">
        <v>15760</v>
      </c>
      <c r="B112" s="1" t="s">
        <v>20</v>
      </c>
      <c r="C112" s="1" t="s">
        <v>13653</v>
      </c>
      <c r="D112" s="1" t="s">
        <v>20</v>
      </c>
      <c r="E112" s="250">
        <v>2220.33</v>
      </c>
    </row>
    <row r="113" spans="1:5" x14ac:dyDescent="0.35">
      <c r="A113" s="1" t="s">
        <v>15761</v>
      </c>
      <c r="B113" s="1" t="s">
        <v>20</v>
      </c>
      <c r="C113" s="1" t="s">
        <v>13652</v>
      </c>
      <c r="D113" s="1" t="s">
        <v>20</v>
      </c>
      <c r="E113" s="250">
        <v>2220.4</v>
      </c>
    </row>
    <row r="114" spans="1:5" x14ac:dyDescent="0.35">
      <c r="A114" s="1" t="s">
        <v>15762</v>
      </c>
      <c r="B114" s="1" t="s">
        <v>20</v>
      </c>
      <c r="C114" s="1" t="s">
        <v>13651</v>
      </c>
      <c r="D114" s="1" t="s">
        <v>20</v>
      </c>
      <c r="E114" s="250">
        <v>2220.4009999999998</v>
      </c>
    </row>
    <row r="115" spans="1:5" x14ac:dyDescent="0.35">
      <c r="A115" s="1" t="s">
        <v>15763</v>
      </c>
      <c r="B115" s="1" t="s">
        <v>20</v>
      </c>
      <c r="C115" s="1" t="s">
        <v>13650</v>
      </c>
      <c r="D115" s="1" t="s">
        <v>20</v>
      </c>
      <c r="E115" s="250">
        <v>2220.402</v>
      </c>
    </row>
    <row r="116" spans="1:5" x14ac:dyDescent="0.35">
      <c r="A116" s="1" t="s">
        <v>15764</v>
      </c>
      <c r="B116" s="1" t="s">
        <v>20</v>
      </c>
      <c r="C116" s="1" t="s">
        <v>13649</v>
      </c>
      <c r="D116" s="1" t="s">
        <v>20</v>
      </c>
      <c r="E116" s="250">
        <v>2220.41</v>
      </c>
    </row>
    <row r="117" spans="1:5" x14ac:dyDescent="0.35">
      <c r="A117" s="1" t="s">
        <v>15765</v>
      </c>
      <c r="B117" s="1" t="s">
        <v>20</v>
      </c>
      <c r="C117" s="1" t="s">
        <v>13648</v>
      </c>
      <c r="D117" s="1" t="s">
        <v>20</v>
      </c>
      <c r="E117" s="250">
        <v>2220.42</v>
      </c>
    </row>
    <row r="118" spans="1:5" x14ac:dyDescent="0.35">
      <c r="A118" s="1" t="s">
        <v>15766</v>
      </c>
      <c r="B118" s="1" t="s">
        <v>20</v>
      </c>
      <c r="C118" s="1" t="s">
        <v>13647</v>
      </c>
      <c r="D118" s="1" t="s">
        <v>20</v>
      </c>
      <c r="E118" s="250">
        <v>2220.4299999999998</v>
      </c>
    </row>
    <row r="119" spans="1:5" x14ac:dyDescent="0.35">
      <c r="A119" s="1" t="s">
        <v>15767</v>
      </c>
      <c r="B119" s="1" t="s">
        <v>19</v>
      </c>
      <c r="C119" s="1" t="s">
        <v>13646</v>
      </c>
      <c r="D119" s="1" t="s">
        <v>19</v>
      </c>
      <c r="E119" s="250">
        <v>2220.44</v>
      </c>
    </row>
    <row r="120" spans="1:5" x14ac:dyDescent="0.35">
      <c r="A120" s="1" t="s">
        <v>15768</v>
      </c>
      <c r="B120" s="1" t="s">
        <v>20</v>
      </c>
      <c r="C120" s="1" t="s">
        <v>13645</v>
      </c>
      <c r="D120" s="1" t="s">
        <v>20</v>
      </c>
      <c r="E120" s="250">
        <v>2220.4499999999998</v>
      </c>
    </row>
    <row r="121" spans="1:5" x14ac:dyDescent="0.35">
      <c r="A121" s="1" t="s">
        <v>15769</v>
      </c>
      <c r="B121" s="1" t="s">
        <v>20</v>
      </c>
      <c r="C121" s="1" t="s">
        <v>13644</v>
      </c>
      <c r="D121" s="1" t="s">
        <v>20</v>
      </c>
      <c r="E121" s="250">
        <v>2220.46</v>
      </c>
    </row>
    <row r="122" spans="1:5" x14ac:dyDescent="0.35">
      <c r="A122" s="1" t="s">
        <v>15770</v>
      </c>
      <c r="B122" s="1" t="s">
        <v>20</v>
      </c>
      <c r="C122" s="1" t="s">
        <v>13643</v>
      </c>
      <c r="D122" s="1" t="s">
        <v>20</v>
      </c>
      <c r="E122" s="250">
        <v>2220.5</v>
      </c>
    </row>
    <row r="123" spans="1:5" x14ac:dyDescent="0.35">
      <c r="A123" s="1" t="s">
        <v>15771</v>
      </c>
      <c r="B123" s="1" t="s">
        <v>20</v>
      </c>
      <c r="C123" s="1" t="s">
        <v>13642</v>
      </c>
      <c r="D123" s="1" t="s">
        <v>20</v>
      </c>
      <c r="E123" s="250">
        <v>2220.5050000000001</v>
      </c>
    </row>
    <row r="124" spans="1:5" x14ac:dyDescent="0.35">
      <c r="A124" s="1" t="s">
        <v>15772</v>
      </c>
      <c r="B124" s="1" t="s">
        <v>20</v>
      </c>
      <c r="C124" s="1" t="s">
        <v>13641</v>
      </c>
      <c r="D124" s="1" t="s">
        <v>20</v>
      </c>
      <c r="E124" s="250">
        <v>2220.5100000000002</v>
      </c>
    </row>
    <row r="125" spans="1:5" x14ac:dyDescent="0.35">
      <c r="A125" s="1" t="s">
        <v>15773</v>
      </c>
      <c r="B125" s="1" t="s">
        <v>20</v>
      </c>
      <c r="C125" s="1" t="s">
        <v>13640</v>
      </c>
      <c r="D125" s="1" t="s">
        <v>20</v>
      </c>
      <c r="E125" s="250">
        <v>2220.5149999999999</v>
      </c>
    </row>
    <row r="126" spans="1:5" x14ac:dyDescent="0.35">
      <c r="A126" s="1" t="s">
        <v>15774</v>
      </c>
      <c r="B126" s="1" t="s">
        <v>20</v>
      </c>
      <c r="C126" s="1" t="s">
        <v>13639</v>
      </c>
      <c r="D126" s="1" t="s">
        <v>20</v>
      </c>
      <c r="E126" s="250">
        <v>2220.52</v>
      </c>
    </row>
    <row r="127" spans="1:5" x14ac:dyDescent="0.35">
      <c r="A127" s="1" t="s">
        <v>15775</v>
      </c>
      <c r="B127" s="1" t="s">
        <v>20</v>
      </c>
      <c r="C127" s="1" t="s">
        <v>13638</v>
      </c>
      <c r="D127" s="1" t="s">
        <v>20</v>
      </c>
      <c r="E127" s="250">
        <v>2220.5250000000001</v>
      </c>
    </row>
    <row r="128" spans="1:5" x14ac:dyDescent="0.35">
      <c r="A128" s="1" t="s">
        <v>15776</v>
      </c>
      <c r="B128" s="1" t="s">
        <v>20</v>
      </c>
      <c r="C128" s="1" t="s">
        <v>13637</v>
      </c>
      <c r="D128" s="1" t="s">
        <v>20</v>
      </c>
      <c r="E128" s="250">
        <v>2220.5300000000002</v>
      </c>
    </row>
    <row r="129" spans="1:5" x14ac:dyDescent="0.35">
      <c r="A129" s="1" t="s">
        <v>15777</v>
      </c>
      <c r="B129" s="1" t="s">
        <v>20</v>
      </c>
      <c r="C129" s="1" t="s">
        <v>13636</v>
      </c>
      <c r="D129" s="1" t="s">
        <v>20</v>
      </c>
      <c r="E129" s="250">
        <v>2220.5349999999999</v>
      </c>
    </row>
    <row r="130" spans="1:5" x14ac:dyDescent="0.35">
      <c r="A130" s="1" t="s">
        <v>15778</v>
      </c>
      <c r="B130" s="1" t="s">
        <v>19</v>
      </c>
      <c r="C130" s="1" t="s">
        <v>13635</v>
      </c>
      <c r="D130" s="1" t="s">
        <v>19</v>
      </c>
      <c r="E130" s="250">
        <v>2220.54</v>
      </c>
    </row>
    <row r="131" spans="1:5" x14ac:dyDescent="0.35">
      <c r="A131" s="1" t="s">
        <v>15779</v>
      </c>
      <c r="B131" s="1" t="s">
        <v>20</v>
      </c>
      <c r="C131" s="1" t="s">
        <v>13634</v>
      </c>
      <c r="D131" s="1" t="s">
        <v>20</v>
      </c>
      <c r="E131" s="250">
        <v>2220.6</v>
      </c>
    </row>
    <row r="132" spans="1:5" x14ac:dyDescent="0.35">
      <c r="A132" s="1" t="s">
        <v>15780</v>
      </c>
      <c r="B132" s="1" t="s">
        <v>20</v>
      </c>
      <c r="C132" s="1" t="s">
        <v>13633</v>
      </c>
      <c r="D132" s="1" t="s">
        <v>20</v>
      </c>
      <c r="E132" s="250">
        <v>2220.61</v>
      </c>
    </row>
    <row r="133" spans="1:5" x14ac:dyDescent="0.35">
      <c r="A133" s="1" t="s">
        <v>15781</v>
      </c>
      <c r="B133" s="1" t="s">
        <v>20</v>
      </c>
      <c r="C133" s="1" t="s">
        <v>13632</v>
      </c>
      <c r="D133" s="1" t="s">
        <v>20</v>
      </c>
      <c r="E133" s="250">
        <v>2220.62</v>
      </c>
    </row>
    <row r="134" spans="1:5" x14ac:dyDescent="0.35">
      <c r="A134" s="1" t="s">
        <v>15782</v>
      </c>
      <c r="B134" s="1" t="s">
        <v>18</v>
      </c>
      <c r="C134" s="1" t="s">
        <v>13631</v>
      </c>
      <c r="D134" s="1" t="s">
        <v>18</v>
      </c>
      <c r="E134" s="250">
        <v>2220.6999999999998</v>
      </c>
    </row>
    <row r="135" spans="1:5" x14ac:dyDescent="0.35">
      <c r="A135" s="1" t="s">
        <v>15783</v>
      </c>
      <c r="B135" s="1" t="s">
        <v>18</v>
      </c>
      <c r="C135" s="1" t="s">
        <v>13630</v>
      </c>
      <c r="D135" s="1" t="s">
        <v>18</v>
      </c>
      <c r="E135" s="250">
        <v>2220.701</v>
      </c>
    </row>
    <row r="136" spans="1:5" x14ac:dyDescent="0.35">
      <c r="A136" s="1" t="s">
        <v>15784</v>
      </c>
      <c r="B136" s="1" t="s">
        <v>20</v>
      </c>
      <c r="C136" s="1" t="s">
        <v>13592</v>
      </c>
      <c r="D136" s="1" t="s">
        <v>20</v>
      </c>
      <c r="E136" s="250">
        <v>2220.71</v>
      </c>
    </row>
    <row r="137" spans="1:5" x14ac:dyDescent="0.35">
      <c r="A137" s="1" t="s">
        <v>15785</v>
      </c>
      <c r="B137" s="1" t="s">
        <v>18</v>
      </c>
      <c r="C137" s="1" t="s">
        <v>13592</v>
      </c>
      <c r="D137" s="1" t="s">
        <v>18</v>
      </c>
      <c r="E137" s="250">
        <v>2220.7109999999998</v>
      </c>
    </row>
    <row r="138" spans="1:5" x14ac:dyDescent="0.35">
      <c r="A138" s="1" t="s">
        <v>15786</v>
      </c>
      <c r="B138" s="1" t="s">
        <v>20</v>
      </c>
      <c r="C138" s="1" t="s">
        <v>13629</v>
      </c>
      <c r="D138" s="1" t="s">
        <v>20</v>
      </c>
      <c r="E138" s="250">
        <v>2220.7199999999998</v>
      </c>
    </row>
    <row r="139" spans="1:5" x14ac:dyDescent="0.35">
      <c r="A139" s="1" t="s">
        <v>15787</v>
      </c>
      <c r="B139" s="1" t="s">
        <v>18</v>
      </c>
      <c r="C139" s="1" t="s">
        <v>13629</v>
      </c>
      <c r="D139" s="1" t="s">
        <v>18</v>
      </c>
      <c r="E139" s="250">
        <v>2220.721</v>
      </c>
    </row>
    <row r="140" spans="1:5" x14ac:dyDescent="0.35">
      <c r="A140" s="1" t="s">
        <v>15788</v>
      </c>
      <c r="B140" s="1" t="s">
        <v>18</v>
      </c>
      <c r="C140" s="1" t="s">
        <v>13628</v>
      </c>
      <c r="D140" s="1" t="s">
        <v>18</v>
      </c>
      <c r="E140" s="250">
        <v>2220.73</v>
      </c>
    </row>
    <row r="141" spans="1:5" x14ac:dyDescent="0.35">
      <c r="A141" s="1" t="s">
        <v>15789</v>
      </c>
      <c r="B141" s="1" t="s">
        <v>20</v>
      </c>
      <c r="C141" s="1" t="s">
        <v>13627</v>
      </c>
      <c r="D141" s="1" t="s">
        <v>20</v>
      </c>
      <c r="E141" s="250">
        <v>2220.8000000000002</v>
      </c>
    </row>
    <row r="142" spans="1:5" x14ac:dyDescent="0.35">
      <c r="A142" s="1" t="s">
        <v>15790</v>
      </c>
      <c r="B142" s="1" t="s">
        <v>20</v>
      </c>
      <c r="C142" s="1" t="s">
        <v>13626</v>
      </c>
      <c r="D142" s="1" t="s">
        <v>20</v>
      </c>
      <c r="E142" s="250">
        <v>2220.8049999999998</v>
      </c>
    </row>
    <row r="143" spans="1:5" x14ac:dyDescent="0.35">
      <c r="A143" s="1" t="s">
        <v>15791</v>
      </c>
      <c r="B143" s="1" t="s">
        <v>20</v>
      </c>
      <c r="C143" s="1" t="s">
        <v>13625</v>
      </c>
      <c r="D143" s="1" t="s">
        <v>20</v>
      </c>
      <c r="E143" s="250">
        <v>2220.806</v>
      </c>
    </row>
    <row r="144" spans="1:5" x14ac:dyDescent="0.35">
      <c r="A144" s="1" t="s">
        <v>15792</v>
      </c>
      <c r="B144" s="1" t="s">
        <v>20</v>
      </c>
      <c r="C144" s="1" t="s">
        <v>13624</v>
      </c>
      <c r="D144" s="1" t="s">
        <v>20</v>
      </c>
      <c r="E144" s="250">
        <v>2220.81</v>
      </c>
    </row>
    <row r="145" spans="1:5" x14ac:dyDescent="0.35">
      <c r="A145" s="1" t="s">
        <v>15793</v>
      </c>
      <c r="B145" s="1" t="s">
        <v>20</v>
      </c>
      <c r="C145" s="1" t="s">
        <v>13623</v>
      </c>
      <c r="D145" s="1" t="s">
        <v>20</v>
      </c>
      <c r="E145" s="250">
        <v>2220.8150000000001</v>
      </c>
    </row>
    <row r="146" spans="1:5" x14ac:dyDescent="0.35">
      <c r="A146" s="1" t="s">
        <v>15794</v>
      </c>
      <c r="B146" s="1" t="s">
        <v>20</v>
      </c>
      <c r="C146" s="1" t="s">
        <v>13622</v>
      </c>
      <c r="D146" s="1" t="s">
        <v>20</v>
      </c>
      <c r="E146" s="250">
        <v>2220.8200000000002</v>
      </c>
    </row>
    <row r="147" spans="1:5" x14ac:dyDescent="0.35">
      <c r="A147" s="1" t="s">
        <v>15795</v>
      </c>
      <c r="B147" s="1" t="s">
        <v>20</v>
      </c>
      <c r="C147" s="1" t="s">
        <v>13621</v>
      </c>
      <c r="D147" s="1" t="s">
        <v>20</v>
      </c>
      <c r="E147" s="250">
        <v>2220.8249999999998</v>
      </c>
    </row>
    <row r="148" spans="1:5" x14ac:dyDescent="0.35">
      <c r="A148" s="1" t="s">
        <v>15796</v>
      </c>
      <c r="B148" s="1" t="s">
        <v>20</v>
      </c>
      <c r="C148" s="1" t="s">
        <v>13620</v>
      </c>
      <c r="D148" s="1" t="s">
        <v>20</v>
      </c>
      <c r="E148" s="250">
        <v>2220.83</v>
      </c>
    </row>
    <row r="149" spans="1:5" x14ac:dyDescent="0.35">
      <c r="A149" s="2" t="s">
        <v>15797</v>
      </c>
      <c r="B149" s="1" t="s">
        <v>20</v>
      </c>
      <c r="C149" s="1" t="s">
        <v>13619</v>
      </c>
      <c r="D149" s="1" t="s">
        <v>20</v>
      </c>
      <c r="E149" s="250">
        <v>2221.1</v>
      </c>
    </row>
    <row r="150" spans="1:5" x14ac:dyDescent="0.35">
      <c r="A150" s="1" t="s">
        <v>15798</v>
      </c>
      <c r="B150" s="1" t="s">
        <v>20</v>
      </c>
      <c r="C150" s="1" t="s">
        <v>13618</v>
      </c>
      <c r="D150" s="1" t="s">
        <v>20</v>
      </c>
      <c r="E150" s="250">
        <v>2221.105</v>
      </c>
    </row>
    <row r="151" spans="1:5" x14ac:dyDescent="0.35">
      <c r="A151" s="1" t="s">
        <v>15799</v>
      </c>
      <c r="B151" s="1" t="s">
        <v>20</v>
      </c>
      <c r="C151" s="1" t="s">
        <v>13617</v>
      </c>
      <c r="D151" s="1" t="s">
        <v>20</v>
      </c>
      <c r="E151" s="250">
        <v>2221.11</v>
      </c>
    </row>
    <row r="152" spans="1:5" x14ac:dyDescent="0.35">
      <c r="A152" s="1" t="s">
        <v>15800</v>
      </c>
      <c r="B152" s="1" t="s">
        <v>20</v>
      </c>
      <c r="C152" s="1" t="s">
        <v>13616</v>
      </c>
      <c r="D152" s="1" t="s">
        <v>20</v>
      </c>
      <c r="E152" s="250">
        <v>2221.1149999999998</v>
      </c>
    </row>
    <row r="153" spans="1:5" x14ac:dyDescent="0.35">
      <c r="A153" s="1" t="s">
        <v>15801</v>
      </c>
      <c r="B153" s="1" t="s">
        <v>20</v>
      </c>
      <c r="C153" s="1" t="s">
        <v>13543</v>
      </c>
      <c r="D153" s="1" t="s">
        <v>20</v>
      </c>
      <c r="E153" s="250">
        <v>2221.12</v>
      </c>
    </row>
    <row r="154" spans="1:5" x14ac:dyDescent="0.35">
      <c r="A154" s="1" t="s">
        <v>15802</v>
      </c>
      <c r="B154" s="1" t="s">
        <v>20</v>
      </c>
      <c r="C154" s="1" t="s">
        <v>13615</v>
      </c>
      <c r="D154" s="1" t="s">
        <v>20</v>
      </c>
      <c r="E154" s="250">
        <v>2221.125</v>
      </c>
    </row>
    <row r="155" spans="1:5" x14ac:dyDescent="0.35">
      <c r="A155" s="1" t="s">
        <v>15803</v>
      </c>
      <c r="B155" s="1" t="s">
        <v>20</v>
      </c>
      <c r="C155" s="1" t="s">
        <v>13614</v>
      </c>
      <c r="D155" s="1" t="s">
        <v>20</v>
      </c>
      <c r="E155" s="250">
        <v>2221.1999999999998</v>
      </c>
    </row>
    <row r="156" spans="1:5" x14ac:dyDescent="0.35">
      <c r="A156" s="1" t="s">
        <v>15804</v>
      </c>
      <c r="B156" s="1" t="s">
        <v>20</v>
      </c>
      <c r="C156" s="1" t="s">
        <v>13613</v>
      </c>
      <c r="D156" s="1" t="s">
        <v>20</v>
      </c>
      <c r="E156" s="250">
        <v>2221.2049999999999</v>
      </c>
    </row>
    <row r="157" spans="1:5" x14ac:dyDescent="0.35">
      <c r="A157" s="1" t="s">
        <v>15805</v>
      </c>
      <c r="B157" s="1" t="s">
        <v>20</v>
      </c>
      <c r="C157" s="1" t="s">
        <v>13612</v>
      </c>
      <c r="D157" s="1" t="s">
        <v>20</v>
      </c>
      <c r="E157" s="250">
        <v>2221.21</v>
      </c>
    </row>
    <row r="158" spans="1:5" x14ac:dyDescent="0.35">
      <c r="A158" s="1" t="s">
        <v>15806</v>
      </c>
      <c r="B158" s="1" t="s">
        <v>20</v>
      </c>
      <c r="C158" s="1" t="s">
        <v>13611</v>
      </c>
      <c r="D158" s="1" t="s">
        <v>20</v>
      </c>
      <c r="E158" s="250">
        <v>2221.2150000000001</v>
      </c>
    </row>
    <row r="159" spans="1:5" x14ac:dyDescent="0.35">
      <c r="A159" s="1" t="s">
        <v>15807</v>
      </c>
      <c r="B159" s="1" t="s">
        <v>20</v>
      </c>
      <c r="C159" s="1" t="s">
        <v>13610</v>
      </c>
      <c r="D159" s="1" t="s">
        <v>20</v>
      </c>
      <c r="E159" s="250">
        <v>2221.2199999999998</v>
      </c>
    </row>
    <row r="160" spans="1:5" x14ac:dyDescent="0.35">
      <c r="A160" s="1" t="s">
        <v>15808</v>
      </c>
      <c r="B160" s="1" t="s">
        <v>20</v>
      </c>
      <c r="C160" s="1" t="s">
        <v>13609</v>
      </c>
      <c r="D160" s="1" t="s">
        <v>20</v>
      </c>
      <c r="E160" s="250">
        <v>2221.2249999999999</v>
      </c>
    </row>
    <row r="161" spans="1:5" x14ac:dyDescent="0.35">
      <c r="A161" s="1" t="s">
        <v>15809</v>
      </c>
      <c r="B161" s="1" t="s">
        <v>20</v>
      </c>
      <c r="C161" s="1" t="s">
        <v>13591</v>
      </c>
      <c r="D161" s="1" t="s">
        <v>20</v>
      </c>
      <c r="E161" s="250">
        <v>2221.25</v>
      </c>
    </row>
    <row r="162" spans="1:5" x14ac:dyDescent="0.35">
      <c r="A162" s="1" t="s">
        <v>15810</v>
      </c>
      <c r="B162" s="1" t="s">
        <v>20</v>
      </c>
      <c r="C162" s="1" t="s">
        <v>13608</v>
      </c>
      <c r="D162" s="1" t="s">
        <v>20</v>
      </c>
      <c r="E162" s="250">
        <v>2221.3000000000002</v>
      </c>
    </row>
    <row r="163" spans="1:5" x14ac:dyDescent="0.35">
      <c r="A163" s="1" t="s">
        <v>15811</v>
      </c>
      <c r="B163" s="1" t="s">
        <v>20</v>
      </c>
      <c r="C163" s="1" t="s">
        <v>13607</v>
      </c>
      <c r="D163" s="1" t="s">
        <v>20</v>
      </c>
      <c r="E163" s="250">
        <v>2221.3049999999998</v>
      </c>
    </row>
    <row r="164" spans="1:5" x14ac:dyDescent="0.35">
      <c r="A164" s="1" t="s">
        <v>15812</v>
      </c>
      <c r="B164" s="1" t="s">
        <v>20</v>
      </c>
      <c r="C164" s="1" t="s">
        <v>13606</v>
      </c>
      <c r="D164" s="1" t="s">
        <v>20</v>
      </c>
      <c r="E164" s="250">
        <v>2221.31</v>
      </c>
    </row>
    <row r="165" spans="1:5" x14ac:dyDescent="0.35">
      <c r="A165" s="1" t="s">
        <v>15813</v>
      </c>
      <c r="B165" s="1" t="s">
        <v>20</v>
      </c>
      <c r="C165" s="1" t="s">
        <v>13605</v>
      </c>
      <c r="D165" s="1" t="s">
        <v>20</v>
      </c>
      <c r="E165" s="250">
        <v>2221.3200000000002</v>
      </c>
    </row>
    <row r="166" spans="1:5" x14ac:dyDescent="0.35">
      <c r="A166" s="1" t="s">
        <v>15814</v>
      </c>
      <c r="B166" s="1" t="s">
        <v>20</v>
      </c>
      <c r="C166" s="1" t="s">
        <v>13604</v>
      </c>
      <c r="D166" s="1" t="s">
        <v>20</v>
      </c>
      <c r="E166" s="250">
        <v>2221.4</v>
      </c>
    </row>
    <row r="167" spans="1:5" x14ac:dyDescent="0.35">
      <c r="A167" s="1" t="s">
        <v>15815</v>
      </c>
      <c r="B167" s="1" t="s">
        <v>21</v>
      </c>
      <c r="C167" s="1" t="s">
        <v>13603</v>
      </c>
      <c r="D167" s="1" t="s">
        <v>21</v>
      </c>
      <c r="E167" s="250">
        <v>2221.4050000000002</v>
      </c>
    </row>
    <row r="168" spans="1:5" x14ac:dyDescent="0.35">
      <c r="A168" s="1" t="s">
        <v>15816</v>
      </c>
      <c r="B168" s="1" t="s">
        <v>20</v>
      </c>
      <c r="C168" s="1" t="s">
        <v>13602</v>
      </c>
      <c r="D168" s="1" t="s">
        <v>20</v>
      </c>
      <c r="E168" s="250">
        <v>2221.41</v>
      </c>
    </row>
    <row r="169" spans="1:5" x14ac:dyDescent="0.35">
      <c r="A169" s="1" t="s">
        <v>15817</v>
      </c>
      <c r="B169" s="1" t="s">
        <v>20</v>
      </c>
      <c r="C169" s="1" t="s">
        <v>13601</v>
      </c>
      <c r="D169" s="1" t="s">
        <v>20</v>
      </c>
      <c r="E169" s="250">
        <v>2221.415</v>
      </c>
    </row>
    <row r="170" spans="1:5" x14ac:dyDescent="0.35">
      <c r="A170" s="1" t="s">
        <v>15818</v>
      </c>
      <c r="B170" s="1" t="s">
        <v>20</v>
      </c>
      <c r="C170" s="1" t="s">
        <v>13600</v>
      </c>
      <c r="D170" s="1" t="s">
        <v>20</v>
      </c>
      <c r="E170" s="250">
        <v>2221.42</v>
      </c>
    </row>
    <row r="171" spans="1:5" x14ac:dyDescent="0.35">
      <c r="A171" s="1" t="s">
        <v>15819</v>
      </c>
      <c r="B171" s="1" t="s">
        <v>20</v>
      </c>
      <c r="C171" s="1" t="s">
        <v>13599</v>
      </c>
      <c r="D171" s="1" t="s">
        <v>20</v>
      </c>
      <c r="E171" s="250">
        <v>2221.4250000000002</v>
      </c>
    </row>
    <row r="172" spans="1:5" x14ac:dyDescent="0.35">
      <c r="A172" s="1" t="s">
        <v>15820</v>
      </c>
      <c r="B172" s="1" t="s">
        <v>18</v>
      </c>
      <c r="C172" s="1" t="s">
        <v>13598</v>
      </c>
      <c r="D172" s="1" t="s">
        <v>18</v>
      </c>
      <c r="E172" s="250">
        <v>2221.5</v>
      </c>
    </row>
    <row r="173" spans="1:5" x14ac:dyDescent="0.35">
      <c r="A173" s="1" t="s">
        <v>15821</v>
      </c>
      <c r="B173" s="1" t="s">
        <v>18</v>
      </c>
      <c r="C173" s="1" t="s">
        <v>13597</v>
      </c>
      <c r="D173" s="1" t="s">
        <v>18</v>
      </c>
      <c r="E173" s="250">
        <v>2221.5050000000001</v>
      </c>
    </row>
    <row r="174" spans="1:5" x14ac:dyDescent="0.35">
      <c r="A174" s="1" t="s">
        <v>15822</v>
      </c>
      <c r="B174" s="1" t="s">
        <v>18</v>
      </c>
      <c r="C174" s="1" t="s">
        <v>13596</v>
      </c>
      <c r="D174" s="1" t="s">
        <v>18</v>
      </c>
      <c r="E174" s="250">
        <v>2221.5100000000002</v>
      </c>
    </row>
    <row r="175" spans="1:5" x14ac:dyDescent="0.35">
      <c r="A175" s="1" t="s">
        <v>15823</v>
      </c>
      <c r="B175" s="1" t="s">
        <v>18</v>
      </c>
      <c r="C175" s="1" t="s">
        <v>13595</v>
      </c>
      <c r="D175" s="1" t="s">
        <v>18</v>
      </c>
      <c r="E175" s="250">
        <v>2221.5149999999999</v>
      </c>
    </row>
    <row r="176" spans="1:5" x14ac:dyDescent="0.35">
      <c r="A176" s="1" t="s">
        <v>15824</v>
      </c>
      <c r="B176" s="1" t="s">
        <v>18</v>
      </c>
      <c r="C176" s="1" t="s">
        <v>13594</v>
      </c>
      <c r="D176" s="1" t="s">
        <v>18</v>
      </c>
      <c r="E176" s="250">
        <v>2221.52</v>
      </c>
    </row>
    <row r="177" spans="1:5" x14ac:dyDescent="0.35">
      <c r="A177" s="1" t="s">
        <v>15825</v>
      </c>
      <c r="B177" s="1" t="s">
        <v>18</v>
      </c>
      <c r="C177" s="1" t="s">
        <v>13593</v>
      </c>
      <c r="D177" s="1" t="s">
        <v>18</v>
      </c>
      <c r="E177" s="250">
        <v>2221.5250000000001</v>
      </c>
    </row>
    <row r="178" spans="1:5" x14ac:dyDescent="0.35">
      <c r="A178" s="1" t="s">
        <v>15826</v>
      </c>
      <c r="B178" s="1" t="s">
        <v>18</v>
      </c>
      <c r="C178" s="1" t="s">
        <v>13592</v>
      </c>
      <c r="D178" s="1" t="s">
        <v>18</v>
      </c>
      <c r="E178" s="250">
        <v>2221.5300000000002</v>
      </c>
    </row>
    <row r="179" spans="1:5" x14ac:dyDescent="0.35">
      <c r="A179" s="1" t="s">
        <v>15827</v>
      </c>
      <c r="B179" s="1" t="s">
        <v>20</v>
      </c>
      <c r="C179" s="1" t="s">
        <v>13591</v>
      </c>
      <c r="D179" s="1" t="s">
        <v>20</v>
      </c>
      <c r="E179" s="250">
        <v>2221.5349999999999</v>
      </c>
    </row>
    <row r="180" spans="1:5" x14ac:dyDescent="0.35">
      <c r="A180" s="1" t="s">
        <v>15828</v>
      </c>
      <c r="B180" s="1" t="s">
        <v>18</v>
      </c>
      <c r="C180" s="1" t="s">
        <v>13590</v>
      </c>
      <c r="D180" s="1" t="s">
        <v>18</v>
      </c>
      <c r="E180" s="250">
        <v>2221.6</v>
      </c>
    </row>
    <row r="181" spans="1:5" x14ac:dyDescent="0.35">
      <c r="A181" s="1" t="s">
        <v>15829</v>
      </c>
      <c r="B181" s="1" t="s">
        <v>18</v>
      </c>
      <c r="C181" s="1" t="s">
        <v>13589</v>
      </c>
      <c r="D181" s="1" t="s">
        <v>18</v>
      </c>
      <c r="E181" s="250">
        <v>2221.605</v>
      </c>
    </row>
    <row r="182" spans="1:5" x14ac:dyDescent="0.35">
      <c r="A182" s="1" t="s">
        <v>15830</v>
      </c>
      <c r="B182" s="1" t="s">
        <v>18</v>
      </c>
      <c r="C182" s="1" t="s">
        <v>13588</v>
      </c>
      <c r="D182" s="1" t="s">
        <v>18</v>
      </c>
      <c r="E182" s="250">
        <v>2221.6149999999998</v>
      </c>
    </row>
    <row r="183" spans="1:5" x14ac:dyDescent="0.35">
      <c r="A183" s="1" t="s">
        <v>15831</v>
      </c>
      <c r="B183" s="1" t="s">
        <v>18</v>
      </c>
      <c r="C183" s="1" t="s">
        <v>13587</v>
      </c>
      <c r="D183" s="1" t="s">
        <v>18</v>
      </c>
      <c r="E183" s="250">
        <v>2221.62</v>
      </c>
    </row>
    <row r="184" spans="1:5" x14ac:dyDescent="0.35">
      <c r="A184" s="1" t="s">
        <v>15832</v>
      </c>
      <c r="B184" s="1" t="s">
        <v>18</v>
      </c>
      <c r="C184" s="1" t="s">
        <v>13586</v>
      </c>
      <c r="D184" s="1" t="s">
        <v>18</v>
      </c>
      <c r="E184" s="250">
        <v>2221.625</v>
      </c>
    </row>
    <row r="185" spans="1:5" x14ac:dyDescent="0.35">
      <c r="A185" s="1" t="s">
        <v>15833</v>
      </c>
      <c r="B185" s="1" t="s">
        <v>18</v>
      </c>
      <c r="C185" s="1" t="s">
        <v>13585</v>
      </c>
      <c r="D185" s="1" t="s">
        <v>18</v>
      </c>
      <c r="E185" s="250">
        <v>2221.63</v>
      </c>
    </row>
    <row r="186" spans="1:5" x14ac:dyDescent="0.35">
      <c r="A186" s="1" t="s">
        <v>15834</v>
      </c>
      <c r="B186" s="1" t="s">
        <v>18</v>
      </c>
      <c r="C186" s="1" t="s">
        <v>13584</v>
      </c>
      <c r="D186" s="1" t="s">
        <v>18</v>
      </c>
      <c r="E186" s="250">
        <v>2221.6350000000002</v>
      </c>
    </row>
    <row r="187" spans="1:5" x14ac:dyDescent="0.35">
      <c r="A187" s="1" t="s">
        <v>15835</v>
      </c>
      <c r="B187" s="1" t="s">
        <v>20</v>
      </c>
      <c r="C187" s="1" t="s">
        <v>13583</v>
      </c>
      <c r="D187" s="1" t="s">
        <v>20</v>
      </c>
      <c r="E187" s="250">
        <v>2221.64</v>
      </c>
    </row>
    <row r="188" spans="1:5" x14ac:dyDescent="0.35">
      <c r="A188" s="1" t="s">
        <v>15836</v>
      </c>
      <c r="B188" s="1" t="s">
        <v>18</v>
      </c>
      <c r="C188" s="1" t="s">
        <v>13582</v>
      </c>
      <c r="D188" s="1" t="s">
        <v>18</v>
      </c>
      <c r="E188" s="250">
        <v>2221.6999999999998</v>
      </c>
    </row>
    <row r="189" spans="1:5" x14ac:dyDescent="0.35">
      <c r="A189" s="1" t="s">
        <v>15837</v>
      </c>
      <c r="B189" s="1" t="s">
        <v>18</v>
      </c>
      <c r="C189" s="1" t="s">
        <v>13581</v>
      </c>
      <c r="D189" s="1" t="s">
        <v>18</v>
      </c>
      <c r="E189" s="250">
        <v>2221.7049999999999</v>
      </c>
    </row>
    <row r="190" spans="1:5" x14ac:dyDescent="0.35">
      <c r="A190" s="1" t="s">
        <v>15838</v>
      </c>
      <c r="B190" s="1" t="s">
        <v>18</v>
      </c>
      <c r="C190" s="1" t="s">
        <v>13580</v>
      </c>
      <c r="D190" s="1" t="s">
        <v>18</v>
      </c>
      <c r="E190" s="250">
        <v>2221.71</v>
      </c>
    </row>
    <row r="191" spans="1:5" x14ac:dyDescent="0.35">
      <c r="A191" s="1" t="s">
        <v>15839</v>
      </c>
      <c r="B191" s="1" t="s">
        <v>18</v>
      </c>
      <c r="C191" s="1" t="s">
        <v>13579</v>
      </c>
      <c r="D191" s="1" t="s">
        <v>18</v>
      </c>
      <c r="E191" s="250">
        <v>2221.7150000000001</v>
      </c>
    </row>
    <row r="192" spans="1:5" x14ac:dyDescent="0.35">
      <c r="A192" s="1" t="s">
        <v>15840</v>
      </c>
      <c r="B192" s="1" t="s">
        <v>20</v>
      </c>
      <c r="C192" s="1" t="s">
        <v>13578</v>
      </c>
      <c r="D192" s="1" t="s">
        <v>20</v>
      </c>
      <c r="E192" s="250">
        <v>2221.8000000000002</v>
      </c>
    </row>
    <row r="193" spans="1:5" x14ac:dyDescent="0.35">
      <c r="A193" s="1" t="s">
        <v>15841</v>
      </c>
      <c r="B193" s="1" t="s">
        <v>20</v>
      </c>
      <c r="C193" s="1" t="s">
        <v>13577</v>
      </c>
      <c r="D193" s="1" t="s">
        <v>20</v>
      </c>
      <c r="E193" s="250">
        <v>2221.8049999999998</v>
      </c>
    </row>
    <row r="194" spans="1:5" x14ac:dyDescent="0.35">
      <c r="A194" s="1" t="s">
        <v>15842</v>
      </c>
      <c r="B194" s="1" t="s">
        <v>20</v>
      </c>
      <c r="C194" s="1" t="s">
        <v>13576</v>
      </c>
      <c r="D194" s="1" t="s">
        <v>20</v>
      </c>
      <c r="E194" s="250">
        <v>2221.81</v>
      </c>
    </row>
    <row r="195" spans="1:5" x14ac:dyDescent="0.35">
      <c r="A195" s="1" t="s">
        <v>15843</v>
      </c>
      <c r="B195" s="1" t="s">
        <v>20</v>
      </c>
      <c r="C195" s="1" t="s">
        <v>13575</v>
      </c>
      <c r="D195" s="1" t="s">
        <v>20</v>
      </c>
      <c r="E195" s="250">
        <v>2221.8150000000001</v>
      </c>
    </row>
    <row r="196" spans="1:5" x14ac:dyDescent="0.35">
      <c r="A196" s="1" t="s">
        <v>15844</v>
      </c>
      <c r="B196" s="1" t="s">
        <v>20</v>
      </c>
      <c r="C196" s="1" t="s">
        <v>13574</v>
      </c>
      <c r="D196" s="1" t="s">
        <v>20</v>
      </c>
      <c r="E196" s="250">
        <v>2221.8200000000002</v>
      </c>
    </row>
    <row r="197" spans="1:5" x14ac:dyDescent="0.35">
      <c r="A197" s="1" t="s">
        <v>15845</v>
      </c>
      <c r="B197" s="1" t="s">
        <v>18</v>
      </c>
      <c r="C197" s="1" t="s">
        <v>13573</v>
      </c>
      <c r="D197" s="1" t="s">
        <v>18</v>
      </c>
      <c r="E197" s="250">
        <v>2221.8249999999998</v>
      </c>
    </row>
    <row r="198" spans="1:5" x14ac:dyDescent="0.35">
      <c r="A198" s="1" t="s">
        <v>15846</v>
      </c>
      <c r="B198" s="1" t="s">
        <v>19</v>
      </c>
      <c r="C198" s="1" t="s">
        <v>13572</v>
      </c>
      <c r="D198" s="1" t="s">
        <v>19</v>
      </c>
      <c r="E198" s="250">
        <v>2221.83</v>
      </c>
    </row>
    <row r="199" spans="1:5" x14ac:dyDescent="0.35">
      <c r="A199" s="1" t="s">
        <v>15847</v>
      </c>
      <c r="B199" s="1" t="s">
        <v>20</v>
      </c>
      <c r="C199" s="1" t="s">
        <v>13571</v>
      </c>
      <c r="D199" s="1" t="s">
        <v>20</v>
      </c>
      <c r="E199" s="250">
        <v>2221.9</v>
      </c>
    </row>
    <row r="200" spans="1:5" x14ac:dyDescent="0.35">
      <c r="A200" s="1" t="s">
        <v>15848</v>
      </c>
      <c r="B200" s="1" t="s">
        <v>20</v>
      </c>
      <c r="C200" s="1" t="s">
        <v>13570</v>
      </c>
      <c r="D200" s="1" t="s">
        <v>20</v>
      </c>
      <c r="E200" s="250">
        <v>2221.91</v>
      </c>
    </row>
    <row r="201" spans="1:5" x14ac:dyDescent="0.35">
      <c r="A201" s="1" t="s">
        <v>15849</v>
      </c>
      <c r="B201" s="1" t="s">
        <v>20</v>
      </c>
      <c r="C201" s="1" t="s">
        <v>13569</v>
      </c>
      <c r="D201" s="1" t="s">
        <v>20</v>
      </c>
      <c r="E201" s="250">
        <v>2221.92</v>
      </c>
    </row>
    <row r="202" spans="1:5" x14ac:dyDescent="0.35">
      <c r="A202" s="2" t="s">
        <v>15850</v>
      </c>
      <c r="B202" s="1" t="s">
        <v>20</v>
      </c>
      <c r="C202" s="1" t="s">
        <v>13568</v>
      </c>
      <c r="D202" s="1" t="s">
        <v>20</v>
      </c>
      <c r="E202" s="250">
        <v>2224.1</v>
      </c>
    </row>
    <row r="203" spans="1:5" x14ac:dyDescent="0.35">
      <c r="A203" s="1" t="s">
        <v>15851</v>
      </c>
      <c r="B203" s="1" t="s">
        <v>20</v>
      </c>
      <c r="C203" s="1" t="s">
        <v>13567</v>
      </c>
      <c r="D203" s="1" t="s">
        <v>20</v>
      </c>
      <c r="E203" s="250">
        <v>2224.105</v>
      </c>
    </row>
    <row r="204" spans="1:5" x14ac:dyDescent="0.35">
      <c r="A204" s="1" t="s">
        <v>15852</v>
      </c>
      <c r="B204" s="1" t="s">
        <v>20</v>
      </c>
      <c r="C204" s="1" t="s">
        <v>13566</v>
      </c>
      <c r="D204" s="1" t="s">
        <v>20</v>
      </c>
      <c r="E204" s="250">
        <v>2224.11</v>
      </c>
    </row>
    <row r="205" spans="1:5" x14ac:dyDescent="0.35">
      <c r="A205" s="1" t="s">
        <v>15853</v>
      </c>
      <c r="B205" s="1" t="s">
        <v>20</v>
      </c>
      <c r="C205" s="1" t="s">
        <v>13565</v>
      </c>
      <c r="D205" s="1" t="s">
        <v>20</v>
      </c>
      <c r="E205" s="250">
        <v>2224.1149999999998</v>
      </c>
    </row>
    <row r="206" spans="1:5" x14ac:dyDescent="0.35">
      <c r="A206" s="1" t="s">
        <v>15854</v>
      </c>
      <c r="B206" s="1" t="s">
        <v>20</v>
      </c>
      <c r="C206" s="1" t="s">
        <v>13564</v>
      </c>
      <c r="D206" s="1" t="s">
        <v>20</v>
      </c>
      <c r="E206" s="250">
        <v>2224.12</v>
      </c>
    </row>
    <row r="207" spans="1:5" x14ac:dyDescent="0.35">
      <c r="A207" s="1" t="s">
        <v>15855</v>
      </c>
      <c r="B207" s="1" t="s">
        <v>20</v>
      </c>
      <c r="C207" s="1" t="s">
        <v>13563</v>
      </c>
      <c r="D207" s="1" t="s">
        <v>20</v>
      </c>
      <c r="E207" s="250">
        <v>2224.125</v>
      </c>
    </row>
    <row r="208" spans="1:5" x14ac:dyDescent="0.35">
      <c r="A208" s="1" t="s">
        <v>15856</v>
      </c>
      <c r="B208" s="1" t="s">
        <v>20</v>
      </c>
      <c r="C208" s="1" t="s">
        <v>13562</v>
      </c>
      <c r="D208" s="1" t="s">
        <v>20</v>
      </c>
      <c r="E208" s="250">
        <v>2224.13</v>
      </c>
    </row>
    <row r="209" spans="1:5" x14ac:dyDescent="0.35">
      <c r="A209" s="1" t="s">
        <v>15857</v>
      </c>
      <c r="B209" s="1" t="s">
        <v>20</v>
      </c>
      <c r="C209" s="1" t="s">
        <v>13561</v>
      </c>
      <c r="D209" s="1" t="s">
        <v>20</v>
      </c>
      <c r="E209" s="250">
        <v>2224.1999999999998</v>
      </c>
    </row>
    <row r="210" spans="1:5" x14ac:dyDescent="0.35">
      <c r="A210" s="1" t="s">
        <v>15858</v>
      </c>
      <c r="B210" s="1" t="s">
        <v>20</v>
      </c>
      <c r="C210" s="1" t="s">
        <v>13560</v>
      </c>
      <c r="D210" s="1" t="s">
        <v>20</v>
      </c>
      <c r="E210" s="250">
        <v>2224.2049999999999</v>
      </c>
    </row>
    <row r="211" spans="1:5" x14ac:dyDescent="0.35">
      <c r="A211" s="1" t="s">
        <v>15859</v>
      </c>
      <c r="B211" s="1" t="s">
        <v>20</v>
      </c>
      <c r="C211" s="1" t="s">
        <v>13559</v>
      </c>
      <c r="D211" s="1" t="s">
        <v>20</v>
      </c>
      <c r="E211" s="250">
        <v>2224.21</v>
      </c>
    </row>
    <row r="212" spans="1:5" x14ac:dyDescent="0.35">
      <c r="A212" s="1" t="s">
        <v>15860</v>
      </c>
      <c r="B212" s="1" t="s">
        <v>20</v>
      </c>
      <c r="C212" s="1" t="s">
        <v>13558</v>
      </c>
      <c r="D212" s="1" t="s">
        <v>20</v>
      </c>
      <c r="E212" s="250">
        <v>2224.2150000000001</v>
      </c>
    </row>
    <row r="213" spans="1:5" x14ac:dyDescent="0.35">
      <c r="A213" s="1" t="s">
        <v>15861</v>
      </c>
      <c r="B213" s="1" t="s">
        <v>20</v>
      </c>
      <c r="C213" s="1" t="s">
        <v>13557</v>
      </c>
      <c r="D213" s="1" t="s">
        <v>20</v>
      </c>
      <c r="E213" s="250">
        <v>2224.3000000000002</v>
      </c>
    </row>
    <row r="214" spans="1:5" x14ac:dyDescent="0.35">
      <c r="A214" s="1" t="s">
        <v>15862</v>
      </c>
      <c r="B214" s="1" t="s">
        <v>13554</v>
      </c>
      <c r="C214" s="1" t="s">
        <v>13556</v>
      </c>
      <c r="D214" s="1" t="s">
        <v>13554</v>
      </c>
      <c r="E214" s="250">
        <v>2224.31</v>
      </c>
    </row>
    <row r="215" spans="1:5" x14ac:dyDescent="0.35">
      <c r="A215" s="1" t="s">
        <v>15863</v>
      </c>
      <c r="B215" s="1" t="s">
        <v>13554</v>
      </c>
      <c r="C215" s="1" t="s">
        <v>13555</v>
      </c>
      <c r="D215" s="1" t="s">
        <v>13554</v>
      </c>
      <c r="E215" s="250">
        <v>2224.3200000000002</v>
      </c>
    </row>
    <row r="216" spans="1:5" x14ac:dyDescent="0.35">
      <c r="A216" s="1" t="s">
        <v>15864</v>
      </c>
      <c r="B216" s="1" t="s">
        <v>18</v>
      </c>
      <c r="C216" s="1" t="s">
        <v>13553</v>
      </c>
      <c r="D216" s="1" t="s">
        <v>18</v>
      </c>
      <c r="E216" s="250">
        <v>2224.33</v>
      </c>
    </row>
    <row r="217" spans="1:5" x14ac:dyDescent="0.35">
      <c r="A217" s="1" t="s">
        <v>15865</v>
      </c>
      <c r="B217" s="1" t="s">
        <v>18</v>
      </c>
      <c r="C217" s="1" t="s">
        <v>13552</v>
      </c>
      <c r="D217" s="1" t="s">
        <v>18</v>
      </c>
      <c r="E217" s="250">
        <v>2224.4</v>
      </c>
    </row>
    <row r="218" spans="1:5" x14ac:dyDescent="0.35">
      <c r="A218" s="1" t="s">
        <v>15866</v>
      </c>
      <c r="B218" s="1" t="s">
        <v>18</v>
      </c>
      <c r="C218" s="1" t="s">
        <v>13551</v>
      </c>
      <c r="D218" s="1" t="s">
        <v>18</v>
      </c>
      <c r="E218" s="250">
        <v>2224.4009999999998</v>
      </c>
    </row>
    <row r="219" spans="1:5" x14ac:dyDescent="0.35">
      <c r="A219" s="1" t="s">
        <v>15867</v>
      </c>
      <c r="B219" s="1" t="s">
        <v>19</v>
      </c>
      <c r="C219" s="1" t="s">
        <v>13550</v>
      </c>
      <c r="D219" s="1" t="s">
        <v>19</v>
      </c>
      <c r="E219" s="250">
        <v>2224.41</v>
      </c>
    </row>
    <row r="220" spans="1:5" x14ac:dyDescent="0.35">
      <c r="A220" s="1" t="s">
        <v>15868</v>
      </c>
      <c r="B220" s="1" t="s">
        <v>21</v>
      </c>
      <c r="C220" s="1" t="s">
        <v>13549</v>
      </c>
      <c r="D220" s="1" t="s">
        <v>21</v>
      </c>
      <c r="E220" s="250">
        <v>2224.5</v>
      </c>
    </row>
    <row r="221" spans="1:5" x14ac:dyDescent="0.35">
      <c r="A221" s="1" t="s">
        <v>15869</v>
      </c>
      <c r="B221" s="1" t="s">
        <v>20</v>
      </c>
      <c r="C221" s="1" t="s">
        <v>13548</v>
      </c>
      <c r="D221" s="1" t="s">
        <v>20</v>
      </c>
      <c r="E221" s="250">
        <v>2224.5010000000002</v>
      </c>
    </row>
    <row r="222" spans="1:5" x14ac:dyDescent="0.35">
      <c r="A222" s="1" t="s">
        <v>15870</v>
      </c>
      <c r="B222" s="1" t="s">
        <v>20</v>
      </c>
      <c r="C222" s="1" t="s">
        <v>13547</v>
      </c>
      <c r="D222" s="1" t="s">
        <v>20</v>
      </c>
      <c r="E222" s="250">
        <v>2224.5100000000002</v>
      </c>
    </row>
    <row r="223" spans="1:5" x14ac:dyDescent="0.35">
      <c r="A223" s="1" t="s">
        <v>15871</v>
      </c>
      <c r="B223" s="1" t="s">
        <v>19</v>
      </c>
      <c r="C223" s="1" t="s">
        <v>13546</v>
      </c>
      <c r="D223" s="1" t="s">
        <v>19</v>
      </c>
      <c r="E223" s="250">
        <v>2224.52</v>
      </c>
    </row>
    <row r="224" spans="1:5" x14ac:dyDescent="0.35">
      <c r="A224" s="1" t="s">
        <v>15872</v>
      </c>
      <c r="B224" s="1" t="s">
        <v>19</v>
      </c>
      <c r="C224" s="1" t="s">
        <v>13545</v>
      </c>
      <c r="D224" s="1" t="s">
        <v>19</v>
      </c>
      <c r="E224" s="250">
        <v>2224.5210000000002</v>
      </c>
    </row>
    <row r="225" spans="1:5" x14ac:dyDescent="0.35">
      <c r="A225" s="1" t="s">
        <v>15873</v>
      </c>
      <c r="B225" s="1" t="s">
        <v>20</v>
      </c>
      <c r="C225" s="1" t="s">
        <v>13544</v>
      </c>
      <c r="D225" s="1" t="s">
        <v>20</v>
      </c>
      <c r="E225" s="250">
        <v>2224.5500000000002</v>
      </c>
    </row>
    <row r="226" spans="1:5" x14ac:dyDescent="0.35">
      <c r="A226" s="1" t="s">
        <v>15874</v>
      </c>
      <c r="B226" s="1" t="s">
        <v>20</v>
      </c>
      <c r="C226" s="1" t="s">
        <v>13543</v>
      </c>
      <c r="D226" s="1" t="s">
        <v>20</v>
      </c>
      <c r="E226" s="250">
        <v>2224.5509999999999</v>
      </c>
    </row>
    <row r="227" spans="1:5" x14ac:dyDescent="0.35">
      <c r="A227" s="1" t="s">
        <v>15875</v>
      </c>
      <c r="B227" s="1" t="s">
        <v>19</v>
      </c>
      <c r="C227" s="1" t="s">
        <v>13542</v>
      </c>
      <c r="D227" s="1" t="s">
        <v>19</v>
      </c>
      <c r="E227" s="250">
        <v>2224.56</v>
      </c>
    </row>
    <row r="228" spans="1:5" x14ac:dyDescent="0.35">
      <c r="A228" s="1" t="s">
        <v>15876</v>
      </c>
      <c r="B228" s="1" t="s">
        <v>19</v>
      </c>
      <c r="C228" s="1" t="s">
        <v>13541</v>
      </c>
      <c r="D228" s="1" t="s">
        <v>19</v>
      </c>
      <c r="E228" s="250">
        <v>2224.6</v>
      </c>
    </row>
    <row r="229" spans="1:5" x14ac:dyDescent="0.35">
      <c r="A229" s="1" t="s">
        <v>15877</v>
      </c>
      <c r="B229" s="1" t="s">
        <v>19</v>
      </c>
      <c r="C229" s="1" t="s">
        <v>13540</v>
      </c>
      <c r="D229" s="1" t="s">
        <v>19</v>
      </c>
      <c r="E229" s="250">
        <v>2224.9</v>
      </c>
    </row>
    <row r="230" spans="1:5" x14ac:dyDescent="0.35">
      <c r="A230" s="1" t="s">
        <v>15878</v>
      </c>
      <c r="B230" s="1" t="s">
        <v>19</v>
      </c>
      <c r="C230" s="1" t="s">
        <v>13539</v>
      </c>
      <c r="D230" s="1" t="s">
        <v>19</v>
      </c>
      <c r="E230" s="250">
        <v>2224.9009999999998</v>
      </c>
    </row>
    <row r="231" spans="1:5" x14ac:dyDescent="0.35">
      <c r="A231" s="2" t="s">
        <v>15879</v>
      </c>
      <c r="B231" s="1" t="s">
        <v>621</v>
      </c>
      <c r="C231" s="1" t="s">
        <v>13538</v>
      </c>
      <c r="D231" s="1" t="s">
        <v>621</v>
      </c>
      <c r="E231" s="250">
        <v>2229.9</v>
      </c>
    </row>
    <row r="232" spans="1:5" x14ac:dyDescent="0.35">
      <c r="A232" s="1" t="s">
        <v>15880</v>
      </c>
      <c r="B232" s="1" t="s">
        <v>621</v>
      </c>
      <c r="C232" s="1" t="s">
        <v>13538</v>
      </c>
      <c r="D232" s="1" t="s">
        <v>621</v>
      </c>
      <c r="E232" s="250">
        <v>2229.9009999999998</v>
      </c>
    </row>
    <row r="233" spans="1:5" x14ac:dyDescent="0.35">
      <c r="A233" s="2" t="s">
        <v>15881</v>
      </c>
      <c r="B233" s="1" t="s">
        <v>39</v>
      </c>
      <c r="C233" s="1" t="s">
        <v>13537</v>
      </c>
      <c r="D233" s="1" t="s">
        <v>39</v>
      </c>
      <c r="E233" s="250">
        <v>2230.1</v>
      </c>
    </row>
    <row r="234" spans="1:5" x14ac:dyDescent="0.35">
      <c r="A234" s="1" t="s">
        <v>15882</v>
      </c>
      <c r="B234" s="1" t="s">
        <v>58</v>
      </c>
      <c r="C234" s="1" t="s">
        <v>13536</v>
      </c>
      <c r="D234" s="1" t="s">
        <v>58</v>
      </c>
      <c r="E234" s="250">
        <v>2230.1010000000001</v>
      </c>
    </row>
    <row r="235" spans="1:5" x14ac:dyDescent="0.35">
      <c r="A235" s="1" t="s">
        <v>15883</v>
      </c>
      <c r="B235" s="1" t="s">
        <v>39</v>
      </c>
      <c r="C235" s="1" t="s">
        <v>13535</v>
      </c>
      <c r="D235" s="1" t="s">
        <v>39</v>
      </c>
      <c r="E235" s="250">
        <v>2230.1999999999998</v>
      </c>
    </row>
    <row r="236" spans="1:5" x14ac:dyDescent="0.35">
      <c r="A236" s="1" t="s">
        <v>15884</v>
      </c>
      <c r="B236" s="1" t="s">
        <v>39</v>
      </c>
      <c r="C236" s="1" t="s">
        <v>13534</v>
      </c>
      <c r="D236" s="1" t="s">
        <v>39</v>
      </c>
      <c r="E236" s="250">
        <v>2230.3000000000002</v>
      </c>
    </row>
    <row r="237" spans="1:5" x14ac:dyDescent="0.35">
      <c r="A237" s="1" t="s">
        <v>15885</v>
      </c>
      <c r="B237" s="1" t="s">
        <v>39</v>
      </c>
      <c r="C237" s="1" t="s">
        <v>13533</v>
      </c>
      <c r="D237" s="1" t="s">
        <v>39</v>
      </c>
      <c r="E237" s="250">
        <v>2230.31</v>
      </c>
    </row>
    <row r="238" spans="1:5" x14ac:dyDescent="0.35">
      <c r="A238" s="1" t="s">
        <v>15886</v>
      </c>
      <c r="B238" s="1" t="s">
        <v>39</v>
      </c>
      <c r="C238" s="1" t="s">
        <v>13532</v>
      </c>
      <c r="D238" s="1" t="s">
        <v>39</v>
      </c>
      <c r="E238" s="250">
        <v>2230.3200000000002</v>
      </c>
    </row>
    <row r="239" spans="1:5" x14ac:dyDescent="0.35">
      <c r="A239" s="1" t="s">
        <v>15887</v>
      </c>
      <c r="B239" s="1" t="s">
        <v>39</v>
      </c>
      <c r="C239" s="1" t="s">
        <v>13531</v>
      </c>
      <c r="D239" s="1" t="s">
        <v>39</v>
      </c>
      <c r="E239" s="250">
        <v>2230.33</v>
      </c>
    </row>
    <row r="240" spans="1:5" x14ac:dyDescent="0.35">
      <c r="A240" s="2" t="s">
        <v>15888</v>
      </c>
      <c r="B240" s="1" t="s">
        <v>57</v>
      </c>
      <c r="C240" s="1" t="s">
        <v>13530</v>
      </c>
      <c r="D240" s="1" t="s">
        <v>57</v>
      </c>
      <c r="E240" s="250">
        <v>2260.0100000000002</v>
      </c>
    </row>
    <row r="241" spans="1:5" x14ac:dyDescent="0.35">
      <c r="A241" s="1" t="s">
        <v>15889</v>
      </c>
      <c r="B241" s="1" t="s">
        <v>20</v>
      </c>
      <c r="C241" s="1" t="s">
        <v>13529</v>
      </c>
      <c r="D241" s="1" t="s">
        <v>20</v>
      </c>
      <c r="E241" s="250">
        <v>2260.011</v>
      </c>
    </row>
    <row r="242" spans="1:5" x14ac:dyDescent="0.35">
      <c r="A242" s="1" t="s">
        <v>15890</v>
      </c>
      <c r="B242" s="1" t="s">
        <v>20</v>
      </c>
      <c r="C242" s="1" t="s">
        <v>13528</v>
      </c>
      <c r="D242" s="1" t="s">
        <v>20</v>
      </c>
      <c r="E242" s="250">
        <v>2260.0120000000002</v>
      </c>
    </row>
    <row r="243" spans="1:5" x14ac:dyDescent="0.35">
      <c r="A243" s="1" t="s">
        <v>15891</v>
      </c>
      <c r="B243" s="1" t="s">
        <v>20</v>
      </c>
      <c r="C243" s="1" t="s">
        <v>13527</v>
      </c>
      <c r="D243" s="1" t="s">
        <v>20</v>
      </c>
      <c r="E243" s="250">
        <v>2260.0129999999999</v>
      </c>
    </row>
    <row r="244" spans="1:5" x14ac:dyDescent="0.35">
      <c r="A244" s="1" t="s">
        <v>15892</v>
      </c>
      <c r="B244" s="1" t="s">
        <v>20</v>
      </c>
      <c r="C244" s="1" t="s">
        <v>13526</v>
      </c>
      <c r="D244" s="1" t="s">
        <v>20</v>
      </c>
      <c r="E244" s="250">
        <v>2260.0140000000001</v>
      </c>
    </row>
    <row r="245" spans="1:5" x14ac:dyDescent="0.35">
      <c r="A245" s="1" t="s">
        <v>15893</v>
      </c>
      <c r="B245" s="1" t="s">
        <v>19</v>
      </c>
      <c r="C245" s="1" t="s">
        <v>13525</v>
      </c>
      <c r="D245" s="1" t="s">
        <v>19</v>
      </c>
      <c r="E245" s="250">
        <v>2260.0149999999999</v>
      </c>
    </row>
    <row r="246" spans="1:5" x14ac:dyDescent="0.35">
      <c r="A246" s="1" t="s">
        <v>15894</v>
      </c>
      <c r="B246" s="1" t="s">
        <v>20</v>
      </c>
      <c r="C246" s="1" t="s">
        <v>13524</v>
      </c>
      <c r="D246" s="1" t="s">
        <v>20</v>
      </c>
      <c r="E246" s="250">
        <v>2260.0160000000001</v>
      </c>
    </row>
    <row r="247" spans="1:5" x14ac:dyDescent="0.35">
      <c r="A247" s="1" t="s">
        <v>15895</v>
      </c>
      <c r="B247" s="1" t="s">
        <v>20</v>
      </c>
      <c r="C247" s="1" t="s">
        <v>13523</v>
      </c>
      <c r="D247" s="1" t="s">
        <v>20</v>
      </c>
      <c r="E247" s="250">
        <v>2260.0169999999998</v>
      </c>
    </row>
    <row r="248" spans="1:5" x14ac:dyDescent="0.35">
      <c r="A248" s="1" t="s">
        <v>15896</v>
      </c>
      <c r="B248" s="1" t="s">
        <v>19</v>
      </c>
      <c r="C248" s="1" t="s">
        <v>13522</v>
      </c>
      <c r="D248" s="1" t="s">
        <v>19</v>
      </c>
      <c r="E248" s="250">
        <v>2260.018</v>
      </c>
    </row>
    <row r="249" spans="1:5" x14ac:dyDescent="0.35">
      <c r="A249" s="1" t="s">
        <v>15897</v>
      </c>
      <c r="B249" s="1" t="s">
        <v>20</v>
      </c>
      <c r="C249" s="1" t="s">
        <v>13521</v>
      </c>
      <c r="D249" s="1" t="s">
        <v>20</v>
      </c>
      <c r="E249" s="250">
        <v>2260.0300000000002</v>
      </c>
    </row>
    <row r="250" spans="1:5" x14ac:dyDescent="0.35">
      <c r="A250" s="1" t="s">
        <v>15898</v>
      </c>
      <c r="B250" s="1" t="s">
        <v>20</v>
      </c>
      <c r="C250" s="1" t="s">
        <v>13520</v>
      </c>
      <c r="D250" s="1" t="s">
        <v>20</v>
      </c>
      <c r="E250" s="250">
        <v>2260.0309999999999</v>
      </c>
    </row>
    <row r="251" spans="1:5" x14ac:dyDescent="0.35">
      <c r="A251" s="1" t="s">
        <v>15899</v>
      </c>
      <c r="B251" s="1" t="s">
        <v>20</v>
      </c>
      <c r="C251" s="1" t="s">
        <v>13515</v>
      </c>
      <c r="D251" s="1" t="s">
        <v>20</v>
      </c>
      <c r="E251" s="250">
        <v>2260.0320000000002</v>
      </c>
    </row>
    <row r="252" spans="1:5" x14ac:dyDescent="0.35">
      <c r="A252" s="1" t="s">
        <v>15900</v>
      </c>
      <c r="B252" s="1" t="s">
        <v>20</v>
      </c>
      <c r="C252" s="1" t="s">
        <v>13519</v>
      </c>
      <c r="D252" s="1" t="s">
        <v>20</v>
      </c>
      <c r="E252" s="250">
        <v>2260.0329999999999</v>
      </c>
    </row>
    <row r="253" spans="1:5" x14ac:dyDescent="0.35">
      <c r="A253" s="1" t="s">
        <v>15901</v>
      </c>
      <c r="B253" s="1" t="s">
        <v>20</v>
      </c>
      <c r="C253" s="1" t="s">
        <v>13518</v>
      </c>
      <c r="D253" s="1" t="s">
        <v>20</v>
      </c>
      <c r="E253" s="250">
        <v>2260.0340000000001</v>
      </c>
    </row>
    <row r="254" spans="1:5" x14ac:dyDescent="0.35">
      <c r="A254" s="1" t="s">
        <v>15902</v>
      </c>
      <c r="B254" s="1" t="s">
        <v>20</v>
      </c>
      <c r="C254" s="1" t="s">
        <v>13517</v>
      </c>
      <c r="D254" s="1" t="s">
        <v>20</v>
      </c>
      <c r="E254" s="250">
        <v>2260.0349999999999</v>
      </c>
    </row>
    <row r="255" spans="1:5" x14ac:dyDescent="0.35">
      <c r="A255" s="1" t="s">
        <v>15903</v>
      </c>
      <c r="B255" s="1" t="s">
        <v>20</v>
      </c>
      <c r="C255" s="1" t="s">
        <v>13516</v>
      </c>
      <c r="D255" s="1" t="s">
        <v>20</v>
      </c>
      <c r="E255" s="250">
        <v>2260.0360000000001</v>
      </c>
    </row>
    <row r="256" spans="1:5" x14ac:dyDescent="0.35">
      <c r="A256" s="1" t="s">
        <v>15904</v>
      </c>
      <c r="B256" s="1" t="s">
        <v>20</v>
      </c>
      <c r="C256" s="1" t="s">
        <v>13514</v>
      </c>
      <c r="D256" s="1" t="s">
        <v>20</v>
      </c>
      <c r="E256" s="250">
        <v>2260.0509999999999</v>
      </c>
    </row>
    <row r="257" spans="1:5" x14ac:dyDescent="0.35">
      <c r="A257" s="1" t="s">
        <v>15905</v>
      </c>
      <c r="B257" s="1" t="s">
        <v>20</v>
      </c>
      <c r="C257" s="1" t="s">
        <v>13513</v>
      </c>
      <c r="D257" s="1" t="s">
        <v>20</v>
      </c>
      <c r="E257" s="250">
        <v>2260.0520000000001</v>
      </c>
    </row>
    <row r="258" spans="1:5" x14ac:dyDescent="0.35">
      <c r="A258" s="1" t="s">
        <v>15906</v>
      </c>
      <c r="B258" s="1" t="s">
        <v>20</v>
      </c>
      <c r="C258" s="1" t="s">
        <v>13512</v>
      </c>
      <c r="D258" s="1" t="s">
        <v>20</v>
      </c>
      <c r="E258" s="250">
        <v>2260.0529999999999</v>
      </c>
    </row>
    <row r="259" spans="1:5" x14ac:dyDescent="0.35">
      <c r="A259" s="1" t="s">
        <v>15907</v>
      </c>
      <c r="B259" s="1" t="s">
        <v>20</v>
      </c>
      <c r="C259" s="1" t="s">
        <v>13511</v>
      </c>
      <c r="D259" s="1" t="s">
        <v>20</v>
      </c>
      <c r="E259" s="250">
        <v>2260.0540000000001</v>
      </c>
    </row>
    <row r="260" spans="1:5" x14ac:dyDescent="0.35">
      <c r="A260" s="1" t="s">
        <v>15908</v>
      </c>
      <c r="B260" s="1" t="s">
        <v>20</v>
      </c>
      <c r="C260" s="1" t="s">
        <v>13515</v>
      </c>
      <c r="D260" s="1" t="s">
        <v>20</v>
      </c>
      <c r="E260" s="250">
        <v>2260.0549999999998</v>
      </c>
    </row>
    <row r="261" spans="1:5" x14ac:dyDescent="0.35">
      <c r="A261" s="1" t="s">
        <v>15909</v>
      </c>
      <c r="B261" s="1" t="s">
        <v>20</v>
      </c>
      <c r="C261" s="1" t="s">
        <v>13514</v>
      </c>
      <c r="D261" s="1" t="s">
        <v>20</v>
      </c>
      <c r="E261" s="250">
        <v>2260.0610000000001</v>
      </c>
    </row>
    <row r="262" spans="1:5" x14ac:dyDescent="0.35">
      <c r="A262" s="1" t="s">
        <v>15910</v>
      </c>
      <c r="B262" s="1" t="s">
        <v>20</v>
      </c>
      <c r="C262" s="1" t="s">
        <v>13513</v>
      </c>
      <c r="D262" s="1" t="s">
        <v>20</v>
      </c>
      <c r="E262" s="250">
        <v>2260.0619999999999</v>
      </c>
    </row>
    <row r="263" spans="1:5" x14ac:dyDescent="0.35">
      <c r="A263" s="1" t="s">
        <v>15911</v>
      </c>
      <c r="B263" s="1" t="s">
        <v>20</v>
      </c>
      <c r="C263" s="1" t="s">
        <v>13512</v>
      </c>
      <c r="D263" s="1" t="s">
        <v>20</v>
      </c>
      <c r="E263" s="250">
        <v>2260.0630000000001</v>
      </c>
    </row>
    <row r="264" spans="1:5" x14ac:dyDescent="0.35">
      <c r="A264" s="1" t="s">
        <v>15912</v>
      </c>
      <c r="B264" s="1" t="s">
        <v>20</v>
      </c>
      <c r="C264" s="1" t="s">
        <v>13511</v>
      </c>
      <c r="D264" s="1" t="s">
        <v>20</v>
      </c>
      <c r="E264" s="250">
        <v>2260.0639999999999</v>
      </c>
    </row>
    <row r="265" spans="1:5" x14ac:dyDescent="0.35">
      <c r="A265" s="1" t="s">
        <v>15913</v>
      </c>
      <c r="B265" s="1" t="s">
        <v>20</v>
      </c>
      <c r="C265" s="1" t="s">
        <v>13510</v>
      </c>
      <c r="D265" s="1" t="s">
        <v>20</v>
      </c>
      <c r="E265" s="250">
        <v>2260.0650000000001</v>
      </c>
    </row>
    <row r="266" spans="1:5" x14ac:dyDescent="0.35">
      <c r="A266" s="1" t="s">
        <v>15914</v>
      </c>
      <c r="B266" s="1" t="s">
        <v>20</v>
      </c>
      <c r="C266" s="1" t="s">
        <v>13514</v>
      </c>
      <c r="D266" s="1" t="s">
        <v>20</v>
      </c>
      <c r="E266" s="250">
        <v>2260.0709999999999</v>
      </c>
    </row>
    <row r="267" spans="1:5" x14ac:dyDescent="0.35">
      <c r="A267" s="1" t="s">
        <v>15915</v>
      </c>
      <c r="B267" s="1" t="s">
        <v>20</v>
      </c>
      <c r="C267" s="1" t="s">
        <v>13513</v>
      </c>
      <c r="D267" s="1" t="s">
        <v>20</v>
      </c>
      <c r="E267" s="250">
        <v>2260.0720000000001</v>
      </c>
    </row>
    <row r="268" spans="1:5" x14ac:dyDescent="0.35">
      <c r="A268" s="1" t="s">
        <v>15916</v>
      </c>
      <c r="B268" s="1" t="s">
        <v>20</v>
      </c>
      <c r="C268" s="1" t="s">
        <v>13512</v>
      </c>
      <c r="D268" s="1" t="s">
        <v>20</v>
      </c>
      <c r="E268" s="250">
        <v>2260.0729999999999</v>
      </c>
    </row>
    <row r="269" spans="1:5" x14ac:dyDescent="0.35">
      <c r="A269" s="1" t="s">
        <v>15917</v>
      </c>
      <c r="B269" s="1" t="s">
        <v>20</v>
      </c>
      <c r="C269" s="1" t="s">
        <v>13511</v>
      </c>
      <c r="D269" s="1" t="s">
        <v>20</v>
      </c>
      <c r="E269" s="250">
        <v>2260.0740000000001</v>
      </c>
    </row>
    <row r="270" spans="1:5" x14ac:dyDescent="0.35">
      <c r="A270" s="1" t="s">
        <v>15918</v>
      </c>
      <c r="B270" s="1" t="s">
        <v>20</v>
      </c>
      <c r="C270" s="1" t="s">
        <v>13510</v>
      </c>
      <c r="D270" s="1" t="s">
        <v>20</v>
      </c>
      <c r="E270" s="250">
        <v>2260.0749999999998</v>
      </c>
    </row>
    <row r="271" spans="1:5" x14ac:dyDescent="0.35">
      <c r="A271" s="1" t="s">
        <v>15919</v>
      </c>
      <c r="B271" s="1" t="s">
        <v>20</v>
      </c>
      <c r="C271" s="1" t="s">
        <v>13514</v>
      </c>
      <c r="D271" s="1" t="s">
        <v>20</v>
      </c>
      <c r="E271" s="250">
        <v>2260.0810000000001</v>
      </c>
    </row>
    <row r="272" spans="1:5" x14ac:dyDescent="0.35">
      <c r="A272" s="1" t="s">
        <v>15920</v>
      </c>
      <c r="B272" s="1" t="s">
        <v>20</v>
      </c>
      <c r="C272" s="1" t="s">
        <v>13513</v>
      </c>
      <c r="D272" s="1" t="s">
        <v>20</v>
      </c>
      <c r="E272" s="250">
        <v>2260.0819999999999</v>
      </c>
    </row>
    <row r="273" spans="1:5" x14ac:dyDescent="0.35">
      <c r="A273" s="1" t="s">
        <v>15921</v>
      </c>
      <c r="B273" s="1" t="s">
        <v>20</v>
      </c>
      <c r="C273" s="1" t="s">
        <v>13512</v>
      </c>
      <c r="D273" s="1" t="s">
        <v>20</v>
      </c>
      <c r="E273" s="250">
        <v>2260.0830000000001</v>
      </c>
    </row>
    <row r="274" spans="1:5" x14ac:dyDescent="0.35">
      <c r="A274" s="1" t="s">
        <v>15922</v>
      </c>
      <c r="B274" s="1" t="s">
        <v>20</v>
      </c>
      <c r="C274" s="1" t="s">
        <v>13511</v>
      </c>
      <c r="D274" s="1" t="s">
        <v>20</v>
      </c>
      <c r="E274" s="250">
        <v>2260.0839999999998</v>
      </c>
    </row>
    <row r="275" spans="1:5" x14ac:dyDescent="0.35">
      <c r="A275" s="1" t="s">
        <v>15923</v>
      </c>
      <c r="B275" s="1" t="s">
        <v>20</v>
      </c>
      <c r="C275" s="1" t="s">
        <v>13510</v>
      </c>
      <c r="D275" s="1" t="s">
        <v>20</v>
      </c>
      <c r="E275" s="250">
        <v>2260.085</v>
      </c>
    </row>
    <row r="276" spans="1:5" x14ac:dyDescent="0.35">
      <c r="A276" s="2" t="s">
        <v>15924</v>
      </c>
      <c r="B276" s="1" t="s">
        <v>13476</v>
      </c>
      <c r="C276" s="1" t="s">
        <v>13509</v>
      </c>
      <c r="D276" s="1" t="s">
        <v>13476</v>
      </c>
      <c r="E276" s="250">
        <v>2278.011</v>
      </c>
    </row>
    <row r="277" spans="1:5" x14ac:dyDescent="0.35">
      <c r="A277" s="1" t="s">
        <v>15925</v>
      </c>
      <c r="B277" s="1" t="s">
        <v>13476</v>
      </c>
      <c r="C277" s="1" t="s">
        <v>13508</v>
      </c>
      <c r="D277" s="1" t="s">
        <v>13476</v>
      </c>
      <c r="E277" s="250">
        <v>2278.0120000000002</v>
      </c>
    </row>
    <row r="278" spans="1:5" x14ac:dyDescent="0.35">
      <c r="A278" s="1" t="s">
        <v>15926</v>
      </c>
      <c r="B278" s="1" t="s">
        <v>13476</v>
      </c>
      <c r="C278" s="1" t="s">
        <v>13507</v>
      </c>
      <c r="D278" s="1" t="s">
        <v>13476</v>
      </c>
      <c r="E278" s="250">
        <v>2278.0129999999999</v>
      </c>
    </row>
    <row r="279" spans="1:5" x14ac:dyDescent="0.35">
      <c r="A279" s="1" t="s">
        <v>15927</v>
      </c>
      <c r="B279" s="1" t="s">
        <v>13476</v>
      </c>
      <c r="C279" s="1" t="s">
        <v>13506</v>
      </c>
      <c r="D279" s="1" t="s">
        <v>13476</v>
      </c>
      <c r="E279" s="250">
        <v>2278.0140000000001</v>
      </c>
    </row>
    <row r="280" spans="1:5" x14ac:dyDescent="0.35">
      <c r="A280" s="1" t="s">
        <v>15928</v>
      </c>
      <c r="B280" s="1" t="s">
        <v>13476</v>
      </c>
      <c r="C280" s="1" t="s">
        <v>13505</v>
      </c>
      <c r="D280" s="1" t="s">
        <v>13476</v>
      </c>
      <c r="E280" s="250">
        <v>2278.0149999999999</v>
      </c>
    </row>
    <row r="281" spans="1:5" x14ac:dyDescent="0.35">
      <c r="A281" s="1" t="s">
        <v>15929</v>
      </c>
      <c r="B281" s="1" t="s">
        <v>13476</v>
      </c>
      <c r="C281" s="1" t="s">
        <v>13504</v>
      </c>
      <c r="D281" s="1" t="s">
        <v>13476</v>
      </c>
      <c r="E281" s="250">
        <v>2278.0160000000001</v>
      </c>
    </row>
    <row r="282" spans="1:5" x14ac:dyDescent="0.35">
      <c r="A282" s="1" t="s">
        <v>15930</v>
      </c>
      <c r="B282" s="1" t="s">
        <v>13476</v>
      </c>
      <c r="C282" s="1" t="s">
        <v>13503</v>
      </c>
      <c r="D282" s="1" t="s">
        <v>13476</v>
      </c>
      <c r="E282" s="250">
        <v>2278.0169999999998</v>
      </c>
    </row>
    <row r="283" spans="1:5" x14ac:dyDescent="0.35">
      <c r="A283" s="1" t="s">
        <v>15931</v>
      </c>
      <c r="B283" s="1" t="s">
        <v>13476</v>
      </c>
      <c r="C283" s="1" t="s">
        <v>13502</v>
      </c>
      <c r="D283" s="1" t="s">
        <v>13476</v>
      </c>
      <c r="E283" s="250">
        <v>2278.018</v>
      </c>
    </row>
    <row r="284" spans="1:5" x14ac:dyDescent="0.35">
      <c r="A284" s="1" t="s">
        <v>15932</v>
      </c>
      <c r="B284" s="1" t="s">
        <v>13476</v>
      </c>
      <c r="C284" s="1" t="s">
        <v>13501</v>
      </c>
      <c r="D284" s="1" t="s">
        <v>13476</v>
      </c>
      <c r="E284" s="250">
        <v>2278.0189999999998</v>
      </c>
    </row>
    <row r="285" spans="1:5" x14ac:dyDescent="0.35">
      <c r="A285" s="1" t="s">
        <v>15933</v>
      </c>
      <c r="B285" s="1" t="s">
        <v>13476</v>
      </c>
      <c r="C285" s="1" t="s">
        <v>13500</v>
      </c>
      <c r="D285" s="1" t="s">
        <v>13476</v>
      </c>
      <c r="E285" s="250">
        <v>2278.02</v>
      </c>
    </row>
    <row r="286" spans="1:5" x14ac:dyDescent="0.35">
      <c r="A286" s="1" t="s">
        <v>15934</v>
      </c>
      <c r="B286" s="1" t="s">
        <v>13476</v>
      </c>
      <c r="C286" s="1" t="s">
        <v>13499</v>
      </c>
      <c r="D286" s="1" t="s">
        <v>13476</v>
      </c>
      <c r="E286" s="250">
        <v>2278.0210000000002</v>
      </c>
    </row>
    <row r="287" spans="1:5" x14ac:dyDescent="0.35">
      <c r="A287" s="1" t="s">
        <v>15935</v>
      </c>
      <c r="B287" s="1" t="s">
        <v>13476</v>
      </c>
      <c r="C287" s="1" t="s">
        <v>13498</v>
      </c>
      <c r="D287" s="1" t="s">
        <v>13476</v>
      </c>
      <c r="E287" s="250">
        <v>2278.0219999999999</v>
      </c>
    </row>
    <row r="288" spans="1:5" x14ac:dyDescent="0.35">
      <c r="A288" s="1" t="s">
        <v>15936</v>
      </c>
      <c r="B288" s="1" t="s">
        <v>13476</v>
      </c>
      <c r="C288" s="1" t="s">
        <v>13497</v>
      </c>
      <c r="D288" s="1" t="s">
        <v>13476</v>
      </c>
      <c r="E288" s="250">
        <v>2278.0230000000001</v>
      </c>
    </row>
    <row r="289" spans="1:5" x14ac:dyDescent="0.35">
      <c r="A289" s="1" t="s">
        <v>15937</v>
      </c>
      <c r="B289" s="1" t="s">
        <v>13476</v>
      </c>
      <c r="C289" s="1" t="s">
        <v>13496</v>
      </c>
      <c r="D289" s="1" t="s">
        <v>13476</v>
      </c>
      <c r="E289" s="250">
        <v>2278.0239999999999</v>
      </c>
    </row>
    <row r="290" spans="1:5" x14ac:dyDescent="0.35">
      <c r="A290" s="1" t="s">
        <v>15938</v>
      </c>
      <c r="B290" s="1" t="s">
        <v>13476</v>
      </c>
      <c r="C290" s="1" t="s">
        <v>13495</v>
      </c>
      <c r="D290" s="1" t="s">
        <v>13476</v>
      </c>
      <c r="E290" s="250">
        <v>2278.0250000000001</v>
      </c>
    </row>
    <row r="291" spans="1:5" x14ac:dyDescent="0.35">
      <c r="A291" s="1" t="s">
        <v>15939</v>
      </c>
      <c r="B291" s="1" t="s">
        <v>13476</v>
      </c>
      <c r="C291" s="1" t="s">
        <v>13494</v>
      </c>
      <c r="D291" s="1" t="s">
        <v>13476</v>
      </c>
      <c r="E291" s="250">
        <v>2278.0259999999998</v>
      </c>
    </row>
    <row r="292" spans="1:5" x14ac:dyDescent="0.35">
      <c r="A292" s="1" t="s">
        <v>15940</v>
      </c>
      <c r="B292" s="1" t="s">
        <v>13476</v>
      </c>
      <c r="C292" s="1" t="s">
        <v>13493</v>
      </c>
      <c r="D292" s="1" t="s">
        <v>13476</v>
      </c>
      <c r="E292" s="250">
        <v>2278.027</v>
      </c>
    </row>
    <row r="293" spans="1:5" x14ac:dyDescent="0.35">
      <c r="A293" s="1" t="s">
        <v>15941</v>
      </c>
      <c r="B293" s="1" t="s">
        <v>13476</v>
      </c>
      <c r="C293" s="1" t="s">
        <v>13492</v>
      </c>
      <c r="D293" s="1" t="s">
        <v>13476</v>
      </c>
      <c r="E293" s="250">
        <v>2278.0279999999998</v>
      </c>
    </row>
    <row r="294" spans="1:5" x14ac:dyDescent="0.35">
      <c r="A294" s="1" t="s">
        <v>15942</v>
      </c>
      <c r="B294" s="1" t="s">
        <v>13476</v>
      </c>
      <c r="C294" s="1" t="s">
        <v>13491</v>
      </c>
      <c r="D294" s="1" t="s">
        <v>13476</v>
      </c>
      <c r="E294" s="250">
        <v>2278.029</v>
      </c>
    </row>
    <row r="295" spans="1:5" x14ac:dyDescent="0.35">
      <c r="A295" s="1" t="s">
        <v>15943</v>
      </c>
      <c r="B295" s="1" t="s">
        <v>13476</v>
      </c>
      <c r="C295" s="1" t="s">
        <v>13490</v>
      </c>
      <c r="D295" s="1" t="s">
        <v>13476</v>
      </c>
      <c r="E295" s="250">
        <v>2278.0300000000002</v>
      </c>
    </row>
    <row r="296" spans="1:5" x14ac:dyDescent="0.35">
      <c r="A296" s="1" t="s">
        <v>15944</v>
      </c>
      <c r="B296" s="1" t="s">
        <v>13476</v>
      </c>
      <c r="C296" s="1" t="s">
        <v>13489</v>
      </c>
      <c r="D296" s="1" t="s">
        <v>13476</v>
      </c>
      <c r="E296" s="250">
        <v>2278.0309999999999</v>
      </c>
    </row>
    <row r="297" spans="1:5" x14ac:dyDescent="0.35">
      <c r="A297" s="1" t="s">
        <v>15945</v>
      </c>
      <c r="B297" s="1" t="s">
        <v>13476</v>
      </c>
      <c r="C297" s="1" t="s">
        <v>13488</v>
      </c>
      <c r="D297" s="1" t="s">
        <v>13476</v>
      </c>
      <c r="E297" s="250">
        <v>2278.0320000000002</v>
      </c>
    </row>
    <row r="298" spans="1:5" x14ac:dyDescent="0.35">
      <c r="A298" s="1" t="s">
        <v>15946</v>
      </c>
      <c r="B298" s="1" t="s">
        <v>13476</v>
      </c>
      <c r="C298" s="1" t="s">
        <v>13487</v>
      </c>
      <c r="D298" s="1" t="s">
        <v>13476</v>
      </c>
      <c r="E298" s="250">
        <v>2278.0329999999999</v>
      </c>
    </row>
    <row r="299" spans="1:5" x14ac:dyDescent="0.35">
      <c r="A299" s="1" t="s">
        <v>15947</v>
      </c>
      <c r="B299" s="1" t="s">
        <v>13476</v>
      </c>
      <c r="C299" s="1" t="s">
        <v>13486</v>
      </c>
      <c r="D299" s="1" t="s">
        <v>13476</v>
      </c>
      <c r="E299" s="250">
        <v>2278.0340000000001</v>
      </c>
    </row>
    <row r="300" spans="1:5" x14ac:dyDescent="0.35">
      <c r="A300" s="1" t="s">
        <v>15948</v>
      </c>
      <c r="B300" s="1" t="s">
        <v>13476</v>
      </c>
      <c r="C300" s="1" t="s">
        <v>13485</v>
      </c>
      <c r="D300" s="1" t="s">
        <v>13476</v>
      </c>
      <c r="E300" s="250">
        <v>2278.0349999999999</v>
      </c>
    </row>
    <row r="301" spans="1:5" x14ac:dyDescent="0.35">
      <c r="A301" s="1" t="s">
        <v>15949</v>
      </c>
      <c r="B301" s="1" t="s">
        <v>13476</v>
      </c>
      <c r="C301" s="1" t="s">
        <v>13484</v>
      </c>
      <c r="D301" s="1" t="s">
        <v>13476</v>
      </c>
      <c r="E301" s="250">
        <v>2278.0360000000001</v>
      </c>
    </row>
    <row r="302" spans="1:5" x14ac:dyDescent="0.35">
      <c r="A302" s="1" t="s">
        <v>15950</v>
      </c>
      <c r="B302" s="1" t="s">
        <v>13476</v>
      </c>
      <c r="C302" s="1" t="s">
        <v>13483</v>
      </c>
      <c r="D302" s="1" t="s">
        <v>13476</v>
      </c>
      <c r="E302" s="250">
        <v>2278.0369999999998</v>
      </c>
    </row>
    <row r="303" spans="1:5" x14ac:dyDescent="0.35">
      <c r="A303" s="1" t="s">
        <v>15951</v>
      </c>
      <c r="B303" s="1" t="s">
        <v>13476</v>
      </c>
      <c r="C303" s="1" t="s">
        <v>13482</v>
      </c>
      <c r="D303" s="1" t="s">
        <v>13476</v>
      </c>
      <c r="E303" s="250">
        <v>2278.038</v>
      </c>
    </row>
    <row r="304" spans="1:5" x14ac:dyDescent="0.35">
      <c r="A304" s="1" t="s">
        <v>15952</v>
      </c>
      <c r="B304" s="1" t="s">
        <v>13476</v>
      </c>
      <c r="C304" s="1" t="s">
        <v>13481</v>
      </c>
      <c r="D304" s="1" t="s">
        <v>13476</v>
      </c>
      <c r="E304" s="250">
        <v>2278.0390000000002</v>
      </c>
    </row>
    <row r="305" spans="1:5" x14ac:dyDescent="0.35">
      <c r="A305" s="1" t="s">
        <v>15953</v>
      </c>
      <c r="B305" s="1" t="s">
        <v>13476</v>
      </c>
      <c r="C305" s="1" t="s">
        <v>13480</v>
      </c>
      <c r="D305" s="1" t="s">
        <v>13476</v>
      </c>
      <c r="E305" s="250">
        <v>2278.04</v>
      </c>
    </row>
    <row r="306" spans="1:5" x14ac:dyDescent="0.35">
      <c r="A306" s="1" t="s">
        <v>15954</v>
      </c>
      <c r="B306" s="1" t="s">
        <v>13476</v>
      </c>
      <c r="C306" s="1" t="s">
        <v>13479</v>
      </c>
      <c r="D306" s="1" t="s">
        <v>13476</v>
      </c>
      <c r="E306" s="250">
        <v>2278.0410000000002</v>
      </c>
    </row>
    <row r="307" spans="1:5" x14ac:dyDescent="0.35">
      <c r="A307" s="1" t="s">
        <v>15955</v>
      </c>
      <c r="B307" s="1" t="s">
        <v>13476</v>
      </c>
      <c r="C307" s="1" t="s">
        <v>13478</v>
      </c>
      <c r="D307" s="1" t="s">
        <v>13476</v>
      </c>
      <c r="E307" s="250">
        <v>2278.0419999999999</v>
      </c>
    </row>
    <row r="308" spans="1:5" x14ac:dyDescent="0.35">
      <c r="A308" s="1" t="s">
        <v>15956</v>
      </c>
      <c r="B308" s="1" t="s">
        <v>13476</v>
      </c>
      <c r="C308" s="1" t="s">
        <v>13477</v>
      </c>
      <c r="D308" s="1" t="s">
        <v>13476</v>
      </c>
      <c r="E308" s="250">
        <v>2278.0430000000001</v>
      </c>
    </row>
    <row r="309" spans="1:5" x14ac:dyDescent="0.35">
      <c r="A309" s="2" t="s">
        <v>15957</v>
      </c>
      <c r="B309" s="1" t="s">
        <v>20</v>
      </c>
      <c r="C309" s="1" t="s">
        <v>13475</v>
      </c>
      <c r="D309" s="1" t="s">
        <v>20</v>
      </c>
      <c r="E309" s="250">
        <v>2300.9</v>
      </c>
    </row>
    <row r="310" spans="1:5" x14ac:dyDescent="0.35">
      <c r="A310" s="1" t="s">
        <v>15958</v>
      </c>
      <c r="B310" s="1" t="s">
        <v>20</v>
      </c>
      <c r="C310" s="1" t="s">
        <v>13474</v>
      </c>
      <c r="D310" s="1" t="s">
        <v>20</v>
      </c>
      <c r="E310" s="250">
        <v>2300.9009999999998</v>
      </c>
    </row>
    <row r="311" spans="1:5" x14ac:dyDescent="0.35">
      <c r="A311" s="1" t="s">
        <v>15959</v>
      </c>
      <c r="B311" s="1" t="s">
        <v>21</v>
      </c>
      <c r="C311" s="1" t="s">
        <v>13473</v>
      </c>
      <c r="D311" s="1" t="s">
        <v>21</v>
      </c>
      <c r="E311" s="250">
        <v>2300.902</v>
      </c>
    </row>
    <row r="312" spans="1:5" x14ac:dyDescent="0.35">
      <c r="A312" s="1" t="s">
        <v>15960</v>
      </c>
      <c r="B312" s="1" t="s">
        <v>19</v>
      </c>
      <c r="C312" s="1" t="s">
        <v>13472</v>
      </c>
      <c r="D312" s="1" t="s">
        <v>19</v>
      </c>
      <c r="E312" s="250">
        <v>2300.9029999999998</v>
      </c>
    </row>
    <row r="313" spans="1:5" x14ac:dyDescent="0.35">
      <c r="A313" s="2" t="s">
        <v>15961</v>
      </c>
      <c r="B313" s="1" t="s">
        <v>23</v>
      </c>
      <c r="C313" s="1" t="s">
        <v>13471</v>
      </c>
      <c r="D313" s="1" t="s">
        <v>23</v>
      </c>
      <c r="E313" s="250">
        <v>2310.1</v>
      </c>
    </row>
    <row r="314" spans="1:5" x14ac:dyDescent="0.35">
      <c r="A314" s="1" t="s">
        <v>15962</v>
      </c>
      <c r="B314" s="1" t="s">
        <v>23</v>
      </c>
      <c r="C314" s="1" t="s">
        <v>13470</v>
      </c>
      <c r="D314" s="1" t="s">
        <v>23</v>
      </c>
      <c r="E314" s="250">
        <v>2310.1019999999999</v>
      </c>
    </row>
    <row r="315" spans="1:5" x14ac:dyDescent="0.35">
      <c r="A315" s="1" t="s">
        <v>15963</v>
      </c>
      <c r="B315" s="1" t="s">
        <v>23</v>
      </c>
      <c r="C315" s="1" t="s">
        <v>13469</v>
      </c>
      <c r="D315" s="1" t="s">
        <v>23</v>
      </c>
      <c r="E315" s="250">
        <v>2310.1030000000001</v>
      </c>
    </row>
    <row r="316" spans="1:5" x14ac:dyDescent="0.35">
      <c r="A316" s="1" t="s">
        <v>15964</v>
      </c>
      <c r="B316" s="1" t="s">
        <v>23</v>
      </c>
      <c r="C316" s="1" t="s">
        <v>13468</v>
      </c>
      <c r="D316" s="1" t="s">
        <v>23</v>
      </c>
      <c r="E316" s="250">
        <v>2310.1039999999998</v>
      </c>
    </row>
    <row r="317" spans="1:5" x14ac:dyDescent="0.35">
      <c r="A317" s="1" t="s">
        <v>15965</v>
      </c>
      <c r="B317" s="1" t="s">
        <v>23</v>
      </c>
      <c r="C317" s="1" t="s">
        <v>13467</v>
      </c>
      <c r="D317" s="1" t="s">
        <v>23</v>
      </c>
      <c r="E317" s="250">
        <v>2310.105</v>
      </c>
    </row>
    <row r="318" spans="1:5" x14ac:dyDescent="0.35">
      <c r="A318" s="1" t="s">
        <v>15966</v>
      </c>
      <c r="B318" s="1" t="s">
        <v>23</v>
      </c>
      <c r="C318" s="1" t="s">
        <v>13466</v>
      </c>
      <c r="D318" s="1" t="s">
        <v>23</v>
      </c>
      <c r="E318" s="250">
        <v>2310.1060000000002</v>
      </c>
    </row>
    <row r="319" spans="1:5" x14ac:dyDescent="0.35">
      <c r="A319" s="1" t="s">
        <v>15967</v>
      </c>
      <c r="B319" s="1" t="s">
        <v>23</v>
      </c>
      <c r="C319" s="1" t="s">
        <v>13465</v>
      </c>
      <c r="D319" s="1" t="s">
        <v>23</v>
      </c>
      <c r="E319" s="250">
        <v>2310.107</v>
      </c>
    </row>
    <row r="320" spans="1:5" x14ac:dyDescent="0.35">
      <c r="A320" s="1" t="s">
        <v>15968</v>
      </c>
      <c r="B320" s="1" t="s">
        <v>23</v>
      </c>
      <c r="C320" s="1" t="s">
        <v>13464</v>
      </c>
      <c r="D320" s="1" t="s">
        <v>23</v>
      </c>
      <c r="E320" s="250">
        <v>2310.1080000000002</v>
      </c>
    </row>
    <row r="321" spans="1:5" x14ac:dyDescent="0.35">
      <c r="A321" s="1" t="s">
        <v>15969</v>
      </c>
      <c r="B321" s="1" t="s">
        <v>23</v>
      </c>
      <c r="C321" s="1" t="s">
        <v>13463</v>
      </c>
      <c r="D321" s="1" t="s">
        <v>23</v>
      </c>
      <c r="E321" s="250">
        <v>2310.1089999999999</v>
      </c>
    </row>
    <row r="322" spans="1:5" x14ac:dyDescent="0.35">
      <c r="A322" s="1" t="s">
        <v>15970</v>
      </c>
      <c r="B322" s="1" t="s">
        <v>23</v>
      </c>
      <c r="C322" s="1" t="s">
        <v>13462</v>
      </c>
      <c r="D322" s="1" t="s">
        <v>23</v>
      </c>
      <c r="E322" s="250">
        <v>2310.11</v>
      </c>
    </row>
    <row r="323" spans="1:5" x14ac:dyDescent="0.35">
      <c r="A323" s="1" t="s">
        <v>15971</v>
      </c>
      <c r="B323" s="1" t="s">
        <v>23</v>
      </c>
      <c r="C323" s="1" t="s">
        <v>13461</v>
      </c>
      <c r="D323" s="1" t="s">
        <v>23</v>
      </c>
      <c r="E323" s="250">
        <v>2310.1109999999999</v>
      </c>
    </row>
    <row r="324" spans="1:5" x14ac:dyDescent="0.35">
      <c r="A324" s="1" t="s">
        <v>15972</v>
      </c>
      <c r="B324" s="1" t="s">
        <v>23</v>
      </c>
      <c r="C324" s="1" t="s">
        <v>13460</v>
      </c>
      <c r="D324" s="1" t="s">
        <v>23</v>
      </c>
      <c r="E324" s="250">
        <v>2310.1120000000001</v>
      </c>
    </row>
    <row r="325" spans="1:5" x14ac:dyDescent="0.35">
      <c r="A325" s="1" t="s">
        <v>15973</v>
      </c>
      <c r="B325" s="1" t="s">
        <v>23</v>
      </c>
      <c r="C325" s="1" t="s">
        <v>13459</v>
      </c>
      <c r="D325" s="1" t="s">
        <v>23</v>
      </c>
      <c r="E325" s="250">
        <v>2310.1129999999998</v>
      </c>
    </row>
    <row r="326" spans="1:5" x14ac:dyDescent="0.35">
      <c r="A326" s="1" t="s">
        <v>15974</v>
      </c>
      <c r="B326" s="1" t="s">
        <v>23</v>
      </c>
      <c r="C326" s="1" t="s">
        <v>13458</v>
      </c>
      <c r="D326" s="1" t="s">
        <v>23</v>
      </c>
      <c r="E326" s="250">
        <v>2310.114</v>
      </c>
    </row>
    <row r="327" spans="1:5" x14ac:dyDescent="0.35">
      <c r="A327" s="1" t="s">
        <v>15975</v>
      </c>
      <c r="B327" s="1" t="s">
        <v>23</v>
      </c>
      <c r="C327" s="1" t="s">
        <v>13457</v>
      </c>
      <c r="D327" s="1" t="s">
        <v>23</v>
      </c>
      <c r="E327" s="250">
        <v>2310.1149999999998</v>
      </c>
    </row>
    <row r="328" spans="1:5" x14ac:dyDescent="0.35">
      <c r="A328" s="1" t="s">
        <v>15976</v>
      </c>
      <c r="B328" s="1" t="s">
        <v>23</v>
      </c>
      <c r="C328" s="1" t="s">
        <v>13456</v>
      </c>
      <c r="D328" s="1" t="s">
        <v>23</v>
      </c>
      <c r="E328" s="250">
        <v>2310.116</v>
      </c>
    </row>
    <row r="329" spans="1:5" x14ac:dyDescent="0.35">
      <c r="A329" s="1" t="s">
        <v>15977</v>
      </c>
      <c r="B329" s="1" t="s">
        <v>23</v>
      </c>
      <c r="C329" s="1" t="s">
        <v>13455</v>
      </c>
      <c r="D329" s="1" t="s">
        <v>23</v>
      </c>
      <c r="E329" s="250">
        <v>2310.1170000000002</v>
      </c>
    </row>
    <row r="330" spans="1:5" x14ac:dyDescent="0.35">
      <c r="A330" s="1" t="s">
        <v>15978</v>
      </c>
      <c r="B330" s="1" t="s">
        <v>23</v>
      </c>
      <c r="C330" s="1" t="s">
        <v>13454</v>
      </c>
      <c r="D330" s="1" t="s">
        <v>23</v>
      </c>
      <c r="E330" s="250">
        <v>2310.1179999999999</v>
      </c>
    </row>
    <row r="331" spans="1:5" x14ac:dyDescent="0.35">
      <c r="A331" s="1" t="s">
        <v>15979</v>
      </c>
      <c r="B331" s="1" t="s">
        <v>23</v>
      </c>
      <c r="C331" s="1" t="s">
        <v>13453</v>
      </c>
      <c r="D331" s="1" t="s">
        <v>23</v>
      </c>
      <c r="E331" s="250">
        <v>2310.1190000000001</v>
      </c>
    </row>
    <row r="332" spans="1:5" x14ac:dyDescent="0.35">
      <c r="A332" s="1" t="s">
        <v>15980</v>
      </c>
      <c r="B332" s="1" t="s">
        <v>23</v>
      </c>
      <c r="C332" s="1" t="s">
        <v>13452</v>
      </c>
      <c r="D332" s="1" t="s">
        <v>23</v>
      </c>
      <c r="E332" s="250">
        <v>2310.12</v>
      </c>
    </row>
    <row r="333" spans="1:5" x14ac:dyDescent="0.35">
      <c r="A333" s="1" t="s">
        <v>15981</v>
      </c>
      <c r="B333" s="1" t="s">
        <v>23</v>
      </c>
      <c r="C333" s="1" t="s">
        <v>13451</v>
      </c>
      <c r="D333" s="1" t="s">
        <v>23</v>
      </c>
      <c r="E333" s="250">
        <v>2310.1210000000001</v>
      </c>
    </row>
    <row r="334" spans="1:5" x14ac:dyDescent="0.35">
      <c r="A334" s="1" t="s">
        <v>15982</v>
      </c>
      <c r="B334" s="1" t="s">
        <v>23</v>
      </c>
      <c r="C334" s="1" t="s">
        <v>13450</v>
      </c>
      <c r="D334" s="1" t="s">
        <v>23</v>
      </c>
      <c r="E334" s="250">
        <v>2310.1219999999998</v>
      </c>
    </row>
    <row r="335" spans="1:5" x14ac:dyDescent="0.35">
      <c r="A335" s="1" t="s">
        <v>15983</v>
      </c>
      <c r="B335" s="1" t="s">
        <v>23</v>
      </c>
      <c r="C335" s="1" t="s">
        <v>13449</v>
      </c>
      <c r="D335" s="1" t="s">
        <v>23</v>
      </c>
      <c r="E335" s="250">
        <v>2310.123</v>
      </c>
    </row>
    <row r="336" spans="1:5" x14ac:dyDescent="0.35">
      <c r="A336" s="1" t="s">
        <v>15984</v>
      </c>
      <c r="B336" s="1" t="s">
        <v>23</v>
      </c>
      <c r="C336" s="1" t="s">
        <v>13448</v>
      </c>
      <c r="D336" s="1" t="s">
        <v>23</v>
      </c>
      <c r="E336" s="250">
        <v>2310.1239999999998</v>
      </c>
    </row>
    <row r="337" spans="1:5" x14ac:dyDescent="0.35">
      <c r="A337" s="1" t="s">
        <v>15985</v>
      </c>
      <c r="B337" s="1" t="s">
        <v>23</v>
      </c>
      <c r="C337" s="1" t="s">
        <v>13447</v>
      </c>
      <c r="D337" s="1" t="s">
        <v>23</v>
      </c>
      <c r="E337" s="250">
        <v>2310.125</v>
      </c>
    </row>
    <row r="338" spans="1:5" x14ac:dyDescent="0.35">
      <c r="A338" s="1" t="s">
        <v>15986</v>
      </c>
      <c r="B338" s="1" t="s">
        <v>23</v>
      </c>
      <c r="C338" s="1" t="s">
        <v>13446</v>
      </c>
      <c r="D338" s="1" t="s">
        <v>23</v>
      </c>
      <c r="E338" s="250">
        <v>2310.1260000000002</v>
      </c>
    </row>
    <row r="339" spans="1:5" x14ac:dyDescent="0.35">
      <c r="A339" s="1" t="s">
        <v>15987</v>
      </c>
      <c r="B339" s="1" t="s">
        <v>23</v>
      </c>
      <c r="C339" s="1" t="s">
        <v>13445</v>
      </c>
      <c r="D339" s="1" t="s">
        <v>23</v>
      </c>
      <c r="E339" s="250">
        <v>2310.127</v>
      </c>
    </row>
    <row r="340" spans="1:5" x14ac:dyDescent="0.35">
      <c r="A340" s="1" t="s">
        <v>15988</v>
      </c>
      <c r="B340" s="1" t="s">
        <v>23</v>
      </c>
      <c r="C340" s="1" t="s">
        <v>13444</v>
      </c>
      <c r="D340" s="1" t="s">
        <v>23</v>
      </c>
      <c r="E340" s="250">
        <v>2310.14</v>
      </c>
    </row>
    <row r="341" spans="1:5" x14ac:dyDescent="0.35">
      <c r="A341" s="1" t="s">
        <v>15989</v>
      </c>
      <c r="B341" s="1" t="s">
        <v>23</v>
      </c>
      <c r="C341" s="1" t="s">
        <v>13443</v>
      </c>
      <c r="D341" s="1" t="s">
        <v>23</v>
      </c>
      <c r="E341" s="250">
        <v>2310.1410000000001</v>
      </c>
    </row>
    <row r="342" spans="1:5" x14ac:dyDescent="0.35">
      <c r="A342" s="1" t="s">
        <v>15990</v>
      </c>
      <c r="B342" s="1" t="s">
        <v>23</v>
      </c>
      <c r="C342" s="1" t="s">
        <v>13442</v>
      </c>
      <c r="D342" s="1" t="s">
        <v>23</v>
      </c>
      <c r="E342" s="250">
        <v>2310.1419999999998</v>
      </c>
    </row>
    <row r="343" spans="1:5" x14ac:dyDescent="0.35">
      <c r="A343" s="1" t="s">
        <v>15991</v>
      </c>
      <c r="B343" s="1" t="s">
        <v>23</v>
      </c>
      <c r="C343" s="1" t="s">
        <v>13441</v>
      </c>
      <c r="D343" s="1" t="s">
        <v>23</v>
      </c>
      <c r="E343" s="250">
        <v>2310.143</v>
      </c>
    </row>
    <row r="344" spans="1:5" x14ac:dyDescent="0.35">
      <c r="A344" s="1" t="s">
        <v>15992</v>
      </c>
      <c r="B344" s="1" t="s">
        <v>23</v>
      </c>
      <c r="C344" s="1" t="s">
        <v>13440</v>
      </c>
      <c r="D344" s="1" t="s">
        <v>23</v>
      </c>
      <c r="E344" s="250">
        <v>2310.1439999999998</v>
      </c>
    </row>
    <row r="345" spans="1:5" x14ac:dyDescent="0.35">
      <c r="A345" s="1" t="s">
        <v>15993</v>
      </c>
      <c r="B345" s="1" t="s">
        <v>23</v>
      </c>
      <c r="C345" s="1" t="s">
        <v>13439</v>
      </c>
      <c r="D345" s="1" t="s">
        <v>23</v>
      </c>
      <c r="E345" s="250">
        <v>2310.145</v>
      </c>
    </row>
    <row r="346" spans="1:5" x14ac:dyDescent="0.35">
      <c r="A346" s="1" t="s">
        <v>15994</v>
      </c>
      <c r="B346" s="1" t="s">
        <v>23</v>
      </c>
      <c r="C346" s="1" t="s">
        <v>13438</v>
      </c>
      <c r="D346" s="1" t="s">
        <v>23</v>
      </c>
      <c r="E346" s="250">
        <v>2310.1460000000002</v>
      </c>
    </row>
    <row r="347" spans="1:5" x14ac:dyDescent="0.35">
      <c r="A347" s="1" t="s">
        <v>15995</v>
      </c>
      <c r="B347" s="1" t="s">
        <v>23</v>
      </c>
      <c r="C347" s="1" t="s">
        <v>13437</v>
      </c>
      <c r="D347" s="1" t="s">
        <v>23</v>
      </c>
      <c r="E347" s="250">
        <v>2310.1469999999999</v>
      </c>
    </row>
    <row r="348" spans="1:5" x14ac:dyDescent="0.35">
      <c r="A348" s="1" t="s">
        <v>15996</v>
      </c>
      <c r="B348" s="1" t="s">
        <v>23</v>
      </c>
      <c r="C348" s="1" t="s">
        <v>13436</v>
      </c>
      <c r="D348" s="1" t="s">
        <v>23</v>
      </c>
      <c r="E348" s="250">
        <v>2310.1480000000001</v>
      </c>
    </row>
    <row r="349" spans="1:5" x14ac:dyDescent="0.35">
      <c r="A349" s="1" t="s">
        <v>15997</v>
      </c>
      <c r="B349" s="1" t="s">
        <v>20</v>
      </c>
      <c r="C349" s="1" t="s">
        <v>13435</v>
      </c>
      <c r="D349" s="1" t="s">
        <v>20</v>
      </c>
      <c r="E349" s="250">
        <v>2310.16</v>
      </c>
    </row>
    <row r="350" spans="1:5" x14ac:dyDescent="0.35">
      <c r="A350" s="1" t="s">
        <v>15998</v>
      </c>
      <c r="B350" s="1" t="s">
        <v>20</v>
      </c>
      <c r="C350" s="1" t="s">
        <v>13434</v>
      </c>
      <c r="D350" s="1" t="s">
        <v>20</v>
      </c>
      <c r="E350" s="250">
        <v>2310.1799999999998</v>
      </c>
    </row>
    <row r="351" spans="1:5" x14ac:dyDescent="0.35">
      <c r="A351" s="1" t="s">
        <v>15999</v>
      </c>
      <c r="B351" s="1" t="s">
        <v>20</v>
      </c>
      <c r="C351" s="1" t="s">
        <v>13433</v>
      </c>
      <c r="D351" s="1" t="s">
        <v>20</v>
      </c>
      <c r="E351" s="250">
        <v>2310.181</v>
      </c>
    </row>
    <row r="352" spans="1:5" x14ac:dyDescent="0.35">
      <c r="A352" s="1" t="s">
        <v>16000</v>
      </c>
      <c r="B352" s="1" t="s">
        <v>20</v>
      </c>
      <c r="C352" s="1" t="s">
        <v>13432</v>
      </c>
      <c r="D352" s="1" t="s">
        <v>20</v>
      </c>
      <c r="E352" s="250">
        <v>2310.1819999999998</v>
      </c>
    </row>
    <row r="353" spans="1:5" x14ac:dyDescent="0.35">
      <c r="A353" s="1" t="s">
        <v>16001</v>
      </c>
      <c r="B353" s="1" t="s">
        <v>21</v>
      </c>
      <c r="C353" s="1" t="s">
        <v>13431</v>
      </c>
      <c r="D353" s="1" t="s">
        <v>21</v>
      </c>
      <c r="E353" s="250">
        <v>2310.1990000000001</v>
      </c>
    </row>
    <row r="354" spans="1:5" x14ac:dyDescent="0.35">
      <c r="A354" s="1" t="s">
        <v>16002</v>
      </c>
      <c r="B354" s="1" t="s">
        <v>20</v>
      </c>
      <c r="C354" s="1" t="s">
        <v>13430</v>
      </c>
      <c r="D354" s="1" t="s">
        <v>20</v>
      </c>
      <c r="E354" s="250">
        <v>2310.1999999999998</v>
      </c>
    </row>
    <row r="355" spans="1:5" x14ac:dyDescent="0.35">
      <c r="A355" s="1" t="s">
        <v>16003</v>
      </c>
      <c r="B355" s="1" t="s">
        <v>20</v>
      </c>
      <c r="C355" s="1" t="s">
        <v>13429</v>
      </c>
      <c r="D355" s="1" t="s">
        <v>20</v>
      </c>
      <c r="E355" s="250">
        <v>2310.201</v>
      </c>
    </row>
    <row r="356" spans="1:5" x14ac:dyDescent="0.35">
      <c r="A356" s="1" t="s">
        <v>16004</v>
      </c>
      <c r="B356" s="1" t="s">
        <v>20</v>
      </c>
      <c r="C356" s="1" t="s">
        <v>13428</v>
      </c>
      <c r="D356" s="1" t="s">
        <v>20</v>
      </c>
      <c r="E356" s="250">
        <v>2310.2049999999999</v>
      </c>
    </row>
    <row r="357" spans="1:5" x14ac:dyDescent="0.35">
      <c r="A357" s="1" t="s">
        <v>16005</v>
      </c>
      <c r="B357" s="1" t="s">
        <v>20</v>
      </c>
      <c r="C357" s="1" t="s">
        <v>13427</v>
      </c>
      <c r="D357" s="1" t="s">
        <v>20</v>
      </c>
      <c r="E357" s="250">
        <v>2310.2060000000001</v>
      </c>
    </row>
    <row r="358" spans="1:5" x14ac:dyDescent="0.35">
      <c r="A358" s="1" t="s">
        <v>16006</v>
      </c>
      <c r="B358" s="1" t="s">
        <v>20</v>
      </c>
      <c r="C358" s="1" t="s">
        <v>13426</v>
      </c>
      <c r="D358" s="1" t="s">
        <v>20</v>
      </c>
      <c r="E358" s="250">
        <v>2310.21</v>
      </c>
    </row>
    <row r="359" spans="1:5" x14ac:dyDescent="0.35">
      <c r="A359" s="1" t="s">
        <v>16007</v>
      </c>
      <c r="B359" s="1" t="s">
        <v>20</v>
      </c>
      <c r="C359" s="1" t="s">
        <v>13425</v>
      </c>
      <c r="D359" s="1" t="s">
        <v>20</v>
      </c>
      <c r="E359" s="250">
        <v>2310.2109999999998</v>
      </c>
    </row>
    <row r="360" spans="1:5" x14ac:dyDescent="0.35">
      <c r="A360" s="2" t="s">
        <v>16008</v>
      </c>
      <c r="B360" s="1" t="s">
        <v>20</v>
      </c>
      <c r="C360" s="1" t="s">
        <v>13424</v>
      </c>
      <c r="D360" s="1" t="s">
        <v>20</v>
      </c>
      <c r="E360" s="250">
        <v>2314.8000000000002</v>
      </c>
    </row>
    <row r="361" spans="1:5" x14ac:dyDescent="0.35">
      <c r="A361" s="1" t="s">
        <v>16009</v>
      </c>
      <c r="B361" s="1" t="s">
        <v>58</v>
      </c>
      <c r="C361" s="1" t="s">
        <v>13423</v>
      </c>
      <c r="D361" s="1" t="s">
        <v>58</v>
      </c>
      <c r="E361" s="250">
        <v>2314.9</v>
      </c>
    </row>
    <row r="362" spans="1:5" x14ac:dyDescent="0.35">
      <c r="A362" s="2" t="s">
        <v>16010</v>
      </c>
      <c r="B362" s="1" t="s">
        <v>23</v>
      </c>
      <c r="C362" s="1" t="s">
        <v>13422</v>
      </c>
      <c r="D362" s="1" t="s">
        <v>23</v>
      </c>
      <c r="E362" s="250">
        <v>2315.04</v>
      </c>
    </row>
    <row r="363" spans="1:5" x14ac:dyDescent="0.35">
      <c r="A363" s="1" t="s">
        <v>16011</v>
      </c>
      <c r="B363" s="1" t="s">
        <v>23</v>
      </c>
      <c r="C363" s="1" t="s">
        <v>13421</v>
      </c>
      <c r="D363" s="1" t="s">
        <v>23</v>
      </c>
      <c r="E363" s="250">
        <v>2315.0500000000002</v>
      </c>
    </row>
    <row r="364" spans="1:5" x14ac:dyDescent="0.35">
      <c r="A364" s="1" t="s">
        <v>16012</v>
      </c>
      <c r="B364" s="1" t="s">
        <v>23</v>
      </c>
      <c r="C364" s="1" t="s">
        <v>13420</v>
      </c>
      <c r="D364" s="1" t="s">
        <v>23</v>
      </c>
      <c r="E364" s="250">
        <v>2315.0509999999999</v>
      </c>
    </row>
    <row r="365" spans="1:5" x14ac:dyDescent="0.35">
      <c r="A365" s="1" t="s">
        <v>16013</v>
      </c>
      <c r="B365" s="1" t="s">
        <v>23</v>
      </c>
      <c r="C365" s="1" t="s">
        <v>13419</v>
      </c>
      <c r="D365" s="1" t="s">
        <v>23</v>
      </c>
      <c r="E365" s="250">
        <v>2315.0520000000001</v>
      </c>
    </row>
    <row r="366" spans="1:5" x14ac:dyDescent="0.35">
      <c r="A366" s="1" t="s">
        <v>16014</v>
      </c>
      <c r="B366" s="1" t="s">
        <v>23</v>
      </c>
      <c r="C366" s="1" t="s">
        <v>13418</v>
      </c>
      <c r="D366" s="1" t="s">
        <v>23</v>
      </c>
      <c r="E366" s="250">
        <v>2315.0529999999999</v>
      </c>
    </row>
    <row r="367" spans="1:5" x14ac:dyDescent="0.35">
      <c r="A367" s="1" t="s">
        <v>16015</v>
      </c>
      <c r="B367" s="1" t="s">
        <v>23</v>
      </c>
      <c r="C367" s="1" t="s">
        <v>13417</v>
      </c>
      <c r="D367" s="1" t="s">
        <v>23</v>
      </c>
      <c r="E367" s="250">
        <v>2315.0540000000001</v>
      </c>
    </row>
    <row r="368" spans="1:5" x14ac:dyDescent="0.35">
      <c r="A368" s="1" t="s">
        <v>16016</v>
      </c>
      <c r="B368" s="1" t="s">
        <v>23</v>
      </c>
      <c r="C368" s="1" t="s">
        <v>13416</v>
      </c>
      <c r="D368" s="1" t="s">
        <v>23</v>
      </c>
      <c r="E368" s="250">
        <v>2315.0549999999998</v>
      </c>
    </row>
    <row r="369" spans="1:5" x14ac:dyDescent="0.35">
      <c r="A369" s="1" t="s">
        <v>16017</v>
      </c>
      <c r="B369" s="1" t="s">
        <v>23</v>
      </c>
      <c r="C369" s="1" t="s">
        <v>13415</v>
      </c>
      <c r="D369" s="1" t="s">
        <v>23</v>
      </c>
      <c r="E369" s="250">
        <v>2315.056</v>
      </c>
    </row>
    <row r="370" spans="1:5" x14ac:dyDescent="0.35">
      <c r="A370" s="1" t="s">
        <v>16018</v>
      </c>
      <c r="B370" s="1" t="s">
        <v>23</v>
      </c>
      <c r="C370" s="1" t="s">
        <v>13414</v>
      </c>
      <c r="D370" s="1" t="s">
        <v>23</v>
      </c>
      <c r="E370" s="250">
        <v>2315.0569999999998</v>
      </c>
    </row>
    <row r="371" spans="1:5" x14ac:dyDescent="0.35">
      <c r="A371" s="1" t="s">
        <v>16019</v>
      </c>
      <c r="B371" s="1" t="s">
        <v>23</v>
      </c>
      <c r="C371" s="1" t="s">
        <v>13413</v>
      </c>
      <c r="D371" s="1" t="s">
        <v>23</v>
      </c>
      <c r="E371" s="250">
        <v>2315.058</v>
      </c>
    </row>
    <row r="372" spans="1:5" x14ac:dyDescent="0.35">
      <c r="A372" s="1" t="s">
        <v>16020</v>
      </c>
      <c r="B372" s="1" t="s">
        <v>23</v>
      </c>
      <c r="C372" s="1" t="s">
        <v>13412</v>
      </c>
      <c r="D372" s="1" t="s">
        <v>23</v>
      </c>
      <c r="E372" s="250">
        <v>2315.0590000000002</v>
      </c>
    </row>
    <row r="373" spans="1:5" x14ac:dyDescent="0.35">
      <c r="A373" s="1" t="s">
        <v>16021</v>
      </c>
      <c r="B373" s="1" t="s">
        <v>23</v>
      </c>
      <c r="C373" s="1" t="s">
        <v>13411</v>
      </c>
      <c r="D373" s="1" t="s">
        <v>23</v>
      </c>
      <c r="E373" s="250">
        <v>2315.06</v>
      </c>
    </row>
    <row r="374" spans="1:5" x14ac:dyDescent="0.35">
      <c r="A374" s="1" t="s">
        <v>16022</v>
      </c>
      <c r="B374" s="1" t="s">
        <v>23</v>
      </c>
      <c r="C374" s="1" t="s">
        <v>13410</v>
      </c>
      <c r="D374" s="1" t="s">
        <v>23</v>
      </c>
      <c r="E374" s="250">
        <v>2315.0610000000001</v>
      </c>
    </row>
    <row r="375" spans="1:5" x14ac:dyDescent="0.35">
      <c r="A375" s="1" t="s">
        <v>16023</v>
      </c>
      <c r="B375" s="1" t="s">
        <v>23</v>
      </c>
      <c r="C375" s="1" t="s">
        <v>13409</v>
      </c>
      <c r="D375" s="1" t="s">
        <v>23</v>
      </c>
      <c r="E375" s="250">
        <v>2315.0619999999999</v>
      </c>
    </row>
    <row r="376" spans="1:5" x14ac:dyDescent="0.35">
      <c r="A376" s="1" t="s">
        <v>16024</v>
      </c>
      <c r="B376" s="1" t="s">
        <v>23</v>
      </c>
      <c r="C376" s="1" t="s">
        <v>13408</v>
      </c>
      <c r="D376" s="1" t="s">
        <v>23</v>
      </c>
      <c r="E376" s="250">
        <v>2315.0630000000001</v>
      </c>
    </row>
    <row r="377" spans="1:5" x14ac:dyDescent="0.35">
      <c r="A377" s="1" t="s">
        <v>16025</v>
      </c>
      <c r="B377" s="1" t="s">
        <v>23</v>
      </c>
      <c r="C377" s="1" t="s">
        <v>13407</v>
      </c>
      <c r="D377" s="1" t="s">
        <v>23</v>
      </c>
      <c r="E377" s="250">
        <v>2315.1</v>
      </c>
    </row>
    <row r="378" spans="1:5" x14ac:dyDescent="0.35">
      <c r="A378" s="1" t="s">
        <v>16026</v>
      </c>
      <c r="B378" s="1" t="s">
        <v>23</v>
      </c>
      <c r="C378" s="1" t="s">
        <v>13406</v>
      </c>
      <c r="D378" s="1" t="s">
        <v>23</v>
      </c>
      <c r="E378" s="250">
        <v>2315.11</v>
      </c>
    </row>
    <row r="379" spans="1:5" x14ac:dyDescent="0.35">
      <c r="A379" s="1" t="s">
        <v>16027</v>
      </c>
      <c r="B379" s="1" t="s">
        <v>23</v>
      </c>
      <c r="C379" s="1" t="s">
        <v>13405</v>
      </c>
      <c r="D379" s="1" t="s">
        <v>23</v>
      </c>
      <c r="E379" s="250">
        <v>2315.1999999999998</v>
      </c>
    </row>
    <row r="380" spans="1:5" x14ac:dyDescent="0.35">
      <c r="A380" s="1" t="s">
        <v>16028</v>
      </c>
      <c r="B380" s="1" t="s">
        <v>23</v>
      </c>
      <c r="C380" s="1" t="s">
        <v>13404</v>
      </c>
      <c r="D380" s="1" t="s">
        <v>23</v>
      </c>
      <c r="E380" s="250">
        <v>2315.21</v>
      </c>
    </row>
    <row r="381" spans="1:5" x14ac:dyDescent="0.35">
      <c r="A381" s="1" t="s">
        <v>16029</v>
      </c>
      <c r="B381" s="1" t="s">
        <v>23</v>
      </c>
      <c r="C381" s="1" t="s">
        <v>13403</v>
      </c>
      <c r="D381" s="1" t="s">
        <v>23</v>
      </c>
      <c r="E381" s="250">
        <v>2315.2109999999998</v>
      </c>
    </row>
    <row r="382" spans="1:5" x14ac:dyDescent="0.35">
      <c r="A382" s="1" t="s">
        <v>16030</v>
      </c>
      <c r="B382" s="1" t="s">
        <v>23</v>
      </c>
      <c r="C382" s="1" t="s">
        <v>13402</v>
      </c>
      <c r="D382" s="1" t="s">
        <v>23</v>
      </c>
      <c r="E382" s="250">
        <v>2315.212</v>
      </c>
    </row>
    <row r="383" spans="1:5" x14ac:dyDescent="0.35">
      <c r="A383" s="1" t="s">
        <v>16031</v>
      </c>
      <c r="B383" s="1" t="s">
        <v>23</v>
      </c>
      <c r="C383" s="1" t="s">
        <v>13401</v>
      </c>
      <c r="D383" s="1" t="s">
        <v>23</v>
      </c>
      <c r="E383" s="250">
        <v>2315.2159999999999</v>
      </c>
    </row>
    <row r="384" spans="1:5" x14ac:dyDescent="0.35">
      <c r="A384" s="1" t="s">
        <v>16032</v>
      </c>
      <c r="B384" s="1" t="s">
        <v>23</v>
      </c>
      <c r="C384" s="1" t="s">
        <v>13400</v>
      </c>
      <c r="D384" s="1" t="s">
        <v>23</v>
      </c>
      <c r="E384" s="250">
        <v>2315.2199999999998</v>
      </c>
    </row>
    <row r="385" spans="1:5" x14ac:dyDescent="0.35">
      <c r="A385" s="1" t="s">
        <v>16033</v>
      </c>
      <c r="B385" s="1" t="s">
        <v>23</v>
      </c>
      <c r="C385" s="1" t="s">
        <v>13399</v>
      </c>
      <c r="D385" s="1" t="s">
        <v>23</v>
      </c>
      <c r="E385" s="250">
        <v>2315.23</v>
      </c>
    </row>
    <row r="386" spans="1:5" x14ac:dyDescent="0.35">
      <c r="A386" s="1" t="s">
        <v>16034</v>
      </c>
      <c r="B386" s="1" t="s">
        <v>23</v>
      </c>
      <c r="C386" s="1" t="s">
        <v>13398</v>
      </c>
      <c r="D386" s="1" t="s">
        <v>23</v>
      </c>
      <c r="E386" s="250">
        <v>2315.2310000000002</v>
      </c>
    </row>
    <row r="387" spans="1:5" x14ac:dyDescent="0.35">
      <c r="A387" s="1" t="s">
        <v>16035</v>
      </c>
      <c r="B387" s="1" t="s">
        <v>23</v>
      </c>
      <c r="C387" s="1" t="s">
        <v>13397</v>
      </c>
      <c r="D387" s="1" t="s">
        <v>23</v>
      </c>
      <c r="E387" s="250">
        <v>2315.232</v>
      </c>
    </row>
    <row r="388" spans="1:5" x14ac:dyDescent="0.35">
      <c r="A388" s="1" t="s">
        <v>16036</v>
      </c>
      <c r="B388" s="1" t="s">
        <v>23</v>
      </c>
      <c r="C388" s="1" t="s">
        <v>13396</v>
      </c>
      <c r="D388" s="1" t="s">
        <v>23</v>
      </c>
      <c r="E388" s="250">
        <v>2315.2330000000002</v>
      </c>
    </row>
    <row r="389" spans="1:5" x14ac:dyDescent="0.35">
      <c r="A389" s="1" t="s">
        <v>16037</v>
      </c>
      <c r="B389" s="1" t="s">
        <v>23</v>
      </c>
      <c r="C389" s="1" t="s">
        <v>13395</v>
      </c>
      <c r="D389" s="1" t="s">
        <v>23</v>
      </c>
      <c r="E389" s="250">
        <v>2315.2339999999999</v>
      </c>
    </row>
    <row r="390" spans="1:5" x14ac:dyDescent="0.35">
      <c r="A390" s="1" t="s">
        <v>16038</v>
      </c>
      <c r="B390" s="1" t="s">
        <v>20</v>
      </c>
      <c r="C390" s="1" t="s">
        <v>13394</v>
      </c>
      <c r="D390" s="1" t="s">
        <v>20</v>
      </c>
      <c r="E390" s="250">
        <v>2315.25</v>
      </c>
    </row>
    <row r="391" spans="1:5" x14ac:dyDescent="0.35">
      <c r="A391" s="1" t="s">
        <v>16039</v>
      </c>
      <c r="B391" s="1" t="s">
        <v>20</v>
      </c>
      <c r="C391" s="1" t="s">
        <v>13393</v>
      </c>
      <c r="D391" s="1" t="s">
        <v>20</v>
      </c>
      <c r="E391" s="250">
        <v>2315.2510000000002</v>
      </c>
    </row>
    <row r="392" spans="1:5" x14ac:dyDescent="0.35">
      <c r="A392" s="1" t="s">
        <v>16040</v>
      </c>
      <c r="B392" s="1" t="s">
        <v>20</v>
      </c>
      <c r="C392" s="1" t="s">
        <v>13392</v>
      </c>
      <c r="D392" s="1" t="s">
        <v>20</v>
      </c>
      <c r="E392" s="250">
        <v>2315.252</v>
      </c>
    </row>
    <row r="393" spans="1:5" x14ac:dyDescent="0.35">
      <c r="A393" s="1" t="s">
        <v>16041</v>
      </c>
      <c r="B393" s="1" t="s">
        <v>20</v>
      </c>
      <c r="C393" s="1" t="s">
        <v>13391</v>
      </c>
      <c r="D393" s="1" t="s">
        <v>20</v>
      </c>
      <c r="E393" s="250">
        <v>2315.2530000000002</v>
      </c>
    </row>
    <row r="394" spans="1:5" x14ac:dyDescent="0.35">
      <c r="A394" s="1" t="s">
        <v>16042</v>
      </c>
      <c r="B394" s="1" t="s">
        <v>20</v>
      </c>
      <c r="C394" s="1" t="s">
        <v>13390</v>
      </c>
      <c r="D394" s="1" t="s">
        <v>20</v>
      </c>
      <c r="E394" s="250">
        <v>2315.2539999999999</v>
      </c>
    </row>
    <row r="395" spans="1:5" x14ac:dyDescent="0.35">
      <c r="A395" s="1" t="s">
        <v>16043</v>
      </c>
      <c r="B395" s="1" t="s">
        <v>23</v>
      </c>
      <c r="C395" s="1" t="s">
        <v>13389</v>
      </c>
      <c r="D395" s="1" t="s">
        <v>23</v>
      </c>
      <c r="E395" s="250">
        <v>2315.3000000000002</v>
      </c>
    </row>
    <row r="396" spans="1:5" x14ac:dyDescent="0.35">
      <c r="A396" s="1" t="s">
        <v>16044</v>
      </c>
      <c r="B396" s="1" t="s">
        <v>23</v>
      </c>
      <c r="C396" s="1" t="s">
        <v>13388</v>
      </c>
      <c r="D396" s="1" t="s">
        <v>23</v>
      </c>
      <c r="E396" s="250">
        <v>2315.3009999999999</v>
      </c>
    </row>
    <row r="397" spans="1:5" x14ac:dyDescent="0.35">
      <c r="A397" s="1" t="s">
        <v>16045</v>
      </c>
      <c r="B397" s="1" t="s">
        <v>23</v>
      </c>
      <c r="C397" s="1" t="s">
        <v>13387</v>
      </c>
      <c r="D397" s="1" t="s">
        <v>23</v>
      </c>
      <c r="E397" s="250">
        <v>2315.3020000000001</v>
      </c>
    </row>
    <row r="398" spans="1:5" x14ac:dyDescent="0.35">
      <c r="A398" s="1" t="s">
        <v>16046</v>
      </c>
      <c r="B398" s="1" t="s">
        <v>23</v>
      </c>
      <c r="C398" s="1" t="s">
        <v>13386</v>
      </c>
      <c r="D398" s="1" t="s">
        <v>23</v>
      </c>
      <c r="E398" s="250">
        <v>2315.3029999999999</v>
      </c>
    </row>
    <row r="399" spans="1:5" x14ac:dyDescent="0.35">
      <c r="A399" s="1" t="s">
        <v>16047</v>
      </c>
      <c r="B399" s="1" t="s">
        <v>23</v>
      </c>
      <c r="C399" s="1" t="s">
        <v>13385</v>
      </c>
      <c r="D399" s="1" t="s">
        <v>23</v>
      </c>
      <c r="E399" s="250">
        <v>2315.3040000000001</v>
      </c>
    </row>
    <row r="400" spans="1:5" x14ac:dyDescent="0.35">
      <c r="A400" s="1" t="s">
        <v>16048</v>
      </c>
      <c r="B400" s="1" t="s">
        <v>23</v>
      </c>
      <c r="C400" s="1" t="s">
        <v>13384</v>
      </c>
      <c r="D400" s="1" t="s">
        <v>23</v>
      </c>
      <c r="E400" s="250">
        <v>2315.3049999999998</v>
      </c>
    </row>
    <row r="401" spans="1:5" x14ac:dyDescent="0.35">
      <c r="A401" s="1" t="s">
        <v>16049</v>
      </c>
      <c r="B401" s="1" t="s">
        <v>23</v>
      </c>
      <c r="C401" s="1" t="s">
        <v>13383</v>
      </c>
      <c r="D401" s="1" t="s">
        <v>23</v>
      </c>
      <c r="E401" s="250">
        <v>2315.306</v>
      </c>
    </row>
    <row r="402" spans="1:5" x14ac:dyDescent="0.35">
      <c r="A402" s="1" t="s">
        <v>16050</v>
      </c>
      <c r="B402" s="1" t="s">
        <v>23</v>
      </c>
      <c r="C402" s="1" t="s">
        <v>13382</v>
      </c>
      <c r="D402" s="1" t="s">
        <v>23</v>
      </c>
      <c r="E402" s="250">
        <v>2315.3069999999998</v>
      </c>
    </row>
    <row r="403" spans="1:5" x14ac:dyDescent="0.35">
      <c r="A403" s="1" t="s">
        <v>16051</v>
      </c>
      <c r="B403" s="1" t="s">
        <v>23</v>
      </c>
      <c r="C403" s="1" t="s">
        <v>13381</v>
      </c>
      <c r="D403" s="1" t="s">
        <v>23</v>
      </c>
      <c r="E403" s="250">
        <v>2315.308</v>
      </c>
    </row>
    <row r="404" spans="1:5" x14ac:dyDescent="0.35">
      <c r="A404" s="1" t="s">
        <v>16052</v>
      </c>
      <c r="B404" s="1" t="s">
        <v>23</v>
      </c>
      <c r="C404" s="1" t="s">
        <v>13380</v>
      </c>
      <c r="D404" s="1" t="s">
        <v>23</v>
      </c>
      <c r="E404" s="250">
        <v>2315.35</v>
      </c>
    </row>
    <row r="405" spans="1:5" x14ac:dyDescent="0.35">
      <c r="A405" s="1" t="s">
        <v>16053</v>
      </c>
      <c r="B405" s="1" t="s">
        <v>19</v>
      </c>
      <c r="C405" s="1" t="s">
        <v>13379</v>
      </c>
      <c r="D405" s="1" t="s">
        <v>19</v>
      </c>
      <c r="E405" s="250">
        <v>2315.38</v>
      </c>
    </row>
    <row r="406" spans="1:5" x14ac:dyDescent="0.35">
      <c r="A406" s="1" t="s">
        <v>16054</v>
      </c>
      <c r="B406" s="1" t="s">
        <v>19</v>
      </c>
      <c r="C406" s="1" t="s">
        <v>13378</v>
      </c>
      <c r="D406" s="1" t="s">
        <v>19</v>
      </c>
      <c r="E406" s="250">
        <v>2315.3809999999999</v>
      </c>
    </row>
    <row r="407" spans="1:5" x14ac:dyDescent="0.35">
      <c r="A407" s="1" t="s">
        <v>16055</v>
      </c>
      <c r="B407" s="1" t="s">
        <v>23</v>
      </c>
      <c r="C407" s="1" t="s">
        <v>13377</v>
      </c>
      <c r="D407" s="1" t="s">
        <v>23</v>
      </c>
      <c r="E407" s="250">
        <v>2315.3969999999999</v>
      </c>
    </row>
    <row r="408" spans="1:5" x14ac:dyDescent="0.35">
      <c r="A408" s="1" t="s">
        <v>16056</v>
      </c>
      <c r="B408" s="1" t="s">
        <v>23</v>
      </c>
      <c r="C408" s="1" t="s">
        <v>13376</v>
      </c>
      <c r="D408" s="1" t="s">
        <v>23</v>
      </c>
      <c r="E408" s="250">
        <v>2315.3980000000001</v>
      </c>
    </row>
    <row r="409" spans="1:5" x14ac:dyDescent="0.35">
      <c r="A409" s="1" t="s">
        <v>16057</v>
      </c>
      <c r="B409" s="1" t="s">
        <v>23</v>
      </c>
      <c r="C409" s="1" t="s">
        <v>13375</v>
      </c>
      <c r="D409" s="1" t="s">
        <v>23</v>
      </c>
      <c r="E409" s="250">
        <v>2315.3989999999999</v>
      </c>
    </row>
    <row r="410" spans="1:5" x14ac:dyDescent="0.35">
      <c r="A410" s="1" t="s">
        <v>16058</v>
      </c>
      <c r="B410" s="1" t="s">
        <v>23</v>
      </c>
      <c r="C410" s="1" t="s">
        <v>13374</v>
      </c>
      <c r="D410" s="1" t="s">
        <v>23</v>
      </c>
      <c r="E410" s="250">
        <v>2315.4</v>
      </c>
    </row>
    <row r="411" spans="1:5" x14ac:dyDescent="0.35">
      <c r="A411" s="1" t="s">
        <v>16059</v>
      </c>
      <c r="B411" s="1" t="s">
        <v>23</v>
      </c>
      <c r="C411" s="1" t="s">
        <v>13373</v>
      </c>
      <c r="D411" s="1" t="s">
        <v>23</v>
      </c>
      <c r="E411" s="250">
        <v>2315.4009999999998</v>
      </c>
    </row>
    <row r="412" spans="1:5" x14ac:dyDescent="0.35">
      <c r="A412" s="1" t="s">
        <v>16060</v>
      </c>
      <c r="B412" s="1" t="s">
        <v>23</v>
      </c>
      <c r="C412" s="1" t="s">
        <v>13372</v>
      </c>
      <c r="D412" s="1" t="s">
        <v>23</v>
      </c>
      <c r="E412" s="250">
        <v>2315.402</v>
      </c>
    </row>
    <row r="413" spans="1:5" x14ac:dyDescent="0.35">
      <c r="A413" s="1" t="s">
        <v>16061</v>
      </c>
      <c r="B413" s="1" t="s">
        <v>23</v>
      </c>
      <c r="C413" s="1" t="s">
        <v>13371</v>
      </c>
      <c r="D413" s="1" t="s">
        <v>23</v>
      </c>
      <c r="E413" s="250">
        <v>2315.4029999999998</v>
      </c>
    </row>
    <row r="414" spans="1:5" x14ac:dyDescent="0.35">
      <c r="A414" s="1" t="s">
        <v>16062</v>
      </c>
      <c r="B414" s="1" t="s">
        <v>23</v>
      </c>
      <c r="C414" s="1" t="s">
        <v>13370</v>
      </c>
      <c r="D414" s="1" t="s">
        <v>23</v>
      </c>
      <c r="E414" s="250">
        <v>2315.404</v>
      </c>
    </row>
    <row r="415" spans="1:5" x14ac:dyDescent="0.35">
      <c r="A415" s="1" t="s">
        <v>16063</v>
      </c>
      <c r="B415" s="1" t="s">
        <v>23</v>
      </c>
      <c r="C415" s="1" t="s">
        <v>13369</v>
      </c>
      <c r="D415" s="1" t="s">
        <v>23</v>
      </c>
      <c r="E415" s="250">
        <v>2315.4050000000002</v>
      </c>
    </row>
    <row r="416" spans="1:5" x14ac:dyDescent="0.35">
      <c r="A416" s="1" t="s">
        <v>16064</v>
      </c>
      <c r="B416" s="1" t="s">
        <v>23</v>
      </c>
      <c r="C416" s="1" t="s">
        <v>13368</v>
      </c>
      <c r="D416" s="1" t="s">
        <v>23</v>
      </c>
      <c r="E416" s="250">
        <v>2315.4059999999999</v>
      </c>
    </row>
    <row r="417" spans="1:5" x14ac:dyDescent="0.35">
      <c r="A417" s="1" t="s">
        <v>16065</v>
      </c>
      <c r="B417" s="1" t="s">
        <v>23</v>
      </c>
      <c r="C417" s="1" t="s">
        <v>13367</v>
      </c>
      <c r="D417" s="1" t="s">
        <v>23</v>
      </c>
      <c r="E417" s="250">
        <v>2315.4070000000002</v>
      </c>
    </row>
    <row r="418" spans="1:5" x14ac:dyDescent="0.35">
      <c r="A418" s="1" t="s">
        <v>16066</v>
      </c>
      <c r="B418" s="1" t="s">
        <v>23</v>
      </c>
      <c r="C418" s="1" t="s">
        <v>13366</v>
      </c>
      <c r="D418" s="1" t="s">
        <v>23</v>
      </c>
      <c r="E418" s="250">
        <v>2315.4079999999999</v>
      </c>
    </row>
    <row r="419" spans="1:5" x14ac:dyDescent="0.35">
      <c r="A419" s="1" t="s">
        <v>16067</v>
      </c>
      <c r="B419" s="1" t="s">
        <v>23</v>
      </c>
      <c r="C419" s="1" t="s">
        <v>13365</v>
      </c>
      <c r="D419" s="1" t="s">
        <v>23</v>
      </c>
      <c r="E419" s="250">
        <v>2315.4090000000001</v>
      </c>
    </row>
    <row r="420" spans="1:5" x14ac:dyDescent="0.35">
      <c r="A420" s="1" t="s">
        <v>16068</v>
      </c>
      <c r="B420" s="1" t="s">
        <v>23</v>
      </c>
      <c r="C420" s="1" t="s">
        <v>13364</v>
      </c>
      <c r="D420" s="1" t="s">
        <v>23</v>
      </c>
      <c r="E420" s="250">
        <v>2315.41</v>
      </c>
    </row>
    <row r="421" spans="1:5" x14ac:dyDescent="0.35">
      <c r="A421" s="1" t="s">
        <v>16069</v>
      </c>
      <c r="B421" s="1" t="s">
        <v>23</v>
      </c>
      <c r="C421" s="1" t="s">
        <v>13363</v>
      </c>
      <c r="D421" s="1" t="s">
        <v>23</v>
      </c>
      <c r="E421" s="250">
        <v>2315.4110000000001</v>
      </c>
    </row>
    <row r="422" spans="1:5" x14ac:dyDescent="0.35">
      <c r="A422" s="1" t="s">
        <v>16070</v>
      </c>
      <c r="B422" s="1" t="s">
        <v>23</v>
      </c>
      <c r="C422" s="1" t="s">
        <v>13362</v>
      </c>
      <c r="D422" s="1" t="s">
        <v>23</v>
      </c>
      <c r="E422" s="250">
        <v>2315.4119999999998</v>
      </c>
    </row>
    <row r="423" spans="1:5" x14ac:dyDescent="0.35">
      <c r="A423" s="1" t="s">
        <v>16071</v>
      </c>
      <c r="B423" s="1" t="s">
        <v>23</v>
      </c>
      <c r="C423" s="1" t="s">
        <v>13361</v>
      </c>
      <c r="D423" s="1" t="s">
        <v>23</v>
      </c>
      <c r="E423" s="250">
        <v>2315.413</v>
      </c>
    </row>
    <row r="424" spans="1:5" x14ac:dyDescent="0.35">
      <c r="A424" s="1" t="s">
        <v>16072</v>
      </c>
      <c r="B424" s="1" t="s">
        <v>23</v>
      </c>
      <c r="C424" s="1" t="s">
        <v>13360</v>
      </c>
      <c r="D424" s="1" t="s">
        <v>23</v>
      </c>
      <c r="E424" s="250">
        <v>2315.4140000000002</v>
      </c>
    </row>
    <row r="425" spans="1:5" x14ac:dyDescent="0.35">
      <c r="A425" s="1" t="s">
        <v>16073</v>
      </c>
      <c r="B425" s="1" t="s">
        <v>23</v>
      </c>
      <c r="C425" s="1" t="s">
        <v>13081</v>
      </c>
      <c r="D425" s="1" t="s">
        <v>23</v>
      </c>
      <c r="E425" s="250">
        <v>2315.4169999999999</v>
      </c>
    </row>
    <row r="426" spans="1:5" x14ac:dyDescent="0.35">
      <c r="A426" s="1" t="s">
        <v>16074</v>
      </c>
      <c r="B426" s="1" t="s">
        <v>23</v>
      </c>
      <c r="C426" s="1" t="s">
        <v>13359</v>
      </c>
      <c r="D426" s="1" t="s">
        <v>23</v>
      </c>
      <c r="E426" s="250">
        <v>2315.4180000000001</v>
      </c>
    </row>
    <row r="427" spans="1:5" x14ac:dyDescent="0.35">
      <c r="A427" s="1" t="s">
        <v>16075</v>
      </c>
      <c r="B427" s="1" t="s">
        <v>23</v>
      </c>
      <c r="C427" s="1" t="s">
        <v>13358</v>
      </c>
      <c r="D427" s="1" t="s">
        <v>23</v>
      </c>
      <c r="E427" s="250">
        <v>2315.4189999999999</v>
      </c>
    </row>
    <row r="428" spans="1:5" x14ac:dyDescent="0.35">
      <c r="A428" s="1" t="s">
        <v>16076</v>
      </c>
      <c r="B428" s="1" t="s">
        <v>23</v>
      </c>
      <c r="C428" s="1" t="s">
        <v>13357</v>
      </c>
      <c r="D428" s="1" t="s">
        <v>23</v>
      </c>
      <c r="E428" s="250">
        <v>2315.42</v>
      </c>
    </row>
    <row r="429" spans="1:5" x14ac:dyDescent="0.35">
      <c r="A429" s="1" t="s">
        <v>16077</v>
      </c>
      <c r="B429" s="1" t="s">
        <v>23</v>
      </c>
      <c r="C429" s="1" t="s">
        <v>13356</v>
      </c>
      <c r="D429" s="1" t="s">
        <v>23</v>
      </c>
      <c r="E429" s="250">
        <v>2315.4270000000001</v>
      </c>
    </row>
    <row r="430" spans="1:5" x14ac:dyDescent="0.35">
      <c r="A430" s="1" t="s">
        <v>16078</v>
      </c>
      <c r="B430" s="1" t="s">
        <v>23</v>
      </c>
      <c r="C430" s="1" t="s">
        <v>13355</v>
      </c>
      <c r="D430" s="1" t="s">
        <v>23</v>
      </c>
      <c r="E430" s="250">
        <v>2315.4279999999999</v>
      </c>
    </row>
    <row r="431" spans="1:5" x14ac:dyDescent="0.35">
      <c r="A431" s="1" t="s">
        <v>16079</v>
      </c>
      <c r="B431" s="1" t="s">
        <v>23</v>
      </c>
      <c r="C431" s="1" t="s">
        <v>13354</v>
      </c>
      <c r="D431" s="1" t="s">
        <v>23</v>
      </c>
      <c r="E431" s="250">
        <v>2315.4290000000001</v>
      </c>
    </row>
    <row r="432" spans="1:5" x14ac:dyDescent="0.35">
      <c r="A432" s="1" t="s">
        <v>16080</v>
      </c>
      <c r="B432" s="1" t="s">
        <v>23</v>
      </c>
      <c r="C432" s="1" t="s">
        <v>13353</v>
      </c>
      <c r="D432" s="1" t="s">
        <v>23</v>
      </c>
      <c r="E432" s="250">
        <v>2315.4299999999998</v>
      </c>
    </row>
    <row r="433" spans="1:5" x14ac:dyDescent="0.35">
      <c r="A433" s="1" t="s">
        <v>16081</v>
      </c>
      <c r="B433" s="1" t="s">
        <v>23</v>
      </c>
      <c r="C433" s="1" t="s">
        <v>13352</v>
      </c>
      <c r="D433" s="1" t="s">
        <v>23</v>
      </c>
      <c r="E433" s="250">
        <v>2315.431</v>
      </c>
    </row>
    <row r="434" spans="1:5" x14ac:dyDescent="0.35">
      <c r="A434" s="1" t="s">
        <v>16082</v>
      </c>
      <c r="B434" s="1" t="s">
        <v>23</v>
      </c>
      <c r="C434" s="1" t="s">
        <v>13351</v>
      </c>
      <c r="D434" s="1" t="s">
        <v>23</v>
      </c>
      <c r="E434" s="250">
        <v>2315.4319999999998</v>
      </c>
    </row>
    <row r="435" spans="1:5" x14ac:dyDescent="0.35">
      <c r="A435" s="1" t="s">
        <v>16083</v>
      </c>
      <c r="B435" s="1" t="s">
        <v>23</v>
      </c>
      <c r="C435" s="1" t="s">
        <v>13350</v>
      </c>
      <c r="D435" s="1" t="s">
        <v>23</v>
      </c>
      <c r="E435" s="250">
        <v>2315.433</v>
      </c>
    </row>
    <row r="436" spans="1:5" x14ac:dyDescent="0.35">
      <c r="A436" s="1" t="s">
        <v>16084</v>
      </c>
      <c r="B436" s="1" t="s">
        <v>23</v>
      </c>
      <c r="C436" s="1" t="s">
        <v>13349</v>
      </c>
      <c r="D436" s="1" t="s">
        <v>23</v>
      </c>
      <c r="E436" s="250">
        <v>2315.4340000000002</v>
      </c>
    </row>
    <row r="437" spans="1:5" x14ac:dyDescent="0.35">
      <c r="A437" s="1" t="s">
        <v>16085</v>
      </c>
      <c r="B437" s="1" t="s">
        <v>23</v>
      </c>
      <c r="C437" s="1" t="s">
        <v>13348</v>
      </c>
      <c r="D437" s="1" t="s">
        <v>23</v>
      </c>
      <c r="E437" s="250">
        <v>2315.4349999999999</v>
      </c>
    </row>
    <row r="438" spans="1:5" x14ac:dyDescent="0.35">
      <c r="A438" s="1" t="s">
        <v>16086</v>
      </c>
      <c r="B438" s="1" t="s">
        <v>23</v>
      </c>
      <c r="C438" s="1" t="s">
        <v>13347</v>
      </c>
      <c r="D438" s="1" t="s">
        <v>23</v>
      </c>
      <c r="E438" s="250">
        <v>2315.4360000000001</v>
      </c>
    </row>
    <row r="439" spans="1:5" x14ac:dyDescent="0.35">
      <c r="A439" s="1" t="s">
        <v>16087</v>
      </c>
      <c r="B439" s="1" t="s">
        <v>23</v>
      </c>
      <c r="C439" s="1" t="s">
        <v>13346</v>
      </c>
      <c r="D439" s="1" t="s">
        <v>23</v>
      </c>
      <c r="E439" s="250">
        <v>2315.4369999999999</v>
      </c>
    </row>
    <row r="440" spans="1:5" x14ac:dyDescent="0.35">
      <c r="A440" s="1" t="s">
        <v>16088</v>
      </c>
      <c r="B440" s="1" t="s">
        <v>23</v>
      </c>
      <c r="C440" s="1" t="s">
        <v>13345</v>
      </c>
      <c r="D440" s="1" t="s">
        <v>23</v>
      </c>
      <c r="E440" s="250">
        <v>2315.4380000000001</v>
      </c>
    </row>
    <row r="441" spans="1:5" x14ac:dyDescent="0.35">
      <c r="A441" s="1" t="s">
        <v>16089</v>
      </c>
      <c r="B441" s="1" t="s">
        <v>23</v>
      </c>
      <c r="C441" s="1" t="s">
        <v>13344</v>
      </c>
      <c r="D441" s="1" t="s">
        <v>23</v>
      </c>
      <c r="E441" s="250">
        <v>2315.451</v>
      </c>
    </row>
    <row r="442" spans="1:5" x14ac:dyDescent="0.35">
      <c r="A442" s="1" t="s">
        <v>16090</v>
      </c>
      <c r="B442" s="1" t="s">
        <v>23</v>
      </c>
      <c r="C442" s="1" t="s">
        <v>13343</v>
      </c>
      <c r="D442" s="1" t="s">
        <v>23</v>
      </c>
      <c r="E442" s="250">
        <v>2315.4520000000002</v>
      </c>
    </row>
    <row r="443" spans="1:5" x14ac:dyDescent="0.35">
      <c r="A443" s="1" t="s">
        <v>16091</v>
      </c>
      <c r="B443" s="1" t="s">
        <v>23</v>
      </c>
      <c r="C443" s="1" t="s">
        <v>13342</v>
      </c>
      <c r="D443" s="1" t="s">
        <v>23</v>
      </c>
      <c r="E443" s="250">
        <v>2315.453</v>
      </c>
    </row>
    <row r="444" spans="1:5" x14ac:dyDescent="0.35">
      <c r="A444" s="1" t="s">
        <v>16092</v>
      </c>
      <c r="B444" s="1" t="s">
        <v>23</v>
      </c>
      <c r="C444" s="1" t="s">
        <v>13341</v>
      </c>
      <c r="D444" s="1" t="s">
        <v>23</v>
      </c>
      <c r="E444" s="250">
        <v>2315.4540000000002</v>
      </c>
    </row>
    <row r="445" spans="1:5" x14ac:dyDescent="0.35">
      <c r="A445" s="1" t="s">
        <v>16093</v>
      </c>
      <c r="B445" s="1" t="s">
        <v>23</v>
      </c>
      <c r="C445" s="1" t="s">
        <v>13340</v>
      </c>
      <c r="D445" s="1" t="s">
        <v>23</v>
      </c>
      <c r="E445" s="250">
        <v>2315.4609999999998</v>
      </c>
    </row>
    <row r="446" spans="1:5" x14ac:dyDescent="0.35">
      <c r="A446" s="1" t="s">
        <v>16094</v>
      </c>
      <c r="B446" s="1" t="s">
        <v>23</v>
      </c>
      <c r="C446" s="1" t="s">
        <v>13339</v>
      </c>
      <c r="D446" s="1" t="s">
        <v>23</v>
      </c>
      <c r="E446" s="250">
        <v>2315.462</v>
      </c>
    </row>
    <row r="447" spans="1:5" x14ac:dyDescent="0.35">
      <c r="A447" s="1" t="s">
        <v>16095</v>
      </c>
      <c r="B447" s="1" t="s">
        <v>23</v>
      </c>
      <c r="C447" s="1" t="s">
        <v>13338</v>
      </c>
      <c r="D447" s="1" t="s">
        <v>23</v>
      </c>
      <c r="E447" s="250">
        <v>2315.4630000000002</v>
      </c>
    </row>
    <row r="448" spans="1:5" x14ac:dyDescent="0.35">
      <c r="A448" s="1" t="s">
        <v>16096</v>
      </c>
      <c r="B448" s="1" t="s">
        <v>23</v>
      </c>
      <c r="C448" s="1" t="s">
        <v>13337</v>
      </c>
      <c r="D448" s="1" t="s">
        <v>23</v>
      </c>
      <c r="E448" s="250">
        <v>2315.4639999999999</v>
      </c>
    </row>
    <row r="449" spans="1:5" x14ac:dyDescent="0.35">
      <c r="A449" s="1" t="s">
        <v>16097</v>
      </c>
      <c r="B449" s="1" t="s">
        <v>23</v>
      </c>
      <c r="C449" s="1" t="s">
        <v>13336</v>
      </c>
      <c r="D449" s="1" t="s">
        <v>23</v>
      </c>
      <c r="E449" s="250">
        <v>2315.4650000000001</v>
      </c>
    </row>
    <row r="450" spans="1:5" x14ac:dyDescent="0.35">
      <c r="A450" s="1" t="s">
        <v>16098</v>
      </c>
      <c r="B450" s="1" t="s">
        <v>23</v>
      </c>
      <c r="C450" s="1" t="s">
        <v>13335</v>
      </c>
      <c r="D450" s="1" t="s">
        <v>23</v>
      </c>
      <c r="E450" s="250">
        <v>2315.4659999999999</v>
      </c>
    </row>
    <row r="451" spans="1:5" x14ac:dyDescent="0.35">
      <c r="A451" s="1" t="s">
        <v>16099</v>
      </c>
      <c r="B451" s="1" t="s">
        <v>57</v>
      </c>
      <c r="C451" s="1" t="s">
        <v>13334</v>
      </c>
      <c r="D451" s="1" t="s">
        <v>57</v>
      </c>
      <c r="E451" s="250">
        <v>2315.6</v>
      </c>
    </row>
    <row r="452" spans="1:5" x14ac:dyDescent="0.35">
      <c r="A452" s="1" t="s">
        <v>16100</v>
      </c>
      <c r="B452" s="1" t="s">
        <v>23</v>
      </c>
      <c r="C452" s="1" t="s">
        <v>13333</v>
      </c>
      <c r="D452" s="1" t="s">
        <v>23</v>
      </c>
      <c r="E452" s="250">
        <v>2315.6010000000001</v>
      </c>
    </row>
    <row r="453" spans="1:5" x14ac:dyDescent="0.35">
      <c r="A453" s="1" t="s">
        <v>16101</v>
      </c>
      <c r="B453" s="1" t="s">
        <v>23</v>
      </c>
      <c r="C453" s="1" t="s">
        <v>13332</v>
      </c>
      <c r="D453" s="1" t="s">
        <v>23</v>
      </c>
      <c r="E453" s="250">
        <v>2315.6019999999999</v>
      </c>
    </row>
    <row r="454" spans="1:5" x14ac:dyDescent="0.35">
      <c r="A454" s="1" t="s">
        <v>16102</v>
      </c>
      <c r="B454" s="1" t="s">
        <v>23</v>
      </c>
      <c r="C454" s="1" t="s">
        <v>13331</v>
      </c>
      <c r="D454" s="1" t="s">
        <v>23</v>
      </c>
      <c r="E454" s="250">
        <v>2315.6030000000001</v>
      </c>
    </row>
    <row r="455" spans="1:5" x14ac:dyDescent="0.35">
      <c r="A455" s="1" t="s">
        <v>16103</v>
      </c>
      <c r="B455" s="1" t="s">
        <v>23</v>
      </c>
      <c r="C455" s="1" t="s">
        <v>13330</v>
      </c>
      <c r="D455" s="1" t="s">
        <v>23</v>
      </c>
      <c r="E455" s="250">
        <v>2315.6039999999998</v>
      </c>
    </row>
    <row r="456" spans="1:5" x14ac:dyDescent="0.35">
      <c r="A456" s="1" t="s">
        <v>16104</v>
      </c>
      <c r="B456" s="1" t="s">
        <v>23</v>
      </c>
      <c r="C456" s="1" t="s">
        <v>13329</v>
      </c>
      <c r="D456" s="1" t="s">
        <v>23</v>
      </c>
      <c r="E456" s="250">
        <v>2315.605</v>
      </c>
    </row>
    <row r="457" spans="1:5" x14ac:dyDescent="0.35">
      <c r="A457" s="1" t="s">
        <v>16105</v>
      </c>
      <c r="B457" s="1" t="s">
        <v>23</v>
      </c>
      <c r="C457" s="1" t="s">
        <v>13328</v>
      </c>
      <c r="D457" s="1" t="s">
        <v>23</v>
      </c>
      <c r="E457" s="250">
        <v>2315.6060000000002</v>
      </c>
    </row>
    <row r="458" spans="1:5" x14ac:dyDescent="0.35">
      <c r="A458" s="1" t="s">
        <v>16106</v>
      </c>
      <c r="B458" s="1" t="s">
        <v>23</v>
      </c>
      <c r="C458" s="1" t="s">
        <v>13327</v>
      </c>
      <c r="D458" s="1" t="s">
        <v>23</v>
      </c>
      <c r="E458" s="250">
        <v>2315.607</v>
      </c>
    </row>
    <row r="459" spans="1:5" x14ac:dyDescent="0.35">
      <c r="A459" s="1" t="s">
        <v>16107</v>
      </c>
      <c r="B459" s="1" t="s">
        <v>23</v>
      </c>
      <c r="C459" s="1" t="s">
        <v>13326</v>
      </c>
      <c r="D459" s="1" t="s">
        <v>23</v>
      </c>
      <c r="E459" s="250">
        <v>2315.6080000000002</v>
      </c>
    </row>
    <row r="460" spans="1:5" x14ac:dyDescent="0.35">
      <c r="A460" s="1" t="s">
        <v>16108</v>
      </c>
      <c r="B460" s="1" t="s">
        <v>23</v>
      </c>
      <c r="C460" s="1" t="s">
        <v>13325</v>
      </c>
      <c r="D460" s="1" t="s">
        <v>23</v>
      </c>
      <c r="E460" s="250">
        <v>2315.6089999999999</v>
      </c>
    </row>
    <row r="461" spans="1:5" x14ac:dyDescent="0.35">
      <c r="A461" s="1" t="s">
        <v>16109</v>
      </c>
      <c r="B461" s="1" t="s">
        <v>23</v>
      </c>
      <c r="C461" s="1" t="s">
        <v>13324</v>
      </c>
      <c r="D461" s="1" t="s">
        <v>23</v>
      </c>
      <c r="E461" s="250">
        <v>2315.61</v>
      </c>
    </row>
    <row r="462" spans="1:5" x14ac:dyDescent="0.35">
      <c r="A462" s="1" t="s">
        <v>16110</v>
      </c>
      <c r="B462" s="1" t="s">
        <v>23</v>
      </c>
      <c r="C462" s="1" t="s">
        <v>13323</v>
      </c>
      <c r="D462" s="1" t="s">
        <v>23</v>
      </c>
      <c r="E462" s="250">
        <v>2315.6109999999999</v>
      </c>
    </row>
    <row r="463" spans="1:5" x14ac:dyDescent="0.35">
      <c r="A463" s="1" t="s">
        <v>16111</v>
      </c>
      <c r="B463" s="1" t="s">
        <v>23</v>
      </c>
      <c r="C463" s="1" t="s">
        <v>13322</v>
      </c>
      <c r="D463" s="1" t="s">
        <v>23</v>
      </c>
      <c r="E463" s="250">
        <v>2315.6120000000001</v>
      </c>
    </row>
    <row r="464" spans="1:5" x14ac:dyDescent="0.35">
      <c r="A464" s="1" t="s">
        <v>16112</v>
      </c>
      <c r="B464" s="1" t="s">
        <v>23</v>
      </c>
      <c r="C464" s="1" t="s">
        <v>13321</v>
      </c>
      <c r="D464" s="1" t="s">
        <v>23</v>
      </c>
      <c r="E464" s="250">
        <v>2315.6129999999998</v>
      </c>
    </row>
    <row r="465" spans="1:5" x14ac:dyDescent="0.35">
      <c r="A465" s="1" t="s">
        <v>16113</v>
      </c>
      <c r="B465" s="1" t="s">
        <v>23</v>
      </c>
      <c r="C465" s="1" t="s">
        <v>13320</v>
      </c>
      <c r="D465" s="1" t="s">
        <v>23</v>
      </c>
      <c r="E465" s="250">
        <v>2315.614</v>
      </c>
    </row>
    <row r="466" spans="1:5" x14ac:dyDescent="0.35">
      <c r="A466" s="1" t="s">
        <v>16114</v>
      </c>
      <c r="B466" s="1" t="s">
        <v>23</v>
      </c>
      <c r="C466" s="1" t="s">
        <v>13319</v>
      </c>
      <c r="D466" s="1" t="s">
        <v>23</v>
      </c>
      <c r="E466" s="250">
        <v>2315.6149999999998</v>
      </c>
    </row>
    <row r="467" spans="1:5" x14ac:dyDescent="0.35">
      <c r="A467" s="1" t="s">
        <v>16115</v>
      </c>
      <c r="B467" s="1" t="s">
        <v>23</v>
      </c>
      <c r="C467" s="1" t="s">
        <v>13318</v>
      </c>
      <c r="D467" s="1" t="s">
        <v>23</v>
      </c>
      <c r="E467" s="250">
        <v>2315.616</v>
      </c>
    </row>
    <row r="468" spans="1:5" x14ac:dyDescent="0.35">
      <c r="A468" s="1" t="s">
        <v>16116</v>
      </c>
      <c r="B468" s="1" t="s">
        <v>23</v>
      </c>
      <c r="C468" s="1" t="s">
        <v>13317</v>
      </c>
      <c r="D468" s="1" t="s">
        <v>23</v>
      </c>
      <c r="E468" s="250">
        <v>2315.6170000000002</v>
      </c>
    </row>
    <row r="469" spans="1:5" x14ac:dyDescent="0.35">
      <c r="A469" s="1" t="s">
        <v>16117</v>
      </c>
      <c r="B469" s="1" t="s">
        <v>23</v>
      </c>
      <c r="C469" s="1" t="s">
        <v>13316</v>
      </c>
      <c r="D469" s="1" t="s">
        <v>23</v>
      </c>
      <c r="E469" s="250">
        <v>2315.6179999999999</v>
      </c>
    </row>
    <row r="470" spans="1:5" x14ac:dyDescent="0.35">
      <c r="A470" s="1" t="s">
        <v>16118</v>
      </c>
      <c r="B470" s="1" t="s">
        <v>23</v>
      </c>
      <c r="C470" s="1" t="s">
        <v>13315</v>
      </c>
      <c r="D470" s="1" t="s">
        <v>23</v>
      </c>
      <c r="E470" s="250">
        <v>2315.6190000000001</v>
      </c>
    </row>
    <row r="471" spans="1:5" x14ac:dyDescent="0.35">
      <c r="A471" s="1" t="s">
        <v>16119</v>
      </c>
      <c r="B471" s="1" t="s">
        <v>23</v>
      </c>
      <c r="C471" s="1" t="s">
        <v>13314</v>
      </c>
      <c r="D471" s="1" t="s">
        <v>23</v>
      </c>
      <c r="E471" s="250">
        <v>2315.62</v>
      </c>
    </row>
    <row r="472" spans="1:5" x14ac:dyDescent="0.35">
      <c r="A472" s="1" t="s">
        <v>16120</v>
      </c>
      <c r="B472" s="1" t="s">
        <v>23</v>
      </c>
      <c r="C472" s="1" t="s">
        <v>13313</v>
      </c>
      <c r="D472" s="1" t="s">
        <v>23</v>
      </c>
      <c r="E472" s="250">
        <v>2315.6210000000001</v>
      </c>
    </row>
    <row r="473" spans="1:5" x14ac:dyDescent="0.35">
      <c r="A473" s="1" t="s">
        <v>16121</v>
      </c>
      <c r="B473" s="1" t="s">
        <v>23</v>
      </c>
      <c r="C473" s="1" t="s">
        <v>13312</v>
      </c>
      <c r="D473" s="1" t="s">
        <v>23</v>
      </c>
      <c r="E473" s="250">
        <v>2315.6219999999998</v>
      </c>
    </row>
    <row r="474" spans="1:5" x14ac:dyDescent="0.35">
      <c r="A474" s="1" t="s">
        <v>16122</v>
      </c>
      <c r="B474" s="1" t="s">
        <v>23</v>
      </c>
      <c r="C474" s="1" t="s">
        <v>13311</v>
      </c>
      <c r="D474" s="1" t="s">
        <v>23</v>
      </c>
      <c r="E474" s="250">
        <v>2315.623</v>
      </c>
    </row>
    <row r="475" spans="1:5" x14ac:dyDescent="0.35">
      <c r="A475" s="1" t="s">
        <v>16123</v>
      </c>
      <c r="B475" s="1" t="s">
        <v>23</v>
      </c>
      <c r="C475" s="1" t="s">
        <v>13310</v>
      </c>
      <c r="D475" s="1" t="s">
        <v>23</v>
      </c>
      <c r="E475" s="250">
        <v>2315.6239999999998</v>
      </c>
    </row>
    <row r="476" spans="1:5" x14ac:dyDescent="0.35">
      <c r="A476" s="1" t="s">
        <v>16124</v>
      </c>
      <c r="B476" s="1" t="s">
        <v>23</v>
      </c>
      <c r="C476" s="1" t="s">
        <v>13309</v>
      </c>
      <c r="D476" s="1" t="s">
        <v>23</v>
      </c>
      <c r="E476" s="250">
        <v>2315.625</v>
      </c>
    </row>
    <row r="477" spans="1:5" x14ac:dyDescent="0.35">
      <c r="A477" s="1" t="s">
        <v>16125</v>
      </c>
      <c r="B477" s="1" t="s">
        <v>23</v>
      </c>
      <c r="C477" s="1" t="s">
        <v>13308</v>
      </c>
      <c r="D477" s="1" t="s">
        <v>23</v>
      </c>
      <c r="E477" s="250">
        <v>2315.6260000000002</v>
      </c>
    </row>
    <row r="478" spans="1:5" x14ac:dyDescent="0.35">
      <c r="A478" s="1" t="s">
        <v>16126</v>
      </c>
      <c r="B478" s="1" t="s">
        <v>23</v>
      </c>
      <c r="C478" s="1" t="s">
        <v>13307</v>
      </c>
      <c r="D478" s="1" t="s">
        <v>23</v>
      </c>
      <c r="E478" s="250">
        <v>2315.627</v>
      </c>
    </row>
    <row r="479" spans="1:5" x14ac:dyDescent="0.35">
      <c r="A479" s="1" t="s">
        <v>16127</v>
      </c>
      <c r="B479" s="1" t="s">
        <v>23</v>
      </c>
      <c r="C479" s="1" t="s">
        <v>13306</v>
      </c>
      <c r="D479" s="1" t="s">
        <v>23</v>
      </c>
      <c r="E479" s="250">
        <v>2315.6280000000002</v>
      </c>
    </row>
    <row r="480" spans="1:5" x14ac:dyDescent="0.35">
      <c r="A480" s="1" t="s">
        <v>16128</v>
      </c>
      <c r="B480" s="1" t="s">
        <v>23</v>
      </c>
      <c r="C480" s="1" t="s">
        <v>13305</v>
      </c>
      <c r="D480" s="1" t="s">
        <v>23</v>
      </c>
      <c r="E480" s="250">
        <v>2315.6289999999999</v>
      </c>
    </row>
    <row r="481" spans="1:5" x14ac:dyDescent="0.35">
      <c r="A481" s="1" t="s">
        <v>16129</v>
      </c>
      <c r="B481" s="1" t="s">
        <v>23</v>
      </c>
      <c r="C481" s="1" t="s">
        <v>13304</v>
      </c>
      <c r="D481" s="1" t="s">
        <v>23</v>
      </c>
      <c r="E481" s="250">
        <v>2315.63</v>
      </c>
    </row>
    <row r="482" spans="1:5" x14ac:dyDescent="0.35">
      <c r="A482" s="1" t="s">
        <v>16130</v>
      </c>
      <c r="B482" s="1" t="s">
        <v>23</v>
      </c>
      <c r="C482" s="1" t="s">
        <v>13303</v>
      </c>
      <c r="D482" s="1" t="s">
        <v>23</v>
      </c>
      <c r="E482" s="250">
        <v>2315.6309999999999</v>
      </c>
    </row>
    <row r="483" spans="1:5" x14ac:dyDescent="0.35">
      <c r="A483" s="1" t="s">
        <v>16131</v>
      </c>
      <c r="B483" s="1" t="s">
        <v>23</v>
      </c>
      <c r="C483" s="1" t="s">
        <v>13302</v>
      </c>
      <c r="D483" s="1" t="s">
        <v>23</v>
      </c>
      <c r="E483" s="250">
        <v>2315.6320000000001</v>
      </c>
    </row>
    <row r="484" spans="1:5" x14ac:dyDescent="0.35">
      <c r="A484" s="1" t="s">
        <v>16132</v>
      </c>
      <c r="B484" s="1" t="s">
        <v>23</v>
      </c>
      <c r="C484" s="1" t="s">
        <v>13301</v>
      </c>
      <c r="D484" s="1" t="s">
        <v>23</v>
      </c>
      <c r="E484" s="250">
        <v>2315.6329999999998</v>
      </c>
    </row>
    <row r="485" spans="1:5" x14ac:dyDescent="0.35">
      <c r="A485" s="1" t="s">
        <v>16133</v>
      </c>
      <c r="B485" s="1" t="s">
        <v>23</v>
      </c>
      <c r="C485" s="1" t="s">
        <v>13300</v>
      </c>
      <c r="D485" s="1" t="s">
        <v>23</v>
      </c>
      <c r="E485" s="250">
        <v>2315.634</v>
      </c>
    </row>
    <row r="486" spans="1:5" x14ac:dyDescent="0.35">
      <c r="A486" s="1" t="s">
        <v>16134</v>
      </c>
      <c r="B486" s="1" t="s">
        <v>23</v>
      </c>
      <c r="C486" s="1" t="s">
        <v>13299</v>
      </c>
      <c r="D486" s="1" t="s">
        <v>23</v>
      </c>
      <c r="E486" s="250">
        <v>2315.6350000000002</v>
      </c>
    </row>
    <row r="487" spans="1:5" x14ac:dyDescent="0.35">
      <c r="A487" s="2" t="s">
        <v>16135</v>
      </c>
      <c r="B487" s="1" t="s">
        <v>20</v>
      </c>
      <c r="C487" s="1" t="s">
        <v>13298</v>
      </c>
      <c r="D487" s="1" t="s">
        <v>20</v>
      </c>
      <c r="E487" s="250">
        <v>2316.0010000000002</v>
      </c>
    </row>
    <row r="488" spans="1:5" x14ac:dyDescent="0.35">
      <c r="A488" s="1" t="s">
        <v>16136</v>
      </c>
      <c r="B488" s="1" t="s">
        <v>20</v>
      </c>
      <c r="C488" s="1" t="s">
        <v>13297</v>
      </c>
      <c r="D488" s="1" t="s">
        <v>20</v>
      </c>
      <c r="E488" s="250">
        <v>2316.002</v>
      </c>
    </row>
    <row r="489" spans="1:5" x14ac:dyDescent="0.35">
      <c r="A489" s="1" t="s">
        <v>16137</v>
      </c>
      <c r="B489" s="1" t="s">
        <v>23</v>
      </c>
      <c r="C489" s="1" t="s">
        <v>13296</v>
      </c>
      <c r="D489" s="1" t="s">
        <v>23</v>
      </c>
      <c r="E489" s="250">
        <v>2316.009</v>
      </c>
    </row>
    <row r="490" spans="1:5" x14ac:dyDescent="0.35">
      <c r="A490" s="1" t="s">
        <v>16138</v>
      </c>
      <c r="B490" s="1" t="s">
        <v>23</v>
      </c>
      <c r="C490" s="1" t="s">
        <v>11042</v>
      </c>
      <c r="D490" s="1" t="s">
        <v>23</v>
      </c>
      <c r="E490" s="250">
        <v>2316.0100000000002</v>
      </c>
    </row>
    <row r="491" spans="1:5" x14ac:dyDescent="0.35">
      <c r="A491" s="1" t="s">
        <v>16139</v>
      </c>
      <c r="B491" s="1" t="s">
        <v>23</v>
      </c>
      <c r="C491" s="1" t="s">
        <v>13295</v>
      </c>
      <c r="D491" s="1" t="s">
        <v>23</v>
      </c>
      <c r="E491" s="250">
        <v>2316.011</v>
      </c>
    </row>
    <row r="492" spans="1:5" x14ac:dyDescent="0.35">
      <c r="A492" s="1" t="s">
        <v>16140</v>
      </c>
      <c r="B492" s="1" t="s">
        <v>23</v>
      </c>
      <c r="C492" s="1" t="s">
        <v>13294</v>
      </c>
      <c r="D492" s="1" t="s">
        <v>23</v>
      </c>
      <c r="E492" s="250">
        <v>2316.0120000000002</v>
      </c>
    </row>
    <row r="493" spans="1:5" x14ac:dyDescent="0.35">
      <c r="A493" s="1" t="s">
        <v>16141</v>
      </c>
      <c r="B493" s="1" t="s">
        <v>23</v>
      </c>
      <c r="C493" s="1" t="s">
        <v>13293</v>
      </c>
      <c r="D493" s="1" t="s">
        <v>23</v>
      </c>
      <c r="E493" s="250">
        <v>2316.02</v>
      </c>
    </row>
    <row r="494" spans="1:5" x14ac:dyDescent="0.35">
      <c r="A494" s="1" t="s">
        <v>16142</v>
      </c>
      <c r="B494" s="1" t="s">
        <v>23</v>
      </c>
      <c r="C494" s="1" t="s">
        <v>13292</v>
      </c>
      <c r="D494" s="1" t="s">
        <v>23</v>
      </c>
      <c r="E494" s="250">
        <v>2316.0210000000002</v>
      </c>
    </row>
    <row r="495" spans="1:5" x14ac:dyDescent="0.35">
      <c r="A495" s="1" t="s">
        <v>16143</v>
      </c>
      <c r="B495" s="1" t="s">
        <v>23</v>
      </c>
      <c r="C495" s="1" t="s">
        <v>13291</v>
      </c>
      <c r="D495" s="1" t="s">
        <v>23</v>
      </c>
      <c r="E495" s="250">
        <v>2316.0219999999999</v>
      </c>
    </row>
    <row r="496" spans="1:5" x14ac:dyDescent="0.35">
      <c r="A496" s="1" t="s">
        <v>16144</v>
      </c>
      <c r="B496" s="1" t="s">
        <v>23</v>
      </c>
      <c r="C496" s="1" t="s">
        <v>13290</v>
      </c>
      <c r="D496" s="1" t="s">
        <v>23</v>
      </c>
      <c r="E496" s="250">
        <v>2316.0230000000001</v>
      </c>
    </row>
    <row r="497" spans="1:5" x14ac:dyDescent="0.35">
      <c r="A497" s="1" t="s">
        <v>16145</v>
      </c>
      <c r="B497" s="1" t="s">
        <v>23</v>
      </c>
      <c r="C497" s="1" t="s">
        <v>13289</v>
      </c>
      <c r="D497" s="1" t="s">
        <v>23</v>
      </c>
      <c r="E497" s="250">
        <v>2316.0239999999999</v>
      </c>
    </row>
    <row r="498" spans="1:5" x14ac:dyDescent="0.35">
      <c r="A498" s="1" t="s">
        <v>16146</v>
      </c>
      <c r="B498" s="1" t="s">
        <v>23</v>
      </c>
      <c r="C498" s="1" t="s">
        <v>13288</v>
      </c>
      <c r="D498" s="1" t="s">
        <v>23</v>
      </c>
      <c r="E498" s="250">
        <v>2316.0250000000001</v>
      </c>
    </row>
    <row r="499" spans="1:5" x14ac:dyDescent="0.35">
      <c r="A499" s="1" t="s">
        <v>16147</v>
      </c>
      <c r="B499" s="1" t="s">
        <v>23</v>
      </c>
      <c r="C499" s="1" t="s">
        <v>13287</v>
      </c>
      <c r="D499" s="1" t="s">
        <v>23</v>
      </c>
      <c r="E499" s="250">
        <v>2316.1</v>
      </c>
    </row>
    <row r="500" spans="1:5" x14ac:dyDescent="0.35">
      <c r="A500" s="1" t="s">
        <v>16148</v>
      </c>
      <c r="B500" s="1" t="s">
        <v>23</v>
      </c>
      <c r="C500" s="1" t="s">
        <v>13286</v>
      </c>
      <c r="D500" s="1" t="s">
        <v>23</v>
      </c>
      <c r="E500" s="250">
        <v>2316.1010000000001</v>
      </c>
    </row>
    <row r="501" spans="1:5" x14ac:dyDescent="0.35">
      <c r="A501" s="1" t="s">
        <v>16149</v>
      </c>
      <c r="B501" s="1" t="s">
        <v>20</v>
      </c>
      <c r="C501" s="1" t="s">
        <v>13285</v>
      </c>
      <c r="D501" s="1" t="s">
        <v>20</v>
      </c>
      <c r="E501" s="250">
        <v>2316.1019999999999</v>
      </c>
    </row>
    <row r="502" spans="1:5" x14ac:dyDescent="0.35">
      <c r="A502" s="1" t="s">
        <v>16150</v>
      </c>
      <c r="B502" s="1" t="s">
        <v>23</v>
      </c>
      <c r="C502" s="1" t="s">
        <v>13284</v>
      </c>
      <c r="D502" s="1" t="s">
        <v>23</v>
      </c>
      <c r="E502" s="250">
        <v>2316.1030000000001</v>
      </c>
    </row>
    <row r="503" spans="1:5" x14ac:dyDescent="0.35">
      <c r="A503" s="1" t="s">
        <v>16151</v>
      </c>
      <c r="B503" s="1" t="s">
        <v>23</v>
      </c>
      <c r="C503" s="1" t="s">
        <v>13283</v>
      </c>
      <c r="D503" s="1" t="s">
        <v>23</v>
      </c>
      <c r="E503" s="250">
        <v>2316.1039999999998</v>
      </c>
    </row>
    <row r="504" spans="1:5" x14ac:dyDescent="0.35">
      <c r="A504" s="1" t="s">
        <v>16152</v>
      </c>
      <c r="B504" s="1" t="s">
        <v>23</v>
      </c>
      <c r="C504" s="1" t="s">
        <v>13282</v>
      </c>
      <c r="D504" s="1" t="s">
        <v>23</v>
      </c>
      <c r="E504" s="250">
        <v>2316.105</v>
      </c>
    </row>
    <row r="505" spans="1:5" x14ac:dyDescent="0.35">
      <c r="A505" s="1" t="s">
        <v>16153</v>
      </c>
      <c r="B505" s="1" t="s">
        <v>20</v>
      </c>
      <c r="C505" s="1" t="s">
        <v>13281</v>
      </c>
      <c r="D505" s="1" t="s">
        <v>20</v>
      </c>
      <c r="E505" s="250">
        <v>2316.1060000000002</v>
      </c>
    </row>
    <row r="506" spans="1:5" x14ac:dyDescent="0.35">
      <c r="A506" s="1" t="s">
        <v>16154</v>
      </c>
      <c r="B506" s="1" t="s">
        <v>23</v>
      </c>
      <c r="C506" s="1" t="s">
        <v>13280</v>
      </c>
      <c r="D506" s="1" t="s">
        <v>23</v>
      </c>
      <c r="E506" s="250">
        <v>2316.107</v>
      </c>
    </row>
    <row r="507" spans="1:5" x14ac:dyDescent="0.35">
      <c r="A507" s="1" t="s">
        <v>16155</v>
      </c>
      <c r="B507" s="1" t="s">
        <v>23</v>
      </c>
      <c r="C507" s="1" t="s">
        <v>13279</v>
      </c>
      <c r="D507" s="1" t="s">
        <v>23</v>
      </c>
      <c r="E507" s="250">
        <v>2316.1080000000002</v>
      </c>
    </row>
    <row r="508" spans="1:5" x14ac:dyDescent="0.35">
      <c r="A508" s="1" t="s">
        <v>16156</v>
      </c>
      <c r="B508" s="1" t="s">
        <v>20</v>
      </c>
      <c r="C508" s="1" t="s">
        <v>13278</v>
      </c>
      <c r="D508" s="1" t="s">
        <v>20</v>
      </c>
      <c r="E508" s="250">
        <v>2316.1089999999999</v>
      </c>
    </row>
    <row r="509" spans="1:5" x14ac:dyDescent="0.35">
      <c r="A509" s="1" t="s">
        <v>16157</v>
      </c>
      <c r="B509" s="1" t="s">
        <v>23</v>
      </c>
      <c r="C509" s="1" t="s">
        <v>13277</v>
      </c>
      <c r="D509" s="1" t="s">
        <v>23</v>
      </c>
      <c r="E509" s="250">
        <v>2316.11</v>
      </c>
    </row>
    <row r="510" spans="1:5" x14ac:dyDescent="0.35">
      <c r="A510" s="1" t="s">
        <v>16158</v>
      </c>
      <c r="B510" s="1" t="s">
        <v>23</v>
      </c>
      <c r="C510" s="1" t="s">
        <v>13276</v>
      </c>
      <c r="D510" s="1" t="s">
        <v>23</v>
      </c>
      <c r="E510" s="250">
        <v>2316.1109999999999</v>
      </c>
    </row>
    <row r="511" spans="1:5" x14ac:dyDescent="0.35">
      <c r="A511" s="1" t="s">
        <v>16159</v>
      </c>
      <c r="B511" s="1" t="s">
        <v>20</v>
      </c>
      <c r="C511" s="1" t="s">
        <v>13275</v>
      </c>
      <c r="D511" s="1" t="s">
        <v>20</v>
      </c>
      <c r="E511" s="250">
        <v>2316.1120000000001</v>
      </c>
    </row>
    <row r="512" spans="1:5" x14ac:dyDescent="0.35">
      <c r="A512" s="1" t="s">
        <v>16160</v>
      </c>
      <c r="B512" s="1" t="s">
        <v>23</v>
      </c>
      <c r="C512" s="1" t="s">
        <v>13274</v>
      </c>
      <c r="D512" s="1" t="s">
        <v>23</v>
      </c>
      <c r="E512" s="250">
        <v>2316.1129999999998</v>
      </c>
    </row>
    <row r="513" spans="1:5" x14ac:dyDescent="0.35">
      <c r="A513" s="1" t="s">
        <v>16161</v>
      </c>
      <c r="B513" s="1" t="s">
        <v>23</v>
      </c>
      <c r="C513" s="1" t="s">
        <v>13273</v>
      </c>
      <c r="D513" s="1" t="s">
        <v>23</v>
      </c>
      <c r="E513" s="250">
        <v>2316.12</v>
      </c>
    </row>
    <row r="514" spans="1:5" x14ac:dyDescent="0.35">
      <c r="A514" s="1" t="s">
        <v>16162</v>
      </c>
      <c r="B514" s="1" t="s">
        <v>23</v>
      </c>
      <c r="C514" s="1" t="s">
        <v>13272</v>
      </c>
      <c r="D514" s="1" t="s">
        <v>23</v>
      </c>
      <c r="E514" s="250">
        <v>2316.1210000000001</v>
      </c>
    </row>
    <row r="515" spans="1:5" x14ac:dyDescent="0.35">
      <c r="A515" s="1" t="s">
        <v>16163</v>
      </c>
      <c r="B515" s="1" t="s">
        <v>20</v>
      </c>
      <c r="C515" s="1" t="s">
        <v>13271</v>
      </c>
      <c r="D515" s="1" t="s">
        <v>20</v>
      </c>
      <c r="E515" s="250">
        <v>2316.1219999999998</v>
      </c>
    </row>
    <row r="516" spans="1:5" x14ac:dyDescent="0.35">
      <c r="A516" s="1" t="s">
        <v>16164</v>
      </c>
      <c r="B516" s="1" t="s">
        <v>23</v>
      </c>
      <c r="C516" s="1" t="s">
        <v>13270</v>
      </c>
      <c r="D516" s="1" t="s">
        <v>23</v>
      </c>
      <c r="E516" s="250">
        <v>2316.123</v>
      </c>
    </row>
    <row r="517" spans="1:5" x14ac:dyDescent="0.35">
      <c r="A517" s="1" t="s">
        <v>16165</v>
      </c>
      <c r="B517" s="1" t="s">
        <v>23</v>
      </c>
      <c r="C517" s="1" t="s">
        <v>13269</v>
      </c>
      <c r="D517" s="1" t="s">
        <v>23</v>
      </c>
      <c r="E517" s="250">
        <v>2316.1239999999998</v>
      </c>
    </row>
    <row r="518" spans="1:5" x14ac:dyDescent="0.35">
      <c r="A518" s="1" t="s">
        <v>16166</v>
      </c>
      <c r="B518" s="1" t="s">
        <v>23</v>
      </c>
      <c r="C518" s="1" t="s">
        <v>13268</v>
      </c>
      <c r="D518" s="1" t="s">
        <v>23</v>
      </c>
      <c r="E518" s="250">
        <v>2316.125</v>
      </c>
    </row>
    <row r="519" spans="1:5" x14ac:dyDescent="0.35">
      <c r="A519" s="1" t="s">
        <v>16167</v>
      </c>
      <c r="B519" s="1" t="s">
        <v>20</v>
      </c>
      <c r="C519" s="1" t="s">
        <v>13192</v>
      </c>
      <c r="D519" s="1" t="s">
        <v>20</v>
      </c>
      <c r="E519" s="250">
        <v>2316.1260000000002</v>
      </c>
    </row>
    <row r="520" spans="1:5" x14ac:dyDescent="0.35">
      <c r="A520" s="1" t="s">
        <v>16168</v>
      </c>
      <c r="B520" s="1" t="s">
        <v>23</v>
      </c>
      <c r="C520" s="1" t="s">
        <v>13267</v>
      </c>
      <c r="D520" s="1" t="s">
        <v>23</v>
      </c>
      <c r="E520" s="250">
        <v>2316.127</v>
      </c>
    </row>
    <row r="521" spans="1:5" x14ac:dyDescent="0.35">
      <c r="A521" s="1" t="s">
        <v>16169</v>
      </c>
      <c r="B521" s="1" t="s">
        <v>23</v>
      </c>
      <c r="C521" s="1" t="s">
        <v>13266</v>
      </c>
      <c r="D521" s="1" t="s">
        <v>23</v>
      </c>
      <c r="E521" s="250">
        <v>2316.1289999999999</v>
      </c>
    </row>
    <row r="522" spans="1:5" x14ac:dyDescent="0.35">
      <c r="A522" s="1" t="s">
        <v>16170</v>
      </c>
      <c r="B522" s="1" t="s">
        <v>23</v>
      </c>
      <c r="C522" s="1" t="s">
        <v>13265</v>
      </c>
      <c r="D522" s="1" t="s">
        <v>23</v>
      </c>
      <c r="E522" s="250">
        <v>2316.13</v>
      </c>
    </row>
    <row r="523" spans="1:5" x14ac:dyDescent="0.35">
      <c r="A523" s="1" t="s">
        <v>16171</v>
      </c>
      <c r="B523" s="1" t="s">
        <v>23</v>
      </c>
      <c r="C523" s="1" t="s">
        <v>13264</v>
      </c>
      <c r="D523" s="1" t="s">
        <v>23</v>
      </c>
      <c r="E523" s="250">
        <v>2316.1309999999999</v>
      </c>
    </row>
    <row r="524" spans="1:5" x14ac:dyDescent="0.35">
      <c r="A524" s="1" t="s">
        <v>16172</v>
      </c>
      <c r="B524" s="1" t="s">
        <v>23</v>
      </c>
      <c r="C524" s="1" t="s">
        <v>13263</v>
      </c>
      <c r="D524" s="1" t="s">
        <v>23</v>
      </c>
      <c r="E524" s="250">
        <v>2316.1320000000001</v>
      </c>
    </row>
    <row r="525" spans="1:5" x14ac:dyDescent="0.35">
      <c r="A525" s="1" t="s">
        <v>16173</v>
      </c>
      <c r="B525" s="1" t="s">
        <v>23</v>
      </c>
      <c r="C525" s="1" t="s">
        <v>13262</v>
      </c>
      <c r="D525" s="1" t="s">
        <v>23</v>
      </c>
      <c r="E525" s="250">
        <v>2316.1329999999998</v>
      </c>
    </row>
    <row r="526" spans="1:5" x14ac:dyDescent="0.35">
      <c r="A526" s="1" t="s">
        <v>16174</v>
      </c>
      <c r="B526" s="1" t="s">
        <v>23</v>
      </c>
      <c r="C526" s="1" t="s">
        <v>13261</v>
      </c>
      <c r="D526" s="1" t="s">
        <v>23</v>
      </c>
      <c r="E526" s="250">
        <v>2316.134</v>
      </c>
    </row>
    <row r="527" spans="1:5" x14ac:dyDescent="0.35">
      <c r="A527" s="1" t="s">
        <v>16175</v>
      </c>
      <c r="B527" s="1" t="s">
        <v>23</v>
      </c>
      <c r="C527" s="1" t="s">
        <v>13260</v>
      </c>
      <c r="D527" s="1" t="s">
        <v>23</v>
      </c>
      <c r="E527" s="250">
        <v>2316.1350000000002</v>
      </c>
    </row>
    <row r="528" spans="1:5" x14ac:dyDescent="0.35">
      <c r="A528" s="1" t="s">
        <v>16176</v>
      </c>
      <c r="B528" s="1" t="s">
        <v>23</v>
      </c>
      <c r="C528" s="1" t="s">
        <v>13259</v>
      </c>
      <c r="D528" s="1" t="s">
        <v>23</v>
      </c>
      <c r="E528" s="250">
        <v>2316.136</v>
      </c>
    </row>
    <row r="529" spans="1:5" x14ac:dyDescent="0.35">
      <c r="A529" s="1" t="s">
        <v>16177</v>
      </c>
      <c r="B529" s="1" t="s">
        <v>23</v>
      </c>
      <c r="C529" s="1" t="s">
        <v>13258</v>
      </c>
      <c r="D529" s="1" t="s">
        <v>23</v>
      </c>
      <c r="E529" s="250">
        <v>2316.1370000000002</v>
      </c>
    </row>
    <row r="530" spans="1:5" x14ac:dyDescent="0.35">
      <c r="A530" s="1" t="s">
        <v>16178</v>
      </c>
      <c r="B530" s="1" t="s">
        <v>23</v>
      </c>
      <c r="C530" s="1" t="s">
        <v>13257</v>
      </c>
      <c r="D530" s="1" t="s">
        <v>23</v>
      </c>
      <c r="E530" s="250">
        <v>2316.1379999999999</v>
      </c>
    </row>
    <row r="531" spans="1:5" x14ac:dyDescent="0.35">
      <c r="A531" s="1" t="s">
        <v>16179</v>
      </c>
      <c r="B531" s="1" t="s">
        <v>23</v>
      </c>
      <c r="C531" s="1" t="s">
        <v>13256</v>
      </c>
      <c r="D531" s="1" t="s">
        <v>23</v>
      </c>
      <c r="E531" s="250">
        <v>2316.1390000000001</v>
      </c>
    </row>
    <row r="532" spans="1:5" x14ac:dyDescent="0.35">
      <c r="A532" s="1" t="s">
        <v>16180</v>
      </c>
      <c r="B532" s="1" t="s">
        <v>23</v>
      </c>
      <c r="C532" s="1" t="s">
        <v>13255</v>
      </c>
      <c r="D532" s="1" t="s">
        <v>23</v>
      </c>
      <c r="E532" s="250">
        <v>2316.14</v>
      </c>
    </row>
    <row r="533" spans="1:5" x14ac:dyDescent="0.35">
      <c r="A533" s="1" t="s">
        <v>16181</v>
      </c>
      <c r="B533" s="1" t="s">
        <v>23</v>
      </c>
      <c r="C533" s="1" t="s">
        <v>13254</v>
      </c>
      <c r="D533" s="1" t="s">
        <v>23</v>
      </c>
      <c r="E533" s="250">
        <v>2316.1410000000001</v>
      </c>
    </row>
    <row r="534" spans="1:5" x14ac:dyDescent="0.35">
      <c r="A534" s="1" t="s">
        <v>16182</v>
      </c>
      <c r="B534" s="1" t="s">
        <v>23</v>
      </c>
      <c r="C534" s="1" t="s">
        <v>13253</v>
      </c>
      <c r="D534" s="1" t="s">
        <v>23</v>
      </c>
      <c r="E534" s="250">
        <v>2316.1419999999998</v>
      </c>
    </row>
    <row r="535" spans="1:5" x14ac:dyDescent="0.35">
      <c r="A535" s="1" t="s">
        <v>16183</v>
      </c>
      <c r="B535" s="1" t="s">
        <v>23</v>
      </c>
      <c r="C535" s="1" t="s">
        <v>13252</v>
      </c>
      <c r="D535" s="1" t="s">
        <v>23</v>
      </c>
      <c r="E535" s="250">
        <v>2316.143</v>
      </c>
    </row>
    <row r="536" spans="1:5" x14ac:dyDescent="0.35">
      <c r="A536" s="1" t="s">
        <v>16184</v>
      </c>
      <c r="B536" s="1" t="s">
        <v>23</v>
      </c>
      <c r="C536" s="1" t="s">
        <v>13251</v>
      </c>
      <c r="D536" s="1" t="s">
        <v>23</v>
      </c>
      <c r="E536" s="250">
        <v>2316.1439999999998</v>
      </c>
    </row>
    <row r="537" spans="1:5" x14ac:dyDescent="0.35">
      <c r="A537" s="1" t="s">
        <v>16185</v>
      </c>
      <c r="B537" s="1" t="s">
        <v>23</v>
      </c>
      <c r="C537" s="1" t="s">
        <v>13250</v>
      </c>
      <c r="D537" s="1" t="s">
        <v>23</v>
      </c>
      <c r="E537" s="250">
        <v>2316.145</v>
      </c>
    </row>
    <row r="538" spans="1:5" x14ac:dyDescent="0.35">
      <c r="A538" s="1" t="s">
        <v>16186</v>
      </c>
      <c r="B538" s="1" t="s">
        <v>23</v>
      </c>
      <c r="C538" s="1" t="s">
        <v>13249</v>
      </c>
      <c r="D538" s="1" t="s">
        <v>23</v>
      </c>
      <c r="E538" s="250">
        <v>2316.1460000000002</v>
      </c>
    </row>
    <row r="539" spans="1:5" x14ac:dyDescent="0.35">
      <c r="A539" s="1" t="s">
        <v>16187</v>
      </c>
      <c r="B539" s="1" t="s">
        <v>23</v>
      </c>
      <c r="C539" s="1" t="s">
        <v>13248</v>
      </c>
      <c r="D539" s="1" t="s">
        <v>23</v>
      </c>
      <c r="E539" s="250">
        <v>2316.1469999999999</v>
      </c>
    </row>
    <row r="540" spans="1:5" x14ac:dyDescent="0.35">
      <c r="A540" s="1" t="s">
        <v>16188</v>
      </c>
      <c r="B540" s="1" t="s">
        <v>23</v>
      </c>
      <c r="C540" s="1" t="s">
        <v>13247</v>
      </c>
      <c r="D540" s="1" t="s">
        <v>23</v>
      </c>
      <c r="E540" s="250">
        <v>2316.1480000000001</v>
      </c>
    </row>
    <row r="541" spans="1:5" x14ac:dyDescent="0.35">
      <c r="A541" s="1" t="s">
        <v>16189</v>
      </c>
      <c r="B541" s="1" t="s">
        <v>23</v>
      </c>
      <c r="C541" s="1" t="s">
        <v>13246</v>
      </c>
      <c r="D541" s="1" t="s">
        <v>23</v>
      </c>
      <c r="E541" s="250">
        <v>2316.1489999999999</v>
      </c>
    </row>
    <row r="542" spans="1:5" x14ac:dyDescent="0.35">
      <c r="A542" s="1" t="s">
        <v>16190</v>
      </c>
      <c r="B542" s="1" t="s">
        <v>23</v>
      </c>
      <c r="C542" s="1" t="s">
        <v>13245</v>
      </c>
      <c r="D542" s="1" t="s">
        <v>23</v>
      </c>
      <c r="E542" s="250">
        <v>2316.15</v>
      </c>
    </row>
    <row r="543" spans="1:5" x14ac:dyDescent="0.35">
      <c r="A543" s="1" t="s">
        <v>16191</v>
      </c>
      <c r="B543" s="1" t="s">
        <v>23</v>
      </c>
      <c r="C543" s="1" t="s">
        <v>13244</v>
      </c>
      <c r="D543" s="1" t="s">
        <v>23</v>
      </c>
      <c r="E543" s="250">
        <v>2316.1509999999998</v>
      </c>
    </row>
    <row r="544" spans="1:5" x14ac:dyDescent="0.35">
      <c r="A544" s="1" t="s">
        <v>16192</v>
      </c>
      <c r="B544" s="1" t="s">
        <v>23</v>
      </c>
      <c r="C544" s="1" t="s">
        <v>13243</v>
      </c>
      <c r="D544" s="1" t="s">
        <v>23</v>
      </c>
      <c r="E544" s="250">
        <v>2316.152</v>
      </c>
    </row>
    <row r="545" spans="1:5" x14ac:dyDescent="0.35">
      <c r="A545" s="1" t="s">
        <v>16193</v>
      </c>
      <c r="B545" s="1" t="s">
        <v>23</v>
      </c>
      <c r="C545" s="1" t="s">
        <v>13242</v>
      </c>
      <c r="D545" s="1" t="s">
        <v>23</v>
      </c>
      <c r="E545" s="250">
        <v>2316.1529999999998</v>
      </c>
    </row>
    <row r="546" spans="1:5" x14ac:dyDescent="0.35">
      <c r="A546" s="1" t="s">
        <v>16194</v>
      </c>
      <c r="B546" s="1" t="s">
        <v>23</v>
      </c>
      <c r="C546" s="1" t="s">
        <v>13241</v>
      </c>
      <c r="D546" s="1" t="s">
        <v>23</v>
      </c>
      <c r="E546" s="250">
        <v>2316.154</v>
      </c>
    </row>
    <row r="547" spans="1:5" x14ac:dyDescent="0.35">
      <c r="A547" s="1" t="s">
        <v>16195</v>
      </c>
      <c r="B547" s="1" t="s">
        <v>23</v>
      </c>
      <c r="C547" s="1" t="s">
        <v>13240</v>
      </c>
      <c r="D547" s="1" t="s">
        <v>23</v>
      </c>
      <c r="E547" s="250">
        <v>2316.1550000000002</v>
      </c>
    </row>
    <row r="548" spans="1:5" x14ac:dyDescent="0.35">
      <c r="A548" s="1" t="s">
        <v>16196</v>
      </c>
      <c r="B548" s="1" t="s">
        <v>23</v>
      </c>
      <c r="C548" s="1" t="s">
        <v>13239</v>
      </c>
      <c r="D548" s="1" t="s">
        <v>23</v>
      </c>
      <c r="E548" s="250">
        <v>2316.1559999999999</v>
      </c>
    </row>
    <row r="549" spans="1:5" x14ac:dyDescent="0.35">
      <c r="A549" s="1" t="s">
        <v>16197</v>
      </c>
      <c r="B549" s="1" t="s">
        <v>23</v>
      </c>
      <c r="C549" s="1" t="s">
        <v>13238</v>
      </c>
      <c r="D549" s="1" t="s">
        <v>23</v>
      </c>
      <c r="E549" s="250">
        <v>2316.1570000000002</v>
      </c>
    </row>
    <row r="550" spans="1:5" x14ac:dyDescent="0.35">
      <c r="A550" s="1" t="s">
        <v>16198</v>
      </c>
      <c r="B550" s="1" t="s">
        <v>23</v>
      </c>
      <c r="C550" s="1" t="s">
        <v>13237</v>
      </c>
      <c r="D550" s="1" t="s">
        <v>23</v>
      </c>
      <c r="E550" s="250">
        <v>2316.1579999999999</v>
      </c>
    </row>
    <row r="551" spans="1:5" x14ac:dyDescent="0.35">
      <c r="A551" s="1" t="s">
        <v>16199</v>
      </c>
      <c r="B551" s="1" t="s">
        <v>23</v>
      </c>
      <c r="C551" s="1" t="s">
        <v>13236</v>
      </c>
      <c r="D551" s="1" t="s">
        <v>23</v>
      </c>
      <c r="E551" s="250">
        <v>2316.1590000000001</v>
      </c>
    </row>
    <row r="552" spans="1:5" x14ac:dyDescent="0.35">
      <c r="A552" s="1" t="s">
        <v>16200</v>
      </c>
      <c r="B552" s="1" t="s">
        <v>23</v>
      </c>
      <c r="C552" s="1" t="s">
        <v>13235</v>
      </c>
      <c r="D552" s="1" t="s">
        <v>23</v>
      </c>
      <c r="E552" s="250">
        <v>2316.16</v>
      </c>
    </row>
    <row r="553" spans="1:5" x14ac:dyDescent="0.35">
      <c r="A553" s="1" t="s">
        <v>16201</v>
      </c>
      <c r="B553" s="1" t="s">
        <v>23</v>
      </c>
      <c r="C553" s="1" t="s">
        <v>13234</v>
      </c>
      <c r="D553" s="1" t="s">
        <v>23</v>
      </c>
      <c r="E553" s="250">
        <v>2316.1610000000001</v>
      </c>
    </row>
    <row r="554" spans="1:5" x14ac:dyDescent="0.35">
      <c r="A554" s="1" t="s">
        <v>16202</v>
      </c>
      <c r="B554" s="1" t="s">
        <v>23</v>
      </c>
      <c r="C554" s="1" t="s">
        <v>13233</v>
      </c>
      <c r="D554" s="1" t="s">
        <v>23</v>
      </c>
      <c r="E554" s="250">
        <v>2316.1619999999998</v>
      </c>
    </row>
    <row r="555" spans="1:5" x14ac:dyDescent="0.35">
      <c r="A555" s="1" t="s">
        <v>16203</v>
      </c>
      <c r="B555" s="1" t="s">
        <v>23</v>
      </c>
      <c r="C555" s="1" t="s">
        <v>13232</v>
      </c>
      <c r="D555" s="1" t="s">
        <v>23</v>
      </c>
      <c r="E555" s="250">
        <v>2316.163</v>
      </c>
    </row>
    <row r="556" spans="1:5" x14ac:dyDescent="0.35">
      <c r="A556" s="1" t="s">
        <v>16204</v>
      </c>
      <c r="B556" s="1" t="s">
        <v>23</v>
      </c>
      <c r="C556" s="1" t="s">
        <v>13231</v>
      </c>
      <c r="D556" s="1" t="s">
        <v>23</v>
      </c>
      <c r="E556" s="250">
        <v>2316.1640000000002</v>
      </c>
    </row>
    <row r="557" spans="1:5" x14ac:dyDescent="0.35">
      <c r="A557" s="1" t="s">
        <v>16205</v>
      </c>
      <c r="B557" s="1" t="s">
        <v>23</v>
      </c>
      <c r="C557" s="1" t="s">
        <v>13230</v>
      </c>
      <c r="D557" s="1" t="s">
        <v>23</v>
      </c>
      <c r="E557" s="250">
        <v>2316.165</v>
      </c>
    </row>
    <row r="558" spans="1:5" x14ac:dyDescent="0.35">
      <c r="A558" s="1" t="s">
        <v>16206</v>
      </c>
      <c r="B558" s="1" t="s">
        <v>23</v>
      </c>
      <c r="C558" s="1" t="s">
        <v>13229</v>
      </c>
      <c r="D558" s="1" t="s">
        <v>23</v>
      </c>
      <c r="E558" s="250">
        <v>2316.1660000000002</v>
      </c>
    </row>
    <row r="559" spans="1:5" x14ac:dyDescent="0.35">
      <c r="A559" s="1" t="s">
        <v>16207</v>
      </c>
      <c r="B559" s="1" t="s">
        <v>23</v>
      </c>
      <c r="C559" s="1" t="s">
        <v>13228</v>
      </c>
      <c r="D559" s="1" t="s">
        <v>23</v>
      </c>
      <c r="E559" s="250">
        <v>2316.1669999999999</v>
      </c>
    </row>
    <row r="560" spans="1:5" x14ac:dyDescent="0.35">
      <c r="A560" s="1" t="s">
        <v>16208</v>
      </c>
      <c r="B560" s="1" t="s">
        <v>23</v>
      </c>
      <c r="C560" s="1" t="s">
        <v>13227</v>
      </c>
      <c r="D560" s="1" t="s">
        <v>23</v>
      </c>
      <c r="E560" s="250">
        <v>2316.1680000000001</v>
      </c>
    </row>
    <row r="561" spans="1:5" x14ac:dyDescent="0.35">
      <c r="A561" s="1" t="s">
        <v>16209</v>
      </c>
      <c r="B561" s="1" t="s">
        <v>23</v>
      </c>
      <c r="C561" s="1" t="s">
        <v>13226</v>
      </c>
      <c r="D561" s="1" t="s">
        <v>23</v>
      </c>
      <c r="E561" s="250">
        <v>2316.1689999999999</v>
      </c>
    </row>
    <row r="562" spans="1:5" x14ac:dyDescent="0.35">
      <c r="A562" s="1" t="s">
        <v>16210</v>
      </c>
      <c r="B562" s="1" t="s">
        <v>23</v>
      </c>
      <c r="C562" s="1" t="s">
        <v>13225</v>
      </c>
      <c r="D562" s="1" t="s">
        <v>23</v>
      </c>
      <c r="E562" s="250">
        <v>2316.17</v>
      </c>
    </row>
    <row r="563" spans="1:5" x14ac:dyDescent="0.35">
      <c r="A563" s="1" t="s">
        <v>16211</v>
      </c>
      <c r="B563" s="1" t="s">
        <v>23</v>
      </c>
      <c r="C563" s="1" t="s">
        <v>13224</v>
      </c>
      <c r="D563" s="1" t="s">
        <v>23</v>
      </c>
      <c r="E563" s="250">
        <v>2316.1999999999998</v>
      </c>
    </row>
    <row r="564" spans="1:5" x14ac:dyDescent="0.35">
      <c r="A564" s="1" t="s">
        <v>16212</v>
      </c>
      <c r="B564" s="1" t="s">
        <v>23</v>
      </c>
      <c r="C564" s="1" t="s">
        <v>13223</v>
      </c>
      <c r="D564" s="1" t="s">
        <v>23</v>
      </c>
      <c r="E564" s="250">
        <v>2316.201</v>
      </c>
    </row>
    <row r="565" spans="1:5" x14ac:dyDescent="0.35">
      <c r="A565" s="1" t="s">
        <v>16213</v>
      </c>
      <c r="B565" s="1" t="s">
        <v>23</v>
      </c>
      <c r="C565" s="1" t="s">
        <v>13222</v>
      </c>
      <c r="D565" s="1" t="s">
        <v>23</v>
      </c>
      <c r="E565" s="250">
        <v>2316.2020000000002</v>
      </c>
    </row>
    <row r="566" spans="1:5" x14ac:dyDescent="0.35">
      <c r="A566" s="1" t="s">
        <v>16214</v>
      </c>
      <c r="B566" s="1" t="s">
        <v>23</v>
      </c>
      <c r="C566" s="1" t="s">
        <v>13221</v>
      </c>
      <c r="D566" s="1" t="s">
        <v>23</v>
      </c>
      <c r="E566" s="250">
        <v>2316.203</v>
      </c>
    </row>
    <row r="567" spans="1:5" x14ac:dyDescent="0.35">
      <c r="A567" s="1" t="s">
        <v>16215</v>
      </c>
      <c r="B567" s="1" t="s">
        <v>23</v>
      </c>
      <c r="C567" s="1" t="s">
        <v>13220</v>
      </c>
      <c r="D567" s="1" t="s">
        <v>23</v>
      </c>
      <c r="E567" s="250">
        <v>2316.2040000000002</v>
      </c>
    </row>
    <row r="568" spans="1:5" x14ac:dyDescent="0.35">
      <c r="A568" s="1" t="s">
        <v>16216</v>
      </c>
      <c r="B568" s="1" t="s">
        <v>23</v>
      </c>
      <c r="C568" s="1" t="s">
        <v>13219</v>
      </c>
      <c r="D568" s="1" t="s">
        <v>23</v>
      </c>
      <c r="E568" s="250">
        <v>2316.2049999999999</v>
      </c>
    </row>
    <row r="569" spans="1:5" x14ac:dyDescent="0.35">
      <c r="A569" s="1" t="s">
        <v>16217</v>
      </c>
      <c r="B569" s="1" t="s">
        <v>23</v>
      </c>
      <c r="C569" s="1" t="s">
        <v>13218</v>
      </c>
      <c r="D569" s="1" t="s">
        <v>23</v>
      </c>
      <c r="E569" s="250">
        <v>2316.2060000000001</v>
      </c>
    </row>
    <row r="570" spans="1:5" x14ac:dyDescent="0.35">
      <c r="A570" s="1" t="s">
        <v>16218</v>
      </c>
      <c r="B570" s="1" t="s">
        <v>23</v>
      </c>
      <c r="C570" s="1" t="s">
        <v>13217</v>
      </c>
      <c r="D570" s="1" t="s">
        <v>23</v>
      </c>
      <c r="E570" s="250">
        <v>2316.2069999999999</v>
      </c>
    </row>
    <row r="571" spans="1:5" x14ac:dyDescent="0.35">
      <c r="A571" s="1" t="s">
        <v>16219</v>
      </c>
      <c r="B571" s="1" t="s">
        <v>23</v>
      </c>
      <c r="C571" s="1" t="s">
        <v>13216</v>
      </c>
      <c r="D571" s="1" t="s">
        <v>23</v>
      </c>
      <c r="E571" s="250">
        <v>2316.2080000000001</v>
      </c>
    </row>
    <row r="572" spans="1:5" x14ac:dyDescent="0.35">
      <c r="A572" s="1" t="s">
        <v>16220</v>
      </c>
      <c r="B572" s="1" t="s">
        <v>23</v>
      </c>
      <c r="C572" s="1" t="s">
        <v>13215</v>
      </c>
      <c r="D572" s="1" t="s">
        <v>23</v>
      </c>
      <c r="E572" s="250">
        <v>2316.2089999999998</v>
      </c>
    </row>
    <row r="573" spans="1:5" x14ac:dyDescent="0.35">
      <c r="A573" s="1" t="s">
        <v>16221</v>
      </c>
      <c r="B573" s="1" t="s">
        <v>23</v>
      </c>
      <c r="C573" s="1" t="s">
        <v>13214</v>
      </c>
      <c r="D573" s="1" t="s">
        <v>23</v>
      </c>
      <c r="E573" s="250">
        <v>2316.21</v>
      </c>
    </row>
    <row r="574" spans="1:5" x14ac:dyDescent="0.35">
      <c r="A574" s="1" t="s">
        <v>16222</v>
      </c>
      <c r="B574" s="1" t="s">
        <v>23</v>
      </c>
      <c r="C574" s="1" t="s">
        <v>13213</v>
      </c>
      <c r="D574" s="1" t="s">
        <v>23</v>
      </c>
      <c r="E574" s="250">
        <v>2316.212</v>
      </c>
    </row>
    <row r="575" spans="1:5" x14ac:dyDescent="0.35">
      <c r="A575" s="1" t="s">
        <v>16223</v>
      </c>
      <c r="B575" s="1" t="s">
        <v>23</v>
      </c>
      <c r="C575" s="1" t="s">
        <v>13212</v>
      </c>
      <c r="D575" s="1" t="s">
        <v>23</v>
      </c>
      <c r="E575" s="250">
        <v>2316.3000000000002</v>
      </c>
    </row>
    <row r="576" spans="1:5" x14ac:dyDescent="0.35">
      <c r="A576" s="1" t="s">
        <v>16224</v>
      </c>
      <c r="B576" s="1" t="s">
        <v>23</v>
      </c>
      <c r="C576" s="1" t="s">
        <v>13211</v>
      </c>
      <c r="D576" s="1" t="s">
        <v>23</v>
      </c>
      <c r="E576" s="250">
        <v>2316.3009999999999</v>
      </c>
    </row>
    <row r="577" spans="1:5" x14ac:dyDescent="0.35">
      <c r="A577" s="1" t="s">
        <v>16225</v>
      </c>
      <c r="B577" s="1" t="s">
        <v>23</v>
      </c>
      <c r="C577" s="1" t="s">
        <v>13210</v>
      </c>
      <c r="D577" s="1" t="s">
        <v>23</v>
      </c>
      <c r="E577" s="250">
        <v>2316.3020000000001</v>
      </c>
    </row>
    <row r="578" spans="1:5" x14ac:dyDescent="0.35">
      <c r="A578" s="1" t="s">
        <v>16226</v>
      </c>
      <c r="B578" s="1" t="s">
        <v>23</v>
      </c>
      <c r="C578" s="1" t="s">
        <v>13209</v>
      </c>
      <c r="D578" s="1" t="s">
        <v>23</v>
      </c>
      <c r="E578" s="250">
        <v>2316.3029999999999</v>
      </c>
    </row>
    <row r="579" spans="1:5" x14ac:dyDescent="0.35">
      <c r="A579" s="1" t="s">
        <v>16227</v>
      </c>
      <c r="B579" s="1" t="s">
        <v>23</v>
      </c>
      <c r="C579" s="1" t="s">
        <v>13208</v>
      </c>
      <c r="D579" s="1" t="s">
        <v>23</v>
      </c>
      <c r="E579" s="250">
        <v>2316.3040000000001</v>
      </c>
    </row>
    <row r="580" spans="1:5" x14ac:dyDescent="0.35">
      <c r="A580" s="1" t="s">
        <v>16228</v>
      </c>
      <c r="B580" s="1" t="s">
        <v>23</v>
      </c>
      <c r="C580" s="1" t="s">
        <v>13207</v>
      </c>
      <c r="D580" s="1" t="s">
        <v>23</v>
      </c>
      <c r="E580" s="250">
        <v>2316.3049999999998</v>
      </c>
    </row>
    <row r="581" spans="1:5" x14ac:dyDescent="0.35">
      <c r="A581" s="1" t="s">
        <v>16229</v>
      </c>
      <c r="B581" s="1" t="s">
        <v>23</v>
      </c>
      <c r="C581" s="1" t="s">
        <v>13206</v>
      </c>
      <c r="D581" s="1" t="s">
        <v>23</v>
      </c>
      <c r="E581" s="250">
        <v>2316.306</v>
      </c>
    </row>
    <row r="582" spans="1:5" x14ac:dyDescent="0.35">
      <c r="A582" s="1" t="s">
        <v>16230</v>
      </c>
      <c r="B582" s="1" t="s">
        <v>23</v>
      </c>
      <c r="C582" s="1" t="s">
        <v>13205</v>
      </c>
      <c r="D582" s="1" t="s">
        <v>23</v>
      </c>
      <c r="E582" s="250">
        <v>2316.3069999999998</v>
      </c>
    </row>
    <row r="583" spans="1:5" x14ac:dyDescent="0.35">
      <c r="A583" s="1" t="s">
        <v>16231</v>
      </c>
      <c r="B583" s="1" t="s">
        <v>23</v>
      </c>
      <c r="C583" s="1" t="s">
        <v>13204</v>
      </c>
      <c r="D583" s="1" t="s">
        <v>23</v>
      </c>
      <c r="E583" s="250">
        <v>2316.308</v>
      </c>
    </row>
    <row r="584" spans="1:5" x14ac:dyDescent="0.35">
      <c r="A584" s="1" t="s">
        <v>16232</v>
      </c>
      <c r="B584" s="1" t="s">
        <v>23</v>
      </c>
      <c r="C584" s="1" t="s">
        <v>13203</v>
      </c>
      <c r="D584" s="1" t="s">
        <v>23</v>
      </c>
      <c r="E584" s="250">
        <v>2316.3200000000002</v>
      </c>
    </row>
    <row r="585" spans="1:5" x14ac:dyDescent="0.35">
      <c r="A585" s="1" t="s">
        <v>16233</v>
      </c>
      <c r="B585" s="1" t="s">
        <v>23</v>
      </c>
      <c r="C585" s="1" t="s">
        <v>13202</v>
      </c>
      <c r="D585" s="1" t="s">
        <v>23</v>
      </c>
      <c r="E585" s="250">
        <v>2316.3209999999999</v>
      </c>
    </row>
    <row r="586" spans="1:5" x14ac:dyDescent="0.35">
      <c r="A586" s="1" t="s">
        <v>16234</v>
      </c>
      <c r="B586" s="1" t="s">
        <v>23</v>
      </c>
      <c r="C586" s="1" t="s">
        <v>13201</v>
      </c>
      <c r="D586" s="1" t="s">
        <v>23</v>
      </c>
      <c r="E586" s="250">
        <v>2316.3220000000001</v>
      </c>
    </row>
    <row r="587" spans="1:5" x14ac:dyDescent="0.35">
      <c r="A587" s="1" t="s">
        <v>16235</v>
      </c>
      <c r="B587" s="1" t="s">
        <v>23</v>
      </c>
      <c r="C587" s="1" t="s">
        <v>13200</v>
      </c>
      <c r="D587" s="1" t="s">
        <v>23</v>
      </c>
      <c r="E587" s="250">
        <v>2316.3229999999999</v>
      </c>
    </row>
    <row r="588" spans="1:5" x14ac:dyDescent="0.35">
      <c r="A588" s="1" t="s">
        <v>16236</v>
      </c>
      <c r="B588" s="1" t="s">
        <v>23</v>
      </c>
      <c r="C588" s="1" t="s">
        <v>13199</v>
      </c>
      <c r="D588" s="1" t="s">
        <v>23</v>
      </c>
      <c r="E588" s="250">
        <v>2316.3249999999998</v>
      </c>
    </row>
    <row r="589" spans="1:5" x14ac:dyDescent="0.35">
      <c r="A589" s="1" t="s">
        <v>16237</v>
      </c>
      <c r="B589" s="1" t="s">
        <v>23</v>
      </c>
      <c r="C589" s="1" t="s">
        <v>13198</v>
      </c>
      <c r="D589" s="1" t="s">
        <v>23</v>
      </c>
      <c r="E589" s="250">
        <v>2316.326</v>
      </c>
    </row>
    <row r="590" spans="1:5" x14ac:dyDescent="0.35">
      <c r="A590" s="1" t="s">
        <v>16238</v>
      </c>
      <c r="B590" s="1" t="s">
        <v>23</v>
      </c>
      <c r="C590" s="1" t="s">
        <v>13197</v>
      </c>
      <c r="D590" s="1" t="s">
        <v>23</v>
      </c>
      <c r="E590" s="250">
        <v>2316.3270000000002</v>
      </c>
    </row>
    <row r="591" spans="1:5" x14ac:dyDescent="0.35">
      <c r="A591" s="1" t="s">
        <v>16239</v>
      </c>
      <c r="B591" s="1" t="s">
        <v>23</v>
      </c>
      <c r="C591" s="1" t="s">
        <v>13196</v>
      </c>
      <c r="D591" s="1" t="s">
        <v>23</v>
      </c>
      <c r="E591" s="250">
        <v>2316.328</v>
      </c>
    </row>
    <row r="592" spans="1:5" x14ac:dyDescent="0.35">
      <c r="A592" s="1" t="s">
        <v>16240</v>
      </c>
      <c r="B592" s="1" t="s">
        <v>20</v>
      </c>
      <c r="C592" s="1" t="s">
        <v>13195</v>
      </c>
      <c r="D592" s="1" t="s">
        <v>20</v>
      </c>
      <c r="E592" s="250">
        <v>2316.33</v>
      </c>
    </row>
    <row r="593" spans="1:5" x14ac:dyDescent="0.35">
      <c r="A593" s="1" t="s">
        <v>16241</v>
      </c>
      <c r="B593" s="1" t="s">
        <v>20</v>
      </c>
      <c r="C593" s="1" t="s">
        <v>13194</v>
      </c>
      <c r="D593" s="1" t="s">
        <v>20</v>
      </c>
      <c r="E593" s="250">
        <v>2316.3310000000001</v>
      </c>
    </row>
    <row r="594" spans="1:5" x14ac:dyDescent="0.35">
      <c r="A594" s="1" t="s">
        <v>16242</v>
      </c>
      <c r="B594" s="1" t="s">
        <v>20</v>
      </c>
      <c r="C594" s="1" t="s">
        <v>13193</v>
      </c>
      <c r="D594" s="1" t="s">
        <v>20</v>
      </c>
      <c r="E594" s="250">
        <v>2316.3319999999999</v>
      </c>
    </row>
    <row r="595" spans="1:5" x14ac:dyDescent="0.35">
      <c r="A595" s="1" t="s">
        <v>16243</v>
      </c>
      <c r="B595" s="1" t="s">
        <v>20</v>
      </c>
      <c r="C595" s="1" t="s">
        <v>13192</v>
      </c>
      <c r="D595" s="1" t="s">
        <v>20</v>
      </c>
      <c r="E595" s="250">
        <v>2316.3330000000001</v>
      </c>
    </row>
    <row r="596" spans="1:5" x14ac:dyDescent="0.35">
      <c r="A596" s="1" t="s">
        <v>16244</v>
      </c>
      <c r="B596" s="1" t="s">
        <v>20</v>
      </c>
      <c r="C596" s="1" t="s">
        <v>13191</v>
      </c>
      <c r="D596" s="1" t="s">
        <v>20</v>
      </c>
      <c r="E596" s="250">
        <v>2316.3339999999998</v>
      </c>
    </row>
    <row r="597" spans="1:5" x14ac:dyDescent="0.35">
      <c r="A597" s="1" t="s">
        <v>16245</v>
      </c>
      <c r="B597" s="1" t="s">
        <v>20</v>
      </c>
      <c r="C597" s="1" t="s">
        <v>13190</v>
      </c>
      <c r="D597" s="1" t="s">
        <v>20</v>
      </c>
      <c r="E597" s="250">
        <v>2316.335</v>
      </c>
    </row>
    <row r="598" spans="1:5" x14ac:dyDescent="0.35">
      <c r="A598" s="1" t="s">
        <v>16246</v>
      </c>
      <c r="B598" s="1" t="s">
        <v>20</v>
      </c>
      <c r="C598" s="1" t="s">
        <v>13189</v>
      </c>
      <c r="D598" s="1" t="s">
        <v>20</v>
      </c>
      <c r="E598" s="250">
        <v>2316.3359999999998</v>
      </c>
    </row>
    <row r="599" spans="1:5" x14ac:dyDescent="0.35">
      <c r="A599" s="1" t="s">
        <v>16247</v>
      </c>
      <c r="B599" s="1" t="s">
        <v>20</v>
      </c>
      <c r="C599" s="1" t="s">
        <v>13188</v>
      </c>
      <c r="D599" s="1" t="s">
        <v>20</v>
      </c>
      <c r="E599" s="250">
        <v>2316.337</v>
      </c>
    </row>
    <row r="600" spans="1:5" x14ac:dyDescent="0.35">
      <c r="A600" s="1" t="s">
        <v>16248</v>
      </c>
      <c r="B600" s="1" t="s">
        <v>57</v>
      </c>
      <c r="C600" s="1" t="s">
        <v>13187</v>
      </c>
      <c r="D600" s="1" t="s">
        <v>57</v>
      </c>
      <c r="E600" s="250">
        <v>2316.36</v>
      </c>
    </row>
    <row r="601" spans="1:5" x14ac:dyDescent="0.35">
      <c r="A601" s="1" t="s">
        <v>16249</v>
      </c>
      <c r="B601" s="1" t="s">
        <v>23</v>
      </c>
      <c r="C601" s="1" t="s">
        <v>13186</v>
      </c>
      <c r="D601" s="1" t="s">
        <v>23</v>
      </c>
      <c r="E601" s="250">
        <v>2316.3609999999999</v>
      </c>
    </row>
    <row r="602" spans="1:5" x14ac:dyDescent="0.35">
      <c r="A602" s="1" t="s">
        <v>16250</v>
      </c>
      <c r="B602" s="1" t="s">
        <v>23</v>
      </c>
      <c r="C602" s="1" t="s">
        <v>13185</v>
      </c>
      <c r="D602" s="1" t="s">
        <v>23</v>
      </c>
      <c r="E602" s="250">
        <v>2316.3620000000001</v>
      </c>
    </row>
    <row r="603" spans="1:5" x14ac:dyDescent="0.35">
      <c r="A603" s="1" t="s">
        <v>16251</v>
      </c>
      <c r="B603" s="1" t="s">
        <v>23</v>
      </c>
      <c r="C603" s="1" t="s">
        <v>13184</v>
      </c>
      <c r="D603" s="1" t="s">
        <v>23</v>
      </c>
      <c r="E603" s="250">
        <v>2316.3629999999998</v>
      </c>
    </row>
    <row r="604" spans="1:5" x14ac:dyDescent="0.35">
      <c r="A604" s="1" t="s">
        <v>16252</v>
      </c>
      <c r="B604" s="1" t="s">
        <v>23</v>
      </c>
      <c r="C604" s="1" t="s">
        <v>13183</v>
      </c>
      <c r="D604" s="1" t="s">
        <v>23</v>
      </c>
      <c r="E604" s="250">
        <v>2316.364</v>
      </c>
    </row>
    <row r="605" spans="1:5" x14ac:dyDescent="0.35">
      <c r="A605" s="1" t="s">
        <v>16253</v>
      </c>
      <c r="B605" s="1" t="s">
        <v>23</v>
      </c>
      <c r="C605" s="1" t="s">
        <v>13182</v>
      </c>
      <c r="D605" s="1" t="s">
        <v>23</v>
      </c>
      <c r="E605" s="250">
        <v>2316.3649999999998</v>
      </c>
    </row>
    <row r="606" spans="1:5" x14ac:dyDescent="0.35">
      <c r="A606" s="1" t="s">
        <v>16254</v>
      </c>
      <c r="B606" s="1" t="s">
        <v>23</v>
      </c>
      <c r="C606" s="1" t="s">
        <v>13181</v>
      </c>
      <c r="D606" s="1" t="s">
        <v>23</v>
      </c>
      <c r="E606" s="250">
        <v>2316.366</v>
      </c>
    </row>
    <row r="607" spans="1:5" x14ac:dyDescent="0.35">
      <c r="A607" s="1" t="s">
        <v>16255</v>
      </c>
      <c r="B607" s="1" t="s">
        <v>23</v>
      </c>
      <c r="C607" s="1" t="s">
        <v>13180</v>
      </c>
      <c r="D607" s="1" t="s">
        <v>23</v>
      </c>
      <c r="E607" s="250">
        <v>2316.4</v>
      </c>
    </row>
    <row r="608" spans="1:5" x14ac:dyDescent="0.35">
      <c r="A608" s="1" t="s">
        <v>16256</v>
      </c>
      <c r="B608" s="1" t="s">
        <v>23</v>
      </c>
      <c r="C608" s="1" t="s">
        <v>13179</v>
      </c>
      <c r="D608" s="1" t="s">
        <v>23</v>
      </c>
      <c r="E608" s="250">
        <v>2316.4009999999998</v>
      </c>
    </row>
    <row r="609" spans="1:5" x14ac:dyDescent="0.35">
      <c r="A609" s="1" t="s">
        <v>16257</v>
      </c>
      <c r="B609" s="1" t="s">
        <v>23</v>
      </c>
      <c r="C609" s="1" t="s">
        <v>13178</v>
      </c>
      <c r="D609" s="1" t="s">
        <v>23</v>
      </c>
      <c r="E609" s="250">
        <v>2316.402</v>
      </c>
    </row>
    <row r="610" spans="1:5" x14ac:dyDescent="0.35">
      <c r="A610" s="1" t="s">
        <v>16258</v>
      </c>
      <c r="B610" s="1" t="s">
        <v>23</v>
      </c>
      <c r="C610" s="1" t="s">
        <v>13177</v>
      </c>
      <c r="D610" s="1" t="s">
        <v>23</v>
      </c>
      <c r="E610" s="250">
        <v>2316.4029999999998</v>
      </c>
    </row>
    <row r="611" spans="1:5" x14ac:dyDescent="0.35">
      <c r="A611" s="2" t="s">
        <v>16259</v>
      </c>
      <c r="B611" s="1" t="s">
        <v>57</v>
      </c>
      <c r="C611" s="1" t="s">
        <v>52</v>
      </c>
      <c r="D611" s="1" t="s">
        <v>57</v>
      </c>
      <c r="E611" s="250">
        <v>2317.11</v>
      </c>
    </row>
    <row r="612" spans="1:5" x14ac:dyDescent="0.35">
      <c r="A612" s="1" t="s">
        <v>16260</v>
      </c>
      <c r="B612" s="1" t="s">
        <v>57</v>
      </c>
      <c r="C612" s="1" t="s">
        <v>13176</v>
      </c>
      <c r="D612" s="1" t="s">
        <v>57</v>
      </c>
      <c r="E612" s="250">
        <v>2317.1109999999999</v>
      </c>
    </row>
    <row r="613" spans="1:5" x14ac:dyDescent="0.35">
      <c r="A613" s="1" t="s">
        <v>16261</v>
      </c>
      <c r="B613" s="1" t="s">
        <v>23</v>
      </c>
      <c r="C613" s="1" t="s">
        <v>13166</v>
      </c>
      <c r="D613" s="1" t="s">
        <v>23</v>
      </c>
      <c r="E613" s="250">
        <v>2317.1120000000001</v>
      </c>
    </row>
    <row r="614" spans="1:5" x14ac:dyDescent="0.35">
      <c r="A614" s="1" t="s">
        <v>16262</v>
      </c>
      <c r="B614" s="1" t="s">
        <v>23</v>
      </c>
      <c r="C614" s="1" t="s">
        <v>13175</v>
      </c>
      <c r="D614" s="1" t="s">
        <v>23</v>
      </c>
      <c r="E614" s="250">
        <v>2317.1129999999998</v>
      </c>
    </row>
    <row r="615" spans="1:5" x14ac:dyDescent="0.35">
      <c r="A615" s="1" t="s">
        <v>16263</v>
      </c>
      <c r="B615" s="1" t="s">
        <v>23</v>
      </c>
      <c r="C615" s="1" t="s">
        <v>13164</v>
      </c>
      <c r="D615" s="1" t="s">
        <v>23</v>
      </c>
      <c r="E615" s="250">
        <v>2317.114</v>
      </c>
    </row>
    <row r="616" spans="1:5" x14ac:dyDescent="0.35">
      <c r="A616" s="1" t="s">
        <v>16264</v>
      </c>
      <c r="B616" s="1" t="s">
        <v>23</v>
      </c>
      <c r="C616" s="1" t="s">
        <v>13163</v>
      </c>
      <c r="D616" s="1" t="s">
        <v>23</v>
      </c>
      <c r="E616" s="250">
        <v>2317.1149999999998</v>
      </c>
    </row>
    <row r="617" spans="1:5" x14ac:dyDescent="0.35">
      <c r="A617" s="1" t="s">
        <v>16265</v>
      </c>
      <c r="B617" s="1" t="s">
        <v>23</v>
      </c>
      <c r="C617" s="1" t="s">
        <v>13162</v>
      </c>
      <c r="D617" s="1" t="s">
        <v>23</v>
      </c>
      <c r="E617" s="250">
        <v>2317.116</v>
      </c>
    </row>
    <row r="618" spans="1:5" x14ac:dyDescent="0.35">
      <c r="A618" s="1" t="s">
        <v>16266</v>
      </c>
      <c r="B618" s="1" t="s">
        <v>23</v>
      </c>
      <c r="C618" s="1" t="s">
        <v>13157</v>
      </c>
      <c r="D618" s="1" t="s">
        <v>23</v>
      </c>
      <c r="E618" s="250">
        <v>2317.1170000000002</v>
      </c>
    </row>
    <row r="619" spans="1:5" x14ac:dyDescent="0.35">
      <c r="A619" s="1" t="s">
        <v>16267</v>
      </c>
      <c r="B619" s="1" t="s">
        <v>23</v>
      </c>
      <c r="C619" s="1" t="s">
        <v>13161</v>
      </c>
      <c r="D619" s="1" t="s">
        <v>23</v>
      </c>
      <c r="E619" s="250">
        <v>2317.1179999999999</v>
      </c>
    </row>
    <row r="620" spans="1:5" x14ac:dyDescent="0.35">
      <c r="A620" s="1" t="s">
        <v>16268</v>
      </c>
      <c r="B620" s="1" t="s">
        <v>57</v>
      </c>
      <c r="C620" s="1" t="s">
        <v>13174</v>
      </c>
      <c r="D620" s="1" t="s">
        <v>57</v>
      </c>
      <c r="E620" s="250">
        <v>2317.1210000000001</v>
      </c>
    </row>
    <row r="621" spans="1:5" x14ac:dyDescent="0.35">
      <c r="A621" s="1" t="s">
        <v>16269</v>
      </c>
      <c r="B621" s="1" t="s">
        <v>23</v>
      </c>
      <c r="C621" s="1" t="s">
        <v>13166</v>
      </c>
      <c r="D621" s="1" t="s">
        <v>23</v>
      </c>
      <c r="E621" s="250">
        <v>2317.1219999999998</v>
      </c>
    </row>
    <row r="622" spans="1:5" x14ac:dyDescent="0.35">
      <c r="A622" s="1" t="s">
        <v>16270</v>
      </c>
      <c r="B622" s="1" t="s">
        <v>23</v>
      </c>
      <c r="C622" s="1" t="s">
        <v>13165</v>
      </c>
      <c r="D622" s="1" t="s">
        <v>23</v>
      </c>
      <c r="E622" s="250">
        <v>2317.123</v>
      </c>
    </row>
    <row r="623" spans="1:5" x14ac:dyDescent="0.35">
      <c r="A623" s="1" t="s">
        <v>16271</v>
      </c>
      <c r="B623" s="1" t="s">
        <v>23</v>
      </c>
      <c r="C623" s="1" t="s">
        <v>13164</v>
      </c>
      <c r="D623" s="1" t="s">
        <v>23</v>
      </c>
      <c r="E623" s="250">
        <v>2317.1239999999998</v>
      </c>
    </row>
    <row r="624" spans="1:5" x14ac:dyDescent="0.35">
      <c r="A624" s="1" t="s">
        <v>16272</v>
      </c>
      <c r="B624" s="1" t="s">
        <v>23</v>
      </c>
      <c r="C624" s="1" t="s">
        <v>13163</v>
      </c>
      <c r="D624" s="1" t="s">
        <v>23</v>
      </c>
      <c r="E624" s="250">
        <v>2317.125</v>
      </c>
    </row>
    <row r="625" spans="1:5" x14ac:dyDescent="0.35">
      <c r="A625" s="1" t="s">
        <v>16273</v>
      </c>
      <c r="B625" s="1" t="s">
        <v>23</v>
      </c>
      <c r="C625" s="1" t="s">
        <v>13162</v>
      </c>
      <c r="D625" s="1" t="s">
        <v>23</v>
      </c>
      <c r="E625" s="250">
        <v>2317.1260000000002</v>
      </c>
    </row>
    <row r="626" spans="1:5" x14ac:dyDescent="0.35">
      <c r="A626" s="1" t="s">
        <v>16274</v>
      </c>
      <c r="B626" s="1" t="s">
        <v>23</v>
      </c>
      <c r="C626" s="1" t="s">
        <v>13161</v>
      </c>
      <c r="D626" s="1" t="s">
        <v>23</v>
      </c>
      <c r="E626" s="250">
        <v>2317.1280000000002</v>
      </c>
    </row>
    <row r="627" spans="1:5" x14ac:dyDescent="0.35">
      <c r="A627" s="1" t="s">
        <v>16275</v>
      </c>
      <c r="B627" s="1" t="s">
        <v>57</v>
      </c>
      <c r="C627" s="1" t="s">
        <v>13173</v>
      </c>
      <c r="D627" s="1" t="s">
        <v>57</v>
      </c>
      <c r="E627" s="250">
        <v>2317.1309999999999</v>
      </c>
    </row>
    <row r="628" spans="1:5" x14ac:dyDescent="0.35">
      <c r="A628" s="1" t="s">
        <v>16276</v>
      </c>
      <c r="B628" s="1" t="s">
        <v>23</v>
      </c>
      <c r="C628" s="1" t="s">
        <v>13166</v>
      </c>
      <c r="D628" s="1" t="s">
        <v>23</v>
      </c>
      <c r="E628" s="250">
        <v>2317.1320000000001</v>
      </c>
    </row>
    <row r="629" spans="1:5" x14ac:dyDescent="0.35">
      <c r="A629" s="1" t="s">
        <v>16277</v>
      </c>
      <c r="B629" s="1" t="s">
        <v>23</v>
      </c>
      <c r="C629" s="1" t="s">
        <v>13165</v>
      </c>
      <c r="D629" s="1" t="s">
        <v>23</v>
      </c>
      <c r="E629" s="250">
        <v>2317.1329999999998</v>
      </c>
    </row>
    <row r="630" spans="1:5" x14ac:dyDescent="0.35">
      <c r="A630" s="1" t="s">
        <v>16278</v>
      </c>
      <c r="B630" s="1" t="s">
        <v>23</v>
      </c>
      <c r="C630" s="1" t="s">
        <v>13164</v>
      </c>
      <c r="D630" s="1" t="s">
        <v>23</v>
      </c>
      <c r="E630" s="250">
        <v>2317.134</v>
      </c>
    </row>
    <row r="631" spans="1:5" x14ac:dyDescent="0.35">
      <c r="A631" s="1" t="s">
        <v>16279</v>
      </c>
      <c r="B631" s="1" t="s">
        <v>23</v>
      </c>
      <c r="C631" s="1" t="s">
        <v>13163</v>
      </c>
      <c r="D631" s="1" t="s">
        <v>23</v>
      </c>
      <c r="E631" s="250">
        <v>2317.1350000000002</v>
      </c>
    </row>
    <row r="632" spans="1:5" x14ac:dyDescent="0.35">
      <c r="A632" s="1" t="s">
        <v>16280</v>
      </c>
      <c r="B632" s="1" t="s">
        <v>23</v>
      </c>
      <c r="C632" s="1" t="s">
        <v>13162</v>
      </c>
      <c r="D632" s="1" t="s">
        <v>23</v>
      </c>
      <c r="E632" s="250">
        <v>2317.136</v>
      </c>
    </row>
    <row r="633" spans="1:5" x14ac:dyDescent="0.35">
      <c r="A633" s="1" t="s">
        <v>16281</v>
      </c>
      <c r="B633" s="1" t="s">
        <v>23</v>
      </c>
      <c r="C633" s="1" t="s">
        <v>13161</v>
      </c>
      <c r="D633" s="1" t="s">
        <v>23</v>
      </c>
      <c r="E633" s="250">
        <v>2317.1379999999999</v>
      </c>
    </row>
    <row r="634" spans="1:5" x14ac:dyDescent="0.35">
      <c r="A634" s="1" t="s">
        <v>16282</v>
      </c>
      <c r="B634" s="1" t="s">
        <v>57</v>
      </c>
      <c r="C634" s="1" t="s">
        <v>13172</v>
      </c>
      <c r="D634" s="1" t="s">
        <v>57</v>
      </c>
      <c r="E634" s="250">
        <v>2317.1410000000001</v>
      </c>
    </row>
    <row r="635" spans="1:5" x14ac:dyDescent="0.35">
      <c r="A635" s="1" t="s">
        <v>16283</v>
      </c>
      <c r="B635" s="1" t="s">
        <v>23</v>
      </c>
      <c r="C635" s="1" t="s">
        <v>13166</v>
      </c>
      <c r="D635" s="1" t="s">
        <v>23</v>
      </c>
      <c r="E635" s="250">
        <v>2317.1419999999998</v>
      </c>
    </row>
    <row r="636" spans="1:5" x14ac:dyDescent="0.35">
      <c r="A636" s="1" t="s">
        <v>16284</v>
      </c>
      <c r="B636" s="1" t="s">
        <v>23</v>
      </c>
      <c r="C636" s="1" t="s">
        <v>13165</v>
      </c>
      <c r="D636" s="1" t="s">
        <v>23</v>
      </c>
      <c r="E636" s="250">
        <v>2317.143</v>
      </c>
    </row>
    <row r="637" spans="1:5" x14ac:dyDescent="0.35">
      <c r="A637" s="1" t="s">
        <v>16285</v>
      </c>
      <c r="B637" s="1" t="s">
        <v>23</v>
      </c>
      <c r="C637" s="1" t="s">
        <v>13164</v>
      </c>
      <c r="D637" s="1" t="s">
        <v>23</v>
      </c>
      <c r="E637" s="250">
        <v>2317.1439999999998</v>
      </c>
    </row>
    <row r="638" spans="1:5" x14ac:dyDescent="0.35">
      <c r="A638" s="1" t="s">
        <v>16286</v>
      </c>
      <c r="B638" s="1" t="s">
        <v>23</v>
      </c>
      <c r="C638" s="1" t="s">
        <v>13163</v>
      </c>
      <c r="D638" s="1" t="s">
        <v>23</v>
      </c>
      <c r="E638" s="250">
        <v>2317.145</v>
      </c>
    </row>
    <row r="639" spans="1:5" x14ac:dyDescent="0.35">
      <c r="A639" s="1" t="s">
        <v>16287</v>
      </c>
      <c r="B639" s="1" t="s">
        <v>23</v>
      </c>
      <c r="C639" s="1" t="s">
        <v>13162</v>
      </c>
      <c r="D639" s="1" t="s">
        <v>23</v>
      </c>
      <c r="E639" s="250">
        <v>2317.1460000000002</v>
      </c>
    </row>
    <row r="640" spans="1:5" x14ac:dyDescent="0.35">
      <c r="A640" s="1" t="s">
        <v>16288</v>
      </c>
      <c r="B640" s="1" t="s">
        <v>23</v>
      </c>
      <c r="C640" s="1" t="s">
        <v>13161</v>
      </c>
      <c r="D640" s="1" t="s">
        <v>23</v>
      </c>
      <c r="E640" s="250">
        <v>2317.1480000000001</v>
      </c>
    </row>
    <row r="641" spans="1:5" x14ac:dyDescent="0.35">
      <c r="A641" s="1" t="s">
        <v>16289</v>
      </c>
      <c r="B641" s="1" t="s">
        <v>57</v>
      </c>
      <c r="C641" s="1" t="s">
        <v>13171</v>
      </c>
      <c r="D641" s="1" t="s">
        <v>57</v>
      </c>
      <c r="E641" s="250">
        <v>2317.1509999999998</v>
      </c>
    </row>
    <row r="642" spans="1:5" x14ac:dyDescent="0.35">
      <c r="A642" s="1" t="s">
        <v>16290</v>
      </c>
      <c r="B642" s="1" t="s">
        <v>23</v>
      </c>
      <c r="C642" s="1" t="s">
        <v>13166</v>
      </c>
      <c r="D642" s="1" t="s">
        <v>23</v>
      </c>
      <c r="E642" s="250">
        <v>2317.152</v>
      </c>
    </row>
    <row r="643" spans="1:5" x14ac:dyDescent="0.35">
      <c r="A643" s="1" t="s">
        <v>16291</v>
      </c>
      <c r="B643" s="1" t="s">
        <v>23</v>
      </c>
      <c r="C643" s="1" t="s">
        <v>13165</v>
      </c>
      <c r="D643" s="1" t="s">
        <v>23</v>
      </c>
      <c r="E643" s="250">
        <v>2317.1529999999998</v>
      </c>
    </row>
    <row r="644" spans="1:5" x14ac:dyDescent="0.35">
      <c r="A644" s="1" t="s">
        <v>16292</v>
      </c>
      <c r="B644" s="1" t="s">
        <v>23</v>
      </c>
      <c r="C644" s="1" t="s">
        <v>13164</v>
      </c>
      <c r="D644" s="1" t="s">
        <v>23</v>
      </c>
      <c r="E644" s="250">
        <v>2317.154</v>
      </c>
    </row>
    <row r="645" spans="1:5" x14ac:dyDescent="0.35">
      <c r="A645" s="1" t="s">
        <v>16293</v>
      </c>
      <c r="B645" s="1" t="s">
        <v>23</v>
      </c>
      <c r="C645" s="1" t="s">
        <v>13163</v>
      </c>
      <c r="D645" s="1" t="s">
        <v>23</v>
      </c>
      <c r="E645" s="250">
        <v>2317.1550000000002</v>
      </c>
    </row>
    <row r="646" spans="1:5" x14ac:dyDescent="0.35">
      <c r="A646" s="1" t="s">
        <v>16294</v>
      </c>
      <c r="B646" s="1" t="s">
        <v>23</v>
      </c>
      <c r="C646" s="1" t="s">
        <v>13162</v>
      </c>
      <c r="D646" s="1" t="s">
        <v>23</v>
      </c>
      <c r="E646" s="250">
        <v>2317.1559999999999</v>
      </c>
    </row>
    <row r="647" spans="1:5" x14ac:dyDescent="0.35">
      <c r="A647" s="1" t="s">
        <v>16295</v>
      </c>
      <c r="B647" s="1" t="s">
        <v>23</v>
      </c>
      <c r="C647" s="1" t="s">
        <v>13161</v>
      </c>
      <c r="D647" s="1" t="s">
        <v>23</v>
      </c>
      <c r="E647" s="250">
        <v>2317.1579999999999</v>
      </c>
    </row>
    <row r="648" spans="1:5" x14ac:dyDescent="0.35">
      <c r="A648" s="1" t="s">
        <v>16296</v>
      </c>
      <c r="B648" s="1" t="s">
        <v>57</v>
      </c>
      <c r="C648" s="1" t="s">
        <v>13170</v>
      </c>
      <c r="D648" s="1" t="s">
        <v>57</v>
      </c>
      <c r="E648" s="250">
        <v>2317.1610000000001</v>
      </c>
    </row>
    <row r="649" spans="1:5" x14ac:dyDescent="0.35">
      <c r="A649" s="1" t="s">
        <v>16297</v>
      </c>
      <c r="B649" s="1" t="s">
        <v>23</v>
      </c>
      <c r="C649" s="1" t="s">
        <v>13166</v>
      </c>
      <c r="D649" s="1" t="s">
        <v>23</v>
      </c>
      <c r="E649" s="250">
        <v>2317.1619999999998</v>
      </c>
    </row>
    <row r="650" spans="1:5" x14ac:dyDescent="0.35">
      <c r="A650" s="1" t="s">
        <v>16298</v>
      </c>
      <c r="B650" s="1" t="s">
        <v>23</v>
      </c>
      <c r="C650" s="1" t="s">
        <v>13165</v>
      </c>
      <c r="D650" s="1" t="s">
        <v>23</v>
      </c>
      <c r="E650" s="250">
        <v>2317.163</v>
      </c>
    </row>
    <row r="651" spans="1:5" x14ac:dyDescent="0.35">
      <c r="A651" s="1" t="s">
        <v>16299</v>
      </c>
      <c r="B651" s="1" t="s">
        <v>23</v>
      </c>
      <c r="C651" s="1" t="s">
        <v>13164</v>
      </c>
      <c r="D651" s="1" t="s">
        <v>23</v>
      </c>
      <c r="E651" s="250">
        <v>2317.1640000000002</v>
      </c>
    </row>
    <row r="652" spans="1:5" x14ac:dyDescent="0.35">
      <c r="A652" s="1" t="s">
        <v>16300</v>
      </c>
      <c r="B652" s="1" t="s">
        <v>23</v>
      </c>
      <c r="C652" s="1" t="s">
        <v>13163</v>
      </c>
      <c r="D652" s="1" t="s">
        <v>23</v>
      </c>
      <c r="E652" s="250">
        <v>2317.165</v>
      </c>
    </row>
    <row r="653" spans="1:5" x14ac:dyDescent="0.35">
      <c r="A653" s="1" t="s">
        <v>16301</v>
      </c>
      <c r="B653" s="1" t="s">
        <v>23</v>
      </c>
      <c r="C653" s="1" t="s">
        <v>13162</v>
      </c>
      <c r="D653" s="1" t="s">
        <v>23</v>
      </c>
      <c r="E653" s="250">
        <v>2317.1660000000002</v>
      </c>
    </row>
    <row r="654" spans="1:5" x14ac:dyDescent="0.35">
      <c r="A654" s="1" t="s">
        <v>16302</v>
      </c>
      <c r="B654" s="1" t="s">
        <v>23</v>
      </c>
      <c r="C654" s="1" t="s">
        <v>13161</v>
      </c>
      <c r="D654" s="1" t="s">
        <v>23</v>
      </c>
      <c r="E654" s="250">
        <v>2317.1680000000001</v>
      </c>
    </row>
    <row r="655" spans="1:5" x14ac:dyDescent="0.35">
      <c r="A655" s="1" t="s">
        <v>16303</v>
      </c>
      <c r="B655" s="1" t="s">
        <v>57</v>
      </c>
      <c r="C655" s="1" t="s">
        <v>13169</v>
      </c>
      <c r="D655" s="1" t="s">
        <v>57</v>
      </c>
      <c r="E655" s="250">
        <v>2317.1709999999998</v>
      </c>
    </row>
    <row r="656" spans="1:5" x14ac:dyDescent="0.35">
      <c r="A656" s="1" t="s">
        <v>16304</v>
      </c>
      <c r="B656" s="1" t="s">
        <v>23</v>
      </c>
      <c r="C656" s="1" t="s">
        <v>13166</v>
      </c>
      <c r="D656" s="1" t="s">
        <v>23</v>
      </c>
      <c r="E656" s="250">
        <v>2317.172</v>
      </c>
    </row>
    <row r="657" spans="1:5" x14ac:dyDescent="0.35">
      <c r="A657" s="1" t="s">
        <v>16305</v>
      </c>
      <c r="B657" s="1" t="s">
        <v>23</v>
      </c>
      <c r="C657" s="1" t="s">
        <v>13165</v>
      </c>
      <c r="D657" s="1" t="s">
        <v>23</v>
      </c>
      <c r="E657" s="250">
        <v>2317.1729999999998</v>
      </c>
    </row>
    <row r="658" spans="1:5" x14ac:dyDescent="0.35">
      <c r="A658" s="1" t="s">
        <v>16306</v>
      </c>
      <c r="B658" s="1" t="s">
        <v>23</v>
      </c>
      <c r="C658" s="1" t="s">
        <v>13164</v>
      </c>
      <c r="D658" s="1" t="s">
        <v>23</v>
      </c>
      <c r="E658" s="250">
        <v>2317.174</v>
      </c>
    </row>
    <row r="659" spans="1:5" x14ac:dyDescent="0.35">
      <c r="A659" s="1" t="s">
        <v>16307</v>
      </c>
      <c r="B659" s="1" t="s">
        <v>23</v>
      </c>
      <c r="C659" s="1" t="s">
        <v>13163</v>
      </c>
      <c r="D659" s="1" t="s">
        <v>23</v>
      </c>
      <c r="E659" s="250">
        <v>2317.1750000000002</v>
      </c>
    </row>
    <row r="660" spans="1:5" x14ac:dyDescent="0.35">
      <c r="A660" s="1" t="s">
        <v>16308</v>
      </c>
      <c r="B660" s="1" t="s">
        <v>23</v>
      </c>
      <c r="C660" s="1" t="s">
        <v>13162</v>
      </c>
      <c r="D660" s="1" t="s">
        <v>23</v>
      </c>
      <c r="E660" s="250">
        <v>2317.1759999999999</v>
      </c>
    </row>
    <row r="661" spans="1:5" x14ac:dyDescent="0.35">
      <c r="A661" s="1" t="s">
        <v>16309</v>
      </c>
      <c r="B661" s="1" t="s">
        <v>23</v>
      </c>
      <c r="C661" s="1" t="s">
        <v>13161</v>
      </c>
      <c r="D661" s="1" t="s">
        <v>23</v>
      </c>
      <c r="E661" s="250">
        <v>2317.1779999999999</v>
      </c>
    </row>
    <row r="662" spans="1:5" x14ac:dyDescent="0.35">
      <c r="A662" s="1" t="s">
        <v>16310</v>
      </c>
      <c r="B662" s="1" t="s">
        <v>57</v>
      </c>
      <c r="C662" s="1" t="s">
        <v>13168</v>
      </c>
      <c r="D662" s="1" t="s">
        <v>57</v>
      </c>
      <c r="E662" s="250">
        <v>2317.181</v>
      </c>
    </row>
    <row r="663" spans="1:5" x14ac:dyDescent="0.35">
      <c r="A663" s="1" t="s">
        <v>16311</v>
      </c>
      <c r="B663" s="1" t="s">
        <v>23</v>
      </c>
      <c r="C663" s="1" t="s">
        <v>13166</v>
      </c>
      <c r="D663" s="1" t="s">
        <v>23</v>
      </c>
      <c r="E663" s="250">
        <v>2317.1819999999998</v>
      </c>
    </row>
    <row r="664" spans="1:5" x14ac:dyDescent="0.35">
      <c r="A664" s="1" t="s">
        <v>16312</v>
      </c>
      <c r="B664" s="1" t="s">
        <v>23</v>
      </c>
      <c r="C664" s="1" t="s">
        <v>13165</v>
      </c>
      <c r="D664" s="1" t="s">
        <v>23</v>
      </c>
      <c r="E664" s="250">
        <v>2317.183</v>
      </c>
    </row>
    <row r="665" spans="1:5" x14ac:dyDescent="0.35">
      <c r="A665" s="1" t="s">
        <v>16313</v>
      </c>
      <c r="B665" s="1" t="s">
        <v>23</v>
      </c>
      <c r="C665" s="1" t="s">
        <v>13164</v>
      </c>
      <c r="D665" s="1" t="s">
        <v>23</v>
      </c>
      <c r="E665" s="250">
        <v>2317.1840000000002</v>
      </c>
    </row>
    <row r="666" spans="1:5" x14ac:dyDescent="0.35">
      <c r="A666" s="1" t="s">
        <v>16314</v>
      </c>
      <c r="B666" s="1" t="s">
        <v>23</v>
      </c>
      <c r="C666" s="1" t="s">
        <v>13163</v>
      </c>
      <c r="D666" s="1" t="s">
        <v>23</v>
      </c>
      <c r="E666" s="250">
        <v>2317.1849999999999</v>
      </c>
    </row>
    <row r="667" spans="1:5" x14ac:dyDescent="0.35">
      <c r="A667" s="1" t="s">
        <v>16315</v>
      </c>
      <c r="B667" s="1" t="s">
        <v>23</v>
      </c>
      <c r="C667" s="1" t="s">
        <v>13162</v>
      </c>
      <c r="D667" s="1" t="s">
        <v>23</v>
      </c>
      <c r="E667" s="250">
        <v>2317.1860000000001</v>
      </c>
    </row>
    <row r="668" spans="1:5" x14ac:dyDescent="0.35">
      <c r="A668" s="1" t="s">
        <v>16316</v>
      </c>
      <c r="B668" s="1" t="s">
        <v>23</v>
      </c>
      <c r="C668" s="1" t="s">
        <v>13161</v>
      </c>
      <c r="D668" s="1" t="s">
        <v>23</v>
      </c>
      <c r="E668" s="250">
        <v>2317.1880000000001</v>
      </c>
    </row>
    <row r="669" spans="1:5" x14ac:dyDescent="0.35">
      <c r="A669" s="1" t="s">
        <v>16317</v>
      </c>
      <c r="B669" s="1" t="s">
        <v>57</v>
      </c>
      <c r="C669" s="1" t="s">
        <v>13167</v>
      </c>
      <c r="D669" s="1" t="s">
        <v>57</v>
      </c>
      <c r="E669" s="250">
        <v>2317.1909999999998</v>
      </c>
    </row>
    <row r="670" spans="1:5" x14ac:dyDescent="0.35">
      <c r="A670" s="1" t="s">
        <v>16318</v>
      </c>
      <c r="B670" s="1" t="s">
        <v>23</v>
      </c>
      <c r="C670" s="1" t="s">
        <v>13166</v>
      </c>
      <c r="D670" s="1" t="s">
        <v>23</v>
      </c>
      <c r="E670" s="250">
        <v>2317.192</v>
      </c>
    </row>
    <row r="671" spans="1:5" x14ac:dyDescent="0.35">
      <c r="A671" s="1" t="s">
        <v>16319</v>
      </c>
      <c r="B671" s="1" t="s">
        <v>23</v>
      </c>
      <c r="C671" s="1" t="s">
        <v>13165</v>
      </c>
      <c r="D671" s="1" t="s">
        <v>23</v>
      </c>
      <c r="E671" s="250">
        <v>2317.1930000000002</v>
      </c>
    </row>
    <row r="672" spans="1:5" x14ac:dyDescent="0.35">
      <c r="A672" s="1" t="s">
        <v>16320</v>
      </c>
      <c r="B672" s="1" t="s">
        <v>23</v>
      </c>
      <c r="C672" s="1" t="s">
        <v>13164</v>
      </c>
      <c r="D672" s="1" t="s">
        <v>23</v>
      </c>
      <c r="E672" s="250">
        <v>2317.194</v>
      </c>
    </row>
    <row r="673" spans="1:5" x14ac:dyDescent="0.35">
      <c r="A673" s="1" t="s">
        <v>16321</v>
      </c>
      <c r="B673" s="1" t="s">
        <v>23</v>
      </c>
      <c r="C673" s="1" t="s">
        <v>13163</v>
      </c>
      <c r="D673" s="1" t="s">
        <v>23</v>
      </c>
      <c r="E673" s="250">
        <v>2317.1950000000002</v>
      </c>
    </row>
    <row r="674" spans="1:5" x14ac:dyDescent="0.35">
      <c r="A674" s="1" t="s">
        <v>16322</v>
      </c>
      <c r="B674" s="1" t="s">
        <v>23</v>
      </c>
      <c r="C674" s="1" t="s">
        <v>13162</v>
      </c>
      <c r="D674" s="1" t="s">
        <v>23</v>
      </c>
      <c r="E674" s="250">
        <v>2317.1959999999999</v>
      </c>
    </row>
    <row r="675" spans="1:5" x14ac:dyDescent="0.35">
      <c r="A675" s="1" t="s">
        <v>16323</v>
      </c>
      <c r="B675" s="1" t="s">
        <v>23</v>
      </c>
      <c r="C675" s="1" t="s">
        <v>13161</v>
      </c>
      <c r="D675" s="1" t="s">
        <v>23</v>
      </c>
      <c r="E675" s="250">
        <v>2317.1979999999999</v>
      </c>
    </row>
    <row r="676" spans="1:5" x14ac:dyDescent="0.35">
      <c r="A676" s="1" t="s">
        <v>16324</v>
      </c>
      <c r="B676" s="1" t="s">
        <v>57</v>
      </c>
      <c r="C676" s="1" t="s">
        <v>13160</v>
      </c>
      <c r="D676" s="1" t="s">
        <v>57</v>
      </c>
      <c r="E676" s="250">
        <v>2317.2109999999998</v>
      </c>
    </row>
    <row r="677" spans="1:5" x14ac:dyDescent="0.35">
      <c r="A677" s="1" t="s">
        <v>16325</v>
      </c>
      <c r="B677" s="1" t="s">
        <v>23</v>
      </c>
      <c r="C677" s="1" t="s">
        <v>13157</v>
      </c>
      <c r="D677" s="1" t="s">
        <v>23</v>
      </c>
      <c r="E677" s="250">
        <v>2317.212</v>
      </c>
    </row>
    <row r="678" spans="1:5" x14ac:dyDescent="0.35">
      <c r="A678" s="1" t="s">
        <v>16326</v>
      </c>
      <c r="B678" s="1" t="s">
        <v>57</v>
      </c>
      <c r="C678" s="1" t="s">
        <v>13159</v>
      </c>
      <c r="D678" s="1" t="s">
        <v>57</v>
      </c>
      <c r="E678" s="250">
        <v>2317.2150000000001</v>
      </c>
    </row>
    <row r="679" spans="1:5" x14ac:dyDescent="0.35">
      <c r="A679" s="1" t="s">
        <v>16327</v>
      </c>
      <c r="B679" s="1" t="s">
        <v>23</v>
      </c>
      <c r="C679" s="1" t="s">
        <v>13157</v>
      </c>
      <c r="D679" s="1" t="s">
        <v>23</v>
      </c>
      <c r="E679" s="250">
        <v>2317.2159999999999</v>
      </c>
    </row>
    <row r="680" spans="1:5" x14ac:dyDescent="0.35">
      <c r="A680" s="1" t="s">
        <v>16328</v>
      </c>
      <c r="B680" s="1" t="s">
        <v>57</v>
      </c>
      <c r="C680" s="1" t="s">
        <v>13158</v>
      </c>
      <c r="D680" s="1" t="s">
        <v>57</v>
      </c>
      <c r="E680" s="250">
        <v>2317.221</v>
      </c>
    </row>
    <row r="681" spans="1:5" x14ac:dyDescent="0.35">
      <c r="A681" s="1" t="s">
        <v>16329</v>
      </c>
      <c r="B681" s="1" t="s">
        <v>23</v>
      </c>
      <c r="C681" s="1" t="s">
        <v>13157</v>
      </c>
      <c r="D681" s="1" t="s">
        <v>23</v>
      </c>
      <c r="E681" s="250">
        <v>2317.2220000000002</v>
      </c>
    </row>
    <row r="682" spans="1:5" x14ac:dyDescent="0.35">
      <c r="A682" s="1" t="s">
        <v>16330</v>
      </c>
      <c r="B682" s="1" t="s">
        <v>57</v>
      </c>
      <c r="C682" s="1" t="s">
        <v>54</v>
      </c>
      <c r="D682" s="1" t="s">
        <v>57</v>
      </c>
      <c r="E682" s="250">
        <v>2317.23</v>
      </c>
    </row>
    <row r="683" spans="1:5" x14ac:dyDescent="0.35">
      <c r="A683" s="1" t="s">
        <v>16331</v>
      </c>
      <c r="B683" s="1" t="s">
        <v>23</v>
      </c>
      <c r="C683" s="1" t="s">
        <v>13156</v>
      </c>
      <c r="D683" s="1" t="s">
        <v>23</v>
      </c>
      <c r="E683" s="250">
        <v>2317.2310000000002</v>
      </c>
    </row>
    <row r="684" spans="1:5" x14ac:dyDescent="0.35">
      <c r="A684" s="1" t="s">
        <v>16332</v>
      </c>
      <c r="B684" s="1" t="s">
        <v>23</v>
      </c>
      <c r="C684" s="1" t="s">
        <v>13155</v>
      </c>
      <c r="D684" s="1" t="s">
        <v>23</v>
      </c>
      <c r="E684" s="250">
        <v>2317.232</v>
      </c>
    </row>
    <row r="685" spans="1:5" x14ac:dyDescent="0.35">
      <c r="A685" s="1" t="s">
        <v>16333</v>
      </c>
      <c r="B685" s="1" t="s">
        <v>23</v>
      </c>
      <c r="C685" s="1" t="s">
        <v>13154</v>
      </c>
      <c r="D685" s="1" t="s">
        <v>23</v>
      </c>
      <c r="E685" s="250">
        <v>2317.2330000000002</v>
      </c>
    </row>
    <row r="686" spans="1:5" x14ac:dyDescent="0.35">
      <c r="A686" s="1" t="s">
        <v>16334</v>
      </c>
      <c r="B686" s="1" t="s">
        <v>23</v>
      </c>
      <c r="C686" s="1" t="s">
        <v>13153</v>
      </c>
      <c r="D686" s="1" t="s">
        <v>23</v>
      </c>
      <c r="E686" s="250">
        <v>2317.2339999999999</v>
      </c>
    </row>
    <row r="687" spans="1:5" x14ac:dyDescent="0.35">
      <c r="A687" s="1" t="s">
        <v>16335</v>
      </c>
      <c r="B687" s="1" t="s">
        <v>23</v>
      </c>
      <c r="C687" s="1" t="s">
        <v>13152</v>
      </c>
      <c r="D687" s="1" t="s">
        <v>23</v>
      </c>
      <c r="E687" s="250">
        <v>2317.2350000000001</v>
      </c>
    </row>
    <row r="688" spans="1:5" x14ac:dyDescent="0.35">
      <c r="A688" s="1" t="s">
        <v>16336</v>
      </c>
      <c r="B688" s="1" t="s">
        <v>23</v>
      </c>
      <c r="C688" s="1" t="s">
        <v>13151</v>
      </c>
      <c r="D688" s="1" t="s">
        <v>23</v>
      </c>
      <c r="E688" s="250">
        <v>2317.2359999999999</v>
      </c>
    </row>
    <row r="689" spans="1:5" x14ac:dyDescent="0.35">
      <c r="A689" s="1" t="s">
        <v>16337</v>
      </c>
      <c r="B689" s="1" t="s">
        <v>23</v>
      </c>
      <c r="C689" s="1" t="s">
        <v>13150</v>
      </c>
      <c r="D689" s="1" t="s">
        <v>23</v>
      </c>
      <c r="E689" s="250">
        <v>2317.2370000000001</v>
      </c>
    </row>
    <row r="690" spans="1:5" x14ac:dyDescent="0.35">
      <c r="A690" s="1" t="s">
        <v>16338</v>
      </c>
      <c r="B690" s="1" t="s">
        <v>23</v>
      </c>
      <c r="C690" s="1" t="s">
        <v>13149</v>
      </c>
      <c r="D690" s="1" t="s">
        <v>23</v>
      </c>
      <c r="E690" s="250">
        <v>2317.2379999999998</v>
      </c>
    </row>
    <row r="691" spans="1:5" x14ac:dyDescent="0.35">
      <c r="A691" s="1" t="s">
        <v>16339</v>
      </c>
      <c r="B691" s="1" t="s">
        <v>23</v>
      </c>
      <c r="C691" s="1" t="s">
        <v>1699</v>
      </c>
      <c r="D691" s="1" t="s">
        <v>23</v>
      </c>
      <c r="E691" s="250">
        <v>2317.239</v>
      </c>
    </row>
    <row r="692" spans="1:5" x14ac:dyDescent="0.35">
      <c r="A692" s="1" t="s">
        <v>16340</v>
      </c>
      <c r="B692" s="1" t="s">
        <v>23</v>
      </c>
      <c r="C692" s="1" t="s">
        <v>13148</v>
      </c>
      <c r="D692" s="1" t="s">
        <v>23</v>
      </c>
      <c r="E692" s="250">
        <v>2317.2399999999998</v>
      </c>
    </row>
    <row r="693" spans="1:5" x14ac:dyDescent="0.35">
      <c r="A693" s="1" t="s">
        <v>16341</v>
      </c>
      <c r="B693" s="1" t="s">
        <v>23</v>
      </c>
      <c r="C693" s="1" t="s">
        <v>13147</v>
      </c>
      <c r="D693" s="1" t="s">
        <v>23</v>
      </c>
      <c r="E693" s="250">
        <v>2317.241</v>
      </c>
    </row>
    <row r="694" spans="1:5" x14ac:dyDescent="0.35">
      <c r="A694" s="1" t="s">
        <v>16342</v>
      </c>
      <c r="B694" s="1" t="s">
        <v>57</v>
      </c>
      <c r="C694" s="1" t="s">
        <v>13146</v>
      </c>
      <c r="D694" s="1" t="s">
        <v>57</v>
      </c>
      <c r="E694" s="250">
        <v>2317.25</v>
      </c>
    </row>
    <row r="695" spans="1:5" x14ac:dyDescent="0.35">
      <c r="A695" s="1" t="s">
        <v>16343</v>
      </c>
      <c r="B695" s="1" t="s">
        <v>23</v>
      </c>
      <c r="C695" s="1" t="s">
        <v>13145</v>
      </c>
      <c r="D695" s="1" t="s">
        <v>23</v>
      </c>
      <c r="E695" s="250">
        <v>2317.2510000000002</v>
      </c>
    </row>
    <row r="696" spans="1:5" x14ac:dyDescent="0.35">
      <c r="A696" s="1" t="s">
        <v>16344</v>
      </c>
      <c r="B696" s="1" t="s">
        <v>23</v>
      </c>
      <c r="C696" s="1" t="s">
        <v>13144</v>
      </c>
      <c r="D696" s="1" t="s">
        <v>23</v>
      </c>
      <c r="E696" s="250">
        <v>2317.252</v>
      </c>
    </row>
    <row r="697" spans="1:5" x14ac:dyDescent="0.35">
      <c r="A697" s="1" t="s">
        <v>16345</v>
      </c>
      <c r="B697" s="1" t="s">
        <v>23</v>
      </c>
      <c r="C697" s="1" t="s">
        <v>13143</v>
      </c>
      <c r="D697" s="1" t="s">
        <v>23</v>
      </c>
      <c r="E697" s="250">
        <v>2317.2530000000002</v>
      </c>
    </row>
    <row r="698" spans="1:5" x14ac:dyDescent="0.35">
      <c r="A698" s="1" t="s">
        <v>16346</v>
      </c>
      <c r="B698" s="1" t="s">
        <v>23</v>
      </c>
      <c r="C698" s="1" t="s">
        <v>13142</v>
      </c>
      <c r="D698" s="1" t="s">
        <v>23</v>
      </c>
      <c r="E698" s="250">
        <v>2317.2539999999999</v>
      </c>
    </row>
    <row r="699" spans="1:5" x14ac:dyDescent="0.35">
      <c r="A699" s="1" t="s">
        <v>16347</v>
      </c>
      <c r="B699" s="1" t="s">
        <v>23</v>
      </c>
      <c r="C699" s="1" t="s">
        <v>13141</v>
      </c>
      <c r="D699" s="1" t="s">
        <v>23</v>
      </c>
      <c r="E699" s="250">
        <v>2317.2550000000001</v>
      </c>
    </row>
    <row r="700" spans="1:5" x14ac:dyDescent="0.35">
      <c r="A700" s="1" t="s">
        <v>16348</v>
      </c>
      <c r="B700" s="1" t="s">
        <v>23</v>
      </c>
      <c r="C700" s="1" t="s">
        <v>13140</v>
      </c>
      <c r="D700" s="1" t="s">
        <v>23</v>
      </c>
      <c r="E700" s="250">
        <v>2317.2559999999999</v>
      </c>
    </row>
    <row r="701" spans="1:5" x14ac:dyDescent="0.35">
      <c r="A701" s="1" t="s">
        <v>16349</v>
      </c>
      <c r="B701" s="1" t="s">
        <v>57</v>
      </c>
      <c r="C701" s="1" t="s">
        <v>13139</v>
      </c>
      <c r="D701" s="1" t="s">
        <v>57</v>
      </c>
      <c r="E701" s="250">
        <v>2317.2600000000002</v>
      </c>
    </row>
    <row r="702" spans="1:5" x14ac:dyDescent="0.35">
      <c r="A702" s="1" t="s">
        <v>16350</v>
      </c>
      <c r="B702" s="1" t="s">
        <v>18</v>
      </c>
      <c r="C702" s="1" t="s">
        <v>13138</v>
      </c>
      <c r="D702" s="1" t="s">
        <v>18</v>
      </c>
      <c r="E702" s="250">
        <v>2317.261</v>
      </c>
    </row>
    <row r="703" spans="1:5" x14ac:dyDescent="0.35">
      <c r="A703" s="1" t="s">
        <v>16351</v>
      </c>
      <c r="B703" s="1" t="s">
        <v>23</v>
      </c>
      <c r="C703" s="1" t="s">
        <v>13137</v>
      </c>
      <c r="D703" s="1" t="s">
        <v>23</v>
      </c>
      <c r="E703" s="250">
        <v>2317.3000000000002</v>
      </c>
    </row>
    <row r="704" spans="1:5" x14ac:dyDescent="0.35">
      <c r="A704" s="1" t="s">
        <v>16352</v>
      </c>
      <c r="B704" s="1" t="s">
        <v>23</v>
      </c>
      <c r="C704" s="1" t="s">
        <v>13136</v>
      </c>
      <c r="D704" s="1" t="s">
        <v>23</v>
      </c>
      <c r="E704" s="250">
        <v>2317.3009999999999</v>
      </c>
    </row>
    <row r="705" spans="1:5" x14ac:dyDescent="0.35">
      <c r="A705" s="1" t="s">
        <v>16353</v>
      </c>
      <c r="B705" s="1" t="s">
        <v>23</v>
      </c>
      <c r="C705" s="1" t="s">
        <v>13135</v>
      </c>
      <c r="D705" s="1" t="s">
        <v>23</v>
      </c>
      <c r="E705" s="250">
        <v>2317.3020000000001</v>
      </c>
    </row>
    <row r="706" spans="1:5" x14ac:dyDescent="0.35">
      <c r="A706" s="1" t="s">
        <v>16354</v>
      </c>
      <c r="B706" s="1" t="s">
        <v>23</v>
      </c>
      <c r="C706" s="1" t="s">
        <v>13134</v>
      </c>
      <c r="D706" s="1" t="s">
        <v>23</v>
      </c>
      <c r="E706" s="250">
        <v>2317.3029999999999</v>
      </c>
    </row>
    <row r="707" spans="1:5" x14ac:dyDescent="0.35">
      <c r="A707" s="1" t="s">
        <v>16355</v>
      </c>
      <c r="B707" s="1" t="s">
        <v>23</v>
      </c>
      <c r="C707" s="1" t="s">
        <v>13133</v>
      </c>
      <c r="D707" s="1" t="s">
        <v>23</v>
      </c>
      <c r="E707" s="250">
        <v>2317.3040000000001</v>
      </c>
    </row>
    <row r="708" spans="1:5" x14ac:dyDescent="0.35">
      <c r="A708" s="1" t="s">
        <v>16356</v>
      </c>
      <c r="B708" s="1" t="s">
        <v>23</v>
      </c>
      <c r="C708" s="1" t="s">
        <v>13132</v>
      </c>
      <c r="D708" s="1" t="s">
        <v>23</v>
      </c>
      <c r="E708" s="250">
        <v>2317.3049999999998</v>
      </c>
    </row>
    <row r="709" spans="1:5" x14ac:dyDescent="0.35">
      <c r="A709" s="1" t="s">
        <v>16357</v>
      </c>
      <c r="B709" s="1" t="s">
        <v>23</v>
      </c>
      <c r="C709" s="1" t="s">
        <v>13131</v>
      </c>
      <c r="D709" s="1" t="s">
        <v>23</v>
      </c>
      <c r="E709" s="250">
        <v>2317.306</v>
      </c>
    </row>
    <row r="710" spans="1:5" x14ac:dyDescent="0.35">
      <c r="A710" s="1" t="s">
        <v>16358</v>
      </c>
      <c r="B710" s="1" t="s">
        <v>23</v>
      </c>
      <c r="C710" s="1" t="s">
        <v>13130</v>
      </c>
      <c r="D710" s="1" t="s">
        <v>23</v>
      </c>
      <c r="E710" s="250">
        <v>2317.3069999999998</v>
      </c>
    </row>
    <row r="711" spans="1:5" x14ac:dyDescent="0.35">
      <c r="A711" s="1" t="s">
        <v>16359</v>
      </c>
      <c r="B711" s="1" t="s">
        <v>23</v>
      </c>
      <c r="C711" s="1" t="s">
        <v>13129</v>
      </c>
      <c r="D711" s="1" t="s">
        <v>23</v>
      </c>
      <c r="E711" s="250">
        <v>2317.308</v>
      </c>
    </row>
    <row r="712" spans="1:5" x14ac:dyDescent="0.35">
      <c r="A712" s="1" t="s">
        <v>16360</v>
      </c>
      <c r="B712" s="1" t="s">
        <v>23</v>
      </c>
      <c r="C712" s="1" t="s">
        <v>13128</v>
      </c>
      <c r="D712" s="1" t="s">
        <v>23</v>
      </c>
      <c r="E712" s="250">
        <v>2317.3090000000002</v>
      </c>
    </row>
    <row r="713" spans="1:5" x14ac:dyDescent="0.35">
      <c r="A713" s="1" t="s">
        <v>16361</v>
      </c>
      <c r="B713" s="1" t="s">
        <v>23</v>
      </c>
      <c r="C713" s="1" t="s">
        <v>13127</v>
      </c>
      <c r="D713" s="1" t="s">
        <v>23</v>
      </c>
      <c r="E713" s="250">
        <v>2317.31</v>
      </c>
    </row>
    <row r="714" spans="1:5" x14ac:dyDescent="0.35">
      <c r="A714" s="1" t="s">
        <v>16362</v>
      </c>
      <c r="B714" s="1" t="s">
        <v>23</v>
      </c>
      <c r="C714" s="1" t="s">
        <v>13126</v>
      </c>
      <c r="D714" s="1" t="s">
        <v>23</v>
      </c>
      <c r="E714" s="250">
        <v>2317.3110000000001</v>
      </c>
    </row>
    <row r="715" spans="1:5" x14ac:dyDescent="0.35">
      <c r="A715" s="1" t="s">
        <v>16363</v>
      </c>
      <c r="B715" s="1" t="s">
        <v>23</v>
      </c>
      <c r="C715" s="1" t="s">
        <v>13125</v>
      </c>
      <c r="D715" s="1" t="s">
        <v>23</v>
      </c>
      <c r="E715" s="250">
        <v>2317.3139999999999</v>
      </c>
    </row>
    <row r="716" spans="1:5" x14ac:dyDescent="0.35">
      <c r="A716" s="1" t="s">
        <v>16364</v>
      </c>
      <c r="B716" s="1" t="s">
        <v>23</v>
      </c>
      <c r="C716" s="1" t="s">
        <v>13124</v>
      </c>
      <c r="D716" s="1" t="s">
        <v>23</v>
      </c>
      <c r="E716" s="250">
        <v>2317.3150000000001</v>
      </c>
    </row>
    <row r="717" spans="1:5" x14ac:dyDescent="0.35">
      <c r="A717" s="1" t="s">
        <v>16365</v>
      </c>
      <c r="B717" s="1" t="s">
        <v>23</v>
      </c>
      <c r="C717" s="1" t="s">
        <v>13123</v>
      </c>
      <c r="D717" s="1" t="s">
        <v>23</v>
      </c>
      <c r="E717" s="250">
        <v>2317.3159999999998</v>
      </c>
    </row>
    <row r="718" spans="1:5" x14ac:dyDescent="0.35">
      <c r="A718" s="1" t="s">
        <v>16366</v>
      </c>
      <c r="B718" s="1" t="s">
        <v>23</v>
      </c>
      <c r="C718" s="1" t="s">
        <v>13122</v>
      </c>
      <c r="D718" s="1" t="s">
        <v>23</v>
      </c>
      <c r="E718" s="250">
        <v>2317.317</v>
      </c>
    </row>
    <row r="719" spans="1:5" x14ac:dyDescent="0.35">
      <c r="A719" s="1" t="s">
        <v>16367</v>
      </c>
      <c r="B719" s="1" t="s">
        <v>23</v>
      </c>
      <c r="C719" s="1" t="s">
        <v>13121</v>
      </c>
      <c r="D719" s="1" t="s">
        <v>23</v>
      </c>
      <c r="E719" s="250">
        <v>2317.3180000000002</v>
      </c>
    </row>
    <row r="720" spans="1:5" x14ac:dyDescent="0.35">
      <c r="A720" s="1" t="s">
        <v>16368</v>
      </c>
      <c r="B720" s="1" t="s">
        <v>23</v>
      </c>
      <c r="C720" s="1" t="s">
        <v>13120</v>
      </c>
      <c r="D720" s="1" t="s">
        <v>23</v>
      </c>
      <c r="E720" s="250">
        <v>2317.319</v>
      </c>
    </row>
    <row r="721" spans="1:5" x14ac:dyDescent="0.35">
      <c r="A721" s="1" t="s">
        <v>16369</v>
      </c>
      <c r="B721" s="1" t="s">
        <v>23</v>
      </c>
      <c r="C721" s="1" t="s">
        <v>13119</v>
      </c>
      <c r="D721" s="1" t="s">
        <v>23</v>
      </c>
      <c r="E721" s="250">
        <v>2317.3200000000002</v>
      </c>
    </row>
    <row r="722" spans="1:5" x14ac:dyDescent="0.35">
      <c r="A722" s="1" t="s">
        <v>16370</v>
      </c>
      <c r="B722" s="1" t="s">
        <v>23</v>
      </c>
      <c r="C722" s="1" t="s">
        <v>13118</v>
      </c>
      <c r="D722" s="1" t="s">
        <v>23</v>
      </c>
      <c r="E722" s="250">
        <v>2317.3209999999999</v>
      </c>
    </row>
    <row r="723" spans="1:5" x14ac:dyDescent="0.35">
      <c r="A723" s="1" t="s">
        <v>16371</v>
      </c>
      <c r="B723" s="1" t="s">
        <v>23</v>
      </c>
      <c r="C723" s="1" t="s">
        <v>13117</v>
      </c>
      <c r="D723" s="1" t="s">
        <v>23</v>
      </c>
      <c r="E723" s="250">
        <v>2317.3220000000001</v>
      </c>
    </row>
    <row r="724" spans="1:5" x14ac:dyDescent="0.35">
      <c r="A724" s="1" t="s">
        <v>16372</v>
      </c>
      <c r="B724" s="1" t="s">
        <v>23</v>
      </c>
      <c r="C724" s="1" t="s">
        <v>13116</v>
      </c>
      <c r="D724" s="1" t="s">
        <v>23</v>
      </c>
      <c r="E724" s="250">
        <v>2317.3229999999999</v>
      </c>
    </row>
    <row r="725" spans="1:5" x14ac:dyDescent="0.35">
      <c r="A725" s="1" t="s">
        <v>16373</v>
      </c>
      <c r="B725" s="1" t="s">
        <v>23</v>
      </c>
      <c r="C725" s="1" t="s">
        <v>13115</v>
      </c>
      <c r="D725" s="1" t="s">
        <v>23</v>
      </c>
      <c r="E725" s="250">
        <v>2317.3240000000001</v>
      </c>
    </row>
    <row r="726" spans="1:5" x14ac:dyDescent="0.35">
      <c r="A726" s="1" t="s">
        <v>16374</v>
      </c>
      <c r="B726" s="1" t="s">
        <v>57</v>
      </c>
      <c r="C726" s="1" t="s">
        <v>13114</v>
      </c>
      <c r="D726" s="1" t="s">
        <v>57</v>
      </c>
      <c r="E726" s="250">
        <v>2317.35</v>
      </c>
    </row>
    <row r="727" spans="1:5" x14ac:dyDescent="0.35">
      <c r="A727" s="1" t="s">
        <v>16375</v>
      </c>
      <c r="B727" s="1" t="s">
        <v>23</v>
      </c>
      <c r="C727" s="1" t="s">
        <v>13113</v>
      </c>
      <c r="D727" s="1" t="s">
        <v>23</v>
      </c>
      <c r="E727" s="250">
        <v>2317.3510000000001</v>
      </c>
    </row>
    <row r="728" spans="1:5" x14ac:dyDescent="0.35">
      <c r="A728" s="1" t="s">
        <v>16376</v>
      </c>
      <c r="B728" s="1" t="s">
        <v>23</v>
      </c>
      <c r="C728" s="1" t="s">
        <v>13112</v>
      </c>
      <c r="D728" s="1" t="s">
        <v>23</v>
      </c>
      <c r="E728" s="250">
        <v>2317.3519999999999</v>
      </c>
    </row>
    <row r="729" spans="1:5" x14ac:dyDescent="0.35">
      <c r="A729" s="1" t="s">
        <v>16377</v>
      </c>
      <c r="B729" s="1" t="s">
        <v>23</v>
      </c>
      <c r="C729" s="1" t="s">
        <v>13111</v>
      </c>
      <c r="D729" s="1" t="s">
        <v>23</v>
      </c>
      <c r="E729" s="250">
        <v>2317.3530000000001</v>
      </c>
    </row>
    <row r="730" spans="1:5" x14ac:dyDescent="0.35">
      <c r="A730" s="1" t="s">
        <v>16378</v>
      </c>
      <c r="B730" s="1" t="s">
        <v>23</v>
      </c>
      <c r="C730" s="1" t="s">
        <v>13110</v>
      </c>
      <c r="D730" s="1" t="s">
        <v>23</v>
      </c>
      <c r="E730" s="250">
        <v>2317.3539999999998</v>
      </c>
    </row>
    <row r="731" spans="1:5" x14ac:dyDescent="0.35">
      <c r="A731" s="1" t="s">
        <v>16379</v>
      </c>
      <c r="B731" s="1" t="s">
        <v>23</v>
      </c>
      <c r="C731" s="1" t="s">
        <v>13109</v>
      </c>
      <c r="D731" s="1" t="s">
        <v>23</v>
      </c>
      <c r="E731" s="250">
        <v>2317.355</v>
      </c>
    </row>
    <row r="732" spans="1:5" x14ac:dyDescent="0.35">
      <c r="A732" s="1" t="s">
        <v>16380</v>
      </c>
      <c r="B732" s="1" t="s">
        <v>23</v>
      </c>
      <c r="C732" s="1" t="s">
        <v>13108</v>
      </c>
      <c r="D732" s="1" t="s">
        <v>23</v>
      </c>
      <c r="E732" s="250">
        <v>2317.3560000000002</v>
      </c>
    </row>
    <row r="733" spans="1:5" x14ac:dyDescent="0.35">
      <c r="A733" s="1" t="s">
        <v>16381</v>
      </c>
      <c r="B733" s="1" t="s">
        <v>23</v>
      </c>
      <c r="C733" s="1" t="s">
        <v>13107</v>
      </c>
      <c r="D733" s="1" t="s">
        <v>23</v>
      </c>
      <c r="E733" s="250">
        <v>2317.357</v>
      </c>
    </row>
    <row r="734" spans="1:5" x14ac:dyDescent="0.35">
      <c r="A734" s="1" t="s">
        <v>16382</v>
      </c>
      <c r="B734" s="1" t="s">
        <v>23</v>
      </c>
      <c r="C734" s="1" t="s">
        <v>13106</v>
      </c>
      <c r="D734" s="1" t="s">
        <v>23</v>
      </c>
      <c r="E734" s="250">
        <v>2317.3589999999999</v>
      </c>
    </row>
    <row r="735" spans="1:5" x14ac:dyDescent="0.35">
      <c r="A735" s="2" t="s">
        <v>16383</v>
      </c>
      <c r="B735" s="1" t="s">
        <v>57</v>
      </c>
      <c r="C735" s="1" t="s">
        <v>13105</v>
      </c>
      <c r="D735" s="1" t="s">
        <v>57</v>
      </c>
      <c r="E735" s="250">
        <v>2318.0100000000002</v>
      </c>
    </row>
    <row r="736" spans="1:5" x14ac:dyDescent="0.35">
      <c r="A736" s="1" t="s">
        <v>16384</v>
      </c>
      <c r="B736" s="1" t="s">
        <v>23</v>
      </c>
      <c r="C736" s="1" t="s">
        <v>13104</v>
      </c>
      <c r="D736" s="1" t="s">
        <v>23</v>
      </c>
      <c r="E736" s="250">
        <v>2318.011</v>
      </c>
    </row>
    <row r="737" spans="1:5" x14ac:dyDescent="0.35">
      <c r="A737" s="1" t="s">
        <v>16385</v>
      </c>
      <c r="B737" s="1" t="s">
        <v>23</v>
      </c>
      <c r="C737" s="1" t="s">
        <v>13103</v>
      </c>
      <c r="D737" s="1" t="s">
        <v>23</v>
      </c>
      <c r="E737" s="250">
        <v>2318.0120000000002</v>
      </c>
    </row>
    <row r="738" spans="1:5" x14ac:dyDescent="0.35">
      <c r="A738" s="1" t="s">
        <v>16386</v>
      </c>
      <c r="B738" s="1" t="s">
        <v>23</v>
      </c>
      <c r="C738" s="1" t="s">
        <v>13102</v>
      </c>
      <c r="D738" s="1" t="s">
        <v>23</v>
      </c>
      <c r="E738" s="250">
        <v>2318.0129999999999</v>
      </c>
    </row>
    <row r="739" spans="1:5" x14ac:dyDescent="0.35">
      <c r="A739" s="1" t="s">
        <v>16387</v>
      </c>
      <c r="B739" s="1" t="s">
        <v>23</v>
      </c>
      <c r="C739" s="1" t="s">
        <v>13101</v>
      </c>
      <c r="D739" s="1" t="s">
        <v>23</v>
      </c>
      <c r="E739" s="250">
        <v>2318.0140000000001</v>
      </c>
    </row>
    <row r="740" spans="1:5" x14ac:dyDescent="0.35">
      <c r="A740" s="1" t="s">
        <v>16388</v>
      </c>
      <c r="B740" s="1" t="s">
        <v>23</v>
      </c>
      <c r="C740" s="1" t="s">
        <v>13100</v>
      </c>
      <c r="D740" s="1" t="s">
        <v>23</v>
      </c>
      <c r="E740" s="250">
        <v>2318.0149999999999</v>
      </c>
    </row>
    <row r="741" spans="1:5" x14ac:dyDescent="0.35">
      <c r="A741" s="1" t="s">
        <v>16389</v>
      </c>
      <c r="B741" s="1" t="s">
        <v>23</v>
      </c>
      <c r="C741" s="1" t="s">
        <v>13099</v>
      </c>
      <c r="D741" s="1" t="s">
        <v>23</v>
      </c>
      <c r="E741" s="250">
        <v>2318.0160000000001</v>
      </c>
    </row>
    <row r="742" spans="1:5" x14ac:dyDescent="0.35">
      <c r="A742" s="1" t="s">
        <v>16390</v>
      </c>
      <c r="B742" s="1" t="s">
        <v>23</v>
      </c>
      <c r="C742" s="1" t="s">
        <v>13098</v>
      </c>
      <c r="D742" s="1" t="s">
        <v>23</v>
      </c>
      <c r="E742" s="250">
        <v>2318.0169999999998</v>
      </c>
    </row>
    <row r="743" spans="1:5" x14ac:dyDescent="0.35">
      <c r="A743" s="1" t="s">
        <v>16391</v>
      </c>
      <c r="B743" s="1" t="s">
        <v>23</v>
      </c>
      <c r="C743" s="1" t="s">
        <v>13097</v>
      </c>
      <c r="D743" s="1" t="s">
        <v>23</v>
      </c>
      <c r="E743" s="250">
        <v>2318.018</v>
      </c>
    </row>
    <row r="744" spans="1:5" x14ac:dyDescent="0.35">
      <c r="A744" s="1" t="s">
        <v>16392</v>
      </c>
      <c r="B744" s="1" t="s">
        <v>23</v>
      </c>
      <c r="C744" s="1" t="s">
        <v>13096</v>
      </c>
      <c r="D744" s="1" t="s">
        <v>23</v>
      </c>
      <c r="E744" s="250">
        <v>2318.0189999999998</v>
      </c>
    </row>
    <row r="745" spans="1:5" x14ac:dyDescent="0.35">
      <c r="A745" s="1" t="s">
        <v>16393</v>
      </c>
      <c r="B745" s="1" t="s">
        <v>23</v>
      </c>
      <c r="C745" s="1" t="s">
        <v>13095</v>
      </c>
      <c r="D745" s="1" t="s">
        <v>23</v>
      </c>
      <c r="E745" s="250">
        <v>2318.09</v>
      </c>
    </row>
    <row r="746" spans="1:5" x14ac:dyDescent="0.35">
      <c r="A746" s="1" t="s">
        <v>16394</v>
      </c>
      <c r="B746" s="1" t="s">
        <v>23</v>
      </c>
      <c r="C746" s="1" t="s">
        <v>13094</v>
      </c>
      <c r="D746" s="1" t="s">
        <v>23</v>
      </c>
      <c r="E746" s="250">
        <v>2318.0909999999999</v>
      </c>
    </row>
    <row r="747" spans="1:5" x14ac:dyDescent="0.35">
      <c r="A747" s="2" t="s">
        <v>16395</v>
      </c>
      <c r="B747" s="1" t="s">
        <v>23</v>
      </c>
      <c r="C747" s="1" t="s">
        <v>13093</v>
      </c>
      <c r="D747" s="1" t="s">
        <v>23</v>
      </c>
      <c r="E747" s="250">
        <v>2323.0100000000002</v>
      </c>
    </row>
    <row r="748" spans="1:5" x14ac:dyDescent="0.35">
      <c r="A748" s="1" t="s">
        <v>16396</v>
      </c>
      <c r="B748" s="1" t="s">
        <v>23</v>
      </c>
      <c r="C748" s="1" t="s">
        <v>13092</v>
      </c>
      <c r="D748" s="1" t="s">
        <v>23</v>
      </c>
      <c r="E748" s="250">
        <v>2323.011</v>
      </c>
    </row>
    <row r="749" spans="1:5" x14ac:dyDescent="0.35">
      <c r="A749" s="2" t="s">
        <v>16397</v>
      </c>
      <c r="B749" s="1" t="s">
        <v>23</v>
      </c>
      <c r="C749" s="1" t="s">
        <v>13091</v>
      </c>
      <c r="D749" s="1" t="s">
        <v>23</v>
      </c>
      <c r="E749" s="250">
        <v>2324.0100000000002</v>
      </c>
    </row>
    <row r="750" spans="1:5" x14ac:dyDescent="0.35">
      <c r="A750" s="1" t="s">
        <v>16398</v>
      </c>
      <c r="B750" s="1" t="s">
        <v>23</v>
      </c>
      <c r="C750" s="1" t="s">
        <v>13090</v>
      </c>
      <c r="D750" s="1" t="s">
        <v>23</v>
      </c>
      <c r="E750" s="250">
        <v>2324.011</v>
      </c>
    </row>
    <row r="751" spans="1:5" x14ac:dyDescent="0.35">
      <c r="A751" s="1" t="s">
        <v>16399</v>
      </c>
      <c r="B751" s="1" t="s">
        <v>23</v>
      </c>
      <c r="C751" s="1" t="s">
        <v>13089</v>
      </c>
      <c r="D751" s="1" t="s">
        <v>23</v>
      </c>
      <c r="E751" s="250">
        <v>2324.02</v>
      </c>
    </row>
    <row r="752" spans="1:5" x14ac:dyDescent="0.35">
      <c r="A752" s="1" t="s">
        <v>16400</v>
      </c>
      <c r="B752" s="1" t="s">
        <v>23</v>
      </c>
      <c r="C752" s="1" t="s">
        <v>13088</v>
      </c>
      <c r="D752" s="1" t="s">
        <v>23</v>
      </c>
      <c r="E752" s="250">
        <v>2324.0210000000002</v>
      </c>
    </row>
    <row r="753" spans="1:5" x14ac:dyDescent="0.35">
      <c r="A753" s="1" t="s">
        <v>16401</v>
      </c>
      <c r="B753" s="1" t="s">
        <v>20</v>
      </c>
      <c r="C753" s="1" t="s">
        <v>13087</v>
      </c>
      <c r="D753" s="1" t="s">
        <v>20</v>
      </c>
      <c r="E753" s="250">
        <v>2324.0300000000002</v>
      </c>
    </row>
    <row r="754" spans="1:5" x14ac:dyDescent="0.35">
      <c r="A754" s="1" t="s">
        <v>16402</v>
      </c>
      <c r="B754" s="1" t="s">
        <v>20</v>
      </c>
      <c r="C754" s="1" t="s">
        <v>13086</v>
      </c>
      <c r="D754" s="1" t="s">
        <v>20</v>
      </c>
      <c r="E754" s="250">
        <v>2324.0309999999999</v>
      </c>
    </row>
    <row r="755" spans="1:5" x14ac:dyDescent="0.35">
      <c r="A755" s="1" t="s">
        <v>16403</v>
      </c>
      <c r="B755" s="1" t="s">
        <v>23</v>
      </c>
      <c r="C755" s="1" t="s">
        <v>13085</v>
      </c>
      <c r="D755" s="1" t="s">
        <v>23</v>
      </c>
      <c r="E755" s="250">
        <v>2324.04</v>
      </c>
    </row>
    <row r="756" spans="1:5" x14ac:dyDescent="0.35">
      <c r="A756" s="1" t="s">
        <v>16404</v>
      </c>
      <c r="B756" s="1" t="s">
        <v>23</v>
      </c>
      <c r="C756" s="1" t="s">
        <v>13084</v>
      </c>
      <c r="D756" s="1" t="s">
        <v>23</v>
      </c>
      <c r="E756" s="250">
        <v>2324.0410000000002</v>
      </c>
    </row>
    <row r="757" spans="1:5" x14ac:dyDescent="0.35">
      <c r="A757" s="1" t="s">
        <v>16405</v>
      </c>
      <c r="B757" s="1" t="s">
        <v>19</v>
      </c>
      <c r="C757" s="1" t="s">
        <v>13083</v>
      </c>
      <c r="D757" s="1" t="s">
        <v>19</v>
      </c>
      <c r="E757" s="250">
        <v>2324.0500000000002</v>
      </c>
    </row>
    <row r="758" spans="1:5" x14ac:dyDescent="0.35">
      <c r="A758" s="1" t="s">
        <v>16406</v>
      </c>
      <c r="B758" s="1" t="s">
        <v>23</v>
      </c>
      <c r="C758" s="1" t="s">
        <v>13082</v>
      </c>
      <c r="D758" s="1" t="s">
        <v>23</v>
      </c>
      <c r="E758" s="250">
        <v>2324.06</v>
      </c>
    </row>
    <row r="759" spans="1:5" x14ac:dyDescent="0.35">
      <c r="A759" s="1" t="s">
        <v>16407</v>
      </c>
      <c r="B759" s="1" t="s">
        <v>23</v>
      </c>
      <c r="C759" s="1" t="s">
        <v>13081</v>
      </c>
      <c r="D759" s="1" t="s">
        <v>23</v>
      </c>
      <c r="E759" s="250">
        <v>2324.0610000000001</v>
      </c>
    </row>
    <row r="760" spans="1:5" x14ac:dyDescent="0.35">
      <c r="A760" s="1" t="s">
        <v>16408</v>
      </c>
      <c r="B760" s="1" t="s">
        <v>23</v>
      </c>
      <c r="C760" s="1" t="s">
        <v>13080</v>
      </c>
      <c r="D760" s="1" t="s">
        <v>23</v>
      </c>
      <c r="E760" s="250">
        <v>2324.0619999999999</v>
      </c>
    </row>
    <row r="761" spans="1:5" x14ac:dyDescent="0.35">
      <c r="A761" s="2" t="s">
        <v>16409</v>
      </c>
      <c r="B761" s="1" t="s">
        <v>20</v>
      </c>
      <c r="C761" s="1" t="s">
        <v>13079</v>
      </c>
      <c r="D761" s="1" t="s">
        <v>20</v>
      </c>
      <c r="E761" s="250">
        <v>2360.0100000000002</v>
      </c>
    </row>
    <row r="762" spans="1:5" x14ac:dyDescent="0.35">
      <c r="A762" s="1" t="s">
        <v>16410</v>
      </c>
      <c r="B762" s="1" t="s">
        <v>20</v>
      </c>
      <c r="C762" s="1" t="s">
        <v>13078</v>
      </c>
      <c r="D762" s="1" t="s">
        <v>20</v>
      </c>
      <c r="E762" s="250">
        <v>2360.3009999999999</v>
      </c>
    </row>
    <row r="763" spans="1:5" x14ac:dyDescent="0.35">
      <c r="A763" s="2" t="s">
        <v>16411</v>
      </c>
      <c r="B763" s="1" t="s">
        <v>19</v>
      </c>
      <c r="C763" s="1" t="s">
        <v>13077</v>
      </c>
      <c r="D763" s="1" t="s">
        <v>19</v>
      </c>
      <c r="E763" s="250">
        <v>2455.0100000000002</v>
      </c>
    </row>
    <row r="764" spans="1:5" x14ac:dyDescent="0.35">
      <c r="A764" s="1" t="s">
        <v>16412</v>
      </c>
      <c r="B764" s="1" t="s">
        <v>19</v>
      </c>
      <c r="C764" s="1" t="s">
        <v>13076</v>
      </c>
      <c r="D764" s="1" t="s">
        <v>19</v>
      </c>
      <c r="E764" s="250">
        <v>2455.011</v>
      </c>
    </row>
    <row r="765" spans="1:5" x14ac:dyDescent="0.35">
      <c r="A765" s="1" t="s">
        <v>16413</v>
      </c>
      <c r="B765" s="1" t="s">
        <v>19</v>
      </c>
      <c r="C765" s="1" t="s">
        <v>13075</v>
      </c>
      <c r="D765" s="1" t="s">
        <v>19</v>
      </c>
      <c r="E765" s="250">
        <v>2455.0120000000002</v>
      </c>
    </row>
    <row r="766" spans="1:5" x14ac:dyDescent="0.35">
      <c r="A766" s="1" t="s">
        <v>16414</v>
      </c>
      <c r="B766" s="1" t="s">
        <v>19</v>
      </c>
      <c r="C766" s="1" t="s">
        <v>13074</v>
      </c>
      <c r="D766" s="1" t="s">
        <v>19</v>
      </c>
      <c r="E766" s="250">
        <v>2455.0129999999999</v>
      </c>
    </row>
    <row r="767" spans="1:5" x14ac:dyDescent="0.35">
      <c r="A767" s="1" t="s">
        <v>16415</v>
      </c>
      <c r="B767" s="1" t="s">
        <v>19</v>
      </c>
      <c r="C767" s="1" t="s">
        <v>13073</v>
      </c>
      <c r="D767" s="1" t="s">
        <v>19</v>
      </c>
      <c r="E767" s="250">
        <v>2455.0140000000001</v>
      </c>
    </row>
    <row r="768" spans="1:5" x14ac:dyDescent="0.35">
      <c r="A768" s="1" t="s">
        <v>16416</v>
      </c>
      <c r="B768" s="1" t="s">
        <v>19</v>
      </c>
      <c r="C768" s="1" t="s">
        <v>13072</v>
      </c>
      <c r="D768" s="1" t="s">
        <v>19</v>
      </c>
      <c r="E768" s="250">
        <v>2455.0149999999999</v>
      </c>
    </row>
    <row r="769" spans="1:5" x14ac:dyDescent="0.35">
      <c r="A769" s="1" t="s">
        <v>16417</v>
      </c>
      <c r="B769" s="1" t="s">
        <v>19</v>
      </c>
      <c r="C769" s="1" t="s">
        <v>13071</v>
      </c>
      <c r="D769" s="1" t="s">
        <v>19</v>
      </c>
      <c r="E769" s="250">
        <v>2455.0160000000001</v>
      </c>
    </row>
    <row r="770" spans="1:5" x14ac:dyDescent="0.35">
      <c r="A770" s="1" t="s">
        <v>16418</v>
      </c>
      <c r="B770" s="1" t="s">
        <v>19</v>
      </c>
      <c r="C770" s="1" t="s">
        <v>13070</v>
      </c>
      <c r="D770" s="1" t="s">
        <v>19</v>
      </c>
      <c r="E770" s="250">
        <v>2455.0169999999998</v>
      </c>
    </row>
    <row r="771" spans="1:5" x14ac:dyDescent="0.35">
      <c r="A771" s="1" t="s">
        <v>16419</v>
      </c>
      <c r="B771" s="1" t="s">
        <v>19</v>
      </c>
      <c r="C771" s="1" t="s">
        <v>13069</v>
      </c>
      <c r="D771" s="1" t="s">
        <v>19</v>
      </c>
      <c r="E771" s="250">
        <v>2455.018</v>
      </c>
    </row>
    <row r="772" spans="1:5" x14ac:dyDescent="0.35">
      <c r="A772" s="1" t="s">
        <v>16420</v>
      </c>
      <c r="B772" s="1" t="s">
        <v>19</v>
      </c>
      <c r="C772" s="1" t="s">
        <v>13068</v>
      </c>
      <c r="D772" s="1" t="s">
        <v>19</v>
      </c>
      <c r="E772" s="250">
        <v>2455.0189999999998</v>
      </c>
    </row>
    <row r="773" spans="1:5" x14ac:dyDescent="0.35">
      <c r="A773" s="1" t="s">
        <v>16421</v>
      </c>
      <c r="B773" s="1" t="s">
        <v>19</v>
      </c>
      <c r="C773" s="1" t="s">
        <v>13067</v>
      </c>
      <c r="D773" s="1" t="s">
        <v>19</v>
      </c>
      <c r="E773" s="250">
        <v>2455.02</v>
      </c>
    </row>
    <row r="774" spans="1:5" x14ac:dyDescent="0.35">
      <c r="A774" s="1" t="s">
        <v>16422</v>
      </c>
      <c r="B774" s="1" t="s">
        <v>19</v>
      </c>
      <c r="C774" s="1" t="s">
        <v>13066</v>
      </c>
      <c r="D774" s="1" t="s">
        <v>19</v>
      </c>
      <c r="E774" s="250">
        <v>2455.0210000000002</v>
      </c>
    </row>
    <row r="775" spans="1:5" x14ac:dyDescent="0.35">
      <c r="A775" s="1" t="s">
        <v>16423</v>
      </c>
      <c r="B775" s="1" t="s">
        <v>19</v>
      </c>
      <c r="C775" s="1" t="s">
        <v>13065</v>
      </c>
      <c r="D775" s="1" t="s">
        <v>19</v>
      </c>
      <c r="E775" s="250">
        <v>2455.04</v>
      </c>
    </row>
    <row r="776" spans="1:5" x14ac:dyDescent="0.35">
      <c r="A776" s="1" t="s">
        <v>16424</v>
      </c>
      <c r="B776" s="1" t="s">
        <v>19</v>
      </c>
      <c r="C776" s="1" t="s">
        <v>13064</v>
      </c>
      <c r="D776" s="1" t="s">
        <v>19</v>
      </c>
      <c r="E776" s="250">
        <v>2455.0410000000002</v>
      </c>
    </row>
    <row r="777" spans="1:5" x14ac:dyDescent="0.35">
      <c r="A777" s="1" t="s">
        <v>16425</v>
      </c>
      <c r="B777" s="1" t="s">
        <v>19</v>
      </c>
      <c r="C777" s="1" t="s">
        <v>13063</v>
      </c>
      <c r="D777" s="1" t="s">
        <v>19</v>
      </c>
      <c r="E777" s="250">
        <v>2455.0419999999999</v>
      </c>
    </row>
    <row r="778" spans="1:5" x14ac:dyDescent="0.35">
      <c r="A778" s="1" t="s">
        <v>16426</v>
      </c>
      <c r="B778" s="1" t="s">
        <v>19</v>
      </c>
      <c r="C778" s="1" t="s">
        <v>13062</v>
      </c>
      <c r="D778" s="1" t="s">
        <v>19</v>
      </c>
      <c r="E778" s="250">
        <v>2455.0430000000001</v>
      </c>
    </row>
    <row r="779" spans="1:5" x14ac:dyDescent="0.35">
      <c r="A779" s="1" t="s">
        <v>16427</v>
      </c>
      <c r="B779" s="1" t="s">
        <v>19</v>
      </c>
      <c r="C779" s="1" t="s">
        <v>13061</v>
      </c>
      <c r="D779" s="1" t="s">
        <v>19</v>
      </c>
      <c r="E779" s="250">
        <v>2455.0439999999999</v>
      </c>
    </row>
    <row r="780" spans="1:5" x14ac:dyDescent="0.35">
      <c r="A780" s="1" t="s">
        <v>16428</v>
      </c>
      <c r="B780" s="1" t="s">
        <v>19</v>
      </c>
      <c r="C780" s="1" t="s">
        <v>13060</v>
      </c>
      <c r="D780" s="1" t="s">
        <v>19</v>
      </c>
      <c r="E780" s="250">
        <v>2455.0459999999998</v>
      </c>
    </row>
    <row r="781" spans="1:5" x14ac:dyDescent="0.35">
      <c r="A781" s="1" t="s">
        <v>16429</v>
      </c>
      <c r="B781" s="1" t="s">
        <v>19</v>
      </c>
      <c r="C781" s="1" t="s">
        <v>13059</v>
      </c>
      <c r="D781" s="1" t="s">
        <v>19</v>
      </c>
      <c r="E781" s="250">
        <v>2455.047</v>
      </c>
    </row>
    <row r="782" spans="1:5" x14ac:dyDescent="0.35">
      <c r="A782" s="1" t="s">
        <v>16430</v>
      </c>
      <c r="B782" s="1" t="s">
        <v>19</v>
      </c>
      <c r="C782" s="1" t="s">
        <v>13058</v>
      </c>
      <c r="D782" s="1" t="s">
        <v>19</v>
      </c>
      <c r="E782" s="250">
        <v>2455.0479999999998</v>
      </c>
    </row>
    <row r="783" spans="1:5" x14ac:dyDescent="0.35">
      <c r="A783" s="1" t="s">
        <v>16431</v>
      </c>
      <c r="B783" s="1" t="s">
        <v>19</v>
      </c>
      <c r="C783" s="1" t="s">
        <v>13057</v>
      </c>
      <c r="D783" s="1" t="s">
        <v>19</v>
      </c>
      <c r="E783" s="250">
        <v>2455.049</v>
      </c>
    </row>
    <row r="784" spans="1:5" x14ac:dyDescent="0.35">
      <c r="A784" s="1" t="s">
        <v>16432</v>
      </c>
      <c r="B784" s="1" t="s">
        <v>19</v>
      </c>
      <c r="C784" s="1" t="s">
        <v>13056</v>
      </c>
      <c r="D784" s="1" t="s">
        <v>19</v>
      </c>
      <c r="E784" s="250">
        <v>2455.0520000000001</v>
      </c>
    </row>
    <row r="785" spans="1:5" x14ac:dyDescent="0.35">
      <c r="A785" s="1" t="s">
        <v>16433</v>
      </c>
      <c r="B785" s="1" t="s">
        <v>19</v>
      </c>
      <c r="C785" s="1" t="s">
        <v>13055</v>
      </c>
      <c r="D785" s="1" t="s">
        <v>19</v>
      </c>
      <c r="E785" s="250">
        <v>2455.056</v>
      </c>
    </row>
    <row r="786" spans="1:5" x14ac:dyDescent="0.35">
      <c r="A786" s="1" t="s">
        <v>16434</v>
      </c>
      <c r="B786" s="1" t="s">
        <v>19</v>
      </c>
      <c r="C786" s="1" t="s">
        <v>13054</v>
      </c>
      <c r="D786" s="1" t="s">
        <v>19</v>
      </c>
      <c r="E786" s="250">
        <v>2455.06</v>
      </c>
    </row>
    <row r="787" spans="1:5" x14ac:dyDescent="0.35">
      <c r="A787" s="1" t="s">
        <v>16435</v>
      </c>
      <c r="B787" s="1" t="s">
        <v>19</v>
      </c>
      <c r="C787" s="1" t="s">
        <v>13053</v>
      </c>
      <c r="D787" s="1" t="s">
        <v>19</v>
      </c>
      <c r="E787" s="250">
        <v>2455.0639999999999</v>
      </c>
    </row>
    <row r="788" spans="1:5" x14ac:dyDescent="0.35">
      <c r="A788" s="1" t="s">
        <v>16436</v>
      </c>
      <c r="B788" s="1" t="s">
        <v>19</v>
      </c>
      <c r="C788" s="1" t="s">
        <v>13052</v>
      </c>
      <c r="D788" s="1" t="s">
        <v>19</v>
      </c>
      <c r="E788" s="250">
        <v>2455.0680000000002</v>
      </c>
    </row>
    <row r="789" spans="1:5" x14ac:dyDescent="0.35">
      <c r="A789" s="1" t="s">
        <v>16437</v>
      </c>
      <c r="B789" s="1" t="s">
        <v>19</v>
      </c>
      <c r="C789" s="1" t="s">
        <v>13051</v>
      </c>
      <c r="D789" s="1" t="s">
        <v>19</v>
      </c>
      <c r="E789" s="250">
        <v>2455.0720000000001</v>
      </c>
    </row>
    <row r="790" spans="1:5" x14ac:dyDescent="0.35">
      <c r="A790" s="1" t="s">
        <v>16438</v>
      </c>
      <c r="B790" s="1" t="s">
        <v>19</v>
      </c>
      <c r="C790" s="1" t="s">
        <v>13050</v>
      </c>
      <c r="D790" s="1" t="s">
        <v>19</v>
      </c>
      <c r="E790" s="250">
        <v>2455.09</v>
      </c>
    </row>
    <row r="791" spans="1:5" x14ac:dyDescent="0.35">
      <c r="A791" s="1" t="s">
        <v>16439</v>
      </c>
      <c r="B791" s="1" t="s">
        <v>19</v>
      </c>
      <c r="C791" s="1" t="s">
        <v>13049</v>
      </c>
      <c r="D791" s="1" t="s">
        <v>19</v>
      </c>
      <c r="E791" s="250">
        <v>2455.0909999999999</v>
      </c>
    </row>
    <row r="792" spans="1:5" x14ac:dyDescent="0.35">
      <c r="A792" s="1" t="s">
        <v>16440</v>
      </c>
      <c r="B792" s="1" t="s">
        <v>19</v>
      </c>
      <c r="C792" s="1" t="s">
        <v>13048</v>
      </c>
      <c r="D792" s="1" t="s">
        <v>19</v>
      </c>
      <c r="E792" s="250">
        <v>2455.0920000000001</v>
      </c>
    </row>
    <row r="793" spans="1:5" x14ac:dyDescent="0.35">
      <c r="A793" s="1" t="s">
        <v>16441</v>
      </c>
      <c r="B793" s="1" t="s">
        <v>19</v>
      </c>
      <c r="C793" s="1" t="s">
        <v>13047</v>
      </c>
      <c r="D793" s="1" t="s">
        <v>19</v>
      </c>
      <c r="E793" s="250">
        <v>2455.0929999999998</v>
      </c>
    </row>
    <row r="794" spans="1:5" x14ac:dyDescent="0.35">
      <c r="A794" s="1" t="s">
        <v>16442</v>
      </c>
      <c r="B794" s="1" t="s">
        <v>19</v>
      </c>
      <c r="C794" s="1" t="s">
        <v>13046</v>
      </c>
      <c r="D794" s="1" t="s">
        <v>19</v>
      </c>
      <c r="E794" s="250">
        <v>2455.0940000000001</v>
      </c>
    </row>
    <row r="795" spans="1:5" x14ac:dyDescent="0.35">
      <c r="A795" s="1" t="s">
        <v>16443</v>
      </c>
      <c r="B795" s="1" t="s">
        <v>19</v>
      </c>
      <c r="C795" s="1" t="s">
        <v>13045</v>
      </c>
      <c r="D795" s="1" t="s">
        <v>19</v>
      </c>
      <c r="E795" s="250">
        <v>2455.0949999999998</v>
      </c>
    </row>
    <row r="796" spans="1:5" x14ac:dyDescent="0.35">
      <c r="A796" s="1" t="s">
        <v>16444</v>
      </c>
      <c r="B796" s="1" t="s">
        <v>19</v>
      </c>
      <c r="C796" s="1" t="s">
        <v>13044</v>
      </c>
      <c r="D796" s="1" t="s">
        <v>19</v>
      </c>
      <c r="E796" s="250">
        <v>2455.096</v>
      </c>
    </row>
    <row r="797" spans="1:5" x14ac:dyDescent="0.35">
      <c r="A797" s="1" t="s">
        <v>16445</v>
      </c>
      <c r="B797" s="1" t="s">
        <v>19</v>
      </c>
      <c r="C797" s="1" t="s">
        <v>13043</v>
      </c>
      <c r="D797" s="1" t="s">
        <v>19</v>
      </c>
      <c r="E797" s="250">
        <v>2455.0970000000002</v>
      </c>
    </row>
    <row r="798" spans="1:5" x14ac:dyDescent="0.35">
      <c r="A798" s="1" t="s">
        <v>16446</v>
      </c>
      <c r="B798" s="1" t="s">
        <v>19</v>
      </c>
      <c r="C798" s="1" t="s">
        <v>13042</v>
      </c>
      <c r="D798" s="1" t="s">
        <v>19</v>
      </c>
      <c r="E798" s="250">
        <v>2455.098</v>
      </c>
    </row>
    <row r="799" spans="1:5" x14ac:dyDescent="0.35">
      <c r="A799" s="1" t="s">
        <v>16447</v>
      </c>
      <c r="B799" s="1" t="s">
        <v>19</v>
      </c>
      <c r="C799" s="1" t="s">
        <v>13041</v>
      </c>
      <c r="D799" s="1" t="s">
        <v>19</v>
      </c>
      <c r="E799" s="250">
        <v>2455.0990000000002</v>
      </c>
    </row>
    <row r="800" spans="1:5" x14ac:dyDescent="0.35">
      <c r="A800" s="1" t="s">
        <v>16448</v>
      </c>
      <c r="B800" s="1" t="s">
        <v>19</v>
      </c>
      <c r="C800" s="1" t="s">
        <v>13040</v>
      </c>
      <c r="D800" s="1" t="s">
        <v>19</v>
      </c>
      <c r="E800" s="250">
        <v>2455.1</v>
      </c>
    </row>
    <row r="801" spans="1:5" x14ac:dyDescent="0.35">
      <c r="A801" s="1" t="s">
        <v>16449</v>
      </c>
      <c r="B801" s="1" t="s">
        <v>19</v>
      </c>
      <c r="C801" s="1" t="s">
        <v>13039</v>
      </c>
      <c r="D801" s="1" t="s">
        <v>19</v>
      </c>
      <c r="E801" s="250">
        <v>2455.1010000000001</v>
      </c>
    </row>
    <row r="802" spans="1:5" x14ac:dyDescent="0.35">
      <c r="A802" s="1" t="s">
        <v>16450</v>
      </c>
      <c r="B802" s="1" t="s">
        <v>19</v>
      </c>
      <c r="C802" s="1" t="s">
        <v>13038</v>
      </c>
      <c r="D802" s="1" t="s">
        <v>19</v>
      </c>
      <c r="E802" s="250">
        <v>2455.11</v>
      </c>
    </row>
    <row r="803" spans="1:5" x14ac:dyDescent="0.35">
      <c r="A803" s="1" t="s">
        <v>16451</v>
      </c>
      <c r="B803" s="1" t="s">
        <v>19</v>
      </c>
      <c r="C803" s="1" t="s">
        <v>13037</v>
      </c>
      <c r="D803" s="1" t="s">
        <v>19</v>
      </c>
      <c r="E803" s="250">
        <v>2455.1109999999999</v>
      </c>
    </row>
    <row r="804" spans="1:5" x14ac:dyDescent="0.35">
      <c r="A804" s="1" t="s">
        <v>16452</v>
      </c>
      <c r="B804" s="1" t="s">
        <v>19</v>
      </c>
      <c r="C804" s="1" t="s">
        <v>13036</v>
      </c>
      <c r="D804" s="1" t="s">
        <v>19</v>
      </c>
      <c r="E804" s="250">
        <v>2455.1120000000001</v>
      </c>
    </row>
    <row r="805" spans="1:5" x14ac:dyDescent="0.35">
      <c r="A805" s="1" t="s">
        <v>16453</v>
      </c>
      <c r="B805" s="1" t="s">
        <v>19</v>
      </c>
      <c r="C805" s="1" t="s">
        <v>13035</v>
      </c>
      <c r="D805" s="1" t="s">
        <v>19</v>
      </c>
      <c r="E805" s="250">
        <v>2455.1129999999998</v>
      </c>
    </row>
    <row r="806" spans="1:5" x14ac:dyDescent="0.35">
      <c r="A806" s="1" t="s">
        <v>16454</v>
      </c>
      <c r="B806" s="1" t="s">
        <v>19</v>
      </c>
      <c r="C806" s="1" t="s">
        <v>13034</v>
      </c>
      <c r="D806" s="1" t="s">
        <v>19</v>
      </c>
      <c r="E806" s="250">
        <v>2455.114</v>
      </c>
    </row>
    <row r="807" spans="1:5" x14ac:dyDescent="0.35">
      <c r="A807" s="1" t="s">
        <v>16455</v>
      </c>
      <c r="B807" s="1" t="s">
        <v>19</v>
      </c>
      <c r="C807" s="1" t="s">
        <v>13033</v>
      </c>
      <c r="D807" s="1" t="s">
        <v>19</v>
      </c>
      <c r="E807" s="250">
        <v>2455.1149999999998</v>
      </c>
    </row>
    <row r="808" spans="1:5" x14ac:dyDescent="0.35">
      <c r="A808" s="1" t="s">
        <v>16456</v>
      </c>
      <c r="B808" s="1" t="s">
        <v>19</v>
      </c>
      <c r="C808" s="1" t="s">
        <v>13032</v>
      </c>
      <c r="D808" s="1" t="s">
        <v>19</v>
      </c>
      <c r="E808" s="250">
        <v>2455.116</v>
      </c>
    </row>
    <row r="809" spans="1:5" x14ac:dyDescent="0.35">
      <c r="A809" s="1" t="s">
        <v>16457</v>
      </c>
      <c r="B809" s="1" t="s">
        <v>19</v>
      </c>
      <c r="C809" s="1" t="s">
        <v>13031</v>
      </c>
      <c r="D809" s="1" t="s">
        <v>19</v>
      </c>
      <c r="E809" s="250">
        <v>2455.12</v>
      </c>
    </row>
    <row r="810" spans="1:5" x14ac:dyDescent="0.35">
      <c r="A810" s="1" t="s">
        <v>16458</v>
      </c>
      <c r="B810" s="1" t="s">
        <v>19</v>
      </c>
      <c r="C810" s="1" t="s">
        <v>13030</v>
      </c>
      <c r="D810" s="1" t="s">
        <v>19</v>
      </c>
      <c r="E810" s="250">
        <v>2455.1210000000001</v>
      </c>
    </row>
    <row r="811" spans="1:5" x14ac:dyDescent="0.35">
      <c r="A811" s="1" t="s">
        <v>16459</v>
      </c>
      <c r="B811" s="1" t="s">
        <v>19</v>
      </c>
      <c r="C811" s="1" t="s">
        <v>13029</v>
      </c>
      <c r="D811" s="1" t="s">
        <v>19</v>
      </c>
      <c r="E811" s="250">
        <v>2455.1219999999998</v>
      </c>
    </row>
    <row r="812" spans="1:5" x14ac:dyDescent="0.35">
      <c r="A812" s="1" t="s">
        <v>16460</v>
      </c>
      <c r="B812" s="1" t="s">
        <v>19</v>
      </c>
      <c r="C812" s="1" t="s">
        <v>13028</v>
      </c>
      <c r="D812" s="1" t="s">
        <v>19</v>
      </c>
      <c r="E812" s="250">
        <v>2455.123</v>
      </c>
    </row>
    <row r="813" spans="1:5" x14ac:dyDescent="0.35">
      <c r="A813" s="1" t="s">
        <v>16461</v>
      </c>
      <c r="B813" s="1" t="s">
        <v>19</v>
      </c>
      <c r="C813" s="1" t="s">
        <v>13027</v>
      </c>
      <c r="D813" s="1" t="s">
        <v>19</v>
      </c>
      <c r="E813" s="250">
        <v>2455.1239999999998</v>
      </c>
    </row>
    <row r="814" spans="1:5" x14ac:dyDescent="0.35">
      <c r="A814" s="1" t="s">
        <v>16462</v>
      </c>
      <c r="B814" s="1" t="s">
        <v>19</v>
      </c>
      <c r="C814" s="1" t="s">
        <v>13026</v>
      </c>
      <c r="D814" s="1" t="s">
        <v>19</v>
      </c>
      <c r="E814" s="250">
        <v>2455.125</v>
      </c>
    </row>
    <row r="815" spans="1:5" x14ac:dyDescent="0.35">
      <c r="A815" s="1" t="s">
        <v>16463</v>
      </c>
      <c r="B815" s="1" t="s">
        <v>19</v>
      </c>
      <c r="C815" s="1" t="s">
        <v>13025</v>
      </c>
      <c r="D815" s="1" t="s">
        <v>19</v>
      </c>
      <c r="E815" s="250">
        <v>2455.1260000000002</v>
      </c>
    </row>
    <row r="816" spans="1:5" x14ac:dyDescent="0.35">
      <c r="A816" s="1" t="s">
        <v>16464</v>
      </c>
      <c r="B816" s="1" t="s">
        <v>19</v>
      </c>
      <c r="C816" s="1" t="s">
        <v>13024</v>
      </c>
      <c r="D816" s="1" t="s">
        <v>19</v>
      </c>
      <c r="E816" s="250">
        <v>2455.127</v>
      </c>
    </row>
    <row r="817" spans="1:5" x14ac:dyDescent="0.35">
      <c r="A817" s="1" t="s">
        <v>16465</v>
      </c>
      <c r="B817" s="1" t="s">
        <v>19</v>
      </c>
      <c r="C817" s="1" t="s">
        <v>13023</v>
      </c>
      <c r="D817" s="1" t="s">
        <v>19</v>
      </c>
      <c r="E817" s="250">
        <v>2455.1280000000002</v>
      </c>
    </row>
    <row r="818" spans="1:5" x14ac:dyDescent="0.35">
      <c r="A818" s="1" t="s">
        <v>16466</v>
      </c>
      <c r="B818" s="1" t="s">
        <v>19</v>
      </c>
      <c r="C818" s="1" t="s">
        <v>13022</v>
      </c>
      <c r="D818" s="1" t="s">
        <v>19</v>
      </c>
      <c r="E818" s="250">
        <v>2455.1289999999999</v>
      </c>
    </row>
    <row r="819" spans="1:5" x14ac:dyDescent="0.35">
      <c r="A819" s="1" t="s">
        <v>16467</v>
      </c>
      <c r="B819" s="1" t="s">
        <v>19</v>
      </c>
      <c r="C819" s="1" t="s">
        <v>13021</v>
      </c>
      <c r="D819" s="1" t="s">
        <v>19</v>
      </c>
      <c r="E819" s="250">
        <v>2455.13</v>
      </c>
    </row>
    <row r="820" spans="1:5" x14ac:dyDescent="0.35">
      <c r="A820" s="1" t="s">
        <v>16468</v>
      </c>
      <c r="B820" s="1" t="s">
        <v>19</v>
      </c>
      <c r="C820" s="1" t="s">
        <v>13020</v>
      </c>
      <c r="D820" s="1" t="s">
        <v>19</v>
      </c>
      <c r="E820" s="250">
        <v>2455.1309999999999</v>
      </c>
    </row>
    <row r="821" spans="1:5" x14ac:dyDescent="0.35">
      <c r="A821" s="1" t="s">
        <v>16469</v>
      </c>
      <c r="B821" s="1" t="s">
        <v>19</v>
      </c>
      <c r="C821" s="1" t="s">
        <v>13019</v>
      </c>
      <c r="D821" s="1" t="s">
        <v>19</v>
      </c>
      <c r="E821" s="250">
        <v>2455.1999999999998</v>
      </c>
    </row>
    <row r="822" spans="1:5" x14ac:dyDescent="0.35">
      <c r="A822" s="1" t="s">
        <v>16470</v>
      </c>
      <c r="B822" s="1" t="s">
        <v>19</v>
      </c>
      <c r="C822" s="1" t="s">
        <v>13018</v>
      </c>
      <c r="D822" s="1" t="s">
        <v>19</v>
      </c>
      <c r="E822" s="250">
        <v>2455.21</v>
      </c>
    </row>
    <row r="823" spans="1:5" x14ac:dyDescent="0.35">
      <c r="A823" s="1" t="s">
        <v>16471</v>
      </c>
      <c r="B823" s="1" t="s">
        <v>19</v>
      </c>
      <c r="C823" s="1" t="s">
        <v>13017</v>
      </c>
      <c r="D823" s="1" t="s">
        <v>19</v>
      </c>
      <c r="E823" s="250">
        <v>2455.2199999999998</v>
      </c>
    </row>
    <row r="824" spans="1:5" x14ac:dyDescent="0.35">
      <c r="A824" s="1" t="s">
        <v>16472</v>
      </c>
      <c r="B824" s="1" t="s">
        <v>19</v>
      </c>
      <c r="C824" s="1" t="s">
        <v>13016</v>
      </c>
      <c r="D824" s="1" t="s">
        <v>19</v>
      </c>
      <c r="E824" s="250">
        <v>2455.23</v>
      </c>
    </row>
    <row r="825" spans="1:5" x14ac:dyDescent="0.35">
      <c r="A825" s="1" t="s">
        <v>16473</v>
      </c>
      <c r="B825" s="1" t="s">
        <v>19</v>
      </c>
      <c r="C825" s="1" t="s">
        <v>13015</v>
      </c>
      <c r="D825" s="1" t="s">
        <v>19</v>
      </c>
      <c r="E825" s="250">
        <v>2455.2399999999998</v>
      </c>
    </row>
    <row r="826" spans="1:5" x14ac:dyDescent="0.35">
      <c r="A826" s="1" t="s">
        <v>16474</v>
      </c>
      <c r="B826" s="1" t="s">
        <v>19</v>
      </c>
      <c r="C826" s="1" t="s">
        <v>13014</v>
      </c>
      <c r="D826" s="1" t="s">
        <v>19</v>
      </c>
      <c r="E826" s="250">
        <v>2455.25</v>
      </c>
    </row>
    <row r="827" spans="1:5" x14ac:dyDescent="0.35">
      <c r="A827" s="1" t="s">
        <v>16475</v>
      </c>
      <c r="B827" s="1" t="s">
        <v>19</v>
      </c>
      <c r="C827" s="1" t="s">
        <v>13013</v>
      </c>
      <c r="D827" s="1" t="s">
        <v>19</v>
      </c>
      <c r="E827" s="250">
        <v>2455.2600000000002</v>
      </c>
    </row>
    <row r="828" spans="1:5" x14ac:dyDescent="0.35">
      <c r="A828" s="2" t="s">
        <v>16476</v>
      </c>
      <c r="B828" s="1" t="s">
        <v>19</v>
      </c>
      <c r="C828" s="1" t="s">
        <v>13012</v>
      </c>
      <c r="D828" s="1" t="s">
        <v>19</v>
      </c>
      <c r="E828" s="250">
        <v>2464.9</v>
      </c>
    </row>
    <row r="829" spans="1:5" x14ac:dyDescent="0.35">
      <c r="A829" s="1" t="s">
        <v>16477</v>
      </c>
      <c r="B829" s="1" t="s">
        <v>18</v>
      </c>
      <c r="C829" s="1" t="s">
        <v>13011</v>
      </c>
      <c r="D829" s="1" t="s">
        <v>18</v>
      </c>
      <c r="E829" s="250">
        <v>2464.9009999999998</v>
      </c>
    </row>
    <row r="830" spans="1:5" x14ac:dyDescent="0.35">
      <c r="A830" s="2" t="s">
        <v>16478</v>
      </c>
      <c r="B830" s="1" t="s">
        <v>19</v>
      </c>
      <c r="C830" s="1" t="s">
        <v>13010</v>
      </c>
      <c r="D830" s="1" t="s">
        <v>19</v>
      </c>
      <c r="E830" s="250">
        <v>2465.011</v>
      </c>
    </row>
    <row r="831" spans="1:5" x14ac:dyDescent="0.35">
      <c r="A831" s="1" t="s">
        <v>16479</v>
      </c>
      <c r="B831" s="1" t="s">
        <v>19</v>
      </c>
      <c r="C831" s="1" t="s">
        <v>13009</v>
      </c>
      <c r="D831" s="1" t="s">
        <v>19</v>
      </c>
      <c r="E831" s="250">
        <v>2465.0120000000002</v>
      </c>
    </row>
    <row r="832" spans="1:5" x14ac:dyDescent="0.35">
      <c r="A832" s="1" t="s">
        <v>16480</v>
      </c>
      <c r="B832" s="1" t="s">
        <v>19</v>
      </c>
      <c r="C832" s="1" t="s">
        <v>13008</v>
      </c>
      <c r="D832" s="1" t="s">
        <v>19</v>
      </c>
      <c r="E832" s="250">
        <v>2465.0129999999999</v>
      </c>
    </row>
    <row r="833" spans="1:5" x14ac:dyDescent="0.35">
      <c r="A833" s="1" t="s">
        <v>16481</v>
      </c>
      <c r="B833" s="1" t="s">
        <v>19</v>
      </c>
      <c r="C833" s="1" t="s">
        <v>13007</v>
      </c>
      <c r="D833" s="1" t="s">
        <v>19</v>
      </c>
      <c r="E833" s="250">
        <v>2465.0140000000001</v>
      </c>
    </row>
    <row r="834" spans="1:5" x14ac:dyDescent="0.35">
      <c r="A834" s="1" t="s">
        <v>16482</v>
      </c>
      <c r="B834" s="1" t="s">
        <v>19</v>
      </c>
      <c r="C834" s="1" t="s">
        <v>13006</v>
      </c>
      <c r="D834" s="1" t="s">
        <v>19</v>
      </c>
      <c r="E834" s="250">
        <v>2465.0300000000002</v>
      </c>
    </row>
    <row r="835" spans="1:5" x14ac:dyDescent="0.35">
      <c r="A835" s="1" t="s">
        <v>16483</v>
      </c>
      <c r="B835" s="1" t="s">
        <v>19</v>
      </c>
      <c r="C835" s="1" t="s">
        <v>13005</v>
      </c>
      <c r="D835" s="1" t="s">
        <v>19</v>
      </c>
      <c r="E835" s="250">
        <v>2465.0309999999999</v>
      </c>
    </row>
    <row r="836" spans="1:5" x14ac:dyDescent="0.35">
      <c r="A836" s="1" t="s">
        <v>16484</v>
      </c>
      <c r="B836" s="1" t="s">
        <v>19</v>
      </c>
      <c r="C836" s="1" t="s">
        <v>13004</v>
      </c>
      <c r="D836" s="1" t="s">
        <v>19</v>
      </c>
      <c r="E836" s="250">
        <v>2465.0320000000002</v>
      </c>
    </row>
    <row r="837" spans="1:5" x14ac:dyDescent="0.35">
      <c r="A837" s="1" t="s">
        <v>16485</v>
      </c>
      <c r="B837" s="1" t="s">
        <v>19</v>
      </c>
      <c r="C837" s="1" t="s">
        <v>13003</v>
      </c>
      <c r="D837" s="1" t="s">
        <v>19</v>
      </c>
      <c r="E837" s="250">
        <v>2465.0329999999999</v>
      </c>
    </row>
    <row r="838" spans="1:5" x14ac:dyDescent="0.35">
      <c r="A838" s="1" t="s">
        <v>16486</v>
      </c>
      <c r="B838" s="1" t="s">
        <v>19</v>
      </c>
      <c r="C838" s="1" t="s">
        <v>13002</v>
      </c>
      <c r="D838" s="1" t="s">
        <v>19</v>
      </c>
      <c r="E838" s="250">
        <v>2465.0340000000001</v>
      </c>
    </row>
    <row r="839" spans="1:5" x14ac:dyDescent="0.35">
      <c r="A839" s="1" t="s">
        <v>16487</v>
      </c>
      <c r="B839" s="1" t="s">
        <v>19</v>
      </c>
      <c r="C839" s="1" t="s">
        <v>13001</v>
      </c>
      <c r="D839" s="1" t="s">
        <v>19</v>
      </c>
      <c r="E839" s="250">
        <v>2465.0349999999999</v>
      </c>
    </row>
    <row r="840" spans="1:5" x14ac:dyDescent="0.35">
      <c r="A840" s="2" t="s">
        <v>16488</v>
      </c>
      <c r="B840" s="1" t="s">
        <v>18</v>
      </c>
      <c r="C840" s="1" t="s">
        <v>13000</v>
      </c>
      <c r="D840" s="1" t="s">
        <v>18</v>
      </c>
      <c r="E840" s="250">
        <v>2474.9009999999998</v>
      </c>
    </row>
    <row r="841" spans="1:5" x14ac:dyDescent="0.35">
      <c r="A841" s="2" t="s">
        <v>16489</v>
      </c>
      <c r="B841" s="1" t="s">
        <v>19</v>
      </c>
      <c r="C841" s="1" t="s">
        <v>12999</v>
      </c>
      <c r="D841" s="1" t="s">
        <v>19</v>
      </c>
      <c r="E841" s="250">
        <v>2475.11</v>
      </c>
    </row>
    <row r="842" spans="1:5" x14ac:dyDescent="0.35">
      <c r="A842" s="1" t="s">
        <v>16490</v>
      </c>
      <c r="B842" s="1" t="s">
        <v>19</v>
      </c>
      <c r="C842" s="1" t="s">
        <v>12998</v>
      </c>
      <c r="D842" s="1" t="s">
        <v>19</v>
      </c>
      <c r="E842" s="250">
        <v>2475.1109999999999</v>
      </c>
    </row>
    <row r="843" spans="1:5" x14ac:dyDescent="0.35">
      <c r="A843" s="1" t="s">
        <v>16491</v>
      </c>
      <c r="B843" s="1" t="s">
        <v>19</v>
      </c>
      <c r="C843" s="1" t="s">
        <v>12997</v>
      </c>
      <c r="D843" s="1" t="s">
        <v>19</v>
      </c>
      <c r="E843" s="250">
        <v>2475.1120000000001</v>
      </c>
    </row>
    <row r="844" spans="1:5" x14ac:dyDescent="0.35">
      <c r="A844" s="1" t="s">
        <v>16492</v>
      </c>
      <c r="B844" s="1" t="s">
        <v>19</v>
      </c>
      <c r="C844" s="1" t="s">
        <v>12996</v>
      </c>
      <c r="D844" s="1" t="s">
        <v>19</v>
      </c>
      <c r="E844" s="250">
        <v>2475.1129999999998</v>
      </c>
    </row>
    <row r="845" spans="1:5" x14ac:dyDescent="0.35">
      <c r="A845" s="1" t="s">
        <v>16493</v>
      </c>
      <c r="B845" s="1" t="s">
        <v>19</v>
      </c>
      <c r="C845" s="1" t="s">
        <v>12995</v>
      </c>
      <c r="D845" s="1" t="s">
        <v>19</v>
      </c>
      <c r="E845" s="250">
        <v>2475.114</v>
      </c>
    </row>
    <row r="846" spans="1:5" x14ac:dyDescent="0.35">
      <c r="A846" s="1" t="s">
        <v>16494</v>
      </c>
      <c r="B846" s="1" t="s">
        <v>19</v>
      </c>
      <c r="C846" s="1" t="s">
        <v>12994</v>
      </c>
      <c r="D846" s="1" t="s">
        <v>19</v>
      </c>
      <c r="E846" s="250">
        <v>2475.1149999999998</v>
      </c>
    </row>
    <row r="847" spans="1:5" x14ac:dyDescent="0.35">
      <c r="A847" s="1" t="s">
        <v>16495</v>
      </c>
      <c r="B847" s="1" t="s">
        <v>19</v>
      </c>
      <c r="C847" s="1" t="s">
        <v>12993</v>
      </c>
      <c r="D847" s="1" t="s">
        <v>19</v>
      </c>
      <c r="E847" s="250">
        <v>2475.116</v>
      </c>
    </row>
    <row r="848" spans="1:5" x14ac:dyDescent="0.35">
      <c r="A848" s="1" t="s">
        <v>16496</v>
      </c>
      <c r="B848" s="1" t="s">
        <v>19</v>
      </c>
      <c r="C848" s="1" t="s">
        <v>12992</v>
      </c>
      <c r="D848" s="1" t="s">
        <v>19</v>
      </c>
      <c r="E848" s="250">
        <v>2475.1170000000002</v>
      </c>
    </row>
    <row r="849" spans="1:5" x14ac:dyDescent="0.35">
      <c r="A849" s="1" t="s">
        <v>16497</v>
      </c>
      <c r="B849" s="1" t="s">
        <v>19</v>
      </c>
      <c r="C849" s="1" t="s">
        <v>12991</v>
      </c>
      <c r="D849" s="1" t="s">
        <v>19</v>
      </c>
      <c r="E849" s="250">
        <v>2475.1179999999999</v>
      </c>
    </row>
    <row r="850" spans="1:5" x14ac:dyDescent="0.35">
      <c r="A850" s="1" t="s">
        <v>16498</v>
      </c>
      <c r="B850" s="1" t="s">
        <v>19</v>
      </c>
      <c r="C850" s="1" t="s">
        <v>12990</v>
      </c>
      <c r="D850" s="1" t="s">
        <v>19</v>
      </c>
      <c r="E850" s="250">
        <v>2475.1190000000001</v>
      </c>
    </row>
    <row r="851" spans="1:5" x14ac:dyDescent="0.35">
      <c r="A851" s="1" t="s">
        <v>16499</v>
      </c>
      <c r="B851" s="1" t="s">
        <v>19</v>
      </c>
      <c r="C851" s="1" t="s">
        <v>12989</v>
      </c>
      <c r="D851" s="1" t="s">
        <v>19</v>
      </c>
      <c r="E851" s="250">
        <v>2475.12</v>
      </c>
    </row>
    <row r="852" spans="1:5" x14ac:dyDescent="0.35">
      <c r="A852" s="1" t="s">
        <v>16500</v>
      </c>
      <c r="B852" s="1" t="s">
        <v>19</v>
      </c>
      <c r="C852" s="1" t="s">
        <v>12988</v>
      </c>
      <c r="D852" s="1" t="s">
        <v>19</v>
      </c>
      <c r="E852" s="250">
        <v>2475.1210000000001</v>
      </c>
    </row>
    <row r="853" spans="1:5" x14ac:dyDescent="0.35">
      <c r="A853" s="1" t="s">
        <v>16501</v>
      </c>
      <c r="B853" s="1" t="s">
        <v>19</v>
      </c>
      <c r="C853" s="1" t="s">
        <v>12987</v>
      </c>
      <c r="D853" s="1" t="s">
        <v>19</v>
      </c>
      <c r="E853" s="250">
        <v>2475.1219999999998</v>
      </c>
    </row>
    <row r="854" spans="1:5" x14ac:dyDescent="0.35">
      <c r="A854" s="1" t="s">
        <v>16502</v>
      </c>
      <c r="B854" s="1" t="s">
        <v>19</v>
      </c>
      <c r="C854" s="1" t="s">
        <v>12986</v>
      </c>
      <c r="D854" s="1" t="s">
        <v>19</v>
      </c>
      <c r="E854" s="250">
        <v>2475.123</v>
      </c>
    </row>
    <row r="855" spans="1:5" x14ac:dyDescent="0.35">
      <c r="A855" s="1" t="s">
        <v>16503</v>
      </c>
      <c r="B855" s="1" t="s">
        <v>19</v>
      </c>
      <c r="C855" s="1" t="s">
        <v>12985</v>
      </c>
      <c r="D855" s="1" t="s">
        <v>19</v>
      </c>
      <c r="E855" s="250">
        <v>2475.13</v>
      </c>
    </row>
    <row r="856" spans="1:5" x14ac:dyDescent="0.35">
      <c r="A856" s="1" t="s">
        <v>16504</v>
      </c>
      <c r="B856" s="1" t="s">
        <v>19</v>
      </c>
      <c r="C856" s="1" t="s">
        <v>12984</v>
      </c>
      <c r="D856" s="1" t="s">
        <v>19</v>
      </c>
      <c r="E856" s="250">
        <v>2475.1329999999998</v>
      </c>
    </row>
    <row r="857" spans="1:5" x14ac:dyDescent="0.35">
      <c r="A857" s="1" t="s">
        <v>16505</v>
      </c>
      <c r="B857" s="1" t="s">
        <v>19</v>
      </c>
      <c r="C857" s="1" t="s">
        <v>12983</v>
      </c>
      <c r="D857" s="1" t="s">
        <v>19</v>
      </c>
      <c r="E857" s="250">
        <v>2475.134</v>
      </c>
    </row>
    <row r="858" spans="1:5" x14ac:dyDescent="0.35">
      <c r="A858" s="1" t="s">
        <v>16506</v>
      </c>
      <c r="B858" s="1" t="s">
        <v>19</v>
      </c>
      <c r="C858" s="1" t="s">
        <v>12982</v>
      </c>
      <c r="D858" s="1" t="s">
        <v>19</v>
      </c>
      <c r="E858" s="250">
        <v>2475.1350000000002</v>
      </c>
    </row>
    <row r="859" spans="1:5" x14ac:dyDescent="0.35">
      <c r="A859" s="1" t="s">
        <v>16507</v>
      </c>
      <c r="B859" s="1" t="s">
        <v>19</v>
      </c>
      <c r="C859" s="1" t="s">
        <v>12981</v>
      </c>
      <c r="D859" s="1" t="s">
        <v>19</v>
      </c>
      <c r="E859" s="250">
        <v>2475.1379999999999</v>
      </c>
    </row>
    <row r="860" spans="1:5" x14ac:dyDescent="0.35">
      <c r="A860" s="1" t="s">
        <v>16508</v>
      </c>
      <c r="B860" s="1" t="s">
        <v>19</v>
      </c>
      <c r="C860" s="1" t="s">
        <v>12980</v>
      </c>
      <c r="D860" s="1" t="s">
        <v>19</v>
      </c>
      <c r="E860" s="250">
        <v>2475.1410000000001</v>
      </c>
    </row>
    <row r="861" spans="1:5" x14ac:dyDescent="0.35">
      <c r="A861" s="1" t="s">
        <v>16509</v>
      </c>
      <c r="B861" s="1" t="s">
        <v>19</v>
      </c>
      <c r="C861" s="1" t="s">
        <v>12979</v>
      </c>
      <c r="D861" s="1" t="s">
        <v>19</v>
      </c>
      <c r="E861" s="250">
        <v>2475.1439999999998</v>
      </c>
    </row>
    <row r="862" spans="1:5" x14ac:dyDescent="0.35">
      <c r="A862" s="1" t="s">
        <v>16510</v>
      </c>
      <c r="B862" s="1" t="s">
        <v>19</v>
      </c>
      <c r="C862" s="1" t="s">
        <v>12978</v>
      </c>
      <c r="D862" s="1" t="s">
        <v>19</v>
      </c>
      <c r="E862" s="250">
        <v>2475.1460000000002</v>
      </c>
    </row>
    <row r="863" spans="1:5" x14ac:dyDescent="0.35">
      <c r="A863" s="1" t="s">
        <v>16511</v>
      </c>
      <c r="B863" s="1" t="s">
        <v>19</v>
      </c>
      <c r="C863" s="1" t="s">
        <v>12977</v>
      </c>
      <c r="D863" s="1" t="s">
        <v>19</v>
      </c>
      <c r="E863" s="250">
        <v>2475.1480000000001</v>
      </c>
    </row>
    <row r="864" spans="1:5" x14ac:dyDescent="0.35">
      <c r="A864" s="1" t="s">
        <v>16512</v>
      </c>
      <c r="B864" s="1" t="s">
        <v>19</v>
      </c>
      <c r="C864" s="1" t="s">
        <v>12976</v>
      </c>
      <c r="D864" s="1" t="s">
        <v>19</v>
      </c>
      <c r="E864" s="250">
        <v>2475.1489999999999</v>
      </c>
    </row>
    <row r="865" spans="1:5" x14ac:dyDescent="0.35">
      <c r="A865" s="1" t="s">
        <v>16513</v>
      </c>
      <c r="B865" s="1" t="s">
        <v>19</v>
      </c>
      <c r="C865" s="1" t="s">
        <v>12975</v>
      </c>
      <c r="D865" s="1" t="s">
        <v>19</v>
      </c>
      <c r="E865" s="250">
        <v>2475.15</v>
      </c>
    </row>
    <row r="866" spans="1:5" x14ac:dyDescent="0.35">
      <c r="A866" s="1" t="s">
        <v>16514</v>
      </c>
      <c r="B866" s="1" t="s">
        <v>19</v>
      </c>
      <c r="C866" s="1" t="s">
        <v>12974</v>
      </c>
      <c r="D866" s="1" t="s">
        <v>19</v>
      </c>
      <c r="E866" s="250">
        <v>2475.1509999999998</v>
      </c>
    </row>
    <row r="867" spans="1:5" x14ac:dyDescent="0.35">
      <c r="A867" s="1" t="s">
        <v>16515</v>
      </c>
      <c r="B867" s="1" t="s">
        <v>19</v>
      </c>
      <c r="C867" s="1" t="s">
        <v>12973</v>
      </c>
      <c r="D867" s="1" t="s">
        <v>19</v>
      </c>
      <c r="E867" s="250">
        <v>2475.152</v>
      </c>
    </row>
    <row r="868" spans="1:5" x14ac:dyDescent="0.35">
      <c r="A868" s="1" t="s">
        <v>16516</v>
      </c>
      <c r="B868" s="1" t="s">
        <v>19</v>
      </c>
      <c r="C868" s="1" t="s">
        <v>12972</v>
      </c>
      <c r="D868" s="1" t="s">
        <v>19</v>
      </c>
      <c r="E868" s="250">
        <v>2475.1529999999998</v>
      </c>
    </row>
    <row r="869" spans="1:5" x14ac:dyDescent="0.35">
      <c r="A869" s="1" t="s">
        <v>16517</v>
      </c>
      <c r="B869" s="1" t="s">
        <v>18</v>
      </c>
      <c r="C869" s="1" t="s">
        <v>12971</v>
      </c>
      <c r="D869" s="1" t="s">
        <v>18</v>
      </c>
      <c r="E869" s="250">
        <v>2475.16</v>
      </c>
    </row>
    <row r="870" spans="1:5" x14ac:dyDescent="0.35">
      <c r="A870" s="1" t="s">
        <v>16518</v>
      </c>
      <c r="B870" s="1" t="s">
        <v>18</v>
      </c>
      <c r="C870" s="1" t="s">
        <v>12970</v>
      </c>
      <c r="D870" s="1" t="s">
        <v>18</v>
      </c>
      <c r="E870" s="250">
        <v>2475.1610000000001</v>
      </c>
    </row>
    <row r="871" spans="1:5" x14ac:dyDescent="0.35">
      <c r="A871" s="1" t="s">
        <v>16519</v>
      </c>
      <c r="B871" s="1" t="s">
        <v>18</v>
      </c>
      <c r="C871" s="1" t="s">
        <v>12969</v>
      </c>
      <c r="D871" s="1" t="s">
        <v>18</v>
      </c>
      <c r="E871" s="250">
        <v>2475.1619999999998</v>
      </c>
    </row>
    <row r="872" spans="1:5" x14ac:dyDescent="0.35">
      <c r="A872" s="1" t="s">
        <v>16520</v>
      </c>
      <c r="B872" s="1" t="s">
        <v>18</v>
      </c>
      <c r="C872" s="1" t="s">
        <v>12968</v>
      </c>
      <c r="D872" s="1" t="s">
        <v>18</v>
      </c>
      <c r="E872" s="250">
        <v>2475.163</v>
      </c>
    </row>
    <row r="873" spans="1:5" x14ac:dyDescent="0.35">
      <c r="A873" s="1" t="s">
        <v>16521</v>
      </c>
      <c r="B873" s="1" t="s">
        <v>18</v>
      </c>
      <c r="C873" s="1" t="s">
        <v>12967</v>
      </c>
      <c r="D873" s="1" t="s">
        <v>18</v>
      </c>
      <c r="E873" s="250">
        <v>2475.1640000000002</v>
      </c>
    </row>
    <row r="874" spans="1:5" x14ac:dyDescent="0.35">
      <c r="A874" s="1" t="s">
        <v>16522</v>
      </c>
      <c r="B874" s="1" t="s">
        <v>18</v>
      </c>
      <c r="C874" s="1" t="s">
        <v>12966</v>
      </c>
      <c r="D874" s="1" t="s">
        <v>18</v>
      </c>
      <c r="E874" s="250">
        <v>2475.165</v>
      </c>
    </row>
    <row r="875" spans="1:5" x14ac:dyDescent="0.35">
      <c r="A875" s="1" t="s">
        <v>16523</v>
      </c>
      <c r="B875" s="1" t="s">
        <v>18</v>
      </c>
      <c r="C875" s="1" t="s">
        <v>12965</v>
      </c>
      <c r="D875" s="1" t="s">
        <v>18</v>
      </c>
      <c r="E875" s="250">
        <v>2475.1660000000002</v>
      </c>
    </row>
    <row r="876" spans="1:5" x14ac:dyDescent="0.35">
      <c r="A876" s="1" t="s">
        <v>16524</v>
      </c>
      <c r="B876" s="1" t="s">
        <v>18</v>
      </c>
      <c r="C876" s="1" t="s">
        <v>12964</v>
      </c>
      <c r="D876" s="1" t="s">
        <v>18</v>
      </c>
      <c r="E876" s="250">
        <v>2475.1669999999999</v>
      </c>
    </row>
    <row r="877" spans="1:5" x14ac:dyDescent="0.35">
      <c r="A877" s="1" t="s">
        <v>16525</v>
      </c>
      <c r="B877" s="1" t="s">
        <v>18</v>
      </c>
      <c r="C877" s="1" t="s">
        <v>12963</v>
      </c>
      <c r="D877" s="1" t="s">
        <v>18</v>
      </c>
      <c r="E877" s="250">
        <v>2475.1680000000001</v>
      </c>
    </row>
    <row r="878" spans="1:5" x14ac:dyDescent="0.35">
      <c r="A878" s="1" t="s">
        <v>16526</v>
      </c>
      <c r="B878" s="1" t="s">
        <v>18</v>
      </c>
      <c r="C878" s="1" t="s">
        <v>12962</v>
      </c>
      <c r="D878" s="1" t="s">
        <v>18</v>
      </c>
      <c r="E878" s="250">
        <v>2475.1689999999999</v>
      </c>
    </row>
    <row r="879" spans="1:5" x14ac:dyDescent="0.35">
      <c r="A879" s="1" t="s">
        <v>16527</v>
      </c>
      <c r="B879" s="1" t="s">
        <v>18</v>
      </c>
      <c r="C879" s="1" t="s">
        <v>12961</v>
      </c>
      <c r="D879" s="1" t="s">
        <v>18</v>
      </c>
      <c r="E879" s="250">
        <v>2475.17</v>
      </c>
    </row>
    <row r="880" spans="1:5" x14ac:dyDescent="0.35">
      <c r="A880" s="1" t="s">
        <v>16528</v>
      </c>
      <c r="B880" s="1" t="s">
        <v>18</v>
      </c>
      <c r="C880" s="1" t="s">
        <v>12960</v>
      </c>
      <c r="D880" s="1" t="s">
        <v>18</v>
      </c>
      <c r="E880" s="250">
        <v>2475.1709999999998</v>
      </c>
    </row>
    <row r="881" spans="1:5" x14ac:dyDescent="0.35">
      <c r="A881" s="1" t="s">
        <v>16529</v>
      </c>
      <c r="B881" s="1" t="s">
        <v>18</v>
      </c>
      <c r="C881" s="1" t="s">
        <v>12959</v>
      </c>
      <c r="D881" s="1" t="s">
        <v>18</v>
      </c>
      <c r="E881" s="250">
        <v>2475.172</v>
      </c>
    </row>
    <row r="882" spans="1:5" x14ac:dyDescent="0.35">
      <c r="A882" s="1" t="s">
        <v>16530</v>
      </c>
      <c r="B882" s="1" t="s">
        <v>18</v>
      </c>
      <c r="C882" s="1" t="s">
        <v>12958</v>
      </c>
      <c r="D882" s="1" t="s">
        <v>18</v>
      </c>
      <c r="E882" s="250">
        <v>2475.1729999999998</v>
      </c>
    </row>
    <row r="883" spans="1:5" x14ac:dyDescent="0.35">
      <c r="A883" s="1" t="s">
        <v>16531</v>
      </c>
      <c r="B883" s="1" t="s">
        <v>23</v>
      </c>
      <c r="C883" s="1" t="s">
        <v>12957</v>
      </c>
      <c r="D883" s="1" t="s">
        <v>23</v>
      </c>
      <c r="E883" s="250">
        <v>2475.1799999999998</v>
      </c>
    </row>
    <row r="884" spans="1:5" x14ac:dyDescent="0.35">
      <c r="A884" s="1" t="s">
        <v>16532</v>
      </c>
      <c r="B884" s="1" t="s">
        <v>23</v>
      </c>
      <c r="C884" s="1" t="s">
        <v>12956</v>
      </c>
      <c r="D884" s="1" t="s">
        <v>23</v>
      </c>
      <c r="E884" s="250">
        <v>2475.181</v>
      </c>
    </row>
    <row r="885" spans="1:5" x14ac:dyDescent="0.35">
      <c r="A885" s="1" t="s">
        <v>16533</v>
      </c>
      <c r="B885" s="1" t="s">
        <v>23</v>
      </c>
      <c r="C885" s="1" t="s">
        <v>12955</v>
      </c>
      <c r="D885" s="1" t="s">
        <v>23</v>
      </c>
      <c r="E885" s="250">
        <v>2475.1819999999998</v>
      </c>
    </row>
    <row r="886" spans="1:5" x14ac:dyDescent="0.35">
      <c r="A886" s="1" t="s">
        <v>16534</v>
      </c>
      <c r="B886" s="1" t="s">
        <v>23</v>
      </c>
      <c r="C886" s="1" t="s">
        <v>12954</v>
      </c>
      <c r="D886" s="1" t="s">
        <v>23</v>
      </c>
      <c r="E886" s="250">
        <v>2475.183</v>
      </c>
    </row>
    <row r="887" spans="1:5" x14ac:dyDescent="0.35">
      <c r="A887" s="1" t="s">
        <v>16535</v>
      </c>
      <c r="B887" s="1" t="s">
        <v>23</v>
      </c>
      <c r="C887" s="1" t="s">
        <v>12953</v>
      </c>
      <c r="D887" s="1" t="s">
        <v>23</v>
      </c>
      <c r="E887" s="250">
        <v>2475.1840000000002</v>
      </c>
    </row>
    <row r="888" spans="1:5" x14ac:dyDescent="0.35">
      <c r="A888" s="1" t="s">
        <v>16536</v>
      </c>
      <c r="B888" s="1" t="s">
        <v>23</v>
      </c>
      <c r="C888" s="1" t="s">
        <v>12952</v>
      </c>
      <c r="D888" s="1" t="s">
        <v>23</v>
      </c>
      <c r="E888" s="250">
        <v>2475.1849999999999</v>
      </c>
    </row>
    <row r="889" spans="1:5" x14ac:dyDescent="0.35">
      <c r="A889" s="1" t="s">
        <v>16537</v>
      </c>
      <c r="B889" s="1" t="s">
        <v>57</v>
      </c>
      <c r="C889" s="1" t="s">
        <v>12951</v>
      </c>
      <c r="D889" s="1" t="s">
        <v>57</v>
      </c>
      <c r="E889" s="250">
        <v>2475.19</v>
      </c>
    </row>
    <row r="890" spans="1:5" x14ac:dyDescent="0.35">
      <c r="A890" s="1" t="s">
        <v>16538</v>
      </c>
      <c r="B890" s="1" t="s">
        <v>23</v>
      </c>
      <c r="C890" s="1" t="s">
        <v>9453</v>
      </c>
      <c r="D890" s="1" t="s">
        <v>23</v>
      </c>
      <c r="E890" s="250">
        <v>2475.1909999999998</v>
      </c>
    </row>
    <row r="891" spans="1:5" x14ac:dyDescent="0.35">
      <c r="A891" s="1" t="s">
        <v>16539</v>
      </c>
      <c r="B891" s="1" t="s">
        <v>23</v>
      </c>
      <c r="C891" s="1" t="s">
        <v>9449</v>
      </c>
      <c r="D891" s="1" t="s">
        <v>23</v>
      </c>
      <c r="E891" s="250">
        <v>2475.192</v>
      </c>
    </row>
    <row r="892" spans="1:5" x14ac:dyDescent="0.35">
      <c r="A892" s="1" t="s">
        <v>16540</v>
      </c>
      <c r="B892" s="1" t="s">
        <v>23</v>
      </c>
      <c r="C892" s="1" t="s">
        <v>9445</v>
      </c>
      <c r="D892" s="1" t="s">
        <v>23</v>
      </c>
      <c r="E892" s="250">
        <v>2475.1930000000002</v>
      </c>
    </row>
    <row r="893" spans="1:5" x14ac:dyDescent="0.35">
      <c r="A893" s="1" t="s">
        <v>16541</v>
      </c>
      <c r="B893" s="1" t="s">
        <v>23</v>
      </c>
      <c r="C893" s="1" t="s">
        <v>9634</v>
      </c>
      <c r="D893" s="1" t="s">
        <v>23</v>
      </c>
      <c r="E893" s="250">
        <v>2475.194</v>
      </c>
    </row>
    <row r="894" spans="1:5" x14ac:dyDescent="0.35">
      <c r="A894" s="1" t="s">
        <v>16542</v>
      </c>
      <c r="B894" s="1" t="s">
        <v>23</v>
      </c>
      <c r="C894" s="1" t="s">
        <v>9441</v>
      </c>
      <c r="D894" s="1" t="s">
        <v>23</v>
      </c>
      <c r="E894" s="250">
        <v>2475.1950000000002</v>
      </c>
    </row>
    <row r="895" spans="1:5" x14ac:dyDescent="0.35">
      <c r="A895" s="1" t="s">
        <v>16543</v>
      </c>
      <c r="B895" s="1" t="s">
        <v>23</v>
      </c>
      <c r="C895" s="1" t="s">
        <v>9437</v>
      </c>
      <c r="D895" s="1" t="s">
        <v>23</v>
      </c>
      <c r="E895" s="250">
        <v>2475.1959999999999</v>
      </c>
    </row>
    <row r="896" spans="1:5" x14ac:dyDescent="0.35">
      <c r="A896" s="1" t="s">
        <v>16544</v>
      </c>
      <c r="B896" s="1" t="s">
        <v>23</v>
      </c>
      <c r="C896" s="1" t="s">
        <v>9429</v>
      </c>
      <c r="D896" s="1" t="s">
        <v>23</v>
      </c>
      <c r="E896" s="250">
        <v>2475.1970000000001</v>
      </c>
    </row>
    <row r="897" spans="1:5" x14ac:dyDescent="0.35">
      <c r="A897" s="1" t="s">
        <v>16545</v>
      </c>
      <c r="B897" s="1" t="s">
        <v>23</v>
      </c>
      <c r="C897" s="1" t="s">
        <v>9425</v>
      </c>
      <c r="D897" s="1" t="s">
        <v>23</v>
      </c>
      <c r="E897" s="250">
        <v>2475.1979999999999</v>
      </c>
    </row>
    <row r="898" spans="1:5" x14ac:dyDescent="0.35">
      <c r="A898" s="1" t="s">
        <v>16546</v>
      </c>
      <c r="B898" s="1" t="s">
        <v>23</v>
      </c>
      <c r="C898" s="1" t="s">
        <v>9785</v>
      </c>
      <c r="D898" s="1" t="s">
        <v>23</v>
      </c>
      <c r="E898" s="250">
        <v>2475.1990000000001</v>
      </c>
    </row>
    <row r="899" spans="1:5" x14ac:dyDescent="0.35">
      <c r="A899" s="1" t="s">
        <v>16547</v>
      </c>
      <c r="B899" s="1" t="s">
        <v>23</v>
      </c>
      <c r="C899" s="1" t="s">
        <v>9784</v>
      </c>
      <c r="D899" s="1" t="s">
        <v>23</v>
      </c>
      <c r="E899" s="250">
        <v>2475.1999999999998</v>
      </c>
    </row>
    <row r="900" spans="1:5" x14ac:dyDescent="0.35">
      <c r="A900" s="1" t="s">
        <v>16548</v>
      </c>
      <c r="B900" s="1" t="s">
        <v>23</v>
      </c>
      <c r="C900" s="1" t="s">
        <v>9783</v>
      </c>
      <c r="D900" s="1" t="s">
        <v>23</v>
      </c>
      <c r="E900" s="250">
        <v>2475.201</v>
      </c>
    </row>
    <row r="901" spans="1:5" x14ac:dyDescent="0.35">
      <c r="A901" s="1" t="s">
        <v>16549</v>
      </c>
      <c r="B901" s="1" t="s">
        <v>23</v>
      </c>
      <c r="C901" s="1" t="s">
        <v>9782</v>
      </c>
      <c r="D901" s="1" t="s">
        <v>23</v>
      </c>
      <c r="E901" s="250">
        <v>2475.2020000000002</v>
      </c>
    </row>
    <row r="902" spans="1:5" x14ac:dyDescent="0.35">
      <c r="A902" s="1" t="s">
        <v>16550</v>
      </c>
      <c r="B902" s="1" t="s">
        <v>23</v>
      </c>
      <c r="C902" s="1" t="s">
        <v>9780</v>
      </c>
      <c r="D902" s="1" t="s">
        <v>23</v>
      </c>
      <c r="E902" s="250">
        <v>2475.203</v>
      </c>
    </row>
    <row r="903" spans="1:5" x14ac:dyDescent="0.35">
      <c r="A903" s="1" t="s">
        <v>16551</v>
      </c>
      <c r="B903" s="1" t="s">
        <v>23</v>
      </c>
      <c r="C903" s="1" t="s">
        <v>9779</v>
      </c>
      <c r="D903" s="1" t="s">
        <v>23</v>
      </c>
      <c r="E903" s="250">
        <v>2475.2040000000002</v>
      </c>
    </row>
    <row r="904" spans="1:5" x14ac:dyDescent="0.35">
      <c r="A904" s="1" t="s">
        <v>16552</v>
      </c>
      <c r="B904" s="1" t="s">
        <v>23</v>
      </c>
      <c r="C904" s="1" t="s">
        <v>9778</v>
      </c>
      <c r="D904" s="1" t="s">
        <v>23</v>
      </c>
      <c r="E904" s="250">
        <v>2475.2049999999999</v>
      </c>
    </row>
    <row r="905" spans="1:5" x14ac:dyDescent="0.35">
      <c r="A905" s="1" t="s">
        <v>16553</v>
      </c>
      <c r="B905" s="1" t="s">
        <v>23</v>
      </c>
      <c r="C905" s="1" t="s">
        <v>9777</v>
      </c>
      <c r="D905" s="1" t="s">
        <v>23</v>
      </c>
      <c r="E905" s="250">
        <v>2475.2060000000001</v>
      </c>
    </row>
    <row r="906" spans="1:5" x14ac:dyDescent="0.35">
      <c r="A906" s="1" t="s">
        <v>16554</v>
      </c>
      <c r="B906" s="1" t="s">
        <v>23</v>
      </c>
      <c r="C906" s="1" t="s">
        <v>12950</v>
      </c>
      <c r="D906" s="1" t="s">
        <v>23</v>
      </c>
      <c r="E906" s="250">
        <v>2475.2069999999999</v>
      </c>
    </row>
    <row r="907" spans="1:5" x14ac:dyDescent="0.35">
      <c r="A907" s="1" t="s">
        <v>16555</v>
      </c>
      <c r="B907" s="1" t="s">
        <v>23</v>
      </c>
      <c r="C907" s="1" t="s">
        <v>12949</v>
      </c>
      <c r="D907" s="1" t="s">
        <v>23</v>
      </c>
      <c r="E907" s="250">
        <v>2475.2080000000001</v>
      </c>
    </row>
    <row r="908" spans="1:5" x14ac:dyDescent="0.35">
      <c r="A908" s="1" t="s">
        <v>16556</v>
      </c>
      <c r="B908" s="1" t="s">
        <v>23</v>
      </c>
      <c r="C908" s="1" t="s">
        <v>12948</v>
      </c>
      <c r="D908" s="1" t="s">
        <v>23</v>
      </c>
      <c r="E908" s="250">
        <v>2475.2089999999998</v>
      </c>
    </row>
    <row r="909" spans="1:5" x14ac:dyDescent="0.35">
      <c r="A909" s="1" t="s">
        <v>16557</v>
      </c>
      <c r="B909" s="1" t="s">
        <v>23</v>
      </c>
      <c r="C909" s="1" t="s">
        <v>12947</v>
      </c>
      <c r="D909" s="1" t="s">
        <v>23</v>
      </c>
      <c r="E909" s="250">
        <v>2475.21</v>
      </c>
    </row>
    <row r="910" spans="1:5" x14ac:dyDescent="0.35">
      <c r="A910" s="1" t="s">
        <v>16558</v>
      </c>
      <c r="B910" s="1" t="s">
        <v>23</v>
      </c>
      <c r="C910" s="1" t="s">
        <v>12946</v>
      </c>
      <c r="D910" s="1" t="s">
        <v>23</v>
      </c>
      <c r="E910" s="250">
        <v>2475.2109999999998</v>
      </c>
    </row>
    <row r="911" spans="1:5" x14ac:dyDescent="0.35">
      <c r="A911" s="1" t="s">
        <v>16559</v>
      </c>
      <c r="B911" s="1" t="s">
        <v>23</v>
      </c>
      <c r="C911" s="1" t="s">
        <v>12945</v>
      </c>
      <c r="D911" s="1" t="s">
        <v>23</v>
      </c>
      <c r="E911" s="250">
        <v>2475.212</v>
      </c>
    </row>
    <row r="912" spans="1:5" x14ac:dyDescent="0.35">
      <c r="A912" s="1" t="s">
        <v>16560</v>
      </c>
      <c r="B912" s="1" t="s">
        <v>23</v>
      </c>
      <c r="C912" s="1" t="s">
        <v>12944</v>
      </c>
      <c r="D912" s="1" t="s">
        <v>23</v>
      </c>
      <c r="E912" s="250">
        <v>2475.2130000000002</v>
      </c>
    </row>
    <row r="913" spans="1:5" x14ac:dyDescent="0.35">
      <c r="A913" s="1" t="s">
        <v>16561</v>
      </c>
      <c r="B913" s="1" t="s">
        <v>23</v>
      </c>
      <c r="C913" s="1" t="s">
        <v>12943</v>
      </c>
      <c r="D913" s="1" t="s">
        <v>23</v>
      </c>
      <c r="E913" s="250">
        <v>2475.2139999999999</v>
      </c>
    </row>
    <row r="914" spans="1:5" x14ac:dyDescent="0.35">
      <c r="A914" s="1" t="s">
        <v>16562</v>
      </c>
      <c r="B914" s="1" t="s">
        <v>23</v>
      </c>
      <c r="C914" s="1" t="s">
        <v>9646</v>
      </c>
      <c r="D914" s="1" t="s">
        <v>23</v>
      </c>
      <c r="E914" s="250">
        <v>2475.2150000000001</v>
      </c>
    </row>
    <row r="915" spans="1:5" x14ac:dyDescent="0.35">
      <c r="A915" s="1" t="s">
        <v>16563</v>
      </c>
      <c r="B915" s="1" t="s">
        <v>23</v>
      </c>
      <c r="C915" s="1" t="s">
        <v>9642</v>
      </c>
      <c r="D915" s="1" t="s">
        <v>23</v>
      </c>
      <c r="E915" s="250">
        <v>2475.2159999999999</v>
      </c>
    </row>
    <row r="916" spans="1:5" x14ac:dyDescent="0.35">
      <c r="A916" s="1" t="s">
        <v>16564</v>
      </c>
      <c r="B916" s="1" t="s">
        <v>23</v>
      </c>
      <c r="C916" s="1" t="s">
        <v>9638</v>
      </c>
      <c r="D916" s="1" t="s">
        <v>23</v>
      </c>
      <c r="E916" s="250">
        <v>2475.2170000000001</v>
      </c>
    </row>
    <row r="917" spans="1:5" x14ac:dyDescent="0.35">
      <c r="A917" s="1" t="s">
        <v>16565</v>
      </c>
      <c r="B917" s="1" t="s">
        <v>23</v>
      </c>
      <c r="C917" s="1" t="s">
        <v>9633</v>
      </c>
      <c r="D917" s="1" t="s">
        <v>23</v>
      </c>
      <c r="E917" s="250">
        <v>2475.2179999999998</v>
      </c>
    </row>
    <row r="918" spans="1:5" x14ac:dyDescent="0.35">
      <c r="A918" s="1" t="s">
        <v>16566</v>
      </c>
      <c r="B918" s="1" t="s">
        <v>23</v>
      </c>
      <c r="C918" s="1" t="s">
        <v>9629</v>
      </c>
      <c r="D918" s="1" t="s">
        <v>23</v>
      </c>
      <c r="E918" s="250">
        <v>2475.2190000000001</v>
      </c>
    </row>
    <row r="919" spans="1:5" x14ac:dyDescent="0.35">
      <c r="A919" s="1" t="s">
        <v>16567</v>
      </c>
      <c r="B919" s="1" t="s">
        <v>23</v>
      </c>
      <c r="C919" s="1" t="s">
        <v>9625</v>
      </c>
      <c r="D919" s="1" t="s">
        <v>23</v>
      </c>
      <c r="E919" s="250">
        <v>2475.2199999999998</v>
      </c>
    </row>
    <row r="920" spans="1:5" x14ac:dyDescent="0.35">
      <c r="A920" s="1" t="s">
        <v>16568</v>
      </c>
      <c r="B920" s="1" t="s">
        <v>23</v>
      </c>
      <c r="C920" s="1" t="s">
        <v>9621</v>
      </c>
      <c r="D920" s="1" t="s">
        <v>23</v>
      </c>
      <c r="E920" s="250">
        <v>2475.221</v>
      </c>
    </row>
    <row r="921" spans="1:5" x14ac:dyDescent="0.35">
      <c r="A921" s="1" t="s">
        <v>16569</v>
      </c>
      <c r="B921" s="1" t="s">
        <v>23</v>
      </c>
      <c r="C921" s="1" t="s">
        <v>9617</v>
      </c>
      <c r="D921" s="1" t="s">
        <v>23</v>
      </c>
      <c r="E921" s="250">
        <v>2475.2220000000002</v>
      </c>
    </row>
    <row r="922" spans="1:5" x14ac:dyDescent="0.35">
      <c r="A922" s="1" t="s">
        <v>16570</v>
      </c>
      <c r="B922" s="1" t="s">
        <v>23</v>
      </c>
      <c r="C922" s="1" t="s">
        <v>9773</v>
      </c>
      <c r="D922" s="1" t="s">
        <v>23</v>
      </c>
      <c r="E922" s="250">
        <v>2475.223</v>
      </c>
    </row>
    <row r="923" spans="1:5" x14ac:dyDescent="0.35">
      <c r="A923" s="1" t="s">
        <v>16571</v>
      </c>
      <c r="B923" s="1" t="s">
        <v>23</v>
      </c>
      <c r="C923" s="1" t="s">
        <v>9771</v>
      </c>
      <c r="D923" s="1" t="s">
        <v>23</v>
      </c>
      <c r="E923" s="250">
        <v>2475.2240000000002</v>
      </c>
    </row>
    <row r="924" spans="1:5" x14ac:dyDescent="0.35">
      <c r="A924" s="1" t="s">
        <v>16572</v>
      </c>
      <c r="B924" s="1" t="s">
        <v>23</v>
      </c>
      <c r="C924" s="1" t="s">
        <v>9769</v>
      </c>
      <c r="D924" s="1" t="s">
        <v>23</v>
      </c>
      <c r="E924" s="250">
        <v>2475.2249999999999</v>
      </c>
    </row>
    <row r="925" spans="1:5" x14ac:dyDescent="0.35">
      <c r="A925" s="1" t="s">
        <v>16573</v>
      </c>
      <c r="B925" s="1" t="s">
        <v>23</v>
      </c>
      <c r="C925" s="1" t="s">
        <v>9781</v>
      </c>
      <c r="D925" s="1" t="s">
        <v>23</v>
      </c>
      <c r="E925" s="250">
        <v>2475.2260000000001</v>
      </c>
    </row>
    <row r="926" spans="1:5" x14ac:dyDescent="0.35">
      <c r="A926" s="1" t="s">
        <v>16574</v>
      </c>
      <c r="B926" s="1" t="s">
        <v>23</v>
      </c>
      <c r="C926" s="1" t="s">
        <v>9764</v>
      </c>
      <c r="D926" s="1" t="s">
        <v>23</v>
      </c>
      <c r="E926" s="250">
        <v>2475.2269999999999</v>
      </c>
    </row>
    <row r="927" spans="1:5" x14ac:dyDescent="0.35">
      <c r="A927" s="1" t="s">
        <v>16575</v>
      </c>
      <c r="B927" s="1" t="s">
        <v>23</v>
      </c>
      <c r="C927" s="1" t="s">
        <v>9762</v>
      </c>
      <c r="D927" s="1" t="s">
        <v>23</v>
      </c>
      <c r="E927" s="250">
        <v>2475.2280000000001</v>
      </c>
    </row>
    <row r="928" spans="1:5" x14ac:dyDescent="0.35">
      <c r="A928" s="1" t="s">
        <v>16576</v>
      </c>
      <c r="B928" s="1" t="s">
        <v>23</v>
      </c>
      <c r="C928" s="1" t="s">
        <v>9760</v>
      </c>
      <c r="D928" s="1" t="s">
        <v>23</v>
      </c>
      <c r="E928" s="250">
        <v>2475.2289999999998</v>
      </c>
    </row>
    <row r="929" spans="1:5" x14ac:dyDescent="0.35">
      <c r="A929" s="1" t="s">
        <v>16577</v>
      </c>
      <c r="B929" s="1" t="s">
        <v>23</v>
      </c>
      <c r="C929" s="1" t="s">
        <v>9758</v>
      </c>
      <c r="D929" s="1" t="s">
        <v>23</v>
      </c>
      <c r="E929" s="250">
        <v>2475.23</v>
      </c>
    </row>
    <row r="930" spans="1:5" x14ac:dyDescent="0.35">
      <c r="A930" s="1" t="s">
        <v>16578</v>
      </c>
      <c r="B930" s="1" t="s">
        <v>42</v>
      </c>
      <c r="C930" s="1" t="s">
        <v>12942</v>
      </c>
      <c r="D930" s="1" t="s">
        <v>42</v>
      </c>
      <c r="E930" s="250">
        <v>2475.232</v>
      </c>
    </row>
    <row r="931" spans="1:5" x14ac:dyDescent="0.35">
      <c r="A931" s="1" t="s">
        <v>16579</v>
      </c>
      <c r="B931" s="1" t="s">
        <v>19</v>
      </c>
      <c r="C931" s="1" t="s">
        <v>12941</v>
      </c>
      <c r="D931" s="1" t="s">
        <v>19</v>
      </c>
      <c r="E931" s="250">
        <v>2475.3009999999999</v>
      </c>
    </row>
    <row r="932" spans="1:5" x14ac:dyDescent="0.35">
      <c r="A932" s="1" t="s">
        <v>16580</v>
      </c>
      <c r="B932" s="1" t="s">
        <v>19</v>
      </c>
      <c r="C932" s="1" t="s">
        <v>12940</v>
      </c>
      <c r="D932" s="1" t="s">
        <v>19</v>
      </c>
      <c r="E932" s="250">
        <v>2475.3020000000001</v>
      </c>
    </row>
    <row r="933" spans="1:5" x14ac:dyDescent="0.35">
      <c r="A933" s="1" t="s">
        <v>16581</v>
      </c>
      <c r="B933" s="1" t="s">
        <v>19</v>
      </c>
      <c r="C933" s="1" t="s">
        <v>12939</v>
      </c>
      <c r="D933" s="1" t="s">
        <v>19</v>
      </c>
      <c r="E933" s="250">
        <v>2475.3029999999999</v>
      </c>
    </row>
    <row r="934" spans="1:5" x14ac:dyDescent="0.35">
      <c r="A934" s="1" t="s">
        <v>16582</v>
      </c>
      <c r="B934" s="1" t="s">
        <v>19</v>
      </c>
      <c r="C934" s="1" t="s">
        <v>12938</v>
      </c>
      <c r="D934" s="1" t="s">
        <v>19</v>
      </c>
      <c r="E934" s="250">
        <v>2475.3040000000001</v>
      </c>
    </row>
    <row r="935" spans="1:5" x14ac:dyDescent="0.35">
      <c r="A935" s="1" t="s">
        <v>16583</v>
      </c>
      <c r="B935" s="1" t="s">
        <v>19</v>
      </c>
      <c r="C935" s="1" t="s">
        <v>12937</v>
      </c>
      <c r="D935" s="1" t="s">
        <v>19</v>
      </c>
      <c r="E935" s="250">
        <v>2475.3049999999998</v>
      </c>
    </row>
    <row r="936" spans="1:5" x14ac:dyDescent="0.35">
      <c r="A936" s="1" t="s">
        <v>16584</v>
      </c>
      <c r="B936" s="1" t="s">
        <v>19</v>
      </c>
      <c r="C936" s="1" t="s">
        <v>12936</v>
      </c>
      <c r="D936" s="1" t="s">
        <v>19</v>
      </c>
      <c r="E936" s="250">
        <v>2475.306</v>
      </c>
    </row>
    <row r="937" spans="1:5" x14ac:dyDescent="0.35">
      <c r="A937" s="1" t="s">
        <v>16585</v>
      </c>
      <c r="B937" s="1" t="s">
        <v>19</v>
      </c>
      <c r="C937" s="1" t="s">
        <v>12935</v>
      </c>
      <c r="D937" s="1" t="s">
        <v>19</v>
      </c>
      <c r="E937" s="250">
        <v>2475.3069999999998</v>
      </c>
    </row>
    <row r="938" spans="1:5" x14ac:dyDescent="0.35">
      <c r="A938" s="1" t="s">
        <v>16586</v>
      </c>
      <c r="B938" s="1" t="s">
        <v>19</v>
      </c>
      <c r="C938" s="1" t="s">
        <v>12934</v>
      </c>
      <c r="D938" s="1" t="s">
        <v>19</v>
      </c>
      <c r="E938" s="250">
        <v>2475.3110000000001</v>
      </c>
    </row>
    <row r="939" spans="1:5" x14ac:dyDescent="0.35">
      <c r="A939" s="1" t="s">
        <v>16587</v>
      </c>
      <c r="B939" s="1" t="s">
        <v>19</v>
      </c>
      <c r="C939" s="1" t="s">
        <v>12933</v>
      </c>
      <c r="D939" s="1" t="s">
        <v>19</v>
      </c>
      <c r="E939" s="250">
        <v>2475.3119999999999</v>
      </c>
    </row>
    <row r="940" spans="1:5" x14ac:dyDescent="0.35">
      <c r="A940" s="1" t="s">
        <v>16588</v>
      </c>
      <c r="B940" s="1" t="s">
        <v>19</v>
      </c>
      <c r="C940" s="1" t="s">
        <v>12932</v>
      </c>
      <c r="D940" s="1" t="s">
        <v>19</v>
      </c>
      <c r="E940" s="250">
        <v>2475.3130000000001</v>
      </c>
    </row>
    <row r="941" spans="1:5" x14ac:dyDescent="0.35">
      <c r="A941" s="1" t="s">
        <v>16589</v>
      </c>
      <c r="B941" s="1" t="s">
        <v>19</v>
      </c>
      <c r="C941" s="1" t="s">
        <v>12931</v>
      </c>
      <c r="D941" s="1" t="s">
        <v>19</v>
      </c>
      <c r="E941" s="250">
        <v>2475.3139999999999</v>
      </c>
    </row>
    <row r="942" spans="1:5" x14ac:dyDescent="0.35">
      <c r="A942" s="1" t="s">
        <v>16590</v>
      </c>
      <c r="B942" s="1" t="s">
        <v>19</v>
      </c>
      <c r="C942" s="1" t="s">
        <v>12930</v>
      </c>
      <c r="D942" s="1" t="s">
        <v>19</v>
      </c>
      <c r="E942" s="250">
        <v>2475.3150000000001</v>
      </c>
    </row>
    <row r="943" spans="1:5" x14ac:dyDescent="0.35">
      <c r="A943" s="1" t="s">
        <v>16591</v>
      </c>
      <c r="B943" s="1" t="s">
        <v>19</v>
      </c>
      <c r="C943" s="1" t="s">
        <v>12929</v>
      </c>
      <c r="D943" s="1" t="s">
        <v>19</v>
      </c>
      <c r="E943" s="250">
        <v>2475.3159999999998</v>
      </c>
    </row>
    <row r="944" spans="1:5" x14ac:dyDescent="0.35">
      <c r="A944" s="1" t="s">
        <v>16592</v>
      </c>
      <c r="B944" s="1" t="s">
        <v>19</v>
      </c>
      <c r="C944" s="1" t="s">
        <v>12928</v>
      </c>
      <c r="D944" s="1" t="s">
        <v>19</v>
      </c>
      <c r="E944" s="250">
        <v>2475.317</v>
      </c>
    </row>
    <row r="945" spans="1:5" x14ac:dyDescent="0.35">
      <c r="A945" s="1" t="s">
        <v>16593</v>
      </c>
      <c r="B945" s="1" t="s">
        <v>19</v>
      </c>
      <c r="C945" s="1" t="s">
        <v>12927</v>
      </c>
      <c r="D945" s="1" t="s">
        <v>19</v>
      </c>
      <c r="E945" s="250">
        <v>2475.3209999999999</v>
      </c>
    </row>
    <row r="946" spans="1:5" x14ac:dyDescent="0.35">
      <c r="A946" s="1" t="s">
        <v>16594</v>
      </c>
      <c r="B946" s="1" t="s">
        <v>19</v>
      </c>
      <c r="C946" s="1" t="s">
        <v>12926</v>
      </c>
      <c r="D946" s="1" t="s">
        <v>19</v>
      </c>
      <c r="E946" s="250">
        <v>2475.3220000000001</v>
      </c>
    </row>
    <row r="947" spans="1:5" x14ac:dyDescent="0.35">
      <c r="A947" s="1" t="s">
        <v>16595</v>
      </c>
      <c r="B947" s="1" t="s">
        <v>19</v>
      </c>
      <c r="C947" s="1" t="s">
        <v>12925</v>
      </c>
      <c r="D947" s="1" t="s">
        <v>19</v>
      </c>
      <c r="E947" s="250">
        <v>2475.3229999999999</v>
      </c>
    </row>
    <row r="948" spans="1:5" x14ac:dyDescent="0.35">
      <c r="A948" s="1" t="s">
        <v>16596</v>
      </c>
      <c r="B948" s="1" t="s">
        <v>19</v>
      </c>
      <c r="C948" s="1" t="s">
        <v>12924</v>
      </c>
      <c r="D948" s="1" t="s">
        <v>19</v>
      </c>
      <c r="E948" s="250">
        <v>2475.3240000000001</v>
      </c>
    </row>
    <row r="949" spans="1:5" x14ac:dyDescent="0.35">
      <c r="A949" s="1" t="s">
        <v>16597</v>
      </c>
      <c r="B949" s="1" t="s">
        <v>19</v>
      </c>
      <c r="C949" s="1" t="s">
        <v>12923</v>
      </c>
      <c r="D949" s="1" t="s">
        <v>19</v>
      </c>
      <c r="E949" s="250">
        <v>2475.3249999999998</v>
      </c>
    </row>
    <row r="950" spans="1:5" x14ac:dyDescent="0.35">
      <c r="A950" s="1" t="s">
        <v>16598</v>
      </c>
      <c r="B950" s="1" t="s">
        <v>19</v>
      </c>
      <c r="C950" s="1" t="s">
        <v>12922</v>
      </c>
      <c r="D950" s="1" t="s">
        <v>19</v>
      </c>
      <c r="E950" s="250">
        <v>2475.326</v>
      </c>
    </row>
    <row r="951" spans="1:5" x14ac:dyDescent="0.35">
      <c r="A951" s="1" t="s">
        <v>16599</v>
      </c>
      <c r="B951" s="1" t="s">
        <v>19</v>
      </c>
      <c r="C951" s="1" t="s">
        <v>12921</v>
      </c>
      <c r="D951" s="1" t="s">
        <v>19</v>
      </c>
      <c r="E951" s="250">
        <v>2475.3270000000002</v>
      </c>
    </row>
    <row r="952" spans="1:5" x14ac:dyDescent="0.35">
      <c r="A952" s="1" t="s">
        <v>16600</v>
      </c>
      <c r="B952" s="1" t="s">
        <v>19</v>
      </c>
      <c r="C952" s="1" t="s">
        <v>12920</v>
      </c>
      <c r="D952" s="1" t="s">
        <v>19</v>
      </c>
      <c r="E952" s="250">
        <v>2475.3310000000001</v>
      </c>
    </row>
    <row r="953" spans="1:5" x14ac:dyDescent="0.35">
      <c r="A953" s="1" t="s">
        <v>16601</v>
      </c>
      <c r="B953" s="1" t="s">
        <v>19</v>
      </c>
      <c r="C953" s="1" t="s">
        <v>12919</v>
      </c>
      <c r="D953" s="1" t="s">
        <v>19</v>
      </c>
      <c r="E953" s="250">
        <v>2475.3319999999999</v>
      </c>
    </row>
    <row r="954" spans="1:5" x14ac:dyDescent="0.35">
      <c r="A954" s="1" t="s">
        <v>16602</v>
      </c>
      <c r="B954" s="1" t="s">
        <v>19</v>
      </c>
      <c r="C954" s="1" t="s">
        <v>12918</v>
      </c>
      <c r="D954" s="1" t="s">
        <v>19</v>
      </c>
      <c r="E954" s="250">
        <v>2475.3330000000001</v>
      </c>
    </row>
    <row r="955" spans="1:5" x14ac:dyDescent="0.35">
      <c r="A955" s="1" t="s">
        <v>16603</v>
      </c>
      <c r="B955" s="1" t="s">
        <v>19</v>
      </c>
      <c r="C955" s="1" t="s">
        <v>12917</v>
      </c>
      <c r="D955" s="1" t="s">
        <v>19</v>
      </c>
      <c r="E955" s="250">
        <v>2475.3339999999998</v>
      </c>
    </row>
    <row r="956" spans="1:5" x14ac:dyDescent="0.35">
      <c r="A956" s="1" t="s">
        <v>16604</v>
      </c>
      <c r="B956" s="1" t="s">
        <v>19</v>
      </c>
      <c r="C956" s="1" t="s">
        <v>12916</v>
      </c>
      <c r="D956" s="1" t="s">
        <v>19</v>
      </c>
      <c r="E956" s="250">
        <v>2475.335</v>
      </c>
    </row>
    <row r="957" spans="1:5" x14ac:dyDescent="0.35">
      <c r="A957" s="1" t="s">
        <v>16605</v>
      </c>
      <c r="B957" s="1" t="s">
        <v>19</v>
      </c>
      <c r="C957" s="1" t="s">
        <v>12915</v>
      </c>
      <c r="D957" s="1" t="s">
        <v>19</v>
      </c>
      <c r="E957" s="250">
        <v>2475.3359999999998</v>
      </c>
    </row>
    <row r="958" spans="1:5" x14ac:dyDescent="0.35">
      <c r="A958" s="1" t="s">
        <v>16606</v>
      </c>
      <c r="B958" s="1" t="s">
        <v>19</v>
      </c>
      <c r="C958" s="1" t="s">
        <v>12914</v>
      </c>
      <c r="D958" s="1" t="s">
        <v>19</v>
      </c>
      <c r="E958" s="250">
        <v>2475.337</v>
      </c>
    </row>
    <row r="959" spans="1:5" x14ac:dyDescent="0.35">
      <c r="A959" s="2" t="s">
        <v>16607</v>
      </c>
      <c r="B959" s="1" t="s">
        <v>18</v>
      </c>
      <c r="C959" s="1" t="s">
        <v>12913</v>
      </c>
      <c r="D959" s="1" t="s">
        <v>18</v>
      </c>
      <c r="E959" s="250">
        <v>2478.0120000000002</v>
      </c>
    </row>
    <row r="960" spans="1:5" x14ac:dyDescent="0.35">
      <c r="A960" s="1" t="s">
        <v>16608</v>
      </c>
      <c r="B960" s="1" t="s">
        <v>20</v>
      </c>
      <c r="C960" s="1" t="s">
        <v>12912</v>
      </c>
      <c r="D960" s="1" t="s">
        <v>20</v>
      </c>
      <c r="E960" s="250">
        <v>2478.0149999999999</v>
      </c>
    </row>
    <row r="961" spans="1:5" x14ac:dyDescent="0.35">
      <c r="A961" s="2" t="s">
        <v>16609</v>
      </c>
      <c r="B961" s="1" t="s">
        <v>19</v>
      </c>
      <c r="C961" s="1" t="s">
        <v>12911</v>
      </c>
      <c r="D961" s="1" t="s">
        <v>19</v>
      </c>
      <c r="E961" s="250">
        <v>2479.9</v>
      </c>
    </row>
    <row r="962" spans="1:5" x14ac:dyDescent="0.35">
      <c r="A962" s="1" t="s">
        <v>16610</v>
      </c>
      <c r="B962" s="1" t="s">
        <v>18</v>
      </c>
      <c r="C962" s="1" t="s">
        <v>12910</v>
      </c>
      <c r="D962" s="1" t="s">
        <v>18</v>
      </c>
      <c r="E962" s="250">
        <v>2479.9009999999998</v>
      </c>
    </row>
    <row r="963" spans="1:5" x14ac:dyDescent="0.35">
      <c r="A963" s="1" t="s">
        <v>16611</v>
      </c>
      <c r="B963" s="1" t="s">
        <v>23</v>
      </c>
      <c r="C963" s="1" t="s">
        <v>12909</v>
      </c>
      <c r="D963" s="1" t="s">
        <v>23</v>
      </c>
      <c r="E963" s="250">
        <v>2479.91</v>
      </c>
    </row>
    <row r="964" spans="1:5" x14ac:dyDescent="0.35">
      <c r="A964" s="2" t="s">
        <v>16612</v>
      </c>
      <c r="B964" s="1" t="s">
        <v>19</v>
      </c>
      <c r="C964" s="1" t="s">
        <v>12908</v>
      </c>
      <c r="D964" s="1" t="s">
        <v>19</v>
      </c>
      <c r="E964" s="250">
        <v>2480.0100000000002</v>
      </c>
    </row>
    <row r="965" spans="1:5" x14ac:dyDescent="0.35">
      <c r="A965" s="1" t="s">
        <v>16613</v>
      </c>
      <c r="B965" s="1" t="s">
        <v>23</v>
      </c>
      <c r="C965" s="1" t="s">
        <v>12907</v>
      </c>
      <c r="D965" s="1" t="s">
        <v>23</v>
      </c>
      <c r="E965" s="250">
        <v>2480.011</v>
      </c>
    </row>
    <row r="966" spans="1:5" x14ac:dyDescent="0.35">
      <c r="A966" s="1" t="s">
        <v>16614</v>
      </c>
      <c r="B966" s="1" t="s">
        <v>42</v>
      </c>
      <c r="C966" s="1" t="s">
        <v>12906</v>
      </c>
      <c r="D966" s="1" t="s">
        <v>42</v>
      </c>
      <c r="E966" s="250">
        <v>2480.02</v>
      </c>
    </row>
    <row r="967" spans="1:5" x14ac:dyDescent="0.35">
      <c r="A967" s="1" t="s">
        <v>16615</v>
      </c>
      <c r="B967" s="1" t="s">
        <v>23</v>
      </c>
      <c r="C967" s="1" t="s">
        <v>12905</v>
      </c>
      <c r="D967" s="1" t="s">
        <v>23</v>
      </c>
      <c r="E967" s="250">
        <v>2480.09</v>
      </c>
    </row>
    <row r="968" spans="1:5" x14ac:dyDescent="0.35">
      <c r="A968" s="1" t="s">
        <v>16616</v>
      </c>
      <c r="B968" s="1" t="s">
        <v>20</v>
      </c>
      <c r="C968" s="1" t="s">
        <v>12904</v>
      </c>
      <c r="D968" s="1" t="s">
        <v>20</v>
      </c>
      <c r="E968" s="250">
        <v>2480.1</v>
      </c>
    </row>
    <row r="969" spans="1:5" x14ac:dyDescent="0.35">
      <c r="A969" s="1" t="s">
        <v>16617</v>
      </c>
      <c r="B969" s="1" t="s">
        <v>20</v>
      </c>
      <c r="C969" s="1" t="s">
        <v>12903</v>
      </c>
      <c r="D969" s="1" t="s">
        <v>20</v>
      </c>
      <c r="E969" s="250">
        <v>2480.11</v>
      </c>
    </row>
    <row r="970" spans="1:5" x14ac:dyDescent="0.35">
      <c r="A970" s="1" t="s">
        <v>16618</v>
      </c>
      <c r="B970" s="1" t="s">
        <v>42</v>
      </c>
      <c r="C970" s="1" t="s">
        <v>12902</v>
      </c>
      <c r="D970" s="1" t="s">
        <v>42</v>
      </c>
      <c r="E970" s="250">
        <v>2480.12</v>
      </c>
    </row>
    <row r="971" spans="1:5" x14ac:dyDescent="0.35">
      <c r="A971" s="2" t="s">
        <v>16619</v>
      </c>
      <c r="B971" s="1" t="s">
        <v>621</v>
      </c>
      <c r="C971" s="1" t="s">
        <v>12901</v>
      </c>
      <c r="D971" s="1" t="s">
        <v>621</v>
      </c>
      <c r="E971" s="250">
        <v>2489.991</v>
      </c>
    </row>
    <row r="972" spans="1:5" x14ac:dyDescent="0.35">
      <c r="A972" s="2" t="s">
        <v>16620</v>
      </c>
      <c r="B972" s="1" t="s">
        <v>57</v>
      </c>
      <c r="C972" s="1" t="s">
        <v>12900</v>
      </c>
      <c r="D972" s="1" t="s">
        <v>57</v>
      </c>
      <c r="E972" s="250">
        <v>2500.0100000000002</v>
      </c>
    </row>
    <row r="973" spans="1:5" x14ac:dyDescent="0.35">
      <c r="A973" s="1" t="s">
        <v>16621</v>
      </c>
      <c r="B973" s="1" t="s">
        <v>18</v>
      </c>
      <c r="C973" s="1" t="s">
        <v>12899</v>
      </c>
      <c r="D973" s="1" t="s">
        <v>18</v>
      </c>
      <c r="E973" s="250">
        <v>2500.0140000000001</v>
      </c>
    </row>
    <row r="974" spans="1:5" x14ac:dyDescent="0.35">
      <c r="A974" s="1" t="s">
        <v>16622</v>
      </c>
      <c r="B974" s="1" t="s">
        <v>18</v>
      </c>
      <c r="C974" s="1" t="s">
        <v>12898</v>
      </c>
      <c r="D974" s="1" t="s">
        <v>18</v>
      </c>
      <c r="E974" s="250">
        <v>2500.0149999999999</v>
      </c>
    </row>
    <row r="975" spans="1:5" x14ac:dyDescent="0.35">
      <c r="A975" s="1" t="s">
        <v>16623</v>
      </c>
      <c r="B975" s="1" t="s">
        <v>18</v>
      </c>
      <c r="C975" s="1" t="s">
        <v>12897</v>
      </c>
      <c r="D975" s="1" t="s">
        <v>18</v>
      </c>
      <c r="E975" s="250">
        <v>2500.0160000000001</v>
      </c>
    </row>
    <row r="976" spans="1:5" x14ac:dyDescent="0.35">
      <c r="A976" s="1" t="s">
        <v>16624</v>
      </c>
      <c r="B976" s="1" t="s">
        <v>18</v>
      </c>
      <c r="C976" s="1" t="s">
        <v>12896</v>
      </c>
      <c r="D976" s="1" t="s">
        <v>18</v>
      </c>
      <c r="E976" s="250">
        <v>2500.0169999999998</v>
      </c>
    </row>
    <row r="977" spans="1:5" x14ac:dyDescent="0.35">
      <c r="A977" s="1" t="s">
        <v>16625</v>
      </c>
      <c r="B977" s="1" t="s">
        <v>18</v>
      </c>
      <c r="C977" s="1" t="s">
        <v>12895</v>
      </c>
      <c r="D977" s="1" t="s">
        <v>18</v>
      </c>
      <c r="E977" s="250">
        <v>2500.018</v>
      </c>
    </row>
    <row r="978" spans="1:5" x14ac:dyDescent="0.35">
      <c r="A978" s="1" t="s">
        <v>16626</v>
      </c>
      <c r="B978" s="1" t="s">
        <v>18</v>
      </c>
      <c r="C978" s="1" t="s">
        <v>12894</v>
      </c>
      <c r="D978" s="1" t="s">
        <v>18</v>
      </c>
      <c r="E978" s="250">
        <v>2500.0189999999998</v>
      </c>
    </row>
    <row r="979" spans="1:5" x14ac:dyDescent="0.35">
      <c r="A979" s="1" t="s">
        <v>16627</v>
      </c>
      <c r="B979" s="1" t="s">
        <v>18</v>
      </c>
      <c r="C979" s="1" t="s">
        <v>12893</v>
      </c>
      <c r="D979" s="1" t="s">
        <v>18</v>
      </c>
      <c r="E979" s="250">
        <v>2500.02</v>
      </c>
    </row>
    <row r="980" spans="1:5" x14ac:dyDescent="0.35">
      <c r="A980" s="1" t="s">
        <v>16628</v>
      </c>
      <c r="B980" s="1" t="s">
        <v>18</v>
      </c>
      <c r="C980" s="1" t="s">
        <v>12892</v>
      </c>
      <c r="D980" s="1" t="s">
        <v>18</v>
      </c>
      <c r="E980" s="250">
        <v>2500.0210000000002</v>
      </c>
    </row>
    <row r="981" spans="1:5" x14ac:dyDescent="0.35">
      <c r="A981" s="1" t="s">
        <v>16629</v>
      </c>
      <c r="B981" s="1" t="s">
        <v>18</v>
      </c>
      <c r="C981" s="1" t="s">
        <v>12891</v>
      </c>
      <c r="D981" s="1" t="s">
        <v>18</v>
      </c>
      <c r="E981" s="250">
        <v>2500.0219999999999</v>
      </c>
    </row>
    <row r="982" spans="1:5" x14ac:dyDescent="0.35">
      <c r="A982" s="1" t="s">
        <v>16630</v>
      </c>
      <c r="B982" s="1" t="s">
        <v>18</v>
      </c>
      <c r="C982" s="1" t="s">
        <v>12890</v>
      </c>
      <c r="D982" s="1" t="s">
        <v>18</v>
      </c>
      <c r="E982" s="250">
        <v>2500.0230000000001</v>
      </c>
    </row>
    <row r="983" spans="1:5" x14ac:dyDescent="0.35">
      <c r="A983" s="1" t="s">
        <v>16631</v>
      </c>
      <c r="B983" s="1" t="s">
        <v>18</v>
      </c>
      <c r="C983" s="1" t="s">
        <v>12889</v>
      </c>
      <c r="D983" s="1" t="s">
        <v>18</v>
      </c>
      <c r="E983" s="250">
        <v>2500.0239999999999</v>
      </c>
    </row>
    <row r="984" spans="1:5" x14ac:dyDescent="0.35">
      <c r="A984" s="1" t="s">
        <v>16632</v>
      </c>
      <c r="B984" s="1" t="s">
        <v>18</v>
      </c>
      <c r="C984" s="1" t="s">
        <v>12888</v>
      </c>
      <c r="D984" s="1" t="s">
        <v>18</v>
      </c>
      <c r="E984" s="250">
        <v>2500.0250000000001</v>
      </c>
    </row>
    <row r="985" spans="1:5" x14ac:dyDescent="0.35">
      <c r="A985" s="1" t="s">
        <v>16633</v>
      </c>
      <c r="B985" s="1" t="s">
        <v>18</v>
      </c>
      <c r="C985" s="1" t="s">
        <v>12887</v>
      </c>
      <c r="D985" s="1" t="s">
        <v>18</v>
      </c>
      <c r="E985" s="250">
        <v>2500.0259999999998</v>
      </c>
    </row>
    <row r="986" spans="1:5" x14ac:dyDescent="0.35">
      <c r="A986" s="1" t="s">
        <v>16634</v>
      </c>
      <c r="B986" s="1" t="s">
        <v>18</v>
      </c>
      <c r="C986" s="1" t="s">
        <v>12886</v>
      </c>
      <c r="D986" s="1" t="s">
        <v>18</v>
      </c>
      <c r="E986" s="250">
        <v>2500.027</v>
      </c>
    </row>
    <row r="987" spans="1:5" x14ac:dyDescent="0.35">
      <c r="A987" s="1" t="s">
        <v>16635</v>
      </c>
      <c r="B987" s="1" t="s">
        <v>18</v>
      </c>
      <c r="C987" s="1" t="s">
        <v>12885</v>
      </c>
      <c r="D987" s="1" t="s">
        <v>18</v>
      </c>
      <c r="E987" s="250">
        <v>2500.0279999999998</v>
      </c>
    </row>
    <row r="988" spans="1:5" x14ac:dyDescent="0.35">
      <c r="A988" s="1" t="s">
        <v>16636</v>
      </c>
      <c r="B988" s="1" t="s">
        <v>18</v>
      </c>
      <c r="C988" s="1" t="s">
        <v>12884</v>
      </c>
      <c r="D988" s="1" t="s">
        <v>18</v>
      </c>
      <c r="E988" s="250">
        <v>2500.029</v>
      </c>
    </row>
    <row r="989" spans="1:5" x14ac:dyDescent="0.35">
      <c r="A989" s="1" t="s">
        <v>16637</v>
      </c>
      <c r="B989" s="1" t="s">
        <v>18</v>
      </c>
      <c r="C989" s="1" t="s">
        <v>12883</v>
      </c>
      <c r="D989" s="1" t="s">
        <v>18</v>
      </c>
      <c r="E989" s="250">
        <v>2500.0300000000002</v>
      </c>
    </row>
    <row r="990" spans="1:5" x14ac:dyDescent="0.35">
      <c r="A990" s="1" t="s">
        <v>16638</v>
      </c>
      <c r="B990" s="1" t="s">
        <v>18</v>
      </c>
      <c r="C990" s="1" t="s">
        <v>12882</v>
      </c>
      <c r="D990" s="1" t="s">
        <v>18</v>
      </c>
      <c r="E990" s="250">
        <v>2500.0309999999999</v>
      </c>
    </row>
    <row r="991" spans="1:5" x14ac:dyDescent="0.35">
      <c r="A991" s="1" t="s">
        <v>16639</v>
      </c>
      <c r="B991" s="1" t="s">
        <v>18</v>
      </c>
      <c r="C991" s="1" t="s">
        <v>12881</v>
      </c>
      <c r="D991" s="1" t="s">
        <v>18</v>
      </c>
      <c r="E991" s="250">
        <v>2500.0320000000002</v>
      </c>
    </row>
    <row r="992" spans="1:5" x14ac:dyDescent="0.35">
      <c r="A992" s="1" t="s">
        <v>16640</v>
      </c>
      <c r="B992" s="1" t="s">
        <v>18</v>
      </c>
      <c r="C992" s="1" t="s">
        <v>12880</v>
      </c>
      <c r="D992" s="1" t="s">
        <v>18</v>
      </c>
      <c r="E992" s="250">
        <v>2500.0329999999999</v>
      </c>
    </row>
    <row r="993" spans="1:5" x14ac:dyDescent="0.35">
      <c r="A993" s="1" t="s">
        <v>16641</v>
      </c>
      <c r="B993" s="1" t="s">
        <v>18</v>
      </c>
      <c r="C993" s="1" t="s">
        <v>12879</v>
      </c>
      <c r="D993" s="1" t="s">
        <v>18</v>
      </c>
      <c r="E993" s="250">
        <v>2500.0340000000001</v>
      </c>
    </row>
    <row r="994" spans="1:5" x14ac:dyDescent="0.35">
      <c r="A994" s="1" t="s">
        <v>16642</v>
      </c>
      <c r="B994" s="1" t="s">
        <v>18</v>
      </c>
      <c r="C994" s="1" t="s">
        <v>12878</v>
      </c>
      <c r="D994" s="1" t="s">
        <v>18</v>
      </c>
      <c r="E994" s="250">
        <v>2500.0349999999999</v>
      </c>
    </row>
    <row r="995" spans="1:5" x14ac:dyDescent="0.35">
      <c r="A995" s="1" t="s">
        <v>16643</v>
      </c>
      <c r="B995" s="1" t="s">
        <v>18</v>
      </c>
      <c r="C995" s="1" t="s">
        <v>12877</v>
      </c>
      <c r="D995" s="1" t="s">
        <v>18</v>
      </c>
      <c r="E995" s="250">
        <v>2500.0360000000001</v>
      </c>
    </row>
    <row r="996" spans="1:5" x14ac:dyDescent="0.35">
      <c r="A996" s="1" t="s">
        <v>16644</v>
      </c>
      <c r="B996" s="1" t="s">
        <v>18</v>
      </c>
      <c r="C996" s="1" t="s">
        <v>12876</v>
      </c>
      <c r="D996" s="1" t="s">
        <v>18</v>
      </c>
      <c r="E996" s="250">
        <v>2500.0369999999998</v>
      </c>
    </row>
    <row r="997" spans="1:5" x14ac:dyDescent="0.35">
      <c r="A997" s="1" t="s">
        <v>16645</v>
      </c>
      <c r="B997" s="1" t="s">
        <v>18</v>
      </c>
      <c r="C997" s="1" t="s">
        <v>12875</v>
      </c>
      <c r="D997" s="1" t="s">
        <v>18</v>
      </c>
      <c r="E997" s="250">
        <v>2500.038</v>
      </c>
    </row>
    <row r="998" spans="1:5" x14ac:dyDescent="0.35">
      <c r="A998" s="1" t="s">
        <v>16646</v>
      </c>
      <c r="B998" s="1" t="s">
        <v>18</v>
      </c>
      <c r="C998" s="1" t="s">
        <v>12874</v>
      </c>
      <c r="D998" s="1" t="s">
        <v>18</v>
      </c>
      <c r="E998" s="250">
        <v>2500.0390000000002</v>
      </c>
    </row>
    <row r="999" spans="1:5" x14ac:dyDescent="0.35">
      <c r="A999" s="1" t="s">
        <v>16647</v>
      </c>
      <c r="B999" s="1" t="s">
        <v>18</v>
      </c>
      <c r="C999" s="1" t="s">
        <v>12873</v>
      </c>
      <c r="D999" s="1" t="s">
        <v>18</v>
      </c>
      <c r="E999" s="250">
        <v>2500.04</v>
      </c>
    </row>
    <row r="1000" spans="1:5" x14ac:dyDescent="0.35">
      <c r="A1000" s="1" t="s">
        <v>16648</v>
      </c>
      <c r="B1000" s="1" t="s">
        <v>18</v>
      </c>
      <c r="C1000" s="1" t="s">
        <v>12872</v>
      </c>
      <c r="D1000" s="1" t="s">
        <v>18</v>
      </c>
      <c r="E1000" s="250">
        <v>2500.0410000000002</v>
      </c>
    </row>
    <row r="1001" spans="1:5" x14ac:dyDescent="0.35">
      <c r="A1001" s="1" t="s">
        <v>16649</v>
      </c>
      <c r="B1001" s="1" t="s">
        <v>18</v>
      </c>
      <c r="C1001" s="1" t="s">
        <v>12871</v>
      </c>
      <c r="D1001" s="1" t="s">
        <v>18</v>
      </c>
      <c r="E1001" s="250">
        <v>2500.0419999999999</v>
      </c>
    </row>
    <row r="1002" spans="1:5" x14ac:dyDescent="0.35">
      <c r="A1002" s="1" t="s">
        <v>16650</v>
      </c>
      <c r="B1002" s="1" t="s">
        <v>18</v>
      </c>
      <c r="C1002" s="1" t="s">
        <v>12870</v>
      </c>
      <c r="D1002" s="1" t="s">
        <v>18</v>
      </c>
      <c r="E1002" s="250">
        <v>2500.0430000000001</v>
      </c>
    </row>
    <row r="1003" spans="1:5" x14ac:dyDescent="0.35">
      <c r="A1003" s="1" t="s">
        <v>16651</v>
      </c>
      <c r="B1003" s="1" t="s">
        <v>18</v>
      </c>
      <c r="C1003" s="1" t="s">
        <v>12869</v>
      </c>
      <c r="D1003" s="1" t="s">
        <v>18</v>
      </c>
      <c r="E1003" s="250">
        <v>2500.0439999999999</v>
      </c>
    </row>
    <row r="1004" spans="1:5" x14ac:dyDescent="0.35">
      <c r="A1004" s="1" t="s">
        <v>16652</v>
      </c>
      <c r="B1004" s="1" t="s">
        <v>18</v>
      </c>
      <c r="C1004" s="1" t="s">
        <v>12868</v>
      </c>
      <c r="D1004" s="1" t="s">
        <v>18</v>
      </c>
      <c r="E1004" s="250">
        <v>2500.0450000000001</v>
      </c>
    </row>
    <row r="1005" spans="1:5" x14ac:dyDescent="0.35">
      <c r="A1005" s="1" t="s">
        <v>16653</v>
      </c>
      <c r="B1005" s="1" t="s">
        <v>18</v>
      </c>
      <c r="C1005" s="1" t="s">
        <v>12867</v>
      </c>
      <c r="D1005" s="1" t="s">
        <v>18</v>
      </c>
      <c r="E1005" s="250">
        <v>2500.0459999999998</v>
      </c>
    </row>
    <row r="1006" spans="1:5" x14ac:dyDescent="0.35">
      <c r="A1006" s="1" t="s">
        <v>16654</v>
      </c>
      <c r="B1006" s="1" t="s">
        <v>18</v>
      </c>
      <c r="C1006" s="1" t="s">
        <v>12866</v>
      </c>
      <c r="D1006" s="1" t="s">
        <v>18</v>
      </c>
      <c r="E1006" s="250">
        <v>2500.047</v>
      </c>
    </row>
    <row r="1007" spans="1:5" x14ac:dyDescent="0.35">
      <c r="A1007" s="1" t="s">
        <v>16655</v>
      </c>
      <c r="B1007" s="1" t="s">
        <v>18</v>
      </c>
      <c r="C1007" s="1" t="s">
        <v>12865</v>
      </c>
      <c r="D1007" s="1" t="s">
        <v>18</v>
      </c>
      <c r="E1007" s="250">
        <v>2500.0479999999998</v>
      </c>
    </row>
    <row r="1008" spans="1:5" x14ac:dyDescent="0.35">
      <c r="A1008" s="1" t="s">
        <v>16656</v>
      </c>
      <c r="B1008" s="1" t="s">
        <v>18</v>
      </c>
      <c r="C1008" s="1" t="s">
        <v>12864</v>
      </c>
      <c r="D1008" s="1" t="s">
        <v>18</v>
      </c>
      <c r="E1008" s="250">
        <v>2500.049</v>
      </c>
    </row>
    <row r="1009" spans="1:5" x14ac:dyDescent="0.35">
      <c r="A1009" s="1" t="s">
        <v>16657</v>
      </c>
      <c r="B1009" s="1" t="s">
        <v>18</v>
      </c>
      <c r="C1009" s="1" t="s">
        <v>12863</v>
      </c>
      <c r="D1009" s="1" t="s">
        <v>18</v>
      </c>
      <c r="E1009" s="250">
        <v>2500.0500000000002</v>
      </c>
    </row>
    <row r="1010" spans="1:5" x14ac:dyDescent="0.35">
      <c r="A1010" s="1" t="s">
        <v>16658</v>
      </c>
      <c r="B1010" s="1" t="s">
        <v>18</v>
      </c>
      <c r="C1010" s="1" t="s">
        <v>12862</v>
      </c>
      <c r="D1010" s="1" t="s">
        <v>18</v>
      </c>
      <c r="E1010" s="250">
        <v>2500.0509999999999</v>
      </c>
    </row>
    <row r="1011" spans="1:5" x14ac:dyDescent="0.35">
      <c r="A1011" s="1" t="s">
        <v>16659</v>
      </c>
      <c r="B1011" s="1" t="s">
        <v>18</v>
      </c>
      <c r="C1011" s="1" t="s">
        <v>12861</v>
      </c>
      <c r="D1011" s="1" t="s">
        <v>18</v>
      </c>
      <c r="E1011" s="250">
        <v>2500.0520000000001</v>
      </c>
    </row>
    <row r="1012" spans="1:5" x14ac:dyDescent="0.35">
      <c r="A1012" s="1" t="s">
        <v>16660</v>
      </c>
      <c r="B1012" s="1" t="s">
        <v>18</v>
      </c>
      <c r="C1012" s="1" t="s">
        <v>12860</v>
      </c>
      <c r="D1012" s="1" t="s">
        <v>18</v>
      </c>
      <c r="E1012" s="250">
        <v>2500.0529999999999</v>
      </c>
    </row>
    <row r="1013" spans="1:5" x14ac:dyDescent="0.35">
      <c r="A1013" s="1" t="s">
        <v>16661</v>
      </c>
      <c r="B1013" s="1" t="s">
        <v>18</v>
      </c>
      <c r="C1013" s="1" t="s">
        <v>12859</v>
      </c>
      <c r="D1013" s="1" t="s">
        <v>18</v>
      </c>
      <c r="E1013" s="250">
        <v>2500.0540000000001</v>
      </c>
    </row>
    <row r="1014" spans="1:5" x14ac:dyDescent="0.35">
      <c r="A1014" s="1" t="s">
        <v>16662</v>
      </c>
      <c r="B1014" s="1" t="s">
        <v>18</v>
      </c>
      <c r="C1014" s="1" t="s">
        <v>12858</v>
      </c>
      <c r="D1014" s="1" t="s">
        <v>18</v>
      </c>
      <c r="E1014" s="250">
        <v>2500.0549999999998</v>
      </c>
    </row>
    <row r="1015" spans="1:5" x14ac:dyDescent="0.35">
      <c r="A1015" s="1" t="s">
        <v>16663</v>
      </c>
      <c r="B1015" s="1" t="s">
        <v>18</v>
      </c>
      <c r="C1015" s="1" t="s">
        <v>12857</v>
      </c>
      <c r="D1015" s="1" t="s">
        <v>18</v>
      </c>
      <c r="E1015" s="250">
        <v>2500.056</v>
      </c>
    </row>
    <row r="1016" spans="1:5" x14ac:dyDescent="0.35">
      <c r="A1016" s="1" t="s">
        <v>16664</v>
      </c>
      <c r="B1016" s="1" t="s">
        <v>18</v>
      </c>
      <c r="C1016" s="1" t="s">
        <v>12856</v>
      </c>
      <c r="D1016" s="1" t="s">
        <v>18</v>
      </c>
      <c r="E1016" s="250">
        <v>2500.0569999999998</v>
      </c>
    </row>
    <row r="1017" spans="1:5" x14ac:dyDescent="0.35">
      <c r="A1017" s="1" t="s">
        <v>16665</v>
      </c>
      <c r="B1017" s="1" t="s">
        <v>18</v>
      </c>
      <c r="C1017" s="1" t="s">
        <v>12855</v>
      </c>
      <c r="D1017" s="1" t="s">
        <v>18</v>
      </c>
      <c r="E1017" s="250">
        <v>2500.058</v>
      </c>
    </row>
    <row r="1018" spans="1:5" x14ac:dyDescent="0.35">
      <c r="A1018" s="1" t="s">
        <v>16666</v>
      </c>
      <c r="B1018" s="1" t="s">
        <v>18</v>
      </c>
      <c r="C1018" s="1" t="s">
        <v>12854</v>
      </c>
      <c r="D1018" s="1" t="s">
        <v>18</v>
      </c>
      <c r="E1018" s="250">
        <v>2500.0590000000002</v>
      </c>
    </row>
    <row r="1019" spans="1:5" x14ac:dyDescent="0.35">
      <c r="A1019" s="1" t="s">
        <v>16667</v>
      </c>
      <c r="B1019" s="1" t="s">
        <v>18</v>
      </c>
      <c r="C1019" s="1" t="s">
        <v>12853</v>
      </c>
      <c r="D1019" s="1" t="s">
        <v>18</v>
      </c>
      <c r="E1019" s="250">
        <v>2500.06</v>
      </c>
    </row>
    <row r="1020" spans="1:5" x14ac:dyDescent="0.35">
      <c r="A1020" s="2" t="s">
        <v>16668</v>
      </c>
      <c r="B1020" s="1" t="s">
        <v>57</v>
      </c>
      <c r="C1020" s="1" t="s">
        <v>12852</v>
      </c>
      <c r="D1020" s="1" t="s">
        <v>57</v>
      </c>
      <c r="E1020" s="250">
        <v>2501.0100000000002</v>
      </c>
    </row>
    <row r="1021" spans="1:5" x14ac:dyDescent="0.35">
      <c r="A1021" s="1" t="s">
        <v>16669</v>
      </c>
      <c r="B1021" s="1" t="s">
        <v>19</v>
      </c>
      <c r="C1021" s="1" t="s">
        <v>12851</v>
      </c>
      <c r="D1021" s="1" t="s">
        <v>19</v>
      </c>
      <c r="E1021" s="250">
        <v>2501.011</v>
      </c>
    </row>
    <row r="1022" spans="1:5" x14ac:dyDescent="0.35">
      <c r="A1022" s="1" t="s">
        <v>16670</v>
      </c>
      <c r="B1022" s="1" t="s">
        <v>19</v>
      </c>
      <c r="C1022" s="1" t="s">
        <v>12850</v>
      </c>
      <c r="D1022" s="1" t="s">
        <v>19</v>
      </c>
      <c r="E1022" s="250">
        <v>2501.0120000000002</v>
      </c>
    </row>
    <row r="1023" spans="1:5" x14ac:dyDescent="0.35">
      <c r="A1023" s="1" t="s">
        <v>16671</v>
      </c>
      <c r="B1023" s="1" t="s">
        <v>19</v>
      </c>
      <c r="C1023" s="1" t="s">
        <v>12849</v>
      </c>
      <c r="D1023" s="1" t="s">
        <v>19</v>
      </c>
      <c r="E1023" s="250">
        <v>2501.0129999999999</v>
      </c>
    </row>
    <row r="1024" spans="1:5" x14ac:dyDescent="0.35">
      <c r="A1024" s="1" t="s">
        <v>16672</v>
      </c>
      <c r="B1024" s="1" t="s">
        <v>19</v>
      </c>
      <c r="C1024" s="1" t="s">
        <v>12848</v>
      </c>
      <c r="D1024" s="1" t="s">
        <v>19</v>
      </c>
      <c r="E1024" s="250">
        <v>2501.0140000000001</v>
      </c>
    </row>
    <row r="1025" spans="1:5" x14ac:dyDescent="0.35">
      <c r="A1025" s="1" t="s">
        <v>16673</v>
      </c>
      <c r="B1025" s="1" t="s">
        <v>19</v>
      </c>
      <c r="C1025" s="1" t="s">
        <v>12847</v>
      </c>
      <c r="D1025" s="1" t="s">
        <v>19</v>
      </c>
      <c r="E1025" s="250">
        <v>2501.0149999999999</v>
      </c>
    </row>
    <row r="1026" spans="1:5" x14ac:dyDescent="0.35">
      <c r="A1026" s="1" t="s">
        <v>16674</v>
      </c>
      <c r="B1026" s="1" t="s">
        <v>19</v>
      </c>
      <c r="C1026" s="1" t="s">
        <v>12846</v>
      </c>
      <c r="D1026" s="1" t="s">
        <v>19</v>
      </c>
      <c r="E1026" s="250">
        <v>2501.0160000000001</v>
      </c>
    </row>
    <row r="1027" spans="1:5" x14ac:dyDescent="0.35">
      <c r="A1027" s="1" t="s">
        <v>16675</v>
      </c>
      <c r="B1027" s="1" t="s">
        <v>19</v>
      </c>
      <c r="C1027" s="1" t="s">
        <v>12845</v>
      </c>
      <c r="D1027" s="1" t="s">
        <v>19</v>
      </c>
      <c r="E1027" s="250">
        <v>2501.0169999999998</v>
      </c>
    </row>
    <row r="1028" spans="1:5" x14ac:dyDescent="0.35">
      <c r="A1028" s="1" t="s">
        <v>16676</v>
      </c>
      <c r="B1028" s="1" t="s">
        <v>19</v>
      </c>
      <c r="C1028" s="1" t="s">
        <v>12844</v>
      </c>
      <c r="D1028" s="1" t="s">
        <v>19</v>
      </c>
      <c r="E1028" s="250">
        <v>2501.018</v>
      </c>
    </row>
    <row r="1029" spans="1:5" x14ac:dyDescent="0.35">
      <c r="A1029" s="1" t="s">
        <v>16677</v>
      </c>
      <c r="B1029" s="1" t="s">
        <v>19</v>
      </c>
      <c r="C1029" s="1" t="s">
        <v>12843</v>
      </c>
      <c r="D1029" s="1" t="s">
        <v>19</v>
      </c>
      <c r="E1029" s="250">
        <v>2501.0189999999998</v>
      </c>
    </row>
    <row r="1030" spans="1:5" x14ac:dyDescent="0.35">
      <c r="A1030" s="1" t="s">
        <v>16678</v>
      </c>
      <c r="B1030" s="1" t="s">
        <v>19</v>
      </c>
      <c r="C1030" s="1" t="s">
        <v>12842</v>
      </c>
      <c r="D1030" s="1" t="s">
        <v>19</v>
      </c>
      <c r="E1030" s="250">
        <v>2501.02</v>
      </c>
    </row>
    <row r="1031" spans="1:5" x14ac:dyDescent="0.35">
      <c r="A1031" s="1" t="s">
        <v>16679</v>
      </c>
      <c r="B1031" s="1" t="s">
        <v>19</v>
      </c>
      <c r="C1031" s="1" t="s">
        <v>12841</v>
      </c>
      <c r="D1031" s="1" t="s">
        <v>19</v>
      </c>
      <c r="E1031" s="250">
        <v>2501.0210000000002</v>
      </c>
    </row>
    <row r="1032" spans="1:5" x14ac:dyDescent="0.35">
      <c r="A1032" s="1" t="s">
        <v>16680</v>
      </c>
      <c r="B1032" s="1" t="s">
        <v>19</v>
      </c>
      <c r="C1032" s="1" t="s">
        <v>12840</v>
      </c>
      <c r="D1032" s="1" t="s">
        <v>19</v>
      </c>
      <c r="E1032" s="250">
        <v>2501.0219999999999</v>
      </c>
    </row>
    <row r="1033" spans="1:5" x14ac:dyDescent="0.35">
      <c r="A1033" s="1" t="s">
        <v>16681</v>
      </c>
      <c r="B1033" s="1" t="s">
        <v>19</v>
      </c>
      <c r="C1033" s="1" t="s">
        <v>12839</v>
      </c>
      <c r="D1033" s="1" t="s">
        <v>19</v>
      </c>
      <c r="E1033" s="250">
        <v>2501.0230000000001</v>
      </c>
    </row>
    <row r="1034" spans="1:5" x14ac:dyDescent="0.35">
      <c r="A1034" s="1" t="s">
        <v>16682</v>
      </c>
      <c r="B1034" s="1" t="s">
        <v>19</v>
      </c>
      <c r="C1034" s="1" t="s">
        <v>12838</v>
      </c>
      <c r="D1034" s="1" t="s">
        <v>19</v>
      </c>
      <c r="E1034" s="250">
        <v>2501.0239999999999</v>
      </c>
    </row>
    <row r="1035" spans="1:5" x14ac:dyDescent="0.35">
      <c r="A1035" s="1" t="s">
        <v>16683</v>
      </c>
      <c r="B1035" s="1" t="s">
        <v>19</v>
      </c>
      <c r="C1035" s="1" t="s">
        <v>12837</v>
      </c>
      <c r="D1035" s="1" t="s">
        <v>19</v>
      </c>
      <c r="E1035" s="250">
        <v>2501.0250000000001</v>
      </c>
    </row>
    <row r="1036" spans="1:5" x14ac:dyDescent="0.35">
      <c r="A1036" s="1" t="s">
        <v>16684</v>
      </c>
      <c r="B1036" s="1" t="s">
        <v>19</v>
      </c>
      <c r="C1036" s="1" t="s">
        <v>12836</v>
      </c>
      <c r="D1036" s="1" t="s">
        <v>19</v>
      </c>
      <c r="E1036" s="250">
        <v>2501.0309999999999</v>
      </c>
    </row>
    <row r="1037" spans="1:5" x14ac:dyDescent="0.35">
      <c r="A1037" s="1" t="s">
        <v>16685</v>
      </c>
      <c r="B1037" s="1" t="s">
        <v>19</v>
      </c>
      <c r="C1037" s="1" t="s">
        <v>12835</v>
      </c>
      <c r="D1037" s="1" t="s">
        <v>19</v>
      </c>
      <c r="E1037" s="250">
        <v>2501.0320000000002</v>
      </c>
    </row>
    <row r="1038" spans="1:5" x14ac:dyDescent="0.35">
      <c r="A1038" s="1" t="s">
        <v>16686</v>
      </c>
      <c r="B1038" s="1" t="s">
        <v>19</v>
      </c>
      <c r="C1038" s="1" t="s">
        <v>12834</v>
      </c>
      <c r="D1038" s="1" t="s">
        <v>19</v>
      </c>
      <c r="E1038" s="250">
        <v>2501.0329999999999</v>
      </c>
    </row>
    <row r="1039" spans="1:5" x14ac:dyDescent="0.35">
      <c r="A1039" s="1" t="s">
        <v>16687</v>
      </c>
      <c r="B1039" s="1" t="s">
        <v>19</v>
      </c>
      <c r="C1039" s="1" t="s">
        <v>12833</v>
      </c>
      <c r="D1039" s="1" t="s">
        <v>19</v>
      </c>
      <c r="E1039" s="250">
        <v>2501.0340000000001</v>
      </c>
    </row>
    <row r="1040" spans="1:5" x14ac:dyDescent="0.35">
      <c r="A1040" s="1" t="s">
        <v>16688</v>
      </c>
      <c r="B1040" s="1" t="s">
        <v>19</v>
      </c>
      <c r="C1040" s="1" t="s">
        <v>12832</v>
      </c>
      <c r="D1040" s="1" t="s">
        <v>19</v>
      </c>
      <c r="E1040" s="250">
        <v>2501.0349999999999</v>
      </c>
    </row>
    <row r="1041" spans="1:5" x14ac:dyDescent="0.35">
      <c r="A1041" s="1" t="s">
        <v>16689</v>
      </c>
      <c r="B1041" s="1" t="s">
        <v>19</v>
      </c>
      <c r="C1041" s="1" t="s">
        <v>12831</v>
      </c>
      <c r="D1041" s="1" t="s">
        <v>19</v>
      </c>
      <c r="E1041" s="250">
        <v>2501.0360000000001</v>
      </c>
    </row>
    <row r="1042" spans="1:5" x14ac:dyDescent="0.35">
      <c r="A1042" s="1" t="s">
        <v>16690</v>
      </c>
      <c r="B1042" s="1" t="s">
        <v>19</v>
      </c>
      <c r="C1042" s="1" t="s">
        <v>12830</v>
      </c>
      <c r="D1042" s="1" t="s">
        <v>19</v>
      </c>
      <c r="E1042" s="250">
        <v>2501.0369999999998</v>
      </c>
    </row>
    <row r="1043" spans="1:5" x14ac:dyDescent="0.35">
      <c r="A1043" s="1" t="s">
        <v>16691</v>
      </c>
      <c r="B1043" s="1" t="s">
        <v>19</v>
      </c>
      <c r="C1043" s="1" t="s">
        <v>12829</v>
      </c>
      <c r="D1043" s="1" t="s">
        <v>19</v>
      </c>
      <c r="E1043" s="250">
        <v>2501.038</v>
      </c>
    </row>
    <row r="1044" spans="1:5" x14ac:dyDescent="0.35">
      <c r="A1044" s="1" t="s">
        <v>16692</v>
      </c>
      <c r="B1044" s="1" t="s">
        <v>19</v>
      </c>
      <c r="C1044" s="1" t="s">
        <v>12828</v>
      </c>
      <c r="D1044" s="1" t="s">
        <v>19</v>
      </c>
      <c r="E1044" s="250">
        <v>2501.0390000000002</v>
      </c>
    </row>
    <row r="1045" spans="1:5" x14ac:dyDescent="0.35">
      <c r="A1045" s="1" t="s">
        <v>16693</v>
      </c>
      <c r="B1045" s="1" t="s">
        <v>19</v>
      </c>
      <c r="C1045" s="1" t="s">
        <v>12827</v>
      </c>
      <c r="D1045" s="1" t="s">
        <v>19</v>
      </c>
      <c r="E1045" s="250">
        <v>2501.04</v>
      </c>
    </row>
    <row r="1046" spans="1:5" x14ac:dyDescent="0.35">
      <c r="A1046" s="1" t="s">
        <v>16694</v>
      </c>
      <c r="B1046" s="1" t="s">
        <v>19</v>
      </c>
      <c r="C1046" s="1" t="s">
        <v>12826</v>
      </c>
      <c r="D1046" s="1" t="s">
        <v>19</v>
      </c>
      <c r="E1046" s="250">
        <v>2501.0410000000002</v>
      </c>
    </row>
    <row r="1047" spans="1:5" x14ac:dyDescent="0.35">
      <c r="A1047" s="1" t="s">
        <v>16695</v>
      </c>
      <c r="B1047" s="1" t="s">
        <v>19</v>
      </c>
      <c r="C1047" s="1" t="s">
        <v>12825</v>
      </c>
      <c r="D1047" s="1" t="s">
        <v>19</v>
      </c>
      <c r="E1047" s="250">
        <v>2501.0419999999999</v>
      </c>
    </row>
    <row r="1048" spans="1:5" x14ac:dyDescent="0.35">
      <c r="A1048" s="1" t="s">
        <v>16696</v>
      </c>
      <c r="B1048" s="1" t="s">
        <v>19</v>
      </c>
      <c r="C1048" s="1" t="s">
        <v>12824</v>
      </c>
      <c r="D1048" s="1" t="s">
        <v>19</v>
      </c>
      <c r="E1048" s="250">
        <v>2501.0430000000001</v>
      </c>
    </row>
    <row r="1049" spans="1:5" x14ac:dyDescent="0.35">
      <c r="A1049" s="1" t="s">
        <v>16697</v>
      </c>
      <c r="B1049" s="1" t="s">
        <v>19</v>
      </c>
      <c r="C1049" s="1" t="s">
        <v>12823</v>
      </c>
      <c r="D1049" s="1" t="s">
        <v>19</v>
      </c>
      <c r="E1049" s="250">
        <v>2501.0439999999999</v>
      </c>
    </row>
    <row r="1050" spans="1:5" x14ac:dyDescent="0.35">
      <c r="A1050" s="1" t="s">
        <v>16698</v>
      </c>
      <c r="B1050" s="1" t="s">
        <v>19</v>
      </c>
      <c r="C1050" s="1" t="s">
        <v>12822</v>
      </c>
      <c r="D1050" s="1" t="s">
        <v>19</v>
      </c>
      <c r="E1050" s="250">
        <v>2501.0450000000001</v>
      </c>
    </row>
    <row r="1051" spans="1:5" x14ac:dyDescent="0.35">
      <c r="A1051" s="1" t="s">
        <v>16699</v>
      </c>
      <c r="B1051" s="1" t="s">
        <v>19</v>
      </c>
      <c r="C1051" s="1" t="s">
        <v>12821</v>
      </c>
      <c r="D1051" s="1" t="s">
        <v>19</v>
      </c>
      <c r="E1051" s="250">
        <v>2501.0509999999999</v>
      </c>
    </row>
    <row r="1052" spans="1:5" x14ac:dyDescent="0.35">
      <c r="A1052" s="1" t="s">
        <v>16700</v>
      </c>
      <c r="B1052" s="1" t="s">
        <v>19</v>
      </c>
      <c r="C1052" s="1" t="s">
        <v>12820</v>
      </c>
      <c r="D1052" s="1" t="s">
        <v>19</v>
      </c>
      <c r="E1052" s="250">
        <v>2501.0520000000001</v>
      </c>
    </row>
    <row r="1053" spans="1:5" x14ac:dyDescent="0.35">
      <c r="A1053" s="1" t="s">
        <v>16701</v>
      </c>
      <c r="B1053" s="1" t="s">
        <v>19</v>
      </c>
      <c r="C1053" s="1" t="s">
        <v>12819</v>
      </c>
      <c r="D1053" s="1" t="s">
        <v>19</v>
      </c>
      <c r="E1053" s="250">
        <v>2501.0529999999999</v>
      </c>
    </row>
    <row r="1054" spans="1:5" x14ac:dyDescent="0.35">
      <c r="A1054" s="1" t="s">
        <v>16702</v>
      </c>
      <c r="B1054" s="1" t="s">
        <v>19</v>
      </c>
      <c r="C1054" s="1" t="s">
        <v>12818</v>
      </c>
      <c r="D1054" s="1" t="s">
        <v>19</v>
      </c>
      <c r="E1054" s="250">
        <v>2501.0540000000001</v>
      </c>
    </row>
    <row r="1055" spans="1:5" x14ac:dyDescent="0.35">
      <c r="A1055" s="1" t="s">
        <v>16703</v>
      </c>
      <c r="B1055" s="1" t="s">
        <v>19</v>
      </c>
      <c r="C1055" s="1" t="s">
        <v>12817</v>
      </c>
      <c r="D1055" s="1" t="s">
        <v>19</v>
      </c>
      <c r="E1055" s="250">
        <v>2501.0549999999998</v>
      </c>
    </row>
    <row r="1056" spans="1:5" x14ac:dyDescent="0.35">
      <c r="A1056" s="1" t="s">
        <v>16704</v>
      </c>
      <c r="B1056" s="1" t="s">
        <v>19</v>
      </c>
      <c r="C1056" s="1" t="s">
        <v>12816</v>
      </c>
      <c r="D1056" s="1" t="s">
        <v>19</v>
      </c>
      <c r="E1056" s="250">
        <v>2501.056</v>
      </c>
    </row>
    <row r="1057" spans="1:5" x14ac:dyDescent="0.35">
      <c r="A1057" s="1" t="s">
        <v>16705</v>
      </c>
      <c r="B1057" s="1" t="s">
        <v>19</v>
      </c>
      <c r="C1057" s="1" t="s">
        <v>12815</v>
      </c>
      <c r="D1057" s="1" t="s">
        <v>19</v>
      </c>
      <c r="E1057" s="250">
        <v>2501.0569999999998</v>
      </c>
    </row>
    <row r="1058" spans="1:5" x14ac:dyDescent="0.35">
      <c r="A1058" s="1" t="s">
        <v>16706</v>
      </c>
      <c r="B1058" s="1" t="s">
        <v>19</v>
      </c>
      <c r="C1058" s="1" t="s">
        <v>12814</v>
      </c>
      <c r="D1058" s="1" t="s">
        <v>19</v>
      </c>
      <c r="E1058" s="250">
        <v>2501.058</v>
      </c>
    </row>
    <row r="1059" spans="1:5" x14ac:dyDescent="0.35">
      <c r="A1059" s="1" t="s">
        <v>16707</v>
      </c>
      <c r="B1059" s="1" t="s">
        <v>19</v>
      </c>
      <c r="C1059" s="1" t="s">
        <v>12813</v>
      </c>
      <c r="D1059" s="1" t="s">
        <v>19</v>
      </c>
      <c r="E1059" s="250">
        <v>2501.0590000000002</v>
      </c>
    </row>
    <row r="1060" spans="1:5" x14ac:dyDescent="0.35">
      <c r="A1060" s="1" t="s">
        <v>16708</v>
      </c>
      <c r="B1060" s="1" t="s">
        <v>19</v>
      </c>
      <c r="C1060" s="1" t="s">
        <v>12812</v>
      </c>
      <c r="D1060" s="1" t="s">
        <v>19</v>
      </c>
      <c r="E1060" s="250">
        <v>2501.06</v>
      </c>
    </row>
    <row r="1061" spans="1:5" x14ac:dyDescent="0.35">
      <c r="A1061" s="1" t="s">
        <v>16709</v>
      </c>
      <c r="B1061" s="1" t="s">
        <v>19</v>
      </c>
      <c r="C1061" s="1" t="s">
        <v>12811</v>
      </c>
      <c r="D1061" s="1" t="s">
        <v>19</v>
      </c>
      <c r="E1061" s="250">
        <v>2501.0610000000001</v>
      </c>
    </row>
    <row r="1062" spans="1:5" x14ac:dyDescent="0.35">
      <c r="A1062" s="1" t="s">
        <v>16710</v>
      </c>
      <c r="B1062" s="1" t="s">
        <v>19</v>
      </c>
      <c r="C1062" s="1" t="s">
        <v>12810</v>
      </c>
      <c r="D1062" s="1" t="s">
        <v>19</v>
      </c>
      <c r="E1062" s="250">
        <v>2501.0619999999999</v>
      </c>
    </row>
    <row r="1063" spans="1:5" x14ac:dyDescent="0.35">
      <c r="A1063" s="1" t="s">
        <v>16711</v>
      </c>
      <c r="B1063" s="1" t="s">
        <v>19</v>
      </c>
      <c r="C1063" s="1" t="s">
        <v>12809</v>
      </c>
      <c r="D1063" s="1" t="s">
        <v>19</v>
      </c>
      <c r="E1063" s="250">
        <v>2501.0630000000001</v>
      </c>
    </row>
    <row r="1064" spans="1:5" x14ac:dyDescent="0.35">
      <c r="A1064" s="1" t="s">
        <v>16712</v>
      </c>
      <c r="B1064" s="1" t="s">
        <v>19</v>
      </c>
      <c r="C1064" s="1" t="s">
        <v>12808</v>
      </c>
      <c r="D1064" s="1" t="s">
        <v>19</v>
      </c>
      <c r="E1064" s="250">
        <v>2501.0639999999999</v>
      </c>
    </row>
    <row r="1065" spans="1:5" x14ac:dyDescent="0.35">
      <c r="A1065" s="1" t="s">
        <v>16713</v>
      </c>
      <c r="B1065" s="1" t="s">
        <v>19</v>
      </c>
      <c r="C1065" s="1" t="s">
        <v>12807</v>
      </c>
      <c r="D1065" s="1" t="s">
        <v>19</v>
      </c>
      <c r="E1065" s="250">
        <v>2501.0650000000001</v>
      </c>
    </row>
    <row r="1066" spans="1:5" x14ac:dyDescent="0.35">
      <c r="A1066" s="1" t="s">
        <v>16714</v>
      </c>
      <c r="B1066" s="1" t="s">
        <v>19</v>
      </c>
      <c r="C1066" s="1" t="s">
        <v>12806</v>
      </c>
      <c r="D1066" s="1" t="s">
        <v>19</v>
      </c>
      <c r="E1066" s="250">
        <v>2501.0709999999999</v>
      </c>
    </row>
    <row r="1067" spans="1:5" x14ac:dyDescent="0.35">
      <c r="A1067" s="1" t="s">
        <v>16715</v>
      </c>
      <c r="B1067" s="1" t="s">
        <v>19</v>
      </c>
      <c r="C1067" s="1" t="s">
        <v>12805</v>
      </c>
      <c r="D1067" s="1" t="s">
        <v>19</v>
      </c>
      <c r="E1067" s="250">
        <v>2501.0720000000001</v>
      </c>
    </row>
    <row r="1068" spans="1:5" x14ac:dyDescent="0.35">
      <c r="A1068" s="1" t="s">
        <v>16716</v>
      </c>
      <c r="B1068" s="1" t="s">
        <v>19</v>
      </c>
      <c r="C1068" s="1" t="s">
        <v>12804</v>
      </c>
      <c r="D1068" s="1" t="s">
        <v>19</v>
      </c>
      <c r="E1068" s="250">
        <v>2501.0729999999999</v>
      </c>
    </row>
    <row r="1069" spans="1:5" x14ac:dyDescent="0.35">
      <c r="A1069" s="1" t="s">
        <v>16717</v>
      </c>
      <c r="B1069" s="1" t="s">
        <v>19</v>
      </c>
      <c r="C1069" s="1" t="s">
        <v>12803</v>
      </c>
      <c r="D1069" s="1" t="s">
        <v>19</v>
      </c>
      <c r="E1069" s="250">
        <v>2501.0740000000001</v>
      </c>
    </row>
    <row r="1070" spans="1:5" x14ac:dyDescent="0.35">
      <c r="A1070" s="1" t="s">
        <v>16718</v>
      </c>
      <c r="B1070" s="1" t="s">
        <v>19</v>
      </c>
      <c r="C1070" s="1" t="s">
        <v>12802</v>
      </c>
      <c r="D1070" s="1" t="s">
        <v>19</v>
      </c>
      <c r="E1070" s="250">
        <v>2501.0749999999998</v>
      </c>
    </row>
    <row r="1071" spans="1:5" x14ac:dyDescent="0.35">
      <c r="A1071" s="1" t="s">
        <v>16719</v>
      </c>
      <c r="B1071" s="1" t="s">
        <v>19</v>
      </c>
      <c r="C1071" s="1" t="s">
        <v>12801</v>
      </c>
      <c r="D1071" s="1" t="s">
        <v>19</v>
      </c>
      <c r="E1071" s="250">
        <v>2501.076</v>
      </c>
    </row>
    <row r="1072" spans="1:5" x14ac:dyDescent="0.35">
      <c r="A1072" s="1" t="s">
        <v>16720</v>
      </c>
      <c r="B1072" s="1" t="s">
        <v>19</v>
      </c>
      <c r="C1072" s="1" t="s">
        <v>12800</v>
      </c>
      <c r="D1072" s="1" t="s">
        <v>19</v>
      </c>
      <c r="E1072" s="250">
        <v>2501.0770000000002</v>
      </c>
    </row>
    <row r="1073" spans="1:5" x14ac:dyDescent="0.35">
      <c r="A1073" s="1" t="s">
        <v>16721</v>
      </c>
      <c r="B1073" s="1" t="s">
        <v>19</v>
      </c>
      <c r="C1073" s="1" t="s">
        <v>12799</v>
      </c>
      <c r="D1073" s="1" t="s">
        <v>19</v>
      </c>
      <c r="E1073" s="250">
        <v>2501.078</v>
      </c>
    </row>
    <row r="1074" spans="1:5" x14ac:dyDescent="0.35">
      <c r="A1074" s="1" t="s">
        <v>16722</v>
      </c>
      <c r="B1074" s="1" t="s">
        <v>19</v>
      </c>
      <c r="C1074" s="1" t="s">
        <v>12798</v>
      </c>
      <c r="D1074" s="1" t="s">
        <v>19</v>
      </c>
      <c r="E1074" s="250">
        <v>2501.0790000000002</v>
      </c>
    </row>
    <row r="1075" spans="1:5" x14ac:dyDescent="0.35">
      <c r="A1075" s="1" t="s">
        <v>16723</v>
      </c>
      <c r="B1075" s="1" t="s">
        <v>19</v>
      </c>
      <c r="C1075" s="1" t="s">
        <v>12797</v>
      </c>
      <c r="D1075" s="1" t="s">
        <v>19</v>
      </c>
      <c r="E1075" s="250">
        <v>2501.08</v>
      </c>
    </row>
    <row r="1076" spans="1:5" x14ac:dyDescent="0.35">
      <c r="A1076" s="1" t="s">
        <v>16724</v>
      </c>
      <c r="B1076" s="1" t="s">
        <v>19</v>
      </c>
      <c r="C1076" s="1" t="s">
        <v>12796</v>
      </c>
      <c r="D1076" s="1" t="s">
        <v>19</v>
      </c>
      <c r="E1076" s="250">
        <v>2501.0810000000001</v>
      </c>
    </row>
    <row r="1077" spans="1:5" x14ac:dyDescent="0.35">
      <c r="A1077" s="1" t="s">
        <v>16725</v>
      </c>
      <c r="B1077" s="1" t="s">
        <v>19</v>
      </c>
      <c r="C1077" s="1" t="s">
        <v>12795</v>
      </c>
      <c r="D1077" s="1" t="s">
        <v>19</v>
      </c>
      <c r="E1077" s="250">
        <v>2501.0819999999999</v>
      </c>
    </row>
    <row r="1078" spans="1:5" x14ac:dyDescent="0.35">
      <c r="A1078" s="1" t="s">
        <v>16726</v>
      </c>
      <c r="B1078" s="1" t="s">
        <v>19</v>
      </c>
      <c r="C1078" s="1" t="s">
        <v>12794</v>
      </c>
      <c r="D1078" s="1" t="s">
        <v>19</v>
      </c>
      <c r="E1078" s="250">
        <v>2501.0830000000001</v>
      </c>
    </row>
    <row r="1079" spans="1:5" x14ac:dyDescent="0.35">
      <c r="A1079" s="1" t="s">
        <v>16727</v>
      </c>
      <c r="B1079" s="1" t="s">
        <v>19</v>
      </c>
      <c r="C1079" s="1" t="s">
        <v>12793</v>
      </c>
      <c r="D1079" s="1" t="s">
        <v>19</v>
      </c>
      <c r="E1079" s="250">
        <v>2501.0839999999998</v>
      </c>
    </row>
    <row r="1080" spans="1:5" x14ac:dyDescent="0.35">
      <c r="A1080" s="1" t="s">
        <v>16728</v>
      </c>
      <c r="B1080" s="1" t="s">
        <v>19</v>
      </c>
      <c r="C1080" s="1" t="s">
        <v>12792</v>
      </c>
      <c r="D1080" s="1" t="s">
        <v>19</v>
      </c>
      <c r="E1080" s="250">
        <v>2501.085</v>
      </c>
    </row>
    <row r="1081" spans="1:5" x14ac:dyDescent="0.35">
      <c r="A1081" s="1" t="s">
        <v>16729</v>
      </c>
      <c r="B1081" s="1" t="s">
        <v>19</v>
      </c>
      <c r="C1081" s="1" t="s">
        <v>12791</v>
      </c>
      <c r="D1081" s="1" t="s">
        <v>19</v>
      </c>
      <c r="E1081" s="250">
        <v>2501.0909999999999</v>
      </c>
    </row>
    <row r="1082" spans="1:5" x14ac:dyDescent="0.35">
      <c r="A1082" s="1" t="s">
        <v>16730</v>
      </c>
      <c r="B1082" s="1" t="s">
        <v>19</v>
      </c>
      <c r="C1082" s="1" t="s">
        <v>12790</v>
      </c>
      <c r="D1082" s="1" t="s">
        <v>19</v>
      </c>
      <c r="E1082" s="250">
        <v>2501.0920000000001</v>
      </c>
    </row>
    <row r="1083" spans="1:5" x14ac:dyDescent="0.35">
      <c r="A1083" s="1" t="s">
        <v>16731</v>
      </c>
      <c r="B1083" s="1" t="s">
        <v>19</v>
      </c>
      <c r="C1083" s="1" t="s">
        <v>12789</v>
      </c>
      <c r="D1083" s="1" t="s">
        <v>19</v>
      </c>
      <c r="E1083" s="250">
        <v>2501.0929999999998</v>
      </c>
    </row>
    <row r="1084" spans="1:5" x14ac:dyDescent="0.35">
      <c r="A1084" s="1" t="s">
        <v>16732</v>
      </c>
      <c r="B1084" s="1" t="s">
        <v>19</v>
      </c>
      <c r="C1084" s="1" t="s">
        <v>12788</v>
      </c>
      <c r="D1084" s="1" t="s">
        <v>19</v>
      </c>
      <c r="E1084" s="250">
        <v>2501.0940000000001</v>
      </c>
    </row>
    <row r="1085" spans="1:5" x14ac:dyDescent="0.35">
      <c r="A1085" s="1" t="s">
        <v>16733</v>
      </c>
      <c r="B1085" s="1" t="s">
        <v>19</v>
      </c>
      <c r="C1085" s="1" t="s">
        <v>12787</v>
      </c>
      <c r="D1085" s="1" t="s">
        <v>19</v>
      </c>
      <c r="E1085" s="250">
        <v>2501.0949999999998</v>
      </c>
    </row>
    <row r="1086" spans="1:5" x14ac:dyDescent="0.35">
      <c r="A1086" s="1" t="s">
        <v>16734</v>
      </c>
      <c r="B1086" s="1" t="s">
        <v>19</v>
      </c>
      <c r="C1086" s="1" t="s">
        <v>12786</v>
      </c>
      <c r="D1086" s="1" t="s">
        <v>19</v>
      </c>
      <c r="E1086" s="250">
        <v>2501.096</v>
      </c>
    </row>
    <row r="1087" spans="1:5" x14ac:dyDescent="0.35">
      <c r="A1087" s="1" t="s">
        <v>16735</v>
      </c>
      <c r="B1087" s="1" t="s">
        <v>19</v>
      </c>
      <c r="C1087" s="1" t="s">
        <v>12785</v>
      </c>
      <c r="D1087" s="1" t="s">
        <v>19</v>
      </c>
      <c r="E1087" s="250">
        <v>2501.0970000000002</v>
      </c>
    </row>
    <row r="1088" spans="1:5" x14ac:dyDescent="0.35">
      <c r="A1088" s="1" t="s">
        <v>16736</v>
      </c>
      <c r="B1088" s="1" t="s">
        <v>19</v>
      </c>
      <c r="C1088" s="1" t="s">
        <v>12784</v>
      </c>
      <c r="D1088" s="1" t="s">
        <v>19</v>
      </c>
      <c r="E1088" s="250">
        <v>2501.098</v>
      </c>
    </row>
    <row r="1089" spans="1:5" x14ac:dyDescent="0.35">
      <c r="A1089" s="1" t="s">
        <v>16737</v>
      </c>
      <c r="B1089" s="1" t="s">
        <v>19</v>
      </c>
      <c r="C1089" s="1" t="s">
        <v>12783</v>
      </c>
      <c r="D1089" s="1" t="s">
        <v>19</v>
      </c>
      <c r="E1089" s="250">
        <v>2501.0990000000002</v>
      </c>
    </row>
    <row r="1090" spans="1:5" x14ac:dyDescent="0.35">
      <c r="A1090" s="1" t="s">
        <v>16738</v>
      </c>
      <c r="B1090" s="1" t="s">
        <v>19</v>
      </c>
      <c r="C1090" s="1" t="s">
        <v>12782</v>
      </c>
      <c r="D1090" s="1" t="s">
        <v>19</v>
      </c>
      <c r="E1090" s="250">
        <v>2501.1</v>
      </c>
    </row>
    <row r="1091" spans="1:5" x14ac:dyDescent="0.35">
      <c r="A1091" s="1" t="s">
        <v>16739</v>
      </c>
      <c r="B1091" s="1" t="s">
        <v>19</v>
      </c>
      <c r="C1091" s="1" t="s">
        <v>12781</v>
      </c>
      <c r="D1091" s="1" t="s">
        <v>19</v>
      </c>
      <c r="E1091" s="250">
        <v>2501.1010000000001</v>
      </c>
    </row>
    <row r="1092" spans="1:5" x14ac:dyDescent="0.35">
      <c r="A1092" s="1" t="s">
        <v>16740</v>
      </c>
      <c r="B1092" s="1" t="s">
        <v>19</v>
      </c>
      <c r="C1092" s="1" t="s">
        <v>12780</v>
      </c>
      <c r="D1092" s="1" t="s">
        <v>19</v>
      </c>
      <c r="E1092" s="250">
        <v>2501.1019999999999</v>
      </c>
    </row>
    <row r="1093" spans="1:5" x14ac:dyDescent="0.35">
      <c r="A1093" s="1" t="s">
        <v>16741</v>
      </c>
      <c r="B1093" s="1" t="s">
        <v>19</v>
      </c>
      <c r="C1093" s="1" t="s">
        <v>12779</v>
      </c>
      <c r="D1093" s="1" t="s">
        <v>19</v>
      </c>
      <c r="E1093" s="250">
        <v>2501.1030000000001</v>
      </c>
    </row>
    <row r="1094" spans="1:5" x14ac:dyDescent="0.35">
      <c r="A1094" s="1" t="s">
        <v>16742</v>
      </c>
      <c r="B1094" s="1" t="s">
        <v>19</v>
      </c>
      <c r="C1094" s="1" t="s">
        <v>12778</v>
      </c>
      <c r="D1094" s="1" t="s">
        <v>19</v>
      </c>
      <c r="E1094" s="250">
        <v>2501.1039999999998</v>
      </c>
    </row>
    <row r="1095" spans="1:5" x14ac:dyDescent="0.35">
      <c r="A1095" s="1" t="s">
        <v>16743</v>
      </c>
      <c r="B1095" s="1" t="s">
        <v>19</v>
      </c>
      <c r="C1095" s="1" t="s">
        <v>12777</v>
      </c>
      <c r="D1095" s="1" t="s">
        <v>19</v>
      </c>
      <c r="E1095" s="250">
        <v>2501.105</v>
      </c>
    </row>
    <row r="1096" spans="1:5" x14ac:dyDescent="0.35">
      <c r="A1096" s="1" t="s">
        <v>16744</v>
      </c>
      <c r="B1096" s="1" t="s">
        <v>19</v>
      </c>
      <c r="C1096" s="1" t="s">
        <v>12776</v>
      </c>
      <c r="D1096" s="1" t="s">
        <v>19</v>
      </c>
      <c r="E1096" s="250">
        <v>2501.1109999999999</v>
      </c>
    </row>
    <row r="1097" spans="1:5" x14ac:dyDescent="0.35">
      <c r="A1097" s="1" t="s">
        <v>16745</v>
      </c>
      <c r="B1097" s="1" t="s">
        <v>19</v>
      </c>
      <c r="C1097" s="1" t="s">
        <v>12775</v>
      </c>
      <c r="D1097" s="1" t="s">
        <v>19</v>
      </c>
      <c r="E1097" s="250">
        <v>2501.1120000000001</v>
      </c>
    </row>
    <row r="1098" spans="1:5" x14ac:dyDescent="0.35">
      <c r="A1098" s="1" t="s">
        <v>16746</v>
      </c>
      <c r="B1098" s="1" t="s">
        <v>19</v>
      </c>
      <c r="C1098" s="1" t="s">
        <v>12774</v>
      </c>
      <c r="D1098" s="1" t="s">
        <v>19</v>
      </c>
      <c r="E1098" s="250">
        <v>2501.1129999999998</v>
      </c>
    </row>
    <row r="1099" spans="1:5" x14ac:dyDescent="0.35">
      <c r="A1099" s="1" t="s">
        <v>16747</v>
      </c>
      <c r="B1099" s="1" t="s">
        <v>19</v>
      </c>
      <c r="C1099" s="1" t="s">
        <v>12773</v>
      </c>
      <c r="D1099" s="1" t="s">
        <v>19</v>
      </c>
      <c r="E1099" s="250">
        <v>2501.114</v>
      </c>
    </row>
    <row r="1100" spans="1:5" x14ac:dyDescent="0.35">
      <c r="A1100" s="1" t="s">
        <v>16748</v>
      </c>
      <c r="B1100" s="1" t="s">
        <v>19</v>
      </c>
      <c r="C1100" s="1" t="s">
        <v>12772</v>
      </c>
      <c r="D1100" s="1" t="s">
        <v>19</v>
      </c>
      <c r="E1100" s="250">
        <v>2501.1149999999998</v>
      </c>
    </row>
    <row r="1101" spans="1:5" x14ac:dyDescent="0.35">
      <c r="A1101" s="1" t="s">
        <v>16749</v>
      </c>
      <c r="B1101" s="1" t="s">
        <v>19</v>
      </c>
      <c r="C1101" s="1" t="s">
        <v>12771</v>
      </c>
      <c r="D1101" s="1" t="s">
        <v>19</v>
      </c>
      <c r="E1101" s="250">
        <v>2501.116</v>
      </c>
    </row>
    <row r="1102" spans="1:5" x14ac:dyDescent="0.35">
      <c r="A1102" s="1" t="s">
        <v>16750</v>
      </c>
      <c r="B1102" s="1" t="s">
        <v>19</v>
      </c>
      <c r="C1102" s="1" t="s">
        <v>12770</v>
      </c>
      <c r="D1102" s="1" t="s">
        <v>19</v>
      </c>
      <c r="E1102" s="250">
        <v>2501.1170000000002</v>
      </c>
    </row>
    <row r="1103" spans="1:5" x14ac:dyDescent="0.35">
      <c r="A1103" s="1" t="s">
        <v>16751</v>
      </c>
      <c r="B1103" s="1" t="s">
        <v>19</v>
      </c>
      <c r="C1103" s="1" t="s">
        <v>12769</v>
      </c>
      <c r="D1103" s="1" t="s">
        <v>19</v>
      </c>
      <c r="E1103" s="250">
        <v>2501.1179999999999</v>
      </c>
    </row>
    <row r="1104" spans="1:5" x14ac:dyDescent="0.35">
      <c r="A1104" s="1" t="s">
        <v>16752</v>
      </c>
      <c r="B1104" s="1" t="s">
        <v>19</v>
      </c>
      <c r="C1104" s="1" t="s">
        <v>12768</v>
      </c>
      <c r="D1104" s="1" t="s">
        <v>19</v>
      </c>
      <c r="E1104" s="250">
        <v>2501.1190000000001</v>
      </c>
    </row>
    <row r="1105" spans="1:5" x14ac:dyDescent="0.35">
      <c r="A1105" s="1" t="s">
        <v>16753</v>
      </c>
      <c r="B1105" s="1" t="s">
        <v>19</v>
      </c>
      <c r="C1105" s="1" t="s">
        <v>12767</v>
      </c>
      <c r="D1105" s="1" t="s">
        <v>19</v>
      </c>
      <c r="E1105" s="250">
        <v>2501.12</v>
      </c>
    </row>
    <row r="1106" spans="1:5" x14ac:dyDescent="0.35">
      <c r="A1106" s="1" t="s">
        <v>16754</v>
      </c>
      <c r="B1106" s="1" t="s">
        <v>19</v>
      </c>
      <c r="C1106" s="1" t="s">
        <v>12766</v>
      </c>
      <c r="D1106" s="1" t="s">
        <v>19</v>
      </c>
      <c r="E1106" s="250">
        <v>2501.1210000000001</v>
      </c>
    </row>
    <row r="1107" spans="1:5" x14ac:dyDescent="0.35">
      <c r="A1107" s="1" t="s">
        <v>16755</v>
      </c>
      <c r="B1107" s="1" t="s">
        <v>19</v>
      </c>
      <c r="C1107" s="1" t="s">
        <v>12765</v>
      </c>
      <c r="D1107" s="1" t="s">
        <v>19</v>
      </c>
      <c r="E1107" s="250">
        <v>2501.1219999999998</v>
      </c>
    </row>
    <row r="1108" spans="1:5" x14ac:dyDescent="0.35">
      <c r="A1108" s="1" t="s">
        <v>16756</v>
      </c>
      <c r="B1108" s="1" t="s">
        <v>19</v>
      </c>
      <c r="C1108" s="1" t="s">
        <v>12764</v>
      </c>
      <c r="D1108" s="1" t="s">
        <v>19</v>
      </c>
      <c r="E1108" s="250">
        <v>2501.123</v>
      </c>
    </row>
    <row r="1109" spans="1:5" x14ac:dyDescent="0.35">
      <c r="A1109" s="1" t="s">
        <v>16757</v>
      </c>
      <c r="B1109" s="1" t="s">
        <v>19</v>
      </c>
      <c r="C1109" s="1" t="s">
        <v>12763</v>
      </c>
      <c r="D1109" s="1" t="s">
        <v>19</v>
      </c>
      <c r="E1109" s="250">
        <v>2501.1239999999998</v>
      </c>
    </row>
    <row r="1110" spans="1:5" x14ac:dyDescent="0.35">
      <c r="A1110" s="1" t="s">
        <v>16758</v>
      </c>
      <c r="B1110" s="1" t="s">
        <v>19</v>
      </c>
      <c r="C1110" s="1" t="s">
        <v>12762</v>
      </c>
      <c r="D1110" s="1" t="s">
        <v>19</v>
      </c>
      <c r="E1110" s="250">
        <v>2501.125</v>
      </c>
    </row>
    <row r="1111" spans="1:5" x14ac:dyDescent="0.35">
      <c r="A1111" s="1" t="s">
        <v>16759</v>
      </c>
      <c r="B1111" s="1" t="s">
        <v>19</v>
      </c>
      <c r="C1111" s="1" t="s">
        <v>12761</v>
      </c>
      <c r="D1111" s="1" t="s">
        <v>19</v>
      </c>
      <c r="E1111" s="250">
        <v>2501.1309999999999</v>
      </c>
    </row>
    <row r="1112" spans="1:5" x14ac:dyDescent="0.35">
      <c r="A1112" s="1" t="s">
        <v>16760</v>
      </c>
      <c r="B1112" s="1" t="s">
        <v>19</v>
      </c>
      <c r="C1112" s="1" t="s">
        <v>12760</v>
      </c>
      <c r="D1112" s="1" t="s">
        <v>19</v>
      </c>
      <c r="E1112" s="250">
        <v>2501.1320000000001</v>
      </c>
    </row>
    <row r="1113" spans="1:5" x14ac:dyDescent="0.35">
      <c r="A1113" s="1" t="s">
        <v>16761</v>
      </c>
      <c r="B1113" s="1" t="s">
        <v>19</v>
      </c>
      <c r="C1113" s="1" t="s">
        <v>12759</v>
      </c>
      <c r="D1113" s="1" t="s">
        <v>19</v>
      </c>
      <c r="E1113" s="250">
        <v>2501.1329999999998</v>
      </c>
    </row>
    <row r="1114" spans="1:5" x14ac:dyDescent="0.35">
      <c r="A1114" s="1" t="s">
        <v>16762</v>
      </c>
      <c r="B1114" s="1" t="s">
        <v>19</v>
      </c>
      <c r="C1114" s="1" t="s">
        <v>12758</v>
      </c>
      <c r="D1114" s="1" t="s">
        <v>19</v>
      </c>
      <c r="E1114" s="250">
        <v>2501.134</v>
      </c>
    </row>
    <row r="1115" spans="1:5" x14ac:dyDescent="0.35">
      <c r="A1115" s="1" t="s">
        <v>16763</v>
      </c>
      <c r="B1115" s="1" t="s">
        <v>19</v>
      </c>
      <c r="C1115" s="1" t="s">
        <v>12757</v>
      </c>
      <c r="D1115" s="1" t="s">
        <v>19</v>
      </c>
      <c r="E1115" s="250">
        <v>2501.1350000000002</v>
      </c>
    </row>
    <row r="1116" spans="1:5" x14ac:dyDescent="0.35">
      <c r="A1116" s="1" t="s">
        <v>16764</v>
      </c>
      <c r="B1116" s="1" t="s">
        <v>19</v>
      </c>
      <c r="C1116" s="1" t="s">
        <v>12756</v>
      </c>
      <c r="D1116" s="1" t="s">
        <v>19</v>
      </c>
      <c r="E1116" s="250">
        <v>2501.136</v>
      </c>
    </row>
    <row r="1117" spans="1:5" x14ac:dyDescent="0.35">
      <c r="A1117" s="1" t="s">
        <v>16765</v>
      </c>
      <c r="B1117" s="1" t="s">
        <v>19</v>
      </c>
      <c r="C1117" s="1" t="s">
        <v>12755</v>
      </c>
      <c r="D1117" s="1" t="s">
        <v>19</v>
      </c>
      <c r="E1117" s="250">
        <v>2501.1370000000002</v>
      </c>
    </row>
    <row r="1118" spans="1:5" x14ac:dyDescent="0.35">
      <c r="A1118" s="1" t="s">
        <v>16766</v>
      </c>
      <c r="B1118" s="1" t="s">
        <v>19</v>
      </c>
      <c r="C1118" s="1" t="s">
        <v>12754</v>
      </c>
      <c r="D1118" s="1" t="s">
        <v>19</v>
      </c>
      <c r="E1118" s="250">
        <v>2501.1379999999999</v>
      </c>
    </row>
    <row r="1119" spans="1:5" x14ac:dyDescent="0.35">
      <c r="A1119" s="1" t="s">
        <v>16767</v>
      </c>
      <c r="B1119" s="1" t="s">
        <v>19</v>
      </c>
      <c r="C1119" s="1" t="s">
        <v>12753</v>
      </c>
      <c r="D1119" s="1" t="s">
        <v>19</v>
      </c>
      <c r="E1119" s="250">
        <v>2501.1390000000001</v>
      </c>
    </row>
    <row r="1120" spans="1:5" x14ac:dyDescent="0.35">
      <c r="A1120" s="1" t="s">
        <v>16768</v>
      </c>
      <c r="B1120" s="1" t="s">
        <v>19</v>
      </c>
      <c r="C1120" s="1" t="s">
        <v>12752</v>
      </c>
      <c r="D1120" s="1" t="s">
        <v>19</v>
      </c>
      <c r="E1120" s="250">
        <v>2501.14</v>
      </c>
    </row>
    <row r="1121" spans="1:5" x14ac:dyDescent="0.35">
      <c r="A1121" s="1" t="s">
        <v>16769</v>
      </c>
      <c r="B1121" s="1" t="s">
        <v>19</v>
      </c>
      <c r="C1121" s="1" t="s">
        <v>12751</v>
      </c>
      <c r="D1121" s="1" t="s">
        <v>19</v>
      </c>
      <c r="E1121" s="250">
        <v>2501.1410000000001</v>
      </c>
    </row>
    <row r="1122" spans="1:5" x14ac:dyDescent="0.35">
      <c r="A1122" s="1" t="s">
        <v>16770</v>
      </c>
      <c r="B1122" s="1" t="s">
        <v>19</v>
      </c>
      <c r="C1122" s="1" t="s">
        <v>12750</v>
      </c>
      <c r="D1122" s="1" t="s">
        <v>19</v>
      </c>
      <c r="E1122" s="250">
        <v>2501.1419999999998</v>
      </c>
    </row>
    <row r="1123" spans="1:5" x14ac:dyDescent="0.35">
      <c r="A1123" s="1" t="s">
        <v>16771</v>
      </c>
      <c r="B1123" s="1" t="s">
        <v>18</v>
      </c>
      <c r="C1123" s="1" t="s">
        <v>12749</v>
      </c>
      <c r="D1123" s="1" t="s">
        <v>18</v>
      </c>
      <c r="E1123" s="250">
        <v>2501.15</v>
      </c>
    </row>
    <row r="1124" spans="1:5" x14ac:dyDescent="0.35">
      <c r="A1124" s="1" t="s">
        <v>16772</v>
      </c>
      <c r="B1124" s="1" t="s">
        <v>18</v>
      </c>
      <c r="C1124" s="1" t="s">
        <v>12748</v>
      </c>
      <c r="D1124" s="1" t="s">
        <v>18</v>
      </c>
      <c r="E1124" s="250">
        <v>2501.1509999999998</v>
      </c>
    </row>
    <row r="1125" spans="1:5" x14ac:dyDescent="0.35">
      <c r="A1125" s="1" t="s">
        <v>16773</v>
      </c>
      <c r="B1125" s="1" t="s">
        <v>18</v>
      </c>
      <c r="C1125" s="1" t="s">
        <v>12747</v>
      </c>
      <c r="D1125" s="1" t="s">
        <v>18</v>
      </c>
      <c r="E1125" s="250">
        <v>2501.152</v>
      </c>
    </row>
    <row r="1126" spans="1:5" x14ac:dyDescent="0.35">
      <c r="A1126" s="1" t="s">
        <v>16774</v>
      </c>
      <c r="B1126" s="1" t="s">
        <v>18</v>
      </c>
      <c r="C1126" s="1" t="s">
        <v>12746</v>
      </c>
      <c r="D1126" s="1" t="s">
        <v>18</v>
      </c>
      <c r="E1126" s="250">
        <v>2501.1529999999998</v>
      </c>
    </row>
    <row r="1127" spans="1:5" x14ac:dyDescent="0.35">
      <c r="A1127" s="1" t="s">
        <v>16775</v>
      </c>
      <c r="B1127" s="1" t="s">
        <v>18</v>
      </c>
      <c r="C1127" s="1" t="s">
        <v>12745</v>
      </c>
      <c r="D1127" s="1" t="s">
        <v>18</v>
      </c>
      <c r="E1127" s="250">
        <v>2501.154</v>
      </c>
    </row>
    <row r="1128" spans="1:5" x14ac:dyDescent="0.35">
      <c r="A1128" s="1" t="s">
        <v>16776</v>
      </c>
      <c r="B1128" s="1" t="s">
        <v>18</v>
      </c>
      <c r="C1128" s="1" t="s">
        <v>12744</v>
      </c>
      <c r="D1128" s="1" t="s">
        <v>18</v>
      </c>
      <c r="E1128" s="250">
        <v>2501.1550000000002</v>
      </c>
    </row>
    <row r="1129" spans="1:5" x14ac:dyDescent="0.35">
      <c r="A1129" s="1" t="s">
        <v>16777</v>
      </c>
      <c r="B1129" s="1" t="s">
        <v>18</v>
      </c>
      <c r="C1129" s="1" t="s">
        <v>12743</v>
      </c>
      <c r="D1129" s="1" t="s">
        <v>18</v>
      </c>
      <c r="E1129" s="250">
        <v>2501.1559999999999</v>
      </c>
    </row>
    <row r="1130" spans="1:5" x14ac:dyDescent="0.35">
      <c r="A1130" s="1" t="s">
        <v>16778</v>
      </c>
      <c r="B1130" s="1" t="s">
        <v>18</v>
      </c>
      <c r="C1130" s="1" t="s">
        <v>12742</v>
      </c>
      <c r="D1130" s="1" t="s">
        <v>18</v>
      </c>
      <c r="E1130" s="250">
        <v>2501.1570000000002</v>
      </c>
    </row>
    <row r="1131" spans="1:5" x14ac:dyDescent="0.35">
      <c r="A1131" s="1" t="s">
        <v>16779</v>
      </c>
      <c r="B1131" s="1" t="s">
        <v>18</v>
      </c>
      <c r="C1131" s="1" t="s">
        <v>12741</v>
      </c>
      <c r="D1131" s="1" t="s">
        <v>18</v>
      </c>
      <c r="E1131" s="250">
        <v>2501.1579999999999</v>
      </c>
    </row>
    <row r="1132" spans="1:5" x14ac:dyDescent="0.35">
      <c r="A1132" s="1" t="s">
        <v>16780</v>
      </c>
      <c r="B1132" s="1" t="s">
        <v>18</v>
      </c>
      <c r="C1132" s="1" t="s">
        <v>12740</v>
      </c>
      <c r="D1132" s="1" t="s">
        <v>18</v>
      </c>
      <c r="E1132" s="250">
        <v>2501.1590000000001</v>
      </c>
    </row>
    <row r="1133" spans="1:5" x14ac:dyDescent="0.35">
      <c r="A1133" s="1" t="s">
        <v>16781</v>
      </c>
      <c r="B1133" s="1" t="s">
        <v>18</v>
      </c>
      <c r="C1133" s="1" t="s">
        <v>12739</v>
      </c>
      <c r="D1133" s="1" t="s">
        <v>18</v>
      </c>
      <c r="E1133" s="250">
        <v>2501.16</v>
      </c>
    </row>
    <row r="1134" spans="1:5" x14ac:dyDescent="0.35">
      <c r="A1134" s="1" t="s">
        <v>16782</v>
      </c>
      <c r="B1134" s="1" t="s">
        <v>18</v>
      </c>
      <c r="C1134" s="1" t="s">
        <v>12738</v>
      </c>
      <c r="D1134" s="1" t="s">
        <v>18</v>
      </c>
      <c r="E1134" s="250">
        <v>2501.1610000000001</v>
      </c>
    </row>
    <row r="1135" spans="1:5" x14ac:dyDescent="0.35">
      <c r="A1135" s="1" t="s">
        <v>16783</v>
      </c>
      <c r="B1135" s="1" t="s">
        <v>18</v>
      </c>
      <c r="C1135" s="1" t="s">
        <v>12737</v>
      </c>
      <c r="D1135" s="1" t="s">
        <v>18</v>
      </c>
      <c r="E1135" s="250">
        <v>2501.1619999999998</v>
      </c>
    </row>
    <row r="1136" spans="1:5" x14ac:dyDescent="0.35">
      <c r="A1136" s="1" t="s">
        <v>16784</v>
      </c>
      <c r="B1136" s="1" t="s">
        <v>18</v>
      </c>
      <c r="C1136" s="1" t="s">
        <v>12736</v>
      </c>
      <c r="D1136" s="1" t="s">
        <v>18</v>
      </c>
      <c r="E1136" s="250">
        <v>2501.163</v>
      </c>
    </row>
    <row r="1137" spans="1:5" x14ac:dyDescent="0.35">
      <c r="A1137" s="1" t="s">
        <v>16785</v>
      </c>
      <c r="B1137" s="1" t="s">
        <v>18</v>
      </c>
      <c r="C1137" s="1" t="s">
        <v>12735</v>
      </c>
      <c r="D1137" s="1" t="s">
        <v>18</v>
      </c>
      <c r="E1137" s="250">
        <v>2501.1640000000002</v>
      </c>
    </row>
    <row r="1138" spans="1:5" x14ac:dyDescent="0.35">
      <c r="A1138" s="1" t="s">
        <v>16786</v>
      </c>
      <c r="B1138" s="1" t="s">
        <v>18</v>
      </c>
      <c r="C1138" s="1" t="s">
        <v>12734</v>
      </c>
      <c r="D1138" s="1" t="s">
        <v>18</v>
      </c>
      <c r="E1138" s="250">
        <v>2501.17</v>
      </c>
    </row>
    <row r="1139" spans="1:5" x14ac:dyDescent="0.35">
      <c r="A1139" s="1" t="s">
        <v>16787</v>
      </c>
      <c r="B1139" s="1" t="s">
        <v>18</v>
      </c>
      <c r="C1139" s="1" t="s">
        <v>12733</v>
      </c>
      <c r="D1139" s="1" t="s">
        <v>18</v>
      </c>
      <c r="E1139" s="250">
        <v>2501.1709999999998</v>
      </c>
    </row>
    <row r="1140" spans="1:5" x14ac:dyDescent="0.35">
      <c r="A1140" s="1" t="s">
        <v>16788</v>
      </c>
      <c r="B1140" s="1" t="s">
        <v>18</v>
      </c>
      <c r="C1140" s="1" t="s">
        <v>12732</v>
      </c>
      <c r="D1140" s="1" t="s">
        <v>18</v>
      </c>
      <c r="E1140" s="250">
        <v>2501.172</v>
      </c>
    </row>
    <row r="1141" spans="1:5" x14ac:dyDescent="0.35">
      <c r="A1141" s="1" t="s">
        <v>16789</v>
      </c>
      <c r="B1141" s="1" t="s">
        <v>18</v>
      </c>
      <c r="C1141" s="1" t="s">
        <v>12731</v>
      </c>
      <c r="D1141" s="1" t="s">
        <v>18</v>
      </c>
      <c r="E1141" s="250">
        <v>2501.1729999999998</v>
      </c>
    </row>
    <row r="1142" spans="1:5" x14ac:dyDescent="0.35">
      <c r="A1142" s="1" t="s">
        <v>16790</v>
      </c>
      <c r="B1142" s="1" t="s">
        <v>18</v>
      </c>
      <c r="C1142" s="1" t="s">
        <v>12730</v>
      </c>
      <c r="D1142" s="1" t="s">
        <v>18</v>
      </c>
      <c r="E1142" s="250">
        <v>2501.174</v>
      </c>
    </row>
    <row r="1143" spans="1:5" x14ac:dyDescent="0.35">
      <c r="A1143" s="1" t="s">
        <v>16791</v>
      </c>
      <c r="B1143" s="1" t="s">
        <v>18</v>
      </c>
      <c r="C1143" s="1" t="s">
        <v>12729</v>
      </c>
      <c r="D1143" s="1" t="s">
        <v>18</v>
      </c>
      <c r="E1143" s="250">
        <v>2501.1750000000002</v>
      </c>
    </row>
    <row r="1144" spans="1:5" x14ac:dyDescent="0.35">
      <c r="A1144" s="1" t="s">
        <v>16792</v>
      </c>
      <c r="B1144" s="1" t="s">
        <v>18</v>
      </c>
      <c r="C1144" s="1" t="s">
        <v>12728</v>
      </c>
      <c r="D1144" s="1" t="s">
        <v>18</v>
      </c>
      <c r="E1144" s="250">
        <v>2501.1759999999999</v>
      </c>
    </row>
    <row r="1145" spans="1:5" x14ac:dyDescent="0.35">
      <c r="A1145" s="1" t="s">
        <v>16793</v>
      </c>
      <c r="B1145" s="1" t="s">
        <v>18</v>
      </c>
      <c r="C1145" s="1" t="s">
        <v>12727</v>
      </c>
      <c r="D1145" s="1" t="s">
        <v>18</v>
      </c>
      <c r="E1145" s="250">
        <v>2501.1770000000001</v>
      </c>
    </row>
    <row r="1146" spans="1:5" x14ac:dyDescent="0.35">
      <c r="A1146" s="1" t="s">
        <v>16794</v>
      </c>
      <c r="B1146" s="1" t="s">
        <v>18</v>
      </c>
      <c r="C1146" s="1" t="s">
        <v>12726</v>
      </c>
      <c r="D1146" s="1" t="s">
        <v>18</v>
      </c>
      <c r="E1146" s="250">
        <v>2501.1779999999999</v>
      </c>
    </row>
    <row r="1147" spans="1:5" x14ac:dyDescent="0.35">
      <c r="A1147" s="1" t="s">
        <v>16795</v>
      </c>
      <c r="B1147" s="1" t="s">
        <v>18</v>
      </c>
      <c r="C1147" s="1" t="s">
        <v>12725</v>
      </c>
      <c r="D1147" s="1" t="s">
        <v>18</v>
      </c>
      <c r="E1147" s="250">
        <v>2501.1790000000001</v>
      </c>
    </row>
    <row r="1148" spans="1:5" x14ac:dyDescent="0.35">
      <c r="A1148" s="1" t="s">
        <v>16796</v>
      </c>
      <c r="B1148" s="1" t="s">
        <v>18</v>
      </c>
      <c r="C1148" s="1" t="s">
        <v>12724</v>
      </c>
      <c r="D1148" s="1" t="s">
        <v>18</v>
      </c>
      <c r="E1148" s="250">
        <v>2501.1799999999998</v>
      </c>
    </row>
    <row r="1149" spans="1:5" x14ac:dyDescent="0.35">
      <c r="A1149" s="1" t="s">
        <v>16797</v>
      </c>
      <c r="B1149" s="1" t="s">
        <v>18</v>
      </c>
      <c r="C1149" s="1" t="s">
        <v>12723</v>
      </c>
      <c r="D1149" s="1" t="s">
        <v>18</v>
      </c>
      <c r="E1149" s="250">
        <v>2501.181</v>
      </c>
    </row>
    <row r="1150" spans="1:5" x14ac:dyDescent="0.35">
      <c r="A1150" s="1" t="s">
        <v>16798</v>
      </c>
      <c r="B1150" s="1" t="s">
        <v>18</v>
      </c>
      <c r="C1150" s="1" t="s">
        <v>12722</v>
      </c>
      <c r="D1150" s="1" t="s">
        <v>18</v>
      </c>
      <c r="E1150" s="250">
        <v>2501.1819999999998</v>
      </c>
    </row>
    <row r="1151" spans="1:5" x14ac:dyDescent="0.35">
      <c r="A1151" s="1" t="s">
        <v>16799</v>
      </c>
      <c r="B1151" s="1" t="s">
        <v>18</v>
      </c>
      <c r="C1151" s="1" t="s">
        <v>12721</v>
      </c>
      <c r="D1151" s="1" t="s">
        <v>18</v>
      </c>
      <c r="E1151" s="250">
        <v>2501.183</v>
      </c>
    </row>
    <row r="1152" spans="1:5" x14ac:dyDescent="0.35">
      <c r="A1152" s="1" t="s">
        <v>16800</v>
      </c>
      <c r="B1152" s="1" t="s">
        <v>18</v>
      </c>
      <c r="C1152" s="1" t="s">
        <v>12720</v>
      </c>
      <c r="D1152" s="1" t="s">
        <v>18</v>
      </c>
      <c r="E1152" s="250">
        <v>2501.1840000000002</v>
      </c>
    </row>
    <row r="1153" spans="1:5" x14ac:dyDescent="0.35">
      <c r="A1153" s="1" t="s">
        <v>16801</v>
      </c>
      <c r="B1153" s="1" t="s">
        <v>18</v>
      </c>
      <c r="C1153" s="1" t="s">
        <v>12719</v>
      </c>
      <c r="D1153" s="1" t="s">
        <v>18</v>
      </c>
      <c r="E1153" s="250">
        <v>2501.19</v>
      </c>
    </row>
    <row r="1154" spans="1:5" x14ac:dyDescent="0.35">
      <c r="A1154" s="1" t="s">
        <v>16802</v>
      </c>
      <c r="B1154" s="1" t="s">
        <v>18</v>
      </c>
      <c r="C1154" s="1" t="s">
        <v>12718</v>
      </c>
      <c r="D1154" s="1" t="s">
        <v>18</v>
      </c>
      <c r="E1154" s="250">
        <v>2501.1909999999998</v>
      </c>
    </row>
    <row r="1155" spans="1:5" x14ac:dyDescent="0.35">
      <c r="A1155" s="1" t="s">
        <v>16803</v>
      </c>
      <c r="B1155" s="1" t="s">
        <v>18</v>
      </c>
      <c r="C1155" s="1" t="s">
        <v>12717</v>
      </c>
      <c r="D1155" s="1" t="s">
        <v>18</v>
      </c>
      <c r="E1155" s="250">
        <v>2501.192</v>
      </c>
    </row>
    <row r="1156" spans="1:5" x14ac:dyDescent="0.35">
      <c r="A1156" s="1" t="s">
        <v>16804</v>
      </c>
      <c r="B1156" s="1" t="s">
        <v>18</v>
      </c>
      <c r="C1156" s="1" t="s">
        <v>12716</v>
      </c>
      <c r="D1156" s="1" t="s">
        <v>18</v>
      </c>
      <c r="E1156" s="250">
        <v>2501.1930000000002</v>
      </c>
    </row>
    <row r="1157" spans="1:5" x14ac:dyDescent="0.35">
      <c r="A1157" s="1" t="s">
        <v>16805</v>
      </c>
      <c r="B1157" s="1" t="s">
        <v>18</v>
      </c>
      <c r="C1157" s="1" t="s">
        <v>12715</v>
      </c>
      <c r="D1157" s="1" t="s">
        <v>18</v>
      </c>
      <c r="E1157" s="250">
        <v>2501.194</v>
      </c>
    </row>
    <row r="1158" spans="1:5" x14ac:dyDescent="0.35">
      <c r="A1158" s="1" t="s">
        <v>16806</v>
      </c>
      <c r="B1158" s="1" t="s">
        <v>18</v>
      </c>
      <c r="C1158" s="1" t="s">
        <v>12714</v>
      </c>
      <c r="D1158" s="1" t="s">
        <v>18</v>
      </c>
      <c r="E1158" s="250">
        <v>2501.1950000000002</v>
      </c>
    </row>
    <row r="1159" spans="1:5" x14ac:dyDescent="0.35">
      <c r="A1159" s="1" t="s">
        <v>16807</v>
      </c>
      <c r="B1159" s="1" t="s">
        <v>18</v>
      </c>
      <c r="C1159" s="1" t="s">
        <v>12713</v>
      </c>
      <c r="D1159" s="1" t="s">
        <v>18</v>
      </c>
      <c r="E1159" s="250">
        <v>2501.1959999999999</v>
      </c>
    </row>
    <row r="1160" spans="1:5" x14ac:dyDescent="0.35">
      <c r="A1160" s="1" t="s">
        <v>16808</v>
      </c>
      <c r="B1160" s="1" t="s">
        <v>18</v>
      </c>
      <c r="C1160" s="1" t="s">
        <v>12712</v>
      </c>
      <c r="D1160" s="1" t="s">
        <v>18</v>
      </c>
      <c r="E1160" s="250">
        <v>2501.1970000000001</v>
      </c>
    </row>
    <row r="1161" spans="1:5" x14ac:dyDescent="0.35">
      <c r="A1161" s="1" t="s">
        <v>16809</v>
      </c>
      <c r="B1161" s="1" t="s">
        <v>18</v>
      </c>
      <c r="C1161" s="1" t="s">
        <v>12711</v>
      </c>
      <c r="D1161" s="1" t="s">
        <v>18</v>
      </c>
      <c r="E1161" s="250">
        <v>2501.1979999999999</v>
      </c>
    </row>
    <row r="1162" spans="1:5" x14ac:dyDescent="0.35">
      <c r="A1162" s="1" t="s">
        <v>16810</v>
      </c>
      <c r="B1162" s="1" t="s">
        <v>18</v>
      </c>
      <c r="C1162" s="1" t="s">
        <v>12710</v>
      </c>
      <c r="D1162" s="1" t="s">
        <v>18</v>
      </c>
      <c r="E1162" s="250">
        <v>2501.1990000000001</v>
      </c>
    </row>
    <row r="1163" spans="1:5" x14ac:dyDescent="0.35">
      <c r="A1163" s="1" t="s">
        <v>16811</v>
      </c>
      <c r="B1163" s="1" t="s">
        <v>18</v>
      </c>
      <c r="C1163" s="1" t="s">
        <v>12709</v>
      </c>
      <c r="D1163" s="1" t="s">
        <v>18</v>
      </c>
      <c r="E1163" s="250">
        <v>2501.21</v>
      </c>
    </row>
    <row r="1164" spans="1:5" x14ac:dyDescent="0.35">
      <c r="A1164" s="1" t="s">
        <v>16812</v>
      </c>
      <c r="B1164" s="1" t="s">
        <v>18</v>
      </c>
      <c r="C1164" s="1" t="s">
        <v>12708</v>
      </c>
      <c r="D1164" s="1" t="s">
        <v>18</v>
      </c>
      <c r="E1164" s="250">
        <v>2501.2109999999998</v>
      </c>
    </row>
    <row r="1165" spans="1:5" x14ac:dyDescent="0.35">
      <c r="A1165" s="1" t="s">
        <v>16813</v>
      </c>
      <c r="B1165" s="1" t="s">
        <v>18</v>
      </c>
      <c r="C1165" s="1" t="s">
        <v>12707</v>
      </c>
      <c r="D1165" s="1" t="s">
        <v>18</v>
      </c>
      <c r="E1165" s="250">
        <v>2501.212</v>
      </c>
    </row>
    <row r="1166" spans="1:5" x14ac:dyDescent="0.35">
      <c r="A1166" s="1" t="s">
        <v>16814</v>
      </c>
      <c r="B1166" s="1" t="s">
        <v>18</v>
      </c>
      <c r="C1166" s="1" t="s">
        <v>12706</v>
      </c>
      <c r="D1166" s="1" t="s">
        <v>18</v>
      </c>
      <c r="E1166" s="250">
        <v>2501.2130000000002</v>
      </c>
    </row>
    <row r="1167" spans="1:5" x14ac:dyDescent="0.35">
      <c r="A1167" s="1" t="s">
        <v>16815</v>
      </c>
      <c r="B1167" s="1" t="s">
        <v>18</v>
      </c>
      <c r="C1167" s="1" t="s">
        <v>12705</v>
      </c>
      <c r="D1167" s="1" t="s">
        <v>18</v>
      </c>
      <c r="E1167" s="250">
        <v>2501.2139999999999</v>
      </c>
    </row>
    <row r="1168" spans="1:5" x14ac:dyDescent="0.35">
      <c r="A1168" s="1" t="s">
        <v>16816</v>
      </c>
      <c r="B1168" s="1" t="s">
        <v>18</v>
      </c>
      <c r="C1168" s="1" t="s">
        <v>12704</v>
      </c>
      <c r="D1168" s="1" t="s">
        <v>18</v>
      </c>
      <c r="E1168" s="250">
        <v>2501.2150000000001</v>
      </c>
    </row>
    <row r="1169" spans="1:5" x14ac:dyDescent="0.35">
      <c r="A1169" s="1" t="s">
        <v>16817</v>
      </c>
      <c r="B1169" s="1" t="s">
        <v>18</v>
      </c>
      <c r="C1169" s="1" t="s">
        <v>12703</v>
      </c>
      <c r="D1169" s="1" t="s">
        <v>18</v>
      </c>
      <c r="E1169" s="250">
        <v>2501.2159999999999</v>
      </c>
    </row>
    <row r="1170" spans="1:5" x14ac:dyDescent="0.35">
      <c r="A1170" s="1" t="s">
        <v>16818</v>
      </c>
      <c r="B1170" s="1" t="s">
        <v>18</v>
      </c>
      <c r="C1170" s="1" t="s">
        <v>12702</v>
      </c>
      <c r="D1170" s="1" t="s">
        <v>18</v>
      </c>
      <c r="E1170" s="250">
        <v>2501.2170000000001</v>
      </c>
    </row>
    <row r="1171" spans="1:5" x14ac:dyDescent="0.35">
      <c r="A1171" s="1" t="s">
        <v>16819</v>
      </c>
      <c r="B1171" s="1" t="s">
        <v>18</v>
      </c>
      <c r="C1171" s="1" t="s">
        <v>12701</v>
      </c>
      <c r="D1171" s="1" t="s">
        <v>18</v>
      </c>
      <c r="E1171" s="250">
        <v>2501.2179999999998</v>
      </c>
    </row>
    <row r="1172" spans="1:5" x14ac:dyDescent="0.35">
      <c r="A1172" s="1" t="s">
        <v>16820</v>
      </c>
      <c r="B1172" s="1" t="s">
        <v>18</v>
      </c>
      <c r="C1172" s="1" t="s">
        <v>12700</v>
      </c>
      <c r="D1172" s="1" t="s">
        <v>18</v>
      </c>
      <c r="E1172" s="250">
        <v>2501.2190000000001</v>
      </c>
    </row>
    <row r="1173" spans="1:5" x14ac:dyDescent="0.35">
      <c r="A1173" s="1" t="s">
        <v>16821</v>
      </c>
      <c r="B1173" s="1" t="s">
        <v>18</v>
      </c>
      <c r="C1173" s="1" t="s">
        <v>12699</v>
      </c>
      <c r="D1173" s="1" t="s">
        <v>18</v>
      </c>
      <c r="E1173" s="250">
        <v>2501.2249999999999</v>
      </c>
    </row>
    <row r="1174" spans="1:5" x14ac:dyDescent="0.35">
      <c r="A1174" s="1" t="s">
        <v>16822</v>
      </c>
      <c r="B1174" s="1" t="s">
        <v>18</v>
      </c>
      <c r="C1174" s="1" t="s">
        <v>12698</v>
      </c>
      <c r="D1174" s="1" t="s">
        <v>18</v>
      </c>
      <c r="E1174" s="250">
        <v>2501.2260000000001</v>
      </c>
    </row>
    <row r="1175" spans="1:5" x14ac:dyDescent="0.35">
      <c r="A1175" s="1" t="s">
        <v>16823</v>
      </c>
      <c r="B1175" s="1" t="s">
        <v>18</v>
      </c>
      <c r="C1175" s="1" t="s">
        <v>12697</v>
      </c>
      <c r="D1175" s="1" t="s">
        <v>18</v>
      </c>
      <c r="E1175" s="250">
        <v>2501.2269999999999</v>
      </c>
    </row>
    <row r="1176" spans="1:5" x14ac:dyDescent="0.35">
      <c r="A1176" s="1" t="s">
        <v>16824</v>
      </c>
      <c r="B1176" s="1" t="s">
        <v>18</v>
      </c>
      <c r="C1176" s="1" t="s">
        <v>12696</v>
      </c>
      <c r="D1176" s="1" t="s">
        <v>18</v>
      </c>
      <c r="E1176" s="250">
        <v>2501.2280000000001</v>
      </c>
    </row>
    <row r="1177" spans="1:5" x14ac:dyDescent="0.35">
      <c r="A1177" s="1" t="s">
        <v>16825</v>
      </c>
      <c r="B1177" s="1" t="s">
        <v>18</v>
      </c>
      <c r="C1177" s="1" t="s">
        <v>12695</v>
      </c>
      <c r="D1177" s="1" t="s">
        <v>18</v>
      </c>
      <c r="E1177" s="250">
        <v>2501.2289999999998</v>
      </c>
    </row>
    <row r="1178" spans="1:5" x14ac:dyDescent="0.35">
      <c r="A1178" s="1" t="s">
        <v>16826</v>
      </c>
      <c r="B1178" s="1" t="s">
        <v>18</v>
      </c>
      <c r="C1178" s="1" t="s">
        <v>12694</v>
      </c>
      <c r="D1178" s="1" t="s">
        <v>18</v>
      </c>
      <c r="E1178" s="250">
        <v>2501.23</v>
      </c>
    </row>
    <row r="1179" spans="1:5" x14ac:dyDescent="0.35">
      <c r="A1179" s="1" t="s">
        <v>16827</v>
      </c>
      <c r="B1179" s="1" t="s">
        <v>18</v>
      </c>
      <c r="C1179" s="1" t="s">
        <v>12693</v>
      </c>
      <c r="D1179" s="1" t="s">
        <v>18</v>
      </c>
      <c r="E1179" s="250">
        <v>2501.2310000000002</v>
      </c>
    </row>
    <row r="1180" spans="1:5" x14ac:dyDescent="0.35">
      <c r="A1180" s="1" t="s">
        <v>16828</v>
      </c>
      <c r="B1180" s="1" t="s">
        <v>18</v>
      </c>
      <c r="C1180" s="1" t="s">
        <v>12692</v>
      </c>
      <c r="D1180" s="1" t="s">
        <v>18</v>
      </c>
      <c r="E1180" s="250">
        <v>2501.232</v>
      </c>
    </row>
    <row r="1181" spans="1:5" x14ac:dyDescent="0.35">
      <c r="A1181" s="1" t="s">
        <v>16829</v>
      </c>
      <c r="B1181" s="1" t="s">
        <v>18</v>
      </c>
      <c r="C1181" s="1" t="s">
        <v>12691</v>
      </c>
      <c r="D1181" s="1" t="s">
        <v>18</v>
      </c>
      <c r="E1181" s="250">
        <v>2501.2330000000002</v>
      </c>
    </row>
    <row r="1182" spans="1:5" x14ac:dyDescent="0.35">
      <c r="A1182" s="1" t="s">
        <v>16830</v>
      </c>
      <c r="B1182" s="1" t="s">
        <v>18</v>
      </c>
      <c r="C1182" s="1" t="s">
        <v>12690</v>
      </c>
      <c r="D1182" s="1" t="s">
        <v>18</v>
      </c>
      <c r="E1182" s="250">
        <v>2501.2339999999999</v>
      </c>
    </row>
    <row r="1183" spans="1:5" x14ac:dyDescent="0.35">
      <c r="A1183" s="1" t="s">
        <v>16831</v>
      </c>
      <c r="B1183" s="1" t="s">
        <v>18</v>
      </c>
      <c r="C1183" s="1" t="s">
        <v>12689</v>
      </c>
      <c r="D1183" s="1" t="s">
        <v>18</v>
      </c>
      <c r="E1183" s="250">
        <v>2501.2350000000001</v>
      </c>
    </row>
    <row r="1184" spans="1:5" x14ac:dyDescent="0.35">
      <c r="A1184" s="1" t="s">
        <v>16832</v>
      </c>
      <c r="B1184" s="1" t="s">
        <v>18</v>
      </c>
      <c r="C1184" s="1" t="s">
        <v>12688</v>
      </c>
      <c r="D1184" s="1" t="s">
        <v>18</v>
      </c>
      <c r="E1184" s="250">
        <v>2501.2359999999999</v>
      </c>
    </row>
    <row r="1185" spans="1:5" x14ac:dyDescent="0.35">
      <c r="A1185" s="1" t="s">
        <v>16833</v>
      </c>
      <c r="B1185" s="1" t="s">
        <v>18</v>
      </c>
      <c r="C1185" s="1" t="s">
        <v>12687</v>
      </c>
      <c r="D1185" s="1" t="s">
        <v>18</v>
      </c>
      <c r="E1185" s="250">
        <v>2501.2370000000001</v>
      </c>
    </row>
    <row r="1186" spans="1:5" x14ac:dyDescent="0.35">
      <c r="A1186" s="1" t="s">
        <v>16834</v>
      </c>
      <c r="B1186" s="1" t="s">
        <v>18</v>
      </c>
      <c r="C1186" s="1" t="s">
        <v>12686</v>
      </c>
      <c r="D1186" s="1" t="s">
        <v>18</v>
      </c>
      <c r="E1186" s="250">
        <v>2501.2379999999998</v>
      </c>
    </row>
    <row r="1187" spans="1:5" x14ac:dyDescent="0.35">
      <c r="A1187" s="1" t="s">
        <v>16835</v>
      </c>
      <c r="B1187" s="1" t="s">
        <v>18</v>
      </c>
      <c r="C1187" s="1" t="s">
        <v>12685</v>
      </c>
      <c r="D1187" s="1" t="s">
        <v>18</v>
      </c>
      <c r="E1187" s="250">
        <v>2501.239</v>
      </c>
    </row>
    <row r="1188" spans="1:5" x14ac:dyDescent="0.35">
      <c r="A1188" s="1" t="s">
        <v>16836</v>
      </c>
      <c r="B1188" s="1" t="s">
        <v>19</v>
      </c>
      <c r="C1188" s="1" t="s">
        <v>11711</v>
      </c>
      <c r="D1188" s="1" t="s">
        <v>19</v>
      </c>
      <c r="E1188" s="250">
        <v>2501.7109999999998</v>
      </c>
    </row>
    <row r="1189" spans="1:5" x14ac:dyDescent="0.35">
      <c r="A1189" s="1" t="s">
        <v>16837</v>
      </c>
      <c r="B1189" s="1" t="s">
        <v>19</v>
      </c>
      <c r="C1189" s="1" t="s">
        <v>11710</v>
      </c>
      <c r="D1189" s="1" t="s">
        <v>19</v>
      </c>
      <c r="E1189" s="250">
        <v>2501.712</v>
      </c>
    </row>
    <row r="1190" spans="1:5" x14ac:dyDescent="0.35">
      <c r="A1190" s="1" t="s">
        <v>16838</v>
      </c>
      <c r="B1190" s="1" t="s">
        <v>19</v>
      </c>
      <c r="C1190" s="1" t="s">
        <v>11709</v>
      </c>
      <c r="D1190" s="1" t="s">
        <v>19</v>
      </c>
      <c r="E1190" s="250">
        <v>2501.7130000000002</v>
      </c>
    </row>
    <row r="1191" spans="1:5" x14ac:dyDescent="0.35">
      <c r="A1191" s="1" t="s">
        <v>16839</v>
      </c>
      <c r="B1191" s="1" t="s">
        <v>19</v>
      </c>
      <c r="C1191" s="1" t="s">
        <v>11708</v>
      </c>
      <c r="D1191" s="1" t="s">
        <v>19</v>
      </c>
      <c r="E1191" s="250">
        <v>2501.7139999999999</v>
      </c>
    </row>
    <row r="1192" spans="1:5" x14ac:dyDescent="0.35">
      <c r="A1192" s="1" t="s">
        <v>16840</v>
      </c>
      <c r="B1192" s="1" t="s">
        <v>19</v>
      </c>
      <c r="C1192" s="1" t="s">
        <v>11707</v>
      </c>
      <c r="D1192" s="1" t="s">
        <v>19</v>
      </c>
      <c r="E1192" s="250">
        <v>2501.7150000000001</v>
      </c>
    </row>
    <row r="1193" spans="1:5" x14ac:dyDescent="0.35">
      <c r="A1193" s="1" t="s">
        <v>16841</v>
      </c>
      <c r="B1193" s="1" t="s">
        <v>19</v>
      </c>
      <c r="C1193" s="1" t="s">
        <v>11706</v>
      </c>
      <c r="D1193" s="1" t="s">
        <v>19</v>
      </c>
      <c r="E1193" s="250">
        <v>2501.7159999999999</v>
      </c>
    </row>
    <row r="1194" spans="1:5" x14ac:dyDescent="0.35">
      <c r="A1194" s="1" t="s">
        <v>16842</v>
      </c>
      <c r="B1194" s="1" t="s">
        <v>19</v>
      </c>
      <c r="C1194" s="1" t="s">
        <v>11705</v>
      </c>
      <c r="D1194" s="1" t="s">
        <v>19</v>
      </c>
      <c r="E1194" s="250">
        <v>2501.7170000000001</v>
      </c>
    </row>
    <row r="1195" spans="1:5" x14ac:dyDescent="0.35">
      <c r="A1195" s="1" t="s">
        <v>16843</v>
      </c>
      <c r="B1195" s="1" t="s">
        <v>19</v>
      </c>
      <c r="C1195" s="1" t="s">
        <v>11704</v>
      </c>
      <c r="D1195" s="1" t="s">
        <v>19</v>
      </c>
      <c r="E1195" s="250">
        <v>2501.7179999999998</v>
      </c>
    </row>
    <row r="1196" spans="1:5" x14ac:dyDescent="0.35">
      <c r="A1196" s="1" t="s">
        <v>16844</v>
      </c>
      <c r="B1196" s="1" t="s">
        <v>19</v>
      </c>
      <c r="C1196" s="1" t="s">
        <v>11703</v>
      </c>
      <c r="D1196" s="1" t="s">
        <v>19</v>
      </c>
      <c r="E1196" s="250">
        <v>2501.7190000000001</v>
      </c>
    </row>
    <row r="1197" spans="1:5" x14ac:dyDescent="0.35">
      <c r="A1197" s="1" t="s">
        <v>16845</v>
      </c>
      <c r="B1197" s="1" t="s">
        <v>19</v>
      </c>
      <c r="C1197" s="1" t="s">
        <v>11702</v>
      </c>
      <c r="D1197" s="1" t="s">
        <v>19</v>
      </c>
      <c r="E1197" s="250">
        <v>2501.7600000000002</v>
      </c>
    </row>
    <row r="1198" spans="1:5" x14ac:dyDescent="0.35">
      <c r="A1198" s="1" t="s">
        <v>16846</v>
      </c>
      <c r="B1198" s="1" t="s">
        <v>19</v>
      </c>
      <c r="C1198" s="1" t="s">
        <v>11701</v>
      </c>
      <c r="D1198" s="1" t="s">
        <v>19</v>
      </c>
      <c r="E1198" s="250">
        <v>2501.761</v>
      </c>
    </row>
    <row r="1199" spans="1:5" x14ac:dyDescent="0.35">
      <c r="A1199" s="1" t="s">
        <v>16847</v>
      </c>
      <c r="B1199" s="1" t="s">
        <v>19</v>
      </c>
      <c r="C1199" s="1" t="s">
        <v>11700</v>
      </c>
      <c r="D1199" s="1" t="s">
        <v>19</v>
      </c>
      <c r="E1199" s="250">
        <v>2501.7620000000002</v>
      </c>
    </row>
    <row r="1200" spans="1:5" x14ac:dyDescent="0.35">
      <c r="A1200" s="1" t="s">
        <v>16848</v>
      </c>
      <c r="B1200" s="1" t="s">
        <v>19</v>
      </c>
      <c r="C1200" s="1" t="s">
        <v>11699</v>
      </c>
      <c r="D1200" s="1" t="s">
        <v>19</v>
      </c>
      <c r="E1200" s="250">
        <v>2501.7629999999999</v>
      </c>
    </row>
    <row r="1201" spans="1:5" x14ac:dyDescent="0.35">
      <c r="A1201" s="1" t="s">
        <v>16849</v>
      </c>
      <c r="B1201" s="1" t="s">
        <v>19</v>
      </c>
      <c r="C1201" s="1" t="s">
        <v>11698</v>
      </c>
      <c r="D1201" s="1" t="s">
        <v>19</v>
      </c>
      <c r="E1201" s="250">
        <v>2501.7640000000001</v>
      </c>
    </row>
    <row r="1202" spans="1:5" x14ac:dyDescent="0.35">
      <c r="A1202" s="1" t="s">
        <v>16850</v>
      </c>
      <c r="B1202" s="1" t="s">
        <v>19</v>
      </c>
      <c r="C1202" s="1" t="s">
        <v>11697</v>
      </c>
      <c r="D1202" s="1" t="s">
        <v>19</v>
      </c>
      <c r="E1202" s="250">
        <v>2501.7649999999999</v>
      </c>
    </row>
    <row r="1203" spans="1:5" x14ac:dyDescent="0.35">
      <c r="A1203" s="1" t="s">
        <v>16851</v>
      </c>
      <c r="B1203" s="1" t="s">
        <v>19</v>
      </c>
      <c r="C1203" s="1" t="s">
        <v>11696</v>
      </c>
      <c r="D1203" s="1" t="s">
        <v>19</v>
      </c>
      <c r="E1203" s="250">
        <v>2501.7660000000001</v>
      </c>
    </row>
    <row r="1204" spans="1:5" x14ac:dyDescent="0.35">
      <c r="A1204" s="1" t="s">
        <v>16852</v>
      </c>
      <c r="B1204" s="1" t="s">
        <v>19</v>
      </c>
      <c r="C1204" s="1" t="s">
        <v>11695</v>
      </c>
      <c r="D1204" s="1" t="s">
        <v>19</v>
      </c>
      <c r="E1204" s="250">
        <v>2501.7669999999998</v>
      </c>
    </row>
    <row r="1205" spans="1:5" x14ac:dyDescent="0.35">
      <c r="A1205" s="1" t="s">
        <v>16853</v>
      </c>
      <c r="B1205" s="1" t="s">
        <v>19</v>
      </c>
      <c r="C1205" s="1" t="s">
        <v>11694</v>
      </c>
      <c r="D1205" s="1" t="s">
        <v>19</v>
      </c>
      <c r="E1205" s="250">
        <v>2501.768</v>
      </c>
    </row>
    <row r="1206" spans="1:5" x14ac:dyDescent="0.35">
      <c r="A1206" s="1" t="s">
        <v>16854</v>
      </c>
      <c r="B1206" s="1" t="s">
        <v>19</v>
      </c>
      <c r="C1206" s="1" t="s">
        <v>11693</v>
      </c>
      <c r="D1206" s="1" t="s">
        <v>19</v>
      </c>
      <c r="E1206" s="250">
        <v>2501.7689999999998</v>
      </c>
    </row>
    <row r="1207" spans="1:5" x14ac:dyDescent="0.35">
      <c r="A1207" s="1" t="s">
        <v>16855</v>
      </c>
      <c r="B1207" s="1" t="s">
        <v>19</v>
      </c>
      <c r="C1207" s="1" t="s">
        <v>11692</v>
      </c>
      <c r="D1207" s="1" t="s">
        <v>19</v>
      </c>
      <c r="E1207" s="250">
        <v>2501.77</v>
      </c>
    </row>
    <row r="1208" spans="1:5" x14ac:dyDescent="0.35">
      <c r="A1208" s="1" t="s">
        <v>16856</v>
      </c>
      <c r="B1208" s="1" t="s">
        <v>19</v>
      </c>
      <c r="C1208" s="1" t="s">
        <v>11691</v>
      </c>
      <c r="D1208" s="1" t="s">
        <v>19</v>
      </c>
      <c r="E1208" s="250">
        <v>2501.7710000000002</v>
      </c>
    </row>
    <row r="1209" spans="1:5" x14ac:dyDescent="0.35">
      <c r="A1209" s="1" t="s">
        <v>16857</v>
      </c>
      <c r="B1209" s="1" t="s">
        <v>19</v>
      </c>
      <c r="C1209" s="1" t="s">
        <v>11690</v>
      </c>
      <c r="D1209" s="1" t="s">
        <v>19</v>
      </c>
      <c r="E1209" s="250">
        <v>2501.7719999999999</v>
      </c>
    </row>
    <row r="1210" spans="1:5" x14ac:dyDescent="0.35">
      <c r="A1210" s="1" t="s">
        <v>16858</v>
      </c>
      <c r="B1210" s="1" t="s">
        <v>19</v>
      </c>
      <c r="C1210" s="1" t="s">
        <v>11689</v>
      </c>
      <c r="D1210" s="1" t="s">
        <v>19</v>
      </c>
      <c r="E1210" s="250">
        <v>2501.7730000000001</v>
      </c>
    </row>
    <row r="1211" spans="1:5" x14ac:dyDescent="0.35">
      <c r="A1211" s="1" t="s">
        <v>16859</v>
      </c>
      <c r="B1211" s="1" t="s">
        <v>19</v>
      </c>
      <c r="C1211" s="1" t="s">
        <v>11688</v>
      </c>
      <c r="D1211" s="1" t="s">
        <v>19</v>
      </c>
      <c r="E1211" s="250">
        <v>2501.7739999999999</v>
      </c>
    </row>
    <row r="1212" spans="1:5" x14ac:dyDescent="0.35">
      <c r="A1212" s="1" t="s">
        <v>16860</v>
      </c>
      <c r="B1212" s="1" t="s">
        <v>19</v>
      </c>
      <c r="C1212" s="1" t="s">
        <v>11687</v>
      </c>
      <c r="D1212" s="1" t="s">
        <v>19</v>
      </c>
      <c r="E1212" s="250">
        <v>2501.7750000000001</v>
      </c>
    </row>
    <row r="1213" spans="1:5" x14ac:dyDescent="0.35">
      <c r="A1213" s="1" t="s">
        <v>16861</v>
      </c>
      <c r="B1213" s="1" t="s">
        <v>19</v>
      </c>
      <c r="C1213" s="1" t="s">
        <v>11686</v>
      </c>
      <c r="D1213" s="1" t="s">
        <v>19</v>
      </c>
      <c r="E1213" s="250">
        <v>2501.7759999999998</v>
      </c>
    </row>
    <row r="1214" spans="1:5" x14ac:dyDescent="0.35">
      <c r="A1214" s="1" t="s">
        <v>16862</v>
      </c>
      <c r="B1214" s="1" t="s">
        <v>19</v>
      </c>
      <c r="C1214" s="1" t="s">
        <v>12684</v>
      </c>
      <c r="D1214" s="1" t="s">
        <v>19</v>
      </c>
      <c r="E1214" s="250">
        <v>2501.8110000000001</v>
      </c>
    </row>
    <row r="1215" spans="1:5" x14ac:dyDescent="0.35">
      <c r="A1215" s="1" t="s">
        <v>16863</v>
      </c>
      <c r="B1215" s="1" t="s">
        <v>19</v>
      </c>
      <c r="C1215" s="1" t="s">
        <v>12683</v>
      </c>
      <c r="D1215" s="1" t="s">
        <v>19</v>
      </c>
      <c r="E1215" s="250">
        <v>2501.8119999999999</v>
      </c>
    </row>
    <row r="1216" spans="1:5" x14ac:dyDescent="0.35">
      <c r="A1216" s="1" t="s">
        <v>16864</v>
      </c>
      <c r="B1216" s="1" t="s">
        <v>19</v>
      </c>
      <c r="C1216" s="1" t="s">
        <v>12682</v>
      </c>
      <c r="D1216" s="1" t="s">
        <v>19</v>
      </c>
      <c r="E1216" s="250">
        <v>2501.8130000000001</v>
      </c>
    </row>
    <row r="1217" spans="1:5" x14ac:dyDescent="0.35">
      <c r="A1217" s="1" t="s">
        <v>16865</v>
      </c>
      <c r="B1217" s="1" t="s">
        <v>19</v>
      </c>
      <c r="C1217" s="1" t="s">
        <v>12681</v>
      </c>
      <c r="D1217" s="1" t="s">
        <v>19</v>
      </c>
      <c r="E1217" s="250">
        <v>2501.8139999999999</v>
      </c>
    </row>
    <row r="1218" spans="1:5" x14ac:dyDescent="0.35">
      <c r="A1218" s="1" t="s">
        <v>16866</v>
      </c>
      <c r="B1218" s="1" t="s">
        <v>19</v>
      </c>
      <c r="C1218" s="1" t="s">
        <v>12680</v>
      </c>
      <c r="D1218" s="1" t="s">
        <v>19</v>
      </c>
      <c r="E1218" s="250">
        <v>2501.8150000000001</v>
      </c>
    </row>
    <row r="1219" spans="1:5" x14ac:dyDescent="0.35">
      <c r="A1219" s="1" t="s">
        <v>16867</v>
      </c>
      <c r="B1219" s="1" t="s">
        <v>19</v>
      </c>
      <c r="C1219" s="1" t="s">
        <v>12679</v>
      </c>
      <c r="D1219" s="1" t="s">
        <v>19</v>
      </c>
      <c r="E1219" s="250">
        <v>2501.8159999999998</v>
      </c>
    </row>
    <row r="1220" spans="1:5" x14ac:dyDescent="0.35">
      <c r="A1220" s="1" t="s">
        <v>16868</v>
      </c>
      <c r="B1220" s="1" t="s">
        <v>19</v>
      </c>
      <c r="C1220" s="1" t="s">
        <v>12678</v>
      </c>
      <c r="D1220" s="1" t="s">
        <v>19</v>
      </c>
      <c r="E1220" s="250">
        <v>2501.817</v>
      </c>
    </row>
    <row r="1221" spans="1:5" x14ac:dyDescent="0.35">
      <c r="A1221" s="1" t="s">
        <v>16869</v>
      </c>
      <c r="B1221" s="1" t="s">
        <v>19</v>
      </c>
      <c r="C1221" s="1" t="s">
        <v>12677</v>
      </c>
      <c r="D1221" s="1" t="s">
        <v>19</v>
      </c>
      <c r="E1221" s="250">
        <v>2501.8180000000002</v>
      </c>
    </row>
    <row r="1222" spans="1:5" x14ac:dyDescent="0.35">
      <c r="A1222" s="1" t="s">
        <v>16870</v>
      </c>
      <c r="B1222" s="1" t="s">
        <v>19</v>
      </c>
      <c r="C1222" s="1" t="s">
        <v>12676</v>
      </c>
      <c r="D1222" s="1" t="s">
        <v>19</v>
      </c>
      <c r="E1222" s="250">
        <v>2501.819</v>
      </c>
    </row>
    <row r="1223" spans="1:5" x14ac:dyDescent="0.35">
      <c r="A1223" s="1" t="s">
        <v>16871</v>
      </c>
      <c r="B1223" s="1" t="s">
        <v>19</v>
      </c>
      <c r="C1223" s="1" t="s">
        <v>12675</v>
      </c>
      <c r="D1223" s="1" t="s">
        <v>19</v>
      </c>
      <c r="E1223" s="250">
        <v>2501.8200000000002</v>
      </c>
    </row>
    <row r="1224" spans="1:5" x14ac:dyDescent="0.35">
      <c r="A1224" s="1" t="s">
        <v>16872</v>
      </c>
      <c r="B1224" s="1" t="s">
        <v>19</v>
      </c>
      <c r="C1224" s="1" t="s">
        <v>12674</v>
      </c>
      <c r="D1224" s="1" t="s">
        <v>19</v>
      </c>
      <c r="E1224" s="250">
        <v>2501.8209999999999</v>
      </c>
    </row>
    <row r="1225" spans="1:5" x14ac:dyDescent="0.35">
      <c r="A1225" s="1" t="s">
        <v>16873</v>
      </c>
      <c r="B1225" s="1" t="s">
        <v>19</v>
      </c>
      <c r="C1225" s="1" t="s">
        <v>12673</v>
      </c>
      <c r="D1225" s="1" t="s">
        <v>19</v>
      </c>
      <c r="E1225" s="250">
        <v>2501.8220000000001</v>
      </c>
    </row>
    <row r="1226" spans="1:5" x14ac:dyDescent="0.35">
      <c r="A1226" s="1" t="s">
        <v>16874</v>
      </c>
      <c r="B1226" s="1" t="s">
        <v>19</v>
      </c>
      <c r="C1226" s="1" t="s">
        <v>12672</v>
      </c>
      <c r="D1226" s="1" t="s">
        <v>19</v>
      </c>
      <c r="E1226" s="250">
        <v>2501.8609999999999</v>
      </c>
    </row>
    <row r="1227" spans="1:5" x14ac:dyDescent="0.35">
      <c r="A1227" s="1" t="s">
        <v>16875</v>
      </c>
      <c r="B1227" s="1" t="s">
        <v>19</v>
      </c>
      <c r="C1227" s="1" t="s">
        <v>12671</v>
      </c>
      <c r="D1227" s="1" t="s">
        <v>19</v>
      </c>
      <c r="E1227" s="250">
        <v>2501.8620000000001</v>
      </c>
    </row>
    <row r="1228" spans="1:5" x14ac:dyDescent="0.35">
      <c r="A1228" s="1" t="s">
        <v>16876</v>
      </c>
      <c r="B1228" s="1" t="s">
        <v>19</v>
      </c>
      <c r="C1228" s="1" t="s">
        <v>12670</v>
      </c>
      <c r="D1228" s="1" t="s">
        <v>19</v>
      </c>
      <c r="E1228" s="250">
        <v>2501.8629999999998</v>
      </c>
    </row>
    <row r="1229" spans="1:5" x14ac:dyDescent="0.35">
      <c r="A1229" s="1" t="s">
        <v>16877</v>
      </c>
      <c r="B1229" s="1" t="s">
        <v>19</v>
      </c>
      <c r="C1229" s="1" t="s">
        <v>12669</v>
      </c>
      <c r="D1229" s="1" t="s">
        <v>19</v>
      </c>
      <c r="E1229" s="250">
        <v>2501.864</v>
      </c>
    </row>
    <row r="1230" spans="1:5" x14ac:dyDescent="0.35">
      <c r="A1230" s="1" t="s">
        <v>16878</v>
      </c>
      <c r="B1230" s="1" t="s">
        <v>19</v>
      </c>
      <c r="C1230" s="1" t="s">
        <v>12668</v>
      </c>
      <c r="D1230" s="1" t="s">
        <v>19</v>
      </c>
      <c r="E1230" s="250">
        <v>2501.8649999999998</v>
      </c>
    </row>
    <row r="1231" spans="1:5" x14ac:dyDescent="0.35">
      <c r="A1231" s="1" t="s">
        <v>16879</v>
      </c>
      <c r="B1231" s="1" t="s">
        <v>19</v>
      </c>
      <c r="C1231" s="1" t="s">
        <v>11685</v>
      </c>
      <c r="D1231" s="1" t="s">
        <v>19</v>
      </c>
      <c r="E1231" s="250">
        <v>2501.8710000000001</v>
      </c>
    </row>
    <row r="1232" spans="1:5" x14ac:dyDescent="0.35">
      <c r="A1232" s="1" t="s">
        <v>16880</v>
      </c>
      <c r="B1232" s="1" t="s">
        <v>19</v>
      </c>
      <c r="C1232" s="1" t="s">
        <v>11684</v>
      </c>
      <c r="D1232" s="1" t="s">
        <v>19</v>
      </c>
      <c r="E1232" s="250">
        <v>2501.8719999999998</v>
      </c>
    </row>
    <row r="1233" spans="1:5" x14ac:dyDescent="0.35">
      <c r="A1233" s="1" t="s">
        <v>16881</v>
      </c>
      <c r="B1233" s="1" t="s">
        <v>19</v>
      </c>
      <c r="C1233" s="1" t="s">
        <v>11683</v>
      </c>
      <c r="D1233" s="1" t="s">
        <v>19</v>
      </c>
      <c r="E1233" s="250">
        <v>2501.873</v>
      </c>
    </row>
    <row r="1234" spans="1:5" x14ac:dyDescent="0.35">
      <c r="A1234" s="1" t="s">
        <v>16882</v>
      </c>
      <c r="B1234" s="1" t="s">
        <v>19</v>
      </c>
      <c r="C1234" s="1" t="s">
        <v>11682</v>
      </c>
      <c r="D1234" s="1" t="s">
        <v>19</v>
      </c>
      <c r="E1234" s="250">
        <v>2501.8739999999998</v>
      </c>
    </row>
    <row r="1235" spans="1:5" x14ac:dyDescent="0.35">
      <c r="A1235" s="1" t="s">
        <v>16883</v>
      </c>
      <c r="B1235" s="1" t="s">
        <v>19</v>
      </c>
      <c r="C1235" s="1" t="s">
        <v>11681</v>
      </c>
      <c r="D1235" s="1" t="s">
        <v>19</v>
      </c>
      <c r="E1235" s="250">
        <v>2501.875</v>
      </c>
    </row>
    <row r="1236" spans="1:5" x14ac:dyDescent="0.35">
      <c r="A1236" s="1" t="s">
        <v>16884</v>
      </c>
      <c r="B1236" s="1" t="s">
        <v>19</v>
      </c>
      <c r="C1236" s="1" t="s">
        <v>11680</v>
      </c>
      <c r="D1236" s="1" t="s">
        <v>19</v>
      </c>
      <c r="E1236" s="250">
        <v>2501.8760000000002</v>
      </c>
    </row>
    <row r="1237" spans="1:5" x14ac:dyDescent="0.35">
      <c r="A1237" s="1" t="s">
        <v>16885</v>
      </c>
      <c r="B1237" s="1" t="s">
        <v>19</v>
      </c>
      <c r="C1237" s="1" t="s">
        <v>11679</v>
      </c>
      <c r="D1237" s="1" t="s">
        <v>19</v>
      </c>
      <c r="E1237" s="250">
        <v>2501.877</v>
      </c>
    </row>
    <row r="1238" spans="1:5" x14ac:dyDescent="0.35">
      <c r="A1238" s="1" t="s">
        <v>16886</v>
      </c>
      <c r="B1238" s="1" t="s">
        <v>19</v>
      </c>
      <c r="C1238" s="1" t="s">
        <v>11678</v>
      </c>
      <c r="D1238" s="1" t="s">
        <v>19</v>
      </c>
      <c r="E1238" s="250">
        <v>2501.8780000000002</v>
      </c>
    </row>
    <row r="1239" spans="1:5" x14ac:dyDescent="0.35">
      <c r="A1239" s="1" t="s">
        <v>16887</v>
      </c>
      <c r="B1239" s="1" t="s">
        <v>19</v>
      </c>
      <c r="C1239" s="1" t="s">
        <v>11677</v>
      </c>
      <c r="D1239" s="1" t="s">
        <v>19</v>
      </c>
      <c r="E1239" s="250">
        <v>2501.8789999999999</v>
      </c>
    </row>
    <row r="1240" spans="1:5" x14ac:dyDescent="0.35">
      <c r="A1240" s="1" t="s">
        <v>16888</v>
      </c>
      <c r="B1240" s="1" t="s">
        <v>19</v>
      </c>
      <c r="C1240" s="1" t="s">
        <v>11676</v>
      </c>
      <c r="D1240" s="1" t="s">
        <v>19</v>
      </c>
      <c r="E1240" s="250">
        <v>2501.88</v>
      </c>
    </row>
    <row r="1241" spans="1:5" x14ac:dyDescent="0.35">
      <c r="A1241" s="1" t="s">
        <v>16889</v>
      </c>
      <c r="B1241" s="1" t="s">
        <v>19</v>
      </c>
      <c r="C1241" s="1" t="s">
        <v>11675</v>
      </c>
      <c r="D1241" s="1" t="s">
        <v>19</v>
      </c>
      <c r="E1241" s="250">
        <v>2501.8809999999999</v>
      </c>
    </row>
    <row r="1242" spans="1:5" x14ac:dyDescent="0.35">
      <c r="A1242" s="1" t="s">
        <v>16890</v>
      </c>
      <c r="B1242" s="1" t="s">
        <v>19</v>
      </c>
      <c r="C1242" s="1" t="s">
        <v>11772</v>
      </c>
      <c r="D1242" s="1" t="s">
        <v>19</v>
      </c>
      <c r="E1242" s="250">
        <v>2501.9110000000001</v>
      </c>
    </row>
    <row r="1243" spans="1:5" x14ac:dyDescent="0.35">
      <c r="A1243" s="1" t="s">
        <v>16891</v>
      </c>
      <c r="B1243" s="1" t="s">
        <v>19</v>
      </c>
      <c r="C1243" s="1" t="s">
        <v>12667</v>
      </c>
      <c r="D1243" s="1" t="s">
        <v>19</v>
      </c>
      <c r="E1243" s="250">
        <v>2501.9119999999998</v>
      </c>
    </row>
    <row r="1244" spans="1:5" x14ac:dyDescent="0.35">
      <c r="A1244" s="1" t="s">
        <v>16892</v>
      </c>
      <c r="B1244" s="1" t="s">
        <v>19</v>
      </c>
      <c r="C1244" s="1" t="s">
        <v>12666</v>
      </c>
      <c r="D1244" s="1" t="s">
        <v>19</v>
      </c>
      <c r="E1244" s="250">
        <v>2501.913</v>
      </c>
    </row>
    <row r="1245" spans="1:5" x14ac:dyDescent="0.35">
      <c r="A1245" s="1" t="s">
        <v>16893</v>
      </c>
      <c r="B1245" s="1" t="s">
        <v>19</v>
      </c>
      <c r="C1245" s="1" t="s">
        <v>12665</v>
      </c>
      <c r="D1245" s="1" t="s">
        <v>19</v>
      </c>
      <c r="E1245" s="250">
        <v>2501.9140000000002</v>
      </c>
    </row>
    <row r="1246" spans="1:5" x14ac:dyDescent="0.35">
      <c r="A1246" s="1" t="s">
        <v>16894</v>
      </c>
      <c r="B1246" s="1" t="s">
        <v>19</v>
      </c>
      <c r="C1246" s="1" t="s">
        <v>12664</v>
      </c>
      <c r="D1246" s="1" t="s">
        <v>19</v>
      </c>
      <c r="E1246" s="250">
        <v>2501.915</v>
      </c>
    </row>
    <row r="1247" spans="1:5" x14ac:dyDescent="0.35">
      <c r="A1247" s="1" t="s">
        <v>16895</v>
      </c>
      <c r="B1247" s="1" t="s">
        <v>19</v>
      </c>
      <c r="C1247" s="1" t="s">
        <v>12663</v>
      </c>
      <c r="D1247" s="1" t="s">
        <v>19</v>
      </c>
      <c r="E1247" s="250">
        <v>2501.9160000000002</v>
      </c>
    </row>
    <row r="1248" spans="1:5" x14ac:dyDescent="0.35">
      <c r="A1248" s="1" t="s">
        <v>16896</v>
      </c>
      <c r="B1248" s="1" t="s">
        <v>19</v>
      </c>
      <c r="C1248" s="1" t="s">
        <v>12662</v>
      </c>
      <c r="D1248" s="1" t="s">
        <v>19</v>
      </c>
      <c r="E1248" s="250">
        <v>2501.9169999999999</v>
      </c>
    </row>
    <row r="1249" spans="1:5" x14ac:dyDescent="0.35">
      <c r="A1249" s="1" t="s">
        <v>16897</v>
      </c>
      <c r="B1249" s="1" t="s">
        <v>19</v>
      </c>
      <c r="C1249" s="1" t="s">
        <v>12661</v>
      </c>
      <c r="D1249" s="1" t="s">
        <v>19</v>
      </c>
      <c r="E1249" s="250">
        <v>2501.9180000000001</v>
      </c>
    </row>
    <row r="1250" spans="1:5" x14ac:dyDescent="0.35">
      <c r="A1250" s="1" t="s">
        <v>16898</v>
      </c>
      <c r="B1250" s="1" t="s">
        <v>19</v>
      </c>
      <c r="C1250" s="1" t="s">
        <v>12660</v>
      </c>
      <c r="D1250" s="1" t="s">
        <v>19</v>
      </c>
      <c r="E1250" s="250">
        <v>2501.9189999999999</v>
      </c>
    </row>
    <row r="1251" spans="1:5" x14ac:dyDescent="0.35">
      <c r="A1251" s="1" t="s">
        <v>16899</v>
      </c>
      <c r="B1251" s="1" t="s">
        <v>19</v>
      </c>
      <c r="C1251" s="1" t="s">
        <v>12659</v>
      </c>
      <c r="D1251" s="1" t="s">
        <v>19</v>
      </c>
      <c r="E1251" s="250">
        <v>2501.92</v>
      </c>
    </row>
    <row r="1252" spans="1:5" x14ac:dyDescent="0.35">
      <c r="A1252" s="2" t="s">
        <v>16900</v>
      </c>
      <c r="B1252" s="1" t="s">
        <v>19</v>
      </c>
      <c r="C1252" s="1" t="s">
        <v>12658</v>
      </c>
      <c r="D1252" s="1" t="s">
        <v>19</v>
      </c>
      <c r="E1252" s="250">
        <v>2502.1010000000001</v>
      </c>
    </row>
    <row r="1253" spans="1:5" x14ac:dyDescent="0.35">
      <c r="A1253" s="1" t="s">
        <v>16901</v>
      </c>
      <c r="B1253" s="1" t="s">
        <v>19</v>
      </c>
      <c r="C1253" s="1" t="s">
        <v>12657</v>
      </c>
      <c r="D1253" s="1" t="s">
        <v>19</v>
      </c>
      <c r="E1253" s="250">
        <v>2502.1019999999999</v>
      </c>
    </row>
    <row r="1254" spans="1:5" x14ac:dyDescent="0.35">
      <c r="A1254" s="1" t="s">
        <v>16902</v>
      </c>
      <c r="B1254" s="1" t="s">
        <v>19</v>
      </c>
      <c r="C1254" s="1" t="s">
        <v>12656</v>
      </c>
      <c r="D1254" s="1" t="s">
        <v>19</v>
      </c>
      <c r="E1254" s="250">
        <v>2502.1030000000001</v>
      </c>
    </row>
    <row r="1255" spans="1:5" x14ac:dyDescent="0.35">
      <c r="A1255" s="1" t="s">
        <v>16903</v>
      </c>
      <c r="B1255" s="1" t="s">
        <v>19</v>
      </c>
      <c r="C1255" s="1" t="s">
        <v>12655</v>
      </c>
      <c r="D1255" s="1" t="s">
        <v>19</v>
      </c>
      <c r="E1255" s="250">
        <v>2502.1039999999998</v>
      </c>
    </row>
    <row r="1256" spans="1:5" x14ac:dyDescent="0.35">
      <c r="A1256" s="1" t="s">
        <v>16904</v>
      </c>
      <c r="B1256" s="1" t="s">
        <v>19</v>
      </c>
      <c r="C1256" s="1" t="s">
        <v>12654</v>
      </c>
      <c r="D1256" s="1" t="s">
        <v>19</v>
      </c>
      <c r="E1256" s="250">
        <v>2502.105</v>
      </c>
    </row>
    <row r="1257" spans="1:5" x14ac:dyDescent="0.35">
      <c r="A1257" s="1" t="s">
        <v>16905</v>
      </c>
      <c r="B1257" s="1" t="s">
        <v>11526</v>
      </c>
      <c r="C1257" s="1" t="s">
        <v>12653</v>
      </c>
      <c r="D1257" s="1" t="s">
        <v>11526</v>
      </c>
      <c r="E1257" s="250">
        <v>2502.201</v>
      </c>
    </row>
    <row r="1258" spans="1:5" x14ac:dyDescent="0.35">
      <c r="A1258" s="1" t="s">
        <v>16906</v>
      </c>
      <c r="B1258" s="1" t="s">
        <v>11526</v>
      </c>
      <c r="C1258" s="1" t="s">
        <v>12652</v>
      </c>
      <c r="D1258" s="1" t="s">
        <v>11526</v>
      </c>
      <c r="E1258" s="250">
        <v>2502.2020000000002</v>
      </c>
    </row>
    <row r="1259" spans="1:5" x14ac:dyDescent="0.35">
      <c r="A1259" s="1" t="s">
        <v>16907</v>
      </c>
      <c r="B1259" s="1" t="s">
        <v>11526</v>
      </c>
      <c r="C1259" s="1" t="s">
        <v>12651</v>
      </c>
      <c r="D1259" s="1" t="s">
        <v>11526</v>
      </c>
      <c r="E1259" s="250">
        <v>2502.203</v>
      </c>
    </row>
    <row r="1260" spans="1:5" x14ac:dyDescent="0.35">
      <c r="A1260" s="1" t="s">
        <v>16908</v>
      </c>
      <c r="B1260" s="1" t="s">
        <v>11526</v>
      </c>
      <c r="C1260" s="1" t="s">
        <v>12650</v>
      </c>
      <c r="D1260" s="1" t="s">
        <v>11526</v>
      </c>
      <c r="E1260" s="250">
        <v>2502.2040000000002</v>
      </c>
    </row>
    <row r="1261" spans="1:5" x14ac:dyDescent="0.35">
      <c r="A1261" s="1" t="s">
        <v>16909</v>
      </c>
      <c r="B1261" s="1" t="s">
        <v>11526</v>
      </c>
      <c r="C1261" s="1" t="s">
        <v>12649</v>
      </c>
      <c r="D1261" s="1" t="s">
        <v>11526</v>
      </c>
      <c r="E1261" s="250">
        <v>2502.2049999999999</v>
      </c>
    </row>
    <row r="1262" spans="1:5" x14ac:dyDescent="0.35">
      <c r="A1262" s="1" t="s">
        <v>16910</v>
      </c>
      <c r="B1262" s="1" t="s">
        <v>11526</v>
      </c>
      <c r="C1262" s="1" t="s">
        <v>12648</v>
      </c>
      <c r="D1262" s="1" t="s">
        <v>11526</v>
      </c>
      <c r="E1262" s="250">
        <v>2502.2060000000001</v>
      </c>
    </row>
    <row r="1263" spans="1:5" x14ac:dyDescent="0.35">
      <c r="A1263" s="1" t="s">
        <v>16911</v>
      </c>
      <c r="B1263" s="1" t="s">
        <v>58</v>
      </c>
      <c r="C1263" s="1" t="s">
        <v>12647</v>
      </c>
      <c r="D1263" s="1" t="s">
        <v>58</v>
      </c>
      <c r="E1263" s="250">
        <v>2502.21</v>
      </c>
    </row>
    <row r="1264" spans="1:5" x14ac:dyDescent="0.35">
      <c r="A1264" s="1" t="s">
        <v>16912</v>
      </c>
      <c r="B1264" s="1" t="s">
        <v>18</v>
      </c>
      <c r="C1264" s="1" t="s">
        <v>12646</v>
      </c>
      <c r="D1264" s="1" t="s">
        <v>18</v>
      </c>
      <c r="E1264" s="250">
        <v>2502.2510000000002</v>
      </c>
    </row>
    <row r="1265" spans="1:5" x14ac:dyDescent="0.35">
      <c r="A1265" s="1" t="s">
        <v>16913</v>
      </c>
      <c r="B1265" s="1" t="s">
        <v>18</v>
      </c>
      <c r="C1265" s="1" t="s">
        <v>12645</v>
      </c>
      <c r="D1265" s="1" t="s">
        <v>18</v>
      </c>
      <c r="E1265" s="250">
        <v>2502.252</v>
      </c>
    </row>
    <row r="1266" spans="1:5" x14ac:dyDescent="0.35">
      <c r="A1266" s="1" t="s">
        <v>16914</v>
      </c>
      <c r="B1266" s="1" t="s">
        <v>18</v>
      </c>
      <c r="C1266" s="1" t="s">
        <v>12644</v>
      </c>
      <c r="D1266" s="1" t="s">
        <v>18</v>
      </c>
      <c r="E1266" s="250">
        <v>2502.2530000000002</v>
      </c>
    </row>
    <row r="1267" spans="1:5" x14ac:dyDescent="0.35">
      <c r="A1267" s="1" t="s">
        <v>16915</v>
      </c>
      <c r="B1267" s="1" t="s">
        <v>18</v>
      </c>
      <c r="C1267" s="1" t="s">
        <v>12643</v>
      </c>
      <c r="D1267" s="1" t="s">
        <v>18</v>
      </c>
      <c r="E1267" s="250">
        <v>2502.261</v>
      </c>
    </row>
    <row r="1268" spans="1:5" x14ac:dyDescent="0.35">
      <c r="A1268" s="1" t="s">
        <v>16916</v>
      </c>
      <c r="B1268" s="1" t="s">
        <v>18</v>
      </c>
      <c r="C1268" s="1" t="s">
        <v>12642</v>
      </c>
      <c r="D1268" s="1" t="s">
        <v>18</v>
      </c>
      <c r="E1268" s="250">
        <v>2502.2620000000002</v>
      </c>
    </row>
    <row r="1269" spans="1:5" x14ac:dyDescent="0.35">
      <c r="A1269" s="1" t="s">
        <v>16917</v>
      </c>
      <c r="B1269" s="1" t="s">
        <v>18</v>
      </c>
      <c r="C1269" s="1" t="s">
        <v>12641</v>
      </c>
      <c r="D1269" s="1" t="s">
        <v>18</v>
      </c>
      <c r="E1269" s="250">
        <v>2502.2710000000002</v>
      </c>
    </row>
    <row r="1270" spans="1:5" x14ac:dyDescent="0.35">
      <c r="A1270" s="1" t="s">
        <v>16918</v>
      </c>
      <c r="B1270" s="1" t="s">
        <v>18</v>
      </c>
      <c r="C1270" s="1" t="s">
        <v>12640</v>
      </c>
      <c r="D1270" s="1" t="s">
        <v>18</v>
      </c>
      <c r="E1270" s="250">
        <v>2502.2719999999999</v>
      </c>
    </row>
    <row r="1271" spans="1:5" x14ac:dyDescent="0.35">
      <c r="A1271" s="1" t="s">
        <v>16919</v>
      </c>
      <c r="B1271" s="1" t="s">
        <v>18</v>
      </c>
      <c r="C1271" s="1" t="s">
        <v>12639</v>
      </c>
      <c r="D1271" s="1" t="s">
        <v>18</v>
      </c>
      <c r="E1271" s="250">
        <v>2502.2730000000001</v>
      </c>
    </row>
    <row r="1272" spans="1:5" x14ac:dyDescent="0.35">
      <c r="A1272" s="1" t="s">
        <v>16920</v>
      </c>
      <c r="B1272" s="1" t="s">
        <v>18</v>
      </c>
      <c r="C1272" s="1" t="s">
        <v>12638</v>
      </c>
      <c r="D1272" s="1" t="s">
        <v>18</v>
      </c>
      <c r="E1272" s="250">
        <v>2502.2739999999999</v>
      </c>
    </row>
    <row r="1273" spans="1:5" x14ac:dyDescent="0.35">
      <c r="A1273" s="1" t="s">
        <v>16921</v>
      </c>
      <c r="B1273" s="1" t="s">
        <v>18</v>
      </c>
      <c r="C1273" s="1" t="s">
        <v>12637</v>
      </c>
      <c r="D1273" s="1" t="s">
        <v>18</v>
      </c>
      <c r="E1273" s="250">
        <v>2502.2750000000001</v>
      </c>
    </row>
    <row r="1274" spans="1:5" x14ac:dyDescent="0.35">
      <c r="A1274" s="1" t="s">
        <v>16922</v>
      </c>
      <c r="B1274" s="1" t="s">
        <v>18</v>
      </c>
      <c r="C1274" s="1" t="s">
        <v>12636</v>
      </c>
      <c r="D1274" s="1" t="s">
        <v>18</v>
      </c>
      <c r="E1274" s="250">
        <v>2502.2809999999999</v>
      </c>
    </row>
    <row r="1275" spans="1:5" x14ac:dyDescent="0.35">
      <c r="A1275" s="1" t="s">
        <v>16923</v>
      </c>
      <c r="B1275" s="1" t="s">
        <v>18</v>
      </c>
      <c r="C1275" s="1" t="s">
        <v>12635</v>
      </c>
      <c r="D1275" s="1" t="s">
        <v>18</v>
      </c>
      <c r="E1275" s="250">
        <v>2502.2820000000002</v>
      </c>
    </row>
    <row r="1276" spans="1:5" x14ac:dyDescent="0.35">
      <c r="A1276" s="1" t="s">
        <v>16924</v>
      </c>
      <c r="B1276" s="1" t="s">
        <v>18</v>
      </c>
      <c r="C1276" s="1" t="s">
        <v>12634</v>
      </c>
      <c r="D1276" s="1" t="s">
        <v>18</v>
      </c>
      <c r="E1276" s="250">
        <v>2502.2829999999999</v>
      </c>
    </row>
    <row r="1277" spans="1:5" x14ac:dyDescent="0.35">
      <c r="A1277" s="1" t="s">
        <v>16925</v>
      </c>
      <c r="B1277" s="1" t="s">
        <v>18</v>
      </c>
      <c r="C1277" s="1" t="s">
        <v>12633</v>
      </c>
      <c r="D1277" s="1" t="s">
        <v>18</v>
      </c>
      <c r="E1277" s="250">
        <v>2502.2840000000001</v>
      </c>
    </row>
    <row r="1278" spans="1:5" x14ac:dyDescent="0.35">
      <c r="A1278" s="1" t="s">
        <v>16926</v>
      </c>
      <c r="B1278" s="1" t="s">
        <v>57</v>
      </c>
      <c r="C1278" s="1" t="s">
        <v>12632</v>
      </c>
      <c r="D1278" s="1" t="s">
        <v>57</v>
      </c>
      <c r="E1278" s="250">
        <v>2502.5</v>
      </c>
    </row>
    <row r="1279" spans="1:5" x14ac:dyDescent="0.35">
      <c r="A1279" s="1" t="s">
        <v>16927</v>
      </c>
      <c r="B1279" s="1" t="s">
        <v>19</v>
      </c>
      <c r="C1279" s="1" t="s">
        <v>12631</v>
      </c>
      <c r="D1279" s="1" t="s">
        <v>19</v>
      </c>
      <c r="E1279" s="250">
        <v>2502.5100000000002</v>
      </c>
    </row>
    <row r="1280" spans="1:5" x14ac:dyDescent="0.35">
      <c r="A1280" s="1" t="s">
        <v>16928</v>
      </c>
      <c r="B1280" s="1" t="s">
        <v>19</v>
      </c>
      <c r="C1280" s="1" t="s">
        <v>12630</v>
      </c>
      <c r="D1280" s="1" t="s">
        <v>19</v>
      </c>
      <c r="E1280" s="250">
        <v>2502.511</v>
      </c>
    </row>
    <row r="1281" spans="1:5" x14ac:dyDescent="0.35">
      <c r="A1281" s="1" t="s">
        <v>16929</v>
      </c>
      <c r="B1281" s="1" t="s">
        <v>19</v>
      </c>
      <c r="C1281" s="1" t="s">
        <v>12629</v>
      </c>
      <c r="D1281" s="1" t="s">
        <v>19</v>
      </c>
      <c r="E1281" s="250">
        <v>2502.5120000000002</v>
      </c>
    </row>
    <row r="1282" spans="1:5" x14ac:dyDescent="0.35">
      <c r="A1282" s="1" t="s">
        <v>16930</v>
      </c>
      <c r="B1282" s="1" t="s">
        <v>19</v>
      </c>
      <c r="C1282" s="1" t="s">
        <v>12628</v>
      </c>
      <c r="D1282" s="1" t="s">
        <v>19</v>
      </c>
      <c r="E1282" s="250">
        <v>2502.5129999999999</v>
      </c>
    </row>
    <row r="1283" spans="1:5" x14ac:dyDescent="0.35">
      <c r="A1283" s="1" t="s">
        <v>16931</v>
      </c>
      <c r="B1283" s="1" t="s">
        <v>19</v>
      </c>
      <c r="C1283" s="1" t="s">
        <v>12627</v>
      </c>
      <c r="D1283" s="1" t="s">
        <v>19</v>
      </c>
      <c r="E1283" s="250">
        <v>2502.5140000000001</v>
      </c>
    </row>
    <row r="1284" spans="1:5" x14ac:dyDescent="0.35">
      <c r="A1284" s="1" t="s">
        <v>16932</v>
      </c>
      <c r="B1284" s="1" t="s">
        <v>19</v>
      </c>
      <c r="C1284" s="1" t="s">
        <v>12626</v>
      </c>
      <c r="D1284" s="1" t="s">
        <v>19</v>
      </c>
      <c r="E1284" s="250">
        <v>2502.5149999999999</v>
      </c>
    </row>
    <row r="1285" spans="1:5" x14ac:dyDescent="0.35">
      <c r="A1285" s="1" t="s">
        <v>16933</v>
      </c>
      <c r="B1285" s="1" t="s">
        <v>19</v>
      </c>
      <c r="C1285" s="1" t="s">
        <v>12625</v>
      </c>
      <c r="D1285" s="1" t="s">
        <v>19</v>
      </c>
      <c r="E1285" s="250">
        <v>2502.5160000000001</v>
      </c>
    </row>
    <row r="1286" spans="1:5" x14ac:dyDescent="0.35">
      <c r="A1286" s="1" t="s">
        <v>16934</v>
      </c>
      <c r="B1286" s="1" t="s">
        <v>19</v>
      </c>
      <c r="C1286" s="1" t="s">
        <v>12624</v>
      </c>
      <c r="D1286" s="1" t="s">
        <v>19</v>
      </c>
      <c r="E1286" s="250">
        <v>2502.5169999999998</v>
      </c>
    </row>
    <row r="1287" spans="1:5" x14ac:dyDescent="0.35">
      <c r="A1287" s="1" t="s">
        <v>16935</v>
      </c>
      <c r="B1287" s="1" t="s">
        <v>19</v>
      </c>
      <c r="C1287" s="1" t="s">
        <v>12623</v>
      </c>
      <c r="D1287" s="1" t="s">
        <v>19</v>
      </c>
      <c r="E1287" s="250">
        <v>2502.518</v>
      </c>
    </row>
    <row r="1288" spans="1:5" x14ac:dyDescent="0.35">
      <c r="A1288" s="1" t="s">
        <v>16936</v>
      </c>
      <c r="B1288" s="1" t="s">
        <v>19</v>
      </c>
      <c r="C1288" s="1" t="s">
        <v>12622</v>
      </c>
      <c r="D1288" s="1" t="s">
        <v>19</v>
      </c>
      <c r="E1288" s="250">
        <v>2502.5189999999998</v>
      </c>
    </row>
    <row r="1289" spans="1:5" x14ac:dyDescent="0.35">
      <c r="A1289" s="1" t="s">
        <v>16937</v>
      </c>
      <c r="B1289" s="1" t="s">
        <v>19</v>
      </c>
      <c r="C1289" s="1" t="s">
        <v>12621</v>
      </c>
      <c r="D1289" s="1" t="s">
        <v>19</v>
      </c>
      <c r="E1289" s="250">
        <v>2502.52</v>
      </c>
    </row>
    <row r="1290" spans="1:5" x14ac:dyDescent="0.35">
      <c r="A1290" s="1" t="s">
        <v>16938</v>
      </c>
      <c r="B1290" s="1" t="s">
        <v>19</v>
      </c>
      <c r="C1290" s="1" t="s">
        <v>12620</v>
      </c>
      <c r="D1290" s="1" t="s">
        <v>19</v>
      </c>
      <c r="E1290" s="250">
        <v>2502.5210000000002</v>
      </c>
    </row>
    <row r="1291" spans="1:5" x14ac:dyDescent="0.35">
      <c r="A1291" s="1" t="s">
        <v>16939</v>
      </c>
      <c r="B1291" s="1" t="s">
        <v>19</v>
      </c>
      <c r="C1291" s="1" t="s">
        <v>12619</v>
      </c>
      <c r="D1291" s="1" t="s">
        <v>19</v>
      </c>
      <c r="E1291" s="250">
        <v>2502.5219999999999</v>
      </c>
    </row>
    <row r="1292" spans="1:5" x14ac:dyDescent="0.35">
      <c r="A1292" s="1" t="s">
        <v>16940</v>
      </c>
      <c r="B1292" s="1" t="s">
        <v>19</v>
      </c>
      <c r="C1292" s="1" t="s">
        <v>12618</v>
      </c>
      <c r="D1292" s="1" t="s">
        <v>19</v>
      </c>
      <c r="E1292" s="250">
        <v>2502.5230000000001</v>
      </c>
    </row>
    <row r="1293" spans="1:5" x14ac:dyDescent="0.35">
      <c r="A1293" s="1" t="s">
        <v>16941</v>
      </c>
      <c r="B1293" s="1" t="s">
        <v>19</v>
      </c>
      <c r="C1293" s="1" t="s">
        <v>12617</v>
      </c>
      <c r="D1293" s="1" t="s">
        <v>19</v>
      </c>
      <c r="E1293" s="250">
        <v>2502.5239999999999</v>
      </c>
    </row>
    <row r="1294" spans="1:5" x14ac:dyDescent="0.35">
      <c r="A1294" s="1" t="s">
        <v>16942</v>
      </c>
      <c r="B1294" s="1" t="s">
        <v>19</v>
      </c>
      <c r="C1294" s="1" t="s">
        <v>12616</v>
      </c>
      <c r="D1294" s="1" t="s">
        <v>19</v>
      </c>
      <c r="E1294" s="250">
        <v>2502.5250000000001</v>
      </c>
    </row>
    <row r="1295" spans="1:5" x14ac:dyDescent="0.35">
      <c r="A1295" s="1" t="s">
        <v>16943</v>
      </c>
      <c r="B1295" s="1" t="s">
        <v>19</v>
      </c>
      <c r="C1295" s="1" t="s">
        <v>12615</v>
      </c>
      <c r="D1295" s="1" t="s">
        <v>19</v>
      </c>
      <c r="E1295" s="250">
        <v>2502.5259999999998</v>
      </c>
    </row>
    <row r="1296" spans="1:5" x14ac:dyDescent="0.35">
      <c r="A1296" s="1" t="s">
        <v>16944</v>
      </c>
      <c r="B1296" s="1" t="s">
        <v>19</v>
      </c>
      <c r="C1296" s="1" t="s">
        <v>12614</v>
      </c>
      <c r="D1296" s="1" t="s">
        <v>19</v>
      </c>
      <c r="E1296" s="250">
        <v>2502.527</v>
      </c>
    </row>
    <row r="1297" spans="1:5" x14ac:dyDescent="0.35">
      <c r="A1297" s="1" t="s">
        <v>16945</v>
      </c>
      <c r="B1297" s="1" t="s">
        <v>19</v>
      </c>
      <c r="C1297" s="1" t="s">
        <v>12613</v>
      </c>
      <c r="D1297" s="1" t="s">
        <v>19</v>
      </c>
      <c r="E1297" s="250">
        <v>2502.5279999999998</v>
      </c>
    </row>
    <row r="1298" spans="1:5" x14ac:dyDescent="0.35">
      <c r="A1298" s="1" t="s">
        <v>16946</v>
      </c>
      <c r="B1298" s="1" t="s">
        <v>19</v>
      </c>
      <c r="C1298" s="1" t="s">
        <v>12612</v>
      </c>
      <c r="D1298" s="1" t="s">
        <v>19</v>
      </c>
      <c r="E1298" s="250">
        <v>2502.529</v>
      </c>
    </row>
    <row r="1299" spans="1:5" x14ac:dyDescent="0.35">
      <c r="A1299" s="1" t="s">
        <v>16947</v>
      </c>
      <c r="B1299" s="1" t="s">
        <v>19</v>
      </c>
      <c r="C1299" s="1" t="s">
        <v>12611</v>
      </c>
      <c r="D1299" s="1" t="s">
        <v>19</v>
      </c>
      <c r="E1299" s="250">
        <v>2502.5300000000002</v>
      </c>
    </row>
    <row r="1300" spans="1:5" x14ac:dyDescent="0.35">
      <c r="A1300" s="1" t="s">
        <v>16948</v>
      </c>
      <c r="B1300" s="1" t="s">
        <v>19</v>
      </c>
      <c r="C1300" s="1" t="s">
        <v>12610</v>
      </c>
      <c r="D1300" s="1" t="s">
        <v>19</v>
      </c>
      <c r="E1300" s="250">
        <v>2502.5309999999999</v>
      </c>
    </row>
    <row r="1301" spans="1:5" x14ac:dyDescent="0.35">
      <c r="A1301" s="1" t="s">
        <v>16949</v>
      </c>
      <c r="B1301" s="1" t="s">
        <v>19</v>
      </c>
      <c r="C1301" s="1" t="s">
        <v>12609</v>
      </c>
      <c r="D1301" s="1" t="s">
        <v>19</v>
      </c>
      <c r="E1301" s="250">
        <v>2502.5320000000002</v>
      </c>
    </row>
    <row r="1302" spans="1:5" x14ac:dyDescent="0.35">
      <c r="A1302" s="1" t="s">
        <v>16950</v>
      </c>
      <c r="B1302" s="1" t="s">
        <v>19</v>
      </c>
      <c r="C1302" s="1" t="s">
        <v>12608</v>
      </c>
      <c r="D1302" s="1" t="s">
        <v>19</v>
      </c>
      <c r="E1302" s="250">
        <v>2502.5329999999999</v>
      </c>
    </row>
    <row r="1303" spans="1:5" x14ac:dyDescent="0.35">
      <c r="A1303" s="1" t="s">
        <v>16951</v>
      </c>
      <c r="B1303" s="1" t="s">
        <v>19</v>
      </c>
      <c r="C1303" s="1" t="s">
        <v>12607</v>
      </c>
      <c r="D1303" s="1" t="s">
        <v>19</v>
      </c>
      <c r="E1303" s="250">
        <v>2502.5340000000001</v>
      </c>
    </row>
    <row r="1304" spans="1:5" x14ac:dyDescent="0.35">
      <c r="A1304" s="1" t="s">
        <v>16952</v>
      </c>
      <c r="B1304" s="1" t="s">
        <v>19</v>
      </c>
      <c r="C1304" s="1" t="s">
        <v>12606</v>
      </c>
      <c r="D1304" s="1" t="s">
        <v>19</v>
      </c>
      <c r="E1304" s="250">
        <v>2502.5349999999999</v>
      </c>
    </row>
    <row r="1305" spans="1:5" x14ac:dyDescent="0.35">
      <c r="A1305" s="1" t="s">
        <v>16953</v>
      </c>
      <c r="B1305" s="1" t="s">
        <v>19</v>
      </c>
      <c r="C1305" s="1" t="s">
        <v>12605</v>
      </c>
      <c r="D1305" s="1" t="s">
        <v>19</v>
      </c>
      <c r="E1305" s="250">
        <v>2502.5360000000001</v>
      </c>
    </row>
    <row r="1306" spans="1:5" x14ac:dyDescent="0.35">
      <c r="A1306" s="1" t="s">
        <v>16954</v>
      </c>
      <c r="B1306" s="1" t="s">
        <v>19</v>
      </c>
      <c r="C1306" s="1" t="s">
        <v>12604</v>
      </c>
      <c r="D1306" s="1" t="s">
        <v>19</v>
      </c>
      <c r="E1306" s="250">
        <v>2502.5369999999998</v>
      </c>
    </row>
    <row r="1307" spans="1:5" x14ac:dyDescent="0.35">
      <c r="A1307" s="1" t="s">
        <v>16955</v>
      </c>
      <c r="B1307" s="1" t="s">
        <v>19</v>
      </c>
      <c r="C1307" s="1" t="s">
        <v>12603</v>
      </c>
      <c r="D1307" s="1" t="s">
        <v>19</v>
      </c>
      <c r="E1307" s="250">
        <v>2502.538</v>
      </c>
    </row>
    <row r="1308" spans="1:5" x14ac:dyDescent="0.35">
      <c r="A1308" s="1" t="s">
        <v>16956</v>
      </c>
      <c r="B1308" s="1" t="s">
        <v>19</v>
      </c>
      <c r="C1308" s="1" t="s">
        <v>12602</v>
      </c>
      <c r="D1308" s="1" t="s">
        <v>19</v>
      </c>
      <c r="E1308" s="250">
        <v>2502.5390000000002</v>
      </c>
    </row>
    <row r="1309" spans="1:5" x14ac:dyDescent="0.35">
      <c r="A1309" s="1" t="s">
        <v>16957</v>
      </c>
      <c r="B1309" s="1" t="s">
        <v>19</v>
      </c>
      <c r="C1309" s="1" t="s">
        <v>12601</v>
      </c>
      <c r="D1309" s="1" t="s">
        <v>19</v>
      </c>
      <c r="E1309" s="250">
        <v>2502.54</v>
      </c>
    </row>
    <row r="1310" spans="1:5" x14ac:dyDescent="0.35">
      <c r="A1310" s="1" t="s">
        <v>16958</v>
      </c>
      <c r="B1310" s="1" t="s">
        <v>19</v>
      </c>
      <c r="C1310" s="1" t="s">
        <v>12600</v>
      </c>
      <c r="D1310" s="1" t="s">
        <v>19</v>
      </c>
      <c r="E1310" s="250">
        <v>2502.5410000000002</v>
      </c>
    </row>
    <row r="1311" spans="1:5" x14ac:dyDescent="0.35">
      <c r="A1311" s="1" t="s">
        <v>16959</v>
      </c>
      <c r="B1311" s="1" t="s">
        <v>19</v>
      </c>
      <c r="C1311" s="1" t="s">
        <v>12599</v>
      </c>
      <c r="D1311" s="1" t="s">
        <v>19</v>
      </c>
      <c r="E1311" s="250">
        <v>2502.5419999999999</v>
      </c>
    </row>
    <row r="1312" spans="1:5" x14ac:dyDescent="0.35">
      <c r="A1312" s="1" t="s">
        <v>16960</v>
      </c>
      <c r="B1312" s="1" t="s">
        <v>19</v>
      </c>
      <c r="C1312" s="1" t="s">
        <v>12598</v>
      </c>
      <c r="D1312" s="1" t="s">
        <v>19</v>
      </c>
      <c r="E1312" s="250">
        <v>2502.5430000000001</v>
      </c>
    </row>
    <row r="1313" spans="1:5" x14ac:dyDescent="0.35">
      <c r="A1313" s="1" t="s">
        <v>16961</v>
      </c>
      <c r="B1313" s="1" t="s">
        <v>19</v>
      </c>
      <c r="C1313" s="1" t="s">
        <v>12597</v>
      </c>
      <c r="D1313" s="1" t="s">
        <v>19</v>
      </c>
      <c r="E1313" s="250">
        <v>2502.5439999999999</v>
      </c>
    </row>
    <row r="1314" spans="1:5" x14ac:dyDescent="0.35">
      <c r="A1314" s="1" t="s">
        <v>16962</v>
      </c>
      <c r="B1314" s="1" t="s">
        <v>19</v>
      </c>
      <c r="C1314" s="1" t="s">
        <v>12596</v>
      </c>
      <c r="D1314" s="1" t="s">
        <v>19</v>
      </c>
      <c r="E1314" s="250">
        <v>2502.5450000000001</v>
      </c>
    </row>
    <row r="1315" spans="1:5" x14ac:dyDescent="0.35">
      <c r="A1315" s="1" t="s">
        <v>16963</v>
      </c>
      <c r="B1315" s="1" t="s">
        <v>19</v>
      </c>
      <c r="C1315" s="1" t="s">
        <v>12595</v>
      </c>
      <c r="D1315" s="1" t="s">
        <v>19</v>
      </c>
      <c r="E1315" s="250">
        <v>2502.5459999999998</v>
      </c>
    </row>
    <row r="1316" spans="1:5" x14ac:dyDescent="0.35">
      <c r="A1316" s="1" t="s">
        <v>16964</v>
      </c>
      <c r="B1316" s="1" t="s">
        <v>19</v>
      </c>
      <c r="C1316" s="1" t="s">
        <v>12594</v>
      </c>
      <c r="D1316" s="1" t="s">
        <v>19</v>
      </c>
      <c r="E1316" s="250">
        <v>2502.547</v>
      </c>
    </row>
    <row r="1317" spans="1:5" x14ac:dyDescent="0.35">
      <c r="A1317" s="1" t="s">
        <v>16965</v>
      </c>
      <c r="B1317" s="1" t="s">
        <v>19</v>
      </c>
      <c r="C1317" s="1" t="s">
        <v>12593</v>
      </c>
      <c r="D1317" s="1" t="s">
        <v>19</v>
      </c>
      <c r="E1317" s="250">
        <v>2502.5479999999998</v>
      </c>
    </row>
    <row r="1318" spans="1:5" x14ac:dyDescent="0.35">
      <c r="A1318" s="1" t="s">
        <v>16966</v>
      </c>
      <c r="B1318" s="1" t="s">
        <v>19</v>
      </c>
      <c r="C1318" s="1" t="s">
        <v>12592</v>
      </c>
      <c r="D1318" s="1" t="s">
        <v>19</v>
      </c>
      <c r="E1318" s="250">
        <v>2502.549</v>
      </c>
    </row>
    <row r="1319" spans="1:5" x14ac:dyDescent="0.35">
      <c r="A1319" s="1" t="s">
        <v>16967</v>
      </c>
      <c r="B1319" s="1" t="s">
        <v>19</v>
      </c>
      <c r="C1319" s="1" t="s">
        <v>12591</v>
      </c>
      <c r="D1319" s="1" t="s">
        <v>19</v>
      </c>
      <c r="E1319" s="250">
        <v>2502.5500000000002</v>
      </c>
    </row>
    <row r="1320" spans="1:5" x14ac:dyDescent="0.35">
      <c r="A1320" s="1" t="s">
        <v>16968</v>
      </c>
      <c r="B1320" s="1" t="s">
        <v>19</v>
      </c>
      <c r="C1320" s="1" t="s">
        <v>12590</v>
      </c>
      <c r="D1320" s="1" t="s">
        <v>19</v>
      </c>
      <c r="E1320" s="250">
        <v>2502.5509999999999</v>
      </c>
    </row>
    <row r="1321" spans="1:5" x14ac:dyDescent="0.35">
      <c r="A1321" s="1" t="s">
        <v>16969</v>
      </c>
      <c r="B1321" s="1" t="s">
        <v>19</v>
      </c>
      <c r="C1321" s="1" t="s">
        <v>12589</v>
      </c>
      <c r="D1321" s="1" t="s">
        <v>19</v>
      </c>
      <c r="E1321" s="250">
        <v>2502.5520000000001</v>
      </c>
    </row>
    <row r="1322" spans="1:5" x14ac:dyDescent="0.35">
      <c r="A1322" s="1" t="s">
        <v>16970</v>
      </c>
      <c r="B1322" s="1" t="s">
        <v>19</v>
      </c>
      <c r="C1322" s="1" t="s">
        <v>12588</v>
      </c>
      <c r="D1322" s="1" t="s">
        <v>19</v>
      </c>
      <c r="E1322" s="250">
        <v>2502.5529999999999</v>
      </c>
    </row>
    <row r="1323" spans="1:5" x14ac:dyDescent="0.35">
      <c r="A1323" s="1" t="s">
        <v>16971</v>
      </c>
      <c r="B1323" s="1" t="s">
        <v>19</v>
      </c>
      <c r="C1323" s="1" t="s">
        <v>12587</v>
      </c>
      <c r="D1323" s="1" t="s">
        <v>19</v>
      </c>
      <c r="E1323" s="250">
        <v>2502.5540000000001</v>
      </c>
    </row>
    <row r="1324" spans="1:5" x14ac:dyDescent="0.35">
      <c r="A1324" s="1" t="s">
        <v>16972</v>
      </c>
      <c r="B1324" s="1" t="s">
        <v>19</v>
      </c>
      <c r="C1324" s="1" t="s">
        <v>12586</v>
      </c>
      <c r="D1324" s="1" t="s">
        <v>19</v>
      </c>
      <c r="E1324" s="250">
        <v>2502.5549999999998</v>
      </c>
    </row>
    <row r="1325" spans="1:5" x14ac:dyDescent="0.35">
      <c r="A1325" s="1" t="s">
        <v>16973</v>
      </c>
      <c r="B1325" s="1" t="s">
        <v>19</v>
      </c>
      <c r="C1325" s="1" t="s">
        <v>12585</v>
      </c>
      <c r="D1325" s="1" t="s">
        <v>19</v>
      </c>
      <c r="E1325" s="250">
        <v>2502.556</v>
      </c>
    </row>
    <row r="1326" spans="1:5" x14ac:dyDescent="0.35">
      <c r="A1326" s="1" t="s">
        <v>16974</v>
      </c>
      <c r="B1326" s="1" t="s">
        <v>19</v>
      </c>
      <c r="C1326" s="1" t="s">
        <v>12584</v>
      </c>
      <c r="D1326" s="1" t="s">
        <v>19</v>
      </c>
      <c r="E1326" s="250">
        <v>2502.5569999999998</v>
      </c>
    </row>
    <row r="1327" spans="1:5" x14ac:dyDescent="0.35">
      <c r="A1327" s="1" t="s">
        <v>16975</v>
      </c>
      <c r="B1327" s="1" t="s">
        <v>19</v>
      </c>
      <c r="C1327" s="1" t="s">
        <v>12583</v>
      </c>
      <c r="D1327" s="1" t="s">
        <v>19</v>
      </c>
      <c r="E1327" s="250">
        <v>2502.56</v>
      </c>
    </row>
    <row r="1328" spans="1:5" x14ac:dyDescent="0.35">
      <c r="A1328" s="1" t="s">
        <v>16976</v>
      </c>
      <c r="B1328" s="1" t="s">
        <v>19</v>
      </c>
      <c r="C1328" s="1" t="s">
        <v>12582</v>
      </c>
      <c r="D1328" s="1" t="s">
        <v>19</v>
      </c>
      <c r="E1328" s="250">
        <v>2502.5610000000001</v>
      </c>
    </row>
    <row r="1329" spans="1:5" x14ac:dyDescent="0.35">
      <c r="A1329" s="1" t="s">
        <v>16977</v>
      </c>
      <c r="B1329" s="1" t="s">
        <v>19</v>
      </c>
      <c r="C1329" s="1" t="s">
        <v>12577</v>
      </c>
      <c r="D1329" s="1" t="s">
        <v>19</v>
      </c>
      <c r="E1329" s="250">
        <v>2502.5619999999999</v>
      </c>
    </row>
    <row r="1330" spans="1:5" x14ac:dyDescent="0.35">
      <c r="A1330" s="1" t="s">
        <v>16978</v>
      </c>
      <c r="B1330" s="1" t="s">
        <v>19</v>
      </c>
      <c r="C1330" s="1" t="s">
        <v>12581</v>
      </c>
      <c r="D1330" s="1" t="s">
        <v>19</v>
      </c>
      <c r="E1330" s="250">
        <v>2502.5630000000001</v>
      </c>
    </row>
    <row r="1331" spans="1:5" x14ac:dyDescent="0.35">
      <c r="A1331" s="1" t="s">
        <v>16979</v>
      </c>
      <c r="B1331" s="1" t="s">
        <v>19</v>
      </c>
      <c r="C1331" s="1" t="s">
        <v>12576</v>
      </c>
      <c r="D1331" s="1" t="s">
        <v>19</v>
      </c>
      <c r="E1331" s="250">
        <v>2502.5639999999999</v>
      </c>
    </row>
    <row r="1332" spans="1:5" x14ac:dyDescent="0.35">
      <c r="A1332" s="1" t="s">
        <v>16980</v>
      </c>
      <c r="B1332" s="1" t="s">
        <v>19</v>
      </c>
      <c r="C1332" s="1" t="s">
        <v>12575</v>
      </c>
      <c r="D1332" s="1" t="s">
        <v>19</v>
      </c>
      <c r="E1332" s="250">
        <v>2502.5650000000001</v>
      </c>
    </row>
    <row r="1333" spans="1:5" x14ac:dyDescent="0.35">
      <c r="A1333" s="1" t="s">
        <v>16981</v>
      </c>
      <c r="B1333" s="1" t="s">
        <v>19</v>
      </c>
      <c r="C1333" s="1" t="s">
        <v>12574</v>
      </c>
      <c r="D1333" s="1" t="s">
        <v>19</v>
      </c>
      <c r="E1333" s="250">
        <v>2502.5659999999998</v>
      </c>
    </row>
    <row r="1334" spans="1:5" x14ac:dyDescent="0.35">
      <c r="A1334" s="1" t="s">
        <v>16982</v>
      </c>
      <c r="B1334" s="1" t="s">
        <v>19</v>
      </c>
      <c r="C1334" s="1" t="s">
        <v>12573</v>
      </c>
      <c r="D1334" s="1" t="s">
        <v>19</v>
      </c>
      <c r="E1334" s="250">
        <v>2502.567</v>
      </c>
    </row>
    <row r="1335" spans="1:5" x14ac:dyDescent="0.35">
      <c r="A1335" s="1" t="s">
        <v>16983</v>
      </c>
      <c r="B1335" s="1" t="s">
        <v>19</v>
      </c>
      <c r="C1335" s="1" t="s">
        <v>12572</v>
      </c>
      <c r="D1335" s="1" t="s">
        <v>19</v>
      </c>
      <c r="E1335" s="250">
        <v>2502.5680000000002</v>
      </c>
    </row>
    <row r="1336" spans="1:5" x14ac:dyDescent="0.35">
      <c r="A1336" s="1" t="s">
        <v>16984</v>
      </c>
      <c r="B1336" s="1" t="s">
        <v>19</v>
      </c>
      <c r="C1336" s="1" t="s">
        <v>12571</v>
      </c>
      <c r="D1336" s="1" t="s">
        <v>19</v>
      </c>
      <c r="E1336" s="250">
        <v>2502.569</v>
      </c>
    </row>
    <row r="1337" spans="1:5" x14ac:dyDescent="0.35">
      <c r="A1337" s="1" t="s">
        <v>16985</v>
      </c>
      <c r="B1337" s="1" t="s">
        <v>19</v>
      </c>
      <c r="C1337" s="1" t="s">
        <v>12570</v>
      </c>
      <c r="D1337" s="1" t="s">
        <v>19</v>
      </c>
      <c r="E1337" s="250">
        <v>2502.5700000000002</v>
      </c>
    </row>
    <row r="1338" spans="1:5" x14ac:dyDescent="0.35">
      <c r="A1338" s="1" t="s">
        <v>16986</v>
      </c>
      <c r="B1338" s="1" t="s">
        <v>19</v>
      </c>
      <c r="C1338" s="1" t="s">
        <v>12569</v>
      </c>
      <c r="D1338" s="1" t="s">
        <v>19</v>
      </c>
      <c r="E1338" s="250">
        <v>2502.5709999999999</v>
      </c>
    </row>
    <row r="1339" spans="1:5" x14ac:dyDescent="0.35">
      <c r="A1339" s="1" t="s">
        <v>16987</v>
      </c>
      <c r="B1339" s="1" t="s">
        <v>19</v>
      </c>
      <c r="C1339" s="1" t="s">
        <v>12580</v>
      </c>
      <c r="D1339" s="1" t="s">
        <v>19</v>
      </c>
      <c r="E1339" s="250">
        <v>2502.5720000000001</v>
      </c>
    </row>
    <row r="1340" spans="1:5" x14ac:dyDescent="0.35">
      <c r="A1340" s="1" t="s">
        <v>16988</v>
      </c>
      <c r="B1340" s="1" t="s">
        <v>19</v>
      </c>
      <c r="C1340" s="1" t="s">
        <v>12579</v>
      </c>
      <c r="D1340" s="1" t="s">
        <v>19</v>
      </c>
      <c r="E1340" s="250">
        <v>2502.58</v>
      </c>
    </row>
    <row r="1341" spans="1:5" x14ac:dyDescent="0.35">
      <c r="A1341" s="1" t="s">
        <v>16989</v>
      </c>
      <c r="B1341" s="1" t="s">
        <v>19</v>
      </c>
      <c r="C1341" s="1" t="s">
        <v>12578</v>
      </c>
      <c r="D1341" s="1" t="s">
        <v>19</v>
      </c>
      <c r="E1341" s="250">
        <v>2502.5810000000001</v>
      </c>
    </row>
    <row r="1342" spans="1:5" x14ac:dyDescent="0.35">
      <c r="A1342" s="1" t="s">
        <v>16990</v>
      </c>
      <c r="B1342" s="1" t="s">
        <v>19</v>
      </c>
      <c r="C1342" s="1" t="s">
        <v>12577</v>
      </c>
      <c r="D1342" s="1" t="s">
        <v>19</v>
      </c>
      <c r="E1342" s="250">
        <v>2502.5819999999999</v>
      </c>
    </row>
    <row r="1343" spans="1:5" x14ac:dyDescent="0.35">
      <c r="A1343" s="1" t="s">
        <v>16991</v>
      </c>
      <c r="B1343" s="1" t="s">
        <v>19</v>
      </c>
      <c r="C1343" s="1" t="s">
        <v>12576</v>
      </c>
      <c r="D1343" s="1" t="s">
        <v>19</v>
      </c>
      <c r="E1343" s="250">
        <v>2502.5830000000001</v>
      </c>
    </row>
    <row r="1344" spans="1:5" x14ac:dyDescent="0.35">
      <c r="A1344" s="1" t="s">
        <v>16992</v>
      </c>
      <c r="B1344" s="1" t="s">
        <v>19</v>
      </c>
      <c r="C1344" s="1" t="s">
        <v>12575</v>
      </c>
      <c r="D1344" s="1" t="s">
        <v>19</v>
      </c>
      <c r="E1344" s="250">
        <v>2502.5839999999998</v>
      </c>
    </row>
    <row r="1345" spans="1:5" x14ac:dyDescent="0.35">
      <c r="A1345" s="1" t="s">
        <v>16993</v>
      </c>
      <c r="B1345" s="1" t="s">
        <v>19</v>
      </c>
      <c r="C1345" s="1" t="s">
        <v>12574</v>
      </c>
      <c r="D1345" s="1" t="s">
        <v>19</v>
      </c>
      <c r="E1345" s="250">
        <v>2502.585</v>
      </c>
    </row>
    <row r="1346" spans="1:5" x14ac:dyDescent="0.35">
      <c r="A1346" s="1" t="s">
        <v>16994</v>
      </c>
      <c r="B1346" s="1" t="s">
        <v>19</v>
      </c>
      <c r="C1346" s="1" t="s">
        <v>12573</v>
      </c>
      <c r="D1346" s="1" t="s">
        <v>19</v>
      </c>
      <c r="E1346" s="250">
        <v>2502.5859999999998</v>
      </c>
    </row>
    <row r="1347" spans="1:5" x14ac:dyDescent="0.35">
      <c r="A1347" s="1" t="s">
        <v>16995</v>
      </c>
      <c r="B1347" s="1" t="s">
        <v>19</v>
      </c>
      <c r="C1347" s="1" t="s">
        <v>12572</v>
      </c>
      <c r="D1347" s="1" t="s">
        <v>19</v>
      </c>
      <c r="E1347" s="250">
        <v>2502.587</v>
      </c>
    </row>
    <row r="1348" spans="1:5" x14ac:dyDescent="0.35">
      <c r="A1348" s="1" t="s">
        <v>16996</v>
      </c>
      <c r="B1348" s="1" t="s">
        <v>19</v>
      </c>
      <c r="C1348" s="1" t="s">
        <v>12571</v>
      </c>
      <c r="D1348" s="1" t="s">
        <v>19</v>
      </c>
      <c r="E1348" s="250">
        <v>2502.5880000000002</v>
      </c>
    </row>
    <row r="1349" spans="1:5" x14ac:dyDescent="0.35">
      <c r="A1349" s="1" t="s">
        <v>16997</v>
      </c>
      <c r="B1349" s="1" t="s">
        <v>19</v>
      </c>
      <c r="C1349" s="1" t="s">
        <v>12570</v>
      </c>
      <c r="D1349" s="1" t="s">
        <v>19</v>
      </c>
      <c r="E1349" s="250">
        <v>2502.5889999999999</v>
      </c>
    </row>
    <row r="1350" spans="1:5" x14ac:dyDescent="0.35">
      <c r="A1350" s="1" t="s">
        <v>16998</v>
      </c>
      <c r="B1350" s="1" t="s">
        <v>19</v>
      </c>
      <c r="C1350" s="1" t="s">
        <v>12569</v>
      </c>
      <c r="D1350" s="1" t="s">
        <v>19</v>
      </c>
      <c r="E1350" s="250">
        <v>2502.59</v>
      </c>
    </row>
    <row r="1351" spans="1:5" x14ac:dyDescent="0.35">
      <c r="A1351" s="1" t="s">
        <v>16999</v>
      </c>
      <c r="B1351" s="1" t="s">
        <v>19</v>
      </c>
      <c r="C1351" s="1" t="s">
        <v>12568</v>
      </c>
      <c r="D1351" s="1" t="s">
        <v>19</v>
      </c>
      <c r="E1351" s="250">
        <v>2502.6</v>
      </c>
    </row>
    <row r="1352" spans="1:5" x14ac:dyDescent="0.35">
      <c r="A1352" s="1" t="s">
        <v>17000</v>
      </c>
      <c r="B1352" s="1" t="s">
        <v>19</v>
      </c>
      <c r="C1352" s="1" t="s">
        <v>12567</v>
      </c>
      <c r="D1352" s="1" t="s">
        <v>19</v>
      </c>
      <c r="E1352" s="250">
        <v>2502.6010000000001</v>
      </c>
    </row>
    <row r="1353" spans="1:5" x14ac:dyDescent="0.35">
      <c r="A1353" s="1" t="s">
        <v>17001</v>
      </c>
      <c r="B1353" s="1" t="s">
        <v>19</v>
      </c>
      <c r="C1353" s="1" t="s">
        <v>12566</v>
      </c>
      <c r="D1353" s="1" t="s">
        <v>19</v>
      </c>
      <c r="E1353" s="250">
        <v>2502.6019999999999</v>
      </c>
    </row>
    <row r="1354" spans="1:5" x14ac:dyDescent="0.35">
      <c r="A1354" s="1" t="s">
        <v>17002</v>
      </c>
      <c r="B1354" s="1" t="s">
        <v>19</v>
      </c>
      <c r="C1354" s="1" t="s">
        <v>12565</v>
      </c>
      <c r="D1354" s="1" t="s">
        <v>19</v>
      </c>
      <c r="E1354" s="250">
        <v>2502.6030000000001</v>
      </c>
    </row>
    <row r="1355" spans="1:5" x14ac:dyDescent="0.35">
      <c r="A1355" s="1" t="s">
        <v>17003</v>
      </c>
      <c r="B1355" s="1" t="s">
        <v>19</v>
      </c>
      <c r="C1355" s="1" t="s">
        <v>12564</v>
      </c>
      <c r="D1355" s="1" t="s">
        <v>19</v>
      </c>
      <c r="E1355" s="250">
        <v>2502.6039999999998</v>
      </c>
    </row>
    <row r="1356" spans="1:5" x14ac:dyDescent="0.35">
      <c r="A1356" s="1" t="s">
        <v>17004</v>
      </c>
      <c r="B1356" s="1" t="s">
        <v>19</v>
      </c>
      <c r="C1356" s="1" t="s">
        <v>12563</v>
      </c>
      <c r="D1356" s="1" t="s">
        <v>19</v>
      </c>
      <c r="E1356" s="250">
        <v>2502.605</v>
      </c>
    </row>
    <row r="1357" spans="1:5" x14ac:dyDescent="0.35">
      <c r="A1357" s="1" t="s">
        <v>17005</v>
      </c>
      <c r="B1357" s="1" t="s">
        <v>19</v>
      </c>
      <c r="C1357" s="1" t="s">
        <v>12562</v>
      </c>
      <c r="D1357" s="1" t="s">
        <v>19</v>
      </c>
      <c r="E1357" s="250">
        <v>2502.6060000000002</v>
      </c>
    </row>
    <row r="1358" spans="1:5" x14ac:dyDescent="0.35">
      <c r="A1358" s="1" t="s">
        <v>17006</v>
      </c>
      <c r="B1358" s="1" t="s">
        <v>19</v>
      </c>
      <c r="C1358" s="1" t="s">
        <v>12561</v>
      </c>
      <c r="D1358" s="1" t="s">
        <v>19</v>
      </c>
      <c r="E1358" s="250">
        <v>2502.607</v>
      </c>
    </row>
    <row r="1359" spans="1:5" x14ac:dyDescent="0.35">
      <c r="A1359" s="1" t="s">
        <v>17007</v>
      </c>
      <c r="B1359" s="1" t="s">
        <v>19</v>
      </c>
      <c r="C1359" s="1" t="s">
        <v>12560</v>
      </c>
      <c r="D1359" s="1" t="s">
        <v>19</v>
      </c>
      <c r="E1359" s="250">
        <v>2502.6080000000002</v>
      </c>
    </row>
    <row r="1360" spans="1:5" x14ac:dyDescent="0.35">
      <c r="A1360" s="1" t="s">
        <v>17008</v>
      </c>
      <c r="B1360" s="1" t="s">
        <v>19</v>
      </c>
      <c r="C1360" s="1" t="s">
        <v>12559</v>
      </c>
      <c r="D1360" s="1" t="s">
        <v>19</v>
      </c>
      <c r="E1360" s="250">
        <v>2502.6089999999999</v>
      </c>
    </row>
    <row r="1361" spans="1:5" x14ac:dyDescent="0.35">
      <c r="A1361" s="1" t="s">
        <v>17009</v>
      </c>
      <c r="B1361" s="1" t="s">
        <v>19</v>
      </c>
      <c r="C1361" s="1" t="s">
        <v>12558</v>
      </c>
      <c r="D1361" s="1" t="s">
        <v>19</v>
      </c>
      <c r="E1361" s="250">
        <v>2502.61</v>
      </c>
    </row>
    <row r="1362" spans="1:5" x14ac:dyDescent="0.35">
      <c r="A1362" s="1" t="s">
        <v>17010</v>
      </c>
      <c r="B1362" s="1" t="s">
        <v>19</v>
      </c>
      <c r="C1362" s="1" t="s">
        <v>12557</v>
      </c>
      <c r="D1362" s="1" t="s">
        <v>19</v>
      </c>
      <c r="E1362" s="250">
        <v>2502.6109999999999</v>
      </c>
    </row>
    <row r="1363" spans="1:5" x14ac:dyDescent="0.35">
      <c r="A1363" s="1" t="s">
        <v>17011</v>
      </c>
      <c r="B1363" s="1" t="s">
        <v>19</v>
      </c>
      <c r="C1363" s="1" t="s">
        <v>12556</v>
      </c>
      <c r="D1363" s="1" t="s">
        <v>19</v>
      </c>
      <c r="E1363" s="250">
        <v>2502.62</v>
      </c>
    </row>
    <row r="1364" spans="1:5" x14ac:dyDescent="0.35">
      <c r="A1364" s="1" t="s">
        <v>17012</v>
      </c>
      <c r="B1364" s="1" t="s">
        <v>19</v>
      </c>
      <c r="C1364" s="1" t="s">
        <v>12555</v>
      </c>
      <c r="D1364" s="1" t="s">
        <v>19</v>
      </c>
      <c r="E1364" s="250">
        <v>2502.6210000000001</v>
      </c>
    </row>
    <row r="1365" spans="1:5" x14ac:dyDescent="0.35">
      <c r="A1365" s="1" t="s">
        <v>17013</v>
      </c>
      <c r="B1365" s="1" t="s">
        <v>19</v>
      </c>
      <c r="C1365" s="1" t="s">
        <v>12554</v>
      </c>
      <c r="D1365" s="1" t="s">
        <v>19</v>
      </c>
      <c r="E1365" s="250">
        <v>2502.6219999999998</v>
      </c>
    </row>
    <row r="1366" spans="1:5" x14ac:dyDescent="0.35">
      <c r="A1366" s="1" t="s">
        <v>17014</v>
      </c>
      <c r="B1366" s="1" t="s">
        <v>19</v>
      </c>
      <c r="C1366" s="1" t="s">
        <v>12553</v>
      </c>
      <c r="D1366" s="1" t="s">
        <v>19</v>
      </c>
      <c r="E1366" s="250">
        <v>2502.623</v>
      </c>
    </row>
    <row r="1367" spans="1:5" x14ac:dyDescent="0.35">
      <c r="A1367" s="1" t="s">
        <v>17015</v>
      </c>
      <c r="B1367" s="1" t="s">
        <v>19</v>
      </c>
      <c r="C1367" s="1" t="s">
        <v>12552</v>
      </c>
      <c r="D1367" s="1" t="s">
        <v>19</v>
      </c>
      <c r="E1367" s="250">
        <v>2502.6239999999998</v>
      </c>
    </row>
    <row r="1368" spans="1:5" x14ac:dyDescent="0.35">
      <c r="A1368" s="1" t="s">
        <v>17016</v>
      </c>
      <c r="B1368" s="1" t="s">
        <v>19</v>
      </c>
      <c r="C1368" s="1" t="s">
        <v>12551</v>
      </c>
      <c r="D1368" s="1" t="s">
        <v>19</v>
      </c>
      <c r="E1368" s="250">
        <v>2502.625</v>
      </c>
    </row>
    <row r="1369" spans="1:5" x14ac:dyDescent="0.35">
      <c r="A1369" s="1" t="s">
        <v>17017</v>
      </c>
      <c r="B1369" s="1" t="s">
        <v>19</v>
      </c>
      <c r="C1369" s="1" t="s">
        <v>12550</v>
      </c>
      <c r="D1369" s="1" t="s">
        <v>19</v>
      </c>
      <c r="E1369" s="250">
        <v>2502.6260000000002</v>
      </c>
    </row>
    <row r="1370" spans="1:5" x14ac:dyDescent="0.35">
      <c r="A1370" s="1" t="s">
        <v>17018</v>
      </c>
      <c r="B1370" s="1" t="s">
        <v>19</v>
      </c>
      <c r="C1370" s="1" t="s">
        <v>12549</v>
      </c>
      <c r="D1370" s="1" t="s">
        <v>19</v>
      </c>
      <c r="E1370" s="250">
        <v>2502.627</v>
      </c>
    </row>
    <row r="1371" spans="1:5" x14ac:dyDescent="0.35">
      <c r="A1371" s="1" t="s">
        <v>17019</v>
      </c>
      <c r="B1371" s="1" t="s">
        <v>19</v>
      </c>
      <c r="C1371" s="1" t="s">
        <v>12548</v>
      </c>
      <c r="D1371" s="1" t="s">
        <v>19</v>
      </c>
      <c r="E1371" s="250">
        <v>2502.6280000000002</v>
      </c>
    </row>
    <row r="1372" spans="1:5" x14ac:dyDescent="0.35">
      <c r="A1372" s="1" t="s">
        <v>17020</v>
      </c>
      <c r="B1372" s="1" t="s">
        <v>19</v>
      </c>
      <c r="C1372" s="1" t="s">
        <v>12547</v>
      </c>
      <c r="D1372" s="1" t="s">
        <v>19</v>
      </c>
      <c r="E1372" s="250">
        <v>2502.6289999999999</v>
      </c>
    </row>
    <row r="1373" spans="1:5" x14ac:dyDescent="0.35">
      <c r="A1373" s="1" t="s">
        <v>17021</v>
      </c>
      <c r="B1373" s="1" t="s">
        <v>19</v>
      </c>
      <c r="C1373" s="1" t="s">
        <v>12546</v>
      </c>
      <c r="D1373" s="1" t="s">
        <v>19</v>
      </c>
      <c r="E1373" s="250">
        <v>2502.63</v>
      </c>
    </row>
    <row r="1374" spans="1:5" x14ac:dyDescent="0.35">
      <c r="A1374" s="1" t="s">
        <v>17022</v>
      </c>
      <c r="B1374" s="1" t="s">
        <v>19</v>
      </c>
      <c r="C1374" s="1" t="s">
        <v>12545</v>
      </c>
      <c r="D1374" s="1" t="s">
        <v>19</v>
      </c>
      <c r="E1374" s="250">
        <v>2502.6309999999999</v>
      </c>
    </row>
    <row r="1375" spans="1:5" x14ac:dyDescent="0.35">
      <c r="A1375" s="1" t="s">
        <v>17023</v>
      </c>
      <c r="B1375" s="1" t="s">
        <v>19</v>
      </c>
      <c r="C1375" s="1" t="s">
        <v>12544</v>
      </c>
      <c r="D1375" s="1" t="s">
        <v>19</v>
      </c>
      <c r="E1375" s="250">
        <v>2502.6320000000001</v>
      </c>
    </row>
    <row r="1376" spans="1:5" x14ac:dyDescent="0.35">
      <c r="A1376" s="1" t="s">
        <v>17024</v>
      </c>
      <c r="B1376" s="1" t="s">
        <v>19</v>
      </c>
      <c r="C1376" s="1" t="s">
        <v>12543</v>
      </c>
      <c r="D1376" s="1" t="s">
        <v>19</v>
      </c>
      <c r="E1376" s="250">
        <v>2502.6329999999998</v>
      </c>
    </row>
    <row r="1377" spans="1:5" x14ac:dyDescent="0.35">
      <c r="A1377" s="1" t="s">
        <v>17025</v>
      </c>
      <c r="B1377" s="1" t="s">
        <v>19</v>
      </c>
      <c r="C1377" s="1" t="s">
        <v>12542</v>
      </c>
      <c r="D1377" s="1" t="s">
        <v>19</v>
      </c>
      <c r="E1377" s="250">
        <v>2502.634</v>
      </c>
    </row>
    <row r="1378" spans="1:5" x14ac:dyDescent="0.35">
      <c r="A1378" s="1" t="s">
        <v>17026</v>
      </c>
      <c r="B1378" s="1" t="s">
        <v>19</v>
      </c>
      <c r="C1378" s="1" t="s">
        <v>12541</v>
      </c>
      <c r="D1378" s="1" t="s">
        <v>19</v>
      </c>
      <c r="E1378" s="250">
        <v>2502.6350000000002</v>
      </c>
    </row>
    <row r="1379" spans="1:5" x14ac:dyDescent="0.35">
      <c r="A1379" s="1" t="s">
        <v>17027</v>
      </c>
      <c r="B1379" s="1" t="s">
        <v>19</v>
      </c>
      <c r="C1379" s="1" t="s">
        <v>12540</v>
      </c>
      <c r="D1379" s="1" t="s">
        <v>19</v>
      </c>
      <c r="E1379" s="250">
        <v>2502.636</v>
      </c>
    </row>
    <row r="1380" spans="1:5" x14ac:dyDescent="0.35">
      <c r="A1380" s="1" t="s">
        <v>17028</v>
      </c>
      <c r="B1380" s="1" t="s">
        <v>19</v>
      </c>
      <c r="C1380" s="1" t="s">
        <v>12539</v>
      </c>
      <c r="D1380" s="1" t="s">
        <v>19</v>
      </c>
      <c r="E1380" s="250">
        <v>2502.6370000000002</v>
      </c>
    </row>
    <row r="1381" spans="1:5" x14ac:dyDescent="0.35">
      <c r="A1381" s="1" t="s">
        <v>17029</v>
      </c>
      <c r="B1381" s="1" t="s">
        <v>19</v>
      </c>
      <c r="C1381" s="1" t="s">
        <v>12538</v>
      </c>
      <c r="D1381" s="1" t="s">
        <v>19</v>
      </c>
      <c r="E1381" s="250">
        <v>2502.6379999999999</v>
      </c>
    </row>
    <row r="1382" spans="1:5" x14ac:dyDescent="0.35">
      <c r="A1382" s="1" t="s">
        <v>17030</v>
      </c>
      <c r="B1382" s="1" t="s">
        <v>19</v>
      </c>
      <c r="C1382" s="1" t="s">
        <v>12537</v>
      </c>
      <c r="D1382" s="1" t="s">
        <v>19</v>
      </c>
      <c r="E1382" s="250">
        <v>2502.6390000000001</v>
      </c>
    </row>
    <row r="1383" spans="1:5" x14ac:dyDescent="0.35">
      <c r="A1383" s="1" t="s">
        <v>17031</v>
      </c>
      <c r="B1383" s="1" t="s">
        <v>19</v>
      </c>
      <c r="C1383" s="1" t="s">
        <v>12536</v>
      </c>
      <c r="D1383" s="1" t="s">
        <v>19</v>
      </c>
      <c r="E1383" s="250">
        <v>2502.64</v>
      </c>
    </row>
    <row r="1384" spans="1:5" x14ac:dyDescent="0.35">
      <c r="A1384" s="1" t="s">
        <v>17032</v>
      </c>
      <c r="B1384" s="1" t="s">
        <v>19</v>
      </c>
      <c r="C1384" s="1" t="s">
        <v>12535</v>
      </c>
      <c r="D1384" s="1" t="s">
        <v>19</v>
      </c>
      <c r="E1384" s="250">
        <v>2502.6410000000001</v>
      </c>
    </row>
    <row r="1385" spans="1:5" x14ac:dyDescent="0.35">
      <c r="A1385" s="1" t="s">
        <v>17033</v>
      </c>
      <c r="B1385" s="1" t="s">
        <v>19</v>
      </c>
      <c r="C1385" s="1" t="s">
        <v>12534</v>
      </c>
      <c r="D1385" s="1" t="s">
        <v>19</v>
      </c>
      <c r="E1385" s="250">
        <v>2502.6419999999998</v>
      </c>
    </row>
    <row r="1386" spans="1:5" x14ac:dyDescent="0.35">
      <c r="A1386" s="1" t="s">
        <v>17034</v>
      </c>
      <c r="B1386" s="1" t="s">
        <v>19</v>
      </c>
      <c r="C1386" s="1" t="s">
        <v>12533</v>
      </c>
      <c r="D1386" s="1" t="s">
        <v>19</v>
      </c>
      <c r="E1386" s="250">
        <v>2502.643</v>
      </c>
    </row>
    <row r="1387" spans="1:5" x14ac:dyDescent="0.35">
      <c r="A1387" s="1" t="s">
        <v>17035</v>
      </c>
      <c r="B1387" s="1" t="s">
        <v>19</v>
      </c>
      <c r="C1387" s="1" t="s">
        <v>12532</v>
      </c>
      <c r="D1387" s="1" t="s">
        <v>19</v>
      </c>
      <c r="E1387" s="250">
        <v>2502.6439999999998</v>
      </c>
    </row>
    <row r="1388" spans="1:5" x14ac:dyDescent="0.35">
      <c r="A1388" s="1" t="s">
        <v>17036</v>
      </c>
      <c r="B1388" s="1" t="s">
        <v>19</v>
      </c>
      <c r="C1388" s="1" t="s">
        <v>12531</v>
      </c>
      <c r="D1388" s="1" t="s">
        <v>19</v>
      </c>
      <c r="E1388" s="250">
        <v>2502.645</v>
      </c>
    </row>
    <row r="1389" spans="1:5" x14ac:dyDescent="0.35">
      <c r="A1389" s="1" t="s">
        <v>17037</v>
      </c>
      <c r="B1389" s="1" t="s">
        <v>19</v>
      </c>
      <c r="C1389" s="1" t="s">
        <v>12530</v>
      </c>
      <c r="D1389" s="1" t="s">
        <v>19</v>
      </c>
      <c r="E1389" s="250">
        <v>2502.6460000000002</v>
      </c>
    </row>
    <row r="1390" spans="1:5" x14ac:dyDescent="0.35">
      <c r="A1390" s="1" t="s">
        <v>17038</v>
      </c>
      <c r="B1390" s="1" t="s">
        <v>19</v>
      </c>
      <c r="C1390" s="1" t="s">
        <v>12529</v>
      </c>
      <c r="D1390" s="1" t="s">
        <v>19</v>
      </c>
      <c r="E1390" s="250">
        <v>2502.65</v>
      </c>
    </row>
    <row r="1391" spans="1:5" x14ac:dyDescent="0.35">
      <c r="A1391" s="1" t="s">
        <v>17039</v>
      </c>
      <c r="B1391" s="1" t="s">
        <v>19</v>
      </c>
      <c r="C1391" s="1" t="s">
        <v>12528</v>
      </c>
      <c r="D1391" s="1" t="s">
        <v>19</v>
      </c>
      <c r="E1391" s="250">
        <v>2502.6509999999998</v>
      </c>
    </row>
    <row r="1392" spans="1:5" x14ac:dyDescent="0.35">
      <c r="A1392" s="1" t="s">
        <v>17040</v>
      </c>
      <c r="B1392" s="1" t="s">
        <v>19</v>
      </c>
      <c r="C1392" s="1" t="s">
        <v>12527</v>
      </c>
      <c r="D1392" s="1" t="s">
        <v>19</v>
      </c>
      <c r="E1392" s="250">
        <v>2502.652</v>
      </c>
    </row>
    <row r="1393" spans="1:5" x14ac:dyDescent="0.35">
      <c r="A1393" s="1" t="s">
        <v>17041</v>
      </c>
      <c r="B1393" s="1" t="s">
        <v>19</v>
      </c>
      <c r="C1393" s="1" t="s">
        <v>12526</v>
      </c>
      <c r="D1393" s="1" t="s">
        <v>19</v>
      </c>
      <c r="E1393" s="250">
        <v>2502.6529999999998</v>
      </c>
    </row>
    <row r="1394" spans="1:5" x14ac:dyDescent="0.35">
      <c r="A1394" s="1" t="s">
        <v>17042</v>
      </c>
      <c r="B1394" s="1" t="s">
        <v>19</v>
      </c>
      <c r="C1394" s="1" t="s">
        <v>12525</v>
      </c>
      <c r="D1394" s="1" t="s">
        <v>19</v>
      </c>
      <c r="E1394" s="250">
        <v>2502.654</v>
      </c>
    </row>
    <row r="1395" spans="1:5" x14ac:dyDescent="0.35">
      <c r="A1395" s="1" t="s">
        <v>17043</v>
      </c>
      <c r="B1395" s="1" t="s">
        <v>19</v>
      </c>
      <c r="C1395" s="1" t="s">
        <v>12524</v>
      </c>
      <c r="D1395" s="1" t="s">
        <v>19</v>
      </c>
      <c r="E1395" s="250">
        <v>2502.6550000000002</v>
      </c>
    </row>
    <row r="1396" spans="1:5" x14ac:dyDescent="0.35">
      <c r="A1396" s="1" t="s">
        <v>17044</v>
      </c>
      <c r="B1396" s="1" t="s">
        <v>19</v>
      </c>
      <c r="C1396" s="1" t="s">
        <v>12523</v>
      </c>
      <c r="D1396" s="1" t="s">
        <v>19</v>
      </c>
      <c r="E1396" s="250">
        <v>2502.6559999999999</v>
      </c>
    </row>
    <row r="1397" spans="1:5" x14ac:dyDescent="0.35">
      <c r="A1397" s="1" t="s">
        <v>17045</v>
      </c>
      <c r="B1397" s="1" t="s">
        <v>19</v>
      </c>
      <c r="C1397" s="1" t="s">
        <v>12522</v>
      </c>
      <c r="D1397" s="1" t="s">
        <v>19</v>
      </c>
      <c r="E1397" s="250">
        <v>2502.6570000000002</v>
      </c>
    </row>
    <row r="1398" spans="1:5" x14ac:dyDescent="0.35">
      <c r="A1398" s="1" t="s">
        <v>17046</v>
      </c>
      <c r="B1398" s="1" t="s">
        <v>19</v>
      </c>
      <c r="C1398" s="1" t="s">
        <v>12521</v>
      </c>
      <c r="D1398" s="1" t="s">
        <v>19</v>
      </c>
      <c r="E1398" s="250">
        <v>2502.6579999999999</v>
      </c>
    </row>
    <row r="1399" spans="1:5" x14ac:dyDescent="0.35">
      <c r="A1399" s="1" t="s">
        <v>17047</v>
      </c>
      <c r="B1399" s="1" t="s">
        <v>19</v>
      </c>
      <c r="C1399" s="1" t="s">
        <v>12520</v>
      </c>
      <c r="D1399" s="1" t="s">
        <v>19</v>
      </c>
      <c r="E1399" s="250">
        <v>2502.6590000000001</v>
      </c>
    </row>
    <row r="1400" spans="1:5" x14ac:dyDescent="0.35">
      <c r="A1400" s="1" t="s">
        <v>17048</v>
      </c>
      <c r="B1400" s="1" t="s">
        <v>19</v>
      </c>
      <c r="C1400" s="1" t="s">
        <v>12519</v>
      </c>
      <c r="D1400" s="1" t="s">
        <v>19</v>
      </c>
      <c r="E1400" s="250">
        <v>2502.66</v>
      </c>
    </row>
    <row r="1401" spans="1:5" x14ac:dyDescent="0.35">
      <c r="A1401" s="1" t="s">
        <v>17049</v>
      </c>
      <c r="B1401" s="1" t="s">
        <v>19</v>
      </c>
      <c r="C1401" s="1" t="s">
        <v>12518</v>
      </c>
      <c r="D1401" s="1" t="s">
        <v>19</v>
      </c>
      <c r="E1401" s="250">
        <v>2502.6610000000001</v>
      </c>
    </row>
    <row r="1402" spans="1:5" x14ac:dyDescent="0.35">
      <c r="A1402" s="1" t="s">
        <v>17050</v>
      </c>
      <c r="B1402" s="1" t="s">
        <v>19</v>
      </c>
      <c r="C1402" s="1" t="s">
        <v>12517</v>
      </c>
      <c r="D1402" s="1" t="s">
        <v>19</v>
      </c>
      <c r="E1402" s="250">
        <v>2502.6619999999998</v>
      </c>
    </row>
    <row r="1403" spans="1:5" x14ac:dyDescent="0.35">
      <c r="A1403" s="1" t="s">
        <v>17051</v>
      </c>
      <c r="B1403" s="1" t="s">
        <v>19</v>
      </c>
      <c r="C1403" s="1" t="s">
        <v>12516</v>
      </c>
      <c r="D1403" s="1" t="s">
        <v>19</v>
      </c>
      <c r="E1403" s="250">
        <v>2502.663</v>
      </c>
    </row>
    <row r="1404" spans="1:5" x14ac:dyDescent="0.35">
      <c r="A1404" s="1" t="s">
        <v>17052</v>
      </c>
      <c r="B1404" s="1" t="s">
        <v>19</v>
      </c>
      <c r="C1404" s="1" t="s">
        <v>12515</v>
      </c>
      <c r="D1404" s="1" t="s">
        <v>19</v>
      </c>
      <c r="E1404" s="250">
        <v>2502.6640000000002</v>
      </c>
    </row>
    <row r="1405" spans="1:5" x14ac:dyDescent="0.35">
      <c r="A1405" s="1" t="s">
        <v>17053</v>
      </c>
      <c r="B1405" s="1" t="s">
        <v>19</v>
      </c>
      <c r="C1405" s="1" t="s">
        <v>12514</v>
      </c>
      <c r="D1405" s="1" t="s">
        <v>19</v>
      </c>
      <c r="E1405" s="250">
        <v>2502.665</v>
      </c>
    </row>
    <row r="1406" spans="1:5" x14ac:dyDescent="0.35">
      <c r="A1406" s="1" t="s">
        <v>17054</v>
      </c>
      <c r="B1406" s="1" t="s">
        <v>19</v>
      </c>
      <c r="C1406" s="1" t="s">
        <v>12513</v>
      </c>
      <c r="D1406" s="1" t="s">
        <v>19</v>
      </c>
      <c r="E1406" s="250">
        <v>2502.6660000000002</v>
      </c>
    </row>
    <row r="1407" spans="1:5" x14ac:dyDescent="0.35">
      <c r="A1407" s="1" t="s">
        <v>17055</v>
      </c>
      <c r="B1407" s="1" t="s">
        <v>19</v>
      </c>
      <c r="C1407" s="1" t="s">
        <v>12512</v>
      </c>
      <c r="D1407" s="1" t="s">
        <v>19</v>
      </c>
      <c r="E1407" s="250">
        <v>2502.6669999999999</v>
      </c>
    </row>
    <row r="1408" spans="1:5" x14ac:dyDescent="0.35">
      <c r="A1408" s="1" t="s">
        <v>17056</v>
      </c>
      <c r="B1408" s="1" t="s">
        <v>19</v>
      </c>
      <c r="C1408" s="1" t="s">
        <v>12511</v>
      </c>
      <c r="D1408" s="1" t="s">
        <v>19</v>
      </c>
      <c r="E1408" s="250">
        <v>2502.6680000000001</v>
      </c>
    </row>
    <row r="1409" spans="1:5" x14ac:dyDescent="0.35">
      <c r="A1409" s="1" t="s">
        <v>17057</v>
      </c>
      <c r="B1409" s="1" t="s">
        <v>19</v>
      </c>
      <c r="C1409" s="1" t="s">
        <v>12510</v>
      </c>
      <c r="D1409" s="1" t="s">
        <v>19</v>
      </c>
      <c r="E1409" s="250">
        <v>2502.6689999999999</v>
      </c>
    </row>
    <row r="1410" spans="1:5" x14ac:dyDescent="0.35">
      <c r="A1410" s="1" t="s">
        <v>17058</v>
      </c>
      <c r="B1410" s="1" t="s">
        <v>19</v>
      </c>
      <c r="C1410" s="1" t="s">
        <v>12509</v>
      </c>
      <c r="D1410" s="1" t="s">
        <v>19</v>
      </c>
      <c r="E1410" s="250">
        <v>2502.67</v>
      </c>
    </row>
    <row r="1411" spans="1:5" x14ac:dyDescent="0.35">
      <c r="A1411" s="1" t="s">
        <v>17059</v>
      </c>
      <c r="B1411" s="1" t="s">
        <v>19</v>
      </c>
      <c r="C1411" s="1" t="s">
        <v>12508</v>
      </c>
      <c r="D1411" s="1" t="s">
        <v>19</v>
      </c>
      <c r="E1411" s="250">
        <v>2502.6709999999998</v>
      </c>
    </row>
    <row r="1412" spans="1:5" x14ac:dyDescent="0.35">
      <c r="A1412" s="1" t="s">
        <v>17060</v>
      </c>
      <c r="B1412" s="1" t="s">
        <v>19</v>
      </c>
      <c r="C1412" s="1" t="s">
        <v>12507</v>
      </c>
      <c r="D1412" s="1" t="s">
        <v>19</v>
      </c>
      <c r="E1412" s="250">
        <v>2502.672</v>
      </c>
    </row>
    <row r="1413" spans="1:5" x14ac:dyDescent="0.35">
      <c r="A1413" s="1" t="s">
        <v>17061</v>
      </c>
      <c r="B1413" s="1" t="s">
        <v>19</v>
      </c>
      <c r="C1413" s="1" t="s">
        <v>12506</v>
      </c>
      <c r="D1413" s="1" t="s">
        <v>19</v>
      </c>
      <c r="E1413" s="250">
        <v>2502.6729999999998</v>
      </c>
    </row>
    <row r="1414" spans="1:5" x14ac:dyDescent="0.35">
      <c r="A1414" s="1" t="s">
        <v>17062</v>
      </c>
      <c r="B1414" s="1" t="s">
        <v>19</v>
      </c>
      <c r="C1414" s="1" t="s">
        <v>12505</v>
      </c>
      <c r="D1414" s="1" t="s">
        <v>19</v>
      </c>
      <c r="E1414" s="250">
        <v>2502.674</v>
      </c>
    </row>
    <row r="1415" spans="1:5" x14ac:dyDescent="0.35">
      <c r="A1415" s="1" t="s">
        <v>17063</v>
      </c>
      <c r="B1415" s="1" t="s">
        <v>19</v>
      </c>
      <c r="C1415" s="1" t="s">
        <v>12504</v>
      </c>
      <c r="D1415" s="1" t="s">
        <v>19</v>
      </c>
      <c r="E1415" s="250">
        <v>2502.6750000000002</v>
      </c>
    </row>
    <row r="1416" spans="1:5" x14ac:dyDescent="0.35">
      <c r="A1416" s="1" t="s">
        <v>17064</v>
      </c>
      <c r="B1416" s="1" t="s">
        <v>19</v>
      </c>
      <c r="C1416" s="1" t="s">
        <v>12503</v>
      </c>
      <c r="D1416" s="1" t="s">
        <v>19</v>
      </c>
      <c r="E1416" s="250">
        <v>2502.6759999999999</v>
      </c>
    </row>
    <row r="1417" spans="1:5" x14ac:dyDescent="0.35">
      <c r="A1417" s="1" t="s">
        <v>17065</v>
      </c>
      <c r="B1417" s="1" t="s">
        <v>19</v>
      </c>
      <c r="C1417" s="1" t="s">
        <v>12502</v>
      </c>
      <c r="D1417" s="1" t="s">
        <v>19</v>
      </c>
      <c r="E1417" s="250">
        <v>2502.6770000000001</v>
      </c>
    </row>
    <row r="1418" spans="1:5" x14ac:dyDescent="0.35">
      <c r="A1418" s="1" t="s">
        <v>17066</v>
      </c>
      <c r="B1418" s="1" t="s">
        <v>19</v>
      </c>
      <c r="C1418" s="1" t="s">
        <v>12501</v>
      </c>
      <c r="D1418" s="1" t="s">
        <v>19</v>
      </c>
      <c r="E1418" s="250">
        <v>2502.6799999999998</v>
      </c>
    </row>
    <row r="1419" spans="1:5" x14ac:dyDescent="0.35">
      <c r="A1419" s="1" t="s">
        <v>17067</v>
      </c>
      <c r="B1419" s="1" t="s">
        <v>19</v>
      </c>
      <c r="C1419" s="1" t="s">
        <v>12500</v>
      </c>
      <c r="D1419" s="1" t="s">
        <v>19</v>
      </c>
      <c r="E1419" s="250">
        <v>2502.681</v>
      </c>
    </row>
    <row r="1420" spans="1:5" x14ac:dyDescent="0.35">
      <c r="A1420" s="1" t="s">
        <v>17068</v>
      </c>
      <c r="B1420" s="1" t="s">
        <v>19</v>
      </c>
      <c r="C1420" s="1" t="s">
        <v>12499</v>
      </c>
      <c r="D1420" s="1" t="s">
        <v>19</v>
      </c>
      <c r="E1420" s="250">
        <v>2502.6819999999998</v>
      </c>
    </row>
    <row r="1421" spans="1:5" x14ac:dyDescent="0.35">
      <c r="A1421" s="1" t="s">
        <v>17069</v>
      </c>
      <c r="B1421" s="1" t="s">
        <v>19</v>
      </c>
      <c r="C1421" s="1" t="s">
        <v>12498</v>
      </c>
      <c r="D1421" s="1" t="s">
        <v>19</v>
      </c>
      <c r="E1421" s="250">
        <v>2502.683</v>
      </c>
    </row>
    <row r="1422" spans="1:5" x14ac:dyDescent="0.35">
      <c r="A1422" s="1" t="s">
        <v>17070</v>
      </c>
      <c r="B1422" s="1" t="s">
        <v>19</v>
      </c>
      <c r="C1422" s="1" t="s">
        <v>12497</v>
      </c>
      <c r="D1422" s="1" t="s">
        <v>19</v>
      </c>
      <c r="E1422" s="250">
        <v>2502.6840000000002</v>
      </c>
    </row>
    <row r="1423" spans="1:5" x14ac:dyDescent="0.35">
      <c r="A1423" s="1" t="s">
        <v>17071</v>
      </c>
      <c r="B1423" s="1" t="s">
        <v>19</v>
      </c>
      <c r="C1423" s="1" t="s">
        <v>12496</v>
      </c>
      <c r="D1423" s="1" t="s">
        <v>19</v>
      </c>
      <c r="E1423" s="250">
        <v>2502.6849999999999</v>
      </c>
    </row>
    <row r="1424" spans="1:5" x14ac:dyDescent="0.35">
      <c r="A1424" s="1" t="s">
        <v>17072</v>
      </c>
      <c r="B1424" s="1" t="s">
        <v>19</v>
      </c>
      <c r="C1424" s="1" t="s">
        <v>12495</v>
      </c>
      <c r="D1424" s="1" t="s">
        <v>19</v>
      </c>
      <c r="E1424" s="250">
        <v>2502.6860000000001</v>
      </c>
    </row>
    <row r="1425" spans="1:5" x14ac:dyDescent="0.35">
      <c r="A1425" s="1" t="s">
        <v>17073</v>
      </c>
      <c r="B1425" s="1" t="s">
        <v>19</v>
      </c>
      <c r="C1425" s="1" t="s">
        <v>12494</v>
      </c>
      <c r="D1425" s="1" t="s">
        <v>19</v>
      </c>
      <c r="E1425" s="250">
        <v>2502.6869999999999</v>
      </c>
    </row>
    <row r="1426" spans="1:5" x14ac:dyDescent="0.35">
      <c r="A1426" s="1" t="s">
        <v>17074</v>
      </c>
      <c r="B1426" s="1" t="s">
        <v>19</v>
      </c>
      <c r="C1426" s="1" t="s">
        <v>12493</v>
      </c>
      <c r="D1426" s="1" t="s">
        <v>19</v>
      </c>
      <c r="E1426" s="250">
        <v>2502.6880000000001</v>
      </c>
    </row>
    <row r="1427" spans="1:5" x14ac:dyDescent="0.35">
      <c r="A1427" s="1" t="s">
        <v>17075</v>
      </c>
      <c r="B1427" s="1" t="s">
        <v>19</v>
      </c>
      <c r="C1427" s="1" t="s">
        <v>12492</v>
      </c>
      <c r="D1427" s="1" t="s">
        <v>19</v>
      </c>
      <c r="E1427" s="250">
        <v>2502.6889999999999</v>
      </c>
    </row>
    <row r="1428" spans="1:5" x14ac:dyDescent="0.35">
      <c r="A1428" s="1" t="s">
        <v>17076</v>
      </c>
      <c r="B1428" s="1" t="s">
        <v>19</v>
      </c>
      <c r="C1428" s="1" t="s">
        <v>12491</v>
      </c>
      <c r="D1428" s="1" t="s">
        <v>19</v>
      </c>
      <c r="E1428" s="250">
        <v>2502.69</v>
      </c>
    </row>
    <row r="1429" spans="1:5" x14ac:dyDescent="0.35">
      <c r="A1429" s="1" t="s">
        <v>17077</v>
      </c>
      <c r="B1429" s="1" t="s">
        <v>19</v>
      </c>
      <c r="C1429" s="1" t="s">
        <v>12490</v>
      </c>
      <c r="D1429" s="1" t="s">
        <v>19</v>
      </c>
      <c r="E1429" s="250">
        <v>2502.6909999999998</v>
      </c>
    </row>
    <row r="1430" spans="1:5" x14ac:dyDescent="0.35">
      <c r="A1430" s="1" t="s">
        <v>17078</v>
      </c>
      <c r="B1430" s="1" t="s">
        <v>19</v>
      </c>
      <c r="C1430" s="1" t="s">
        <v>12489</v>
      </c>
      <c r="D1430" s="1" t="s">
        <v>19</v>
      </c>
      <c r="E1430" s="250">
        <v>2502.692</v>
      </c>
    </row>
    <row r="1431" spans="1:5" x14ac:dyDescent="0.35">
      <c r="A1431" s="1" t="s">
        <v>17079</v>
      </c>
      <c r="B1431" s="1" t="s">
        <v>19</v>
      </c>
      <c r="C1431" s="1" t="s">
        <v>12488</v>
      </c>
      <c r="D1431" s="1" t="s">
        <v>19</v>
      </c>
      <c r="E1431" s="250">
        <v>2502.6930000000002</v>
      </c>
    </row>
    <row r="1432" spans="1:5" x14ac:dyDescent="0.35">
      <c r="A1432" s="1" t="s">
        <v>17080</v>
      </c>
      <c r="B1432" s="1" t="s">
        <v>19</v>
      </c>
      <c r="C1432" s="1" t="s">
        <v>12487</v>
      </c>
      <c r="D1432" s="1" t="s">
        <v>19</v>
      </c>
      <c r="E1432" s="250">
        <v>2502.694</v>
      </c>
    </row>
    <row r="1433" spans="1:5" x14ac:dyDescent="0.35">
      <c r="A1433" s="1" t="s">
        <v>17081</v>
      </c>
      <c r="B1433" s="1" t="s">
        <v>19</v>
      </c>
      <c r="C1433" s="1" t="s">
        <v>12486</v>
      </c>
      <c r="D1433" s="1" t="s">
        <v>19</v>
      </c>
      <c r="E1433" s="250">
        <v>2502.6950000000002</v>
      </c>
    </row>
    <row r="1434" spans="1:5" x14ac:dyDescent="0.35">
      <c r="A1434" s="1" t="s">
        <v>17082</v>
      </c>
      <c r="B1434" s="1" t="s">
        <v>19</v>
      </c>
      <c r="C1434" s="1" t="s">
        <v>12485</v>
      </c>
      <c r="D1434" s="1" t="s">
        <v>19</v>
      </c>
      <c r="E1434" s="250">
        <v>2502.6959999999999</v>
      </c>
    </row>
    <row r="1435" spans="1:5" x14ac:dyDescent="0.35">
      <c r="A1435" s="1" t="s">
        <v>17083</v>
      </c>
      <c r="B1435" s="1" t="s">
        <v>19</v>
      </c>
      <c r="C1435" s="1" t="s">
        <v>12484</v>
      </c>
      <c r="D1435" s="1" t="s">
        <v>19</v>
      </c>
      <c r="E1435" s="250">
        <v>2502.6970000000001</v>
      </c>
    </row>
    <row r="1436" spans="1:5" x14ac:dyDescent="0.35">
      <c r="A1436" s="1" t="s">
        <v>17084</v>
      </c>
      <c r="B1436" s="1" t="s">
        <v>19</v>
      </c>
      <c r="C1436" s="1" t="s">
        <v>12483</v>
      </c>
      <c r="D1436" s="1" t="s">
        <v>19</v>
      </c>
      <c r="E1436" s="250">
        <v>2502.6979999999999</v>
      </c>
    </row>
    <row r="1437" spans="1:5" x14ac:dyDescent="0.35">
      <c r="A1437" s="1" t="s">
        <v>17085</v>
      </c>
      <c r="B1437" s="1" t="s">
        <v>19</v>
      </c>
      <c r="C1437" s="1" t="s">
        <v>12482</v>
      </c>
      <c r="D1437" s="1" t="s">
        <v>19</v>
      </c>
      <c r="E1437" s="250">
        <v>2502.6990000000001</v>
      </c>
    </row>
    <row r="1438" spans="1:5" x14ac:dyDescent="0.35">
      <c r="A1438" s="1" t="s">
        <v>17086</v>
      </c>
      <c r="B1438" s="1" t="s">
        <v>19</v>
      </c>
      <c r="C1438" s="1" t="s">
        <v>12481</v>
      </c>
      <c r="D1438" s="1" t="s">
        <v>19</v>
      </c>
      <c r="E1438" s="250">
        <v>2502.6999999999998</v>
      </c>
    </row>
    <row r="1439" spans="1:5" x14ac:dyDescent="0.35">
      <c r="A1439" s="1" t="s">
        <v>17087</v>
      </c>
      <c r="B1439" s="1" t="s">
        <v>19</v>
      </c>
      <c r="C1439" s="1" t="s">
        <v>12480</v>
      </c>
      <c r="D1439" s="1" t="s">
        <v>19</v>
      </c>
      <c r="E1439" s="250">
        <v>2502.701</v>
      </c>
    </row>
    <row r="1440" spans="1:5" x14ac:dyDescent="0.35">
      <c r="A1440" s="1" t="s">
        <v>17088</v>
      </c>
      <c r="B1440" s="1" t="s">
        <v>19</v>
      </c>
      <c r="C1440" s="1" t="s">
        <v>12479</v>
      </c>
      <c r="D1440" s="1" t="s">
        <v>19</v>
      </c>
      <c r="E1440" s="250">
        <v>2502.7020000000002</v>
      </c>
    </row>
    <row r="1441" spans="1:5" x14ac:dyDescent="0.35">
      <c r="A1441" s="1" t="s">
        <v>17089</v>
      </c>
      <c r="B1441" s="1" t="s">
        <v>19</v>
      </c>
      <c r="C1441" s="1" t="s">
        <v>12478</v>
      </c>
      <c r="D1441" s="1" t="s">
        <v>19</v>
      </c>
      <c r="E1441" s="250">
        <v>2502.703</v>
      </c>
    </row>
    <row r="1442" spans="1:5" x14ac:dyDescent="0.35">
      <c r="A1442" s="1" t="s">
        <v>17090</v>
      </c>
      <c r="B1442" s="1" t="s">
        <v>19</v>
      </c>
      <c r="C1442" s="1" t="s">
        <v>12477</v>
      </c>
      <c r="D1442" s="1" t="s">
        <v>19</v>
      </c>
      <c r="E1442" s="250">
        <v>2502.7040000000002</v>
      </c>
    </row>
    <row r="1443" spans="1:5" x14ac:dyDescent="0.35">
      <c r="A1443" s="1" t="s">
        <v>17091</v>
      </c>
      <c r="B1443" s="1" t="s">
        <v>19</v>
      </c>
      <c r="C1443" s="1" t="s">
        <v>12476</v>
      </c>
      <c r="D1443" s="1" t="s">
        <v>19</v>
      </c>
      <c r="E1443" s="250">
        <v>2502.7049999999999</v>
      </c>
    </row>
    <row r="1444" spans="1:5" x14ac:dyDescent="0.35">
      <c r="A1444" s="1" t="s">
        <v>17092</v>
      </c>
      <c r="B1444" s="1" t="s">
        <v>19</v>
      </c>
      <c r="C1444" s="1" t="s">
        <v>12475</v>
      </c>
      <c r="D1444" s="1" t="s">
        <v>19</v>
      </c>
      <c r="E1444" s="250">
        <v>2502.7060000000001</v>
      </c>
    </row>
    <row r="1445" spans="1:5" x14ac:dyDescent="0.35">
      <c r="A1445" s="1" t="s">
        <v>17093</v>
      </c>
      <c r="B1445" s="1" t="s">
        <v>19</v>
      </c>
      <c r="C1445" s="1" t="s">
        <v>12474</v>
      </c>
      <c r="D1445" s="1" t="s">
        <v>19</v>
      </c>
      <c r="E1445" s="250">
        <v>2502.7069999999999</v>
      </c>
    </row>
    <row r="1446" spans="1:5" x14ac:dyDescent="0.35">
      <c r="A1446" s="1" t="s">
        <v>17094</v>
      </c>
      <c r="B1446" s="1" t="s">
        <v>19</v>
      </c>
      <c r="C1446" s="1" t="s">
        <v>12473</v>
      </c>
      <c r="D1446" s="1" t="s">
        <v>19</v>
      </c>
      <c r="E1446" s="250">
        <v>2502.71</v>
      </c>
    </row>
    <row r="1447" spans="1:5" x14ac:dyDescent="0.35">
      <c r="A1447" s="1" t="s">
        <v>17095</v>
      </c>
      <c r="B1447" s="1" t="s">
        <v>19</v>
      </c>
      <c r="C1447" s="1" t="s">
        <v>12472</v>
      </c>
      <c r="D1447" s="1" t="s">
        <v>19</v>
      </c>
      <c r="E1447" s="250">
        <v>2502.7109999999998</v>
      </c>
    </row>
    <row r="1448" spans="1:5" x14ac:dyDescent="0.35">
      <c r="A1448" s="1" t="s">
        <v>17096</v>
      </c>
      <c r="B1448" s="1" t="s">
        <v>19</v>
      </c>
      <c r="C1448" s="1" t="s">
        <v>12471</v>
      </c>
      <c r="D1448" s="1" t="s">
        <v>19</v>
      </c>
      <c r="E1448" s="250">
        <v>2502.712</v>
      </c>
    </row>
    <row r="1449" spans="1:5" x14ac:dyDescent="0.35">
      <c r="A1449" s="1" t="s">
        <v>17097</v>
      </c>
      <c r="B1449" s="1" t="s">
        <v>19</v>
      </c>
      <c r="C1449" s="1" t="s">
        <v>12470</v>
      </c>
      <c r="D1449" s="1" t="s">
        <v>19</v>
      </c>
      <c r="E1449" s="250">
        <v>2502.7130000000002</v>
      </c>
    </row>
    <row r="1450" spans="1:5" x14ac:dyDescent="0.35">
      <c r="A1450" s="1" t="s">
        <v>17098</v>
      </c>
      <c r="B1450" s="1" t="s">
        <v>19</v>
      </c>
      <c r="C1450" s="1" t="s">
        <v>12469</v>
      </c>
      <c r="D1450" s="1" t="s">
        <v>19</v>
      </c>
      <c r="E1450" s="250">
        <v>2502.7139999999999</v>
      </c>
    </row>
    <row r="1451" spans="1:5" x14ac:dyDescent="0.35">
      <c r="A1451" s="1" t="s">
        <v>17099</v>
      </c>
      <c r="B1451" s="1" t="s">
        <v>19</v>
      </c>
      <c r="C1451" s="1" t="s">
        <v>12468</v>
      </c>
      <c r="D1451" s="1" t="s">
        <v>19</v>
      </c>
      <c r="E1451" s="250">
        <v>2502.7150000000001</v>
      </c>
    </row>
    <row r="1452" spans="1:5" x14ac:dyDescent="0.35">
      <c r="A1452" s="1" t="s">
        <v>17100</v>
      </c>
      <c r="B1452" s="1" t="s">
        <v>19</v>
      </c>
      <c r="C1452" s="1" t="s">
        <v>12467</v>
      </c>
      <c r="D1452" s="1" t="s">
        <v>19</v>
      </c>
      <c r="E1452" s="250">
        <v>2502.7159999999999</v>
      </c>
    </row>
    <row r="1453" spans="1:5" x14ac:dyDescent="0.35">
      <c r="A1453" s="1" t="s">
        <v>17101</v>
      </c>
      <c r="B1453" s="1" t="s">
        <v>19</v>
      </c>
      <c r="C1453" s="1" t="s">
        <v>12466</v>
      </c>
      <c r="D1453" s="1" t="s">
        <v>19</v>
      </c>
      <c r="E1453" s="250">
        <v>2502.7170000000001</v>
      </c>
    </row>
    <row r="1454" spans="1:5" x14ac:dyDescent="0.35">
      <c r="A1454" s="1" t="s">
        <v>17102</v>
      </c>
      <c r="B1454" s="1" t="s">
        <v>19</v>
      </c>
      <c r="C1454" s="1" t="s">
        <v>12465</v>
      </c>
      <c r="D1454" s="1" t="s">
        <v>19</v>
      </c>
      <c r="E1454" s="250">
        <v>2502.7179999999998</v>
      </c>
    </row>
    <row r="1455" spans="1:5" x14ac:dyDescent="0.35">
      <c r="A1455" s="1" t="s">
        <v>17103</v>
      </c>
      <c r="B1455" s="1" t="s">
        <v>19</v>
      </c>
      <c r="C1455" s="1" t="s">
        <v>12464</v>
      </c>
      <c r="D1455" s="1" t="s">
        <v>19</v>
      </c>
      <c r="E1455" s="250">
        <v>2502.7190000000001</v>
      </c>
    </row>
    <row r="1456" spans="1:5" x14ac:dyDescent="0.35">
      <c r="A1456" s="1" t="s">
        <v>17104</v>
      </c>
      <c r="B1456" s="1" t="s">
        <v>19</v>
      </c>
      <c r="C1456" s="1" t="s">
        <v>12463</v>
      </c>
      <c r="D1456" s="1" t="s">
        <v>19</v>
      </c>
      <c r="E1456" s="250">
        <v>2502.7199999999998</v>
      </c>
    </row>
    <row r="1457" spans="1:5" x14ac:dyDescent="0.35">
      <c r="A1457" s="1" t="s">
        <v>17105</v>
      </c>
      <c r="B1457" s="1" t="s">
        <v>19</v>
      </c>
      <c r="C1457" s="1" t="s">
        <v>12462</v>
      </c>
      <c r="D1457" s="1" t="s">
        <v>19</v>
      </c>
      <c r="E1457" s="250">
        <v>2502.721</v>
      </c>
    </row>
    <row r="1458" spans="1:5" x14ac:dyDescent="0.35">
      <c r="A1458" s="1" t="s">
        <v>17106</v>
      </c>
      <c r="B1458" s="1" t="s">
        <v>19</v>
      </c>
      <c r="C1458" s="1" t="s">
        <v>12461</v>
      </c>
      <c r="D1458" s="1" t="s">
        <v>19</v>
      </c>
      <c r="E1458" s="250">
        <v>2502.7220000000002</v>
      </c>
    </row>
    <row r="1459" spans="1:5" x14ac:dyDescent="0.35">
      <c r="A1459" s="1" t="s">
        <v>17107</v>
      </c>
      <c r="B1459" s="1" t="s">
        <v>19</v>
      </c>
      <c r="C1459" s="1" t="s">
        <v>12460</v>
      </c>
      <c r="D1459" s="1" t="s">
        <v>19</v>
      </c>
      <c r="E1459" s="250">
        <v>2502.723</v>
      </c>
    </row>
    <row r="1460" spans="1:5" x14ac:dyDescent="0.35">
      <c r="A1460" s="1" t="s">
        <v>17108</v>
      </c>
      <c r="B1460" s="1" t="s">
        <v>19</v>
      </c>
      <c r="C1460" s="1" t="s">
        <v>12459</v>
      </c>
      <c r="D1460" s="1" t="s">
        <v>19</v>
      </c>
      <c r="E1460" s="250">
        <v>2502.7240000000002</v>
      </c>
    </row>
    <row r="1461" spans="1:5" x14ac:dyDescent="0.35">
      <c r="A1461" s="1" t="s">
        <v>17109</v>
      </c>
      <c r="B1461" s="1" t="s">
        <v>19</v>
      </c>
      <c r="C1461" s="1" t="s">
        <v>12458</v>
      </c>
      <c r="D1461" s="1" t="s">
        <v>19</v>
      </c>
      <c r="E1461" s="250">
        <v>2502.7249999999999</v>
      </c>
    </row>
    <row r="1462" spans="1:5" x14ac:dyDescent="0.35">
      <c r="A1462" s="1" t="s">
        <v>17110</v>
      </c>
      <c r="B1462" s="1" t="s">
        <v>19</v>
      </c>
      <c r="C1462" s="1" t="s">
        <v>12457</v>
      </c>
      <c r="D1462" s="1" t="s">
        <v>19</v>
      </c>
      <c r="E1462" s="250">
        <v>2502.7260000000001</v>
      </c>
    </row>
    <row r="1463" spans="1:5" x14ac:dyDescent="0.35">
      <c r="A1463" s="1" t="s">
        <v>17111</v>
      </c>
      <c r="B1463" s="1" t="s">
        <v>19</v>
      </c>
      <c r="C1463" s="1" t="s">
        <v>12456</v>
      </c>
      <c r="D1463" s="1" t="s">
        <v>19</v>
      </c>
      <c r="E1463" s="250">
        <v>2502.7269999999999</v>
      </c>
    </row>
    <row r="1464" spans="1:5" x14ac:dyDescent="0.35">
      <c r="A1464" s="1" t="s">
        <v>17112</v>
      </c>
      <c r="B1464" s="1" t="s">
        <v>19</v>
      </c>
      <c r="C1464" s="1" t="s">
        <v>12455</v>
      </c>
      <c r="D1464" s="1" t="s">
        <v>19</v>
      </c>
      <c r="E1464" s="250">
        <v>2502.7280000000001</v>
      </c>
    </row>
    <row r="1465" spans="1:5" x14ac:dyDescent="0.35">
      <c r="A1465" s="1" t="s">
        <v>17113</v>
      </c>
      <c r="B1465" s="1" t="s">
        <v>19</v>
      </c>
      <c r="C1465" s="1" t="s">
        <v>12454</v>
      </c>
      <c r="D1465" s="1" t="s">
        <v>19</v>
      </c>
      <c r="E1465" s="250">
        <v>2502.7289999999998</v>
      </c>
    </row>
    <row r="1466" spans="1:5" x14ac:dyDescent="0.35">
      <c r="A1466" s="1" t="s">
        <v>17114</v>
      </c>
      <c r="B1466" s="1" t="s">
        <v>19</v>
      </c>
      <c r="C1466" s="1" t="s">
        <v>12453</v>
      </c>
      <c r="D1466" s="1" t="s">
        <v>19</v>
      </c>
      <c r="E1466" s="250">
        <v>2502.73</v>
      </c>
    </row>
    <row r="1467" spans="1:5" x14ac:dyDescent="0.35">
      <c r="A1467" s="1" t="s">
        <v>17115</v>
      </c>
      <c r="B1467" s="1" t="s">
        <v>19</v>
      </c>
      <c r="C1467" s="1" t="s">
        <v>12452</v>
      </c>
      <c r="D1467" s="1" t="s">
        <v>19</v>
      </c>
      <c r="E1467" s="250">
        <v>2502.7310000000002</v>
      </c>
    </row>
    <row r="1468" spans="1:5" x14ac:dyDescent="0.35">
      <c r="A1468" s="1" t="s">
        <v>17116</v>
      </c>
      <c r="B1468" s="1" t="s">
        <v>19</v>
      </c>
      <c r="C1468" s="1" t="s">
        <v>12451</v>
      </c>
      <c r="D1468" s="1" t="s">
        <v>19</v>
      </c>
      <c r="E1468" s="250">
        <v>2502.732</v>
      </c>
    </row>
    <row r="1469" spans="1:5" x14ac:dyDescent="0.35">
      <c r="A1469" s="1" t="s">
        <v>17117</v>
      </c>
      <c r="B1469" s="1" t="s">
        <v>19</v>
      </c>
      <c r="C1469" s="1" t="s">
        <v>12450</v>
      </c>
      <c r="D1469" s="1" t="s">
        <v>19</v>
      </c>
      <c r="E1469" s="250">
        <v>2502.7330000000002</v>
      </c>
    </row>
    <row r="1470" spans="1:5" x14ac:dyDescent="0.35">
      <c r="A1470" s="1" t="s">
        <v>17118</v>
      </c>
      <c r="B1470" s="1" t="s">
        <v>19</v>
      </c>
      <c r="C1470" s="1" t="s">
        <v>12449</v>
      </c>
      <c r="D1470" s="1" t="s">
        <v>19</v>
      </c>
      <c r="E1470" s="250">
        <v>2502.7339999999999</v>
      </c>
    </row>
    <row r="1471" spans="1:5" x14ac:dyDescent="0.35">
      <c r="A1471" s="1" t="s">
        <v>17119</v>
      </c>
      <c r="B1471" s="1" t="s">
        <v>19</v>
      </c>
      <c r="C1471" s="1" t="s">
        <v>12448</v>
      </c>
      <c r="D1471" s="1" t="s">
        <v>19</v>
      </c>
      <c r="E1471" s="250">
        <v>2502.7350000000001</v>
      </c>
    </row>
    <row r="1472" spans="1:5" x14ac:dyDescent="0.35">
      <c r="A1472" s="1" t="s">
        <v>17120</v>
      </c>
      <c r="B1472" s="1" t="s">
        <v>19</v>
      </c>
      <c r="C1472" s="1" t="s">
        <v>12447</v>
      </c>
      <c r="D1472" s="1" t="s">
        <v>19</v>
      </c>
      <c r="E1472" s="250">
        <v>2502.7359999999999</v>
      </c>
    </row>
    <row r="1473" spans="1:5" x14ac:dyDescent="0.35">
      <c r="A1473" s="1" t="s">
        <v>17121</v>
      </c>
      <c r="B1473" s="1" t="s">
        <v>19</v>
      </c>
      <c r="C1473" s="1" t="s">
        <v>12446</v>
      </c>
      <c r="D1473" s="1" t="s">
        <v>19</v>
      </c>
      <c r="E1473" s="250">
        <v>2502.7370000000001</v>
      </c>
    </row>
    <row r="1474" spans="1:5" x14ac:dyDescent="0.35">
      <c r="A1474" s="1" t="s">
        <v>17122</v>
      </c>
      <c r="B1474" s="1" t="s">
        <v>19</v>
      </c>
      <c r="C1474" s="1" t="s">
        <v>12445</v>
      </c>
      <c r="D1474" s="1" t="s">
        <v>19</v>
      </c>
      <c r="E1474" s="250">
        <v>2502.7399999999998</v>
      </c>
    </row>
    <row r="1475" spans="1:5" x14ac:dyDescent="0.35">
      <c r="A1475" s="1" t="s">
        <v>17123</v>
      </c>
      <c r="B1475" s="1" t="s">
        <v>19</v>
      </c>
      <c r="C1475" s="1" t="s">
        <v>12444</v>
      </c>
      <c r="D1475" s="1" t="s">
        <v>19</v>
      </c>
      <c r="E1475" s="250">
        <v>2502.741</v>
      </c>
    </row>
    <row r="1476" spans="1:5" x14ac:dyDescent="0.35">
      <c r="A1476" s="1" t="s">
        <v>17124</v>
      </c>
      <c r="B1476" s="1" t="s">
        <v>19</v>
      </c>
      <c r="C1476" s="1" t="s">
        <v>12443</v>
      </c>
      <c r="D1476" s="1" t="s">
        <v>19</v>
      </c>
      <c r="E1476" s="250">
        <v>2502.7420000000002</v>
      </c>
    </row>
    <row r="1477" spans="1:5" x14ac:dyDescent="0.35">
      <c r="A1477" s="1" t="s">
        <v>17125</v>
      </c>
      <c r="B1477" s="1" t="s">
        <v>19</v>
      </c>
      <c r="C1477" s="1" t="s">
        <v>12442</v>
      </c>
      <c r="D1477" s="1" t="s">
        <v>19</v>
      </c>
      <c r="E1477" s="250">
        <v>2502.7429999999999</v>
      </c>
    </row>
    <row r="1478" spans="1:5" x14ac:dyDescent="0.35">
      <c r="A1478" s="1" t="s">
        <v>17126</v>
      </c>
      <c r="B1478" s="1" t="s">
        <v>19</v>
      </c>
      <c r="C1478" s="1" t="s">
        <v>12441</v>
      </c>
      <c r="D1478" s="1" t="s">
        <v>19</v>
      </c>
      <c r="E1478" s="250">
        <v>2502.7440000000001</v>
      </c>
    </row>
    <row r="1479" spans="1:5" x14ac:dyDescent="0.35">
      <c r="A1479" s="1" t="s">
        <v>17127</v>
      </c>
      <c r="B1479" s="1" t="s">
        <v>19</v>
      </c>
      <c r="C1479" s="1" t="s">
        <v>12440</v>
      </c>
      <c r="D1479" s="1" t="s">
        <v>19</v>
      </c>
      <c r="E1479" s="250">
        <v>2502.7449999999999</v>
      </c>
    </row>
    <row r="1480" spans="1:5" x14ac:dyDescent="0.35">
      <c r="A1480" s="1" t="s">
        <v>17128</v>
      </c>
      <c r="B1480" s="1" t="s">
        <v>19</v>
      </c>
      <c r="C1480" s="1" t="s">
        <v>12439</v>
      </c>
      <c r="D1480" s="1" t="s">
        <v>19</v>
      </c>
      <c r="E1480" s="250">
        <v>2502.7460000000001</v>
      </c>
    </row>
    <row r="1481" spans="1:5" x14ac:dyDescent="0.35">
      <c r="A1481" s="1" t="s">
        <v>17129</v>
      </c>
      <c r="B1481" s="1" t="s">
        <v>19</v>
      </c>
      <c r="C1481" s="1" t="s">
        <v>12438</v>
      </c>
      <c r="D1481" s="1" t="s">
        <v>19</v>
      </c>
      <c r="E1481" s="250">
        <v>2502.7469999999998</v>
      </c>
    </row>
    <row r="1482" spans="1:5" x14ac:dyDescent="0.35">
      <c r="A1482" s="1" t="s">
        <v>17130</v>
      </c>
      <c r="B1482" s="1" t="s">
        <v>19</v>
      </c>
      <c r="C1482" s="1" t="s">
        <v>12437</v>
      </c>
      <c r="D1482" s="1" t="s">
        <v>19</v>
      </c>
      <c r="E1482" s="250">
        <v>2502.748</v>
      </c>
    </row>
    <row r="1483" spans="1:5" x14ac:dyDescent="0.35">
      <c r="A1483" s="1" t="s">
        <v>17131</v>
      </c>
      <c r="B1483" s="1" t="s">
        <v>19</v>
      </c>
      <c r="C1483" s="1" t="s">
        <v>12436</v>
      </c>
      <c r="D1483" s="1" t="s">
        <v>19</v>
      </c>
      <c r="E1483" s="250">
        <v>2502.7489999999998</v>
      </c>
    </row>
    <row r="1484" spans="1:5" x14ac:dyDescent="0.35">
      <c r="A1484" s="1" t="s">
        <v>17132</v>
      </c>
      <c r="B1484" s="1" t="s">
        <v>19</v>
      </c>
      <c r="C1484" s="1" t="s">
        <v>12435</v>
      </c>
      <c r="D1484" s="1" t="s">
        <v>19</v>
      </c>
      <c r="E1484" s="250">
        <v>2502.75</v>
      </c>
    </row>
    <row r="1485" spans="1:5" x14ac:dyDescent="0.35">
      <c r="A1485" s="1" t="s">
        <v>17133</v>
      </c>
      <c r="B1485" s="1" t="s">
        <v>19</v>
      </c>
      <c r="C1485" s="1" t="s">
        <v>12434</v>
      </c>
      <c r="D1485" s="1" t="s">
        <v>19</v>
      </c>
      <c r="E1485" s="250">
        <v>2502.7510000000002</v>
      </c>
    </row>
    <row r="1486" spans="1:5" x14ac:dyDescent="0.35">
      <c r="A1486" s="1" t="s">
        <v>17134</v>
      </c>
      <c r="B1486" s="1" t="s">
        <v>19</v>
      </c>
      <c r="C1486" s="1" t="s">
        <v>12433</v>
      </c>
      <c r="D1486" s="1" t="s">
        <v>19</v>
      </c>
      <c r="E1486" s="250">
        <v>2502.752</v>
      </c>
    </row>
    <row r="1487" spans="1:5" x14ac:dyDescent="0.35">
      <c r="A1487" s="1" t="s">
        <v>17135</v>
      </c>
      <c r="B1487" s="1" t="s">
        <v>19</v>
      </c>
      <c r="C1487" s="1" t="s">
        <v>12432</v>
      </c>
      <c r="D1487" s="1" t="s">
        <v>19</v>
      </c>
      <c r="E1487" s="250">
        <v>2502.7530000000002</v>
      </c>
    </row>
    <row r="1488" spans="1:5" x14ac:dyDescent="0.35">
      <c r="A1488" s="1" t="s">
        <v>17136</v>
      </c>
      <c r="B1488" s="1" t="s">
        <v>19</v>
      </c>
      <c r="C1488" s="1" t="s">
        <v>12431</v>
      </c>
      <c r="D1488" s="1" t="s">
        <v>19</v>
      </c>
      <c r="E1488" s="250">
        <v>2502.7539999999999</v>
      </c>
    </row>
    <row r="1489" spans="1:5" x14ac:dyDescent="0.35">
      <c r="A1489" s="1" t="s">
        <v>17137</v>
      </c>
      <c r="B1489" s="1" t="s">
        <v>19</v>
      </c>
      <c r="C1489" s="1" t="s">
        <v>12430</v>
      </c>
      <c r="D1489" s="1" t="s">
        <v>19</v>
      </c>
      <c r="E1489" s="250">
        <v>2502.7550000000001</v>
      </c>
    </row>
    <row r="1490" spans="1:5" x14ac:dyDescent="0.35">
      <c r="A1490" s="1" t="s">
        <v>17138</v>
      </c>
      <c r="B1490" s="1" t="s">
        <v>19</v>
      </c>
      <c r="C1490" s="1" t="s">
        <v>12429</v>
      </c>
      <c r="D1490" s="1" t="s">
        <v>19</v>
      </c>
      <c r="E1490" s="250">
        <v>2502.7559999999999</v>
      </c>
    </row>
    <row r="1491" spans="1:5" x14ac:dyDescent="0.35">
      <c r="A1491" s="1" t="s">
        <v>17139</v>
      </c>
      <c r="B1491" s="1" t="s">
        <v>19</v>
      </c>
      <c r="C1491" s="1" t="s">
        <v>12428</v>
      </c>
      <c r="D1491" s="1" t="s">
        <v>19</v>
      </c>
      <c r="E1491" s="250">
        <v>2502.7570000000001</v>
      </c>
    </row>
    <row r="1492" spans="1:5" x14ac:dyDescent="0.35">
      <c r="A1492" s="1" t="s">
        <v>17140</v>
      </c>
      <c r="B1492" s="1" t="s">
        <v>19</v>
      </c>
      <c r="C1492" s="1" t="s">
        <v>12427</v>
      </c>
      <c r="D1492" s="1" t="s">
        <v>19</v>
      </c>
      <c r="E1492" s="250">
        <v>2502.7579999999998</v>
      </c>
    </row>
    <row r="1493" spans="1:5" x14ac:dyDescent="0.35">
      <c r="A1493" s="1" t="s">
        <v>17141</v>
      </c>
      <c r="B1493" s="1" t="s">
        <v>19</v>
      </c>
      <c r="C1493" s="1" t="s">
        <v>12426</v>
      </c>
      <c r="D1493" s="1" t="s">
        <v>19</v>
      </c>
      <c r="E1493" s="250">
        <v>2502.759</v>
      </c>
    </row>
    <row r="1494" spans="1:5" x14ac:dyDescent="0.35">
      <c r="A1494" s="1" t="s">
        <v>17142</v>
      </c>
      <c r="B1494" s="1" t="s">
        <v>19</v>
      </c>
      <c r="C1494" s="1" t="s">
        <v>12425</v>
      </c>
      <c r="D1494" s="1" t="s">
        <v>19</v>
      </c>
      <c r="E1494" s="250">
        <v>2502.7600000000002</v>
      </c>
    </row>
    <row r="1495" spans="1:5" x14ac:dyDescent="0.35">
      <c r="A1495" s="1" t="s">
        <v>17143</v>
      </c>
      <c r="B1495" s="1" t="s">
        <v>19</v>
      </c>
      <c r="C1495" s="1" t="s">
        <v>12424</v>
      </c>
      <c r="D1495" s="1" t="s">
        <v>19</v>
      </c>
      <c r="E1495" s="250">
        <v>2502.761</v>
      </c>
    </row>
    <row r="1496" spans="1:5" x14ac:dyDescent="0.35">
      <c r="A1496" s="1" t="s">
        <v>17144</v>
      </c>
      <c r="B1496" s="1" t="s">
        <v>19</v>
      </c>
      <c r="C1496" s="1" t="s">
        <v>12423</v>
      </c>
      <c r="D1496" s="1" t="s">
        <v>19</v>
      </c>
      <c r="E1496" s="250">
        <v>2502.7620000000002</v>
      </c>
    </row>
    <row r="1497" spans="1:5" x14ac:dyDescent="0.35">
      <c r="A1497" s="1" t="s">
        <v>17145</v>
      </c>
      <c r="B1497" s="1" t="s">
        <v>19</v>
      </c>
      <c r="C1497" s="1" t="s">
        <v>12422</v>
      </c>
      <c r="D1497" s="1" t="s">
        <v>19</v>
      </c>
      <c r="E1497" s="250">
        <v>2502.7629999999999</v>
      </c>
    </row>
    <row r="1498" spans="1:5" x14ac:dyDescent="0.35">
      <c r="A1498" s="1" t="s">
        <v>17146</v>
      </c>
      <c r="B1498" s="1" t="s">
        <v>19</v>
      </c>
      <c r="C1498" s="1" t="s">
        <v>12421</v>
      </c>
      <c r="D1498" s="1" t="s">
        <v>19</v>
      </c>
      <c r="E1498" s="250">
        <v>2502.7640000000001</v>
      </c>
    </row>
    <row r="1499" spans="1:5" x14ac:dyDescent="0.35">
      <c r="A1499" s="1" t="s">
        <v>17147</v>
      </c>
      <c r="B1499" s="1" t="s">
        <v>19</v>
      </c>
      <c r="C1499" s="1" t="s">
        <v>12420</v>
      </c>
      <c r="D1499" s="1" t="s">
        <v>19</v>
      </c>
      <c r="E1499" s="250">
        <v>2502.7649999999999</v>
      </c>
    </row>
    <row r="1500" spans="1:5" x14ac:dyDescent="0.35">
      <c r="A1500" s="1" t="s">
        <v>17148</v>
      </c>
      <c r="B1500" s="1" t="s">
        <v>19</v>
      </c>
      <c r="C1500" s="1" t="s">
        <v>12419</v>
      </c>
      <c r="D1500" s="1" t="s">
        <v>19</v>
      </c>
      <c r="E1500" s="250">
        <v>2502.7660000000001</v>
      </c>
    </row>
    <row r="1501" spans="1:5" x14ac:dyDescent="0.35">
      <c r="A1501" s="1" t="s">
        <v>17149</v>
      </c>
      <c r="B1501" s="1" t="s">
        <v>19</v>
      </c>
      <c r="C1501" s="1" t="s">
        <v>12418</v>
      </c>
      <c r="D1501" s="1" t="s">
        <v>19</v>
      </c>
      <c r="E1501" s="250">
        <v>2502.7669999999998</v>
      </c>
    </row>
    <row r="1502" spans="1:5" x14ac:dyDescent="0.35">
      <c r="A1502" s="1" t="s">
        <v>17150</v>
      </c>
      <c r="B1502" s="1" t="s">
        <v>19</v>
      </c>
      <c r="C1502" s="1" t="s">
        <v>12417</v>
      </c>
      <c r="D1502" s="1" t="s">
        <v>19</v>
      </c>
      <c r="E1502" s="250">
        <v>2502.77</v>
      </c>
    </row>
    <row r="1503" spans="1:5" x14ac:dyDescent="0.35">
      <c r="A1503" s="1" t="s">
        <v>17151</v>
      </c>
      <c r="B1503" s="1" t="s">
        <v>19</v>
      </c>
      <c r="C1503" s="1" t="s">
        <v>12416</v>
      </c>
      <c r="D1503" s="1" t="s">
        <v>19</v>
      </c>
      <c r="E1503" s="250">
        <v>2502.7710000000002</v>
      </c>
    </row>
    <row r="1504" spans="1:5" x14ac:dyDescent="0.35">
      <c r="A1504" s="1" t="s">
        <v>17152</v>
      </c>
      <c r="B1504" s="1" t="s">
        <v>19</v>
      </c>
      <c r="C1504" s="1" t="s">
        <v>12415</v>
      </c>
      <c r="D1504" s="1" t="s">
        <v>19</v>
      </c>
      <c r="E1504" s="250">
        <v>2502.7719999999999</v>
      </c>
    </row>
    <row r="1505" spans="1:5" x14ac:dyDescent="0.35">
      <c r="A1505" s="1" t="s">
        <v>17153</v>
      </c>
      <c r="B1505" s="1" t="s">
        <v>19</v>
      </c>
      <c r="C1505" s="1" t="s">
        <v>12414</v>
      </c>
      <c r="D1505" s="1" t="s">
        <v>19</v>
      </c>
      <c r="E1505" s="250">
        <v>2502.7730000000001</v>
      </c>
    </row>
    <row r="1506" spans="1:5" x14ac:dyDescent="0.35">
      <c r="A1506" s="1" t="s">
        <v>17154</v>
      </c>
      <c r="B1506" s="1" t="s">
        <v>19</v>
      </c>
      <c r="C1506" s="1" t="s">
        <v>12413</v>
      </c>
      <c r="D1506" s="1" t="s">
        <v>19</v>
      </c>
      <c r="E1506" s="250">
        <v>2502.7739999999999</v>
      </c>
    </row>
    <row r="1507" spans="1:5" x14ac:dyDescent="0.35">
      <c r="A1507" s="1" t="s">
        <v>17155</v>
      </c>
      <c r="B1507" s="1" t="s">
        <v>19</v>
      </c>
      <c r="C1507" s="1" t="s">
        <v>12412</v>
      </c>
      <c r="D1507" s="1" t="s">
        <v>19</v>
      </c>
      <c r="E1507" s="250">
        <v>2502.7750000000001</v>
      </c>
    </row>
    <row r="1508" spans="1:5" x14ac:dyDescent="0.35">
      <c r="A1508" s="1" t="s">
        <v>17156</v>
      </c>
      <c r="B1508" s="1" t="s">
        <v>19</v>
      </c>
      <c r="C1508" s="1" t="s">
        <v>12411</v>
      </c>
      <c r="D1508" s="1" t="s">
        <v>19</v>
      </c>
      <c r="E1508" s="250">
        <v>2502.7759999999998</v>
      </c>
    </row>
    <row r="1509" spans="1:5" x14ac:dyDescent="0.35">
      <c r="A1509" s="1" t="s">
        <v>17157</v>
      </c>
      <c r="B1509" s="1" t="s">
        <v>19</v>
      </c>
      <c r="C1509" s="1" t="s">
        <v>12410</v>
      </c>
      <c r="D1509" s="1" t="s">
        <v>19</v>
      </c>
      <c r="E1509" s="250">
        <v>2502.777</v>
      </c>
    </row>
    <row r="1510" spans="1:5" x14ac:dyDescent="0.35">
      <c r="A1510" s="1" t="s">
        <v>17158</v>
      </c>
      <c r="B1510" s="1" t="s">
        <v>19</v>
      </c>
      <c r="C1510" s="1" t="s">
        <v>12409</v>
      </c>
      <c r="D1510" s="1" t="s">
        <v>19</v>
      </c>
      <c r="E1510" s="250">
        <v>2502.7779999999998</v>
      </c>
    </row>
    <row r="1511" spans="1:5" x14ac:dyDescent="0.35">
      <c r="A1511" s="1" t="s">
        <v>17159</v>
      </c>
      <c r="B1511" s="1" t="s">
        <v>19</v>
      </c>
      <c r="C1511" s="1" t="s">
        <v>12408</v>
      </c>
      <c r="D1511" s="1" t="s">
        <v>19</v>
      </c>
      <c r="E1511" s="250">
        <v>2502.779</v>
      </c>
    </row>
    <row r="1512" spans="1:5" x14ac:dyDescent="0.35">
      <c r="A1512" s="1" t="s">
        <v>17160</v>
      </c>
      <c r="B1512" s="1" t="s">
        <v>19</v>
      </c>
      <c r="C1512" s="1" t="s">
        <v>12407</v>
      </c>
      <c r="D1512" s="1" t="s">
        <v>19</v>
      </c>
      <c r="E1512" s="250">
        <v>2502.7800000000002</v>
      </c>
    </row>
    <row r="1513" spans="1:5" x14ac:dyDescent="0.35">
      <c r="A1513" s="1" t="s">
        <v>17161</v>
      </c>
      <c r="B1513" s="1" t="s">
        <v>19</v>
      </c>
      <c r="C1513" s="1" t="s">
        <v>12406</v>
      </c>
      <c r="D1513" s="1" t="s">
        <v>19</v>
      </c>
      <c r="E1513" s="250">
        <v>2502.7809999999999</v>
      </c>
    </row>
    <row r="1514" spans="1:5" x14ac:dyDescent="0.35">
      <c r="A1514" s="1" t="s">
        <v>17162</v>
      </c>
      <c r="B1514" s="1" t="s">
        <v>19</v>
      </c>
      <c r="C1514" s="1" t="s">
        <v>12405</v>
      </c>
      <c r="D1514" s="1" t="s">
        <v>19</v>
      </c>
      <c r="E1514" s="250">
        <v>2502.7820000000002</v>
      </c>
    </row>
    <row r="1515" spans="1:5" x14ac:dyDescent="0.35">
      <c r="A1515" s="1" t="s">
        <v>17163</v>
      </c>
      <c r="B1515" s="1" t="s">
        <v>19</v>
      </c>
      <c r="C1515" s="1" t="s">
        <v>12404</v>
      </c>
      <c r="D1515" s="1" t="s">
        <v>19</v>
      </c>
      <c r="E1515" s="250">
        <v>2502.7829999999999</v>
      </c>
    </row>
    <row r="1516" spans="1:5" x14ac:dyDescent="0.35">
      <c r="A1516" s="1" t="s">
        <v>17164</v>
      </c>
      <c r="B1516" s="1" t="s">
        <v>19</v>
      </c>
      <c r="C1516" s="1" t="s">
        <v>12403</v>
      </c>
      <c r="D1516" s="1" t="s">
        <v>19</v>
      </c>
      <c r="E1516" s="250">
        <v>2502.7840000000001</v>
      </c>
    </row>
    <row r="1517" spans="1:5" x14ac:dyDescent="0.35">
      <c r="A1517" s="1" t="s">
        <v>17165</v>
      </c>
      <c r="B1517" s="1" t="s">
        <v>19</v>
      </c>
      <c r="C1517" s="1" t="s">
        <v>12402</v>
      </c>
      <c r="D1517" s="1" t="s">
        <v>19</v>
      </c>
      <c r="E1517" s="250">
        <v>2502.7849999999999</v>
      </c>
    </row>
    <row r="1518" spans="1:5" x14ac:dyDescent="0.35">
      <c r="A1518" s="1" t="s">
        <v>17166</v>
      </c>
      <c r="B1518" s="1" t="s">
        <v>19</v>
      </c>
      <c r="C1518" s="1" t="s">
        <v>12401</v>
      </c>
      <c r="D1518" s="1" t="s">
        <v>19</v>
      </c>
      <c r="E1518" s="250">
        <v>2502.7860000000001</v>
      </c>
    </row>
    <row r="1519" spans="1:5" x14ac:dyDescent="0.35">
      <c r="A1519" s="1" t="s">
        <v>17167</v>
      </c>
      <c r="B1519" s="1" t="s">
        <v>19</v>
      </c>
      <c r="C1519" s="1" t="s">
        <v>12400</v>
      </c>
      <c r="D1519" s="1" t="s">
        <v>19</v>
      </c>
      <c r="E1519" s="250">
        <v>2502.7869999999998</v>
      </c>
    </row>
    <row r="1520" spans="1:5" x14ac:dyDescent="0.35">
      <c r="A1520" s="1" t="s">
        <v>17168</v>
      </c>
      <c r="B1520" s="1" t="s">
        <v>19</v>
      </c>
      <c r="C1520" s="1" t="s">
        <v>12399</v>
      </c>
      <c r="D1520" s="1" t="s">
        <v>19</v>
      </c>
      <c r="E1520" s="250">
        <v>2502.788</v>
      </c>
    </row>
    <row r="1521" spans="1:5" x14ac:dyDescent="0.35">
      <c r="A1521" s="1" t="s">
        <v>17169</v>
      </c>
      <c r="B1521" s="1" t="s">
        <v>19</v>
      </c>
      <c r="C1521" s="1" t="s">
        <v>12398</v>
      </c>
      <c r="D1521" s="1" t="s">
        <v>19</v>
      </c>
      <c r="E1521" s="250">
        <v>2502.7890000000002</v>
      </c>
    </row>
    <row r="1522" spans="1:5" x14ac:dyDescent="0.35">
      <c r="A1522" s="1" t="s">
        <v>17170</v>
      </c>
      <c r="B1522" s="1" t="s">
        <v>19</v>
      </c>
      <c r="C1522" s="1" t="s">
        <v>12397</v>
      </c>
      <c r="D1522" s="1" t="s">
        <v>19</v>
      </c>
      <c r="E1522" s="250">
        <v>2502.79</v>
      </c>
    </row>
    <row r="1523" spans="1:5" x14ac:dyDescent="0.35">
      <c r="A1523" s="1" t="s">
        <v>17171</v>
      </c>
      <c r="B1523" s="1" t="s">
        <v>19</v>
      </c>
      <c r="C1523" s="1" t="s">
        <v>12396</v>
      </c>
      <c r="D1523" s="1" t="s">
        <v>19</v>
      </c>
      <c r="E1523" s="250">
        <v>2502.7910000000002</v>
      </c>
    </row>
    <row r="1524" spans="1:5" x14ac:dyDescent="0.35">
      <c r="A1524" s="1" t="s">
        <v>17172</v>
      </c>
      <c r="B1524" s="1" t="s">
        <v>19</v>
      </c>
      <c r="C1524" s="1" t="s">
        <v>12395</v>
      </c>
      <c r="D1524" s="1" t="s">
        <v>19</v>
      </c>
      <c r="E1524" s="250">
        <v>2502.7919999999999</v>
      </c>
    </row>
    <row r="1525" spans="1:5" x14ac:dyDescent="0.35">
      <c r="A1525" s="1" t="s">
        <v>17173</v>
      </c>
      <c r="B1525" s="1" t="s">
        <v>19</v>
      </c>
      <c r="C1525" s="1" t="s">
        <v>12394</v>
      </c>
      <c r="D1525" s="1" t="s">
        <v>19</v>
      </c>
      <c r="E1525" s="250">
        <v>2502.7930000000001</v>
      </c>
    </row>
    <row r="1526" spans="1:5" x14ac:dyDescent="0.35">
      <c r="A1526" s="1" t="s">
        <v>17174</v>
      </c>
      <c r="B1526" s="1" t="s">
        <v>19</v>
      </c>
      <c r="C1526" s="1" t="s">
        <v>12393</v>
      </c>
      <c r="D1526" s="1" t="s">
        <v>19</v>
      </c>
      <c r="E1526" s="250">
        <v>2502.7939999999999</v>
      </c>
    </row>
    <row r="1527" spans="1:5" x14ac:dyDescent="0.35">
      <c r="A1527" s="1" t="s">
        <v>17175</v>
      </c>
      <c r="B1527" s="1" t="s">
        <v>19</v>
      </c>
      <c r="C1527" s="1" t="s">
        <v>12392</v>
      </c>
      <c r="D1527" s="1" t="s">
        <v>19</v>
      </c>
      <c r="E1527" s="250">
        <v>2502.7950000000001</v>
      </c>
    </row>
    <row r="1528" spans="1:5" x14ac:dyDescent="0.35">
      <c r="A1528" s="1" t="s">
        <v>17176</v>
      </c>
      <c r="B1528" s="1" t="s">
        <v>19</v>
      </c>
      <c r="C1528" s="1" t="s">
        <v>12391</v>
      </c>
      <c r="D1528" s="1" t="s">
        <v>19</v>
      </c>
      <c r="E1528" s="250">
        <v>2502.7959999999998</v>
      </c>
    </row>
    <row r="1529" spans="1:5" x14ac:dyDescent="0.35">
      <c r="A1529" s="1" t="s">
        <v>17177</v>
      </c>
      <c r="B1529" s="1" t="s">
        <v>19</v>
      </c>
      <c r="C1529" s="1" t="s">
        <v>12390</v>
      </c>
      <c r="D1529" s="1" t="s">
        <v>19</v>
      </c>
      <c r="E1529" s="250">
        <v>2502.797</v>
      </c>
    </row>
    <row r="1530" spans="1:5" x14ac:dyDescent="0.35">
      <c r="A1530" s="1" t="s">
        <v>17178</v>
      </c>
      <c r="B1530" s="1" t="s">
        <v>19</v>
      </c>
      <c r="C1530" s="1" t="s">
        <v>12389</v>
      </c>
      <c r="D1530" s="1" t="s">
        <v>19</v>
      </c>
      <c r="E1530" s="250">
        <v>2502.8000000000002</v>
      </c>
    </row>
    <row r="1531" spans="1:5" x14ac:dyDescent="0.35">
      <c r="A1531" s="1" t="s">
        <v>17179</v>
      </c>
      <c r="B1531" s="1" t="s">
        <v>19</v>
      </c>
      <c r="C1531" s="1" t="s">
        <v>12388</v>
      </c>
      <c r="D1531" s="1" t="s">
        <v>19</v>
      </c>
      <c r="E1531" s="250">
        <v>2502.8009999999999</v>
      </c>
    </row>
    <row r="1532" spans="1:5" x14ac:dyDescent="0.35">
      <c r="A1532" s="1" t="s">
        <v>17180</v>
      </c>
      <c r="B1532" s="1" t="s">
        <v>19</v>
      </c>
      <c r="C1532" s="1" t="s">
        <v>12387</v>
      </c>
      <c r="D1532" s="1" t="s">
        <v>19</v>
      </c>
      <c r="E1532" s="250">
        <v>2502.8020000000001</v>
      </c>
    </row>
    <row r="1533" spans="1:5" x14ac:dyDescent="0.35">
      <c r="A1533" s="1" t="s">
        <v>17181</v>
      </c>
      <c r="B1533" s="1" t="s">
        <v>19</v>
      </c>
      <c r="C1533" s="1" t="s">
        <v>12386</v>
      </c>
      <c r="D1533" s="1" t="s">
        <v>19</v>
      </c>
      <c r="E1533" s="250">
        <v>2502.8029999999999</v>
      </c>
    </row>
    <row r="1534" spans="1:5" x14ac:dyDescent="0.35">
      <c r="A1534" s="1" t="s">
        <v>17182</v>
      </c>
      <c r="B1534" s="1" t="s">
        <v>19</v>
      </c>
      <c r="C1534" s="1" t="s">
        <v>12385</v>
      </c>
      <c r="D1534" s="1" t="s">
        <v>19</v>
      </c>
      <c r="E1534" s="250">
        <v>2502.8040000000001</v>
      </c>
    </row>
    <row r="1535" spans="1:5" x14ac:dyDescent="0.35">
      <c r="A1535" s="1" t="s">
        <v>17183</v>
      </c>
      <c r="B1535" s="1" t="s">
        <v>19</v>
      </c>
      <c r="C1535" s="1" t="s">
        <v>12384</v>
      </c>
      <c r="D1535" s="1" t="s">
        <v>19</v>
      </c>
      <c r="E1535" s="250">
        <v>2502.8049999999998</v>
      </c>
    </row>
    <row r="1536" spans="1:5" x14ac:dyDescent="0.35">
      <c r="A1536" s="1" t="s">
        <v>17184</v>
      </c>
      <c r="B1536" s="1" t="s">
        <v>19</v>
      </c>
      <c r="C1536" s="1" t="s">
        <v>12383</v>
      </c>
      <c r="D1536" s="1" t="s">
        <v>19</v>
      </c>
      <c r="E1536" s="250">
        <v>2502.806</v>
      </c>
    </row>
    <row r="1537" spans="1:5" x14ac:dyDescent="0.35">
      <c r="A1537" s="1" t="s">
        <v>17185</v>
      </c>
      <c r="B1537" s="1" t="s">
        <v>19</v>
      </c>
      <c r="C1537" s="1" t="s">
        <v>12382</v>
      </c>
      <c r="D1537" s="1" t="s">
        <v>19</v>
      </c>
      <c r="E1537" s="250">
        <v>2502.8069999999998</v>
      </c>
    </row>
    <row r="1538" spans="1:5" x14ac:dyDescent="0.35">
      <c r="A1538" s="1" t="s">
        <v>17186</v>
      </c>
      <c r="B1538" s="1" t="s">
        <v>19</v>
      </c>
      <c r="C1538" s="1" t="s">
        <v>12381</v>
      </c>
      <c r="D1538" s="1" t="s">
        <v>19</v>
      </c>
      <c r="E1538" s="250">
        <v>2502.808</v>
      </c>
    </row>
    <row r="1539" spans="1:5" x14ac:dyDescent="0.35">
      <c r="A1539" s="1" t="s">
        <v>17187</v>
      </c>
      <c r="B1539" s="1" t="s">
        <v>19</v>
      </c>
      <c r="C1539" s="1" t="s">
        <v>12380</v>
      </c>
      <c r="D1539" s="1" t="s">
        <v>19</v>
      </c>
      <c r="E1539" s="250">
        <v>2502.8090000000002</v>
      </c>
    </row>
    <row r="1540" spans="1:5" x14ac:dyDescent="0.35">
      <c r="A1540" s="1" t="s">
        <v>17188</v>
      </c>
      <c r="B1540" s="1" t="s">
        <v>19</v>
      </c>
      <c r="C1540" s="1" t="s">
        <v>12379</v>
      </c>
      <c r="D1540" s="1" t="s">
        <v>19</v>
      </c>
      <c r="E1540" s="250">
        <v>2502.81</v>
      </c>
    </row>
    <row r="1541" spans="1:5" x14ac:dyDescent="0.35">
      <c r="A1541" s="1" t="s">
        <v>17189</v>
      </c>
      <c r="B1541" s="1" t="s">
        <v>19</v>
      </c>
      <c r="C1541" s="1" t="s">
        <v>12378</v>
      </c>
      <c r="D1541" s="1" t="s">
        <v>19</v>
      </c>
      <c r="E1541" s="250">
        <v>2502.8110000000001</v>
      </c>
    </row>
    <row r="1542" spans="1:5" x14ac:dyDescent="0.35">
      <c r="A1542" s="1" t="s">
        <v>17190</v>
      </c>
      <c r="B1542" s="1" t="s">
        <v>19</v>
      </c>
      <c r="C1542" s="1" t="s">
        <v>12377</v>
      </c>
      <c r="D1542" s="1" t="s">
        <v>19</v>
      </c>
      <c r="E1542" s="250">
        <v>2502.8119999999999</v>
      </c>
    </row>
    <row r="1543" spans="1:5" x14ac:dyDescent="0.35">
      <c r="A1543" s="1" t="s">
        <v>17191</v>
      </c>
      <c r="B1543" s="1" t="s">
        <v>19</v>
      </c>
      <c r="C1543" s="1" t="s">
        <v>12376</v>
      </c>
      <c r="D1543" s="1" t="s">
        <v>19</v>
      </c>
      <c r="E1543" s="250">
        <v>2502.8130000000001</v>
      </c>
    </row>
    <row r="1544" spans="1:5" x14ac:dyDescent="0.35">
      <c r="A1544" s="1" t="s">
        <v>17192</v>
      </c>
      <c r="B1544" s="1" t="s">
        <v>19</v>
      </c>
      <c r="C1544" s="1" t="s">
        <v>12375</v>
      </c>
      <c r="D1544" s="1" t="s">
        <v>19</v>
      </c>
      <c r="E1544" s="250">
        <v>2502.8139999999999</v>
      </c>
    </row>
    <row r="1545" spans="1:5" x14ac:dyDescent="0.35">
      <c r="A1545" s="1" t="s">
        <v>17193</v>
      </c>
      <c r="B1545" s="1" t="s">
        <v>19</v>
      </c>
      <c r="C1545" s="1" t="s">
        <v>12374</v>
      </c>
      <c r="D1545" s="1" t="s">
        <v>19</v>
      </c>
      <c r="E1545" s="250">
        <v>2502.8150000000001</v>
      </c>
    </row>
    <row r="1546" spans="1:5" x14ac:dyDescent="0.35">
      <c r="A1546" s="1" t="s">
        <v>17194</v>
      </c>
      <c r="B1546" s="1" t="s">
        <v>19</v>
      </c>
      <c r="C1546" s="1" t="s">
        <v>12373</v>
      </c>
      <c r="D1546" s="1" t="s">
        <v>19</v>
      </c>
      <c r="E1546" s="250">
        <v>2502.8159999999998</v>
      </c>
    </row>
    <row r="1547" spans="1:5" x14ac:dyDescent="0.35">
      <c r="A1547" s="1" t="s">
        <v>17195</v>
      </c>
      <c r="B1547" s="1" t="s">
        <v>19</v>
      </c>
      <c r="C1547" s="1" t="s">
        <v>12372</v>
      </c>
      <c r="D1547" s="1" t="s">
        <v>19</v>
      </c>
      <c r="E1547" s="250">
        <v>2502.817</v>
      </c>
    </row>
    <row r="1548" spans="1:5" x14ac:dyDescent="0.35">
      <c r="A1548" s="1" t="s">
        <v>17196</v>
      </c>
      <c r="B1548" s="1" t="s">
        <v>19</v>
      </c>
      <c r="C1548" s="1" t="s">
        <v>12371</v>
      </c>
      <c r="D1548" s="1" t="s">
        <v>19</v>
      </c>
      <c r="E1548" s="250">
        <v>2502.8180000000002</v>
      </c>
    </row>
    <row r="1549" spans="1:5" x14ac:dyDescent="0.35">
      <c r="A1549" s="1" t="s">
        <v>17197</v>
      </c>
      <c r="B1549" s="1" t="s">
        <v>19</v>
      </c>
      <c r="C1549" s="1" t="s">
        <v>12370</v>
      </c>
      <c r="D1549" s="1" t="s">
        <v>19</v>
      </c>
      <c r="E1549" s="250">
        <v>2502.819</v>
      </c>
    </row>
    <row r="1550" spans="1:5" x14ac:dyDescent="0.35">
      <c r="A1550" s="1" t="s">
        <v>17198</v>
      </c>
      <c r="B1550" s="1" t="s">
        <v>19</v>
      </c>
      <c r="C1550" s="1" t="s">
        <v>12369</v>
      </c>
      <c r="D1550" s="1" t="s">
        <v>19</v>
      </c>
      <c r="E1550" s="250">
        <v>2502.8200000000002</v>
      </c>
    </row>
    <row r="1551" spans="1:5" x14ac:dyDescent="0.35">
      <c r="A1551" s="1" t="s">
        <v>17199</v>
      </c>
      <c r="B1551" s="1" t="s">
        <v>19</v>
      </c>
      <c r="C1551" s="1" t="s">
        <v>12368</v>
      </c>
      <c r="D1551" s="1" t="s">
        <v>19</v>
      </c>
      <c r="E1551" s="250">
        <v>2502.8209999999999</v>
      </c>
    </row>
    <row r="1552" spans="1:5" x14ac:dyDescent="0.35">
      <c r="A1552" s="1" t="s">
        <v>17200</v>
      </c>
      <c r="B1552" s="1" t="s">
        <v>19</v>
      </c>
      <c r="C1552" s="1" t="s">
        <v>12367</v>
      </c>
      <c r="D1552" s="1" t="s">
        <v>19</v>
      </c>
      <c r="E1552" s="250">
        <v>2502.8220000000001</v>
      </c>
    </row>
    <row r="1553" spans="1:5" x14ac:dyDescent="0.35">
      <c r="A1553" s="1" t="s">
        <v>17201</v>
      </c>
      <c r="B1553" s="1" t="s">
        <v>19</v>
      </c>
      <c r="C1553" s="1" t="s">
        <v>12366</v>
      </c>
      <c r="D1553" s="1" t="s">
        <v>19</v>
      </c>
      <c r="E1553" s="250">
        <v>2502.8229999999999</v>
      </c>
    </row>
    <row r="1554" spans="1:5" x14ac:dyDescent="0.35">
      <c r="A1554" s="1" t="s">
        <v>17202</v>
      </c>
      <c r="B1554" s="1" t="s">
        <v>19</v>
      </c>
      <c r="C1554" s="1" t="s">
        <v>12365</v>
      </c>
      <c r="D1554" s="1" t="s">
        <v>19</v>
      </c>
      <c r="E1554" s="250">
        <v>2502.8240000000001</v>
      </c>
    </row>
    <row r="1555" spans="1:5" x14ac:dyDescent="0.35">
      <c r="A1555" s="1" t="s">
        <v>17203</v>
      </c>
      <c r="B1555" s="1" t="s">
        <v>19</v>
      </c>
      <c r="C1555" s="1" t="s">
        <v>12364</v>
      </c>
      <c r="D1555" s="1" t="s">
        <v>19</v>
      </c>
      <c r="E1555" s="250">
        <v>2502.8249999999998</v>
      </c>
    </row>
    <row r="1556" spans="1:5" x14ac:dyDescent="0.35">
      <c r="A1556" s="1" t="s">
        <v>17204</v>
      </c>
      <c r="B1556" s="1" t="s">
        <v>19</v>
      </c>
      <c r="C1556" s="1" t="s">
        <v>12363</v>
      </c>
      <c r="D1556" s="1" t="s">
        <v>19</v>
      </c>
      <c r="E1556" s="250">
        <v>2502.826</v>
      </c>
    </row>
    <row r="1557" spans="1:5" x14ac:dyDescent="0.35">
      <c r="A1557" s="1" t="s">
        <v>17205</v>
      </c>
      <c r="B1557" s="1" t="s">
        <v>19</v>
      </c>
      <c r="C1557" s="1" t="s">
        <v>12362</v>
      </c>
      <c r="D1557" s="1" t="s">
        <v>19</v>
      </c>
      <c r="E1557" s="250">
        <v>2502.8270000000002</v>
      </c>
    </row>
    <row r="1558" spans="1:5" x14ac:dyDescent="0.35">
      <c r="A1558" s="1" t="s">
        <v>17206</v>
      </c>
      <c r="B1558" s="1" t="s">
        <v>19</v>
      </c>
      <c r="C1558" s="1" t="s">
        <v>12361</v>
      </c>
      <c r="D1558" s="1" t="s">
        <v>19</v>
      </c>
      <c r="E1558" s="250">
        <v>2502.83</v>
      </c>
    </row>
    <row r="1559" spans="1:5" x14ac:dyDescent="0.35">
      <c r="A1559" s="1" t="s">
        <v>17207</v>
      </c>
      <c r="B1559" s="1" t="s">
        <v>19</v>
      </c>
      <c r="C1559" s="1" t="s">
        <v>12360</v>
      </c>
      <c r="D1559" s="1" t="s">
        <v>19</v>
      </c>
      <c r="E1559" s="250">
        <v>2502.8310000000001</v>
      </c>
    </row>
    <row r="1560" spans="1:5" x14ac:dyDescent="0.35">
      <c r="A1560" s="1" t="s">
        <v>17208</v>
      </c>
      <c r="B1560" s="1" t="s">
        <v>19</v>
      </c>
      <c r="C1560" s="1" t="s">
        <v>12359</v>
      </c>
      <c r="D1560" s="1" t="s">
        <v>19</v>
      </c>
      <c r="E1560" s="250">
        <v>2502.8319999999999</v>
      </c>
    </row>
    <row r="1561" spans="1:5" x14ac:dyDescent="0.35">
      <c r="A1561" s="1" t="s">
        <v>17209</v>
      </c>
      <c r="B1561" s="1" t="s">
        <v>19</v>
      </c>
      <c r="C1561" s="1" t="s">
        <v>12358</v>
      </c>
      <c r="D1561" s="1" t="s">
        <v>19</v>
      </c>
      <c r="E1561" s="250">
        <v>2502.8330000000001</v>
      </c>
    </row>
    <row r="1562" spans="1:5" x14ac:dyDescent="0.35">
      <c r="A1562" s="1" t="s">
        <v>17210</v>
      </c>
      <c r="B1562" s="1" t="s">
        <v>19</v>
      </c>
      <c r="C1562" s="1" t="s">
        <v>12357</v>
      </c>
      <c r="D1562" s="1" t="s">
        <v>19</v>
      </c>
      <c r="E1562" s="250">
        <v>2502.8339999999998</v>
      </c>
    </row>
    <row r="1563" spans="1:5" x14ac:dyDescent="0.35">
      <c r="A1563" s="1" t="s">
        <v>17211</v>
      </c>
      <c r="B1563" s="1" t="s">
        <v>19</v>
      </c>
      <c r="C1563" s="1" t="s">
        <v>12356</v>
      </c>
      <c r="D1563" s="1" t="s">
        <v>19</v>
      </c>
      <c r="E1563" s="250">
        <v>2502.835</v>
      </c>
    </row>
    <row r="1564" spans="1:5" x14ac:dyDescent="0.35">
      <c r="A1564" s="1" t="s">
        <v>17212</v>
      </c>
      <c r="B1564" s="1" t="s">
        <v>19</v>
      </c>
      <c r="C1564" s="1" t="s">
        <v>12355</v>
      </c>
      <c r="D1564" s="1" t="s">
        <v>19</v>
      </c>
      <c r="E1564" s="250">
        <v>2502.8359999999998</v>
      </c>
    </row>
    <row r="1565" spans="1:5" x14ac:dyDescent="0.35">
      <c r="A1565" s="1" t="s">
        <v>17213</v>
      </c>
      <c r="B1565" s="1" t="s">
        <v>19</v>
      </c>
      <c r="C1565" s="1" t="s">
        <v>12354</v>
      </c>
      <c r="D1565" s="1" t="s">
        <v>19</v>
      </c>
      <c r="E1565" s="250">
        <v>2502.837</v>
      </c>
    </row>
    <row r="1566" spans="1:5" x14ac:dyDescent="0.35">
      <c r="A1566" s="1" t="s">
        <v>17214</v>
      </c>
      <c r="B1566" s="1" t="s">
        <v>19</v>
      </c>
      <c r="C1566" s="1" t="s">
        <v>12353</v>
      </c>
      <c r="D1566" s="1" t="s">
        <v>19</v>
      </c>
      <c r="E1566" s="250">
        <v>2502.8380000000002</v>
      </c>
    </row>
    <row r="1567" spans="1:5" x14ac:dyDescent="0.35">
      <c r="A1567" s="1" t="s">
        <v>17215</v>
      </c>
      <c r="B1567" s="1" t="s">
        <v>19</v>
      </c>
      <c r="C1567" s="1" t="s">
        <v>12352</v>
      </c>
      <c r="D1567" s="1" t="s">
        <v>19</v>
      </c>
      <c r="E1567" s="250">
        <v>2502.8389999999999</v>
      </c>
    </row>
    <row r="1568" spans="1:5" x14ac:dyDescent="0.35">
      <c r="A1568" s="1" t="s">
        <v>17216</v>
      </c>
      <c r="B1568" s="1" t="s">
        <v>19</v>
      </c>
      <c r="C1568" s="1" t="s">
        <v>12351</v>
      </c>
      <c r="D1568" s="1" t="s">
        <v>19</v>
      </c>
      <c r="E1568" s="250">
        <v>2502.84</v>
      </c>
    </row>
    <row r="1569" spans="1:5" x14ac:dyDescent="0.35">
      <c r="A1569" s="1" t="s">
        <v>17217</v>
      </c>
      <c r="B1569" s="1" t="s">
        <v>19</v>
      </c>
      <c r="C1569" s="1" t="s">
        <v>12350</v>
      </c>
      <c r="D1569" s="1" t="s">
        <v>19</v>
      </c>
      <c r="E1569" s="250">
        <v>2502.8409999999999</v>
      </c>
    </row>
    <row r="1570" spans="1:5" x14ac:dyDescent="0.35">
      <c r="A1570" s="1" t="s">
        <v>17218</v>
      </c>
      <c r="B1570" s="1" t="s">
        <v>19</v>
      </c>
      <c r="C1570" s="1" t="s">
        <v>12349</v>
      </c>
      <c r="D1570" s="1" t="s">
        <v>19</v>
      </c>
      <c r="E1570" s="250">
        <v>2502.8420000000001</v>
      </c>
    </row>
    <row r="1571" spans="1:5" x14ac:dyDescent="0.35">
      <c r="A1571" s="1" t="s">
        <v>17219</v>
      </c>
      <c r="B1571" s="1" t="s">
        <v>19</v>
      </c>
      <c r="C1571" s="1" t="s">
        <v>12348</v>
      </c>
      <c r="D1571" s="1" t="s">
        <v>19</v>
      </c>
      <c r="E1571" s="250">
        <v>2502.8429999999998</v>
      </c>
    </row>
    <row r="1572" spans="1:5" x14ac:dyDescent="0.35">
      <c r="A1572" s="1" t="s">
        <v>17220</v>
      </c>
      <c r="B1572" s="1" t="s">
        <v>19</v>
      </c>
      <c r="C1572" s="1" t="s">
        <v>12347</v>
      </c>
      <c r="D1572" s="1" t="s">
        <v>19</v>
      </c>
      <c r="E1572" s="250">
        <v>2502.8440000000001</v>
      </c>
    </row>
    <row r="1573" spans="1:5" x14ac:dyDescent="0.35">
      <c r="A1573" s="1" t="s">
        <v>17221</v>
      </c>
      <c r="B1573" s="1" t="s">
        <v>19</v>
      </c>
      <c r="C1573" s="1" t="s">
        <v>12346</v>
      </c>
      <c r="D1573" s="1" t="s">
        <v>19</v>
      </c>
      <c r="E1573" s="250">
        <v>2502.8449999999998</v>
      </c>
    </row>
    <row r="1574" spans="1:5" x14ac:dyDescent="0.35">
      <c r="A1574" s="1" t="s">
        <v>17222</v>
      </c>
      <c r="B1574" s="1" t="s">
        <v>19</v>
      </c>
      <c r="C1574" s="1" t="s">
        <v>12345</v>
      </c>
      <c r="D1574" s="1" t="s">
        <v>19</v>
      </c>
      <c r="E1574" s="250">
        <v>2502.846</v>
      </c>
    </row>
    <row r="1575" spans="1:5" x14ac:dyDescent="0.35">
      <c r="A1575" s="1" t="s">
        <v>17223</v>
      </c>
      <c r="B1575" s="1" t="s">
        <v>19</v>
      </c>
      <c r="C1575" s="1" t="s">
        <v>12344</v>
      </c>
      <c r="D1575" s="1" t="s">
        <v>19</v>
      </c>
      <c r="E1575" s="250">
        <v>2502.8470000000002</v>
      </c>
    </row>
    <row r="1576" spans="1:5" x14ac:dyDescent="0.35">
      <c r="A1576" s="1" t="s">
        <v>17224</v>
      </c>
      <c r="B1576" s="1" t="s">
        <v>19</v>
      </c>
      <c r="C1576" s="1" t="s">
        <v>12343</v>
      </c>
      <c r="D1576" s="1" t="s">
        <v>19</v>
      </c>
      <c r="E1576" s="250">
        <v>2502.848</v>
      </c>
    </row>
    <row r="1577" spans="1:5" x14ac:dyDescent="0.35">
      <c r="A1577" s="1" t="s">
        <v>17225</v>
      </c>
      <c r="B1577" s="1" t="s">
        <v>19</v>
      </c>
      <c r="C1577" s="1" t="s">
        <v>12342</v>
      </c>
      <c r="D1577" s="1" t="s">
        <v>19</v>
      </c>
      <c r="E1577" s="250">
        <v>2502.8490000000002</v>
      </c>
    </row>
    <row r="1578" spans="1:5" x14ac:dyDescent="0.35">
      <c r="A1578" s="1" t="s">
        <v>17226</v>
      </c>
      <c r="B1578" s="1" t="s">
        <v>19</v>
      </c>
      <c r="C1578" s="1" t="s">
        <v>12341</v>
      </c>
      <c r="D1578" s="1" t="s">
        <v>19</v>
      </c>
      <c r="E1578" s="250">
        <v>2502.85</v>
      </c>
    </row>
    <row r="1579" spans="1:5" x14ac:dyDescent="0.35">
      <c r="A1579" s="1" t="s">
        <v>17227</v>
      </c>
      <c r="B1579" s="1" t="s">
        <v>19</v>
      </c>
      <c r="C1579" s="1" t="s">
        <v>12340</v>
      </c>
      <c r="D1579" s="1" t="s">
        <v>19</v>
      </c>
      <c r="E1579" s="250">
        <v>2502.8510000000001</v>
      </c>
    </row>
    <row r="1580" spans="1:5" x14ac:dyDescent="0.35">
      <c r="A1580" s="1" t="s">
        <v>17228</v>
      </c>
      <c r="B1580" s="1" t="s">
        <v>19</v>
      </c>
      <c r="C1580" s="1" t="s">
        <v>12339</v>
      </c>
      <c r="D1580" s="1" t="s">
        <v>19</v>
      </c>
      <c r="E1580" s="250">
        <v>2502.8519999999999</v>
      </c>
    </row>
    <row r="1581" spans="1:5" x14ac:dyDescent="0.35">
      <c r="A1581" s="1" t="s">
        <v>17229</v>
      </c>
      <c r="B1581" s="1" t="s">
        <v>19</v>
      </c>
      <c r="C1581" s="1" t="s">
        <v>12338</v>
      </c>
      <c r="D1581" s="1" t="s">
        <v>19</v>
      </c>
      <c r="E1581" s="250">
        <v>2502.8530000000001</v>
      </c>
    </row>
    <row r="1582" spans="1:5" x14ac:dyDescent="0.35">
      <c r="A1582" s="1" t="s">
        <v>17230</v>
      </c>
      <c r="B1582" s="1" t="s">
        <v>19</v>
      </c>
      <c r="C1582" s="1" t="s">
        <v>12337</v>
      </c>
      <c r="D1582" s="1" t="s">
        <v>19</v>
      </c>
      <c r="E1582" s="250">
        <v>2502.8539999999998</v>
      </c>
    </row>
    <row r="1583" spans="1:5" x14ac:dyDescent="0.35">
      <c r="A1583" s="1" t="s">
        <v>17231</v>
      </c>
      <c r="B1583" s="1" t="s">
        <v>19</v>
      </c>
      <c r="C1583" s="1" t="s">
        <v>12336</v>
      </c>
      <c r="D1583" s="1" t="s">
        <v>19</v>
      </c>
      <c r="E1583" s="250">
        <v>2502.855</v>
      </c>
    </row>
    <row r="1584" spans="1:5" x14ac:dyDescent="0.35">
      <c r="A1584" s="1" t="s">
        <v>17232</v>
      </c>
      <c r="B1584" s="1" t="s">
        <v>19</v>
      </c>
      <c r="C1584" s="1" t="s">
        <v>12335</v>
      </c>
      <c r="D1584" s="1" t="s">
        <v>19</v>
      </c>
      <c r="E1584" s="250">
        <v>2502.8560000000002</v>
      </c>
    </row>
    <row r="1585" spans="1:5" x14ac:dyDescent="0.35">
      <c r="A1585" s="1" t="s">
        <v>17233</v>
      </c>
      <c r="B1585" s="1" t="s">
        <v>19</v>
      </c>
      <c r="C1585" s="1" t="s">
        <v>12334</v>
      </c>
      <c r="D1585" s="1" t="s">
        <v>19</v>
      </c>
      <c r="E1585" s="250">
        <v>2502.857</v>
      </c>
    </row>
    <row r="1586" spans="1:5" x14ac:dyDescent="0.35">
      <c r="A1586" s="1" t="s">
        <v>17234</v>
      </c>
      <c r="B1586" s="1" t="s">
        <v>19</v>
      </c>
      <c r="C1586" s="1" t="s">
        <v>12333</v>
      </c>
      <c r="D1586" s="1" t="s">
        <v>19</v>
      </c>
      <c r="E1586" s="250">
        <v>2502.86</v>
      </c>
    </row>
    <row r="1587" spans="1:5" x14ac:dyDescent="0.35">
      <c r="A1587" s="1" t="s">
        <v>17235</v>
      </c>
      <c r="B1587" s="1" t="s">
        <v>19</v>
      </c>
      <c r="C1587" s="1" t="s">
        <v>12332</v>
      </c>
      <c r="D1587" s="1" t="s">
        <v>19</v>
      </c>
      <c r="E1587" s="250">
        <v>2502.8609999999999</v>
      </c>
    </row>
    <row r="1588" spans="1:5" x14ac:dyDescent="0.35">
      <c r="A1588" s="1" t="s">
        <v>17236</v>
      </c>
      <c r="B1588" s="1" t="s">
        <v>19</v>
      </c>
      <c r="C1588" s="1" t="s">
        <v>12331</v>
      </c>
      <c r="D1588" s="1" t="s">
        <v>19</v>
      </c>
      <c r="E1588" s="250">
        <v>2502.8620000000001</v>
      </c>
    </row>
    <row r="1589" spans="1:5" x14ac:dyDescent="0.35">
      <c r="A1589" s="1" t="s">
        <v>17237</v>
      </c>
      <c r="B1589" s="1" t="s">
        <v>19</v>
      </c>
      <c r="C1589" s="1" t="s">
        <v>12330</v>
      </c>
      <c r="D1589" s="1" t="s">
        <v>19</v>
      </c>
      <c r="E1589" s="250">
        <v>2502.8629999999998</v>
      </c>
    </row>
    <row r="1590" spans="1:5" x14ac:dyDescent="0.35">
      <c r="A1590" s="1" t="s">
        <v>17238</v>
      </c>
      <c r="B1590" s="1" t="s">
        <v>19</v>
      </c>
      <c r="C1590" s="1" t="s">
        <v>12329</v>
      </c>
      <c r="D1590" s="1" t="s">
        <v>19</v>
      </c>
      <c r="E1590" s="250">
        <v>2502.864</v>
      </c>
    </row>
    <row r="1591" spans="1:5" x14ac:dyDescent="0.35">
      <c r="A1591" s="1" t="s">
        <v>17239</v>
      </c>
      <c r="B1591" s="1" t="s">
        <v>19</v>
      </c>
      <c r="C1591" s="1" t="s">
        <v>12328</v>
      </c>
      <c r="D1591" s="1" t="s">
        <v>19</v>
      </c>
      <c r="E1591" s="250">
        <v>2502.8649999999998</v>
      </c>
    </row>
    <row r="1592" spans="1:5" x14ac:dyDescent="0.35">
      <c r="A1592" s="1" t="s">
        <v>17240</v>
      </c>
      <c r="B1592" s="1" t="s">
        <v>19</v>
      </c>
      <c r="C1592" s="1" t="s">
        <v>12327</v>
      </c>
      <c r="D1592" s="1" t="s">
        <v>19</v>
      </c>
      <c r="E1592" s="250">
        <v>2502.866</v>
      </c>
    </row>
    <row r="1593" spans="1:5" x14ac:dyDescent="0.35">
      <c r="A1593" s="1" t="s">
        <v>17241</v>
      </c>
      <c r="B1593" s="1" t="s">
        <v>19</v>
      </c>
      <c r="C1593" s="1" t="s">
        <v>12326</v>
      </c>
      <c r="D1593" s="1" t="s">
        <v>19</v>
      </c>
      <c r="E1593" s="250">
        <v>2502.8670000000002</v>
      </c>
    </row>
    <row r="1594" spans="1:5" x14ac:dyDescent="0.35">
      <c r="A1594" s="1" t="s">
        <v>17242</v>
      </c>
      <c r="B1594" s="1" t="s">
        <v>19</v>
      </c>
      <c r="C1594" s="1" t="s">
        <v>12325</v>
      </c>
      <c r="D1594" s="1" t="s">
        <v>19</v>
      </c>
      <c r="E1594" s="250">
        <v>2502.8679999999999</v>
      </c>
    </row>
    <row r="1595" spans="1:5" x14ac:dyDescent="0.35">
      <c r="A1595" s="1" t="s">
        <v>17243</v>
      </c>
      <c r="B1595" s="1" t="s">
        <v>19</v>
      </c>
      <c r="C1595" s="1" t="s">
        <v>12324</v>
      </c>
      <c r="D1595" s="1" t="s">
        <v>19</v>
      </c>
      <c r="E1595" s="250">
        <v>2502.8690000000001</v>
      </c>
    </row>
    <row r="1596" spans="1:5" x14ac:dyDescent="0.35">
      <c r="A1596" s="1" t="s">
        <v>17244</v>
      </c>
      <c r="B1596" s="1" t="s">
        <v>19</v>
      </c>
      <c r="C1596" s="1" t="s">
        <v>12323</v>
      </c>
      <c r="D1596" s="1" t="s">
        <v>19</v>
      </c>
      <c r="E1596" s="250">
        <v>2502.87</v>
      </c>
    </row>
    <row r="1597" spans="1:5" x14ac:dyDescent="0.35">
      <c r="A1597" s="1" t="s">
        <v>17245</v>
      </c>
      <c r="B1597" s="1" t="s">
        <v>19</v>
      </c>
      <c r="C1597" s="1" t="s">
        <v>12322</v>
      </c>
      <c r="D1597" s="1" t="s">
        <v>19</v>
      </c>
      <c r="E1597" s="250">
        <v>2502.8710000000001</v>
      </c>
    </row>
    <row r="1598" spans="1:5" x14ac:dyDescent="0.35">
      <c r="A1598" s="2" t="s">
        <v>17246</v>
      </c>
      <c r="B1598" s="1" t="s">
        <v>57</v>
      </c>
      <c r="C1598" s="1" t="s">
        <v>12321</v>
      </c>
      <c r="D1598" s="1" t="s">
        <v>57</v>
      </c>
      <c r="E1598" s="250">
        <v>2503.75</v>
      </c>
    </row>
    <row r="1599" spans="1:5" x14ac:dyDescent="0.35">
      <c r="A1599" s="1" t="s">
        <v>17247</v>
      </c>
      <c r="B1599" s="1" t="s">
        <v>19</v>
      </c>
      <c r="C1599" s="1" t="s">
        <v>12320</v>
      </c>
      <c r="D1599" s="1" t="s">
        <v>19</v>
      </c>
      <c r="E1599" s="250">
        <v>2503.7510000000002</v>
      </c>
    </row>
    <row r="1600" spans="1:5" x14ac:dyDescent="0.35">
      <c r="A1600" s="1" t="s">
        <v>17248</v>
      </c>
      <c r="B1600" s="1" t="s">
        <v>19</v>
      </c>
      <c r="C1600" s="1" t="s">
        <v>12319</v>
      </c>
      <c r="D1600" s="1" t="s">
        <v>19</v>
      </c>
      <c r="E1600" s="250">
        <v>2503.752</v>
      </c>
    </row>
    <row r="1601" spans="1:5" x14ac:dyDescent="0.35">
      <c r="A1601" s="1" t="s">
        <v>17249</v>
      </c>
      <c r="B1601" s="1" t="s">
        <v>19</v>
      </c>
      <c r="C1601" s="1" t="s">
        <v>12318</v>
      </c>
      <c r="D1601" s="1" t="s">
        <v>19</v>
      </c>
      <c r="E1601" s="250">
        <v>2503.7530000000002</v>
      </c>
    </row>
    <row r="1602" spans="1:5" x14ac:dyDescent="0.35">
      <c r="A1602" s="1" t="s">
        <v>17250</v>
      </c>
      <c r="B1602" s="1" t="s">
        <v>19</v>
      </c>
      <c r="C1602" s="1" t="s">
        <v>12317</v>
      </c>
      <c r="D1602" s="1" t="s">
        <v>19</v>
      </c>
      <c r="E1602" s="250">
        <v>2503.7539999999999</v>
      </c>
    </row>
    <row r="1603" spans="1:5" x14ac:dyDescent="0.35">
      <c r="A1603" s="1" t="s">
        <v>17251</v>
      </c>
      <c r="B1603" s="1" t="s">
        <v>19</v>
      </c>
      <c r="C1603" s="1" t="s">
        <v>12316</v>
      </c>
      <c r="D1603" s="1" t="s">
        <v>19</v>
      </c>
      <c r="E1603" s="250">
        <v>2503.7550000000001</v>
      </c>
    </row>
    <row r="1604" spans="1:5" x14ac:dyDescent="0.35">
      <c r="A1604" s="1" t="s">
        <v>17252</v>
      </c>
      <c r="B1604" s="1" t="s">
        <v>19</v>
      </c>
      <c r="C1604" s="1" t="s">
        <v>12315</v>
      </c>
      <c r="D1604" s="1" t="s">
        <v>19</v>
      </c>
      <c r="E1604" s="250">
        <v>2503.7559999999999</v>
      </c>
    </row>
    <row r="1605" spans="1:5" x14ac:dyDescent="0.35">
      <c r="A1605" s="1" t="s">
        <v>17253</v>
      </c>
      <c r="B1605" s="1" t="s">
        <v>19</v>
      </c>
      <c r="C1605" s="1" t="s">
        <v>12314</v>
      </c>
      <c r="D1605" s="1" t="s">
        <v>19</v>
      </c>
      <c r="E1605" s="250">
        <v>2503.7570000000001</v>
      </c>
    </row>
    <row r="1606" spans="1:5" x14ac:dyDescent="0.35">
      <c r="A1606" s="1" t="s">
        <v>17254</v>
      </c>
      <c r="B1606" s="1" t="s">
        <v>19</v>
      </c>
      <c r="C1606" s="1" t="s">
        <v>12313</v>
      </c>
      <c r="D1606" s="1" t="s">
        <v>19</v>
      </c>
      <c r="E1606" s="250">
        <v>2503.7579999999998</v>
      </c>
    </row>
    <row r="1607" spans="1:5" x14ac:dyDescent="0.35">
      <c r="A1607" s="1" t="s">
        <v>17255</v>
      </c>
      <c r="B1607" s="1" t="s">
        <v>19</v>
      </c>
      <c r="C1607" s="1" t="s">
        <v>12312</v>
      </c>
      <c r="D1607" s="1" t="s">
        <v>19</v>
      </c>
      <c r="E1607" s="250">
        <v>2503.759</v>
      </c>
    </row>
    <row r="1608" spans="1:5" x14ac:dyDescent="0.35">
      <c r="A1608" s="1" t="s">
        <v>17256</v>
      </c>
      <c r="B1608" s="1" t="s">
        <v>19</v>
      </c>
      <c r="C1608" s="1" t="s">
        <v>12311</v>
      </c>
      <c r="D1608" s="1" t="s">
        <v>19</v>
      </c>
      <c r="E1608" s="250">
        <v>2503.7600000000002</v>
      </c>
    </row>
    <row r="1609" spans="1:5" x14ac:dyDescent="0.35">
      <c r="A1609" s="1" t="s">
        <v>17257</v>
      </c>
      <c r="B1609" s="1" t="s">
        <v>19</v>
      </c>
      <c r="C1609" s="1" t="s">
        <v>12310</v>
      </c>
      <c r="D1609" s="1" t="s">
        <v>19</v>
      </c>
      <c r="E1609" s="250">
        <v>2503.761</v>
      </c>
    </row>
    <row r="1610" spans="1:5" x14ac:dyDescent="0.35">
      <c r="A1610" s="1" t="s">
        <v>17258</v>
      </c>
      <c r="B1610" s="1" t="s">
        <v>19</v>
      </c>
      <c r="C1610" s="1" t="s">
        <v>12309</v>
      </c>
      <c r="D1610" s="1" t="s">
        <v>19</v>
      </c>
      <c r="E1610" s="250">
        <v>2503.77</v>
      </c>
    </row>
    <row r="1611" spans="1:5" x14ac:dyDescent="0.35">
      <c r="A1611" s="1" t="s">
        <v>17259</v>
      </c>
      <c r="B1611" s="1" t="s">
        <v>19</v>
      </c>
      <c r="C1611" s="1" t="s">
        <v>12308</v>
      </c>
      <c r="D1611" s="1" t="s">
        <v>19</v>
      </c>
      <c r="E1611" s="250">
        <v>2503.7710000000002</v>
      </c>
    </row>
    <row r="1612" spans="1:5" x14ac:dyDescent="0.35">
      <c r="A1612" s="1" t="s">
        <v>17260</v>
      </c>
      <c r="B1612" s="1" t="s">
        <v>19</v>
      </c>
      <c r="C1612" s="1" t="s">
        <v>12307</v>
      </c>
      <c r="D1612" s="1" t="s">
        <v>19</v>
      </c>
      <c r="E1612" s="250">
        <v>2503.7719999999999</v>
      </c>
    </row>
    <row r="1613" spans="1:5" x14ac:dyDescent="0.35">
      <c r="A1613" s="1" t="s">
        <v>17261</v>
      </c>
      <c r="B1613" s="1" t="s">
        <v>19</v>
      </c>
      <c r="C1613" s="1" t="s">
        <v>12306</v>
      </c>
      <c r="D1613" s="1" t="s">
        <v>19</v>
      </c>
      <c r="E1613" s="250">
        <v>2503.7730000000001</v>
      </c>
    </row>
    <row r="1614" spans="1:5" x14ac:dyDescent="0.35">
      <c r="A1614" s="1" t="s">
        <v>17262</v>
      </c>
      <c r="B1614" s="1" t="s">
        <v>19</v>
      </c>
      <c r="C1614" s="1" t="s">
        <v>12305</v>
      </c>
      <c r="D1614" s="1" t="s">
        <v>19</v>
      </c>
      <c r="E1614" s="250">
        <v>2503.7739999999999</v>
      </c>
    </row>
    <row r="1615" spans="1:5" x14ac:dyDescent="0.35">
      <c r="A1615" s="1" t="s">
        <v>17263</v>
      </c>
      <c r="B1615" s="1" t="s">
        <v>19</v>
      </c>
      <c r="C1615" s="1" t="s">
        <v>12304</v>
      </c>
      <c r="D1615" s="1" t="s">
        <v>19</v>
      </c>
      <c r="E1615" s="250">
        <v>2503.7750000000001</v>
      </c>
    </row>
    <row r="1616" spans="1:5" x14ac:dyDescent="0.35">
      <c r="A1616" s="1" t="s">
        <v>17264</v>
      </c>
      <c r="B1616" s="1" t="s">
        <v>19</v>
      </c>
      <c r="C1616" s="1" t="s">
        <v>12303</v>
      </c>
      <c r="D1616" s="1" t="s">
        <v>19</v>
      </c>
      <c r="E1616" s="250">
        <v>2503.7759999999998</v>
      </c>
    </row>
    <row r="1617" spans="1:5" x14ac:dyDescent="0.35">
      <c r="A1617" s="1" t="s">
        <v>17265</v>
      </c>
      <c r="B1617" s="1" t="s">
        <v>19</v>
      </c>
      <c r="C1617" s="1" t="s">
        <v>12302</v>
      </c>
      <c r="D1617" s="1" t="s">
        <v>19</v>
      </c>
      <c r="E1617" s="250">
        <v>2503.777</v>
      </c>
    </row>
    <row r="1618" spans="1:5" x14ac:dyDescent="0.35">
      <c r="A1618" s="1" t="s">
        <v>17266</v>
      </c>
      <c r="B1618" s="1" t="s">
        <v>19</v>
      </c>
      <c r="C1618" s="1" t="s">
        <v>12301</v>
      </c>
      <c r="D1618" s="1" t="s">
        <v>19</v>
      </c>
      <c r="E1618" s="250">
        <v>2503.7779999999998</v>
      </c>
    </row>
    <row r="1619" spans="1:5" x14ac:dyDescent="0.35">
      <c r="A1619" s="1" t="s">
        <v>17267</v>
      </c>
      <c r="B1619" s="1" t="s">
        <v>19</v>
      </c>
      <c r="C1619" s="1" t="s">
        <v>12300</v>
      </c>
      <c r="D1619" s="1" t="s">
        <v>19</v>
      </c>
      <c r="E1619" s="250">
        <v>2503.7800000000002</v>
      </c>
    </row>
    <row r="1620" spans="1:5" x14ac:dyDescent="0.35">
      <c r="A1620" s="1" t="s">
        <v>17268</v>
      </c>
      <c r="B1620" s="1" t="s">
        <v>19</v>
      </c>
      <c r="C1620" s="1" t="s">
        <v>12299</v>
      </c>
      <c r="D1620" s="1" t="s">
        <v>19</v>
      </c>
      <c r="E1620" s="250">
        <v>2503.7809999999999</v>
      </c>
    </row>
    <row r="1621" spans="1:5" x14ac:dyDescent="0.35">
      <c r="A1621" s="1" t="s">
        <v>17269</v>
      </c>
      <c r="B1621" s="1" t="s">
        <v>19</v>
      </c>
      <c r="C1621" s="1" t="s">
        <v>12298</v>
      </c>
      <c r="D1621" s="1" t="s">
        <v>19</v>
      </c>
      <c r="E1621" s="250">
        <v>2503.7820000000002</v>
      </c>
    </row>
    <row r="1622" spans="1:5" x14ac:dyDescent="0.35">
      <c r="A1622" s="1" t="s">
        <v>17270</v>
      </c>
      <c r="B1622" s="1" t="s">
        <v>19</v>
      </c>
      <c r="C1622" s="1" t="s">
        <v>12297</v>
      </c>
      <c r="D1622" s="1" t="s">
        <v>19</v>
      </c>
      <c r="E1622" s="250">
        <v>2503.7829999999999</v>
      </c>
    </row>
    <row r="1623" spans="1:5" x14ac:dyDescent="0.35">
      <c r="A1623" s="1" t="s">
        <v>17271</v>
      </c>
      <c r="B1623" s="1" t="s">
        <v>19</v>
      </c>
      <c r="C1623" s="1" t="s">
        <v>12296</v>
      </c>
      <c r="D1623" s="1" t="s">
        <v>19</v>
      </c>
      <c r="E1623" s="250">
        <v>2503.7840000000001</v>
      </c>
    </row>
    <row r="1624" spans="1:5" x14ac:dyDescent="0.35">
      <c r="A1624" s="1" t="s">
        <v>17272</v>
      </c>
      <c r="B1624" s="1" t="s">
        <v>19</v>
      </c>
      <c r="C1624" s="1" t="s">
        <v>12295</v>
      </c>
      <c r="D1624" s="1" t="s">
        <v>19</v>
      </c>
      <c r="E1624" s="250">
        <v>2503.7849999999999</v>
      </c>
    </row>
    <row r="1625" spans="1:5" x14ac:dyDescent="0.35">
      <c r="A1625" s="1" t="s">
        <v>17273</v>
      </c>
      <c r="B1625" s="1" t="s">
        <v>19</v>
      </c>
      <c r="C1625" s="1" t="s">
        <v>12294</v>
      </c>
      <c r="D1625" s="1" t="s">
        <v>19</v>
      </c>
      <c r="E1625" s="250">
        <v>2503.7860000000001</v>
      </c>
    </row>
    <row r="1626" spans="1:5" x14ac:dyDescent="0.35">
      <c r="A1626" s="1" t="s">
        <v>17274</v>
      </c>
      <c r="B1626" s="1" t="s">
        <v>19</v>
      </c>
      <c r="C1626" s="1" t="s">
        <v>12293</v>
      </c>
      <c r="D1626" s="1" t="s">
        <v>19</v>
      </c>
      <c r="E1626" s="250">
        <v>2503.7869999999998</v>
      </c>
    </row>
    <row r="1627" spans="1:5" x14ac:dyDescent="0.35">
      <c r="A1627" s="1" t="s">
        <v>17275</v>
      </c>
      <c r="B1627" s="1" t="s">
        <v>19</v>
      </c>
      <c r="C1627" s="1" t="s">
        <v>12292</v>
      </c>
      <c r="D1627" s="1" t="s">
        <v>19</v>
      </c>
      <c r="E1627" s="250">
        <v>2503.788</v>
      </c>
    </row>
    <row r="1628" spans="1:5" x14ac:dyDescent="0.35">
      <c r="A1628" s="1" t="s">
        <v>17276</v>
      </c>
      <c r="B1628" s="1" t="s">
        <v>19</v>
      </c>
      <c r="C1628" s="1" t="s">
        <v>12291</v>
      </c>
      <c r="D1628" s="1" t="s">
        <v>19</v>
      </c>
      <c r="E1628" s="250">
        <v>2503.79</v>
      </c>
    </row>
    <row r="1629" spans="1:5" x14ac:dyDescent="0.35">
      <c r="A1629" s="1" t="s">
        <v>17277</v>
      </c>
      <c r="B1629" s="1" t="s">
        <v>19</v>
      </c>
      <c r="C1629" s="1" t="s">
        <v>12290</v>
      </c>
      <c r="D1629" s="1" t="s">
        <v>19</v>
      </c>
      <c r="E1629" s="250">
        <v>2503.7910000000002</v>
      </c>
    </row>
    <row r="1630" spans="1:5" x14ac:dyDescent="0.35">
      <c r="A1630" s="1" t="s">
        <v>17278</v>
      </c>
      <c r="B1630" s="1" t="s">
        <v>19</v>
      </c>
      <c r="C1630" s="1" t="s">
        <v>12289</v>
      </c>
      <c r="D1630" s="1" t="s">
        <v>19</v>
      </c>
      <c r="E1630" s="250">
        <v>2503.7919999999999</v>
      </c>
    </row>
    <row r="1631" spans="1:5" x14ac:dyDescent="0.35">
      <c r="A1631" s="1" t="s">
        <v>17279</v>
      </c>
      <c r="B1631" s="1" t="s">
        <v>19</v>
      </c>
      <c r="C1631" s="1" t="s">
        <v>12288</v>
      </c>
      <c r="D1631" s="1" t="s">
        <v>19</v>
      </c>
      <c r="E1631" s="250">
        <v>2503.7930000000001</v>
      </c>
    </row>
    <row r="1632" spans="1:5" x14ac:dyDescent="0.35">
      <c r="A1632" s="1" t="s">
        <v>17280</v>
      </c>
      <c r="B1632" s="1" t="s">
        <v>19</v>
      </c>
      <c r="C1632" s="1" t="s">
        <v>12287</v>
      </c>
      <c r="D1632" s="1" t="s">
        <v>19</v>
      </c>
      <c r="E1632" s="250">
        <v>2503.7939999999999</v>
      </c>
    </row>
    <row r="1633" spans="1:5" x14ac:dyDescent="0.35">
      <c r="A1633" s="1" t="s">
        <v>17281</v>
      </c>
      <c r="B1633" s="1" t="s">
        <v>19</v>
      </c>
      <c r="C1633" s="1" t="s">
        <v>12286</v>
      </c>
      <c r="D1633" s="1" t="s">
        <v>19</v>
      </c>
      <c r="E1633" s="250">
        <v>2503.7950000000001</v>
      </c>
    </row>
    <row r="1634" spans="1:5" x14ac:dyDescent="0.35">
      <c r="A1634" s="1" t="s">
        <v>17282</v>
      </c>
      <c r="B1634" s="1" t="s">
        <v>19</v>
      </c>
      <c r="C1634" s="1" t="s">
        <v>12285</v>
      </c>
      <c r="D1634" s="1" t="s">
        <v>19</v>
      </c>
      <c r="E1634" s="250">
        <v>2503.7959999999998</v>
      </c>
    </row>
    <row r="1635" spans="1:5" x14ac:dyDescent="0.35">
      <c r="A1635" s="1" t="s">
        <v>17283</v>
      </c>
      <c r="B1635" s="1" t="s">
        <v>19</v>
      </c>
      <c r="C1635" s="1" t="s">
        <v>12284</v>
      </c>
      <c r="D1635" s="1" t="s">
        <v>19</v>
      </c>
      <c r="E1635" s="250">
        <v>2503.797</v>
      </c>
    </row>
    <row r="1636" spans="1:5" x14ac:dyDescent="0.35">
      <c r="A1636" s="1" t="s">
        <v>17284</v>
      </c>
      <c r="B1636" s="1" t="s">
        <v>19</v>
      </c>
      <c r="C1636" s="1" t="s">
        <v>12283</v>
      </c>
      <c r="D1636" s="1" t="s">
        <v>19</v>
      </c>
      <c r="E1636" s="250">
        <v>2503.7979999999998</v>
      </c>
    </row>
    <row r="1637" spans="1:5" x14ac:dyDescent="0.35">
      <c r="A1637" s="1" t="s">
        <v>17285</v>
      </c>
      <c r="B1637" s="1" t="s">
        <v>19</v>
      </c>
      <c r="C1637" s="1" t="s">
        <v>12282</v>
      </c>
      <c r="D1637" s="1" t="s">
        <v>19</v>
      </c>
      <c r="E1637" s="250">
        <v>2503.799</v>
      </c>
    </row>
    <row r="1638" spans="1:5" x14ac:dyDescent="0.35">
      <c r="A1638" s="1" t="s">
        <v>17286</v>
      </c>
      <c r="B1638" s="1" t="s">
        <v>19</v>
      </c>
      <c r="C1638" s="1" t="s">
        <v>12281</v>
      </c>
      <c r="D1638" s="1" t="s">
        <v>19</v>
      </c>
      <c r="E1638" s="250">
        <v>2503.8000000000002</v>
      </c>
    </row>
    <row r="1639" spans="1:5" x14ac:dyDescent="0.35">
      <c r="A1639" s="1" t="s">
        <v>17287</v>
      </c>
      <c r="B1639" s="1" t="s">
        <v>19</v>
      </c>
      <c r="C1639" s="1" t="s">
        <v>12280</v>
      </c>
      <c r="D1639" s="1" t="s">
        <v>19</v>
      </c>
      <c r="E1639" s="250">
        <v>2503.81</v>
      </c>
    </row>
    <row r="1640" spans="1:5" x14ac:dyDescent="0.35">
      <c r="A1640" s="1" t="s">
        <v>17288</v>
      </c>
      <c r="B1640" s="1" t="s">
        <v>19</v>
      </c>
      <c r="C1640" s="1" t="s">
        <v>12279</v>
      </c>
      <c r="D1640" s="1" t="s">
        <v>19</v>
      </c>
      <c r="E1640" s="250">
        <v>2503.8110000000001</v>
      </c>
    </row>
    <row r="1641" spans="1:5" x14ac:dyDescent="0.35">
      <c r="A1641" s="1" t="s">
        <v>17289</v>
      </c>
      <c r="B1641" s="1" t="s">
        <v>19</v>
      </c>
      <c r="C1641" s="1" t="s">
        <v>12278</v>
      </c>
      <c r="D1641" s="1" t="s">
        <v>19</v>
      </c>
      <c r="E1641" s="250">
        <v>2503.8119999999999</v>
      </c>
    </row>
    <row r="1642" spans="1:5" x14ac:dyDescent="0.35">
      <c r="A1642" s="1" t="s">
        <v>17290</v>
      </c>
      <c r="B1642" s="1" t="s">
        <v>19</v>
      </c>
      <c r="C1642" s="1" t="s">
        <v>12277</v>
      </c>
      <c r="D1642" s="1" t="s">
        <v>19</v>
      </c>
      <c r="E1642" s="250">
        <v>2503.8130000000001</v>
      </c>
    </row>
    <row r="1643" spans="1:5" x14ac:dyDescent="0.35">
      <c r="A1643" s="1" t="s">
        <v>17291</v>
      </c>
      <c r="B1643" s="1" t="s">
        <v>19</v>
      </c>
      <c r="C1643" s="1" t="s">
        <v>12276</v>
      </c>
      <c r="D1643" s="1" t="s">
        <v>19</v>
      </c>
      <c r="E1643" s="250">
        <v>2503.8139999999999</v>
      </c>
    </row>
    <row r="1644" spans="1:5" x14ac:dyDescent="0.35">
      <c r="A1644" s="1" t="s">
        <v>17292</v>
      </c>
      <c r="B1644" s="1" t="s">
        <v>19</v>
      </c>
      <c r="C1644" s="1" t="s">
        <v>12275</v>
      </c>
      <c r="D1644" s="1" t="s">
        <v>19</v>
      </c>
      <c r="E1644" s="250">
        <v>2503.8150000000001</v>
      </c>
    </row>
    <row r="1645" spans="1:5" x14ac:dyDescent="0.35">
      <c r="A1645" s="1" t="s">
        <v>17293</v>
      </c>
      <c r="B1645" s="1" t="s">
        <v>19</v>
      </c>
      <c r="C1645" s="1" t="s">
        <v>12274</v>
      </c>
      <c r="D1645" s="1" t="s">
        <v>19</v>
      </c>
      <c r="E1645" s="250">
        <v>2503.8159999999998</v>
      </c>
    </row>
    <row r="1646" spans="1:5" x14ac:dyDescent="0.35">
      <c r="A1646" s="1" t="s">
        <v>17294</v>
      </c>
      <c r="B1646" s="1" t="s">
        <v>19</v>
      </c>
      <c r="C1646" s="1" t="s">
        <v>12273</v>
      </c>
      <c r="D1646" s="1" t="s">
        <v>19</v>
      </c>
      <c r="E1646" s="250">
        <v>2503.817</v>
      </c>
    </row>
    <row r="1647" spans="1:5" x14ac:dyDescent="0.35">
      <c r="A1647" s="1" t="s">
        <v>17295</v>
      </c>
      <c r="B1647" s="1" t="s">
        <v>19</v>
      </c>
      <c r="C1647" s="1" t="s">
        <v>12272</v>
      </c>
      <c r="D1647" s="1" t="s">
        <v>19</v>
      </c>
      <c r="E1647" s="250">
        <v>2503.8180000000002</v>
      </c>
    </row>
    <row r="1648" spans="1:5" x14ac:dyDescent="0.35">
      <c r="A1648" s="1" t="s">
        <v>17296</v>
      </c>
      <c r="B1648" s="1" t="s">
        <v>57</v>
      </c>
      <c r="C1648" s="1" t="s">
        <v>12271</v>
      </c>
      <c r="D1648" s="1" t="s">
        <v>57</v>
      </c>
      <c r="E1648" s="250">
        <v>2503.9</v>
      </c>
    </row>
    <row r="1649" spans="1:5" x14ac:dyDescent="0.35">
      <c r="A1649" s="1" t="s">
        <v>17297</v>
      </c>
      <c r="B1649" s="1" t="s">
        <v>19</v>
      </c>
      <c r="C1649" s="1" t="s">
        <v>12270</v>
      </c>
      <c r="D1649" s="1" t="s">
        <v>19</v>
      </c>
      <c r="E1649" s="250">
        <v>2503.9009999999998</v>
      </c>
    </row>
    <row r="1650" spans="1:5" x14ac:dyDescent="0.35">
      <c r="A1650" s="1" t="s">
        <v>17298</v>
      </c>
      <c r="B1650" s="1" t="s">
        <v>19</v>
      </c>
      <c r="C1650" s="1" t="s">
        <v>12269</v>
      </c>
      <c r="D1650" s="1" t="s">
        <v>19</v>
      </c>
      <c r="E1650" s="250">
        <v>2503.902</v>
      </c>
    </row>
    <row r="1651" spans="1:5" x14ac:dyDescent="0.35">
      <c r="A1651" s="1" t="s">
        <v>17299</v>
      </c>
      <c r="B1651" s="1" t="s">
        <v>19</v>
      </c>
      <c r="C1651" s="1" t="s">
        <v>12268</v>
      </c>
      <c r="D1651" s="1" t="s">
        <v>19</v>
      </c>
      <c r="E1651" s="250">
        <v>2503.9029999999998</v>
      </c>
    </row>
    <row r="1652" spans="1:5" x14ac:dyDescent="0.35">
      <c r="A1652" s="1" t="s">
        <v>17300</v>
      </c>
      <c r="B1652" s="1" t="s">
        <v>19</v>
      </c>
      <c r="C1652" s="1" t="s">
        <v>12267</v>
      </c>
      <c r="D1652" s="1" t="s">
        <v>19</v>
      </c>
      <c r="E1652" s="250">
        <v>2503.904</v>
      </c>
    </row>
    <row r="1653" spans="1:5" x14ac:dyDescent="0.35">
      <c r="A1653" s="1" t="s">
        <v>17301</v>
      </c>
      <c r="B1653" s="1" t="s">
        <v>19</v>
      </c>
      <c r="C1653" s="1" t="s">
        <v>12266</v>
      </c>
      <c r="D1653" s="1" t="s">
        <v>19</v>
      </c>
      <c r="E1653" s="250">
        <v>2503.9050000000002</v>
      </c>
    </row>
    <row r="1654" spans="1:5" x14ac:dyDescent="0.35">
      <c r="A1654" s="1" t="s">
        <v>17302</v>
      </c>
      <c r="B1654" s="1" t="s">
        <v>19</v>
      </c>
      <c r="C1654" s="1" t="s">
        <v>12265</v>
      </c>
      <c r="D1654" s="1" t="s">
        <v>19</v>
      </c>
      <c r="E1654" s="250">
        <v>2503.9059999999999</v>
      </c>
    </row>
    <row r="1655" spans="1:5" x14ac:dyDescent="0.35">
      <c r="A1655" s="1" t="s">
        <v>17303</v>
      </c>
      <c r="B1655" s="1" t="s">
        <v>19</v>
      </c>
      <c r="C1655" s="1" t="s">
        <v>12264</v>
      </c>
      <c r="D1655" s="1" t="s">
        <v>19</v>
      </c>
      <c r="E1655" s="250">
        <v>2503.9070000000002</v>
      </c>
    </row>
    <row r="1656" spans="1:5" x14ac:dyDescent="0.35">
      <c r="A1656" s="1" t="s">
        <v>17304</v>
      </c>
      <c r="B1656" s="1" t="s">
        <v>19</v>
      </c>
      <c r="C1656" s="1" t="s">
        <v>12263</v>
      </c>
      <c r="D1656" s="1" t="s">
        <v>19</v>
      </c>
      <c r="E1656" s="250">
        <v>2503.9079999999999</v>
      </c>
    </row>
    <row r="1657" spans="1:5" x14ac:dyDescent="0.35">
      <c r="A1657" s="1" t="s">
        <v>17305</v>
      </c>
      <c r="B1657" s="1" t="s">
        <v>19</v>
      </c>
      <c r="C1657" s="1" t="s">
        <v>12262</v>
      </c>
      <c r="D1657" s="1" t="s">
        <v>19</v>
      </c>
      <c r="E1657" s="250">
        <v>2503.9090000000001</v>
      </c>
    </row>
    <row r="1658" spans="1:5" x14ac:dyDescent="0.35">
      <c r="A1658" s="1" t="s">
        <v>17306</v>
      </c>
      <c r="B1658" s="1" t="s">
        <v>19</v>
      </c>
      <c r="C1658" s="1" t="s">
        <v>12261</v>
      </c>
      <c r="D1658" s="1" t="s">
        <v>19</v>
      </c>
      <c r="E1658" s="250">
        <v>2503.91</v>
      </c>
    </row>
    <row r="1659" spans="1:5" x14ac:dyDescent="0.35">
      <c r="A1659" s="1" t="s">
        <v>17307</v>
      </c>
      <c r="B1659" s="1" t="s">
        <v>19</v>
      </c>
      <c r="C1659" s="1" t="s">
        <v>12260</v>
      </c>
      <c r="D1659" s="1" t="s">
        <v>19</v>
      </c>
      <c r="E1659" s="250">
        <v>2503.9110000000001</v>
      </c>
    </row>
    <row r="1660" spans="1:5" x14ac:dyDescent="0.35">
      <c r="A1660" s="1" t="s">
        <v>17308</v>
      </c>
      <c r="B1660" s="1" t="s">
        <v>19</v>
      </c>
      <c r="C1660" s="1" t="s">
        <v>12259</v>
      </c>
      <c r="D1660" s="1" t="s">
        <v>19</v>
      </c>
      <c r="E1660" s="250">
        <v>2503.9119999999998</v>
      </c>
    </row>
    <row r="1661" spans="1:5" x14ac:dyDescent="0.35">
      <c r="A1661" s="1" t="s">
        <v>17309</v>
      </c>
      <c r="B1661" s="1" t="s">
        <v>19</v>
      </c>
      <c r="C1661" s="1" t="s">
        <v>12258</v>
      </c>
      <c r="D1661" s="1" t="s">
        <v>19</v>
      </c>
      <c r="E1661" s="250">
        <v>2503.913</v>
      </c>
    </row>
    <row r="1662" spans="1:5" x14ac:dyDescent="0.35">
      <c r="A1662" s="1" t="s">
        <v>17310</v>
      </c>
      <c r="B1662" s="1" t="s">
        <v>19</v>
      </c>
      <c r="C1662" s="1" t="s">
        <v>12257</v>
      </c>
      <c r="D1662" s="1" t="s">
        <v>19</v>
      </c>
      <c r="E1662" s="250">
        <v>2503.9140000000002</v>
      </c>
    </row>
    <row r="1663" spans="1:5" x14ac:dyDescent="0.35">
      <c r="A1663" s="1" t="s">
        <v>17311</v>
      </c>
      <c r="B1663" s="1" t="s">
        <v>19</v>
      </c>
      <c r="C1663" s="1" t="s">
        <v>12256</v>
      </c>
      <c r="D1663" s="1" t="s">
        <v>19</v>
      </c>
      <c r="E1663" s="250">
        <v>2503.915</v>
      </c>
    </row>
    <row r="1664" spans="1:5" x14ac:dyDescent="0.35">
      <c r="A1664" s="1" t="s">
        <v>17312</v>
      </c>
      <c r="B1664" s="1" t="s">
        <v>19</v>
      </c>
      <c r="C1664" s="1" t="s">
        <v>12255</v>
      </c>
      <c r="D1664" s="1" t="s">
        <v>19</v>
      </c>
      <c r="E1664" s="250">
        <v>2503.9160000000002</v>
      </c>
    </row>
    <row r="1665" spans="1:5" x14ac:dyDescent="0.35">
      <c r="A1665" s="1" t="s">
        <v>17313</v>
      </c>
      <c r="B1665" s="1" t="s">
        <v>19</v>
      </c>
      <c r="C1665" s="1" t="s">
        <v>12254</v>
      </c>
      <c r="D1665" s="1" t="s">
        <v>19</v>
      </c>
      <c r="E1665" s="250">
        <v>2503.9169999999999</v>
      </c>
    </row>
    <row r="1666" spans="1:5" x14ac:dyDescent="0.35">
      <c r="A1666" s="1" t="s">
        <v>17314</v>
      </c>
      <c r="B1666" s="1" t="s">
        <v>19</v>
      </c>
      <c r="C1666" s="1" t="s">
        <v>12253</v>
      </c>
      <c r="D1666" s="1" t="s">
        <v>19</v>
      </c>
      <c r="E1666" s="250">
        <v>2503.9180000000001</v>
      </c>
    </row>
    <row r="1667" spans="1:5" x14ac:dyDescent="0.35">
      <c r="A1667" s="1" t="s">
        <v>17315</v>
      </c>
      <c r="B1667" s="1" t="s">
        <v>19</v>
      </c>
      <c r="C1667" s="1" t="s">
        <v>12252</v>
      </c>
      <c r="D1667" s="1" t="s">
        <v>19</v>
      </c>
      <c r="E1667" s="250">
        <v>2503.9189999999999</v>
      </c>
    </row>
    <row r="1668" spans="1:5" x14ac:dyDescent="0.35">
      <c r="A1668" s="1" t="s">
        <v>17316</v>
      </c>
      <c r="B1668" s="1" t="s">
        <v>19</v>
      </c>
      <c r="C1668" s="1" t="s">
        <v>12251</v>
      </c>
      <c r="D1668" s="1" t="s">
        <v>19</v>
      </c>
      <c r="E1668" s="250">
        <v>2503.9209999999998</v>
      </c>
    </row>
    <row r="1669" spans="1:5" x14ac:dyDescent="0.35">
      <c r="A1669" s="1" t="s">
        <v>17317</v>
      </c>
      <c r="B1669" s="1" t="s">
        <v>19</v>
      </c>
      <c r="C1669" s="1" t="s">
        <v>12250</v>
      </c>
      <c r="D1669" s="1" t="s">
        <v>19</v>
      </c>
      <c r="E1669" s="250">
        <v>2503.922</v>
      </c>
    </row>
    <row r="1670" spans="1:5" x14ac:dyDescent="0.35">
      <c r="A1670" s="1" t="s">
        <v>17318</v>
      </c>
      <c r="B1670" s="1" t="s">
        <v>19</v>
      </c>
      <c r="C1670" s="1" t="s">
        <v>12249</v>
      </c>
      <c r="D1670" s="1" t="s">
        <v>19</v>
      </c>
      <c r="E1670" s="250">
        <v>2503.9229999999998</v>
      </c>
    </row>
    <row r="1671" spans="1:5" x14ac:dyDescent="0.35">
      <c r="A1671" s="1" t="s">
        <v>17319</v>
      </c>
      <c r="B1671" s="1" t="s">
        <v>19</v>
      </c>
      <c r="C1671" s="1" t="s">
        <v>12248</v>
      </c>
      <c r="D1671" s="1" t="s">
        <v>19</v>
      </c>
      <c r="E1671" s="250">
        <v>2503.924</v>
      </c>
    </row>
    <row r="1672" spans="1:5" x14ac:dyDescent="0.35">
      <c r="A1672" s="1" t="s">
        <v>17320</v>
      </c>
      <c r="B1672" s="1" t="s">
        <v>19</v>
      </c>
      <c r="C1672" s="1" t="s">
        <v>12247</v>
      </c>
      <c r="D1672" s="1" t="s">
        <v>19</v>
      </c>
      <c r="E1672" s="250">
        <v>2503.9250000000002</v>
      </c>
    </row>
    <row r="1673" spans="1:5" x14ac:dyDescent="0.35">
      <c r="A1673" s="1" t="s">
        <v>17321</v>
      </c>
      <c r="B1673" s="1" t="s">
        <v>19</v>
      </c>
      <c r="C1673" s="1" t="s">
        <v>12246</v>
      </c>
      <c r="D1673" s="1" t="s">
        <v>19</v>
      </c>
      <c r="E1673" s="250">
        <v>2503.9259999999999</v>
      </c>
    </row>
    <row r="1674" spans="1:5" x14ac:dyDescent="0.35">
      <c r="A1674" s="1" t="s">
        <v>17322</v>
      </c>
      <c r="B1674" s="1" t="s">
        <v>19</v>
      </c>
      <c r="C1674" s="1" t="s">
        <v>12245</v>
      </c>
      <c r="D1674" s="1" t="s">
        <v>19</v>
      </c>
      <c r="E1674" s="250">
        <v>2503.9270000000001</v>
      </c>
    </row>
    <row r="1675" spans="1:5" x14ac:dyDescent="0.35">
      <c r="A1675" s="1" t="s">
        <v>17323</v>
      </c>
      <c r="B1675" s="1" t="s">
        <v>19</v>
      </c>
      <c r="C1675" s="1" t="s">
        <v>12244</v>
      </c>
      <c r="D1675" s="1" t="s">
        <v>19</v>
      </c>
      <c r="E1675" s="250">
        <v>2503.9279999999999</v>
      </c>
    </row>
    <row r="1676" spans="1:5" x14ac:dyDescent="0.35">
      <c r="A1676" s="1" t="s">
        <v>17324</v>
      </c>
      <c r="B1676" s="1" t="s">
        <v>19</v>
      </c>
      <c r="C1676" s="1" t="s">
        <v>12243</v>
      </c>
      <c r="D1676" s="1" t="s">
        <v>19</v>
      </c>
      <c r="E1676" s="250">
        <v>2503.931</v>
      </c>
    </row>
    <row r="1677" spans="1:5" x14ac:dyDescent="0.35">
      <c r="A1677" s="1" t="s">
        <v>17325</v>
      </c>
      <c r="B1677" s="1" t="s">
        <v>19</v>
      </c>
      <c r="C1677" s="1" t="s">
        <v>12242</v>
      </c>
      <c r="D1677" s="1" t="s">
        <v>19</v>
      </c>
      <c r="E1677" s="250">
        <v>2503.9319999999998</v>
      </c>
    </row>
    <row r="1678" spans="1:5" x14ac:dyDescent="0.35">
      <c r="A1678" s="1" t="s">
        <v>17326</v>
      </c>
      <c r="B1678" s="1" t="s">
        <v>19</v>
      </c>
      <c r="C1678" s="1" t="s">
        <v>12241</v>
      </c>
      <c r="D1678" s="1" t="s">
        <v>19</v>
      </c>
      <c r="E1678" s="250">
        <v>2503.933</v>
      </c>
    </row>
    <row r="1679" spans="1:5" x14ac:dyDescent="0.35">
      <c r="A1679" s="1" t="s">
        <v>17327</v>
      </c>
      <c r="B1679" s="1" t="s">
        <v>19</v>
      </c>
      <c r="C1679" s="1" t="s">
        <v>12240</v>
      </c>
      <c r="D1679" s="1" t="s">
        <v>19</v>
      </c>
      <c r="E1679" s="250">
        <v>2503.9340000000002</v>
      </c>
    </row>
    <row r="1680" spans="1:5" x14ac:dyDescent="0.35">
      <c r="A1680" s="1" t="s">
        <v>17328</v>
      </c>
      <c r="B1680" s="1" t="s">
        <v>19</v>
      </c>
      <c r="C1680" s="1" t="s">
        <v>12239</v>
      </c>
      <c r="D1680" s="1" t="s">
        <v>19</v>
      </c>
      <c r="E1680" s="250">
        <v>2503.9349999999999</v>
      </c>
    </row>
    <row r="1681" spans="1:5" x14ac:dyDescent="0.35">
      <c r="A1681" s="1" t="s">
        <v>17329</v>
      </c>
      <c r="B1681" s="1" t="s">
        <v>19</v>
      </c>
      <c r="C1681" s="1" t="s">
        <v>12238</v>
      </c>
      <c r="D1681" s="1" t="s">
        <v>19</v>
      </c>
      <c r="E1681" s="250">
        <v>2503.9360000000001</v>
      </c>
    </row>
    <row r="1682" spans="1:5" x14ac:dyDescent="0.35">
      <c r="A1682" s="1" t="s">
        <v>17330</v>
      </c>
      <c r="B1682" s="1" t="s">
        <v>19</v>
      </c>
      <c r="C1682" s="1" t="s">
        <v>12237</v>
      </c>
      <c r="D1682" s="1" t="s">
        <v>19</v>
      </c>
      <c r="E1682" s="250">
        <v>2503.9369999999999</v>
      </c>
    </row>
    <row r="1683" spans="1:5" x14ac:dyDescent="0.35">
      <c r="A1683" s="1" t="s">
        <v>17331</v>
      </c>
      <c r="B1683" s="1" t="s">
        <v>19</v>
      </c>
      <c r="C1683" s="1" t="s">
        <v>12236</v>
      </c>
      <c r="D1683" s="1" t="s">
        <v>19</v>
      </c>
      <c r="E1683" s="250">
        <v>2503.9380000000001</v>
      </c>
    </row>
    <row r="1684" spans="1:5" x14ac:dyDescent="0.35">
      <c r="A1684" s="1" t="s">
        <v>17332</v>
      </c>
      <c r="B1684" s="1" t="s">
        <v>19</v>
      </c>
      <c r="C1684" s="1" t="s">
        <v>12235</v>
      </c>
      <c r="D1684" s="1" t="s">
        <v>19</v>
      </c>
      <c r="E1684" s="250">
        <v>2503.9389999999999</v>
      </c>
    </row>
    <row r="1685" spans="1:5" x14ac:dyDescent="0.35">
      <c r="A1685" s="1" t="s">
        <v>17333</v>
      </c>
      <c r="B1685" s="1" t="s">
        <v>19</v>
      </c>
      <c r="C1685" s="1" t="s">
        <v>12234</v>
      </c>
      <c r="D1685" s="1" t="s">
        <v>19</v>
      </c>
      <c r="E1685" s="250">
        <v>2503.94</v>
      </c>
    </row>
    <row r="1686" spans="1:5" x14ac:dyDescent="0.35">
      <c r="A1686" s="1" t="s">
        <v>17334</v>
      </c>
      <c r="B1686" s="1" t="s">
        <v>19</v>
      </c>
      <c r="C1686" s="1" t="s">
        <v>12233</v>
      </c>
      <c r="D1686" s="1" t="s">
        <v>19</v>
      </c>
      <c r="E1686" s="250">
        <v>2503.9409999999998</v>
      </c>
    </row>
    <row r="1687" spans="1:5" x14ac:dyDescent="0.35">
      <c r="A1687" s="1" t="s">
        <v>17335</v>
      </c>
      <c r="B1687" s="1" t="s">
        <v>19</v>
      </c>
      <c r="C1687" s="1" t="s">
        <v>12232</v>
      </c>
      <c r="D1687" s="1" t="s">
        <v>19</v>
      </c>
      <c r="E1687" s="250">
        <v>2503.942</v>
      </c>
    </row>
    <row r="1688" spans="1:5" x14ac:dyDescent="0.35">
      <c r="A1688" s="1" t="s">
        <v>17336</v>
      </c>
      <c r="B1688" s="1" t="s">
        <v>19</v>
      </c>
      <c r="C1688" s="1" t="s">
        <v>12231</v>
      </c>
      <c r="D1688" s="1" t="s">
        <v>19</v>
      </c>
      <c r="E1688" s="250">
        <v>2503.9430000000002</v>
      </c>
    </row>
    <row r="1689" spans="1:5" x14ac:dyDescent="0.35">
      <c r="A1689" s="1" t="s">
        <v>17337</v>
      </c>
      <c r="B1689" s="1" t="s">
        <v>19</v>
      </c>
      <c r="C1689" s="1" t="s">
        <v>12230</v>
      </c>
      <c r="D1689" s="1" t="s">
        <v>19</v>
      </c>
      <c r="E1689" s="250">
        <v>2503.951</v>
      </c>
    </row>
    <row r="1690" spans="1:5" x14ac:dyDescent="0.35">
      <c r="A1690" s="1" t="s">
        <v>17338</v>
      </c>
      <c r="B1690" s="1" t="s">
        <v>19</v>
      </c>
      <c r="C1690" s="1" t="s">
        <v>12229</v>
      </c>
      <c r="D1690" s="1" t="s">
        <v>19</v>
      </c>
      <c r="E1690" s="250">
        <v>2503.9520000000002</v>
      </c>
    </row>
    <row r="1691" spans="1:5" x14ac:dyDescent="0.35">
      <c r="A1691" s="1" t="s">
        <v>17339</v>
      </c>
      <c r="B1691" s="1" t="s">
        <v>19</v>
      </c>
      <c r="C1691" s="1" t="s">
        <v>12228</v>
      </c>
      <c r="D1691" s="1" t="s">
        <v>19</v>
      </c>
      <c r="E1691" s="250">
        <v>2503.953</v>
      </c>
    </row>
    <row r="1692" spans="1:5" x14ac:dyDescent="0.35">
      <c r="A1692" s="1" t="s">
        <v>17340</v>
      </c>
      <c r="B1692" s="1" t="s">
        <v>19</v>
      </c>
      <c r="C1692" s="1" t="s">
        <v>12227</v>
      </c>
      <c r="D1692" s="1" t="s">
        <v>19</v>
      </c>
      <c r="E1692" s="250">
        <v>2503.9540000000002</v>
      </c>
    </row>
    <row r="1693" spans="1:5" x14ac:dyDescent="0.35">
      <c r="A1693" s="1" t="s">
        <v>17341</v>
      </c>
      <c r="B1693" s="1" t="s">
        <v>19</v>
      </c>
      <c r="C1693" s="1" t="s">
        <v>12226</v>
      </c>
      <c r="D1693" s="1" t="s">
        <v>19</v>
      </c>
      <c r="E1693" s="250">
        <v>2503.9609999999998</v>
      </c>
    </row>
    <row r="1694" spans="1:5" x14ac:dyDescent="0.35">
      <c r="A1694" s="1" t="s">
        <v>17342</v>
      </c>
      <c r="B1694" s="1" t="s">
        <v>19</v>
      </c>
      <c r="C1694" s="1" t="s">
        <v>12225</v>
      </c>
      <c r="D1694" s="1" t="s">
        <v>19</v>
      </c>
      <c r="E1694" s="250">
        <v>2503.962</v>
      </c>
    </row>
    <row r="1695" spans="1:5" x14ac:dyDescent="0.35">
      <c r="A1695" s="1" t="s">
        <v>17343</v>
      </c>
      <c r="B1695" s="1" t="s">
        <v>19</v>
      </c>
      <c r="C1695" s="1" t="s">
        <v>12224</v>
      </c>
      <c r="D1695" s="1" t="s">
        <v>19</v>
      </c>
      <c r="E1695" s="250">
        <v>2503.9630000000002</v>
      </c>
    </row>
    <row r="1696" spans="1:5" x14ac:dyDescent="0.35">
      <c r="A1696" s="1" t="s">
        <v>17344</v>
      </c>
      <c r="B1696" s="1" t="s">
        <v>19</v>
      </c>
      <c r="C1696" s="1" t="s">
        <v>12223</v>
      </c>
      <c r="D1696" s="1" t="s">
        <v>19</v>
      </c>
      <c r="E1696" s="250">
        <v>2503.9639999999999</v>
      </c>
    </row>
    <row r="1697" spans="1:5" x14ac:dyDescent="0.35">
      <c r="A1697" s="1" t="s">
        <v>17345</v>
      </c>
      <c r="B1697" s="1" t="s">
        <v>19</v>
      </c>
      <c r="C1697" s="1" t="s">
        <v>12222</v>
      </c>
      <c r="D1697" s="1" t="s">
        <v>19</v>
      </c>
      <c r="E1697" s="250">
        <v>2503.9650000000001</v>
      </c>
    </row>
    <row r="1698" spans="1:5" x14ac:dyDescent="0.35">
      <c r="A1698" s="1" t="s">
        <v>17346</v>
      </c>
      <c r="B1698" s="1" t="s">
        <v>19</v>
      </c>
      <c r="C1698" s="1" t="s">
        <v>12221</v>
      </c>
      <c r="D1698" s="1" t="s">
        <v>19</v>
      </c>
      <c r="E1698" s="250">
        <v>2503.9659999999999</v>
      </c>
    </row>
    <row r="1699" spans="1:5" x14ac:dyDescent="0.35">
      <c r="A1699" s="1" t="s">
        <v>17347</v>
      </c>
      <c r="B1699" s="1" t="s">
        <v>19</v>
      </c>
      <c r="C1699" s="1" t="s">
        <v>12220</v>
      </c>
      <c r="D1699" s="1" t="s">
        <v>19</v>
      </c>
      <c r="E1699" s="250">
        <v>2503.9670000000001</v>
      </c>
    </row>
    <row r="1700" spans="1:5" x14ac:dyDescent="0.35">
      <c r="A1700" s="1" t="s">
        <v>17348</v>
      </c>
      <c r="B1700" s="1" t="s">
        <v>19</v>
      </c>
      <c r="C1700" s="1" t="s">
        <v>12219</v>
      </c>
      <c r="D1700" s="1" t="s">
        <v>19</v>
      </c>
      <c r="E1700" s="250">
        <v>2503.9679999999998</v>
      </c>
    </row>
    <row r="1701" spans="1:5" x14ac:dyDescent="0.35">
      <c r="A1701" s="1" t="s">
        <v>17349</v>
      </c>
      <c r="B1701" s="1" t="s">
        <v>19</v>
      </c>
      <c r="C1701" s="1" t="s">
        <v>12218</v>
      </c>
      <c r="D1701" s="1" t="s">
        <v>19</v>
      </c>
      <c r="E1701" s="250">
        <v>2503.9690000000001</v>
      </c>
    </row>
    <row r="1702" spans="1:5" x14ac:dyDescent="0.35">
      <c r="A1702" s="1" t="s">
        <v>17350</v>
      </c>
      <c r="B1702" s="1" t="s">
        <v>19</v>
      </c>
      <c r="C1702" s="1" t="s">
        <v>12217</v>
      </c>
      <c r="D1702" s="1" t="s">
        <v>19</v>
      </c>
      <c r="E1702" s="250">
        <v>2503.9699999999998</v>
      </c>
    </row>
    <row r="1703" spans="1:5" x14ac:dyDescent="0.35">
      <c r="A1703" s="1" t="s">
        <v>17351</v>
      </c>
      <c r="B1703" s="1" t="s">
        <v>19</v>
      </c>
      <c r="C1703" s="1" t="s">
        <v>12216</v>
      </c>
      <c r="D1703" s="1" t="s">
        <v>19</v>
      </c>
      <c r="E1703" s="250">
        <v>2503.971</v>
      </c>
    </row>
    <row r="1704" spans="1:5" x14ac:dyDescent="0.35">
      <c r="A1704" s="1" t="s">
        <v>17352</v>
      </c>
      <c r="B1704" s="1" t="s">
        <v>19</v>
      </c>
      <c r="C1704" s="1" t="s">
        <v>12215</v>
      </c>
      <c r="D1704" s="1" t="s">
        <v>19</v>
      </c>
      <c r="E1704" s="250">
        <v>2503.9720000000002</v>
      </c>
    </row>
    <row r="1705" spans="1:5" x14ac:dyDescent="0.35">
      <c r="A1705" s="1" t="s">
        <v>17353</v>
      </c>
      <c r="B1705" s="1" t="s">
        <v>19</v>
      </c>
      <c r="C1705" s="1" t="s">
        <v>12214</v>
      </c>
      <c r="D1705" s="1" t="s">
        <v>19</v>
      </c>
      <c r="E1705" s="250">
        <v>2503.973</v>
      </c>
    </row>
    <row r="1706" spans="1:5" x14ac:dyDescent="0.35">
      <c r="A1706" s="1" t="s">
        <v>17354</v>
      </c>
      <c r="B1706" s="1" t="s">
        <v>19</v>
      </c>
      <c r="C1706" s="1" t="s">
        <v>12213</v>
      </c>
      <c r="D1706" s="1" t="s">
        <v>19</v>
      </c>
      <c r="E1706" s="250">
        <v>2503.9740000000002</v>
      </c>
    </row>
    <row r="1707" spans="1:5" x14ac:dyDescent="0.35">
      <c r="A1707" s="1" t="s">
        <v>17355</v>
      </c>
      <c r="B1707" s="1" t="s">
        <v>19</v>
      </c>
      <c r="C1707" s="1" t="s">
        <v>12212</v>
      </c>
      <c r="D1707" s="1" t="s">
        <v>19</v>
      </c>
      <c r="E1707" s="250">
        <v>2503.9749999999999</v>
      </c>
    </row>
    <row r="1708" spans="1:5" x14ac:dyDescent="0.35">
      <c r="A1708" s="1" t="s">
        <v>17356</v>
      </c>
      <c r="B1708" s="1" t="s">
        <v>19</v>
      </c>
      <c r="C1708" s="1" t="s">
        <v>12211</v>
      </c>
      <c r="D1708" s="1" t="s">
        <v>19</v>
      </c>
      <c r="E1708" s="250">
        <v>2503.9760000000001</v>
      </c>
    </row>
    <row r="1709" spans="1:5" x14ac:dyDescent="0.35">
      <c r="A1709" s="1" t="s">
        <v>17357</v>
      </c>
      <c r="B1709" s="1" t="s">
        <v>19</v>
      </c>
      <c r="C1709" s="1" t="s">
        <v>12210</v>
      </c>
      <c r="D1709" s="1" t="s">
        <v>19</v>
      </c>
      <c r="E1709" s="250">
        <v>2503.9769999999999</v>
      </c>
    </row>
    <row r="1710" spans="1:5" x14ac:dyDescent="0.35">
      <c r="A1710" s="1" t="s">
        <v>17358</v>
      </c>
      <c r="B1710" s="1" t="s">
        <v>19</v>
      </c>
      <c r="C1710" s="1" t="s">
        <v>12209</v>
      </c>
      <c r="D1710" s="1" t="s">
        <v>19</v>
      </c>
      <c r="E1710" s="250">
        <v>2503.9810000000002</v>
      </c>
    </row>
    <row r="1711" spans="1:5" x14ac:dyDescent="0.35">
      <c r="A1711" s="1" t="s">
        <v>17359</v>
      </c>
      <c r="B1711" s="1" t="s">
        <v>19</v>
      </c>
      <c r="C1711" s="1" t="s">
        <v>12208</v>
      </c>
      <c r="D1711" s="1" t="s">
        <v>19</v>
      </c>
      <c r="E1711" s="250">
        <v>2503.982</v>
      </c>
    </row>
    <row r="1712" spans="1:5" x14ac:dyDescent="0.35">
      <c r="A1712" s="1" t="s">
        <v>17360</v>
      </c>
      <c r="B1712" s="1" t="s">
        <v>19</v>
      </c>
      <c r="C1712" s="1" t="s">
        <v>12207</v>
      </c>
      <c r="D1712" s="1" t="s">
        <v>19</v>
      </c>
      <c r="E1712" s="250">
        <v>2503.9830000000002</v>
      </c>
    </row>
    <row r="1713" spans="1:5" x14ac:dyDescent="0.35">
      <c r="A1713" s="1" t="s">
        <v>17361</v>
      </c>
      <c r="B1713" s="1" t="s">
        <v>19</v>
      </c>
      <c r="C1713" s="1" t="s">
        <v>12206</v>
      </c>
      <c r="D1713" s="1" t="s">
        <v>19</v>
      </c>
      <c r="E1713" s="250">
        <v>2503.9839999999999</v>
      </c>
    </row>
    <row r="1714" spans="1:5" x14ac:dyDescent="0.35">
      <c r="A1714" s="1" t="s">
        <v>17362</v>
      </c>
      <c r="B1714" s="1" t="s">
        <v>19</v>
      </c>
      <c r="C1714" s="1" t="s">
        <v>12205</v>
      </c>
      <c r="D1714" s="1" t="s">
        <v>19</v>
      </c>
      <c r="E1714" s="250">
        <v>2503.9850000000001</v>
      </c>
    </row>
    <row r="1715" spans="1:5" x14ac:dyDescent="0.35">
      <c r="A1715" s="1" t="s">
        <v>17363</v>
      </c>
      <c r="B1715" s="1" t="s">
        <v>19</v>
      </c>
      <c r="C1715" s="1" t="s">
        <v>12204</v>
      </c>
      <c r="D1715" s="1" t="s">
        <v>19</v>
      </c>
      <c r="E1715" s="250">
        <v>2503.9859999999999</v>
      </c>
    </row>
    <row r="1716" spans="1:5" x14ac:dyDescent="0.35">
      <c r="A1716" s="1" t="s">
        <v>17364</v>
      </c>
      <c r="B1716" s="1" t="s">
        <v>19</v>
      </c>
      <c r="C1716" s="1" t="s">
        <v>12203</v>
      </c>
      <c r="D1716" s="1" t="s">
        <v>19</v>
      </c>
      <c r="E1716" s="250">
        <v>2503.9870000000001</v>
      </c>
    </row>
    <row r="1717" spans="1:5" x14ac:dyDescent="0.35">
      <c r="A1717" s="2" t="s">
        <v>17365</v>
      </c>
      <c r="B1717" s="1" t="s">
        <v>57</v>
      </c>
      <c r="C1717" s="1" t="s">
        <v>12202</v>
      </c>
      <c r="D1717" s="1" t="s">
        <v>57</v>
      </c>
      <c r="E1717" s="250">
        <v>2504</v>
      </c>
    </row>
    <row r="1718" spans="1:5" x14ac:dyDescent="0.35">
      <c r="A1718" s="1" t="s">
        <v>17366</v>
      </c>
      <c r="B1718" s="1" t="s">
        <v>19</v>
      </c>
      <c r="C1718" s="1" t="s">
        <v>12201</v>
      </c>
      <c r="D1718" s="1" t="s">
        <v>19</v>
      </c>
      <c r="E1718" s="250">
        <v>2504.0010000000002</v>
      </c>
    </row>
    <row r="1719" spans="1:5" x14ac:dyDescent="0.35">
      <c r="A1719" s="1" t="s">
        <v>17367</v>
      </c>
      <c r="B1719" s="1" t="s">
        <v>19</v>
      </c>
      <c r="C1719" s="1" t="s">
        <v>12200</v>
      </c>
      <c r="D1719" s="1" t="s">
        <v>19</v>
      </c>
      <c r="E1719" s="250">
        <v>2504.002</v>
      </c>
    </row>
    <row r="1720" spans="1:5" x14ac:dyDescent="0.35">
      <c r="A1720" s="1" t="s">
        <v>17368</v>
      </c>
      <c r="B1720" s="1" t="s">
        <v>19</v>
      </c>
      <c r="C1720" s="1" t="s">
        <v>12199</v>
      </c>
      <c r="D1720" s="1" t="s">
        <v>19</v>
      </c>
      <c r="E1720" s="250">
        <v>2504.0030000000002</v>
      </c>
    </row>
    <row r="1721" spans="1:5" x14ac:dyDescent="0.35">
      <c r="A1721" s="1" t="s">
        <v>17369</v>
      </c>
      <c r="B1721" s="1" t="s">
        <v>19</v>
      </c>
      <c r="C1721" s="1" t="s">
        <v>12198</v>
      </c>
      <c r="D1721" s="1" t="s">
        <v>19</v>
      </c>
      <c r="E1721" s="250">
        <v>2504.0039999999999</v>
      </c>
    </row>
    <row r="1722" spans="1:5" x14ac:dyDescent="0.35">
      <c r="A1722" s="1" t="s">
        <v>17370</v>
      </c>
      <c r="B1722" s="1" t="s">
        <v>19</v>
      </c>
      <c r="C1722" s="1" t="s">
        <v>12197</v>
      </c>
      <c r="D1722" s="1" t="s">
        <v>19</v>
      </c>
      <c r="E1722" s="250">
        <v>2504.0050000000001</v>
      </c>
    </row>
    <row r="1723" spans="1:5" x14ac:dyDescent="0.35">
      <c r="A1723" s="1" t="s">
        <v>17371</v>
      </c>
      <c r="B1723" s="1" t="s">
        <v>19</v>
      </c>
      <c r="C1723" s="1" t="s">
        <v>12196</v>
      </c>
      <c r="D1723" s="1" t="s">
        <v>19</v>
      </c>
      <c r="E1723" s="250">
        <v>2504.0059999999999</v>
      </c>
    </row>
    <row r="1724" spans="1:5" x14ac:dyDescent="0.35">
      <c r="A1724" s="1" t="s">
        <v>17372</v>
      </c>
      <c r="B1724" s="1" t="s">
        <v>19</v>
      </c>
      <c r="C1724" s="1" t="s">
        <v>12195</v>
      </c>
      <c r="D1724" s="1" t="s">
        <v>19</v>
      </c>
      <c r="E1724" s="250">
        <v>2504.0070000000001</v>
      </c>
    </row>
    <row r="1725" spans="1:5" x14ac:dyDescent="0.35">
      <c r="A1725" s="1" t="s">
        <v>17373</v>
      </c>
      <c r="B1725" s="1" t="s">
        <v>19</v>
      </c>
      <c r="C1725" s="1" t="s">
        <v>12194</v>
      </c>
      <c r="D1725" s="1" t="s">
        <v>19</v>
      </c>
      <c r="E1725" s="250">
        <v>2504.0079999999998</v>
      </c>
    </row>
    <row r="1726" spans="1:5" x14ac:dyDescent="0.35">
      <c r="A1726" s="1" t="s">
        <v>17374</v>
      </c>
      <c r="B1726" s="1" t="s">
        <v>19</v>
      </c>
      <c r="C1726" s="1" t="s">
        <v>12193</v>
      </c>
      <c r="D1726" s="1" t="s">
        <v>19</v>
      </c>
      <c r="E1726" s="250">
        <v>2504.009</v>
      </c>
    </row>
    <row r="1727" spans="1:5" x14ac:dyDescent="0.35">
      <c r="A1727" s="1" t="s">
        <v>17375</v>
      </c>
      <c r="B1727" s="1" t="s">
        <v>19</v>
      </c>
      <c r="C1727" s="1" t="s">
        <v>12192</v>
      </c>
      <c r="D1727" s="1" t="s">
        <v>19</v>
      </c>
      <c r="E1727" s="250">
        <v>2504.0100000000002</v>
      </c>
    </row>
    <row r="1728" spans="1:5" x14ac:dyDescent="0.35">
      <c r="A1728" s="1" t="s">
        <v>17376</v>
      </c>
      <c r="B1728" s="1" t="s">
        <v>19</v>
      </c>
      <c r="C1728" s="1" t="s">
        <v>12191</v>
      </c>
      <c r="D1728" s="1" t="s">
        <v>19</v>
      </c>
      <c r="E1728" s="250">
        <v>2504.011</v>
      </c>
    </row>
    <row r="1729" spans="1:5" x14ac:dyDescent="0.35">
      <c r="A1729" s="1" t="s">
        <v>17377</v>
      </c>
      <c r="B1729" s="1" t="s">
        <v>19</v>
      </c>
      <c r="C1729" s="1" t="s">
        <v>12190</v>
      </c>
      <c r="D1729" s="1" t="s">
        <v>19</v>
      </c>
      <c r="E1729" s="250">
        <v>2504.0120000000002</v>
      </c>
    </row>
    <row r="1730" spans="1:5" x14ac:dyDescent="0.35">
      <c r="A1730" s="1" t="s">
        <v>17378</v>
      </c>
      <c r="B1730" s="1" t="s">
        <v>19</v>
      </c>
      <c r="C1730" s="1" t="s">
        <v>12189</v>
      </c>
      <c r="D1730" s="1" t="s">
        <v>19</v>
      </c>
      <c r="E1730" s="250">
        <v>2504.0129999999999</v>
      </c>
    </row>
    <row r="1731" spans="1:5" x14ac:dyDescent="0.35">
      <c r="A1731" s="1" t="s">
        <v>17379</v>
      </c>
      <c r="B1731" s="1" t="s">
        <v>19</v>
      </c>
      <c r="C1731" s="1" t="s">
        <v>12188</v>
      </c>
      <c r="D1731" s="1" t="s">
        <v>19</v>
      </c>
      <c r="E1731" s="250">
        <v>2504.0140000000001</v>
      </c>
    </row>
    <row r="1732" spans="1:5" x14ac:dyDescent="0.35">
      <c r="A1732" s="1" t="s">
        <v>17380</v>
      </c>
      <c r="B1732" s="1" t="s">
        <v>19</v>
      </c>
      <c r="C1732" s="1" t="s">
        <v>12187</v>
      </c>
      <c r="D1732" s="1" t="s">
        <v>19</v>
      </c>
      <c r="E1732" s="250">
        <v>2504.0149999999999</v>
      </c>
    </row>
    <row r="1733" spans="1:5" x14ac:dyDescent="0.35">
      <c r="A1733" s="1" t="s">
        <v>17381</v>
      </c>
      <c r="B1733" s="1" t="s">
        <v>19</v>
      </c>
      <c r="C1733" s="1" t="s">
        <v>12186</v>
      </c>
      <c r="D1733" s="1" t="s">
        <v>19</v>
      </c>
      <c r="E1733" s="250">
        <v>2504.0160000000001</v>
      </c>
    </row>
    <row r="1734" spans="1:5" x14ac:dyDescent="0.35">
      <c r="A1734" s="1" t="s">
        <v>17382</v>
      </c>
      <c r="B1734" s="1" t="s">
        <v>19</v>
      </c>
      <c r="C1734" s="1" t="s">
        <v>12185</v>
      </c>
      <c r="D1734" s="1" t="s">
        <v>19</v>
      </c>
      <c r="E1734" s="250">
        <v>2504.0169999999998</v>
      </c>
    </row>
    <row r="1735" spans="1:5" x14ac:dyDescent="0.35">
      <c r="A1735" s="1" t="s">
        <v>17383</v>
      </c>
      <c r="B1735" s="1" t="s">
        <v>19</v>
      </c>
      <c r="C1735" s="1" t="s">
        <v>12184</v>
      </c>
      <c r="D1735" s="1" t="s">
        <v>19</v>
      </c>
      <c r="E1735" s="250">
        <v>2504.018</v>
      </c>
    </row>
    <row r="1736" spans="1:5" x14ac:dyDescent="0.35">
      <c r="A1736" s="1" t="s">
        <v>17384</v>
      </c>
      <c r="B1736" s="1" t="s">
        <v>19</v>
      </c>
      <c r="C1736" s="1" t="s">
        <v>12183</v>
      </c>
      <c r="D1736" s="1" t="s">
        <v>19</v>
      </c>
      <c r="E1736" s="250">
        <v>2504.0189999999998</v>
      </c>
    </row>
    <row r="1737" spans="1:5" x14ac:dyDescent="0.35">
      <c r="A1737" s="1" t="s">
        <v>17385</v>
      </c>
      <c r="B1737" s="1" t="s">
        <v>19</v>
      </c>
      <c r="C1737" s="1" t="s">
        <v>12182</v>
      </c>
      <c r="D1737" s="1" t="s">
        <v>19</v>
      </c>
      <c r="E1737" s="250">
        <v>2504.02</v>
      </c>
    </row>
    <row r="1738" spans="1:5" x14ac:dyDescent="0.35">
      <c r="A1738" s="1" t="s">
        <v>17386</v>
      </c>
      <c r="B1738" s="1" t="s">
        <v>19</v>
      </c>
      <c r="C1738" s="1" t="s">
        <v>12181</v>
      </c>
      <c r="D1738" s="1" t="s">
        <v>19</v>
      </c>
      <c r="E1738" s="250">
        <v>2504.0210000000002</v>
      </c>
    </row>
    <row r="1739" spans="1:5" x14ac:dyDescent="0.35">
      <c r="A1739" s="1" t="s">
        <v>17387</v>
      </c>
      <c r="B1739" s="1" t="s">
        <v>19</v>
      </c>
      <c r="C1739" s="1" t="s">
        <v>12180</v>
      </c>
      <c r="D1739" s="1" t="s">
        <v>19</v>
      </c>
      <c r="E1739" s="250">
        <v>2504.0219999999999</v>
      </c>
    </row>
    <row r="1740" spans="1:5" x14ac:dyDescent="0.35">
      <c r="A1740" s="1" t="s">
        <v>17388</v>
      </c>
      <c r="B1740" s="1" t="s">
        <v>19</v>
      </c>
      <c r="C1740" s="1" t="s">
        <v>12179</v>
      </c>
      <c r="D1740" s="1" t="s">
        <v>19</v>
      </c>
      <c r="E1740" s="250">
        <v>2504.0230000000001</v>
      </c>
    </row>
    <row r="1741" spans="1:5" x14ac:dyDescent="0.35">
      <c r="A1741" s="1" t="s">
        <v>17389</v>
      </c>
      <c r="B1741" s="1" t="s">
        <v>19</v>
      </c>
      <c r="C1741" s="1" t="s">
        <v>12178</v>
      </c>
      <c r="D1741" s="1" t="s">
        <v>19</v>
      </c>
      <c r="E1741" s="250">
        <v>2504.0239999999999</v>
      </c>
    </row>
    <row r="1742" spans="1:5" x14ac:dyDescent="0.35">
      <c r="A1742" s="1" t="s">
        <v>17390</v>
      </c>
      <c r="B1742" s="1" t="s">
        <v>19</v>
      </c>
      <c r="C1742" s="1" t="s">
        <v>12177</v>
      </c>
      <c r="D1742" s="1" t="s">
        <v>19</v>
      </c>
      <c r="E1742" s="250">
        <v>2504.0250000000001</v>
      </c>
    </row>
    <row r="1743" spans="1:5" x14ac:dyDescent="0.35">
      <c r="A1743" s="1" t="s">
        <v>17391</v>
      </c>
      <c r="B1743" s="1" t="s">
        <v>19</v>
      </c>
      <c r="C1743" s="1" t="s">
        <v>12176</v>
      </c>
      <c r="D1743" s="1" t="s">
        <v>19</v>
      </c>
      <c r="E1743" s="250">
        <v>2504.0259999999998</v>
      </c>
    </row>
    <row r="1744" spans="1:5" x14ac:dyDescent="0.35">
      <c r="A1744" s="1" t="s">
        <v>17392</v>
      </c>
      <c r="B1744" s="1" t="s">
        <v>19</v>
      </c>
      <c r="C1744" s="1" t="s">
        <v>12175</v>
      </c>
      <c r="D1744" s="1" t="s">
        <v>19</v>
      </c>
      <c r="E1744" s="250">
        <v>2504.0309999999999</v>
      </c>
    </row>
    <row r="1745" spans="1:5" x14ac:dyDescent="0.35">
      <c r="A1745" s="1" t="s">
        <v>17393</v>
      </c>
      <c r="B1745" s="1" t="s">
        <v>19</v>
      </c>
      <c r="C1745" s="1" t="s">
        <v>12174</v>
      </c>
      <c r="D1745" s="1" t="s">
        <v>19</v>
      </c>
      <c r="E1745" s="250">
        <v>2504.0320000000002</v>
      </c>
    </row>
    <row r="1746" spans="1:5" x14ac:dyDescent="0.35">
      <c r="A1746" s="1" t="s">
        <v>17394</v>
      </c>
      <c r="B1746" s="1" t="s">
        <v>19</v>
      </c>
      <c r="C1746" s="1" t="s">
        <v>12173</v>
      </c>
      <c r="D1746" s="1" t="s">
        <v>19</v>
      </c>
      <c r="E1746" s="250">
        <v>2504.0329999999999</v>
      </c>
    </row>
    <row r="1747" spans="1:5" x14ac:dyDescent="0.35">
      <c r="A1747" s="1" t="s">
        <v>17395</v>
      </c>
      <c r="B1747" s="1" t="s">
        <v>19</v>
      </c>
      <c r="C1747" s="1" t="s">
        <v>12172</v>
      </c>
      <c r="D1747" s="1" t="s">
        <v>19</v>
      </c>
      <c r="E1747" s="250">
        <v>2504.0340000000001</v>
      </c>
    </row>
    <row r="1748" spans="1:5" x14ac:dyDescent="0.35">
      <c r="A1748" s="1" t="s">
        <v>17396</v>
      </c>
      <c r="B1748" s="1" t="s">
        <v>19</v>
      </c>
      <c r="C1748" s="1" t="s">
        <v>12171</v>
      </c>
      <c r="D1748" s="1" t="s">
        <v>19</v>
      </c>
      <c r="E1748" s="250">
        <v>2504.0349999999999</v>
      </c>
    </row>
    <row r="1749" spans="1:5" x14ac:dyDescent="0.35">
      <c r="A1749" s="1" t="s">
        <v>17397</v>
      </c>
      <c r="B1749" s="1" t="s">
        <v>19</v>
      </c>
      <c r="C1749" s="1" t="s">
        <v>12170</v>
      </c>
      <c r="D1749" s="1" t="s">
        <v>19</v>
      </c>
      <c r="E1749" s="250">
        <v>2504.0360000000001</v>
      </c>
    </row>
    <row r="1750" spans="1:5" x14ac:dyDescent="0.35">
      <c r="A1750" s="1" t="s">
        <v>17398</v>
      </c>
      <c r="B1750" s="1" t="s">
        <v>19</v>
      </c>
      <c r="C1750" s="1" t="s">
        <v>12169</v>
      </c>
      <c r="D1750" s="1" t="s">
        <v>19</v>
      </c>
      <c r="E1750" s="250">
        <v>2504.0369999999998</v>
      </c>
    </row>
    <row r="1751" spans="1:5" x14ac:dyDescent="0.35">
      <c r="A1751" s="1" t="s">
        <v>17399</v>
      </c>
      <c r="B1751" s="1" t="s">
        <v>19</v>
      </c>
      <c r="C1751" s="1" t="s">
        <v>12168</v>
      </c>
      <c r="D1751" s="1" t="s">
        <v>19</v>
      </c>
      <c r="E1751" s="250">
        <v>2504.038</v>
      </c>
    </row>
    <row r="1752" spans="1:5" x14ac:dyDescent="0.35">
      <c r="A1752" s="1" t="s">
        <v>17400</v>
      </c>
      <c r="B1752" s="1" t="s">
        <v>19</v>
      </c>
      <c r="C1752" s="1" t="s">
        <v>12167</v>
      </c>
      <c r="D1752" s="1" t="s">
        <v>19</v>
      </c>
      <c r="E1752" s="250">
        <v>2504.0390000000002</v>
      </c>
    </row>
    <row r="1753" spans="1:5" x14ac:dyDescent="0.35">
      <c r="A1753" s="1" t="s">
        <v>17401</v>
      </c>
      <c r="B1753" s="1" t="s">
        <v>19</v>
      </c>
      <c r="C1753" s="1" t="s">
        <v>12166</v>
      </c>
      <c r="D1753" s="1" t="s">
        <v>19</v>
      </c>
      <c r="E1753" s="250">
        <v>2504.04</v>
      </c>
    </row>
    <row r="1754" spans="1:5" x14ac:dyDescent="0.35">
      <c r="A1754" s="1" t="s">
        <v>17402</v>
      </c>
      <c r="B1754" s="1" t="s">
        <v>19</v>
      </c>
      <c r="C1754" s="1" t="s">
        <v>12165</v>
      </c>
      <c r="D1754" s="1" t="s">
        <v>19</v>
      </c>
      <c r="E1754" s="250">
        <v>2504.0410000000002</v>
      </c>
    </row>
    <row r="1755" spans="1:5" x14ac:dyDescent="0.35">
      <c r="A1755" s="1" t="s">
        <v>17403</v>
      </c>
      <c r="B1755" s="1" t="s">
        <v>19</v>
      </c>
      <c r="C1755" s="1" t="s">
        <v>12164</v>
      </c>
      <c r="D1755" s="1" t="s">
        <v>19</v>
      </c>
      <c r="E1755" s="250">
        <v>2504.0419999999999</v>
      </c>
    </row>
    <row r="1756" spans="1:5" x14ac:dyDescent="0.35">
      <c r="A1756" s="1" t="s">
        <v>17404</v>
      </c>
      <c r="B1756" s="1" t="s">
        <v>19</v>
      </c>
      <c r="C1756" s="1" t="s">
        <v>12163</v>
      </c>
      <c r="D1756" s="1" t="s">
        <v>19</v>
      </c>
      <c r="E1756" s="250">
        <v>2504.0430000000001</v>
      </c>
    </row>
    <row r="1757" spans="1:5" x14ac:dyDescent="0.35">
      <c r="A1757" s="1" t="s">
        <v>17405</v>
      </c>
      <c r="B1757" s="1" t="s">
        <v>19</v>
      </c>
      <c r="C1757" s="1" t="s">
        <v>12162</v>
      </c>
      <c r="D1757" s="1" t="s">
        <v>19</v>
      </c>
      <c r="E1757" s="250">
        <v>2504.0439999999999</v>
      </c>
    </row>
    <row r="1758" spans="1:5" x14ac:dyDescent="0.35">
      <c r="A1758" s="1" t="s">
        <v>17406</v>
      </c>
      <c r="B1758" s="1" t="s">
        <v>19</v>
      </c>
      <c r="C1758" s="1" t="s">
        <v>12161</v>
      </c>
      <c r="D1758" s="1" t="s">
        <v>19</v>
      </c>
      <c r="E1758" s="250">
        <v>2504.0450000000001</v>
      </c>
    </row>
    <row r="1759" spans="1:5" x14ac:dyDescent="0.35">
      <c r="A1759" s="1" t="s">
        <v>17407</v>
      </c>
      <c r="B1759" s="1" t="s">
        <v>19</v>
      </c>
      <c r="C1759" s="1" t="s">
        <v>12160</v>
      </c>
      <c r="D1759" s="1" t="s">
        <v>19</v>
      </c>
      <c r="E1759" s="250">
        <v>2504.0459999999998</v>
      </c>
    </row>
    <row r="1760" spans="1:5" x14ac:dyDescent="0.35">
      <c r="A1760" s="1" t="s">
        <v>17408</v>
      </c>
      <c r="B1760" s="1" t="s">
        <v>19</v>
      </c>
      <c r="C1760" s="1" t="s">
        <v>12159</v>
      </c>
      <c r="D1760" s="1" t="s">
        <v>19</v>
      </c>
      <c r="E1760" s="250">
        <v>2504.047</v>
      </c>
    </row>
    <row r="1761" spans="1:5" x14ac:dyDescent="0.35">
      <c r="A1761" s="1" t="s">
        <v>17409</v>
      </c>
      <c r="B1761" s="1" t="s">
        <v>19</v>
      </c>
      <c r="C1761" s="1" t="s">
        <v>12158</v>
      </c>
      <c r="D1761" s="1" t="s">
        <v>19</v>
      </c>
      <c r="E1761" s="250">
        <v>2504.0479999999998</v>
      </c>
    </row>
    <row r="1762" spans="1:5" x14ac:dyDescent="0.35">
      <c r="A1762" s="1" t="s">
        <v>17410</v>
      </c>
      <c r="B1762" s="1" t="s">
        <v>19</v>
      </c>
      <c r="C1762" s="1" t="s">
        <v>12157</v>
      </c>
      <c r="D1762" s="1" t="s">
        <v>19</v>
      </c>
      <c r="E1762" s="250">
        <v>2504.049</v>
      </c>
    </row>
    <row r="1763" spans="1:5" x14ac:dyDescent="0.35">
      <c r="A1763" s="1" t="s">
        <v>17411</v>
      </c>
      <c r="B1763" s="1" t="s">
        <v>19</v>
      </c>
      <c r="C1763" s="1" t="s">
        <v>12156</v>
      </c>
      <c r="D1763" s="1" t="s">
        <v>19</v>
      </c>
      <c r="E1763" s="250">
        <v>2504.0500000000002</v>
      </c>
    </row>
    <row r="1764" spans="1:5" x14ac:dyDescent="0.35">
      <c r="A1764" s="1" t="s">
        <v>17412</v>
      </c>
      <c r="B1764" s="1" t="s">
        <v>19</v>
      </c>
      <c r="C1764" s="1" t="s">
        <v>12155</v>
      </c>
      <c r="D1764" s="1" t="s">
        <v>19</v>
      </c>
      <c r="E1764" s="250">
        <v>2504.0509999999999</v>
      </c>
    </row>
    <row r="1765" spans="1:5" x14ac:dyDescent="0.35">
      <c r="A1765" s="1" t="s">
        <v>17413</v>
      </c>
      <c r="B1765" s="1" t="s">
        <v>19</v>
      </c>
      <c r="C1765" s="1" t="s">
        <v>12154</v>
      </c>
      <c r="D1765" s="1" t="s">
        <v>19</v>
      </c>
      <c r="E1765" s="250">
        <v>2504.0520000000001</v>
      </c>
    </row>
    <row r="1766" spans="1:5" x14ac:dyDescent="0.35">
      <c r="A1766" s="1" t="s">
        <v>17414</v>
      </c>
      <c r="B1766" s="1" t="s">
        <v>19</v>
      </c>
      <c r="C1766" s="1" t="s">
        <v>12153</v>
      </c>
      <c r="D1766" s="1" t="s">
        <v>19</v>
      </c>
      <c r="E1766" s="250">
        <v>2504.0529999999999</v>
      </c>
    </row>
    <row r="1767" spans="1:5" x14ac:dyDescent="0.35">
      <c r="A1767" s="1" t="s">
        <v>17415</v>
      </c>
      <c r="B1767" s="1" t="s">
        <v>19</v>
      </c>
      <c r="C1767" s="1" t="s">
        <v>12152</v>
      </c>
      <c r="D1767" s="1" t="s">
        <v>19</v>
      </c>
      <c r="E1767" s="250">
        <v>2504.0540000000001</v>
      </c>
    </row>
    <row r="1768" spans="1:5" x14ac:dyDescent="0.35">
      <c r="A1768" s="1" t="s">
        <v>17416</v>
      </c>
      <c r="B1768" s="1" t="s">
        <v>19</v>
      </c>
      <c r="C1768" s="1" t="s">
        <v>12151</v>
      </c>
      <c r="D1768" s="1" t="s">
        <v>19</v>
      </c>
      <c r="E1768" s="250">
        <v>2504.0549999999998</v>
      </c>
    </row>
    <row r="1769" spans="1:5" x14ac:dyDescent="0.35">
      <c r="A1769" s="1" t="s">
        <v>17417</v>
      </c>
      <c r="B1769" s="1" t="s">
        <v>19</v>
      </c>
      <c r="C1769" s="1" t="s">
        <v>12150</v>
      </c>
      <c r="D1769" s="1" t="s">
        <v>19</v>
      </c>
      <c r="E1769" s="250">
        <v>2504.056</v>
      </c>
    </row>
    <row r="1770" spans="1:5" x14ac:dyDescent="0.35">
      <c r="A1770" s="1" t="s">
        <v>17418</v>
      </c>
      <c r="B1770" s="1" t="s">
        <v>19</v>
      </c>
      <c r="C1770" s="1" t="s">
        <v>12149</v>
      </c>
      <c r="D1770" s="1" t="s">
        <v>19</v>
      </c>
      <c r="E1770" s="250">
        <v>2504.0610000000001</v>
      </c>
    </row>
    <row r="1771" spans="1:5" x14ac:dyDescent="0.35">
      <c r="A1771" s="1" t="s">
        <v>17419</v>
      </c>
      <c r="B1771" s="1" t="s">
        <v>19</v>
      </c>
      <c r="C1771" s="1" t="s">
        <v>12148</v>
      </c>
      <c r="D1771" s="1" t="s">
        <v>19</v>
      </c>
      <c r="E1771" s="250">
        <v>2504.0619999999999</v>
      </c>
    </row>
    <row r="1772" spans="1:5" x14ac:dyDescent="0.35">
      <c r="A1772" s="1" t="s">
        <v>17420</v>
      </c>
      <c r="B1772" s="1" t="s">
        <v>19</v>
      </c>
      <c r="C1772" s="1" t="s">
        <v>12147</v>
      </c>
      <c r="D1772" s="1" t="s">
        <v>19</v>
      </c>
      <c r="E1772" s="250">
        <v>2504.0630000000001</v>
      </c>
    </row>
    <row r="1773" spans="1:5" x14ac:dyDescent="0.35">
      <c r="A1773" s="1" t="s">
        <v>17421</v>
      </c>
      <c r="B1773" s="1" t="s">
        <v>19</v>
      </c>
      <c r="C1773" s="1" t="s">
        <v>12146</v>
      </c>
      <c r="D1773" s="1" t="s">
        <v>19</v>
      </c>
      <c r="E1773" s="250">
        <v>2504.0639999999999</v>
      </c>
    </row>
    <row r="1774" spans="1:5" x14ac:dyDescent="0.35">
      <c r="A1774" s="1" t="s">
        <v>17422</v>
      </c>
      <c r="B1774" s="1" t="s">
        <v>19</v>
      </c>
      <c r="C1774" s="1" t="s">
        <v>12145</v>
      </c>
      <c r="D1774" s="1" t="s">
        <v>19</v>
      </c>
      <c r="E1774" s="250">
        <v>2504.0650000000001</v>
      </c>
    </row>
    <row r="1775" spans="1:5" x14ac:dyDescent="0.35">
      <c r="A1775" s="1" t="s">
        <v>17423</v>
      </c>
      <c r="B1775" s="1" t="s">
        <v>19</v>
      </c>
      <c r="C1775" s="1" t="s">
        <v>12144</v>
      </c>
      <c r="D1775" s="1" t="s">
        <v>19</v>
      </c>
      <c r="E1775" s="250">
        <v>2504.0659999999998</v>
      </c>
    </row>
    <row r="1776" spans="1:5" x14ac:dyDescent="0.35">
      <c r="A1776" s="1" t="s">
        <v>17424</v>
      </c>
      <c r="B1776" s="1" t="s">
        <v>19</v>
      </c>
      <c r="C1776" s="1" t="s">
        <v>12143</v>
      </c>
      <c r="D1776" s="1" t="s">
        <v>19</v>
      </c>
      <c r="E1776" s="250">
        <v>2504.067</v>
      </c>
    </row>
    <row r="1777" spans="1:5" x14ac:dyDescent="0.35">
      <c r="A1777" s="1" t="s">
        <v>17425</v>
      </c>
      <c r="B1777" s="1" t="s">
        <v>19</v>
      </c>
      <c r="C1777" s="1" t="s">
        <v>12142</v>
      </c>
      <c r="D1777" s="1" t="s">
        <v>19</v>
      </c>
      <c r="E1777" s="250">
        <v>2504.0680000000002</v>
      </c>
    </row>
    <row r="1778" spans="1:5" x14ac:dyDescent="0.35">
      <c r="A1778" s="1" t="s">
        <v>17426</v>
      </c>
      <c r="B1778" s="1" t="s">
        <v>19</v>
      </c>
      <c r="C1778" s="1" t="s">
        <v>12141</v>
      </c>
      <c r="D1778" s="1" t="s">
        <v>19</v>
      </c>
      <c r="E1778" s="250">
        <v>2504.069</v>
      </c>
    </row>
    <row r="1779" spans="1:5" x14ac:dyDescent="0.35">
      <c r="A1779" s="1" t="s">
        <v>17427</v>
      </c>
      <c r="B1779" s="1" t="s">
        <v>19</v>
      </c>
      <c r="C1779" s="1" t="s">
        <v>12140</v>
      </c>
      <c r="D1779" s="1" t="s">
        <v>19</v>
      </c>
      <c r="E1779" s="250">
        <v>2504.0700000000002</v>
      </c>
    </row>
    <row r="1780" spans="1:5" x14ac:dyDescent="0.35">
      <c r="A1780" s="1" t="s">
        <v>17428</v>
      </c>
      <c r="B1780" s="1" t="s">
        <v>19</v>
      </c>
      <c r="C1780" s="1" t="s">
        <v>12139</v>
      </c>
      <c r="D1780" s="1" t="s">
        <v>19</v>
      </c>
      <c r="E1780" s="250">
        <v>2504.0709999999999</v>
      </c>
    </row>
    <row r="1781" spans="1:5" x14ac:dyDescent="0.35">
      <c r="A1781" s="1" t="s">
        <v>17429</v>
      </c>
      <c r="B1781" s="1" t="s">
        <v>19</v>
      </c>
      <c r="C1781" s="1" t="s">
        <v>12138</v>
      </c>
      <c r="D1781" s="1" t="s">
        <v>19</v>
      </c>
      <c r="E1781" s="250">
        <v>2504.0720000000001</v>
      </c>
    </row>
    <row r="1782" spans="1:5" x14ac:dyDescent="0.35">
      <c r="A1782" s="1" t="s">
        <v>17430</v>
      </c>
      <c r="B1782" s="1" t="s">
        <v>19</v>
      </c>
      <c r="C1782" s="1" t="s">
        <v>12137</v>
      </c>
      <c r="D1782" s="1" t="s">
        <v>19</v>
      </c>
      <c r="E1782" s="250">
        <v>2504.0729999999999</v>
      </c>
    </row>
    <row r="1783" spans="1:5" x14ac:dyDescent="0.35">
      <c r="A1783" s="1" t="s">
        <v>17431</v>
      </c>
      <c r="B1783" s="1" t="s">
        <v>19</v>
      </c>
      <c r="C1783" s="1" t="s">
        <v>12136</v>
      </c>
      <c r="D1783" s="1" t="s">
        <v>19</v>
      </c>
      <c r="E1783" s="250">
        <v>2504.0740000000001</v>
      </c>
    </row>
    <row r="1784" spans="1:5" x14ac:dyDescent="0.35">
      <c r="A1784" s="1" t="s">
        <v>17432</v>
      </c>
      <c r="B1784" s="1" t="s">
        <v>19</v>
      </c>
      <c r="C1784" s="1" t="s">
        <v>12135</v>
      </c>
      <c r="D1784" s="1" t="s">
        <v>19</v>
      </c>
      <c r="E1784" s="250">
        <v>2504.0749999999998</v>
      </c>
    </row>
    <row r="1785" spans="1:5" x14ac:dyDescent="0.35">
      <c r="A1785" s="1" t="s">
        <v>17433</v>
      </c>
      <c r="B1785" s="1" t="s">
        <v>19</v>
      </c>
      <c r="C1785" s="1" t="s">
        <v>12134</v>
      </c>
      <c r="D1785" s="1" t="s">
        <v>19</v>
      </c>
      <c r="E1785" s="250">
        <v>2504.076</v>
      </c>
    </row>
    <row r="1786" spans="1:5" x14ac:dyDescent="0.35">
      <c r="A1786" s="1" t="s">
        <v>17434</v>
      </c>
      <c r="B1786" s="1" t="s">
        <v>19</v>
      </c>
      <c r="C1786" s="1" t="s">
        <v>12133</v>
      </c>
      <c r="D1786" s="1" t="s">
        <v>19</v>
      </c>
      <c r="E1786" s="250">
        <v>2504.0770000000002</v>
      </c>
    </row>
    <row r="1787" spans="1:5" x14ac:dyDescent="0.35">
      <c r="A1787" s="1" t="s">
        <v>17435</v>
      </c>
      <c r="B1787" s="1" t="s">
        <v>19</v>
      </c>
      <c r="C1787" s="1" t="s">
        <v>12132</v>
      </c>
      <c r="D1787" s="1" t="s">
        <v>19</v>
      </c>
      <c r="E1787" s="250">
        <v>2504.078</v>
      </c>
    </row>
    <row r="1788" spans="1:5" x14ac:dyDescent="0.35">
      <c r="A1788" s="1" t="s">
        <v>17436</v>
      </c>
      <c r="B1788" s="1" t="s">
        <v>19</v>
      </c>
      <c r="C1788" s="1" t="s">
        <v>12131</v>
      </c>
      <c r="D1788" s="1" t="s">
        <v>19</v>
      </c>
      <c r="E1788" s="250">
        <v>2504.0790000000002</v>
      </c>
    </row>
    <row r="1789" spans="1:5" x14ac:dyDescent="0.35">
      <c r="A1789" s="1" t="s">
        <v>17437</v>
      </c>
      <c r="B1789" s="1" t="s">
        <v>19</v>
      </c>
      <c r="C1789" s="1" t="s">
        <v>12130</v>
      </c>
      <c r="D1789" s="1" t="s">
        <v>19</v>
      </c>
      <c r="E1789" s="250">
        <v>2504.08</v>
      </c>
    </row>
    <row r="1790" spans="1:5" x14ac:dyDescent="0.35">
      <c r="A1790" s="1" t="s">
        <v>17438</v>
      </c>
      <c r="B1790" s="1" t="s">
        <v>19</v>
      </c>
      <c r="C1790" s="1" t="s">
        <v>12129</v>
      </c>
      <c r="D1790" s="1" t="s">
        <v>19</v>
      </c>
      <c r="E1790" s="250">
        <v>2504.0810000000001</v>
      </c>
    </row>
    <row r="1791" spans="1:5" x14ac:dyDescent="0.35">
      <c r="A1791" s="1" t="s">
        <v>17439</v>
      </c>
      <c r="B1791" s="1" t="s">
        <v>19</v>
      </c>
      <c r="C1791" s="1" t="s">
        <v>12128</v>
      </c>
      <c r="D1791" s="1" t="s">
        <v>19</v>
      </c>
      <c r="E1791" s="250">
        <v>2504.0819999999999</v>
      </c>
    </row>
    <row r="1792" spans="1:5" x14ac:dyDescent="0.35">
      <c r="A1792" s="1" t="s">
        <v>17440</v>
      </c>
      <c r="B1792" s="1" t="s">
        <v>19</v>
      </c>
      <c r="C1792" s="1" t="s">
        <v>12127</v>
      </c>
      <c r="D1792" s="1" t="s">
        <v>19</v>
      </c>
      <c r="E1792" s="250">
        <v>2504.0830000000001</v>
      </c>
    </row>
    <row r="1793" spans="1:5" x14ac:dyDescent="0.35">
      <c r="A1793" s="1" t="s">
        <v>17441</v>
      </c>
      <c r="B1793" s="1" t="s">
        <v>19</v>
      </c>
      <c r="C1793" s="1" t="s">
        <v>12126</v>
      </c>
      <c r="D1793" s="1" t="s">
        <v>19</v>
      </c>
      <c r="E1793" s="250">
        <v>2504.0839999999998</v>
      </c>
    </row>
    <row r="1794" spans="1:5" x14ac:dyDescent="0.35">
      <c r="A1794" s="1" t="s">
        <v>17442</v>
      </c>
      <c r="B1794" s="1" t="s">
        <v>19</v>
      </c>
      <c r="C1794" s="1" t="s">
        <v>12125</v>
      </c>
      <c r="D1794" s="1" t="s">
        <v>19</v>
      </c>
      <c r="E1794" s="250">
        <v>2504.085</v>
      </c>
    </row>
    <row r="1795" spans="1:5" x14ac:dyDescent="0.35">
      <c r="A1795" s="1" t="s">
        <v>17443</v>
      </c>
      <c r="B1795" s="1" t="s">
        <v>19</v>
      </c>
      <c r="C1795" s="1" t="s">
        <v>12124</v>
      </c>
      <c r="D1795" s="1" t="s">
        <v>19</v>
      </c>
      <c r="E1795" s="250">
        <v>2504.0859999999998</v>
      </c>
    </row>
    <row r="1796" spans="1:5" x14ac:dyDescent="0.35">
      <c r="A1796" s="1" t="s">
        <v>17444</v>
      </c>
      <c r="B1796" s="1" t="s">
        <v>19</v>
      </c>
      <c r="C1796" s="1" t="s">
        <v>12123</v>
      </c>
      <c r="D1796" s="1" t="s">
        <v>19</v>
      </c>
      <c r="E1796" s="250">
        <v>2504.0909999999999</v>
      </c>
    </row>
    <row r="1797" spans="1:5" x14ac:dyDescent="0.35">
      <c r="A1797" s="1" t="s">
        <v>17445</v>
      </c>
      <c r="B1797" s="1" t="s">
        <v>19</v>
      </c>
      <c r="C1797" s="1" t="s">
        <v>12122</v>
      </c>
      <c r="D1797" s="1" t="s">
        <v>19</v>
      </c>
      <c r="E1797" s="250">
        <v>2504.0920000000001</v>
      </c>
    </row>
    <row r="1798" spans="1:5" x14ac:dyDescent="0.35">
      <c r="A1798" s="1" t="s">
        <v>17446</v>
      </c>
      <c r="B1798" s="1" t="s">
        <v>19</v>
      </c>
      <c r="C1798" s="1" t="s">
        <v>12121</v>
      </c>
      <c r="D1798" s="1" t="s">
        <v>19</v>
      </c>
      <c r="E1798" s="250">
        <v>2504.0929999999998</v>
      </c>
    </row>
    <row r="1799" spans="1:5" x14ac:dyDescent="0.35">
      <c r="A1799" s="1" t="s">
        <v>17447</v>
      </c>
      <c r="B1799" s="1" t="s">
        <v>19</v>
      </c>
      <c r="C1799" s="1" t="s">
        <v>12120</v>
      </c>
      <c r="D1799" s="1" t="s">
        <v>19</v>
      </c>
      <c r="E1799" s="250">
        <v>2504.0940000000001</v>
      </c>
    </row>
    <row r="1800" spans="1:5" x14ac:dyDescent="0.35">
      <c r="A1800" s="1" t="s">
        <v>17448</v>
      </c>
      <c r="B1800" s="1" t="s">
        <v>19</v>
      </c>
      <c r="C1800" s="1" t="s">
        <v>12119</v>
      </c>
      <c r="D1800" s="1" t="s">
        <v>19</v>
      </c>
      <c r="E1800" s="250">
        <v>2504.0949999999998</v>
      </c>
    </row>
    <row r="1801" spans="1:5" x14ac:dyDescent="0.35">
      <c r="A1801" s="1" t="s">
        <v>17449</v>
      </c>
      <c r="B1801" s="1" t="s">
        <v>19</v>
      </c>
      <c r="C1801" s="1" t="s">
        <v>12118</v>
      </c>
      <c r="D1801" s="1" t="s">
        <v>19</v>
      </c>
      <c r="E1801" s="250">
        <v>2504.096</v>
      </c>
    </row>
    <row r="1802" spans="1:5" x14ac:dyDescent="0.35">
      <c r="A1802" s="1" t="s">
        <v>17450</v>
      </c>
      <c r="B1802" s="1" t="s">
        <v>19</v>
      </c>
      <c r="C1802" s="1" t="s">
        <v>12117</v>
      </c>
      <c r="D1802" s="1" t="s">
        <v>19</v>
      </c>
      <c r="E1802" s="250">
        <v>2504.0970000000002</v>
      </c>
    </row>
    <row r="1803" spans="1:5" x14ac:dyDescent="0.35">
      <c r="A1803" s="1" t="s">
        <v>17451</v>
      </c>
      <c r="B1803" s="1" t="s">
        <v>19</v>
      </c>
      <c r="C1803" s="1" t="s">
        <v>12116</v>
      </c>
      <c r="D1803" s="1" t="s">
        <v>19</v>
      </c>
      <c r="E1803" s="250">
        <v>2504.098</v>
      </c>
    </row>
    <row r="1804" spans="1:5" x14ac:dyDescent="0.35">
      <c r="A1804" s="1" t="s">
        <v>17452</v>
      </c>
      <c r="B1804" s="1" t="s">
        <v>19</v>
      </c>
      <c r="C1804" s="1" t="s">
        <v>12115</v>
      </c>
      <c r="D1804" s="1" t="s">
        <v>19</v>
      </c>
      <c r="E1804" s="250">
        <v>2504.0990000000002</v>
      </c>
    </row>
    <row r="1805" spans="1:5" x14ac:dyDescent="0.35">
      <c r="A1805" s="1" t="s">
        <v>17453</v>
      </c>
      <c r="B1805" s="1" t="s">
        <v>19</v>
      </c>
      <c r="C1805" s="1" t="s">
        <v>12114</v>
      </c>
      <c r="D1805" s="1" t="s">
        <v>19</v>
      </c>
      <c r="E1805" s="250">
        <v>2504.1</v>
      </c>
    </row>
    <row r="1806" spans="1:5" x14ac:dyDescent="0.35">
      <c r="A1806" s="1" t="s">
        <v>17454</v>
      </c>
      <c r="B1806" s="1" t="s">
        <v>19</v>
      </c>
      <c r="C1806" s="1" t="s">
        <v>12113</v>
      </c>
      <c r="D1806" s="1" t="s">
        <v>19</v>
      </c>
      <c r="E1806" s="250">
        <v>2504.1010000000001</v>
      </c>
    </row>
    <row r="1807" spans="1:5" x14ac:dyDescent="0.35">
      <c r="A1807" s="1" t="s">
        <v>17455</v>
      </c>
      <c r="B1807" s="1" t="s">
        <v>19</v>
      </c>
      <c r="C1807" s="1" t="s">
        <v>12112</v>
      </c>
      <c r="D1807" s="1" t="s">
        <v>19</v>
      </c>
      <c r="E1807" s="250">
        <v>2504.1019999999999</v>
      </c>
    </row>
    <row r="1808" spans="1:5" x14ac:dyDescent="0.35">
      <c r="A1808" s="1" t="s">
        <v>17456</v>
      </c>
      <c r="B1808" s="1" t="s">
        <v>19</v>
      </c>
      <c r="C1808" s="1" t="s">
        <v>12111</v>
      </c>
      <c r="D1808" s="1" t="s">
        <v>19</v>
      </c>
      <c r="E1808" s="250">
        <v>2504.1030000000001</v>
      </c>
    </row>
    <row r="1809" spans="1:5" x14ac:dyDescent="0.35">
      <c r="A1809" s="1" t="s">
        <v>17457</v>
      </c>
      <c r="B1809" s="1" t="s">
        <v>19</v>
      </c>
      <c r="C1809" s="1" t="s">
        <v>12110</v>
      </c>
      <c r="D1809" s="1" t="s">
        <v>19</v>
      </c>
      <c r="E1809" s="250">
        <v>2504.1039999999998</v>
      </c>
    </row>
    <row r="1810" spans="1:5" x14ac:dyDescent="0.35">
      <c r="A1810" s="1" t="s">
        <v>17458</v>
      </c>
      <c r="B1810" s="1" t="s">
        <v>19</v>
      </c>
      <c r="C1810" s="1" t="s">
        <v>12109</v>
      </c>
      <c r="D1810" s="1" t="s">
        <v>19</v>
      </c>
      <c r="E1810" s="250">
        <v>2504.105</v>
      </c>
    </row>
    <row r="1811" spans="1:5" x14ac:dyDescent="0.35">
      <c r="A1811" s="1" t="s">
        <v>17459</v>
      </c>
      <c r="B1811" s="1" t="s">
        <v>19</v>
      </c>
      <c r="C1811" s="1" t="s">
        <v>12108</v>
      </c>
      <c r="D1811" s="1" t="s">
        <v>19</v>
      </c>
      <c r="E1811" s="250">
        <v>2504.1060000000002</v>
      </c>
    </row>
    <row r="1812" spans="1:5" x14ac:dyDescent="0.35">
      <c r="A1812" s="1" t="s">
        <v>17460</v>
      </c>
      <c r="B1812" s="1" t="s">
        <v>19</v>
      </c>
      <c r="C1812" s="1" t="s">
        <v>12107</v>
      </c>
      <c r="D1812" s="1" t="s">
        <v>19</v>
      </c>
      <c r="E1812" s="250">
        <v>2504.107</v>
      </c>
    </row>
    <row r="1813" spans="1:5" x14ac:dyDescent="0.35">
      <c r="A1813" s="1" t="s">
        <v>17461</v>
      </c>
      <c r="B1813" s="1" t="s">
        <v>19</v>
      </c>
      <c r="C1813" s="1" t="s">
        <v>12106</v>
      </c>
      <c r="D1813" s="1" t="s">
        <v>19</v>
      </c>
      <c r="E1813" s="250">
        <v>2504.1080000000002</v>
      </c>
    </row>
    <row r="1814" spans="1:5" x14ac:dyDescent="0.35">
      <c r="A1814" s="1" t="s">
        <v>17462</v>
      </c>
      <c r="B1814" s="1" t="s">
        <v>19</v>
      </c>
      <c r="C1814" s="1" t="s">
        <v>12105</v>
      </c>
      <c r="D1814" s="1" t="s">
        <v>19</v>
      </c>
      <c r="E1814" s="250">
        <v>2504.1089999999999</v>
      </c>
    </row>
    <row r="1815" spans="1:5" x14ac:dyDescent="0.35">
      <c r="A1815" s="1" t="s">
        <v>17463</v>
      </c>
      <c r="B1815" s="1" t="s">
        <v>19</v>
      </c>
      <c r="C1815" s="1" t="s">
        <v>12104</v>
      </c>
      <c r="D1815" s="1" t="s">
        <v>19</v>
      </c>
      <c r="E1815" s="250">
        <v>2504.11</v>
      </c>
    </row>
    <row r="1816" spans="1:5" x14ac:dyDescent="0.35">
      <c r="A1816" s="1" t="s">
        <v>17464</v>
      </c>
      <c r="B1816" s="1" t="s">
        <v>19</v>
      </c>
      <c r="C1816" s="1" t="s">
        <v>12103</v>
      </c>
      <c r="D1816" s="1" t="s">
        <v>19</v>
      </c>
      <c r="E1816" s="250">
        <v>2504.1109999999999</v>
      </c>
    </row>
    <row r="1817" spans="1:5" x14ac:dyDescent="0.35">
      <c r="A1817" s="1" t="s">
        <v>17465</v>
      </c>
      <c r="B1817" s="1" t="s">
        <v>19</v>
      </c>
      <c r="C1817" s="1" t="s">
        <v>12102</v>
      </c>
      <c r="D1817" s="1" t="s">
        <v>19</v>
      </c>
      <c r="E1817" s="250">
        <v>2504.1120000000001</v>
      </c>
    </row>
    <row r="1818" spans="1:5" x14ac:dyDescent="0.35">
      <c r="A1818" s="1" t="s">
        <v>17466</v>
      </c>
      <c r="B1818" s="1" t="s">
        <v>19</v>
      </c>
      <c r="C1818" s="1" t="s">
        <v>12101</v>
      </c>
      <c r="D1818" s="1" t="s">
        <v>19</v>
      </c>
      <c r="E1818" s="250">
        <v>2504.1129999999998</v>
      </c>
    </row>
    <row r="1819" spans="1:5" x14ac:dyDescent="0.35">
      <c r="A1819" s="1" t="s">
        <v>17467</v>
      </c>
      <c r="B1819" s="1" t="s">
        <v>19</v>
      </c>
      <c r="C1819" s="1" t="s">
        <v>12100</v>
      </c>
      <c r="D1819" s="1" t="s">
        <v>19</v>
      </c>
      <c r="E1819" s="250">
        <v>2504.114</v>
      </c>
    </row>
    <row r="1820" spans="1:5" x14ac:dyDescent="0.35">
      <c r="A1820" s="1" t="s">
        <v>17468</v>
      </c>
      <c r="B1820" s="1" t="s">
        <v>19</v>
      </c>
      <c r="C1820" s="1" t="s">
        <v>12099</v>
      </c>
      <c r="D1820" s="1" t="s">
        <v>19</v>
      </c>
      <c r="E1820" s="250">
        <v>2504.1149999999998</v>
      </c>
    </row>
    <row r="1821" spans="1:5" x14ac:dyDescent="0.35">
      <c r="A1821" s="1" t="s">
        <v>17469</v>
      </c>
      <c r="B1821" s="1" t="s">
        <v>19</v>
      </c>
      <c r="C1821" s="1" t="s">
        <v>12098</v>
      </c>
      <c r="D1821" s="1" t="s">
        <v>19</v>
      </c>
      <c r="E1821" s="250">
        <v>2504.116</v>
      </c>
    </row>
    <row r="1822" spans="1:5" x14ac:dyDescent="0.35">
      <c r="A1822" s="1" t="s">
        <v>17470</v>
      </c>
      <c r="B1822" s="1" t="s">
        <v>19</v>
      </c>
      <c r="C1822" s="1" t="s">
        <v>12097</v>
      </c>
      <c r="D1822" s="1" t="s">
        <v>19</v>
      </c>
      <c r="E1822" s="250">
        <v>2504.1210000000001</v>
      </c>
    </row>
    <row r="1823" spans="1:5" x14ac:dyDescent="0.35">
      <c r="A1823" s="1" t="s">
        <v>17471</v>
      </c>
      <c r="B1823" s="1" t="s">
        <v>19</v>
      </c>
      <c r="C1823" s="1" t="s">
        <v>12096</v>
      </c>
      <c r="D1823" s="1" t="s">
        <v>19</v>
      </c>
      <c r="E1823" s="250">
        <v>2504.1219999999998</v>
      </c>
    </row>
    <row r="1824" spans="1:5" x14ac:dyDescent="0.35">
      <c r="A1824" s="1" t="s">
        <v>17472</v>
      </c>
      <c r="B1824" s="1" t="s">
        <v>19</v>
      </c>
      <c r="C1824" s="1" t="s">
        <v>12095</v>
      </c>
      <c r="D1824" s="1" t="s">
        <v>19</v>
      </c>
      <c r="E1824" s="250">
        <v>2504.123</v>
      </c>
    </row>
    <row r="1825" spans="1:5" x14ac:dyDescent="0.35">
      <c r="A1825" s="1" t="s">
        <v>17473</v>
      </c>
      <c r="B1825" s="1" t="s">
        <v>19</v>
      </c>
      <c r="C1825" s="1" t="s">
        <v>12094</v>
      </c>
      <c r="D1825" s="1" t="s">
        <v>19</v>
      </c>
      <c r="E1825" s="250">
        <v>2504.1239999999998</v>
      </c>
    </row>
    <row r="1826" spans="1:5" x14ac:dyDescent="0.35">
      <c r="A1826" s="1" t="s">
        <v>17474</v>
      </c>
      <c r="B1826" s="1" t="s">
        <v>19</v>
      </c>
      <c r="C1826" s="1" t="s">
        <v>12093</v>
      </c>
      <c r="D1826" s="1" t="s">
        <v>19</v>
      </c>
      <c r="E1826" s="250">
        <v>2504.125</v>
      </c>
    </row>
    <row r="1827" spans="1:5" x14ac:dyDescent="0.35">
      <c r="A1827" s="1" t="s">
        <v>17475</v>
      </c>
      <c r="B1827" s="1" t="s">
        <v>19</v>
      </c>
      <c r="C1827" s="1" t="s">
        <v>12092</v>
      </c>
      <c r="D1827" s="1" t="s">
        <v>19</v>
      </c>
      <c r="E1827" s="250">
        <v>2504.1260000000002</v>
      </c>
    </row>
    <row r="1828" spans="1:5" x14ac:dyDescent="0.35">
      <c r="A1828" s="1" t="s">
        <v>17476</v>
      </c>
      <c r="B1828" s="1" t="s">
        <v>19</v>
      </c>
      <c r="C1828" s="1" t="s">
        <v>12091</v>
      </c>
      <c r="D1828" s="1" t="s">
        <v>19</v>
      </c>
      <c r="E1828" s="250">
        <v>2504.127</v>
      </c>
    </row>
    <row r="1829" spans="1:5" x14ac:dyDescent="0.35">
      <c r="A1829" s="1" t="s">
        <v>17477</v>
      </c>
      <c r="B1829" s="1" t="s">
        <v>19</v>
      </c>
      <c r="C1829" s="1" t="s">
        <v>12090</v>
      </c>
      <c r="D1829" s="1" t="s">
        <v>19</v>
      </c>
      <c r="E1829" s="250">
        <v>2504.1280000000002</v>
      </c>
    </row>
    <row r="1830" spans="1:5" x14ac:dyDescent="0.35">
      <c r="A1830" s="1" t="s">
        <v>17478</v>
      </c>
      <c r="B1830" s="1" t="s">
        <v>19</v>
      </c>
      <c r="C1830" s="1" t="s">
        <v>12089</v>
      </c>
      <c r="D1830" s="1" t="s">
        <v>19</v>
      </c>
      <c r="E1830" s="250">
        <v>2504.1289999999999</v>
      </c>
    </row>
    <row r="1831" spans="1:5" x14ac:dyDescent="0.35">
      <c r="A1831" s="1" t="s">
        <v>17479</v>
      </c>
      <c r="B1831" s="1" t="s">
        <v>19</v>
      </c>
      <c r="C1831" s="1" t="s">
        <v>12088</v>
      </c>
      <c r="D1831" s="1" t="s">
        <v>19</v>
      </c>
      <c r="E1831" s="250">
        <v>2504.13</v>
      </c>
    </row>
    <row r="1832" spans="1:5" x14ac:dyDescent="0.35">
      <c r="A1832" s="1" t="s">
        <v>17480</v>
      </c>
      <c r="B1832" s="1" t="s">
        <v>19</v>
      </c>
      <c r="C1832" s="1" t="s">
        <v>12087</v>
      </c>
      <c r="D1832" s="1" t="s">
        <v>19</v>
      </c>
      <c r="E1832" s="250">
        <v>2504.1309999999999</v>
      </c>
    </row>
    <row r="1833" spans="1:5" x14ac:dyDescent="0.35">
      <c r="A1833" s="1" t="s">
        <v>17481</v>
      </c>
      <c r="B1833" s="1" t="s">
        <v>19</v>
      </c>
      <c r="C1833" s="1" t="s">
        <v>12086</v>
      </c>
      <c r="D1833" s="1" t="s">
        <v>19</v>
      </c>
      <c r="E1833" s="250">
        <v>2504.1320000000001</v>
      </c>
    </row>
    <row r="1834" spans="1:5" x14ac:dyDescent="0.35">
      <c r="A1834" s="1" t="s">
        <v>17482</v>
      </c>
      <c r="B1834" s="1" t="s">
        <v>19</v>
      </c>
      <c r="C1834" s="1" t="s">
        <v>12085</v>
      </c>
      <c r="D1834" s="1" t="s">
        <v>19</v>
      </c>
      <c r="E1834" s="250">
        <v>2504.1329999999998</v>
      </c>
    </row>
    <row r="1835" spans="1:5" x14ac:dyDescent="0.35">
      <c r="A1835" s="1" t="s">
        <v>17483</v>
      </c>
      <c r="B1835" s="1" t="s">
        <v>19</v>
      </c>
      <c r="C1835" s="1" t="s">
        <v>12084</v>
      </c>
      <c r="D1835" s="1" t="s">
        <v>19</v>
      </c>
      <c r="E1835" s="250">
        <v>2504.134</v>
      </c>
    </row>
    <row r="1836" spans="1:5" x14ac:dyDescent="0.35">
      <c r="A1836" s="1" t="s">
        <v>17484</v>
      </c>
      <c r="B1836" s="1" t="s">
        <v>19</v>
      </c>
      <c r="C1836" s="1" t="s">
        <v>12083</v>
      </c>
      <c r="D1836" s="1" t="s">
        <v>19</v>
      </c>
      <c r="E1836" s="250">
        <v>2504.1350000000002</v>
      </c>
    </row>
    <row r="1837" spans="1:5" x14ac:dyDescent="0.35">
      <c r="A1837" s="1" t="s">
        <v>17485</v>
      </c>
      <c r="B1837" s="1" t="s">
        <v>19</v>
      </c>
      <c r="C1837" s="1" t="s">
        <v>12082</v>
      </c>
      <c r="D1837" s="1" t="s">
        <v>19</v>
      </c>
      <c r="E1837" s="250">
        <v>2504.136</v>
      </c>
    </row>
    <row r="1838" spans="1:5" x14ac:dyDescent="0.35">
      <c r="A1838" s="1" t="s">
        <v>17486</v>
      </c>
      <c r="B1838" s="1" t="s">
        <v>19</v>
      </c>
      <c r="C1838" s="1" t="s">
        <v>12081</v>
      </c>
      <c r="D1838" s="1" t="s">
        <v>19</v>
      </c>
      <c r="E1838" s="250">
        <v>2504.1370000000002</v>
      </c>
    </row>
    <row r="1839" spans="1:5" x14ac:dyDescent="0.35">
      <c r="A1839" s="1" t="s">
        <v>17487</v>
      </c>
      <c r="B1839" s="1" t="s">
        <v>19</v>
      </c>
      <c r="C1839" s="1" t="s">
        <v>12080</v>
      </c>
      <c r="D1839" s="1" t="s">
        <v>19</v>
      </c>
      <c r="E1839" s="250">
        <v>2504.1379999999999</v>
      </c>
    </row>
    <row r="1840" spans="1:5" x14ac:dyDescent="0.35">
      <c r="A1840" s="1" t="s">
        <v>17488</v>
      </c>
      <c r="B1840" s="1" t="s">
        <v>19</v>
      </c>
      <c r="C1840" s="1" t="s">
        <v>12079</v>
      </c>
      <c r="D1840" s="1" t="s">
        <v>19</v>
      </c>
      <c r="E1840" s="250">
        <v>2504.1390000000001</v>
      </c>
    </row>
    <row r="1841" spans="1:5" x14ac:dyDescent="0.35">
      <c r="A1841" s="1" t="s">
        <v>17489</v>
      </c>
      <c r="B1841" s="1" t="s">
        <v>19</v>
      </c>
      <c r="C1841" s="1" t="s">
        <v>12078</v>
      </c>
      <c r="D1841" s="1" t="s">
        <v>19</v>
      </c>
      <c r="E1841" s="250">
        <v>2504.14</v>
      </c>
    </row>
    <row r="1842" spans="1:5" x14ac:dyDescent="0.35">
      <c r="A1842" s="1" t="s">
        <v>17490</v>
      </c>
      <c r="B1842" s="1" t="s">
        <v>19</v>
      </c>
      <c r="C1842" s="1" t="s">
        <v>12077</v>
      </c>
      <c r="D1842" s="1" t="s">
        <v>19</v>
      </c>
      <c r="E1842" s="250">
        <v>2504.1410000000001</v>
      </c>
    </row>
    <row r="1843" spans="1:5" x14ac:dyDescent="0.35">
      <c r="A1843" s="1" t="s">
        <v>17491</v>
      </c>
      <c r="B1843" s="1" t="s">
        <v>19</v>
      </c>
      <c r="C1843" s="1" t="s">
        <v>12076</v>
      </c>
      <c r="D1843" s="1" t="s">
        <v>19</v>
      </c>
      <c r="E1843" s="250">
        <v>2504.1419999999998</v>
      </c>
    </row>
    <row r="1844" spans="1:5" x14ac:dyDescent="0.35">
      <c r="A1844" s="1" t="s">
        <v>17492</v>
      </c>
      <c r="B1844" s="1" t="s">
        <v>19</v>
      </c>
      <c r="C1844" s="1" t="s">
        <v>12075</v>
      </c>
      <c r="D1844" s="1" t="s">
        <v>19</v>
      </c>
      <c r="E1844" s="250">
        <v>2504.143</v>
      </c>
    </row>
    <row r="1845" spans="1:5" x14ac:dyDescent="0.35">
      <c r="A1845" s="1" t="s">
        <v>17493</v>
      </c>
      <c r="B1845" s="1" t="s">
        <v>19</v>
      </c>
      <c r="C1845" s="1" t="s">
        <v>12074</v>
      </c>
      <c r="D1845" s="1" t="s">
        <v>19</v>
      </c>
      <c r="E1845" s="250">
        <v>2504.1439999999998</v>
      </c>
    </row>
    <row r="1846" spans="1:5" x14ac:dyDescent="0.35">
      <c r="A1846" s="1" t="s">
        <v>17494</v>
      </c>
      <c r="B1846" s="1" t="s">
        <v>19</v>
      </c>
      <c r="C1846" s="1" t="s">
        <v>12073</v>
      </c>
      <c r="D1846" s="1" t="s">
        <v>19</v>
      </c>
      <c r="E1846" s="250">
        <v>2504.145</v>
      </c>
    </row>
    <row r="1847" spans="1:5" x14ac:dyDescent="0.35">
      <c r="A1847" s="1" t="s">
        <v>17495</v>
      </c>
      <c r="B1847" s="1" t="s">
        <v>19</v>
      </c>
      <c r="C1847" s="1" t="s">
        <v>12072</v>
      </c>
      <c r="D1847" s="1" t="s">
        <v>19</v>
      </c>
      <c r="E1847" s="250">
        <v>2504.1460000000002</v>
      </c>
    </row>
    <row r="1848" spans="1:5" x14ac:dyDescent="0.35">
      <c r="A1848" s="1" t="s">
        <v>17496</v>
      </c>
      <c r="B1848" s="1" t="s">
        <v>19</v>
      </c>
      <c r="C1848" s="1" t="s">
        <v>12071</v>
      </c>
      <c r="D1848" s="1" t="s">
        <v>19</v>
      </c>
      <c r="E1848" s="250">
        <v>2504.1509999999998</v>
      </c>
    </row>
    <row r="1849" spans="1:5" x14ac:dyDescent="0.35">
      <c r="A1849" s="1" t="s">
        <v>17497</v>
      </c>
      <c r="B1849" s="1" t="s">
        <v>19</v>
      </c>
      <c r="C1849" s="1" t="s">
        <v>12070</v>
      </c>
      <c r="D1849" s="1" t="s">
        <v>19</v>
      </c>
      <c r="E1849" s="250">
        <v>2504.152</v>
      </c>
    </row>
    <row r="1850" spans="1:5" x14ac:dyDescent="0.35">
      <c r="A1850" s="1" t="s">
        <v>17498</v>
      </c>
      <c r="B1850" s="1" t="s">
        <v>19</v>
      </c>
      <c r="C1850" s="1" t="s">
        <v>12069</v>
      </c>
      <c r="D1850" s="1" t="s">
        <v>19</v>
      </c>
      <c r="E1850" s="250">
        <v>2504.1529999999998</v>
      </c>
    </row>
    <row r="1851" spans="1:5" x14ac:dyDescent="0.35">
      <c r="A1851" s="1" t="s">
        <v>17499</v>
      </c>
      <c r="B1851" s="1" t="s">
        <v>19</v>
      </c>
      <c r="C1851" s="1" t="s">
        <v>12068</v>
      </c>
      <c r="D1851" s="1" t="s">
        <v>19</v>
      </c>
      <c r="E1851" s="250">
        <v>2504.154</v>
      </c>
    </row>
    <row r="1852" spans="1:5" x14ac:dyDescent="0.35">
      <c r="A1852" s="1" t="s">
        <v>17500</v>
      </c>
      <c r="B1852" s="1" t="s">
        <v>19</v>
      </c>
      <c r="C1852" s="1" t="s">
        <v>12067</v>
      </c>
      <c r="D1852" s="1" t="s">
        <v>19</v>
      </c>
      <c r="E1852" s="250">
        <v>2504.1550000000002</v>
      </c>
    </row>
    <row r="1853" spans="1:5" x14ac:dyDescent="0.35">
      <c r="A1853" s="1" t="s">
        <v>17501</v>
      </c>
      <c r="B1853" s="1" t="s">
        <v>19</v>
      </c>
      <c r="C1853" s="1" t="s">
        <v>12066</v>
      </c>
      <c r="D1853" s="1" t="s">
        <v>19</v>
      </c>
      <c r="E1853" s="250">
        <v>2504.1559999999999</v>
      </c>
    </row>
    <row r="1854" spans="1:5" x14ac:dyDescent="0.35">
      <c r="A1854" s="1" t="s">
        <v>17502</v>
      </c>
      <c r="B1854" s="1" t="s">
        <v>19</v>
      </c>
      <c r="C1854" s="1" t="s">
        <v>12065</v>
      </c>
      <c r="D1854" s="1" t="s">
        <v>19</v>
      </c>
      <c r="E1854" s="250">
        <v>2504.1570000000002</v>
      </c>
    </row>
    <row r="1855" spans="1:5" x14ac:dyDescent="0.35">
      <c r="A1855" s="1" t="s">
        <v>17503</v>
      </c>
      <c r="B1855" s="1" t="s">
        <v>19</v>
      </c>
      <c r="C1855" s="1" t="s">
        <v>12064</v>
      </c>
      <c r="D1855" s="1" t="s">
        <v>19</v>
      </c>
      <c r="E1855" s="250">
        <v>2504.1579999999999</v>
      </c>
    </row>
    <row r="1856" spans="1:5" x14ac:dyDescent="0.35">
      <c r="A1856" s="1" t="s">
        <v>17504</v>
      </c>
      <c r="B1856" s="1" t="s">
        <v>19</v>
      </c>
      <c r="C1856" s="1" t="s">
        <v>12063</v>
      </c>
      <c r="D1856" s="1" t="s">
        <v>19</v>
      </c>
      <c r="E1856" s="250">
        <v>2504.1590000000001</v>
      </c>
    </row>
    <row r="1857" spans="1:5" x14ac:dyDescent="0.35">
      <c r="A1857" s="1" t="s">
        <v>17505</v>
      </c>
      <c r="B1857" s="1" t="s">
        <v>19</v>
      </c>
      <c r="C1857" s="1" t="s">
        <v>12062</v>
      </c>
      <c r="D1857" s="1" t="s">
        <v>19</v>
      </c>
      <c r="E1857" s="250">
        <v>2504.16</v>
      </c>
    </row>
    <row r="1858" spans="1:5" x14ac:dyDescent="0.35">
      <c r="A1858" s="1" t="s">
        <v>17506</v>
      </c>
      <c r="B1858" s="1" t="s">
        <v>19</v>
      </c>
      <c r="C1858" s="1" t="s">
        <v>12061</v>
      </c>
      <c r="D1858" s="1" t="s">
        <v>19</v>
      </c>
      <c r="E1858" s="250">
        <v>2504.1610000000001</v>
      </c>
    </row>
    <row r="1859" spans="1:5" x14ac:dyDescent="0.35">
      <c r="A1859" s="1" t="s">
        <v>17507</v>
      </c>
      <c r="B1859" s="1" t="s">
        <v>19</v>
      </c>
      <c r="C1859" s="1" t="s">
        <v>12060</v>
      </c>
      <c r="D1859" s="1" t="s">
        <v>19</v>
      </c>
      <c r="E1859" s="250">
        <v>2504.1619999999998</v>
      </c>
    </row>
    <row r="1860" spans="1:5" x14ac:dyDescent="0.35">
      <c r="A1860" s="1" t="s">
        <v>17508</v>
      </c>
      <c r="B1860" s="1" t="s">
        <v>19</v>
      </c>
      <c r="C1860" s="1" t="s">
        <v>12059</v>
      </c>
      <c r="D1860" s="1" t="s">
        <v>19</v>
      </c>
      <c r="E1860" s="250">
        <v>2504.163</v>
      </c>
    </row>
    <row r="1861" spans="1:5" x14ac:dyDescent="0.35">
      <c r="A1861" s="1" t="s">
        <v>17509</v>
      </c>
      <c r="B1861" s="1" t="s">
        <v>19</v>
      </c>
      <c r="C1861" s="1" t="s">
        <v>12058</v>
      </c>
      <c r="D1861" s="1" t="s">
        <v>19</v>
      </c>
      <c r="E1861" s="250">
        <v>2504.1640000000002</v>
      </c>
    </row>
    <row r="1862" spans="1:5" x14ac:dyDescent="0.35">
      <c r="A1862" s="1" t="s">
        <v>17510</v>
      </c>
      <c r="B1862" s="1" t="s">
        <v>19</v>
      </c>
      <c r="C1862" s="1" t="s">
        <v>12057</v>
      </c>
      <c r="D1862" s="1" t="s">
        <v>19</v>
      </c>
      <c r="E1862" s="250">
        <v>2504.165</v>
      </c>
    </row>
    <row r="1863" spans="1:5" x14ac:dyDescent="0.35">
      <c r="A1863" s="1" t="s">
        <v>17511</v>
      </c>
      <c r="B1863" s="1" t="s">
        <v>19</v>
      </c>
      <c r="C1863" s="1" t="s">
        <v>12056</v>
      </c>
      <c r="D1863" s="1" t="s">
        <v>19</v>
      </c>
      <c r="E1863" s="250">
        <v>2504.1660000000002</v>
      </c>
    </row>
    <row r="1864" spans="1:5" x14ac:dyDescent="0.35">
      <c r="A1864" s="1" t="s">
        <v>17512</v>
      </c>
      <c r="B1864" s="1" t="s">
        <v>19</v>
      </c>
      <c r="C1864" s="1" t="s">
        <v>12055</v>
      </c>
      <c r="D1864" s="1" t="s">
        <v>19</v>
      </c>
      <c r="E1864" s="250">
        <v>2504.1669999999999</v>
      </c>
    </row>
    <row r="1865" spans="1:5" x14ac:dyDescent="0.35">
      <c r="A1865" s="1" t="s">
        <v>17513</v>
      </c>
      <c r="B1865" s="1" t="s">
        <v>19</v>
      </c>
      <c r="C1865" s="1" t="s">
        <v>12054</v>
      </c>
      <c r="D1865" s="1" t="s">
        <v>19</v>
      </c>
      <c r="E1865" s="250">
        <v>2504.1680000000001</v>
      </c>
    </row>
    <row r="1866" spans="1:5" x14ac:dyDescent="0.35">
      <c r="A1866" s="1" t="s">
        <v>17514</v>
      </c>
      <c r="B1866" s="1" t="s">
        <v>19</v>
      </c>
      <c r="C1866" s="1" t="s">
        <v>12053</v>
      </c>
      <c r="D1866" s="1" t="s">
        <v>19</v>
      </c>
      <c r="E1866" s="250">
        <v>2504.1689999999999</v>
      </c>
    </row>
    <row r="1867" spans="1:5" x14ac:dyDescent="0.35">
      <c r="A1867" s="1" t="s">
        <v>17515</v>
      </c>
      <c r="B1867" s="1" t="s">
        <v>19</v>
      </c>
      <c r="C1867" s="1" t="s">
        <v>12052</v>
      </c>
      <c r="D1867" s="1" t="s">
        <v>19</v>
      </c>
      <c r="E1867" s="250">
        <v>2504.17</v>
      </c>
    </row>
    <row r="1868" spans="1:5" x14ac:dyDescent="0.35">
      <c r="A1868" s="1" t="s">
        <v>17516</v>
      </c>
      <c r="B1868" s="1" t="s">
        <v>19</v>
      </c>
      <c r="C1868" s="1" t="s">
        <v>12051</v>
      </c>
      <c r="D1868" s="1" t="s">
        <v>19</v>
      </c>
      <c r="E1868" s="250">
        <v>2504.1709999999998</v>
      </c>
    </row>
    <row r="1869" spans="1:5" x14ac:dyDescent="0.35">
      <c r="A1869" s="1" t="s">
        <v>17517</v>
      </c>
      <c r="B1869" s="1" t="s">
        <v>19</v>
      </c>
      <c r="C1869" s="1" t="s">
        <v>12050</v>
      </c>
      <c r="D1869" s="1" t="s">
        <v>19</v>
      </c>
      <c r="E1869" s="250">
        <v>2504.172</v>
      </c>
    </row>
    <row r="1870" spans="1:5" x14ac:dyDescent="0.35">
      <c r="A1870" s="1" t="s">
        <v>17518</v>
      </c>
      <c r="B1870" s="1" t="s">
        <v>19</v>
      </c>
      <c r="C1870" s="1" t="s">
        <v>12049</v>
      </c>
      <c r="D1870" s="1" t="s">
        <v>19</v>
      </c>
      <c r="E1870" s="250">
        <v>2504.1729999999998</v>
      </c>
    </row>
    <row r="1871" spans="1:5" x14ac:dyDescent="0.35">
      <c r="A1871" s="1" t="s">
        <v>17519</v>
      </c>
      <c r="B1871" s="1" t="s">
        <v>19</v>
      </c>
      <c r="C1871" s="1" t="s">
        <v>12048</v>
      </c>
      <c r="D1871" s="1" t="s">
        <v>19</v>
      </c>
      <c r="E1871" s="250">
        <v>2504.181</v>
      </c>
    </row>
    <row r="1872" spans="1:5" x14ac:dyDescent="0.35">
      <c r="A1872" s="1" t="s">
        <v>17520</v>
      </c>
      <c r="B1872" s="1" t="s">
        <v>19</v>
      </c>
      <c r="C1872" s="1" t="s">
        <v>12047</v>
      </c>
      <c r="D1872" s="1" t="s">
        <v>19</v>
      </c>
      <c r="E1872" s="250">
        <v>2504.1819999999998</v>
      </c>
    </row>
    <row r="1873" spans="1:5" x14ac:dyDescent="0.35">
      <c r="A1873" s="1" t="s">
        <v>17521</v>
      </c>
      <c r="B1873" s="1" t="s">
        <v>19</v>
      </c>
      <c r="C1873" s="1" t="s">
        <v>12046</v>
      </c>
      <c r="D1873" s="1" t="s">
        <v>19</v>
      </c>
      <c r="E1873" s="250">
        <v>2504.183</v>
      </c>
    </row>
    <row r="1874" spans="1:5" x14ac:dyDescent="0.35">
      <c r="A1874" s="1" t="s">
        <v>17522</v>
      </c>
      <c r="B1874" s="1" t="s">
        <v>19</v>
      </c>
      <c r="C1874" s="1" t="s">
        <v>12045</v>
      </c>
      <c r="D1874" s="1" t="s">
        <v>19</v>
      </c>
      <c r="E1874" s="250">
        <v>2504.1840000000002</v>
      </c>
    </row>
    <row r="1875" spans="1:5" x14ac:dyDescent="0.35">
      <c r="A1875" s="1" t="s">
        <v>17523</v>
      </c>
      <c r="B1875" s="1" t="s">
        <v>19</v>
      </c>
      <c r="C1875" s="1" t="s">
        <v>12044</v>
      </c>
      <c r="D1875" s="1" t="s">
        <v>19</v>
      </c>
      <c r="E1875" s="250">
        <v>2504.1849999999999</v>
      </c>
    </row>
    <row r="1876" spans="1:5" x14ac:dyDescent="0.35">
      <c r="A1876" s="1" t="s">
        <v>17524</v>
      </c>
      <c r="B1876" s="1" t="s">
        <v>19</v>
      </c>
      <c r="C1876" s="1" t="s">
        <v>12043</v>
      </c>
      <c r="D1876" s="1" t="s">
        <v>19</v>
      </c>
      <c r="E1876" s="250">
        <v>2504.1860000000001</v>
      </c>
    </row>
    <row r="1877" spans="1:5" x14ac:dyDescent="0.35">
      <c r="A1877" s="1" t="s">
        <v>17525</v>
      </c>
      <c r="B1877" s="1" t="s">
        <v>19</v>
      </c>
      <c r="C1877" s="1" t="s">
        <v>12042</v>
      </c>
      <c r="D1877" s="1" t="s">
        <v>19</v>
      </c>
      <c r="E1877" s="250">
        <v>2504.1869999999999</v>
      </c>
    </row>
    <row r="1878" spans="1:5" x14ac:dyDescent="0.35">
      <c r="A1878" s="1" t="s">
        <v>17526</v>
      </c>
      <c r="B1878" s="1" t="s">
        <v>19</v>
      </c>
      <c r="C1878" s="1" t="s">
        <v>12041</v>
      </c>
      <c r="D1878" s="1" t="s">
        <v>19</v>
      </c>
      <c r="E1878" s="250">
        <v>2504.1880000000001</v>
      </c>
    </row>
    <row r="1879" spans="1:5" x14ac:dyDescent="0.35">
      <c r="A1879" s="1" t="s">
        <v>17527</v>
      </c>
      <c r="B1879" s="1" t="s">
        <v>19</v>
      </c>
      <c r="C1879" s="1" t="s">
        <v>12040</v>
      </c>
      <c r="D1879" s="1" t="s">
        <v>19</v>
      </c>
      <c r="E1879" s="250">
        <v>2504.1889999999999</v>
      </c>
    </row>
    <row r="1880" spans="1:5" x14ac:dyDescent="0.35">
      <c r="A1880" s="1" t="s">
        <v>17528</v>
      </c>
      <c r="B1880" s="1" t="s">
        <v>19</v>
      </c>
      <c r="C1880" s="1" t="s">
        <v>12039</v>
      </c>
      <c r="D1880" s="1" t="s">
        <v>19</v>
      </c>
      <c r="E1880" s="250">
        <v>2504.19</v>
      </c>
    </row>
    <row r="1881" spans="1:5" x14ac:dyDescent="0.35">
      <c r="A1881" s="1" t="s">
        <v>17529</v>
      </c>
      <c r="B1881" s="1" t="s">
        <v>19</v>
      </c>
      <c r="C1881" s="1" t="s">
        <v>12038</v>
      </c>
      <c r="D1881" s="1" t="s">
        <v>19</v>
      </c>
      <c r="E1881" s="250">
        <v>2504.1909999999998</v>
      </c>
    </row>
    <row r="1882" spans="1:5" x14ac:dyDescent="0.35">
      <c r="A1882" s="1" t="s">
        <v>17530</v>
      </c>
      <c r="B1882" s="1" t="s">
        <v>19</v>
      </c>
      <c r="C1882" s="1" t="s">
        <v>12037</v>
      </c>
      <c r="D1882" s="1" t="s">
        <v>19</v>
      </c>
      <c r="E1882" s="250">
        <v>2504.192</v>
      </c>
    </row>
    <row r="1883" spans="1:5" x14ac:dyDescent="0.35">
      <c r="A1883" s="1" t="s">
        <v>17531</v>
      </c>
      <c r="B1883" s="1" t="s">
        <v>19</v>
      </c>
      <c r="C1883" s="1" t="s">
        <v>12036</v>
      </c>
      <c r="D1883" s="1" t="s">
        <v>19</v>
      </c>
      <c r="E1883" s="250">
        <v>2504.1930000000002</v>
      </c>
    </row>
    <row r="1884" spans="1:5" x14ac:dyDescent="0.35">
      <c r="A1884" s="1" t="s">
        <v>17532</v>
      </c>
      <c r="B1884" s="1" t="s">
        <v>19</v>
      </c>
      <c r="C1884" s="1" t="s">
        <v>12035</v>
      </c>
      <c r="D1884" s="1" t="s">
        <v>19</v>
      </c>
      <c r="E1884" s="250">
        <v>2504.194</v>
      </c>
    </row>
    <row r="1885" spans="1:5" x14ac:dyDescent="0.35">
      <c r="A1885" s="1" t="s">
        <v>17533</v>
      </c>
      <c r="B1885" s="1" t="s">
        <v>19</v>
      </c>
      <c r="C1885" s="1" t="s">
        <v>12034</v>
      </c>
      <c r="D1885" s="1" t="s">
        <v>19</v>
      </c>
      <c r="E1885" s="250">
        <v>2504.1950000000002</v>
      </c>
    </row>
    <row r="1886" spans="1:5" x14ac:dyDescent="0.35">
      <c r="A1886" s="1" t="s">
        <v>17534</v>
      </c>
      <c r="B1886" s="1" t="s">
        <v>19</v>
      </c>
      <c r="C1886" s="1" t="s">
        <v>12033</v>
      </c>
      <c r="D1886" s="1" t="s">
        <v>19</v>
      </c>
      <c r="E1886" s="250">
        <v>2504.1959999999999</v>
      </c>
    </row>
    <row r="1887" spans="1:5" x14ac:dyDescent="0.35">
      <c r="A1887" s="1" t="s">
        <v>17535</v>
      </c>
      <c r="B1887" s="1" t="s">
        <v>19</v>
      </c>
      <c r="C1887" s="1" t="s">
        <v>12032</v>
      </c>
      <c r="D1887" s="1" t="s">
        <v>19</v>
      </c>
      <c r="E1887" s="250">
        <v>2504.1970000000001</v>
      </c>
    </row>
    <row r="1888" spans="1:5" x14ac:dyDescent="0.35">
      <c r="A1888" s="1" t="s">
        <v>17536</v>
      </c>
      <c r="B1888" s="1" t="s">
        <v>19</v>
      </c>
      <c r="C1888" s="1" t="s">
        <v>12031</v>
      </c>
      <c r="D1888" s="1" t="s">
        <v>19</v>
      </c>
      <c r="E1888" s="250">
        <v>2504.1979999999999</v>
      </c>
    </row>
    <row r="1889" spans="1:5" x14ac:dyDescent="0.35">
      <c r="A1889" s="1" t="s">
        <v>17537</v>
      </c>
      <c r="B1889" s="1" t="s">
        <v>19</v>
      </c>
      <c r="C1889" s="1" t="s">
        <v>12030</v>
      </c>
      <c r="D1889" s="1" t="s">
        <v>19</v>
      </c>
      <c r="E1889" s="250">
        <v>2504.1990000000001</v>
      </c>
    </row>
    <row r="1890" spans="1:5" x14ac:dyDescent="0.35">
      <c r="A1890" s="1" t="s">
        <v>17538</v>
      </c>
      <c r="B1890" s="1" t="s">
        <v>19</v>
      </c>
      <c r="C1890" s="1" t="s">
        <v>12029</v>
      </c>
      <c r="D1890" s="1" t="s">
        <v>19</v>
      </c>
      <c r="E1890" s="250">
        <v>2504.1999999999998</v>
      </c>
    </row>
    <row r="1891" spans="1:5" x14ac:dyDescent="0.35">
      <c r="A1891" s="1" t="s">
        <v>17539</v>
      </c>
      <c r="B1891" s="1" t="s">
        <v>19</v>
      </c>
      <c r="C1891" s="1" t="s">
        <v>12028</v>
      </c>
      <c r="D1891" s="1" t="s">
        <v>19</v>
      </c>
      <c r="E1891" s="250">
        <v>2504.201</v>
      </c>
    </row>
    <row r="1892" spans="1:5" x14ac:dyDescent="0.35">
      <c r="A1892" s="1" t="s">
        <v>17540</v>
      </c>
      <c r="B1892" s="1" t="s">
        <v>19</v>
      </c>
      <c r="C1892" s="1" t="s">
        <v>12027</v>
      </c>
      <c r="D1892" s="1" t="s">
        <v>19</v>
      </c>
      <c r="E1892" s="250">
        <v>2504.2020000000002</v>
      </c>
    </row>
    <row r="1893" spans="1:5" x14ac:dyDescent="0.35">
      <c r="A1893" s="1" t="s">
        <v>17541</v>
      </c>
      <c r="B1893" s="1" t="s">
        <v>19</v>
      </c>
      <c r="C1893" s="1" t="s">
        <v>12026</v>
      </c>
      <c r="D1893" s="1" t="s">
        <v>19</v>
      </c>
      <c r="E1893" s="250">
        <v>2504.203</v>
      </c>
    </row>
    <row r="1894" spans="1:5" x14ac:dyDescent="0.35">
      <c r="A1894" s="1" t="s">
        <v>17542</v>
      </c>
      <c r="B1894" s="1" t="s">
        <v>19</v>
      </c>
      <c r="C1894" s="1" t="s">
        <v>12025</v>
      </c>
      <c r="D1894" s="1" t="s">
        <v>19</v>
      </c>
      <c r="E1894" s="250">
        <v>2504.2109999999998</v>
      </c>
    </row>
    <row r="1895" spans="1:5" x14ac:dyDescent="0.35">
      <c r="A1895" s="1" t="s">
        <v>17543</v>
      </c>
      <c r="B1895" s="1" t="s">
        <v>19</v>
      </c>
      <c r="C1895" s="1" t="s">
        <v>12024</v>
      </c>
      <c r="D1895" s="1" t="s">
        <v>19</v>
      </c>
      <c r="E1895" s="250">
        <v>2504.212</v>
      </c>
    </row>
    <row r="1896" spans="1:5" x14ac:dyDescent="0.35">
      <c r="A1896" s="1" t="s">
        <v>17544</v>
      </c>
      <c r="B1896" s="1" t="s">
        <v>19</v>
      </c>
      <c r="C1896" s="1" t="s">
        <v>12023</v>
      </c>
      <c r="D1896" s="1" t="s">
        <v>19</v>
      </c>
      <c r="E1896" s="250">
        <v>2504.2130000000002</v>
      </c>
    </row>
    <row r="1897" spans="1:5" x14ac:dyDescent="0.35">
      <c r="A1897" s="1" t="s">
        <v>17545</v>
      </c>
      <c r="B1897" s="1" t="s">
        <v>19</v>
      </c>
      <c r="C1897" s="1" t="s">
        <v>12022</v>
      </c>
      <c r="D1897" s="1" t="s">
        <v>19</v>
      </c>
      <c r="E1897" s="250">
        <v>2504.2139999999999</v>
      </c>
    </row>
    <row r="1898" spans="1:5" x14ac:dyDescent="0.35">
      <c r="A1898" s="1" t="s">
        <v>17546</v>
      </c>
      <c r="B1898" s="1" t="s">
        <v>19</v>
      </c>
      <c r="C1898" s="1" t="s">
        <v>12021</v>
      </c>
      <c r="D1898" s="1" t="s">
        <v>19</v>
      </c>
      <c r="E1898" s="250">
        <v>2504.2150000000001</v>
      </c>
    </row>
    <row r="1899" spans="1:5" x14ac:dyDescent="0.35">
      <c r="A1899" s="1" t="s">
        <v>17547</v>
      </c>
      <c r="B1899" s="1" t="s">
        <v>19</v>
      </c>
      <c r="C1899" s="1" t="s">
        <v>12020</v>
      </c>
      <c r="D1899" s="1" t="s">
        <v>19</v>
      </c>
      <c r="E1899" s="250">
        <v>2504.2159999999999</v>
      </c>
    </row>
    <row r="1900" spans="1:5" x14ac:dyDescent="0.35">
      <c r="A1900" s="1" t="s">
        <v>17548</v>
      </c>
      <c r="B1900" s="1" t="s">
        <v>19</v>
      </c>
      <c r="C1900" s="1" t="s">
        <v>12019</v>
      </c>
      <c r="D1900" s="1" t="s">
        <v>19</v>
      </c>
      <c r="E1900" s="250">
        <v>2504.2170000000001</v>
      </c>
    </row>
    <row r="1901" spans="1:5" x14ac:dyDescent="0.35">
      <c r="A1901" s="1" t="s">
        <v>17549</v>
      </c>
      <c r="B1901" s="1" t="s">
        <v>19</v>
      </c>
      <c r="C1901" s="1" t="s">
        <v>12018</v>
      </c>
      <c r="D1901" s="1" t="s">
        <v>19</v>
      </c>
      <c r="E1901" s="250">
        <v>2504.2179999999998</v>
      </c>
    </row>
    <row r="1902" spans="1:5" x14ac:dyDescent="0.35">
      <c r="A1902" s="1" t="s">
        <v>17550</v>
      </c>
      <c r="B1902" s="1" t="s">
        <v>19</v>
      </c>
      <c r="C1902" s="1" t="s">
        <v>12017</v>
      </c>
      <c r="D1902" s="1" t="s">
        <v>19</v>
      </c>
      <c r="E1902" s="250">
        <v>2504.2190000000001</v>
      </c>
    </row>
    <row r="1903" spans="1:5" x14ac:dyDescent="0.35">
      <c r="A1903" s="1" t="s">
        <v>17551</v>
      </c>
      <c r="B1903" s="1" t="s">
        <v>19</v>
      </c>
      <c r="C1903" s="1" t="s">
        <v>12016</v>
      </c>
      <c r="D1903" s="1" t="s">
        <v>19</v>
      </c>
      <c r="E1903" s="250">
        <v>2504.2199999999998</v>
      </c>
    </row>
    <row r="1904" spans="1:5" x14ac:dyDescent="0.35">
      <c r="A1904" s="1" t="s">
        <v>17552</v>
      </c>
      <c r="B1904" s="1" t="s">
        <v>19</v>
      </c>
      <c r="C1904" s="1" t="s">
        <v>12015</v>
      </c>
      <c r="D1904" s="1" t="s">
        <v>19</v>
      </c>
      <c r="E1904" s="250">
        <v>2504.221</v>
      </c>
    </row>
    <row r="1905" spans="1:5" x14ac:dyDescent="0.35">
      <c r="A1905" s="1" t="s">
        <v>17553</v>
      </c>
      <c r="B1905" s="1" t="s">
        <v>19</v>
      </c>
      <c r="C1905" s="1" t="s">
        <v>12014</v>
      </c>
      <c r="D1905" s="1" t="s">
        <v>19</v>
      </c>
      <c r="E1905" s="250">
        <v>2504.2220000000002</v>
      </c>
    </row>
    <row r="1906" spans="1:5" x14ac:dyDescent="0.35">
      <c r="A1906" s="1" t="s">
        <v>17554</v>
      </c>
      <c r="B1906" s="1" t="s">
        <v>19</v>
      </c>
      <c r="C1906" s="1" t="s">
        <v>12013</v>
      </c>
      <c r="D1906" s="1" t="s">
        <v>19</v>
      </c>
      <c r="E1906" s="250">
        <v>2504.223</v>
      </c>
    </row>
    <row r="1907" spans="1:5" x14ac:dyDescent="0.35">
      <c r="A1907" s="1" t="s">
        <v>17555</v>
      </c>
      <c r="B1907" s="1" t="s">
        <v>19</v>
      </c>
      <c r="C1907" s="1" t="s">
        <v>12012</v>
      </c>
      <c r="D1907" s="1" t="s">
        <v>19</v>
      </c>
      <c r="E1907" s="250">
        <v>2504.2240000000002</v>
      </c>
    </row>
    <row r="1908" spans="1:5" x14ac:dyDescent="0.35">
      <c r="A1908" s="1" t="s">
        <v>17556</v>
      </c>
      <c r="B1908" s="1" t="s">
        <v>19</v>
      </c>
      <c r="C1908" s="1" t="s">
        <v>12011</v>
      </c>
      <c r="D1908" s="1" t="s">
        <v>19</v>
      </c>
      <c r="E1908" s="250">
        <v>2504.2249999999999</v>
      </c>
    </row>
    <row r="1909" spans="1:5" x14ac:dyDescent="0.35">
      <c r="A1909" s="1" t="s">
        <v>17557</v>
      </c>
      <c r="B1909" s="1" t="s">
        <v>19</v>
      </c>
      <c r="C1909" s="1" t="s">
        <v>12010</v>
      </c>
      <c r="D1909" s="1" t="s">
        <v>19</v>
      </c>
      <c r="E1909" s="250">
        <v>2504.2260000000001</v>
      </c>
    </row>
    <row r="1910" spans="1:5" x14ac:dyDescent="0.35">
      <c r="A1910" s="1" t="s">
        <v>17558</v>
      </c>
      <c r="B1910" s="1" t="s">
        <v>19</v>
      </c>
      <c r="C1910" s="1" t="s">
        <v>12009</v>
      </c>
      <c r="D1910" s="1" t="s">
        <v>19</v>
      </c>
      <c r="E1910" s="250">
        <v>2504.2269999999999</v>
      </c>
    </row>
    <row r="1911" spans="1:5" x14ac:dyDescent="0.35">
      <c r="A1911" s="1" t="s">
        <v>17559</v>
      </c>
      <c r="B1911" s="1" t="s">
        <v>19</v>
      </c>
      <c r="C1911" s="1" t="s">
        <v>12008</v>
      </c>
      <c r="D1911" s="1" t="s">
        <v>19</v>
      </c>
      <c r="E1911" s="250">
        <v>2504.2280000000001</v>
      </c>
    </row>
    <row r="1912" spans="1:5" x14ac:dyDescent="0.35">
      <c r="A1912" s="1" t="s">
        <v>17560</v>
      </c>
      <c r="B1912" s="1" t="s">
        <v>19</v>
      </c>
      <c r="C1912" s="1" t="s">
        <v>12007</v>
      </c>
      <c r="D1912" s="1" t="s">
        <v>19</v>
      </c>
      <c r="E1912" s="250">
        <v>2504.2289999999998</v>
      </c>
    </row>
    <row r="1913" spans="1:5" x14ac:dyDescent="0.35">
      <c r="A1913" s="1" t="s">
        <v>17561</v>
      </c>
      <c r="B1913" s="1" t="s">
        <v>57</v>
      </c>
      <c r="C1913" s="1" t="s">
        <v>12006</v>
      </c>
      <c r="D1913" s="1" t="s">
        <v>57</v>
      </c>
      <c r="E1913" s="250">
        <v>2504.3000000000002</v>
      </c>
    </row>
    <row r="1914" spans="1:5" x14ac:dyDescent="0.35">
      <c r="A1914" s="1" t="s">
        <v>17562</v>
      </c>
      <c r="B1914" s="1" t="s">
        <v>19</v>
      </c>
      <c r="C1914" s="1" t="s">
        <v>12005</v>
      </c>
      <c r="D1914" s="1" t="s">
        <v>19</v>
      </c>
      <c r="E1914" s="250">
        <v>2504.3009999999999</v>
      </c>
    </row>
    <row r="1915" spans="1:5" x14ac:dyDescent="0.35">
      <c r="A1915" s="1" t="s">
        <v>17563</v>
      </c>
      <c r="B1915" s="1" t="s">
        <v>19</v>
      </c>
      <c r="C1915" s="1" t="s">
        <v>12004</v>
      </c>
      <c r="D1915" s="1" t="s">
        <v>19</v>
      </c>
      <c r="E1915" s="250">
        <v>2504.3020000000001</v>
      </c>
    </row>
    <row r="1916" spans="1:5" x14ac:dyDescent="0.35">
      <c r="A1916" s="1" t="s">
        <v>17564</v>
      </c>
      <c r="B1916" s="1" t="s">
        <v>19</v>
      </c>
      <c r="C1916" s="1" t="s">
        <v>12003</v>
      </c>
      <c r="D1916" s="1" t="s">
        <v>19</v>
      </c>
      <c r="E1916" s="250">
        <v>2504.3029999999999</v>
      </c>
    </row>
    <row r="1917" spans="1:5" x14ac:dyDescent="0.35">
      <c r="A1917" s="1" t="s">
        <v>17565</v>
      </c>
      <c r="B1917" s="1" t="s">
        <v>19</v>
      </c>
      <c r="C1917" s="1" t="s">
        <v>12002</v>
      </c>
      <c r="D1917" s="1" t="s">
        <v>19</v>
      </c>
      <c r="E1917" s="250">
        <v>2504.3040000000001</v>
      </c>
    </row>
    <row r="1918" spans="1:5" x14ac:dyDescent="0.35">
      <c r="A1918" s="1" t="s">
        <v>17566</v>
      </c>
      <c r="B1918" s="1" t="s">
        <v>19</v>
      </c>
      <c r="C1918" s="1" t="s">
        <v>12001</v>
      </c>
      <c r="D1918" s="1" t="s">
        <v>19</v>
      </c>
      <c r="E1918" s="250">
        <v>2504.3049999999998</v>
      </c>
    </row>
    <row r="1919" spans="1:5" x14ac:dyDescent="0.35">
      <c r="A1919" s="1" t="s">
        <v>17567</v>
      </c>
      <c r="B1919" s="1" t="s">
        <v>19</v>
      </c>
      <c r="C1919" s="1" t="s">
        <v>12000</v>
      </c>
      <c r="D1919" s="1" t="s">
        <v>19</v>
      </c>
      <c r="E1919" s="250">
        <v>2504.306</v>
      </c>
    </row>
    <row r="1920" spans="1:5" x14ac:dyDescent="0.35">
      <c r="A1920" s="1" t="s">
        <v>17568</v>
      </c>
      <c r="B1920" s="1" t="s">
        <v>19</v>
      </c>
      <c r="C1920" s="1" t="s">
        <v>11999</v>
      </c>
      <c r="D1920" s="1" t="s">
        <v>19</v>
      </c>
      <c r="E1920" s="250">
        <v>2504.3069999999998</v>
      </c>
    </row>
    <row r="1921" spans="1:5" x14ac:dyDescent="0.35">
      <c r="A1921" s="1" t="s">
        <v>17569</v>
      </c>
      <c r="B1921" s="1" t="s">
        <v>19</v>
      </c>
      <c r="C1921" s="1" t="s">
        <v>11998</v>
      </c>
      <c r="D1921" s="1" t="s">
        <v>19</v>
      </c>
      <c r="E1921" s="250">
        <v>2504.308</v>
      </c>
    </row>
    <row r="1922" spans="1:5" x14ac:dyDescent="0.35">
      <c r="A1922" s="1" t="s">
        <v>17570</v>
      </c>
      <c r="B1922" s="1" t="s">
        <v>19</v>
      </c>
      <c r="C1922" s="1" t="s">
        <v>11997</v>
      </c>
      <c r="D1922" s="1" t="s">
        <v>19</v>
      </c>
      <c r="E1922" s="250">
        <v>2504.3090000000002</v>
      </c>
    </row>
    <row r="1923" spans="1:5" x14ac:dyDescent="0.35">
      <c r="A1923" s="1" t="s">
        <v>17571</v>
      </c>
      <c r="B1923" s="1" t="s">
        <v>19</v>
      </c>
      <c r="C1923" s="1" t="s">
        <v>11996</v>
      </c>
      <c r="D1923" s="1" t="s">
        <v>19</v>
      </c>
      <c r="E1923" s="250">
        <v>2504.31</v>
      </c>
    </row>
    <row r="1924" spans="1:5" x14ac:dyDescent="0.35">
      <c r="A1924" s="1" t="s">
        <v>17572</v>
      </c>
      <c r="B1924" s="1" t="s">
        <v>19</v>
      </c>
      <c r="C1924" s="1" t="s">
        <v>11995</v>
      </c>
      <c r="D1924" s="1" t="s">
        <v>19</v>
      </c>
      <c r="E1924" s="250">
        <v>2504.3110000000001</v>
      </c>
    </row>
    <row r="1925" spans="1:5" x14ac:dyDescent="0.35">
      <c r="A1925" s="1" t="s">
        <v>17573</v>
      </c>
      <c r="B1925" s="1" t="s">
        <v>19</v>
      </c>
      <c r="C1925" s="1" t="s">
        <v>11994</v>
      </c>
      <c r="D1925" s="1" t="s">
        <v>19</v>
      </c>
      <c r="E1925" s="250">
        <v>2504.3119999999999</v>
      </c>
    </row>
    <row r="1926" spans="1:5" x14ac:dyDescent="0.35">
      <c r="A1926" s="1" t="s">
        <v>17574</v>
      </c>
      <c r="B1926" s="1" t="s">
        <v>19</v>
      </c>
      <c r="C1926" s="1" t="s">
        <v>11993</v>
      </c>
      <c r="D1926" s="1" t="s">
        <v>19</v>
      </c>
      <c r="E1926" s="250">
        <v>2504.3130000000001</v>
      </c>
    </row>
    <row r="1927" spans="1:5" x14ac:dyDescent="0.35">
      <c r="A1927" s="1" t="s">
        <v>17575</v>
      </c>
      <c r="B1927" s="1" t="s">
        <v>19</v>
      </c>
      <c r="C1927" s="1" t="s">
        <v>11992</v>
      </c>
      <c r="D1927" s="1" t="s">
        <v>19</v>
      </c>
      <c r="E1927" s="250">
        <v>2504.3139999999999</v>
      </c>
    </row>
    <row r="1928" spans="1:5" x14ac:dyDescent="0.35">
      <c r="A1928" s="1" t="s">
        <v>17576</v>
      </c>
      <c r="B1928" s="1" t="s">
        <v>19</v>
      </c>
      <c r="C1928" s="1" t="s">
        <v>11991</v>
      </c>
      <c r="D1928" s="1" t="s">
        <v>19</v>
      </c>
      <c r="E1928" s="250">
        <v>2504.3150000000001</v>
      </c>
    </row>
    <row r="1929" spans="1:5" x14ac:dyDescent="0.35">
      <c r="A1929" s="1" t="s">
        <v>17577</v>
      </c>
      <c r="B1929" s="1" t="s">
        <v>19</v>
      </c>
      <c r="C1929" s="1" t="s">
        <v>11990</v>
      </c>
      <c r="D1929" s="1" t="s">
        <v>19</v>
      </c>
      <c r="E1929" s="250">
        <v>2504.3159999999998</v>
      </c>
    </row>
    <row r="1930" spans="1:5" x14ac:dyDescent="0.35">
      <c r="A1930" s="1" t="s">
        <v>17578</v>
      </c>
      <c r="B1930" s="1" t="s">
        <v>19</v>
      </c>
      <c r="C1930" s="1" t="s">
        <v>11989</v>
      </c>
      <c r="D1930" s="1" t="s">
        <v>19</v>
      </c>
      <c r="E1930" s="250">
        <v>2504.317</v>
      </c>
    </row>
    <row r="1931" spans="1:5" x14ac:dyDescent="0.35">
      <c r="A1931" s="1" t="s">
        <v>17579</v>
      </c>
      <c r="B1931" s="1" t="s">
        <v>19</v>
      </c>
      <c r="C1931" s="1" t="s">
        <v>11988</v>
      </c>
      <c r="D1931" s="1" t="s">
        <v>19</v>
      </c>
      <c r="E1931" s="250">
        <v>2504.3180000000002</v>
      </c>
    </row>
    <row r="1932" spans="1:5" x14ac:dyDescent="0.35">
      <c r="A1932" s="1" t="s">
        <v>17580</v>
      </c>
      <c r="B1932" s="1" t="s">
        <v>19</v>
      </c>
      <c r="C1932" s="1" t="s">
        <v>11987</v>
      </c>
      <c r="D1932" s="1" t="s">
        <v>19</v>
      </c>
      <c r="E1932" s="250">
        <v>2504.319</v>
      </c>
    </row>
    <row r="1933" spans="1:5" x14ac:dyDescent="0.35">
      <c r="A1933" s="1" t="s">
        <v>17581</v>
      </c>
      <c r="B1933" s="1" t="s">
        <v>19</v>
      </c>
      <c r="C1933" s="1" t="s">
        <v>11986</v>
      </c>
      <c r="D1933" s="1" t="s">
        <v>19</v>
      </c>
      <c r="E1933" s="250">
        <v>2504.3200000000002</v>
      </c>
    </row>
    <row r="1934" spans="1:5" x14ac:dyDescent="0.35">
      <c r="A1934" s="1" t="s">
        <v>17582</v>
      </c>
      <c r="B1934" s="1" t="s">
        <v>19</v>
      </c>
      <c r="C1934" s="1" t="s">
        <v>11985</v>
      </c>
      <c r="D1934" s="1" t="s">
        <v>19</v>
      </c>
      <c r="E1934" s="250">
        <v>2504.3209999999999</v>
      </c>
    </row>
    <row r="1935" spans="1:5" x14ac:dyDescent="0.35">
      <c r="A1935" s="1" t="s">
        <v>17583</v>
      </c>
      <c r="B1935" s="1" t="s">
        <v>19</v>
      </c>
      <c r="C1935" s="1" t="s">
        <v>11984</v>
      </c>
      <c r="D1935" s="1" t="s">
        <v>19</v>
      </c>
      <c r="E1935" s="250">
        <v>2504.3220000000001</v>
      </c>
    </row>
    <row r="1936" spans="1:5" x14ac:dyDescent="0.35">
      <c r="A1936" s="1" t="s">
        <v>17584</v>
      </c>
      <c r="B1936" s="1" t="s">
        <v>57</v>
      </c>
      <c r="C1936" s="1" t="s">
        <v>11983</v>
      </c>
      <c r="D1936" s="1" t="s">
        <v>57</v>
      </c>
      <c r="E1936" s="250">
        <v>2504.4</v>
      </c>
    </row>
    <row r="1937" spans="1:5" x14ac:dyDescent="0.35">
      <c r="A1937" s="1" t="s">
        <v>17585</v>
      </c>
      <c r="B1937" s="1" t="s">
        <v>19</v>
      </c>
      <c r="C1937" s="1" t="s">
        <v>11982</v>
      </c>
      <c r="D1937" s="1" t="s">
        <v>19</v>
      </c>
      <c r="E1937" s="250">
        <v>2504.4009999999998</v>
      </c>
    </row>
    <row r="1938" spans="1:5" x14ac:dyDescent="0.35">
      <c r="A1938" s="1" t="s">
        <v>17586</v>
      </c>
      <c r="B1938" s="1" t="s">
        <v>19</v>
      </c>
      <c r="C1938" s="1" t="s">
        <v>11981</v>
      </c>
      <c r="D1938" s="1" t="s">
        <v>19</v>
      </c>
      <c r="E1938" s="250">
        <v>2504.402</v>
      </c>
    </row>
    <row r="1939" spans="1:5" x14ac:dyDescent="0.35">
      <c r="A1939" s="1" t="s">
        <v>17587</v>
      </c>
      <c r="B1939" s="1" t="s">
        <v>19</v>
      </c>
      <c r="C1939" s="1" t="s">
        <v>11980</v>
      </c>
      <c r="D1939" s="1" t="s">
        <v>19</v>
      </c>
      <c r="E1939" s="250">
        <v>2504.4029999999998</v>
      </c>
    </row>
    <row r="1940" spans="1:5" x14ac:dyDescent="0.35">
      <c r="A1940" s="1" t="s">
        <v>17588</v>
      </c>
      <c r="B1940" s="1" t="s">
        <v>19</v>
      </c>
      <c r="C1940" s="1" t="s">
        <v>11979</v>
      </c>
      <c r="D1940" s="1" t="s">
        <v>19</v>
      </c>
      <c r="E1940" s="250">
        <v>2504.404</v>
      </c>
    </row>
    <row r="1941" spans="1:5" x14ac:dyDescent="0.35">
      <c r="A1941" s="1" t="s">
        <v>17589</v>
      </c>
      <c r="B1941" s="1" t="s">
        <v>19</v>
      </c>
      <c r="C1941" s="1" t="s">
        <v>11978</v>
      </c>
      <c r="D1941" s="1" t="s">
        <v>19</v>
      </c>
      <c r="E1941" s="250">
        <v>2504.4050000000002</v>
      </c>
    </row>
    <row r="1942" spans="1:5" x14ac:dyDescent="0.35">
      <c r="A1942" s="1" t="s">
        <v>17590</v>
      </c>
      <c r="B1942" s="1" t="s">
        <v>19</v>
      </c>
      <c r="C1942" s="1" t="s">
        <v>11977</v>
      </c>
      <c r="D1942" s="1" t="s">
        <v>19</v>
      </c>
      <c r="E1942" s="250">
        <v>2504.4059999999999</v>
      </c>
    </row>
    <row r="1943" spans="1:5" x14ac:dyDescent="0.35">
      <c r="A1943" s="1" t="s">
        <v>17591</v>
      </c>
      <c r="B1943" s="1" t="s">
        <v>19</v>
      </c>
      <c r="C1943" s="1" t="s">
        <v>11976</v>
      </c>
      <c r="D1943" s="1" t="s">
        <v>19</v>
      </c>
      <c r="E1943" s="250">
        <v>2504.4070000000002</v>
      </c>
    </row>
    <row r="1944" spans="1:5" x14ac:dyDescent="0.35">
      <c r="A1944" s="1" t="s">
        <v>17592</v>
      </c>
      <c r="B1944" s="1" t="s">
        <v>19</v>
      </c>
      <c r="C1944" s="1" t="s">
        <v>11975</v>
      </c>
      <c r="D1944" s="1" t="s">
        <v>19</v>
      </c>
      <c r="E1944" s="250">
        <v>2504.4079999999999</v>
      </c>
    </row>
    <row r="1945" spans="1:5" x14ac:dyDescent="0.35">
      <c r="A1945" s="1" t="s">
        <v>17593</v>
      </c>
      <c r="B1945" s="1" t="s">
        <v>19</v>
      </c>
      <c r="C1945" s="1" t="s">
        <v>11974</v>
      </c>
      <c r="D1945" s="1" t="s">
        <v>19</v>
      </c>
      <c r="E1945" s="250">
        <v>2504.4090000000001</v>
      </c>
    </row>
    <row r="1946" spans="1:5" x14ac:dyDescent="0.35">
      <c r="A1946" s="1" t="s">
        <v>17594</v>
      </c>
      <c r="B1946" s="1" t="s">
        <v>19</v>
      </c>
      <c r="C1946" s="1" t="s">
        <v>11973</v>
      </c>
      <c r="D1946" s="1" t="s">
        <v>19</v>
      </c>
      <c r="E1946" s="250">
        <v>2504.41</v>
      </c>
    </row>
    <row r="1947" spans="1:5" x14ac:dyDescent="0.35">
      <c r="A1947" s="1" t="s">
        <v>17595</v>
      </c>
      <c r="B1947" s="1" t="s">
        <v>19</v>
      </c>
      <c r="C1947" s="1" t="s">
        <v>11972</v>
      </c>
      <c r="D1947" s="1" t="s">
        <v>19</v>
      </c>
      <c r="E1947" s="250">
        <v>2504.4110000000001</v>
      </c>
    </row>
    <row r="1948" spans="1:5" x14ac:dyDescent="0.35">
      <c r="A1948" s="1" t="s">
        <v>17596</v>
      </c>
      <c r="B1948" s="1" t="s">
        <v>19</v>
      </c>
      <c r="C1948" s="1" t="s">
        <v>11971</v>
      </c>
      <c r="D1948" s="1" t="s">
        <v>19</v>
      </c>
      <c r="E1948" s="250">
        <v>2504.4119999999998</v>
      </c>
    </row>
    <row r="1949" spans="1:5" x14ac:dyDescent="0.35">
      <c r="A1949" s="1" t="s">
        <v>17597</v>
      </c>
      <c r="B1949" s="1" t="s">
        <v>19</v>
      </c>
      <c r="C1949" s="1" t="s">
        <v>11970</v>
      </c>
      <c r="D1949" s="1" t="s">
        <v>19</v>
      </c>
      <c r="E1949" s="250">
        <v>2504.413</v>
      </c>
    </row>
    <row r="1950" spans="1:5" x14ac:dyDescent="0.35">
      <c r="A1950" s="1" t="s">
        <v>17598</v>
      </c>
      <c r="B1950" s="1" t="s">
        <v>19</v>
      </c>
      <c r="C1950" s="1" t="s">
        <v>11969</v>
      </c>
      <c r="D1950" s="1" t="s">
        <v>19</v>
      </c>
      <c r="E1950" s="250">
        <v>2504.4140000000002</v>
      </c>
    </row>
    <row r="1951" spans="1:5" x14ac:dyDescent="0.35">
      <c r="A1951" s="1" t="s">
        <v>17599</v>
      </c>
      <c r="B1951" s="1" t="s">
        <v>19</v>
      </c>
      <c r="C1951" s="1" t="s">
        <v>11968</v>
      </c>
      <c r="D1951" s="1" t="s">
        <v>19</v>
      </c>
      <c r="E1951" s="250">
        <v>2504.415</v>
      </c>
    </row>
    <row r="1952" spans="1:5" x14ac:dyDescent="0.35">
      <c r="A1952" s="1" t="s">
        <v>17600</v>
      </c>
      <c r="B1952" s="1" t="s">
        <v>19</v>
      </c>
      <c r="C1952" s="1" t="s">
        <v>11967</v>
      </c>
      <c r="D1952" s="1" t="s">
        <v>19</v>
      </c>
      <c r="E1952" s="250">
        <v>2504.4160000000002</v>
      </c>
    </row>
    <row r="1953" spans="1:5" x14ac:dyDescent="0.35">
      <c r="A1953" s="1" t="s">
        <v>17601</v>
      </c>
      <c r="B1953" s="1" t="s">
        <v>19</v>
      </c>
      <c r="C1953" s="1" t="s">
        <v>11966</v>
      </c>
      <c r="D1953" s="1" t="s">
        <v>19</v>
      </c>
      <c r="E1953" s="250">
        <v>2504.4169999999999</v>
      </c>
    </row>
    <row r="1954" spans="1:5" x14ac:dyDescent="0.35">
      <c r="A1954" s="1" t="s">
        <v>17602</v>
      </c>
      <c r="B1954" s="1" t="s">
        <v>19</v>
      </c>
      <c r="C1954" s="1" t="s">
        <v>11965</v>
      </c>
      <c r="D1954" s="1" t="s">
        <v>19</v>
      </c>
      <c r="E1954" s="250">
        <v>2504.4209999999998</v>
      </c>
    </row>
    <row r="1955" spans="1:5" x14ac:dyDescent="0.35">
      <c r="A1955" s="1" t="s">
        <v>17603</v>
      </c>
      <c r="B1955" s="1" t="s">
        <v>19</v>
      </c>
      <c r="C1955" s="1" t="s">
        <v>11964</v>
      </c>
      <c r="D1955" s="1" t="s">
        <v>19</v>
      </c>
      <c r="E1955" s="250">
        <v>2504.422</v>
      </c>
    </row>
    <row r="1956" spans="1:5" x14ac:dyDescent="0.35">
      <c r="A1956" s="1" t="s">
        <v>17604</v>
      </c>
      <c r="B1956" s="1" t="s">
        <v>19</v>
      </c>
      <c r="C1956" s="1" t="s">
        <v>11963</v>
      </c>
      <c r="D1956" s="1" t="s">
        <v>19</v>
      </c>
      <c r="E1956" s="250">
        <v>2504.4229999999998</v>
      </c>
    </row>
    <row r="1957" spans="1:5" x14ac:dyDescent="0.35">
      <c r="A1957" s="1" t="s">
        <v>17605</v>
      </c>
      <c r="B1957" s="1" t="s">
        <v>19</v>
      </c>
      <c r="C1957" s="1" t="s">
        <v>11962</v>
      </c>
      <c r="D1957" s="1" t="s">
        <v>19</v>
      </c>
      <c r="E1957" s="250">
        <v>2504.424</v>
      </c>
    </row>
    <row r="1958" spans="1:5" x14ac:dyDescent="0.35">
      <c r="A1958" s="1" t="s">
        <v>17606</v>
      </c>
      <c r="B1958" s="1" t="s">
        <v>19</v>
      </c>
      <c r="C1958" s="1" t="s">
        <v>11961</v>
      </c>
      <c r="D1958" s="1" t="s">
        <v>19</v>
      </c>
      <c r="E1958" s="250">
        <v>2504.4250000000002</v>
      </c>
    </row>
    <row r="1959" spans="1:5" x14ac:dyDescent="0.35">
      <c r="A1959" s="1" t="s">
        <v>17607</v>
      </c>
      <c r="B1959" s="1" t="s">
        <v>19</v>
      </c>
      <c r="C1959" s="1" t="s">
        <v>11960</v>
      </c>
      <c r="D1959" s="1" t="s">
        <v>19</v>
      </c>
      <c r="E1959" s="250">
        <v>2504.4259999999999</v>
      </c>
    </row>
    <row r="1960" spans="1:5" x14ac:dyDescent="0.35">
      <c r="A1960" s="1" t="s">
        <v>17608</v>
      </c>
      <c r="B1960" s="1" t="s">
        <v>19</v>
      </c>
      <c r="C1960" s="1" t="s">
        <v>11959</v>
      </c>
      <c r="D1960" s="1" t="s">
        <v>19</v>
      </c>
      <c r="E1960" s="250">
        <v>2504.4270000000001</v>
      </c>
    </row>
    <row r="1961" spans="1:5" x14ac:dyDescent="0.35">
      <c r="A1961" s="1" t="s">
        <v>17609</v>
      </c>
      <c r="B1961" s="1" t="s">
        <v>19</v>
      </c>
      <c r="C1961" s="1" t="s">
        <v>11958</v>
      </c>
      <c r="D1961" s="1" t="s">
        <v>19</v>
      </c>
      <c r="E1961" s="250">
        <v>2504.4279999999999</v>
      </c>
    </row>
    <row r="1962" spans="1:5" x14ac:dyDescent="0.35">
      <c r="A1962" s="1" t="s">
        <v>17610</v>
      </c>
      <c r="B1962" s="1" t="s">
        <v>19</v>
      </c>
      <c r="C1962" s="1" t="s">
        <v>11957</v>
      </c>
      <c r="D1962" s="1" t="s">
        <v>19</v>
      </c>
      <c r="E1962" s="250">
        <v>2504.4290000000001</v>
      </c>
    </row>
    <row r="1963" spans="1:5" x14ac:dyDescent="0.35">
      <c r="A1963" s="1" t="s">
        <v>17611</v>
      </c>
      <c r="B1963" s="1" t="s">
        <v>19</v>
      </c>
      <c r="C1963" s="1" t="s">
        <v>11956</v>
      </c>
      <c r="D1963" s="1" t="s">
        <v>19</v>
      </c>
      <c r="E1963" s="250">
        <v>2504.4299999999998</v>
      </c>
    </row>
    <row r="1964" spans="1:5" x14ac:dyDescent="0.35">
      <c r="A1964" s="1" t="s">
        <v>17612</v>
      </c>
      <c r="B1964" s="1" t="s">
        <v>19</v>
      </c>
      <c r="C1964" s="1" t="s">
        <v>11955</v>
      </c>
      <c r="D1964" s="1" t="s">
        <v>19</v>
      </c>
      <c r="E1964" s="250">
        <v>2504.431</v>
      </c>
    </row>
    <row r="1965" spans="1:5" x14ac:dyDescent="0.35">
      <c r="A1965" s="1" t="s">
        <v>17613</v>
      </c>
      <c r="B1965" s="1" t="s">
        <v>19</v>
      </c>
      <c r="C1965" s="1" t="s">
        <v>11954</v>
      </c>
      <c r="D1965" s="1" t="s">
        <v>19</v>
      </c>
      <c r="E1965" s="250">
        <v>2504.4319999999998</v>
      </c>
    </row>
    <row r="1966" spans="1:5" x14ac:dyDescent="0.35">
      <c r="A1966" s="1" t="s">
        <v>17614</v>
      </c>
      <c r="B1966" s="1" t="s">
        <v>19</v>
      </c>
      <c r="C1966" s="1" t="s">
        <v>11953</v>
      </c>
      <c r="D1966" s="1" t="s">
        <v>19</v>
      </c>
      <c r="E1966" s="250">
        <v>2504.433</v>
      </c>
    </row>
    <row r="1967" spans="1:5" x14ac:dyDescent="0.35">
      <c r="A1967" s="1" t="s">
        <v>17615</v>
      </c>
      <c r="B1967" s="1" t="s">
        <v>19</v>
      </c>
      <c r="C1967" s="1" t="s">
        <v>11952</v>
      </c>
      <c r="D1967" s="1" t="s">
        <v>19</v>
      </c>
      <c r="E1967" s="250">
        <v>2504.4340000000002</v>
      </c>
    </row>
    <row r="1968" spans="1:5" x14ac:dyDescent="0.35">
      <c r="A1968" s="1" t="s">
        <v>17616</v>
      </c>
      <c r="B1968" s="1" t="s">
        <v>19</v>
      </c>
      <c r="C1968" s="1" t="s">
        <v>11951</v>
      </c>
      <c r="D1968" s="1" t="s">
        <v>19</v>
      </c>
      <c r="E1968" s="250">
        <v>2504.4349999999999</v>
      </c>
    </row>
    <row r="1969" spans="1:5" x14ac:dyDescent="0.35">
      <c r="A1969" s="1" t="s">
        <v>17617</v>
      </c>
      <c r="B1969" s="1" t="s">
        <v>19</v>
      </c>
      <c r="C1969" s="1" t="s">
        <v>11950</v>
      </c>
      <c r="D1969" s="1" t="s">
        <v>19</v>
      </c>
      <c r="E1969" s="250">
        <v>2504.4360000000001</v>
      </c>
    </row>
    <row r="1970" spans="1:5" x14ac:dyDescent="0.35">
      <c r="A1970" s="1" t="s">
        <v>17618</v>
      </c>
      <c r="B1970" s="1" t="s">
        <v>19</v>
      </c>
      <c r="C1970" s="1" t="s">
        <v>11949</v>
      </c>
      <c r="D1970" s="1" t="s">
        <v>19</v>
      </c>
      <c r="E1970" s="250">
        <v>2504.4369999999999</v>
      </c>
    </row>
    <row r="1971" spans="1:5" x14ac:dyDescent="0.35">
      <c r="A1971" s="1" t="s">
        <v>17619</v>
      </c>
      <c r="B1971" s="1" t="s">
        <v>19</v>
      </c>
      <c r="C1971" s="1" t="s">
        <v>11948</v>
      </c>
      <c r="D1971" s="1" t="s">
        <v>19</v>
      </c>
      <c r="E1971" s="250">
        <v>2504.4409999999998</v>
      </c>
    </row>
    <row r="1972" spans="1:5" x14ac:dyDescent="0.35">
      <c r="A1972" s="1" t="s">
        <v>17620</v>
      </c>
      <c r="B1972" s="1" t="s">
        <v>19</v>
      </c>
      <c r="C1972" s="1" t="s">
        <v>11947</v>
      </c>
      <c r="D1972" s="1" t="s">
        <v>19</v>
      </c>
      <c r="E1972" s="250">
        <v>2504.442</v>
      </c>
    </row>
    <row r="1973" spans="1:5" x14ac:dyDescent="0.35">
      <c r="A1973" s="1" t="s">
        <v>17621</v>
      </c>
      <c r="B1973" s="1" t="s">
        <v>19</v>
      </c>
      <c r="C1973" s="1" t="s">
        <v>11946</v>
      </c>
      <c r="D1973" s="1" t="s">
        <v>19</v>
      </c>
      <c r="E1973" s="250">
        <v>2504.4430000000002</v>
      </c>
    </row>
    <row r="1974" spans="1:5" x14ac:dyDescent="0.35">
      <c r="A1974" s="1" t="s">
        <v>17622</v>
      </c>
      <c r="B1974" s="1" t="s">
        <v>19</v>
      </c>
      <c r="C1974" s="1" t="s">
        <v>11945</v>
      </c>
      <c r="D1974" s="1" t="s">
        <v>19</v>
      </c>
      <c r="E1974" s="250">
        <v>2504.444</v>
      </c>
    </row>
    <row r="1975" spans="1:5" x14ac:dyDescent="0.35">
      <c r="A1975" s="1" t="s">
        <v>17623</v>
      </c>
      <c r="B1975" s="1" t="s">
        <v>19</v>
      </c>
      <c r="C1975" s="1" t="s">
        <v>11944</v>
      </c>
      <c r="D1975" s="1" t="s">
        <v>19</v>
      </c>
      <c r="E1975" s="250">
        <v>2504.4450000000002</v>
      </c>
    </row>
    <row r="1976" spans="1:5" x14ac:dyDescent="0.35">
      <c r="A1976" s="1" t="s">
        <v>17624</v>
      </c>
      <c r="B1976" s="1" t="s">
        <v>19</v>
      </c>
      <c r="C1976" s="1" t="s">
        <v>11943</v>
      </c>
      <c r="D1976" s="1" t="s">
        <v>19</v>
      </c>
      <c r="E1976" s="250">
        <v>2504.4459999999999</v>
      </c>
    </row>
    <row r="1977" spans="1:5" x14ac:dyDescent="0.35">
      <c r="A1977" s="1" t="s">
        <v>17625</v>
      </c>
      <c r="B1977" s="1" t="s">
        <v>19</v>
      </c>
      <c r="C1977" s="1" t="s">
        <v>11942</v>
      </c>
      <c r="D1977" s="1" t="s">
        <v>19</v>
      </c>
      <c r="E1977" s="250">
        <v>2504.4470000000001</v>
      </c>
    </row>
    <row r="1978" spans="1:5" x14ac:dyDescent="0.35">
      <c r="A1978" s="1" t="s">
        <v>17626</v>
      </c>
      <c r="B1978" s="1" t="s">
        <v>19</v>
      </c>
      <c r="C1978" s="1" t="s">
        <v>11941</v>
      </c>
      <c r="D1978" s="1" t="s">
        <v>19</v>
      </c>
      <c r="E1978" s="250">
        <v>2504.4479999999999</v>
      </c>
    </row>
    <row r="1979" spans="1:5" x14ac:dyDescent="0.35">
      <c r="A1979" s="1" t="s">
        <v>17627</v>
      </c>
      <c r="B1979" s="1" t="s">
        <v>19</v>
      </c>
      <c r="C1979" s="1" t="s">
        <v>11940</v>
      </c>
      <c r="D1979" s="1" t="s">
        <v>19</v>
      </c>
      <c r="E1979" s="250">
        <v>2504.4490000000001</v>
      </c>
    </row>
    <row r="1980" spans="1:5" x14ac:dyDescent="0.35">
      <c r="A1980" s="1" t="s">
        <v>17628</v>
      </c>
      <c r="B1980" s="1" t="s">
        <v>19</v>
      </c>
      <c r="C1980" s="1" t="s">
        <v>11939</v>
      </c>
      <c r="D1980" s="1" t="s">
        <v>19</v>
      </c>
      <c r="E1980" s="250">
        <v>2504.4499999999998</v>
      </c>
    </row>
    <row r="1981" spans="1:5" x14ac:dyDescent="0.35">
      <c r="A1981" s="1" t="s">
        <v>17629</v>
      </c>
      <c r="B1981" s="1" t="s">
        <v>19</v>
      </c>
      <c r="C1981" s="1" t="s">
        <v>11938</v>
      </c>
      <c r="D1981" s="1" t="s">
        <v>19</v>
      </c>
      <c r="E1981" s="250">
        <v>2504.451</v>
      </c>
    </row>
    <row r="1982" spans="1:5" x14ac:dyDescent="0.35">
      <c r="A1982" s="1" t="s">
        <v>17630</v>
      </c>
      <c r="B1982" s="1" t="s">
        <v>19</v>
      </c>
      <c r="C1982" s="1" t="s">
        <v>11937</v>
      </c>
      <c r="D1982" s="1" t="s">
        <v>19</v>
      </c>
      <c r="E1982" s="250">
        <v>2504.4520000000002</v>
      </c>
    </row>
    <row r="1983" spans="1:5" x14ac:dyDescent="0.35">
      <c r="A1983" s="1" t="s">
        <v>17631</v>
      </c>
      <c r="B1983" s="1" t="s">
        <v>19</v>
      </c>
      <c r="C1983" s="1" t="s">
        <v>11936</v>
      </c>
      <c r="D1983" s="1" t="s">
        <v>19</v>
      </c>
      <c r="E1983" s="250">
        <v>2504.453</v>
      </c>
    </row>
    <row r="1984" spans="1:5" x14ac:dyDescent="0.35">
      <c r="A1984" s="1" t="s">
        <v>17632</v>
      </c>
      <c r="B1984" s="1" t="s">
        <v>19</v>
      </c>
      <c r="C1984" s="1" t="s">
        <v>11935</v>
      </c>
      <c r="D1984" s="1" t="s">
        <v>19</v>
      </c>
      <c r="E1984" s="250">
        <v>2504.4540000000002</v>
      </c>
    </row>
    <row r="1985" spans="1:5" x14ac:dyDescent="0.35">
      <c r="A1985" s="1" t="s">
        <v>17633</v>
      </c>
      <c r="B1985" s="1" t="s">
        <v>19</v>
      </c>
      <c r="C1985" s="1" t="s">
        <v>11934</v>
      </c>
      <c r="D1985" s="1" t="s">
        <v>19</v>
      </c>
      <c r="E1985" s="250">
        <v>2504.4549999999999</v>
      </c>
    </row>
    <row r="1986" spans="1:5" x14ac:dyDescent="0.35">
      <c r="A1986" s="1" t="s">
        <v>17634</v>
      </c>
      <c r="B1986" s="1" t="s">
        <v>19</v>
      </c>
      <c r="C1986" s="1" t="s">
        <v>11933</v>
      </c>
      <c r="D1986" s="1" t="s">
        <v>19</v>
      </c>
      <c r="E1986" s="250">
        <v>2504.4560000000001</v>
      </c>
    </row>
    <row r="1987" spans="1:5" x14ac:dyDescent="0.35">
      <c r="A1987" s="1" t="s">
        <v>17635</v>
      </c>
      <c r="B1987" s="1" t="s">
        <v>19</v>
      </c>
      <c r="C1987" s="1" t="s">
        <v>11932</v>
      </c>
      <c r="D1987" s="1" t="s">
        <v>19</v>
      </c>
      <c r="E1987" s="250">
        <v>2504.4569999999999</v>
      </c>
    </row>
    <row r="1988" spans="1:5" x14ac:dyDescent="0.35">
      <c r="A1988" s="1" t="s">
        <v>17636</v>
      </c>
      <c r="B1988" s="1" t="s">
        <v>19</v>
      </c>
      <c r="C1988" s="1" t="s">
        <v>11931</v>
      </c>
      <c r="D1988" s="1" t="s">
        <v>19</v>
      </c>
      <c r="E1988" s="250">
        <v>2504.4609999999998</v>
      </c>
    </row>
    <row r="1989" spans="1:5" x14ac:dyDescent="0.35">
      <c r="A1989" s="1" t="s">
        <v>17637</v>
      </c>
      <c r="B1989" s="1" t="s">
        <v>19</v>
      </c>
      <c r="C1989" s="1" t="s">
        <v>11930</v>
      </c>
      <c r="D1989" s="1" t="s">
        <v>19</v>
      </c>
      <c r="E1989" s="250">
        <v>2504.462</v>
      </c>
    </row>
    <row r="1990" spans="1:5" x14ac:dyDescent="0.35">
      <c r="A1990" s="1" t="s">
        <v>17638</v>
      </c>
      <c r="B1990" s="1" t="s">
        <v>19</v>
      </c>
      <c r="C1990" s="1" t="s">
        <v>11929</v>
      </c>
      <c r="D1990" s="1" t="s">
        <v>19</v>
      </c>
      <c r="E1990" s="250">
        <v>2504.4630000000002</v>
      </c>
    </row>
    <row r="1991" spans="1:5" x14ac:dyDescent="0.35">
      <c r="A1991" s="1" t="s">
        <v>17639</v>
      </c>
      <c r="B1991" s="1" t="s">
        <v>19</v>
      </c>
      <c r="C1991" s="1" t="s">
        <v>11928</v>
      </c>
      <c r="D1991" s="1" t="s">
        <v>19</v>
      </c>
      <c r="E1991" s="250">
        <v>2504.4639999999999</v>
      </c>
    </row>
    <row r="1992" spans="1:5" x14ac:dyDescent="0.35">
      <c r="A1992" s="1" t="s">
        <v>17640</v>
      </c>
      <c r="B1992" s="1" t="s">
        <v>19</v>
      </c>
      <c r="C1992" s="1" t="s">
        <v>11927</v>
      </c>
      <c r="D1992" s="1" t="s">
        <v>19</v>
      </c>
      <c r="E1992" s="250">
        <v>2504.4650000000001</v>
      </c>
    </row>
    <row r="1993" spans="1:5" x14ac:dyDescent="0.35">
      <c r="A1993" s="1" t="s">
        <v>17641</v>
      </c>
      <c r="B1993" s="1" t="s">
        <v>19</v>
      </c>
      <c r="C1993" s="1" t="s">
        <v>11926</v>
      </c>
      <c r="D1993" s="1" t="s">
        <v>19</v>
      </c>
      <c r="E1993" s="250">
        <v>2504.4659999999999</v>
      </c>
    </row>
    <row r="1994" spans="1:5" x14ac:dyDescent="0.35">
      <c r="A1994" s="1" t="s">
        <v>17642</v>
      </c>
      <c r="B1994" s="1" t="s">
        <v>19</v>
      </c>
      <c r="C1994" s="1" t="s">
        <v>11925</v>
      </c>
      <c r="D1994" s="1" t="s">
        <v>19</v>
      </c>
      <c r="E1994" s="250">
        <v>2504.4670000000001</v>
      </c>
    </row>
    <row r="1995" spans="1:5" x14ac:dyDescent="0.35">
      <c r="A1995" s="1" t="s">
        <v>17643</v>
      </c>
      <c r="B1995" s="1" t="s">
        <v>19</v>
      </c>
      <c r="C1995" s="1" t="s">
        <v>11924</v>
      </c>
      <c r="D1995" s="1" t="s">
        <v>19</v>
      </c>
      <c r="E1995" s="250">
        <v>2504.4679999999998</v>
      </c>
    </row>
    <row r="1996" spans="1:5" x14ac:dyDescent="0.35">
      <c r="A1996" s="1" t="s">
        <v>17644</v>
      </c>
      <c r="B1996" s="1" t="s">
        <v>19</v>
      </c>
      <c r="C1996" s="1" t="s">
        <v>11923</v>
      </c>
      <c r="D1996" s="1" t="s">
        <v>19</v>
      </c>
      <c r="E1996" s="250">
        <v>2504.4690000000001</v>
      </c>
    </row>
    <row r="1997" spans="1:5" x14ac:dyDescent="0.35">
      <c r="A1997" s="1" t="s">
        <v>17645</v>
      </c>
      <c r="B1997" s="1" t="s">
        <v>19</v>
      </c>
      <c r="C1997" s="1" t="s">
        <v>11922</v>
      </c>
      <c r="D1997" s="1" t="s">
        <v>19</v>
      </c>
      <c r="E1997" s="250">
        <v>2504.4699999999998</v>
      </c>
    </row>
    <row r="1998" spans="1:5" x14ac:dyDescent="0.35">
      <c r="A1998" s="1" t="s">
        <v>17646</v>
      </c>
      <c r="B1998" s="1" t="s">
        <v>19</v>
      </c>
      <c r="C1998" s="1" t="s">
        <v>11921</v>
      </c>
      <c r="D1998" s="1" t="s">
        <v>19</v>
      </c>
      <c r="E1998" s="250">
        <v>2504.471</v>
      </c>
    </row>
    <row r="1999" spans="1:5" x14ac:dyDescent="0.35">
      <c r="A1999" s="1" t="s">
        <v>17647</v>
      </c>
      <c r="B1999" s="1" t="s">
        <v>19</v>
      </c>
      <c r="C1999" s="1" t="s">
        <v>11920</v>
      </c>
      <c r="D1999" s="1" t="s">
        <v>19</v>
      </c>
      <c r="E1999" s="250">
        <v>2504.4720000000002</v>
      </c>
    </row>
    <row r="2000" spans="1:5" x14ac:dyDescent="0.35">
      <c r="A2000" s="1" t="s">
        <v>17648</v>
      </c>
      <c r="B2000" s="1" t="s">
        <v>19</v>
      </c>
      <c r="C2000" s="1" t="s">
        <v>11919</v>
      </c>
      <c r="D2000" s="1" t="s">
        <v>19</v>
      </c>
      <c r="E2000" s="250">
        <v>2504.473</v>
      </c>
    </row>
    <row r="2001" spans="1:5" x14ac:dyDescent="0.35">
      <c r="A2001" s="1" t="s">
        <v>17649</v>
      </c>
      <c r="B2001" s="1" t="s">
        <v>19</v>
      </c>
      <c r="C2001" s="1" t="s">
        <v>11918</v>
      </c>
      <c r="D2001" s="1" t="s">
        <v>19</v>
      </c>
      <c r="E2001" s="250">
        <v>2504.4740000000002</v>
      </c>
    </row>
    <row r="2002" spans="1:5" x14ac:dyDescent="0.35">
      <c r="A2002" s="1" t="s">
        <v>17650</v>
      </c>
      <c r="B2002" s="1" t="s">
        <v>19</v>
      </c>
      <c r="C2002" s="1" t="s">
        <v>11917</v>
      </c>
      <c r="D2002" s="1" t="s">
        <v>19</v>
      </c>
      <c r="E2002" s="250">
        <v>2504.4749999999999</v>
      </c>
    </row>
    <row r="2003" spans="1:5" x14ac:dyDescent="0.35">
      <c r="A2003" s="1" t="s">
        <v>17651</v>
      </c>
      <c r="B2003" s="1" t="s">
        <v>19</v>
      </c>
      <c r="C2003" s="1" t="s">
        <v>11916</v>
      </c>
      <c r="D2003" s="1" t="s">
        <v>19</v>
      </c>
      <c r="E2003" s="250">
        <v>2504.4760000000001</v>
      </c>
    </row>
    <row r="2004" spans="1:5" x14ac:dyDescent="0.35">
      <c r="A2004" s="1" t="s">
        <v>17652</v>
      </c>
      <c r="B2004" s="1" t="s">
        <v>19</v>
      </c>
      <c r="C2004" s="1" t="s">
        <v>11915</v>
      </c>
      <c r="D2004" s="1" t="s">
        <v>19</v>
      </c>
      <c r="E2004" s="250">
        <v>2504.4769999999999</v>
      </c>
    </row>
    <row r="2005" spans="1:5" x14ac:dyDescent="0.35">
      <c r="A2005" s="1" t="s">
        <v>17653</v>
      </c>
      <c r="B2005" s="1" t="s">
        <v>19</v>
      </c>
      <c r="C2005" s="1" t="s">
        <v>11914</v>
      </c>
      <c r="D2005" s="1" t="s">
        <v>19</v>
      </c>
      <c r="E2005" s="250">
        <v>2504.4810000000002</v>
      </c>
    </row>
    <row r="2006" spans="1:5" x14ac:dyDescent="0.35">
      <c r="A2006" s="1" t="s">
        <v>17654</v>
      </c>
      <c r="B2006" s="1" t="s">
        <v>19</v>
      </c>
      <c r="C2006" s="1" t="s">
        <v>11913</v>
      </c>
      <c r="D2006" s="1" t="s">
        <v>19</v>
      </c>
      <c r="E2006" s="250">
        <v>2504.482</v>
      </c>
    </row>
    <row r="2007" spans="1:5" x14ac:dyDescent="0.35">
      <c r="A2007" s="1" t="s">
        <v>17655</v>
      </c>
      <c r="B2007" s="1" t="s">
        <v>19</v>
      </c>
      <c r="C2007" s="1" t="s">
        <v>11912</v>
      </c>
      <c r="D2007" s="1" t="s">
        <v>19</v>
      </c>
      <c r="E2007" s="250">
        <v>2504.4830000000002</v>
      </c>
    </row>
    <row r="2008" spans="1:5" x14ac:dyDescent="0.35">
      <c r="A2008" s="1" t="s">
        <v>17656</v>
      </c>
      <c r="B2008" s="1" t="s">
        <v>19</v>
      </c>
      <c r="C2008" s="1" t="s">
        <v>11911</v>
      </c>
      <c r="D2008" s="1" t="s">
        <v>19</v>
      </c>
      <c r="E2008" s="250">
        <v>2504.4839999999999</v>
      </c>
    </row>
    <row r="2009" spans="1:5" x14ac:dyDescent="0.35">
      <c r="A2009" s="1" t="s">
        <v>17657</v>
      </c>
      <c r="B2009" s="1" t="s">
        <v>19</v>
      </c>
      <c r="C2009" s="1" t="s">
        <v>11910</v>
      </c>
      <c r="D2009" s="1" t="s">
        <v>19</v>
      </c>
      <c r="E2009" s="250">
        <v>2504.4850000000001</v>
      </c>
    </row>
    <row r="2010" spans="1:5" x14ac:dyDescent="0.35">
      <c r="A2010" s="1" t="s">
        <v>17658</v>
      </c>
      <c r="B2010" s="1" t="s">
        <v>19</v>
      </c>
      <c r="C2010" s="1" t="s">
        <v>11909</v>
      </c>
      <c r="D2010" s="1" t="s">
        <v>19</v>
      </c>
      <c r="E2010" s="250">
        <v>2504.4859999999999</v>
      </c>
    </row>
    <row r="2011" spans="1:5" x14ac:dyDescent="0.35">
      <c r="A2011" s="1" t="s">
        <v>17659</v>
      </c>
      <c r="B2011" s="1" t="s">
        <v>19</v>
      </c>
      <c r="C2011" s="1" t="s">
        <v>11908</v>
      </c>
      <c r="D2011" s="1" t="s">
        <v>19</v>
      </c>
      <c r="E2011" s="250">
        <v>2504.4870000000001</v>
      </c>
    </row>
    <row r="2012" spans="1:5" x14ac:dyDescent="0.35">
      <c r="A2012" s="1" t="s">
        <v>17660</v>
      </c>
      <c r="B2012" s="1" t="s">
        <v>19</v>
      </c>
      <c r="C2012" s="1" t="s">
        <v>11907</v>
      </c>
      <c r="D2012" s="1" t="s">
        <v>19</v>
      </c>
      <c r="E2012" s="250">
        <v>2504.4879999999998</v>
      </c>
    </row>
    <row r="2013" spans="1:5" x14ac:dyDescent="0.35">
      <c r="A2013" s="1" t="s">
        <v>17661</v>
      </c>
      <c r="B2013" s="1" t="s">
        <v>19</v>
      </c>
      <c r="C2013" s="1" t="s">
        <v>11906</v>
      </c>
      <c r="D2013" s="1" t="s">
        <v>19</v>
      </c>
      <c r="E2013" s="250">
        <v>2504.489</v>
      </c>
    </row>
    <row r="2014" spans="1:5" x14ac:dyDescent="0.35">
      <c r="A2014" s="1" t="s">
        <v>17662</v>
      </c>
      <c r="B2014" s="1" t="s">
        <v>19</v>
      </c>
      <c r="C2014" s="1" t="s">
        <v>11905</v>
      </c>
      <c r="D2014" s="1" t="s">
        <v>19</v>
      </c>
      <c r="E2014" s="250">
        <v>2504.4899999999998</v>
      </c>
    </row>
    <row r="2015" spans="1:5" x14ac:dyDescent="0.35">
      <c r="A2015" s="1" t="s">
        <v>17663</v>
      </c>
      <c r="B2015" s="1" t="s">
        <v>19</v>
      </c>
      <c r="C2015" s="1" t="s">
        <v>11904</v>
      </c>
      <c r="D2015" s="1" t="s">
        <v>19</v>
      </c>
      <c r="E2015" s="250">
        <v>2504.491</v>
      </c>
    </row>
    <row r="2016" spans="1:5" x14ac:dyDescent="0.35">
      <c r="A2016" s="1" t="s">
        <v>17664</v>
      </c>
      <c r="B2016" s="1" t="s">
        <v>19</v>
      </c>
      <c r="C2016" s="1" t="s">
        <v>11903</v>
      </c>
      <c r="D2016" s="1" t="s">
        <v>19</v>
      </c>
      <c r="E2016" s="250">
        <v>2504.4920000000002</v>
      </c>
    </row>
    <row r="2017" spans="1:5" x14ac:dyDescent="0.35">
      <c r="A2017" s="1" t="s">
        <v>17665</v>
      </c>
      <c r="B2017" s="1" t="s">
        <v>19</v>
      </c>
      <c r="C2017" s="1" t="s">
        <v>11902</v>
      </c>
      <c r="D2017" s="1" t="s">
        <v>19</v>
      </c>
      <c r="E2017" s="250">
        <v>2504.4929999999999</v>
      </c>
    </row>
    <row r="2018" spans="1:5" x14ac:dyDescent="0.35">
      <c r="A2018" s="1" t="s">
        <v>17666</v>
      </c>
      <c r="B2018" s="1" t="s">
        <v>19</v>
      </c>
      <c r="C2018" s="1" t="s">
        <v>11901</v>
      </c>
      <c r="D2018" s="1" t="s">
        <v>19</v>
      </c>
      <c r="E2018" s="250">
        <v>2504.4940000000001</v>
      </c>
    </row>
    <row r="2019" spans="1:5" x14ac:dyDescent="0.35">
      <c r="A2019" s="1" t="s">
        <v>17667</v>
      </c>
      <c r="B2019" s="1" t="s">
        <v>19</v>
      </c>
      <c r="C2019" s="1" t="s">
        <v>11900</v>
      </c>
      <c r="D2019" s="1" t="s">
        <v>19</v>
      </c>
      <c r="E2019" s="250">
        <v>2504.4949999999999</v>
      </c>
    </row>
    <row r="2020" spans="1:5" x14ac:dyDescent="0.35">
      <c r="A2020" s="1" t="s">
        <v>17668</v>
      </c>
      <c r="B2020" s="1" t="s">
        <v>19</v>
      </c>
      <c r="C2020" s="1" t="s">
        <v>11899</v>
      </c>
      <c r="D2020" s="1" t="s">
        <v>19</v>
      </c>
      <c r="E2020" s="250">
        <v>2504.4960000000001</v>
      </c>
    </row>
    <row r="2021" spans="1:5" x14ac:dyDescent="0.35">
      <c r="A2021" s="1" t="s">
        <v>17669</v>
      </c>
      <c r="B2021" s="1" t="s">
        <v>19</v>
      </c>
      <c r="C2021" s="1" t="s">
        <v>11898</v>
      </c>
      <c r="D2021" s="1" t="s">
        <v>19</v>
      </c>
      <c r="E2021" s="250">
        <v>2504.4969999999998</v>
      </c>
    </row>
    <row r="2022" spans="1:5" x14ac:dyDescent="0.35">
      <c r="A2022" s="1" t="s">
        <v>17670</v>
      </c>
      <c r="B2022" s="1" t="s">
        <v>19</v>
      </c>
      <c r="C2022" s="1" t="s">
        <v>11897</v>
      </c>
      <c r="D2022" s="1" t="s">
        <v>19</v>
      </c>
      <c r="E2022" s="250">
        <v>2504.5010000000002</v>
      </c>
    </row>
    <row r="2023" spans="1:5" x14ac:dyDescent="0.35">
      <c r="A2023" s="1" t="s">
        <v>17671</v>
      </c>
      <c r="B2023" s="1" t="s">
        <v>19</v>
      </c>
      <c r="C2023" s="1" t="s">
        <v>11896</v>
      </c>
      <c r="D2023" s="1" t="s">
        <v>19</v>
      </c>
      <c r="E2023" s="250">
        <v>2504.502</v>
      </c>
    </row>
    <row r="2024" spans="1:5" x14ac:dyDescent="0.35">
      <c r="A2024" s="1" t="s">
        <v>17672</v>
      </c>
      <c r="B2024" s="1" t="s">
        <v>19</v>
      </c>
      <c r="C2024" s="1" t="s">
        <v>11895</v>
      </c>
      <c r="D2024" s="1" t="s">
        <v>19</v>
      </c>
      <c r="E2024" s="250">
        <v>2504.5030000000002</v>
      </c>
    </row>
    <row r="2025" spans="1:5" x14ac:dyDescent="0.35">
      <c r="A2025" s="1" t="s">
        <v>17673</v>
      </c>
      <c r="B2025" s="1" t="s">
        <v>19</v>
      </c>
      <c r="C2025" s="1" t="s">
        <v>11894</v>
      </c>
      <c r="D2025" s="1" t="s">
        <v>19</v>
      </c>
      <c r="E2025" s="250">
        <v>2504.5039999999999</v>
      </c>
    </row>
    <row r="2026" spans="1:5" x14ac:dyDescent="0.35">
      <c r="A2026" s="1" t="s">
        <v>17674</v>
      </c>
      <c r="B2026" s="1" t="s">
        <v>19</v>
      </c>
      <c r="C2026" s="1" t="s">
        <v>11893</v>
      </c>
      <c r="D2026" s="1" t="s">
        <v>19</v>
      </c>
      <c r="E2026" s="250">
        <v>2504.5050000000001</v>
      </c>
    </row>
    <row r="2027" spans="1:5" x14ac:dyDescent="0.35">
      <c r="A2027" s="1" t="s">
        <v>17675</v>
      </c>
      <c r="B2027" s="1" t="s">
        <v>19</v>
      </c>
      <c r="C2027" s="1" t="s">
        <v>11892</v>
      </c>
      <c r="D2027" s="1" t="s">
        <v>19</v>
      </c>
      <c r="E2027" s="250">
        <v>2504.5059999999999</v>
      </c>
    </row>
    <row r="2028" spans="1:5" x14ac:dyDescent="0.35">
      <c r="A2028" s="1" t="s">
        <v>17676</v>
      </c>
      <c r="B2028" s="1" t="s">
        <v>19</v>
      </c>
      <c r="C2028" s="1" t="s">
        <v>11891</v>
      </c>
      <c r="D2028" s="1" t="s">
        <v>19</v>
      </c>
      <c r="E2028" s="250">
        <v>2504.5070000000001</v>
      </c>
    </row>
    <row r="2029" spans="1:5" x14ac:dyDescent="0.35">
      <c r="A2029" s="1" t="s">
        <v>17677</v>
      </c>
      <c r="B2029" s="1" t="s">
        <v>19</v>
      </c>
      <c r="C2029" s="1" t="s">
        <v>11890</v>
      </c>
      <c r="D2029" s="1" t="s">
        <v>19</v>
      </c>
      <c r="E2029" s="250">
        <v>2504.5079999999998</v>
      </c>
    </row>
    <row r="2030" spans="1:5" x14ac:dyDescent="0.35">
      <c r="A2030" s="1" t="s">
        <v>17678</v>
      </c>
      <c r="B2030" s="1" t="s">
        <v>19</v>
      </c>
      <c r="C2030" s="1" t="s">
        <v>11889</v>
      </c>
      <c r="D2030" s="1" t="s">
        <v>19</v>
      </c>
      <c r="E2030" s="250">
        <v>2504.509</v>
      </c>
    </row>
    <row r="2031" spans="1:5" x14ac:dyDescent="0.35">
      <c r="A2031" s="1" t="s">
        <v>17679</v>
      </c>
      <c r="B2031" s="1" t="s">
        <v>19</v>
      </c>
      <c r="C2031" s="1" t="s">
        <v>11888</v>
      </c>
      <c r="D2031" s="1" t="s">
        <v>19</v>
      </c>
      <c r="E2031" s="250">
        <v>2504.5100000000002</v>
      </c>
    </row>
    <row r="2032" spans="1:5" x14ac:dyDescent="0.35">
      <c r="A2032" s="1" t="s">
        <v>17680</v>
      </c>
      <c r="B2032" s="1" t="s">
        <v>19</v>
      </c>
      <c r="C2032" s="1" t="s">
        <v>11887</v>
      </c>
      <c r="D2032" s="1" t="s">
        <v>19</v>
      </c>
      <c r="E2032" s="250">
        <v>2504.511</v>
      </c>
    </row>
    <row r="2033" spans="1:5" x14ac:dyDescent="0.35">
      <c r="A2033" s="1" t="s">
        <v>17681</v>
      </c>
      <c r="B2033" s="1" t="s">
        <v>19</v>
      </c>
      <c r="C2033" s="1" t="s">
        <v>11886</v>
      </c>
      <c r="D2033" s="1" t="s">
        <v>19</v>
      </c>
      <c r="E2033" s="250">
        <v>2504.5120000000002</v>
      </c>
    </row>
    <row r="2034" spans="1:5" x14ac:dyDescent="0.35">
      <c r="A2034" s="1" t="s">
        <v>17682</v>
      </c>
      <c r="B2034" s="1" t="s">
        <v>19</v>
      </c>
      <c r="C2034" s="1" t="s">
        <v>11885</v>
      </c>
      <c r="D2034" s="1" t="s">
        <v>19</v>
      </c>
      <c r="E2034" s="250">
        <v>2504.5129999999999</v>
      </c>
    </row>
    <row r="2035" spans="1:5" x14ac:dyDescent="0.35">
      <c r="A2035" s="1" t="s">
        <v>17683</v>
      </c>
      <c r="B2035" s="1" t="s">
        <v>19</v>
      </c>
      <c r="C2035" s="1" t="s">
        <v>11884</v>
      </c>
      <c r="D2035" s="1" t="s">
        <v>19</v>
      </c>
      <c r="E2035" s="250">
        <v>2504.5140000000001</v>
      </c>
    </row>
    <row r="2036" spans="1:5" x14ac:dyDescent="0.35">
      <c r="A2036" s="1" t="s">
        <v>17684</v>
      </c>
      <c r="B2036" s="1" t="s">
        <v>19</v>
      </c>
      <c r="C2036" s="1" t="s">
        <v>11883</v>
      </c>
      <c r="D2036" s="1" t="s">
        <v>19</v>
      </c>
      <c r="E2036" s="250">
        <v>2504.5149999999999</v>
      </c>
    </row>
    <row r="2037" spans="1:5" x14ac:dyDescent="0.35">
      <c r="A2037" s="1" t="s">
        <v>17685</v>
      </c>
      <c r="B2037" s="1" t="s">
        <v>19</v>
      </c>
      <c r="C2037" s="1" t="s">
        <v>11882</v>
      </c>
      <c r="D2037" s="1" t="s">
        <v>19</v>
      </c>
      <c r="E2037" s="250">
        <v>2504.5160000000001</v>
      </c>
    </row>
    <row r="2038" spans="1:5" x14ac:dyDescent="0.35">
      <c r="A2038" s="1" t="s">
        <v>17686</v>
      </c>
      <c r="B2038" s="1" t="s">
        <v>19</v>
      </c>
      <c r="C2038" s="1" t="s">
        <v>11881</v>
      </c>
      <c r="D2038" s="1" t="s">
        <v>19</v>
      </c>
      <c r="E2038" s="250">
        <v>2504.5169999999998</v>
      </c>
    </row>
    <row r="2039" spans="1:5" x14ac:dyDescent="0.35">
      <c r="A2039" s="1" t="s">
        <v>17687</v>
      </c>
      <c r="B2039" s="1" t="s">
        <v>19</v>
      </c>
      <c r="C2039" s="1" t="s">
        <v>11880</v>
      </c>
      <c r="D2039" s="1" t="s">
        <v>19</v>
      </c>
      <c r="E2039" s="250">
        <v>2504.5210000000002</v>
      </c>
    </row>
    <row r="2040" spans="1:5" x14ac:dyDescent="0.35">
      <c r="A2040" s="1" t="s">
        <v>17688</v>
      </c>
      <c r="B2040" s="1" t="s">
        <v>19</v>
      </c>
      <c r="C2040" s="1" t="s">
        <v>11879</v>
      </c>
      <c r="D2040" s="1" t="s">
        <v>19</v>
      </c>
      <c r="E2040" s="250">
        <v>2504.5219999999999</v>
      </c>
    </row>
    <row r="2041" spans="1:5" x14ac:dyDescent="0.35">
      <c r="A2041" s="1" t="s">
        <v>17689</v>
      </c>
      <c r="B2041" s="1" t="s">
        <v>19</v>
      </c>
      <c r="C2041" s="1" t="s">
        <v>11878</v>
      </c>
      <c r="D2041" s="1" t="s">
        <v>19</v>
      </c>
      <c r="E2041" s="250">
        <v>2504.5230000000001</v>
      </c>
    </row>
    <row r="2042" spans="1:5" x14ac:dyDescent="0.35">
      <c r="A2042" s="1" t="s">
        <v>17690</v>
      </c>
      <c r="B2042" s="1" t="s">
        <v>19</v>
      </c>
      <c r="C2042" s="1" t="s">
        <v>11877</v>
      </c>
      <c r="D2042" s="1" t="s">
        <v>19</v>
      </c>
      <c r="E2042" s="250">
        <v>2504.5239999999999</v>
      </c>
    </row>
    <row r="2043" spans="1:5" x14ac:dyDescent="0.35">
      <c r="A2043" s="1" t="s">
        <v>17691</v>
      </c>
      <c r="B2043" s="1" t="s">
        <v>19</v>
      </c>
      <c r="C2043" s="1" t="s">
        <v>11876</v>
      </c>
      <c r="D2043" s="1" t="s">
        <v>19</v>
      </c>
      <c r="E2043" s="250">
        <v>2504.5250000000001</v>
      </c>
    </row>
    <row r="2044" spans="1:5" x14ac:dyDescent="0.35">
      <c r="A2044" s="1" t="s">
        <v>17692</v>
      </c>
      <c r="B2044" s="1" t="s">
        <v>19</v>
      </c>
      <c r="C2044" s="1" t="s">
        <v>11875</v>
      </c>
      <c r="D2044" s="1" t="s">
        <v>19</v>
      </c>
      <c r="E2044" s="250">
        <v>2504.5259999999998</v>
      </c>
    </row>
    <row r="2045" spans="1:5" x14ac:dyDescent="0.35">
      <c r="A2045" s="1" t="s">
        <v>17693</v>
      </c>
      <c r="B2045" s="1" t="s">
        <v>19</v>
      </c>
      <c r="C2045" s="1" t="s">
        <v>11874</v>
      </c>
      <c r="D2045" s="1" t="s">
        <v>19</v>
      </c>
      <c r="E2045" s="250">
        <v>2504.527</v>
      </c>
    </row>
    <row r="2046" spans="1:5" x14ac:dyDescent="0.35">
      <c r="A2046" s="1" t="s">
        <v>17694</v>
      </c>
      <c r="B2046" s="1" t="s">
        <v>19</v>
      </c>
      <c r="C2046" s="1" t="s">
        <v>11873</v>
      </c>
      <c r="D2046" s="1" t="s">
        <v>19</v>
      </c>
      <c r="E2046" s="250">
        <v>2504.5279999999998</v>
      </c>
    </row>
    <row r="2047" spans="1:5" x14ac:dyDescent="0.35">
      <c r="A2047" s="1" t="s">
        <v>17695</v>
      </c>
      <c r="B2047" s="1" t="s">
        <v>19</v>
      </c>
      <c r="C2047" s="1" t="s">
        <v>11872</v>
      </c>
      <c r="D2047" s="1" t="s">
        <v>19</v>
      </c>
      <c r="E2047" s="250">
        <v>2504.529</v>
      </c>
    </row>
    <row r="2048" spans="1:5" x14ac:dyDescent="0.35">
      <c r="A2048" s="1" t="s">
        <v>17696</v>
      </c>
      <c r="B2048" s="1" t="s">
        <v>19</v>
      </c>
      <c r="C2048" s="1" t="s">
        <v>11871</v>
      </c>
      <c r="D2048" s="1" t="s">
        <v>19</v>
      </c>
      <c r="E2048" s="250">
        <v>2504.5300000000002</v>
      </c>
    </row>
    <row r="2049" spans="1:5" x14ac:dyDescent="0.35">
      <c r="A2049" s="1" t="s">
        <v>17697</v>
      </c>
      <c r="B2049" s="1" t="s">
        <v>19</v>
      </c>
      <c r="C2049" s="1" t="s">
        <v>11870</v>
      </c>
      <c r="D2049" s="1" t="s">
        <v>19</v>
      </c>
      <c r="E2049" s="250">
        <v>2504.5309999999999</v>
      </c>
    </row>
    <row r="2050" spans="1:5" x14ac:dyDescent="0.35">
      <c r="A2050" s="1" t="s">
        <v>17698</v>
      </c>
      <c r="B2050" s="1" t="s">
        <v>19</v>
      </c>
      <c r="C2050" s="1" t="s">
        <v>11869</v>
      </c>
      <c r="D2050" s="1" t="s">
        <v>19</v>
      </c>
      <c r="E2050" s="250">
        <v>2504.5320000000002</v>
      </c>
    </row>
    <row r="2051" spans="1:5" x14ac:dyDescent="0.35">
      <c r="A2051" s="1" t="s">
        <v>17699</v>
      </c>
      <c r="B2051" s="1" t="s">
        <v>19</v>
      </c>
      <c r="C2051" s="1" t="s">
        <v>11868</v>
      </c>
      <c r="D2051" s="1" t="s">
        <v>19</v>
      </c>
      <c r="E2051" s="250">
        <v>2504.5329999999999</v>
      </c>
    </row>
    <row r="2052" spans="1:5" x14ac:dyDescent="0.35">
      <c r="A2052" s="1" t="s">
        <v>17700</v>
      </c>
      <c r="B2052" s="1" t="s">
        <v>19</v>
      </c>
      <c r="C2052" s="1" t="s">
        <v>11867</v>
      </c>
      <c r="D2052" s="1" t="s">
        <v>19</v>
      </c>
      <c r="E2052" s="250">
        <v>2504.5340000000001</v>
      </c>
    </row>
    <row r="2053" spans="1:5" x14ac:dyDescent="0.35">
      <c r="A2053" s="1" t="s">
        <v>17701</v>
      </c>
      <c r="B2053" s="1" t="s">
        <v>19</v>
      </c>
      <c r="C2053" s="1" t="s">
        <v>11866</v>
      </c>
      <c r="D2053" s="1" t="s">
        <v>19</v>
      </c>
      <c r="E2053" s="250">
        <v>2504.5349999999999</v>
      </c>
    </row>
    <row r="2054" spans="1:5" x14ac:dyDescent="0.35">
      <c r="A2054" s="1" t="s">
        <v>17702</v>
      </c>
      <c r="B2054" s="1" t="s">
        <v>19</v>
      </c>
      <c r="C2054" s="1" t="s">
        <v>11865</v>
      </c>
      <c r="D2054" s="1" t="s">
        <v>19</v>
      </c>
      <c r="E2054" s="250">
        <v>2504.5360000000001</v>
      </c>
    </row>
    <row r="2055" spans="1:5" x14ac:dyDescent="0.35">
      <c r="A2055" s="1" t="s">
        <v>17703</v>
      </c>
      <c r="B2055" s="1" t="s">
        <v>19</v>
      </c>
      <c r="C2055" s="1" t="s">
        <v>11864</v>
      </c>
      <c r="D2055" s="1" t="s">
        <v>19</v>
      </c>
      <c r="E2055" s="250">
        <v>2504.5369999999998</v>
      </c>
    </row>
    <row r="2056" spans="1:5" x14ac:dyDescent="0.35">
      <c r="A2056" s="1" t="s">
        <v>17704</v>
      </c>
      <c r="B2056" s="1" t="s">
        <v>19</v>
      </c>
      <c r="C2056" s="1" t="s">
        <v>11863</v>
      </c>
      <c r="D2056" s="1" t="s">
        <v>19</v>
      </c>
      <c r="E2056" s="250">
        <v>2504.5410000000002</v>
      </c>
    </row>
    <row r="2057" spans="1:5" x14ac:dyDescent="0.35">
      <c r="A2057" s="1" t="s">
        <v>17705</v>
      </c>
      <c r="B2057" s="1" t="s">
        <v>19</v>
      </c>
      <c r="C2057" s="1" t="s">
        <v>11862</v>
      </c>
      <c r="D2057" s="1" t="s">
        <v>19</v>
      </c>
      <c r="E2057" s="250">
        <v>2504.5419999999999</v>
      </c>
    </row>
    <row r="2058" spans="1:5" x14ac:dyDescent="0.35">
      <c r="A2058" s="1" t="s">
        <v>17706</v>
      </c>
      <c r="B2058" s="1" t="s">
        <v>19</v>
      </c>
      <c r="C2058" s="1" t="s">
        <v>11861</v>
      </c>
      <c r="D2058" s="1" t="s">
        <v>19</v>
      </c>
      <c r="E2058" s="250">
        <v>2504.5430000000001</v>
      </c>
    </row>
    <row r="2059" spans="1:5" x14ac:dyDescent="0.35">
      <c r="A2059" s="1" t="s">
        <v>17707</v>
      </c>
      <c r="B2059" s="1" t="s">
        <v>19</v>
      </c>
      <c r="C2059" s="1" t="s">
        <v>11860</v>
      </c>
      <c r="D2059" s="1" t="s">
        <v>19</v>
      </c>
      <c r="E2059" s="250">
        <v>2504.5439999999999</v>
      </c>
    </row>
    <row r="2060" spans="1:5" x14ac:dyDescent="0.35">
      <c r="A2060" s="1" t="s">
        <v>17708</v>
      </c>
      <c r="B2060" s="1" t="s">
        <v>19</v>
      </c>
      <c r="C2060" s="1" t="s">
        <v>11859</v>
      </c>
      <c r="D2060" s="1" t="s">
        <v>19</v>
      </c>
      <c r="E2060" s="250">
        <v>2504.5450000000001</v>
      </c>
    </row>
    <row r="2061" spans="1:5" x14ac:dyDescent="0.35">
      <c r="A2061" s="1" t="s">
        <v>17709</v>
      </c>
      <c r="B2061" s="1" t="s">
        <v>19</v>
      </c>
      <c r="C2061" s="1" t="s">
        <v>11858</v>
      </c>
      <c r="D2061" s="1" t="s">
        <v>19</v>
      </c>
      <c r="E2061" s="250">
        <v>2504.5459999999998</v>
      </c>
    </row>
    <row r="2062" spans="1:5" x14ac:dyDescent="0.35">
      <c r="A2062" s="1" t="s">
        <v>17710</v>
      </c>
      <c r="B2062" s="1" t="s">
        <v>19</v>
      </c>
      <c r="C2062" s="1" t="s">
        <v>11857</v>
      </c>
      <c r="D2062" s="1" t="s">
        <v>19</v>
      </c>
      <c r="E2062" s="250">
        <v>2504.547</v>
      </c>
    </row>
    <row r="2063" spans="1:5" x14ac:dyDescent="0.35">
      <c r="A2063" s="1" t="s">
        <v>17711</v>
      </c>
      <c r="B2063" s="1" t="s">
        <v>19</v>
      </c>
      <c r="C2063" s="1" t="s">
        <v>11856</v>
      </c>
      <c r="D2063" s="1" t="s">
        <v>19</v>
      </c>
      <c r="E2063" s="250">
        <v>2504.5479999999998</v>
      </c>
    </row>
    <row r="2064" spans="1:5" x14ac:dyDescent="0.35">
      <c r="A2064" s="1" t="s">
        <v>17712</v>
      </c>
      <c r="B2064" s="1" t="s">
        <v>19</v>
      </c>
      <c r="C2064" s="1" t="s">
        <v>11855</v>
      </c>
      <c r="D2064" s="1" t="s">
        <v>19</v>
      </c>
      <c r="E2064" s="250">
        <v>2504.549</v>
      </c>
    </row>
    <row r="2065" spans="1:5" x14ac:dyDescent="0.35">
      <c r="A2065" s="1" t="s">
        <v>17713</v>
      </c>
      <c r="B2065" s="1" t="s">
        <v>19</v>
      </c>
      <c r="C2065" s="1" t="s">
        <v>11854</v>
      </c>
      <c r="D2065" s="1" t="s">
        <v>19</v>
      </c>
      <c r="E2065" s="250">
        <v>2504.5500000000002</v>
      </c>
    </row>
    <row r="2066" spans="1:5" x14ac:dyDescent="0.35">
      <c r="A2066" s="1" t="s">
        <v>17714</v>
      </c>
      <c r="B2066" s="1" t="s">
        <v>19</v>
      </c>
      <c r="C2066" s="1" t="s">
        <v>11853</v>
      </c>
      <c r="D2066" s="1" t="s">
        <v>19</v>
      </c>
      <c r="E2066" s="250">
        <v>2504.5509999999999</v>
      </c>
    </row>
    <row r="2067" spans="1:5" x14ac:dyDescent="0.35">
      <c r="A2067" s="1" t="s">
        <v>17715</v>
      </c>
      <c r="B2067" s="1" t="s">
        <v>19</v>
      </c>
      <c r="C2067" s="1" t="s">
        <v>11852</v>
      </c>
      <c r="D2067" s="1" t="s">
        <v>19</v>
      </c>
      <c r="E2067" s="250">
        <v>2504.5520000000001</v>
      </c>
    </row>
    <row r="2068" spans="1:5" x14ac:dyDescent="0.35">
      <c r="A2068" s="1" t="s">
        <v>17716</v>
      </c>
      <c r="B2068" s="1" t="s">
        <v>19</v>
      </c>
      <c r="C2068" s="1" t="s">
        <v>11851</v>
      </c>
      <c r="D2068" s="1" t="s">
        <v>19</v>
      </c>
      <c r="E2068" s="250">
        <v>2504.5529999999999</v>
      </c>
    </row>
    <row r="2069" spans="1:5" x14ac:dyDescent="0.35">
      <c r="A2069" s="1" t="s">
        <v>17717</v>
      </c>
      <c r="B2069" s="1" t="s">
        <v>19</v>
      </c>
      <c r="C2069" s="1" t="s">
        <v>11850</v>
      </c>
      <c r="D2069" s="1" t="s">
        <v>19</v>
      </c>
      <c r="E2069" s="250">
        <v>2504.5540000000001</v>
      </c>
    </row>
    <row r="2070" spans="1:5" x14ac:dyDescent="0.35">
      <c r="A2070" s="1" t="s">
        <v>17718</v>
      </c>
      <c r="B2070" s="1" t="s">
        <v>19</v>
      </c>
      <c r="C2070" s="1" t="s">
        <v>11849</v>
      </c>
      <c r="D2070" s="1" t="s">
        <v>19</v>
      </c>
      <c r="E2070" s="250">
        <v>2504.5549999999998</v>
      </c>
    </row>
    <row r="2071" spans="1:5" x14ac:dyDescent="0.35">
      <c r="A2071" s="1" t="s">
        <v>17719</v>
      </c>
      <c r="B2071" s="1" t="s">
        <v>19</v>
      </c>
      <c r="C2071" s="1" t="s">
        <v>11848</v>
      </c>
      <c r="D2071" s="1" t="s">
        <v>19</v>
      </c>
      <c r="E2071" s="250">
        <v>2504.556</v>
      </c>
    </row>
    <row r="2072" spans="1:5" x14ac:dyDescent="0.35">
      <c r="A2072" s="1" t="s">
        <v>17720</v>
      </c>
      <c r="B2072" s="1" t="s">
        <v>19</v>
      </c>
      <c r="C2072" s="1" t="s">
        <v>11847</v>
      </c>
      <c r="D2072" s="1" t="s">
        <v>19</v>
      </c>
      <c r="E2072" s="250">
        <v>2504.5569999999998</v>
      </c>
    </row>
    <row r="2073" spans="1:5" x14ac:dyDescent="0.35">
      <c r="A2073" s="1" t="s">
        <v>17721</v>
      </c>
      <c r="B2073" s="1" t="s">
        <v>19</v>
      </c>
      <c r="C2073" s="1" t="s">
        <v>11846</v>
      </c>
      <c r="D2073" s="1" t="s">
        <v>19</v>
      </c>
      <c r="E2073" s="250">
        <v>2504.5610000000001</v>
      </c>
    </row>
    <row r="2074" spans="1:5" x14ac:dyDescent="0.35">
      <c r="A2074" s="1" t="s">
        <v>17722</v>
      </c>
      <c r="B2074" s="1" t="s">
        <v>19</v>
      </c>
      <c r="C2074" s="1" t="s">
        <v>11845</v>
      </c>
      <c r="D2074" s="1" t="s">
        <v>19</v>
      </c>
      <c r="E2074" s="250">
        <v>2504.5619999999999</v>
      </c>
    </row>
    <row r="2075" spans="1:5" x14ac:dyDescent="0.35">
      <c r="A2075" s="1" t="s">
        <v>17723</v>
      </c>
      <c r="B2075" s="1" t="s">
        <v>19</v>
      </c>
      <c r="C2075" s="1" t="s">
        <v>11844</v>
      </c>
      <c r="D2075" s="1" t="s">
        <v>19</v>
      </c>
      <c r="E2075" s="250">
        <v>2504.5630000000001</v>
      </c>
    </row>
    <row r="2076" spans="1:5" x14ac:dyDescent="0.35">
      <c r="A2076" s="1" t="s">
        <v>17724</v>
      </c>
      <c r="B2076" s="1" t="s">
        <v>19</v>
      </c>
      <c r="C2076" s="1" t="s">
        <v>11843</v>
      </c>
      <c r="D2076" s="1" t="s">
        <v>19</v>
      </c>
      <c r="E2076" s="250">
        <v>2504.5639999999999</v>
      </c>
    </row>
    <row r="2077" spans="1:5" x14ac:dyDescent="0.35">
      <c r="A2077" s="1" t="s">
        <v>17725</v>
      </c>
      <c r="B2077" s="1" t="s">
        <v>19</v>
      </c>
      <c r="C2077" s="1" t="s">
        <v>11842</v>
      </c>
      <c r="D2077" s="1" t="s">
        <v>19</v>
      </c>
      <c r="E2077" s="250">
        <v>2504.5650000000001</v>
      </c>
    </row>
    <row r="2078" spans="1:5" x14ac:dyDescent="0.35">
      <c r="A2078" s="1" t="s">
        <v>17726</v>
      </c>
      <c r="B2078" s="1" t="s">
        <v>19</v>
      </c>
      <c r="C2078" s="1" t="s">
        <v>11841</v>
      </c>
      <c r="D2078" s="1" t="s">
        <v>19</v>
      </c>
      <c r="E2078" s="250">
        <v>2504.5659999999998</v>
      </c>
    </row>
    <row r="2079" spans="1:5" x14ac:dyDescent="0.35">
      <c r="A2079" s="1" t="s">
        <v>17727</v>
      </c>
      <c r="B2079" s="1" t="s">
        <v>19</v>
      </c>
      <c r="C2079" s="1" t="s">
        <v>11840</v>
      </c>
      <c r="D2079" s="1" t="s">
        <v>19</v>
      </c>
      <c r="E2079" s="250">
        <v>2504.567</v>
      </c>
    </row>
    <row r="2080" spans="1:5" x14ac:dyDescent="0.35">
      <c r="A2080" s="1" t="s">
        <v>17728</v>
      </c>
      <c r="B2080" s="1" t="s">
        <v>19</v>
      </c>
      <c r="C2080" s="1" t="s">
        <v>11839</v>
      </c>
      <c r="D2080" s="1" t="s">
        <v>19</v>
      </c>
      <c r="E2080" s="250">
        <v>2504.5680000000002</v>
      </c>
    </row>
    <row r="2081" spans="1:5" x14ac:dyDescent="0.35">
      <c r="A2081" s="1" t="s">
        <v>17729</v>
      </c>
      <c r="B2081" s="1" t="s">
        <v>19</v>
      </c>
      <c r="C2081" s="1" t="s">
        <v>11838</v>
      </c>
      <c r="D2081" s="1" t="s">
        <v>19</v>
      </c>
      <c r="E2081" s="250">
        <v>2504.569</v>
      </c>
    </row>
    <row r="2082" spans="1:5" x14ac:dyDescent="0.35">
      <c r="A2082" s="1" t="s">
        <v>17730</v>
      </c>
      <c r="B2082" s="1" t="s">
        <v>19</v>
      </c>
      <c r="C2082" s="1" t="s">
        <v>11837</v>
      </c>
      <c r="D2082" s="1" t="s">
        <v>19</v>
      </c>
      <c r="E2082" s="250">
        <v>2504.5700000000002</v>
      </c>
    </row>
    <row r="2083" spans="1:5" x14ac:dyDescent="0.35">
      <c r="A2083" s="1" t="s">
        <v>17731</v>
      </c>
      <c r="B2083" s="1" t="s">
        <v>19</v>
      </c>
      <c r="C2083" s="1" t="s">
        <v>11836</v>
      </c>
      <c r="D2083" s="1" t="s">
        <v>19</v>
      </c>
      <c r="E2083" s="250">
        <v>2504.5709999999999</v>
      </c>
    </row>
    <row r="2084" spans="1:5" x14ac:dyDescent="0.35">
      <c r="A2084" s="1" t="s">
        <v>17732</v>
      </c>
      <c r="B2084" s="1" t="s">
        <v>19</v>
      </c>
      <c r="C2084" s="1" t="s">
        <v>11835</v>
      </c>
      <c r="D2084" s="1" t="s">
        <v>19</v>
      </c>
      <c r="E2084" s="250">
        <v>2504.5720000000001</v>
      </c>
    </row>
    <row r="2085" spans="1:5" x14ac:dyDescent="0.35">
      <c r="A2085" s="1" t="s">
        <v>17733</v>
      </c>
      <c r="B2085" s="1" t="s">
        <v>19</v>
      </c>
      <c r="C2085" s="1" t="s">
        <v>11834</v>
      </c>
      <c r="D2085" s="1" t="s">
        <v>19</v>
      </c>
      <c r="E2085" s="250">
        <v>2504.5729999999999</v>
      </c>
    </row>
    <row r="2086" spans="1:5" x14ac:dyDescent="0.35">
      <c r="A2086" s="1" t="s">
        <v>17734</v>
      </c>
      <c r="B2086" s="1" t="s">
        <v>19</v>
      </c>
      <c r="C2086" s="1" t="s">
        <v>11833</v>
      </c>
      <c r="D2086" s="1" t="s">
        <v>19</v>
      </c>
      <c r="E2086" s="250">
        <v>2504.5740000000001</v>
      </c>
    </row>
    <row r="2087" spans="1:5" x14ac:dyDescent="0.35">
      <c r="A2087" s="1" t="s">
        <v>17735</v>
      </c>
      <c r="B2087" s="1" t="s">
        <v>19</v>
      </c>
      <c r="C2087" s="1" t="s">
        <v>11832</v>
      </c>
      <c r="D2087" s="1" t="s">
        <v>19</v>
      </c>
      <c r="E2087" s="250">
        <v>2504.5749999999998</v>
      </c>
    </row>
    <row r="2088" spans="1:5" x14ac:dyDescent="0.35">
      <c r="A2088" s="1" t="s">
        <v>17736</v>
      </c>
      <c r="B2088" s="1" t="s">
        <v>19</v>
      </c>
      <c r="C2088" s="1" t="s">
        <v>11831</v>
      </c>
      <c r="D2088" s="1" t="s">
        <v>19</v>
      </c>
      <c r="E2088" s="250">
        <v>2504.576</v>
      </c>
    </row>
    <row r="2089" spans="1:5" x14ac:dyDescent="0.35">
      <c r="A2089" s="1" t="s">
        <v>17737</v>
      </c>
      <c r="B2089" s="1" t="s">
        <v>19</v>
      </c>
      <c r="C2089" s="1" t="s">
        <v>11830</v>
      </c>
      <c r="D2089" s="1" t="s">
        <v>19</v>
      </c>
      <c r="E2089" s="250">
        <v>2504.5770000000002</v>
      </c>
    </row>
    <row r="2090" spans="1:5" x14ac:dyDescent="0.35">
      <c r="A2090" s="1" t="s">
        <v>17738</v>
      </c>
      <c r="B2090" s="1" t="s">
        <v>19</v>
      </c>
      <c r="C2090" s="1" t="s">
        <v>11829</v>
      </c>
      <c r="D2090" s="1" t="s">
        <v>19</v>
      </c>
      <c r="E2090" s="250">
        <v>2504.5810000000001</v>
      </c>
    </row>
    <row r="2091" spans="1:5" x14ac:dyDescent="0.35">
      <c r="A2091" s="1" t="s">
        <v>17739</v>
      </c>
      <c r="B2091" s="1" t="s">
        <v>19</v>
      </c>
      <c r="C2091" s="1" t="s">
        <v>11828</v>
      </c>
      <c r="D2091" s="1" t="s">
        <v>19</v>
      </c>
      <c r="E2091" s="250">
        <v>2504.5819999999999</v>
      </c>
    </row>
    <row r="2092" spans="1:5" x14ac:dyDescent="0.35">
      <c r="A2092" s="1" t="s">
        <v>17740</v>
      </c>
      <c r="B2092" s="1" t="s">
        <v>19</v>
      </c>
      <c r="C2092" s="1" t="s">
        <v>11827</v>
      </c>
      <c r="D2092" s="1" t="s">
        <v>19</v>
      </c>
      <c r="E2092" s="250">
        <v>2504.5830000000001</v>
      </c>
    </row>
    <row r="2093" spans="1:5" x14ac:dyDescent="0.35">
      <c r="A2093" s="1" t="s">
        <v>17741</v>
      </c>
      <c r="B2093" s="1" t="s">
        <v>19</v>
      </c>
      <c r="C2093" s="1" t="s">
        <v>11826</v>
      </c>
      <c r="D2093" s="1" t="s">
        <v>19</v>
      </c>
      <c r="E2093" s="250">
        <v>2504.5839999999998</v>
      </c>
    </row>
    <row r="2094" spans="1:5" x14ac:dyDescent="0.35">
      <c r="A2094" s="1" t="s">
        <v>17742</v>
      </c>
      <c r="B2094" s="1" t="s">
        <v>19</v>
      </c>
      <c r="C2094" s="1" t="s">
        <v>11825</v>
      </c>
      <c r="D2094" s="1" t="s">
        <v>19</v>
      </c>
      <c r="E2094" s="250">
        <v>2504.585</v>
      </c>
    </row>
    <row r="2095" spans="1:5" x14ac:dyDescent="0.35">
      <c r="A2095" s="1" t="s">
        <v>17743</v>
      </c>
      <c r="B2095" s="1" t="s">
        <v>19</v>
      </c>
      <c r="C2095" s="1" t="s">
        <v>11824</v>
      </c>
      <c r="D2095" s="1" t="s">
        <v>19</v>
      </c>
      <c r="E2095" s="250">
        <v>2504.5859999999998</v>
      </c>
    </row>
    <row r="2096" spans="1:5" x14ac:dyDescent="0.35">
      <c r="A2096" s="1" t="s">
        <v>17744</v>
      </c>
      <c r="B2096" s="1" t="s">
        <v>19</v>
      </c>
      <c r="C2096" s="1" t="s">
        <v>11823</v>
      </c>
      <c r="D2096" s="1" t="s">
        <v>19</v>
      </c>
      <c r="E2096" s="250">
        <v>2504.587</v>
      </c>
    </row>
    <row r="2097" spans="1:5" x14ac:dyDescent="0.35">
      <c r="A2097" s="1" t="s">
        <v>17745</v>
      </c>
      <c r="B2097" s="1" t="s">
        <v>19</v>
      </c>
      <c r="C2097" s="1" t="s">
        <v>11822</v>
      </c>
      <c r="D2097" s="1" t="s">
        <v>19</v>
      </c>
      <c r="E2097" s="250">
        <v>2504.5880000000002</v>
      </c>
    </row>
    <row r="2098" spans="1:5" x14ac:dyDescent="0.35">
      <c r="A2098" s="1" t="s">
        <v>17746</v>
      </c>
      <c r="B2098" s="1" t="s">
        <v>19</v>
      </c>
      <c r="C2098" s="1" t="s">
        <v>11821</v>
      </c>
      <c r="D2098" s="1" t="s">
        <v>19</v>
      </c>
      <c r="E2098" s="250">
        <v>2504.5889999999999</v>
      </c>
    </row>
    <row r="2099" spans="1:5" x14ac:dyDescent="0.35">
      <c r="A2099" s="1" t="s">
        <v>17747</v>
      </c>
      <c r="B2099" s="1" t="s">
        <v>19</v>
      </c>
      <c r="C2099" s="1" t="s">
        <v>11820</v>
      </c>
      <c r="D2099" s="1" t="s">
        <v>19</v>
      </c>
      <c r="E2099" s="250">
        <v>2504.59</v>
      </c>
    </row>
    <row r="2100" spans="1:5" x14ac:dyDescent="0.35">
      <c r="A2100" s="1" t="s">
        <v>17748</v>
      </c>
      <c r="B2100" s="1" t="s">
        <v>19</v>
      </c>
      <c r="C2100" s="1" t="s">
        <v>11819</v>
      </c>
      <c r="D2100" s="1" t="s">
        <v>19</v>
      </c>
      <c r="E2100" s="250">
        <v>2504.5909999999999</v>
      </c>
    </row>
    <row r="2101" spans="1:5" x14ac:dyDescent="0.35">
      <c r="A2101" s="1" t="s">
        <v>17749</v>
      </c>
      <c r="B2101" s="1" t="s">
        <v>19</v>
      </c>
      <c r="C2101" s="1" t="s">
        <v>11818</v>
      </c>
      <c r="D2101" s="1" t="s">
        <v>19</v>
      </c>
      <c r="E2101" s="250">
        <v>2504.5920000000001</v>
      </c>
    </row>
    <row r="2102" spans="1:5" x14ac:dyDescent="0.35">
      <c r="A2102" s="1" t="s">
        <v>17750</v>
      </c>
      <c r="B2102" s="1" t="s">
        <v>19</v>
      </c>
      <c r="C2102" s="1" t="s">
        <v>11817</v>
      </c>
      <c r="D2102" s="1" t="s">
        <v>19</v>
      </c>
      <c r="E2102" s="250">
        <v>2504.5929999999998</v>
      </c>
    </row>
    <row r="2103" spans="1:5" x14ac:dyDescent="0.35">
      <c r="A2103" s="1" t="s">
        <v>17751</v>
      </c>
      <c r="B2103" s="1" t="s">
        <v>19</v>
      </c>
      <c r="C2103" s="1" t="s">
        <v>11816</v>
      </c>
      <c r="D2103" s="1" t="s">
        <v>19</v>
      </c>
      <c r="E2103" s="250">
        <v>2504.5940000000001</v>
      </c>
    </row>
    <row r="2104" spans="1:5" x14ac:dyDescent="0.35">
      <c r="A2104" s="1" t="s">
        <v>17752</v>
      </c>
      <c r="B2104" s="1" t="s">
        <v>19</v>
      </c>
      <c r="C2104" s="1" t="s">
        <v>11815</v>
      </c>
      <c r="D2104" s="1" t="s">
        <v>19</v>
      </c>
      <c r="E2104" s="250">
        <v>2504.5949999999998</v>
      </c>
    </row>
    <row r="2105" spans="1:5" x14ac:dyDescent="0.35">
      <c r="A2105" s="1" t="s">
        <v>17753</v>
      </c>
      <c r="B2105" s="1" t="s">
        <v>19</v>
      </c>
      <c r="C2105" s="1" t="s">
        <v>11814</v>
      </c>
      <c r="D2105" s="1" t="s">
        <v>19</v>
      </c>
      <c r="E2105" s="250">
        <v>2504.596</v>
      </c>
    </row>
    <row r="2106" spans="1:5" x14ac:dyDescent="0.35">
      <c r="A2106" s="1" t="s">
        <v>17754</v>
      </c>
      <c r="B2106" s="1" t="s">
        <v>19</v>
      </c>
      <c r="C2106" s="1" t="s">
        <v>11813</v>
      </c>
      <c r="D2106" s="1" t="s">
        <v>19</v>
      </c>
      <c r="E2106" s="250">
        <v>2504.5970000000002</v>
      </c>
    </row>
    <row r="2107" spans="1:5" x14ac:dyDescent="0.35">
      <c r="A2107" s="1" t="s">
        <v>17755</v>
      </c>
      <c r="B2107" s="1" t="s">
        <v>57</v>
      </c>
      <c r="C2107" s="1" t="s">
        <v>11812</v>
      </c>
      <c r="D2107" s="1" t="s">
        <v>57</v>
      </c>
      <c r="E2107" s="250">
        <v>2504.66</v>
      </c>
    </row>
    <row r="2108" spans="1:5" x14ac:dyDescent="0.35">
      <c r="A2108" s="1" t="s">
        <v>17756</v>
      </c>
      <c r="B2108" s="1" t="s">
        <v>19</v>
      </c>
      <c r="C2108" s="1" t="s">
        <v>11811</v>
      </c>
      <c r="D2108" s="1" t="s">
        <v>19</v>
      </c>
      <c r="E2108" s="250">
        <v>2504.6610000000001</v>
      </c>
    </row>
    <row r="2109" spans="1:5" x14ac:dyDescent="0.35">
      <c r="A2109" s="1" t="s">
        <v>17757</v>
      </c>
      <c r="B2109" s="1" t="s">
        <v>19</v>
      </c>
      <c r="C2109" s="1" t="s">
        <v>11810</v>
      </c>
      <c r="D2109" s="1" t="s">
        <v>19</v>
      </c>
      <c r="E2109" s="250">
        <v>2504.6619999999998</v>
      </c>
    </row>
    <row r="2110" spans="1:5" x14ac:dyDescent="0.35">
      <c r="A2110" s="1" t="s">
        <v>17758</v>
      </c>
      <c r="B2110" s="1" t="s">
        <v>19</v>
      </c>
      <c r="C2110" s="1" t="s">
        <v>11809</v>
      </c>
      <c r="D2110" s="1" t="s">
        <v>19</v>
      </c>
      <c r="E2110" s="250">
        <v>2504.663</v>
      </c>
    </row>
    <row r="2111" spans="1:5" x14ac:dyDescent="0.35">
      <c r="A2111" s="1" t="s">
        <v>17759</v>
      </c>
      <c r="B2111" s="1" t="s">
        <v>19</v>
      </c>
      <c r="C2111" s="1" t="s">
        <v>11807</v>
      </c>
      <c r="D2111" s="1" t="s">
        <v>19</v>
      </c>
      <c r="E2111" s="250">
        <v>2504.6640000000002</v>
      </c>
    </row>
    <row r="2112" spans="1:5" x14ac:dyDescent="0.35">
      <c r="A2112" s="1" t="s">
        <v>17760</v>
      </c>
      <c r="B2112" s="1" t="s">
        <v>19</v>
      </c>
      <c r="C2112" s="1" t="s">
        <v>11806</v>
      </c>
      <c r="D2112" s="1" t="s">
        <v>19</v>
      </c>
      <c r="E2112" s="250">
        <v>2504.665</v>
      </c>
    </row>
    <row r="2113" spans="1:5" x14ac:dyDescent="0.35">
      <c r="A2113" s="1" t="s">
        <v>17761</v>
      </c>
      <c r="B2113" s="1" t="s">
        <v>19</v>
      </c>
      <c r="C2113" s="1" t="s">
        <v>11805</v>
      </c>
      <c r="D2113" s="1" t="s">
        <v>19</v>
      </c>
      <c r="E2113" s="250">
        <v>2504.6660000000002</v>
      </c>
    </row>
    <row r="2114" spans="1:5" x14ac:dyDescent="0.35">
      <c r="A2114" s="1" t="s">
        <v>17762</v>
      </c>
      <c r="B2114" s="1" t="s">
        <v>19</v>
      </c>
      <c r="C2114" s="1" t="s">
        <v>11804</v>
      </c>
      <c r="D2114" s="1" t="s">
        <v>19</v>
      </c>
      <c r="E2114" s="250">
        <v>2504.6669999999999</v>
      </c>
    </row>
    <row r="2115" spans="1:5" x14ac:dyDescent="0.35">
      <c r="A2115" s="1" t="s">
        <v>17763</v>
      </c>
      <c r="B2115" s="1" t="s">
        <v>19</v>
      </c>
      <c r="C2115" s="1" t="s">
        <v>11803</v>
      </c>
      <c r="D2115" s="1" t="s">
        <v>19</v>
      </c>
      <c r="E2115" s="250">
        <v>2504.6680000000001</v>
      </c>
    </row>
    <row r="2116" spans="1:5" x14ac:dyDescent="0.35">
      <c r="A2116" s="1" t="s">
        <v>17764</v>
      </c>
      <c r="B2116" s="1" t="s">
        <v>57</v>
      </c>
      <c r="C2116" s="1" t="s">
        <v>11808</v>
      </c>
      <c r="D2116" s="1" t="s">
        <v>57</v>
      </c>
      <c r="E2116" s="250">
        <v>2504.6709999999998</v>
      </c>
    </row>
    <row r="2117" spans="1:5" x14ac:dyDescent="0.35">
      <c r="A2117" s="1" t="s">
        <v>17765</v>
      </c>
      <c r="B2117" s="1" t="s">
        <v>19</v>
      </c>
      <c r="C2117" s="1" t="s">
        <v>11807</v>
      </c>
      <c r="D2117" s="1" t="s">
        <v>19</v>
      </c>
      <c r="E2117" s="250">
        <v>2504.672</v>
      </c>
    </row>
    <row r="2118" spans="1:5" x14ac:dyDescent="0.35">
      <c r="A2118" s="1" t="s">
        <v>17766</v>
      </c>
      <c r="B2118" s="1" t="s">
        <v>19</v>
      </c>
      <c r="C2118" s="1" t="s">
        <v>11806</v>
      </c>
      <c r="D2118" s="1" t="s">
        <v>19</v>
      </c>
      <c r="E2118" s="250">
        <v>2504.6729999999998</v>
      </c>
    </row>
    <row r="2119" spans="1:5" x14ac:dyDescent="0.35">
      <c r="A2119" s="1" t="s">
        <v>17767</v>
      </c>
      <c r="B2119" s="1" t="s">
        <v>19</v>
      </c>
      <c r="C2119" s="1" t="s">
        <v>11805</v>
      </c>
      <c r="D2119" s="1" t="s">
        <v>19</v>
      </c>
      <c r="E2119" s="250">
        <v>2504.674</v>
      </c>
    </row>
    <row r="2120" spans="1:5" x14ac:dyDescent="0.35">
      <c r="A2120" s="1" t="s">
        <v>17768</v>
      </c>
      <c r="B2120" s="1" t="s">
        <v>19</v>
      </c>
      <c r="C2120" s="1" t="s">
        <v>11804</v>
      </c>
      <c r="D2120" s="1" t="s">
        <v>19</v>
      </c>
      <c r="E2120" s="250">
        <v>2504.6750000000002</v>
      </c>
    </row>
    <row r="2121" spans="1:5" x14ac:dyDescent="0.35">
      <c r="A2121" s="1" t="s">
        <v>17769</v>
      </c>
      <c r="B2121" s="1" t="s">
        <v>19</v>
      </c>
      <c r="C2121" s="1" t="s">
        <v>11803</v>
      </c>
      <c r="D2121" s="1" t="s">
        <v>19</v>
      </c>
      <c r="E2121" s="250">
        <v>2504.6759999999999</v>
      </c>
    </row>
    <row r="2122" spans="1:5" x14ac:dyDescent="0.35">
      <c r="A2122" s="1" t="s">
        <v>17770</v>
      </c>
      <c r="B2122" s="1" t="s">
        <v>19</v>
      </c>
      <c r="C2122" s="1" t="s">
        <v>11802</v>
      </c>
      <c r="D2122" s="1" t="s">
        <v>19</v>
      </c>
      <c r="E2122" s="250">
        <v>2504.6770000000001</v>
      </c>
    </row>
    <row r="2123" spans="1:5" x14ac:dyDescent="0.35">
      <c r="A2123" s="1" t="s">
        <v>17771</v>
      </c>
      <c r="B2123" s="1" t="s">
        <v>19</v>
      </c>
      <c r="C2123" s="1" t="s">
        <v>11801</v>
      </c>
      <c r="D2123" s="1" t="s">
        <v>19</v>
      </c>
      <c r="E2123" s="250">
        <v>2504.6779999999999</v>
      </c>
    </row>
    <row r="2124" spans="1:5" x14ac:dyDescent="0.35">
      <c r="A2124" s="1" t="s">
        <v>17772</v>
      </c>
      <c r="B2124" s="1" t="s">
        <v>19</v>
      </c>
      <c r="C2124" s="1" t="s">
        <v>11800</v>
      </c>
      <c r="D2124" s="1" t="s">
        <v>19</v>
      </c>
      <c r="E2124" s="250">
        <v>2504.6790000000001</v>
      </c>
    </row>
    <row r="2125" spans="1:5" x14ac:dyDescent="0.35">
      <c r="A2125" s="1" t="s">
        <v>17773</v>
      </c>
      <c r="B2125" s="1" t="s">
        <v>19</v>
      </c>
      <c r="C2125" s="1" t="s">
        <v>11799</v>
      </c>
      <c r="D2125" s="1" t="s">
        <v>19</v>
      </c>
      <c r="E2125" s="250">
        <v>2504.6799999999998</v>
      </c>
    </row>
    <row r="2126" spans="1:5" x14ac:dyDescent="0.35">
      <c r="A2126" s="1" t="s">
        <v>17774</v>
      </c>
      <c r="B2126" s="1" t="s">
        <v>19</v>
      </c>
      <c r="C2126" s="1" t="s">
        <v>11798</v>
      </c>
      <c r="D2126" s="1" t="s">
        <v>19</v>
      </c>
      <c r="E2126" s="250">
        <v>2504.681</v>
      </c>
    </row>
    <row r="2127" spans="1:5" x14ac:dyDescent="0.35">
      <c r="A2127" s="1" t="s">
        <v>17775</v>
      </c>
      <c r="B2127" s="1" t="s">
        <v>19</v>
      </c>
      <c r="C2127" s="1" t="s">
        <v>11797</v>
      </c>
      <c r="D2127" s="1" t="s">
        <v>19</v>
      </c>
      <c r="E2127" s="250">
        <v>2504.6819999999998</v>
      </c>
    </row>
    <row r="2128" spans="1:5" x14ac:dyDescent="0.35">
      <c r="A2128" s="1" t="s">
        <v>17776</v>
      </c>
      <c r="B2128" s="1" t="s">
        <v>19</v>
      </c>
      <c r="C2128" s="1" t="s">
        <v>11796</v>
      </c>
      <c r="D2128" s="1" t="s">
        <v>19</v>
      </c>
      <c r="E2128" s="250">
        <v>2504.683</v>
      </c>
    </row>
    <row r="2129" spans="1:5" x14ac:dyDescent="0.35">
      <c r="A2129" s="1" t="s">
        <v>17777</v>
      </c>
      <c r="B2129" s="1" t="s">
        <v>19</v>
      </c>
      <c r="C2129" s="1" t="s">
        <v>11795</v>
      </c>
      <c r="D2129" s="1" t="s">
        <v>19</v>
      </c>
      <c r="E2129" s="250">
        <v>2504.6840000000002</v>
      </c>
    </row>
    <row r="2130" spans="1:5" x14ac:dyDescent="0.35">
      <c r="A2130" s="1" t="s">
        <v>17778</v>
      </c>
      <c r="B2130" s="1" t="s">
        <v>19</v>
      </c>
      <c r="C2130" s="1" t="s">
        <v>11794</v>
      </c>
      <c r="D2130" s="1" t="s">
        <v>19</v>
      </c>
      <c r="E2130" s="250">
        <v>2504.6849999999999</v>
      </c>
    </row>
    <row r="2131" spans="1:5" x14ac:dyDescent="0.35">
      <c r="A2131" s="1" t="s">
        <v>17779</v>
      </c>
      <c r="B2131" s="1" t="s">
        <v>19</v>
      </c>
      <c r="C2131" s="1" t="s">
        <v>11793</v>
      </c>
      <c r="D2131" s="1" t="s">
        <v>19</v>
      </c>
      <c r="E2131" s="250">
        <v>2504.6860000000001</v>
      </c>
    </row>
    <row r="2132" spans="1:5" x14ac:dyDescent="0.35">
      <c r="A2132" s="1" t="s">
        <v>17780</v>
      </c>
      <c r="B2132" s="1" t="s">
        <v>19</v>
      </c>
      <c r="C2132" s="1" t="s">
        <v>11792</v>
      </c>
      <c r="D2132" s="1" t="s">
        <v>19</v>
      </c>
      <c r="E2132" s="250">
        <v>2504.6869999999999</v>
      </c>
    </row>
    <row r="2133" spans="1:5" x14ac:dyDescent="0.35">
      <c r="A2133" s="1" t="s">
        <v>17781</v>
      </c>
      <c r="B2133" s="1" t="s">
        <v>19</v>
      </c>
      <c r="C2133" s="1" t="s">
        <v>11791</v>
      </c>
      <c r="D2133" s="1" t="s">
        <v>19</v>
      </c>
      <c r="E2133" s="250">
        <v>2504.6880000000001</v>
      </c>
    </row>
    <row r="2134" spans="1:5" x14ac:dyDescent="0.35">
      <c r="A2134" s="1" t="s">
        <v>17782</v>
      </c>
      <c r="B2134" s="1" t="s">
        <v>19</v>
      </c>
      <c r="C2134" s="1" t="s">
        <v>11790</v>
      </c>
      <c r="D2134" s="1" t="s">
        <v>19</v>
      </c>
      <c r="E2134" s="250">
        <v>2504.6889999999999</v>
      </c>
    </row>
    <row r="2135" spans="1:5" x14ac:dyDescent="0.35">
      <c r="A2135" s="1" t="s">
        <v>17783</v>
      </c>
      <c r="B2135" s="1" t="s">
        <v>19</v>
      </c>
      <c r="C2135" s="1" t="s">
        <v>11789</v>
      </c>
      <c r="D2135" s="1" t="s">
        <v>19</v>
      </c>
      <c r="E2135" s="250">
        <v>2504.69</v>
      </c>
    </row>
    <row r="2136" spans="1:5" x14ac:dyDescent="0.35">
      <c r="A2136" s="2" t="s">
        <v>17784</v>
      </c>
      <c r="B2136" s="1" t="s">
        <v>39</v>
      </c>
      <c r="C2136" s="1" t="s">
        <v>11788</v>
      </c>
      <c r="D2136" s="1" t="s">
        <v>39</v>
      </c>
      <c r="E2136" s="250">
        <v>2509.0100000000002</v>
      </c>
    </row>
    <row r="2137" spans="1:5" x14ac:dyDescent="0.35">
      <c r="A2137" s="1" t="s">
        <v>17785</v>
      </c>
      <c r="B2137" s="1" t="s">
        <v>58</v>
      </c>
      <c r="C2137" s="1" t="s">
        <v>11787</v>
      </c>
      <c r="D2137" s="1" t="s">
        <v>58</v>
      </c>
      <c r="E2137" s="250">
        <v>2509.011</v>
      </c>
    </row>
    <row r="2138" spans="1:5" x14ac:dyDescent="0.35">
      <c r="A2138" s="2" t="s">
        <v>17786</v>
      </c>
      <c r="B2138" s="1" t="s">
        <v>19</v>
      </c>
      <c r="C2138" s="1" t="s">
        <v>11766</v>
      </c>
      <c r="D2138" s="1" t="s">
        <v>19</v>
      </c>
      <c r="E2138" s="250">
        <v>2510.1010000000001</v>
      </c>
    </row>
    <row r="2139" spans="1:5" x14ac:dyDescent="0.35">
      <c r="A2139" s="1" t="s">
        <v>17787</v>
      </c>
      <c r="B2139" s="1" t="s">
        <v>19</v>
      </c>
      <c r="C2139" s="1" t="s">
        <v>11765</v>
      </c>
      <c r="D2139" s="1" t="s">
        <v>19</v>
      </c>
      <c r="E2139" s="250">
        <v>2510.1019999999999</v>
      </c>
    </row>
    <row r="2140" spans="1:5" x14ac:dyDescent="0.35">
      <c r="A2140" s="1" t="s">
        <v>17788</v>
      </c>
      <c r="B2140" s="1" t="s">
        <v>19</v>
      </c>
      <c r="C2140" s="1" t="s">
        <v>11764</v>
      </c>
      <c r="D2140" s="1" t="s">
        <v>19</v>
      </c>
      <c r="E2140" s="250">
        <v>2510.1030000000001</v>
      </c>
    </row>
    <row r="2141" spans="1:5" x14ac:dyDescent="0.35">
      <c r="A2141" s="1" t="s">
        <v>17789</v>
      </c>
      <c r="B2141" s="1" t="s">
        <v>19</v>
      </c>
      <c r="C2141" s="1" t="s">
        <v>11763</v>
      </c>
      <c r="D2141" s="1" t="s">
        <v>19</v>
      </c>
      <c r="E2141" s="250">
        <v>2510.1039999999998</v>
      </c>
    </row>
    <row r="2142" spans="1:5" x14ac:dyDescent="0.35">
      <c r="A2142" s="1" t="s">
        <v>17790</v>
      </c>
      <c r="B2142" s="1" t="s">
        <v>19</v>
      </c>
      <c r="C2142" s="1" t="s">
        <v>11762</v>
      </c>
      <c r="D2142" s="1" t="s">
        <v>19</v>
      </c>
      <c r="E2142" s="250">
        <v>2510.105</v>
      </c>
    </row>
    <row r="2143" spans="1:5" x14ac:dyDescent="0.35">
      <c r="A2143" s="1" t="s">
        <v>17791</v>
      </c>
      <c r="B2143" s="1" t="s">
        <v>19</v>
      </c>
      <c r="C2143" s="1" t="s">
        <v>11761</v>
      </c>
      <c r="D2143" s="1" t="s">
        <v>19</v>
      </c>
      <c r="E2143" s="250">
        <v>2510.1060000000002</v>
      </c>
    </row>
    <row r="2144" spans="1:5" x14ac:dyDescent="0.35">
      <c r="A2144" s="1" t="s">
        <v>17792</v>
      </c>
      <c r="B2144" s="1" t="s">
        <v>19</v>
      </c>
      <c r="C2144" s="1" t="s">
        <v>11760</v>
      </c>
      <c r="D2144" s="1" t="s">
        <v>19</v>
      </c>
      <c r="E2144" s="250">
        <v>2510.107</v>
      </c>
    </row>
    <row r="2145" spans="1:5" x14ac:dyDescent="0.35">
      <c r="A2145" s="1" t="s">
        <v>17793</v>
      </c>
      <c r="B2145" s="1" t="s">
        <v>19</v>
      </c>
      <c r="C2145" s="1" t="s">
        <v>11759</v>
      </c>
      <c r="D2145" s="1" t="s">
        <v>19</v>
      </c>
      <c r="E2145" s="250">
        <v>2510.1080000000002</v>
      </c>
    </row>
    <row r="2146" spans="1:5" x14ac:dyDescent="0.35">
      <c r="A2146" s="1" t="s">
        <v>17794</v>
      </c>
      <c r="B2146" s="1" t="s">
        <v>19</v>
      </c>
      <c r="C2146" s="1" t="s">
        <v>11758</v>
      </c>
      <c r="D2146" s="1" t="s">
        <v>19</v>
      </c>
      <c r="E2146" s="250">
        <v>2510.1089999999999</v>
      </c>
    </row>
    <row r="2147" spans="1:5" x14ac:dyDescent="0.35">
      <c r="A2147" s="1" t="s">
        <v>17795</v>
      </c>
      <c r="B2147" s="1" t="s">
        <v>19</v>
      </c>
      <c r="C2147" s="1" t="s">
        <v>11757</v>
      </c>
      <c r="D2147" s="1" t="s">
        <v>19</v>
      </c>
      <c r="E2147" s="250">
        <v>2510.11</v>
      </c>
    </row>
    <row r="2148" spans="1:5" x14ac:dyDescent="0.35">
      <c r="A2148" s="1" t="s">
        <v>17796</v>
      </c>
      <c r="B2148" s="1" t="s">
        <v>19</v>
      </c>
      <c r="C2148" s="1" t="s">
        <v>11786</v>
      </c>
      <c r="D2148" s="1" t="s">
        <v>19</v>
      </c>
      <c r="E2148" s="250">
        <v>2510.21</v>
      </c>
    </row>
    <row r="2149" spans="1:5" x14ac:dyDescent="0.35">
      <c r="A2149" s="1" t="s">
        <v>17797</v>
      </c>
      <c r="B2149" s="1" t="s">
        <v>19</v>
      </c>
      <c r="C2149" s="1" t="s">
        <v>11785</v>
      </c>
      <c r="D2149" s="1" t="s">
        <v>19</v>
      </c>
      <c r="E2149" s="250">
        <v>2510.2109999999998</v>
      </c>
    </row>
    <row r="2150" spans="1:5" x14ac:dyDescent="0.35">
      <c r="A2150" s="1" t="s">
        <v>17798</v>
      </c>
      <c r="B2150" s="1" t="s">
        <v>19</v>
      </c>
      <c r="C2150" s="1" t="s">
        <v>11784</v>
      </c>
      <c r="D2150" s="1" t="s">
        <v>19</v>
      </c>
      <c r="E2150" s="250">
        <v>2510.212</v>
      </c>
    </row>
    <row r="2151" spans="1:5" x14ac:dyDescent="0.35">
      <c r="A2151" s="1" t="s">
        <v>17799</v>
      </c>
      <c r="B2151" s="1" t="s">
        <v>19</v>
      </c>
      <c r="C2151" s="1" t="s">
        <v>11783</v>
      </c>
      <c r="D2151" s="1" t="s">
        <v>19</v>
      </c>
      <c r="E2151" s="250">
        <v>2510.2130000000002</v>
      </c>
    </row>
    <row r="2152" spans="1:5" x14ac:dyDescent="0.35">
      <c r="A2152" s="1" t="s">
        <v>17800</v>
      </c>
      <c r="B2152" s="1" t="s">
        <v>19</v>
      </c>
      <c r="C2152" s="1" t="s">
        <v>11782</v>
      </c>
      <c r="D2152" s="1" t="s">
        <v>19</v>
      </c>
      <c r="E2152" s="250">
        <v>2510.2139999999999</v>
      </c>
    </row>
    <row r="2153" spans="1:5" x14ac:dyDescent="0.35">
      <c r="A2153" s="1" t="s">
        <v>17801</v>
      </c>
      <c r="B2153" s="1" t="s">
        <v>19</v>
      </c>
      <c r="C2153" s="1" t="s">
        <v>11756</v>
      </c>
      <c r="D2153" s="1" t="s">
        <v>19</v>
      </c>
      <c r="E2153" s="250">
        <v>2510.31</v>
      </c>
    </row>
    <row r="2154" spans="1:5" x14ac:dyDescent="0.35">
      <c r="A2154" s="1" t="s">
        <v>17802</v>
      </c>
      <c r="B2154" s="1" t="s">
        <v>19</v>
      </c>
      <c r="C2154" s="1" t="s">
        <v>11755</v>
      </c>
      <c r="D2154" s="1" t="s">
        <v>19</v>
      </c>
      <c r="E2154" s="250">
        <v>2510.3110000000001</v>
      </c>
    </row>
    <row r="2155" spans="1:5" x14ac:dyDescent="0.35">
      <c r="A2155" s="1" t="s">
        <v>17803</v>
      </c>
      <c r="B2155" s="1" t="s">
        <v>19</v>
      </c>
      <c r="C2155" s="1" t="s">
        <v>11754</v>
      </c>
      <c r="D2155" s="1" t="s">
        <v>19</v>
      </c>
      <c r="E2155" s="250">
        <v>2510.3119999999999</v>
      </c>
    </row>
    <row r="2156" spans="1:5" x14ac:dyDescent="0.35">
      <c r="A2156" s="1" t="s">
        <v>17804</v>
      </c>
      <c r="B2156" s="1" t="s">
        <v>19</v>
      </c>
      <c r="C2156" s="1" t="s">
        <v>11753</v>
      </c>
      <c r="D2156" s="1" t="s">
        <v>19</v>
      </c>
      <c r="E2156" s="250">
        <v>2510.3130000000001</v>
      </c>
    </row>
    <row r="2157" spans="1:5" x14ac:dyDescent="0.35">
      <c r="A2157" s="1" t="s">
        <v>17805</v>
      </c>
      <c r="B2157" s="1" t="s">
        <v>19</v>
      </c>
      <c r="C2157" s="1" t="s">
        <v>11752</v>
      </c>
      <c r="D2157" s="1" t="s">
        <v>19</v>
      </c>
      <c r="E2157" s="250">
        <v>2510.3139999999999</v>
      </c>
    </row>
    <row r="2158" spans="1:5" x14ac:dyDescent="0.35">
      <c r="A2158" s="1" t="s">
        <v>17806</v>
      </c>
      <c r="B2158" s="1" t="s">
        <v>19</v>
      </c>
      <c r="C2158" s="1" t="s">
        <v>11781</v>
      </c>
      <c r="D2158" s="1" t="s">
        <v>19</v>
      </c>
      <c r="E2158" s="250">
        <v>2510.41</v>
      </c>
    </row>
    <row r="2159" spans="1:5" x14ac:dyDescent="0.35">
      <c r="A2159" s="1" t="s">
        <v>17807</v>
      </c>
      <c r="B2159" s="1" t="s">
        <v>19</v>
      </c>
      <c r="C2159" s="1" t="s">
        <v>11780</v>
      </c>
      <c r="D2159" s="1" t="s">
        <v>19</v>
      </c>
      <c r="E2159" s="250">
        <v>2510.4110000000001</v>
      </c>
    </row>
    <row r="2160" spans="1:5" x14ac:dyDescent="0.35">
      <c r="A2160" s="1" t="s">
        <v>17808</v>
      </c>
      <c r="B2160" s="1" t="s">
        <v>19</v>
      </c>
      <c r="C2160" s="1" t="s">
        <v>11779</v>
      </c>
      <c r="D2160" s="1" t="s">
        <v>19</v>
      </c>
      <c r="E2160" s="250">
        <v>2510.4119999999998</v>
      </c>
    </row>
    <row r="2161" spans="1:5" x14ac:dyDescent="0.35">
      <c r="A2161" s="1" t="s">
        <v>17809</v>
      </c>
      <c r="B2161" s="1" t="s">
        <v>19</v>
      </c>
      <c r="C2161" s="1" t="s">
        <v>11778</v>
      </c>
      <c r="D2161" s="1" t="s">
        <v>19</v>
      </c>
      <c r="E2161" s="250">
        <v>2510.413</v>
      </c>
    </row>
    <row r="2162" spans="1:5" x14ac:dyDescent="0.35">
      <c r="A2162" s="1" t="s">
        <v>17810</v>
      </c>
      <c r="B2162" s="1" t="s">
        <v>19</v>
      </c>
      <c r="C2162" s="1" t="s">
        <v>11777</v>
      </c>
      <c r="D2162" s="1" t="s">
        <v>19</v>
      </c>
      <c r="E2162" s="250">
        <v>2510.4140000000002</v>
      </c>
    </row>
    <row r="2163" spans="1:5" x14ac:dyDescent="0.35">
      <c r="A2163" s="1" t="s">
        <v>17811</v>
      </c>
      <c r="B2163" s="1" t="s">
        <v>19</v>
      </c>
      <c r="C2163" s="1" t="s">
        <v>11776</v>
      </c>
      <c r="D2163" s="1" t="s">
        <v>19</v>
      </c>
      <c r="E2163" s="250">
        <v>2510.5100000000002</v>
      </c>
    </row>
    <row r="2164" spans="1:5" x14ac:dyDescent="0.35">
      <c r="A2164" s="1" t="s">
        <v>17812</v>
      </c>
      <c r="B2164" s="1" t="s">
        <v>19</v>
      </c>
      <c r="C2164" s="1" t="s">
        <v>11775</v>
      </c>
      <c r="D2164" s="1" t="s">
        <v>19</v>
      </c>
      <c r="E2164" s="250">
        <v>2510.511</v>
      </c>
    </row>
    <row r="2165" spans="1:5" x14ac:dyDescent="0.35">
      <c r="A2165" s="1" t="s">
        <v>17813</v>
      </c>
      <c r="B2165" s="1" t="s">
        <v>19</v>
      </c>
      <c r="C2165" s="1" t="s">
        <v>11774</v>
      </c>
      <c r="D2165" s="1" t="s">
        <v>19</v>
      </c>
      <c r="E2165" s="250">
        <v>2510.5120000000002</v>
      </c>
    </row>
    <row r="2166" spans="1:5" x14ac:dyDescent="0.35">
      <c r="A2166" s="1" t="s">
        <v>17814</v>
      </c>
      <c r="B2166" s="1" t="s">
        <v>19</v>
      </c>
      <c r="C2166" s="1" t="s">
        <v>11773</v>
      </c>
      <c r="D2166" s="1" t="s">
        <v>19</v>
      </c>
      <c r="E2166" s="250">
        <v>2510.5129999999999</v>
      </c>
    </row>
    <row r="2167" spans="1:5" x14ac:dyDescent="0.35">
      <c r="A2167" s="1" t="s">
        <v>17815</v>
      </c>
      <c r="B2167" s="1" t="s">
        <v>19</v>
      </c>
      <c r="C2167" s="1" t="s">
        <v>11772</v>
      </c>
      <c r="D2167" s="1" t="s">
        <v>19</v>
      </c>
      <c r="E2167" s="250">
        <v>2510.5140000000001</v>
      </c>
    </row>
    <row r="2168" spans="1:5" x14ac:dyDescent="0.35">
      <c r="A2168" s="1" t="s">
        <v>17816</v>
      </c>
      <c r="B2168" s="1" t="s">
        <v>19</v>
      </c>
      <c r="C2168" s="1" t="s">
        <v>11771</v>
      </c>
      <c r="D2168" s="1" t="s">
        <v>19</v>
      </c>
      <c r="E2168" s="250">
        <v>2510.61</v>
      </c>
    </row>
    <row r="2169" spans="1:5" x14ac:dyDescent="0.35">
      <c r="A2169" s="1" t="s">
        <v>17817</v>
      </c>
      <c r="B2169" s="1" t="s">
        <v>19</v>
      </c>
      <c r="C2169" s="1" t="s">
        <v>11770</v>
      </c>
      <c r="D2169" s="1" t="s">
        <v>19</v>
      </c>
      <c r="E2169" s="250">
        <v>2510.6109999999999</v>
      </c>
    </row>
    <row r="2170" spans="1:5" x14ac:dyDescent="0.35">
      <c r="A2170" s="1" t="s">
        <v>17818</v>
      </c>
      <c r="B2170" s="1" t="s">
        <v>19</v>
      </c>
      <c r="C2170" s="1" t="s">
        <v>11769</v>
      </c>
      <c r="D2170" s="1" t="s">
        <v>19</v>
      </c>
      <c r="E2170" s="250">
        <v>2510.6120000000001</v>
      </c>
    </row>
    <row r="2171" spans="1:5" x14ac:dyDescent="0.35">
      <c r="A2171" s="1" t="s">
        <v>17819</v>
      </c>
      <c r="B2171" s="1" t="s">
        <v>19</v>
      </c>
      <c r="C2171" s="1" t="s">
        <v>11768</v>
      </c>
      <c r="D2171" s="1" t="s">
        <v>19</v>
      </c>
      <c r="E2171" s="250">
        <v>2510.6129999999998</v>
      </c>
    </row>
    <row r="2172" spans="1:5" x14ac:dyDescent="0.35">
      <c r="A2172" s="1" t="s">
        <v>17820</v>
      </c>
      <c r="B2172" s="1" t="s">
        <v>19</v>
      </c>
      <c r="C2172" s="1" t="s">
        <v>11767</v>
      </c>
      <c r="D2172" s="1" t="s">
        <v>19</v>
      </c>
      <c r="E2172" s="250">
        <v>2510.614</v>
      </c>
    </row>
    <row r="2173" spans="1:5" x14ac:dyDescent="0.35">
      <c r="A2173" s="2" t="s">
        <v>17821</v>
      </c>
      <c r="B2173" s="1" t="s">
        <v>19</v>
      </c>
      <c r="C2173" s="1" t="s">
        <v>11766</v>
      </c>
      <c r="D2173" s="1" t="s">
        <v>19</v>
      </c>
      <c r="E2173" s="250">
        <v>2511.1010000000001</v>
      </c>
    </row>
    <row r="2174" spans="1:5" x14ac:dyDescent="0.35">
      <c r="A2174" s="1" t="s">
        <v>17822</v>
      </c>
      <c r="B2174" s="1" t="s">
        <v>19</v>
      </c>
      <c r="C2174" s="1" t="s">
        <v>11765</v>
      </c>
      <c r="D2174" s="1" t="s">
        <v>19</v>
      </c>
      <c r="E2174" s="250">
        <v>2511.1019999999999</v>
      </c>
    </row>
    <row r="2175" spans="1:5" x14ac:dyDescent="0.35">
      <c r="A2175" s="1" t="s">
        <v>17823</v>
      </c>
      <c r="B2175" s="1" t="s">
        <v>19</v>
      </c>
      <c r="C2175" s="1" t="s">
        <v>11764</v>
      </c>
      <c r="D2175" s="1" t="s">
        <v>19</v>
      </c>
      <c r="E2175" s="250">
        <v>2511.1030000000001</v>
      </c>
    </row>
    <row r="2176" spans="1:5" x14ac:dyDescent="0.35">
      <c r="A2176" s="1" t="s">
        <v>17824</v>
      </c>
      <c r="B2176" s="1" t="s">
        <v>19</v>
      </c>
      <c r="C2176" s="1" t="s">
        <v>11763</v>
      </c>
      <c r="D2176" s="1" t="s">
        <v>19</v>
      </c>
      <c r="E2176" s="250">
        <v>2511.1039999999998</v>
      </c>
    </row>
    <row r="2177" spans="1:5" x14ac:dyDescent="0.35">
      <c r="A2177" s="1" t="s">
        <v>17825</v>
      </c>
      <c r="B2177" s="1" t="s">
        <v>19</v>
      </c>
      <c r="C2177" s="1" t="s">
        <v>11762</v>
      </c>
      <c r="D2177" s="1" t="s">
        <v>19</v>
      </c>
      <c r="E2177" s="250">
        <v>2511.105</v>
      </c>
    </row>
    <row r="2178" spans="1:5" x14ac:dyDescent="0.35">
      <c r="A2178" s="1" t="s">
        <v>17826</v>
      </c>
      <c r="B2178" s="1" t="s">
        <v>19</v>
      </c>
      <c r="C2178" s="1" t="s">
        <v>11761</v>
      </c>
      <c r="D2178" s="1" t="s">
        <v>19</v>
      </c>
      <c r="E2178" s="250">
        <v>2511.1060000000002</v>
      </c>
    </row>
    <row r="2179" spans="1:5" x14ac:dyDescent="0.35">
      <c r="A2179" s="1" t="s">
        <v>17827</v>
      </c>
      <c r="B2179" s="1" t="s">
        <v>19</v>
      </c>
      <c r="C2179" s="1" t="s">
        <v>11760</v>
      </c>
      <c r="D2179" s="1" t="s">
        <v>19</v>
      </c>
      <c r="E2179" s="250">
        <v>2511.107</v>
      </c>
    </row>
    <row r="2180" spans="1:5" x14ac:dyDescent="0.35">
      <c r="A2180" s="1" t="s">
        <v>17828</v>
      </c>
      <c r="B2180" s="1" t="s">
        <v>19</v>
      </c>
      <c r="C2180" s="1" t="s">
        <v>11759</v>
      </c>
      <c r="D2180" s="1" t="s">
        <v>19</v>
      </c>
      <c r="E2180" s="250">
        <v>2511.1080000000002</v>
      </c>
    </row>
    <row r="2181" spans="1:5" x14ac:dyDescent="0.35">
      <c r="A2181" s="1" t="s">
        <v>17829</v>
      </c>
      <c r="B2181" s="1" t="s">
        <v>19</v>
      </c>
      <c r="C2181" s="1" t="s">
        <v>11758</v>
      </c>
      <c r="D2181" s="1" t="s">
        <v>19</v>
      </c>
      <c r="E2181" s="250">
        <v>2511.1089999999999</v>
      </c>
    </row>
    <row r="2182" spans="1:5" x14ac:dyDescent="0.35">
      <c r="A2182" s="1" t="s">
        <v>17830</v>
      </c>
      <c r="B2182" s="1" t="s">
        <v>19</v>
      </c>
      <c r="C2182" s="1" t="s">
        <v>11757</v>
      </c>
      <c r="D2182" s="1" t="s">
        <v>19</v>
      </c>
      <c r="E2182" s="250">
        <v>2511.11</v>
      </c>
    </row>
    <row r="2183" spans="1:5" x14ac:dyDescent="0.35">
      <c r="A2183" s="1" t="s">
        <v>17831</v>
      </c>
      <c r="B2183" s="1" t="s">
        <v>19</v>
      </c>
      <c r="C2183" s="1" t="s">
        <v>11756</v>
      </c>
      <c r="D2183" s="1" t="s">
        <v>19</v>
      </c>
      <c r="E2183" s="250">
        <v>2511.21</v>
      </c>
    </row>
    <row r="2184" spans="1:5" x14ac:dyDescent="0.35">
      <c r="A2184" s="1" t="s">
        <v>17832</v>
      </c>
      <c r="B2184" s="1" t="s">
        <v>19</v>
      </c>
      <c r="C2184" s="1" t="s">
        <v>11755</v>
      </c>
      <c r="D2184" s="1" t="s">
        <v>19</v>
      </c>
      <c r="E2184" s="250">
        <v>2511.2109999999998</v>
      </c>
    </row>
    <row r="2185" spans="1:5" x14ac:dyDescent="0.35">
      <c r="A2185" s="1" t="s">
        <v>17833</v>
      </c>
      <c r="B2185" s="1" t="s">
        <v>19</v>
      </c>
      <c r="C2185" s="1" t="s">
        <v>11754</v>
      </c>
      <c r="D2185" s="1" t="s">
        <v>19</v>
      </c>
      <c r="E2185" s="250">
        <v>2511.212</v>
      </c>
    </row>
    <row r="2186" spans="1:5" x14ac:dyDescent="0.35">
      <c r="A2186" s="1" t="s">
        <v>17834</v>
      </c>
      <c r="B2186" s="1" t="s">
        <v>19</v>
      </c>
      <c r="C2186" s="1" t="s">
        <v>11753</v>
      </c>
      <c r="D2186" s="1" t="s">
        <v>19</v>
      </c>
      <c r="E2186" s="250">
        <v>2511.2130000000002</v>
      </c>
    </row>
    <row r="2187" spans="1:5" x14ac:dyDescent="0.35">
      <c r="A2187" s="1" t="s">
        <v>17835</v>
      </c>
      <c r="B2187" s="1" t="s">
        <v>19</v>
      </c>
      <c r="C2187" s="1" t="s">
        <v>11752</v>
      </c>
      <c r="D2187" s="1" t="s">
        <v>19</v>
      </c>
      <c r="E2187" s="250">
        <v>2511.2139999999999</v>
      </c>
    </row>
    <row r="2188" spans="1:5" x14ac:dyDescent="0.35">
      <c r="A2188" s="2" t="s">
        <v>17836</v>
      </c>
      <c r="B2188" s="1" t="s">
        <v>57</v>
      </c>
      <c r="C2188" s="1" t="s">
        <v>11751</v>
      </c>
      <c r="D2188" s="1" t="s">
        <v>57</v>
      </c>
      <c r="E2188" s="250">
        <v>2518.0050000000001</v>
      </c>
    </row>
    <row r="2189" spans="1:5" x14ac:dyDescent="0.35">
      <c r="A2189" s="1" t="s">
        <v>17837</v>
      </c>
      <c r="B2189" s="1" t="s">
        <v>18</v>
      </c>
      <c r="C2189" s="1" t="s">
        <v>11749</v>
      </c>
      <c r="D2189" s="1" t="s">
        <v>18</v>
      </c>
      <c r="E2189" s="250">
        <v>2518.0059999999999</v>
      </c>
    </row>
    <row r="2190" spans="1:5" x14ac:dyDescent="0.35">
      <c r="A2190" s="1" t="s">
        <v>17838</v>
      </c>
      <c r="B2190" s="1" t="s">
        <v>18</v>
      </c>
      <c r="C2190" s="1" t="s">
        <v>11748</v>
      </c>
      <c r="D2190" s="1" t="s">
        <v>18</v>
      </c>
      <c r="E2190" s="250">
        <v>2518.0070000000001</v>
      </c>
    </row>
    <row r="2191" spans="1:5" x14ac:dyDescent="0.35">
      <c r="A2191" s="1" t="s">
        <v>17839</v>
      </c>
      <c r="B2191" s="1" t="s">
        <v>18</v>
      </c>
      <c r="C2191" s="1" t="s">
        <v>11747</v>
      </c>
      <c r="D2191" s="1" t="s">
        <v>18</v>
      </c>
      <c r="E2191" s="250">
        <v>2518.0079999999998</v>
      </c>
    </row>
    <row r="2192" spans="1:5" x14ac:dyDescent="0.35">
      <c r="A2192" s="1" t="s">
        <v>17840</v>
      </c>
      <c r="B2192" s="1" t="s">
        <v>18</v>
      </c>
      <c r="C2192" s="1" t="s">
        <v>11746</v>
      </c>
      <c r="D2192" s="1" t="s">
        <v>18</v>
      </c>
      <c r="E2192" s="250">
        <v>2518.009</v>
      </c>
    </row>
    <row r="2193" spans="1:5" x14ac:dyDescent="0.35">
      <c r="A2193" s="1" t="s">
        <v>17841</v>
      </c>
      <c r="B2193" s="1" t="s">
        <v>18</v>
      </c>
      <c r="C2193" s="1" t="s">
        <v>11745</v>
      </c>
      <c r="D2193" s="1" t="s">
        <v>18</v>
      </c>
      <c r="E2193" s="250">
        <v>2518.0100000000002</v>
      </c>
    </row>
    <row r="2194" spans="1:5" x14ac:dyDescent="0.35">
      <c r="A2194" s="1" t="s">
        <v>17842</v>
      </c>
      <c r="B2194" s="1" t="s">
        <v>18</v>
      </c>
      <c r="C2194" s="1" t="s">
        <v>11744</v>
      </c>
      <c r="D2194" s="1" t="s">
        <v>18</v>
      </c>
      <c r="E2194" s="250">
        <v>2518.011</v>
      </c>
    </row>
    <row r="2195" spans="1:5" x14ac:dyDescent="0.35">
      <c r="A2195" s="1" t="s">
        <v>17843</v>
      </c>
      <c r="B2195" s="1" t="s">
        <v>18</v>
      </c>
      <c r="C2195" s="1" t="s">
        <v>11743</v>
      </c>
      <c r="D2195" s="1" t="s">
        <v>18</v>
      </c>
      <c r="E2195" s="250">
        <v>2518.0120000000002</v>
      </c>
    </row>
    <row r="2196" spans="1:5" x14ac:dyDescent="0.35">
      <c r="A2196" s="1" t="s">
        <v>17844</v>
      </c>
      <c r="B2196" s="1" t="s">
        <v>18</v>
      </c>
      <c r="C2196" s="1" t="s">
        <v>11742</v>
      </c>
      <c r="D2196" s="1" t="s">
        <v>18</v>
      </c>
      <c r="E2196" s="250">
        <v>2518.0129999999999</v>
      </c>
    </row>
    <row r="2197" spans="1:5" x14ac:dyDescent="0.35">
      <c r="A2197" s="1" t="s">
        <v>17845</v>
      </c>
      <c r="B2197" s="1" t="s">
        <v>18</v>
      </c>
      <c r="C2197" s="1" t="s">
        <v>11741</v>
      </c>
      <c r="D2197" s="1" t="s">
        <v>18</v>
      </c>
      <c r="E2197" s="250">
        <v>2518.0140000000001</v>
      </c>
    </row>
    <row r="2198" spans="1:5" x14ac:dyDescent="0.35">
      <c r="A2198" s="1" t="s">
        <v>17846</v>
      </c>
      <c r="B2198" s="1" t="s">
        <v>57</v>
      </c>
      <c r="C2198" s="1" t="s">
        <v>11750</v>
      </c>
      <c r="D2198" s="1" t="s">
        <v>57</v>
      </c>
      <c r="E2198" s="250">
        <v>2518.0239999999999</v>
      </c>
    </row>
    <row r="2199" spans="1:5" x14ac:dyDescent="0.35">
      <c r="A2199" s="1" t="s">
        <v>17847</v>
      </c>
      <c r="B2199" s="1" t="s">
        <v>18</v>
      </c>
      <c r="C2199" s="1" t="s">
        <v>11749</v>
      </c>
      <c r="D2199" s="1" t="s">
        <v>18</v>
      </c>
      <c r="E2199" s="250">
        <v>2518.0250000000001</v>
      </c>
    </row>
    <row r="2200" spans="1:5" x14ac:dyDescent="0.35">
      <c r="A2200" s="1" t="s">
        <v>17848</v>
      </c>
      <c r="B2200" s="1" t="s">
        <v>18</v>
      </c>
      <c r="C2200" s="1" t="s">
        <v>11748</v>
      </c>
      <c r="D2200" s="1" t="s">
        <v>18</v>
      </c>
      <c r="E2200" s="250">
        <v>2518.0259999999998</v>
      </c>
    </row>
    <row r="2201" spans="1:5" x14ac:dyDescent="0.35">
      <c r="A2201" s="1" t="s">
        <v>17849</v>
      </c>
      <c r="B2201" s="1" t="s">
        <v>18</v>
      </c>
      <c r="C2201" s="1" t="s">
        <v>11747</v>
      </c>
      <c r="D2201" s="1" t="s">
        <v>18</v>
      </c>
      <c r="E2201" s="250">
        <v>2518.027</v>
      </c>
    </row>
    <row r="2202" spans="1:5" x14ac:dyDescent="0.35">
      <c r="A2202" s="1" t="s">
        <v>17850</v>
      </c>
      <c r="B2202" s="1" t="s">
        <v>18</v>
      </c>
      <c r="C2202" s="1" t="s">
        <v>11746</v>
      </c>
      <c r="D2202" s="1" t="s">
        <v>18</v>
      </c>
      <c r="E2202" s="250">
        <v>2518.0279999999998</v>
      </c>
    </row>
    <row r="2203" spans="1:5" x14ac:dyDescent="0.35">
      <c r="A2203" s="1" t="s">
        <v>17851</v>
      </c>
      <c r="B2203" s="1" t="s">
        <v>18</v>
      </c>
      <c r="C2203" s="1" t="s">
        <v>11745</v>
      </c>
      <c r="D2203" s="1" t="s">
        <v>18</v>
      </c>
      <c r="E2203" s="250">
        <v>2518.029</v>
      </c>
    </row>
    <row r="2204" spans="1:5" x14ac:dyDescent="0.35">
      <c r="A2204" s="1" t="s">
        <v>17852</v>
      </c>
      <c r="B2204" s="1" t="s">
        <v>18</v>
      </c>
      <c r="C2204" s="1" t="s">
        <v>11744</v>
      </c>
      <c r="D2204" s="1" t="s">
        <v>18</v>
      </c>
      <c r="E2204" s="250">
        <v>2518.0300000000002</v>
      </c>
    </row>
    <row r="2205" spans="1:5" x14ac:dyDescent="0.35">
      <c r="A2205" s="1" t="s">
        <v>17853</v>
      </c>
      <c r="B2205" s="1" t="s">
        <v>18</v>
      </c>
      <c r="C2205" s="1" t="s">
        <v>11743</v>
      </c>
      <c r="D2205" s="1" t="s">
        <v>18</v>
      </c>
      <c r="E2205" s="250">
        <v>2518.0309999999999</v>
      </c>
    </row>
    <row r="2206" spans="1:5" x14ac:dyDescent="0.35">
      <c r="A2206" s="1" t="s">
        <v>17854</v>
      </c>
      <c r="B2206" s="1" t="s">
        <v>18</v>
      </c>
      <c r="C2206" s="1" t="s">
        <v>11742</v>
      </c>
      <c r="D2206" s="1" t="s">
        <v>18</v>
      </c>
      <c r="E2206" s="250">
        <v>2518.0320000000002</v>
      </c>
    </row>
    <row r="2207" spans="1:5" x14ac:dyDescent="0.35">
      <c r="A2207" s="1" t="s">
        <v>17855</v>
      </c>
      <c r="B2207" s="1" t="s">
        <v>18</v>
      </c>
      <c r="C2207" s="1" t="s">
        <v>11741</v>
      </c>
      <c r="D2207" s="1" t="s">
        <v>18</v>
      </c>
      <c r="E2207" s="250">
        <v>2518.0329999999999</v>
      </c>
    </row>
    <row r="2208" spans="1:5" x14ac:dyDescent="0.35">
      <c r="A2208" s="1" t="s">
        <v>17856</v>
      </c>
      <c r="B2208" s="1" t="s">
        <v>57</v>
      </c>
      <c r="C2208" s="1" t="s">
        <v>11740</v>
      </c>
      <c r="D2208" s="1" t="s">
        <v>57</v>
      </c>
      <c r="E2208" s="250">
        <v>2518.0419999999999</v>
      </c>
    </row>
    <row r="2209" spans="1:5" x14ac:dyDescent="0.35">
      <c r="A2209" s="1" t="s">
        <v>17857</v>
      </c>
      <c r="B2209" s="1" t="s">
        <v>18</v>
      </c>
      <c r="C2209" s="1" t="s">
        <v>11739</v>
      </c>
      <c r="D2209" s="1" t="s">
        <v>18</v>
      </c>
      <c r="E2209" s="250">
        <v>2518.0430000000001</v>
      </c>
    </row>
    <row r="2210" spans="1:5" x14ac:dyDescent="0.35">
      <c r="A2210" s="1" t="s">
        <v>17858</v>
      </c>
      <c r="B2210" s="1" t="s">
        <v>18</v>
      </c>
      <c r="C2210" s="1" t="s">
        <v>11738</v>
      </c>
      <c r="D2210" s="1" t="s">
        <v>18</v>
      </c>
      <c r="E2210" s="250">
        <v>2518.0439999999999</v>
      </c>
    </row>
    <row r="2211" spans="1:5" x14ac:dyDescent="0.35">
      <c r="A2211" s="2" t="s">
        <v>17859</v>
      </c>
      <c r="B2211" s="1" t="s">
        <v>19</v>
      </c>
      <c r="C2211" s="1" t="s">
        <v>11737</v>
      </c>
      <c r="D2211" s="1" t="s">
        <v>19</v>
      </c>
      <c r="E2211" s="250">
        <v>2519.8009999999999</v>
      </c>
    </row>
    <row r="2212" spans="1:5" x14ac:dyDescent="0.35">
      <c r="A2212" s="1" t="s">
        <v>17860</v>
      </c>
      <c r="B2212" s="1" t="s">
        <v>19</v>
      </c>
      <c r="C2212" s="1" t="s">
        <v>11736</v>
      </c>
      <c r="D2212" s="1" t="s">
        <v>19</v>
      </c>
      <c r="E2212" s="250">
        <v>2519.8020000000001</v>
      </c>
    </row>
    <row r="2213" spans="1:5" x14ac:dyDescent="0.35">
      <c r="A2213" s="1" t="s">
        <v>17861</v>
      </c>
      <c r="B2213" s="1" t="s">
        <v>62</v>
      </c>
      <c r="C2213" s="1" t="s">
        <v>11735</v>
      </c>
      <c r="D2213" s="1" t="s">
        <v>62</v>
      </c>
      <c r="E2213" s="250">
        <v>2519.8029999999999</v>
      </c>
    </row>
    <row r="2214" spans="1:5" x14ac:dyDescent="0.35">
      <c r="A2214" s="1" t="s">
        <v>17862</v>
      </c>
      <c r="B2214" s="1" t="s">
        <v>62</v>
      </c>
      <c r="C2214" s="1" t="s">
        <v>11734</v>
      </c>
      <c r="D2214" s="1" t="s">
        <v>62</v>
      </c>
      <c r="E2214" s="250">
        <v>2519.8040000000001</v>
      </c>
    </row>
    <row r="2215" spans="1:5" x14ac:dyDescent="0.35">
      <c r="A2215" s="2" t="s">
        <v>17863</v>
      </c>
      <c r="B2215" s="1" t="s">
        <v>19</v>
      </c>
      <c r="C2215" s="1" t="s">
        <v>11674</v>
      </c>
      <c r="D2215" s="1" t="s">
        <v>19</v>
      </c>
      <c r="E2215" s="250">
        <v>2530.011</v>
      </c>
    </row>
    <row r="2216" spans="1:5" x14ac:dyDescent="0.35">
      <c r="A2216" s="1" t="s">
        <v>17864</v>
      </c>
      <c r="B2216" s="1" t="s">
        <v>19</v>
      </c>
      <c r="C2216" s="1" t="s">
        <v>11673</v>
      </c>
      <c r="D2216" s="1" t="s">
        <v>19</v>
      </c>
      <c r="E2216" s="250">
        <v>2530.0120000000002</v>
      </c>
    </row>
    <row r="2217" spans="1:5" x14ac:dyDescent="0.35">
      <c r="A2217" s="1" t="s">
        <v>17865</v>
      </c>
      <c r="B2217" s="1" t="s">
        <v>19</v>
      </c>
      <c r="C2217" s="1" t="s">
        <v>11672</v>
      </c>
      <c r="D2217" s="1" t="s">
        <v>19</v>
      </c>
      <c r="E2217" s="250">
        <v>2530.0129999999999</v>
      </c>
    </row>
    <row r="2218" spans="1:5" x14ac:dyDescent="0.35">
      <c r="A2218" s="1" t="s">
        <v>17866</v>
      </c>
      <c r="B2218" s="1" t="s">
        <v>19</v>
      </c>
      <c r="C2218" s="1" t="s">
        <v>11733</v>
      </c>
      <c r="D2218" s="1" t="s">
        <v>19</v>
      </c>
      <c r="E2218" s="250">
        <v>2530.0140000000001</v>
      </c>
    </row>
    <row r="2219" spans="1:5" x14ac:dyDescent="0.35">
      <c r="A2219" s="1" t="s">
        <v>17867</v>
      </c>
      <c r="B2219" s="1" t="s">
        <v>19</v>
      </c>
      <c r="C2219" s="1" t="s">
        <v>11732</v>
      </c>
      <c r="D2219" s="1" t="s">
        <v>19</v>
      </c>
      <c r="E2219" s="250">
        <v>2530.0149999999999</v>
      </c>
    </row>
    <row r="2220" spans="1:5" x14ac:dyDescent="0.35">
      <c r="A2220" s="1" t="s">
        <v>17868</v>
      </c>
      <c r="B2220" s="1" t="s">
        <v>19</v>
      </c>
      <c r="C2220" s="1" t="s">
        <v>11669</v>
      </c>
      <c r="D2220" s="1" t="s">
        <v>19</v>
      </c>
      <c r="E2220" s="250">
        <v>2530.0160000000001</v>
      </c>
    </row>
    <row r="2221" spans="1:5" x14ac:dyDescent="0.35">
      <c r="A2221" s="1" t="s">
        <v>17869</v>
      </c>
      <c r="B2221" s="1" t="s">
        <v>19</v>
      </c>
      <c r="C2221" s="1" t="s">
        <v>11668</v>
      </c>
      <c r="D2221" s="1" t="s">
        <v>19</v>
      </c>
      <c r="E2221" s="250">
        <v>2530.0169999999998</v>
      </c>
    </row>
    <row r="2222" spans="1:5" x14ac:dyDescent="0.35">
      <c r="A2222" s="1" t="s">
        <v>17870</v>
      </c>
      <c r="B2222" s="1" t="s">
        <v>19</v>
      </c>
      <c r="C2222" s="1" t="s">
        <v>11731</v>
      </c>
      <c r="D2222" s="1" t="s">
        <v>19</v>
      </c>
      <c r="E2222" s="250">
        <v>2530.018</v>
      </c>
    </row>
    <row r="2223" spans="1:5" x14ac:dyDescent="0.35">
      <c r="A2223" s="1" t="s">
        <v>17871</v>
      </c>
      <c r="B2223" s="1" t="s">
        <v>19</v>
      </c>
      <c r="C2223" s="1" t="s">
        <v>11666</v>
      </c>
      <c r="D2223" s="1" t="s">
        <v>19</v>
      </c>
      <c r="E2223" s="250">
        <v>2530.0189999999998</v>
      </c>
    </row>
    <row r="2224" spans="1:5" x14ac:dyDescent="0.35">
      <c r="A2224" s="1" t="s">
        <v>17872</v>
      </c>
      <c r="B2224" s="1" t="s">
        <v>19</v>
      </c>
      <c r="C2224" s="1" t="s">
        <v>11730</v>
      </c>
      <c r="D2224" s="1" t="s">
        <v>19</v>
      </c>
      <c r="E2224" s="250">
        <v>2530.02</v>
      </c>
    </row>
    <row r="2225" spans="1:5" x14ac:dyDescent="0.35">
      <c r="A2225" s="1" t="s">
        <v>17873</v>
      </c>
      <c r="B2225" s="1" t="s">
        <v>19</v>
      </c>
      <c r="C2225" s="1" t="s">
        <v>11729</v>
      </c>
      <c r="D2225" s="1" t="s">
        <v>19</v>
      </c>
      <c r="E2225" s="250">
        <v>2530.0509999999999</v>
      </c>
    </row>
    <row r="2226" spans="1:5" x14ac:dyDescent="0.35">
      <c r="A2226" s="1" t="s">
        <v>17874</v>
      </c>
      <c r="B2226" s="1" t="s">
        <v>19</v>
      </c>
      <c r="C2226" s="1" t="s">
        <v>11728</v>
      </c>
      <c r="D2226" s="1" t="s">
        <v>19</v>
      </c>
      <c r="E2226" s="250">
        <v>2530.0520000000001</v>
      </c>
    </row>
    <row r="2227" spans="1:5" x14ac:dyDescent="0.35">
      <c r="A2227" s="1" t="s">
        <v>17875</v>
      </c>
      <c r="B2227" s="1" t="s">
        <v>19</v>
      </c>
      <c r="C2227" s="1" t="s">
        <v>11727</v>
      </c>
      <c r="D2227" s="1" t="s">
        <v>19</v>
      </c>
      <c r="E2227" s="250">
        <v>2530.0529999999999</v>
      </c>
    </row>
    <row r="2228" spans="1:5" x14ac:dyDescent="0.35">
      <c r="A2228" s="1" t="s">
        <v>17876</v>
      </c>
      <c r="B2228" s="1" t="s">
        <v>19</v>
      </c>
      <c r="C2228" s="1" t="s">
        <v>11726</v>
      </c>
      <c r="D2228" s="1" t="s">
        <v>19</v>
      </c>
      <c r="E2228" s="250">
        <v>2530.0540000000001</v>
      </c>
    </row>
    <row r="2229" spans="1:5" x14ac:dyDescent="0.35">
      <c r="A2229" s="1" t="s">
        <v>17877</v>
      </c>
      <c r="B2229" s="1" t="s">
        <v>19</v>
      </c>
      <c r="C2229" s="1" t="s">
        <v>11725</v>
      </c>
      <c r="D2229" s="1" t="s">
        <v>19</v>
      </c>
      <c r="E2229" s="250">
        <v>2530.0549999999998</v>
      </c>
    </row>
    <row r="2230" spans="1:5" x14ac:dyDescent="0.35">
      <c r="A2230" s="1" t="s">
        <v>17878</v>
      </c>
      <c r="B2230" s="1" t="s">
        <v>19</v>
      </c>
      <c r="C2230" s="1" t="s">
        <v>11724</v>
      </c>
      <c r="D2230" s="1" t="s">
        <v>19</v>
      </c>
      <c r="E2230" s="250">
        <v>2530.056</v>
      </c>
    </row>
    <row r="2231" spans="1:5" x14ac:dyDescent="0.35">
      <c r="A2231" s="1" t="s">
        <v>17879</v>
      </c>
      <c r="B2231" s="1" t="s">
        <v>19</v>
      </c>
      <c r="C2231" s="1" t="s">
        <v>11723</v>
      </c>
      <c r="D2231" s="1" t="s">
        <v>19</v>
      </c>
      <c r="E2231" s="250">
        <v>2530.0569999999998</v>
      </c>
    </row>
    <row r="2232" spans="1:5" x14ac:dyDescent="0.35">
      <c r="A2232" s="1" t="s">
        <v>17880</v>
      </c>
      <c r="B2232" s="1" t="s">
        <v>19</v>
      </c>
      <c r="C2232" s="1" t="s">
        <v>11722</v>
      </c>
      <c r="D2232" s="1" t="s">
        <v>19</v>
      </c>
      <c r="E2232" s="250">
        <v>2530.058</v>
      </c>
    </row>
    <row r="2233" spans="1:5" x14ac:dyDescent="0.35">
      <c r="A2233" s="1" t="s">
        <v>17881</v>
      </c>
      <c r="B2233" s="1" t="s">
        <v>19</v>
      </c>
      <c r="C2233" s="1" t="s">
        <v>11721</v>
      </c>
      <c r="D2233" s="1" t="s">
        <v>19</v>
      </c>
      <c r="E2233" s="250">
        <v>2530.0590000000002</v>
      </c>
    </row>
    <row r="2234" spans="1:5" x14ac:dyDescent="0.35">
      <c r="A2234" s="1" t="s">
        <v>17882</v>
      </c>
      <c r="B2234" s="1" t="s">
        <v>19</v>
      </c>
      <c r="C2234" s="1" t="s">
        <v>11720</v>
      </c>
      <c r="D2234" s="1" t="s">
        <v>19</v>
      </c>
      <c r="E2234" s="250">
        <v>2530.1509999999998</v>
      </c>
    </row>
    <row r="2235" spans="1:5" x14ac:dyDescent="0.35">
      <c r="A2235" s="1" t="s">
        <v>17883</v>
      </c>
      <c r="B2235" s="1" t="s">
        <v>19</v>
      </c>
      <c r="C2235" s="1" t="s">
        <v>11719</v>
      </c>
      <c r="D2235" s="1" t="s">
        <v>19</v>
      </c>
      <c r="E2235" s="250">
        <v>2530.152</v>
      </c>
    </row>
    <row r="2236" spans="1:5" x14ac:dyDescent="0.35">
      <c r="A2236" s="1" t="s">
        <v>17884</v>
      </c>
      <c r="B2236" s="1" t="s">
        <v>19</v>
      </c>
      <c r="C2236" s="1" t="s">
        <v>11718</v>
      </c>
      <c r="D2236" s="1" t="s">
        <v>19</v>
      </c>
      <c r="E2236" s="250">
        <v>2530.1529999999998</v>
      </c>
    </row>
    <row r="2237" spans="1:5" x14ac:dyDescent="0.35">
      <c r="A2237" s="1" t="s">
        <v>17885</v>
      </c>
      <c r="B2237" s="1" t="s">
        <v>19</v>
      </c>
      <c r="C2237" s="1" t="s">
        <v>11717</v>
      </c>
      <c r="D2237" s="1" t="s">
        <v>19</v>
      </c>
      <c r="E2237" s="250">
        <v>2530.154</v>
      </c>
    </row>
    <row r="2238" spans="1:5" x14ac:dyDescent="0.35">
      <c r="A2238" s="1" t="s">
        <v>17886</v>
      </c>
      <c r="B2238" s="1" t="s">
        <v>19</v>
      </c>
      <c r="C2238" s="1" t="s">
        <v>11716</v>
      </c>
      <c r="D2238" s="1" t="s">
        <v>19</v>
      </c>
      <c r="E2238" s="250">
        <v>2530.1550000000002</v>
      </c>
    </row>
    <row r="2239" spans="1:5" x14ac:dyDescent="0.35">
      <c r="A2239" s="1" t="s">
        <v>17887</v>
      </c>
      <c r="B2239" s="1" t="s">
        <v>19</v>
      </c>
      <c r="C2239" s="1" t="s">
        <v>11715</v>
      </c>
      <c r="D2239" s="1" t="s">
        <v>19</v>
      </c>
      <c r="E2239" s="250">
        <v>2530.1559999999999</v>
      </c>
    </row>
    <row r="2240" spans="1:5" x14ac:dyDescent="0.35">
      <c r="A2240" s="1" t="s">
        <v>17888</v>
      </c>
      <c r="B2240" s="1" t="s">
        <v>19</v>
      </c>
      <c r="C2240" s="1" t="s">
        <v>11714</v>
      </c>
      <c r="D2240" s="1" t="s">
        <v>19</v>
      </c>
      <c r="E2240" s="250">
        <v>2530.1570000000002</v>
      </c>
    </row>
    <row r="2241" spans="1:5" x14ac:dyDescent="0.35">
      <c r="A2241" s="1" t="s">
        <v>17889</v>
      </c>
      <c r="B2241" s="1" t="s">
        <v>19</v>
      </c>
      <c r="C2241" s="1" t="s">
        <v>11713</v>
      </c>
      <c r="D2241" s="1" t="s">
        <v>19</v>
      </c>
      <c r="E2241" s="250">
        <v>2530.1579999999999</v>
      </c>
    </row>
    <row r="2242" spans="1:5" x14ac:dyDescent="0.35">
      <c r="A2242" s="1" t="s">
        <v>17890</v>
      </c>
      <c r="B2242" s="1" t="s">
        <v>19</v>
      </c>
      <c r="C2242" s="1" t="s">
        <v>11712</v>
      </c>
      <c r="D2242" s="1" t="s">
        <v>19</v>
      </c>
      <c r="E2242" s="250">
        <v>2530.1590000000001</v>
      </c>
    </row>
    <row r="2243" spans="1:5" x14ac:dyDescent="0.35">
      <c r="A2243" s="1" t="s">
        <v>17891</v>
      </c>
      <c r="B2243" s="1" t="s">
        <v>19</v>
      </c>
      <c r="C2243" s="1" t="s">
        <v>11711</v>
      </c>
      <c r="D2243" s="1" t="s">
        <v>19</v>
      </c>
      <c r="E2243" s="250">
        <v>2530.2510000000002</v>
      </c>
    </row>
    <row r="2244" spans="1:5" x14ac:dyDescent="0.35">
      <c r="A2244" s="1" t="s">
        <v>17892</v>
      </c>
      <c r="B2244" s="1" t="s">
        <v>19</v>
      </c>
      <c r="C2244" s="1" t="s">
        <v>11710</v>
      </c>
      <c r="D2244" s="1" t="s">
        <v>19</v>
      </c>
      <c r="E2244" s="250">
        <v>2530.252</v>
      </c>
    </row>
    <row r="2245" spans="1:5" x14ac:dyDescent="0.35">
      <c r="A2245" s="1" t="s">
        <v>17893</v>
      </c>
      <c r="B2245" s="1" t="s">
        <v>19</v>
      </c>
      <c r="C2245" s="1" t="s">
        <v>11709</v>
      </c>
      <c r="D2245" s="1" t="s">
        <v>19</v>
      </c>
      <c r="E2245" s="250">
        <v>2530.2530000000002</v>
      </c>
    </row>
    <row r="2246" spans="1:5" x14ac:dyDescent="0.35">
      <c r="A2246" s="1" t="s">
        <v>17894</v>
      </c>
      <c r="B2246" s="1" t="s">
        <v>19</v>
      </c>
      <c r="C2246" s="1" t="s">
        <v>11708</v>
      </c>
      <c r="D2246" s="1" t="s">
        <v>19</v>
      </c>
      <c r="E2246" s="250">
        <v>2530.2539999999999</v>
      </c>
    </row>
    <row r="2247" spans="1:5" x14ac:dyDescent="0.35">
      <c r="A2247" s="1" t="s">
        <v>17895</v>
      </c>
      <c r="B2247" s="1" t="s">
        <v>19</v>
      </c>
      <c r="C2247" s="1" t="s">
        <v>11707</v>
      </c>
      <c r="D2247" s="1" t="s">
        <v>19</v>
      </c>
      <c r="E2247" s="250">
        <v>2530.2550000000001</v>
      </c>
    </row>
    <row r="2248" spans="1:5" x14ac:dyDescent="0.35">
      <c r="A2248" s="1" t="s">
        <v>17896</v>
      </c>
      <c r="B2248" s="1" t="s">
        <v>19</v>
      </c>
      <c r="C2248" s="1" t="s">
        <v>11706</v>
      </c>
      <c r="D2248" s="1" t="s">
        <v>19</v>
      </c>
      <c r="E2248" s="250">
        <v>2530.2559999999999</v>
      </c>
    </row>
    <row r="2249" spans="1:5" x14ac:dyDescent="0.35">
      <c r="A2249" s="1" t="s">
        <v>17897</v>
      </c>
      <c r="B2249" s="1" t="s">
        <v>19</v>
      </c>
      <c r="C2249" s="1" t="s">
        <v>11705</v>
      </c>
      <c r="D2249" s="1" t="s">
        <v>19</v>
      </c>
      <c r="E2249" s="250">
        <v>2530.2570000000001</v>
      </c>
    </row>
    <row r="2250" spans="1:5" x14ac:dyDescent="0.35">
      <c r="A2250" s="1" t="s">
        <v>17898</v>
      </c>
      <c r="B2250" s="1" t="s">
        <v>19</v>
      </c>
      <c r="C2250" s="1" t="s">
        <v>11704</v>
      </c>
      <c r="D2250" s="1" t="s">
        <v>19</v>
      </c>
      <c r="E2250" s="250">
        <v>2530.2579999999998</v>
      </c>
    </row>
    <row r="2251" spans="1:5" x14ac:dyDescent="0.35">
      <c r="A2251" s="1" t="s">
        <v>17899</v>
      </c>
      <c r="B2251" s="1" t="s">
        <v>19</v>
      </c>
      <c r="C2251" s="1" t="s">
        <v>11703</v>
      </c>
      <c r="D2251" s="1" t="s">
        <v>19</v>
      </c>
      <c r="E2251" s="250">
        <v>2530.259</v>
      </c>
    </row>
    <row r="2252" spans="1:5" x14ac:dyDescent="0.35">
      <c r="A2252" s="1" t="s">
        <v>17900</v>
      </c>
      <c r="B2252" s="1" t="s">
        <v>19</v>
      </c>
      <c r="C2252" s="1" t="s">
        <v>11702</v>
      </c>
      <c r="D2252" s="1" t="s">
        <v>19</v>
      </c>
      <c r="E2252" s="250">
        <v>2530.3510000000001</v>
      </c>
    </row>
    <row r="2253" spans="1:5" x14ac:dyDescent="0.35">
      <c r="A2253" s="1" t="s">
        <v>17901</v>
      </c>
      <c r="B2253" s="1" t="s">
        <v>19</v>
      </c>
      <c r="C2253" s="1" t="s">
        <v>11701</v>
      </c>
      <c r="D2253" s="1" t="s">
        <v>19</v>
      </c>
      <c r="E2253" s="250">
        <v>2530.3519999999999</v>
      </c>
    </row>
    <row r="2254" spans="1:5" x14ac:dyDescent="0.35">
      <c r="A2254" s="1" t="s">
        <v>17902</v>
      </c>
      <c r="B2254" s="1" t="s">
        <v>19</v>
      </c>
      <c r="C2254" s="1" t="s">
        <v>11700</v>
      </c>
      <c r="D2254" s="1" t="s">
        <v>19</v>
      </c>
      <c r="E2254" s="250">
        <v>2530.3530000000001</v>
      </c>
    </row>
    <row r="2255" spans="1:5" x14ac:dyDescent="0.35">
      <c r="A2255" s="1" t="s">
        <v>17903</v>
      </c>
      <c r="B2255" s="1" t="s">
        <v>19</v>
      </c>
      <c r="C2255" s="1" t="s">
        <v>11699</v>
      </c>
      <c r="D2255" s="1" t="s">
        <v>19</v>
      </c>
      <c r="E2255" s="250">
        <v>2530.3539999999998</v>
      </c>
    </row>
    <row r="2256" spans="1:5" x14ac:dyDescent="0.35">
      <c r="A2256" s="1" t="s">
        <v>17904</v>
      </c>
      <c r="B2256" s="1" t="s">
        <v>19</v>
      </c>
      <c r="C2256" s="1" t="s">
        <v>11698</v>
      </c>
      <c r="D2256" s="1" t="s">
        <v>19</v>
      </c>
      <c r="E2256" s="250">
        <v>2530.355</v>
      </c>
    </row>
    <row r="2257" spans="1:5" x14ac:dyDescent="0.35">
      <c r="A2257" s="1" t="s">
        <v>17905</v>
      </c>
      <c r="B2257" s="1" t="s">
        <v>19</v>
      </c>
      <c r="C2257" s="1" t="s">
        <v>11697</v>
      </c>
      <c r="D2257" s="1" t="s">
        <v>19</v>
      </c>
      <c r="E2257" s="250">
        <v>2530.3560000000002</v>
      </c>
    </row>
    <row r="2258" spans="1:5" x14ac:dyDescent="0.35">
      <c r="A2258" s="1" t="s">
        <v>17906</v>
      </c>
      <c r="B2258" s="1" t="s">
        <v>19</v>
      </c>
      <c r="C2258" s="1" t="s">
        <v>11696</v>
      </c>
      <c r="D2258" s="1" t="s">
        <v>19</v>
      </c>
      <c r="E2258" s="250">
        <v>2530.357</v>
      </c>
    </row>
    <row r="2259" spans="1:5" x14ac:dyDescent="0.35">
      <c r="A2259" s="1" t="s">
        <v>17907</v>
      </c>
      <c r="B2259" s="1" t="s">
        <v>19</v>
      </c>
      <c r="C2259" s="1" t="s">
        <v>11695</v>
      </c>
      <c r="D2259" s="1" t="s">
        <v>19</v>
      </c>
      <c r="E2259" s="250">
        <v>2530.3580000000002</v>
      </c>
    </row>
    <row r="2260" spans="1:5" x14ac:dyDescent="0.35">
      <c r="A2260" s="1" t="s">
        <v>17908</v>
      </c>
      <c r="B2260" s="1" t="s">
        <v>19</v>
      </c>
      <c r="C2260" s="1" t="s">
        <v>11694</v>
      </c>
      <c r="D2260" s="1" t="s">
        <v>19</v>
      </c>
      <c r="E2260" s="250">
        <v>2530.3589999999999</v>
      </c>
    </row>
    <row r="2261" spans="1:5" x14ac:dyDescent="0.35">
      <c r="A2261" s="1" t="s">
        <v>17909</v>
      </c>
      <c r="B2261" s="1" t="s">
        <v>19</v>
      </c>
      <c r="C2261" s="1" t="s">
        <v>11693</v>
      </c>
      <c r="D2261" s="1" t="s">
        <v>19</v>
      </c>
      <c r="E2261" s="250">
        <v>2530.36</v>
      </c>
    </row>
    <row r="2262" spans="1:5" x14ac:dyDescent="0.35">
      <c r="A2262" s="1" t="s">
        <v>17910</v>
      </c>
      <c r="B2262" s="1" t="s">
        <v>19</v>
      </c>
      <c r="C2262" s="1" t="s">
        <v>11692</v>
      </c>
      <c r="D2262" s="1" t="s">
        <v>19</v>
      </c>
      <c r="E2262" s="250">
        <v>2530.3609999999999</v>
      </c>
    </row>
    <row r="2263" spans="1:5" x14ac:dyDescent="0.35">
      <c r="A2263" s="1" t="s">
        <v>17911</v>
      </c>
      <c r="B2263" s="1" t="s">
        <v>19</v>
      </c>
      <c r="C2263" s="1" t="s">
        <v>11691</v>
      </c>
      <c r="D2263" s="1" t="s">
        <v>19</v>
      </c>
      <c r="E2263" s="250">
        <v>2530.3620000000001</v>
      </c>
    </row>
    <row r="2264" spans="1:5" x14ac:dyDescent="0.35">
      <c r="A2264" s="1" t="s">
        <v>17912</v>
      </c>
      <c r="B2264" s="1" t="s">
        <v>19</v>
      </c>
      <c r="C2264" s="1" t="s">
        <v>11690</v>
      </c>
      <c r="D2264" s="1" t="s">
        <v>19</v>
      </c>
      <c r="E2264" s="250">
        <v>2530.3629999999998</v>
      </c>
    </row>
    <row r="2265" spans="1:5" x14ac:dyDescent="0.35">
      <c r="A2265" s="1" t="s">
        <v>17913</v>
      </c>
      <c r="B2265" s="1" t="s">
        <v>19</v>
      </c>
      <c r="C2265" s="1" t="s">
        <v>11689</v>
      </c>
      <c r="D2265" s="1" t="s">
        <v>19</v>
      </c>
      <c r="E2265" s="250">
        <v>2530.364</v>
      </c>
    </row>
    <row r="2266" spans="1:5" x14ac:dyDescent="0.35">
      <c r="A2266" s="1" t="s">
        <v>17914</v>
      </c>
      <c r="B2266" s="1" t="s">
        <v>19</v>
      </c>
      <c r="C2266" s="1" t="s">
        <v>11688</v>
      </c>
      <c r="D2266" s="1" t="s">
        <v>19</v>
      </c>
      <c r="E2266" s="250">
        <v>2530.3649999999998</v>
      </c>
    </row>
    <row r="2267" spans="1:5" x14ac:dyDescent="0.35">
      <c r="A2267" s="1" t="s">
        <v>17915</v>
      </c>
      <c r="B2267" s="1" t="s">
        <v>19</v>
      </c>
      <c r="C2267" s="1" t="s">
        <v>11687</v>
      </c>
      <c r="D2267" s="1" t="s">
        <v>19</v>
      </c>
      <c r="E2267" s="250">
        <v>2530.366</v>
      </c>
    </row>
    <row r="2268" spans="1:5" x14ac:dyDescent="0.35">
      <c r="A2268" s="1" t="s">
        <v>17916</v>
      </c>
      <c r="B2268" s="1" t="s">
        <v>19</v>
      </c>
      <c r="C2268" s="1" t="s">
        <v>11686</v>
      </c>
      <c r="D2268" s="1" t="s">
        <v>19</v>
      </c>
      <c r="E2268" s="250">
        <v>2530.3670000000002</v>
      </c>
    </row>
    <row r="2269" spans="1:5" x14ac:dyDescent="0.35">
      <c r="A2269" s="1" t="s">
        <v>17917</v>
      </c>
      <c r="B2269" s="1" t="s">
        <v>19</v>
      </c>
      <c r="C2269" s="1" t="s">
        <v>11685</v>
      </c>
      <c r="D2269" s="1" t="s">
        <v>19</v>
      </c>
      <c r="E2269" s="250">
        <v>2530.451</v>
      </c>
    </row>
    <row r="2270" spans="1:5" x14ac:dyDescent="0.35">
      <c r="A2270" s="1" t="s">
        <v>17918</v>
      </c>
      <c r="B2270" s="1" t="s">
        <v>19</v>
      </c>
      <c r="C2270" s="1" t="s">
        <v>11684</v>
      </c>
      <c r="D2270" s="1" t="s">
        <v>19</v>
      </c>
      <c r="E2270" s="250">
        <v>2530.4520000000002</v>
      </c>
    </row>
    <row r="2271" spans="1:5" x14ac:dyDescent="0.35">
      <c r="A2271" s="1" t="s">
        <v>17919</v>
      </c>
      <c r="B2271" s="1" t="s">
        <v>19</v>
      </c>
      <c r="C2271" s="1" t="s">
        <v>11683</v>
      </c>
      <c r="D2271" s="1" t="s">
        <v>19</v>
      </c>
      <c r="E2271" s="250">
        <v>2530.453</v>
      </c>
    </row>
    <row r="2272" spans="1:5" x14ac:dyDescent="0.35">
      <c r="A2272" s="1" t="s">
        <v>17920</v>
      </c>
      <c r="B2272" s="1" t="s">
        <v>19</v>
      </c>
      <c r="C2272" s="1" t="s">
        <v>11682</v>
      </c>
      <c r="D2272" s="1" t="s">
        <v>19</v>
      </c>
      <c r="E2272" s="250">
        <v>2530.4540000000002</v>
      </c>
    </row>
    <row r="2273" spans="1:5" x14ac:dyDescent="0.35">
      <c r="A2273" s="1" t="s">
        <v>17921</v>
      </c>
      <c r="B2273" s="1" t="s">
        <v>19</v>
      </c>
      <c r="C2273" s="1" t="s">
        <v>11681</v>
      </c>
      <c r="D2273" s="1" t="s">
        <v>19</v>
      </c>
      <c r="E2273" s="250">
        <v>2530.4549999999999</v>
      </c>
    </row>
    <row r="2274" spans="1:5" x14ac:dyDescent="0.35">
      <c r="A2274" s="1" t="s">
        <v>17922</v>
      </c>
      <c r="B2274" s="1" t="s">
        <v>19</v>
      </c>
      <c r="C2274" s="1" t="s">
        <v>11680</v>
      </c>
      <c r="D2274" s="1" t="s">
        <v>19</v>
      </c>
      <c r="E2274" s="250">
        <v>2530.4560000000001</v>
      </c>
    </row>
    <row r="2275" spans="1:5" x14ac:dyDescent="0.35">
      <c r="A2275" s="1" t="s">
        <v>17923</v>
      </c>
      <c r="B2275" s="1" t="s">
        <v>19</v>
      </c>
      <c r="C2275" s="1" t="s">
        <v>11679</v>
      </c>
      <c r="D2275" s="1" t="s">
        <v>19</v>
      </c>
      <c r="E2275" s="250">
        <v>2530.4569999999999</v>
      </c>
    </row>
    <row r="2276" spans="1:5" x14ac:dyDescent="0.35">
      <c r="A2276" s="1" t="s">
        <v>17924</v>
      </c>
      <c r="B2276" s="1" t="s">
        <v>19</v>
      </c>
      <c r="C2276" s="1" t="s">
        <v>11678</v>
      </c>
      <c r="D2276" s="1" t="s">
        <v>19</v>
      </c>
      <c r="E2276" s="250">
        <v>2530.4580000000001</v>
      </c>
    </row>
    <row r="2277" spans="1:5" x14ac:dyDescent="0.35">
      <c r="A2277" s="1" t="s">
        <v>17925</v>
      </c>
      <c r="B2277" s="1" t="s">
        <v>19</v>
      </c>
      <c r="C2277" s="1" t="s">
        <v>11677</v>
      </c>
      <c r="D2277" s="1" t="s">
        <v>19</v>
      </c>
      <c r="E2277" s="250">
        <v>2530.4589999999998</v>
      </c>
    </row>
    <row r="2278" spans="1:5" x14ac:dyDescent="0.35">
      <c r="A2278" s="1" t="s">
        <v>17926</v>
      </c>
      <c r="B2278" s="1" t="s">
        <v>19</v>
      </c>
      <c r="C2278" s="1" t="s">
        <v>11676</v>
      </c>
      <c r="D2278" s="1" t="s">
        <v>19</v>
      </c>
      <c r="E2278" s="250">
        <v>2530.46</v>
      </c>
    </row>
    <row r="2279" spans="1:5" x14ac:dyDescent="0.35">
      <c r="A2279" s="1" t="s">
        <v>17927</v>
      </c>
      <c r="B2279" s="1" t="s">
        <v>19</v>
      </c>
      <c r="C2279" s="1" t="s">
        <v>11675</v>
      </c>
      <c r="D2279" s="1" t="s">
        <v>19</v>
      </c>
      <c r="E2279" s="250">
        <v>2530.4609999999998</v>
      </c>
    </row>
    <row r="2280" spans="1:5" x14ac:dyDescent="0.35">
      <c r="A2280" s="1" t="s">
        <v>17928</v>
      </c>
      <c r="B2280" s="1" t="s">
        <v>19</v>
      </c>
      <c r="C2280" s="1" t="s">
        <v>11674</v>
      </c>
      <c r="D2280" s="1" t="s">
        <v>19</v>
      </c>
      <c r="E2280" s="250">
        <v>2530.5010000000002</v>
      </c>
    </row>
    <row r="2281" spans="1:5" x14ac:dyDescent="0.35">
      <c r="A2281" s="1" t="s">
        <v>17929</v>
      </c>
      <c r="B2281" s="1" t="s">
        <v>19</v>
      </c>
      <c r="C2281" s="1" t="s">
        <v>11673</v>
      </c>
      <c r="D2281" s="1" t="s">
        <v>19</v>
      </c>
      <c r="E2281" s="250">
        <v>2530.502</v>
      </c>
    </row>
    <row r="2282" spans="1:5" x14ac:dyDescent="0.35">
      <c r="A2282" s="1" t="s">
        <v>17930</v>
      </c>
      <c r="B2282" s="1" t="s">
        <v>19</v>
      </c>
      <c r="C2282" s="1" t="s">
        <v>11672</v>
      </c>
      <c r="D2282" s="1" t="s">
        <v>19</v>
      </c>
      <c r="E2282" s="250">
        <v>2530.5030000000002</v>
      </c>
    </row>
    <row r="2283" spans="1:5" x14ac:dyDescent="0.35">
      <c r="A2283" s="1" t="s">
        <v>17931</v>
      </c>
      <c r="B2283" s="1" t="s">
        <v>19</v>
      </c>
      <c r="C2283" s="1" t="s">
        <v>11671</v>
      </c>
      <c r="D2283" s="1" t="s">
        <v>19</v>
      </c>
      <c r="E2283" s="250">
        <v>2530.5039999999999</v>
      </c>
    </row>
    <row r="2284" spans="1:5" x14ac:dyDescent="0.35">
      <c r="A2284" s="1" t="s">
        <v>17932</v>
      </c>
      <c r="B2284" s="1" t="s">
        <v>19</v>
      </c>
      <c r="C2284" s="1" t="s">
        <v>11670</v>
      </c>
      <c r="D2284" s="1" t="s">
        <v>19</v>
      </c>
      <c r="E2284" s="250">
        <v>2530.5050000000001</v>
      </c>
    </row>
    <row r="2285" spans="1:5" x14ac:dyDescent="0.35">
      <c r="A2285" s="1" t="s">
        <v>17933</v>
      </c>
      <c r="B2285" s="1" t="s">
        <v>19</v>
      </c>
      <c r="C2285" s="1" t="s">
        <v>11669</v>
      </c>
      <c r="D2285" s="1" t="s">
        <v>19</v>
      </c>
      <c r="E2285" s="250">
        <v>2530.5059999999999</v>
      </c>
    </row>
    <row r="2286" spans="1:5" x14ac:dyDescent="0.35">
      <c r="A2286" s="1" t="s">
        <v>17934</v>
      </c>
      <c r="B2286" s="1" t="s">
        <v>19</v>
      </c>
      <c r="C2286" s="1" t="s">
        <v>11668</v>
      </c>
      <c r="D2286" s="1" t="s">
        <v>19</v>
      </c>
      <c r="E2286" s="250">
        <v>2530.5070000000001</v>
      </c>
    </row>
    <row r="2287" spans="1:5" x14ac:dyDescent="0.35">
      <c r="A2287" s="1" t="s">
        <v>17935</v>
      </c>
      <c r="B2287" s="1" t="s">
        <v>19</v>
      </c>
      <c r="C2287" s="1" t="s">
        <v>11667</v>
      </c>
      <c r="D2287" s="1" t="s">
        <v>19</v>
      </c>
      <c r="E2287" s="250">
        <v>2530.5079999999998</v>
      </c>
    </row>
    <row r="2288" spans="1:5" x14ac:dyDescent="0.35">
      <c r="A2288" s="1" t="s">
        <v>17936</v>
      </c>
      <c r="B2288" s="1" t="s">
        <v>19</v>
      </c>
      <c r="C2288" s="1" t="s">
        <v>11666</v>
      </c>
      <c r="D2288" s="1" t="s">
        <v>19</v>
      </c>
      <c r="E2288" s="250">
        <v>2530.509</v>
      </c>
    </row>
    <row r="2289" spans="1:5" x14ac:dyDescent="0.35">
      <c r="A2289" s="1" t="s">
        <v>17937</v>
      </c>
      <c r="B2289" s="1" t="s">
        <v>19</v>
      </c>
      <c r="C2289" s="1" t="s">
        <v>11665</v>
      </c>
      <c r="D2289" s="1" t="s">
        <v>19</v>
      </c>
      <c r="E2289" s="250">
        <v>2530.5100000000002</v>
      </c>
    </row>
    <row r="2290" spans="1:5" x14ac:dyDescent="0.35">
      <c r="A2290" s="2" t="s">
        <v>17938</v>
      </c>
      <c r="B2290" s="1" t="s">
        <v>19</v>
      </c>
      <c r="C2290" s="1" t="s">
        <v>11664</v>
      </c>
      <c r="D2290" s="1" t="s">
        <v>19</v>
      </c>
      <c r="E2290" s="250">
        <v>2539.9899999999998</v>
      </c>
    </row>
    <row r="2291" spans="1:5" x14ac:dyDescent="0.35">
      <c r="A2291" s="1" t="s">
        <v>17939</v>
      </c>
      <c r="B2291" s="1" t="s">
        <v>62</v>
      </c>
      <c r="C2291" s="1" t="s">
        <v>11663</v>
      </c>
      <c r="D2291" s="1" t="s">
        <v>62</v>
      </c>
      <c r="E2291" s="250">
        <v>2539.991</v>
      </c>
    </row>
    <row r="2292" spans="1:5" x14ac:dyDescent="0.35">
      <c r="A2292" s="2" t="s">
        <v>17940</v>
      </c>
      <c r="B2292" s="1" t="s">
        <v>18</v>
      </c>
      <c r="C2292" s="1" t="s">
        <v>11662</v>
      </c>
      <c r="D2292" s="1" t="s">
        <v>18</v>
      </c>
      <c r="E2292" s="250">
        <v>2580.011</v>
      </c>
    </row>
    <row r="2293" spans="1:5" x14ac:dyDescent="0.35">
      <c r="A2293" s="1" t="s">
        <v>17941</v>
      </c>
      <c r="B2293" s="1" t="s">
        <v>18</v>
      </c>
      <c r="C2293" s="1" t="s">
        <v>11661</v>
      </c>
      <c r="D2293" s="1" t="s">
        <v>18</v>
      </c>
      <c r="E2293" s="250">
        <v>2580.0120000000002</v>
      </c>
    </row>
    <row r="2294" spans="1:5" x14ac:dyDescent="0.35">
      <c r="A2294" s="1" t="s">
        <v>17942</v>
      </c>
      <c r="B2294" s="1" t="s">
        <v>57</v>
      </c>
      <c r="C2294" s="1" t="s">
        <v>11660</v>
      </c>
      <c r="D2294" s="1" t="s">
        <v>57</v>
      </c>
      <c r="E2294" s="250">
        <v>2580.0210000000002</v>
      </c>
    </row>
    <row r="2295" spans="1:5" x14ac:dyDescent="0.35">
      <c r="A2295" s="1" t="s">
        <v>17943</v>
      </c>
      <c r="B2295" s="1" t="s">
        <v>23</v>
      </c>
      <c r="C2295" s="1" t="s">
        <v>11659</v>
      </c>
      <c r="D2295" s="1" t="s">
        <v>23</v>
      </c>
      <c r="E2295" s="250">
        <v>2580.0219999999999</v>
      </c>
    </row>
    <row r="2296" spans="1:5" x14ac:dyDescent="0.35">
      <c r="A2296" s="1" t="s">
        <v>17944</v>
      </c>
      <c r="B2296" s="1" t="s">
        <v>23</v>
      </c>
      <c r="C2296" s="1" t="s">
        <v>11658</v>
      </c>
      <c r="D2296" s="1" t="s">
        <v>23</v>
      </c>
      <c r="E2296" s="250">
        <v>2580.0230000000001</v>
      </c>
    </row>
    <row r="2297" spans="1:5" x14ac:dyDescent="0.35">
      <c r="A2297" s="1" t="s">
        <v>17945</v>
      </c>
      <c r="B2297" s="1" t="s">
        <v>23</v>
      </c>
      <c r="C2297" s="1" t="s">
        <v>11657</v>
      </c>
      <c r="D2297" s="1" t="s">
        <v>23</v>
      </c>
      <c r="E2297" s="250">
        <v>2580.0239999999999</v>
      </c>
    </row>
    <row r="2298" spans="1:5" x14ac:dyDescent="0.35">
      <c r="A2298" s="1" t="s">
        <v>17946</v>
      </c>
      <c r="B2298" s="1" t="s">
        <v>23</v>
      </c>
      <c r="C2298" s="1" t="s">
        <v>11656</v>
      </c>
      <c r="D2298" s="1" t="s">
        <v>23</v>
      </c>
      <c r="E2298" s="250">
        <v>2580.0250000000001</v>
      </c>
    </row>
    <row r="2299" spans="1:5" x14ac:dyDescent="0.35">
      <c r="A2299" s="1" t="s">
        <v>17947</v>
      </c>
      <c r="B2299" s="1" t="s">
        <v>19</v>
      </c>
      <c r="C2299" s="1" t="s">
        <v>11655</v>
      </c>
      <c r="D2299" s="1" t="s">
        <v>19</v>
      </c>
      <c r="E2299" s="250">
        <v>2580.0300000000002</v>
      </c>
    </row>
    <row r="2300" spans="1:5" x14ac:dyDescent="0.35">
      <c r="A2300" s="1" t="s">
        <v>17948</v>
      </c>
      <c r="B2300" s="1" t="s">
        <v>19</v>
      </c>
      <c r="C2300" s="1" t="s">
        <v>11654</v>
      </c>
      <c r="D2300" s="1" t="s">
        <v>19</v>
      </c>
      <c r="E2300" s="250">
        <v>2580.0309999999999</v>
      </c>
    </row>
    <row r="2301" spans="1:5" x14ac:dyDescent="0.35">
      <c r="A2301" s="1" t="s">
        <v>17949</v>
      </c>
      <c r="B2301" s="1" t="s">
        <v>19</v>
      </c>
      <c r="C2301" s="1" t="s">
        <v>11653</v>
      </c>
      <c r="D2301" s="1" t="s">
        <v>19</v>
      </c>
      <c r="E2301" s="250">
        <v>2580.0320000000002</v>
      </c>
    </row>
    <row r="2302" spans="1:5" x14ac:dyDescent="0.35">
      <c r="A2302" s="1" t="s">
        <v>17950</v>
      </c>
      <c r="B2302" s="1" t="s">
        <v>23</v>
      </c>
      <c r="C2302" s="1" t="s">
        <v>11652</v>
      </c>
      <c r="D2302" s="1" t="s">
        <v>23</v>
      </c>
      <c r="E2302" s="250">
        <v>2580.0360000000001</v>
      </c>
    </row>
    <row r="2303" spans="1:5" x14ac:dyDescent="0.35">
      <c r="A2303" s="1" t="s">
        <v>17951</v>
      </c>
      <c r="B2303" s="1" t="s">
        <v>23</v>
      </c>
      <c r="C2303" s="1" t="s">
        <v>11651</v>
      </c>
      <c r="D2303" s="1" t="s">
        <v>23</v>
      </c>
      <c r="E2303" s="250">
        <v>2580.0369999999998</v>
      </c>
    </row>
    <row r="2304" spans="1:5" x14ac:dyDescent="0.35">
      <c r="A2304" s="1" t="s">
        <v>17952</v>
      </c>
      <c r="B2304" s="1" t="s">
        <v>18</v>
      </c>
      <c r="C2304" s="1" t="s">
        <v>11650</v>
      </c>
      <c r="D2304" s="1" t="s">
        <v>18</v>
      </c>
      <c r="E2304" s="250">
        <v>2580.04</v>
      </c>
    </row>
    <row r="2305" spans="1:5" x14ac:dyDescent="0.35">
      <c r="A2305" s="1" t="s">
        <v>17953</v>
      </c>
      <c r="B2305" s="1" t="s">
        <v>18</v>
      </c>
      <c r="C2305" s="1" t="s">
        <v>11649</v>
      </c>
      <c r="D2305" s="1" t="s">
        <v>18</v>
      </c>
      <c r="E2305" s="250">
        <v>2580.0410000000002</v>
      </c>
    </row>
    <row r="2306" spans="1:5" x14ac:dyDescent="0.35">
      <c r="A2306" s="1" t="s">
        <v>17954</v>
      </c>
      <c r="B2306" s="1" t="s">
        <v>18</v>
      </c>
      <c r="C2306" s="1" t="s">
        <v>11648</v>
      </c>
      <c r="D2306" s="1" t="s">
        <v>18</v>
      </c>
      <c r="E2306" s="250">
        <v>2580.0500000000002</v>
      </c>
    </row>
    <row r="2307" spans="1:5" x14ac:dyDescent="0.35">
      <c r="A2307" s="1" t="s">
        <v>17955</v>
      </c>
      <c r="B2307" s="1" t="s">
        <v>18</v>
      </c>
      <c r="C2307" s="1" t="s">
        <v>11647</v>
      </c>
      <c r="D2307" s="1" t="s">
        <v>18</v>
      </c>
      <c r="E2307" s="250">
        <v>2580.0509999999999</v>
      </c>
    </row>
    <row r="2308" spans="1:5" x14ac:dyDescent="0.35">
      <c r="A2308" s="1" t="s">
        <v>17956</v>
      </c>
      <c r="B2308" s="1" t="s">
        <v>18</v>
      </c>
      <c r="C2308" s="1" t="s">
        <v>11646</v>
      </c>
      <c r="D2308" s="1" t="s">
        <v>18</v>
      </c>
      <c r="E2308" s="250">
        <v>2580.0520000000001</v>
      </c>
    </row>
    <row r="2309" spans="1:5" x14ac:dyDescent="0.35">
      <c r="A2309" s="1" t="s">
        <v>17957</v>
      </c>
      <c r="B2309" s="1" t="s">
        <v>18</v>
      </c>
      <c r="C2309" s="1" t="s">
        <v>11645</v>
      </c>
      <c r="D2309" s="1" t="s">
        <v>18</v>
      </c>
      <c r="E2309" s="250">
        <v>2580.0529999999999</v>
      </c>
    </row>
    <row r="2310" spans="1:5" x14ac:dyDescent="0.35">
      <c r="A2310" s="1" t="s">
        <v>17958</v>
      </c>
      <c r="B2310" s="1" t="s">
        <v>18</v>
      </c>
      <c r="C2310" s="1" t="s">
        <v>11644</v>
      </c>
      <c r="D2310" s="1" t="s">
        <v>18</v>
      </c>
      <c r="E2310" s="250">
        <v>2580.06</v>
      </c>
    </row>
    <row r="2311" spans="1:5" x14ac:dyDescent="0.35">
      <c r="A2311" s="1" t="s">
        <v>17959</v>
      </c>
      <c r="B2311" s="1" t="s">
        <v>18</v>
      </c>
      <c r="C2311" s="1" t="s">
        <v>11643</v>
      </c>
      <c r="D2311" s="1" t="s">
        <v>18</v>
      </c>
      <c r="E2311" s="250">
        <v>2580.0610000000001</v>
      </c>
    </row>
    <row r="2312" spans="1:5" x14ac:dyDescent="0.35">
      <c r="A2312" s="1" t="s">
        <v>17960</v>
      </c>
      <c r="B2312" s="1" t="s">
        <v>18</v>
      </c>
      <c r="C2312" s="1" t="s">
        <v>11642</v>
      </c>
      <c r="D2312" s="1" t="s">
        <v>18</v>
      </c>
      <c r="E2312" s="250">
        <v>2580.0619999999999</v>
      </c>
    </row>
    <row r="2313" spans="1:5" x14ac:dyDescent="0.35">
      <c r="A2313" s="1" t="s">
        <v>17961</v>
      </c>
      <c r="B2313" s="1" t="s">
        <v>18</v>
      </c>
      <c r="C2313" s="1" t="s">
        <v>11641</v>
      </c>
      <c r="D2313" s="1" t="s">
        <v>18</v>
      </c>
      <c r="E2313" s="250">
        <v>2580.0630000000001</v>
      </c>
    </row>
    <row r="2314" spans="1:5" x14ac:dyDescent="0.35">
      <c r="A2314" s="1" t="s">
        <v>17962</v>
      </c>
      <c r="B2314" s="1" t="s">
        <v>18</v>
      </c>
      <c r="C2314" s="1" t="s">
        <v>11640</v>
      </c>
      <c r="D2314" s="1" t="s">
        <v>18</v>
      </c>
      <c r="E2314" s="250">
        <v>2580.0639999999999</v>
      </c>
    </row>
    <row r="2315" spans="1:5" x14ac:dyDescent="0.35">
      <c r="A2315" s="1" t="s">
        <v>17963</v>
      </c>
      <c r="B2315" s="1" t="s">
        <v>18</v>
      </c>
      <c r="C2315" s="1" t="s">
        <v>11639</v>
      </c>
      <c r="D2315" s="1" t="s">
        <v>18</v>
      </c>
      <c r="E2315" s="250">
        <v>2580.0650000000001</v>
      </c>
    </row>
    <row r="2316" spans="1:5" x14ac:dyDescent="0.35">
      <c r="A2316" s="1" t="s">
        <v>17964</v>
      </c>
      <c r="B2316" s="1" t="s">
        <v>18</v>
      </c>
      <c r="C2316" s="1" t="s">
        <v>11638</v>
      </c>
      <c r="D2316" s="1" t="s">
        <v>18</v>
      </c>
      <c r="E2316" s="250">
        <v>2580.0659999999998</v>
      </c>
    </row>
    <row r="2317" spans="1:5" x14ac:dyDescent="0.35">
      <c r="A2317" s="1" t="s">
        <v>17965</v>
      </c>
      <c r="B2317" s="1" t="s">
        <v>18</v>
      </c>
      <c r="C2317" s="1" t="s">
        <v>11637</v>
      </c>
      <c r="D2317" s="1" t="s">
        <v>18</v>
      </c>
      <c r="E2317" s="250">
        <v>2580.067</v>
      </c>
    </row>
    <row r="2318" spans="1:5" x14ac:dyDescent="0.35">
      <c r="A2318" s="1" t="s">
        <v>17966</v>
      </c>
      <c r="B2318" s="1" t="s">
        <v>18</v>
      </c>
      <c r="C2318" s="1" t="s">
        <v>11636</v>
      </c>
      <c r="D2318" s="1" t="s">
        <v>18</v>
      </c>
      <c r="E2318" s="250">
        <v>2580.0680000000002</v>
      </c>
    </row>
    <row r="2319" spans="1:5" x14ac:dyDescent="0.35">
      <c r="A2319" s="1" t="s">
        <v>17967</v>
      </c>
      <c r="B2319" s="1" t="s">
        <v>18</v>
      </c>
      <c r="C2319" s="1" t="s">
        <v>11635</v>
      </c>
      <c r="D2319" s="1" t="s">
        <v>18</v>
      </c>
      <c r="E2319" s="250">
        <v>2580.069</v>
      </c>
    </row>
    <row r="2320" spans="1:5" x14ac:dyDescent="0.35">
      <c r="A2320" s="1" t="s">
        <v>17968</v>
      </c>
      <c r="B2320" s="1" t="s">
        <v>18</v>
      </c>
      <c r="C2320" s="1" t="s">
        <v>11634</v>
      </c>
      <c r="D2320" s="1" t="s">
        <v>18</v>
      </c>
      <c r="E2320" s="250">
        <v>2580.1</v>
      </c>
    </row>
    <row r="2321" spans="1:5" x14ac:dyDescent="0.35">
      <c r="A2321" s="1" t="s">
        <v>17969</v>
      </c>
      <c r="B2321" s="1" t="s">
        <v>18</v>
      </c>
      <c r="C2321" s="1" t="s">
        <v>11633</v>
      </c>
      <c r="D2321" s="1" t="s">
        <v>18</v>
      </c>
      <c r="E2321" s="250">
        <v>2580.1109999999999</v>
      </c>
    </row>
    <row r="2322" spans="1:5" x14ac:dyDescent="0.35">
      <c r="A2322" s="1" t="s">
        <v>17970</v>
      </c>
      <c r="B2322" s="1" t="s">
        <v>18</v>
      </c>
      <c r="C2322" s="1" t="s">
        <v>11632</v>
      </c>
      <c r="D2322" s="1" t="s">
        <v>18</v>
      </c>
      <c r="E2322" s="250">
        <v>2580.1120000000001</v>
      </c>
    </row>
    <row r="2323" spans="1:5" x14ac:dyDescent="0.35">
      <c r="A2323" s="1" t="s">
        <v>17971</v>
      </c>
      <c r="B2323" s="1" t="s">
        <v>18</v>
      </c>
      <c r="C2323" s="1" t="s">
        <v>11631</v>
      </c>
      <c r="D2323" s="1" t="s">
        <v>18</v>
      </c>
      <c r="E2323" s="250">
        <v>2580.1129999999998</v>
      </c>
    </row>
    <row r="2324" spans="1:5" x14ac:dyDescent="0.35">
      <c r="A2324" s="1" t="s">
        <v>17972</v>
      </c>
      <c r="B2324" s="1" t="s">
        <v>18</v>
      </c>
      <c r="C2324" s="1" t="s">
        <v>11630</v>
      </c>
      <c r="D2324" s="1" t="s">
        <v>18</v>
      </c>
      <c r="E2324" s="250">
        <v>2580.114</v>
      </c>
    </row>
    <row r="2325" spans="1:5" x14ac:dyDescent="0.35">
      <c r="A2325" s="1" t="s">
        <v>17973</v>
      </c>
      <c r="B2325" s="1" t="s">
        <v>18</v>
      </c>
      <c r="C2325" s="1" t="s">
        <v>11629</v>
      </c>
      <c r="D2325" s="1" t="s">
        <v>18</v>
      </c>
      <c r="E2325" s="250">
        <v>2580.1149999999998</v>
      </c>
    </row>
    <row r="2326" spans="1:5" x14ac:dyDescent="0.35">
      <c r="A2326" s="1" t="s">
        <v>17974</v>
      </c>
      <c r="B2326" s="1" t="s">
        <v>18</v>
      </c>
      <c r="C2326" s="1" t="s">
        <v>11628</v>
      </c>
      <c r="D2326" s="1" t="s">
        <v>18</v>
      </c>
      <c r="E2326" s="250">
        <v>2580.116</v>
      </c>
    </row>
    <row r="2327" spans="1:5" x14ac:dyDescent="0.35">
      <c r="A2327" s="1" t="s">
        <v>17975</v>
      </c>
      <c r="B2327" s="1" t="s">
        <v>18</v>
      </c>
      <c r="C2327" s="1" t="s">
        <v>11627</v>
      </c>
      <c r="D2327" s="1" t="s">
        <v>18</v>
      </c>
      <c r="E2327" s="250">
        <v>2580.1170000000002</v>
      </c>
    </row>
    <row r="2328" spans="1:5" x14ac:dyDescent="0.35">
      <c r="A2328" s="1" t="s">
        <v>17976</v>
      </c>
      <c r="B2328" s="1" t="s">
        <v>18</v>
      </c>
      <c r="C2328" s="1" t="s">
        <v>11626</v>
      </c>
      <c r="D2328" s="1" t="s">
        <v>18</v>
      </c>
      <c r="E2328" s="250">
        <v>2580.1179999999999</v>
      </c>
    </row>
    <row r="2329" spans="1:5" x14ac:dyDescent="0.35">
      <c r="A2329" s="1" t="s">
        <v>17977</v>
      </c>
      <c r="B2329" s="1" t="s">
        <v>18</v>
      </c>
      <c r="C2329" s="1" t="s">
        <v>11625</v>
      </c>
      <c r="D2329" s="1" t="s">
        <v>18</v>
      </c>
      <c r="E2329" s="250">
        <v>2580.1210000000001</v>
      </c>
    </row>
    <row r="2330" spans="1:5" x14ac:dyDescent="0.35">
      <c r="A2330" s="1" t="s">
        <v>17978</v>
      </c>
      <c r="B2330" s="1" t="s">
        <v>18</v>
      </c>
      <c r="C2330" s="1" t="s">
        <v>11624</v>
      </c>
      <c r="D2330" s="1" t="s">
        <v>18</v>
      </c>
      <c r="E2330" s="250">
        <v>2580.1219999999998</v>
      </c>
    </row>
    <row r="2331" spans="1:5" x14ac:dyDescent="0.35">
      <c r="A2331" s="1" t="s">
        <v>17979</v>
      </c>
      <c r="B2331" s="1" t="s">
        <v>18</v>
      </c>
      <c r="C2331" s="1" t="s">
        <v>11623</v>
      </c>
      <c r="D2331" s="1" t="s">
        <v>18</v>
      </c>
      <c r="E2331" s="250">
        <v>2580.123</v>
      </c>
    </row>
    <row r="2332" spans="1:5" x14ac:dyDescent="0.35">
      <c r="A2332" s="1" t="s">
        <v>17980</v>
      </c>
      <c r="B2332" s="1" t="s">
        <v>18</v>
      </c>
      <c r="C2332" s="1" t="s">
        <v>11622</v>
      </c>
      <c r="D2332" s="1" t="s">
        <v>18</v>
      </c>
      <c r="E2332" s="250">
        <v>2580.1239999999998</v>
      </c>
    </row>
    <row r="2333" spans="1:5" x14ac:dyDescent="0.35">
      <c r="A2333" s="1" t="s">
        <v>17981</v>
      </c>
      <c r="B2333" s="1" t="s">
        <v>18</v>
      </c>
      <c r="C2333" s="1" t="s">
        <v>11621</v>
      </c>
      <c r="D2333" s="1" t="s">
        <v>18</v>
      </c>
      <c r="E2333" s="250">
        <v>2580.125</v>
      </c>
    </row>
    <row r="2334" spans="1:5" x14ac:dyDescent="0.35">
      <c r="A2334" s="1" t="s">
        <v>17982</v>
      </c>
      <c r="B2334" s="1" t="s">
        <v>18</v>
      </c>
      <c r="C2334" s="1" t="s">
        <v>11620</v>
      </c>
      <c r="D2334" s="1" t="s">
        <v>18</v>
      </c>
      <c r="E2334" s="250">
        <v>2580.1260000000002</v>
      </c>
    </row>
    <row r="2335" spans="1:5" x14ac:dyDescent="0.35">
      <c r="A2335" s="1" t="s">
        <v>17983</v>
      </c>
      <c r="B2335" s="1" t="s">
        <v>18</v>
      </c>
      <c r="C2335" s="1" t="s">
        <v>11619</v>
      </c>
      <c r="D2335" s="1" t="s">
        <v>18</v>
      </c>
      <c r="E2335" s="250">
        <v>2580.127</v>
      </c>
    </row>
    <row r="2336" spans="1:5" x14ac:dyDescent="0.35">
      <c r="A2336" s="1" t="s">
        <v>17984</v>
      </c>
      <c r="B2336" s="1" t="s">
        <v>18</v>
      </c>
      <c r="C2336" s="1" t="s">
        <v>11618</v>
      </c>
      <c r="D2336" s="1" t="s">
        <v>18</v>
      </c>
      <c r="E2336" s="250">
        <v>2580.1280000000002</v>
      </c>
    </row>
    <row r="2337" spans="1:5" x14ac:dyDescent="0.35">
      <c r="A2337" s="1" t="s">
        <v>17985</v>
      </c>
      <c r="B2337" s="1" t="s">
        <v>18</v>
      </c>
      <c r="C2337" s="1" t="s">
        <v>11617</v>
      </c>
      <c r="D2337" s="1" t="s">
        <v>18</v>
      </c>
      <c r="E2337" s="250">
        <v>2580.1309999999999</v>
      </c>
    </row>
    <row r="2338" spans="1:5" x14ac:dyDescent="0.35">
      <c r="A2338" s="1" t="s">
        <v>17986</v>
      </c>
      <c r="B2338" s="1" t="s">
        <v>18</v>
      </c>
      <c r="C2338" s="1" t="s">
        <v>11616</v>
      </c>
      <c r="D2338" s="1" t="s">
        <v>18</v>
      </c>
      <c r="E2338" s="250">
        <v>2580.1320000000001</v>
      </c>
    </row>
    <row r="2339" spans="1:5" x14ac:dyDescent="0.35">
      <c r="A2339" s="1" t="s">
        <v>17987</v>
      </c>
      <c r="B2339" s="1" t="s">
        <v>18</v>
      </c>
      <c r="C2339" s="1" t="s">
        <v>11615</v>
      </c>
      <c r="D2339" s="1" t="s">
        <v>18</v>
      </c>
      <c r="E2339" s="250">
        <v>2580.1329999999998</v>
      </c>
    </row>
    <row r="2340" spans="1:5" x14ac:dyDescent="0.35">
      <c r="A2340" s="1" t="s">
        <v>17988</v>
      </c>
      <c r="B2340" s="1" t="s">
        <v>18</v>
      </c>
      <c r="C2340" s="1" t="s">
        <v>11614</v>
      </c>
      <c r="D2340" s="1" t="s">
        <v>18</v>
      </c>
      <c r="E2340" s="250">
        <v>2580.134</v>
      </c>
    </row>
    <row r="2341" spans="1:5" x14ac:dyDescent="0.35">
      <c r="A2341" s="1" t="s">
        <v>17989</v>
      </c>
      <c r="B2341" s="1" t="s">
        <v>18</v>
      </c>
      <c r="C2341" s="1" t="s">
        <v>11613</v>
      </c>
      <c r="D2341" s="1" t="s">
        <v>18</v>
      </c>
      <c r="E2341" s="250">
        <v>2580.1350000000002</v>
      </c>
    </row>
    <row r="2342" spans="1:5" x14ac:dyDescent="0.35">
      <c r="A2342" s="1" t="s">
        <v>17990</v>
      </c>
      <c r="B2342" s="1" t="s">
        <v>18</v>
      </c>
      <c r="C2342" s="1" t="s">
        <v>11612</v>
      </c>
      <c r="D2342" s="1" t="s">
        <v>18</v>
      </c>
      <c r="E2342" s="250">
        <v>2580.136</v>
      </c>
    </row>
    <row r="2343" spans="1:5" x14ac:dyDescent="0.35">
      <c r="A2343" s="1" t="s">
        <v>17991</v>
      </c>
      <c r="B2343" s="1" t="s">
        <v>18</v>
      </c>
      <c r="C2343" s="1" t="s">
        <v>11611</v>
      </c>
      <c r="D2343" s="1" t="s">
        <v>18</v>
      </c>
      <c r="E2343" s="250">
        <v>2580.1370000000002</v>
      </c>
    </row>
    <row r="2344" spans="1:5" x14ac:dyDescent="0.35">
      <c r="A2344" s="1" t="s">
        <v>17992</v>
      </c>
      <c r="B2344" s="1" t="s">
        <v>18</v>
      </c>
      <c r="C2344" s="1" t="s">
        <v>11610</v>
      </c>
      <c r="D2344" s="1" t="s">
        <v>18</v>
      </c>
      <c r="E2344" s="250">
        <v>2580.1379999999999</v>
      </c>
    </row>
    <row r="2345" spans="1:5" x14ac:dyDescent="0.35">
      <c r="A2345" s="1" t="s">
        <v>17993</v>
      </c>
      <c r="B2345" s="1" t="s">
        <v>18</v>
      </c>
      <c r="C2345" s="1" t="s">
        <v>11609</v>
      </c>
      <c r="D2345" s="1" t="s">
        <v>18</v>
      </c>
      <c r="E2345" s="250">
        <v>2580.1390000000001</v>
      </c>
    </row>
    <row r="2346" spans="1:5" x14ac:dyDescent="0.35">
      <c r="A2346" s="1" t="s">
        <v>17994</v>
      </c>
      <c r="B2346" s="1" t="s">
        <v>18</v>
      </c>
      <c r="C2346" s="1" t="s">
        <v>11608</v>
      </c>
      <c r="D2346" s="1" t="s">
        <v>18</v>
      </c>
      <c r="E2346" s="250">
        <v>2580.14</v>
      </c>
    </row>
    <row r="2347" spans="1:5" x14ac:dyDescent="0.35">
      <c r="A2347" s="1" t="s">
        <v>17995</v>
      </c>
      <c r="B2347" s="1" t="s">
        <v>18</v>
      </c>
      <c r="C2347" s="1" t="s">
        <v>11607</v>
      </c>
      <c r="D2347" s="1" t="s">
        <v>18</v>
      </c>
      <c r="E2347" s="250">
        <v>2580.1410000000001</v>
      </c>
    </row>
    <row r="2348" spans="1:5" x14ac:dyDescent="0.35">
      <c r="A2348" s="1" t="s">
        <v>17996</v>
      </c>
      <c r="B2348" s="1" t="s">
        <v>18</v>
      </c>
      <c r="C2348" s="1" t="s">
        <v>11606</v>
      </c>
      <c r="D2348" s="1" t="s">
        <v>18</v>
      </c>
      <c r="E2348" s="250">
        <v>2580.1419999999998</v>
      </c>
    </row>
    <row r="2349" spans="1:5" x14ac:dyDescent="0.35">
      <c r="A2349" s="1" t="s">
        <v>17997</v>
      </c>
      <c r="B2349" s="1" t="s">
        <v>18</v>
      </c>
      <c r="C2349" s="1" t="s">
        <v>11605</v>
      </c>
      <c r="D2349" s="1" t="s">
        <v>18</v>
      </c>
      <c r="E2349" s="250">
        <v>2580.143</v>
      </c>
    </row>
    <row r="2350" spans="1:5" x14ac:dyDescent="0.35">
      <c r="A2350" s="1" t="s">
        <v>17998</v>
      </c>
      <c r="B2350" s="1" t="s">
        <v>18</v>
      </c>
      <c r="C2350" s="1" t="s">
        <v>11604</v>
      </c>
      <c r="D2350" s="1" t="s">
        <v>18</v>
      </c>
      <c r="E2350" s="250">
        <v>2580.1439999999998</v>
      </c>
    </row>
    <row r="2351" spans="1:5" x14ac:dyDescent="0.35">
      <c r="A2351" s="1" t="s">
        <v>17999</v>
      </c>
      <c r="B2351" s="1" t="s">
        <v>18</v>
      </c>
      <c r="C2351" s="1" t="s">
        <v>11603</v>
      </c>
      <c r="D2351" s="1" t="s">
        <v>18</v>
      </c>
      <c r="E2351" s="250">
        <v>2580.145</v>
      </c>
    </row>
    <row r="2352" spans="1:5" x14ac:dyDescent="0.35">
      <c r="A2352" s="1" t="s">
        <v>18000</v>
      </c>
      <c r="B2352" s="1" t="s">
        <v>18</v>
      </c>
      <c r="C2352" s="1" t="s">
        <v>11602</v>
      </c>
      <c r="D2352" s="1" t="s">
        <v>18</v>
      </c>
      <c r="E2352" s="250">
        <v>2580.1460000000002</v>
      </c>
    </row>
    <row r="2353" spans="1:5" x14ac:dyDescent="0.35">
      <c r="A2353" s="1" t="s">
        <v>18001</v>
      </c>
      <c r="B2353" s="1" t="s">
        <v>18</v>
      </c>
      <c r="C2353" s="1" t="s">
        <v>11601</v>
      </c>
      <c r="D2353" s="1" t="s">
        <v>18</v>
      </c>
      <c r="E2353" s="250">
        <v>2580.1469999999999</v>
      </c>
    </row>
    <row r="2354" spans="1:5" x14ac:dyDescent="0.35">
      <c r="A2354" s="1" t="s">
        <v>18002</v>
      </c>
      <c r="B2354" s="1" t="s">
        <v>18</v>
      </c>
      <c r="C2354" s="1" t="s">
        <v>11600</v>
      </c>
      <c r="D2354" s="1" t="s">
        <v>18</v>
      </c>
      <c r="E2354" s="250">
        <v>2580.15</v>
      </c>
    </row>
    <row r="2355" spans="1:5" x14ac:dyDescent="0.35">
      <c r="A2355" s="1" t="s">
        <v>18003</v>
      </c>
      <c r="B2355" s="1" t="s">
        <v>18</v>
      </c>
      <c r="C2355" s="1" t="s">
        <v>11599</v>
      </c>
      <c r="D2355" s="1" t="s">
        <v>18</v>
      </c>
      <c r="E2355" s="250">
        <v>2580.1610000000001</v>
      </c>
    </row>
    <row r="2356" spans="1:5" x14ac:dyDescent="0.35">
      <c r="A2356" s="1" t="s">
        <v>18004</v>
      </c>
      <c r="B2356" s="1" t="s">
        <v>18</v>
      </c>
      <c r="C2356" s="1" t="s">
        <v>11598</v>
      </c>
      <c r="D2356" s="1" t="s">
        <v>18</v>
      </c>
      <c r="E2356" s="250">
        <v>2580.1619999999998</v>
      </c>
    </row>
    <row r="2357" spans="1:5" x14ac:dyDescent="0.35">
      <c r="A2357" s="1" t="s">
        <v>18005</v>
      </c>
      <c r="B2357" s="1" t="s">
        <v>18</v>
      </c>
      <c r="C2357" s="1" t="s">
        <v>11597</v>
      </c>
      <c r="D2357" s="1" t="s">
        <v>18</v>
      </c>
      <c r="E2357" s="250">
        <v>2580.163</v>
      </c>
    </row>
    <row r="2358" spans="1:5" x14ac:dyDescent="0.35">
      <c r="A2358" s="1" t="s">
        <v>18006</v>
      </c>
      <c r="B2358" s="1" t="s">
        <v>23</v>
      </c>
      <c r="C2358" s="1" t="s">
        <v>11596</v>
      </c>
      <c r="D2358" s="1" t="s">
        <v>23</v>
      </c>
      <c r="E2358" s="250">
        <v>2580.201</v>
      </c>
    </row>
    <row r="2359" spans="1:5" x14ac:dyDescent="0.35">
      <c r="A2359" s="1" t="s">
        <v>18007</v>
      </c>
      <c r="B2359" s="1" t="s">
        <v>23</v>
      </c>
      <c r="C2359" s="1" t="s">
        <v>11595</v>
      </c>
      <c r="D2359" s="1" t="s">
        <v>23</v>
      </c>
      <c r="E2359" s="250">
        <v>2580.2020000000002</v>
      </c>
    </row>
    <row r="2360" spans="1:5" x14ac:dyDescent="0.35">
      <c r="A2360" s="1" t="s">
        <v>18008</v>
      </c>
      <c r="B2360" s="1" t="s">
        <v>23</v>
      </c>
      <c r="C2360" s="1" t="s">
        <v>11594</v>
      </c>
      <c r="D2360" s="1" t="s">
        <v>23</v>
      </c>
      <c r="E2360" s="250">
        <v>2580.203</v>
      </c>
    </row>
    <row r="2361" spans="1:5" x14ac:dyDescent="0.35">
      <c r="A2361" s="1" t="s">
        <v>18009</v>
      </c>
      <c r="B2361" s="1" t="s">
        <v>23</v>
      </c>
      <c r="C2361" s="1" t="s">
        <v>11593</v>
      </c>
      <c r="D2361" s="1" t="s">
        <v>23</v>
      </c>
      <c r="E2361" s="250">
        <v>2580.2040000000002</v>
      </c>
    </row>
    <row r="2362" spans="1:5" x14ac:dyDescent="0.35">
      <c r="A2362" s="1" t="s">
        <v>18010</v>
      </c>
      <c r="B2362" s="1" t="s">
        <v>23</v>
      </c>
      <c r="C2362" s="1" t="s">
        <v>11592</v>
      </c>
      <c r="D2362" s="1" t="s">
        <v>23</v>
      </c>
      <c r="E2362" s="250">
        <v>2580.2049999999999</v>
      </c>
    </row>
    <row r="2363" spans="1:5" x14ac:dyDescent="0.35">
      <c r="A2363" s="1" t="s">
        <v>18011</v>
      </c>
      <c r="B2363" s="1" t="s">
        <v>23</v>
      </c>
      <c r="C2363" s="1" t="s">
        <v>11591</v>
      </c>
      <c r="D2363" s="1" t="s">
        <v>23</v>
      </c>
      <c r="E2363" s="250">
        <v>2580.2060000000001</v>
      </c>
    </row>
    <row r="2364" spans="1:5" x14ac:dyDescent="0.35">
      <c r="A2364" s="1" t="s">
        <v>18012</v>
      </c>
      <c r="B2364" s="1" t="s">
        <v>23</v>
      </c>
      <c r="C2364" s="1" t="s">
        <v>11590</v>
      </c>
      <c r="D2364" s="1" t="s">
        <v>23</v>
      </c>
      <c r="E2364" s="250">
        <v>2580.2069999999999</v>
      </c>
    </row>
    <row r="2365" spans="1:5" x14ac:dyDescent="0.35">
      <c r="A2365" s="1" t="s">
        <v>18013</v>
      </c>
      <c r="B2365" s="1" t="s">
        <v>23</v>
      </c>
      <c r="C2365" s="1" t="s">
        <v>11589</v>
      </c>
      <c r="D2365" s="1" t="s">
        <v>23</v>
      </c>
      <c r="E2365" s="250">
        <v>2580.2080000000001</v>
      </c>
    </row>
    <row r="2366" spans="1:5" x14ac:dyDescent="0.35">
      <c r="A2366" s="1" t="s">
        <v>18014</v>
      </c>
      <c r="B2366" s="1" t="s">
        <v>23</v>
      </c>
      <c r="C2366" s="1" t="s">
        <v>11588</v>
      </c>
      <c r="D2366" s="1" t="s">
        <v>23</v>
      </c>
      <c r="E2366" s="250">
        <v>2580.2089999999998</v>
      </c>
    </row>
    <row r="2367" spans="1:5" x14ac:dyDescent="0.35">
      <c r="A2367" s="1" t="s">
        <v>18015</v>
      </c>
      <c r="B2367" s="1" t="s">
        <v>23</v>
      </c>
      <c r="C2367" s="1" t="s">
        <v>11587</v>
      </c>
      <c r="D2367" s="1" t="s">
        <v>23</v>
      </c>
      <c r="E2367" s="250">
        <v>2580.21</v>
      </c>
    </row>
    <row r="2368" spans="1:5" x14ac:dyDescent="0.35">
      <c r="A2368" s="1" t="s">
        <v>18016</v>
      </c>
      <c r="B2368" s="1" t="s">
        <v>23</v>
      </c>
      <c r="C2368" s="1" t="s">
        <v>11586</v>
      </c>
      <c r="D2368" s="1" t="s">
        <v>23</v>
      </c>
      <c r="E2368" s="250">
        <v>2580.2109999999998</v>
      </c>
    </row>
    <row r="2369" spans="1:5" x14ac:dyDescent="0.35">
      <c r="A2369" s="1" t="s">
        <v>18017</v>
      </c>
      <c r="B2369" s="1" t="s">
        <v>23</v>
      </c>
      <c r="C2369" s="1" t="s">
        <v>11585</v>
      </c>
      <c r="D2369" s="1" t="s">
        <v>23</v>
      </c>
      <c r="E2369" s="250">
        <v>2580.212</v>
      </c>
    </row>
    <row r="2370" spans="1:5" x14ac:dyDescent="0.35">
      <c r="A2370" s="1" t="s">
        <v>18018</v>
      </c>
      <c r="B2370" s="1" t="s">
        <v>23</v>
      </c>
      <c r="C2370" s="1" t="s">
        <v>11584</v>
      </c>
      <c r="D2370" s="1" t="s">
        <v>23</v>
      </c>
      <c r="E2370" s="250">
        <v>2580.2130000000002</v>
      </c>
    </row>
    <row r="2371" spans="1:5" x14ac:dyDescent="0.35">
      <c r="A2371" s="1" t="s">
        <v>18019</v>
      </c>
      <c r="B2371" s="1" t="s">
        <v>23</v>
      </c>
      <c r="C2371" s="1" t="s">
        <v>11583</v>
      </c>
      <c r="D2371" s="1" t="s">
        <v>23</v>
      </c>
      <c r="E2371" s="250">
        <v>2580.2139999999999</v>
      </c>
    </row>
    <row r="2372" spans="1:5" x14ac:dyDescent="0.35">
      <c r="A2372" s="1" t="s">
        <v>18020</v>
      </c>
      <c r="B2372" s="1" t="s">
        <v>23</v>
      </c>
      <c r="C2372" s="1" t="s">
        <v>11582</v>
      </c>
      <c r="D2372" s="1" t="s">
        <v>23</v>
      </c>
      <c r="E2372" s="250">
        <v>2580.2150000000001</v>
      </c>
    </row>
    <row r="2373" spans="1:5" x14ac:dyDescent="0.35">
      <c r="A2373" s="1" t="s">
        <v>18021</v>
      </c>
      <c r="B2373" s="1" t="s">
        <v>23</v>
      </c>
      <c r="C2373" s="1" t="s">
        <v>11581</v>
      </c>
      <c r="D2373" s="1" t="s">
        <v>23</v>
      </c>
      <c r="E2373" s="250">
        <v>2580.2159999999999</v>
      </c>
    </row>
    <row r="2374" spans="1:5" x14ac:dyDescent="0.35">
      <c r="A2374" s="1" t="s">
        <v>18022</v>
      </c>
      <c r="B2374" s="1" t="s">
        <v>23</v>
      </c>
      <c r="C2374" s="1" t="s">
        <v>11580</v>
      </c>
      <c r="D2374" s="1" t="s">
        <v>23</v>
      </c>
      <c r="E2374" s="250">
        <v>2580.2170000000001</v>
      </c>
    </row>
    <row r="2375" spans="1:5" x14ac:dyDescent="0.35">
      <c r="A2375" s="1" t="s">
        <v>18023</v>
      </c>
      <c r="B2375" s="1" t="s">
        <v>23</v>
      </c>
      <c r="C2375" s="1" t="s">
        <v>11579</v>
      </c>
      <c r="D2375" s="1" t="s">
        <v>23</v>
      </c>
      <c r="E2375" s="250">
        <v>2580.2179999999998</v>
      </c>
    </row>
    <row r="2376" spans="1:5" x14ac:dyDescent="0.35">
      <c r="A2376" s="1" t="s">
        <v>18024</v>
      </c>
      <c r="B2376" s="1" t="s">
        <v>23</v>
      </c>
      <c r="C2376" s="1" t="s">
        <v>11578</v>
      </c>
      <c r="D2376" s="1" t="s">
        <v>23</v>
      </c>
      <c r="E2376" s="250">
        <v>2580.2190000000001</v>
      </c>
    </row>
    <row r="2377" spans="1:5" x14ac:dyDescent="0.35">
      <c r="A2377" s="1" t="s">
        <v>18025</v>
      </c>
      <c r="B2377" s="1" t="s">
        <v>23</v>
      </c>
      <c r="C2377" s="1" t="s">
        <v>11577</v>
      </c>
      <c r="D2377" s="1" t="s">
        <v>23</v>
      </c>
      <c r="E2377" s="250">
        <v>2580.2199999999998</v>
      </c>
    </row>
    <row r="2378" spans="1:5" x14ac:dyDescent="0.35">
      <c r="A2378" s="1" t="s">
        <v>18026</v>
      </c>
      <c r="B2378" s="1" t="s">
        <v>23</v>
      </c>
      <c r="C2378" s="1" t="s">
        <v>11576</v>
      </c>
      <c r="D2378" s="1" t="s">
        <v>23</v>
      </c>
      <c r="E2378" s="250">
        <v>2580.221</v>
      </c>
    </row>
    <row r="2379" spans="1:5" x14ac:dyDescent="0.35">
      <c r="A2379" s="1" t="s">
        <v>18027</v>
      </c>
      <c r="B2379" s="1" t="s">
        <v>23</v>
      </c>
      <c r="C2379" s="1" t="s">
        <v>11575</v>
      </c>
      <c r="D2379" s="1" t="s">
        <v>23</v>
      </c>
      <c r="E2379" s="250">
        <v>2580.2220000000002</v>
      </c>
    </row>
    <row r="2380" spans="1:5" x14ac:dyDescent="0.35">
      <c r="A2380" s="1" t="s">
        <v>18028</v>
      </c>
      <c r="B2380" s="1" t="s">
        <v>23</v>
      </c>
      <c r="C2380" s="1" t="s">
        <v>11574</v>
      </c>
      <c r="D2380" s="1" t="s">
        <v>23</v>
      </c>
      <c r="E2380" s="250">
        <v>2580.223</v>
      </c>
    </row>
    <row r="2381" spans="1:5" x14ac:dyDescent="0.35">
      <c r="A2381" s="1" t="s">
        <v>18029</v>
      </c>
      <c r="B2381" s="1" t="s">
        <v>23</v>
      </c>
      <c r="C2381" s="1" t="s">
        <v>11573</v>
      </c>
      <c r="D2381" s="1" t="s">
        <v>23</v>
      </c>
      <c r="E2381" s="250">
        <v>2580.2240000000002</v>
      </c>
    </row>
    <row r="2382" spans="1:5" x14ac:dyDescent="0.35">
      <c r="A2382" s="1" t="s">
        <v>18030</v>
      </c>
      <c r="B2382" s="1" t="s">
        <v>23</v>
      </c>
      <c r="C2382" s="1" t="s">
        <v>11572</v>
      </c>
      <c r="D2382" s="1" t="s">
        <v>23</v>
      </c>
      <c r="E2382" s="250">
        <v>2580.2249999999999</v>
      </c>
    </row>
    <row r="2383" spans="1:5" x14ac:dyDescent="0.35">
      <c r="A2383" s="1" t="s">
        <v>18031</v>
      </c>
      <c r="B2383" s="1" t="s">
        <v>23</v>
      </c>
      <c r="C2383" s="1" t="s">
        <v>11571</v>
      </c>
      <c r="D2383" s="1" t="s">
        <v>23</v>
      </c>
      <c r="E2383" s="250">
        <v>2580.2260000000001</v>
      </c>
    </row>
    <row r="2384" spans="1:5" x14ac:dyDescent="0.35">
      <c r="A2384" s="1" t="s">
        <v>18032</v>
      </c>
      <c r="B2384" s="1" t="s">
        <v>23</v>
      </c>
      <c r="C2384" s="1" t="s">
        <v>11570</v>
      </c>
      <c r="D2384" s="1" t="s">
        <v>23</v>
      </c>
      <c r="E2384" s="250">
        <v>2580.2269999999999</v>
      </c>
    </row>
    <row r="2385" spans="1:5" x14ac:dyDescent="0.35">
      <c r="A2385" s="1" t="s">
        <v>18033</v>
      </c>
      <c r="B2385" s="1" t="s">
        <v>23</v>
      </c>
      <c r="C2385" s="1" t="s">
        <v>11569</v>
      </c>
      <c r="D2385" s="1" t="s">
        <v>23</v>
      </c>
      <c r="E2385" s="250">
        <v>2580.2280000000001</v>
      </c>
    </row>
    <row r="2386" spans="1:5" x14ac:dyDescent="0.35">
      <c r="A2386" s="1" t="s">
        <v>18034</v>
      </c>
      <c r="B2386" s="1" t="s">
        <v>20</v>
      </c>
      <c r="C2386" s="1" t="s">
        <v>11568</v>
      </c>
      <c r="D2386" s="1" t="s">
        <v>20</v>
      </c>
      <c r="E2386" s="250">
        <v>2580.2399999999998</v>
      </c>
    </row>
    <row r="2387" spans="1:5" x14ac:dyDescent="0.35">
      <c r="A2387" s="1" t="s">
        <v>18035</v>
      </c>
      <c r="B2387" s="1" t="s">
        <v>20</v>
      </c>
      <c r="C2387" s="1" t="s">
        <v>10136</v>
      </c>
      <c r="D2387" s="1" t="s">
        <v>20</v>
      </c>
      <c r="E2387" s="250">
        <v>2580.241</v>
      </c>
    </row>
    <row r="2388" spans="1:5" x14ac:dyDescent="0.35">
      <c r="A2388" s="1" t="s">
        <v>18036</v>
      </c>
      <c r="B2388" s="1" t="s">
        <v>42</v>
      </c>
      <c r="C2388" s="1" t="s">
        <v>11567</v>
      </c>
      <c r="D2388" s="1" t="s">
        <v>42</v>
      </c>
      <c r="E2388" s="250">
        <v>2580.25</v>
      </c>
    </row>
    <row r="2389" spans="1:5" x14ac:dyDescent="0.35">
      <c r="A2389" s="1" t="s">
        <v>18037</v>
      </c>
      <c r="B2389" s="1" t="s">
        <v>23</v>
      </c>
      <c r="C2389" s="1" t="s">
        <v>11566</v>
      </c>
      <c r="D2389" s="1" t="s">
        <v>23</v>
      </c>
      <c r="E2389" s="250">
        <v>2580.2510000000002</v>
      </c>
    </row>
    <row r="2390" spans="1:5" x14ac:dyDescent="0.35">
      <c r="A2390" s="1" t="s">
        <v>18038</v>
      </c>
      <c r="B2390" s="1" t="s">
        <v>23</v>
      </c>
      <c r="C2390" s="1" t="s">
        <v>11565</v>
      </c>
      <c r="D2390" s="1" t="s">
        <v>23</v>
      </c>
      <c r="E2390" s="250">
        <v>2580.252</v>
      </c>
    </row>
    <row r="2391" spans="1:5" x14ac:dyDescent="0.35">
      <c r="A2391" s="1" t="s">
        <v>18039</v>
      </c>
      <c r="B2391" s="1" t="s">
        <v>20</v>
      </c>
      <c r="C2391" s="1" t="s">
        <v>11564</v>
      </c>
      <c r="D2391" s="1" t="s">
        <v>20</v>
      </c>
      <c r="E2391" s="250">
        <v>2580.2530000000002</v>
      </c>
    </row>
    <row r="2392" spans="1:5" x14ac:dyDescent="0.35">
      <c r="A2392" s="1" t="s">
        <v>18040</v>
      </c>
      <c r="B2392" s="1" t="s">
        <v>621</v>
      </c>
      <c r="C2392" s="1" t="s">
        <v>11563</v>
      </c>
      <c r="D2392" s="1" t="s">
        <v>621</v>
      </c>
      <c r="E2392" s="250">
        <v>2580.261</v>
      </c>
    </row>
    <row r="2393" spans="1:5" x14ac:dyDescent="0.35">
      <c r="A2393" s="1" t="s">
        <v>18041</v>
      </c>
      <c r="B2393" s="1" t="s">
        <v>11561</v>
      </c>
      <c r="C2393" s="1" t="s">
        <v>11562</v>
      </c>
      <c r="D2393" s="1" t="s">
        <v>11561</v>
      </c>
      <c r="E2393" s="250">
        <v>2580.2620000000002</v>
      </c>
    </row>
    <row r="2394" spans="1:5" x14ac:dyDescent="0.35">
      <c r="A2394" s="1" t="s">
        <v>18042</v>
      </c>
      <c r="B2394" s="1" t="s">
        <v>621</v>
      </c>
      <c r="C2394" s="1" t="s">
        <v>11560</v>
      </c>
      <c r="D2394" s="1" t="s">
        <v>621</v>
      </c>
      <c r="E2394" s="250">
        <v>2580.2629999999999</v>
      </c>
    </row>
    <row r="2395" spans="1:5" x14ac:dyDescent="0.35">
      <c r="A2395" s="1" t="s">
        <v>18043</v>
      </c>
      <c r="B2395" s="1" t="s">
        <v>23</v>
      </c>
      <c r="C2395" s="1" t="s">
        <v>11559</v>
      </c>
      <c r="D2395" s="1" t="s">
        <v>23</v>
      </c>
      <c r="E2395" s="250">
        <v>2580.2710000000002</v>
      </c>
    </row>
    <row r="2396" spans="1:5" x14ac:dyDescent="0.35">
      <c r="A2396" s="1" t="s">
        <v>18044</v>
      </c>
      <c r="B2396" s="1" t="s">
        <v>23</v>
      </c>
      <c r="C2396" s="1" t="s">
        <v>11558</v>
      </c>
      <c r="D2396" s="1" t="s">
        <v>23</v>
      </c>
      <c r="E2396" s="250">
        <v>2580.2719999999999</v>
      </c>
    </row>
    <row r="2397" spans="1:5" x14ac:dyDescent="0.35">
      <c r="A2397" s="1" t="s">
        <v>18045</v>
      </c>
      <c r="B2397" s="1" t="s">
        <v>23</v>
      </c>
      <c r="C2397" s="1" t="s">
        <v>11557</v>
      </c>
      <c r="D2397" s="1" t="s">
        <v>23</v>
      </c>
      <c r="E2397" s="250">
        <v>2580.2730000000001</v>
      </c>
    </row>
    <row r="2398" spans="1:5" x14ac:dyDescent="0.35">
      <c r="A2398" s="1" t="s">
        <v>18046</v>
      </c>
      <c r="B2398" s="1" t="s">
        <v>23</v>
      </c>
      <c r="C2398" s="1" t="s">
        <v>11556</v>
      </c>
      <c r="D2398" s="1" t="s">
        <v>23</v>
      </c>
      <c r="E2398" s="250">
        <v>2580.2739999999999</v>
      </c>
    </row>
    <row r="2399" spans="1:5" x14ac:dyDescent="0.35">
      <c r="A2399" s="1" t="s">
        <v>18047</v>
      </c>
      <c r="B2399" s="1" t="s">
        <v>23</v>
      </c>
      <c r="C2399" s="1" t="s">
        <v>11555</v>
      </c>
      <c r="D2399" s="1" t="s">
        <v>23</v>
      </c>
      <c r="E2399" s="250">
        <v>2580.2750000000001</v>
      </c>
    </row>
    <row r="2400" spans="1:5" x14ac:dyDescent="0.35">
      <c r="A2400" s="1" t="s">
        <v>18048</v>
      </c>
      <c r="B2400" s="1" t="s">
        <v>23</v>
      </c>
      <c r="C2400" s="1" t="s">
        <v>11554</v>
      </c>
      <c r="D2400" s="1" t="s">
        <v>23</v>
      </c>
      <c r="E2400" s="250">
        <v>2580.2759999999998</v>
      </c>
    </row>
    <row r="2401" spans="1:5" x14ac:dyDescent="0.35">
      <c r="A2401" s="1" t="s">
        <v>18049</v>
      </c>
      <c r="B2401" s="1" t="s">
        <v>23</v>
      </c>
      <c r="C2401" s="1" t="s">
        <v>11553</v>
      </c>
      <c r="D2401" s="1" t="s">
        <v>23</v>
      </c>
      <c r="E2401" s="250">
        <v>2580.277</v>
      </c>
    </row>
    <row r="2402" spans="1:5" x14ac:dyDescent="0.35">
      <c r="A2402" s="1" t="s">
        <v>18050</v>
      </c>
      <c r="B2402" s="1" t="s">
        <v>23</v>
      </c>
      <c r="C2402" s="1" t="s">
        <v>11552</v>
      </c>
      <c r="D2402" s="1" t="s">
        <v>23</v>
      </c>
      <c r="E2402" s="250">
        <v>2580.2779999999998</v>
      </c>
    </row>
    <row r="2403" spans="1:5" x14ac:dyDescent="0.35">
      <c r="A2403" s="2" t="s">
        <v>18051</v>
      </c>
      <c r="B2403" s="1" t="s">
        <v>19</v>
      </c>
      <c r="C2403" s="1" t="s">
        <v>11551</v>
      </c>
      <c r="D2403" s="1" t="s">
        <v>19</v>
      </c>
      <c r="E2403" s="250">
        <v>2620.011</v>
      </c>
    </row>
    <row r="2404" spans="1:5" x14ac:dyDescent="0.35">
      <c r="A2404" s="1" t="s">
        <v>18052</v>
      </c>
      <c r="B2404" s="1" t="s">
        <v>19</v>
      </c>
      <c r="C2404" s="1" t="s">
        <v>11550</v>
      </c>
      <c r="D2404" s="1" t="s">
        <v>19</v>
      </c>
      <c r="E2404" s="250">
        <v>2620.0120000000002</v>
      </c>
    </row>
    <row r="2405" spans="1:5" x14ac:dyDescent="0.35">
      <c r="A2405" s="2" t="s">
        <v>18053</v>
      </c>
      <c r="B2405" s="1" t="s">
        <v>19</v>
      </c>
      <c r="C2405" s="1" t="s">
        <v>11549</v>
      </c>
      <c r="D2405" s="1" t="s">
        <v>19</v>
      </c>
      <c r="E2405" s="250">
        <v>2630.011</v>
      </c>
    </row>
    <row r="2406" spans="1:5" x14ac:dyDescent="0.35">
      <c r="A2406" s="1" t="s">
        <v>18054</v>
      </c>
      <c r="B2406" s="1" t="s">
        <v>19</v>
      </c>
      <c r="C2406" s="1" t="s">
        <v>11548</v>
      </c>
      <c r="D2406" s="1" t="s">
        <v>19</v>
      </c>
      <c r="E2406" s="250">
        <v>2630.0120000000002</v>
      </c>
    </row>
    <row r="2407" spans="1:5" x14ac:dyDescent="0.35">
      <c r="A2407" s="1" t="s">
        <v>18055</v>
      </c>
      <c r="B2407" s="1" t="s">
        <v>19</v>
      </c>
      <c r="C2407" s="1" t="s">
        <v>11547</v>
      </c>
      <c r="D2407" s="1" t="s">
        <v>19</v>
      </c>
      <c r="E2407" s="250">
        <v>2630.0129999999999</v>
      </c>
    </row>
    <row r="2408" spans="1:5" x14ac:dyDescent="0.35">
      <c r="A2408" s="1" t="s">
        <v>18056</v>
      </c>
      <c r="B2408" s="1" t="s">
        <v>19</v>
      </c>
      <c r="C2408" s="1" t="s">
        <v>11546</v>
      </c>
      <c r="D2408" s="1" t="s">
        <v>19</v>
      </c>
      <c r="E2408" s="250">
        <v>2630.0140000000001</v>
      </c>
    </row>
    <row r="2409" spans="1:5" x14ac:dyDescent="0.35">
      <c r="A2409" s="1" t="s">
        <v>18057</v>
      </c>
      <c r="B2409" s="1" t="s">
        <v>19</v>
      </c>
      <c r="C2409" s="1" t="s">
        <v>11545</v>
      </c>
      <c r="D2409" s="1" t="s">
        <v>19</v>
      </c>
      <c r="E2409" s="250">
        <v>2630.0149999999999</v>
      </c>
    </row>
    <row r="2410" spans="1:5" x14ac:dyDescent="0.35">
      <c r="A2410" s="1" t="s">
        <v>18058</v>
      </c>
      <c r="B2410" s="1" t="s">
        <v>19</v>
      </c>
      <c r="C2410" s="1" t="s">
        <v>11544</v>
      </c>
      <c r="D2410" s="1" t="s">
        <v>19</v>
      </c>
      <c r="E2410" s="250">
        <v>2630.0160000000001</v>
      </c>
    </row>
    <row r="2411" spans="1:5" x14ac:dyDescent="0.35">
      <c r="A2411" s="1" t="s">
        <v>18059</v>
      </c>
      <c r="B2411" s="1" t="s">
        <v>19</v>
      </c>
      <c r="C2411" s="1" t="s">
        <v>11543</v>
      </c>
      <c r="D2411" s="1" t="s">
        <v>19</v>
      </c>
      <c r="E2411" s="250">
        <v>2630.0169999999998</v>
      </c>
    </row>
    <row r="2412" spans="1:5" x14ac:dyDescent="0.35">
      <c r="A2412" s="1" t="s">
        <v>18060</v>
      </c>
      <c r="B2412" s="1" t="s">
        <v>19</v>
      </c>
      <c r="C2412" s="1" t="s">
        <v>11542</v>
      </c>
      <c r="D2412" s="1" t="s">
        <v>19</v>
      </c>
      <c r="E2412" s="250">
        <v>2630.018</v>
      </c>
    </row>
    <row r="2413" spans="1:5" x14ac:dyDescent="0.35">
      <c r="A2413" s="1" t="s">
        <v>18061</v>
      </c>
      <c r="B2413" s="1" t="s">
        <v>19</v>
      </c>
      <c r="C2413" s="1" t="s">
        <v>11541</v>
      </c>
      <c r="D2413" s="1" t="s">
        <v>19</v>
      </c>
      <c r="E2413" s="250">
        <v>2630.0189999999998</v>
      </c>
    </row>
    <row r="2414" spans="1:5" x14ac:dyDescent="0.35">
      <c r="A2414" s="1" t="s">
        <v>18062</v>
      </c>
      <c r="B2414" s="1" t="s">
        <v>19</v>
      </c>
      <c r="C2414" s="1" t="s">
        <v>11540</v>
      </c>
      <c r="D2414" s="1" t="s">
        <v>19</v>
      </c>
      <c r="E2414" s="250">
        <v>2630.02</v>
      </c>
    </row>
    <row r="2415" spans="1:5" x14ac:dyDescent="0.35">
      <c r="A2415" s="1" t="s">
        <v>18063</v>
      </c>
      <c r="B2415" s="1" t="s">
        <v>19</v>
      </c>
      <c r="C2415" s="1" t="s">
        <v>11539</v>
      </c>
      <c r="D2415" s="1" t="s">
        <v>19</v>
      </c>
      <c r="E2415" s="250">
        <v>2630.0210000000002</v>
      </c>
    </row>
    <row r="2416" spans="1:5" x14ac:dyDescent="0.35">
      <c r="A2416" s="1" t="s">
        <v>18064</v>
      </c>
      <c r="B2416" s="1" t="s">
        <v>19</v>
      </c>
      <c r="C2416" s="1" t="s">
        <v>11538</v>
      </c>
      <c r="D2416" s="1" t="s">
        <v>19</v>
      </c>
      <c r="E2416" s="250">
        <v>2630.0610000000001</v>
      </c>
    </row>
    <row r="2417" spans="1:5" x14ac:dyDescent="0.35">
      <c r="A2417" s="1" t="s">
        <v>18065</v>
      </c>
      <c r="B2417" s="1" t="s">
        <v>19</v>
      </c>
      <c r="C2417" s="1" t="s">
        <v>11537</v>
      </c>
      <c r="D2417" s="1" t="s">
        <v>19</v>
      </c>
      <c r="E2417" s="250">
        <v>2630.0619999999999</v>
      </c>
    </row>
    <row r="2418" spans="1:5" x14ac:dyDescent="0.35">
      <c r="A2418" s="1" t="s">
        <v>18066</v>
      </c>
      <c r="B2418" s="1" t="s">
        <v>19</v>
      </c>
      <c r="C2418" s="1" t="s">
        <v>11536</v>
      </c>
      <c r="D2418" s="1" t="s">
        <v>19</v>
      </c>
      <c r="E2418" s="250">
        <v>2630.0630000000001</v>
      </c>
    </row>
    <row r="2419" spans="1:5" x14ac:dyDescent="0.35">
      <c r="A2419" s="1" t="s">
        <v>18067</v>
      </c>
      <c r="B2419" s="1" t="s">
        <v>19</v>
      </c>
      <c r="C2419" s="1" t="s">
        <v>11535</v>
      </c>
      <c r="D2419" s="1" t="s">
        <v>19</v>
      </c>
      <c r="E2419" s="250">
        <v>2630.0639999999999</v>
      </c>
    </row>
    <row r="2420" spans="1:5" x14ac:dyDescent="0.35">
      <c r="A2420" s="1" t="s">
        <v>18068</v>
      </c>
      <c r="B2420" s="1" t="s">
        <v>19</v>
      </c>
      <c r="C2420" s="1" t="s">
        <v>11534</v>
      </c>
      <c r="D2420" s="1" t="s">
        <v>19</v>
      </c>
      <c r="E2420" s="250">
        <v>2630.0650000000001</v>
      </c>
    </row>
    <row r="2421" spans="1:5" x14ac:dyDescent="0.35">
      <c r="A2421" s="1" t="s">
        <v>18069</v>
      </c>
      <c r="B2421" s="1" t="s">
        <v>19</v>
      </c>
      <c r="C2421" s="1" t="s">
        <v>11533</v>
      </c>
      <c r="D2421" s="1" t="s">
        <v>19</v>
      </c>
      <c r="E2421" s="250">
        <v>2630.0659999999998</v>
      </c>
    </row>
    <row r="2422" spans="1:5" x14ac:dyDescent="0.35">
      <c r="A2422" s="1" t="s">
        <v>18070</v>
      </c>
      <c r="B2422" s="1" t="s">
        <v>19</v>
      </c>
      <c r="C2422" s="1" t="s">
        <v>11532</v>
      </c>
      <c r="D2422" s="1" t="s">
        <v>19</v>
      </c>
      <c r="E2422" s="250">
        <v>2630.067</v>
      </c>
    </row>
    <row r="2423" spans="1:5" x14ac:dyDescent="0.35">
      <c r="A2423" s="1" t="s">
        <v>18071</v>
      </c>
      <c r="B2423" s="1" t="s">
        <v>19</v>
      </c>
      <c r="C2423" s="1" t="s">
        <v>11531</v>
      </c>
      <c r="D2423" s="1" t="s">
        <v>19</v>
      </c>
      <c r="E2423" s="250">
        <v>2630.0680000000002</v>
      </c>
    </row>
    <row r="2424" spans="1:5" x14ac:dyDescent="0.35">
      <c r="A2424" s="1" t="s">
        <v>18072</v>
      </c>
      <c r="B2424" s="1" t="s">
        <v>19</v>
      </c>
      <c r="C2424" s="1" t="s">
        <v>11530</v>
      </c>
      <c r="D2424" s="1" t="s">
        <v>19</v>
      </c>
      <c r="E2424" s="250">
        <v>2630.069</v>
      </c>
    </row>
    <row r="2425" spans="1:5" x14ac:dyDescent="0.35">
      <c r="A2425" s="1" t="s">
        <v>18073</v>
      </c>
      <c r="B2425" s="1" t="s">
        <v>19</v>
      </c>
      <c r="C2425" s="1" t="s">
        <v>11529</v>
      </c>
      <c r="D2425" s="1" t="s">
        <v>19</v>
      </c>
      <c r="E2425" s="250">
        <v>2630.07</v>
      </c>
    </row>
    <row r="2426" spans="1:5" x14ac:dyDescent="0.35">
      <c r="A2426" s="1" t="s">
        <v>18074</v>
      </c>
      <c r="B2426" s="1" t="s">
        <v>19</v>
      </c>
      <c r="C2426" s="1" t="s">
        <v>11528</v>
      </c>
      <c r="D2426" s="1" t="s">
        <v>19</v>
      </c>
      <c r="E2426" s="250">
        <v>2630.0709999999999</v>
      </c>
    </row>
    <row r="2427" spans="1:5" x14ac:dyDescent="0.35">
      <c r="A2427" s="1" t="s">
        <v>18075</v>
      </c>
      <c r="B2427" s="1" t="s">
        <v>11526</v>
      </c>
      <c r="C2427" s="1" t="s">
        <v>11527</v>
      </c>
      <c r="D2427" s="1" t="s">
        <v>11526</v>
      </c>
      <c r="E2427" s="250">
        <v>2630.11</v>
      </c>
    </row>
    <row r="2428" spans="1:5" x14ac:dyDescent="0.35">
      <c r="A2428" s="1" t="s">
        <v>18076</v>
      </c>
      <c r="B2428" s="1" t="s">
        <v>18</v>
      </c>
      <c r="C2428" s="1" t="s">
        <v>11525</v>
      </c>
      <c r="D2428" s="1" t="s">
        <v>18</v>
      </c>
      <c r="E2428" s="250">
        <v>2630.1109999999999</v>
      </c>
    </row>
    <row r="2429" spans="1:5" x14ac:dyDescent="0.35">
      <c r="A2429" s="1" t="s">
        <v>18077</v>
      </c>
      <c r="B2429" s="1" t="s">
        <v>20</v>
      </c>
      <c r="C2429" s="1" t="s">
        <v>11524</v>
      </c>
      <c r="D2429" s="1" t="s">
        <v>20</v>
      </c>
      <c r="E2429" s="250">
        <v>2630.1210000000001</v>
      </c>
    </row>
    <row r="2430" spans="1:5" x14ac:dyDescent="0.35">
      <c r="A2430" s="1" t="s">
        <v>18078</v>
      </c>
      <c r="B2430" s="1" t="s">
        <v>20</v>
      </c>
      <c r="C2430" s="1" t="s">
        <v>11523</v>
      </c>
      <c r="D2430" s="1" t="s">
        <v>20</v>
      </c>
      <c r="E2430" s="250">
        <v>2630.1219999999998</v>
      </c>
    </row>
    <row r="2431" spans="1:5" x14ac:dyDescent="0.35">
      <c r="A2431" s="1" t="s">
        <v>18079</v>
      </c>
      <c r="B2431" s="1" t="s">
        <v>23</v>
      </c>
      <c r="C2431" s="1" t="s">
        <v>11522</v>
      </c>
      <c r="D2431" s="1" t="s">
        <v>23</v>
      </c>
      <c r="E2431" s="250">
        <v>2630.27</v>
      </c>
    </row>
    <row r="2432" spans="1:5" x14ac:dyDescent="0.35">
      <c r="A2432" s="1" t="s">
        <v>18080</v>
      </c>
      <c r="B2432" s="1" t="s">
        <v>23</v>
      </c>
      <c r="C2432" s="1" t="s">
        <v>11521</v>
      </c>
      <c r="D2432" s="1" t="s">
        <v>23</v>
      </c>
      <c r="E2432" s="250">
        <v>2630.2710000000002</v>
      </c>
    </row>
    <row r="2433" spans="1:5" x14ac:dyDescent="0.35">
      <c r="A2433" s="1" t="s">
        <v>18081</v>
      </c>
      <c r="B2433" s="1" t="s">
        <v>23</v>
      </c>
      <c r="C2433" s="1" t="s">
        <v>11520</v>
      </c>
      <c r="D2433" s="1" t="s">
        <v>23</v>
      </c>
      <c r="E2433" s="250">
        <v>2630.2719999999999</v>
      </c>
    </row>
    <row r="2434" spans="1:5" x14ac:dyDescent="0.35">
      <c r="A2434" s="1" t="s">
        <v>18082</v>
      </c>
      <c r="B2434" s="1" t="s">
        <v>23</v>
      </c>
      <c r="C2434" s="1" t="s">
        <v>11519</v>
      </c>
      <c r="D2434" s="1" t="s">
        <v>23</v>
      </c>
      <c r="E2434" s="250">
        <v>2630.2730000000001</v>
      </c>
    </row>
    <row r="2435" spans="1:5" x14ac:dyDescent="0.35">
      <c r="A2435" s="1" t="s">
        <v>18083</v>
      </c>
      <c r="B2435" s="1" t="s">
        <v>23</v>
      </c>
      <c r="C2435" s="1" t="s">
        <v>11518</v>
      </c>
      <c r="D2435" s="1" t="s">
        <v>23</v>
      </c>
      <c r="E2435" s="250">
        <v>2630.2739999999999</v>
      </c>
    </row>
    <row r="2436" spans="1:5" x14ac:dyDescent="0.35">
      <c r="A2436" s="1" t="s">
        <v>18084</v>
      </c>
      <c r="B2436" s="1" t="s">
        <v>23</v>
      </c>
      <c r="C2436" s="1" t="s">
        <v>11517</v>
      </c>
      <c r="D2436" s="1" t="s">
        <v>23</v>
      </c>
      <c r="E2436" s="250">
        <v>2630.2750000000001</v>
      </c>
    </row>
    <row r="2437" spans="1:5" x14ac:dyDescent="0.35">
      <c r="A2437" s="1" t="s">
        <v>18085</v>
      </c>
      <c r="B2437" s="1" t="s">
        <v>23</v>
      </c>
      <c r="C2437" s="1" t="s">
        <v>11516</v>
      </c>
      <c r="D2437" s="1" t="s">
        <v>23</v>
      </c>
      <c r="E2437" s="250">
        <v>2630.2759999999998</v>
      </c>
    </row>
    <row r="2438" spans="1:5" x14ac:dyDescent="0.35">
      <c r="A2438" s="1" t="s">
        <v>18086</v>
      </c>
      <c r="B2438" s="1" t="s">
        <v>23</v>
      </c>
      <c r="C2438" s="1" t="s">
        <v>11515</v>
      </c>
      <c r="D2438" s="1" t="s">
        <v>23</v>
      </c>
      <c r="E2438" s="250">
        <v>2630.277</v>
      </c>
    </row>
    <row r="2439" spans="1:5" x14ac:dyDescent="0.35">
      <c r="A2439" s="1" t="s">
        <v>18087</v>
      </c>
      <c r="B2439" s="1" t="s">
        <v>20</v>
      </c>
      <c r="C2439" s="1" t="s">
        <v>9514</v>
      </c>
      <c r="D2439" s="1" t="s">
        <v>20</v>
      </c>
      <c r="E2439" s="250">
        <v>2630.28</v>
      </c>
    </row>
    <row r="2440" spans="1:5" x14ac:dyDescent="0.35">
      <c r="A2440" s="1" t="s">
        <v>18088</v>
      </c>
      <c r="B2440" s="1" t="s">
        <v>20</v>
      </c>
      <c r="C2440" s="1" t="s">
        <v>9497</v>
      </c>
      <c r="D2440" s="1" t="s">
        <v>20</v>
      </c>
      <c r="E2440" s="250">
        <v>2630.2809999999999</v>
      </c>
    </row>
    <row r="2441" spans="1:5" x14ac:dyDescent="0.35">
      <c r="A2441" s="1" t="s">
        <v>18089</v>
      </c>
      <c r="B2441" s="1" t="s">
        <v>20</v>
      </c>
      <c r="C2441" s="1" t="s">
        <v>9477</v>
      </c>
      <c r="D2441" s="1" t="s">
        <v>20</v>
      </c>
      <c r="E2441" s="250">
        <v>2630.2820000000002</v>
      </c>
    </row>
    <row r="2442" spans="1:5" x14ac:dyDescent="0.35">
      <c r="A2442" s="1" t="s">
        <v>18090</v>
      </c>
      <c r="B2442" s="1" t="s">
        <v>20</v>
      </c>
      <c r="C2442" s="1" t="s">
        <v>11514</v>
      </c>
      <c r="D2442" s="1" t="s">
        <v>20</v>
      </c>
      <c r="E2442" s="250">
        <v>2630.2890000000002</v>
      </c>
    </row>
    <row r="2443" spans="1:5" x14ac:dyDescent="0.35">
      <c r="A2443" s="1" t="s">
        <v>18091</v>
      </c>
      <c r="B2443" s="1" t="s">
        <v>20</v>
      </c>
      <c r="C2443" s="1" t="s">
        <v>10136</v>
      </c>
      <c r="D2443" s="1" t="s">
        <v>20</v>
      </c>
      <c r="E2443" s="250">
        <v>2630.2930000000001</v>
      </c>
    </row>
    <row r="2444" spans="1:5" x14ac:dyDescent="0.35">
      <c r="A2444" s="1" t="s">
        <v>18092</v>
      </c>
      <c r="B2444" s="1" t="s">
        <v>1692</v>
      </c>
      <c r="C2444" s="1" t="s">
        <v>9360</v>
      </c>
      <c r="D2444" s="1" t="s">
        <v>1692</v>
      </c>
      <c r="E2444" s="250">
        <v>2630.2959999999998</v>
      </c>
    </row>
    <row r="2445" spans="1:5" x14ac:dyDescent="0.35">
      <c r="A2445" s="1" t="s">
        <v>18093</v>
      </c>
      <c r="B2445" s="1" t="s">
        <v>1692</v>
      </c>
      <c r="C2445" s="1" t="s">
        <v>9358</v>
      </c>
      <c r="D2445" s="1" t="s">
        <v>1692</v>
      </c>
      <c r="E2445" s="250">
        <v>2630.297</v>
      </c>
    </row>
    <row r="2446" spans="1:5" x14ac:dyDescent="0.35">
      <c r="A2446" s="1" t="s">
        <v>18094</v>
      </c>
      <c r="B2446" s="1" t="s">
        <v>42</v>
      </c>
      <c r="C2446" s="1" t="s">
        <v>11513</v>
      </c>
      <c r="D2446" s="1" t="s">
        <v>42</v>
      </c>
      <c r="E2446" s="250">
        <v>2630.2979999999998</v>
      </c>
    </row>
    <row r="2447" spans="1:5" x14ac:dyDescent="0.35">
      <c r="A2447" s="1" t="s">
        <v>18095</v>
      </c>
      <c r="B2447" s="1" t="s">
        <v>57</v>
      </c>
      <c r="C2447" s="1" t="s">
        <v>11512</v>
      </c>
      <c r="D2447" s="1" t="s">
        <v>57</v>
      </c>
      <c r="E2447" s="250">
        <v>2630.3009999999999</v>
      </c>
    </row>
    <row r="2448" spans="1:5" x14ac:dyDescent="0.35">
      <c r="A2448" s="1" t="s">
        <v>18096</v>
      </c>
      <c r="B2448" s="1" t="s">
        <v>23</v>
      </c>
      <c r="C2448" s="1" t="s">
        <v>9453</v>
      </c>
      <c r="D2448" s="1" t="s">
        <v>23</v>
      </c>
      <c r="E2448" s="250">
        <v>2630.3020000000001</v>
      </c>
    </row>
    <row r="2449" spans="1:5" x14ac:dyDescent="0.35">
      <c r="A2449" s="1" t="s">
        <v>18097</v>
      </c>
      <c r="B2449" s="1" t="s">
        <v>23</v>
      </c>
      <c r="C2449" s="1" t="s">
        <v>9452</v>
      </c>
      <c r="D2449" s="1" t="s">
        <v>23</v>
      </c>
      <c r="E2449" s="250">
        <v>2630.3029999999999</v>
      </c>
    </row>
    <row r="2450" spans="1:5" x14ac:dyDescent="0.35">
      <c r="A2450" s="1" t="s">
        <v>18098</v>
      </c>
      <c r="B2450" s="1" t="s">
        <v>23</v>
      </c>
      <c r="C2450" s="1" t="s">
        <v>11511</v>
      </c>
      <c r="D2450" s="1" t="s">
        <v>23</v>
      </c>
      <c r="E2450" s="250">
        <v>2630.3040000000001</v>
      </c>
    </row>
    <row r="2451" spans="1:5" x14ac:dyDescent="0.35">
      <c r="A2451" s="1" t="s">
        <v>18099</v>
      </c>
      <c r="B2451" s="1" t="s">
        <v>23</v>
      </c>
      <c r="C2451" s="1" t="s">
        <v>9450</v>
      </c>
      <c r="D2451" s="1" t="s">
        <v>23</v>
      </c>
      <c r="E2451" s="250">
        <v>2630.3049999999998</v>
      </c>
    </row>
    <row r="2452" spans="1:5" x14ac:dyDescent="0.35">
      <c r="A2452" s="1" t="s">
        <v>18100</v>
      </c>
      <c r="B2452" s="1" t="s">
        <v>23</v>
      </c>
      <c r="C2452" s="1" t="s">
        <v>9449</v>
      </c>
      <c r="D2452" s="1" t="s">
        <v>23</v>
      </c>
      <c r="E2452" s="250">
        <v>2630.306</v>
      </c>
    </row>
    <row r="2453" spans="1:5" x14ac:dyDescent="0.35">
      <c r="A2453" s="1" t="s">
        <v>18101</v>
      </c>
      <c r="B2453" s="1" t="s">
        <v>23</v>
      </c>
      <c r="C2453" s="1" t="s">
        <v>9448</v>
      </c>
      <c r="D2453" s="1" t="s">
        <v>23</v>
      </c>
      <c r="E2453" s="250">
        <v>2630.3069999999998</v>
      </c>
    </row>
    <row r="2454" spans="1:5" x14ac:dyDescent="0.35">
      <c r="A2454" s="1" t="s">
        <v>18102</v>
      </c>
      <c r="B2454" s="1" t="s">
        <v>23</v>
      </c>
      <c r="C2454" s="1" t="s">
        <v>11510</v>
      </c>
      <c r="D2454" s="1" t="s">
        <v>23</v>
      </c>
      <c r="E2454" s="250">
        <v>2630.308</v>
      </c>
    </row>
    <row r="2455" spans="1:5" x14ac:dyDescent="0.35">
      <c r="A2455" s="1" t="s">
        <v>18103</v>
      </c>
      <c r="B2455" s="1" t="s">
        <v>23</v>
      </c>
      <c r="C2455" s="1" t="s">
        <v>9446</v>
      </c>
      <c r="D2455" s="1" t="s">
        <v>23</v>
      </c>
      <c r="E2455" s="250">
        <v>2630.3090000000002</v>
      </c>
    </row>
    <row r="2456" spans="1:5" x14ac:dyDescent="0.35">
      <c r="A2456" s="1" t="s">
        <v>18104</v>
      </c>
      <c r="B2456" s="1" t="s">
        <v>23</v>
      </c>
      <c r="C2456" s="1" t="s">
        <v>9445</v>
      </c>
      <c r="D2456" s="1" t="s">
        <v>23</v>
      </c>
      <c r="E2456" s="250">
        <v>2630.3119999999999</v>
      </c>
    </row>
    <row r="2457" spans="1:5" x14ac:dyDescent="0.35">
      <c r="A2457" s="1" t="s">
        <v>18105</v>
      </c>
      <c r="B2457" s="1" t="s">
        <v>23</v>
      </c>
      <c r="C2457" s="1" t="s">
        <v>9444</v>
      </c>
      <c r="D2457" s="1" t="s">
        <v>23</v>
      </c>
      <c r="E2457" s="250">
        <v>2630.3130000000001</v>
      </c>
    </row>
    <row r="2458" spans="1:5" x14ac:dyDescent="0.35">
      <c r="A2458" s="1" t="s">
        <v>18106</v>
      </c>
      <c r="B2458" s="1" t="s">
        <v>23</v>
      </c>
      <c r="C2458" s="1" t="s">
        <v>11509</v>
      </c>
      <c r="D2458" s="1" t="s">
        <v>23</v>
      </c>
      <c r="E2458" s="250">
        <v>2630.3139999999999</v>
      </c>
    </row>
    <row r="2459" spans="1:5" x14ac:dyDescent="0.35">
      <c r="A2459" s="1" t="s">
        <v>18107</v>
      </c>
      <c r="B2459" s="1" t="s">
        <v>23</v>
      </c>
      <c r="C2459" s="1" t="s">
        <v>9442</v>
      </c>
      <c r="D2459" s="1" t="s">
        <v>23</v>
      </c>
      <c r="E2459" s="250">
        <v>2630.3150000000001</v>
      </c>
    </row>
    <row r="2460" spans="1:5" x14ac:dyDescent="0.35">
      <c r="A2460" s="1" t="s">
        <v>18108</v>
      </c>
      <c r="B2460" s="1" t="s">
        <v>23</v>
      </c>
      <c r="C2460" s="1" t="s">
        <v>9441</v>
      </c>
      <c r="D2460" s="1" t="s">
        <v>23</v>
      </c>
      <c r="E2460" s="250">
        <v>2630.3159999999998</v>
      </c>
    </row>
    <row r="2461" spans="1:5" x14ac:dyDescent="0.35">
      <c r="A2461" s="1" t="s">
        <v>18109</v>
      </c>
      <c r="B2461" s="1" t="s">
        <v>23</v>
      </c>
      <c r="C2461" s="1" t="s">
        <v>9440</v>
      </c>
      <c r="D2461" s="1" t="s">
        <v>23</v>
      </c>
      <c r="E2461" s="250">
        <v>2630.317</v>
      </c>
    </row>
    <row r="2462" spans="1:5" x14ac:dyDescent="0.35">
      <c r="A2462" s="1" t="s">
        <v>18110</v>
      </c>
      <c r="B2462" s="1" t="s">
        <v>23</v>
      </c>
      <c r="C2462" s="1" t="s">
        <v>11508</v>
      </c>
      <c r="D2462" s="1" t="s">
        <v>23</v>
      </c>
      <c r="E2462" s="250">
        <v>2630.3180000000002</v>
      </c>
    </row>
    <row r="2463" spans="1:5" x14ac:dyDescent="0.35">
      <c r="A2463" s="1" t="s">
        <v>18111</v>
      </c>
      <c r="B2463" s="1" t="s">
        <v>23</v>
      </c>
      <c r="C2463" s="1" t="s">
        <v>9438</v>
      </c>
      <c r="D2463" s="1" t="s">
        <v>23</v>
      </c>
      <c r="E2463" s="250">
        <v>2630.319</v>
      </c>
    </row>
    <row r="2464" spans="1:5" x14ac:dyDescent="0.35">
      <c r="A2464" s="1" t="s">
        <v>18112</v>
      </c>
      <c r="B2464" s="1" t="s">
        <v>23</v>
      </c>
      <c r="C2464" s="1" t="s">
        <v>9437</v>
      </c>
      <c r="D2464" s="1" t="s">
        <v>23</v>
      </c>
      <c r="E2464" s="250">
        <v>2630.3220000000001</v>
      </c>
    </row>
    <row r="2465" spans="1:5" x14ac:dyDescent="0.35">
      <c r="A2465" s="1" t="s">
        <v>18113</v>
      </c>
      <c r="B2465" s="1" t="s">
        <v>23</v>
      </c>
      <c r="C2465" s="1" t="s">
        <v>9436</v>
      </c>
      <c r="D2465" s="1" t="s">
        <v>23</v>
      </c>
      <c r="E2465" s="250">
        <v>2630.3229999999999</v>
      </c>
    </row>
    <row r="2466" spans="1:5" x14ac:dyDescent="0.35">
      <c r="A2466" s="1" t="s">
        <v>18114</v>
      </c>
      <c r="B2466" s="1" t="s">
        <v>23</v>
      </c>
      <c r="C2466" s="1" t="s">
        <v>11507</v>
      </c>
      <c r="D2466" s="1" t="s">
        <v>23</v>
      </c>
      <c r="E2466" s="250">
        <v>2630.3240000000001</v>
      </c>
    </row>
    <row r="2467" spans="1:5" x14ac:dyDescent="0.35">
      <c r="A2467" s="1" t="s">
        <v>18115</v>
      </c>
      <c r="B2467" s="1" t="s">
        <v>23</v>
      </c>
      <c r="C2467" s="1" t="s">
        <v>9434</v>
      </c>
      <c r="D2467" s="1" t="s">
        <v>23</v>
      </c>
      <c r="E2467" s="250">
        <v>2630.3249999999998</v>
      </c>
    </row>
    <row r="2468" spans="1:5" x14ac:dyDescent="0.35">
      <c r="A2468" s="1" t="s">
        <v>18116</v>
      </c>
      <c r="B2468" s="1" t="s">
        <v>23</v>
      </c>
      <c r="C2468" s="1" t="s">
        <v>9429</v>
      </c>
      <c r="D2468" s="1" t="s">
        <v>23</v>
      </c>
      <c r="E2468" s="250">
        <v>2630.326</v>
      </c>
    </row>
    <row r="2469" spans="1:5" x14ac:dyDescent="0.35">
      <c r="A2469" s="1" t="s">
        <v>18117</v>
      </c>
      <c r="B2469" s="1" t="s">
        <v>23</v>
      </c>
      <c r="C2469" s="1" t="s">
        <v>9428</v>
      </c>
      <c r="D2469" s="1" t="s">
        <v>23</v>
      </c>
      <c r="E2469" s="250">
        <v>2630.3270000000002</v>
      </c>
    </row>
    <row r="2470" spans="1:5" x14ac:dyDescent="0.35">
      <c r="A2470" s="1" t="s">
        <v>18118</v>
      </c>
      <c r="B2470" s="1" t="s">
        <v>23</v>
      </c>
      <c r="C2470" s="1" t="s">
        <v>11506</v>
      </c>
      <c r="D2470" s="1" t="s">
        <v>23</v>
      </c>
      <c r="E2470" s="250">
        <v>2630.328</v>
      </c>
    </row>
    <row r="2471" spans="1:5" x14ac:dyDescent="0.35">
      <c r="A2471" s="1" t="s">
        <v>18119</v>
      </c>
      <c r="B2471" s="1" t="s">
        <v>23</v>
      </c>
      <c r="C2471" s="1" t="s">
        <v>9426</v>
      </c>
      <c r="D2471" s="1" t="s">
        <v>23</v>
      </c>
      <c r="E2471" s="250">
        <v>2630.3290000000002</v>
      </c>
    </row>
    <row r="2472" spans="1:5" x14ac:dyDescent="0.35">
      <c r="A2472" s="1" t="s">
        <v>18120</v>
      </c>
      <c r="B2472" s="1" t="s">
        <v>23</v>
      </c>
      <c r="C2472" s="1" t="s">
        <v>9425</v>
      </c>
      <c r="D2472" s="1" t="s">
        <v>23</v>
      </c>
      <c r="E2472" s="250">
        <v>2630.3319999999999</v>
      </c>
    </row>
    <row r="2473" spans="1:5" x14ac:dyDescent="0.35">
      <c r="A2473" s="1" t="s">
        <v>18121</v>
      </c>
      <c r="B2473" s="1" t="s">
        <v>23</v>
      </c>
      <c r="C2473" s="1" t="s">
        <v>9424</v>
      </c>
      <c r="D2473" s="1" t="s">
        <v>23</v>
      </c>
      <c r="E2473" s="250">
        <v>2630.3330000000001</v>
      </c>
    </row>
    <row r="2474" spans="1:5" x14ac:dyDescent="0.35">
      <c r="A2474" s="1" t="s">
        <v>18122</v>
      </c>
      <c r="B2474" s="1" t="s">
        <v>23</v>
      </c>
      <c r="C2474" s="1" t="s">
        <v>11505</v>
      </c>
      <c r="D2474" s="1" t="s">
        <v>23</v>
      </c>
      <c r="E2474" s="250">
        <v>2630.3339999999998</v>
      </c>
    </row>
    <row r="2475" spans="1:5" x14ac:dyDescent="0.35">
      <c r="A2475" s="1" t="s">
        <v>18123</v>
      </c>
      <c r="B2475" s="1" t="s">
        <v>23</v>
      </c>
      <c r="C2475" s="1" t="s">
        <v>9422</v>
      </c>
      <c r="D2475" s="1" t="s">
        <v>23</v>
      </c>
      <c r="E2475" s="250">
        <v>2630.335</v>
      </c>
    </row>
    <row r="2476" spans="1:5" x14ac:dyDescent="0.35">
      <c r="A2476" s="1" t="s">
        <v>18124</v>
      </c>
      <c r="B2476" s="1" t="s">
        <v>57</v>
      </c>
      <c r="C2476" s="1" t="s">
        <v>11504</v>
      </c>
      <c r="D2476" s="1" t="s">
        <v>57</v>
      </c>
      <c r="E2476" s="250">
        <v>2630.4</v>
      </c>
    </row>
    <row r="2477" spans="1:5" x14ac:dyDescent="0.35">
      <c r="A2477" s="1" t="s">
        <v>18125</v>
      </c>
      <c r="B2477" s="1" t="s">
        <v>19</v>
      </c>
      <c r="C2477" s="1" t="s">
        <v>11503</v>
      </c>
      <c r="D2477" s="1" t="s">
        <v>19</v>
      </c>
      <c r="E2477" s="250">
        <v>2630.4009999999998</v>
      </c>
    </row>
    <row r="2478" spans="1:5" x14ac:dyDescent="0.35">
      <c r="A2478" s="1" t="s">
        <v>18126</v>
      </c>
      <c r="B2478" s="1" t="s">
        <v>19</v>
      </c>
      <c r="C2478" s="1" t="s">
        <v>11502</v>
      </c>
      <c r="D2478" s="1" t="s">
        <v>19</v>
      </c>
      <c r="E2478" s="250">
        <v>2630.402</v>
      </c>
    </row>
    <row r="2479" spans="1:5" x14ac:dyDescent="0.35">
      <c r="A2479" s="1" t="s">
        <v>18127</v>
      </c>
      <c r="B2479" s="1" t="s">
        <v>19</v>
      </c>
      <c r="C2479" s="1" t="s">
        <v>11501</v>
      </c>
      <c r="D2479" s="1" t="s">
        <v>19</v>
      </c>
      <c r="E2479" s="250">
        <v>2630.4029999999998</v>
      </c>
    </row>
    <row r="2480" spans="1:5" x14ac:dyDescent="0.35">
      <c r="A2480" s="1" t="s">
        <v>18128</v>
      </c>
      <c r="B2480" s="1" t="s">
        <v>19</v>
      </c>
      <c r="C2480" s="1" t="s">
        <v>11500</v>
      </c>
      <c r="D2480" s="1" t="s">
        <v>19</v>
      </c>
      <c r="E2480" s="250">
        <v>2630.404</v>
      </c>
    </row>
    <row r="2481" spans="1:5" x14ac:dyDescent="0.35">
      <c r="A2481" s="1" t="s">
        <v>18129</v>
      </c>
      <c r="B2481" s="1" t="s">
        <v>19</v>
      </c>
      <c r="C2481" s="1" t="s">
        <v>11499</v>
      </c>
      <c r="D2481" s="1" t="s">
        <v>19</v>
      </c>
      <c r="E2481" s="250">
        <v>2630.4050000000002</v>
      </c>
    </row>
    <row r="2482" spans="1:5" x14ac:dyDescent="0.35">
      <c r="A2482" s="1" t="s">
        <v>18130</v>
      </c>
      <c r="B2482" s="1" t="s">
        <v>19</v>
      </c>
      <c r="C2482" s="1" t="s">
        <v>11498</v>
      </c>
      <c r="D2482" s="1" t="s">
        <v>19</v>
      </c>
      <c r="E2482" s="250">
        <v>2630.4059999999999</v>
      </c>
    </row>
    <row r="2483" spans="1:5" x14ac:dyDescent="0.35">
      <c r="A2483" s="1" t="s">
        <v>18131</v>
      </c>
      <c r="B2483" s="1" t="s">
        <v>19</v>
      </c>
      <c r="C2483" s="1" t="s">
        <v>11497</v>
      </c>
      <c r="D2483" s="1" t="s">
        <v>19</v>
      </c>
      <c r="E2483" s="250">
        <v>2630.4070000000002</v>
      </c>
    </row>
    <row r="2484" spans="1:5" x14ac:dyDescent="0.35">
      <c r="A2484" s="1" t="s">
        <v>18132</v>
      </c>
      <c r="B2484" s="1" t="s">
        <v>19</v>
      </c>
      <c r="C2484" s="1" t="s">
        <v>11496</v>
      </c>
      <c r="D2484" s="1" t="s">
        <v>19</v>
      </c>
      <c r="E2484" s="250">
        <v>2630.4079999999999</v>
      </c>
    </row>
    <row r="2485" spans="1:5" x14ac:dyDescent="0.35">
      <c r="A2485" s="1" t="s">
        <v>18133</v>
      </c>
      <c r="B2485" s="1" t="s">
        <v>19</v>
      </c>
      <c r="C2485" s="1" t="s">
        <v>11495</v>
      </c>
      <c r="D2485" s="1" t="s">
        <v>19</v>
      </c>
      <c r="E2485" s="250">
        <v>2630.4090000000001</v>
      </c>
    </row>
    <row r="2486" spans="1:5" x14ac:dyDescent="0.35">
      <c r="A2486" s="1" t="s">
        <v>18134</v>
      </c>
      <c r="B2486" s="1" t="s">
        <v>19</v>
      </c>
      <c r="C2486" s="1" t="s">
        <v>11494</v>
      </c>
      <c r="D2486" s="1" t="s">
        <v>19</v>
      </c>
      <c r="E2486" s="250">
        <v>2630.41</v>
      </c>
    </row>
    <row r="2487" spans="1:5" x14ac:dyDescent="0.35">
      <c r="A2487" s="1" t="s">
        <v>18135</v>
      </c>
      <c r="B2487" s="1" t="s">
        <v>19</v>
      </c>
      <c r="C2487" s="1" t="s">
        <v>11493</v>
      </c>
      <c r="D2487" s="1" t="s">
        <v>19</v>
      </c>
      <c r="E2487" s="250">
        <v>2630.4110000000001</v>
      </c>
    </row>
    <row r="2488" spans="1:5" x14ac:dyDescent="0.35">
      <c r="A2488" s="1" t="s">
        <v>18136</v>
      </c>
      <c r="B2488" s="1" t="s">
        <v>19</v>
      </c>
      <c r="C2488" s="1" t="s">
        <v>11492</v>
      </c>
      <c r="D2488" s="1" t="s">
        <v>19</v>
      </c>
      <c r="E2488" s="250">
        <v>2630.4119999999998</v>
      </c>
    </row>
    <row r="2489" spans="1:5" x14ac:dyDescent="0.35">
      <c r="A2489" s="1" t="s">
        <v>18137</v>
      </c>
      <c r="B2489" s="1" t="s">
        <v>19</v>
      </c>
      <c r="C2489" s="1" t="s">
        <v>11491</v>
      </c>
      <c r="D2489" s="1" t="s">
        <v>19</v>
      </c>
      <c r="E2489" s="250">
        <v>2630.413</v>
      </c>
    </row>
    <row r="2490" spans="1:5" x14ac:dyDescent="0.35">
      <c r="A2490" s="1" t="s">
        <v>18138</v>
      </c>
      <c r="B2490" s="1" t="s">
        <v>19</v>
      </c>
      <c r="C2490" s="1" t="s">
        <v>11490</v>
      </c>
      <c r="D2490" s="1" t="s">
        <v>19</v>
      </c>
      <c r="E2490" s="250">
        <v>2630.4140000000002</v>
      </c>
    </row>
    <row r="2491" spans="1:5" x14ac:dyDescent="0.35">
      <c r="A2491" s="1" t="s">
        <v>18139</v>
      </c>
      <c r="B2491" s="1" t="s">
        <v>19</v>
      </c>
      <c r="C2491" s="1" t="s">
        <v>11489</v>
      </c>
      <c r="D2491" s="1" t="s">
        <v>19</v>
      </c>
      <c r="E2491" s="250">
        <v>2630.415</v>
      </c>
    </row>
    <row r="2492" spans="1:5" x14ac:dyDescent="0.35">
      <c r="A2492" s="1" t="s">
        <v>18140</v>
      </c>
      <c r="B2492" s="1" t="s">
        <v>19</v>
      </c>
      <c r="C2492" s="1" t="s">
        <v>11488</v>
      </c>
      <c r="D2492" s="1" t="s">
        <v>19</v>
      </c>
      <c r="E2492" s="250">
        <v>2630.4160000000002</v>
      </c>
    </row>
    <row r="2493" spans="1:5" x14ac:dyDescent="0.35">
      <c r="A2493" s="1" t="s">
        <v>18141</v>
      </c>
      <c r="B2493" s="1" t="s">
        <v>19</v>
      </c>
      <c r="C2493" s="1" t="s">
        <v>11487</v>
      </c>
      <c r="D2493" s="1" t="s">
        <v>19</v>
      </c>
      <c r="E2493" s="250">
        <v>2630.4169999999999</v>
      </c>
    </row>
    <row r="2494" spans="1:5" x14ac:dyDescent="0.35">
      <c r="A2494" s="1" t="s">
        <v>18142</v>
      </c>
      <c r="B2494" s="1" t="s">
        <v>19</v>
      </c>
      <c r="C2494" s="1" t="s">
        <v>11486</v>
      </c>
      <c r="D2494" s="1" t="s">
        <v>19</v>
      </c>
      <c r="E2494" s="250">
        <v>2630.4180000000001</v>
      </c>
    </row>
    <row r="2495" spans="1:5" x14ac:dyDescent="0.35">
      <c r="A2495" s="1" t="s">
        <v>18143</v>
      </c>
      <c r="B2495" s="1" t="s">
        <v>19</v>
      </c>
      <c r="C2495" s="1" t="s">
        <v>11485</v>
      </c>
      <c r="D2495" s="1" t="s">
        <v>19</v>
      </c>
      <c r="E2495" s="250">
        <v>2630.4189999999999</v>
      </c>
    </row>
    <row r="2496" spans="1:5" x14ac:dyDescent="0.35">
      <c r="A2496" s="1" t="s">
        <v>18144</v>
      </c>
      <c r="B2496" s="1" t="s">
        <v>19</v>
      </c>
      <c r="C2496" s="1" t="s">
        <v>11484</v>
      </c>
      <c r="D2496" s="1" t="s">
        <v>19</v>
      </c>
      <c r="E2496" s="250">
        <v>2630.42</v>
      </c>
    </row>
    <row r="2497" spans="1:5" x14ac:dyDescent="0.35">
      <c r="A2497" s="1" t="s">
        <v>18145</v>
      </c>
      <c r="B2497" s="1" t="s">
        <v>19</v>
      </c>
      <c r="C2497" s="1" t="s">
        <v>11483</v>
      </c>
      <c r="D2497" s="1" t="s">
        <v>19</v>
      </c>
      <c r="E2497" s="250">
        <v>2630.4209999999998</v>
      </c>
    </row>
    <row r="2498" spans="1:5" x14ac:dyDescent="0.35">
      <c r="A2498" s="1" t="s">
        <v>18146</v>
      </c>
      <c r="B2498" s="1" t="s">
        <v>19</v>
      </c>
      <c r="C2498" s="1" t="s">
        <v>11482</v>
      </c>
      <c r="D2498" s="1" t="s">
        <v>19</v>
      </c>
      <c r="E2498" s="250">
        <v>2630.422</v>
      </c>
    </row>
    <row r="2499" spans="1:5" x14ac:dyDescent="0.35">
      <c r="A2499" s="1" t="s">
        <v>18147</v>
      </c>
      <c r="B2499" s="1" t="s">
        <v>19</v>
      </c>
      <c r="C2499" s="1" t="s">
        <v>11481</v>
      </c>
      <c r="D2499" s="1" t="s">
        <v>19</v>
      </c>
      <c r="E2499" s="250">
        <v>2630.4229999999998</v>
      </c>
    </row>
    <row r="2500" spans="1:5" x14ac:dyDescent="0.35">
      <c r="A2500" s="1" t="s">
        <v>18148</v>
      </c>
      <c r="B2500" s="1" t="s">
        <v>19</v>
      </c>
      <c r="C2500" s="1" t="s">
        <v>11480</v>
      </c>
      <c r="D2500" s="1" t="s">
        <v>19</v>
      </c>
      <c r="E2500" s="250">
        <v>2630.424</v>
      </c>
    </row>
    <row r="2501" spans="1:5" x14ac:dyDescent="0.35">
      <c r="A2501" s="1" t="s">
        <v>18149</v>
      </c>
      <c r="B2501" s="1" t="s">
        <v>19</v>
      </c>
      <c r="C2501" s="1" t="s">
        <v>11479</v>
      </c>
      <c r="D2501" s="1" t="s">
        <v>19</v>
      </c>
      <c r="E2501" s="250">
        <v>2630.4250000000002</v>
      </c>
    </row>
    <row r="2502" spans="1:5" x14ac:dyDescent="0.35">
      <c r="A2502" s="1" t="s">
        <v>18150</v>
      </c>
      <c r="B2502" s="1" t="s">
        <v>19</v>
      </c>
      <c r="C2502" s="1" t="s">
        <v>11478</v>
      </c>
      <c r="D2502" s="1" t="s">
        <v>19</v>
      </c>
      <c r="E2502" s="250">
        <v>2630.4259999999999</v>
      </c>
    </row>
    <row r="2503" spans="1:5" x14ac:dyDescent="0.35">
      <c r="A2503" s="1" t="s">
        <v>18151</v>
      </c>
      <c r="B2503" s="1" t="s">
        <v>19</v>
      </c>
      <c r="C2503" s="1" t="s">
        <v>11477</v>
      </c>
      <c r="D2503" s="1" t="s">
        <v>19</v>
      </c>
      <c r="E2503" s="250">
        <v>2630.4270000000001</v>
      </c>
    </row>
    <row r="2504" spans="1:5" x14ac:dyDescent="0.35">
      <c r="A2504" s="1" t="s">
        <v>18152</v>
      </c>
      <c r="B2504" s="1" t="s">
        <v>19</v>
      </c>
      <c r="C2504" s="1" t="s">
        <v>11476</v>
      </c>
      <c r="D2504" s="1" t="s">
        <v>19</v>
      </c>
      <c r="E2504" s="250">
        <v>2630.4279999999999</v>
      </c>
    </row>
    <row r="2505" spans="1:5" x14ac:dyDescent="0.35">
      <c r="A2505" s="1" t="s">
        <v>18153</v>
      </c>
      <c r="B2505" s="1" t="s">
        <v>19</v>
      </c>
      <c r="C2505" s="1" t="s">
        <v>11475</v>
      </c>
      <c r="D2505" s="1" t="s">
        <v>19</v>
      </c>
      <c r="E2505" s="250">
        <v>2630.4290000000001</v>
      </c>
    </row>
    <row r="2506" spans="1:5" x14ac:dyDescent="0.35">
      <c r="A2506" s="1" t="s">
        <v>18154</v>
      </c>
      <c r="B2506" s="1" t="s">
        <v>19</v>
      </c>
      <c r="C2506" s="1" t="s">
        <v>11474</v>
      </c>
      <c r="D2506" s="1" t="s">
        <v>19</v>
      </c>
      <c r="E2506" s="250">
        <v>2630.43</v>
      </c>
    </row>
    <row r="2507" spans="1:5" x14ac:dyDescent="0.35">
      <c r="A2507" s="1" t="s">
        <v>18155</v>
      </c>
      <c r="B2507" s="1" t="s">
        <v>19</v>
      </c>
      <c r="C2507" s="1" t="s">
        <v>11473</v>
      </c>
      <c r="D2507" s="1" t="s">
        <v>19</v>
      </c>
      <c r="E2507" s="250">
        <v>2630.431</v>
      </c>
    </row>
    <row r="2508" spans="1:5" x14ac:dyDescent="0.35">
      <c r="A2508" s="1" t="s">
        <v>18156</v>
      </c>
      <c r="B2508" s="1" t="s">
        <v>19</v>
      </c>
      <c r="C2508" s="1" t="s">
        <v>11472</v>
      </c>
      <c r="D2508" s="1" t="s">
        <v>19</v>
      </c>
      <c r="E2508" s="250">
        <v>2630.4319999999998</v>
      </c>
    </row>
    <row r="2509" spans="1:5" x14ac:dyDescent="0.35">
      <c r="A2509" s="1" t="s">
        <v>18157</v>
      </c>
      <c r="B2509" s="1" t="s">
        <v>19</v>
      </c>
      <c r="C2509" s="1" t="s">
        <v>11471</v>
      </c>
      <c r="D2509" s="1" t="s">
        <v>19</v>
      </c>
      <c r="E2509" s="250">
        <v>2630.433</v>
      </c>
    </row>
    <row r="2510" spans="1:5" x14ac:dyDescent="0.35">
      <c r="A2510" s="1" t="s">
        <v>18158</v>
      </c>
      <c r="B2510" s="1" t="s">
        <v>19</v>
      </c>
      <c r="C2510" s="1" t="s">
        <v>11470</v>
      </c>
      <c r="D2510" s="1" t="s">
        <v>19</v>
      </c>
      <c r="E2510" s="250">
        <v>2630.4340000000002</v>
      </c>
    </row>
    <row r="2511" spans="1:5" x14ac:dyDescent="0.35">
      <c r="A2511" s="1" t="s">
        <v>18159</v>
      </c>
      <c r="B2511" s="1" t="s">
        <v>19</v>
      </c>
      <c r="C2511" s="1" t="s">
        <v>11469</v>
      </c>
      <c r="D2511" s="1" t="s">
        <v>19</v>
      </c>
      <c r="E2511" s="250">
        <v>2630.4349999999999</v>
      </c>
    </row>
    <row r="2512" spans="1:5" x14ac:dyDescent="0.35">
      <c r="A2512" s="1" t="s">
        <v>18160</v>
      </c>
      <c r="B2512" s="1" t="s">
        <v>19</v>
      </c>
      <c r="C2512" s="1" t="s">
        <v>11468</v>
      </c>
      <c r="D2512" s="1" t="s">
        <v>19</v>
      </c>
      <c r="E2512" s="250">
        <v>2630.4360000000001</v>
      </c>
    </row>
    <row r="2513" spans="1:5" x14ac:dyDescent="0.35">
      <c r="A2513" s="1" t="s">
        <v>18161</v>
      </c>
      <c r="B2513" s="1" t="s">
        <v>19</v>
      </c>
      <c r="C2513" s="1" t="s">
        <v>11467</v>
      </c>
      <c r="D2513" s="1" t="s">
        <v>19</v>
      </c>
      <c r="E2513" s="250">
        <v>2630.4369999999999</v>
      </c>
    </row>
    <row r="2514" spans="1:5" x14ac:dyDescent="0.35">
      <c r="A2514" s="1" t="s">
        <v>18162</v>
      </c>
      <c r="B2514" s="1" t="s">
        <v>19</v>
      </c>
      <c r="C2514" s="1" t="s">
        <v>11466</v>
      </c>
      <c r="D2514" s="1" t="s">
        <v>19</v>
      </c>
      <c r="E2514" s="250">
        <v>2630.4380000000001</v>
      </c>
    </row>
    <row r="2515" spans="1:5" x14ac:dyDescent="0.35">
      <c r="A2515" s="1" t="s">
        <v>18163</v>
      </c>
      <c r="B2515" s="1" t="s">
        <v>19</v>
      </c>
      <c r="C2515" s="1" t="s">
        <v>11465</v>
      </c>
      <c r="D2515" s="1" t="s">
        <v>19</v>
      </c>
      <c r="E2515" s="250">
        <v>2630.451</v>
      </c>
    </row>
    <row r="2516" spans="1:5" x14ac:dyDescent="0.35">
      <c r="A2516" s="1" t="s">
        <v>18164</v>
      </c>
      <c r="B2516" s="1" t="s">
        <v>19</v>
      </c>
      <c r="C2516" s="1" t="s">
        <v>11464</v>
      </c>
      <c r="D2516" s="1" t="s">
        <v>19</v>
      </c>
      <c r="E2516" s="250">
        <v>2630.4520000000002</v>
      </c>
    </row>
    <row r="2517" spans="1:5" x14ac:dyDescent="0.35">
      <c r="A2517" s="1" t="s">
        <v>18165</v>
      </c>
      <c r="B2517" s="1" t="s">
        <v>19</v>
      </c>
      <c r="C2517" s="1" t="s">
        <v>11463</v>
      </c>
      <c r="D2517" s="1" t="s">
        <v>19</v>
      </c>
      <c r="E2517" s="250">
        <v>2630.453</v>
      </c>
    </row>
    <row r="2518" spans="1:5" x14ac:dyDescent="0.35">
      <c r="A2518" s="1" t="s">
        <v>18166</v>
      </c>
      <c r="B2518" s="1" t="s">
        <v>19</v>
      </c>
      <c r="C2518" s="1" t="s">
        <v>11462</v>
      </c>
      <c r="D2518" s="1" t="s">
        <v>19</v>
      </c>
      <c r="E2518" s="250">
        <v>2630.4540000000002</v>
      </c>
    </row>
    <row r="2519" spans="1:5" x14ac:dyDescent="0.35">
      <c r="A2519" s="1" t="s">
        <v>18167</v>
      </c>
      <c r="B2519" s="1" t="s">
        <v>19</v>
      </c>
      <c r="C2519" s="1" t="s">
        <v>11461</v>
      </c>
      <c r="D2519" s="1" t="s">
        <v>19</v>
      </c>
      <c r="E2519" s="250">
        <v>2630.4549999999999</v>
      </c>
    </row>
    <row r="2520" spans="1:5" x14ac:dyDescent="0.35">
      <c r="A2520" s="1" t="s">
        <v>18168</v>
      </c>
      <c r="B2520" s="1" t="s">
        <v>19</v>
      </c>
      <c r="C2520" s="1" t="s">
        <v>11460</v>
      </c>
      <c r="D2520" s="1" t="s">
        <v>19</v>
      </c>
      <c r="E2520" s="250">
        <v>2630.4560000000001</v>
      </c>
    </row>
    <row r="2521" spans="1:5" x14ac:dyDescent="0.35">
      <c r="A2521" s="1" t="s">
        <v>18169</v>
      </c>
      <c r="B2521" s="1" t="s">
        <v>19</v>
      </c>
      <c r="C2521" s="1" t="s">
        <v>11459</v>
      </c>
      <c r="D2521" s="1" t="s">
        <v>19</v>
      </c>
      <c r="E2521" s="250">
        <v>2630.4569999999999</v>
      </c>
    </row>
    <row r="2522" spans="1:5" x14ac:dyDescent="0.35">
      <c r="A2522" s="1" t="s">
        <v>18170</v>
      </c>
      <c r="B2522" s="1" t="s">
        <v>19</v>
      </c>
      <c r="C2522" s="1" t="s">
        <v>11458</v>
      </c>
      <c r="D2522" s="1" t="s">
        <v>19</v>
      </c>
      <c r="E2522" s="250">
        <v>2630.4580000000001</v>
      </c>
    </row>
    <row r="2523" spans="1:5" x14ac:dyDescent="0.35">
      <c r="A2523" s="1" t="s">
        <v>18171</v>
      </c>
      <c r="B2523" s="1" t="s">
        <v>19</v>
      </c>
      <c r="C2523" s="1" t="s">
        <v>11457</v>
      </c>
      <c r="D2523" s="1" t="s">
        <v>19</v>
      </c>
      <c r="E2523" s="250">
        <v>2630.4589999999998</v>
      </c>
    </row>
    <row r="2524" spans="1:5" x14ac:dyDescent="0.35">
      <c r="A2524" s="1" t="s">
        <v>18172</v>
      </c>
      <c r="B2524" s="1" t="s">
        <v>19</v>
      </c>
      <c r="C2524" s="1" t="s">
        <v>11456</v>
      </c>
      <c r="D2524" s="1" t="s">
        <v>19</v>
      </c>
      <c r="E2524" s="250">
        <v>2630.46</v>
      </c>
    </row>
    <row r="2525" spans="1:5" x14ac:dyDescent="0.35">
      <c r="A2525" s="1" t="s">
        <v>18173</v>
      </c>
      <c r="B2525" s="1" t="s">
        <v>19</v>
      </c>
      <c r="C2525" s="1" t="s">
        <v>11455</v>
      </c>
      <c r="D2525" s="1" t="s">
        <v>19</v>
      </c>
      <c r="E2525" s="250">
        <v>2630.4609999999998</v>
      </c>
    </row>
    <row r="2526" spans="1:5" x14ac:dyDescent="0.35">
      <c r="A2526" s="1" t="s">
        <v>18174</v>
      </c>
      <c r="B2526" s="1" t="s">
        <v>19</v>
      </c>
      <c r="C2526" s="1" t="s">
        <v>11454</v>
      </c>
      <c r="D2526" s="1" t="s">
        <v>19</v>
      </c>
      <c r="E2526" s="250">
        <v>2630.462</v>
      </c>
    </row>
    <row r="2527" spans="1:5" x14ac:dyDescent="0.35">
      <c r="A2527" s="1" t="s">
        <v>18175</v>
      </c>
      <c r="B2527" s="1" t="s">
        <v>19</v>
      </c>
      <c r="C2527" s="1" t="s">
        <v>11453</v>
      </c>
      <c r="D2527" s="1" t="s">
        <v>19</v>
      </c>
      <c r="E2527" s="250">
        <v>2630.4630000000002</v>
      </c>
    </row>
    <row r="2528" spans="1:5" x14ac:dyDescent="0.35">
      <c r="A2528" s="1" t="s">
        <v>18176</v>
      </c>
      <c r="B2528" s="1" t="s">
        <v>19</v>
      </c>
      <c r="C2528" s="1" t="s">
        <v>11452</v>
      </c>
      <c r="D2528" s="1" t="s">
        <v>19</v>
      </c>
      <c r="E2528" s="250">
        <v>2630.4639999999999</v>
      </c>
    </row>
    <row r="2529" spans="1:5" x14ac:dyDescent="0.35">
      <c r="A2529" s="1" t="s">
        <v>18177</v>
      </c>
      <c r="B2529" s="1" t="s">
        <v>19</v>
      </c>
      <c r="C2529" s="1" t="s">
        <v>11451</v>
      </c>
      <c r="D2529" s="1" t="s">
        <v>19</v>
      </c>
      <c r="E2529" s="250">
        <v>2630.4650000000001</v>
      </c>
    </row>
    <row r="2530" spans="1:5" x14ac:dyDescent="0.35">
      <c r="A2530" s="1" t="s">
        <v>18178</v>
      </c>
      <c r="B2530" s="1" t="s">
        <v>19</v>
      </c>
      <c r="C2530" s="1" t="s">
        <v>11450</v>
      </c>
      <c r="D2530" s="1" t="s">
        <v>19</v>
      </c>
      <c r="E2530" s="250">
        <v>2630.4659999999999</v>
      </c>
    </row>
    <row r="2531" spans="1:5" x14ac:dyDescent="0.35">
      <c r="A2531" s="1" t="s">
        <v>18179</v>
      </c>
      <c r="B2531" s="1" t="s">
        <v>19</v>
      </c>
      <c r="C2531" s="1" t="s">
        <v>11449</v>
      </c>
      <c r="D2531" s="1" t="s">
        <v>19</v>
      </c>
      <c r="E2531" s="250">
        <v>2630.4670000000001</v>
      </c>
    </row>
    <row r="2532" spans="1:5" x14ac:dyDescent="0.35">
      <c r="A2532" s="1" t="s">
        <v>18180</v>
      </c>
      <c r="B2532" s="1" t="s">
        <v>19</v>
      </c>
      <c r="C2532" s="1" t="s">
        <v>11448</v>
      </c>
      <c r="D2532" s="1" t="s">
        <v>19</v>
      </c>
      <c r="E2532" s="250">
        <v>2630.4679999999998</v>
      </c>
    </row>
    <row r="2533" spans="1:5" x14ac:dyDescent="0.35">
      <c r="A2533" s="1" t="s">
        <v>18181</v>
      </c>
      <c r="B2533" s="1" t="s">
        <v>19</v>
      </c>
      <c r="C2533" s="1" t="s">
        <v>11447</v>
      </c>
      <c r="D2533" s="1" t="s">
        <v>19</v>
      </c>
      <c r="E2533" s="250">
        <v>2630.4690000000001</v>
      </c>
    </row>
    <row r="2534" spans="1:5" x14ac:dyDescent="0.35">
      <c r="A2534" s="1" t="s">
        <v>18182</v>
      </c>
      <c r="B2534" s="1" t="s">
        <v>19</v>
      </c>
      <c r="C2534" s="1" t="s">
        <v>11446</v>
      </c>
      <c r="D2534" s="1" t="s">
        <v>19</v>
      </c>
      <c r="E2534" s="250">
        <v>2630.47</v>
      </c>
    </row>
    <row r="2535" spans="1:5" x14ac:dyDescent="0.35">
      <c r="A2535" s="1" t="s">
        <v>18183</v>
      </c>
      <c r="B2535" s="1" t="s">
        <v>19</v>
      </c>
      <c r="C2535" s="1" t="s">
        <v>11445</v>
      </c>
      <c r="D2535" s="1" t="s">
        <v>19</v>
      </c>
      <c r="E2535" s="250">
        <v>2630.471</v>
      </c>
    </row>
    <row r="2536" spans="1:5" x14ac:dyDescent="0.35">
      <c r="A2536" s="1" t="s">
        <v>18184</v>
      </c>
      <c r="B2536" s="1" t="s">
        <v>19</v>
      </c>
      <c r="C2536" s="1" t="s">
        <v>11444</v>
      </c>
      <c r="D2536" s="1" t="s">
        <v>19</v>
      </c>
      <c r="E2536" s="250">
        <v>2630.4720000000002</v>
      </c>
    </row>
    <row r="2537" spans="1:5" x14ac:dyDescent="0.35">
      <c r="A2537" s="1" t="s">
        <v>18185</v>
      </c>
      <c r="B2537" s="1" t="s">
        <v>19</v>
      </c>
      <c r="C2537" s="1" t="s">
        <v>11443</v>
      </c>
      <c r="D2537" s="1" t="s">
        <v>19</v>
      </c>
      <c r="E2537" s="250">
        <v>2630.473</v>
      </c>
    </row>
    <row r="2538" spans="1:5" x14ac:dyDescent="0.35">
      <c r="A2538" s="1" t="s">
        <v>18186</v>
      </c>
      <c r="B2538" s="1" t="s">
        <v>19</v>
      </c>
      <c r="C2538" s="1" t="s">
        <v>11442</v>
      </c>
      <c r="D2538" s="1" t="s">
        <v>19</v>
      </c>
      <c r="E2538" s="250">
        <v>2630.4740000000002</v>
      </c>
    </row>
    <row r="2539" spans="1:5" x14ac:dyDescent="0.35">
      <c r="A2539" s="1" t="s">
        <v>18187</v>
      </c>
      <c r="B2539" s="1" t="s">
        <v>19</v>
      </c>
      <c r="C2539" s="1" t="s">
        <v>11441</v>
      </c>
      <c r="D2539" s="1" t="s">
        <v>19</v>
      </c>
      <c r="E2539" s="250">
        <v>2630.4749999999999</v>
      </c>
    </row>
    <row r="2540" spans="1:5" x14ac:dyDescent="0.35">
      <c r="A2540" s="1" t="s">
        <v>18188</v>
      </c>
      <c r="B2540" s="1" t="s">
        <v>19</v>
      </c>
      <c r="C2540" s="1" t="s">
        <v>11440</v>
      </c>
      <c r="D2540" s="1" t="s">
        <v>19</v>
      </c>
      <c r="E2540" s="250">
        <v>2630.4760000000001</v>
      </c>
    </row>
    <row r="2541" spans="1:5" x14ac:dyDescent="0.35">
      <c r="A2541" s="1" t="s">
        <v>18189</v>
      </c>
      <c r="B2541" s="1" t="s">
        <v>19</v>
      </c>
      <c r="C2541" s="1" t="s">
        <v>11439</v>
      </c>
      <c r="D2541" s="1" t="s">
        <v>19</v>
      </c>
      <c r="E2541" s="250">
        <v>2630.4769999999999</v>
      </c>
    </row>
    <row r="2542" spans="1:5" x14ac:dyDescent="0.35">
      <c r="A2542" s="1" t="s">
        <v>18190</v>
      </c>
      <c r="B2542" s="1" t="s">
        <v>19</v>
      </c>
      <c r="C2542" s="1" t="s">
        <v>11438</v>
      </c>
      <c r="D2542" s="1" t="s">
        <v>19</v>
      </c>
      <c r="E2542" s="250">
        <v>2630.4780000000001</v>
      </c>
    </row>
    <row r="2543" spans="1:5" x14ac:dyDescent="0.35">
      <c r="A2543" s="1" t="s">
        <v>18191</v>
      </c>
      <c r="B2543" s="1" t="s">
        <v>19</v>
      </c>
      <c r="C2543" s="1" t="s">
        <v>11437</v>
      </c>
      <c r="D2543" s="1" t="s">
        <v>19</v>
      </c>
      <c r="E2543" s="250">
        <v>2630.4789999999998</v>
      </c>
    </row>
    <row r="2544" spans="1:5" x14ac:dyDescent="0.35">
      <c r="A2544" s="1" t="s">
        <v>18192</v>
      </c>
      <c r="B2544" s="1" t="s">
        <v>19</v>
      </c>
      <c r="C2544" s="1" t="s">
        <v>11436</v>
      </c>
      <c r="D2544" s="1" t="s">
        <v>19</v>
      </c>
      <c r="E2544" s="250">
        <v>2630.48</v>
      </c>
    </row>
    <row r="2545" spans="1:5" x14ac:dyDescent="0.35">
      <c r="A2545" s="1" t="s">
        <v>18193</v>
      </c>
      <c r="B2545" s="1" t="s">
        <v>19</v>
      </c>
      <c r="C2545" s="1" t="s">
        <v>11435</v>
      </c>
      <c r="D2545" s="1" t="s">
        <v>19</v>
      </c>
      <c r="E2545" s="250">
        <v>2630.4810000000002</v>
      </c>
    </row>
    <row r="2546" spans="1:5" x14ac:dyDescent="0.35">
      <c r="A2546" s="1" t="s">
        <v>18194</v>
      </c>
      <c r="B2546" s="1" t="s">
        <v>19</v>
      </c>
      <c r="C2546" s="1" t="s">
        <v>11434</v>
      </c>
      <c r="D2546" s="1" t="s">
        <v>19</v>
      </c>
      <c r="E2546" s="250">
        <v>2630.482</v>
      </c>
    </row>
    <row r="2547" spans="1:5" x14ac:dyDescent="0.35">
      <c r="A2547" s="1" t="s">
        <v>18195</v>
      </c>
      <c r="B2547" s="1" t="s">
        <v>19</v>
      </c>
      <c r="C2547" s="1" t="s">
        <v>11433</v>
      </c>
      <c r="D2547" s="1" t="s">
        <v>19</v>
      </c>
      <c r="E2547" s="250">
        <v>2630.4830000000002</v>
      </c>
    </row>
    <row r="2548" spans="1:5" x14ac:dyDescent="0.35">
      <c r="A2548" s="1" t="s">
        <v>18196</v>
      </c>
      <c r="B2548" s="1" t="s">
        <v>19</v>
      </c>
      <c r="C2548" s="1" t="s">
        <v>11432</v>
      </c>
      <c r="D2548" s="1" t="s">
        <v>19</v>
      </c>
      <c r="E2548" s="250">
        <v>2630.4839999999999</v>
      </c>
    </row>
    <row r="2549" spans="1:5" x14ac:dyDescent="0.35">
      <c r="A2549" s="1" t="s">
        <v>18197</v>
      </c>
      <c r="B2549" s="1" t="s">
        <v>19</v>
      </c>
      <c r="C2549" s="1" t="s">
        <v>11431</v>
      </c>
      <c r="D2549" s="1" t="s">
        <v>19</v>
      </c>
      <c r="E2549" s="250">
        <v>2630.4850000000001</v>
      </c>
    </row>
    <row r="2550" spans="1:5" x14ac:dyDescent="0.35">
      <c r="A2550" s="1" t="s">
        <v>18198</v>
      </c>
      <c r="B2550" s="1" t="s">
        <v>19</v>
      </c>
      <c r="C2550" s="1" t="s">
        <v>11430</v>
      </c>
      <c r="D2550" s="1" t="s">
        <v>19</v>
      </c>
      <c r="E2550" s="250">
        <v>2630.4859999999999</v>
      </c>
    </row>
    <row r="2551" spans="1:5" x14ac:dyDescent="0.35">
      <c r="A2551" s="1" t="s">
        <v>18199</v>
      </c>
      <c r="B2551" s="1" t="s">
        <v>19</v>
      </c>
      <c r="C2551" s="1" t="s">
        <v>11429</v>
      </c>
      <c r="D2551" s="1" t="s">
        <v>19</v>
      </c>
      <c r="E2551" s="250">
        <v>2630.4870000000001</v>
      </c>
    </row>
    <row r="2552" spans="1:5" x14ac:dyDescent="0.35">
      <c r="A2552" s="1" t="s">
        <v>18200</v>
      </c>
      <c r="B2552" s="1" t="s">
        <v>19</v>
      </c>
      <c r="C2552" s="1" t="s">
        <v>11428</v>
      </c>
      <c r="D2552" s="1" t="s">
        <v>19</v>
      </c>
      <c r="E2552" s="250">
        <v>2630.4879999999998</v>
      </c>
    </row>
    <row r="2553" spans="1:5" x14ac:dyDescent="0.35">
      <c r="A2553" s="1" t="s">
        <v>18201</v>
      </c>
      <c r="B2553" s="1" t="s">
        <v>19</v>
      </c>
      <c r="C2553" s="1" t="s">
        <v>11427</v>
      </c>
      <c r="D2553" s="1" t="s">
        <v>19</v>
      </c>
      <c r="E2553" s="250">
        <v>2630.5010000000002</v>
      </c>
    </row>
    <row r="2554" spans="1:5" x14ac:dyDescent="0.35">
      <c r="A2554" s="1" t="s">
        <v>18202</v>
      </c>
      <c r="B2554" s="1" t="s">
        <v>19</v>
      </c>
      <c r="C2554" s="1" t="s">
        <v>11426</v>
      </c>
      <c r="D2554" s="1" t="s">
        <v>19</v>
      </c>
      <c r="E2554" s="250">
        <v>2630.502</v>
      </c>
    </row>
    <row r="2555" spans="1:5" x14ac:dyDescent="0.35">
      <c r="A2555" s="1" t="s">
        <v>18203</v>
      </c>
      <c r="B2555" s="1" t="s">
        <v>19</v>
      </c>
      <c r="C2555" s="1" t="s">
        <v>11425</v>
      </c>
      <c r="D2555" s="1" t="s">
        <v>19</v>
      </c>
      <c r="E2555" s="250">
        <v>2630.5030000000002</v>
      </c>
    </row>
    <row r="2556" spans="1:5" x14ac:dyDescent="0.35">
      <c r="A2556" s="1" t="s">
        <v>18204</v>
      </c>
      <c r="B2556" s="1" t="s">
        <v>19</v>
      </c>
      <c r="C2556" s="1" t="s">
        <v>11424</v>
      </c>
      <c r="D2556" s="1" t="s">
        <v>19</v>
      </c>
      <c r="E2556" s="250">
        <v>2630.5039999999999</v>
      </c>
    </row>
    <row r="2557" spans="1:5" x14ac:dyDescent="0.35">
      <c r="A2557" s="1" t="s">
        <v>18205</v>
      </c>
      <c r="B2557" s="1" t="s">
        <v>19</v>
      </c>
      <c r="C2557" s="1" t="s">
        <v>11423</v>
      </c>
      <c r="D2557" s="1" t="s">
        <v>19</v>
      </c>
      <c r="E2557" s="250">
        <v>2630.5050000000001</v>
      </c>
    </row>
    <row r="2558" spans="1:5" x14ac:dyDescent="0.35">
      <c r="A2558" s="1" t="s">
        <v>18206</v>
      </c>
      <c r="B2558" s="1" t="s">
        <v>19</v>
      </c>
      <c r="C2558" s="1" t="s">
        <v>11422</v>
      </c>
      <c r="D2558" s="1" t="s">
        <v>19</v>
      </c>
      <c r="E2558" s="250">
        <v>2630.5059999999999</v>
      </c>
    </row>
    <row r="2559" spans="1:5" x14ac:dyDescent="0.35">
      <c r="A2559" s="1" t="s">
        <v>18207</v>
      </c>
      <c r="B2559" s="1" t="s">
        <v>19</v>
      </c>
      <c r="C2559" s="1" t="s">
        <v>11421</v>
      </c>
      <c r="D2559" s="1" t="s">
        <v>19</v>
      </c>
      <c r="E2559" s="250">
        <v>2630.5070000000001</v>
      </c>
    </row>
    <row r="2560" spans="1:5" x14ac:dyDescent="0.35">
      <c r="A2560" s="1" t="s">
        <v>18208</v>
      </c>
      <c r="B2560" s="1" t="s">
        <v>19</v>
      </c>
      <c r="C2560" s="1" t="s">
        <v>11420</v>
      </c>
      <c r="D2560" s="1" t="s">
        <v>19</v>
      </c>
      <c r="E2560" s="250">
        <v>2630.5079999999998</v>
      </c>
    </row>
    <row r="2561" spans="1:5" x14ac:dyDescent="0.35">
      <c r="A2561" s="1" t="s">
        <v>18209</v>
      </c>
      <c r="B2561" s="1" t="s">
        <v>19</v>
      </c>
      <c r="C2561" s="1" t="s">
        <v>11419</v>
      </c>
      <c r="D2561" s="1" t="s">
        <v>19</v>
      </c>
      <c r="E2561" s="250">
        <v>2630.509</v>
      </c>
    </row>
    <row r="2562" spans="1:5" x14ac:dyDescent="0.35">
      <c r="A2562" s="1" t="s">
        <v>18210</v>
      </c>
      <c r="B2562" s="1" t="s">
        <v>19</v>
      </c>
      <c r="C2562" s="1" t="s">
        <v>11418</v>
      </c>
      <c r="D2562" s="1" t="s">
        <v>19</v>
      </c>
      <c r="E2562" s="250">
        <v>2630.51</v>
      </c>
    </row>
    <row r="2563" spans="1:5" x14ac:dyDescent="0.35">
      <c r="A2563" s="1" t="s">
        <v>18211</v>
      </c>
      <c r="B2563" s="1" t="s">
        <v>19</v>
      </c>
      <c r="C2563" s="1" t="s">
        <v>11417</v>
      </c>
      <c r="D2563" s="1" t="s">
        <v>19</v>
      </c>
      <c r="E2563" s="250">
        <v>2630.511</v>
      </c>
    </row>
    <row r="2564" spans="1:5" x14ac:dyDescent="0.35">
      <c r="A2564" s="1" t="s">
        <v>18212</v>
      </c>
      <c r="B2564" s="1" t="s">
        <v>19</v>
      </c>
      <c r="C2564" s="1" t="s">
        <v>11416</v>
      </c>
      <c r="D2564" s="1" t="s">
        <v>19</v>
      </c>
      <c r="E2564" s="250">
        <v>2630.5120000000002</v>
      </c>
    </row>
    <row r="2565" spans="1:5" x14ac:dyDescent="0.35">
      <c r="A2565" s="1" t="s">
        <v>18213</v>
      </c>
      <c r="B2565" s="1" t="s">
        <v>19</v>
      </c>
      <c r="C2565" s="1" t="s">
        <v>11415</v>
      </c>
      <c r="D2565" s="1" t="s">
        <v>19</v>
      </c>
      <c r="E2565" s="250">
        <v>2630.5129999999999</v>
      </c>
    </row>
    <row r="2566" spans="1:5" x14ac:dyDescent="0.35">
      <c r="A2566" s="1" t="s">
        <v>18214</v>
      </c>
      <c r="B2566" s="1" t="s">
        <v>19</v>
      </c>
      <c r="C2566" s="1" t="s">
        <v>11414</v>
      </c>
      <c r="D2566" s="1" t="s">
        <v>19</v>
      </c>
      <c r="E2566" s="250">
        <v>2630.5140000000001</v>
      </c>
    </row>
    <row r="2567" spans="1:5" x14ac:dyDescent="0.35">
      <c r="A2567" s="1" t="s">
        <v>18215</v>
      </c>
      <c r="B2567" s="1" t="s">
        <v>19</v>
      </c>
      <c r="C2567" s="1" t="s">
        <v>11413</v>
      </c>
      <c r="D2567" s="1" t="s">
        <v>19</v>
      </c>
      <c r="E2567" s="250">
        <v>2630.5149999999999</v>
      </c>
    </row>
    <row r="2568" spans="1:5" x14ac:dyDescent="0.35">
      <c r="A2568" s="1" t="s">
        <v>18216</v>
      </c>
      <c r="B2568" s="1" t="s">
        <v>19</v>
      </c>
      <c r="C2568" s="1" t="s">
        <v>11412</v>
      </c>
      <c r="D2568" s="1" t="s">
        <v>19</v>
      </c>
      <c r="E2568" s="250">
        <v>2630.5160000000001</v>
      </c>
    </row>
    <row r="2569" spans="1:5" x14ac:dyDescent="0.35">
      <c r="A2569" s="1" t="s">
        <v>18217</v>
      </c>
      <c r="B2569" s="1" t="s">
        <v>19</v>
      </c>
      <c r="C2569" s="1" t="s">
        <v>11411</v>
      </c>
      <c r="D2569" s="1" t="s">
        <v>19</v>
      </c>
      <c r="E2569" s="250">
        <v>2630.5169999999998</v>
      </c>
    </row>
    <row r="2570" spans="1:5" x14ac:dyDescent="0.35">
      <c r="A2570" s="1" t="s">
        <v>18218</v>
      </c>
      <c r="B2570" s="1" t="s">
        <v>19</v>
      </c>
      <c r="C2570" s="1" t="s">
        <v>11410</v>
      </c>
      <c r="D2570" s="1" t="s">
        <v>19</v>
      </c>
      <c r="E2570" s="250">
        <v>2630.518</v>
      </c>
    </row>
    <row r="2571" spans="1:5" x14ac:dyDescent="0.35">
      <c r="A2571" s="1" t="s">
        <v>18219</v>
      </c>
      <c r="B2571" s="1" t="s">
        <v>19</v>
      </c>
      <c r="C2571" s="1" t="s">
        <v>11409</v>
      </c>
      <c r="D2571" s="1" t="s">
        <v>19</v>
      </c>
      <c r="E2571" s="250">
        <v>2630.5189999999998</v>
      </c>
    </row>
    <row r="2572" spans="1:5" x14ac:dyDescent="0.35">
      <c r="A2572" s="1" t="s">
        <v>18220</v>
      </c>
      <c r="B2572" s="1" t="s">
        <v>19</v>
      </c>
      <c r="C2572" s="1" t="s">
        <v>11408</v>
      </c>
      <c r="D2572" s="1" t="s">
        <v>19</v>
      </c>
      <c r="E2572" s="250">
        <v>2630.52</v>
      </c>
    </row>
    <row r="2573" spans="1:5" x14ac:dyDescent="0.35">
      <c r="A2573" s="1" t="s">
        <v>18221</v>
      </c>
      <c r="B2573" s="1" t="s">
        <v>19</v>
      </c>
      <c r="C2573" s="1" t="s">
        <v>11407</v>
      </c>
      <c r="D2573" s="1" t="s">
        <v>19</v>
      </c>
      <c r="E2573" s="250">
        <v>2630.5210000000002</v>
      </c>
    </row>
    <row r="2574" spans="1:5" x14ac:dyDescent="0.35">
      <c r="A2574" s="1" t="s">
        <v>18222</v>
      </c>
      <c r="B2574" s="1" t="s">
        <v>19</v>
      </c>
      <c r="C2574" s="1" t="s">
        <v>11406</v>
      </c>
      <c r="D2574" s="1" t="s">
        <v>19</v>
      </c>
      <c r="E2574" s="250">
        <v>2630.5219999999999</v>
      </c>
    </row>
    <row r="2575" spans="1:5" x14ac:dyDescent="0.35">
      <c r="A2575" s="1" t="s">
        <v>18223</v>
      </c>
      <c r="B2575" s="1" t="s">
        <v>19</v>
      </c>
      <c r="C2575" s="1" t="s">
        <v>11405</v>
      </c>
      <c r="D2575" s="1" t="s">
        <v>19</v>
      </c>
      <c r="E2575" s="250">
        <v>2630.5230000000001</v>
      </c>
    </row>
    <row r="2576" spans="1:5" x14ac:dyDescent="0.35">
      <c r="A2576" s="1" t="s">
        <v>18224</v>
      </c>
      <c r="B2576" s="1" t="s">
        <v>19</v>
      </c>
      <c r="C2576" s="1" t="s">
        <v>11404</v>
      </c>
      <c r="D2576" s="1" t="s">
        <v>19</v>
      </c>
      <c r="E2576" s="250">
        <v>2630.5239999999999</v>
      </c>
    </row>
    <row r="2577" spans="1:5" x14ac:dyDescent="0.35">
      <c r="A2577" s="1" t="s">
        <v>18225</v>
      </c>
      <c r="B2577" s="1" t="s">
        <v>19</v>
      </c>
      <c r="C2577" s="1" t="s">
        <v>11403</v>
      </c>
      <c r="D2577" s="1" t="s">
        <v>19</v>
      </c>
      <c r="E2577" s="250">
        <v>2630.5250000000001</v>
      </c>
    </row>
    <row r="2578" spans="1:5" x14ac:dyDescent="0.35">
      <c r="A2578" s="1" t="s">
        <v>18226</v>
      </c>
      <c r="B2578" s="1" t="s">
        <v>19</v>
      </c>
      <c r="C2578" s="1" t="s">
        <v>11402</v>
      </c>
      <c r="D2578" s="1" t="s">
        <v>19</v>
      </c>
      <c r="E2578" s="250">
        <v>2630.5259999999998</v>
      </c>
    </row>
    <row r="2579" spans="1:5" x14ac:dyDescent="0.35">
      <c r="A2579" s="1" t="s">
        <v>18227</v>
      </c>
      <c r="B2579" s="1" t="s">
        <v>19</v>
      </c>
      <c r="C2579" s="1" t="s">
        <v>11401</v>
      </c>
      <c r="D2579" s="1" t="s">
        <v>19</v>
      </c>
      <c r="E2579" s="250">
        <v>2630.527</v>
      </c>
    </row>
    <row r="2580" spans="1:5" x14ac:dyDescent="0.35">
      <c r="A2580" s="1" t="s">
        <v>18228</v>
      </c>
      <c r="B2580" s="1" t="s">
        <v>19</v>
      </c>
      <c r="C2580" s="1" t="s">
        <v>11400</v>
      </c>
      <c r="D2580" s="1" t="s">
        <v>19</v>
      </c>
      <c r="E2580" s="250">
        <v>2630.5279999999998</v>
      </c>
    </row>
    <row r="2581" spans="1:5" x14ac:dyDescent="0.35">
      <c r="A2581" s="1" t="s">
        <v>18229</v>
      </c>
      <c r="B2581" s="1" t="s">
        <v>19</v>
      </c>
      <c r="C2581" s="1" t="s">
        <v>11399</v>
      </c>
      <c r="D2581" s="1" t="s">
        <v>19</v>
      </c>
      <c r="E2581" s="250">
        <v>2630.529</v>
      </c>
    </row>
    <row r="2582" spans="1:5" x14ac:dyDescent="0.35">
      <c r="A2582" s="1" t="s">
        <v>18230</v>
      </c>
      <c r="B2582" s="1" t="s">
        <v>19</v>
      </c>
      <c r="C2582" s="1" t="s">
        <v>11398</v>
      </c>
      <c r="D2582" s="1" t="s">
        <v>19</v>
      </c>
      <c r="E2582" s="250">
        <v>2630.53</v>
      </c>
    </row>
    <row r="2583" spans="1:5" x14ac:dyDescent="0.35">
      <c r="A2583" s="1" t="s">
        <v>18231</v>
      </c>
      <c r="B2583" s="1" t="s">
        <v>19</v>
      </c>
      <c r="C2583" s="1" t="s">
        <v>11397</v>
      </c>
      <c r="D2583" s="1" t="s">
        <v>19</v>
      </c>
      <c r="E2583" s="250">
        <v>2630.5309999999999</v>
      </c>
    </row>
    <row r="2584" spans="1:5" x14ac:dyDescent="0.35">
      <c r="A2584" s="1" t="s">
        <v>18232</v>
      </c>
      <c r="B2584" s="1" t="s">
        <v>19</v>
      </c>
      <c r="C2584" s="1" t="s">
        <v>11396</v>
      </c>
      <c r="D2584" s="1" t="s">
        <v>19</v>
      </c>
      <c r="E2584" s="250">
        <v>2630.5320000000002</v>
      </c>
    </row>
    <row r="2585" spans="1:5" x14ac:dyDescent="0.35">
      <c r="A2585" s="1" t="s">
        <v>18233</v>
      </c>
      <c r="B2585" s="1" t="s">
        <v>19</v>
      </c>
      <c r="C2585" s="1" t="s">
        <v>11395</v>
      </c>
      <c r="D2585" s="1" t="s">
        <v>19</v>
      </c>
      <c r="E2585" s="250">
        <v>2630.5329999999999</v>
      </c>
    </row>
    <row r="2586" spans="1:5" x14ac:dyDescent="0.35">
      <c r="A2586" s="1" t="s">
        <v>18234</v>
      </c>
      <c r="B2586" s="1" t="s">
        <v>19</v>
      </c>
      <c r="C2586" s="1" t="s">
        <v>11394</v>
      </c>
      <c r="D2586" s="1" t="s">
        <v>19</v>
      </c>
      <c r="E2586" s="250">
        <v>2630.5340000000001</v>
      </c>
    </row>
    <row r="2587" spans="1:5" x14ac:dyDescent="0.35">
      <c r="A2587" s="1" t="s">
        <v>18235</v>
      </c>
      <c r="B2587" s="1" t="s">
        <v>19</v>
      </c>
      <c r="C2587" s="1" t="s">
        <v>11393</v>
      </c>
      <c r="D2587" s="1" t="s">
        <v>19</v>
      </c>
      <c r="E2587" s="250">
        <v>2630.5349999999999</v>
      </c>
    </row>
    <row r="2588" spans="1:5" x14ac:dyDescent="0.35">
      <c r="A2588" s="1" t="s">
        <v>18236</v>
      </c>
      <c r="B2588" s="1" t="s">
        <v>19</v>
      </c>
      <c r="C2588" s="1" t="s">
        <v>11392</v>
      </c>
      <c r="D2588" s="1" t="s">
        <v>19</v>
      </c>
      <c r="E2588" s="250">
        <v>2630.5360000000001</v>
      </c>
    </row>
    <row r="2589" spans="1:5" x14ac:dyDescent="0.35">
      <c r="A2589" s="1" t="s">
        <v>18237</v>
      </c>
      <c r="B2589" s="1" t="s">
        <v>19</v>
      </c>
      <c r="C2589" s="1" t="s">
        <v>11391</v>
      </c>
      <c r="D2589" s="1" t="s">
        <v>19</v>
      </c>
      <c r="E2589" s="250">
        <v>2630.5369999999998</v>
      </c>
    </row>
    <row r="2590" spans="1:5" x14ac:dyDescent="0.35">
      <c r="A2590" s="1" t="s">
        <v>18238</v>
      </c>
      <c r="B2590" s="1" t="s">
        <v>19</v>
      </c>
      <c r="C2590" s="1" t="s">
        <v>11390</v>
      </c>
      <c r="D2590" s="1" t="s">
        <v>19</v>
      </c>
      <c r="E2590" s="250">
        <v>2630.538</v>
      </c>
    </row>
    <row r="2591" spans="1:5" x14ac:dyDescent="0.35">
      <c r="A2591" s="1" t="s">
        <v>18239</v>
      </c>
      <c r="B2591" s="1" t="s">
        <v>19</v>
      </c>
      <c r="C2591" s="1" t="s">
        <v>11389</v>
      </c>
      <c r="D2591" s="1" t="s">
        <v>19</v>
      </c>
      <c r="E2591" s="250">
        <v>2630.5509999999999</v>
      </c>
    </row>
    <row r="2592" spans="1:5" x14ac:dyDescent="0.35">
      <c r="A2592" s="1" t="s">
        <v>18240</v>
      </c>
      <c r="B2592" s="1" t="s">
        <v>19</v>
      </c>
      <c r="C2592" s="1" t="s">
        <v>11388</v>
      </c>
      <c r="D2592" s="1" t="s">
        <v>19</v>
      </c>
      <c r="E2592" s="250">
        <v>2630.5520000000001</v>
      </c>
    </row>
    <row r="2593" spans="1:5" x14ac:dyDescent="0.35">
      <c r="A2593" s="1" t="s">
        <v>18241</v>
      </c>
      <c r="B2593" s="1" t="s">
        <v>19</v>
      </c>
      <c r="C2593" s="1" t="s">
        <v>11387</v>
      </c>
      <c r="D2593" s="1" t="s">
        <v>19</v>
      </c>
      <c r="E2593" s="250">
        <v>2630.5529999999999</v>
      </c>
    </row>
    <row r="2594" spans="1:5" x14ac:dyDescent="0.35">
      <c r="A2594" s="1" t="s">
        <v>18242</v>
      </c>
      <c r="B2594" s="1" t="s">
        <v>19</v>
      </c>
      <c r="C2594" s="1" t="s">
        <v>11386</v>
      </c>
      <c r="D2594" s="1" t="s">
        <v>19</v>
      </c>
      <c r="E2594" s="250">
        <v>2630.5540000000001</v>
      </c>
    </row>
    <row r="2595" spans="1:5" x14ac:dyDescent="0.35">
      <c r="A2595" s="1" t="s">
        <v>18243</v>
      </c>
      <c r="B2595" s="1" t="s">
        <v>19</v>
      </c>
      <c r="C2595" s="1" t="s">
        <v>11385</v>
      </c>
      <c r="D2595" s="1" t="s">
        <v>19</v>
      </c>
      <c r="E2595" s="250">
        <v>2630.5549999999998</v>
      </c>
    </row>
    <row r="2596" spans="1:5" x14ac:dyDescent="0.35">
      <c r="A2596" s="1" t="s">
        <v>18244</v>
      </c>
      <c r="B2596" s="1" t="s">
        <v>19</v>
      </c>
      <c r="C2596" s="1" t="s">
        <v>11384</v>
      </c>
      <c r="D2596" s="1" t="s">
        <v>19</v>
      </c>
      <c r="E2596" s="250">
        <v>2630.556</v>
      </c>
    </row>
    <row r="2597" spans="1:5" x14ac:dyDescent="0.35">
      <c r="A2597" s="1" t="s">
        <v>18245</v>
      </c>
      <c r="B2597" s="1" t="s">
        <v>19</v>
      </c>
      <c r="C2597" s="1" t="s">
        <v>11383</v>
      </c>
      <c r="D2597" s="1" t="s">
        <v>19</v>
      </c>
      <c r="E2597" s="250">
        <v>2630.5569999999998</v>
      </c>
    </row>
    <row r="2598" spans="1:5" x14ac:dyDescent="0.35">
      <c r="A2598" s="1" t="s">
        <v>18246</v>
      </c>
      <c r="B2598" s="1" t="s">
        <v>19</v>
      </c>
      <c r="C2598" s="1" t="s">
        <v>11382</v>
      </c>
      <c r="D2598" s="1" t="s">
        <v>19</v>
      </c>
      <c r="E2598" s="250">
        <v>2630.558</v>
      </c>
    </row>
    <row r="2599" spans="1:5" x14ac:dyDescent="0.35">
      <c r="A2599" s="1" t="s">
        <v>18247</v>
      </c>
      <c r="B2599" s="1" t="s">
        <v>19</v>
      </c>
      <c r="C2599" s="1" t="s">
        <v>11381</v>
      </c>
      <c r="D2599" s="1" t="s">
        <v>19</v>
      </c>
      <c r="E2599" s="250">
        <v>2630.5590000000002</v>
      </c>
    </row>
    <row r="2600" spans="1:5" x14ac:dyDescent="0.35">
      <c r="A2600" s="1" t="s">
        <v>18248</v>
      </c>
      <c r="B2600" s="1" t="s">
        <v>19</v>
      </c>
      <c r="C2600" s="1" t="s">
        <v>11380</v>
      </c>
      <c r="D2600" s="1" t="s">
        <v>19</v>
      </c>
      <c r="E2600" s="250">
        <v>2630.56</v>
      </c>
    </row>
    <row r="2601" spans="1:5" x14ac:dyDescent="0.35">
      <c r="A2601" s="1" t="s">
        <v>18249</v>
      </c>
      <c r="B2601" s="1" t="s">
        <v>19</v>
      </c>
      <c r="C2601" s="1" t="s">
        <v>11379</v>
      </c>
      <c r="D2601" s="1" t="s">
        <v>19</v>
      </c>
      <c r="E2601" s="250">
        <v>2630.5610000000001</v>
      </c>
    </row>
    <row r="2602" spans="1:5" x14ac:dyDescent="0.35">
      <c r="A2602" s="1" t="s">
        <v>18250</v>
      </c>
      <c r="B2602" s="1" t="s">
        <v>19</v>
      </c>
      <c r="C2602" s="1" t="s">
        <v>11378</v>
      </c>
      <c r="D2602" s="1" t="s">
        <v>19</v>
      </c>
      <c r="E2602" s="250">
        <v>2630.5619999999999</v>
      </c>
    </row>
    <row r="2603" spans="1:5" x14ac:dyDescent="0.35">
      <c r="A2603" s="1" t="s">
        <v>18251</v>
      </c>
      <c r="B2603" s="1" t="s">
        <v>19</v>
      </c>
      <c r="C2603" s="1" t="s">
        <v>11377</v>
      </c>
      <c r="D2603" s="1" t="s">
        <v>19</v>
      </c>
      <c r="E2603" s="250">
        <v>2630.5630000000001</v>
      </c>
    </row>
    <row r="2604" spans="1:5" x14ac:dyDescent="0.35">
      <c r="A2604" s="1" t="s">
        <v>18252</v>
      </c>
      <c r="B2604" s="1" t="s">
        <v>19</v>
      </c>
      <c r="C2604" s="1" t="s">
        <v>11376</v>
      </c>
      <c r="D2604" s="1" t="s">
        <v>19</v>
      </c>
      <c r="E2604" s="250">
        <v>2630.5639999999999</v>
      </c>
    </row>
    <row r="2605" spans="1:5" x14ac:dyDescent="0.35">
      <c r="A2605" s="1" t="s">
        <v>18253</v>
      </c>
      <c r="B2605" s="1" t="s">
        <v>19</v>
      </c>
      <c r="C2605" s="1" t="s">
        <v>11375</v>
      </c>
      <c r="D2605" s="1" t="s">
        <v>19</v>
      </c>
      <c r="E2605" s="250">
        <v>2630.5650000000001</v>
      </c>
    </row>
    <row r="2606" spans="1:5" x14ac:dyDescent="0.35">
      <c r="A2606" s="1" t="s">
        <v>18254</v>
      </c>
      <c r="B2606" s="1" t="s">
        <v>19</v>
      </c>
      <c r="C2606" s="1" t="s">
        <v>11374</v>
      </c>
      <c r="D2606" s="1" t="s">
        <v>19</v>
      </c>
      <c r="E2606" s="250">
        <v>2630.5659999999998</v>
      </c>
    </row>
    <row r="2607" spans="1:5" x14ac:dyDescent="0.35">
      <c r="A2607" s="1" t="s">
        <v>18255</v>
      </c>
      <c r="B2607" s="1" t="s">
        <v>19</v>
      </c>
      <c r="C2607" s="1" t="s">
        <v>11373</v>
      </c>
      <c r="D2607" s="1" t="s">
        <v>19</v>
      </c>
      <c r="E2607" s="250">
        <v>2630.567</v>
      </c>
    </row>
    <row r="2608" spans="1:5" x14ac:dyDescent="0.35">
      <c r="A2608" s="1" t="s">
        <v>18256</v>
      </c>
      <c r="B2608" s="1" t="s">
        <v>19</v>
      </c>
      <c r="C2608" s="1" t="s">
        <v>11372</v>
      </c>
      <c r="D2608" s="1" t="s">
        <v>19</v>
      </c>
      <c r="E2608" s="250">
        <v>2630.5680000000002</v>
      </c>
    </row>
    <row r="2609" spans="1:5" x14ac:dyDescent="0.35">
      <c r="A2609" s="1" t="s">
        <v>18257</v>
      </c>
      <c r="B2609" s="1" t="s">
        <v>19</v>
      </c>
      <c r="C2609" s="1" t="s">
        <v>11371</v>
      </c>
      <c r="D2609" s="1" t="s">
        <v>19</v>
      </c>
      <c r="E2609" s="250">
        <v>2630.569</v>
      </c>
    </row>
    <row r="2610" spans="1:5" x14ac:dyDescent="0.35">
      <c r="A2610" s="1" t="s">
        <v>18258</v>
      </c>
      <c r="B2610" s="1" t="s">
        <v>19</v>
      </c>
      <c r="C2610" s="1" t="s">
        <v>11370</v>
      </c>
      <c r="D2610" s="1" t="s">
        <v>19</v>
      </c>
      <c r="E2610" s="250">
        <v>2630.57</v>
      </c>
    </row>
    <row r="2611" spans="1:5" x14ac:dyDescent="0.35">
      <c r="A2611" s="1" t="s">
        <v>18259</v>
      </c>
      <c r="B2611" s="1" t="s">
        <v>19</v>
      </c>
      <c r="C2611" s="1" t="s">
        <v>11369</v>
      </c>
      <c r="D2611" s="1" t="s">
        <v>19</v>
      </c>
      <c r="E2611" s="250">
        <v>2630.5709999999999</v>
      </c>
    </row>
    <row r="2612" spans="1:5" x14ac:dyDescent="0.35">
      <c r="A2612" s="1" t="s">
        <v>18260</v>
      </c>
      <c r="B2612" s="1" t="s">
        <v>19</v>
      </c>
      <c r="C2612" s="1" t="s">
        <v>11368</v>
      </c>
      <c r="D2612" s="1" t="s">
        <v>19</v>
      </c>
      <c r="E2612" s="250">
        <v>2630.5720000000001</v>
      </c>
    </row>
    <row r="2613" spans="1:5" x14ac:dyDescent="0.35">
      <c r="A2613" s="1" t="s">
        <v>18261</v>
      </c>
      <c r="B2613" s="1" t="s">
        <v>19</v>
      </c>
      <c r="C2613" s="1" t="s">
        <v>11367</v>
      </c>
      <c r="D2613" s="1" t="s">
        <v>19</v>
      </c>
      <c r="E2613" s="250">
        <v>2630.5729999999999</v>
      </c>
    </row>
    <row r="2614" spans="1:5" x14ac:dyDescent="0.35">
      <c r="A2614" s="1" t="s">
        <v>18262</v>
      </c>
      <c r="B2614" s="1" t="s">
        <v>19</v>
      </c>
      <c r="C2614" s="1" t="s">
        <v>11366</v>
      </c>
      <c r="D2614" s="1" t="s">
        <v>19</v>
      </c>
      <c r="E2614" s="250">
        <v>2630.5740000000001</v>
      </c>
    </row>
    <row r="2615" spans="1:5" x14ac:dyDescent="0.35">
      <c r="A2615" s="1" t="s">
        <v>18263</v>
      </c>
      <c r="B2615" s="1" t="s">
        <v>19</v>
      </c>
      <c r="C2615" s="1" t="s">
        <v>11365</v>
      </c>
      <c r="D2615" s="1" t="s">
        <v>19</v>
      </c>
      <c r="E2615" s="250">
        <v>2630.5749999999998</v>
      </c>
    </row>
    <row r="2616" spans="1:5" x14ac:dyDescent="0.35">
      <c r="A2616" s="1" t="s">
        <v>18264</v>
      </c>
      <c r="B2616" s="1" t="s">
        <v>19</v>
      </c>
      <c r="C2616" s="1" t="s">
        <v>11364</v>
      </c>
      <c r="D2616" s="1" t="s">
        <v>19</v>
      </c>
      <c r="E2616" s="250">
        <v>2630.576</v>
      </c>
    </row>
    <row r="2617" spans="1:5" x14ac:dyDescent="0.35">
      <c r="A2617" s="1" t="s">
        <v>18265</v>
      </c>
      <c r="B2617" s="1" t="s">
        <v>19</v>
      </c>
      <c r="C2617" s="1" t="s">
        <v>11363</v>
      </c>
      <c r="D2617" s="1" t="s">
        <v>19</v>
      </c>
      <c r="E2617" s="250">
        <v>2630.5770000000002</v>
      </c>
    </row>
    <row r="2618" spans="1:5" x14ac:dyDescent="0.35">
      <c r="A2618" s="1" t="s">
        <v>18266</v>
      </c>
      <c r="B2618" s="1" t="s">
        <v>57</v>
      </c>
      <c r="C2618" s="1" t="s">
        <v>11362</v>
      </c>
      <c r="D2618" s="1" t="s">
        <v>57</v>
      </c>
      <c r="E2618" s="250">
        <v>2630.6</v>
      </c>
    </row>
    <row r="2619" spans="1:5" x14ac:dyDescent="0.35">
      <c r="A2619" s="1" t="s">
        <v>18267</v>
      </c>
      <c r="B2619" s="1" t="s">
        <v>19</v>
      </c>
      <c r="C2619" s="1" t="s">
        <v>11361</v>
      </c>
      <c r="D2619" s="1" t="s">
        <v>19</v>
      </c>
      <c r="E2619" s="250">
        <v>2630.61</v>
      </c>
    </row>
    <row r="2620" spans="1:5" x14ac:dyDescent="0.35">
      <c r="A2620" s="1" t="s">
        <v>18268</v>
      </c>
      <c r="B2620" s="1" t="s">
        <v>19</v>
      </c>
      <c r="C2620" s="1" t="s">
        <v>11360</v>
      </c>
      <c r="D2620" s="1" t="s">
        <v>19</v>
      </c>
      <c r="E2620" s="250">
        <v>2630.6109999999999</v>
      </c>
    </row>
    <row r="2621" spans="1:5" x14ac:dyDescent="0.35">
      <c r="A2621" s="1" t="s">
        <v>18269</v>
      </c>
      <c r="B2621" s="1" t="s">
        <v>19</v>
      </c>
      <c r="C2621" s="1" t="s">
        <v>11359</v>
      </c>
      <c r="D2621" s="1" t="s">
        <v>19</v>
      </c>
      <c r="E2621" s="250">
        <v>2630.6120000000001</v>
      </c>
    </row>
    <row r="2622" spans="1:5" x14ac:dyDescent="0.35">
      <c r="A2622" s="1" t="s">
        <v>18270</v>
      </c>
      <c r="B2622" s="1" t="s">
        <v>19</v>
      </c>
      <c r="C2622" s="1" t="s">
        <v>11358</v>
      </c>
      <c r="D2622" s="1" t="s">
        <v>19</v>
      </c>
      <c r="E2622" s="250">
        <v>2630.6129999999998</v>
      </c>
    </row>
    <row r="2623" spans="1:5" x14ac:dyDescent="0.35">
      <c r="A2623" s="1" t="s">
        <v>18271</v>
      </c>
      <c r="B2623" s="1" t="s">
        <v>19</v>
      </c>
      <c r="C2623" s="1" t="s">
        <v>11357</v>
      </c>
      <c r="D2623" s="1" t="s">
        <v>19</v>
      </c>
      <c r="E2623" s="250">
        <v>2630.614</v>
      </c>
    </row>
    <row r="2624" spans="1:5" x14ac:dyDescent="0.35">
      <c r="A2624" s="1" t="s">
        <v>18272</v>
      </c>
      <c r="B2624" s="1" t="s">
        <v>19</v>
      </c>
      <c r="C2624" s="1" t="s">
        <v>11356</v>
      </c>
      <c r="D2624" s="1" t="s">
        <v>19</v>
      </c>
      <c r="E2624" s="250">
        <v>2630.6149999999998</v>
      </c>
    </row>
    <row r="2625" spans="1:5" x14ac:dyDescent="0.35">
      <c r="A2625" s="1" t="s">
        <v>18273</v>
      </c>
      <c r="B2625" s="1" t="s">
        <v>19</v>
      </c>
      <c r="C2625" s="1" t="s">
        <v>11355</v>
      </c>
      <c r="D2625" s="1" t="s">
        <v>19</v>
      </c>
      <c r="E2625" s="250">
        <v>2630.616</v>
      </c>
    </row>
    <row r="2626" spans="1:5" x14ac:dyDescent="0.35">
      <c r="A2626" s="1" t="s">
        <v>18274</v>
      </c>
      <c r="B2626" s="1" t="s">
        <v>19</v>
      </c>
      <c r="C2626" s="1" t="s">
        <v>11354</v>
      </c>
      <c r="D2626" s="1" t="s">
        <v>19</v>
      </c>
      <c r="E2626" s="250">
        <v>2630.6170000000002</v>
      </c>
    </row>
    <row r="2627" spans="1:5" x14ac:dyDescent="0.35">
      <c r="A2627" s="1" t="s">
        <v>18275</v>
      </c>
      <c r="B2627" s="1" t="s">
        <v>19</v>
      </c>
      <c r="C2627" s="1" t="s">
        <v>11353</v>
      </c>
      <c r="D2627" s="1" t="s">
        <v>19</v>
      </c>
      <c r="E2627" s="250">
        <v>2630.6179999999999</v>
      </c>
    </row>
    <row r="2628" spans="1:5" x14ac:dyDescent="0.35">
      <c r="A2628" s="1" t="s">
        <v>18276</v>
      </c>
      <c r="B2628" s="1" t="s">
        <v>19</v>
      </c>
      <c r="C2628" s="1" t="s">
        <v>11352</v>
      </c>
      <c r="D2628" s="1" t="s">
        <v>19</v>
      </c>
      <c r="E2628" s="250">
        <v>2630.62</v>
      </c>
    </row>
    <row r="2629" spans="1:5" x14ac:dyDescent="0.35">
      <c r="A2629" s="1" t="s">
        <v>18277</v>
      </c>
      <c r="B2629" s="1" t="s">
        <v>19</v>
      </c>
      <c r="C2629" s="1" t="s">
        <v>11351</v>
      </c>
      <c r="D2629" s="1" t="s">
        <v>19</v>
      </c>
      <c r="E2629" s="250">
        <v>2630.6210000000001</v>
      </c>
    </row>
    <row r="2630" spans="1:5" x14ac:dyDescent="0.35">
      <c r="A2630" s="1" t="s">
        <v>18278</v>
      </c>
      <c r="B2630" s="1" t="s">
        <v>19</v>
      </c>
      <c r="C2630" s="1" t="s">
        <v>11350</v>
      </c>
      <c r="D2630" s="1" t="s">
        <v>19</v>
      </c>
      <c r="E2630" s="250">
        <v>2630.6219999999998</v>
      </c>
    </row>
    <row r="2631" spans="1:5" x14ac:dyDescent="0.35">
      <c r="A2631" s="1" t="s">
        <v>18279</v>
      </c>
      <c r="B2631" s="1" t="s">
        <v>19</v>
      </c>
      <c r="C2631" s="1" t="s">
        <v>11349</v>
      </c>
      <c r="D2631" s="1" t="s">
        <v>19</v>
      </c>
      <c r="E2631" s="250">
        <v>2630.623</v>
      </c>
    </row>
    <row r="2632" spans="1:5" x14ac:dyDescent="0.35">
      <c r="A2632" s="1" t="s">
        <v>18280</v>
      </c>
      <c r="B2632" s="1" t="s">
        <v>57</v>
      </c>
      <c r="C2632" s="1" t="s">
        <v>11348</v>
      </c>
      <c r="D2632" s="1" t="s">
        <v>57</v>
      </c>
      <c r="E2632" s="250">
        <v>2630.65</v>
      </c>
    </row>
    <row r="2633" spans="1:5" x14ac:dyDescent="0.35">
      <c r="A2633" s="1" t="s">
        <v>18281</v>
      </c>
      <c r="B2633" s="1" t="s">
        <v>19</v>
      </c>
      <c r="C2633" s="1" t="s">
        <v>11347</v>
      </c>
      <c r="D2633" s="1" t="s">
        <v>19</v>
      </c>
      <c r="E2633" s="250">
        <v>2630.6509999999998</v>
      </c>
    </row>
    <row r="2634" spans="1:5" x14ac:dyDescent="0.35">
      <c r="A2634" s="1" t="s">
        <v>18282</v>
      </c>
      <c r="B2634" s="1" t="s">
        <v>19</v>
      </c>
      <c r="C2634" s="1" t="s">
        <v>11346</v>
      </c>
      <c r="D2634" s="1" t="s">
        <v>19</v>
      </c>
      <c r="E2634" s="250">
        <v>2630.652</v>
      </c>
    </row>
    <row r="2635" spans="1:5" x14ac:dyDescent="0.35">
      <c r="A2635" s="1" t="s">
        <v>18283</v>
      </c>
      <c r="B2635" s="1" t="s">
        <v>19</v>
      </c>
      <c r="C2635" s="1" t="s">
        <v>11345</v>
      </c>
      <c r="D2635" s="1" t="s">
        <v>19</v>
      </c>
      <c r="E2635" s="250">
        <v>2630.6529999999998</v>
      </c>
    </row>
    <row r="2636" spans="1:5" x14ac:dyDescent="0.35">
      <c r="A2636" s="1" t="s">
        <v>18284</v>
      </c>
      <c r="B2636" s="1" t="s">
        <v>19</v>
      </c>
      <c r="C2636" s="1" t="s">
        <v>11344</v>
      </c>
      <c r="D2636" s="1" t="s">
        <v>19</v>
      </c>
      <c r="E2636" s="250">
        <v>2630.654</v>
      </c>
    </row>
    <row r="2637" spans="1:5" x14ac:dyDescent="0.35">
      <c r="A2637" s="1" t="s">
        <v>18285</v>
      </c>
      <c r="B2637" s="1" t="s">
        <v>19</v>
      </c>
      <c r="C2637" s="1" t="s">
        <v>11343</v>
      </c>
      <c r="D2637" s="1" t="s">
        <v>19</v>
      </c>
      <c r="E2637" s="250">
        <v>2630.6550000000002</v>
      </c>
    </row>
    <row r="2638" spans="1:5" x14ac:dyDescent="0.35">
      <c r="A2638" s="1" t="s">
        <v>18286</v>
      </c>
      <c r="B2638" s="1" t="s">
        <v>19</v>
      </c>
      <c r="C2638" s="1" t="s">
        <v>11342</v>
      </c>
      <c r="D2638" s="1" t="s">
        <v>19</v>
      </c>
      <c r="E2638" s="250">
        <v>2630.6610000000001</v>
      </c>
    </row>
    <row r="2639" spans="1:5" x14ac:dyDescent="0.35">
      <c r="A2639" s="1" t="s">
        <v>18287</v>
      </c>
      <c r="B2639" s="1" t="s">
        <v>19</v>
      </c>
      <c r="C2639" s="1" t="s">
        <v>11341</v>
      </c>
      <c r="D2639" s="1" t="s">
        <v>19</v>
      </c>
      <c r="E2639" s="250">
        <v>2630.6619999999998</v>
      </c>
    </row>
    <row r="2640" spans="1:5" x14ac:dyDescent="0.35">
      <c r="A2640" s="1" t="s">
        <v>18288</v>
      </c>
      <c r="B2640" s="1" t="s">
        <v>19</v>
      </c>
      <c r="C2640" s="1" t="s">
        <v>11340</v>
      </c>
      <c r="D2640" s="1" t="s">
        <v>19</v>
      </c>
      <c r="E2640" s="250">
        <v>2630.663</v>
      </c>
    </row>
    <row r="2641" spans="1:5" x14ac:dyDescent="0.35">
      <c r="A2641" s="1" t="s">
        <v>18289</v>
      </c>
      <c r="B2641" s="1" t="s">
        <v>19</v>
      </c>
      <c r="C2641" s="1" t="s">
        <v>11339</v>
      </c>
      <c r="D2641" s="1" t="s">
        <v>19</v>
      </c>
      <c r="E2641" s="250">
        <v>2630.6640000000002</v>
      </c>
    </row>
    <row r="2642" spans="1:5" x14ac:dyDescent="0.35">
      <c r="A2642" s="1" t="s">
        <v>18290</v>
      </c>
      <c r="B2642" s="1" t="s">
        <v>19</v>
      </c>
      <c r="C2642" s="1" t="s">
        <v>11338</v>
      </c>
      <c r="D2642" s="1" t="s">
        <v>19</v>
      </c>
      <c r="E2642" s="250">
        <v>2630.665</v>
      </c>
    </row>
    <row r="2643" spans="1:5" x14ac:dyDescent="0.35">
      <c r="A2643" s="1" t="s">
        <v>18291</v>
      </c>
      <c r="B2643" s="1" t="s">
        <v>19</v>
      </c>
      <c r="C2643" s="1" t="s">
        <v>11337</v>
      </c>
      <c r="D2643" s="1" t="s">
        <v>19</v>
      </c>
      <c r="E2643" s="250">
        <v>2630.6709999999998</v>
      </c>
    </row>
    <row r="2644" spans="1:5" x14ac:dyDescent="0.35">
      <c r="A2644" s="1" t="s">
        <v>18292</v>
      </c>
      <c r="B2644" s="1" t="s">
        <v>19</v>
      </c>
      <c r="C2644" s="1" t="s">
        <v>11336</v>
      </c>
      <c r="D2644" s="1" t="s">
        <v>19</v>
      </c>
      <c r="E2644" s="250">
        <v>2630.672</v>
      </c>
    </row>
    <row r="2645" spans="1:5" x14ac:dyDescent="0.35">
      <c r="A2645" s="1" t="s">
        <v>18293</v>
      </c>
      <c r="B2645" s="1" t="s">
        <v>19</v>
      </c>
      <c r="C2645" s="1" t="s">
        <v>11335</v>
      </c>
      <c r="D2645" s="1" t="s">
        <v>19</v>
      </c>
      <c r="E2645" s="250">
        <v>2630.6729999999998</v>
      </c>
    </row>
    <row r="2646" spans="1:5" x14ac:dyDescent="0.35">
      <c r="A2646" s="1" t="s">
        <v>18294</v>
      </c>
      <c r="B2646" s="1" t="s">
        <v>19</v>
      </c>
      <c r="C2646" s="1" t="s">
        <v>11334</v>
      </c>
      <c r="D2646" s="1" t="s">
        <v>19</v>
      </c>
      <c r="E2646" s="250">
        <v>2630.674</v>
      </c>
    </row>
    <row r="2647" spans="1:5" x14ac:dyDescent="0.35">
      <c r="A2647" s="1" t="s">
        <v>18295</v>
      </c>
      <c r="B2647" s="1" t="s">
        <v>19</v>
      </c>
      <c r="C2647" s="1" t="s">
        <v>11333</v>
      </c>
      <c r="D2647" s="1" t="s">
        <v>19</v>
      </c>
      <c r="E2647" s="250">
        <v>2630.6750000000002</v>
      </c>
    </row>
    <row r="2648" spans="1:5" x14ac:dyDescent="0.35">
      <c r="A2648" s="1" t="s">
        <v>18296</v>
      </c>
      <c r="B2648" s="1" t="s">
        <v>19</v>
      </c>
      <c r="C2648" s="1" t="s">
        <v>11332</v>
      </c>
      <c r="D2648" s="1" t="s">
        <v>19</v>
      </c>
      <c r="E2648" s="250">
        <v>2630.681</v>
      </c>
    </row>
    <row r="2649" spans="1:5" x14ac:dyDescent="0.35">
      <c r="A2649" s="1" t="s">
        <v>18297</v>
      </c>
      <c r="B2649" s="1" t="s">
        <v>19</v>
      </c>
      <c r="C2649" s="1" t="s">
        <v>11331</v>
      </c>
      <c r="D2649" s="1" t="s">
        <v>19</v>
      </c>
      <c r="E2649" s="250">
        <v>2630.6819999999998</v>
      </c>
    </row>
    <row r="2650" spans="1:5" x14ac:dyDescent="0.35">
      <c r="A2650" s="1" t="s">
        <v>18298</v>
      </c>
      <c r="B2650" s="1" t="s">
        <v>19</v>
      </c>
      <c r="C2650" s="1" t="s">
        <v>11330</v>
      </c>
      <c r="D2650" s="1" t="s">
        <v>19</v>
      </c>
      <c r="E2650" s="250">
        <v>2630.683</v>
      </c>
    </row>
    <row r="2651" spans="1:5" x14ac:dyDescent="0.35">
      <c r="A2651" s="1" t="s">
        <v>18299</v>
      </c>
      <c r="B2651" s="1" t="s">
        <v>19</v>
      </c>
      <c r="C2651" s="1" t="s">
        <v>11329</v>
      </c>
      <c r="D2651" s="1" t="s">
        <v>19</v>
      </c>
      <c r="E2651" s="250">
        <v>2630.6840000000002</v>
      </c>
    </row>
    <row r="2652" spans="1:5" x14ac:dyDescent="0.35">
      <c r="A2652" s="1" t="s">
        <v>18300</v>
      </c>
      <c r="B2652" s="1" t="s">
        <v>19</v>
      </c>
      <c r="C2652" s="1" t="s">
        <v>11328</v>
      </c>
      <c r="D2652" s="1" t="s">
        <v>19</v>
      </c>
      <c r="E2652" s="250">
        <v>2630.6849999999999</v>
      </c>
    </row>
    <row r="2653" spans="1:5" x14ac:dyDescent="0.35">
      <c r="A2653" s="1" t="s">
        <v>18301</v>
      </c>
      <c r="B2653" s="1" t="s">
        <v>19</v>
      </c>
      <c r="C2653" s="1" t="s">
        <v>11327</v>
      </c>
      <c r="D2653" s="1" t="s">
        <v>19</v>
      </c>
      <c r="E2653" s="250">
        <v>2630.6909999999998</v>
      </c>
    </row>
    <row r="2654" spans="1:5" x14ac:dyDescent="0.35">
      <c r="A2654" s="1" t="s">
        <v>18302</v>
      </c>
      <c r="B2654" s="1" t="s">
        <v>19</v>
      </c>
      <c r="C2654" s="1" t="s">
        <v>11326</v>
      </c>
      <c r="D2654" s="1" t="s">
        <v>19</v>
      </c>
      <c r="E2654" s="250">
        <v>2630.692</v>
      </c>
    </row>
    <row r="2655" spans="1:5" x14ac:dyDescent="0.35">
      <c r="A2655" s="1" t="s">
        <v>18303</v>
      </c>
      <c r="B2655" s="1" t="s">
        <v>19</v>
      </c>
      <c r="C2655" s="1" t="s">
        <v>11325</v>
      </c>
      <c r="D2655" s="1" t="s">
        <v>19</v>
      </c>
      <c r="E2655" s="250">
        <v>2630.6930000000002</v>
      </c>
    </row>
    <row r="2656" spans="1:5" x14ac:dyDescent="0.35">
      <c r="A2656" s="1" t="s">
        <v>18304</v>
      </c>
      <c r="B2656" s="1" t="s">
        <v>19</v>
      </c>
      <c r="C2656" s="1" t="s">
        <v>11324</v>
      </c>
      <c r="D2656" s="1" t="s">
        <v>19</v>
      </c>
      <c r="E2656" s="250">
        <v>2630.694</v>
      </c>
    </row>
    <row r="2657" spans="1:5" x14ac:dyDescent="0.35">
      <c r="A2657" s="1" t="s">
        <v>18305</v>
      </c>
      <c r="B2657" s="1" t="s">
        <v>57</v>
      </c>
      <c r="C2657" s="1" t="s">
        <v>11323</v>
      </c>
      <c r="D2657" s="1" t="s">
        <v>57</v>
      </c>
      <c r="E2657" s="250">
        <v>2630.7</v>
      </c>
    </row>
    <row r="2658" spans="1:5" x14ac:dyDescent="0.35">
      <c r="A2658" s="1" t="s">
        <v>18306</v>
      </c>
      <c r="B2658" s="1" t="s">
        <v>19</v>
      </c>
      <c r="C2658" s="1" t="s">
        <v>11322</v>
      </c>
      <c r="D2658" s="1" t="s">
        <v>19</v>
      </c>
      <c r="E2658" s="250">
        <v>2630.71</v>
      </c>
    </row>
    <row r="2659" spans="1:5" x14ac:dyDescent="0.35">
      <c r="A2659" s="1" t="s">
        <v>18307</v>
      </c>
      <c r="B2659" s="1" t="s">
        <v>19</v>
      </c>
      <c r="C2659" s="1" t="s">
        <v>11321</v>
      </c>
      <c r="D2659" s="1" t="s">
        <v>19</v>
      </c>
      <c r="E2659" s="250">
        <v>2630.7109999999998</v>
      </c>
    </row>
    <row r="2660" spans="1:5" x14ac:dyDescent="0.35">
      <c r="A2660" s="1" t="s">
        <v>18308</v>
      </c>
      <c r="B2660" s="1" t="s">
        <v>19</v>
      </c>
      <c r="C2660" s="1" t="s">
        <v>11320</v>
      </c>
      <c r="D2660" s="1" t="s">
        <v>19</v>
      </c>
      <c r="E2660" s="250">
        <v>2630.712</v>
      </c>
    </row>
    <row r="2661" spans="1:5" x14ac:dyDescent="0.35">
      <c r="A2661" s="1" t="s">
        <v>18309</v>
      </c>
      <c r="B2661" s="1" t="s">
        <v>19</v>
      </c>
      <c r="C2661" s="1" t="s">
        <v>11319</v>
      </c>
      <c r="D2661" s="1" t="s">
        <v>19</v>
      </c>
      <c r="E2661" s="250">
        <v>2630.7130000000002</v>
      </c>
    </row>
    <row r="2662" spans="1:5" x14ac:dyDescent="0.35">
      <c r="A2662" s="1" t="s">
        <v>18310</v>
      </c>
      <c r="B2662" s="1" t="s">
        <v>19</v>
      </c>
      <c r="C2662" s="1" t="s">
        <v>11318</v>
      </c>
      <c r="D2662" s="1" t="s">
        <v>19</v>
      </c>
      <c r="E2662" s="250">
        <v>2630.7139999999999</v>
      </c>
    </row>
    <row r="2663" spans="1:5" x14ac:dyDescent="0.35">
      <c r="A2663" s="1" t="s">
        <v>18311</v>
      </c>
      <c r="B2663" s="1" t="s">
        <v>19</v>
      </c>
      <c r="C2663" s="1" t="s">
        <v>11317</v>
      </c>
      <c r="D2663" s="1" t="s">
        <v>19</v>
      </c>
      <c r="E2663" s="250">
        <v>2630.7150000000001</v>
      </c>
    </row>
    <row r="2664" spans="1:5" x14ac:dyDescent="0.35">
      <c r="A2664" s="1" t="s">
        <v>18312</v>
      </c>
      <c r="B2664" s="1" t="s">
        <v>19</v>
      </c>
      <c r="C2664" s="1" t="s">
        <v>11316</v>
      </c>
      <c r="D2664" s="1" t="s">
        <v>19</v>
      </c>
      <c r="E2664" s="250">
        <v>2630.7159999999999</v>
      </c>
    </row>
    <row r="2665" spans="1:5" x14ac:dyDescent="0.35">
      <c r="A2665" s="1" t="s">
        <v>18313</v>
      </c>
      <c r="B2665" s="1" t="s">
        <v>19</v>
      </c>
      <c r="C2665" s="1" t="s">
        <v>11315</v>
      </c>
      <c r="D2665" s="1" t="s">
        <v>19</v>
      </c>
      <c r="E2665" s="250">
        <v>2630.7170000000001</v>
      </c>
    </row>
    <row r="2666" spans="1:5" x14ac:dyDescent="0.35">
      <c r="A2666" s="1" t="s">
        <v>18314</v>
      </c>
      <c r="B2666" s="1" t="s">
        <v>19</v>
      </c>
      <c r="C2666" s="1" t="s">
        <v>11314</v>
      </c>
      <c r="D2666" s="1" t="s">
        <v>19</v>
      </c>
      <c r="E2666" s="250">
        <v>2630.7179999999998</v>
      </c>
    </row>
    <row r="2667" spans="1:5" x14ac:dyDescent="0.35">
      <c r="A2667" s="1" t="s">
        <v>18315</v>
      </c>
      <c r="B2667" s="1" t="s">
        <v>19</v>
      </c>
      <c r="C2667" s="1" t="s">
        <v>11313</v>
      </c>
      <c r="D2667" s="1" t="s">
        <v>19</v>
      </c>
      <c r="E2667" s="250">
        <v>2630.7190000000001</v>
      </c>
    </row>
    <row r="2668" spans="1:5" x14ac:dyDescent="0.35">
      <c r="A2668" s="1" t="s">
        <v>18316</v>
      </c>
      <c r="B2668" s="1" t="s">
        <v>57</v>
      </c>
      <c r="C2668" s="1" t="s">
        <v>11312</v>
      </c>
      <c r="D2668" s="1" t="s">
        <v>57</v>
      </c>
      <c r="E2668" s="250">
        <v>2630.81</v>
      </c>
    </row>
    <row r="2669" spans="1:5" x14ac:dyDescent="0.35">
      <c r="A2669" s="1" t="s">
        <v>18317</v>
      </c>
      <c r="B2669" s="1" t="s">
        <v>23</v>
      </c>
      <c r="C2669" s="1" t="s">
        <v>9824</v>
      </c>
      <c r="D2669" s="1" t="s">
        <v>23</v>
      </c>
      <c r="E2669" s="250">
        <v>2630.8110000000001</v>
      </c>
    </row>
    <row r="2670" spans="1:5" x14ac:dyDescent="0.35">
      <c r="A2670" s="1" t="s">
        <v>18318</v>
      </c>
      <c r="B2670" s="1" t="s">
        <v>23</v>
      </c>
      <c r="C2670" s="1" t="s">
        <v>11310</v>
      </c>
      <c r="D2670" s="1" t="s">
        <v>23</v>
      </c>
      <c r="E2670" s="250">
        <v>2630.8119999999999</v>
      </c>
    </row>
    <row r="2671" spans="1:5" x14ac:dyDescent="0.35">
      <c r="A2671" s="1" t="s">
        <v>18319</v>
      </c>
      <c r="B2671" s="1" t="s">
        <v>23</v>
      </c>
      <c r="C2671" s="1" t="s">
        <v>9820</v>
      </c>
      <c r="D2671" s="1" t="s">
        <v>23</v>
      </c>
      <c r="E2671" s="250">
        <v>2630.8130000000001</v>
      </c>
    </row>
    <row r="2672" spans="1:5" x14ac:dyDescent="0.35">
      <c r="A2672" s="1" t="s">
        <v>18320</v>
      </c>
      <c r="B2672" s="1" t="s">
        <v>23</v>
      </c>
      <c r="C2672" s="1" t="s">
        <v>11309</v>
      </c>
      <c r="D2672" s="1" t="s">
        <v>23</v>
      </c>
      <c r="E2672" s="250">
        <v>2630.8139999999999</v>
      </c>
    </row>
    <row r="2673" spans="1:5" x14ac:dyDescent="0.35">
      <c r="A2673" s="1" t="s">
        <v>18321</v>
      </c>
      <c r="B2673" s="1" t="s">
        <v>23</v>
      </c>
      <c r="C2673" s="1" t="s">
        <v>9816</v>
      </c>
      <c r="D2673" s="1" t="s">
        <v>23</v>
      </c>
      <c r="E2673" s="250">
        <v>2630.8150000000001</v>
      </c>
    </row>
    <row r="2674" spans="1:5" x14ac:dyDescent="0.35">
      <c r="A2674" s="1" t="s">
        <v>18322</v>
      </c>
      <c r="B2674" s="1" t="s">
        <v>23</v>
      </c>
      <c r="C2674" s="1" t="s">
        <v>9812</v>
      </c>
      <c r="D2674" s="1" t="s">
        <v>23</v>
      </c>
      <c r="E2674" s="250">
        <v>2630.8159999999998</v>
      </c>
    </row>
    <row r="2675" spans="1:5" x14ac:dyDescent="0.35">
      <c r="A2675" s="1" t="s">
        <v>18323</v>
      </c>
      <c r="B2675" s="1" t="s">
        <v>23</v>
      </c>
      <c r="C2675" s="1" t="s">
        <v>9804</v>
      </c>
      <c r="D2675" s="1" t="s">
        <v>23</v>
      </c>
      <c r="E2675" s="250">
        <v>2630.817</v>
      </c>
    </row>
    <row r="2676" spans="1:5" x14ac:dyDescent="0.35">
      <c r="A2676" s="1" t="s">
        <v>18324</v>
      </c>
      <c r="B2676" s="1" t="s">
        <v>23</v>
      </c>
      <c r="C2676" s="1" t="s">
        <v>9800</v>
      </c>
      <c r="D2676" s="1" t="s">
        <v>23</v>
      </c>
      <c r="E2676" s="250">
        <v>2630.8180000000002</v>
      </c>
    </row>
    <row r="2677" spans="1:5" x14ac:dyDescent="0.35">
      <c r="A2677" s="1" t="s">
        <v>18325</v>
      </c>
      <c r="B2677" s="1" t="s">
        <v>23</v>
      </c>
      <c r="C2677" s="1" t="s">
        <v>11308</v>
      </c>
      <c r="D2677" s="1" t="s">
        <v>23</v>
      </c>
      <c r="E2677" s="250">
        <v>2630.819</v>
      </c>
    </row>
    <row r="2678" spans="1:5" x14ac:dyDescent="0.35">
      <c r="A2678" s="1" t="s">
        <v>18326</v>
      </c>
      <c r="B2678" s="1" t="s">
        <v>23</v>
      </c>
      <c r="C2678" s="1" t="s">
        <v>11307</v>
      </c>
      <c r="D2678" s="1" t="s">
        <v>23</v>
      </c>
      <c r="E2678" s="250">
        <v>2630.82</v>
      </c>
    </row>
    <row r="2679" spans="1:5" x14ac:dyDescent="0.35">
      <c r="A2679" s="1" t="s">
        <v>18327</v>
      </c>
      <c r="B2679" s="1" t="s">
        <v>23</v>
      </c>
      <c r="C2679" s="1" t="s">
        <v>11306</v>
      </c>
      <c r="D2679" s="1" t="s">
        <v>23</v>
      </c>
      <c r="E2679" s="250">
        <v>2630.8209999999999</v>
      </c>
    </row>
    <row r="2680" spans="1:5" x14ac:dyDescent="0.35">
      <c r="A2680" s="1" t="s">
        <v>18328</v>
      </c>
      <c r="B2680" s="1" t="s">
        <v>23</v>
      </c>
      <c r="C2680" s="1" t="s">
        <v>11305</v>
      </c>
      <c r="D2680" s="1" t="s">
        <v>23</v>
      </c>
      <c r="E2680" s="250">
        <v>2630.8220000000001</v>
      </c>
    </row>
    <row r="2681" spans="1:5" x14ac:dyDescent="0.35">
      <c r="A2681" s="1" t="s">
        <v>18329</v>
      </c>
      <c r="B2681" s="1" t="s">
        <v>23</v>
      </c>
      <c r="C2681" s="1" t="s">
        <v>11304</v>
      </c>
      <c r="D2681" s="1" t="s">
        <v>23</v>
      </c>
      <c r="E2681" s="250">
        <v>2630.8229999999999</v>
      </c>
    </row>
    <row r="2682" spans="1:5" x14ac:dyDescent="0.35">
      <c r="A2682" s="1" t="s">
        <v>18330</v>
      </c>
      <c r="B2682" s="1" t="s">
        <v>23</v>
      </c>
      <c r="C2682" s="1" t="s">
        <v>11303</v>
      </c>
      <c r="D2682" s="1" t="s">
        <v>23</v>
      </c>
      <c r="E2682" s="250">
        <v>2630.8240000000001</v>
      </c>
    </row>
    <row r="2683" spans="1:5" x14ac:dyDescent="0.35">
      <c r="A2683" s="1" t="s">
        <v>18331</v>
      </c>
      <c r="B2683" s="1" t="s">
        <v>23</v>
      </c>
      <c r="C2683" s="1" t="s">
        <v>11302</v>
      </c>
      <c r="D2683" s="1" t="s">
        <v>23</v>
      </c>
      <c r="E2683" s="250">
        <v>2630.8249999999998</v>
      </c>
    </row>
    <row r="2684" spans="1:5" x14ac:dyDescent="0.35">
      <c r="A2684" s="1" t="s">
        <v>18332</v>
      </c>
      <c r="B2684" s="1" t="s">
        <v>23</v>
      </c>
      <c r="C2684" s="1" t="s">
        <v>11301</v>
      </c>
      <c r="D2684" s="1" t="s">
        <v>23</v>
      </c>
      <c r="E2684" s="250">
        <v>2630.826</v>
      </c>
    </row>
    <row r="2685" spans="1:5" x14ac:dyDescent="0.35">
      <c r="A2685" s="1" t="s">
        <v>18333</v>
      </c>
      <c r="B2685" s="1" t="s">
        <v>23</v>
      </c>
      <c r="C2685" s="1" t="s">
        <v>11300</v>
      </c>
      <c r="D2685" s="1" t="s">
        <v>23</v>
      </c>
      <c r="E2685" s="250">
        <v>2630.8270000000002</v>
      </c>
    </row>
    <row r="2686" spans="1:5" x14ac:dyDescent="0.35">
      <c r="A2686" s="1" t="s">
        <v>18334</v>
      </c>
      <c r="B2686" s="1" t="s">
        <v>23</v>
      </c>
      <c r="C2686" s="1" t="s">
        <v>11299</v>
      </c>
      <c r="D2686" s="1" t="s">
        <v>23</v>
      </c>
      <c r="E2686" s="250">
        <v>2630.828</v>
      </c>
    </row>
    <row r="2687" spans="1:5" x14ac:dyDescent="0.35">
      <c r="A2687" s="1" t="s">
        <v>18335</v>
      </c>
      <c r="B2687" s="1" t="s">
        <v>23</v>
      </c>
      <c r="C2687" s="1" t="s">
        <v>11298</v>
      </c>
      <c r="D2687" s="1" t="s">
        <v>23</v>
      </c>
      <c r="E2687" s="250">
        <v>2630.8290000000002</v>
      </c>
    </row>
    <row r="2688" spans="1:5" x14ac:dyDescent="0.35">
      <c r="A2688" s="1" t="s">
        <v>18336</v>
      </c>
      <c r="B2688" s="1" t="s">
        <v>23</v>
      </c>
      <c r="C2688" s="1" t="s">
        <v>11297</v>
      </c>
      <c r="D2688" s="1" t="s">
        <v>23</v>
      </c>
      <c r="E2688" s="250">
        <v>2630.83</v>
      </c>
    </row>
    <row r="2689" spans="1:5" x14ac:dyDescent="0.35">
      <c r="A2689" s="1" t="s">
        <v>18337</v>
      </c>
      <c r="B2689" s="1" t="s">
        <v>23</v>
      </c>
      <c r="C2689" s="1" t="s">
        <v>11296</v>
      </c>
      <c r="D2689" s="1" t="s">
        <v>23</v>
      </c>
      <c r="E2689" s="250">
        <v>2630.8310000000001</v>
      </c>
    </row>
    <row r="2690" spans="1:5" x14ac:dyDescent="0.35">
      <c r="A2690" s="1" t="s">
        <v>18338</v>
      </c>
      <c r="B2690" s="1" t="s">
        <v>23</v>
      </c>
      <c r="C2690" s="1" t="s">
        <v>11295</v>
      </c>
      <c r="D2690" s="1" t="s">
        <v>23</v>
      </c>
      <c r="E2690" s="250">
        <v>2630.8319999999999</v>
      </c>
    </row>
    <row r="2691" spans="1:5" x14ac:dyDescent="0.35">
      <c r="A2691" s="1" t="s">
        <v>18339</v>
      </c>
      <c r="B2691" s="1" t="s">
        <v>23</v>
      </c>
      <c r="C2691" s="1" t="s">
        <v>11294</v>
      </c>
      <c r="D2691" s="1" t="s">
        <v>23</v>
      </c>
      <c r="E2691" s="250">
        <v>2630.8330000000001</v>
      </c>
    </row>
    <row r="2692" spans="1:5" x14ac:dyDescent="0.35">
      <c r="A2692" s="1" t="s">
        <v>18340</v>
      </c>
      <c r="B2692" s="1" t="s">
        <v>23</v>
      </c>
      <c r="C2692" s="1" t="s">
        <v>11293</v>
      </c>
      <c r="D2692" s="1" t="s">
        <v>23</v>
      </c>
      <c r="E2692" s="250">
        <v>2630.8339999999998</v>
      </c>
    </row>
    <row r="2693" spans="1:5" x14ac:dyDescent="0.35">
      <c r="A2693" s="1" t="s">
        <v>18341</v>
      </c>
      <c r="B2693" s="1" t="s">
        <v>23</v>
      </c>
      <c r="C2693" s="1" t="s">
        <v>11292</v>
      </c>
      <c r="D2693" s="1" t="s">
        <v>23</v>
      </c>
      <c r="E2693" s="250">
        <v>2630.835</v>
      </c>
    </row>
    <row r="2694" spans="1:5" x14ac:dyDescent="0.35">
      <c r="A2694" s="1" t="s">
        <v>18342</v>
      </c>
      <c r="B2694" s="1" t="s">
        <v>23</v>
      </c>
      <c r="C2694" s="1" t="s">
        <v>11291</v>
      </c>
      <c r="D2694" s="1" t="s">
        <v>23</v>
      </c>
      <c r="E2694" s="250">
        <v>2630.8359999999998</v>
      </c>
    </row>
    <row r="2695" spans="1:5" x14ac:dyDescent="0.35">
      <c r="A2695" s="1" t="s">
        <v>18343</v>
      </c>
      <c r="B2695" s="1" t="s">
        <v>23</v>
      </c>
      <c r="C2695" s="1" t="s">
        <v>11290</v>
      </c>
      <c r="D2695" s="1" t="s">
        <v>23</v>
      </c>
      <c r="E2695" s="250">
        <v>2630.837</v>
      </c>
    </row>
    <row r="2696" spans="1:5" x14ac:dyDescent="0.35">
      <c r="A2696" s="1" t="s">
        <v>18344</v>
      </c>
      <c r="B2696" s="1" t="s">
        <v>23</v>
      </c>
      <c r="C2696" s="1" t="s">
        <v>11289</v>
      </c>
      <c r="D2696" s="1" t="s">
        <v>23</v>
      </c>
      <c r="E2696" s="250">
        <v>2630.8380000000002</v>
      </c>
    </row>
    <row r="2697" spans="1:5" x14ac:dyDescent="0.35">
      <c r="A2697" s="1" t="s">
        <v>18345</v>
      </c>
      <c r="B2697" s="1" t="s">
        <v>23</v>
      </c>
      <c r="C2697" s="1" t="s">
        <v>11288</v>
      </c>
      <c r="D2697" s="1" t="s">
        <v>23</v>
      </c>
      <c r="E2697" s="250">
        <v>2630.8389999999999</v>
      </c>
    </row>
    <row r="2698" spans="1:5" x14ac:dyDescent="0.35">
      <c r="A2698" s="1" t="s">
        <v>18346</v>
      </c>
      <c r="B2698" s="1" t="s">
        <v>23</v>
      </c>
      <c r="C2698" s="1" t="s">
        <v>11287</v>
      </c>
      <c r="D2698" s="1" t="s">
        <v>23</v>
      </c>
      <c r="E2698" s="250">
        <v>2630.84</v>
      </c>
    </row>
    <row r="2699" spans="1:5" x14ac:dyDescent="0.35">
      <c r="A2699" s="1" t="s">
        <v>18347</v>
      </c>
      <c r="B2699" s="1" t="s">
        <v>23</v>
      </c>
      <c r="C2699" s="1" t="s">
        <v>11286</v>
      </c>
      <c r="D2699" s="1" t="s">
        <v>23</v>
      </c>
      <c r="E2699" s="250">
        <v>2630.8409999999999</v>
      </c>
    </row>
    <row r="2700" spans="1:5" x14ac:dyDescent="0.35">
      <c r="A2700" s="1" t="s">
        <v>18348</v>
      </c>
      <c r="B2700" s="1" t="s">
        <v>23</v>
      </c>
      <c r="C2700" s="1" t="s">
        <v>11285</v>
      </c>
      <c r="D2700" s="1" t="s">
        <v>23</v>
      </c>
      <c r="E2700" s="250">
        <v>2630.8420000000001</v>
      </c>
    </row>
    <row r="2701" spans="1:5" x14ac:dyDescent="0.35">
      <c r="A2701" s="1" t="s">
        <v>18349</v>
      </c>
      <c r="B2701" s="1" t="s">
        <v>57</v>
      </c>
      <c r="C2701" s="1" t="s">
        <v>11311</v>
      </c>
      <c r="D2701" s="1" t="s">
        <v>57</v>
      </c>
      <c r="E2701" s="250">
        <v>2630.85</v>
      </c>
    </row>
    <row r="2702" spans="1:5" x14ac:dyDescent="0.35">
      <c r="A2702" s="1" t="s">
        <v>18350</v>
      </c>
      <c r="B2702" s="1" t="s">
        <v>23</v>
      </c>
      <c r="C2702" s="1" t="s">
        <v>9824</v>
      </c>
      <c r="D2702" s="1" t="s">
        <v>23</v>
      </c>
      <c r="E2702" s="250">
        <v>2630.8510000000001</v>
      </c>
    </row>
    <row r="2703" spans="1:5" x14ac:dyDescent="0.35">
      <c r="A2703" s="1" t="s">
        <v>18351</v>
      </c>
      <c r="B2703" s="1" t="s">
        <v>23</v>
      </c>
      <c r="C2703" s="1" t="s">
        <v>11310</v>
      </c>
      <c r="D2703" s="1" t="s">
        <v>23</v>
      </c>
      <c r="E2703" s="250">
        <v>2630.8519999999999</v>
      </c>
    </row>
    <row r="2704" spans="1:5" x14ac:dyDescent="0.35">
      <c r="A2704" s="1" t="s">
        <v>18352</v>
      </c>
      <c r="B2704" s="1" t="s">
        <v>23</v>
      </c>
      <c r="C2704" s="1" t="s">
        <v>9820</v>
      </c>
      <c r="D2704" s="1" t="s">
        <v>23</v>
      </c>
      <c r="E2704" s="250">
        <v>2630.8530000000001</v>
      </c>
    </row>
    <row r="2705" spans="1:5" x14ac:dyDescent="0.35">
      <c r="A2705" s="1" t="s">
        <v>18353</v>
      </c>
      <c r="B2705" s="1" t="s">
        <v>23</v>
      </c>
      <c r="C2705" s="1" t="s">
        <v>11309</v>
      </c>
      <c r="D2705" s="1" t="s">
        <v>23</v>
      </c>
      <c r="E2705" s="250">
        <v>2630.8539999999998</v>
      </c>
    </row>
    <row r="2706" spans="1:5" x14ac:dyDescent="0.35">
      <c r="A2706" s="1" t="s">
        <v>18354</v>
      </c>
      <c r="B2706" s="1" t="s">
        <v>23</v>
      </c>
      <c r="C2706" s="1" t="s">
        <v>9816</v>
      </c>
      <c r="D2706" s="1" t="s">
        <v>23</v>
      </c>
      <c r="E2706" s="250">
        <v>2630.855</v>
      </c>
    </row>
    <row r="2707" spans="1:5" x14ac:dyDescent="0.35">
      <c r="A2707" s="1" t="s">
        <v>18355</v>
      </c>
      <c r="B2707" s="1" t="s">
        <v>23</v>
      </c>
      <c r="C2707" s="1" t="s">
        <v>9812</v>
      </c>
      <c r="D2707" s="1" t="s">
        <v>23</v>
      </c>
      <c r="E2707" s="250">
        <v>2630.8560000000002</v>
      </c>
    </row>
    <row r="2708" spans="1:5" x14ac:dyDescent="0.35">
      <c r="A2708" s="1" t="s">
        <v>18356</v>
      </c>
      <c r="B2708" s="1" t="s">
        <v>23</v>
      </c>
      <c r="C2708" s="1" t="s">
        <v>9804</v>
      </c>
      <c r="D2708" s="1" t="s">
        <v>23</v>
      </c>
      <c r="E2708" s="250">
        <v>2630.857</v>
      </c>
    </row>
    <row r="2709" spans="1:5" x14ac:dyDescent="0.35">
      <c r="A2709" s="1" t="s">
        <v>18357</v>
      </c>
      <c r="B2709" s="1" t="s">
        <v>23</v>
      </c>
      <c r="C2709" s="1" t="s">
        <v>9800</v>
      </c>
      <c r="D2709" s="1" t="s">
        <v>23</v>
      </c>
      <c r="E2709" s="250">
        <v>2630.8580000000002</v>
      </c>
    </row>
    <row r="2710" spans="1:5" x14ac:dyDescent="0.35">
      <c r="A2710" s="1" t="s">
        <v>18358</v>
      </c>
      <c r="B2710" s="1" t="s">
        <v>23</v>
      </c>
      <c r="C2710" s="1" t="s">
        <v>11308</v>
      </c>
      <c r="D2710" s="1" t="s">
        <v>23</v>
      </c>
      <c r="E2710" s="250">
        <v>2630.8589999999999</v>
      </c>
    </row>
    <row r="2711" spans="1:5" x14ac:dyDescent="0.35">
      <c r="A2711" s="1" t="s">
        <v>18359</v>
      </c>
      <c r="B2711" s="1" t="s">
        <v>23</v>
      </c>
      <c r="C2711" s="1" t="s">
        <v>11307</v>
      </c>
      <c r="D2711" s="1" t="s">
        <v>23</v>
      </c>
      <c r="E2711" s="250">
        <v>2630.86</v>
      </c>
    </row>
    <row r="2712" spans="1:5" x14ac:dyDescent="0.35">
      <c r="A2712" s="1" t="s">
        <v>18360</v>
      </c>
      <c r="B2712" s="1" t="s">
        <v>23</v>
      </c>
      <c r="C2712" s="1" t="s">
        <v>11306</v>
      </c>
      <c r="D2712" s="1" t="s">
        <v>23</v>
      </c>
      <c r="E2712" s="250">
        <v>2630.8609999999999</v>
      </c>
    </row>
    <row r="2713" spans="1:5" x14ac:dyDescent="0.35">
      <c r="A2713" s="1" t="s">
        <v>18361</v>
      </c>
      <c r="B2713" s="1" t="s">
        <v>23</v>
      </c>
      <c r="C2713" s="1" t="s">
        <v>11305</v>
      </c>
      <c r="D2713" s="1" t="s">
        <v>23</v>
      </c>
      <c r="E2713" s="250">
        <v>2630.8620000000001</v>
      </c>
    </row>
    <row r="2714" spans="1:5" x14ac:dyDescent="0.35">
      <c r="A2714" s="1" t="s">
        <v>18362</v>
      </c>
      <c r="B2714" s="1" t="s">
        <v>23</v>
      </c>
      <c r="C2714" s="1" t="s">
        <v>11304</v>
      </c>
      <c r="D2714" s="1" t="s">
        <v>23</v>
      </c>
      <c r="E2714" s="250">
        <v>2630.8629999999998</v>
      </c>
    </row>
    <row r="2715" spans="1:5" x14ac:dyDescent="0.35">
      <c r="A2715" s="1" t="s">
        <v>18363</v>
      </c>
      <c r="B2715" s="1" t="s">
        <v>23</v>
      </c>
      <c r="C2715" s="1" t="s">
        <v>11303</v>
      </c>
      <c r="D2715" s="1" t="s">
        <v>23</v>
      </c>
      <c r="E2715" s="250">
        <v>2630.864</v>
      </c>
    </row>
    <row r="2716" spans="1:5" x14ac:dyDescent="0.35">
      <c r="A2716" s="1" t="s">
        <v>18364</v>
      </c>
      <c r="B2716" s="1" t="s">
        <v>23</v>
      </c>
      <c r="C2716" s="1" t="s">
        <v>11302</v>
      </c>
      <c r="D2716" s="1" t="s">
        <v>23</v>
      </c>
      <c r="E2716" s="250">
        <v>2630.8649999999998</v>
      </c>
    </row>
    <row r="2717" spans="1:5" x14ac:dyDescent="0.35">
      <c r="A2717" s="1" t="s">
        <v>18365</v>
      </c>
      <c r="B2717" s="1" t="s">
        <v>23</v>
      </c>
      <c r="C2717" s="1" t="s">
        <v>11301</v>
      </c>
      <c r="D2717" s="1" t="s">
        <v>23</v>
      </c>
      <c r="E2717" s="250">
        <v>2630.866</v>
      </c>
    </row>
    <row r="2718" spans="1:5" x14ac:dyDescent="0.35">
      <c r="A2718" s="1" t="s">
        <v>18366</v>
      </c>
      <c r="B2718" s="1" t="s">
        <v>23</v>
      </c>
      <c r="C2718" s="1" t="s">
        <v>11300</v>
      </c>
      <c r="D2718" s="1" t="s">
        <v>23</v>
      </c>
      <c r="E2718" s="250">
        <v>2630.8670000000002</v>
      </c>
    </row>
    <row r="2719" spans="1:5" x14ac:dyDescent="0.35">
      <c r="A2719" s="1" t="s">
        <v>18367</v>
      </c>
      <c r="B2719" s="1" t="s">
        <v>23</v>
      </c>
      <c r="C2719" s="1" t="s">
        <v>11299</v>
      </c>
      <c r="D2719" s="1" t="s">
        <v>23</v>
      </c>
      <c r="E2719" s="250">
        <v>2630.8679999999999</v>
      </c>
    </row>
    <row r="2720" spans="1:5" x14ac:dyDescent="0.35">
      <c r="A2720" s="1" t="s">
        <v>18368</v>
      </c>
      <c r="B2720" s="1" t="s">
        <v>23</v>
      </c>
      <c r="C2720" s="1" t="s">
        <v>11298</v>
      </c>
      <c r="D2720" s="1" t="s">
        <v>23</v>
      </c>
      <c r="E2720" s="250">
        <v>2630.8690000000001</v>
      </c>
    </row>
    <row r="2721" spans="1:5" x14ac:dyDescent="0.35">
      <c r="A2721" s="1" t="s">
        <v>18369</v>
      </c>
      <c r="B2721" s="1" t="s">
        <v>23</v>
      </c>
      <c r="C2721" s="1" t="s">
        <v>11297</v>
      </c>
      <c r="D2721" s="1" t="s">
        <v>23</v>
      </c>
      <c r="E2721" s="250">
        <v>2630.87</v>
      </c>
    </row>
    <row r="2722" spans="1:5" x14ac:dyDescent="0.35">
      <c r="A2722" s="1" t="s">
        <v>18370</v>
      </c>
      <c r="B2722" s="1" t="s">
        <v>23</v>
      </c>
      <c r="C2722" s="1" t="s">
        <v>11296</v>
      </c>
      <c r="D2722" s="1" t="s">
        <v>23</v>
      </c>
      <c r="E2722" s="250">
        <v>2630.8710000000001</v>
      </c>
    </row>
    <row r="2723" spans="1:5" x14ac:dyDescent="0.35">
      <c r="A2723" s="1" t="s">
        <v>18371</v>
      </c>
      <c r="B2723" s="1" t="s">
        <v>23</v>
      </c>
      <c r="C2723" s="1" t="s">
        <v>11295</v>
      </c>
      <c r="D2723" s="1" t="s">
        <v>23</v>
      </c>
      <c r="E2723" s="250">
        <v>2630.8719999999998</v>
      </c>
    </row>
    <row r="2724" spans="1:5" x14ac:dyDescent="0.35">
      <c r="A2724" s="1" t="s">
        <v>18372</v>
      </c>
      <c r="B2724" s="1" t="s">
        <v>23</v>
      </c>
      <c r="C2724" s="1" t="s">
        <v>11294</v>
      </c>
      <c r="D2724" s="1" t="s">
        <v>23</v>
      </c>
      <c r="E2724" s="250">
        <v>2630.873</v>
      </c>
    </row>
    <row r="2725" spans="1:5" x14ac:dyDescent="0.35">
      <c r="A2725" s="1" t="s">
        <v>18373</v>
      </c>
      <c r="B2725" s="1" t="s">
        <v>23</v>
      </c>
      <c r="C2725" s="1" t="s">
        <v>11293</v>
      </c>
      <c r="D2725" s="1" t="s">
        <v>23</v>
      </c>
      <c r="E2725" s="250">
        <v>2630.8739999999998</v>
      </c>
    </row>
    <row r="2726" spans="1:5" x14ac:dyDescent="0.35">
      <c r="A2726" s="1" t="s">
        <v>18374</v>
      </c>
      <c r="B2726" s="1" t="s">
        <v>23</v>
      </c>
      <c r="C2726" s="1" t="s">
        <v>11292</v>
      </c>
      <c r="D2726" s="1" t="s">
        <v>23</v>
      </c>
      <c r="E2726" s="250">
        <v>2630.875</v>
      </c>
    </row>
    <row r="2727" spans="1:5" x14ac:dyDescent="0.35">
      <c r="A2727" s="1" t="s">
        <v>18375</v>
      </c>
      <c r="B2727" s="1" t="s">
        <v>23</v>
      </c>
      <c r="C2727" s="1" t="s">
        <v>11291</v>
      </c>
      <c r="D2727" s="1" t="s">
        <v>23</v>
      </c>
      <c r="E2727" s="250">
        <v>2630.8760000000002</v>
      </c>
    </row>
    <row r="2728" spans="1:5" x14ac:dyDescent="0.35">
      <c r="A2728" s="1" t="s">
        <v>18376</v>
      </c>
      <c r="B2728" s="1" t="s">
        <v>23</v>
      </c>
      <c r="C2728" s="1" t="s">
        <v>11290</v>
      </c>
      <c r="D2728" s="1" t="s">
        <v>23</v>
      </c>
      <c r="E2728" s="250">
        <v>2630.877</v>
      </c>
    </row>
    <row r="2729" spans="1:5" x14ac:dyDescent="0.35">
      <c r="A2729" s="1" t="s">
        <v>18377</v>
      </c>
      <c r="B2729" s="1" t="s">
        <v>23</v>
      </c>
      <c r="C2729" s="1" t="s">
        <v>11289</v>
      </c>
      <c r="D2729" s="1" t="s">
        <v>23</v>
      </c>
      <c r="E2729" s="250">
        <v>2630.8780000000002</v>
      </c>
    </row>
    <row r="2730" spans="1:5" x14ac:dyDescent="0.35">
      <c r="A2730" s="1" t="s">
        <v>18378</v>
      </c>
      <c r="B2730" s="1" t="s">
        <v>23</v>
      </c>
      <c r="C2730" s="1" t="s">
        <v>11288</v>
      </c>
      <c r="D2730" s="1" t="s">
        <v>23</v>
      </c>
      <c r="E2730" s="250">
        <v>2630.8789999999999</v>
      </c>
    </row>
    <row r="2731" spans="1:5" x14ac:dyDescent="0.35">
      <c r="A2731" s="1" t="s">
        <v>18379</v>
      </c>
      <c r="B2731" s="1" t="s">
        <v>23</v>
      </c>
      <c r="C2731" s="1" t="s">
        <v>11287</v>
      </c>
      <c r="D2731" s="1" t="s">
        <v>23</v>
      </c>
      <c r="E2731" s="250">
        <v>2630.88</v>
      </c>
    </row>
    <row r="2732" spans="1:5" x14ac:dyDescent="0.35">
      <c r="A2732" s="1" t="s">
        <v>18380</v>
      </c>
      <c r="B2732" s="1" t="s">
        <v>23</v>
      </c>
      <c r="C2732" s="1" t="s">
        <v>11286</v>
      </c>
      <c r="D2732" s="1" t="s">
        <v>23</v>
      </c>
      <c r="E2732" s="250">
        <v>2630.8809999999999</v>
      </c>
    </row>
    <row r="2733" spans="1:5" x14ac:dyDescent="0.35">
      <c r="A2733" s="1" t="s">
        <v>18381</v>
      </c>
      <c r="B2733" s="1" t="s">
        <v>23</v>
      </c>
      <c r="C2733" s="1" t="s">
        <v>11285</v>
      </c>
      <c r="D2733" s="1" t="s">
        <v>23</v>
      </c>
      <c r="E2733" s="250">
        <v>2630.8820000000001</v>
      </c>
    </row>
    <row r="2734" spans="1:5" x14ac:dyDescent="0.35">
      <c r="A2734" s="2" t="s">
        <v>18382</v>
      </c>
      <c r="B2734" s="1" t="s">
        <v>19</v>
      </c>
      <c r="C2734" s="1" t="s">
        <v>11284</v>
      </c>
      <c r="D2734" s="1" t="s">
        <v>19</v>
      </c>
      <c r="E2734" s="250">
        <v>2639.9</v>
      </c>
    </row>
    <row r="2735" spans="1:5" x14ac:dyDescent="0.35">
      <c r="A2735" s="1" t="s">
        <v>18383</v>
      </c>
      <c r="B2735" s="1" t="s">
        <v>19</v>
      </c>
      <c r="C2735" s="1" t="s">
        <v>11283</v>
      </c>
      <c r="D2735" s="1" t="s">
        <v>19</v>
      </c>
      <c r="E2735" s="250">
        <v>2639.9009999999998</v>
      </c>
    </row>
    <row r="2736" spans="1:5" x14ac:dyDescent="0.35">
      <c r="A2736" s="1" t="s">
        <v>18384</v>
      </c>
      <c r="B2736" s="1" t="s">
        <v>621</v>
      </c>
      <c r="C2736" s="1" t="s">
        <v>11282</v>
      </c>
      <c r="D2736" s="1" t="s">
        <v>621</v>
      </c>
      <c r="E2736" s="250">
        <v>2639.902</v>
      </c>
    </row>
    <row r="2737" spans="1:5" x14ac:dyDescent="0.35">
      <c r="A2737" s="1" t="s">
        <v>18385</v>
      </c>
      <c r="B2737" s="1" t="s">
        <v>21</v>
      </c>
      <c r="C2737" s="1" t="s">
        <v>11281</v>
      </c>
      <c r="D2737" s="1" t="s">
        <v>21</v>
      </c>
      <c r="E2737" s="250">
        <v>2709.91</v>
      </c>
    </row>
    <row r="2738" spans="1:5" x14ac:dyDescent="0.35">
      <c r="A2738" s="1" t="s">
        <v>18386</v>
      </c>
      <c r="B2738" s="1" t="s">
        <v>11148</v>
      </c>
      <c r="C2738" s="1" t="s">
        <v>11280</v>
      </c>
      <c r="D2738" s="1" t="s">
        <v>11148</v>
      </c>
      <c r="E2738" s="250">
        <v>2709.9110000000001</v>
      </c>
    </row>
    <row r="2739" spans="1:5" x14ac:dyDescent="0.35">
      <c r="A2739" s="2" t="s">
        <v>18387</v>
      </c>
      <c r="B2739" s="1" t="s">
        <v>21</v>
      </c>
      <c r="C2739" s="1" t="s">
        <v>11279</v>
      </c>
      <c r="D2739" s="1" t="s">
        <v>21</v>
      </c>
      <c r="E2739" s="250">
        <v>2710.01</v>
      </c>
    </row>
    <row r="2740" spans="1:5" x14ac:dyDescent="0.35">
      <c r="A2740" s="1" t="s">
        <v>18388</v>
      </c>
      <c r="B2740" s="1" t="s">
        <v>21</v>
      </c>
      <c r="C2740" s="1" t="s">
        <v>11278</v>
      </c>
      <c r="D2740" s="1" t="s">
        <v>21</v>
      </c>
      <c r="E2740" s="250">
        <v>2710.011</v>
      </c>
    </row>
    <row r="2741" spans="1:5" x14ac:dyDescent="0.35">
      <c r="A2741" s="1" t="s">
        <v>18389</v>
      </c>
      <c r="B2741" s="1" t="s">
        <v>21</v>
      </c>
      <c r="C2741" s="1" t="s">
        <v>11277</v>
      </c>
      <c r="D2741" s="1" t="s">
        <v>21</v>
      </c>
      <c r="E2741" s="250">
        <v>2710.0120000000002</v>
      </c>
    </row>
    <row r="2742" spans="1:5" x14ac:dyDescent="0.35">
      <c r="A2742" s="1" t="s">
        <v>18390</v>
      </c>
      <c r="B2742" s="1" t="s">
        <v>21</v>
      </c>
      <c r="C2742" s="1" t="s">
        <v>11276</v>
      </c>
      <c r="D2742" s="1" t="s">
        <v>21</v>
      </c>
      <c r="E2742" s="250">
        <v>2710.0129999999999</v>
      </c>
    </row>
    <row r="2743" spans="1:5" x14ac:dyDescent="0.35">
      <c r="A2743" s="1" t="s">
        <v>18391</v>
      </c>
      <c r="B2743" s="1" t="s">
        <v>21</v>
      </c>
      <c r="C2743" s="1" t="s">
        <v>11275</v>
      </c>
      <c r="D2743" s="1" t="s">
        <v>21</v>
      </c>
      <c r="E2743" s="250">
        <v>2710.0140000000001</v>
      </c>
    </row>
    <row r="2744" spans="1:5" x14ac:dyDescent="0.35">
      <c r="A2744" s="1" t="s">
        <v>18392</v>
      </c>
      <c r="B2744" s="1" t="s">
        <v>21</v>
      </c>
      <c r="C2744" s="1" t="s">
        <v>11274</v>
      </c>
      <c r="D2744" s="1" t="s">
        <v>21</v>
      </c>
      <c r="E2744" s="250">
        <v>2710.0149999999999</v>
      </c>
    </row>
    <row r="2745" spans="1:5" x14ac:dyDescent="0.35">
      <c r="A2745" s="1" t="s">
        <v>18393</v>
      </c>
      <c r="B2745" s="1" t="s">
        <v>21</v>
      </c>
      <c r="C2745" s="1" t="s">
        <v>11273</v>
      </c>
      <c r="D2745" s="1" t="s">
        <v>21</v>
      </c>
      <c r="E2745" s="250">
        <v>2710.0160000000001</v>
      </c>
    </row>
    <row r="2746" spans="1:5" x14ac:dyDescent="0.35">
      <c r="A2746" s="1" t="s">
        <v>18394</v>
      </c>
      <c r="B2746" s="1" t="s">
        <v>21</v>
      </c>
      <c r="C2746" s="1" t="s">
        <v>11272</v>
      </c>
      <c r="D2746" s="1" t="s">
        <v>21</v>
      </c>
      <c r="E2746" s="250">
        <v>2710.0169999999998</v>
      </c>
    </row>
    <row r="2747" spans="1:5" x14ac:dyDescent="0.35">
      <c r="A2747" s="1" t="s">
        <v>18395</v>
      </c>
      <c r="B2747" s="1" t="s">
        <v>42</v>
      </c>
      <c r="C2747" s="1" t="s">
        <v>11271</v>
      </c>
      <c r="D2747" s="1" t="s">
        <v>42</v>
      </c>
      <c r="E2747" s="250">
        <v>2710.018</v>
      </c>
    </row>
    <row r="2748" spans="1:5" x14ac:dyDescent="0.35">
      <c r="A2748" s="1" t="s">
        <v>18396</v>
      </c>
      <c r="B2748" s="1" t="s">
        <v>21</v>
      </c>
      <c r="C2748" s="1" t="s">
        <v>11270</v>
      </c>
      <c r="D2748" s="1" t="s">
        <v>21</v>
      </c>
      <c r="E2748" s="250">
        <v>2710.02</v>
      </c>
    </row>
    <row r="2749" spans="1:5" x14ac:dyDescent="0.35">
      <c r="A2749" s="1" t="s">
        <v>18397</v>
      </c>
      <c r="B2749" s="1" t="s">
        <v>21</v>
      </c>
      <c r="C2749" s="1" t="s">
        <v>11269</v>
      </c>
      <c r="D2749" s="1" t="s">
        <v>21</v>
      </c>
      <c r="E2749" s="250">
        <v>2710.0210000000002</v>
      </c>
    </row>
    <row r="2750" spans="1:5" x14ac:dyDescent="0.35">
      <c r="A2750" s="1" t="s">
        <v>18398</v>
      </c>
      <c r="B2750" s="1" t="s">
        <v>21</v>
      </c>
      <c r="C2750" s="1" t="s">
        <v>11268</v>
      </c>
      <c r="D2750" s="1" t="s">
        <v>21</v>
      </c>
      <c r="E2750" s="250">
        <v>2710.0219999999999</v>
      </c>
    </row>
    <row r="2751" spans="1:5" x14ac:dyDescent="0.35">
      <c r="A2751" s="1" t="s">
        <v>18399</v>
      </c>
      <c r="B2751" s="1" t="s">
        <v>21</v>
      </c>
      <c r="C2751" s="1" t="s">
        <v>11267</v>
      </c>
      <c r="D2751" s="1" t="s">
        <v>21</v>
      </c>
      <c r="E2751" s="250">
        <v>2710.0230000000001</v>
      </c>
    </row>
    <row r="2752" spans="1:5" x14ac:dyDescent="0.35">
      <c r="A2752" s="1" t="s">
        <v>18400</v>
      </c>
      <c r="B2752" s="1" t="s">
        <v>21</v>
      </c>
      <c r="C2752" s="1" t="s">
        <v>11266</v>
      </c>
      <c r="D2752" s="1" t="s">
        <v>21</v>
      </c>
      <c r="E2752" s="250">
        <v>2710.0239999999999</v>
      </c>
    </row>
    <row r="2753" spans="1:5" x14ac:dyDescent="0.35">
      <c r="A2753" s="1" t="s">
        <v>18401</v>
      </c>
      <c r="B2753" s="1" t="s">
        <v>42</v>
      </c>
      <c r="C2753" s="1" t="s">
        <v>11265</v>
      </c>
      <c r="D2753" s="1" t="s">
        <v>42</v>
      </c>
      <c r="E2753" s="250">
        <v>2710.0250000000001</v>
      </c>
    </row>
    <row r="2754" spans="1:5" x14ac:dyDescent="0.35">
      <c r="A2754" s="1" t="s">
        <v>18402</v>
      </c>
      <c r="B2754" s="1" t="s">
        <v>20</v>
      </c>
      <c r="C2754" s="1" t="s">
        <v>11264</v>
      </c>
      <c r="D2754" s="1" t="s">
        <v>20</v>
      </c>
      <c r="E2754" s="250">
        <v>2710.03</v>
      </c>
    </row>
    <row r="2755" spans="1:5" x14ac:dyDescent="0.35">
      <c r="A2755" s="2" t="s">
        <v>18403</v>
      </c>
      <c r="B2755" s="1" t="s">
        <v>21</v>
      </c>
      <c r="C2755" s="1" t="s">
        <v>11263</v>
      </c>
      <c r="D2755" s="1" t="s">
        <v>21</v>
      </c>
      <c r="E2755" s="250">
        <v>2720.01</v>
      </c>
    </row>
    <row r="2756" spans="1:5" x14ac:dyDescent="0.35">
      <c r="A2756" s="1" t="s">
        <v>18404</v>
      </c>
      <c r="B2756" s="1" t="s">
        <v>21</v>
      </c>
      <c r="C2756" s="1" t="s">
        <v>11262</v>
      </c>
      <c r="D2756" s="1" t="s">
        <v>21</v>
      </c>
      <c r="E2756" s="250">
        <v>2720.0120000000002</v>
      </c>
    </row>
    <row r="2757" spans="1:5" x14ac:dyDescent="0.35">
      <c r="A2757" s="1" t="s">
        <v>18405</v>
      </c>
      <c r="B2757" s="1" t="s">
        <v>21</v>
      </c>
      <c r="C2757" s="1" t="s">
        <v>11261</v>
      </c>
      <c r="D2757" s="1" t="s">
        <v>21</v>
      </c>
      <c r="E2757" s="250">
        <v>2720.0129999999999</v>
      </c>
    </row>
    <row r="2758" spans="1:5" x14ac:dyDescent="0.35">
      <c r="A2758" s="1" t="s">
        <v>18406</v>
      </c>
      <c r="B2758" s="1" t="s">
        <v>21</v>
      </c>
      <c r="C2758" s="1" t="s">
        <v>11260</v>
      </c>
      <c r="D2758" s="1" t="s">
        <v>21</v>
      </c>
      <c r="E2758" s="250">
        <v>2720.0140000000001</v>
      </c>
    </row>
    <row r="2759" spans="1:5" x14ac:dyDescent="0.35">
      <c r="A2759" s="1" t="s">
        <v>18407</v>
      </c>
      <c r="B2759" s="1" t="s">
        <v>21</v>
      </c>
      <c r="C2759" s="1" t="s">
        <v>11259</v>
      </c>
      <c r="D2759" s="1" t="s">
        <v>21</v>
      </c>
      <c r="E2759" s="250">
        <v>2720.0149999999999</v>
      </c>
    </row>
    <row r="2760" spans="1:5" x14ac:dyDescent="0.35">
      <c r="A2760" s="1" t="s">
        <v>18408</v>
      </c>
      <c r="B2760" s="1" t="s">
        <v>21</v>
      </c>
      <c r="C2760" s="1" t="s">
        <v>11258</v>
      </c>
      <c r="D2760" s="1" t="s">
        <v>21</v>
      </c>
      <c r="E2760" s="250">
        <v>2720.0160000000001</v>
      </c>
    </row>
    <row r="2761" spans="1:5" x14ac:dyDescent="0.35">
      <c r="A2761" s="1" t="s">
        <v>18409</v>
      </c>
      <c r="B2761" s="1" t="s">
        <v>42</v>
      </c>
      <c r="C2761" s="1" t="s">
        <v>11257</v>
      </c>
      <c r="D2761" s="1" t="s">
        <v>42</v>
      </c>
      <c r="E2761" s="250">
        <v>2720.0169999999998</v>
      </c>
    </row>
    <row r="2762" spans="1:5" x14ac:dyDescent="0.35">
      <c r="A2762" s="1" t="s">
        <v>18410</v>
      </c>
      <c r="B2762" s="1" t="s">
        <v>21</v>
      </c>
      <c r="C2762" s="1" t="s">
        <v>11256</v>
      </c>
      <c r="D2762" s="1" t="s">
        <v>21</v>
      </c>
      <c r="E2762" s="250">
        <v>2720.02</v>
      </c>
    </row>
    <row r="2763" spans="1:5" x14ac:dyDescent="0.35">
      <c r="A2763" s="1" t="s">
        <v>18411</v>
      </c>
      <c r="B2763" s="1" t="s">
        <v>21</v>
      </c>
      <c r="C2763" s="1" t="s">
        <v>11255</v>
      </c>
      <c r="D2763" s="1" t="s">
        <v>21</v>
      </c>
      <c r="E2763" s="250">
        <v>2720.0210000000002</v>
      </c>
    </row>
    <row r="2764" spans="1:5" x14ac:dyDescent="0.35">
      <c r="A2764" s="1" t="s">
        <v>18412</v>
      </c>
      <c r="B2764" s="1" t="s">
        <v>21</v>
      </c>
      <c r="C2764" s="1" t="s">
        <v>11254</v>
      </c>
      <c r="D2764" s="1" t="s">
        <v>21</v>
      </c>
      <c r="E2764" s="250">
        <v>2720.0219999999999</v>
      </c>
    </row>
    <row r="2765" spans="1:5" x14ac:dyDescent="0.35">
      <c r="A2765" s="1" t="s">
        <v>18413</v>
      </c>
      <c r="B2765" s="1" t="s">
        <v>21</v>
      </c>
      <c r="C2765" s="1" t="s">
        <v>11253</v>
      </c>
      <c r="D2765" s="1" t="s">
        <v>21</v>
      </c>
      <c r="E2765" s="250">
        <v>2720.0230000000001</v>
      </c>
    </row>
    <row r="2766" spans="1:5" x14ac:dyDescent="0.35">
      <c r="A2766" s="1" t="s">
        <v>18414</v>
      </c>
      <c r="B2766" s="1" t="s">
        <v>21</v>
      </c>
      <c r="C2766" s="1" t="s">
        <v>11252</v>
      </c>
      <c r="D2766" s="1" t="s">
        <v>21</v>
      </c>
      <c r="E2766" s="250">
        <v>2720.0239999999999</v>
      </c>
    </row>
    <row r="2767" spans="1:5" x14ac:dyDescent="0.35">
      <c r="A2767" s="1" t="s">
        <v>18415</v>
      </c>
      <c r="B2767" s="1" t="s">
        <v>21</v>
      </c>
      <c r="C2767" s="1" t="s">
        <v>11251</v>
      </c>
      <c r="D2767" s="1" t="s">
        <v>21</v>
      </c>
      <c r="E2767" s="250">
        <v>2720.0250000000001</v>
      </c>
    </row>
    <row r="2768" spans="1:5" x14ac:dyDescent="0.35">
      <c r="A2768" s="1" t="s">
        <v>18416</v>
      </c>
      <c r="B2768" s="1" t="s">
        <v>21</v>
      </c>
      <c r="C2768" s="1" t="s">
        <v>11250</v>
      </c>
      <c r="D2768" s="1" t="s">
        <v>21</v>
      </c>
      <c r="E2768" s="250">
        <v>2720.0259999999998</v>
      </c>
    </row>
    <row r="2769" spans="1:5" x14ac:dyDescent="0.35">
      <c r="A2769" s="1" t="s">
        <v>18417</v>
      </c>
      <c r="B2769" s="1" t="s">
        <v>42</v>
      </c>
      <c r="C2769" s="1" t="s">
        <v>11249</v>
      </c>
      <c r="D2769" s="1" t="s">
        <v>42</v>
      </c>
      <c r="E2769" s="250">
        <v>2720.027</v>
      </c>
    </row>
    <row r="2770" spans="1:5" x14ac:dyDescent="0.35">
      <c r="A2770" s="1" t="s">
        <v>18418</v>
      </c>
      <c r="B2770" s="1" t="s">
        <v>21</v>
      </c>
      <c r="C2770" s="1" t="s">
        <v>11248</v>
      </c>
      <c r="D2770" s="1" t="s">
        <v>21</v>
      </c>
      <c r="E2770" s="250">
        <v>2720.0309999999999</v>
      </c>
    </row>
    <row r="2771" spans="1:5" x14ac:dyDescent="0.35">
      <c r="A2771" s="1" t="s">
        <v>18419</v>
      </c>
      <c r="B2771" s="1" t="s">
        <v>21</v>
      </c>
      <c r="C2771" s="1" t="s">
        <v>11247</v>
      </c>
      <c r="D2771" s="1" t="s">
        <v>21</v>
      </c>
      <c r="E2771" s="250">
        <v>2720.0320000000002</v>
      </c>
    </row>
    <row r="2772" spans="1:5" x14ac:dyDescent="0.35">
      <c r="A2772" s="1" t="s">
        <v>18420</v>
      </c>
      <c r="B2772" s="1" t="s">
        <v>21</v>
      </c>
      <c r="C2772" s="1" t="s">
        <v>11246</v>
      </c>
      <c r="D2772" s="1" t="s">
        <v>21</v>
      </c>
      <c r="E2772" s="250">
        <v>2720.0329999999999</v>
      </c>
    </row>
    <row r="2773" spans="1:5" x14ac:dyDescent="0.35">
      <c r="A2773" s="1" t="s">
        <v>18421</v>
      </c>
      <c r="B2773" s="1" t="s">
        <v>42</v>
      </c>
      <c r="C2773" s="1" t="s">
        <v>11245</v>
      </c>
      <c r="D2773" s="1" t="s">
        <v>42</v>
      </c>
      <c r="E2773" s="250">
        <v>2720.0340000000001</v>
      </c>
    </row>
    <row r="2774" spans="1:5" x14ac:dyDescent="0.35">
      <c r="A2774" s="1" t="s">
        <v>18422</v>
      </c>
      <c r="B2774" s="1" t="s">
        <v>23</v>
      </c>
      <c r="C2774" s="1" t="s">
        <v>11244</v>
      </c>
      <c r="D2774" s="1" t="s">
        <v>23</v>
      </c>
      <c r="E2774" s="250">
        <v>2720.04</v>
      </c>
    </row>
    <row r="2775" spans="1:5" x14ac:dyDescent="0.35">
      <c r="A2775" s="1" t="s">
        <v>18423</v>
      </c>
      <c r="B2775" s="1" t="s">
        <v>23</v>
      </c>
      <c r="C2775" s="1" t="s">
        <v>11243</v>
      </c>
      <c r="D2775" s="1" t="s">
        <v>23</v>
      </c>
      <c r="E2775" s="250">
        <v>2720.0410000000002</v>
      </c>
    </row>
    <row r="2776" spans="1:5" x14ac:dyDescent="0.35">
      <c r="A2776" s="1" t="s">
        <v>18424</v>
      </c>
      <c r="B2776" s="1" t="s">
        <v>23</v>
      </c>
      <c r="C2776" s="1" t="s">
        <v>11242</v>
      </c>
      <c r="D2776" s="1" t="s">
        <v>23</v>
      </c>
      <c r="E2776" s="250">
        <v>2720.0419999999999</v>
      </c>
    </row>
    <row r="2777" spans="1:5" x14ac:dyDescent="0.35">
      <c r="A2777" s="1" t="s">
        <v>18425</v>
      </c>
      <c r="B2777" s="1" t="s">
        <v>23</v>
      </c>
      <c r="C2777" s="1" t="s">
        <v>11241</v>
      </c>
      <c r="D2777" s="1" t="s">
        <v>23</v>
      </c>
      <c r="E2777" s="250">
        <v>2720.0430000000001</v>
      </c>
    </row>
    <row r="2778" spans="1:5" x14ac:dyDescent="0.35">
      <c r="A2778" s="1" t="s">
        <v>18426</v>
      </c>
      <c r="B2778" s="1" t="s">
        <v>23</v>
      </c>
      <c r="C2778" s="1" t="s">
        <v>11240</v>
      </c>
      <c r="D2778" s="1" t="s">
        <v>23</v>
      </c>
      <c r="E2778" s="250">
        <v>2720.0450000000001</v>
      </c>
    </row>
    <row r="2779" spans="1:5" x14ac:dyDescent="0.35">
      <c r="A2779" s="1" t="s">
        <v>18427</v>
      </c>
      <c r="B2779" s="1" t="s">
        <v>23</v>
      </c>
      <c r="C2779" s="1" t="s">
        <v>11239</v>
      </c>
      <c r="D2779" s="1" t="s">
        <v>23</v>
      </c>
      <c r="E2779" s="250">
        <v>2720.05</v>
      </c>
    </row>
    <row r="2780" spans="1:5" x14ac:dyDescent="0.35">
      <c r="A2780" s="1" t="s">
        <v>18428</v>
      </c>
      <c r="B2780" s="1" t="s">
        <v>23</v>
      </c>
      <c r="C2780" s="1" t="s">
        <v>11238</v>
      </c>
      <c r="D2780" s="1" t="s">
        <v>23</v>
      </c>
      <c r="E2780" s="250">
        <v>2720.0509999999999</v>
      </c>
    </row>
    <row r="2781" spans="1:5" x14ac:dyDescent="0.35">
      <c r="A2781" s="1" t="s">
        <v>18429</v>
      </c>
      <c r="B2781" s="1" t="s">
        <v>23</v>
      </c>
      <c r="C2781" s="1" t="s">
        <v>11237</v>
      </c>
      <c r="D2781" s="1" t="s">
        <v>23</v>
      </c>
      <c r="E2781" s="250">
        <v>2720.0520000000001</v>
      </c>
    </row>
    <row r="2782" spans="1:5" x14ac:dyDescent="0.35">
      <c r="A2782" s="1" t="s">
        <v>18430</v>
      </c>
      <c r="B2782" s="1" t="s">
        <v>23</v>
      </c>
      <c r="C2782" s="1" t="s">
        <v>11236</v>
      </c>
      <c r="D2782" s="1" t="s">
        <v>23</v>
      </c>
      <c r="E2782" s="250">
        <v>2720.0610000000001</v>
      </c>
    </row>
    <row r="2783" spans="1:5" x14ac:dyDescent="0.35">
      <c r="A2783" s="2" t="s">
        <v>18431</v>
      </c>
      <c r="B2783" s="1" t="s">
        <v>21</v>
      </c>
      <c r="C2783" s="1" t="s">
        <v>11235</v>
      </c>
      <c r="D2783" s="1" t="s">
        <v>21</v>
      </c>
      <c r="E2783" s="250">
        <v>2740.01</v>
      </c>
    </row>
    <row r="2784" spans="1:5" x14ac:dyDescent="0.35">
      <c r="A2784" s="1" t="s">
        <v>18432</v>
      </c>
      <c r="B2784" s="1" t="s">
        <v>21</v>
      </c>
      <c r="C2784" s="1" t="s">
        <v>11234</v>
      </c>
      <c r="D2784" s="1" t="s">
        <v>21</v>
      </c>
      <c r="E2784" s="250">
        <v>2740.011</v>
      </c>
    </row>
    <row r="2785" spans="1:5" x14ac:dyDescent="0.35">
      <c r="A2785" s="1" t="s">
        <v>18433</v>
      </c>
      <c r="B2785" s="1" t="s">
        <v>21</v>
      </c>
      <c r="C2785" s="1" t="s">
        <v>11233</v>
      </c>
      <c r="D2785" s="1" t="s">
        <v>21</v>
      </c>
      <c r="E2785" s="250">
        <v>2740.0120000000002</v>
      </c>
    </row>
    <row r="2786" spans="1:5" x14ac:dyDescent="0.35">
      <c r="A2786" s="1" t="s">
        <v>18434</v>
      </c>
      <c r="B2786" s="1" t="s">
        <v>21</v>
      </c>
      <c r="C2786" s="1" t="s">
        <v>11232</v>
      </c>
      <c r="D2786" s="1" t="s">
        <v>21</v>
      </c>
      <c r="E2786" s="250">
        <v>2740.0129999999999</v>
      </c>
    </row>
    <row r="2787" spans="1:5" x14ac:dyDescent="0.35">
      <c r="A2787" s="1" t="s">
        <v>18435</v>
      </c>
      <c r="B2787" s="1" t="s">
        <v>21</v>
      </c>
      <c r="C2787" s="1" t="s">
        <v>11231</v>
      </c>
      <c r="D2787" s="1" t="s">
        <v>21</v>
      </c>
      <c r="E2787" s="250">
        <v>2740.0140000000001</v>
      </c>
    </row>
    <row r="2788" spans="1:5" x14ac:dyDescent="0.35">
      <c r="A2788" s="1" t="s">
        <v>18436</v>
      </c>
      <c r="B2788" s="1" t="s">
        <v>21</v>
      </c>
      <c r="C2788" s="1" t="s">
        <v>11230</v>
      </c>
      <c r="D2788" s="1" t="s">
        <v>21</v>
      </c>
      <c r="E2788" s="250">
        <v>2740.0149999999999</v>
      </c>
    </row>
    <row r="2789" spans="1:5" x14ac:dyDescent="0.35">
      <c r="A2789" s="1" t="s">
        <v>18437</v>
      </c>
      <c r="B2789" s="1" t="s">
        <v>21</v>
      </c>
      <c r="C2789" s="1" t="s">
        <v>11229</v>
      </c>
      <c r="D2789" s="1" t="s">
        <v>21</v>
      </c>
      <c r="E2789" s="250">
        <v>2740.0160000000001</v>
      </c>
    </row>
    <row r="2790" spans="1:5" x14ac:dyDescent="0.35">
      <c r="A2790" s="1" t="s">
        <v>18438</v>
      </c>
      <c r="B2790" s="1" t="s">
        <v>21</v>
      </c>
      <c r="C2790" s="1" t="s">
        <v>11228</v>
      </c>
      <c r="D2790" s="1" t="s">
        <v>21</v>
      </c>
      <c r="E2790" s="250">
        <v>2740.0169999999998</v>
      </c>
    </row>
    <row r="2791" spans="1:5" x14ac:dyDescent="0.35">
      <c r="A2791" s="1" t="s">
        <v>18439</v>
      </c>
      <c r="B2791" s="1" t="s">
        <v>42</v>
      </c>
      <c r="C2791" s="1" t="s">
        <v>11227</v>
      </c>
      <c r="D2791" s="1" t="s">
        <v>42</v>
      </c>
      <c r="E2791" s="250">
        <v>2740.018</v>
      </c>
    </row>
    <row r="2792" spans="1:5" x14ac:dyDescent="0.35">
      <c r="A2792" s="1" t="s">
        <v>18440</v>
      </c>
      <c r="B2792" s="1" t="s">
        <v>21</v>
      </c>
      <c r="C2792" s="1" t="s">
        <v>11226</v>
      </c>
      <c r="D2792" s="1" t="s">
        <v>21</v>
      </c>
      <c r="E2792" s="250">
        <v>2740.02</v>
      </c>
    </row>
    <row r="2793" spans="1:5" x14ac:dyDescent="0.35">
      <c r="A2793" s="1" t="s">
        <v>18441</v>
      </c>
      <c r="B2793" s="1" t="s">
        <v>21</v>
      </c>
      <c r="C2793" s="1" t="s">
        <v>11225</v>
      </c>
      <c r="D2793" s="1" t="s">
        <v>21</v>
      </c>
      <c r="E2793" s="250">
        <v>2740.03</v>
      </c>
    </row>
    <row r="2794" spans="1:5" x14ac:dyDescent="0.35">
      <c r="A2794" s="1" t="s">
        <v>18442</v>
      </c>
      <c r="B2794" s="1" t="s">
        <v>21</v>
      </c>
      <c r="C2794" s="1" t="s">
        <v>11224</v>
      </c>
      <c r="D2794" s="1" t="s">
        <v>21</v>
      </c>
      <c r="E2794" s="250">
        <v>2740.11</v>
      </c>
    </row>
    <row r="2795" spans="1:5" x14ac:dyDescent="0.35">
      <c r="A2795" s="2" t="s">
        <v>18443</v>
      </c>
      <c r="B2795" s="1" t="s">
        <v>21</v>
      </c>
      <c r="C2795" s="1" t="s">
        <v>11223</v>
      </c>
      <c r="D2795" s="1" t="s">
        <v>21</v>
      </c>
      <c r="E2795" s="250">
        <v>2749.9</v>
      </c>
    </row>
    <row r="2796" spans="1:5" x14ac:dyDescent="0.35">
      <c r="A2796" s="1" t="s">
        <v>18444</v>
      </c>
      <c r="B2796" s="1" t="s">
        <v>21</v>
      </c>
      <c r="C2796" s="1" t="s">
        <v>11222</v>
      </c>
      <c r="D2796" s="1" t="s">
        <v>21</v>
      </c>
      <c r="E2796" s="250">
        <v>2749.9009999999998</v>
      </c>
    </row>
    <row r="2797" spans="1:5" x14ac:dyDescent="0.35">
      <c r="A2797" s="2" t="s">
        <v>18445</v>
      </c>
      <c r="B2797" s="1" t="s">
        <v>57</v>
      </c>
      <c r="C2797" s="1" t="s">
        <v>11221</v>
      </c>
      <c r="D2797" s="1" t="s">
        <v>57</v>
      </c>
      <c r="E2797" s="250">
        <v>2750.01</v>
      </c>
    </row>
    <row r="2798" spans="1:5" x14ac:dyDescent="0.35">
      <c r="A2798" s="1" t="s">
        <v>18446</v>
      </c>
      <c r="B2798" s="1" t="s">
        <v>23</v>
      </c>
      <c r="C2798" s="1" t="s">
        <v>11128</v>
      </c>
      <c r="D2798" s="1" t="s">
        <v>23</v>
      </c>
      <c r="E2798" s="250">
        <v>2750.011</v>
      </c>
    </row>
    <row r="2799" spans="1:5" x14ac:dyDescent="0.35">
      <c r="A2799" s="1" t="s">
        <v>18447</v>
      </c>
      <c r="B2799" s="1" t="s">
        <v>23</v>
      </c>
      <c r="C2799" s="1" t="s">
        <v>11127</v>
      </c>
      <c r="D2799" s="1" t="s">
        <v>23</v>
      </c>
      <c r="E2799" s="250">
        <v>2750.0120000000002</v>
      </c>
    </row>
    <row r="2800" spans="1:5" x14ac:dyDescent="0.35">
      <c r="A2800" s="1" t="s">
        <v>18448</v>
      </c>
      <c r="B2800" s="1" t="s">
        <v>23</v>
      </c>
      <c r="C2800" s="1" t="s">
        <v>11126</v>
      </c>
      <c r="D2800" s="1" t="s">
        <v>23</v>
      </c>
      <c r="E2800" s="250">
        <v>2750.0129999999999</v>
      </c>
    </row>
    <row r="2801" spans="1:5" x14ac:dyDescent="0.35">
      <c r="A2801" s="1" t="s">
        <v>18449</v>
      </c>
      <c r="B2801" s="1" t="s">
        <v>23</v>
      </c>
      <c r="C2801" s="1" t="s">
        <v>11125</v>
      </c>
      <c r="D2801" s="1" t="s">
        <v>23</v>
      </c>
      <c r="E2801" s="250">
        <v>2750.0140000000001</v>
      </c>
    </row>
    <row r="2802" spans="1:5" x14ac:dyDescent="0.35">
      <c r="A2802" s="1" t="s">
        <v>18450</v>
      </c>
      <c r="B2802" s="1" t="s">
        <v>23</v>
      </c>
      <c r="C2802" s="1" t="s">
        <v>11124</v>
      </c>
      <c r="D2802" s="1" t="s">
        <v>23</v>
      </c>
      <c r="E2802" s="250">
        <v>2750.0149999999999</v>
      </c>
    </row>
    <row r="2803" spans="1:5" x14ac:dyDescent="0.35">
      <c r="A2803" s="1" t="s">
        <v>18451</v>
      </c>
      <c r="B2803" s="1" t="s">
        <v>23</v>
      </c>
      <c r="C2803" s="1" t="s">
        <v>11123</v>
      </c>
      <c r="D2803" s="1" t="s">
        <v>23</v>
      </c>
      <c r="E2803" s="250">
        <v>2750.0160000000001</v>
      </c>
    </row>
    <row r="2804" spans="1:5" x14ac:dyDescent="0.35">
      <c r="A2804" s="1" t="s">
        <v>18452</v>
      </c>
      <c r="B2804" s="1" t="s">
        <v>23</v>
      </c>
      <c r="C2804" s="1" t="s">
        <v>11122</v>
      </c>
      <c r="D2804" s="1" t="s">
        <v>23</v>
      </c>
      <c r="E2804" s="250">
        <v>2750.0169999999998</v>
      </c>
    </row>
    <row r="2805" spans="1:5" x14ac:dyDescent="0.35">
      <c r="A2805" s="1" t="s">
        <v>18453</v>
      </c>
      <c r="B2805" s="1" t="s">
        <v>23</v>
      </c>
      <c r="C2805" s="1" t="s">
        <v>11121</v>
      </c>
      <c r="D2805" s="1" t="s">
        <v>23</v>
      </c>
      <c r="E2805" s="250">
        <v>2750.018</v>
      </c>
    </row>
    <row r="2806" spans="1:5" x14ac:dyDescent="0.35">
      <c r="A2806" s="1" t="s">
        <v>18454</v>
      </c>
      <c r="B2806" s="1" t="s">
        <v>23</v>
      </c>
      <c r="C2806" s="1" t="s">
        <v>11220</v>
      </c>
      <c r="D2806" s="1" t="s">
        <v>23</v>
      </c>
      <c r="E2806" s="250">
        <v>2750.0189999999998</v>
      </c>
    </row>
    <row r="2807" spans="1:5" x14ac:dyDescent="0.35">
      <c r="A2807" s="1" t="s">
        <v>18455</v>
      </c>
      <c r="B2807" s="1" t="s">
        <v>20</v>
      </c>
      <c r="C2807" s="1" t="s">
        <v>11219</v>
      </c>
      <c r="D2807" s="1" t="s">
        <v>20</v>
      </c>
      <c r="E2807" s="250">
        <v>2750.02</v>
      </c>
    </row>
    <row r="2808" spans="1:5" x14ac:dyDescent="0.35">
      <c r="A2808" s="1" t="s">
        <v>18456</v>
      </c>
      <c r="B2808" s="1" t="s">
        <v>20</v>
      </c>
      <c r="C2808" s="1" t="s">
        <v>11218</v>
      </c>
      <c r="D2808" s="1" t="s">
        <v>20</v>
      </c>
      <c r="E2808" s="250">
        <v>2750.0210000000002</v>
      </c>
    </row>
    <row r="2809" spans="1:5" x14ac:dyDescent="0.35">
      <c r="A2809" s="1" t="s">
        <v>18457</v>
      </c>
      <c r="B2809" s="1" t="s">
        <v>20</v>
      </c>
      <c r="C2809" s="1" t="s">
        <v>11217</v>
      </c>
      <c r="D2809" s="1" t="s">
        <v>20</v>
      </c>
      <c r="E2809" s="250">
        <v>2750.0219999999999</v>
      </c>
    </row>
    <row r="2810" spans="1:5" x14ac:dyDescent="0.35">
      <c r="A2810" s="1" t="s">
        <v>18458</v>
      </c>
      <c r="B2810" s="1" t="s">
        <v>20</v>
      </c>
      <c r="C2810" s="1" t="s">
        <v>11216</v>
      </c>
      <c r="D2810" s="1" t="s">
        <v>20</v>
      </c>
      <c r="E2810" s="250">
        <v>2750.0250000000001</v>
      </c>
    </row>
    <row r="2811" spans="1:5" x14ac:dyDescent="0.35">
      <c r="A2811" s="1" t="s">
        <v>18459</v>
      </c>
      <c r="B2811" s="1" t="s">
        <v>23</v>
      </c>
      <c r="C2811" s="1" t="s">
        <v>11215</v>
      </c>
      <c r="D2811" s="1" t="s">
        <v>23</v>
      </c>
      <c r="E2811" s="250">
        <v>2750.03</v>
      </c>
    </row>
    <row r="2812" spans="1:5" x14ac:dyDescent="0.35">
      <c r="A2812" s="1" t="s">
        <v>18460</v>
      </c>
      <c r="B2812" s="1" t="s">
        <v>19</v>
      </c>
      <c r="C2812" s="1" t="s">
        <v>11204</v>
      </c>
      <c r="D2812" s="1" t="s">
        <v>19</v>
      </c>
      <c r="E2812" s="250">
        <v>2750.0309999999999</v>
      </c>
    </row>
    <row r="2813" spans="1:5" x14ac:dyDescent="0.35">
      <c r="A2813" s="1" t="s">
        <v>18461</v>
      </c>
      <c r="B2813" s="1" t="s">
        <v>19</v>
      </c>
      <c r="C2813" s="1" t="s">
        <v>11214</v>
      </c>
      <c r="D2813" s="1" t="s">
        <v>19</v>
      </c>
      <c r="E2813" s="250">
        <v>2750.0349999999999</v>
      </c>
    </row>
    <row r="2814" spans="1:5" x14ac:dyDescent="0.35">
      <c r="A2814" s="1" t="s">
        <v>18462</v>
      </c>
      <c r="B2814" s="1" t="s">
        <v>1692</v>
      </c>
      <c r="C2814" s="1" t="s">
        <v>11028</v>
      </c>
      <c r="D2814" s="1" t="s">
        <v>1692</v>
      </c>
      <c r="E2814" s="250">
        <v>2750.04</v>
      </c>
    </row>
    <row r="2815" spans="1:5" x14ac:dyDescent="0.35">
      <c r="A2815" s="1" t="s">
        <v>18463</v>
      </c>
      <c r="B2815" s="1" t="s">
        <v>1692</v>
      </c>
      <c r="C2815" s="1" t="s">
        <v>11027</v>
      </c>
      <c r="D2815" s="1" t="s">
        <v>1692</v>
      </c>
      <c r="E2815" s="250">
        <v>2750.0410000000002</v>
      </c>
    </row>
    <row r="2816" spans="1:5" x14ac:dyDescent="0.35">
      <c r="A2816" s="1" t="s">
        <v>18464</v>
      </c>
      <c r="B2816" s="1" t="s">
        <v>1692</v>
      </c>
      <c r="C2816" s="1" t="s">
        <v>11025</v>
      </c>
      <c r="D2816" s="1" t="s">
        <v>1692</v>
      </c>
      <c r="E2816" s="250">
        <v>2750.0419999999999</v>
      </c>
    </row>
    <row r="2817" spans="1:5" x14ac:dyDescent="0.35">
      <c r="A2817" s="1" t="s">
        <v>18465</v>
      </c>
      <c r="B2817" s="1" t="s">
        <v>1692</v>
      </c>
      <c r="C2817" s="1" t="s">
        <v>11213</v>
      </c>
      <c r="D2817" s="1" t="s">
        <v>1692</v>
      </c>
      <c r="E2817" s="250">
        <v>2750.0430000000001</v>
      </c>
    </row>
    <row r="2818" spans="1:5" x14ac:dyDescent="0.35">
      <c r="A2818" s="1" t="s">
        <v>18466</v>
      </c>
      <c r="B2818" s="1" t="s">
        <v>1692</v>
      </c>
      <c r="C2818" s="1" t="s">
        <v>11026</v>
      </c>
      <c r="D2818" s="1" t="s">
        <v>1692</v>
      </c>
      <c r="E2818" s="250">
        <v>2750.0439999999999</v>
      </c>
    </row>
    <row r="2819" spans="1:5" x14ac:dyDescent="0.35">
      <c r="A2819" s="1" t="s">
        <v>18467</v>
      </c>
      <c r="B2819" s="1" t="s">
        <v>1692</v>
      </c>
      <c r="C2819" s="1" t="s">
        <v>11212</v>
      </c>
      <c r="D2819" s="1" t="s">
        <v>1692</v>
      </c>
      <c r="E2819" s="250">
        <v>2750.0450000000001</v>
      </c>
    </row>
    <row r="2820" spans="1:5" x14ac:dyDescent="0.35">
      <c r="A2820" s="1" t="s">
        <v>18468</v>
      </c>
      <c r="B2820" s="1" t="s">
        <v>42</v>
      </c>
      <c r="C2820" s="1" t="s">
        <v>11211</v>
      </c>
      <c r="D2820" s="1" t="s">
        <v>42</v>
      </c>
      <c r="E2820" s="250">
        <v>2750.0459999999998</v>
      </c>
    </row>
    <row r="2821" spans="1:5" x14ac:dyDescent="0.35">
      <c r="A2821" s="1" t="s">
        <v>18469</v>
      </c>
      <c r="B2821" s="1" t="s">
        <v>19</v>
      </c>
      <c r="C2821" s="1" t="s">
        <v>8358</v>
      </c>
      <c r="D2821" s="1" t="s">
        <v>19</v>
      </c>
      <c r="E2821" s="250">
        <v>2750.047</v>
      </c>
    </row>
    <row r="2822" spans="1:5" x14ac:dyDescent="0.35">
      <c r="A2822" s="1" t="s">
        <v>18470</v>
      </c>
      <c r="B2822" s="1" t="s">
        <v>1692</v>
      </c>
      <c r="C2822" s="1" t="s">
        <v>11210</v>
      </c>
      <c r="D2822" s="1" t="s">
        <v>1692</v>
      </c>
      <c r="E2822" s="250">
        <v>2750.049</v>
      </c>
    </row>
    <row r="2823" spans="1:5" x14ac:dyDescent="0.35">
      <c r="A2823" s="1" t="s">
        <v>18471</v>
      </c>
      <c r="B2823" s="1" t="s">
        <v>20</v>
      </c>
      <c r="C2823" s="1" t="s">
        <v>11209</v>
      </c>
      <c r="D2823" s="1" t="s">
        <v>20</v>
      </c>
      <c r="E2823" s="250">
        <v>2750.06</v>
      </c>
    </row>
    <row r="2824" spans="1:5" x14ac:dyDescent="0.35">
      <c r="A2824" s="1" t="s">
        <v>18472</v>
      </c>
      <c r="B2824" s="1" t="s">
        <v>20</v>
      </c>
      <c r="C2824" s="1" t="s">
        <v>11208</v>
      </c>
      <c r="D2824" s="1" t="s">
        <v>20</v>
      </c>
      <c r="E2824" s="250">
        <v>2750.0610000000001</v>
      </c>
    </row>
    <row r="2825" spans="1:5" x14ac:dyDescent="0.35">
      <c r="A2825" s="1" t="s">
        <v>18473</v>
      </c>
      <c r="B2825" s="1" t="s">
        <v>20</v>
      </c>
      <c r="C2825" s="1" t="s">
        <v>11207</v>
      </c>
      <c r="D2825" s="1" t="s">
        <v>20</v>
      </c>
      <c r="E2825" s="250">
        <v>2750.0619999999999</v>
      </c>
    </row>
    <row r="2826" spans="1:5" x14ac:dyDescent="0.35">
      <c r="A2826" s="1" t="s">
        <v>18474</v>
      </c>
      <c r="B2826" s="1" t="s">
        <v>20</v>
      </c>
      <c r="C2826" s="1" t="s">
        <v>11206</v>
      </c>
      <c r="D2826" s="1" t="s">
        <v>20</v>
      </c>
      <c r="E2826" s="250">
        <v>2750.0630000000001</v>
      </c>
    </row>
    <row r="2827" spans="1:5" x14ac:dyDescent="0.35">
      <c r="A2827" s="1" t="s">
        <v>18475</v>
      </c>
      <c r="B2827" s="1" t="s">
        <v>20</v>
      </c>
      <c r="C2827" s="1" t="s">
        <v>11205</v>
      </c>
      <c r="D2827" s="1" t="s">
        <v>20</v>
      </c>
      <c r="E2827" s="250">
        <v>2750.0639999999999</v>
      </c>
    </row>
    <row r="2828" spans="1:5" x14ac:dyDescent="0.35">
      <c r="A2828" s="1" t="s">
        <v>18476</v>
      </c>
      <c r="B2828" s="1" t="s">
        <v>19</v>
      </c>
      <c r="C2828" s="1" t="s">
        <v>11204</v>
      </c>
      <c r="D2828" s="1" t="s">
        <v>19</v>
      </c>
      <c r="E2828" s="250">
        <v>2750.07</v>
      </c>
    </row>
    <row r="2829" spans="1:5" x14ac:dyDescent="0.35">
      <c r="A2829" s="1" t="s">
        <v>18477</v>
      </c>
      <c r="B2829" s="1" t="s">
        <v>19</v>
      </c>
      <c r="C2829" s="1" t="s">
        <v>11203</v>
      </c>
      <c r="D2829" s="1" t="s">
        <v>19</v>
      </c>
      <c r="E2829" s="250">
        <v>2750.078</v>
      </c>
    </row>
    <row r="2830" spans="1:5" x14ac:dyDescent="0.35">
      <c r="A2830" s="1" t="s">
        <v>18478</v>
      </c>
      <c r="B2830" s="1" t="s">
        <v>64</v>
      </c>
      <c r="C2830" s="1" t="s">
        <v>11202</v>
      </c>
      <c r="D2830" s="1" t="s">
        <v>64</v>
      </c>
      <c r="E2830" s="250">
        <v>2750.08</v>
      </c>
    </row>
    <row r="2831" spans="1:5" x14ac:dyDescent="0.35">
      <c r="A2831" s="1" t="s">
        <v>18479</v>
      </c>
      <c r="B2831" s="1" t="s">
        <v>64</v>
      </c>
      <c r="C2831" s="1" t="s">
        <v>11201</v>
      </c>
      <c r="D2831" s="1" t="s">
        <v>64</v>
      </c>
      <c r="E2831" s="250">
        <v>2750.0810000000001</v>
      </c>
    </row>
    <row r="2832" spans="1:5" x14ac:dyDescent="0.35">
      <c r="A2832" s="1" t="s">
        <v>18480</v>
      </c>
      <c r="B2832" s="1" t="s">
        <v>64</v>
      </c>
      <c r="C2832" s="1" t="s">
        <v>11200</v>
      </c>
      <c r="D2832" s="1" t="s">
        <v>64</v>
      </c>
      <c r="E2832" s="250">
        <v>2750.0819999999999</v>
      </c>
    </row>
    <row r="2833" spans="1:5" x14ac:dyDescent="0.35">
      <c r="A2833" s="1" t="s">
        <v>18481</v>
      </c>
      <c r="B2833" s="1" t="s">
        <v>66</v>
      </c>
      <c r="C2833" s="1" t="s">
        <v>11199</v>
      </c>
      <c r="D2833" s="1" t="s">
        <v>66</v>
      </c>
      <c r="E2833" s="250">
        <v>2750.09</v>
      </c>
    </row>
    <row r="2834" spans="1:5" x14ac:dyDescent="0.35">
      <c r="A2834" s="1" t="s">
        <v>18482</v>
      </c>
      <c r="B2834" s="1" t="s">
        <v>3023</v>
      </c>
      <c r="C2834" s="1" t="s">
        <v>11198</v>
      </c>
      <c r="D2834" s="1" t="s">
        <v>3023</v>
      </c>
      <c r="E2834" s="250">
        <v>2750.1</v>
      </c>
    </row>
    <row r="2835" spans="1:5" x14ac:dyDescent="0.35">
      <c r="A2835" s="1" t="s">
        <v>18483</v>
      </c>
      <c r="B2835" s="1" t="s">
        <v>23</v>
      </c>
      <c r="C2835" s="1" t="s">
        <v>11197</v>
      </c>
      <c r="D2835" s="1" t="s">
        <v>23</v>
      </c>
      <c r="E2835" s="250">
        <v>2750.1010000000001</v>
      </c>
    </row>
    <row r="2836" spans="1:5" x14ac:dyDescent="0.35">
      <c r="A2836" s="1" t="s">
        <v>18484</v>
      </c>
      <c r="B2836" s="1" t="s">
        <v>20</v>
      </c>
      <c r="C2836" s="1" t="s">
        <v>11196</v>
      </c>
      <c r="D2836" s="1" t="s">
        <v>20</v>
      </c>
      <c r="E2836" s="250">
        <v>2750.1019999999999</v>
      </c>
    </row>
    <row r="2837" spans="1:5" x14ac:dyDescent="0.35">
      <c r="A2837" s="1" t="s">
        <v>18485</v>
      </c>
      <c r="B2837" s="1" t="s">
        <v>19</v>
      </c>
      <c r="C2837" s="1" t="s">
        <v>11195</v>
      </c>
      <c r="D2837" s="1" t="s">
        <v>19</v>
      </c>
      <c r="E2837" s="250">
        <v>2750.1030000000001</v>
      </c>
    </row>
    <row r="2838" spans="1:5" x14ac:dyDescent="0.35">
      <c r="A2838" s="1" t="s">
        <v>18486</v>
      </c>
      <c r="B2838" s="1" t="s">
        <v>1692</v>
      </c>
      <c r="C2838" s="1" t="s">
        <v>11194</v>
      </c>
      <c r="D2838" s="1" t="s">
        <v>1692</v>
      </c>
      <c r="E2838" s="250">
        <v>2750.1039999999998</v>
      </c>
    </row>
    <row r="2839" spans="1:5" x14ac:dyDescent="0.35">
      <c r="A2839" s="1" t="s">
        <v>18487</v>
      </c>
      <c r="B2839" s="1" t="s">
        <v>20</v>
      </c>
      <c r="C2839" s="1" t="s">
        <v>11193</v>
      </c>
      <c r="D2839" s="1" t="s">
        <v>20</v>
      </c>
      <c r="E2839" s="250">
        <v>2750.105</v>
      </c>
    </row>
    <row r="2840" spans="1:5" x14ac:dyDescent="0.35">
      <c r="A2840" s="1" t="s">
        <v>18488</v>
      </c>
      <c r="B2840" s="1" t="s">
        <v>20</v>
      </c>
      <c r="C2840" s="1" t="s">
        <v>11192</v>
      </c>
      <c r="D2840" s="1" t="s">
        <v>20</v>
      </c>
      <c r="E2840" s="250">
        <v>2750.1060000000002</v>
      </c>
    </row>
    <row r="2841" spans="1:5" x14ac:dyDescent="0.35">
      <c r="A2841" s="1" t="s">
        <v>18489</v>
      </c>
      <c r="B2841" s="1" t="s">
        <v>23</v>
      </c>
      <c r="C2841" s="1" t="s">
        <v>11191</v>
      </c>
      <c r="D2841" s="1" t="s">
        <v>23</v>
      </c>
      <c r="E2841" s="250">
        <v>2750.107</v>
      </c>
    </row>
    <row r="2842" spans="1:5" x14ac:dyDescent="0.35">
      <c r="A2842" s="1" t="s">
        <v>18490</v>
      </c>
      <c r="B2842" s="1" t="s">
        <v>20</v>
      </c>
      <c r="C2842" s="1" t="s">
        <v>11190</v>
      </c>
      <c r="D2842" s="1" t="s">
        <v>20</v>
      </c>
      <c r="E2842" s="250">
        <v>2750.11</v>
      </c>
    </row>
    <row r="2843" spans="1:5" x14ac:dyDescent="0.35">
      <c r="A2843" s="1" t="s">
        <v>18491</v>
      </c>
      <c r="B2843" s="1" t="s">
        <v>20</v>
      </c>
      <c r="C2843" s="1" t="s">
        <v>11189</v>
      </c>
      <c r="D2843" s="1" t="s">
        <v>20</v>
      </c>
      <c r="E2843" s="250">
        <v>2750.1109999999999</v>
      </c>
    </row>
    <row r="2844" spans="1:5" x14ac:dyDescent="0.35">
      <c r="A2844" s="1" t="s">
        <v>18492</v>
      </c>
      <c r="B2844" s="1" t="s">
        <v>19</v>
      </c>
      <c r="C2844" s="1" t="s">
        <v>11188</v>
      </c>
      <c r="D2844" s="1" t="s">
        <v>19</v>
      </c>
      <c r="E2844" s="250">
        <v>2750.1149999999998</v>
      </c>
    </row>
    <row r="2845" spans="1:5" x14ac:dyDescent="0.35">
      <c r="A2845" s="1" t="s">
        <v>18493</v>
      </c>
      <c r="B2845" s="1" t="s">
        <v>19</v>
      </c>
      <c r="C2845" s="1" t="s">
        <v>11187</v>
      </c>
      <c r="D2845" s="1" t="s">
        <v>19</v>
      </c>
      <c r="E2845" s="250">
        <v>2750.116</v>
      </c>
    </row>
    <row r="2846" spans="1:5" x14ac:dyDescent="0.35">
      <c r="A2846" s="1" t="s">
        <v>18494</v>
      </c>
      <c r="B2846" s="1" t="s">
        <v>23</v>
      </c>
      <c r="C2846" s="1" t="s">
        <v>11186</v>
      </c>
      <c r="D2846" s="1" t="s">
        <v>23</v>
      </c>
      <c r="E2846" s="250">
        <v>2750.12</v>
      </c>
    </row>
    <row r="2847" spans="1:5" x14ac:dyDescent="0.35">
      <c r="A2847" s="1" t="s">
        <v>18495</v>
      </c>
      <c r="B2847" s="1" t="s">
        <v>23</v>
      </c>
      <c r="C2847" s="1" t="s">
        <v>11185</v>
      </c>
      <c r="D2847" s="1" t="s">
        <v>23</v>
      </c>
      <c r="E2847" s="250">
        <v>2750.1210000000001</v>
      </c>
    </row>
    <row r="2848" spans="1:5" x14ac:dyDescent="0.35">
      <c r="A2848" s="1" t="s">
        <v>18496</v>
      </c>
      <c r="B2848" s="1" t="s">
        <v>23</v>
      </c>
      <c r="C2848" s="1" t="s">
        <v>11184</v>
      </c>
      <c r="D2848" s="1" t="s">
        <v>23</v>
      </c>
      <c r="E2848" s="250">
        <v>2750.1219999999998</v>
      </c>
    </row>
    <row r="2849" spans="1:5" x14ac:dyDescent="0.35">
      <c r="A2849" s="1" t="s">
        <v>18497</v>
      </c>
      <c r="B2849" s="1" t="s">
        <v>20</v>
      </c>
      <c r="C2849" s="1" t="s">
        <v>11183</v>
      </c>
      <c r="D2849" s="1" t="s">
        <v>20</v>
      </c>
      <c r="E2849" s="250">
        <v>2750.13</v>
      </c>
    </row>
    <row r="2850" spans="1:5" x14ac:dyDescent="0.35">
      <c r="A2850" s="1" t="s">
        <v>18498</v>
      </c>
      <c r="B2850" s="1" t="s">
        <v>20</v>
      </c>
      <c r="C2850" s="1" t="s">
        <v>11182</v>
      </c>
      <c r="D2850" s="1" t="s">
        <v>20</v>
      </c>
      <c r="E2850" s="250">
        <v>2750.1309999999999</v>
      </c>
    </row>
    <row r="2851" spans="1:5" x14ac:dyDescent="0.35">
      <c r="A2851" s="1" t="s">
        <v>18499</v>
      </c>
      <c r="B2851" s="1" t="s">
        <v>20</v>
      </c>
      <c r="C2851" s="1" t="s">
        <v>11181</v>
      </c>
      <c r="D2851" s="1" t="s">
        <v>20</v>
      </c>
      <c r="E2851" s="250">
        <v>2750.1320000000001</v>
      </c>
    </row>
    <row r="2852" spans="1:5" x14ac:dyDescent="0.35">
      <c r="A2852" s="1" t="s">
        <v>18500</v>
      </c>
      <c r="B2852" s="1" t="s">
        <v>20</v>
      </c>
      <c r="C2852" s="1" t="s">
        <v>11180</v>
      </c>
      <c r="D2852" s="1" t="s">
        <v>20</v>
      </c>
      <c r="E2852" s="250">
        <v>2750.1329999999998</v>
      </c>
    </row>
    <row r="2853" spans="1:5" x14ac:dyDescent="0.35">
      <c r="A2853" s="1" t="s">
        <v>18501</v>
      </c>
      <c r="B2853" s="1" t="s">
        <v>20</v>
      </c>
      <c r="C2853" s="1" t="s">
        <v>11179</v>
      </c>
      <c r="D2853" s="1" t="s">
        <v>20</v>
      </c>
      <c r="E2853" s="250">
        <v>2750.134</v>
      </c>
    </row>
    <row r="2854" spans="1:5" x14ac:dyDescent="0.35">
      <c r="A2854" s="1" t="s">
        <v>18502</v>
      </c>
      <c r="B2854" s="1" t="s">
        <v>19</v>
      </c>
      <c r="C2854" s="1" t="s">
        <v>11178</v>
      </c>
      <c r="D2854" s="1" t="s">
        <v>19</v>
      </c>
      <c r="E2854" s="250">
        <v>2750.14</v>
      </c>
    </row>
    <row r="2855" spans="1:5" x14ac:dyDescent="0.35">
      <c r="A2855" s="1" t="s">
        <v>18503</v>
      </c>
      <c r="B2855" s="1" t="s">
        <v>19</v>
      </c>
      <c r="C2855" s="1" t="s">
        <v>11177</v>
      </c>
      <c r="D2855" s="1" t="s">
        <v>19</v>
      </c>
      <c r="E2855" s="250">
        <v>2750.1480000000001</v>
      </c>
    </row>
    <row r="2856" spans="1:5" x14ac:dyDescent="0.35">
      <c r="A2856" s="1" t="s">
        <v>18504</v>
      </c>
      <c r="B2856" s="1" t="s">
        <v>64</v>
      </c>
      <c r="C2856" s="1" t="s">
        <v>11176</v>
      </c>
      <c r="D2856" s="1" t="s">
        <v>64</v>
      </c>
      <c r="E2856" s="250">
        <v>2750.15</v>
      </c>
    </row>
    <row r="2857" spans="1:5" x14ac:dyDescent="0.35">
      <c r="A2857" s="1" t="s">
        <v>18505</v>
      </c>
      <c r="B2857" s="1" t="s">
        <v>64</v>
      </c>
      <c r="C2857" s="1" t="s">
        <v>11175</v>
      </c>
      <c r="D2857" s="1" t="s">
        <v>64</v>
      </c>
      <c r="E2857" s="250">
        <v>2750.1509999999998</v>
      </c>
    </row>
    <row r="2858" spans="1:5" x14ac:dyDescent="0.35">
      <c r="A2858" s="1" t="s">
        <v>18506</v>
      </c>
      <c r="B2858" s="1" t="s">
        <v>64</v>
      </c>
      <c r="C2858" s="1" t="s">
        <v>11174</v>
      </c>
      <c r="D2858" s="1" t="s">
        <v>64</v>
      </c>
      <c r="E2858" s="250">
        <v>2750.152</v>
      </c>
    </row>
    <row r="2859" spans="1:5" x14ac:dyDescent="0.35">
      <c r="A2859" s="1" t="s">
        <v>18507</v>
      </c>
      <c r="B2859" s="1" t="s">
        <v>66</v>
      </c>
      <c r="C2859" s="1" t="s">
        <v>11173</v>
      </c>
      <c r="D2859" s="1" t="s">
        <v>66</v>
      </c>
      <c r="E2859" s="250">
        <v>2750.16</v>
      </c>
    </row>
    <row r="2860" spans="1:5" x14ac:dyDescent="0.35">
      <c r="A2860" s="1" t="s">
        <v>18508</v>
      </c>
      <c r="B2860" s="1" t="s">
        <v>3023</v>
      </c>
      <c r="C2860" s="1" t="s">
        <v>11172</v>
      </c>
      <c r="D2860" s="1" t="s">
        <v>3023</v>
      </c>
      <c r="E2860" s="250">
        <v>2750.17</v>
      </c>
    </row>
    <row r="2861" spans="1:5" x14ac:dyDescent="0.35">
      <c r="A2861" s="1" t="s">
        <v>18509</v>
      </c>
      <c r="B2861" s="1" t="s">
        <v>3023</v>
      </c>
      <c r="C2861" s="1" t="s">
        <v>11171</v>
      </c>
      <c r="D2861" s="1" t="s">
        <v>3023</v>
      </c>
      <c r="E2861" s="250">
        <v>2750.1709999999998</v>
      </c>
    </row>
    <row r="2862" spans="1:5" x14ac:dyDescent="0.35">
      <c r="A2862" s="1" t="s">
        <v>18510</v>
      </c>
      <c r="B2862" s="1" t="s">
        <v>3023</v>
      </c>
      <c r="C2862" s="1" t="s">
        <v>11170</v>
      </c>
      <c r="D2862" s="1" t="s">
        <v>3023</v>
      </c>
      <c r="E2862" s="250">
        <v>2750.172</v>
      </c>
    </row>
    <row r="2863" spans="1:5" x14ac:dyDescent="0.35">
      <c r="A2863" s="1" t="s">
        <v>18511</v>
      </c>
      <c r="B2863" s="1" t="s">
        <v>3023</v>
      </c>
      <c r="C2863" s="1" t="s">
        <v>11169</v>
      </c>
      <c r="D2863" s="1" t="s">
        <v>3023</v>
      </c>
      <c r="E2863" s="250">
        <v>2750.1729999999998</v>
      </c>
    </row>
    <row r="2864" spans="1:5" x14ac:dyDescent="0.35">
      <c r="A2864" s="1" t="s">
        <v>18512</v>
      </c>
      <c r="B2864" s="1" t="s">
        <v>3023</v>
      </c>
      <c r="C2864" s="1" t="s">
        <v>11168</v>
      </c>
      <c r="D2864" s="1" t="s">
        <v>3023</v>
      </c>
      <c r="E2864" s="250">
        <v>2750.174</v>
      </c>
    </row>
    <row r="2865" spans="1:5" x14ac:dyDescent="0.35">
      <c r="A2865" s="1" t="s">
        <v>18513</v>
      </c>
      <c r="B2865" s="1" t="s">
        <v>23</v>
      </c>
      <c r="C2865" s="1" t="s">
        <v>11167</v>
      </c>
      <c r="D2865" s="1" t="s">
        <v>23</v>
      </c>
      <c r="E2865" s="250">
        <v>2750.18</v>
      </c>
    </row>
    <row r="2866" spans="1:5" x14ac:dyDescent="0.35">
      <c r="A2866" s="1" t="s">
        <v>18514</v>
      </c>
      <c r="B2866" s="1" t="s">
        <v>23</v>
      </c>
      <c r="C2866" s="1" t="s">
        <v>11166</v>
      </c>
      <c r="D2866" s="1" t="s">
        <v>23</v>
      </c>
      <c r="E2866" s="250">
        <v>2750.181</v>
      </c>
    </row>
    <row r="2867" spans="1:5" x14ac:dyDescent="0.35">
      <c r="A2867" s="1" t="s">
        <v>18515</v>
      </c>
      <c r="B2867" s="1" t="s">
        <v>23</v>
      </c>
      <c r="C2867" s="1" t="s">
        <v>11165</v>
      </c>
      <c r="D2867" s="1" t="s">
        <v>23</v>
      </c>
      <c r="E2867" s="250">
        <v>2750.1819999999998</v>
      </c>
    </row>
    <row r="2868" spans="1:5" x14ac:dyDescent="0.35">
      <c r="A2868" s="1" t="s">
        <v>18516</v>
      </c>
      <c r="B2868" s="1" t="s">
        <v>20</v>
      </c>
      <c r="C2868" s="1" t="s">
        <v>11164</v>
      </c>
      <c r="D2868" s="1" t="s">
        <v>20</v>
      </c>
      <c r="E2868" s="250">
        <v>2750.21</v>
      </c>
    </row>
    <row r="2869" spans="1:5" x14ac:dyDescent="0.35">
      <c r="A2869" s="1" t="s">
        <v>18517</v>
      </c>
      <c r="B2869" s="1" t="s">
        <v>3023</v>
      </c>
      <c r="C2869" s="1" t="s">
        <v>11163</v>
      </c>
      <c r="D2869" s="1" t="s">
        <v>3023</v>
      </c>
      <c r="E2869" s="250">
        <v>2750.22</v>
      </c>
    </row>
    <row r="2870" spans="1:5" x14ac:dyDescent="0.35">
      <c r="A2870" s="1" t="s">
        <v>18518</v>
      </c>
      <c r="B2870" s="1" t="s">
        <v>3023</v>
      </c>
      <c r="C2870" s="1" t="s">
        <v>11162</v>
      </c>
      <c r="D2870" s="1" t="s">
        <v>3023</v>
      </c>
      <c r="E2870" s="250">
        <v>2750.221</v>
      </c>
    </row>
    <row r="2871" spans="1:5" x14ac:dyDescent="0.35">
      <c r="A2871" s="1" t="s">
        <v>18519</v>
      </c>
      <c r="B2871" s="1" t="s">
        <v>3023</v>
      </c>
      <c r="C2871" s="1" t="s">
        <v>11161</v>
      </c>
      <c r="D2871" s="1" t="s">
        <v>3023</v>
      </c>
      <c r="E2871" s="250">
        <v>2750.2220000000002</v>
      </c>
    </row>
    <row r="2872" spans="1:5" x14ac:dyDescent="0.35">
      <c r="A2872" s="1" t="s">
        <v>18520</v>
      </c>
      <c r="B2872" s="1" t="s">
        <v>3023</v>
      </c>
      <c r="C2872" s="1" t="s">
        <v>11160</v>
      </c>
      <c r="D2872" s="1" t="s">
        <v>3023</v>
      </c>
      <c r="E2872" s="250">
        <v>2750.223</v>
      </c>
    </row>
    <row r="2873" spans="1:5" x14ac:dyDescent="0.35">
      <c r="A2873" s="1" t="s">
        <v>18521</v>
      </c>
      <c r="B2873" s="1" t="s">
        <v>23</v>
      </c>
      <c r="C2873" s="1" t="s">
        <v>11159</v>
      </c>
      <c r="D2873" s="1" t="s">
        <v>23</v>
      </c>
      <c r="E2873" s="250">
        <v>2750.23</v>
      </c>
    </row>
    <row r="2874" spans="1:5" x14ac:dyDescent="0.35">
      <c r="A2874" s="1" t="s">
        <v>18522</v>
      </c>
      <c r="B2874" s="1" t="s">
        <v>23</v>
      </c>
      <c r="C2874" s="1" t="s">
        <v>11158</v>
      </c>
      <c r="D2874" s="1" t="s">
        <v>23</v>
      </c>
      <c r="E2874" s="250">
        <v>2750.2310000000002</v>
      </c>
    </row>
    <row r="2875" spans="1:5" x14ac:dyDescent="0.35">
      <c r="A2875" s="1" t="s">
        <v>18523</v>
      </c>
      <c r="B2875" s="1" t="s">
        <v>23</v>
      </c>
      <c r="C2875" s="1" t="s">
        <v>11157</v>
      </c>
      <c r="D2875" s="1" t="s">
        <v>23</v>
      </c>
      <c r="E2875" s="250">
        <v>2750.232</v>
      </c>
    </row>
    <row r="2876" spans="1:5" x14ac:dyDescent="0.35">
      <c r="A2876" s="2" t="s">
        <v>18524</v>
      </c>
      <c r="B2876" s="1" t="s">
        <v>23</v>
      </c>
      <c r="C2876" s="1" t="s">
        <v>11156</v>
      </c>
      <c r="D2876" s="1" t="s">
        <v>23</v>
      </c>
      <c r="E2876" s="250">
        <v>2751.04</v>
      </c>
    </row>
    <row r="2877" spans="1:5" x14ac:dyDescent="0.35">
      <c r="A2877" s="1" t="s">
        <v>18525</v>
      </c>
      <c r="B2877" s="1" t="s">
        <v>20</v>
      </c>
      <c r="C2877" s="1" t="s">
        <v>11155</v>
      </c>
      <c r="D2877" s="1" t="s">
        <v>20</v>
      </c>
      <c r="E2877" s="250">
        <v>2751.0419999999999</v>
      </c>
    </row>
    <row r="2878" spans="1:5" x14ac:dyDescent="0.35">
      <c r="A2878" s="1" t="s">
        <v>18526</v>
      </c>
      <c r="B2878" s="1" t="s">
        <v>20</v>
      </c>
      <c r="C2878" s="1" t="s">
        <v>11154</v>
      </c>
      <c r="D2878" s="1" t="s">
        <v>20</v>
      </c>
      <c r="E2878" s="250">
        <v>2751.0430000000001</v>
      </c>
    </row>
    <row r="2879" spans="1:5" x14ac:dyDescent="0.35">
      <c r="A2879" s="1" t="s">
        <v>18527</v>
      </c>
      <c r="B2879" s="1" t="s">
        <v>19</v>
      </c>
      <c r="C2879" s="1" t="s">
        <v>11153</v>
      </c>
      <c r="D2879" s="1" t="s">
        <v>19</v>
      </c>
      <c r="E2879" s="250">
        <v>2751.0520000000001</v>
      </c>
    </row>
    <row r="2880" spans="1:5" x14ac:dyDescent="0.35">
      <c r="A2880" s="1" t="s">
        <v>18528</v>
      </c>
      <c r="B2880" s="1" t="s">
        <v>42</v>
      </c>
      <c r="C2880" s="1" t="s">
        <v>11152</v>
      </c>
      <c r="D2880" s="1" t="s">
        <v>42</v>
      </c>
      <c r="E2880" s="250">
        <v>2751.0619999999999</v>
      </c>
    </row>
    <row r="2881" spans="1:5" x14ac:dyDescent="0.35">
      <c r="A2881" s="2" t="s">
        <v>18529</v>
      </c>
      <c r="B2881" s="1" t="s">
        <v>20</v>
      </c>
      <c r="C2881" s="1" t="s">
        <v>11151</v>
      </c>
      <c r="D2881" s="1" t="s">
        <v>20</v>
      </c>
      <c r="E2881" s="250">
        <v>2754.89</v>
      </c>
    </row>
    <row r="2882" spans="1:5" x14ac:dyDescent="0.35">
      <c r="A2882" s="1" t="s">
        <v>18530</v>
      </c>
      <c r="B2882" s="1" t="s">
        <v>21</v>
      </c>
      <c r="C2882" s="1" t="s">
        <v>11150</v>
      </c>
      <c r="D2882" s="1" t="s">
        <v>21</v>
      </c>
      <c r="E2882" s="250">
        <v>2754.8910000000001</v>
      </c>
    </row>
    <row r="2883" spans="1:5" x14ac:dyDescent="0.35">
      <c r="A2883" s="1" t="s">
        <v>18531</v>
      </c>
      <c r="B2883" s="1" t="s">
        <v>11148</v>
      </c>
      <c r="C2883" s="1" t="s">
        <v>11149</v>
      </c>
      <c r="D2883" s="1" t="s">
        <v>11148</v>
      </c>
      <c r="E2883" s="250">
        <v>2754.8919999999998</v>
      </c>
    </row>
    <row r="2884" spans="1:5" x14ac:dyDescent="0.35">
      <c r="A2884" s="1" t="s">
        <v>18532</v>
      </c>
      <c r="B2884" s="1" t="s">
        <v>621</v>
      </c>
      <c r="C2884" s="1" t="s">
        <v>11147</v>
      </c>
      <c r="D2884" s="1" t="s">
        <v>621</v>
      </c>
      <c r="E2884" s="250">
        <v>2754.9</v>
      </c>
    </row>
    <row r="2885" spans="1:5" x14ac:dyDescent="0.35">
      <c r="A2885" s="1" t="s">
        <v>18533</v>
      </c>
      <c r="B2885" s="1" t="s">
        <v>621</v>
      </c>
      <c r="C2885" s="1" t="s">
        <v>11146</v>
      </c>
      <c r="D2885" s="1" t="s">
        <v>621</v>
      </c>
      <c r="E2885" s="250">
        <v>2754.9009999999998</v>
      </c>
    </row>
    <row r="2886" spans="1:5" x14ac:dyDescent="0.35">
      <c r="A2886" s="2" t="s">
        <v>18534</v>
      </c>
      <c r="B2886" s="1" t="s">
        <v>19</v>
      </c>
      <c r="C2886" s="1" t="s">
        <v>11145</v>
      </c>
      <c r="D2886" s="1" t="s">
        <v>19</v>
      </c>
      <c r="E2886" s="250">
        <v>2760.01</v>
      </c>
    </row>
    <row r="2887" spans="1:5" x14ac:dyDescent="0.35">
      <c r="A2887" s="1" t="s">
        <v>18535</v>
      </c>
      <c r="B2887" s="1" t="s">
        <v>19</v>
      </c>
      <c r="C2887" s="1" t="s">
        <v>11145</v>
      </c>
      <c r="D2887" s="1" t="s">
        <v>19</v>
      </c>
      <c r="E2887" s="250">
        <v>2760.0120000000002</v>
      </c>
    </row>
    <row r="2888" spans="1:5" x14ac:dyDescent="0.35">
      <c r="A2888" s="1" t="s">
        <v>18536</v>
      </c>
      <c r="B2888" s="1" t="s">
        <v>19</v>
      </c>
      <c r="C2888" s="1" t="s">
        <v>11144</v>
      </c>
      <c r="D2888" s="1" t="s">
        <v>19</v>
      </c>
      <c r="E2888" s="250">
        <v>2760.0149999999999</v>
      </c>
    </row>
    <row r="2889" spans="1:5" x14ac:dyDescent="0.35">
      <c r="A2889" s="1" t="s">
        <v>18537</v>
      </c>
      <c r="B2889" s="1" t="s">
        <v>18</v>
      </c>
      <c r="C2889" s="1" t="s">
        <v>11143</v>
      </c>
      <c r="D2889" s="1" t="s">
        <v>18</v>
      </c>
      <c r="E2889" s="250">
        <v>2760.02</v>
      </c>
    </row>
    <row r="2890" spans="1:5" x14ac:dyDescent="0.35">
      <c r="A2890" s="2" t="s">
        <v>18538</v>
      </c>
      <c r="B2890" s="1" t="s">
        <v>19</v>
      </c>
      <c r="C2890" s="1" t="s">
        <v>11142</v>
      </c>
      <c r="D2890" s="1" t="s">
        <v>19</v>
      </c>
      <c r="E2890" s="250">
        <v>2770.01</v>
      </c>
    </row>
    <row r="2891" spans="1:5" x14ac:dyDescent="0.35">
      <c r="A2891" s="1" t="s">
        <v>18539</v>
      </c>
      <c r="B2891" s="1" t="s">
        <v>19</v>
      </c>
      <c r="C2891" s="1" t="s">
        <v>11141</v>
      </c>
      <c r="D2891" s="1" t="s">
        <v>19</v>
      </c>
      <c r="E2891" s="250">
        <v>2770.011</v>
      </c>
    </row>
    <row r="2892" spans="1:5" x14ac:dyDescent="0.35">
      <c r="A2892" s="1" t="s">
        <v>18540</v>
      </c>
      <c r="B2892" s="1" t="s">
        <v>57</v>
      </c>
      <c r="C2892" s="1" t="s">
        <v>11140</v>
      </c>
      <c r="D2892" s="1" t="s">
        <v>57</v>
      </c>
      <c r="E2892" s="250">
        <v>2770.1</v>
      </c>
    </row>
    <row r="2893" spans="1:5" x14ac:dyDescent="0.35">
      <c r="A2893" s="1" t="s">
        <v>18541</v>
      </c>
      <c r="B2893" s="1" t="s">
        <v>23</v>
      </c>
      <c r="C2893" s="1" t="s">
        <v>11128</v>
      </c>
      <c r="D2893" s="1" t="s">
        <v>23</v>
      </c>
      <c r="E2893" s="250">
        <v>2770.1010000000001</v>
      </c>
    </row>
    <row r="2894" spans="1:5" x14ac:dyDescent="0.35">
      <c r="A2894" s="1" t="s">
        <v>18542</v>
      </c>
      <c r="B2894" s="1" t="s">
        <v>23</v>
      </c>
      <c r="C2894" s="1" t="s">
        <v>11127</v>
      </c>
      <c r="D2894" s="1" t="s">
        <v>23</v>
      </c>
      <c r="E2894" s="250">
        <v>2770.1019999999999</v>
      </c>
    </row>
    <row r="2895" spans="1:5" x14ac:dyDescent="0.35">
      <c r="A2895" s="1" t="s">
        <v>18543</v>
      </c>
      <c r="B2895" s="1" t="s">
        <v>23</v>
      </c>
      <c r="C2895" s="1" t="s">
        <v>11126</v>
      </c>
      <c r="D2895" s="1" t="s">
        <v>23</v>
      </c>
      <c r="E2895" s="250">
        <v>2770.1030000000001</v>
      </c>
    </row>
    <row r="2896" spans="1:5" x14ac:dyDescent="0.35">
      <c r="A2896" s="1" t="s">
        <v>18544</v>
      </c>
      <c r="B2896" s="1" t="s">
        <v>23</v>
      </c>
      <c r="C2896" s="1" t="s">
        <v>11125</v>
      </c>
      <c r="D2896" s="1" t="s">
        <v>23</v>
      </c>
      <c r="E2896" s="250">
        <v>2770.1039999999998</v>
      </c>
    </row>
    <row r="2897" spans="1:5" x14ac:dyDescent="0.35">
      <c r="A2897" s="1" t="s">
        <v>18545</v>
      </c>
      <c r="B2897" s="1" t="s">
        <v>23</v>
      </c>
      <c r="C2897" s="1" t="s">
        <v>11124</v>
      </c>
      <c r="D2897" s="1" t="s">
        <v>23</v>
      </c>
      <c r="E2897" s="250">
        <v>2770.105</v>
      </c>
    </row>
    <row r="2898" spans="1:5" x14ac:dyDescent="0.35">
      <c r="A2898" s="1" t="s">
        <v>18546</v>
      </c>
      <c r="B2898" s="1" t="s">
        <v>23</v>
      </c>
      <c r="C2898" s="1" t="s">
        <v>11123</v>
      </c>
      <c r="D2898" s="1" t="s">
        <v>23</v>
      </c>
      <c r="E2898" s="250">
        <v>2770.1060000000002</v>
      </c>
    </row>
    <row r="2899" spans="1:5" x14ac:dyDescent="0.35">
      <c r="A2899" s="1" t="s">
        <v>18547</v>
      </c>
      <c r="B2899" s="1" t="s">
        <v>23</v>
      </c>
      <c r="C2899" s="1" t="s">
        <v>11122</v>
      </c>
      <c r="D2899" s="1" t="s">
        <v>23</v>
      </c>
      <c r="E2899" s="250">
        <v>2770.107</v>
      </c>
    </row>
    <row r="2900" spans="1:5" x14ac:dyDescent="0.35">
      <c r="A2900" s="1" t="s">
        <v>18548</v>
      </c>
      <c r="B2900" s="1" t="s">
        <v>23</v>
      </c>
      <c r="C2900" s="1" t="s">
        <v>11121</v>
      </c>
      <c r="D2900" s="1" t="s">
        <v>23</v>
      </c>
      <c r="E2900" s="250">
        <v>2770.1080000000002</v>
      </c>
    </row>
    <row r="2901" spans="1:5" x14ac:dyDescent="0.35">
      <c r="A2901" s="1" t="s">
        <v>18549</v>
      </c>
      <c r="B2901" s="1" t="s">
        <v>19</v>
      </c>
      <c r="C2901" s="1" t="s">
        <v>11139</v>
      </c>
      <c r="D2901" s="1" t="s">
        <v>19</v>
      </c>
      <c r="E2901" s="250">
        <v>2770.11</v>
      </c>
    </row>
    <row r="2902" spans="1:5" x14ac:dyDescent="0.35">
      <c r="A2902" s="1" t="s">
        <v>18550</v>
      </c>
      <c r="B2902" s="1" t="s">
        <v>19</v>
      </c>
      <c r="C2902" s="1" t="s">
        <v>11138</v>
      </c>
      <c r="D2902" s="1" t="s">
        <v>19</v>
      </c>
      <c r="E2902" s="250">
        <v>2770.1120000000001</v>
      </c>
    </row>
    <row r="2903" spans="1:5" x14ac:dyDescent="0.35">
      <c r="A2903" s="1" t="s">
        <v>18551</v>
      </c>
      <c r="B2903" s="1" t="s">
        <v>19</v>
      </c>
      <c r="C2903" s="1" t="s">
        <v>11137</v>
      </c>
      <c r="D2903" s="1" t="s">
        <v>19</v>
      </c>
      <c r="E2903" s="250">
        <v>2770.1129999999998</v>
      </c>
    </row>
    <row r="2904" spans="1:5" x14ac:dyDescent="0.35">
      <c r="A2904" s="1" t="s">
        <v>18552</v>
      </c>
      <c r="B2904" s="1" t="s">
        <v>20</v>
      </c>
      <c r="C2904" s="1" t="s">
        <v>11136</v>
      </c>
      <c r="D2904" s="1" t="s">
        <v>20</v>
      </c>
      <c r="E2904" s="250">
        <v>2770.1149999999998</v>
      </c>
    </row>
    <row r="2905" spans="1:5" x14ac:dyDescent="0.35">
      <c r="A2905" s="1" t="s">
        <v>18553</v>
      </c>
      <c r="B2905" s="1" t="s">
        <v>23</v>
      </c>
      <c r="C2905" s="1" t="s">
        <v>11135</v>
      </c>
      <c r="D2905" s="1" t="s">
        <v>23</v>
      </c>
      <c r="E2905" s="250">
        <v>2770.1170000000002</v>
      </c>
    </row>
    <row r="2906" spans="1:5" x14ac:dyDescent="0.35">
      <c r="A2906" s="1" t="s">
        <v>18554</v>
      </c>
      <c r="B2906" s="1" t="s">
        <v>23</v>
      </c>
      <c r="C2906" s="1" t="s">
        <v>11134</v>
      </c>
      <c r="D2906" s="1" t="s">
        <v>23</v>
      </c>
      <c r="E2906" s="250">
        <v>2770.1179999999999</v>
      </c>
    </row>
    <row r="2907" spans="1:5" x14ac:dyDescent="0.35">
      <c r="A2907" s="1" t="s">
        <v>18555</v>
      </c>
      <c r="B2907" s="1" t="s">
        <v>20</v>
      </c>
      <c r="C2907" s="1" t="s">
        <v>11133</v>
      </c>
      <c r="D2907" s="1" t="s">
        <v>20</v>
      </c>
      <c r="E2907" s="250">
        <v>2770.1190000000001</v>
      </c>
    </row>
    <row r="2908" spans="1:5" x14ac:dyDescent="0.35">
      <c r="A2908" s="1" t="s">
        <v>18556</v>
      </c>
      <c r="B2908" s="1" t="s">
        <v>20</v>
      </c>
      <c r="C2908" s="1" t="s">
        <v>11132</v>
      </c>
      <c r="D2908" s="1" t="s">
        <v>20</v>
      </c>
      <c r="E2908" s="250">
        <v>2770.12</v>
      </c>
    </row>
    <row r="2909" spans="1:5" x14ac:dyDescent="0.35">
      <c r="A2909" s="1" t="s">
        <v>18557</v>
      </c>
      <c r="B2909" s="1" t="s">
        <v>42</v>
      </c>
      <c r="C2909" s="1" t="s">
        <v>11131</v>
      </c>
      <c r="D2909" s="1" t="s">
        <v>42</v>
      </c>
      <c r="E2909" s="250">
        <v>2770.125</v>
      </c>
    </row>
    <row r="2910" spans="1:5" x14ac:dyDescent="0.35">
      <c r="A2910" s="1" t="s">
        <v>18558</v>
      </c>
      <c r="B2910" s="1" t="s">
        <v>19</v>
      </c>
      <c r="C2910" s="1" t="s">
        <v>11130</v>
      </c>
      <c r="D2910" s="1" t="s">
        <v>19</v>
      </c>
      <c r="E2910" s="250">
        <v>2770.13</v>
      </c>
    </row>
    <row r="2911" spans="1:5" x14ac:dyDescent="0.35">
      <c r="A2911" s="1" t="s">
        <v>18559</v>
      </c>
      <c r="B2911" s="1" t="s">
        <v>57</v>
      </c>
      <c r="C2911" s="1" t="s">
        <v>11129</v>
      </c>
      <c r="D2911" s="1" t="s">
        <v>57</v>
      </c>
      <c r="E2911" s="250">
        <v>2770.15</v>
      </c>
    </row>
    <row r="2912" spans="1:5" x14ac:dyDescent="0.35">
      <c r="A2912" s="1" t="s">
        <v>18560</v>
      </c>
      <c r="B2912" s="1" t="s">
        <v>23</v>
      </c>
      <c r="C2912" s="1" t="s">
        <v>11128</v>
      </c>
      <c r="D2912" s="1" t="s">
        <v>23</v>
      </c>
      <c r="E2912" s="250">
        <v>2770.1509999999998</v>
      </c>
    </row>
    <row r="2913" spans="1:5" x14ac:dyDescent="0.35">
      <c r="A2913" s="1" t="s">
        <v>18561</v>
      </c>
      <c r="B2913" s="1" t="s">
        <v>23</v>
      </c>
      <c r="C2913" s="1" t="s">
        <v>11127</v>
      </c>
      <c r="D2913" s="1" t="s">
        <v>23</v>
      </c>
      <c r="E2913" s="250">
        <v>2770.152</v>
      </c>
    </row>
    <row r="2914" spans="1:5" x14ac:dyDescent="0.35">
      <c r="A2914" s="1" t="s">
        <v>18562</v>
      </c>
      <c r="B2914" s="1" t="s">
        <v>23</v>
      </c>
      <c r="C2914" s="1" t="s">
        <v>11126</v>
      </c>
      <c r="D2914" s="1" t="s">
        <v>23</v>
      </c>
      <c r="E2914" s="250">
        <v>2770.1529999999998</v>
      </c>
    </row>
    <row r="2915" spans="1:5" x14ac:dyDescent="0.35">
      <c r="A2915" s="1" t="s">
        <v>18563</v>
      </c>
      <c r="B2915" s="1" t="s">
        <v>23</v>
      </c>
      <c r="C2915" s="1" t="s">
        <v>11125</v>
      </c>
      <c r="D2915" s="1" t="s">
        <v>23</v>
      </c>
      <c r="E2915" s="250">
        <v>2770.154</v>
      </c>
    </row>
    <row r="2916" spans="1:5" x14ac:dyDescent="0.35">
      <c r="A2916" s="1" t="s">
        <v>18564</v>
      </c>
      <c r="B2916" s="1" t="s">
        <v>23</v>
      </c>
      <c r="C2916" s="1" t="s">
        <v>11124</v>
      </c>
      <c r="D2916" s="1" t="s">
        <v>23</v>
      </c>
      <c r="E2916" s="250">
        <v>2770.1550000000002</v>
      </c>
    </row>
    <row r="2917" spans="1:5" x14ac:dyDescent="0.35">
      <c r="A2917" s="1" t="s">
        <v>18565</v>
      </c>
      <c r="B2917" s="1" t="s">
        <v>23</v>
      </c>
      <c r="C2917" s="1" t="s">
        <v>11123</v>
      </c>
      <c r="D2917" s="1" t="s">
        <v>23</v>
      </c>
      <c r="E2917" s="250">
        <v>2770.1559999999999</v>
      </c>
    </row>
    <row r="2918" spans="1:5" x14ac:dyDescent="0.35">
      <c r="A2918" s="1" t="s">
        <v>18566</v>
      </c>
      <c r="B2918" s="1" t="s">
        <v>23</v>
      </c>
      <c r="C2918" s="1" t="s">
        <v>11122</v>
      </c>
      <c r="D2918" s="1" t="s">
        <v>23</v>
      </c>
      <c r="E2918" s="250">
        <v>2770.1570000000002</v>
      </c>
    </row>
    <row r="2919" spans="1:5" x14ac:dyDescent="0.35">
      <c r="A2919" s="1" t="s">
        <v>18567</v>
      </c>
      <c r="B2919" s="1" t="s">
        <v>23</v>
      </c>
      <c r="C2919" s="1" t="s">
        <v>11121</v>
      </c>
      <c r="D2919" s="1" t="s">
        <v>23</v>
      </c>
      <c r="E2919" s="250">
        <v>2770.1579999999999</v>
      </c>
    </row>
    <row r="2920" spans="1:5" x14ac:dyDescent="0.35">
      <c r="A2920" s="1" t="s">
        <v>18568</v>
      </c>
      <c r="B2920" s="1" t="s">
        <v>19</v>
      </c>
      <c r="C2920" s="1" t="s">
        <v>11120</v>
      </c>
      <c r="D2920" s="1" t="s">
        <v>19</v>
      </c>
      <c r="E2920" s="250">
        <v>2770.16</v>
      </c>
    </row>
    <row r="2921" spans="1:5" x14ac:dyDescent="0.35">
      <c r="A2921" s="1" t="s">
        <v>18569</v>
      </c>
      <c r="B2921" s="1" t="s">
        <v>19</v>
      </c>
      <c r="C2921" s="1" t="s">
        <v>11119</v>
      </c>
      <c r="D2921" s="1" t="s">
        <v>19</v>
      </c>
      <c r="E2921" s="250">
        <v>2770.1610000000001</v>
      </c>
    </row>
    <row r="2922" spans="1:5" x14ac:dyDescent="0.35">
      <c r="A2922" s="1" t="s">
        <v>18570</v>
      </c>
      <c r="B2922" s="1" t="s">
        <v>19</v>
      </c>
      <c r="C2922" s="1" t="s">
        <v>11118</v>
      </c>
      <c r="D2922" s="1" t="s">
        <v>19</v>
      </c>
      <c r="E2922" s="250">
        <v>2770.1619999999998</v>
      </c>
    </row>
    <row r="2923" spans="1:5" x14ac:dyDescent="0.35">
      <c r="A2923" s="1" t="s">
        <v>18571</v>
      </c>
      <c r="B2923" s="1" t="s">
        <v>20</v>
      </c>
      <c r="C2923" s="1" t="s">
        <v>11117</v>
      </c>
      <c r="D2923" s="1" t="s">
        <v>20</v>
      </c>
      <c r="E2923" s="250">
        <v>2770.165</v>
      </c>
    </row>
    <row r="2924" spans="1:5" x14ac:dyDescent="0.35">
      <c r="A2924" s="1" t="s">
        <v>18572</v>
      </c>
      <c r="B2924" s="1" t="s">
        <v>23</v>
      </c>
      <c r="C2924" s="1" t="s">
        <v>11116</v>
      </c>
      <c r="D2924" s="1" t="s">
        <v>23</v>
      </c>
      <c r="E2924" s="250">
        <v>2770.1669999999999</v>
      </c>
    </row>
    <row r="2925" spans="1:5" x14ac:dyDescent="0.35">
      <c r="A2925" s="1" t="s">
        <v>18573</v>
      </c>
      <c r="B2925" s="1" t="s">
        <v>23</v>
      </c>
      <c r="C2925" s="1" t="s">
        <v>11115</v>
      </c>
      <c r="D2925" s="1" t="s">
        <v>23</v>
      </c>
      <c r="E2925" s="250">
        <v>2770.1680000000001</v>
      </c>
    </row>
    <row r="2926" spans="1:5" x14ac:dyDescent="0.35">
      <c r="A2926" s="1" t="s">
        <v>18574</v>
      </c>
      <c r="B2926" s="1" t="s">
        <v>20</v>
      </c>
      <c r="C2926" s="1" t="s">
        <v>11029</v>
      </c>
      <c r="D2926" s="1" t="s">
        <v>20</v>
      </c>
      <c r="E2926" s="250">
        <v>2770.17</v>
      </c>
    </row>
    <row r="2927" spans="1:5" x14ac:dyDescent="0.35">
      <c r="A2927" s="1" t="s">
        <v>18575</v>
      </c>
      <c r="B2927" s="1" t="s">
        <v>20</v>
      </c>
      <c r="C2927" s="1" t="s">
        <v>11114</v>
      </c>
      <c r="D2927" s="1" t="s">
        <v>20</v>
      </c>
      <c r="E2927" s="250">
        <v>2770.1709999999998</v>
      </c>
    </row>
    <row r="2928" spans="1:5" x14ac:dyDescent="0.35">
      <c r="A2928" s="1" t="s">
        <v>18576</v>
      </c>
      <c r="B2928" s="1" t="s">
        <v>20</v>
      </c>
      <c r="C2928" s="1" t="s">
        <v>11113</v>
      </c>
      <c r="D2928" s="1" t="s">
        <v>20</v>
      </c>
      <c r="E2928" s="250">
        <v>2770.172</v>
      </c>
    </row>
    <row r="2929" spans="1:5" x14ac:dyDescent="0.35">
      <c r="A2929" s="1" t="s">
        <v>18577</v>
      </c>
      <c r="B2929" s="1" t="s">
        <v>19</v>
      </c>
      <c r="C2929" s="1" t="s">
        <v>11112</v>
      </c>
      <c r="D2929" s="1" t="s">
        <v>19</v>
      </c>
      <c r="E2929" s="250">
        <v>2770.1750000000002</v>
      </c>
    </row>
    <row r="2930" spans="1:5" x14ac:dyDescent="0.35">
      <c r="A2930" s="1" t="s">
        <v>18578</v>
      </c>
      <c r="B2930" s="1" t="s">
        <v>19</v>
      </c>
      <c r="C2930" s="1" t="s">
        <v>11111</v>
      </c>
      <c r="D2930" s="1" t="s">
        <v>19</v>
      </c>
      <c r="E2930" s="250">
        <v>2770.2</v>
      </c>
    </row>
    <row r="2931" spans="1:5" x14ac:dyDescent="0.35">
      <c r="A2931" s="1" t="s">
        <v>18579</v>
      </c>
      <c r="B2931" s="1" t="s">
        <v>19</v>
      </c>
      <c r="C2931" s="1" t="s">
        <v>11110</v>
      </c>
      <c r="D2931" s="1" t="s">
        <v>19</v>
      </c>
      <c r="E2931" s="250">
        <v>2770.201</v>
      </c>
    </row>
    <row r="2932" spans="1:5" x14ac:dyDescent="0.35">
      <c r="A2932" s="1" t="s">
        <v>18580</v>
      </c>
      <c r="B2932" s="1" t="s">
        <v>19</v>
      </c>
      <c r="C2932" s="1" t="s">
        <v>11109</v>
      </c>
      <c r="D2932" s="1" t="s">
        <v>19</v>
      </c>
      <c r="E2932" s="250">
        <v>2770.2020000000002</v>
      </c>
    </row>
    <row r="2933" spans="1:5" x14ac:dyDescent="0.35">
      <c r="A2933" s="1" t="s">
        <v>18581</v>
      </c>
      <c r="B2933" s="1" t="s">
        <v>19</v>
      </c>
      <c r="C2933" s="1" t="s">
        <v>11108</v>
      </c>
      <c r="D2933" s="1" t="s">
        <v>19</v>
      </c>
      <c r="E2933" s="250">
        <v>2770.203</v>
      </c>
    </row>
    <row r="2934" spans="1:5" x14ac:dyDescent="0.35">
      <c r="A2934" s="1" t="s">
        <v>18582</v>
      </c>
      <c r="B2934" s="1" t="s">
        <v>19</v>
      </c>
      <c r="C2934" s="1" t="s">
        <v>11107</v>
      </c>
      <c r="D2934" s="1" t="s">
        <v>19</v>
      </c>
      <c r="E2934" s="250">
        <v>2770.2040000000002</v>
      </c>
    </row>
    <row r="2935" spans="1:5" x14ac:dyDescent="0.35">
      <c r="A2935" s="1" t="s">
        <v>18583</v>
      </c>
      <c r="B2935" s="1" t="s">
        <v>19</v>
      </c>
      <c r="C2935" s="1" t="s">
        <v>11106</v>
      </c>
      <c r="D2935" s="1" t="s">
        <v>19</v>
      </c>
      <c r="E2935" s="250">
        <v>2770.2049999999999</v>
      </c>
    </row>
    <row r="2936" spans="1:5" x14ac:dyDescent="0.35">
      <c r="A2936" s="1" t="s">
        <v>18584</v>
      </c>
      <c r="B2936" s="1" t="s">
        <v>19</v>
      </c>
      <c r="C2936" s="1" t="s">
        <v>11105</v>
      </c>
      <c r="D2936" s="1" t="s">
        <v>19</v>
      </c>
      <c r="E2936" s="250">
        <v>2770.21</v>
      </c>
    </row>
    <row r="2937" spans="1:5" x14ac:dyDescent="0.35">
      <c r="A2937" s="1" t="s">
        <v>18585</v>
      </c>
      <c r="B2937" s="1" t="s">
        <v>19</v>
      </c>
      <c r="C2937" s="1" t="s">
        <v>11104</v>
      </c>
      <c r="D2937" s="1" t="s">
        <v>19</v>
      </c>
      <c r="E2937" s="250">
        <v>2770.2150000000001</v>
      </c>
    </row>
    <row r="2938" spans="1:5" x14ac:dyDescent="0.35">
      <c r="A2938" s="1" t="s">
        <v>18586</v>
      </c>
      <c r="B2938" s="1" t="s">
        <v>19</v>
      </c>
      <c r="C2938" s="1" t="s">
        <v>11103</v>
      </c>
      <c r="D2938" s="1" t="s">
        <v>19</v>
      </c>
      <c r="E2938" s="250">
        <v>2770.3</v>
      </c>
    </row>
    <row r="2939" spans="1:5" x14ac:dyDescent="0.35">
      <c r="A2939" s="1" t="s">
        <v>18587</v>
      </c>
      <c r="B2939" s="1" t="s">
        <v>19</v>
      </c>
      <c r="C2939" s="1" t="s">
        <v>11102</v>
      </c>
      <c r="D2939" s="1" t="s">
        <v>19</v>
      </c>
      <c r="E2939" s="250">
        <v>2770.3049999999998</v>
      </c>
    </row>
    <row r="2940" spans="1:5" x14ac:dyDescent="0.35">
      <c r="A2940" s="1" t="s">
        <v>18588</v>
      </c>
      <c r="B2940" s="1" t="s">
        <v>23</v>
      </c>
      <c r="C2940" s="1" t="s">
        <v>11101</v>
      </c>
      <c r="D2940" s="1" t="s">
        <v>23</v>
      </c>
      <c r="E2940" s="250">
        <v>2770.31</v>
      </c>
    </row>
    <row r="2941" spans="1:5" x14ac:dyDescent="0.35">
      <c r="A2941" s="1" t="s">
        <v>18589</v>
      </c>
      <c r="B2941" s="1" t="s">
        <v>23</v>
      </c>
      <c r="C2941" s="1" t="s">
        <v>11100</v>
      </c>
      <c r="D2941" s="1" t="s">
        <v>23</v>
      </c>
      <c r="E2941" s="250">
        <v>2770.3110000000001</v>
      </c>
    </row>
    <row r="2942" spans="1:5" x14ac:dyDescent="0.35">
      <c r="A2942" s="1" t="s">
        <v>18590</v>
      </c>
      <c r="B2942" s="1" t="s">
        <v>23</v>
      </c>
      <c r="C2942" s="1" t="s">
        <v>11099</v>
      </c>
      <c r="D2942" s="1" t="s">
        <v>23</v>
      </c>
      <c r="E2942" s="250">
        <v>2770.3119999999999</v>
      </c>
    </row>
    <row r="2943" spans="1:5" x14ac:dyDescent="0.35">
      <c r="A2943" s="1" t="s">
        <v>18591</v>
      </c>
      <c r="B2943" s="1" t="s">
        <v>20</v>
      </c>
      <c r="C2943" s="1" t="s">
        <v>11098</v>
      </c>
      <c r="D2943" s="1" t="s">
        <v>20</v>
      </c>
      <c r="E2943" s="250">
        <v>2770.32</v>
      </c>
    </row>
    <row r="2944" spans="1:5" x14ac:dyDescent="0.35">
      <c r="A2944" s="1" t="s">
        <v>18592</v>
      </c>
      <c r="B2944" s="1" t="s">
        <v>20</v>
      </c>
      <c r="C2944" s="1" t="s">
        <v>11097</v>
      </c>
      <c r="D2944" s="1" t="s">
        <v>20</v>
      </c>
      <c r="E2944" s="250">
        <v>2770.3209999999999</v>
      </c>
    </row>
    <row r="2945" spans="1:5" x14ac:dyDescent="0.35">
      <c r="A2945" s="1" t="s">
        <v>18593</v>
      </c>
      <c r="B2945" s="1" t="s">
        <v>20</v>
      </c>
      <c r="C2945" s="1" t="s">
        <v>11096</v>
      </c>
      <c r="D2945" s="1" t="s">
        <v>20</v>
      </c>
      <c r="E2945" s="250">
        <v>2770.3220000000001</v>
      </c>
    </row>
    <row r="2946" spans="1:5" x14ac:dyDescent="0.35">
      <c r="A2946" s="1" t="s">
        <v>18594</v>
      </c>
      <c r="B2946" s="1" t="s">
        <v>20</v>
      </c>
      <c r="C2946" s="1" t="s">
        <v>11095</v>
      </c>
      <c r="D2946" s="1" t="s">
        <v>20</v>
      </c>
      <c r="E2946" s="250">
        <v>2770.3229999999999</v>
      </c>
    </row>
    <row r="2947" spans="1:5" x14ac:dyDescent="0.35">
      <c r="A2947" s="1" t="s">
        <v>18595</v>
      </c>
      <c r="B2947" s="1" t="s">
        <v>20</v>
      </c>
      <c r="C2947" s="1" t="s">
        <v>11094</v>
      </c>
      <c r="D2947" s="1" t="s">
        <v>20</v>
      </c>
      <c r="E2947" s="250">
        <v>2770.3240000000001</v>
      </c>
    </row>
    <row r="2948" spans="1:5" x14ac:dyDescent="0.35">
      <c r="A2948" s="1" t="s">
        <v>18596</v>
      </c>
      <c r="B2948" s="1" t="s">
        <v>19</v>
      </c>
      <c r="C2948" s="1" t="s">
        <v>11093</v>
      </c>
      <c r="D2948" s="1" t="s">
        <v>19</v>
      </c>
      <c r="E2948" s="250">
        <v>2770.33</v>
      </c>
    </row>
    <row r="2949" spans="1:5" x14ac:dyDescent="0.35">
      <c r="A2949" s="1" t="s">
        <v>18597</v>
      </c>
      <c r="B2949" s="1" t="s">
        <v>18</v>
      </c>
      <c r="C2949" s="1" t="s">
        <v>11092</v>
      </c>
      <c r="D2949" s="1" t="s">
        <v>18</v>
      </c>
      <c r="E2949" s="250">
        <v>2770.3380000000002</v>
      </c>
    </row>
    <row r="2950" spans="1:5" x14ac:dyDescent="0.35">
      <c r="A2950" s="1" t="s">
        <v>18598</v>
      </c>
      <c r="B2950" s="1" t="s">
        <v>66</v>
      </c>
      <c r="C2950" s="1" t="s">
        <v>11091</v>
      </c>
      <c r="D2950" s="1" t="s">
        <v>66</v>
      </c>
      <c r="E2950" s="250">
        <v>2770.35</v>
      </c>
    </row>
    <row r="2951" spans="1:5" x14ac:dyDescent="0.35">
      <c r="A2951" s="1" t="s">
        <v>18599</v>
      </c>
      <c r="B2951" s="1" t="s">
        <v>3023</v>
      </c>
      <c r="C2951" s="1" t="s">
        <v>11090</v>
      </c>
      <c r="D2951" s="1" t="s">
        <v>3023</v>
      </c>
      <c r="E2951" s="250">
        <v>2770.36</v>
      </c>
    </row>
    <row r="2952" spans="1:5" x14ac:dyDescent="0.35">
      <c r="A2952" s="1" t="s">
        <v>18600</v>
      </c>
      <c r="B2952" s="1" t="s">
        <v>3023</v>
      </c>
      <c r="C2952" s="1" t="s">
        <v>11089</v>
      </c>
      <c r="D2952" s="1" t="s">
        <v>3023</v>
      </c>
      <c r="E2952" s="250">
        <v>2770.3609999999999</v>
      </c>
    </row>
    <row r="2953" spans="1:5" x14ac:dyDescent="0.35">
      <c r="A2953" s="1" t="s">
        <v>18601</v>
      </c>
      <c r="B2953" s="1" t="s">
        <v>3023</v>
      </c>
      <c r="C2953" s="1" t="s">
        <v>11088</v>
      </c>
      <c r="D2953" s="1" t="s">
        <v>3023</v>
      </c>
      <c r="E2953" s="250">
        <v>2770.3620000000001</v>
      </c>
    </row>
    <row r="2954" spans="1:5" x14ac:dyDescent="0.35">
      <c r="A2954" s="1" t="s">
        <v>18602</v>
      </c>
      <c r="B2954" s="1" t="s">
        <v>3023</v>
      </c>
      <c r="C2954" s="1" t="s">
        <v>11087</v>
      </c>
      <c r="D2954" s="1" t="s">
        <v>3023</v>
      </c>
      <c r="E2954" s="250">
        <v>2770.3629999999998</v>
      </c>
    </row>
    <row r="2955" spans="1:5" x14ac:dyDescent="0.35">
      <c r="A2955" s="1" t="s">
        <v>18603</v>
      </c>
      <c r="B2955" s="1" t="s">
        <v>3023</v>
      </c>
      <c r="C2955" s="1" t="s">
        <v>11086</v>
      </c>
      <c r="D2955" s="1" t="s">
        <v>3023</v>
      </c>
      <c r="E2955" s="250">
        <v>2770.364</v>
      </c>
    </row>
    <row r="2956" spans="1:5" x14ac:dyDescent="0.35">
      <c r="A2956" s="1" t="s">
        <v>18604</v>
      </c>
      <c r="B2956" s="1" t="s">
        <v>23</v>
      </c>
      <c r="C2956" s="1" t="s">
        <v>11085</v>
      </c>
      <c r="D2956" s="1" t="s">
        <v>23</v>
      </c>
      <c r="E2956" s="250">
        <v>2770.37</v>
      </c>
    </row>
    <row r="2957" spans="1:5" x14ac:dyDescent="0.35">
      <c r="A2957" s="1" t="s">
        <v>18605</v>
      </c>
      <c r="B2957" s="1" t="s">
        <v>23</v>
      </c>
      <c r="C2957" s="1" t="s">
        <v>11084</v>
      </c>
      <c r="D2957" s="1" t="s">
        <v>23</v>
      </c>
      <c r="E2957" s="250">
        <v>2770.3710000000001</v>
      </c>
    </row>
    <row r="2958" spans="1:5" x14ac:dyDescent="0.35">
      <c r="A2958" s="1" t="s">
        <v>18606</v>
      </c>
      <c r="B2958" s="1" t="s">
        <v>23</v>
      </c>
      <c r="C2958" s="1" t="s">
        <v>11083</v>
      </c>
      <c r="D2958" s="1" t="s">
        <v>23</v>
      </c>
      <c r="E2958" s="250">
        <v>2770.3719999999998</v>
      </c>
    </row>
    <row r="2959" spans="1:5" x14ac:dyDescent="0.35">
      <c r="A2959" s="1" t="s">
        <v>18607</v>
      </c>
      <c r="B2959" s="1" t="s">
        <v>19</v>
      </c>
      <c r="C2959" s="1" t="s">
        <v>11082</v>
      </c>
      <c r="D2959" s="1" t="s">
        <v>19</v>
      </c>
      <c r="E2959" s="250">
        <v>2770.4</v>
      </c>
    </row>
    <row r="2960" spans="1:5" x14ac:dyDescent="0.35">
      <c r="A2960" s="1" t="s">
        <v>18608</v>
      </c>
      <c r="B2960" s="1" t="s">
        <v>19</v>
      </c>
      <c r="C2960" s="1" t="s">
        <v>11081</v>
      </c>
      <c r="D2960" s="1" t="s">
        <v>19</v>
      </c>
      <c r="E2960" s="250">
        <v>2770.4050000000002</v>
      </c>
    </row>
    <row r="2961" spans="1:5" x14ac:dyDescent="0.35">
      <c r="A2961" s="1" t="s">
        <v>18609</v>
      </c>
      <c r="B2961" s="1" t="s">
        <v>23</v>
      </c>
      <c r="C2961" s="1" t="s">
        <v>11080</v>
      </c>
      <c r="D2961" s="1" t="s">
        <v>23</v>
      </c>
      <c r="E2961" s="250">
        <v>2770.41</v>
      </c>
    </row>
    <row r="2962" spans="1:5" x14ac:dyDescent="0.35">
      <c r="A2962" s="1" t="s">
        <v>18610</v>
      </c>
      <c r="B2962" s="1" t="s">
        <v>23</v>
      </c>
      <c r="C2962" s="1" t="s">
        <v>11079</v>
      </c>
      <c r="D2962" s="1" t="s">
        <v>23</v>
      </c>
      <c r="E2962" s="250">
        <v>2770.4110000000001</v>
      </c>
    </row>
    <row r="2963" spans="1:5" x14ac:dyDescent="0.35">
      <c r="A2963" s="1" t="s">
        <v>18611</v>
      </c>
      <c r="B2963" s="1" t="s">
        <v>23</v>
      </c>
      <c r="C2963" s="1" t="s">
        <v>11078</v>
      </c>
      <c r="D2963" s="1" t="s">
        <v>23</v>
      </c>
      <c r="E2963" s="250">
        <v>2770.4119999999998</v>
      </c>
    </row>
    <row r="2964" spans="1:5" x14ac:dyDescent="0.35">
      <c r="A2964" s="1" t="s">
        <v>18612</v>
      </c>
      <c r="B2964" s="1" t="s">
        <v>20</v>
      </c>
      <c r="C2964" s="1" t="s">
        <v>11077</v>
      </c>
      <c r="D2964" s="1" t="s">
        <v>20</v>
      </c>
      <c r="E2964" s="250">
        <v>2770.42</v>
      </c>
    </row>
    <row r="2965" spans="1:5" x14ac:dyDescent="0.35">
      <c r="A2965" s="1" t="s">
        <v>18613</v>
      </c>
      <c r="B2965" s="1" t="s">
        <v>20</v>
      </c>
      <c r="C2965" s="1" t="s">
        <v>11076</v>
      </c>
      <c r="D2965" s="1" t="s">
        <v>20</v>
      </c>
      <c r="E2965" s="250">
        <v>2770.4209999999998</v>
      </c>
    </row>
    <row r="2966" spans="1:5" x14ac:dyDescent="0.35">
      <c r="A2966" s="1" t="s">
        <v>18614</v>
      </c>
      <c r="B2966" s="1" t="s">
        <v>20</v>
      </c>
      <c r="C2966" s="1" t="s">
        <v>11075</v>
      </c>
      <c r="D2966" s="1" t="s">
        <v>20</v>
      </c>
      <c r="E2966" s="250">
        <v>2770.422</v>
      </c>
    </row>
    <row r="2967" spans="1:5" x14ac:dyDescent="0.35">
      <c r="A2967" s="1" t="s">
        <v>18615</v>
      </c>
      <c r="B2967" s="1" t="s">
        <v>20</v>
      </c>
      <c r="C2967" s="1" t="s">
        <v>11074</v>
      </c>
      <c r="D2967" s="1" t="s">
        <v>20</v>
      </c>
      <c r="E2967" s="250">
        <v>2770.4229999999998</v>
      </c>
    </row>
    <row r="2968" spans="1:5" x14ac:dyDescent="0.35">
      <c r="A2968" s="1" t="s">
        <v>18616</v>
      </c>
      <c r="B2968" s="1" t="s">
        <v>20</v>
      </c>
      <c r="C2968" s="1" t="s">
        <v>11073</v>
      </c>
      <c r="D2968" s="1" t="s">
        <v>20</v>
      </c>
      <c r="E2968" s="250">
        <v>2770.424</v>
      </c>
    </row>
    <row r="2969" spans="1:5" x14ac:dyDescent="0.35">
      <c r="A2969" s="1" t="s">
        <v>18617</v>
      </c>
      <c r="B2969" s="1" t="s">
        <v>19</v>
      </c>
      <c r="C2969" s="1" t="s">
        <v>11072</v>
      </c>
      <c r="D2969" s="1" t="s">
        <v>19</v>
      </c>
      <c r="E2969" s="250">
        <v>2770.43</v>
      </c>
    </row>
    <row r="2970" spans="1:5" x14ac:dyDescent="0.35">
      <c r="A2970" s="1" t="s">
        <v>18618</v>
      </c>
      <c r="B2970" s="1" t="s">
        <v>18</v>
      </c>
      <c r="C2970" s="1" t="s">
        <v>11071</v>
      </c>
      <c r="D2970" s="1" t="s">
        <v>18</v>
      </c>
      <c r="E2970" s="250">
        <v>2770.4380000000001</v>
      </c>
    </row>
    <row r="2971" spans="1:5" x14ac:dyDescent="0.35">
      <c r="A2971" s="1" t="s">
        <v>18619</v>
      </c>
      <c r="B2971" s="1" t="s">
        <v>64</v>
      </c>
      <c r="C2971" s="1" t="s">
        <v>11070</v>
      </c>
      <c r="D2971" s="1" t="s">
        <v>64</v>
      </c>
      <c r="E2971" s="250">
        <v>2770.44</v>
      </c>
    </row>
    <row r="2972" spans="1:5" x14ac:dyDescent="0.35">
      <c r="A2972" s="1" t="s">
        <v>18620</v>
      </c>
      <c r="B2972" s="1" t="s">
        <v>64</v>
      </c>
      <c r="C2972" s="1" t="s">
        <v>11069</v>
      </c>
      <c r="D2972" s="1" t="s">
        <v>64</v>
      </c>
      <c r="E2972" s="250">
        <v>2770.4409999999998</v>
      </c>
    </row>
    <row r="2973" spans="1:5" x14ac:dyDescent="0.35">
      <c r="A2973" s="1" t="s">
        <v>18621</v>
      </c>
      <c r="B2973" s="1" t="s">
        <v>64</v>
      </c>
      <c r="C2973" s="1" t="s">
        <v>11068</v>
      </c>
      <c r="D2973" s="1" t="s">
        <v>64</v>
      </c>
      <c r="E2973" s="250">
        <v>2770.442</v>
      </c>
    </row>
    <row r="2974" spans="1:5" x14ac:dyDescent="0.35">
      <c r="A2974" s="1" t="s">
        <v>18622</v>
      </c>
      <c r="B2974" s="1" t="s">
        <v>66</v>
      </c>
      <c r="C2974" s="1" t="s">
        <v>11067</v>
      </c>
      <c r="D2974" s="1" t="s">
        <v>66</v>
      </c>
      <c r="E2974" s="250">
        <v>2770.45</v>
      </c>
    </row>
    <row r="2975" spans="1:5" x14ac:dyDescent="0.35">
      <c r="A2975" s="1" t="s">
        <v>18623</v>
      </c>
      <c r="B2975" s="1" t="s">
        <v>3023</v>
      </c>
      <c r="C2975" s="1" t="s">
        <v>11066</v>
      </c>
      <c r="D2975" s="1" t="s">
        <v>3023</v>
      </c>
      <c r="E2975" s="250">
        <v>2770.46</v>
      </c>
    </row>
    <row r="2976" spans="1:5" x14ac:dyDescent="0.35">
      <c r="A2976" s="1" t="s">
        <v>18624</v>
      </c>
      <c r="B2976" s="1" t="s">
        <v>3023</v>
      </c>
      <c r="C2976" s="1" t="s">
        <v>11065</v>
      </c>
      <c r="D2976" s="1" t="s">
        <v>3023</v>
      </c>
      <c r="E2976" s="250">
        <v>2770.4609999999998</v>
      </c>
    </row>
    <row r="2977" spans="1:5" x14ac:dyDescent="0.35">
      <c r="A2977" s="1" t="s">
        <v>18625</v>
      </c>
      <c r="B2977" s="1" t="s">
        <v>3023</v>
      </c>
      <c r="C2977" s="1" t="s">
        <v>11064</v>
      </c>
      <c r="D2977" s="1" t="s">
        <v>3023</v>
      </c>
      <c r="E2977" s="250">
        <v>2770.462</v>
      </c>
    </row>
    <row r="2978" spans="1:5" x14ac:dyDescent="0.35">
      <c r="A2978" s="1" t="s">
        <v>18626</v>
      </c>
      <c r="B2978" s="1" t="s">
        <v>3023</v>
      </c>
      <c r="C2978" s="1" t="s">
        <v>11063</v>
      </c>
      <c r="D2978" s="1" t="s">
        <v>3023</v>
      </c>
      <c r="E2978" s="250">
        <v>2770.4630000000002</v>
      </c>
    </row>
    <row r="2979" spans="1:5" x14ac:dyDescent="0.35">
      <c r="A2979" s="1" t="s">
        <v>18627</v>
      </c>
      <c r="B2979" s="1" t="s">
        <v>3023</v>
      </c>
      <c r="C2979" s="1" t="s">
        <v>11062</v>
      </c>
      <c r="D2979" s="1" t="s">
        <v>3023</v>
      </c>
      <c r="E2979" s="250">
        <v>2770.4639999999999</v>
      </c>
    </row>
    <row r="2980" spans="1:5" x14ac:dyDescent="0.35">
      <c r="A2980" s="1" t="s">
        <v>18628</v>
      </c>
      <c r="B2980" s="1" t="s">
        <v>23</v>
      </c>
      <c r="C2980" s="1" t="s">
        <v>11061</v>
      </c>
      <c r="D2980" s="1" t="s">
        <v>23</v>
      </c>
      <c r="E2980" s="250">
        <v>2770.47</v>
      </c>
    </row>
    <row r="2981" spans="1:5" x14ac:dyDescent="0.35">
      <c r="A2981" s="1" t="s">
        <v>18629</v>
      </c>
      <c r="B2981" s="1" t="s">
        <v>23</v>
      </c>
      <c r="C2981" s="1" t="s">
        <v>11060</v>
      </c>
      <c r="D2981" s="1" t="s">
        <v>23</v>
      </c>
      <c r="E2981" s="250">
        <v>2770.471</v>
      </c>
    </row>
    <row r="2982" spans="1:5" x14ac:dyDescent="0.35">
      <c r="A2982" s="1" t="s">
        <v>18630</v>
      </c>
      <c r="B2982" s="1" t="s">
        <v>23</v>
      </c>
      <c r="C2982" s="1" t="s">
        <v>11059</v>
      </c>
      <c r="D2982" s="1" t="s">
        <v>23</v>
      </c>
      <c r="E2982" s="250">
        <v>2770.4720000000002</v>
      </c>
    </row>
    <row r="2983" spans="1:5" x14ac:dyDescent="0.35">
      <c r="A2983" s="2" t="s">
        <v>18631</v>
      </c>
      <c r="B2983" s="1" t="s">
        <v>19</v>
      </c>
      <c r="C2983" s="1" t="s">
        <v>11058</v>
      </c>
      <c r="D2983" s="1" t="s">
        <v>19</v>
      </c>
      <c r="E2983" s="250">
        <v>2771.09</v>
      </c>
    </row>
    <row r="2984" spans="1:5" x14ac:dyDescent="0.35">
      <c r="A2984" s="1" t="s">
        <v>18632</v>
      </c>
      <c r="B2984" s="1" t="s">
        <v>19</v>
      </c>
      <c r="C2984" s="1" t="s">
        <v>11057</v>
      </c>
      <c r="D2984" s="1" t="s">
        <v>19</v>
      </c>
      <c r="E2984" s="250">
        <v>2771.0909999999999</v>
      </c>
    </row>
    <row r="2985" spans="1:5" x14ac:dyDescent="0.35">
      <c r="A2985" s="2" t="s">
        <v>18633</v>
      </c>
      <c r="B2985" s="1" t="s">
        <v>57</v>
      </c>
      <c r="C2985" s="1" t="s">
        <v>11056</v>
      </c>
      <c r="D2985" s="1" t="s">
        <v>57</v>
      </c>
      <c r="E2985" s="250">
        <v>2775.01</v>
      </c>
    </row>
    <row r="2986" spans="1:5" x14ac:dyDescent="0.35">
      <c r="A2986" s="1" t="s">
        <v>18634</v>
      </c>
      <c r="B2986" s="1" t="s">
        <v>23</v>
      </c>
      <c r="C2986" s="1" t="s">
        <v>9453</v>
      </c>
      <c r="D2986" s="1" t="s">
        <v>23</v>
      </c>
      <c r="E2986" s="250">
        <v>2775.011</v>
      </c>
    </row>
    <row r="2987" spans="1:5" x14ac:dyDescent="0.35">
      <c r="A2987" s="1" t="s">
        <v>18635</v>
      </c>
      <c r="B2987" s="1" t="s">
        <v>23</v>
      </c>
      <c r="C2987" s="1" t="s">
        <v>9449</v>
      </c>
      <c r="D2987" s="1" t="s">
        <v>23</v>
      </c>
      <c r="E2987" s="250">
        <v>2775.0120000000002</v>
      </c>
    </row>
    <row r="2988" spans="1:5" x14ac:dyDescent="0.35">
      <c r="A2988" s="1" t="s">
        <v>18636</v>
      </c>
      <c r="B2988" s="1" t="s">
        <v>23</v>
      </c>
      <c r="C2988" s="1" t="s">
        <v>9445</v>
      </c>
      <c r="D2988" s="1" t="s">
        <v>23</v>
      </c>
      <c r="E2988" s="250">
        <v>2775.0129999999999</v>
      </c>
    </row>
    <row r="2989" spans="1:5" x14ac:dyDescent="0.35">
      <c r="A2989" s="1" t="s">
        <v>18637</v>
      </c>
      <c r="B2989" s="1" t="s">
        <v>23</v>
      </c>
      <c r="C2989" s="1" t="s">
        <v>9634</v>
      </c>
      <c r="D2989" s="1" t="s">
        <v>23</v>
      </c>
      <c r="E2989" s="250">
        <v>2775.0140000000001</v>
      </c>
    </row>
    <row r="2990" spans="1:5" x14ac:dyDescent="0.35">
      <c r="A2990" s="1" t="s">
        <v>18638</v>
      </c>
      <c r="B2990" s="1" t="s">
        <v>23</v>
      </c>
      <c r="C2990" s="1" t="s">
        <v>9441</v>
      </c>
      <c r="D2990" s="1" t="s">
        <v>23</v>
      </c>
      <c r="E2990" s="250">
        <v>2775.0149999999999</v>
      </c>
    </row>
    <row r="2991" spans="1:5" x14ac:dyDescent="0.35">
      <c r="A2991" s="1" t="s">
        <v>18639</v>
      </c>
      <c r="B2991" s="1" t="s">
        <v>23</v>
      </c>
      <c r="C2991" s="1" t="s">
        <v>9437</v>
      </c>
      <c r="D2991" s="1" t="s">
        <v>23</v>
      </c>
      <c r="E2991" s="250">
        <v>2775.0160000000001</v>
      </c>
    </row>
    <row r="2992" spans="1:5" x14ac:dyDescent="0.35">
      <c r="A2992" s="1" t="s">
        <v>18640</v>
      </c>
      <c r="B2992" s="1" t="s">
        <v>23</v>
      </c>
      <c r="C2992" s="1" t="s">
        <v>9429</v>
      </c>
      <c r="D2992" s="1" t="s">
        <v>23</v>
      </c>
      <c r="E2992" s="250">
        <v>2775.0169999999998</v>
      </c>
    </row>
    <row r="2993" spans="1:5" x14ac:dyDescent="0.35">
      <c r="A2993" s="1" t="s">
        <v>18641</v>
      </c>
      <c r="B2993" s="1" t="s">
        <v>23</v>
      </c>
      <c r="C2993" s="1" t="s">
        <v>9425</v>
      </c>
      <c r="D2993" s="1" t="s">
        <v>23</v>
      </c>
      <c r="E2993" s="250">
        <v>2775.018</v>
      </c>
    </row>
    <row r="2994" spans="1:5" x14ac:dyDescent="0.35">
      <c r="A2994" s="1" t="s">
        <v>18642</v>
      </c>
      <c r="B2994" s="1" t="s">
        <v>23</v>
      </c>
      <c r="C2994" s="1" t="s">
        <v>9785</v>
      </c>
      <c r="D2994" s="1" t="s">
        <v>23</v>
      </c>
      <c r="E2994" s="250">
        <v>2775.0189999999998</v>
      </c>
    </row>
    <row r="2995" spans="1:5" x14ac:dyDescent="0.35">
      <c r="A2995" s="1" t="s">
        <v>18643</v>
      </c>
      <c r="B2995" s="1" t="s">
        <v>23</v>
      </c>
      <c r="C2995" s="1" t="s">
        <v>9784</v>
      </c>
      <c r="D2995" s="1" t="s">
        <v>23</v>
      </c>
      <c r="E2995" s="250">
        <v>2775.02</v>
      </c>
    </row>
    <row r="2996" spans="1:5" x14ac:dyDescent="0.35">
      <c r="A2996" s="1" t="s">
        <v>18644</v>
      </c>
      <c r="B2996" s="1" t="s">
        <v>23</v>
      </c>
      <c r="C2996" s="1" t="s">
        <v>9783</v>
      </c>
      <c r="D2996" s="1" t="s">
        <v>23</v>
      </c>
      <c r="E2996" s="250">
        <v>2775.0210000000002</v>
      </c>
    </row>
    <row r="2997" spans="1:5" x14ac:dyDescent="0.35">
      <c r="A2997" s="1" t="s">
        <v>18645</v>
      </c>
      <c r="B2997" s="1" t="s">
        <v>23</v>
      </c>
      <c r="C2997" s="1" t="s">
        <v>9782</v>
      </c>
      <c r="D2997" s="1" t="s">
        <v>23</v>
      </c>
      <c r="E2997" s="250">
        <v>2775.0219999999999</v>
      </c>
    </row>
    <row r="2998" spans="1:5" x14ac:dyDescent="0.35">
      <c r="A2998" s="1" t="s">
        <v>18646</v>
      </c>
      <c r="B2998" s="1" t="s">
        <v>23</v>
      </c>
      <c r="C2998" s="1" t="s">
        <v>9780</v>
      </c>
      <c r="D2998" s="1" t="s">
        <v>23</v>
      </c>
      <c r="E2998" s="250">
        <v>2775.0230000000001</v>
      </c>
    </row>
    <row r="2999" spans="1:5" x14ac:dyDescent="0.35">
      <c r="A2999" s="1" t="s">
        <v>18647</v>
      </c>
      <c r="B2999" s="1" t="s">
        <v>23</v>
      </c>
      <c r="C2999" s="1" t="s">
        <v>9779</v>
      </c>
      <c r="D2999" s="1" t="s">
        <v>23</v>
      </c>
      <c r="E2999" s="250">
        <v>2775.0239999999999</v>
      </c>
    </row>
    <row r="3000" spans="1:5" x14ac:dyDescent="0.35">
      <c r="A3000" s="1" t="s">
        <v>18648</v>
      </c>
      <c r="B3000" s="1" t="s">
        <v>23</v>
      </c>
      <c r="C3000" s="1" t="s">
        <v>9778</v>
      </c>
      <c r="D3000" s="1" t="s">
        <v>23</v>
      </c>
      <c r="E3000" s="250">
        <v>2775.0250000000001</v>
      </c>
    </row>
    <row r="3001" spans="1:5" x14ac:dyDescent="0.35">
      <c r="A3001" s="1" t="s">
        <v>18649</v>
      </c>
      <c r="B3001" s="1" t="s">
        <v>23</v>
      </c>
      <c r="C3001" s="1" t="s">
        <v>9777</v>
      </c>
      <c r="D3001" s="1" t="s">
        <v>23</v>
      </c>
      <c r="E3001" s="250">
        <v>2775.0259999999998</v>
      </c>
    </row>
    <row r="3002" spans="1:5" x14ac:dyDescent="0.35">
      <c r="A3002" s="1" t="s">
        <v>18650</v>
      </c>
      <c r="B3002" s="1" t="s">
        <v>23</v>
      </c>
      <c r="C3002" s="1" t="s">
        <v>9773</v>
      </c>
      <c r="D3002" s="1" t="s">
        <v>23</v>
      </c>
      <c r="E3002" s="250">
        <v>2775.027</v>
      </c>
    </row>
    <row r="3003" spans="1:5" x14ac:dyDescent="0.35">
      <c r="A3003" s="1" t="s">
        <v>18651</v>
      </c>
      <c r="B3003" s="1" t="s">
        <v>23</v>
      </c>
      <c r="C3003" s="1" t="s">
        <v>9771</v>
      </c>
      <c r="D3003" s="1" t="s">
        <v>23</v>
      </c>
      <c r="E3003" s="250">
        <v>2775.0279999999998</v>
      </c>
    </row>
    <row r="3004" spans="1:5" x14ac:dyDescent="0.35">
      <c r="A3004" s="1" t="s">
        <v>18652</v>
      </c>
      <c r="B3004" s="1" t="s">
        <v>23</v>
      </c>
      <c r="C3004" s="1" t="s">
        <v>9769</v>
      </c>
      <c r="D3004" s="1" t="s">
        <v>23</v>
      </c>
      <c r="E3004" s="250">
        <v>2775.029</v>
      </c>
    </row>
    <row r="3005" spans="1:5" x14ac:dyDescent="0.35">
      <c r="A3005" s="1" t="s">
        <v>18653</v>
      </c>
      <c r="B3005" s="1" t="s">
        <v>23</v>
      </c>
      <c r="C3005" s="1" t="s">
        <v>9781</v>
      </c>
      <c r="D3005" s="1" t="s">
        <v>23</v>
      </c>
      <c r="E3005" s="250">
        <v>2775.03</v>
      </c>
    </row>
    <row r="3006" spans="1:5" x14ac:dyDescent="0.35">
      <c r="A3006" s="1" t="s">
        <v>18654</v>
      </c>
      <c r="B3006" s="1" t="s">
        <v>23</v>
      </c>
      <c r="C3006" s="1" t="s">
        <v>9764</v>
      </c>
      <c r="D3006" s="1" t="s">
        <v>23</v>
      </c>
      <c r="E3006" s="250">
        <v>2775.0309999999999</v>
      </c>
    </row>
    <row r="3007" spans="1:5" x14ac:dyDescent="0.35">
      <c r="A3007" s="1" t="s">
        <v>18655</v>
      </c>
      <c r="B3007" s="1" t="s">
        <v>23</v>
      </c>
      <c r="C3007" s="1" t="s">
        <v>9762</v>
      </c>
      <c r="D3007" s="1" t="s">
        <v>23</v>
      </c>
      <c r="E3007" s="250">
        <v>2775.0320000000002</v>
      </c>
    </row>
    <row r="3008" spans="1:5" x14ac:dyDescent="0.35">
      <c r="A3008" s="1" t="s">
        <v>18656</v>
      </c>
      <c r="B3008" s="1" t="s">
        <v>23</v>
      </c>
      <c r="C3008" s="1" t="s">
        <v>9760</v>
      </c>
      <c r="D3008" s="1" t="s">
        <v>23</v>
      </c>
      <c r="E3008" s="250">
        <v>2775.0329999999999</v>
      </c>
    </row>
    <row r="3009" spans="1:5" x14ac:dyDescent="0.35">
      <c r="A3009" s="1" t="s">
        <v>18657</v>
      </c>
      <c r="B3009" s="1" t="s">
        <v>23</v>
      </c>
      <c r="C3009" s="1" t="s">
        <v>9758</v>
      </c>
      <c r="D3009" s="1" t="s">
        <v>23</v>
      </c>
      <c r="E3009" s="250">
        <v>2775.0340000000001</v>
      </c>
    </row>
    <row r="3010" spans="1:5" x14ac:dyDescent="0.35">
      <c r="A3010" s="1" t="s">
        <v>18658</v>
      </c>
      <c r="B3010" s="1" t="s">
        <v>57</v>
      </c>
      <c r="C3010" s="1" t="s">
        <v>11055</v>
      </c>
      <c r="D3010" s="1" t="s">
        <v>57</v>
      </c>
      <c r="E3010" s="250">
        <v>2775.05</v>
      </c>
    </row>
    <row r="3011" spans="1:5" x14ac:dyDescent="0.35">
      <c r="A3011" s="1" t="s">
        <v>18659</v>
      </c>
      <c r="B3011" s="1" t="s">
        <v>23</v>
      </c>
      <c r="C3011" s="1" t="s">
        <v>9453</v>
      </c>
      <c r="D3011" s="1" t="s">
        <v>23</v>
      </c>
      <c r="E3011" s="250">
        <v>2775.0509999999999</v>
      </c>
    </row>
    <row r="3012" spans="1:5" x14ac:dyDescent="0.35">
      <c r="A3012" s="1" t="s">
        <v>18660</v>
      </c>
      <c r="B3012" s="1" t="s">
        <v>23</v>
      </c>
      <c r="C3012" s="1" t="s">
        <v>9449</v>
      </c>
      <c r="D3012" s="1" t="s">
        <v>23</v>
      </c>
      <c r="E3012" s="250">
        <v>2775.0520000000001</v>
      </c>
    </row>
    <row r="3013" spans="1:5" x14ac:dyDescent="0.35">
      <c r="A3013" s="1" t="s">
        <v>18661</v>
      </c>
      <c r="B3013" s="1" t="s">
        <v>23</v>
      </c>
      <c r="C3013" s="1" t="s">
        <v>9445</v>
      </c>
      <c r="D3013" s="1" t="s">
        <v>23</v>
      </c>
      <c r="E3013" s="250">
        <v>2775.0529999999999</v>
      </c>
    </row>
    <row r="3014" spans="1:5" x14ac:dyDescent="0.35">
      <c r="A3014" s="1" t="s">
        <v>18662</v>
      </c>
      <c r="B3014" s="1" t="s">
        <v>23</v>
      </c>
      <c r="C3014" s="1" t="s">
        <v>9634</v>
      </c>
      <c r="D3014" s="1" t="s">
        <v>23</v>
      </c>
      <c r="E3014" s="250">
        <v>2775.0540000000001</v>
      </c>
    </row>
    <row r="3015" spans="1:5" x14ac:dyDescent="0.35">
      <c r="A3015" s="1" t="s">
        <v>18663</v>
      </c>
      <c r="B3015" s="1" t="s">
        <v>23</v>
      </c>
      <c r="C3015" s="1" t="s">
        <v>9441</v>
      </c>
      <c r="D3015" s="1" t="s">
        <v>23</v>
      </c>
      <c r="E3015" s="250">
        <v>2775.0549999999998</v>
      </c>
    </row>
    <row r="3016" spans="1:5" x14ac:dyDescent="0.35">
      <c r="A3016" s="1" t="s">
        <v>18664</v>
      </c>
      <c r="B3016" s="1" t="s">
        <v>23</v>
      </c>
      <c r="C3016" s="1" t="s">
        <v>9437</v>
      </c>
      <c r="D3016" s="1" t="s">
        <v>23</v>
      </c>
      <c r="E3016" s="250">
        <v>2775.056</v>
      </c>
    </row>
    <row r="3017" spans="1:5" x14ac:dyDescent="0.35">
      <c r="A3017" s="1" t="s">
        <v>18665</v>
      </c>
      <c r="B3017" s="1" t="s">
        <v>23</v>
      </c>
      <c r="C3017" s="1" t="s">
        <v>9429</v>
      </c>
      <c r="D3017" s="1" t="s">
        <v>23</v>
      </c>
      <c r="E3017" s="250">
        <v>2775.0569999999998</v>
      </c>
    </row>
    <row r="3018" spans="1:5" x14ac:dyDescent="0.35">
      <c r="A3018" s="1" t="s">
        <v>18666</v>
      </c>
      <c r="B3018" s="1" t="s">
        <v>23</v>
      </c>
      <c r="C3018" s="1" t="s">
        <v>9425</v>
      </c>
      <c r="D3018" s="1" t="s">
        <v>23</v>
      </c>
      <c r="E3018" s="250">
        <v>2775.058</v>
      </c>
    </row>
    <row r="3019" spans="1:5" x14ac:dyDescent="0.35">
      <c r="A3019" s="1" t="s">
        <v>18667</v>
      </c>
      <c r="B3019" s="1" t="s">
        <v>23</v>
      </c>
      <c r="C3019" s="1" t="s">
        <v>9785</v>
      </c>
      <c r="D3019" s="1" t="s">
        <v>23</v>
      </c>
      <c r="E3019" s="250">
        <v>2775.0590000000002</v>
      </c>
    </row>
    <row r="3020" spans="1:5" x14ac:dyDescent="0.35">
      <c r="A3020" s="1" t="s">
        <v>18668</v>
      </c>
      <c r="B3020" s="1" t="s">
        <v>23</v>
      </c>
      <c r="C3020" s="1" t="s">
        <v>9784</v>
      </c>
      <c r="D3020" s="1" t="s">
        <v>23</v>
      </c>
      <c r="E3020" s="250">
        <v>2775.06</v>
      </c>
    </row>
    <row r="3021" spans="1:5" x14ac:dyDescent="0.35">
      <c r="A3021" s="1" t="s">
        <v>18669</v>
      </c>
      <c r="B3021" s="1" t="s">
        <v>23</v>
      </c>
      <c r="C3021" s="1" t="s">
        <v>9783</v>
      </c>
      <c r="D3021" s="1" t="s">
        <v>23</v>
      </c>
      <c r="E3021" s="250">
        <v>2775.0610000000001</v>
      </c>
    </row>
    <row r="3022" spans="1:5" x14ac:dyDescent="0.35">
      <c r="A3022" s="1" t="s">
        <v>18670</v>
      </c>
      <c r="B3022" s="1" t="s">
        <v>23</v>
      </c>
      <c r="C3022" s="1" t="s">
        <v>9782</v>
      </c>
      <c r="D3022" s="1" t="s">
        <v>23</v>
      </c>
      <c r="E3022" s="250">
        <v>2775.0619999999999</v>
      </c>
    </row>
    <row r="3023" spans="1:5" x14ac:dyDescent="0.35">
      <c r="A3023" s="1" t="s">
        <v>18671</v>
      </c>
      <c r="B3023" s="1" t="s">
        <v>23</v>
      </c>
      <c r="C3023" s="1" t="s">
        <v>9780</v>
      </c>
      <c r="D3023" s="1" t="s">
        <v>23</v>
      </c>
      <c r="E3023" s="250">
        <v>2775.0630000000001</v>
      </c>
    </row>
    <row r="3024" spans="1:5" x14ac:dyDescent="0.35">
      <c r="A3024" s="1" t="s">
        <v>18672</v>
      </c>
      <c r="B3024" s="1" t="s">
        <v>23</v>
      </c>
      <c r="C3024" s="1" t="s">
        <v>9779</v>
      </c>
      <c r="D3024" s="1" t="s">
        <v>23</v>
      </c>
      <c r="E3024" s="250">
        <v>2775.0639999999999</v>
      </c>
    </row>
    <row r="3025" spans="1:5" x14ac:dyDescent="0.35">
      <c r="A3025" s="1" t="s">
        <v>18673</v>
      </c>
      <c r="B3025" s="1" t="s">
        <v>23</v>
      </c>
      <c r="C3025" s="1" t="s">
        <v>9778</v>
      </c>
      <c r="D3025" s="1" t="s">
        <v>23</v>
      </c>
      <c r="E3025" s="250">
        <v>2775.0650000000001</v>
      </c>
    </row>
    <row r="3026" spans="1:5" x14ac:dyDescent="0.35">
      <c r="A3026" s="1" t="s">
        <v>18674</v>
      </c>
      <c r="B3026" s="1" t="s">
        <v>23</v>
      </c>
      <c r="C3026" s="1" t="s">
        <v>9777</v>
      </c>
      <c r="D3026" s="1" t="s">
        <v>23</v>
      </c>
      <c r="E3026" s="250">
        <v>2775.0659999999998</v>
      </c>
    </row>
    <row r="3027" spans="1:5" x14ac:dyDescent="0.35">
      <c r="A3027" s="1" t="s">
        <v>18675</v>
      </c>
      <c r="B3027" s="1" t="s">
        <v>23</v>
      </c>
      <c r="C3027" s="1" t="s">
        <v>11054</v>
      </c>
      <c r="D3027" s="1" t="s">
        <v>23</v>
      </c>
      <c r="E3027" s="250">
        <v>2775.08</v>
      </c>
    </row>
    <row r="3028" spans="1:5" x14ac:dyDescent="0.35">
      <c r="A3028" s="1" t="s">
        <v>18676</v>
      </c>
      <c r="B3028" s="1" t="s">
        <v>23</v>
      </c>
      <c r="C3028" s="1" t="s">
        <v>11053</v>
      </c>
      <c r="D3028" s="1" t="s">
        <v>23</v>
      </c>
      <c r="E3028" s="250">
        <v>2775.0810000000001</v>
      </c>
    </row>
    <row r="3029" spans="1:5" x14ac:dyDescent="0.35">
      <c r="A3029" s="1" t="s">
        <v>18677</v>
      </c>
      <c r="B3029" s="1" t="s">
        <v>19</v>
      </c>
      <c r="C3029" s="1" t="s">
        <v>11008</v>
      </c>
      <c r="D3029" s="1" t="s">
        <v>19</v>
      </c>
      <c r="E3029" s="250">
        <v>2775.15</v>
      </c>
    </row>
    <row r="3030" spans="1:5" x14ac:dyDescent="0.35">
      <c r="A3030" s="1" t="s">
        <v>18678</v>
      </c>
      <c r="B3030" s="1" t="s">
        <v>19</v>
      </c>
      <c r="C3030" s="1" t="s">
        <v>11052</v>
      </c>
      <c r="D3030" s="1" t="s">
        <v>19</v>
      </c>
      <c r="E3030" s="250">
        <v>2775.165</v>
      </c>
    </row>
    <row r="3031" spans="1:5" x14ac:dyDescent="0.35">
      <c r="A3031" s="1" t="s">
        <v>18679</v>
      </c>
      <c r="B3031" s="1" t="s">
        <v>19</v>
      </c>
      <c r="C3031" s="1" t="s">
        <v>11050</v>
      </c>
      <c r="D3031" s="1" t="s">
        <v>19</v>
      </c>
      <c r="E3031" s="250">
        <v>2775.1680000000001</v>
      </c>
    </row>
    <row r="3032" spans="1:5" x14ac:dyDescent="0.35">
      <c r="A3032" s="1" t="s">
        <v>18680</v>
      </c>
      <c r="B3032" s="1" t="s">
        <v>19</v>
      </c>
      <c r="C3032" s="1" t="s">
        <v>11051</v>
      </c>
      <c r="D3032" s="1" t="s">
        <v>19</v>
      </c>
      <c r="E3032" s="250">
        <v>2775.17</v>
      </c>
    </row>
    <row r="3033" spans="1:5" x14ac:dyDescent="0.35">
      <c r="A3033" s="1" t="s">
        <v>18681</v>
      </c>
      <c r="B3033" s="1" t="s">
        <v>20</v>
      </c>
      <c r="C3033" s="1" t="s">
        <v>11050</v>
      </c>
      <c r="D3033" s="1" t="s">
        <v>20</v>
      </c>
      <c r="E3033" s="250">
        <v>2775.19</v>
      </c>
    </row>
    <row r="3034" spans="1:5" x14ac:dyDescent="0.35">
      <c r="A3034" s="1" t="s">
        <v>18682</v>
      </c>
      <c r="B3034" s="1" t="s">
        <v>20</v>
      </c>
      <c r="C3034" s="1" t="s">
        <v>11049</v>
      </c>
      <c r="D3034" s="1" t="s">
        <v>20</v>
      </c>
      <c r="E3034" s="250">
        <v>2775.23</v>
      </c>
    </row>
    <row r="3035" spans="1:5" x14ac:dyDescent="0.35">
      <c r="A3035" s="1" t="s">
        <v>18683</v>
      </c>
      <c r="B3035" s="1" t="s">
        <v>20</v>
      </c>
      <c r="C3035" s="1" t="s">
        <v>11048</v>
      </c>
      <c r="D3035" s="1" t="s">
        <v>20</v>
      </c>
      <c r="E3035" s="250">
        <v>2775.2310000000002</v>
      </c>
    </row>
    <row r="3036" spans="1:5" x14ac:dyDescent="0.35">
      <c r="A3036" s="1" t="s">
        <v>18684</v>
      </c>
      <c r="B3036" s="1" t="s">
        <v>23</v>
      </c>
      <c r="C3036" s="1" t="s">
        <v>11047</v>
      </c>
      <c r="D3036" s="1" t="s">
        <v>23</v>
      </c>
      <c r="E3036" s="250">
        <v>2775.25</v>
      </c>
    </row>
    <row r="3037" spans="1:5" x14ac:dyDescent="0.35">
      <c r="A3037" s="1" t="s">
        <v>18685</v>
      </c>
      <c r="B3037" s="1" t="s">
        <v>23</v>
      </c>
      <c r="C3037" s="1" t="s">
        <v>11046</v>
      </c>
      <c r="D3037" s="1" t="s">
        <v>23</v>
      </c>
      <c r="E3037" s="250">
        <v>2775.26</v>
      </c>
    </row>
    <row r="3038" spans="1:5" x14ac:dyDescent="0.35">
      <c r="A3038" s="1" t="s">
        <v>18686</v>
      </c>
      <c r="B3038" s="1" t="s">
        <v>23</v>
      </c>
      <c r="C3038" s="1" t="s">
        <v>11045</v>
      </c>
      <c r="D3038" s="1" t="s">
        <v>23</v>
      </c>
      <c r="E3038" s="250">
        <v>2775.27</v>
      </c>
    </row>
    <row r="3039" spans="1:5" x14ac:dyDescent="0.35">
      <c r="A3039" s="1" t="s">
        <v>18687</v>
      </c>
      <c r="B3039" s="1" t="s">
        <v>23</v>
      </c>
      <c r="C3039" s="1" t="s">
        <v>11044</v>
      </c>
      <c r="D3039" s="1" t="s">
        <v>23</v>
      </c>
      <c r="E3039" s="250">
        <v>2775.28</v>
      </c>
    </row>
    <row r="3040" spans="1:5" x14ac:dyDescent="0.35">
      <c r="A3040" s="1" t="s">
        <v>18688</v>
      </c>
      <c r="B3040" s="1" t="s">
        <v>23</v>
      </c>
      <c r="C3040" s="1" t="s">
        <v>11043</v>
      </c>
      <c r="D3040" s="1" t="s">
        <v>23</v>
      </c>
      <c r="E3040" s="250">
        <v>2775.29</v>
      </c>
    </row>
    <row r="3041" spans="1:5" x14ac:dyDescent="0.35">
      <c r="A3041" s="1" t="s">
        <v>18689</v>
      </c>
      <c r="B3041" s="1" t="s">
        <v>23</v>
      </c>
      <c r="C3041" s="1" t="s">
        <v>11042</v>
      </c>
      <c r="D3041" s="1" t="s">
        <v>23</v>
      </c>
      <c r="E3041" s="250">
        <v>2775.3</v>
      </c>
    </row>
    <row r="3042" spans="1:5" x14ac:dyDescent="0.35">
      <c r="A3042" s="1" t="s">
        <v>18690</v>
      </c>
      <c r="B3042" s="1" t="s">
        <v>20</v>
      </c>
      <c r="C3042" s="1" t="s">
        <v>11041</v>
      </c>
      <c r="D3042" s="1" t="s">
        <v>20</v>
      </c>
      <c r="E3042" s="250">
        <v>2775.33</v>
      </c>
    </row>
    <row r="3043" spans="1:5" x14ac:dyDescent="0.35">
      <c r="A3043" s="1" t="s">
        <v>18691</v>
      </c>
      <c r="B3043" s="1" t="s">
        <v>20</v>
      </c>
      <c r="C3043" s="1" t="s">
        <v>11040</v>
      </c>
      <c r="D3043" s="1" t="s">
        <v>20</v>
      </c>
      <c r="E3043" s="250">
        <v>2775.3310000000001</v>
      </c>
    </row>
    <row r="3044" spans="1:5" x14ac:dyDescent="0.35">
      <c r="A3044" s="1" t="s">
        <v>18692</v>
      </c>
      <c r="B3044" s="1" t="s">
        <v>20</v>
      </c>
      <c r="C3044" s="1" t="s">
        <v>11039</v>
      </c>
      <c r="D3044" s="1" t="s">
        <v>20</v>
      </c>
      <c r="E3044" s="250">
        <v>2775.335</v>
      </c>
    </row>
    <row r="3045" spans="1:5" x14ac:dyDescent="0.35">
      <c r="A3045" s="1" t="s">
        <v>18693</v>
      </c>
      <c r="B3045" s="1" t="s">
        <v>20</v>
      </c>
      <c r="C3045" s="1" t="s">
        <v>11038</v>
      </c>
      <c r="D3045" s="1" t="s">
        <v>20</v>
      </c>
      <c r="E3045" s="250">
        <v>2775.3359999999998</v>
      </c>
    </row>
    <row r="3046" spans="1:5" x14ac:dyDescent="0.35">
      <c r="A3046" s="1" t="s">
        <v>18694</v>
      </c>
      <c r="B3046" s="1" t="s">
        <v>20</v>
      </c>
      <c r="C3046" s="1" t="s">
        <v>11037</v>
      </c>
      <c r="D3046" s="1" t="s">
        <v>20</v>
      </c>
      <c r="E3046" s="250">
        <v>2775.34</v>
      </c>
    </row>
    <row r="3047" spans="1:5" x14ac:dyDescent="0.35">
      <c r="A3047" s="1" t="s">
        <v>18695</v>
      </c>
      <c r="B3047" s="1" t="s">
        <v>20</v>
      </c>
      <c r="C3047" s="1" t="s">
        <v>11036</v>
      </c>
      <c r="D3047" s="1" t="s">
        <v>20</v>
      </c>
      <c r="E3047" s="250">
        <v>2775.3409999999999</v>
      </c>
    </row>
    <row r="3048" spans="1:5" x14ac:dyDescent="0.35">
      <c r="A3048" s="1" t="s">
        <v>18696</v>
      </c>
      <c r="B3048" s="1" t="s">
        <v>20</v>
      </c>
      <c r="C3048" s="1" t="s">
        <v>11010</v>
      </c>
      <c r="D3048" s="1" t="s">
        <v>20</v>
      </c>
      <c r="E3048" s="250">
        <v>2775.35</v>
      </c>
    </row>
    <row r="3049" spans="1:5" x14ac:dyDescent="0.35">
      <c r="A3049" s="1" t="s">
        <v>18697</v>
      </c>
      <c r="B3049" s="1" t="s">
        <v>20</v>
      </c>
      <c r="C3049" s="1" t="s">
        <v>11035</v>
      </c>
      <c r="D3049" s="1" t="s">
        <v>20</v>
      </c>
      <c r="E3049" s="250">
        <v>2775.3510000000001</v>
      </c>
    </row>
    <row r="3050" spans="1:5" x14ac:dyDescent="0.35">
      <c r="A3050" s="1" t="s">
        <v>18698</v>
      </c>
      <c r="B3050" s="1" t="s">
        <v>20</v>
      </c>
      <c r="C3050" s="1" t="s">
        <v>11034</v>
      </c>
      <c r="D3050" s="1" t="s">
        <v>20</v>
      </c>
      <c r="E3050" s="250">
        <v>2775.36</v>
      </c>
    </row>
    <row r="3051" spans="1:5" x14ac:dyDescent="0.35">
      <c r="A3051" s="1" t="s">
        <v>18699</v>
      </c>
      <c r="B3051" s="1" t="s">
        <v>20</v>
      </c>
      <c r="C3051" s="1" t="s">
        <v>11033</v>
      </c>
      <c r="D3051" s="1" t="s">
        <v>20</v>
      </c>
      <c r="E3051" s="250">
        <v>2775.38</v>
      </c>
    </row>
    <row r="3052" spans="1:5" x14ac:dyDescent="0.35">
      <c r="A3052" s="1" t="s">
        <v>18700</v>
      </c>
      <c r="B3052" s="1" t="s">
        <v>20</v>
      </c>
      <c r="C3052" s="1" t="s">
        <v>11032</v>
      </c>
      <c r="D3052" s="1" t="s">
        <v>20</v>
      </c>
      <c r="E3052" s="250">
        <v>2775.3809999999999</v>
      </c>
    </row>
    <row r="3053" spans="1:5" x14ac:dyDescent="0.35">
      <c r="A3053" s="1" t="s">
        <v>18701</v>
      </c>
      <c r="B3053" s="1" t="s">
        <v>20</v>
      </c>
      <c r="C3053" s="1" t="s">
        <v>11031</v>
      </c>
      <c r="D3053" s="1" t="s">
        <v>20</v>
      </c>
      <c r="E3053" s="250">
        <v>2775.3820000000001</v>
      </c>
    </row>
    <row r="3054" spans="1:5" x14ac:dyDescent="0.35">
      <c r="A3054" s="1" t="s">
        <v>18702</v>
      </c>
      <c r="B3054" s="1" t="s">
        <v>20</v>
      </c>
      <c r="C3054" s="1" t="s">
        <v>11030</v>
      </c>
      <c r="D3054" s="1" t="s">
        <v>20</v>
      </c>
      <c r="E3054" s="250">
        <v>2775.3829999999998</v>
      </c>
    </row>
    <row r="3055" spans="1:5" x14ac:dyDescent="0.35">
      <c r="A3055" s="1" t="s">
        <v>18703</v>
      </c>
      <c r="B3055" s="1" t="s">
        <v>20</v>
      </c>
      <c r="C3055" s="1" t="s">
        <v>11029</v>
      </c>
      <c r="D3055" s="1" t="s">
        <v>20</v>
      </c>
      <c r="E3055" s="250">
        <v>2775.39</v>
      </c>
    </row>
    <row r="3056" spans="1:5" x14ac:dyDescent="0.35">
      <c r="A3056" s="1" t="s">
        <v>18704</v>
      </c>
      <c r="B3056" s="1" t="s">
        <v>1692</v>
      </c>
      <c r="C3056" s="1" t="s">
        <v>11028</v>
      </c>
      <c r="D3056" s="1" t="s">
        <v>1692</v>
      </c>
      <c r="E3056" s="250">
        <v>2775.43</v>
      </c>
    </row>
    <row r="3057" spans="1:5" x14ac:dyDescent="0.35">
      <c r="A3057" s="1" t="s">
        <v>18705</v>
      </c>
      <c r="B3057" s="1" t="s">
        <v>1692</v>
      </c>
      <c r="C3057" s="1" t="s">
        <v>11027</v>
      </c>
      <c r="D3057" s="1" t="s">
        <v>1692</v>
      </c>
      <c r="E3057" s="250">
        <v>2775.44</v>
      </c>
    </row>
    <row r="3058" spans="1:5" x14ac:dyDescent="0.35">
      <c r="A3058" s="1" t="s">
        <v>18706</v>
      </c>
      <c r="B3058" s="1" t="s">
        <v>1692</v>
      </c>
      <c r="C3058" s="1" t="s">
        <v>11026</v>
      </c>
      <c r="D3058" s="1" t="s">
        <v>1692</v>
      </c>
      <c r="E3058" s="250">
        <v>2775.45</v>
      </c>
    </row>
    <row r="3059" spans="1:5" x14ac:dyDescent="0.35">
      <c r="A3059" s="1" t="s">
        <v>18707</v>
      </c>
      <c r="B3059" s="1" t="s">
        <v>1692</v>
      </c>
      <c r="C3059" s="1" t="s">
        <v>11025</v>
      </c>
      <c r="D3059" s="1" t="s">
        <v>1692</v>
      </c>
      <c r="E3059" s="250">
        <v>2775.46</v>
      </c>
    </row>
    <row r="3060" spans="1:5" x14ac:dyDescent="0.35">
      <c r="A3060" s="1" t="s">
        <v>18708</v>
      </c>
      <c r="B3060" s="1" t="s">
        <v>1692</v>
      </c>
      <c r="C3060" s="1" t="s">
        <v>11024</v>
      </c>
      <c r="D3060" s="1" t="s">
        <v>1692</v>
      </c>
      <c r="E3060" s="250">
        <v>2775.4650000000001</v>
      </c>
    </row>
    <row r="3061" spans="1:5" x14ac:dyDescent="0.35">
      <c r="A3061" s="1" t="s">
        <v>18709</v>
      </c>
      <c r="B3061" s="1" t="s">
        <v>1692</v>
      </c>
      <c r="C3061" s="1" t="s">
        <v>11023</v>
      </c>
      <c r="D3061" s="1" t="s">
        <v>1692</v>
      </c>
      <c r="E3061" s="250">
        <v>2775.4659999999999</v>
      </c>
    </row>
    <row r="3062" spans="1:5" x14ac:dyDescent="0.35">
      <c r="A3062" s="1" t="s">
        <v>18710</v>
      </c>
      <c r="B3062" s="1" t="s">
        <v>42</v>
      </c>
      <c r="C3062" s="1" t="s">
        <v>11022</v>
      </c>
      <c r="D3062" s="1" t="s">
        <v>42</v>
      </c>
      <c r="E3062" s="250">
        <v>2775.47</v>
      </c>
    </row>
    <row r="3063" spans="1:5" x14ac:dyDescent="0.35">
      <c r="A3063" s="1" t="s">
        <v>18711</v>
      </c>
      <c r="B3063" s="1" t="s">
        <v>42</v>
      </c>
      <c r="C3063" s="1" t="s">
        <v>11021</v>
      </c>
      <c r="D3063" s="1" t="s">
        <v>42</v>
      </c>
      <c r="E3063" s="250">
        <v>2775.471</v>
      </c>
    </row>
    <row r="3064" spans="1:5" x14ac:dyDescent="0.35">
      <c r="A3064" s="1" t="s">
        <v>18712</v>
      </c>
      <c r="B3064" s="1" t="s">
        <v>20</v>
      </c>
      <c r="C3064" s="1" t="s">
        <v>11020</v>
      </c>
      <c r="D3064" s="1" t="s">
        <v>20</v>
      </c>
      <c r="E3064" s="250">
        <v>2775.5</v>
      </c>
    </row>
    <row r="3065" spans="1:5" x14ac:dyDescent="0.35">
      <c r="A3065" s="1" t="s">
        <v>18713</v>
      </c>
      <c r="B3065" s="1" t="s">
        <v>20</v>
      </c>
      <c r="C3065" s="1" t="s">
        <v>11019</v>
      </c>
      <c r="D3065" s="1" t="s">
        <v>20</v>
      </c>
      <c r="E3065" s="250">
        <v>2775.5010000000002</v>
      </c>
    </row>
    <row r="3066" spans="1:5" x14ac:dyDescent="0.35">
      <c r="A3066" s="1" t="s">
        <v>18714</v>
      </c>
      <c r="B3066" s="1" t="s">
        <v>19</v>
      </c>
      <c r="C3066" s="1" t="s">
        <v>11018</v>
      </c>
      <c r="D3066" s="1" t="s">
        <v>19</v>
      </c>
      <c r="E3066" s="250">
        <v>2775.5050000000001</v>
      </c>
    </row>
    <row r="3067" spans="1:5" x14ac:dyDescent="0.35">
      <c r="A3067" s="1" t="s">
        <v>18715</v>
      </c>
      <c r="B3067" s="1" t="s">
        <v>19</v>
      </c>
      <c r="C3067" s="1" t="s">
        <v>11017</v>
      </c>
      <c r="D3067" s="1" t="s">
        <v>19</v>
      </c>
      <c r="E3067" s="250">
        <v>2775.5059999999999</v>
      </c>
    </row>
    <row r="3068" spans="1:5" x14ac:dyDescent="0.35">
      <c r="A3068" s="1" t="s">
        <v>18716</v>
      </c>
      <c r="B3068" s="1" t="s">
        <v>23</v>
      </c>
      <c r="C3068" s="1" t="s">
        <v>11016</v>
      </c>
      <c r="D3068" s="1" t="s">
        <v>23</v>
      </c>
      <c r="E3068" s="250">
        <v>2775.51</v>
      </c>
    </row>
    <row r="3069" spans="1:5" x14ac:dyDescent="0.35">
      <c r="A3069" s="1" t="s">
        <v>18717</v>
      </c>
      <c r="B3069" s="1" t="s">
        <v>23</v>
      </c>
      <c r="C3069" s="1" t="s">
        <v>11015</v>
      </c>
      <c r="D3069" s="1" t="s">
        <v>23</v>
      </c>
      <c r="E3069" s="250">
        <v>2775.511</v>
      </c>
    </row>
    <row r="3070" spans="1:5" x14ac:dyDescent="0.35">
      <c r="A3070" s="1" t="s">
        <v>18718</v>
      </c>
      <c r="B3070" s="1" t="s">
        <v>23</v>
      </c>
      <c r="C3070" s="1" t="s">
        <v>11014</v>
      </c>
      <c r="D3070" s="1" t="s">
        <v>23</v>
      </c>
      <c r="E3070" s="250">
        <v>2775.5120000000002</v>
      </c>
    </row>
    <row r="3071" spans="1:5" x14ac:dyDescent="0.35">
      <c r="A3071" s="1" t="s">
        <v>18719</v>
      </c>
      <c r="B3071" s="1" t="s">
        <v>20</v>
      </c>
      <c r="C3071" s="1" t="s">
        <v>11013</v>
      </c>
      <c r="D3071" s="1" t="s">
        <v>20</v>
      </c>
      <c r="E3071" s="250">
        <v>2775.52</v>
      </c>
    </row>
    <row r="3072" spans="1:5" x14ac:dyDescent="0.35">
      <c r="A3072" s="1" t="s">
        <v>18720</v>
      </c>
      <c r="B3072" s="1" t="s">
        <v>20</v>
      </c>
      <c r="C3072" s="1" t="s">
        <v>11012</v>
      </c>
      <c r="D3072" s="1" t="s">
        <v>20</v>
      </c>
      <c r="E3072" s="250">
        <v>2775.5210000000002</v>
      </c>
    </row>
    <row r="3073" spans="1:5" x14ac:dyDescent="0.35">
      <c r="A3073" s="1" t="s">
        <v>18721</v>
      </c>
      <c r="B3073" s="1" t="s">
        <v>20</v>
      </c>
      <c r="C3073" s="1" t="s">
        <v>11011</v>
      </c>
      <c r="D3073" s="1" t="s">
        <v>20</v>
      </c>
      <c r="E3073" s="250">
        <v>2775.5219999999999</v>
      </c>
    </row>
    <row r="3074" spans="1:5" x14ac:dyDescent="0.35">
      <c r="A3074" s="1" t="s">
        <v>18722</v>
      </c>
      <c r="B3074" s="1" t="s">
        <v>20</v>
      </c>
      <c r="C3074" s="1" t="s">
        <v>11010</v>
      </c>
      <c r="D3074" s="1" t="s">
        <v>20</v>
      </c>
      <c r="E3074" s="250">
        <v>2775.5230000000001</v>
      </c>
    </row>
    <row r="3075" spans="1:5" x14ac:dyDescent="0.35">
      <c r="A3075" s="1" t="s">
        <v>18723</v>
      </c>
      <c r="B3075" s="1" t="s">
        <v>20</v>
      </c>
      <c r="C3075" s="1" t="s">
        <v>11009</v>
      </c>
      <c r="D3075" s="1" t="s">
        <v>20</v>
      </c>
      <c r="E3075" s="250">
        <v>2775.5239999999999</v>
      </c>
    </row>
    <row r="3076" spans="1:5" x14ac:dyDescent="0.35">
      <c r="A3076" s="1" t="s">
        <v>18724</v>
      </c>
      <c r="B3076" s="1" t="s">
        <v>19</v>
      </c>
      <c r="C3076" s="1" t="s">
        <v>11008</v>
      </c>
      <c r="D3076" s="1" t="s">
        <v>19</v>
      </c>
      <c r="E3076" s="250">
        <v>2775.53</v>
      </c>
    </row>
    <row r="3077" spans="1:5" x14ac:dyDescent="0.35">
      <c r="A3077" s="1" t="s">
        <v>18725</v>
      </c>
      <c r="B3077" s="1" t="s">
        <v>19</v>
      </c>
      <c r="C3077" s="1" t="s">
        <v>11007</v>
      </c>
      <c r="D3077" s="1" t="s">
        <v>19</v>
      </c>
      <c r="E3077" s="250">
        <v>2775.538</v>
      </c>
    </row>
    <row r="3078" spans="1:5" x14ac:dyDescent="0.35">
      <c r="A3078" s="1" t="s">
        <v>18726</v>
      </c>
      <c r="B3078" s="1" t="s">
        <v>64</v>
      </c>
      <c r="C3078" s="1" t="s">
        <v>11006</v>
      </c>
      <c r="D3078" s="1" t="s">
        <v>64</v>
      </c>
      <c r="E3078" s="250">
        <v>2775.54</v>
      </c>
    </row>
    <row r="3079" spans="1:5" x14ac:dyDescent="0.35">
      <c r="A3079" s="1" t="s">
        <v>18727</v>
      </c>
      <c r="B3079" s="1" t="s">
        <v>64</v>
      </c>
      <c r="C3079" s="1" t="s">
        <v>11005</v>
      </c>
      <c r="D3079" s="1" t="s">
        <v>64</v>
      </c>
      <c r="E3079" s="250">
        <v>2775.5410000000002</v>
      </c>
    </row>
    <row r="3080" spans="1:5" x14ac:dyDescent="0.35">
      <c r="A3080" s="1" t="s">
        <v>18728</v>
      </c>
      <c r="B3080" s="1" t="s">
        <v>64</v>
      </c>
      <c r="C3080" s="1" t="s">
        <v>11004</v>
      </c>
      <c r="D3080" s="1" t="s">
        <v>64</v>
      </c>
      <c r="E3080" s="250">
        <v>2775.5419999999999</v>
      </c>
    </row>
    <row r="3081" spans="1:5" x14ac:dyDescent="0.35">
      <c r="A3081" s="1" t="s">
        <v>18729</v>
      </c>
      <c r="B3081" s="1" t="s">
        <v>66</v>
      </c>
      <c r="C3081" s="1" t="s">
        <v>11003</v>
      </c>
      <c r="D3081" s="1" t="s">
        <v>66</v>
      </c>
      <c r="E3081" s="250">
        <v>2775.55</v>
      </c>
    </row>
    <row r="3082" spans="1:5" x14ac:dyDescent="0.35">
      <c r="A3082" s="1" t="s">
        <v>18730</v>
      </c>
      <c r="B3082" s="1" t="s">
        <v>3023</v>
      </c>
      <c r="C3082" s="1" t="s">
        <v>11002</v>
      </c>
      <c r="D3082" s="1" t="s">
        <v>3023</v>
      </c>
      <c r="E3082" s="250">
        <v>2775.56</v>
      </c>
    </row>
    <row r="3083" spans="1:5" x14ac:dyDescent="0.35">
      <c r="A3083" s="1" t="s">
        <v>18731</v>
      </c>
      <c r="B3083" s="1" t="s">
        <v>3023</v>
      </c>
      <c r="C3083" s="1" t="s">
        <v>11001</v>
      </c>
      <c r="D3083" s="1" t="s">
        <v>3023</v>
      </c>
      <c r="E3083" s="250">
        <v>2775.5610000000001</v>
      </c>
    </row>
    <row r="3084" spans="1:5" x14ac:dyDescent="0.35">
      <c r="A3084" s="1" t="s">
        <v>18732</v>
      </c>
      <c r="B3084" s="1" t="s">
        <v>3023</v>
      </c>
      <c r="C3084" s="1" t="s">
        <v>11000</v>
      </c>
      <c r="D3084" s="1" t="s">
        <v>3023</v>
      </c>
      <c r="E3084" s="250">
        <v>2775.5619999999999</v>
      </c>
    </row>
    <row r="3085" spans="1:5" x14ac:dyDescent="0.35">
      <c r="A3085" s="1" t="s">
        <v>18733</v>
      </c>
      <c r="B3085" s="1" t="s">
        <v>3023</v>
      </c>
      <c r="C3085" s="1" t="s">
        <v>10999</v>
      </c>
      <c r="D3085" s="1" t="s">
        <v>3023</v>
      </c>
      <c r="E3085" s="250">
        <v>2775.5630000000001</v>
      </c>
    </row>
    <row r="3086" spans="1:5" x14ac:dyDescent="0.35">
      <c r="A3086" s="1" t="s">
        <v>18734</v>
      </c>
      <c r="B3086" s="1" t="s">
        <v>3023</v>
      </c>
      <c r="C3086" s="1" t="s">
        <v>10998</v>
      </c>
      <c r="D3086" s="1" t="s">
        <v>3023</v>
      </c>
      <c r="E3086" s="250">
        <v>2775.5639999999999</v>
      </c>
    </row>
    <row r="3087" spans="1:5" x14ac:dyDescent="0.35">
      <c r="A3087" s="1" t="s">
        <v>18735</v>
      </c>
      <c r="B3087" s="1" t="s">
        <v>23</v>
      </c>
      <c r="C3087" s="1" t="s">
        <v>10997</v>
      </c>
      <c r="D3087" s="1" t="s">
        <v>23</v>
      </c>
      <c r="E3087" s="250">
        <v>2775.57</v>
      </c>
    </row>
    <row r="3088" spans="1:5" x14ac:dyDescent="0.35">
      <c r="A3088" s="1" t="s">
        <v>18736</v>
      </c>
      <c r="B3088" s="1" t="s">
        <v>23</v>
      </c>
      <c r="C3088" s="1" t="s">
        <v>10996</v>
      </c>
      <c r="D3088" s="1" t="s">
        <v>23</v>
      </c>
      <c r="E3088" s="250">
        <v>2775.5709999999999</v>
      </c>
    </row>
    <row r="3089" spans="1:5" x14ac:dyDescent="0.35">
      <c r="A3089" s="1" t="s">
        <v>18737</v>
      </c>
      <c r="B3089" s="1" t="s">
        <v>23</v>
      </c>
      <c r="C3089" s="1" t="s">
        <v>10995</v>
      </c>
      <c r="D3089" s="1" t="s">
        <v>23</v>
      </c>
      <c r="E3089" s="250">
        <v>2775.5720000000001</v>
      </c>
    </row>
    <row r="3090" spans="1:5" x14ac:dyDescent="0.35">
      <c r="A3090" s="1" t="s">
        <v>18738</v>
      </c>
      <c r="B3090" s="1" t="s">
        <v>20</v>
      </c>
      <c r="C3090" s="1" t="s">
        <v>10994</v>
      </c>
      <c r="D3090" s="1" t="s">
        <v>20</v>
      </c>
      <c r="E3090" s="250">
        <v>2775.6</v>
      </c>
    </row>
    <row r="3091" spans="1:5" x14ac:dyDescent="0.35">
      <c r="A3091" s="1" t="s">
        <v>18739</v>
      </c>
      <c r="B3091" s="1" t="s">
        <v>20</v>
      </c>
      <c r="C3091" s="1" t="s">
        <v>10993</v>
      </c>
      <c r="D3091" s="1" t="s">
        <v>20</v>
      </c>
      <c r="E3091" s="250">
        <v>2775.6010000000001</v>
      </c>
    </row>
    <row r="3092" spans="1:5" x14ac:dyDescent="0.35">
      <c r="A3092" s="1" t="s">
        <v>18740</v>
      </c>
      <c r="B3092" s="1" t="s">
        <v>19</v>
      </c>
      <c r="C3092" s="1" t="s">
        <v>10992</v>
      </c>
      <c r="D3092" s="1" t="s">
        <v>19</v>
      </c>
      <c r="E3092" s="250">
        <v>2775.605</v>
      </c>
    </row>
    <row r="3093" spans="1:5" x14ac:dyDescent="0.35">
      <c r="A3093" s="1" t="s">
        <v>18741</v>
      </c>
      <c r="B3093" s="1" t="s">
        <v>19</v>
      </c>
      <c r="C3093" s="1" t="s">
        <v>10991</v>
      </c>
      <c r="D3093" s="1" t="s">
        <v>19</v>
      </c>
      <c r="E3093" s="250">
        <v>2775.6060000000002</v>
      </c>
    </row>
    <row r="3094" spans="1:5" x14ac:dyDescent="0.35">
      <c r="A3094" s="1" t="s">
        <v>18742</v>
      </c>
      <c r="B3094" s="1" t="s">
        <v>23</v>
      </c>
      <c r="C3094" s="1" t="s">
        <v>10990</v>
      </c>
      <c r="D3094" s="1" t="s">
        <v>23</v>
      </c>
      <c r="E3094" s="250">
        <v>2775.61</v>
      </c>
    </row>
    <row r="3095" spans="1:5" x14ac:dyDescent="0.35">
      <c r="A3095" s="1" t="s">
        <v>18743</v>
      </c>
      <c r="B3095" s="1" t="s">
        <v>23</v>
      </c>
      <c r="C3095" s="1" t="s">
        <v>10989</v>
      </c>
      <c r="D3095" s="1" t="s">
        <v>23</v>
      </c>
      <c r="E3095" s="250">
        <v>2775.6109999999999</v>
      </c>
    </row>
    <row r="3096" spans="1:5" x14ac:dyDescent="0.35">
      <c r="A3096" s="1" t="s">
        <v>18744</v>
      </c>
      <c r="B3096" s="1" t="s">
        <v>23</v>
      </c>
      <c r="C3096" s="1" t="s">
        <v>10988</v>
      </c>
      <c r="D3096" s="1" t="s">
        <v>23</v>
      </c>
      <c r="E3096" s="250">
        <v>2775.6120000000001</v>
      </c>
    </row>
    <row r="3097" spans="1:5" x14ac:dyDescent="0.35">
      <c r="A3097" s="1" t="s">
        <v>18745</v>
      </c>
      <c r="B3097" s="1" t="s">
        <v>20</v>
      </c>
      <c r="C3097" s="1" t="s">
        <v>10987</v>
      </c>
      <c r="D3097" s="1" t="s">
        <v>20</v>
      </c>
      <c r="E3097" s="250">
        <v>2775.62</v>
      </c>
    </row>
    <row r="3098" spans="1:5" x14ac:dyDescent="0.35">
      <c r="A3098" s="1" t="s">
        <v>18746</v>
      </c>
      <c r="B3098" s="1" t="s">
        <v>20</v>
      </c>
      <c r="C3098" s="1" t="s">
        <v>10986</v>
      </c>
      <c r="D3098" s="1" t="s">
        <v>20</v>
      </c>
      <c r="E3098" s="250">
        <v>2775.6210000000001</v>
      </c>
    </row>
    <row r="3099" spans="1:5" x14ac:dyDescent="0.35">
      <c r="A3099" s="1" t="s">
        <v>18747</v>
      </c>
      <c r="B3099" s="1" t="s">
        <v>20</v>
      </c>
      <c r="C3099" s="1" t="s">
        <v>10985</v>
      </c>
      <c r="D3099" s="1" t="s">
        <v>20</v>
      </c>
      <c r="E3099" s="250">
        <v>2775.6219999999998</v>
      </c>
    </row>
    <row r="3100" spans="1:5" x14ac:dyDescent="0.35">
      <c r="A3100" s="1" t="s">
        <v>18748</v>
      </c>
      <c r="B3100" s="1" t="s">
        <v>20</v>
      </c>
      <c r="C3100" s="1" t="s">
        <v>10984</v>
      </c>
      <c r="D3100" s="1" t="s">
        <v>20</v>
      </c>
      <c r="E3100" s="250">
        <v>2775.623</v>
      </c>
    </row>
    <row r="3101" spans="1:5" x14ac:dyDescent="0.35">
      <c r="A3101" s="1" t="s">
        <v>18749</v>
      </c>
      <c r="B3101" s="1" t="s">
        <v>20</v>
      </c>
      <c r="C3101" s="1" t="s">
        <v>10983</v>
      </c>
      <c r="D3101" s="1" t="s">
        <v>20</v>
      </c>
      <c r="E3101" s="250">
        <v>2775.6239999999998</v>
      </c>
    </row>
    <row r="3102" spans="1:5" x14ac:dyDescent="0.35">
      <c r="A3102" s="1" t="s">
        <v>18750</v>
      </c>
      <c r="B3102" s="1" t="s">
        <v>20</v>
      </c>
      <c r="C3102" s="1" t="s">
        <v>10982</v>
      </c>
      <c r="D3102" s="1" t="s">
        <v>20</v>
      </c>
      <c r="E3102" s="250">
        <v>2775.625</v>
      </c>
    </row>
    <row r="3103" spans="1:5" x14ac:dyDescent="0.35">
      <c r="A3103" s="1" t="s">
        <v>18751</v>
      </c>
      <c r="B3103" s="1" t="s">
        <v>19</v>
      </c>
      <c r="C3103" s="1" t="s">
        <v>10981</v>
      </c>
      <c r="D3103" s="1" t="s">
        <v>19</v>
      </c>
      <c r="E3103" s="250">
        <v>2775.63</v>
      </c>
    </row>
    <row r="3104" spans="1:5" x14ac:dyDescent="0.35">
      <c r="A3104" s="1" t="s">
        <v>18752</v>
      </c>
      <c r="B3104" s="1" t="s">
        <v>19</v>
      </c>
      <c r="C3104" s="1" t="s">
        <v>10980</v>
      </c>
      <c r="D3104" s="1" t="s">
        <v>19</v>
      </c>
      <c r="E3104" s="250">
        <v>2775.6350000000002</v>
      </c>
    </row>
    <row r="3105" spans="1:5" x14ac:dyDescent="0.35">
      <c r="A3105" s="1" t="s">
        <v>18753</v>
      </c>
      <c r="B3105" s="1" t="s">
        <v>19</v>
      </c>
      <c r="C3105" s="1" t="s">
        <v>10979</v>
      </c>
      <c r="D3105" s="1" t="s">
        <v>19</v>
      </c>
      <c r="E3105" s="250">
        <v>2775.6379999999999</v>
      </c>
    </row>
    <row r="3106" spans="1:5" x14ac:dyDescent="0.35">
      <c r="A3106" s="1" t="s">
        <v>18754</v>
      </c>
      <c r="B3106" s="1" t="s">
        <v>64</v>
      </c>
      <c r="C3106" s="1" t="s">
        <v>10978</v>
      </c>
      <c r="D3106" s="1" t="s">
        <v>64</v>
      </c>
      <c r="E3106" s="250">
        <v>2775.64</v>
      </c>
    </row>
    <row r="3107" spans="1:5" x14ac:dyDescent="0.35">
      <c r="A3107" s="1" t="s">
        <v>18755</v>
      </c>
      <c r="B3107" s="1" t="s">
        <v>64</v>
      </c>
      <c r="C3107" s="1" t="s">
        <v>10977</v>
      </c>
      <c r="D3107" s="1" t="s">
        <v>64</v>
      </c>
      <c r="E3107" s="250">
        <v>2775.6410000000001</v>
      </c>
    </row>
    <row r="3108" spans="1:5" x14ac:dyDescent="0.35">
      <c r="A3108" s="1" t="s">
        <v>18756</v>
      </c>
      <c r="B3108" s="1" t="s">
        <v>64</v>
      </c>
      <c r="C3108" s="1" t="s">
        <v>10976</v>
      </c>
      <c r="D3108" s="1" t="s">
        <v>64</v>
      </c>
      <c r="E3108" s="250">
        <v>2775.6419999999998</v>
      </c>
    </row>
    <row r="3109" spans="1:5" x14ac:dyDescent="0.35">
      <c r="A3109" s="1" t="s">
        <v>18757</v>
      </c>
      <c r="B3109" s="1" t="s">
        <v>66</v>
      </c>
      <c r="C3109" s="1" t="s">
        <v>10975</v>
      </c>
      <c r="D3109" s="1" t="s">
        <v>66</v>
      </c>
      <c r="E3109" s="250">
        <v>2775.65</v>
      </c>
    </row>
    <row r="3110" spans="1:5" x14ac:dyDescent="0.35">
      <c r="A3110" s="1" t="s">
        <v>18758</v>
      </c>
      <c r="B3110" s="1" t="s">
        <v>3023</v>
      </c>
      <c r="C3110" s="1" t="s">
        <v>10974</v>
      </c>
      <c r="D3110" s="1" t="s">
        <v>3023</v>
      </c>
      <c r="E3110" s="250">
        <v>2775.66</v>
      </c>
    </row>
    <row r="3111" spans="1:5" x14ac:dyDescent="0.35">
      <c r="A3111" s="1" t="s">
        <v>18759</v>
      </c>
      <c r="B3111" s="1" t="s">
        <v>3023</v>
      </c>
      <c r="C3111" s="1" t="s">
        <v>10973</v>
      </c>
      <c r="D3111" s="1" t="s">
        <v>3023</v>
      </c>
      <c r="E3111" s="250">
        <v>2775.6610000000001</v>
      </c>
    </row>
    <row r="3112" spans="1:5" x14ac:dyDescent="0.35">
      <c r="A3112" s="1" t="s">
        <v>18760</v>
      </c>
      <c r="B3112" s="1" t="s">
        <v>3023</v>
      </c>
      <c r="C3112" s="1" t="s">
        <v>10972</v>
      </c>
      <c r="D3112" s="1" t="s">
        <v>3023</v>
      </c>
      <c r="E3112" s="250">
        <v>2775.6619999999998</v>
      </c>
    </row>
    <row r="3113" spans="1:5" x14ac:dyDescent="0.35">
      <c r="A3113" s="1" t="s">
        <v>18761</v>
      </c>
      <c r="B3113" s="1" t="s">
        <v>3023</v>
      </c>
      <c r="C3113" s="1" t="s">
        <v>10971</v>
      </c>
      <c r="D3113" s="1" t="s">
        <v>3023</v>
      </c>
      <c r="E3113" s="250">
        <v>2775.663</v>
      </c>
    </row>
    <row r="3114" spans="1:5" x14ac:dyDescent="0.35">
      <c r="A3114" s="1" t="s">
        <v>18762</v>
      </c>
      <c r="B3114" s="1" t="s">
        <v>3023</v>
      </c>
      <c r="C3114" s="1" t="s">
        <v>10970</v>
      </c>
      <c r="D3114" s="1" t="s">
        <v>3023</v>
      </c>
      <c r="E3114" s="250">
        <v>2775.6640000000002</v>
      </c>
    </row>
    <row r="3115" spans="1:5" x14ac:dyDescent="0.35">
      <c r="A3115" s="1" t="s">
        <v>18763</v>
      </c>
      <c r="B3115" s="1" t="s">
        <v>23</v>
      </c>
      <c r="C3115" s="1" t="s">
        <v>10969</v>
      </c>
      <c r="D3115" s="1" t="s">
        <v>23</v>
      </c>
      <c r="E3115" s="250">
        <v>2775.67</v>
      </c>
    </row>
    <row r="3116" spans="1:5" x14ac:dyDescent="0.35">
      <c r="A3116" s="1" t="s">
        <v>18764</v>
      </c>
      <c r="B3116" s="1" t="s">
        <v>23</v>
      </c>
      <c r="C3116" s="1" t="s">
        <v>10968</v>
      </c>
      <c r="D3116" s="1" t="s">
        <v>23</v>
      </c>
      <c r="E3116" s="250">
        <v>2775.6709999999998</v>
      </c>
    </row>
    <row r="3117" spans="1:5" x14ac:dyDescent="0.35">
      <c r="A3117" s="1" t="s">
        <v>18765</v>
      </c>
      <c r="B3117" s="1" t="s">
        <v>23</v>
      </c>
      <c r="C3117" s="1" t="s">
        <v>10967</v>
      </c>
      <c r="D3117" s="1" t="s">
        <v>23</v>
      </c>
      <c r="E3117" s="250">
        <v>2775.672</v>
      </c>
    </row>
    <row r="3118" spans="1:5" x14ac:dyDescent="0.35">
      <c r="A3118" s="2" t="s">
        <v>18766</v>
      </c>
      <c r="B3118" s="1" t="s">
        <v>20</v>
      </c>
      <c r="C3118" s="1" t="s">
        <v>10966</v>
      </c>
      <c r="D3118" s="1" t="s">
        <v>20</v>
      </c>
      <c r="E3118" s="250">
        <v>2779.89</v>
      </c>
    </row>
    <row r="3119" spans="1:5" x14ac:dyDescent="0.35">
      <c r="A3119" s="1" t="s">
        <v>18767</v>
      </c>
      <c r="B3119" s="1" t="s">
        <v>621</v>
      </c>
      <c r="C3119" s="1" t="s">
        <v>10963</v>
      </c>
      <c r="D3119" s="1" t="s">
        <v>621</v>
      </c>
      <c r="E3119" s="250">
        <v>2779.8910000000001</v>
      </c>
    </row>
    <row r="3120" spans="1:5" x14ac:dyDescent="0.35">
      <c r="A3120" s="1" t="s">
        <v>18768</v>
      </c>
      <c r="B3120" s="1" t="s">
        <v>18</v>
      </c>
      <c r="C3120" s="1" t="s">
        <v>10965</v>
      </c>
      <c r="D3120" s="1" t="s">
        <v>18</v>
      </c>
      <c r="E3120" s="250">
        <v>2779.8919999999998</v>
      </c>
    </row>
    <row r="3121" spans="1:5" x14ac:dyDescent="0.35">
      <c r="A3121" s="1" t="s">
        <v>18769</v>
      </c>
      <c r="B3121" s="1" t="s">
        <v>621</v>
      </c>
      <c r="C3121" s="1" t="s">
        <v>10964</v>
      </c>
      <c r="D3121" s="1" t="s">
        <v>621</v>
      </c>
      <c r="E3121" s="250">
        <v>2779.893</v>
      </c>
    </row>
    <row r="3122" spans="1:5" x14ac:dyDescent="0.35">
      <c r="A3122" s="1" t="s">
        <v>18770</v>
      </c>
      <c r="B3122" s="1" t="s">
        <v>621</v>
      </c>
      <c r="C3122" s="1" t="s">
        <v>10963</v>
      </c>
      <c r="D3122" s="1" t="s">
        <v>621</v>
      </c>
      <c r="E3122" s="250">
        <v>2779.8939999999998</v>
      </c>
    </row>
    <row r="3123" spans="1:5" x14ac:dyDescent="0.35">
      <c r="A3123" s="2" t="s">
        <v>18771</v>
      </c>
      <c r="B3123" s="1" t="s">
        <v>20</v>
      </c>
      <c r="C3123" s="1" t="s">
        <v>10962</v>
      </c>
      <c r="D3123" s="1" t="s">
        <v>20</v>
      </c>
      <c r="E3123" s="250">
        <v>2780.011</v>
      </c>
    </row>
    <row r="3124" spans="1:5" x14ac:dyDescent="0.35">
      <c r="A3124" s="1" t="s">
        <v>18772</v>
      </c>
      <c r="B3124" s="1" t="s">
        <v>20</v>
      </c>
      <c r="C3124" s="1" t="s">
        <v>10961</v>
      </c>
      <c r="D3124" s="1" t="s">
        <v>20</v>
      </c>
      <c r="E3124" s="250">
        <v>2780.0120000000002</v>
      </c>
    </row>
    <row r="3125" spans="1:5" x14ac:dyDescent="0.35">
      <c r="A3125" s="1" t="s">
        <v>18773</v>
      </c>
      <c r="B3125" s="1" t="s">
        <v>20</v>
      </c>
      <c r="C3125" s="1" t="s">
        <v>10959</v>
      </c>
      <c r="D3125" s="1" t="s">
        <v>20</v>
      </c>
      <c r="E3125" s="250">
        <v>2780.02</v>
      </c>
    </row>
    <row r="3126" spans="1:5" x14ac:dyDescent="0.35">
      <c r="A3126" s="1" t="s">
        <v>18774</v>
      </c>
      <c r="B3126" s="1" t="s">
        <v>20</v>
      </c>
      <c r="C3126" s="1" t="s">
        <v>10960</v>
      </c>
      <c r="D3126" s="1" t="s">
        <v>20</v>
      </c>
      <c r="E3126" s="250">
        <v>2780.0210000000002</v>
      </c>
    </row>
    <row r="3127" spans="1:5" x14ac:dyDescent="0.35">
      <c r="A3127" s="2" t="s">
        <v>18775</v>
      </c>
      <c r="B3127" s="1" t="s">
        <v>20</v>
      </c>
      <c r="C3127" s="1" t="s">
        <v>10959</v>
      </c>
      <c r="D3127" s="1" t="s">
        <v>20</v>
      </c>
      <c r="E3127" s="250">
        <v>2783.011</v>
      </c>
    </row>
    <row r="3128" spans="1:5" x14ac:dyDescent="0.35">
      <c r="A3128" s="2" t="s">
        <v>18776</v>
      </c>
      <c r="B3128" s="1" t="s">
        <v>621</v>
      </c>
      <c r="C3128" s="1" t="s">
        <v>10958</v>
      </c>
      <c r="D3128" s="1" t="s">
        <v>621</v>
      </c>
      <c r="E3128" s="250">
        <v>2784.99</v>
      </c>
    </row>
    <row r="3129" spans="1:5" x14ac:dyDescent="0.35">
      <c r="A3129" s="2" t="s">
        <v>18777</v>
      </c>
      <c r="B3129" s="1" t="s">
        <v>57</v>
      </c>
      <c r="C3129" s="1" t="s">
        <v>10957</v>
      </c>
      <c r="D3129" s="1" t="s">
        <v>57</v>
      </c>
      <c r="E3129" s="250">
        <v>2810.01</v>
      </c>
    </row>
    <row r="3130" spans="1:5" x14ac:dyDescent="0.35">
      <c r="A3130" s="1" t="s">
        <v>18778</v>
      </c>
      <c r="B3130" s="1" t="s">
        <v>19</v>
      </c>
      <c r="C3130" s="1" t="s">
        <v>10956</v>
      </c>
      <c r="D3130" s="1" t="s">
        <v>19</v>
      </c>
      <c r="E3130" s="250">
        <v>2810.02</v>
      </c>
    </row>
    <row r="3131" spans="1:5" x14ac:dyDescent="0.35">
      <c r="A3131" s="1" t="s">
        <v>18779</v>
      </c>
      <c r="B3131" s="1" t="s">
        <v>19</v>
      </c>
      <c r="C3131" s="1" t="s">
        <v>10955</v>
      </c>
      <c r="D3131" s="1" t="s">
        <v>19</v>
      </c>
      <c r="E3131" s="250">
        <v>2810.0210000000002</v>
      </c>
    </row>
    <row r="3132" spans="1:5" x14ac:dyDescent="0.35">
      <c r="A3132" s="1" t="s">
        <v>18780</v>
      </c>
      <c r="B3132" s="1" t="s">
        <v>19</v>
      </c>
      <c r="C3132" s="1" t="s">
        <v>10954</v>
      </c>
      <c r="D3132" s="1" t="s">
        <v>19</v>
      </c>
      <c r="E3132" s="250">
        <v>2810.0219999999999</v>
      </c>
    </row>
    <row r="3133" spans="1:5" x14ac:dyDescent="0.35">
      <c r="A3133" s="1" t="s">
        <v>18781</v>
      </c>
      <c r="B3133" s="1" t="s">
        <v>19</v>
      </c>
      <c r="C3133" s="1" t="s">
        <v>10953</v>
      </c>
      <c r="D3133" s="1" t="s">
        <v>19</v>
      </c>
      <c r="E3133" s="250">
        <v>2810.0230000000001</v>
      </c>
    </row>
    <row r="3134" spans="1:5" x14ac:dyDescent="0.35">
      <c r="A3134" s="1" t="s">
        <v>18782</v>
      </c>
      <c r="B3134" s="1" t="s">
        <v>19</v>
      </c>
      <c r="C3134" s="1" t="s">
        <v>10952</v>
      </c>
      <c r="D3134" s="1" t="s">
        <v>19</v>
      </c>
      <c r="E3134" s="250">
        <v>2810.0239999999999</v>
      </c>
    </row>
    <row r="3135" spans="1:5" x14ac:dyDescent="0.35">
      <c r="A3135" s="1" t="s">
        <v>18783</v>
      </c>
      <c r="B3135" s="1" t="s">
        <v>19</v>
      </c>
      <c r="C3135" s="1" t="s">
        <v>10951</v>
      </c>
      <c r="D3135" s="1" t="s">
        <v>19</v>
      </c>
      <c r="E3135" s="250">
        <v>2810.0250000000001</v>
      </c>
    </row>
    <row r="3136" spans="1:5" x14ac:dyDescent="0.35">
      <c r="A3136" s="1" t="s">
        <v>18784</v>
      </c>
      <c r="B3136" s="1" t="s">
        <v>19</v>
      </c>
      <c r="C3136" s="1" t="s">
        <v>10950</v>
      </c>
      <c r="D3136" s="1" t="s">
        <v>19</v>
      </c>
      <c r="E3136" s="250">
        <v>2810.0259999999998</v>
      </c>
    </row>
    <row r="3137" spans="1:5" x14ac:dyDescent="0.35">
      <c r="A3137" s="1" t="s">
        <v>18785</v>
      </c>
      <c r="B3137" s="1" t="s">
        <v>19</v>
      </c>
      <c r="C3137" s="1" t="s">
        <v>10949</v>
      </c>
      <c r="D3137" s="1" t="s">
        <v>19</v>
      </c>
      <c r="E3137" s="250">
        <v>2810.027</v>
      </c>
    </row>
    <row r="3138" spans="1:5" x14ac:dyDescent="0.35">
      <c r="A3138" s="1" t="s">
        <v>18786</v>
      </c>
      <c r="B3138" s="1" t="s">
        <v>19</v>
      </c>
      <c r="C3138" s="1" t="s">
        <v>10948</v>
      </c>
      <c r="D3138" s="1" t="s">
        <v>19</v>
      </c>
      <c r="E3138" s="250">
        <v>2810.0279999999998</v>
      </c>
    </row>
    <row r="3139" spans="1:5" x14ac:dyDescent="0.35">
      <c r="A3139" s="1" t="s">
        <v>18787</v>
      </c>
      <c r="B3139" s="1" t="s">
        <v>19</v>
      </c>
      <c r="C3139" s="1" t="s">
        <v>10956</v>
      </c>
      <c r="D3139" s="1" t="s">
        <v>19</v>
      </c>
      <c r="E3139" s="250">
        <v>2810.03</v>
      </c>
    </row>
    <row r="3140" spans="1:5" x14ac:dyDescent="0.35">
      <c r="A3140" s="1" t="s">
        <v>18788</v>
      </c>
      <c r="B3140" s="1" t="s">
        <v>19</v>
      </c>
      <c r="C3140" s="1" t="s">
        <v>10955</v>
      </c>
      <c r="D3140" s="1" t="s">
        <v>19</v>
      </c>
      <c r="E3140" s="250">
        <v>2810.0309999999999</v>
      </c>
    </row>
    <row r="3141" spans="1:5" x14ac:dyDescent="0.35">
      <c r="A3141" s="1" t="s">
        <v>18789</v>
      </c>
      <c r="B3141" s="1" t="s">
        <v>19</v>
      </c>
      <c r="C3141" s="1" t="s">
        <v>10954</v>
      </c>
      <c r="D3141" s="1" t="s">
        <v>19</v>
      </c>
      <c r="E3141" s="250">
        <v>2810.0320000000002</v>
      </c>
    </row>
    <row r="3142" spans="1:5" x14ac:dyDescent="0.35">
      <c r="A3142" s="1" t="s">
        <v>18790</v>
      </c>
      <c r="B3142" s="1" t="s">
        <v>19</v>
      </c>
      <c r="C3142" s="1" t="s">
        <v>10953</v>
      </c>
      <c r="D3142" s="1" t="s">
        <v>19</v>
      </c>
      <c r="E3142" s="250">
        <v>2810.0329999999999</v>
      </c>
    </row>
    <row r="3143" spans="1:5" x14ac:dyDescent="0.35">
      <c r="A3143" s="1" t="s">
        <v>18791</v>
      </c>
      <c r="B3143" s="1" t="s">
        <v>19</v>
      </c>
      <c r="C3143" s="1" t="s">
        <v>10952</v>
      </c>
      <c r="D3143" s="1" t="s">
        <v>19</v>
      </c>
      <c r="E3143" s="250">
        <v>2810.0340000000001</v>
      </c>
    </row>
    <row r="3144" spans="1:5" x14ac:dyDescent="0.35">
      <c r="A3144" s="1" t="s">
        <v>18792</v>
      </c>
      <c r="B3144" s="1" t="s">
        <v>19</v>
      </c>
      <c r="C3144" s="1" t="s">
        <v>10951</v>
      </c>
      <c r="D3144" s="1" t="s">
        <v>19</v>
      </c>
      <c r="E3144" s="250">
        <v>2810.0349999999999</v>
      </c>
    </row>
    <row r="3145" spans="1:5" x14ac:dyDescent="0.35">
      <c r="A3145" s="1" t="s">
        <v>18793</v>
      </c>
      <c r="B3145" s="1" t="s">
        <v>19</v>
      </c>
      <c r="C3145" s="1" t="s">
        <v>10950</v>
      </c>
      <c r="D3145" s="1" t="s">
        <v>19</v>
      </c>
      <c r="E3145" s="250">
        <v>2810.0360000000001</v>
      </c>
    </row>
    <row r="3146" spans="1:5" x14ac:dyDescent="0.35">
      <c r="A3146" s="1" t="s">
        <v>18794</v>
      </c>
      <c r="B3146" s="1" t="s">
        <v>19</v>
      </c>
      <c r="C3146" s="1" t="s">
        <v>10949</v>
      </c>
      <c r="D3146" s="1" t="s">
        <v>19</v>
      </c>
      <c r="E3146" s="250">
        <v>2810.0369999999998</v>
      </c>
    </row>
    <row r="3147" spans="1:5" x14ac:dyDescent="0.35">
      <c r="A3147" s="1" t="s">
        <v>18795</v>
      </c>
      <c r="B3147" s="1" t="s">
        <v>19</v>
      </c>
      <c r="C3147" s="1" t="s">
        <v>10948</v>
      </c>
      <c r="D3147" s="1" t="s">
        <v>19</v>
      </c>
      <c r="E3147" s="250">
        <v>2810.038</v>
      </c>
    </row>
    <row r="3148" spans="1:5" x14ac:dyDescent="0.35">
      <c r="A3148" s="1" t="s">
        <v>18796</v>
      </c>
      <c r="B3148" s="1" t="s">
        <v>39</v>
      </c>
      <c r="C3148" s="1" t="s">
        <v>10947</v>
      </c>
      <c r="D3148" s="1" t="s">
        <v>39</v>
      </c>
      <c r="E3148" s="250">
        <v>2810.05</v>
      </c>
    </row>
    <row r="3149" spans="1:5" x14ac:dyDescent="0.35">
      <c r="A3149" s="1" t="s">
        <v>18797</v>
      </c>
      <c r="B3149" s="1" t="s">
        <v>58</v>
      </c>
      <c r="C3149" s="1" t="s">
        <v>10946</v>
      </c>
      <c r="D3149" s="1" t="s">
        <v>58</v>
      </c>
      <c r="E3149" s="250">
        <v>2810.0509999999999</v>
      </c>
    </row>
    <row r="3150" spans="1:5" x14ac:dyDescent="0.35">
      <c r="A3150" s="1" t="s">
        <v>18798</v>
      </c>
      <c r="B3150" s="1" t="s">
        <v>39</v>
      </c>
      <c r="C3150" s="1" t="s">
        <v>10945</v>
      </c>
      <c r="D3150" s="1" t="s">
        <v>39</v>
      </c>
      <c r="E3150" s="250">
        <v>2810.0549999999998</v>
      </c>
    </row>
    <row r="3151" spans="1:5" x14ac:dyDescent="0.35">
      <c r="A3151" s="2" t="s">
        <v>18799</v>
      </c>
      <c r="B3151" s="1" t="s">
        <v>19</v>
      </c>
      <c r="C3151" s="1" t="s">
        <v>10944</v>
      </c>
      <c r="D3151" s="1" t="s">
        <v>19</v>
      </c>
      <c r="E3151" s="250">
        <v>2820.01</v>
      </c>
    </row>
    <row r="3152" spans="1:5" x14ac:dyDescent="0.35">
      <c r="A3152" s="1" t="s">
        <v>18800</v>
      </c>
      <c r="B3152" s="1" t="s">
        <v>19</v>
      </c>
      <c r="C3152" s="1" t="s">
        <v>10943</v>
      </c>
      <c r="D3152" s="1" t="s">
        <v>19</v>
      </c>
      <c r="E3152" s="250">
        <v>2820.02</v>
      </c>
    </row>
    <row r="3153" spans="1:5" x14ac:dyDescent="0.35">
      <c r="A3153" s="1" t="s">
        <v>18801</v>
      </c>
      <c r="B3153" s="1" t="s">
        <v>58</v>
      </c>
      <c r="C3153" s="1" t="s">
        <v>10942</v>
      </c>
      <c r="D3153" s="1" t="s">
        <v>58</v>
      </c>
      <c r="E3153" s="250">
        <v>2820.0219999999999</v>
      </c>
    </row>
    <row r="3154" spans="1:5" x14ac:dyDescent="0.35">
      <c r="A3154" s="1" t="s">
        <v>18802</v>
      </c>
      <c r="B3154" s="1" t="s">
        <v>19</v>
      </c>
      <c r="C3154" s="1" t="s">
        <v>10941</v>
      </c>
      <c r="D3154" s="1" t="s">
        <v>19</v>
      </c>
      <c r="E3154" s="250">
        <v>2820.03</v>
      </c>
    </row>
    <row r="3155" spans="1:5" x14ac:dyDescent="0.35">
      <c r="A3155" s="1" t="s">
        <v>18803</v>
      </c>
      <c r="B3155" s="1" t="s">
        <v>19</v>
      </c>
      <c r="C3155" s="1" t="s">
        <v>10940</v>
      </c>
      <c r="D3155" s="1" t="s">
        <v>19</v>
      </c>
      <c r="E3155" s="250">
        <v>2820.04</v>
      </c>
    </row>
    <row r="3156" spans="1:5" x14ac:dyDescent="0.35">
      <c r="A3156" s="1" t="s">
        <v>18804</v>
      </c>
      <c r="B3156" s="1" t="s">
        <v>19</v>
      </c>
      <c r="C3156" s="1" t="s">
        <v>10939</v>
      </c>
      <c r="D3156" s="1" t="s">
        <v>19</v>
      </c>
      <c r="E3156" s="250">
        <v>2820.05</v>
      </c>
    </row>
    <row r="3157" spans="1:5" x14ac:dyDescent="0.35">
      <c r="A3157" s="1" t="s">
        <v>18805</v>
      </c>
      <c r="B3157" s="1" t="s">
        <v>19</v>
      </c>
      <c r="C3157" s="1" t="s">
        <v>10938</v>
      </c>
      <c r="D3157" s="1" t="s">
        <v>19</v>
      </c>
      <c r="E3157" s="250">
        <v>2820.06</v>
      </c>
    </row>
    <row r="3158" spans="1:5" x14ac:dyDescent="0.35">
      <c r="A3158" s="2" t="s">
        <v>18806</v>
      </c>
      <c r="B3158" s="1" t="s">
        <v>62</v>
      </c>
      <c r="C3158" s="1" t="s">
        <v>10937</v>
      </c>
      <c r="D3158" s="1" t="s">
        <v>62</v>
      </c>
      <c r="E3158" s="250">
        <v>2829.99</v>
      </c>
    </row>
    <row r="3159" spans="1:5" x14ac:dyDescent="0.35">
      <c r="A3159" s="2" t="s">
        <v>18807</v>
      </c>
      <c r="B3159" s="1" t="s">
        <v>57</v>
      </c>
      <c r="C3159" s="1" t="s">
        <v>10936</v>
      </c>
      <c r="D3159" s="1" t="s">
        <v>57</v>
      </c>
      <c r="E3159" s="250">
        <v>2830.1</v>
      </c>
    </row>
    <row r="3160" spans="1:5" x14ac:dyDescent="0.35">
      <c r="A3160" s="1" t="s">
        <v>18808</v>
      </c>
      <c r="B3160" s="1" t="s">
        <v>23</v>
      </c>
      <c r="C3160" s="1" t="s">
        <v>10935</v>
      </c>
      <c r="D3160" s="1" t="s">
        <v>23</v>
      </c>
      <c r="E3160" s="250">
        <v>2830.1010000000001</v>
      </c>
    </row>
    <row r="3161" spans="1:5" x14ac:dyDescent="0.35">
      <c r="A3161" s="1" t="s">
        <v>18809</v>
      </c>
      <c r="B3161" s="1" t="s">
        <v>23</v>
      </c>
      <c r="C3161" s="1" t="s">
        <v>10934</v>
      </c>
      <c r="D3161" s="1" t="s">
        <v>23</v>
      </c>
      <c r="E3161" s="250">
        <v>2830.1019999999999</v>
      </c>
    </row>
    <row r="3162" spans="1:5" x14ac:dyDescent="0.35">
      <c r="A3162" s="1" t="s">
        <v>18810</v>
      </c>
      <c r="B3162" s="1" t="s">
        <v>23</v>
      </c>
      <c r="C3162" s="1" t="s">
        <v>10933</v>
      </c>
      <c r="D3162" s="1" t="s">
        <v>23</v>
      </c>
      <c r="E3162" s="250">
        <v>2830.1030000000001</v>
      </c>
    </row>
    <row r="3163" spans="1:5" x14ac:dyDescent="0.35">
      <c r="A3163" s="1" t="s">
        <v>18811</v>
      </c>
      <c r="B3163" s="1" t="s">
        <v>23</v>
      </c>
      <c r="C3163" s="1" t="s">
        <v>10932</v>
      </c>
      <c r="D3163" s="1" t="s">
        <v>23</v>
      </c>
      <c r="E3163" s="250">
        <v>2830.1039999999998</v>
      </c>
    </row>
    <row r="3164" spans="1:5" x14ac:dyDescent="0.35">
      <c r="A3164" s="1" t="s">
        <v>18812</v>
      </c>
      <c r="B3164" s="1" t="s">
        <v>23</v>
      </c>
      <c r="C3164" s="1" t="s">
        <v>10931</v>
      </c>
      <c r="D3164" s="1" t="s">
        <v>23</v>
      </c>
      <c r="E3164" s="250">
        <v>2830.105</v>
      </c>
    </row>
    <row r="3165" spans="1:5" x14ac:dyDescent="0.35">
      <c r="A3165" s="1" t="s">
        <v>18813</v>
      </c>
      <c r="B3165" s="1" t="s">
        <v>23</v>
      </c>
      <c r="C3165" s="1" t="s">
        <v>10930</v>
      </c>
      <c r="D3165" s="1" t="s">
        <v>23</v>
      </c>
      <c r="E3165" s="250">
        <v>2830.1060000000002</v>
      </c>
    </row>
    <row r="3166" spans="1:5" x14ac:dyDescent="0.35">
      <c r="A3166" s="1" t="s">
        <v>18814</v>
      </c>
      <c r="B3166" s="1" t="s">
        <v>23</v>
      </c>
      <c r="C3166" s="1" t="s">
        <v>10929</v>
      </c>
      <c r="D3166" s="1" t="s">
        <v>23</v>
      </c>
      <c r="E3166" s="250">
        <v>2830.107</v>
      </c>
    </row>
    <row r="3167" spans="1:5" x14ac:dyDescent="0.35">
      <c r="A3167" s="1" t="s">
        <v>18815</v>
      </c>
      <c r="B3167" s="1" t="s">
        <v>23</v>
      </c>
      <c r="C3167" s="1" t="s">
        <v>10928</v>
      </c>
      <c r="D3167" s="1" t="s">
        <v>23</v>
      </c>
      <c r="E3167" s="250">
        <v>2830.1080000000002</v>
      </c>
    </row>
    <row r="3168" spans="1:5" x14ac:dyDescent="0.35">
      <c r="A3168" s="1" t="s">
        <v>18816</v>
      </c>
      <c r="B3168" s="1" t="s">
        <v>23</v>
      </c>
      <c r="C3168" s="1" t="s">
        <v>10910</v>
      </c>
      <c r="D3168" s="1" t="s">
        <v>23</v>
      </c>
      <c r="E3168" s="250">
        <v>2830.1089999999999</v>
      </c>
    </row>
    <row r="3169" spans="1:5" x14ac:dyDescent="0.35">
      <c r="A3169" s="1" t="s">
        <v>18817</v>
      </c>
      <c r="B3169" s="1" t="s">
        <v>23</v>
      </c>
      <c r="C3169" s="1" t="s">
        <v>10909</v>
      </c>
      <c r="D3169" s="1" t="s">
        <v>23</v>
      </c>
      <c r="E3169" s="250">
        <v>2830.11</v>
      </c>
    </row>
    <row r="3170" spans="1:5" x14ac:dyDescent="0.35">
      <c r="A3170" s="1" t="s">
        <v>18818</v>
      </c>
      <c r="B3170" s="1" t="s">
        <v>23</v>
      </c>
      <c r="C3170" s="1" t="s">
        <v>10908</v>
      </c>
      <c r="D3170" s="1" t="s">
        <v>23</v>
      </c>
      <c r="E3170" s="250">
        <v>2830.1109999999999</v>
      </c>
    </row>
    <row r="3171" spans="1:5" x14ac:dyDescent="0.35">
      <c r="A3171" s="1" t="s">
        <v>18819</v>
      </c>
      <c r="B3171" s="1" t="s">
        <v>23</v>
      </c>
      <c r="C3171" s="1" t="s">
        <v>10907</v>
      </c>
      <c r="D3171" s="1" t="s">
        <v>23</v>
      </c>
      <c r="E3171" s="250">
        <v>2830.1120000000001</v>
      </c>
    </row>
    <row r="3172" spans="1:5" x14ac:dyDescent="0.35">
      <c r="A3172" s="1" t="s">
        <v>18820</v>
      </c>
      <c r="B3172" s="1" t="s">
        <v>23</v>
      </c>
      <c r="C3172" s="1" t="s">
        <v>10906</v>
      </c>
      <c r="D3172" s="1" t="s">
        <v>23</v>
      </c>
      <c r="E3172" s="250">
        <v>2830.1129999999998</v>
      </c>
    </row>
    <row r="3173" spans="1:5" x14ac:dyDescent="0.35">
      <c r="A3173" s="1" t="s">
        <v>18821</v>
      </c>
      <c r="B3173" s="1" t="s">
        <v>23</v>
      </c>
      <c r="C3173" s="1" t="s">
        <v>10905</v>
      </c>
      <c r="D3173" s="1" t="s">
        <v>23</v>
      </c>
      <c r="E3173" s="250">
        <v>2830.114</v>
      </c>
    </row>
    <row r="3174" spans="1:5" x14ac:dyDescent="0.35">
      <c r="A3174" s="1" t="s">
        <v>18822</v>
      </c>
      <c r="B3174" s="1" t="s">
        <v>23</v>
      </c>
      <c r="C3174" s="1" t="s">
        <v>10904</v>
      </c>
      <c r="D3174" s="1" t="s">
        <v>23</v>
      </c>
      <c r="E3174" s="250">
        <v>2830.1149999999998</v>
      </c>
    </row>
    <row r="3175" spans="1:5" x14ac:dyDescent="0.35">
      <c r="A3175" s="1" t="s">
        <v>18823</v>
      </c>
      <c r="B3175" s="1" t="s">
        <v>23</v>
      </c>
      <c r="C3175" s="1" t="s">
        <v>10903</v>
      </c>
      <c r="D3175" s="1" t="s">
        <v>23</v>
      </c>
      <c r="E3175" s="250">
        <v>2830.116</v>
      </c>
    </row>
    <row r="3176" spans="1:5" x14ac:dyDescent="0.35">
      <c r="A3176" s="1" t="s">
        <v>18824</v>
      </c>
      <c r="B3176" s="1" t="s">
        <v>23</v>
      </c>
      <c r="C3176" s="1" t="s">
        <v>10902</v>
      </c>
      <c r="D3176" s="1" t="s">
        <v>23</v>
      </c>
      <c r="E3176" s="250">
        <v>2830.1170000000002</v>
      </c>
    </row>
    <row r="3177" spans="1:5" x14ac:dyDescent="0.35">
      <c r="A3177" s="1" t="s">
        <v>18825</v>
      </c>
      <c r="B3177" s="1" t="s">
        <v>23</v>
      </c>
      <c r="C3177" s="1" t="s">
        <v>10901</v>
      </c>
      <c r="D3177" s="1" t="s">
        <v>23</v>
      </c>
      <c r="E3177" s="250">
        <v>2830.1179999999999</v>
      </c>
    </row>
    <row r="3178" spans="1:5" x14ac:dyDescent="0.35">
      <c r="A3178" s="1" t="s">
        <v>18826</v>
      </c>
      <c r="B3178" s="1" t="s">
        <v>23</v>
      </c>
      <c r="C3178" s="1" t="s">
        <v>10900</v>
      </c>
      <c r="D3178" s="1" t="s">
        <v>23</v>
      </c>
      <c r="E3178" s="250">
        <v>2830.1190000000001</v>
      </c>
    </row>
    <row r="3179" spans="1:5" x14ac:dyDescent="0.35">
      <c r="A3179" s="1" t="s">
        <v>18827</v>
      </c>
      <c r="B3179" s="1" t="s">
        <v>23</v>
      </c>
      <c r="C3179" s="1" t="s">
        <v>10899</v>
      </c>
      <c r="D3179" s="1" t="s">
        <v>23</v>
      </c>
      <c r="E3179" s="250">
        <v>2830.12</v>
      </c>
    </row>
    <row r="3180" spans="1:5" x14ac:dyDescent="0.35">
      <c r="A3180" s="1" t="s">
        <v>18828</v>
      </c>
      <c r="B3180" s="1" t="s">
        <v>23</v>
      </c>
      <c r="C3180" s="1" t="s">
        <v>10898</v>
      </c>
      <c r="D3180" s="1" t="s">
        <v>23</v>
      </c>
      <c r="E3180" s="250">
        <v>2830.1210000000001</v>
      </c>
    </row>
    <row r="3181" spans="1:5" x14ac:dyDescent="0.35">
      <c r="A3181" s="1" t="s">
        <v>18829</v>
      </c>
      <c r="B3181" s="1" t="s">
        <v>23</v>
      </c>
      <c r="C3181" s="1" t="s">
        <v>10897</v>
      </c>
      <c r="D3181" s="1" t="s">
        <v>23</v>
      </c>
      <c r="E3181" s="250">
        <v>2830.1219999999998</v>
      </c>
    </row>
    <row r="3182" spans="1:5" x14ac:dyDescent="0.35">
      <c r="A3182" s="1" t="s">
        <v>18830</v>
      </c>
      <c r="B3182" s="1" t="s">
        <v>23</v>
      </c>
      <c r="C3182" s="1" t="s">
        <v>10896</v>
      </c>
      <c r="D3182" s="1" t="s">
        <v>23</v>
      </c>
      <c r="E3182" s="250">
        <v>2830.123</v>
      </c>
    </row>
    <row r="3183" spans="1:5" x14ac:dyDescent="0.35">
      <c r="A3183" s="1" t="s">
        <v>18831</v>
      </c>
      <c r="B3183" s="1" t="s">
        <v>23</v>
      </c>
      <c r="C3183" s="1" t="s">
        <v>10895</v>
      </c>
      <c r="D3183" s="1" t="s">
        <v>23</v>
      </c>
      <c r="E3183" s="250">
        <v>2830.1239999999998</v>
      </c>
    </row>
    <row r="3184" spans="1:5" x14ac:dyDescent="0.35">
      <c r="A3184" s="1" t="s">
        <v>18832</v>
      </c>
      <c r="B3184" s="1" t="s">
        <v>23</v>
      </c>
      <c r="C3184" s="1" t="s">
        <v>10927</v>
      </c>
      <c r="D3184" s="1" t="s">
        <v>23</v>
      </c>
      <c r="E3184" s="250">
        <v>2830.1329999999998</v>
      </c>
    </row>
    <row r="3185" spans="1:5" x14ac:dyDescent="0.35">
      <c r="A3185" s="1" t="s">
        <v>18833</v>
      </c>
      <c r="B3185" s="1" t="s">
        <v>23</v>
      </c>
      <c r="C3185" s="1" t="s">
        <v>10926</v>
      </c>
      <c r="D3185" s="1" t="s">
        <v>23</v>
      </c>
      <c r="E3185" s="250">
        <v>2830.134</v>
      </c>
    </row>
    <row r="3186" spans="1:5" x14ac:dyDescent="0.35">
      <c r="A3186" s="1" t="s">
        <v>18834</v>
      </c>
      <c r="B3186" s="1" t="s">
        <v>23</v>
      </c>
      <c r="C3186" s="1" t="s">
        <v>10925</v>
      </c>
      <c r="D3186" s="1" t="s">
        <v>23</v>
      </c>
      <c r="E3186" s="250">
        <v>2830.1350000000002</v>
      </c>
    </row>
    <row r="3187" spans="1:5" x14ac:dyDescent="0.35">
      <c r="A3187" s="1" t="s">
        <v>18835</v>
      </c>
      <c r="B3187" s="1" t="s">
        <v>23</v>
      </c>
      <c r="C3187" s="1" t="s">
        <v>10924</v>
      </c>
      <c r="D3187" s="1" t="s">
        <v>23</v>
      </c>
      <c r="E3187" s="250">
        <v>2830.136</v>
      </c>
    </row>
    <row r="3188" spans="1:5" x14ac:dyDescent="0.35">
      <c r="A3188" s="1" t="s">
        <v>18836</v>
      </c>
      <c r="B3188" s="1" t="s">
        <v>23</v>
      </c>
      <c r="C3188" s="1" t="s">
        <v>10923</v>
      </c>
      <c r="D3188" s="1" t="s">
        <v>23</v>
      </c>
      <c r="E3188" s="250">
        <v>2830.1370000000002</v>
      </c>
    </row>
    <row r="3189" spans="1:5" x14ac:dyDescent="0.35">
      <c r="A3189" s="1" t="s">
        <v>18837</v>
      </c>
      <c r="B3189" s="1" t="s">
        <v>23</v>
      </c>
      <c r="C3189" s="1" t="s">
        <v>10922</v>
      </c>
      <c r="D3189" s="1" t="s">
        <v>23</v>
      </c>
      <c r="E3189" s="250">
        <v>2830.1379999999999</v>
      </c>
    </row>
    <row r="3190" spans="1:5" x14ac:dyDescent="0.35">
      <c r="A3190" s="1" t="s">
        <v>18838</v>
      </c>
      <c r="B3190" s="1" t="s">
        <v>23</v>
      </c>
      <c r="C3190" s="1" t="s">
        <v>10921</v>
      </c>
      <c r="D3190" s="1" t="s">
        <v>23</v>
      </c>
      <c r="E3190" s="250">
        <v>2830.1390000000001</v>
      </c>
    </row>
    <row r="3191" spans="1:5" x14ac:dyDescent="0.35">
      <c r="A3191" s="1" t="s">
        <v>18839</v>
      </c>
      <c r="B3191" s="1" t="s">
        <v>23</v>
      </c>
      <c r="C3191" s="1" t="s">
        <v>10920</v>
      </c>
      <c r="D3191" s="1" t="s">
        <v>23</v>
      </c>
      <c r="E3191" s="250">
        <v>2830.14</v>
      </c>
    </row>
    <row r="3192" spans="1:5" x14ac:dyDescent="0.35">
      <c r="A3192" s="1" t="s">
        <v>18840</v>
      </c>
      <c r="B3192" s="1" t="s">
        <v>57</v>
      </c>
      <c r="C3192" s="1" t="s">
        <v>10919</v>
      </c>
      <c r="D3192" s="1" t="s">
        <v>57</v>
      </c>
      <c r="E3192" s="250">
        <v>2830.15</v>
      </c>
    </row>
    <row r="3193" spans="1:5" x14ac:dyDescent="0.35">
      <c r="A3193" s="1" t="s">
        <v>18841</v>
      </c>
      <c r="B3193" s="1" t="s">
        <v>23</v>
      </c>
      <c r="C3193" s="1" t="s">
        <v>10918</v>
      </c>
      <c r="D3193" s="1" t="s">
        <v>23</v>
      </c>
      <c r="E3193" s="250">
        <v>2830.1509999999998</v>
      </c>
    </row>
    <row r="3194" spans="1:5" x14ac:dyDescent="0.35">
      <c r="A3194" s="1" t="s">
        <v>18842</v>
      </c>
      <c r="B3194" s="1" t="s">
        <v>23</v>
      </c>
      <c r="C3194" s="1" t="s">
        <v>10917</v>
      </c>
      <c r="D3194" s="1" t="s">
        <v>23</v>
      </c>
      <c r="E3194" s="250">
        <v>2830.152</v>
      </c>
    </row>
    <row r="3195" spans="1:5" x14ac:dyDescent="0.35">
      <c r="A3195" s="1" t="s">
        <v>18843</v>
      </c>
      <c r="B3195" s="1" t="s">
        <v>23</v>
      </c>
      <c r="C3195" s="1" t="s">
        <v>10916</v>
      </c>
      <c r="D3195" s="1" t="s">
        <v>23</v>
      </c>
      <c r="E3195" s="250">
        <v>2830.1529999999998</v>
      </c>
    </row>
    <row r="3196" spans="1:5" x14ac:dyDescent="0.35">
      <c r="A3196" s="1" t="s">
        <v>18844</v>
      </c>
      <c r="B3196" s="1" t="s">
        <v>23</v>
      </c>
      <c r="C3196" s="1" t="s">
        <v>10915</v>
      </c>
      <c r="D3196" s="1" t="s">
        <v>23</v>
      </c>
      <c r="E3196" s="250">
        <v>2830.154</v>
      </c>
    </row>
    <row r="3197" spans="1:5" x14ac:dyDescent="0.35">
      <c r="A3197" s="1" t="s">
        <v>18845</v>
      </c>
      <c r="B3197" s="1" t="s">
        <v>23</v>
      </c>
      <c r="C3197" s="1" t="s">
        <v>10914</v>
      </c>
      <c r="D3197" s="1" t="s">
        <v>23</v>
      </c>
      <c r="E3197" s="250">
        <v>2830.1550000000002</v>
      </c>
    </row>
    <row r="3198" spans="1:5" x14ac:dyDescent="0.35">
      <c r="A3198" s="1" t="s">
        <v>18846</v>
      </c>
      <c r="B3198" s="1" t="s">
        <v>23</v>
      </c>
      <c r="C3198" s="1" t="s">
        <v>10913</v>
      </c>
      <c r="D3198" s="1" t="s">
        <v>23</v>
      </c>
      <c r="E3198" s="250">
        <v>2830.1559999999999</v>
      </c>
    </row>
    <row r="3199" spans="1:5" x14ac:dyDescent="0.35">
      <c r="A3199" s="1" t="s">
        <v>18847</v>
      </c>
      <c r="B3199" s="1" t="s">
        <v>23</v>
      </c>
      <c r="C3199" s="1" t="s">
        <v>10912</v>
      </c>
      <c r="D3199" s="1" t="s">
        <v>23</v>
      </c>
      <c r="E3199" s="250">
        <v>2830.1570000000002</v>
      </c>
    </row>
    <row r="3200" spans="1:5" x14ac:dyDescent="0.35">
      <c r="A3200" s="1" t="s">
        <v>18848</v>
      </c>
      <c r="B3200" s="1" t="s">
        <v>23</v>
      </c>
      <c r="C3200" s="1" t="s">
        <v>10911</v>
      </c>
      <c r="D3200" s="1" t="s">
        <v>23</v>
      </c>
      <c r="E3200" s="250">
        <v>2830.1579999999999</v>
      </c>
    </row>
    <row r="3201" spans="1:5" x14ac:dyDescent="0.35">
      <c r="A3201" s="1" t="s">
        <v>18849</v>
      </c>
      <c r="B3201" s="1" t="s">
        <v>23</v>
      </c>
      <c r="C3201" s="1" t="s">
        <v>10910</v>
      </c>
      <c r="D3201" s="1" t="s">
        <v>23</v>
      </c>
      <c r="E3201" s="250">
        <v>2830.1590000000001</v>
      </c>
    </row>
    <row r="3202" spans="1:5" x14ac:dyDescent="0.35">
      <c r="A3202" s="1" t="s">
        <v>18850</v>
      </c>
      <c r="B3202" s="1" t="s">
        <v>23</v>
      </c>
      <c r="C3202" s="1" t="s">
        <v>10909</v>
      </c>
      <c r="D3202" s="1" t="s">
        <v>23</v>
      </c>
      <c r="E3202" s="250">
        <v>2830.16</v>
      </c>
    </row>
    <row r="3203" spans="1:5" x14ac:dyDescent="0.35">
      <c r="A3203" s="1" t="s">
        <v>18851</v>
      </c>
      <c r="B3203" s="1" t="s">
        <v>23</v>
      </c>
      <c r="C3203" s="1" t="s">
        <v>10908</v>
      </c>
      <c r="D3203" s="1" t="s">
        <v>23</v>
      </c>
      <c r="E3203" s="250">
        <v>2830.1610000000001</v>
      </c>
    </row>
    <row r="3204" spans="1:5" x14ac:dyDescent="0.35">
      <c r="A3204" s="1" t="s">
        <v>18852</v>
      </c>
      <c r="B3204" s="1" t="s">
        <v>23</v>
      </c>
      <c r="C3204" s="1" t="s">
        <v>10907</v>
      </c>
      <c r="D3204" s="1" t="s">
        <v>23</v>
      </c>
      <c r="E3204" s="250">
        <v>2830.1619999999998</v>
      </c>
    </row>
    <row r="3205" spans="1:5" x14ac:dyDescent="0.35">
      <c r="A3205" s="1" t="s">
        <v>18853</v>
      </c>
      <c r="B3205" s="1" t="s">
        <v>23</v>
      </c>
      <c r="C3205" s="1" t="s">
        <v>10906</v>
      </c>
      <c r="D3205" s="1" t="s">
        <v>23</v>
      </c>
      <c r="E3205" s="250">
        <v>2830.163</v>
      </c>
    </row>
    <row r="3206" spans="1:5" x14ac:dyDescent="0.35">
      <c r="A3206" s="1" t="s">
        <v>18854</v>
      </c>
      <c r="B3206" s="1" t="s">
        <v>23</v>
      </c>
      <c r="C3206" s="1" t="s">
        <v>10905</v>
      </c>
      <c r="D3206" s="1" t="s">
        <v>23</v>
      </c>
      <c r="E3206" s="250">
        <v>2830.1640000000002</v>
      </c>
    </row>
    <row r="3207" spans="1:5" x14ac:dyDescent="0.35">
      <c r="A3207" s="1" t="s">
        <v>18855</v>
      </c>
      <c r="B3207" s="1" t="s">
        <v>23</v>
      </c>
      <c r="C3207" s="1" t="s">
        <v>10904</v>
      </c>
      <c r="D3207" s="1" t="s">
        <v>23</v>
      </c>
      <c r="E3207" s="250">
        <v>2830.165</v>
      </c>
    </row>
    <row r="3208" spans="1:5" x14ac:dyDescent="0.35">
      <c r="A3208" s="1" t="s">
        <v>18856</v>
      </c>
      <c r="B3208" s="1" t="s">
        <v>23</v>
      </c>
      <c r="C3208" s="1" t="s">
        <v>10903</v>
      </c>
      <c r="D3208" s="1" t="s">
        <v>23</v>
      </c>
      <c r="E3208" s="250">
        <v>2830.1660000000002</v>
      </c>
    </row>
    <row r="3209" spans="1:5" x14ac:dyDescent="0.35">
      <c r="A3209" s="1" t="s">
        <v>18857</v>
      </c>
      <c r="B3209" s="1" t="s">
        <v>23</v>
      </c>
      <c r="C3209" s="1" t="s">
        <v>10902</v>
      </c>
      <c r="D3209" s="1" t="s">
        <v>23</v>
      </c>
      <c r="E3209" s="250">
        <v>2830.1669999999999</v>
      </c>
    </row>
    <row r="3210" spans="1:5" x14ac:dyDescent="0.35">
      <c r="A3210" s="1" t="s">
        <v>18858</v>
      </c>
      <c r="B3210" s="1" t="s">
        <v>23</v>
      </c>
      <c r="C3210" s="1" t="s">
        <v>10901</v>
      </c>
      <c r="D3210" s="1" t="s">
        <v>23</v>
      </c>
      <c r="E3210" s="250">
        <v>2830.1680000000001</v>
      </c>
    </row>
    <row r="3211" spans="1:5" x14ac:dyDescent="0.35">
      <c r="A3211" s="1" t="s">
        <v>18859</v>
      </c>
      <c r="B3211" s="1" t="s">
        <v>23</v>
      </c>
      <c r="C3211" s="1" t="s">
        <v>10900</v>
      </c>
      <c r="D3211" s="1" t="s">
        <v>23</v>
      </c>
      <c r="E3211" s="250">
        <v>2830.1689999999999</v>
      </c>
    </row>
    <row r="3212" spans="1:5" x14ac:dyDescent="0.35">
      <c r="A3212" s="1" t="s">
        <v>18860</v>
      </c>
      <c r="B3212" s="1" t="s">
        <v>23</v>
      </c>
      <c r="C3212" s="1" t="s">
        <v>10899</v>
      </c>
      <c r="D3212" s="1" t="s">
        <v>23</v>
      </c>
      <c r="E3212" s="250">
        <v>2830.17</v>
      </c>
    </row>
    <row r="3213" spans="1:5" x14ac:dyDescent="0.35">
      <c r="A3213" s="1" t="s">
        <v>18861</v>
      </c>
      <c r="B3213" s="1" t="s">
        <v>23</v>
      </c>
      <c r="C3213" s="1" t="s">
        <v>10898</v>
      </c>
      <c r="D3213" s="1" t="s">
        <v>23</v>
      </c>
      <c r="E3213" s="250">
        <v>2830.1709999999998</v>
      </c>
    </row>
    <row r="3214" spans="1:5" x14ac:dyDescent="0.35">
      <c r="A3214" s="1" t="s">
        <v>18862</v>
      </c>
      <c r="B3214" s="1" t="s">
        <v>23</v>
      </c>
      <c r="C3214" s="1" t="s">
        <v>10897</v>
      </c>
      <c r="D3214" s="1" t="s">
        <v>23</v>
      </c>
      <c r="E3214" s="250">
        <v>2830.172</v>
      </c>
    </row>
    <row r="3215" spans="1:5" x14ac:dyDescent="0.35">
      <c r="A3215" s="1" t="s">
        <v>18863</v>
      </c>
      <c r="B3215" s="1" t="s">
        <v>23</v>
      </c>
      <c r="C3215" s="1" t="s">
        <v>10896</v>
      </c>
      <c r="D3215" s="1" t="s">
        <v>23</v>
      </c>
      <c r="E3215" s="250">
        <v>2830.1729999999998</v>
      </c>
    </row>
    <row r="3216" spans="1:5" x14ac:dyDescent="0.35">
      <c r="A3216" s="1" t="s">
        <v>18864</v>
      </c>
      <c r="B3216" s="1" t="s">
        <v>23</v>
      </c>
      <c r="C3216" s="1" t="s">
        <v>10895</v>
      </c>
      <c r="D3216" s="1" t="s">
        <v>23</v>
      </c>
      <c r="E3216" s="250">
        <v>2830.174</v>
      </c>
    </row>
    <row r="3217" spans="1:5" x14ac:dyDescent="0.35">
      <c r="A3217" s="1" t="s">
        <v>18865</v>
      </c>
      <c r="B3217" s="1" t="s">
        <v>23</v>
      </c>
      <c r="C3217" s="1" t="s">
        <v>10894</v>
      </c>
      <c r="D3217" s="1" t="s">
        <v>23</v>
      </c>
      <c r="E3217" s="250">
        <v>2830.2080000000001</v>
      </c>
    </row>
    <row r="3218" spans="1:5" x14ac:dyDescent="0.35">
      <c r="A3218" s="1" t="s">
        <v>18866</v>
      </c>
      <c r="B3218" s="1" t="s">
        <v>23</v>
      </c>
      <c r="C3218" s="1" t="s">
        <v>10893</v>
      </c>
      <c r="D3218" s="1" t="s">
        <v>23</v>
      </c>
      <c r="E3218" s="250">
        <v>2830.2089999999998</v>
      </c>
    </row>
    <row r="3219" spans="1:5" x14ac:dyDescent="0.35">
      <c r="A3219" s="1" t="s">
        <v>18867</v>
      </c>
      <c r="B3219" s="1" t="s">
        <v>23</v>
      </c>
      <c r="C3219" s="1" t="s">
        <v>10892</v>
      </c>
      <c r="D3219" s="1" t="s">
        <v>23</v>
      </c>
      <c r="E3219" s="250">
        <v>2830.21</v>
      </c>
    </row>
    <row r="3220" spans="1:5" x14ac:dyDescent="0.35">
      <c r="A3220" s="1" t="s">
        <v>18868</v>
      </c>
      <c r="B3220" s="1" t="s">
        <v>23</v>
      </c>
      <c r="C3220" s="1" t="s">
        <v>10891</v>
      </c>
      <c r="D3220" s="1" t="s">
        <v>23</v>
      </c>
      <c r="E3220" s="250">
        <v>2830.2109999999998</v>
      </c>
    </row>
    <row r="3221" spans="1:5" x14ac:dyDescent="0.35">
      <c r="A3221" s="1" t="s">
        <v>18869</v>
      </c>
      <c r="B3221" s="1" t="s">
        <v>23</v>
      </c>
      <c r="C3221" s="1" t="s">
        <v>10890</v>
      </c>
      <c r="D3221" s="1" t="s">
        <v>23</v>
      </c>
      <c r="E3221" s="250">
        <v>2830.212</v>
      </c>
    </row>
    <row r="3222" spans="1:5" x14ac:dyDescent="0.35">
      <c r="A3222" s="1" t="s">
        <v>18870</v>
      </c>
      <c r="B3222" s="1" t="s">
        <v>23</v>
      </c>
      <c r="C3222" s="1" t="s">
        <v>10889</v>
      </c>
      <c r="D3222" s="1" t="s">
        <v>23</v>
      </c>
      <c r="E3222" s="250">
        <v>2830.2130000000002</v>
      </c>
    </row>
    <row r="3223" spans="1:5" x14ac:dyDescent="0.35">
      <c r="A3223" s="1" t="s">
        <v>18871</v>
      </c>
      <c r="B3223" s="1" t="s">
        <v>23</v>
      </c>
      <c r="C3223" s="1" t="s">
        <v>10888</v>
      </c>
      <c r="D3223" s="1" t="s">
        <v>23</v>
      </c>
      <c r="E3223" s="250">
        <v>2830.2139999999999</v>
      </c>
    </row>
    <row r="3224" spans="1:5" x14ac:dyDescent="0.35">
      <c r="A3224" s="1" t="s">
        <v>18872</v>
      </c>
      <c r="B3224" s="1" t="s">
        <v>23</v>
      </c>
      <c r="C3224" s="1" t="s">
        <v>10887</v>
      </c>
      <c r="D3224" s="1" t="s">
        <v>23</v>
      </c>
      <c r="E3224" s="250">
        <v>2830.2150000000001</v>
      </c>
    </row>
    <row r="3225" spans="1:5" x14ac:dyDescent="0.35">
      <c r="A3225" s="1" t="s">
        <v>18873</v>
      </c>
      <c r="B3225" s="1" t="s">
        <v>20</v>
      </c>
      <c r="C3225" s="1" t="s">
        <v>10886</v>
      </c>
      <c r="D3225" s="1" t="s">
        <v>20</v>
      </c>
      <c r="E3225" s="250">
        <v>2830.29</v>
      </c>
    </row>
    <row r="3226" spans="1:5" x14ac:dyDescent="0.35">
      <c r="A3226" s="1" t="s">
        <v>18874</v>
      </c>
      <c r="B3226" s="1" t="s">
        <v>20</v>
      </c>
      <c r="C3226" s="1" t="s">
        <v>10885</v>
      </c>
      <c r="D3226" s="1" t="s">
        <v>20</v>
      </c>
      <c r="E3226" s="250">
        <v>2830.2910000000002</v>
      </c>
    </row>
    <row r="3227" spans="1:5" x14ac:dyDescent="0.35">
      <c r="A3227" s="1" t="s">
        <v>18875</v>
      </c>
      <c r="B3227" s="1" t="s">
        <v>42</v>
      </c>
      <c r="C3227" s="1" t="s">
        <v>10884</v>
      </c>
      <c r="D3227" s="1" t="s">
        <v>42</v>
      </c>
      <c r="E3227" s="250">
        <v>2830.3</v>
      </c>
    </row>
    <row r="3228" spans="1:5" x14ac:dyDescent="0.35">
      <c r="A3228" s="1" t="s">
        <v>18876</v>
      </c>
      <c r="B3228" s="1" t="s">
        <v>20</v>
      </c>
      <c r="C3228" s="1" t="s">
        <v>9514</v>
      </c>
      <c r="D3228" s="1" t="s">
        <v>20</v>
      </c>
      <c r="E3228" s="250">
        <v>2830.4</v>
      </c>
    </row>
    <row r="3229" spans="1:5" x14ac:dyDescent="0.35">
      <c r="A3229" s="1" t="s">
        <v>18877</v>
      </c>
      <c r="B3229" s="1" t="s">
        <v>20</v>
      </c>
      <c r="C3229" s="1" t="s">
        <v>10883</v>
      </c>
      <c r="D3229" s="1" t="s">
        <v>20</v>
      </c>
      <c r="E3229" s="250">
        <v>2830.4009999999998</v>
      </c>
    </row>
    <row r="3230" spans="1:5" x14ac:dyDescent="0.35">
      <c r="A3230" s="1" t="s">
        <v>18878</v>
      </c>
      <c r="B3230" s="1" t="s">
        <v>20</v>
      </c>
      <c r="C3230" s="1" t="s">
        <v>10882</v>
      </c>
      <c r="D3230" s="1" t="s">
        <v>20</v>
      </c>
      <c r="E3230" s="250">
        <v>2830.402</v>
      </c>
    </row>
    <row r="3231" spans="1:5" x14ac:dyDescent="0.35">
      <c r="A3231" s="1" t="s">
        <v>18879</v>
      </c>
      <c r="B3231" s="1" t="s">
        <v>20</v>
      </c>
      <c r="C3231" s="1" t="s">
        <v>10881</v>
      </c>
      <c r="D3231" s="1" t="s">
        <v>20</v>
      </c>
      <c r="E3231" s="250">
        <v>2830.4029999999998</v>
      </c>
    </row>
    <row r="3232" spans="1:5" x14ac:dyDescent="0.35">
      <c r="A3232" s="1" t="s">
        <v>18880</v>
      </c>
      <c r="B3232" s="1" t="s">
        <v>19</v>
      </c>
      <c r="C3232" s="1" t="s">
        <v>10712</v>
      </c>
      <c r="D3232" s="1" t="s">
        <v>19</v>
      </c>
      <c r="E3232" s="250">
        <v>2830.5010000000002</v>
      </c>
    </row>
    <row r="3233" spans="1:5" x14ac:dyDescent="0.35">
      <c r="A3233" s="1" t="s">
        <v>18881</v>
      </c>
      <c r="B3233" s="1" t="s">
        <v>20</v>
      </c>
      <c r="C3233" s="1" t="s">
        <v>10880</v>
      </c>
      <c r="D3233" s="1" t="s">
        <v>20</v>
      </c>
      <c r="E3233" s="250">
        <v>2830.502</v>
      </c>
    </row>
    <row r="3234" spans="1:5" x14ac:dyDescent="0.35">
      <c r="A3234" s="1" t="s">
        <v>18882</v>
      </c>
      <c r="B3234" s="1" t="s">
        <v>20</v>
      </c>
      <c r="C3234" s="1" t="s">
        <v>10879</v>
      </c>
      <c r="D3234" s="1" t="s">
        <v>20</v>
      </c>
      <c r="E3234" s="250">
        <v>2830.5120000000002</v>
      </c>
    </row>
    <row r="3235" spans="1:5" x14ac:dyDescent="0.35">
      <c r="A3235" s="1" t="s">
        <v>18883</v>
      </c>
      <c r="B3235" s="1" t="s">
        <v>20</v>
      </c>
      <c r="C3235" s="1" t="s">
        <v>10878</v>
      </c>
      <c r="D3235" s="1" t="s">
        <v>20</v>
      </c>
      <c r="E3235" s="250">
        <v>2830.5140000000001</v>
      </c>
    </row>
    <row r="3236" spans="1:5" x14ac:dyDescent="0.35">
      <c r="A3236" s="1" t="s">
        <v>18884</v>
      </c>
      <c r="B3236" s="1" t="s">
        <v>20</v>
      </c>
      <c r="C3236" s="1" t="s">
        <v>10877</v>
      </c>
      <c r="D3236" s="1" t="s">
        <v>20</v>
      </c>
      <c r="E3236" s="250">
        <v>2830.5160000000001</v>
      </c>
    </row>
    <row r="3237" spans="1:5" x14ac:dyDescent="0.35">
      <c r="A3237" s="1" t="s">
        <v>18885</v>
      </c>
      <c r="B3237" s="1" t="s">
        <v>20</v>
      </c>
      <c r="C3237" s="1" t="s">
        <v>10876</v>
      </c>
      <c r="D3237" s="1" t="s">
        <v>20</v>
      </c>
      <c r="E3237" s="250">
        <v>2830.518</v>
      </c>
    </row>
    <row r="3238" spans="1:5" x14ac:dyDescent="0.35">
      <c r="A3238" s="1" t="s">
        <v>18886</v>
      </c>
      <c r="B3238" s="1" t="s">
        <v>20</v>
      </c>
      <c r="C3238" s="1" t="s">
        <v>10875</v>
      </c>
      <c r="D3238" s="1" t="s">
        <v>20</v>
      </c>
      <c r="E3238" s="250">
        <v>2830.52</v>
      </c>
    </row>
    <row r="3239" spans="1:5" x14ac:dyDescent="0.35">
      <c r="A3239" s="1" t="s">
        <v>18887</v>
      </c>
      <c r="B3239" s="1" t="s">
        <v>20</v>
      </c>
      <c r="C3239" s="1" t="s">
        <v>10874</v>
      </c>
      <c r="D3239" s="1" t="s">
        <v>20</v>
      </c>
      <c r="E3239" s="250">
        <v>2830.5219999999999</v>
      </c>
    </row>
    <row r="3240" spans="1:5" x14ac:dyDescent="0.35">
      <c r="A3240" s="1" t="s">
        <v>18888</v>
      </c>
      <c r="B3240" s="1" t="s">
        <v>20</v>
      </c>
      <c r="C3240" s="1" t="s">
        <v>10873</v>
      </c>
      <c r="D3240" s="1" t="s">
        <v>20</v>
      </c>
      <c r="E3240" s="250">
        <v>2830.5239999999999</v>
      </c>
    </row>
    <row r="3241" spans="1:5" x14ac:dyDescent="0.35">
      <c r="A3241" s="1" t="s">
        <v>18889</v>
      </c>
      <c r="B3241" s="1" t="s">
        <v>20</v>
      </c>
      <c r="C3241" s="1" t="s">
        <v>10872</v>
      </c>
      <c r="D3241" s="1" t="s">
        <v>20</v>
      </c>
      <c r="E3241" s="250">
        <v>2830.5259999999998</v>
      </c>
    </row>
    <row r="3242" spans="1:5" x14ac:dyDescent="0.35">
      <c r="A3242" s="1" t="s">
        <v>18890</v>
      </c>
      <c r="B3242" s="1" t="s">
        <v>20</v>
      </c>
      <c r="C3242" s="1" t="s">
        <v>10871</v>
      </c>
      <c r="D3242" s="1" t="s">
        <v>20</v>
      </c>
      <c r="E3242" s="250">
        <v>2830.5279999999998</v>
      </c>
    </row>
    <row r="3243" spans="1:5" x14ac:dyDescent="0.35">
      <c r="A3243" s="1" t="s">
        <v>18891</v>
      </c>
      <c r="B3243" s="1" t="s">
        <v>20</v>
      </c>
      <c r="C3243" s="1" t="s">
        <v>10870</v>
      </c>
      <c r="D3243" s="1" t="s">
        <v>20</v>
      </c>
      <c r="E3243" s="250">
        <v>2830.53</v>
      </c>
    </row>
    <row r="3244" spans="1:5" x14ac:dyDescent="0.35">
      <c r="A3244" s="1" t="s">
        <v>18892</v>
      </c>
      <c r="B3244" s="1" t="s">
        <v>20</v>
      </c>
      <c r="C3244" s="1" t="s">
        <v>10869</v>
      </c>
      <c r="D3244" s="1" t="s">
        <v>20</v>
      </c>
      <c r="E3244" s="250">
        <v>2830.54</v>
      </c>
    </row>
    <row r="3245" spans="1:5" x14ac:dyDescent="0.35">
      <c r="A3245" s="1" t="s">
        <v>18893</v>
      </c>
      <c r="B3245" s="1" t="s">
        <v>20</v>
      </c>
      <c r="C3245" s="1" t="s">
        <v>10868</v>
      </c>
      <c r="D3245" s="1" t="s">
        <v>20</v>
      </c>
      <c r="E3245" s="250">
        <v>2830.5410000000002</v>
      </c>
    </row>
    <row r="3246" spans="1:5" x14ac:dyDescent="0.35">
      <c r="A3246" s="1" t="s">
        <v>18894</v>
      </c>
      <c r="B3246" s="1" t="s">
        <v>20</v>
      </c>
      <c r="C3246" s="1" t="s">
        <v>10867</v>
      </c>
      <c r="D3246" s="1" t="s">
        <v>20</v>
      </c>
      <c r="E3246" s="250">
        <v>2830.701</v>
      </c>
    </row>
    <row r="3247" spans="1:5" x14ac:dyDescent="0.35">
      <c r="A3247" s="1" t="s">
        <v>18895</v>
      </c>
      <c r="B3247" s="1" t="s">
        <v>20</v>
      </c>
      <c r="C3247" s="1" t="s">
        <v>10866</v>
      </c>
      <c r="D3247" s="1" t="s">
        <v>20</v>
      </c>
      <c r="E3247" s="250">
        <v>2830.7020000000002</v>
      </c>
    </row>
    <row r="3248" spans="1:5" x14ac:dyDescent="0.35">
      <c r="A3248" s="1" t="s">
        <v>18896</v>
      </c>
      <c r="B3248" s="1" t="s">
        <v>20</v>
      </c>
      <c r="C3248" s="1" t="s">
        <v>10865</v>
      </c>
      <c r="D3248" s="1" t="s">
        <v>20</v>
      </c>
      <c r="E3248" s="250">
        <v>2830.703</v>
      </c>
    </row>
    <row r="3249" spans="1:5" x14ac:dyDescent="0.35">
      <c r="A3249" s="1" t="s">
        <v>18897</v>
      </c>
      <c r="B3249" s="1" t="s">
        <v>20</v>
      </c>
      <c r="C3249" s="1" t="s">
        <v>2736</v>
      </c>
      <c r="D3249" s="1" t="s">
        <v>20</v>
      </c>
      <c r="E3249" s="250">
        <v>2830.7040000000002</v>
      </c>
    </row>
    <row r="3250" spans="1:5" x14ac:dyDescent="0.35">
      <c r="A3250" s="1" t="s">
        <v>18898</v>
      </c>
      <c r="B3250" s="1" t="s">
        <v>20</v>
      </c>
      <c r="C3250" s="1" t="s">
        <v>2738</v>
      </c>
      <c r="D3250" s="1" t="s">
        <v>20</v>
      </c>
      <c r="E3250" s="250">
        <v>2830.7049999999999</v>
      </c>
    </row>
    <row r="3251" spans="1:5" x14ac:dyDescent="0.35">
      <c r="A3251" s="1" t="s">
        <v>18899</v>
      </c>
      <c r="B3251" s="1" t="s">
        <v>20</v>
      </c>
      <c r="C3251" s="1" t="s">
        <v>2750</v>
      </c>
      <c r="D3251" s="1" t="s">
        <v>20</v>
      </c>
      <c r="E3251" s="250">
        <v>2830.7060000000001</v>
      </c>
    </row>
    <row r="3252" spans="1:5" x14ac:dyDescent="0.35">
      <c r="A3252" s="1" t="s">
        <v>18900</v>
      </c>
      <c r="B3252" s="1" t="s">
        <v>20</v>
      </c>
      <c r="C3252" s="1" t="s">
        <v>2749</v>
      </c>
      <c r="D3252" s="1" t="s">
        <v>20</v>
      </c>
      <c r="E3252" s="250">
        <v>2830.7069999999999</v>
      </c>
    </row>
    <row r="3253" spans="1:5" x14ac:dyDescent="0.35">
      <c r="A3253" s="1" t="s">
        <v>18901</v>
      </c>
      <c r="B3253" s="1" t="s">
        <v>19</v>
      </c>
      <c r="C3253" s="1" t="s">
        <v>10864</v>
      </c>
      <c r="D3253" s="1" t="s">
        <v>19</v>
      </c>
      <c r="E3253" s="250">
        <v>2830.71</v>
      </c>
    </row>
    <row r="3254" spans="1:5" x14ac:dyDescent="0.35">
      <c r="A3254" s="1" t="s">
        <v>18902</v>
      </c>
      <c r="B3254" s="1" t="s">
        <v>23</v>
      </c>
      <c r="C3254" s="1" t="s">
        <v>10863</v>
      </c>
      <c r="D3254" s="1" t="s">
        <v>23</v>
      </c>
      <c r="E3254" s="250">
        <v>2830.7109999999998</v>
      </c>
    </row>
    <row r="3255" spans="1:5" x14ac:dyDescent="0.35">
      <c r="A3255" s="1" t="s">
        <v>18903</v>
      </c>
      <c r="B3255" s="1" t="s">
        <v>20</v>
      </c>
      <c r="C3255" s="1" t="s">
        <v>2735</v>
      </c>
      <c r="D3255" s="1" t="s">
        <v>20</v>
      </c>
      <c r="E3255" s="250">
        <v>2830.721</v>
      </c>
    </row>
    <row r="3256" spans="1:5" x14ac:dyDescent="0.35">
      <c r="A3256" s="1" t="s">
        <v>18904</v>
      </c>
      <c r="B3256" s="1" t="s">
        <v>20</v>
      </c>
      <c r="C3256" s="1" t="s">
        <v>2734</v>
      </c>
      <c r="D3256" s="1" t="s">
        <v>20</v>
      </c>
      <c r="E3256" s="250">
        <v>2830.7249999999999</v>
      </c>
    </row>
    <row r="3257" spans="1:5" x14ac:dyDescent="0.35">
      <c r="A3257" s="1" t="s">
        <v>18905</v>
      </c>
      <c r="B3257" s="1" t="s">
        <v>20</v>
      </c>
      <c r="C3257" s="1" t="s">
        <v>2732</v>
      </c>
      <c r="D3257" s="1" t="s">
        <v>20</v>
      </c>
      <c r="E3257" s="250">
        <v>2830.73</v>
      </c>
    </row>
    <row r="3258" spans="1:5" x14ac:dyDescent="0.35">
      <c r="A3258" s="1" t="s">
        <v>18906</v>
      </c>
      <c r="B3258" s="1" t="s">
        <v>20</v>
      </c>
      <c r="C3258" s="1" t="s">
        <v>2731</v>
      </c>
      <c r="D3258" s="1" t="s">
        <v>20</v>
      </c>
      <c r="E3258" s="250">
        <v>2830.7310000000002</v>
      </c>
    </row>
    <row r="3259" spans="1:5" x14ac:dyDescent="0.35">
      <c r="A3259" s="1" t="s">
        <v>18907</v>
      </c>
      <c r="B3259" s="1" t="s">
        <v>19</v>
      </c>
      <c r="C3259" s="1" t="s">
        <v>10862</v>
      </c>
      <c r="D3259" s="1" t="s">
        <v>19</v>
      </c>
      <c r="E3259" s="250">
        <v>2830.89</v>
      </c>
    </row>
    <row r="3260" spans="1:5" x14ac:dyDescent="0.35">
      <c r="A3260" s="1" t="s">
        <v>18908</v>
      </c>
      <c r="B3260" s="1" t="s">
        <v>621</v>
      </c>
      <c r="C3260" s="1" t="s">
        <v>10861</v>
      </c>
      <c r="D3260" s="1" t="s">
        <v>621</v>
      </c>
      <c r="E3260" s="250">
        <v>2830.8910000000001</v>
      </c>
    </row>
    <row r="3261" spans="1:5" x14ac:dyDescent="0.35">
      <c r="A3261" s="2" t="s">
        <v>18909</v>
      </c>
      <c r="B3261" s="1" t="s">
        <v>57</v>
      </c>
      <c r="C3261" s="1" t="s">
        <v>10860</v>
      </c>
      <c r="D3261" s="1" t="s">
        <v>57</v>
      </c>
      <c r="E3261" s="250">
        <v>2831.011</v>
      </c>
    </row>
    <row r="3262" spans="1:5" x14ac:dyDescent="0.35">
      <c r="A3262" s="1" t="s">
        <v>18910</v>
      </c>
      <c r="B3262" s="1" t="s">
        <v>57</v>
      </c>
      <c r="C3262" s="1" t="s">
        <v>10859</v>
      </c>
      <c r="D3262" s="1" t="s">
        <v>57</v>
      </c>
      <c r="E3262" s="250">
        <v>2831.0120000000002</v>
      </c>
    </row>
    <row r="3263" spans="1:5" x14ac:dyDescent="0.35">
      <c r="A3263" s="1" t="s">
        <v>18911</v>
      </c>
      <c r="B3263" s="1" t="s">
        <v>10836</v>
      </c>
      <c r="C3263" s="1" t="s">
        <v>10858</v>
      </c>
      <c r="D3263" s="1" t="s">
        <v>10836</v>
      </c>
      <c r="E3263" s="250">
        <v>2831.02</v>
      </c>
    </row>
    <row r="3264" spans="1:5" x14ac:dyDescent="0.35">
      <c r="A3264" s="1" t="s">
        <v>18912</v>
      </c>
      <c r="B3264" s="1" t="s">
        <v>10836</v>
      </c>
      <c r="C3264" s="1" t="s">
        <v>10857</v>
      </c>
      <c r="D3264" s="1" t="s">
        <v>10836</v>
      </c>
      <c r="E3264" s="250">
        <v>2831.0210000000002</v>
      </c>
    </row>
    <row r="3265" spans="1:5" x14ac:dyDescent="0.35">
      <c r="A3265" s="1" t="s">
        <v>18913</v>
      </c>
      <c r="B3265" s="1" t="s">
        <v>10836</v>
      </c>
      <c r="C3265" s="1" t="s">
        <v>10856</v>
      </c>
      <c r="D3265" s="1" t="s">
        <v>10836</v>
      </c>
      <c r="E3265" s="250">
        <v>2831.0219999999999</v>
      </c>
    </row>
    <row r="3266" spans="1:5" x14ac:dyDescent="0.35">
      <c r="A3266" s="1" t="s">
        <v>18914</v>
      </c>
      <c r="B3266" s="1" t="s">
        <v>10836</v>
      </c>
      <c r="C3266" s="1" t="s">
        <v>10855</v>
      </c>
      <c r="D3266" s="1" t="s">
        <v>10836</v>
      </c>
      <c r="E3266" s="250">
        <v>2831.0230000000001</v>
      </c>
    </row>
    <row r="3267" spans="1:5" x14ac:dyDescent="0.35">
      <c r="A3267" s="1" t="s">
        <v>18915</v>
      </c>
      <c r="B3267" s="1" t="s">
        <v>10836</v>
      </c>
      <c r="C3267" s="1" t="s">
        <v>10854</v>
      </c>
      <c r="D3267" s="1" t="s">
        <v>10836</v>
      </c>
      <c r="E3267" s="250">
        <v>2831.0239999999999</v>
      </c>
    </row>
    <row r="3268" spans="1:5" x14ac:dyDescent="0.35">
      <c r="A3268" s="1" t="s">
        <v>18916</v>
      </c>
      <c r="B3268" s="1" t="s">
        <v>10836</v>
      </c>
      <c r="C3268" s="1" t="s">
        <v>10853</v>
      </c>
      <c r="D3268" s="1" t="s">
        <v>10836</v>
      </c>
      <c r="E3268" s="250">
        <v>2831.0250000000001</v>
      </c>
    </row>
    <row r="3269" spans="1:5" x14ac:dyDescent="0.35">
      <c r="A3269" s="1" t="s">
        <v>18917</v>
      </c>
      <c r="B3269" s="1" t="s">
        <v>10836</v>
      </c>
      <c r="C3269" s="1" t="s">
        <v>10852</v>
      </c>
      <c r="D3269" s="1" t="s">
        <v>10836</v>
      </c>
      <c r="E3269" s="250">
        <v>2831.0259999999998</v>
      </c>
    </row>
    <row r="3270" spans="1:5" x14ac:dyDescent="0.35">
      <c r="A3270" s="1" t="s">
        <v>18918</v>
      </c>
      <c r="B3270" s="1" t="s">
        <v>10836</v>
      </c>
      <c r="C3270" s="1" t="s">
        <v>10851</v>
      </c>
      <c r="D3270" s="1" t="s">
        <v>10836</v>
      </c>
      <c r="E3270" s="250">
        <v>2831.027</v>
      </c>
    </row>
    <row r="3271" spans="1:5" x14ac:dyDescent="0.35">
      <c r="A3271" s="1" t="s">
        <v>18919</v>
      </c>
      <c r="B3271" s="1" t="s">
        <v>57</v>
      </c>
      <c r="C3271" s="1" t="s">
        <v>10850</v>
      </c>
      <c r="D3271" s="1" t="s">
        <v>57</v>
      </c>
      <c r="E3271" s="250">
        <v>2831.0320000000002</v>
      </c>
    </row>
    <row r="3272" spans="1:5" x14ac:dyDescent="0.35">
      <c r="A3272" s="1" t="s">
        <v>18920</v>
      </c>
      <c r="B3272" s="1" t="s">
        <v>10836</v>
      </c>
      <c r="C3272" s="1" t="s">
        <v>10849</v>
      </c>
      <c r="D3272" s="1" t="s">
        <v>10836</v>
      </c>
      <c r="E3272" s="250">
        <v>2831.04</v>
      </c>
    </row>
    <row r="3273" spans="1:5" x14ac:dyDescent="0.35">
      <c r="A3273" s="1" t="s">
        <v>18921</v>
      </c>
      <c r="B3273" s="1" t="s">
        <v>10836</v>
      </c>
      <c r="C3273" s="1" t="s">
        <v>10848</v>
      </c>
      <c r="D3273" s="1" t="s">
        <v>10836</v>
      </c>
      <c r="E3273" s="250">
        <v>2831.0410000000002</v>
      </c>
    </row>
    <row r="3274" spans="1:5" x14ac:dyDescent="0.35">
      <c r="A3274" s="1" t="s">
        <v>18922</v>
      </c>
      <c r="B3274" s="1" t="s">
        <v>10836</v>
      </c>
      <c r="C3274" s="1" t="s">
        <v>10847</v>
      </c>
      <c r="D3274" s="1" t="s">
        <v>10836</v>
      </c>
      <c r="E3274" s="250">
        <v>2831.0419999999999</v>
      </c>
    </row>
    <row r="3275" spans="1:5" x14ac:dyDescent="0.35">
      <c r="A3275" s="1" t="s">
        <v>18923</v>
      </c>
      <c r="B3275" s="1" t="s">
        <v>10836</v>
      </c>
      <c r="C3275" s="1" t="s">
        <v>10846</v>
      </c>
      <c r="D3275" s="1" t="s">
        <v>10836</v>
      </c>
      <c r="E3275" s="250">
        <v>2831.0430000000001</v>
      </c>
    </row>
    <row r="3276" spans="1:5" x14ac:dyDescent="0.35">
      <c r="A3276" s="1" t="s">
        <v>18924</v>
      </c>
      <c r="B3276" s="1" t="s">
        <v>10836</v>
      </c>
      <c r="C3276" s="1" t="s">
        <v>10845</v>
      </c>
      <c r="D3276" s="1" t="s">
        <v>10836</v>
      </c>
      <c r="E3276" s="250">
        <v>2831.0439999999999</v>
      </c>
    </row>
    <row r="3277" spans="1:5" x14ac:dyDescent="0.35">
      <c r="A3277" s="1" t="s">
        <v>18925</v>
      </c>
      <c r="B3277" s="1" t="s">
        <v>10836</v>
      </c>
      <c r="C3277" s="1" t="s">
        <v>10844</v>
      </c>
      <c r="D3277" s="1" t="s">
        <v>10836</v>
      </c>
      <c r="E3277" s="250">
        <v>2831.0450000000001</v>
      </c>
    </row>
    <row r="3278" spans="1:5" x14ac:dyDescent="0.35">
      <c r="A3278" s="1" t="s">
        <v>18926</v>
      </c>
      <c r="B3278" s="1" t="s">
        <v>10836</v>
      </c>
      <c r="C3278" s="1" t="s">
        <v>10843</v>
      </c>
      <c r="D3278" s="1" t="s">
        <v>10836</v>
      </c>
      <c r="E3278" s="250">
        <v>2831.0459999999998</v>
      </c>
    </row>
    <row r="3279" spans="1:5" x14ac:dyDescent="0.35">
      <c r="A3279" s="1" t="s">
        <v>18927</v>
      </c>
      <c r="B3279" s="1" t="s">
        <v>10836</v>
      </c>
      <c r="C3279" s="1" t="s">
        <v>10842</v>
      </c>
      <c r="D3279" s="1" t="s">
        <v>10836</v>
      </c>
      <c r="E3279" s="250">
        <v>2831.047</v>
      </c>
    </row>
    <row r="3280" spans="1:5" x14ac:dyDescent="0.35">
      <c r="A3280" s="1" t="s">
        <v>18928</v>
      </c>
      <c r="B3280" s="1" t="s">
        <v>57</v>
      </c>
      <c r="C3280" s="1" t="s">
        <v>10841</v>
      </c>
      <c r="D3280" s="1" t="s">
        <v>57</v>
      </c>
      <c r="E3280" s="250">
        <v>2831.1109999999999</v>
      </c>
    </row>
    <row r="3281" spans="1:5" x14ac:dyDescent="0.35">
      <c r="A3281" s="1" t="s">
        <v>18929</v>
      </c>
      <c r="B3281" s="1" t="s">
        <v>10836</v>
      </c>
      <c r="C3281" s="1" t="s">
        <v>10840</v>
      </c>
      <c r="D3281" s="1" t="s">
        <v>10836</v>
      </c>
      <c r="E3281" s="250">
        <v>2831.12</v>
      </c>
    </row>
    <row r="3282" spans="1:5" x14ac:dyDescent="0.35">
      <c r="A3282" s="1" t="s">
        <v>18930</v>
      </c>
      <c r="B3282" s="1" t="s">
        <v>10836</v>
      </c>
      <c r="C3282" s="1" t="s">
        <v>10839</v>
      </c>
      <c r="D3282" s="1" t="s">
        <v>10836</v>
      </c>
      <c r="E3282" s="250">
        <v>2831.1210000000001</v>
      </c>
    </row>
    <row r="3283" spans="1:5" x14ac:dyDescent="0.35">
      <c r="A3283" s="1" t="s">
        <v>18931</v>
      </c>
      <c r="B3283" s="1" t="s">
        <v>10836</v>
      </c>
      <c r="C3283" s="1" t="s">
        <v>10838</v>
      </c>
      <c r="D3283" s="1" t="s">
        <v>10836</v>
      </c>
      <c r="E3283" s="250">
        <v>2831.1219999999998</v>
      </c>
    </row>
    <row r="3284" spans="1:5" x14ac:dyDescent="0.35">
      <c r="A3284" s="1" t="s">
        <v>18932</v>
      </c>
      <c r="B3284" s="1" t="s">
        <v>10836</v>
      </c>
      <c r="C3284" s="1" t="s">
        <v>10837</v>
      </c>
      <c r="D3284" s="1" t="s">
        <v>10836</v>
      </c>
      <c r="E3284" s="250">
        <v>2831.123</v>
      </c>
    </row>
    <row r="3285" spans="1:5" x14ac:dyDescent="0.35">
      <c r="A3285" s="1" t="s">
        <v>18933</v>
      </c>
      <c r="B3285" s="1" t="s">
        <v>18</v>
      </c>
      <c r="C3285" s="1" t="s">
        <v>10835</v>
      </c>
      <c r="D3285" s="1" t="s">
        <v>18</v>
      </c>
      <c r="E3285" s="250">
        <v>2831.5010000000002</v>
      </c>
    </row>
    <row r="3286" spans="1:5" x14ac:dyDescent="0.35">
      <c r="A3286" s="1" t="s">
        <v>18934</v>
      </c>
      <c r="B3286" s="1" t="s">
        <v>20</v>
      </c>
      <c r="C3286" s="1" t="s">
        <v>10834</v>
      </c>
      <c r="D3286" s="1" t="s">
        <v>20</v>
      </c>
      <c r="E3286" s="250">
        <v>2831.51</v>
      </c>
    </row>
    <row r="3287" spans="1:5" x14ac:dyDescent="0.35">
      <c r="A3287" s="1" t="s">
        <v>18935</v>
      </c>
      <c r="B3287" s="1" t="s">
        <v>23</v>
      </c>
      <c r="C3287" s="1" t="s">
        <v>10833</v>
      </c>
      <c r="D3287" s="1" t="s">
        <v>23</v>
      </c>
      <c r="E3287" s="250">
        <v>2831.52</v>
      </c>
    </row>
    <row r="3288" spans="1:5" x14ac:dyDescent="0.35">
      <c r="A3288" s="1" t="s">
        <v>18936</v>
      </c>
      <c r="B3288" s="1" t="s">
        <v>23</v>
      </c>
      <c r="C3288" s="1" t="s">
        <v>10832</v>
      </c>
      <c r="D3288" s="1" t="s">
        <v>23</v>
      </c>
      <c r="E3288" s="250">
        <v>2831.5210000000002</v>
      </c>
    </row>
    <row r="3289" spans="1:5" x14ac:dyDescent="0.35">
      <c r="A3289" s="1" t="s">
        <v>18937</v>
      </c>
      <c r="B3289" s="1" t="s">
        <v>20</v>
      </c>
      <c r="C3289" s="1" t="s">
        <v>10831</v>
      </c>
      <c r="D3289" s="1" t="s">
        <v>20</v>
      </c>
      <c r="E3289" s="250">
        <v>2831.53</v>
      </c>
    </row>
    <row r="3290" spans="1:5" x14ac:dyDescent="0.35">
      <c r="A3290" s="1" t="s">
        <v>18938</v>
      </c>
      <c r="B3290" s="1" t="s">
        <v>57</v>
      </c>
      <c r="C3290" s="1" t="s">
        <v>10830</v>
      </c>
      <c r="D3290" s="1" t="s">
        <v>57</v>
      </c>
      <c r="E3290" s="250">
        <v>2831.54</v>
      </c>
    </row>
    <row r="3291" spans="1:5" x14ac:dyDescent="0.35">
      <c r="A3291" s="1" t="s">
        <v>18939</v>
      </c>
      <c r="B3291" s="1" t="s">
        <v>23</v>
      </c>
      <c r="C3291" s="1" t="s">
        <v>10829</v>
      </c>
      <c r="D3291" s="1" t="s">
        <v>23</v>
      </c>
      <c r="E3291" s="250">
        <v>2831.5410000000002</v>
      </c>
    </row>
    <row r="3292" spans="1:5" x14ac:dyDescent="0.35">
      <c r="A3292" s="1" t="s">
        <v>18940</v>
      </c>
      <c r="B3292" s="1" t="s">
        <v>23</v>
      </c>
      <c r="C3292" s="1" t="s">
        <v>10828</v>
      </c>
      <c r="D3292" s="1" t="s">
        <v>23</v>
      </c>
      <c r="E3292" s="250">
        <v>2831.5419999999999</v>
      </c>
    </row>
    <row r="3293" spans="1:5" x14ac:dyDescent="0.35">
      <c r="A3293" s="1" t="s">
        <v>18941</v>
      </c>
      <c r="B3293" s="1" t="s">
        <v>23</v>
      </c>
      <c r="C3293" s="1" t="s">
        <v>10827</v>
      </c>
      <c r="D3293" s="1" t="s">
        <v>23</v>
      </c>
      <c r="E3293" s="250">
        <v>2831.5430000000001</v>
      </c>
    </row>
    <row r="3294" spans="1:5" x14ac:dyDescent="0.35">
      <c r="A3294" s="1" t="s">
        <v>18942</v>
      </c>
      <c r="B3294" s="1" t="s">
        <v>57</v>
      </c>
      <c r="C3294" s="1" t="s">
        <v>10826</v>
      </c>
      <c r="D3294" s="1" t="s">
        <v>57</v>
      </c>
      <c r="E3294" s="250">
        <v>2831.56</v>
      </c>
    </row>
    <row r="3295" spans="1:5" x14ac:dyDescent="0.35">
      <c r="A3295" s="1" t="s">
        <v>18943</v>
      </c>
      <c r="B3295" s="1" t="s">
        <v>21</v>
      </c>
      <c r="C3295" s="1" t="s">
        <v>10825</v>
      </c>
      <c r="D3295" s="1" t="s">
        <v>21</v>
      </c>
      <c r="E3295" s="250">
        <v>2831.5610000000001</v>
      </c>
    </row>
    <row r="3296" spans="1:5" x14ac:dyDescent="0.35">
      <c r="A3296" s="1" t="s">
        <v>18944</v>
      </c>
      <c r="B3296" s="1" t="s">
        <v>21</v>
      </c>
      <c r="C3296" s="1" t="s">
        <v>10824</v>
      </c>
      <c r="D3296" s="1" t="s">
        <v>21</v>
      </c>
      <c r="E3296" s="250">
        <v>2831.5619999999999</v>
      </c>
    </row>
    <row r="3297" spans="1:5" x14ac:dyDescent="0.35">
      <c r="A3297" s="1" t="s">
        <v>18945</v>
      </c>
      <c r="B3297" s="1" t="s">
        <v>21</v>
      </c>
      <c r="C3297" s="1" t="s">
        <v>10823</v>
      </c>
      <c r="D3297" s="1" t="s">
        <v>21</v>
      </c>
      <c r="E3297" s="250">
        <v>2831.5630000000001</v>
      </c>
    </row>
    <row r="3298" spans="1:5" x14ac:dyDescent="0.35">
      <c r="A3298" s="2" t="s">
        <v>18946</v>
      </c>
      <c r="B3298" s="1" t="s">
        <v>58</v>
      </c>
      <c r="C3298" s="1" t="s">
        <v>10822</v>
      </c>
      <c r="D3298" s="1" t="s">
        <v>58</v>
      </c>
      <c r="E3298" s="250">
        <v>2849.9</v>
      </c>
    </row>
    <row r="3299" spans="1:5" x14ac:dyDescent="0.35">
      <c r="A3299" s="2" t="s">
        <v>18947</v>
      </c>
      <c r="B3299" s="1" t="s">
        <v>18</v>
      </c>
      <c r="C3299" s="1" t="s">
        <v>31</v>
      </c>
      <c r="D3299" s="1" t="s">
        <v>18</v>
      </c>
      <c r="E3299" s="250">
        <v>2870.01</v>
      </c>
    </row>
    <row r="3300" spans="1:5" x14ac:dyDescent="0.35">
      <c r="A3300" s="2" t="s">
        <v>18948</v>
      </c>
      <c r="B3300" s="1" t="s">
        <v>58</v>
      </c>
      <c r="C3300" s="1" t="s">
        <v>10821</v>
      </c>
      <c r="D3300" s="1" t="s">
        <v>58</v>
      </c>
      <c r="E3300" s="250">
        <v>2874.99</v>
      </c>
    </row>
    <row r="3301" spans="1:5" x14ac:dyDescent="0.35">
      <c r="A3301" s="2" t="s">
        <v>18949</v>
      </c>
      <c r="B3301" s="1" t="s">
        <v>39</v>
      </c>
      <c r="C3301" s="1" t="s">
        <v>10820</v>
      </c>
      <c r="D3301" s="1" t="s">
        <v>39</v>
      </c>
      <c r="E3301" s="250">
        <v>2900.11</v>
      </c>
    </row>
    <row r="3302" spans="1:5" x14ac:dyDescent="0.35">
      <c r="A3302" s="1" t="s">
        <v>18950</v>
      </c>
      <c r="B3302" s="1" t="s">
        <v>39</v>
      </c>
      <c r="C3302" s="1" t="s">
        <v>10819</v>
      </c>
      <c r="D3302" s="1" t="s">
        <v>39</v>
      </c>
      <c r="E3302" s="250">
        <v>2900.1109999999999</v>
      </c>
    </row>
    <row r="3303" spans="1:5" x14ac:dyDescent="0.35">
      <c r="A3303" s="1" t="s">
        <v>18951</v>
      </c>
      <c r="B3303" s="1" t="s">
        <v>58</v>
      </c>
      <c r="C3303" s="1" t="s">
        <v>10818</v>
      </c>
      <c r="D3303" s="1" t="s">
        <v>58</v>
      </c>
      <c r="E3303" s="250">
        <v>2900.1120000000001</v>
      </c>
    </row>
    <row r="3304" spans="1:5" x14ac:dyDescent="0.35">
      <c r="A3304" s="2" t="s">
        <v>18952</v>
      </c>
      <c r="B3304" s="1" t="s">
        <v>19</v>
      </c>
      <c r="C3304" s="1" t="s">
        <v>10817</v>
      </c>
      <c r="D3304" s="1" t="s">
        <v>19</v>
      </c>
      <c r="E3304" s="250">
        <v>2945.01</v>
      </c>
    </row>
    <row r="3305" spans="1:5" x14ac:dyDescent="0.35">
      <c r="A3305" s="1" t="s">
        <v>18953</v>
      </c>
      <c r="B3305" s="1" t="s">
        <v>19</v>
      </c>
      <c r="C3305" s="1" t="s">
        <v>10816</v>
      </c>
      <c r="D3305" s="1" t="s">
        <v>19</v>
      </c>
      <c r="E3305" s="250">
        <v>2945.0149999999999</v>
      </c>
    </row>
    <row r="3306" spans="1:5" x14ac:dyDescent="0.35">
      <c r="A3306" s="2" t="s">
        <v>18954</v>
      </c>
      <c r="B3306" s="1" t="s">
        <v>18</v>
      </c>
      <c r="C3306" s="1" t="s">
        <v>10815</v>
      </c>
      <c r="D3306" s="1" t="s">
        <v>18</v>
      </c>
      <c r="E3306" s="250">
        <v>2946.12</v>
      </c>
    </row>
    <row r="3307" spans="1:5" x14ac:dyDescent="0.35">
      <c r="A3307" s="2" t="s">
        <v>18955</v>
      </c>
      <c r="B3307" s="1" t="s">
        <v>62</v>
      </c>
      <c r="C3307" s="1" t="s">
        <v>10814</v>
      </c>
      <c r="D3307" s="1" t="s">
        <v>62</v>
      </c>
      <c r="E3307" s="250">
        <v>2949.89</v>
      </c>
    </row>
    <row r="3308" spans="1:5" x14ac:dyDescent="0.35">
      <c r="A3308" s="1" t="s">
        <v>18956</v>
      </c>
      <c r="B3308" s="1" t="s">
        <v>58</v>
      </c>
      <c r="C3308" s="1" t="s">
        <v>10813</v>
      </c>
      <c r="D3308" s="1" t="s">
        <v>58</v>
      </c>
      <c r="E3308" s="250">
        <v>2949.8910000000001</v>
      </c>
    </row>
    <row r="3309" spans="1:5" x14ac:dyDescent="0.35">
      <c r="A3309" s="2" t="s">
        <v>18957</v>
      </c>
      <c r="B3309" s="1" t="s">
        <v>57</v>
      </c>
      <c r="C3309" s="1" t="s">
        <v>10812</v>
      </c>
      <c r="D3309" s="1" t="s">
        <v>57</v>
      </c>
      <c r="E3309" s="250">
        <v>2950.01</v>
      </c>
    </row>
    <row r="3310" spans="1:5" x14ac:dyDescent="0.35">
      <c r="A3310" s="1" t="s">
        <v>18958</v>
      </c>
      <c r="B3310" s="1" t="s">
        <v>20</v>
      </c>
      <c r="C3310" s="1" t="s">
        <v>10811</v>
      </c>
      <c r="D3310" s="1" t="s">
        <v>20</v>
      </c>
      <c r="E3310" s="250">
        <v>2950.011</v>
      </c>
    </row>
    <row r="3311" spans="1:5" x14ac:dyDescent="0.35">
      <c r="A3311" s="1" t="s">
        <v>18959</v>
      </c>
      <c r="B3311" s="1" t="s">
        <v>23</v>
      </c>
      <c r="C3311" s="1" t="s">
        <v>10810</v>
      </c>
      <c r="D3311" s="1" t="s">
        <v>23</v>
      </c>
      <c r="E3311" s="250">
        <v>2950.0120000000002</v>
      </c>
    </row>
    <row r="3312" spans="1:5" x14ac:dyDescent="0.35">
      <c r="A3312" s="1" t="s">
        <v>18960</v>
      </c>
      <c r="B3312" s="1" t="s">
        <v>23</v>
      </c>
      <c r="C3312" s="1" t="s">
        <v>10809</v>
      </c>
      <c r="D3312" s="1" t="s">
        <v>23</v>
      </c>
      <c r="E3312" s="250">
        <v>2950.0129999999999</v>
      </c>
    </row>
    <row r="3313" spans="1:5" x14ac:dyDescent="0.35">
      <c r="A3313" s="1" t="s">
        <v>18961</v>
      </c>
      <c r="B3313" s="1" t="s">
        <v>23</v>
      </c>
      <c r="C3313" s="1" t="s">
        <v>10808</v>
      </c>
      <c r="D3313" s="1" t="s">
        <v>23</v>
      </c>
      <c r="E3313" s="250">
        <v>2950.0140000000001</v>
      </c>
    </row>
    <row r="3314" spans="1:5" x14ac:dyDescent="0.35">
      <c r="A3314" s="1" t="s">
        <v>18962</v>
      </c>
      <c r="B3314" s="1" t="s">
        <v>23</v>
      </c>
      <c r="C3314" s="1" t="s">
        <v>10807</v>
      </c>
      <c r="D3314" s="1" t="s">
        <v>23</v>
      </c>
      <c r="E3314" s="250">
        <v>2950.0149999999999</v>
      </c>
    </row>
    <row r="3315" spans="1:5" x14ac:dyDescent="0.35">
      <c r="A3315" s="1" t="s">
        <v>18963</v>
      </c>
      <c r="B3315" s="1" t="s">
        <v>23</v>
      </c>
      <c r="C3315" s="1" t="s">
        <v>10806</v>
      </c>
      <c r="D3315" s="1" t="s">
        <v>23</v>
      </c>
      <c r="E3315" s="250">
        <v>2950.0160000000001</v>
      </c>
    </row>
    <row r="3316" spans="1:5" x14ac:dyDescent="0.35">
      <c r="A3316" s="1" t="s">
        <v>18964</v>
      </c>
      <c r="B3316" s="1" t="s">
        <v>20</v>
      </c>
      <c r="C3316" s="1" t="s">
        <v>10805</v>
      </c>
      <c r="D3316" s="1" t="s">
        <v>20</v>
      </c>
      <c r="E3316" s="250">
        <v>2950.0169999999998</v>
      </c>
    </row>
    <row r="3536" spans="1:5" x14ac:dyDescent="0.35">
      <c r="A3536" s="1" t="s">
        <v>18965</v>
      </c>
      <c r="B3536" s="1" t="s">
        <v>621</v>
      </c>
      <c r="C3536" s="1" t="s">
        <v>1720</v>
      </c>
      <c r="D3536" s="1" t="s">
        <v>621</v>
      </c>
      <c r="E3536" s="250">
        <v>9409.9009999999998</v>
      </c>
    </row>
    <row r="3537" spans="1:5" x14ac:dyDescent="0.35">
      <c r="A3537" s="1" t="s">
        <v>18966</v>
      </c>
      <c r="B3537" s="1" t="s">
        <v>621</v>
      </c>
      <c r="C3537" s="1" t="s">
        <v>1720</v>
      </c>
      <c r="D3537" s="1" t="s">
        <v>621</v>
      </c>
      <c r="E3537" s="250">
        <v>9409.902</v>
      </c>
    </row>
    <row r="3538" spans="1:5" x14ac:dyDescent="0.35">
      <c r="A3538" s="1" t="s">
        <v>18967</v>
      </c>
      <c r="B3538" s="1" t="s">
        <v>20</v>
      </c>
      <c r="C3538" s="1" t="s">
        <v>1719</v>
      </c>
      <c r="D3538" s="1" t="s">
        <v>20</v>
      </c>
      <c r="E3538" s="250">
        <v>9410.01</v>
      </c>
    </row>
    <row r="3539" spans="1:5" x14ac:dyDescent="0.35">
      <c r="A3539" s="1" t="s">
        <v>18968</v>
      </c>
      <c r="B3539" s="1" t="s">
        <v>20</v>
      </c>
      <c r="C3539" s="1" t="s">
        <v>1718</v>
      </c>
      <c r="D3539" s="1" t="s">
        <v>20</v>
      </c>
      <c r="E3539" s="250">
        <v>9410.0110000000004</v>
      </c>
    </row>
    <row r="3540" spans="1:5" x14ac:dyDescent="0.35">
      <c r="A3540" s="1" t="s">
        <v>18969</v>
      </c>
      <c r="B3540" s="1" t="s">
        <v>19</v>
      </c>
      <c r="C3540" s="1" t="s">
        <v>1717</v>
      </c>
      <c r="D3540" s="1" t="s">
        <v>19</v>
      </c>
      <c r="E3540" s="250">
        <v>9410.0120000000006</v>
      </c>
    </row>
    <row r="3541" spans="1:5" x14ac:dyDescent="0.35">
      <c r="A3541" s="1" t="s">
        <v>18970</v>
      </c>
      <c r="B3541" s="1" t="s">
        <v>20</v>
      </c>
      <c r="C3541" s="1" t="s">
        <v>1716</v>
      </c>
      <c r="D3541" s="1" t="s">
        <v>20</v>
      </c>
      <c r="E3541" s="250">
        <v>9410.0130000000008</v>
      </c>
    </row>
    <row r="3542" spans="1:5" x14ac:dyDescent="0.35">
      <c r="A3542" s="1" t="s">
        <v>18971</v>
      </c>
      <c r="B3542" s="1" t="s">
        <v>20</v>
      </c>
      <c r="C3542" s="1" t="s">
        <v>1715</v>
      </c>
      <c r="D3542" s="1" t="s">
        <v>20</v>
      </c>
      <c r="E3542" s="250">
        <v>9410.0139999999992</v>
      </c>
    </row>
    <row r="3543" spans="1:5" x14ac:dyDescent="0.35">
      <c r="A3543" s="1" t="s">
        <v>18972</v>
      </c>
      <c r="B3543" s="1" t="s">
        <v>20</v>
      </c>
      <c r="C3543" s="1" t="s">
        <v>1714</v>
      </c>
      <c r="D3543" s="1" t="s">
        <v>20</v>
      </c>
      <c r="E3543" s="250">
        <v>9410.02</v>
      </c>
    </row>
    <row r="3604" spans="1:5" x14ac:dyDescent="0.35">
      <c r="A3604" s="1" t="s">
        <v>18973</v>
      </c>
      <c r="B3604" s="1" t="s">
        <v>20</v>
      </c>
      <c r="C3604" s="1" t="s">
        <v>1680</v>
      </c>
      <c r="D3604" s="1" t="s">
        <v>20</v>
      </c>
      <c r="E3604" s="250">
        <v>10605.01</v>
      </c>
    </row>
    <row r="3605" spans="1:5" x14ac:dyDescent="0.35">
      <c r="A3605" s="1" t="s">
        <v>18974</v>
      </c>
      <c r="B3605" s="1" t="s">
        <v>18</v>
      </c>
      <c r="C3605" s="1" t="s">
        <v>1679</v>
      </c>
      <c r="D3605" s="1" t="s">
        <v>18</v>
      </c>
      <c r="E3605" s="250">
        <v>10605.02</v>
      </c>
    </row>
    <row r="3606" spans="1:5" x14ac:dyDescent="0.35">
      <c r="A3606" s="1" t="s">
        <v>18975</v>
      </c>
      <c r="B3606" s="1" t="s">
        <v>20</v>
      </c>
      <c r="C3606" s="1" t="s">
        <v>1678</v>
      </c>
      <c r="D3606" s="1" t="s">
        <v>20</v>
      </c>
      <c r="E3606" s="250">
        <v>10650.01</v>
      </c>
    </row>
    <row r="3607" spans="1:5" x14ac:dyDescent="0.35">
      <c r="A3607" s="1" t="s">
        <v>18976</v>
      </c>
      <c r="B3607" s="1" t="s">
        <v>20</v>
      </c>
      <c r="C3607" s="1" t="s">
        <v>1677</v>
      </c>
      <c r="D3607" s="1" t="s">
        <v>20</v>
      </c>
      <c r="E3607" s="250">
        <v>10650.02</v>
      </c>
    </row>
    <row r="3608" spans="1:5" x14ac:dyDescent="0.35">
      <c r="A3608" s="1" t="s">
        <v>18977</v>
      </c>
      <c r="B3608" s="1" t="s">
        <v>18</v>
      </c>
      <c r="C3608" s="1" t="s">
        <v>1676</v>
      </c>
      <c r="D3608" s="1" t="s">
        <v>18</v>
      </c>
      <c r="E3608" s="250">
        <v>10650.03</v>
      </c>
    </row>
    <row r="3609" spans="1:5" x14ac:dyDescent="0.35">
      <c r="A3609" s="1" t="s">
        <v>18978</v>
      </c>
      <c r="B3609" s="1" t="s">
        <v>19</v>
      </c>
      <c r="C3609" s="1" t="s">
        <v>1675</v>
      </c>
      <c r="D3609" s="1" t="s">
        <v>19</v>
      </c>
      <c r="E3609" s="250">
        <v>10670.01</v>
      </c>
    </row>
    <row r="3610" spans="1:5" x14ac:dyDescent="0.35">
      <c r="A3610" s="1" t="s">
        <v>18979</v>
      </c>
      <c r="B3610" s="1" t="s">
        <v>18</v>
      </c>
      <c r="C3610" s="1" t="s">
        <v>1674</v>
      </c>
      <c r="D3610" s="1" t="s">
        <v>18</v>
      </c>
      <c r="E3610" s="250">
        <v>10670.014999999999</v>
      </c>
    </row>
    <row r="3611" spans="1:5" x14ac:dyDescent="0.35">
      <c r="A3611" s="1" t="s">
        <v>18980</v>
      </c>
      <c r="B3611" s="1" t="s">
        <v>18</v>
      </c>
      <c r="C3611" s="1" t="s">
        <v>1673</v>
      </c>
      <c r="D3611" s="1" t="s">
        <v>18</v>
      </c>
      <c r="E3611" s="250">
        <v>10670.02</v>
      </c>
    </row>
    <row r="3612" spans="1:5" x14ac:dyDescent="0.35">
      <c r="A3612" s="1" t="s">
        <v>18981</v>
      </c>
      <c r="B3612" s="1" t="s">
        <v>18</v>
      </c>
      <c r="C3612" s="1" t="s">
        <v>1672</v>
      </c>
      <c r="D3612" s="1" t="s">
        <v>18</v>
      </c>
      <c r="E3612" s="250">
        <v>10670.03</v>
      </c>
    </row>
    <row r="3613" spans="1:5" x14ac:dyDescent="0.35">
      <c r="A3613" s="1" t="s">
        <v>18982</v>
      </c>
      <c r="B3613" s="1" t="s">
        <v>18</v>
      </c>
      <c r="C3613" s="1" t="s">
        <v>1671</v>
      </c>
      <c r="D3613" s="1" t="s">
        <v>18</v>
      </c>
      <c r="E3613" s="250">
        <v>10670.05</v>
      </c>
    </row>
    <row r="3617" spans="1:5" x14ac:dyDescent="0.35">
      <c r="A3617" s="1" t="s">
        <v>18983</v>
      </c>
      <c r="B3617" s="1" t="s">
        <v>1391</v>
      </c>
      <c r="C3617" s="1" t="s">
        <v>1669</v>
      </c>
      <c r="D3617" s="1" t="s">
        <v>1391</v>
      </c>
      <c r="E3617" s="250">
        <v>10800.01</v>
      </c>
    </row>
    <row r="3618" spans="1:5" x14ac:dyDescent="0.35">
      <c r="A3618" s="1" t="s">
        <v>18984</v>
      </c>
      <c r="B3618" s="1" t="s">
        <v>58</v>
      </c>
      <c r="C3618" s="1" t="s">
        <v>1668</v>
      </c>
      <c r="D3618" s="1" t="s">
        <v>58</v>
      </c>
      <c r="E3618" s="250">
        <v>10809.901</v>
      </c>
    </row>
    <row r="3619" spans="1:5" x14ac:dyDescent="0.35">
      <c r="A3619" s="1" t="s">
        <v>18985</v>
      </c>
      <c r="B3619" s="1" t="s">
        <v>58</v>
      </c>
      <c r="C3619" s="1" t="s">
        <v>1668</v>
      </c>
      <c r="D3619" s="1" t="s">
        <v>58</v>
      </c>
      <c r="E3619" s="250">
        <v>10809.902</v>
      </c>
    </row>
    <row r="3620" spans="1:5" x14ac:dyDescent="0.35">
      <c r="A3620" s="1" t="s">
        <v>18986</v>
      </c>
      <c r="B3620" s="1" t="s">
        <v>20</v>
      </c>
      <c r="C3620" s="1" t="s">
        <v>1667</v>
      </c>
      <c r="D3620" s="1" t="s">
        <v>20</v>
      </c>
      <c r="E3620" s="250">
        <v>10810.01</v>
      </c>
    </row>
    <row r="3621" spans="1:5" x14ac:dyDescent="0.35">
      <c r="A3621" s="1" t="s">
        <v>18987</v>
      </c>
      <c r="B3621" s="1" t="s">
        <v>20</v>
      </c>
      <c r="C3621" s="1" t="s">
        <v>1665</v>
      </c>
      <c r="D3621" s="1" t="s">
        <v>20</v>
      </c>
      <c r="E3621" s="250">
        <v>10810.011</v>
      </c>
    </row>
    <row r="3622" spans="1:5" x14ac:dyDescent="0.35">
      <c r="A3622" s="1" t="s">
        <v>18988</v>
      </c>
      <c r="B3622" s="1" t="s">
        <v>20</v>
      </c>
      <c r="C3622" s="1" t="s">
        <v>1666</v>
      </c>
      <c r="D3622" s="1" t="s">
        <v>20</v>
      </c>
      <c r="E3622" s="250">
        <v>10810.02</v>
      </c>
    </row>
    <row r="3623" spans="1:5" x14ac:dyDescent="0.35">
      <c r="A3623" s="1" t="s">
        <v>18989</v>
      </c>
      <c r="B3623" s="1" t="s">
        <v>20</v>
      </c>
      <c r="C3623" s="1" t="s">
        <v>1665</v>
      </c>
      <c r="D3623" s="1" t="s">
        <v>20</v>
      </c>
      <c r="E3623" s="250">
        <v>10810.021000000001</v>
      </c>
    </row>
    <row r="3624" spans="1:5" x14ac:dyDescent="0.35">
      <c r="A3624" s="1" t="s">
        <v>18990</v>
      </c>
      <c r="B3624" s="1" t="s">
        <v>18</v>
      </c>
      <c r="C3624" s="1" t="s">
        <v>1664</v>
      </c>
      <c r="D3624" s="1" t="s">
        <v>18</v>
      </c>
      <c r="E3624" s="250">
        <v>10810.03</v>
      </c>
    </row>
    <row r="3625" spans="1:5" x14ac:dyDescent="0.35">
      <c r="A3625" s="1" t="s">
        <v>18991</v>
      </c>
      <c r="B3625" s="1" t="s">
        <v>18</v>
      </c>
      <c r="C3625" s="1" t="s">
        <v>1663</v>
      </c>
      <c r="D3625" s="1" t="s">
        <v>18</v>
      </c>
      <c r="E3625" s="250">
        <v>10810.1</v>
      </c>
    </row>
    <row r="3626" spans="1:5" x14ac:dyDescent="0.35">
      <c r="A3626" s="1" t="s">
        <v>18992</v>
      </c>
      <c r="B3626" s="1" t="s">
        <v>18</v>
      </c>
      <c r="C3626" s="1" t="s">
        <v>1662</v>
      </c>
      <c r="D3626" s="1" t="s">
        <v>18</v>
      </c>
      <c r="E3626" s="250">
        <v>10810.101000000001</v>
      </c>
    </row>
    <row r="3627" spans="1:5" x14ac:dyDescent="0.35">
      <c r="A3627" s="1" t="s">
        <v>18993</v>
      </c>
      <c r="B3627" s="1" t="s">
        <v>18</v>
      </c>
      <c r="C3627" s="1" t="s">
        <v>1661</v>
      </c>
      <c r="D3627" s="1" t="s">
        <v>18</v>
      </c>
      <c r="E3627" s="250">
        <v>10810.102000000001</v>
      </c>
    </row>
    <row r="3628" spans="1:5" x14ac:dyDescent="0.35">
      <c r="A3628" s="1" t="s">
        <v>18994</v>
      </c>
      <c r="B3628" s="1" t="s">
        <v>18</v>
      </c>
      <c r="C3628" s="1" t="s">
        <v>1660</v>
      </c>
      <c r="D3628" s="1" t="s">
        <v>18</v>
      </c>
      <c r="E3628" s="250">
        <v>10810.102999999999</v>
      </c>
    </row>
    <row r="3629" spans="1:5" x14ac:dyDescent="0.35">
      <c r="A3629" s="1" t="s">
        <v>18995</v>
      </c>
      <c r="B3629" s="1" t="s">
        <v>18</v>
      </c>
      <c r="C3629" s="1" t="s">
        <v>1659</v>
      </c>
      <c r="D3629" s="1" t="s">
        <v>18</v>
      </c>
      <c r="E3629" s="250">
        <v>10810.103999999999</v>
      </c>
    </row>
    <row r="3630" spans="1:5" x14ac:dyDescent="0.35">
      <c r="A3630" s="1" t="s">
        <v>18996</v>
      </c>
      <c r="B3630" s="1" t="s">
        <v>18</v>
      </c>
      <c r="C3630" s="1" t="s">
        <v>1658</v>
      </c>
      <c r="D3630" s="1" t="s">
        <v>18</v>
      </c>
      <c r="E3630" s="250">
        <v>10810.105</v>
      </c>
    </row>
    <row r="3631" spans="1:5" x14ac:dyDescent="0.35">
      <c r="A3631" s="1" t="s">
        <v>18997</v>
      </c>
      <c r="B3631" s="1" t="s">
        <v>18</v>
      </c>
      <c r="C3631" s="1" t="s">
        <v>1657</v>
      </c>
      <c r="D3631" s="1" t="s">
        <v>18</v>
      </c>
      <c r="E3631" s="250">
        <v>10810.106</v>
      </c>
    </row>
    <row r="3632" spans="1:5" x14ac:dyDescent="0.35">
      <c r="A3632" s="1" t="s">
        <v>18998</v>
      </c>
      <c r="B3632" s="1" t="s">
        <v>18</v>
      </c>
      <c r="C3632" s="1" t="s">
        <v>1656</v>
      </c>
      <c r="D3632" s="1" t="s">
        <v>18</v>
      </c>
      <c r="E3632" s="250">
        <v>10810.107</v>
      </c>
    </row>
    <row r="3633" spans="1:5" x14ac:dyDescent="0.35">
      <c r="A3633" s="1" t="s">
        <v>18999</v>
      </c>
      <c r="B3633" s="1" t="s">
        <v>18</v>
      </c>
      <c r="C3633" s="1" t="s">
        <v>1655</v>
      </c>
      <c r="D3633" s="1" t="s">
        <v>18</v>
      </c>
      <c r="E3633" s="250">
        <v>10810.108</v>
      </c>
    </row>
    <row r="3634" spans="1:5" x14ac:dyDescent="0.35">
      <c r="A3634" s="1" t="s">
        <v>19000</v>
      </c>
      <c r="B3634" s="1" t="s">
        <v>18</v>
      </c>
      <c r="C3634" s="1" t="s">
        <v>1579</v>
      </c>
      <c r="D3634" s="1" t="s">
        <v>18</v>
      </c>
      <c r="E3634" s="250">
        <v>10810.11</v>
      </c>
    </row>
    <row r="3635" spans="1:5" x14ac:dyDescent="0.35">
      <c r="A3635" s="1" t="s">
        <v>19001</v>
      </c>
      <c r="B3635" s="1" t="s">
        <v>18</v>
      </c>
      <c r="C3635" s="1" t="s">
        <v>1654</v>
      </c>
      <c r="D3635" s="1" t="s">
        <v>18</v>
      </c>
      <c r="E3635" s="250">
        <v>10810.111000000001</v>
      </c>
    </row>
    <row r="3636" spans="1:5" x14ac:dyDescent="0.35">
      <c r="A3636" s="1" t="s">
        <v>19002</v>
      </c>
      <c r="B3636" s="1" t="s">
        <v>18</v>
      </c>
      <c r="C3636" s="1" t="s">
        <v>1653</v>
      </c>
      <c r="D3636" s="1" t="s">
        <v>18</v>
      </c>
      <c r="E3636" s="250">
        <v>10810.111999999999</v>
      </c>
    </row>
    <row r="3637" spans="1:5" x14ac:dyDescent="0.35">
      <c r="A3637" s="1" t="s">
        <v>19003</v>
      </c>
      <c r="B3637" s="1" t="s">
        <v>18</v>
      </c>
      <c r="C3637" s="1" t="s">
        <v>1652</v>
      </c>
      <c r="D3637" s="1" t="s">
        <v>18</v>
      </c>
      <c r="E3637" s="250">
        <v>10810.12</v>
      </c>
    </row>
    <row r="3638" spans="1:5" x14ac:dyDescent="0.35">
      <c r="A3638" s="1" t="s">
        <v>19004</v>
      </c>
      <c r="B3638" s="1" t="s">
        <v>18</v>
      </c>
      <c r="C3638" s="1" t="s">
        <v>1651</v>
      </c>
      <c r="D3638" s="1" t="s">
        <v>18</v>
      </c>
      <c r="E3638" s="250">
        <v>10810.120999999999</v>
      </c>
    </row>
    <row r="3639" spans="1:5" x14ac:dyDescent="0.35">
      <c r="A3639" s="1" t="s">
        <v>19005</v>
      </c>
      <c r="B3639" s="1" t="s">
        <v>18</v>
      </c>
      <c r="C3639" s="1" t="s">
        <v>1650</v>
      </c>
      <c r="D3639" s="1" t="s">
        <v>18</v>
      </c>
      <c r="E3639" s="250">
        <v>10810.121999999999</v>
      </c>
    </row>
    <row r="3640" spans="1:5" x14ac:dyDescent="0.35">
      <c r="A3640" s="1" t="s">
        <v>19006</v>
      </c>
      <c r="B3640" s="1" t="s">
        <v>18</v>
      </c>
      <c r="C3640" s="1" t="s">
        <v>1649</v>
      </c>
      <c r="D3640" s="1" t="s">
        <v>18</v>
      </c>
      <c r="E3640" s="250">
        <v>10810.123</v>
      </c>
    </row>
    <row r="3641" spans="1:5" x14ac:dyDescent="0.35">
      <c r="A3641" s="1" t="s">
        <v>19007</v>
      </c>
      <c r="B3641" s="1" t="s">
        <v>18</v>
      </c>
      <c r="C3641" s="1" t="s">
        <v>1648</v>
      </c>
      <c r="D3641" s="1" t="s">
        <v>18</v>
      </c>
      <c r="E3641" s="250">
        <v>10810.15</v>
      </c>
    </row>
    <row r="3642" spans="1:5" x14ac:dyDescent="0.35">
      <c r="A3642" s="1" t="s">
        <v>19008</v>
      </c>
      <c r="B3642" s="1" t="s">
        <v>18</v>
      </c>
      <c r="C3642" s="1" t="s">
        <v>1647</v>
      </c>
      <c r="D3642" s="1" t="s">
        <v>18</v>
      </c>
      <c r="E3642" s="250">
        <v>10810.151</v>
      </c>
    </row>
    <row r="3643" spans="1:5" x14ac:dyDescent="0.35">
      <c r="A3643" s="1" t="s">
        <v>19009</v>
      </c>
      <c r="B3643" s="1" t="s">
        <v>18</v>
      </c>
      <c r="C3643" s="1" t="s">
        <v>1646</v>
      </c>
      <c r="D3643" s="1" t="s">
        <v>18</v>
      </c>
      <c r="E3643" s="250">
        <v>10810.152</v>
      </c>
    </row>
    <row r="3644" spans="1:5" x14ac:dyDescent="0.35">
      <c r="A3644" s="1" t="s">
        <v>19010</v>
      </c>
      <c r="B3644" s="1" t="s">
        <v>18</v>
      </c>
      <c r="C3644" s="1" t="s">
        <v>1645</v>
      </c>
      <c r="D3644" s="1" t="s">
        <v>18</v>
      </c>
      <c r="E3644" s="250">
        <v>10810.153</v>
      </c>
    </row>
    <row r="3645" spans="1:5" x14ac:dyDescent="0.35">
      <c r="A3645" s="1" t="s">
        <v>19011</v>
      </c>
      <c r="B3645" s="1" t="s">
        <v>18</v>
      </c>
      <c r="C3645" s="1" t="s">
        <v>1644</v>
      </c>
      <c r="D3645" s="1" t="s">
        <v>18</v>
      </c>
      <c r="E3645" s="250">
        <v>10810.154</v>
      </c>
    </row>
    <row r="3646" spans="1:5" x14ac:dyDescent="0.35">
      <c r="A3646" s="1" t="s">
        <v>19012</v>
      </c>
      <c r="B3646" s="1" t="s">
        <v>18</v>
      </c>
      <c r="C3646" s="1" t="s">
        <v>1643</v>
      </c>
      <c r="D3646" s="1" t="s">
        <v>18</v>
      </c>
      <c r="E3646" s="250">
        <v>10810.155000000001</v>
      </c>
    </row>
    <row r="3647" spans="1:5" x14ac:dyDescent="0.35">
      <c r="A3647" s="1" t="s">
        <v>19013</v>
      </c>
      <c r="B3647" s="1" t="s">
        <v>18</v>
      </c>
      <c r="C3647" s="1" t="s">
        <v>1642</v>
      </c>
      <c r="D3647" s="1" t="s">
        <v>18</v>
      </c>
      <c r="E3647" s="250">
        <v>10810.17</v>
      </c>
    </row>
    <row r="3648" spans="1:5" x14ac:dyDescent="0.35">
      <c r="A3648" s="1" t="s">
        <v>19014</v>
      </c>
      <c r="B3648" s="1" t="s">
        <v>18</v>
      </c>
      <c r="C3648" s="1" t="s">
        <v>1641</v>
      </c>
      <c r="D3648" s="1" t="s">
        <v>18</v>
      </c>
      <c r="E3648" s="250">
        <v>10810.171</v>
      </c>
    </row>
    <row r="3649" spans="1:5" x14ac:dyDescent="0.35">
      <c r="A3649" s="1" t="s">
        <v>19015</v>
      </c>
      <c r="B3649" s="1" t="s">
        <v>18</v>
      </c>
      <c r="C3649" s="1" t="s">
        <v>1640</v>
      </c>
      <c r="D3649" s="1" t="s">
        <v>18</v>
      </c>
      <c r="E3649" s="250">
        <v>10810.172</v>
      </c>
    </row>
    <row r="3650" spans="1:5" x14ac:dyDescent="0.35">
      <c r="A3650" s="1" t="s">
        <v>19016</v>
      </c>
      <c r="B3650" s="1" t="s">
        <v>18</v>
      </c>
      <c r="C3650" s="1" t="s">
        <v>1639</v>
      </c>
      <c r="D3650" s="1" t="s">
        <v>18</v>
      </c>
      <c r="E3650" s="250">
        <v>10810.173000000001</v>
      </c>
    </row>
    <row r="3651" spans="1:5" x14ac:dyDescent="0.35">
      <c r="A3651" s="1" t="s">
        <v>19017</v>
      </c>
      <c r="B3651" s="1" t="s">
        <v>18</v>
      </c>
      <c r="C3651" s="1" t="s">
        <v>1638</v>
      </c>
      <c r="D3651" s="1" t="s">
        <v>18</v>
      </c>
      <c r="E3651" s="250">
        <v>10810.174000000001</v>
      </c>
    </row>
    <row r="3652" spans="1:5" x14ac:dyDescent="0.35">
      <c r="A3652" s="1" t="s">
        <v>19018</v>
      </c>
      <c r="B3652" s="1" t="s">
        <v>18</v>
      </c>
      <c r="C3652" s="1" t="s">
        <v>1637</v>
      </c>
      <c r="D3652" s="1" t="s">
        <v>18</v>
      </c>
      <c r="E3652" s="250">
        <v>10810.174999999999</v>
      </c>
    </row>
    <row r="3653" spans="1:5" x14ac:dyDescent="0.35">
      <c r="A3653" s="1" t="s">
        <v>19019</v>
      </c>
      <c r="B3653" s="1" t="s">
        <v>18</v>
      </c>
      <c r="C3653" s="1" t="s">
        <v>1636</v>
      </c>
      <c r="D3653" s="1" t="s">
        <v>18</v>
      </c>
      <c r="E3653" s="250">
        <v>10810.175999999999</v>
      </c>
    </row>
    <row r="3654" spans="1:5" x14ac:dyDescent="0.35">
      <c r="A3654" s="1" t="s">
        <v>19020</v>
      </c>
      <c r="B3654" s="1" t="s">
        <v>18</v>
      </c>
      <c r="C3654" s="1" t="s">
        <v>1635</v>
      </c>
      <c r="D3654" s="1" t="s">
        <v>18</v>
      </c>
      <c r="E3654" s="250">
        <v>10810.177</v>
      </c>
    </row>
    <row r="3655" spans="1:5" x14ac:dyDescent="0.35">
      <c r="A3655" s="1" t="s">
        <v>19021</v>
      </c>
      <c r="B3655" s="1" t="s">
        <v>18</v>
      </c>
      <c r="C3655" s="1" t="s">
        <v>1634</v>
      </c>
      <c r="D3655" s="1" t="s">
        <v>18</v>
      </c>
      <c r="E3655" s="250">
        <v>10810.2</v>
      </c>
    </row>
    <row r="3656" spans="1:5" x14ac:dyDescent="0.35">
      <c r="A3656" s="1" t="s">
        <v>19022</v>
      </c>
      <c r="B3656" s="1" t="s">
        <v>18</v>
      </c>
      <c r="C3656" s="1" t="s">
        <v>1633</v>
      </c>
      <c r="D3656" s="1" t="s">
        <v>18</v>
      </c>
      <c r="E3656" s="250">
        <v>10810.200999999999</v>
      </c>
    </row>
    <row r="3657" spans="1:5" x14ac:dyDescent="0.35">
      <c r="A3657" s="1" t="s">
        <v>19023</v>
      </c>
      <c r="B3657" s="1" t="s">
        <v>18</v>
      </c>
      <c r="C3657" s="1" t="s">
        <v>1632</v>
      </c>
      <c r="D3657" s="1" t="s">
        <v>18</v>
      </c>
      <c r="E3657" s="250">
        <v>10810.201999999999</v>
      </c>
    </row>
    <row r="3658" spans="1:5" x14ac:dyDescent="0.35">
      <c r="A3658" s="1" t="s">
        <v>19024</v>
      </c>
      <c r="B3658" s="1" t="s">
        <v>18</v>
      </c>
      <c r="C3658" s="1" t="s">
        <v>1631</v>
      </c>
      <c r="D3658" s="1" t="s">
        <v>18</v>
      </c>
      <c r="E3658" s="250">
        <v>10810.203</v>
      </c>
    </row>
    <row r="3659" spans="1:5" x14ac:dyDescent="0.35">
      <c r="A3659" s="1" t="s">
        <v>19025</v>
      </c>
      <c r="B3659" s="1" t="s">
        <v>18</v>
      </c>
      <c r="C3659" s="1" t="s">
        <v>1630</v>
      </c>
      <c r="D3659" s="1" t="s">
        <v>18</v>
      </c>
      <c r="E3659" s="250">
        <v>10810.204</v>
      </c>
    </row>
    <row r="3660" spans="1:5" x14ac:dyDescent="0.35">
      <c r="A3660" s="1" t="s">
        <v>19026</v>
      </c>
      <c r="B3660" s="1" t="s">
        <v>18</v>
      </c>
      <c r="C3660" s="1" t="s">
        <v>1629</v>
      </c>
      <c r="D3660" s="1" t="s">
        <v>18</v>
      </c>
      <c r="E3660" s="250">
        <v>10810.205</v>
      </c>
    </row>
    <row r="3661" spans="1:5" x14ac:dyDescent="0.35">
      <c r="A3661" s="1" t="s">
        <v>19027</v>
      </c>
      <c r="B3661" s="1" t="s">
        <v>18</v>
      </c>
      <c r="C3661" s="1" t="s">
        <v>1624</v>
      </c>
      <c r="D3661" s="1" t="s">
        <v>18</v>
      </c>
      <c r="E3661" s="250">
        <v>10810.206</v>
      </c>
    </row>
    <row r="3662" spans="1:5" x14ac:dyDescent="0.35">
      <c r="A3662" s="1" t="s">
        <v>19028</v>
      </c>
      <c r="B3662" s="1" t="s">
        <v>18</v>
      </c>
      <c r="C3662" s="1" t="s">
        <v>1628</v>
      </c>
      <c r="D3662" s="1" t="s">
        <v>18</v>
      </c>
      <c r="E3662" s="250">
        <v>10810.21</v>
      </c>
    </row>
    <row r="3663" spans="1:5" x14ac:dyDescent="0.35">
      <c r="A3663" s="1" t="s">
        <v>19029</v>
      </c>
      <c r="B3663" s="1" t="s">
        <v>18</v>
      </c>
      <c r="C3663" s="1" t="s">
        <v>1627</v>
      </c>
      <c r="D3663" s="1" t="s">
        <v>18</v>
      </c>
      <c r="E3663" s="250">
        <v>10810.210999999999</v>
      </c>
    </row>
    <row r="3664" spans="1:5" x14ac:dyDescent="0.35">
      <c r="A3664" s="1" t="s">
        <v>19030</v>
      </c>
      <c r="B3664" s="1" t="s">
        <v>18</v>
      </c>
      <c r="C3664" s="1" t="s">
        <v>1626</v>
      </c>
      <c r="D3664" s="1" t="s">
        <v>18</v>
      </c>
      <c r="E3664" s="250">
        <v>10810.212</v>
      </c>
    </row>
    <row r="3665" spans="1:5" x14ac:dyDescent="0.35">
      <c r="A3665" s="1" t="s">
        <v>19031</v>
      </c>
      <c r="B3665" s="1" t="s">
        <v>18</v>
      </c>
      <c r="C3665" s="1" t="s">
        <v>1625</v>
      </c>
      <c r="D3665" s="1" t="s">
        <v>18</v>
      </c>
      <c r="E3665" s="250">
        <v>10810.213</v>
      </c>
    </row>
    <row r="3666" spans="1:5" x14ac:dyDescent="0.35">
      <c r="A3666" s="1" t="s">
        <v>19032</v>
      </c>
      <c r="B3666" s="1" t="s">
        <v>18</v>
      </c>
      <c r="C3666" s="1" t="s">
        <v>1624</v>
      </c>
      <c r="D3666" s="1" t="s">
        <v>18</v>
      </c>
      <c r="E3666" s="250">
        <v>10810.214</v>
      </c>
    </row>
    <row r="3667" spans="1:5" x14ac:dyDescent="0.35">
      <c r="A3667" s="1" t="s">
        <v>19033</v>
      </c>
      <c r="B3667" s="1" t="s">
        <v>18</v>
      </c>
      <c r="C3667" s="1" t="s">
        <v>1623</v>
      </c>
      <c r="D3667" s="1" t="s">
        <v>18</v>
      </c>
      <c r="E3667" s="250">
        <v>10810.4</v>
      </c>
    </row>
    <row r="3668" spans="1:5" x14ac:dyDescent="0.35">
      <c r="A3668" s="1" t="s">
        <v>19034</v>
      </c>
      <c r="B3668" s="1" t="s">
        <v>18</v>
      </c>
      <c r="C3668" s="1" t="s">
        <v>1622</v>
      </c>
      <c r="D3668" s="1" t="s">
        <v>18</v>
      </c>
      <c r="E3668" s="250">
        <v>10810.401</v>
      </c>
    </row>
    <row r="3669" spans="1:5" x14ac:dyDescent="0.35">
      <c r="A3669" s="1" t="s">
        <v>19035</v>
      </c>
      <c r="B3669" s="1" t="s">
        <v>18</v>
      </c>
      <c r="C3669" s="1" t="s">
        <v>1621</v>
      </c>
      <c r="D3669" s="1" t="s">
        <v>18</v>
      </c>
      <c r="E3669" s="250">
        <v>10810.402</v>
      </c>
    </row>
    <row r="3670" spans="1:5" x14ac:dyDescent="0.35">
      <c r="A3670" s="1" t="s">
        <v>19036</v>
      </c>
      <c r="B3670" s="1" t="s">
        <v>18</v>
      </c>
      <c r="C3670" s="1" t="s">
        <v>1620</v>
      </c>
      <c r="D3670" s="1" t="s">
        <v>18</v>
      </c>
      <c r="E3670" s="250">
        <v>10810.403</v>
      </c>
    </row>
    <row r="3671" spans="1:5" x14ac:dyDescent="0.35">
      <c r="A3671" s="1" t="s">
        <v>19037</v>
      </c>
      <c r="B3671" s="1" t="s">
        <v>18</v>
      </c>
      <c r="C3671" s="1" t="s">
        <v>1619</v>
      </c>
      <c r="D3671" s="1" t="s">
        <v>18</v>
      </c>
      <c r="E3671" s="250">
        <v>10810.404</v>
      </c>
    </row>
    <row r="3672" spans="1:5" x14ac:dyDescent="0.35">
      <c r="A3672" s="1" t="s">
        <v>19038</v>
      </c>
      <c r="B3672" s="1" t="s">
        <v>18</v>
      </c>
      <c r="C3672" s="1" t="s">
        <v>1618</v>
      </c>
      <c r="D3672" s="1" t="s">
        <v>18</v>
      </c>
      <c r="E3672" s="250">
        <v>10810.405000000001</v>
      </c>
    </row>
    <row r="3673" spans="1:5" x14ac:dyDescent="0.35">
      <c r="A3673" s="1" t="s">
        <v>19039</v>
      </c>
      <c r="B3673" s="1" t="s">
        <v>18</v>
      </c>
      <c r="C3673" s="1" t="s">
        <v>1617</v>
      </c>
      <c r="D3673" s="1" t="s">
        <v>18</v>
      </c>
      <c r="E3673" s="250">
        <v>10810.406000000001</v>
      </c>
    </row>
    <row r="3674" spans="1:5" x14ac:dyDescent="0.35">
      <c r="A3674" s="1" t="s">
        <v>19040</v>
      </c>
      <c r="B3674" s="1" t="s">
        <v>18</v>
      </c>
      <c r="C3674" s="1" t="s">
        <v>1616</v>
      </c>
      <c r="D3674" s="1" t="s">
        <v>18</v>
      </c>
      <c r="E3674" s="250">
        <v>10810.406999999999</v>
      </c>
    </row>
    <row r="3675" spans="1:5" x14ac:dyDescent="0.35">
      <c r="A3675" s="1" t="s">
        <v>19041</v>
      </c>
      <c r="B3675" s="1" t="s">
        <v>18</v>
      </c>
      <c r="C3675" s="1" t="s">
        <v>1573</v>
      </c>
      <c r="D3675" s="1" t="s">
        <v>18</v>
      </c>
      <c r="E3675" s="250">
        <v>10810.5</v>
      </c>
    </row>
    <row r="3676" spans="1:5" x14ac:dyDescent="0.35">
      <c r="A3676" s="1" t="s">
        <v>19042</v>
      </c>
      <c r="B3676" s="1" t="s">
        <v>18</v>
      </c>
      <c r="C3676" s="1" t="s">
        <v>1572</v>
      </c>
      <c r="D3676" s="1" t="s">
        <v>18</v>
      </c>
      <c r="E3676" s="250">
        <v>10810.501</v>
      </c>
    </row>
    <row r="3677" spans="1:5" x14ac:dyDescent="0.35">
      <c r="A3677" s="1" t="s">
        <v>19043</v>
      </c>
      <c r="B3677" s="1" t="s">
        <v>18</v>
      </c>
      <c r="C3677" s="1" t="s">
        <v>1615</v>
      </c>
      <c r="D3677" s="1" t="s">
        <v>18</v>
      </c>
      <c r="E3677" s="250">
        <v>10810.55</v>
      </c>
    </row>
    <row r="3678" spans="1:5" x14ac:dyDescent="0.35">
      <c r="A3678" s="1" t="s">
        <v>19044</v>
      </c>
      <c r="B3678" s="1" t="s">
        <v>18</v>
      </c>
      <c r="C3678" s="1" t="s">
        <v>1540</v>
      </c>
      <c r="D3678" s="1" t="s">
        <v>18</v>
      </c>
      <c r="E3678" s="250">
        <v>10810.6</v>
      </c>
    </row>
    <row r="3679" spans="1:5" x14ac:dyDescent="0.35">
      <c r="A3679" s="1" t="s">
        <v>19045</v>
      </c>
      <c r="B3679" s="1" t="s">
        <v>18</v>
      </c>
      <c r="C3679" s="1" t="s">
        <v>1541</v>
      </c>
      <c r="D3679" s="1" t="s">
        <v>18</v>
      </c>
      <c r="E3679" s="250">
        <v>10810.601000000001</v>
      </c>
    </row>
    <row r="3680" spans="1:5" x14ac:dyDescent="0.35">
      <c r="A3680" s="1" t="s">
        <v>19046</v>
      </c>
      <c r="B3680" s="1" t="s">
        <v>18</v>
      </c>
      <c r="C3680" s="1" t="s">
        <v>1614</v>
      </c>
      <c r="D3680" s="1" t="s">
        <v>18</v>
      </c>
      <c r="E3680" s="250">
        <v>10810.602000000001</v>
      </c>
    </row>
    <row r="3681" spans="1:5" x14ac:dyDescent="0.35">
      <c r="A3681" s="1" t="s">
        <v>19047</v>
      </c>
      <c r="B3681" s="1" t="s">
        <v>18</v>
      </c>
      <c r="C3681" s="1" t="s">
        <v>1613</v>
      </c>
      <c r="D3681" s="1" t="s">
        <v>18</v>
      </c>
      <c r="E3681" s="250">
        <v>10810.602999999999</v>
      </c>
    </row>
    <row r="3682" spans="1:5" x14ac:dyDescent="0.35">
      <c r="A3682" s="1" t="s">
        <v>19048</v>
      </c>
      <c r="B3682" s="1" t="s">
        <v>18</v>
      </c>
      <c r="C3682" s="1" t="s">
        <v>1612</v>
      </c>
      <c r="D3682" s="1" t="s">
        <v>18</v>
      </c>
      <c r="E3682" s="250">
        <v>10810.603999999999</v>
      </c>
    </row>
    <row r="3683" spans="1:5" x14ac:dyDescent="0.35">
      <c r="A3683" s="1" t="s">
        <v>19049</v>
      </c>
      <c r="B3683" s="1" t="s">
        <v>18</v>
      </c>
      <c r="C3683" s="1" t="s">
        <v>1611</v>
      </c>
      <c r="D3683" s="1" t="s">
        <v>18</v>
      </c>
      <c r="E3683" s="250">
        <v>10810.605</v>
      </c>
    </row>
    <row r="3684" spans="1:5" x14ac:dyDescent="0.35">
      <c r="A3684" s="1" t="s">
        <v>19050</v>
      </c>
      <c r="B3684" s="1" t="s">
        <v>18</v>
      </c>
      <c r="C3684" s="1" t="s">
        <v>1610</v>
      </c>
      <c r="D3684" s="1" t="s">
        <v>18</v>
      </c>
      <c r="E3684" s="250">
        <v>10810.606</v>
      </c>
    </row>
    <row r="3685" spans="1:5" x14ac:dyDescent="0.35">
      <c r="A3685" s="1" t="s">
        <v>19051</v>
      </c>
      <c r="B3685" s="1" t="s">
        <v>18</v>
      </c>
      <c r="C3685" s="1" t="s">
        <v>1609</v>
      </c>
      <c r="D3685" s="1" t="s">
        <v>18</v>
      </c>
      <c r="E3685" s="250">
        <v>10810.607</v>
      </c>
    </row>
    <row r="3686" spans="1:5" x14ac:dyDescent="0.35">
      <c r="A3686" s="1" t="s">
        <v>19052</v>
      </c>
      <c r="B3686" s="1" t="s">
        <v>18</v>
      </c>
      <c r="C3686" s="1" t="s">
        <v>1575</v>
      </c>
      <c r="D3686" s="1" t="s">
        <v>18</v>
      </c>
      <c r="E3686" s="250">
        <v>10810.608</v>
      </c>
    </row>
    <row r="3687" spans="1:5" x14ac:dyDescent="0.35">
      <c r="A3687" s="1" t="s">
        <v>19053</v>
      </c>
      <c r="B3687" s="1" t="s">
        <v>18</v>
      </c>
      <c r="C3687" s="1" t="s">
        <v>1608</v>
      </c>
      <c r="D3687" s="1" t="s">
        <v>18</v>
      </c>
      <c r="E3687" s="250">
        <v>10810.609</v>
      </c>
    </row>
    <row r="3688" spans="1:5" x14ac:dyDescent="0.35">
      <c r="A3688" s="1" t="s">
        <v>19054</v>
      </c>
      <c r="B3688" s="1" t="s">
        <v>18</v>
      </c>
      <c r="C3688" s="1" t="s">
        <v>1607</v>
      </c>
      <c r="D3688" s="1" t="s">
        <v>18</v>
      </c>
      <c r="E3688" s="250">
        <v>10810.61</v>
      </c>
    </row>
    <row r="3689" spans="1:5" x14ac:dyDescent="0.35">
      <c r="A3689" s="1" t="s">
        <v>19055</v>
      </c>
      <c r="B3689" s="1" t="s">
        <v>18</v>
      </c>
      <c r="C3689" s="1" t="s">
        <v>1606</v>
      </c>
      <c r="D3689" s="1" t="s">
        <v>18</v>
      </c>
      <c r="E3689" s="250">
        <v>10810.611000000001</v>
      </c>
    </row>
    <row r="3690" spans="1:5" x14ac:dyDescent="0.35">
      <c r="A3690" s="1" t="s">
        <v>19056</v>
      </c>
      <c r="B3690" s="1" t="s">
        <v>18</v>
      </c>
      <c r="C3690" s="1" t="s">
        <v>1571</v>
      </c>
      <c r="D3690" s="1" t="s">
        <v>18</v>
      </c>
      <c r="E3690" s="250">
        <v>10810.611999999999</v>
      </c>
    </row>
    <row r="3691" spans="1:5" x14ac:dyDescent="0.35">
      <c r="A3691" s="1" t="s">
        <v>19057</v>
      </c>
      <c r="B3691" s="1" t="s">
        <v>18</v>
      </c>
      <c r="C3691" s="1" t="s">
        <v>1605</v>
      </c>
      <c r="D3691" s="1" t="s">
        <v>18</v>
      </c>
      <c r="E3691" s="250">
        <v>10810.612999999999</v>
      </c>
    </row>
    <row r="3692" spans="1:5" x14ac:dyDescent="0.35">
      <c r="A3692" s="1" t="s">
        <v>19058</v>
      </c>
      <c r="B3692" s="1" t="s">
        <v>18</v>
      </c>
      <c r="C3692" s="1" t="s">
        <v>1604</v>
      </c>
      <c r="D3692" s="1" t="s">
        <v>18</v>
      </c>
      <c r="E3692" s="250">
        <v>10810.614</v>
      </c>
    </row>
    <row r="3693" spans="1:5" x14ac:dyDescent="0.35">
      <c r="A3693" s="1" t="s">
        <v>19059</v>
      </c>
      <c r="B3693" s="1" t="s">
        <v>18</v>
      </c>
      <c r="C3693" s="1" t="s">
        <v>1569</v>
      </c>
      <c r="D3693" s="1" t="s">
        <v>18</v>
      </c>
      <c r="E3693" s="250">
        <v>10810.615</v>
      </c>
    </row>
    <row r="3694" spans="1:5" x14ac:dyDescent="0.35">
      <c r="A3694" s="1" t="s">
        <v>19060</v>
      </c>
      <c r="B3694" s="1" t="s">
        <v>18</v>
      </c>
      <c r="C3694" s="1" t="s">
        <v>1603</v>
      </c>
      <c r="D3694" s="1" t="s">
        <v>18</v>
      </c>
      <c r="E3694" s="250">
        <v>10810.64</v>
      </c>
    </row>
    <row r="3695" spans="1:5" x14ac:dyDescent="0.35">
      <c r="A3695" s="1" t="s">
        <v>19061</v>
      </c>
      <c r="B3695" s="1" t="s">
        <v>18</v>
      </c>
      <c r="C3695" s="1" t="s">
        <v>1602</v>
      </c>
      <c r="D3695" s="1" t="s">
        <v>18</v>
      </c>
      <c r="E3695" s="250">
        <v>10810.641</v>
      </c>
    </row>
    <row r="3696" spans="1:5" x14ac:dyDescent="0.35">
      <c r="A3696" s="1" t="s">
        <v>19062</v>
      </c>
      <c r="B3696" s="1" t="s">
        <v>18</v>
      </c>
      <c r="C3696" s="1" t="s">
        <v>1601</v>
      </c>
      <c r="D3696" s="1" t="s">
        <v>18</v>
      </c>
      <c r="E3696" s="250">
        <v>10810.642</v>
      </c>
    </row>
    <row r="3697" spans="1:5" x14ac:dyDescent="0.35">
      <c r="A3697" s="1" t="s">
        <v>19063</v>
      </c>
      <c r="B3697" s="1" t="s">
        <v>18</v>
      </c>
      <c r="C3697" s="1" t="s">
        <v>1600</v>
      </c>
      <c r="D3697" s="1" t="s">
        <v>18</v>
      </c>
      <c r="E3697" s="250">
        <v>10810.643</v>
      </c>
    </row>
    <row r="3698" spans="1:5" x14ac:dyDescent="0.35">
      <c r="A3698" s="1" t="s">
        <v>19064</v>
      </c>
      <c r="B3698" s="1" t="s">
        <v>18</v>
      </c>
      <c r="C3698" s="1" t="s">
        <v>1578</v>
      </c>
      <c r="D3698" s="1" t="s">
        <v>18</v>
      </c>
      <c r="E3698" s="250">
        <v>10810.645</v>
      </c>
    </row>
    <row r="3699" spans="1:5" x14ac:dyDescent="0.35">
      <c r="A3699" s="1" t="s">
        <v>19065</v>
      </c>
      <c r="B3699" s="1" t="s">
        <v>18</v>
      </c>
      <c r="C3699" s="1" t="s">
        <v>1599</v>
      </c>
      <c r="D3699" s="1" t="s">
        <v>18</v>
      </c>
      <c r="E3699" s="250">
        <v>10810.8</v>
      </c>
    </row>
    <row r="3700" spans="1:5" x14ac:dyDescent="0.35">
      <c r="A3700" s="1" t="s">
        <v>19066</v>
      </c>
      <c r="B3700" s="1" t="s">
        <v>18</v>
      </c>
      <c r="C3700" s="1" t="s">
        <v>1598</v>
      </c>
      <c r="D3700" s="1" t="s">
        <v>18</v>
      </c>
      <c r="E3700" s="250">
        <v>10810.800999999999</v>
      </c>
    </row>
    <row r="3701" spans="1:5" x14ac:dyDescent="0.35">
      <c r="A3701" s="1" t="s">
        <v>19067</v>
      </c>
      <c r="B3701" s="1" t="s">
        <v>18</v>
      </c>
      <c r="C3701" s="1" t="s">
        <v>1597</v>
      </c>
      <c r="D3701" s="1" t="s">
        <v>18</v>
      </c>
      <c r="E3701" s="250">
        <v>10810.802</v>
      </c>
    </row>
    <row r="3702" spans="1:5" x14ac:dyDescent="0.35">
      <c r="A3702" s="1" t="s">
        <v>19068</v>
      </c>
      <c r="B3702" s="1" t="s">
        <v>18</v>
      </c>
      <c r="C3702" s="1" t="s">
        <v>1596</v>
      </c>
      <c r="D3702" s="1" t="s">
        <v>18</v>
      </c>
      <c r="E3702" s="250">
        <v>10810.803</v>
      </c>
    </row>
    <row r="3703" spans="1:5" x14ac:dyDescent="0.35">
      <c r="A3703" s="1" t="s">
        <v>19069</v>
      </c>
      <c r="B3703" s="1" t="s">
        <v>18</v>
      </c>
      <c r="C3703" s="1" t="s">
        <v>1595</v>
      </c>
      <c r="D3703" s="1" t="s">
        <v>18</v>
      </c>
      <c r="E3703" s="250">
        <v>10810.804</v>
      </c>
    </row>
    <row r="3704" spans="1:5" x14ac:dyDescent="0.35">
      <c r="A3704" s="1" t="s">
        <v>19070</v>
      </c>
      <c r="B3704" s="1" t="s">
        <v>18</v>
      </c>
      <c r="C3704" s="1" t="s">
        <v>1594</v>
      </c>
      <c r="D3704" s="1" t="s">
        <v>18</v>
      </c>
      <c r="E3704" s="250">
        <v>10811.1</v>
      </c>
    </row>
    <row r="3705" spans="1:5" x14ac:dyDescent="0.35">
      <c r="A3705" s="1" t="s">
        <v>19071</v>
      </c>
      <c r="B3705" s="1" t="s">
        <v>18</v>
      </c>
      <c r="C3705" s="1" t="s">
        <v>1593</v>
      </c>
      <c r="D3705" s="1" t="s">
        <v>18</v>
      </c>
      <c r="E3705" s="250">
        <v>10811.2</v>
      </c>
    </row>
    <row r="3706" spans="1:5" x14ac:dyDescent="0.35">
      <c r="A3706" s="1" t="s">
        <v>19072</v>
      </c>
      <c r="B3706" s="1" t="s">
        <v>19</v>
      </c>
      <c r="C3706" s="1" t="s">
        <v>1592</v>
      </c>
      <c r="D3706" s="1" t="s">
        <v>19</v>
      </c>
      <c r="E3706" s="250">
        <v>10811.200999999999</v>
      </c>
    </row>
    <row r="3707" spans="1:5" x14ac:dyDescent="0.35">
      <c r="A3707" s="1" t="s">
        <v>19073</v>
      </c>
      <c r="B3707" s="1" t="s">
        <v>18</v>
      </c>
      <c r="C3707" s="1" t="s">
        <v>1591</v>
      </c>
      <c r="D3707" s="1" t="s">
        <v>18</v>
      </c>
      <c r="E3707" s="250">
        <v>10811.201999999999</v>
      </c>
    </row>
    <row r="3708" spans="1:5" x14ac:dyDescent="0.35">
      <c r="A3708" s="1" t="s">
        <v>19074</v>
      </c>
      <c r="B3708" s="1" t="s">
        <v>18</v>
      </c>
      <c r="C3708" s="1" t="s">
        <v>1590</v>
      </c>
      <c r="D3708" s="1" t="s">
        <v>18</v>
      </c>
      <c r="E3708" s="250">
        <v>10811.3</v>
      </c>
    </row>
    <row r="3709" spans="1:5" x14ac:dyDescent="0.35">
      <c r="A3709" s="1" t="s">
        <v>19075</v>
      </c>
      <c r="B3709" s="1" t="s">
        <v>18</v>
      </c>
      <c r="C3709" s="1" t="s">
        <v>1589</v>
      </c>
      <c r="D3709" s="1" t="s">
        <v>18</v>
      </c>
      <c r="E3709" s="250">
        <v>10811.31</v>
      </c>
    </row>
    <row r="3710" spans="1:5" x14ac:dyDescent="0.35">
      <c r="A3710" s="1" t="s">
        <v>19076</v>
      </c>
      <c r="B3710" s="1" t="s">
        <v>57</v>
      </c>
      <c r="C3710" s="1" t="s">
        <v>1588</v>
      </c>
      <c r="D3710" s="1" t="s">
        <v>57</v>
      </c>
      <c r="E3710" s="250">
        <v>10820.01</v>
      </c>
    </row>
    <row r="3711" spans="1:5" x14ac:dyDescent="0.35">
      <c r="A3711" s="1" t="s">
        <v>19077</v>
      </c>
      <c r="B3711" s="1" t="s">
        <v>57</v>
      </c>
      <c r="C3711" s="1" t="s">
        <v>1568</v>
      </c>
      <c r="D3711" s="1" t="s">
        <v>57</v>
      </c>
      <c r="E3711" s="250">
        <v>10820.011</v>
      </c>
    </row>
    <row r="3712" spans="1:5" x14ac:dyDescent="0.35">
      <c r="A3712" s="1" t="s">
        <v>19078</v>
      </c>
      <c r="B3712" s="1" t="s">
        <v>18</v>
      </c>
      <c r="C3712" s="1" t="s">
        <v>1538</v>
      </c>
      <c r="D3712" s="1" t="s">
        <v>18</v>
      </c>
      <c r="E3712" s="250">
        <v>10820.02</v>
      </c>
    </row>
    <row r="3713" spans="1:5" x14ac:dyDescent="0.35">
      <c r="A3713" s="1" t="s">
        <v>19079</v>
      </c>
      <c r="B3713" s="1" t="s">
        <v>18</v>
      </c>
      <c r="C3713" s="1" t="s">
        <v>1587</v>
      </c>
      <c r="D3713" s="1" t="s">
        <v>18</v>
      </c>
      <c r="E3713" s="250">
        <v>10820.021000000001</v>
      </c>
    </row>
    <row r="3714" spans="1:5" x14ac:dyDescent="0.35">
      <c r="A3714" s="1" t="s">
        <v>19080</v>
      </c>
      <c r="B3714" s="1" t="s">
        <v>18</v>
      </c>
      <c r="C3714" s="1" t="s">
        <v>1586</v>
      </c>
      <c r="D3714" s="1" t="s">
        <v>18</v>
      </c>
      <c r="E3714" s="250">
        <v>10820.022000000001</v>
      </c>
    </row>
    <row r="3715" spans="1:5" x14ac:dyDescent="0.35">
      <c r="A3715" s="1" t="s">
        <v>19081</v>
      </c>
      <c r="B3715" s="1" t="s">
        <v>18</v>
      </c>
      <c r="C3715" s="1" t="s">
        <v>1585</v>
      </c>
      <c r="D3715" s="1" t="s">
        <v>18</v>
      </c>
      <c r="E3715" s="250">
        <v>10820.022999999999</v>
      </c>
    </row>
    <row r="3716" spans="1:5" x14ac:dyDescent="0.35">
      <c r="A3716" s="1" t="s">
        <v>19082</v>
      </c>
      <c r="B3716" s="1" t="s">
        <v>18</v>
      </c>
      <c r="C3716" s="1" t="s">
        <v>1584</v>
      </c>
      <c r="D3716" s="1" t="s">
        <v>18</v>
      </c>
      <c r="E3716" s="250">
        <v>10820.023999999999</v>
      </c>
    </row>
    <row r="3717" spans="1:5" x14ac:dyDescent="0.35">
      <c r="A3717" s="1" t="s">
        <v>19083</v>
      </c>
      <c r="B3717" s="1" t="s">
        <v>18</v>
      </c>
      <c r="C3717" s="1" t="s">
        <v>1583</v>
      </c>
      <c r="D3717" s="1" t="s">
        <v>18</v>
      </c>
      <c r="E3717" s="250">
        <v>10820.03</v>
      </c>
    </row>
    <row r="3718" spans="1:5" x14ac:dyDescent="0.35">
      <c r="A3718" s="1" t="s">
        <v>19084</v>
      </c>
      <c r="B3718" s="1" t="s">
        <v>18</v>
      </c>
      <c r="C3718" s="1" t="s">
        <v>1582</v>
      </c>
      <c r="D3718" s="1" t="s">
        <v>18</v>
      </c>
      <c r="E3718" s="250">
        <v>10820.031000000001</v>
      </c>
    </row>
    <row r="3719" spans="1:5" x14ac:dyDescent="0.35">
      <c r="A3719" s="1" t="s">
        <v>19085</v>
      </c>
      <c r="B3719" s="1" t="s">
        <v>18</v>
      </c>
      <c r="C3719" s="1" t="s">
        <v>1581</v>
      </c>
      <c r="D3719" s="1" t="s">
        <v>18</v>
      </c>
      <c r="E3719" s="250">
        <v>10820.031999999999</v>
      </c>
    </row>
    <row r="3720" spans="1:5" x14ac:dyDescent="0.35">
      <c r="A3720" s="1" t="s">
        <v>19086</v>
      </c>
      <c r="B3720" s="1" t="s">
        <v>18</v>
      </c>
      <c r="C3720" s="1" t="s">
        <v>1580</v>
      </c>
      <c r="D3720" s="1" t="s">
        <v>18</v>
      </c>
      <c r="E3720" s="250">
        <v>10820.032999999999</v>
      </c>
    </row>
    <row r="3721" spans="1:5" x14ac:dyDescent="0.35">
      <c r="A3721" s="1" t="s">
        <v>19087</v>
      </c>
      <c r="B3721" s="1" t="s">
        <v>18</v>
      </c>
      <c r="C3721" s="1" t="s">
        <v>1579</v>
      </c>
      <c r="D3721" s="1" t="s">
        <v>18</v>
      </c>
      <c r="E3721" s="250">
        <v>10820.04</v>
      </c>
    </row>
    <row r="3722" spans="1:5" x14ac:dyDescent="0.35">
      <c r="A3722" s="1" t="s">
        <v>19088</v>
      </c>
      <c r="B3722" s="1" t="s">
        <v>18</v>
      </c>
      <c r="C3722" s="1" t="s">
        <v>1578</v>
      </c>
      <c r="D3722" s="1" t="s">
        <v>18</v>
      </c>
      <c r="E3722" s="250">
        <v>10820.040999999999</v>
      </c>
    </row>
    <row r="3723" spans="1:5" x14ac:dyDescent="0.35">
      <c r="A3723" s="1" t="s">
        <v>19089</v>
      </c>
      <c r="B3723" s="1" t="s">
        <v>18</v>
      </c>
      <c r="C3723" s="1" t="s">
        <v>1577</v>
      </c>
      <c r="D3723" s="1" t="s">
        <v>18</v>
      </c>
      <c r="E3723" s="250">
        <v>10820.041999999999</v>
      </c>
    </row>
    <row r="3724" spans="1:5" x14ac:dyDescent="0.35">
      <c r="A3724" s="1" t="s">
        <v>19090</v>
      </c>
      <c r="B3724" s="1" t="s">
        <v>18</v>
      </c>
      <c r="C3724" s="1" t="s">
        <v>1576</v>
      </c>
      <c r="D3724" s="1" t="s">
        <v>18</v>
      </c>
      <c r="E3724" s="250">
        <v>10820.043</v>
      </c>
    </row>
    <row r="3725" spans="1:5" x14ac:dyDescent="0.35">
      <c r="A3725" s="1" t="s">
        <v>19091</v>
      </c>
      <c r="B3725" s="1" t="s">
        <v>18</v>
      </c>
      <c r="C3725" s="1" t="s">
        <v>1575</v>
      </c>
      <c r="D3725" s="1" t="s">
        <v>18</v>
      </c>
      <c r="E3725" s="250">
        <v>10820.044</v>
      </c>
    </row>
    <row r="3726" spans="1:5" x14ac:dyDescent="0.35">
      <c r="A3726" s="1" t="s">
        <v>19092</v>
      </c>
      <c r="B3726" s="1" t="s">
        <v>18</v>
      </c>
      <c r="C3726" s="1" t="s">
        <v>1541</v>
      </c>
      <c r="D3726" s="1" t="s">
        <v>18</v>
      </c>
      <c r="E3726" s="250">
        <v>10820.045</v>
      </c>
    </row>
    <row r="3727" spans="1:5" x14ac:dyDescent="0.35">
      <c r="A3727" s="1" t="s">
        <v>19093</v>
      </c>
      <c r="B3727" s="1" t="s">
        <v>18</v>
      </c>
      <c r="C3727" s="1" t="s">
        <v>1540</v>
      </c>
      <c r="D3727" s="1" t="s">
        <v>18</v>
      </c>
      <c r="E3727" s="250">
        <v>10820.046</v>
      </c>
    </row>
    <row r="3728" spans="1:5" x14ac:dyDescent="0.35">
      <c r="A3728" s="1" t="s">
        <v>19094</v>
      </c>
      <c r="B3728" s="1" t="s">
        <v>18</v>
      </c>
      <c r="C3728" s="1" t="s">
        <v>1574</v>
      </c>
      <c r="D3728" s="1" t="s">
        <v>18</v>
      </c>
      <c r="E3728" s="250">
        <v>10820.05</v>
      </c>
    </row>
    <row r="3729" spans="1:5" x14ac:dyDescent="0.35">
      <c r="A3729" s="1" t="s">
        <v>19095</v>
      </c>
      <c r="B3729" s="1" t="s">
        <v>18</v>
      </c>
      <c r="C3729" s="1" t="s">
        <v>1573</v>
      </c>
      <c r="D3729" s="1" t="s">
        <v>18</v>
      </c>
      <c r="E3729" s="250">
        <v>10820.06</v>
      </c>
    </row>
    <row r="3730" spans="1:5" x14ac:dyDescent="0.35">
      <c r="A3730" s="1" t="s">
        <v>19096</v>
      </c>
      <c r="B3730" s="1" t="s">
        <v>18</v>
      </c>
      <c r="C3730" s="1" t="s">
        <v>1572</v>
      </c>
      <c r="D3730" s="1" t="s">
        <v>18</v>
      </c>
      <c r="E3730" s="250">
        <v>10820.061</v>
      </c>
    </row>
    <row r="3731" spans="1:5" x14ac:dyDescent="0.35">
      <c r="A3731" s="1" t="s">
        <v>19097</v>
      </c>
      <c r="B3731" s="1" t="s">
        <v>18</v>
      </c>
      <c r="C3731" s="1" t="s">
        <v>1571</v>
      </c>
      <c r="D3731" s="1" t="s">
        <v>18</v>
      </c>
      <c r="E3731" s="250">
        <v>10820.07</v>
      </c>
    </row>
    <row r="3732" spans="1:5" x14ac:dyDescent="0.35">
      <c r="A3732" s="1" t="s">
        <v>19098</v>
      </c>
      <c r="B3732" s="1" t="s">
        <v>18</v>
      </c>
      <c r="C3732" s="1" t="s">
        <v>1570</v>
      </c>
      <c r="D3732" s="1" t="s">
        <v>18</v>
      </c>
      <c r="E3732" s="250">
        <v>10820.071</v>
      </c>
    </row>
    <row r="3733" spans="1:5" x14ac:dyDescent="0.35">
      <c r="A3733" s="1" t="s">
        <v>19099</v>
      </c>
      <c r="B3733" s="1" t="s">
        <v>18</v>
      </c>
      <c r="C3733" s="1" t="s">
        <v>1569</v>
      </c>
      <c r="D3733" s="1" t="s">
        <v>18</v>
      </c>
      <c r="E3733" s="250">
        <v>10820.072</v>
      </c>
    </row>
    <row r="3734" spans="1:5" x14ac:dyDescent="0.35">
      <c r="A3734" s="1" t="s">
        <v>19100</v>
      </c>
      <c r="B3734" s="1" t="s">
        <v>57</v>
      </c>
      <c r="C3734" s="1" t="s">
        <v>1568</v>
      </c>
      <c r="D3734" s="1" t="s">
        <v>57</v>
      </c>
      <c r="E3734" s="250">
        <v>10820.099</v>
      </c>
    </row>
    <row r="3735" spans="1:5" x14ac:dyDescent="0.35">
      <c r="A3735" s="1" t="s">
        <v>19101</v>
      </c>
      <c r="B3735" s="1" t="s">
        <v>18</v>
      </c>
      <c r="C3735" s="1" t="s">
        <v>1567</v>
      </c>
      <c r="D3735" s="1" t="s">
        <v>18</v>
      </c>
      <c r="E3735" s="250">
        <v>10820.2</v>
      </c>
    </row>
    <row r="3736" spans="1:5" x14ac:dyDescent="0.35">
      <c r="A3736" s="1" t="s">
        <v>19102</v>
      </c>
      <c r="B3736" s="1" t="s">
        <v>18</v>
      </c>
      <c r="C3736" s="1" t="s">
        <v>1566</v>
      </c>
      <c r="D3736" s="1" t="s">
        <v>18</v>
      </c>
      <c r="E3736" s="250">
        <v>10820.200999999999</v>
      </c>
    </row>
    <row r="3737" spans="1:5" x14ac:dyDescent="0.35">
      <c r="A3737" s="1" t="s">
        <v>19103</v>
      </c>
      <c r="B3737" s="1" t="s">
        <v>18</v>
      </c>
      <c r="C3737" s="1" t="s">
        <v>1565</v>
      </c>
      <c r="D3737" s="1" t="s">
        <v>18</v>
      </c>
      <c r="E3737" s="250">
        <v>10820.201999999999</v>
      </c>
    </row>
    <row r="3738" spans="1:5" x14ac:dyDescent="0.35">
      <c r="A3738" s="1" t="s">
        <v>19104</v>
      </c>
      <c r="B3738" s="1" t="s">
        <v>18</v>
      </c>
      <c r="C3738" s="1" t="s">
        <v>1564</v>
      </c>
      <c r="D3738" s="1" t="s">
        <v>18</v>
      </c>
      <c r="E3738" s="250">
        <v>10820.203</v>
      </c>
    </row>
    <row r="3739" spans="1:5" x14ac:dyDescent="0.35">
      <c r="A3739" s="1" t="s">
        <v>19105</v>
      </c>
      <c r="B3739" s="1" t="s">
        <v>18</v>
      </c>
      <c r="C3739" s="1" t="s">
        <v>1563</v>
      </c>
      <c r="D3739" s="1" t="s">
        <v>18</v>
      </c>
      <c r="E3739" s="250">
        <v>10820.204</v>
      </c>
    </row>
    <row r="3740" spans="1:5" x14ac:dyDescent="0.35">
      <c r="A3740" s="1" t="s">
        <v>19106</v>
      </c>
      <c r="B3740" s="1" t="s">
        <v>18</v>
      </c>
      <c r="C3740" s="1" t="s">
        <v>1562</v>
      </c>
      <c r="D3740" s="1" t="s">
        <v>18</v>
      </c>
      <c r="E3740" s="250">
        <v>10820.22</v>
      </c>
    </row>
    <row r="3741" spans="1:5" x14ac:dyDescent="0.35">
      <c r="A3741" s="1" t="s">
        <v>19107</v>
      </c>
      <c r="B3741" s="1" t="s">
        <v>18</v>
      </c>
      <c r="C3741" s="1" t="s">
        <v>1561</v>
      </c>
      <c r="D3741" s="1" t="s">
        <v>18</v>
      </c>
      <c r="E3741" s="250">
        <v>10820.23</v>
      </c>
    </row>
    <row r="3742" spans="1:5" x14ac:dyDescent="0.35">
      <c r="A3742" s="1" t="s">
        <v>19108</v>
      </c>
      <c r="B3742" s="1" t="s">
        <v>18</v>
      </c>
      <c r="C3742" s="1" t="s">
        <v>1560</v>
      </c>
      <c r="D3742" s="1" t="s">
        <v>18</v>
      </c>
      <c r="E3742" s="250">
        <v>10820.24</v>
      </c>
    </row>
    <row r="3743" spans="1:5" x14ac:dyDescent="0.35">
      <c r="A3743" s="1" t="s">
        <v>19109</v>
      </c>
      <c r="B3743" s="1" t="s">
        <v>18</v>
      </c>
      <c r="C3743" s="1" t="s">
        <v>1559</v>
      </c>
      <c r="D3743" s="1" t="s">
        <v>18</v>
      </c>
      <c r="E3743" s="250">
        <v>10820.25</v>
      </c>
    </row>
    <row r="3744" spans="1:5" x14ac:dyDescent="0.35">
      <c r="A3744" s="1" t="s">
        <v>19110</v>
      </c>
      <c r="B3744" s="1" t="s">
        <v>18</v>
      </c>
      <c r="C3744" s="1" t="s">
        <v>1558</v>
      </c>
      <c r="D3744" s="1" t="s">
        <v>18</v>
      </c>
      <c r="E3744" s="250">
        <v>10820.26</v>
      </c>
    </row>
    <row r="3745" spans="1:5" x14ac:dyDescent="0.35">
      <c r="A3745" s="1" t="s">
        <v>19111</v>
      </c>
      <c r="B3745" s="1" t="s">
        <v>18</v>
      </c>
      <c r="C3745" s="1" t="s">
        <v>1557</v>
      </c>
      <c r="D3745" s="1" t="s">
        <v>18</v>
      </c>
      <c r="E3745" s="250">
        <v>10820.27</v>
      </c>
    </row>
    <row r="3746" spans="1:5" x14ac:dyDescent="0.35">
      <c r="A3746" s="1" t="s">
        <v>19112</v>
      </c>
      <c r="B3746" s="1" t="s">
        <v>18</v>
      </c>
      <c r="C3746" s="1" t="s">
        <v>1556</v>
      </c>
      <c r="D3746" s="1" t="s">
        <v>18</v>
      </c>
      <c r="E3746" s="250">
        <v>10820.28</v>
      </c>
    </row>
    <row r="3747" spans="1:5" x14ac:dyDescent="0.35">
      <c r="A3747" s="1" t="s">
        <v>19113</v>
      </c>
      <c r="B3747" s="1" t="s">
        <v>18</v>
      </c>
      <c r="C3747" s="1" t="s">
        <v>1555</v>
      </c>
      <c r="D3747" s="1" t="s">
        <v>18</v>
      </c>
      <c r="E3747" s="250">
        <v>10820.29</v>
      </c>
    </row>
    <row r="3748" spans="1:5" x14ac:dyDescent="0.35">
      <c r="A3748" s="1" t="s">
        <v>19114</v>
      </c>
      <c r="B3748" s="1" t="s">
        <v>18</v>
      </c>
      <c r="C3748" s="1" t="s">
        <v>1554</v>
      </c>
      <c r="D3748" s="1" t="s">
        <v>18</v>
      </c>
      <c r="E3748" s="250">
        <v>10820.31</v>
      </c>
    </row>
    <row r="3749" spans="1:5" x14ac:dyDescent="0.35">
      <c r="A3749" s="1" t="s">
        <v>19115</v>
      </c>
      <c r="B3749" s="1" t="s">
        <v>18</v>
      </c>
      <c r="C3749" s="1" t="s">
        <v>1553</v>
      </c>
      <c r="D3749" s="1" t="s">
        <v>18</v>
      </c>
      <c r="E3749" s="250">
        <v>10820.311</v>
      </c>
    </row>
    <row r="3750" spans="1:5" x14ac:dyDescent="0.35">
      <c r="A3750" s="1" t="s">
        <v>19116</v>
      </c>
      <c r="B3750" s="1" t="s">
        <v>18</v>
      </c>
      <c r="C3750" s="1" t="s">
        <v>1552</v>
      </c>
      <c r="D3750" s="1" t="s">
        <v>18</v>
      </c>
      <c r="E3750" s="250">
        <v>10820.312</v>
      </c>
    </row>
    <row r="3751" spans="1:5" x14ac:dyDescent="0.35">
      <c r="A3751" s="1" t="s">
        <v>19117</v>
      </c>
      <c r="B3751" s="1" t="s">
        <v>18</v>
      </c>
      <c r="C3751" s="1" t="s">
        <v>1551</v>
      </c>
      <c r="D3751" s="1" t="s">
        <v>18</v>
      </c>
      <c r="E3751" s="250">
        <v>10820.313</v>
      </c>
    </row>
    <row r="3752" spans="1:5" x14ac:dyDescent="0.35">
      <c r="A3752" s="1" t="s">
        <v>19118</v>
      </c>
      <c r="B3752" s="1" t="s">
        <v>18</v>
      </c>
      <c r="C3752" s="1" t="s">
        <v>1550</v>
      </c>
      <c r="D3752" s="1" t="s">
        <v>18</v>
      </c>
      <c r="E3752" s="250">
        <v>10820.314</v>
      </c>
    </row>
    <row r="3753" spans="1:5" x14ac:dyDescent="0.35">
      <c r="A3753" s="1" t="s">
        <v>19119</v>
      </c>
      <c r="B3753" s="1" t="s">
        <v>18</v>
      </c>
      <c r="C3753" s="1" t="s">
        <v>1549</v>
      </c>
      <c r="D3753" s="1" t="s">
        <v>18</v>
      </c>
      <c r="E3753" s="250">
        <v>10820.325000000001</v>
      </c>
    </row>
    <row r="3754" spans="1:5" x14ac:dyDescent="0.35">
      <c r="A3754" s="1" t="s">
        <v>19120</v>
      </c>
      <c r="B3754" s="1" t="s">
        <v>18</v>
      </c>
      <c r="C3754" s="1" t="s">
        <v>1548</v>
      </c>
      <c r="D3754" s="1" t="s">
        <v>18</v>
      </c>
      <c r="E3754" s="250">
        <v>10820.334999999999</v>
      </c>
    </row>
    <row r="3755" spans="1:5" x14ac:dyDescent="0.35">
      <c r="A3755" s="1" t="s">
        <v>19121</v>
      </c>
      <c r="B3755" s="1" t="s">
        <v>18</v>
      </c>
      <c r="C3755" s="1" t="s">
        <v>1547</v>
      </c>
      <c r="D3755" s="1" t="s">
        <v>18</v>
      </c>
      <c r="E3755" s="250">
        <v>10820.344999999999</v>
      </c>
    </row>
    <row r="3756" spans="1:5" x14ac:dyDescent="0.35">
      <c r="A3756" s="1" t="s">
        <v>19122</v>
      </c>
      <c r="B3756" s="1" t="s">
        <v>18</v>
      </c>
      <c r="C3756" s="1" t="s">
        <v>1546</v>
      </c>
      <c r="D3756" s="1" t="s">
        <v>18</v>
      </c>
      <c r="E3756" s="250">
        <v>10820.355</v>
      </c>
    </row>
    <row r="3757" spans="1:5" x14ac:dyDescent="0.35">
      <c r="A3757" s="1" t="s">
        <v>19123</v>
      </c>
      <c r="B3757" s="1" t="s">
        <v>18</v>
      </c>
      <c r="C3757" s="1" t="s">
        <v>1545</v>
      </c>
      <c r="D3757" s="1" t="s">
        <v>18</v>
      </c>
      <c r="E3757" s="250">
        <v>10820.365</v>
      </c>
    </row>
    <row r="3758" spans="1:5" x14ac:dyDescent="0.35">
      <c r="A3758" s="1" t="s">
        <v>19124</v>
      </c>
      <c r="B3758" s="1" t="s">
        <v>18</v>
      </c>
      <c r="C3758" s="1" t="s">
        <v>1544</v>
      </c>
      <c r="D3758" s="1" t="s">
        <v>18</v>
      </c>
      <c r="E3758" s="250">
        <v>10820.375</v>
      </c>
    </row>
    <row r="3759" spans="1:5" x14ac:dyDescent="0.35">
      <c r="A3759" s="1" t="s">
        <v>19125</v>
      </c>
      <c r="B3759" s="1" t="s">
        <v>18</v>
      </c>
      <c r="C3759" s="1" t="s">
        <v>1543</v>
      </c>
      <c r="D3759" s="1" t="s">
        <v>18</v>
      </c>
      <c r="E3759" s="250">
        <v>10820.385</v>
      </c>
    </row>
    <row r="3760" spans="1:5" x14ac:dyDescent="0.35">
      <c r="A3760" s="1" t="s">
        <v>19126</v>
      </c>
      <c r="B3760" s="1" t="s">
        <v>18</v>
      </c>
      <c r="C3760" s="1" t="s">
        <v>1542</v>
      </c>
      <c r="D3760" s="1" t="s">
        <v>18</v>
      </c>
      <c r="E3760" s="250">
        <v>10820.395</v>
      </c>
    </row>
    <row r="3761" spans="1:5" x14ac:dyDescent="0.35">
      <c r="A3761" s="1" t="s">
        <v>19127</v>
      </c>
      <c r="B3761" s="1" t="s">
        <v>18</v>
      </c>
      <c r="C3761" s="1" t="s">
        <v>1541</v>
      </c>
      <c r="D3761" s="1" t="s">
        <v>18</v>
      </c>
      <c r="E3761" s="250">
        <v>10820.5</v>
      </c>
    </row>
    <row r="3762" spans="1:5" x14ac:dyDescent="0.35">
      <c r="A3762" s="1" t="s">
        <v>19128</v>
      </c>
      <c r="B3762" s="1" t="s">
        <v>18</v>
      </c>
      <c r="C3762" s="1" t="s">
        <v>1540</v>
      </c>
      <c r="D3762" s="1" t="s">
        <v>18</v>
      </c>
      <c r="E3762" s="250">
        <v>10820.51</v>
      </c>
    </row>
    <row r="3763" spans="1:5" x14ac:dyDescent="0.35">
      <c r="A3763" s="1" t="s">
        <v>19129</v>
      </c>
      <c r="B3763" s="1" t="s">
        <v>18</v>
      </c>
      <c r="C3763" s="1" t="s">
        <v>1539</v>
      </c>
      <c r="D3763" s="1" t="s">
        <v>18</v>
      </c>
      <c r="E3763" s="250">
        <v>10820.52</v>
      </c>
    </row>
    <row r="3764" spans="1:5" x14ac:dyDescent="0.35">
      <c r="A3764" s="1" t="s">
        <v>19130</v>
      </c>
      <c r="B3764" s="1" t="s">
        <v>18</v>
      </c>
      <c r="C3764" s="1" t="s">
        <v>1538</v>
      </c>
      <c r="D3764" s="1" t="s">
        <v>18</v>
      </c>
      <c r="E3764" s="250">
        <v>10820.53</v>
      </c>
    </row>
    <row r="3765" spans="1:5" x14ac:dyDescent="0.35">
      <c r="A3765" s="1" t="s">
        <v>19131</v>
      </c>
      <c r="B3765" s="1" t="s">
        <v>18</v>
      </c>
      <c r="C3765" s="1" t="s">
        <v>1537</v>
      </c>
      <c r="D3765" s="1" t="s">
        <v>18</v>
      </c>
      <c r="E3765" s="250">
        <v>10820.6</v>
      </c>
    </row>
    <row r="3766" spans="1:5" x14ac:dyDescent="0.35">
      <c r="A3766" s="1" t="s">
        <v>19132</v>
      </c>
      <c r="B3766" s="1" t="s">
        <v>18</v>
      </c>
      <c r="C3766" s="1" t="s">
        <v>1536</v>
      </c>
      <c r="D3766" s="1" t="s">
        <v>18</v>
      </c>
      <c r="E3766" s="250">
        <v>10820.601000000001</v>
      </c>
    </row>
    <row r="3767" spans="1:5" x14ac:dyDescent="0.35">
      <c r="A3767" s="1" t="s">
        <v>19133</v>
      </c>
      <c r="B3767" s="1" t="s">
        <v>18</v>
      </c>
      <c r="C3767" s="1" t="s">
        <v>1535</v>
      </c>
      <c r="D3767" s="1" t="s">
        <v>18</v>
      </c>
      <c r="E3767" s="250">
        <v>10820.602000000001</v>
      </c>
    </row>
    <row r="3768" spans="1:5" x14ac:dyDescent="0.35">
      <c r="A3768" s="1" t="s">
        <v>19134</v>
      </c>
      <c r="B3768" s="1" t="s">
        <v>18</v>
      </c>
      <c r="C3768" s="1" t="s">
        <v>1534</v>
      </c>
      <c r="D3768" s="1" t="s">
        <v>18</v>
      </c>
      <c r="E3768" s="250">
        <v>10820.602999999999</v>
      </c>
    </row>
    <row r="3769" spans="1:5" x14ac:dyDescent="0.35">
      <c r="A3769" s="1" t="s">
        <v>19135</v>
      </c>
      <c r="B3769" s="1" t="s">
        <v>18</v>
      </c>
      <c r="C3769" s="1" t="s">
        <v>1533</v>
      </c>
      <c r="D3769" s="1" t="s">
        <v>18</v>
      </c>
      <c r="E3769" s="250">
        <v>10820.7</v>
      </c>
    </row>
    <row r="3770" spans="1:5" x14ac:dyDescent="0.35">
      <c r="A3770" s="1" t="s">
        <v>19136</v>
      </c>
      <c r="B3770" s="1" t="s">
        <v>18</v>
      </c>
      <c r="C3770" s="1" t="s">
        <v>1532</v>
      </c>
      <c r="D3770" s="1" t="s">
        <v>18</v>
      </c>
      <c r="E3770" s="250">
        <v>10820.71</v>
      </c>
    </row>
    <row r="3771" spans="1:5" x14ac:dyDescent="0.35">
      <c r="A3771" s="1" t="s">
        <v>19137</v>
      </c>
      <c r="B3771" s="1" t="s">
        <v>18</v>
      </c>
      <c r="C3771" s="1" t="s">
        <v>1531</v>
      </c>
      <c r="D3771" s="1" t="s">
        <v>18</v>
      </c>
      <c r="E3771" s="250">
        <v>10820.72</v>
      </c>
    </row>
    <row r="3772" spans="1:5" x14ac:dyDescent="0.35">
      <c r="A3772" s="1" t="s">
        <v>19138</v>
      </c>
      <c r="B3772" s="1" t="s">
        <v>19</v>
      </c>
      <c r="C3772" s="1" t="s">
        <v>1530</v>
      </c>
      <c r="D3772" s="1" t="s">
        <v>19</v>
      </c>
      <c r="E3772" s="250">
        <v>10900.004999999999</v>
      </c>
    </row>
    <row r="3773" spans="1:5" x14ac:dyDescent="0.35">
      <c r="A3773" s="1" t="s">
        <v>19139</v>
      </c>
      <c r="B3773" s="1" t="s">
        <v>18</v>
      </c>
      <c r="C3773" s="1" t="s">
        <v>1529</v>
      </c>
      <c r="D3773" s="1" t="s">
        <v>18</v>
      </c>
      <c r="E3773" s="250">
        <v>10900.011</v>
      </c>
    </row>
    <row r="3774" spans="1:5" x14ac:dyDescent="0.35">
      <c r="A3774" s="1" t="s">
        <v>19140</v>
      </c>
      <c r="B3774" s="1" t="s">
        <v>19</v>
      </c>
      <c r="C3774" s="1" t="s">
        <v>1528</v>
      </c>
      <c r="D3774" s="1" t="s">
        <v>19</v>
      </c>
      <c r="E3774" s="250">
        <v>10900.014999999999</v>
      </c>
    </row>
    <row r="3775" spans="1:5" x14ac:dyDescent="0.35">
      <c r="A3775" s="1" t="s">
        <v>19141</v>
      </c>
      <c r="B3775" s="1" t="s">
        <v>18</v>
      </c>
      <c r="C3775" s="1" t="s">
        <v>1527</v>
      </c>
      <c r="D3775" s="1" t="s">
        <v>18</v>
      </c>
      <c r="E3775" s="250">
        <v>10900.025</v>
      </c>
    </row>
    <row r="3776" spans="1:5" x14ac:dyDescent="0.35">
      <c r="A3776" s="1" t="s">
        <v>19142</v>
      </c>
      <c r="B3776" s="1" t="s">
        <v>18</v>
      </c>
      <c r="C3776" s="1" t="s">
        <v>1526</v>
      </c>
      <c r="D3776" s="1" t="s">
        <v>18</v>
      </c>
      <c r="E3776" s="250">
        <v>10900.026</v>
      </c>
    </row>
    <row r="3777" spans="1:5" x14ac:dyDescent="0.35">
      <c r="A3777" s="1" t="s">
        <v>19143</v>
      </c>
      <c r="B3777" s="1" t="s">
        <v>18</v>
      </c>
      <c r="C3777" s="1" t="s">
        <v>1525</v>
      </c>
      <c r="D3777" s="1" t="s">
        <v>18</v>
      </c>
      <c r="E3777" s="250">
        <v>10900.027</v>
      </c>
    </row>
    <row r="3778" spans="1:5" x14ac:dyDescent="0.35">
      <c r="A3778" s="1" t="s">
        <v>19144</v>
      </c>
      <c r="B3778" s="1" t="s">
        <v>18</v>
      </c>
      <c r="C3778" s="1" t="s">
        <v>1524</v>
      </c>
      <c r="D3778" s="1" t="s">
        <v>18</v>
      </c>
      <c r="E3778" s="250">
        <v>10900.028</v>
      </c>
    </row>
    <row r="3779" spans="1:5" s="2" customFormat="1" x14ac:dyDescent="0.35">
      <c r="E3779" s="253"/>
    </row>
    <row r="3836" spans="1:5" x14ac:dyDescent="0.35">
      <c r="A3836" s="1" t="s">
        <v>19145</v>
      </c>
      <c r="B3836" s="1" t="s">
        <v>58</v>
      </c>
      <c r="C3836" s="1" t="s">
        <v>1374</v>
      </c>
      <c r="D3836" s="1" t="s">
        <v>58</v>
      </c>
      <c r="E3836" s="250">
        <v>13009.901</v>
      </c>
    </row>
    <row r="3837" spans="1:5" x14ac:dyDescent="0.35">
      <c r="A3837" s="1" t="s">
        <v>19146</v>
      </c>
      <c r="B3837" s="1" t="s">
        <v>18</v>
      </c>
      <c r="C3837" s="1" t="s">
        <v>1379</v>
      </c>
      <c r="D3837" s="1" t="s">
        <v>18</v>
      </c>
      <c r="E3837" s="250">
        <v>13030.01</v>
      </c>
    </row>
    <row r="3838" spans="1:5" x14ac:dyDescent="0.35">
      <c r="A3838" s="1" t="s">
        <v>19147</v>
      </c>
      <c r="B3838" s="1" t="s">
        <v>20</v>
      </c>
      <c r="C3838" s="1" t="s">
        <v>1378</v>
      </c>
      <c r="D3838" s="1" t="s">
        <v>20</v>
      </c>
      <c r="E3838" s="250">
        <v>13090.01</v>
      </c>
    </row>
    <row r="3839" spans="1:5" x14ac:dyDescent="0.35">
      <c r="A3839" s="1" t="s">
        <v>19148</v>
      </c>
      <c r="B3839" s="1" t="s">
        <v>18</v>
      </c>
      <c r="C3839" s="1" t="s">
        <v>1377</v>
      </c>
      <c r="D3839" s="1" t="s">
        <v>18</v>
      </c>
      <c r="E3839" s="250">
        <v>13090.02</v>
      </c>
    </row>
    <row r="3840" spans="1:5" x14ac:dyDescent="0.35">
      <c r="A3840" s="1" t="s">
        <v>19149</v>
      </c>
      <c r="B3840" s="1" t="s">
        <v>18</v>
      </c>
      <c r="C3840" s="1" t="s">
        <v>1376</v>
      </c>
      <c r="D3840" s="1" t="s">
        <v>18</v>
      </c>
      <c r="E3840" s="250">
        <v>13090.03</v>
      </c>
    </row>
    <row r="3841" spans="1:5" x14ac:dyDescent="0.35">
      <c r="A3841" s="1" t="s">
        <v>19150</v>
      </c>
      <c r="B3841" s="1" t="s">
        <v>20</v>
      </c>
      <c r="C3841" s="1" t="s">
        <v>1375</v>
      </c>
      <c r="D3841" s="1" t="s">
        <v>20</v>
      </c>
      <c r="E3841" s="250">
        <v>13090.04</v>
      </c>
    </row>
    <row r="3842" spans="1:5" x14ac:dyDescent="0.35">
      <c r="A3842" s="1" t="s">
        <v>19151</v>
      </c>
      <c r="B3842" s="1" t="s">
        <v>18</v>
      </c>
      <c r="C3842" s="1" t="s">
        <v>1374</v>
      </c>
      <c r="D3842" s="1" t="s">
        <v>18</v>
      </c>
      <c r="E3842" s="250">
        <v>13090.101000000001</v>
      </c>
    </row>
    <row r="3843" spans="1:5" x14ac:dyDescent="0.35">
      <c r="A3843" s="1" t="s">
        <v>19152</v>
      </c>
      <c r="B3843" s="1" t="s">
        <v>57</v>
      </c>
      <c r="C3843" s="1" t="s">
        <v>1373</v>
      </c>
      <c r="D3843" s="1" t="s">
        <v>57</v>
      </c>
      <c r="E3843" s="250">
        <v>13100.004999999999</v>
      </c>
    </row>
    <row r="3844" spans="1:5" x14ac:dyDescent="0.35">
      <c r="A3844" s="1" t="s">
        <v>19153</v>
      </c>
      <c r="B3844" s="1" t="s">
        <v>19</v>
      </c>
      <c r="C3844" s="1" t="s">
        <v>1359</v>
      </c>
      <c r="D3844" s="1" t="s">
        <v>19</v>
      </c>
      <c r="E3844" s="250">
        <v>13100.005999999999</v>
      </c>
    </row>
    <row r="3845" spans="1:5" x14ac:dyDescent="0.35">
      <c r="A3845" s="1" t="s">
        <v>19154</v>
      </c>
      <c r="B3845" s="1" t="s">
        <v>19</v>
      </c>
      <c r="C3845" s="1" t="s">
        <v>1358</v>
      </c>
      <c r="D3845" s="1" t="s">
        <v>19</v>
      </c>
      <c r="E3845" s="250">
        <v>13100.007</v>
      </c>
    </row>
    <row r="3846" spans="1:5" x14ac:dyDescent="0.35">
      <c r="A3846" s="1" t="s">
        <v>19155</v>
      </c>
      <c r="B3846" s="1" t="s">
        <v>19</v>
      </c>
      <c r="C3846" s="1" t="s">
        <v>1356</v>
      </c>
      <c r="D3846" s="1" t="s">
        <v>19</v>
      </c>
      <c r="E3846" s="250">
        <v>13100.008</v>
      </c>
    </row>
    <row r="3847" spans="1:5" x14ac:dyDescent="0.35">
      <c r="A3847" s="1" t="s">
        <v>19156</v>
      </c>
      <c r="B3847" s="1" t="s">
        <v>19</v>
      </c>
      <c r="C3847" s="1" t="s">
        <v>1354</v>
      </c>
      <c r="D3847" s="1" t="s">
        <v>19</v>
      </c>
      <c r="E3847" s="250">
        <v>13100.009</v>
      </c>
    </row>
    <row r="3848" spans="1:5" x14ac:dyDescent="0.35">
      <c r="A3848" s="1" t="s">
        <v>19157</v>
      </c>
      <c r="B3848" s="1" t="s">
        <v>19</v>
      </c>
      <c r="C3848" s="1" t="s">
        <v>1369</v>
      </c>
      <c r="D3848" s="1" t="s">
        <v>19</v>
      </c>
      <c r="E3848" s="250">
        <v>13100.01</v>
      </c>
    </row>
    <row r="3849" spans="1:5" x14ac:dyDescent="0.35">
      <c r="A3849" s="1" t="s">
        <v>19158</v>
      </c>
      <c r="B3849" s="1" t="s">
        <v>19</v>
      </c>
      <c r="C3849" s="1" t="s">
        <v>1372</v>
      </c>
      <c r="D3849" s="1" t="s">
        <v>19</v>
      </c>
      <c r="E3849" s="250">
        <v>13100.011</v>
      </c>
    </row>
    <row r="3850" spans="1:5" x14ac:dyDescent="0.35">
      <c r="A3850" s="1" t="s">
        <v>19159</v>
      </c>
      <c r="B3850" s="1" t="s">
        <v>19</v>
      </c>
      <c r="C3850" s="1" t="s">
        <v>1371</v>
      </c>
      <c r="D3850" s="1" t="s">
        <v>19</v>
      </c>
      <c r="E3850" s="250">
        <v>13100.012000000001</v>
      </c>
    </row>
    <row r="3851" spans="1:5" x14ac:dyDescent="0.35">
      <c r="A3851" s="1" t="s">
        <v>19160</v>
      </c>
      <c r="B3851" s="1" t="s">
        <v>57</v>
      </c>
      <c r="C3851" s="1" t="s">
        <v>1370</v>
      </c>
      <c r="D3851" s="1" t="s">
        <v>57</v>
      </c>
      <c r="E3851" s="250">
        <v>13100.021000000001</v>
      </c>
    </row>
    <row r="3852" spans="1:5" x14ac:dyDescent="0.35">
      <c r="A3852" s="1" t="s">
        <v>19161</v>
      </c>
      <c r="B3852" s="1" t="s">
        <v>19</v>
      </c>
      <c r="C3852" s="1" t="s">
        <v>1356</v>
      </c>
      <c r="D3852" s="1" t="s">
        <v>19</v>
      </c>
      <c r="E3852" s="250">
        <v>13100.022000000001</v>
      </c>
    </row>
    <row r="3853" spans="1:5" x14ac:dyDescent="0.35">
      <c r="A3853" s="1" t="s">
        <v>19162</v>
      </c>
      <c r="B3853" s="1" t="s">
        <v>19</v>
      </c>
      <c r="C3853" s="1" t="s">
        <v>1369</v>
      </c>
      <c r="D3853" s="1" t="s">
        <v>19</v>
      </c>
      <c r="E3853" s="250">
        <v>13100.022999999999</v>
      </c>
    </row>
    <row r="3854" spans="1:5" x14ac:dyDescent="0.35">
      <c r="A3854" s="1" t="s">
        <v>19163</v>
      </c>
      <c r="B3854" s="1" t="s">
        <v>57</v>
      </c>
      <c r="C3854" s="1" t="s">
        <v>1368</v>
      </c>
      <c r="D3854" s="1" t="s">
        <v>57</v>
      </c>
      <c r="E3854" s="250">
        <v>13100.031000000001</v>
      </c>
    </row>
    <row r="3855" spans="1:5" x14ac:dyDescent="0.35">
      <c r="A3855" s="1" t="s">
        <v>19164</v>
      </c>
      <c r="B3855" s="1" t="s">
        <v>19</v>
      </c>
      <c r="C3855" s="1" t="s">
        <v>1367</v>
      </c>
      <c r="D3855" s="1" t="s">
        <v>19</v>
      </c>
      <c r="E3855" s="250">
        <v>13100.031999999999</v>
      </c>
    </row>
    <row r="3856" spans="1:5" x14ac:dyDescent="0.35">
      <c r="A3856" s="1" t="s">
        <v>19165</v>
      </c>
      <c r="B3856" s="1" t="s">
        <v>19</v>
      </c>
      <c r="C3856" s="1" t="s">
        <v>1366</v>
      </c>
      <c r="D3856" s="1" t="s">
        <v>19</v>
      </c>
      <c r="E3856" s="250">
        <v>13100.032999999999</v>
      </c>
    </row>
    <row r="3857" spans="1:5" x14ac:dyDescent="0.35">
      <c r="A3857" s="1" t="s">
        <v>19166</v>
      </c>
      <c r="B3857" s="1" t="s">
        <v>19</v>
      </c>
      <c r="C3857" s="1" t="s">
        <v>1365</v>
      </c>
      <c r="D3857" s="1" t="s">
        <v>19</v>
      </c>
      <c r="E3857" s="250">
        <v>13100.034</v>
      </c>
    </row>
    <row r="3858" spans="1:5" x14ac:dyDescent="0.35">
      <c r="A3858" s="1" t="s">
        <v>19167</v>
      </c>
      <c r="B3858" s="1" t="s">
        <v>57</v>
      </c>
      <c r="C3858" s="1" t="s">
        <v>1364</v>
      </c>
      <c r="D3858" s="1" t="s">
        <v>57</v>
      </c>
      <c r="E3858" s="250">
        <v>13100.040999999999</v>
      </c>
    </row>
    <row r="3859" spans="1:5" x14ac:dyDescent="0.35">
      <c r="A3859" s="1" t="s">
        <v>19168</v>
      </c>
      <c r="B3859" s="1" t="s">
        <v>19</v>
      </c>
      <c r="C3859" s="1" t="s">
        <v>1363</v>
      </c>
      <c r="D3859" s="1" t="s">
        <v>19</v>
      </c>
      <c r="E3859" s="250">
        <v>13100.041999999999</v>
      </c>
    </row>
    <row r="3860" spans="1:5" x14ac:dyDescent="0.35">
      <c r="A3860" s="1" t="s">
        <v>19169</v>
      </c>
      <c r="B3860" s="1" t="s">
        <v>19</v>
      </c>
      <c r="C3860" s="1" t="s">
        <v>1362</v>
      </c>
      <c r="D3860" s="1" t="s">
        <v>19</v>
      </c>
      <c r="E3860" s="250">
        <v>13100.043</v>
      </c>
    </row>
    <row r="3861" spans="1:5" x14ac:dyDescent="0.35">
      <c r="A3861" s="1" t="s">
        <v>19170</v>
      </c>
      <c r="B3861" s="1" t="s">
        <v>19</v>
      </c>
      <c r="C3861" s="1" t="s">
        <v>1361</v>
      </c>
      <c r="D3861" s="1" t="s">
        <v>19</v>
      </c>
      <c r="E3861" s="250">
        <v>13100.044</v>
      </c>
    </row>
    <row r="3862" spans="1:5" x14ac:dyDescent="0.35">
      <c r="A3862" s="1" t="s">
        <v>19171</v>
      </c>
      <c r="B3862" s="1" t="s">
        <v>57</v>
      </c>
      <c r="C3862" s="1" t="s">
        <v>1360</v>
      </c>
      <c r="D3862" s="1" t="s">
        <v>57</v>
      </c>
      <c r="E3862" s="250">
        <v>13100.050999999999</v>
      </c>
    </row>
    <row r="3863" spans="1:5" x14ac:dyDescent="0.35">
      <c r="A3863" s="1" t="s">
        <v>19172</v>
      </c>
      <c r="B3863" s="1" t="s">
        <v>19</v>
      </c>
      <c r="C3863" s="1" t="s">
        <v>1359</v>
      </c>
      <c r="D3863" s="1" t="s">
        <v>19</v>
      </c>
      <c r="E3863" s="250">
        <v>13100.052</v>
      </c>
    </row>
    <row r="3864" spans="1:5" x14ac:dyDescent="0.35">
      <c r="A3864" s="1" t="s">
        <v>19173</v>
      </c>
      <c r="B3864" s="1" t="s">
        <v>19</v>
      </c>
      <c r="C3864" s="1" t="s">
        <v>1358</v>
      </c>
      <c r="D3864" s="1" t="s">
        <v>19</v>
      </c>
      <c r="E3864" s="250">
        <v>13100.053</v>
      </c>
    </row>
    <row r="3865" spans="1:5" x14ac:dyDescent="0.35">
      <c r="A3865" s="1" t="s">
        <v>19174</v>
      </c>
      <c r="B3865" s="1" t="s">
        <v>19</v>
      </c>
      <c r="C3865" s="1" t="s">
        <v>1357</v>
      </c>
      <c r="D3865" s="1" t="s">
        <v>19</v>
      </c>
      <c r="E3865" s="250">
        <v>13100.054</v>
      </c>
    </row>
    <row r="3866" spans="1:5" x14ac:dyDescent="0.35">
      <c r="A3866" s="1" t="s">
        <v>19175</v>
      </c>
      <c r="B3866" s="1" t="s">
        <v>19</v>
      </c>
      <c r="C3866" s="1" t="s">
        <v>1356</v>
      </c>
      <c r="D3866" s="1" t="s">
        <v>19</v>
      </c>
      <c r="E3866" s="250">
        <v>13100.056</v>
      </c>
    </row>
    <row r="3867" spans="1:5" x14ac:dyDescent="0.35">
      <c r="A3867" s="1" t="s">
        <v>19176</v>
      </c>
      <c r="B3867" s="1" t="s">
        <v>57</v>
      </c>
      <c r="C3867" s="1" t="s">
        <v>1355</v>
      </c>
      <c r="D3867" s="1" t="s">
        <v>57</v>
      </c>
      <c r="E3867" s="250">
        <v>13100.058000000001</v>
      </c>
    </row>
    <row r="3868" spans="1:5" x14ac:dyDescent="0.35">
      <c r="A3868" s="1" t="s">
        <v>19177</v>
      </c>
      <c r="B3868" s="1" t="s">
        <v>19</v>
      </c>
      <c r="C3868" s="1" t="s">
        <v>1354</v>
      </c>
      <c r="D3868" s="1" t="s">
        <v>19</v>
      </c>
      <c r="E3868" s="250">
        <v>13100.058999999999</v>
      </c>
    </row>
    <row r="3869" spans="1:5" x14ac:dyDescent="0.35">
      <c r="A3869" s="1" t="s">
        <v>19178</v>
      </c>
      <c r="B3869" s="1" t="s">
        <v>57</v>
      </c>
      <c r="C3869" s="1" t="s">
        <v>1353</v>
      </c>
      <c r="D3869" s="1" t="s">
        <v>57</v>
      </c>
      <c r="E3869" s="250">
        <v>13100.065000000001</v>
      </c>
    </row>
    <row r="3870" spans="1:5" x14ac:dyDescent="0.35">
      <c r="A3870" s="1" t="s">
        <v>19179</v>
      </c>
      <c r="B3870" s="1" t="s">
        <v>19</v>
      </c>
      <c r="C3870" s="1" t="s">
        <v>1351</v>
      </c>
      <c r="D3870" s="1" t="s">
        <v>19</v>
      </c>
      <c r="E3870" s="250">
        <v>13100.066000000001</v>
      </c>
    </row>
    <row r="3871" spans="1:5" x14ac:dyDescent="0.35">
      <c r="A3871" s="1" t="s">
        <v>19180</v>
      </c>
      <c r="B3871" s="1" t="s">
        <v>57</v>
      </c>
      <c r="C3871" s="1" t="s">
        <v>1352</v>
      </c>
      <c r="D3871" s="1" t="s">
        <v>57</v>
      </c>
      <c r="E3871" s="250">
        <v>13100.067999999999</v>
      </c>
    </row>
    <row r="3872" spans="1:5" x14ac:dyDescent="0.35">
      <c r="A3872" s="1" t="s">
        <v>19181</v>
      </c>
      <c r="B3872" s="1" t="s">
        <v>19</v>
      </c>
      <c r="C3872" s="1" t="s">
        <v>1351</v>
      </c>
      <c r="D3872" s="1" t="s">
        <v>19</v>
      </c>
      <c r="E3872" s="250">
        <v>13100.069</v>
      </c>
    </row>
    <row r="3873" spans="1:5" x14ac:dyDescent="0.35">
      <c r="A3873" s="1" t="s">
        <v>19182</v>
      </c>
      <c r="B3873" s="1" t="s">
        <v>57</v>
      </c>
      <c r="C3873" s="1" t="s">
        <v>1350</v>
      </c>
      <c r="D3873" s="1" t="s">
        <v>57</v>
      </c>
      <c r="E3873" s="250">
        <v>13100.071</v>
      </c>
    </row>
    <row r="3874" spans="1:5" x14ac:dyDescent="0.35">
      <c r="A3874" s="1" t="s">
        <v>19183</v>
      </c>
      <c r="B3874" s="1" t="s">
        <v>19</v>
      </c>
      <c r="C3874" s="1" t="s">
        <v>1349</v>
      </c>
      <c r="D3874" s="1" t="s">
        <v>19</v>
      </c>
      <c r="E3874" s="250">
        <v>13100.072</v>
      </c>
    </row>
    <row r="3875" spans="1:5" x14ac:dyDescent="0.35">
      <c r="A3875" s="1" t="s">
        <v>19184</v>
      </c>
      <c r="B3875" s="1" t="s">
        <v>19</v>
      </c>
      <c r="C3875" s="1" t="s">
        <v>1346</v>
      </c>
      <c r="D3875" s="1" t="s">
        <v>19</v>
      </c>
      <c r="E3875" s="250">
        <v>13100.073</v>
      </c>
    </row>
    <row r="3876" spans="1:5" x14ac:dyDescent="0.35">
      <c r="A3876" s="1" t="s">
        <v>19185</v>
      </c>
      <c r="B3876" s="1" t="s">
        <v>19</v>
      </c>
      <c r="C3876" s="1" t="s">
        <v>1345</v>
      </c>
      <c r="D3876" s="1" t="s">
        <v>19</v>
      </c>
      <c r="E3876" s="250">
        <v>13100.074000000001</v>
      </c>
    </row>
    <row r="3877" spans="1:5" x14ac:dyDescent="0.35">
      <c r="A3877" s="1" t="s">
        <v>19186</v>
      </c>
      <c r="B3877" s="1" t="s">
        <v>19</v>
      </c>
      <c r="C3877" s="1" t="s">
        <v>1344</v>
      </c>
      <c r="D3877" s="1" t="s">
        <v>19</v>
      </c>
      <c r="E3877" s="250">
        <v>13100.075000000001</v>
      </c>
    </row>
    <row r="3878" spans="1:5" x14ac:dyDescent="0.35">
      <c r="A3878" s="1" t="s">
        <v>19187</v>
      </c>
      <c r="B3878" s="1" t="s">
        <v>19</v>
      </c>
      <c r="C3878" s="1" t="s">
        <v>1343</v>
      </c>
      <c r="D3878" s="1" t="s">
        <v>19</v>
      </c>
      <c r="E3878" s="250">
        <v>13100.075999999999</v>
      </c>
    </row>
    <row r="3879" spans="1:5" x14ac:dyDescent="0.35">
      <c r="A3879" s="1" t="s">
        <v>19188</v>
      </c>
      <c r="B3879" s="1" t="s">
        <v>19</v>
      </c>
      <c r="C3879" s="1" t="s">
        <v>1342</v>
      </c>
      <c r="D3879" s="1" t="s">
        <v>19</v>
      </c>
      <c r="E3879" s="250">
        <v>13100.076999999999</v>
      </c>
    </row>
    <row r="3880" spans="1:5" x14ac:dyDescent="0.35">
      <c r="A3880" s="1" t="s">
        <v>19189</v>
      </c>
      <c r="B3880" s="1" t="s">
        <v>19</v>
      </c>
      <c r="C3880" s="1" t="s">
        <v>1341</v>
      </c>
      <c r="D3880" s="1" t="s">
        <v>19</v>
      </c>
      <c r="E3880" s="250">
        <v>13100.078</v>
      </c>
    </row>
    <row r="3881" spans="1:5" x14ac:dyDescent="0.35">
      <c r="A3881" s="1" t="s">
        <v>19190</v>
      </c>
      <c r="B3881" s="1" t="s">
        <v>19</v>
      </c>
      <c r="C3881" s="1" t="s">
        <v>1348</v>
      </c>
      <c r="D3881" s="1" t="s">
        <v>19</v>
      </c>
      <c r="E3881" s="250">
        <v>13100.079</v>
      </c>
    </row>
    <row r="3882" spans="1:5" x14ac:dyDescent="0.35">
      <c r="A3882" s="1" t="s">
        <v>19191</v>
      </c>
      <c r="B3882" s="1" t="s">
        <v>19</v>
      </c>
      <c r="C3882" s="1" t="s">
        <v>1339</v>
      </c>
      <c r="D3882" s="1" t="s">
        <v>19</v>
      </c>
      <c r="E3882" s="250">
        <v>13100.08</v>
      </c>
    </row>
    <row r="3883" spans="1:5" x14ac:dyDescent="0.35">
      <c r="A3883" s="1" t="s">
        <v>19192</v>
      </c>
      <c r="B3883" s="1" t="s">
        <v>57</v>
      </c>
      <c r="C3883" s="1" t="s">
        <v>1347</v>
      </c>
      <c r="D3883" s="1" t="s">
        <v>57</v>
      </c>
      <c r="E3883" s="250">
        <v>13100.081</v>
      </c>
    </row>
    <row r="3884" spans="1:5" x14ac:dyDescent="0.35">
      <c r="A3884" s="1" t="s">
        <v>19193</v>
      </c>
      <c r="B3884" s="1" t="s">
        <v>19</v>
      </c>
      <c r="C3884" s="1" t="s">
        <v>1346</v>
      </c>
      <c r="D3884" s="1" t="s">
        <v>19</v>
      </c>
      <c r="E3884" s="250">
        <v>13100.082</v>
      </c>
    </row>
    <row r="3885" spans="1:5" x14ac:dyDescent="0.35">
      <c r="A3885" s="1" t="s">
        <v>19194</v>
      </c>
      <c r="B3885" s="1" t="s">
        <v>19</v>
      </c>
      <c r="C3885" s="1" t="s">
        <v>1345</v>
      </c>
      <c r="D3885" s="1" t="s">
        <v>19</v>
      </c>
      <c r="E3885" s="250">
        <v>13100.083000000001</v>
      </c>
    </row>
    <row r="3886" spans="1:5" x14ac:dyDescent="0.35">
      <c r="A3886" s="1" t="s">
        <v>19195</v>
      </c>
      <c r="B3886" s="1" t="s">
        <v>19</v>
      </c>
      <c r="C3886" s="1" t="s">
        <v>1344</v>
      </c>
      <c r="D3886" s="1" t="s">
        <v>19</v>
      </c>
      <c r="E3886" s="250">
        <v>13100.084000000001</v>
      </c>
    </row>
    <row r="3887" spans="1:5" x14ac:dyDescent="0.35">
      <c r="A3887" s="1" t="s">
        <v>19196</v>
      </c>
      <c r="B3887" s="1" t="s">
        <v>19</v>
      </c>
      <c r="C3887" s="1" t="s">
        <v>1343</v>
      </c>
      <c r="D3887" s="1" t="s">
        <v>19</v>
      </c>
      <c r="E3887" s="250">
        <v>13100.084999999999</v>
      </c>
    </row>
    <row r="3888" spans="1:5" x14ac:dyDescent="0.35">
      <c r="A3888" s="1" t="s">
        <v>19197</v>
      </c>
      <c r="B3888" s="1" t="s">
        <v>19</v>
      </c>
      <c r="C3888" s="1" t="s">
        <v>1342</v>
      </c>
      <c r="D3888" s="1" t="s">
        <v>19</v>
      </c>
      <c r="E3888" s="250">
        <v>13100.085999999999</v>
      </c>
    </row>
    <row r="3889" spans="1:5" x14ac:dyDescent="0.35">
      <c r="A3889" s="1" t="s">
        <v>19198</v>
      </c>
      <c r="B3889" s="1" t="s">
        <v>19</v>
      </c>
      <c r="C3889" s="1" t="s">
        <v>1341</v>
      </c>
      <c r="D3889" s="1" t="s">
        <v>19</v>
      </c>
      <c r="E3889" s="250">
        <v>13100.087</v>
      </c>
    </row>
    <row r="3890" spans="1:5" x14ac:dyDescent="0.35">
      <c r="A3890" s="1" t="s">
        <v>19199</v>
      </c>
      <c r="B3890" s="1" t="s">
        <v>19</v>
      </c>
      <c r="C3890" s="1" t="s">
        <v>1340</v>
      </c>
      <c r="D3890" s="1" t="s">
        <v>19</v>
      </c>
      <c r="E3890" s="250">
        <v>13100.088</v>
      </c>
    </row>
    <row r="3891" spans="1:5" x14ac:dyDescent="0.35">
      <c r="A3891" s="1" t="s">
        <v>19200</v>
      </c>
      <c r="B3891" s="1" t="s">
        <v>19</v>
      </c>
      <c r="C3891" s="1" t="s">
        <v>1339</v>
      </c>
      <c r="D3891" s="1" t="s">
        <v>19</v>
      </c>
      <c r="E3891" s="250">
        <v>13100.089</v>
      </c>
    </row>
    <row r="3892" spans="1:5" x14ac:dyDescent="0.35">
      <c r="A3892" s="1" t="s">
        <v>19201</v>
      </c>
      <c r="B3892" s="1" t="s">
        <v>57</v>
      </c>
      <c r="C3892" s="1" t="s">
        <v>1338</v>
      </c>
      <c r="D3892" s="1" t="s">
        <v>57</v>
      </c>
      <c r="E3892" s="250">
        <v>13100.1</v>
      </c>
    </row>
    <row r="3893" spans="1:5" x14ac:dyDescent="0.35">
      <c r="A3893" s="1" t="s">
        <v>19202</v>
      </c>
      <c r="B3893" s="1" t="s">
        <v>18</v>
      </c>
      <c r="C3893" s="1" t="s">
        <v>1337</v>
      </c>
      <c r="D3893" s="1" t="s">
        <v>18</v>
      </c>
      <c r="E3893" s="250">
        <v>13100.101000000001</v>
      </c>
    </row>
    <row r="3894" spans="1:5" x14ac:dyDescent="0.35">
      <c r="A3894" s="1" t="s">
        <v>19203</v>
      </c>
      <c r="B3894" s="1" t="s">
        <v>18</v>
      </c>
      <c r="C3894" s="1" t="s">
        <v>1336</v>
      </c>
      <c r="D3894" s="1" t="s">
        <v>18</v>
      </c>
      <c r="E3894" s="250">
        <v>13100.102000000001</v>
      </c>
    </row>
    <row r="3895" spans="1:5" x14ac:dyDescent="0.35">
      <c r="A3895" s="1" t="s">
        <v>19204</v>
      </c>
      <c r="B3895" s="1" t="s">
        <v>18</v>
      </c>
      <c r="C3895" s="1" t="s">
        <v>1335</v>
      </c>
      <c r="D3895" s="1" t="s">
        <v>18</v>
      </c>
      <c r="E3895" s="250">
        <v>13100.102999999999</v>
      </c>
    </row>
    <row r="3896" spans="1:5" x14ac:dyDescent="0.35">
      <c r="A3896" s="1" t="s">
        <v>19205</v>
      </c>
      <c r="B3896" s="1" t="s">
        <v>18</v>
      </c>
      <c r="C3896" s="1" t="s">
        <v>1334</v>
      </c>
      <c r="D3896" s="1" t="s">
        <v>18</v>
      </c>
      <c r="E3896" s="250">
        <v>13100.103999999999</v>
      </c>
    </row>
    <row r="3897" spans="1:5" x14ac:dyDescent="0.35">
      <c r="A3897" s="1" t="s">
        <v>19206</v>
      </c>
      <c r="B3897" s="1" t="s">
        <v>18</v>
      </c>
      <c r="C3897" s="1" t="s">
        <v>1333</v>
      </c>
      <c r="D3897" s="1" t="s">
        <v>18</v>
      </c>
      <c r="E3897" s="250">
        <v>13100.105</v>
      </c>
    </row>
    <row r="3898" spans="1:5" x14ac:dyDescent="0.35">
      <c r="A3898" s="1" t="s">
        <v>19207</v>
      </c>
      <c r="B3898" s="1" t="s">
        <v>18</v>
      </c>
      <c r="C3898" s="1" t="s">
        <v>1332</v>
      </c>
      <c r="D3898" s="1" t="s">
        <v>18</v>
      </c>
      <c r="E3898" s="250">
        <v>13100.106</v>
      </c>
    </row>
    <row r="3899" spans="1:5" x14ac:dyDescent="0.35">
      <c r="A3899" s="1" t="s">
        <v>19208</v>
      </c>
      <c r="B3899" s="1" t="s">
        <v>18</v>
      </c>
      <c r="C3899" s="1" t="s">
        <v>1331</v>
      </c>
      <c r="D3899" s="1" t="s">
        <v>18</v>
      </c>
      <c r="E3899" s="250">
        <v>13100.107</v>
      </c>
    </row>
    <row r="3900" spans="1:5" x14ac:dyDescent="0.35">
      <c r="A3900" s="1" t="s">
        <v>19209</v>
      </c>
      <c r="B3900" s="1" t="s">
        <v>18</v>
      </c>
      <c r="C3900" s="1" t="s">
        <v>1330</v>
      </c>
      <c r="D3900" s="1" t="s">
        <v>18</v>
      </c>
      <c r="E3900" s="250">
        <v>13100.108</v>
      </c>
    </row>
    <row r="3901" spans="1:5" x14ac:dyDescent="0.35">
      <c r="A3901" s="1" t="s">
        <v>19210</v>
      </c>
      <c r="B3901" s="1" t="s">
        <v>18</v>
      </c>
      <c r="C3901" s="1" t="s">
        <v>1329</v>
      </c>
      <c r="D3901" s="1" t="s">
        <v>18</v>
      </c>
      <c r="E3901" s="250">
        <v>13100.109</v>
      </c>
    </row>
    <row r="3902" spans="1:5" x14ac:dyDescent="0.35">
      <c r="A3902" s="1" t="s">
        <v>19211</v>
      </c>
      <c r="B3902" s="1" t="s">
        <v>18</v>
      </c>
      <c r="C3902" s="1" t="s">
        <v>1327</v>
      </c>
      <c r="D3902" s="1" t="s">
        <v>18</v>
      </c>
      <c r="E3902" s="250">
        <v>13100.11</v>
      </c>
    </row>
    <row r="3903" spans="1:5" x14ac:dyDescent="0.35">
      <c r="A3903" s="1" t="s">
        <v>19212</v>
      </c>
      <c r="B3903" s="1" t="s">
        <v>18</v>
      </c>
      <c r="C3903" s="1" t="s">
        <v>1326</v>
      </c>
      <c r="D3903" s="1" t="s">
        <v>18</v>
      </c>
      <c r="E3903" s="250">
        <v>13100.111000000001</v>
      </c>
    </row>
    <row r="3904" spans="1:5" x14ac:dyDescent="0.35">
      <c r="A3904" s="1" t="s">
        <v>19213</v>
      </c>
      <c r="B3904" s="1" t="s">
        <v>18</v>
      </c>
      <c r="C3904" s="1" t="s">
        <v>1325</v>
      </c>
      <c r="D3904" s="1" t="s">
        <v>18</v>
      </c>
      <c r="E3904" s="250">
        <v>13100.111999999999</v>
      </c>
    </row>
    <row r="3905" spans="1:5" x14ac:dyDescent="0.35">
      <c r="A3905" s="1" t="s">
        <v>19214</v>
      </c>
      <c r="B3905" s="1" t="s">
        <v>18</v>
      </c>
      <c r="C3905" s="1" t="s">
        <v>1324</v>
      </c>
      <c r="D3905" s="1" t="s">
        <v>18</v>
      </c>
      <c r="E3905" s="250">
        <v>13100.112999999999</v>
      </c>
    </row>
    <row r="3906" spans="1:5" x14ac:dyDescent="0.35">
      <c r="A3906" s="1" t="s">
        <v>19215</v>
      </c>
      <c r="B3906" s="1" t="s">
        <v>18</v>
      </c>
      <c r="C3906" s="1" t="s">
        <v>1323</v>
      </c>
      <c r="D3906" s="1" t="s">
        <v>18</v>
      </c>
      <c r="E3906" s="250">
        <v>13100.114</v>
      </c>
    </row>
    <row r="3907" spans="1:5" x14ac:dyDescent="0.35">
      <c r="A3907" s="1" t="s">
        <v>19216</v>
      </c>
      <c r="B3907" s="1" t="s">
        <v>18</v>
      </c>
      <c r="C3907" s="1" t="s">
        <v>1322</v>
      </c>
      <c r="D3907" s="1" t="s">
        <v>18</v>
      </c>
      <c r="E3907" s="250">
        <v>13100.115</v>
      </c>
    </row>
    <row r="3908" spans="1:5" x14ac:dyDescent="0.35">
      <c r="A3908" s="1" t="s">
        <v>19217</v>
      </c>
      <c r="B3908" s="1" t="s">
        <v>18</v>
      </c>
      <c r="C3908" s="1" t="s">
        <v>1321</v>
      </c>
      <c r="D3908" s="1" t="s">
        <v>18</v>
      </c>
      <c r="E3908" s="250">
        <v>13100.116</v>
      </c>
    </row>
    <row r="3909" spans="1:5" x14ac:dyDescent="0.35">
      <c r="A3909" s="1" t="s">
        <v>19218</v>
      </c>
      <c r="B3909" s="1" t="s">
        <v>18</v>
      </c>
      <c r="C3909" s="1" t="s">
        <v>1320</v>
      </c>
      <c r="D3909" s="1" t="s">
        <v>18</v>
      </c>
      <c r="E3909" s="250">
        <v>13100.117</v>
      </c>
    </row>
    <row r="3910" spans="1:5" x14ac:dyDescent="0.35">
      <c r="A3910" s="1" t="s">
        <v>19219</v>
      </c>
      <c r="B3910" s="1" t="s">
        <v>18</v>
      </c>
      <c r="C3910" s="1" t="s">
        <v>1319</v>
      </c>
      <c r="D3910" s="1" t="s">
        <v>18</v>
      </c>
      <c r="E3910" s="250">
        <v>13100.118</v>
      </c>
    </row>
    <row r="3911" spans="1:5" x14ac:dyDescent="0.35">
      <c r="A3911" s="1" t="s">
        <v>19220</v>
      </c>
      <c r="B3911" s="1" t="s">
        <v>18</v>
      </c>
      <c r="C3911" s="1" t="s">
        <v>1318</v>
      </c>
      <c r="D3911" s="1" t="s">
        <v>18</v>
      </c>
      <c r="E3911" s="250">
        <v>13100.119000000001</v>
      </c>
    </row>
    <row r="3912" spans="1:5" x14ac:dyDescent="0.35">
      <c r="A3912" s="1" t="s">
        <v>19221</v>
      </c>
      <c r="B3912" s="1" t="s">
        <v>18</v>
      </c>
      <c r="C3912" s="1" t="s">
        <v>1317</v>
      </c>
      <c r="D3912" s="1" t="s">
        <v>18</v>
      </c>
      <c r="E3912" s="250">
        <v>13100.12</v>
      </c>
    </row>
    <row r="3913" spans="1:5" x14ac:dyDescent="0.35">
      <c r="A3913" s="1" t="s">
        <v>19222</v>
      </c>
      <c r="B3913" s="1" t="s">
        <v>18</v>
      </c>
      <c r="C3913" s="1" t="s">
        <v>1316</v>
      </c>
      <c r="D3913" s="1" t="s">
        <v>18</v>
      </c>
      <c r="E3913" s="250">
        <v>13100.120999999999</v>
      </c>
    </row>
    <row r="3914" spans="1:5" x14ac:dyDescent="0.35">
      <c r="A3914" s="1" t="s">
        <v>19223</v>
      </c>
      <c r="B3914" s="1" t="s">
        <v>18</v>
      </c>
      <c r="C3914" s="1" t="s">
        <v>1315</v>
      </c>
      <c r="D3914" s="1" t="s">
        <v>18</v>
      </c>
      <c r="E3914" s="250">
        <v>13100.121999999999</v>
      </c>
    </row>
    <row r="3915" spans="1:5" x14ac:dyDescent="0.35">
      <c r="A3915" s="1" t="s">
        <v>19224</v>
      </c>
      <c r="B3915" s="1" t="s">
        <v>18</v>
      </c>
      <c r="C3915" s="1" t="s">
        <v>1314</v>
      </c>
      <c r="D3915" s="1" t="s">
        <v>18</v>
      </c>
      <c r="E3915" s="250">
        <v>13100.123</v>
      </c>
    </row>
    <row r="3916" spans="1:5" x14ac:dyDescent="0.35">
      <c r="A3916" s="1" t="s">
        <v>19225</v>
      </c>
      <c r="B3916" s="1" t="s">
        <v>18</v>
      </c>
      <c r="C3916" s="1" t="s">
        <v>1313</v>
      </c>
      <c r="D3916" s="1" t="s">
        <v>18</v>
      </c>
      <c r="E3916" s="250">
        <v>13100.124</v>
      </c>
    </row>
    <row r="3917" spans="1:5" x14ac:dyDescent="0.35">
      <c r="A3917" s="1" t="s">
        <v>19226</v>
      </c>
      <c r="B3917" s="1" t="s">
        <v>18</v>
      </c>
      <c r="C3917" s="1" t="s">
        <v>1312</v>
      </c>
      <c r="D3917" s="1" t="s">
        <v>18</v>
      </c>
      <c r="E3917" s="250">
        <v>13100.125</v>
      </c>
    </row>
    <row r="3918" spans="1:5" x14ac:dyDescent="0.35">
      <c r="A3918" s="1" t="s">
        <v>19227</v>
      </c>
      <c r="B3918" s="1" t="s">
        <v>18</v>
      </c>
      <c r="C3918" s="1" t="s">
        <v>1311</v>
      </c>
      <c r="D3918" s="1" t="s">
        <v>18</v>
      </c>
      <c r="E3918" s="250">
        <v>13100.126</v>
      </c>
    </row>
    <row r="3919" spans="1:5" x14ac:dyDescent="0.35">
      <c r="A3919" s="1" t="s">
        <v>19228</v>
      </c>
      <c r="B3919" s="1" t="s">
        <v>18</v>
      </c>
      <c r="C3919" s="1" t="s">
        <v>1310</v>
      </c>
      <c r="D3919" s="1" t="s">
        <v>18</v>
      </c>
      <c r="E3919" s="250">
        <v>13100.127</v>
      </c>
    </row>
    <row r="3920" spans="1:5" x14ac:dyDescent="0.35">
      <c r="A3920" s="1" t="s">
        <v>19229</v>
      </c>
      <c r="B3920" s="1" t="s">
        <v>57</v>
      </c>
      <c r="C3920" s="1" t="s">
        <v>1328</v>
      </c>
      <c r="D3920" s="1" t="s">
        <v>57</v>
      </c>
      <c r="E3920" s="250">
        <v>13100.13</v>
      </c>
    </row>
    <row r="3921" spans="1:5" x14ac:dyDescent="0.35">
      <c r="A3921" s="1" t="s">
        <v>19230</v>
      </c>
      <c r="B3921" s="1" t="s">
        <v>18</v>
      </c>
      <c r="C3921" s="1" t="s">
        <v>1327</v>
      </c>
      <c r="D3921" s="1" t="s">
        <v>18</v>
      </c>
      <c r="E3921" s="250">
        <v>13100.130999999999</v>
      </c>
    </row>
    <row r="3922" spans="1:5" x14ac:dyDescent="0.35">
      <c r="A3922" s="1" t="s">
        <v>19231</v>
      </c>
      <c r="B3922" s="1" t="s">
        <v>18</v>
      </c>
      <c r="C3922" s="1" t="s">
        <v>1326</v>
      </c>
      <c r="D3922" s="1" t="s">
        <v>18</v>
      </c>
      <c r="E3922" s="250">
        <v>13100.132</v>
      </c>
    </row>
    <row r="3923" spans="1:5" x14ac:dyDescent="0.35">
      <c r="A3923" s="1" t="s">
        <v>19232</v>
      </c>
      <c r="B3923" s="1" t="s">
        <v>18</v>
      </c>
      <c r="C3923" s="1" t="s">
        <v>1325</v>
      </c>
      <c r="D3923" s="1" t="s">
        <v>18</v>
      </c>
      <c r="E3923" s="250">
        <v>13100.133</v>
      </c>
    </row>
    <row r="3924" spans="1:5" x14ac:dyDescent="0.35">
      <c r="A3924" s="1" t="s">
        <v>19233</v>
      </c>
      <c r="B3924" s="1" t="s">
        <v>18</v>
      </c>
      <c r="C3924" s="1" t="s">
        <v>1324</v>
      </c>
      <c r="D3924" s="1" t="s">
        <v>18</v>
      </c>
      <c r="E3924" s="250">
        <v>13100.134</v>
      </c>
    </row>
    <row r="3925" spans="1:5" x14ac:dyDescent="0.35">
      <c r="A3925" s="1" t="s">
        <v>19234</v>
      </c>
      <c r="B3925" s="1" t="s">
        <v>18</v>
      </c>
      <c r="C3925" s="1" t="s">
        <v>1323</v>
      </c>
      <c r="D3925" s="1" t="s">
        <v>18</v>
      </c>
      <c r="E3925" s="250">
        <v>13100.135</v>
      </c>
    </row>
    <row r="3926" spans="1:5" x14ac:dyDescent="0.35">
      <c r="A3926" s="1" t="s">
        <v>19235</v>
      </c>
      <c r="B3926" s="1" t="s">
        <v>18</v>
      </c>
      <c r="C3926" s="1" t="s">
        <v>1322</v>
      </c>
      <c r="D3926" s="1" t="s">
        <v>18</v>
      </c>
      <c r="E3926" s="250">
        <v>13100.136</v>
      </c>
    </row>
    <row r="3927" spans="1:5" x14ac:dyDescent="0.35">
      <c r="A3927" s="1" t="s">
        <v>19236</v>
      </c>
      <c r="B3927" s="1" t="s">
        <v>18</v>
      </c>
      <c r="C3927" s="1" t="s">
        <v>1321</v>
      </c>
      <c r="D3927" s="1" t="s">
        <v>18</v>
      </c>
      <c r="E3927" s="250">
        <v>13100.137000000001</v>
      </c>
    </row>
    <row r="3928" spans="1:5" x14ac:dyDescent="0.35">
      <c r="A3928" s="1" t="s">
        <v>19237</v>
      </c>
      <c r="B3928" s="1" t="s">
        <v>18</v>
      </c>
      <c r="C3928" s="1" t="s">
        <v>1320</v>
      </c>
      <c r="D3928" s="1" t="s">
        <v>18</v>
      </c>
      <c r="E3928" s="250">
        <v>13100.138000000001</v>
      </c>
    </row>
    <row r="3929" spans="1:5" x14ac:dyDescent="0.35">
      <c r="A3929" s="1" t="s">
        <v>19238</v>
      </c>
      <c r="B3929" s="1" t="s">
        <v>18</v>
      </c>
      <c r="C3929" s="1" t="s">
        <v>1319</v>
      </c>
      <c r="D3929" s="1" t="s">
        <v>18</v>
      </c>
      <c r="E3929" s="250">
        <v>13100.138999999999</v>
      </c>
    </row>
    <row r="3930" spans="1:5" x14ac:dyDescent="0.35">
      <c r="A3930" s="1" t="s">
        <v>19239</v>
      </c>
      <c r="B3930" s="1" t="s">
        <v>18</v>
      </c>
      <c r="C3930" s="1" t="s">
        <v>1318</v>
      </c>
      <c r="D3930" s="1" t="s">
        <v>18</v>
      </c>
      <c r="E3930" s="250">
        <v>13100.14</v>
      </c>
    </row>
    <row r="3931" spans="1:5" x14ac:dyDescent="0.35">
      <c r="A3931" s="1" t="s">
        <v>19240</v>
      </c>
      <c r="B3931" s="1" t="s">
        <v>18</v>
      </c>
      <c r="C3931" s="1" t="s">
        <v>1317</v>
      </c>
      <c r="D3931" s="1" t="s">
        <v>18</v>
      </c>
      <c r="E3931" s="250">
        <v>13100.141</v>
      </c>
    </row>
    <row r="3932" spans="1:5" x14ac:dyDescent="0.35">
      <c r="A3932" s="1" t="s">
        <v>19241</v>
      </c>
      <c r="B3932" s="1" t="s">
        <v>18</v>
      </c>
      <c r="C3932" s="1" t="s">
        <v>1316</v>
      </c>
      <c r="D3932" s="1" t="s">
        <v>18</v>
      </c>
      <c r="E3932" s="250">
        <v>13100.142</v>
      </c>
    </row>
    <row r="3933" spans="1:5" x14ac:dyDescent="0.35">
      <c r="A3933" s="1" t="s">
        <v>19242</v>
      </c>
      <c r="B3933" s="1" t="s">
        <v>18</v>
      </c>
      <c r="C3933" s="1" t="s">
        <v>1315</v>
      </c>
      <c r="D3933" s="1" t="s">
        <v>18</v>
      </c>
      <c r="E3933" s="250">
        <v>13100.143</v>
      </c>
    </row>
    <row r="3934" spans="1:5" x14ac:dyDescent="0.35">
      <c r="A3934" s="1" t="s">
        <v>19243</v>
      </c>
      <c r="B3934" s="1" t="s">
        <v>18</v>
      </c>
      <c r="C3934" s="1" t="s">
        <v>1314</v>
      </c>
      <c r="D3934" s="1" t="s">
        <v>18</v>
      </c>
      <c r="E3934" s="250">
        <v>13100.144</v>
      </c>
    </row>
    <row r="3935" spans="1:5" x14ac:dyDescent="0.35">
      <c r="A3935" s="1" t="s">
        <v>19244</v>
      </c>
      <c r="B3935" s="1" t="s">
        <v>18</v>
      </c>
      <c r="C3935" s="1" t="s">
        <v>1313</v>
      </c>
      <c r="D3935" s="1" t="s">
        <v>18</v>
      </c>
      <c r="E3935" s="250">
        <v>13100.145</v>
      </c>
    </row>
    <row r="3936" spans="1:5" x14ac:dyDescent="0.35">
      <c r="A3936" s="1" t="s">
        <v>19245</v>
      </c>
      <c r="B3936" s="1" t="s">
        <v>18</v>
      </c>
      <c r="C3936" s="1" t="s">
        <v>1312</v>
      </c>
      <c r="D3936" s="1" t="s">
        <v>18</v>
      </c>
      <c r="E3936" s="250">
        <v>13100.146000000001</v>
      </c>
    </row>
    <row r="3937" spans="1:5" x14ac:dyDescent="0.35">
      <c r="A3937" s="1" t="s">
        <v>19246</v>
      </c>
      <c r="B3937" s="1" t="s">
        <v>18</v>
      </c>
      <c r="C3937" s="1" t="s">
        <v>1311</v>
      </c>
      <c r="D3937" s="1" t="s">
        <v>18</v>
      </c>
      <c r="E3937" s="250">
        <v>13100.147000000001</v>
      </c>
    </row>
    <row r="3938" spans="1:5" x14ac:dyDescent="0.35">
      <c r="A3938" s="1" t="s">
        <v>19247</v>
      </c>
      <c r="B3938" s="1" t="s">
        <v>18</v>
      </c>
      <c r="C3938" s="1" t="s">
        <v>1310</v>
      </c>
      <c r="D3938" s="1" t="s">
        <v>18</v>
      </c>
      <c r="E3938" s="250">
        <v>13100.147999999999</v>
      </c>
    </row>
    <row r="3939" spans="1:5" x14ac:dyDescent="0.35">
      <c r="A3939" s="1" t="s">
        <v>19248</v>
      </c>
      <c r="B3939" s="1" t="s">
        <v>57</v>
      </c>
      <c r="C3939" s="1" t="s">
        <v>1309</v>
      </c>
      <c r="D3939" s="1" t="s">
        <v>57</v>
      </c>
      <c r="E3939" s="250">
        <v>13100.15</v>
      </c>
    </row>
    <row r="3940" spans="1:5" x14ac:dyDescent="0.35">
      <c r="A3940" s="1" t="s">
        <v>19249</v>
      </c>
      <c r="B3940" s="1" t="s">
        <v>18</v>
      </c>
      <c r="C3940" s="1" t="s">
        <v>1308</v>
      </c>
      <c r="D3940" s="1" t="s">
        <v>18</v>
      </c>
      <c r="E3940" s="250">
        <v>13100.151</v>
      </c>
    </row>
    <row r="3941" spans="1:5" x14ac:dyDescent="0.35">
      <c r="A3941" s="1" t="s">
        <v>19250</v>
      </c>
      <c r="B3941" s="1" t="s">
        <v>18</v>
      </c>
      <c r="C3941" s="1" t="s">
        <v>1307</v>
      </c>
      <c r="D3941" s="1" t="s">
        <v>18</v>
      </c>
      <c r="E3941" s="250">
        <v>13100.152</v>
      </c>
    </row>
    <row r="3942" spans="1:5" x14ac:dyDescent="0.35">
      <c r="A3942" s="1" t="s">
        <v>19251</v>
      </c>
      <c r="B3942" s="1" t="s">
        <v>18</v>
      </c>
      <c r="C3942" s="1" t="s">
        <v>1306</v>
      </c>
      <c r="D3942" s="1" t="s">
        <v>18</v>
      </c>
      <c r="E3942" s="250">
        <v>13100.153</v>
      </c>
    </row>
    <row r="3943" spans="1:5" x14ac:dyDescent="0.35">
      <c r="A3943" s="1" t="s">
        <v>19252</v>
      </c>
      <c r="B3943" s="1" t="s">
        <v>18</v>
      </c>
      <c r="C3943" s="1" t="s">
        <v>1305</v>
      </c>
      <c r="D3943" s="1" t="s">
        <v>18</v>
      </c>
      <c r="E3943" s="250">
        <v>13100.154</v>
      </c>
    </row>
    <row r="3944" spans="1:5" x14ac:dyDescent="0.35">
      <c r="A3944" s="1" t="s">
        <v>19253</v>
      </c>
      <c r="B3944" s="1" t="s">
        <v>18</v>
      </c>
      <c r="C3944" s="1" t="s">
        <v>1304</v>
      </c>
      <c r="D3944" s="1" t="s">
        <v>18</v>
      </c>
      <c r="E3944" s="250">
        <v>13100.155000000001</v>
      </c>
    </row>
    <row r="3945" spans="1:5" x14ac:dyDescent="0.35">
      <c r="A3945" s="1" t="s">
        <v>19254</v>
      </c>
      <c r="B3945" s="1" t="s">
        <v>18</v>
      </c>
      <c r="C3945" s="1" t="s">
        <v>1303</v>
      </c>
      <c r="D3945" s="1" t="s">
        <v>18</v>
      </c>
      <c r="E3945" s="250">
        <v>13100.156000000001</v>
      </c>
    </row>
    <row r="3946" spans="1:5" x14ac:dyDescent="0.35">
      <c r="A3946" s="1" t="s">
        <v>19255</v>
      </c>
      <c r="B3946" s="1" t="s">
        <v>18</v>
      </c>
      <c r="C3946" s="1" t="s">
        <v>1302</v>
      </c>
      <c r="D3946" s="1" t="s">
        <v>18</v>
      </c>
      <c r="E3946" s="250">
        <v>13100.156999999999</v>
      </c>
    </row>
    <row r="3947" spans="1:5" x14ac:dyDescent="0.35">
      <c r="A3947" s="1" t="s">
        <v>19256</v>
      </c>
      <c r="B3947" s="1" t="s">
        <v>18</v>
      </c>
      <c r="C3947" s="1" t="s">
        <v>1301</v>
      </c>
      <c r="D3947" s="1" t="s">
        <v>18</v>
      </c>
      <c r="E3947" s="250">
        <v>13100.157999999999</v>
      </c>
    </row>
    <row r="3948" spans="1:5" x14ac:dyDescent="0.35">
      <c r="A3948" s="1" t="s">
        <v>19257</v>
      </c>
      <c r="B3948" s="1" t="s">
        <v>18</v>
      </c>
      <c r="C3948" s="1" t="s">
        <v>1300</v>
      </c>
      <c r="D3948" s="1" t="s">
        <v>18</v>
      </c>
      <c r="E3948" s="250">
        <v>13100.159</v>
      </c>
    </row>
    <row r="3949" spans="1:5" x14ac:dyDescent="0.35">
      <c r="A3949" s="1" t="s">
        <v>19258</v>
      </c>
      <c r="B3949" s="1" t="s">
        <v>18</v>
      </c>
      <c r="C3949" s="1" t="s">
        <v>1299</v>
      </c>
      <c r="D3949" s="1" t="s">
        <v>18</v>
      </c>
      <c r="E3949" s="250">
        <v>13100.16</v>
      </c>
    </row>
    <row r="3950" spans="1:5" x14ac:dyDescent="0.35">
      <c r="A3950" s="1" t="s">
        <v>19259</v>
      </c>
      <c r="B3950" s="1" t="s">
        <v>18</v>
      </c>
      <c r="C3950" s="1" t="s">
        <v>1298</v>
      </c>
      <c r="D3950" s="1" t="s">
        <v>18</v>
      </c>
      <c r="E3950" s="250">
        <v>13100.161</v>
      </c>
    </row>
    <row r="3951" spans="1:5" x14ac:dyDescent="0.35">
      <c r="A3951" s="1" t="s">
        <v>19260</v>
      </c>
      <c r="B3951" s="1" t="s">
        <v>18</v>
      </c>
      <c r="C3951" s="1" t="s">
        <v>1297</v>
      </c>
      <c r="D3951" s="1" t="s">
        <v>18</v>
      </c>
      <c r="E3951" s="250">
        <v>13100.162</v>
      </c>
    </row>
    <row r="3952" spans="1:5" x14ac:dyDescent="0.35">
      <c r="A3952" s="1" t="s">
        <v>19261</v>
      </c>
      <c r="B3952" s="1" t="s">
        <v>18</v>
      </c>
      <c r="C3952" s="1" t="s">
        <v>1296</v>
      </c>
      <c r="D3952" s="1" t="s">
        <v>18</v>
      </c>
      <c r="E3952" s="250">
        <v>13100.163</v>
      </c>
    </row>
    <row r="3953" spans="1:5" x14ac:dyDescent="0.35">
      <c r="A3953" s="1" t="s">
        <v>19262</v>
      </c>
      <c r="B3953" s="1" t="s">
        <v>18</v>
      </c>
      <c r="C3953" s="1" t="s">
        <v>1295</v>
      </c>
      <c r="D3953" s="1" t="s">
        <v>18</v>
      </c>
      <c r="E3953" s="250">
        <v>13100.164000000001</v>
      </c>
    </row>
    <row r="3954" spans="1:5" x14ac:dyDescent="0.35">
      <c r="A3954" s="1" t="s">
        <v>19263</v>
      </c>
      <c r="B3954" s="1" t="s">
        <v>18</v>
      </c>
      <c r="C3954" s="1" t="s">
        <v>1294</v>
      </c>
      <c r="D3954" s="1" t="s">
        <v>18</v>
      </c>
      <c r="E3954" s="250">
        <v>13100.165000000001</v>
      </c>
    </row>
    <row r="3955" spans="1:5" x14ac:dyDescent="0.35">
      <c r="A3955" s="1" t="s">
        <v>19264</v>
      </c>
      <c r="B3955" s="1" t="s">
        <v>18</v>
      </c>
      <c r="C3955" s="1" t="s">
        <v>1293</v>
      </c>
      <c r="D3955" s="1" t="s">
        <v>18</v>
      </c>
      <c r="E3955" s="250">
        <v>13100.166999999999</v>
      </c>
    </row>
    <row r="3956" spans="1:5" x14ac:dyDescent="0.35">
      <c r="A3956" s="1" t="s">
        <v>19265</v>
      </c>
      <c r="B3956" s="1" t="s">
        <v>18</v>
      </c>
      <c r="C3956" s="1" t="s">
        <v>1292</v>
      </c>
      <c r="D3956" s="1" t="s">
        <v>18</v>
      </c>
      <c r="E3956" s="250">
        <v>13100.168</v>
      </c>
    </row>
    <row r="3957" spans="1:5" x14ac:dyDescent="0.35">
      <c r="A3957" s="1" t="s">
        <v>19266</v>
      </c>
      <c r="B3957" s="1" t="s">
        <v>18</v>
      </c>
      <c r="C3957" s="1" t="s">
        <v>1291</v>
      </c>
      <c r="D3957" s="1" t="s">
        <v>18</v>
      </c>
      <c r="E3957" s="250">
        <v>13100.169</v>
      </c>
    </row>
    <row r="3958" spans="1:5" x14ac:dyDescent="0.35">
      <c r="A3958" s="1" t="s">
        <v>19267</v>
      </c>
      <c r="B3958" s="1" t="s">
        <v>18</v>
      </c>
      <c r="C3958" s="1" t="s">
        <v>1290</v>
      </c>
      <c r="D3958" s="1" t="s">
        <v>18</v>
      </c>
      <c r="E3958" s="250">
        <v>13100.17</v>
      </c>
    </row>
    <row r="3959" spans="1:5" x14ac:dyDescent="0.35">
      <c r="A3959" s="1" t="s">
        <v>19268</v>
      </c>
      <c r="B3959" s="1" t="s">
        <v>57</v>
      </c>
      <c r="C3959" s="1" t="s">
        <v>1289</v>
      </c>
      <c r="D3959" s="1" t="s">
        <v>57</v>
      </c>
      <c r="E3959" s="250">
        <v>13100.174999999999</v>
      </c>
    </row>
    <row r="3960" spans="1:5" x14ac:dyDescent="0.35">
      <c r="A3960" s="1" t="s">
        <v>19269</v>
      </c>
      <c r="B3960" s="1" t="s">
        <v>18</v>
      </c>
      <c r="C3960" s="1" t="s">
        <v>1288</v>
      </c>
      <c r="D3960" s="1" t="s">
        <v>18</v>
      </c>
      <c r="E3960" s="250">
        <v>13100.175999999999</v>
      </c>
    </row>
    <row r="3961" spans="1:5" x14ac:dyDescent="0.35">
      <c r="A3961" s="1" t="s">
        <v>19270</v>
      </c>
      <c r="B3961" s="1" t="s">
        <v>18</v>
      </c>
      <c r="C3961" s="1" t="s">
        <v>1287</v>
      </c>
      <c r="D3961" s="1" t="s">
        <v>18</v>
      </c>
      <c r="E3961" s="250">
        <v>13100.177</v>
      </c>
    </row>
    <row r="3962" spans="1:5" x14ac:dyDescent="0.35">
      <c r="A3962" s="1" t="s">
        <v>19271</v>
      </c>
      <c r="B3962" s="1" t="s">
        <v>18</v>
      </c>
      <c r="C3962" s="1" t="s">
        <v>1286</v>
      </c>
      <c r="D3962" s="1" t="s">
        <v>18</v>
      </c>
      <c r="E3962" s="250">
        <v>13100.178</v>
      </c>
    </row>
    <row r="3963" spans="1:5" x14ac:dyDescent="0.35">
      <c r="A3963" s="1" t="s">
        <v>19272</v>
      </c>
      <c r="B3963" s="1" t="s">
        <v>18</v>
      </c>
      <c r="C3963" s="1" t="s">
        <v>1285</v>
      </c>
      <c r="D3963" s="1" t="s">
        <v>18</v>
      </c>
      <c r="E3963" s="250">
        <v>13100.18</v>
      </c>
    </row>
    <row r="3964" spans="1:5" x14ac:dyDescent="0.35">
      <c r="A3964" s="1" t="s">
        <v>19273</v>
      </c>
      <c r="B3964" s="1" t="s">
        <v>18</v>
      </c>
      <c r="C3964" s="1" t="s">
        <v>1284</v>
      </c>
      <c r="D3964" s="1" t="s">
        <v>18</v>
      </c>
      <c r="E3964" s="250">
        <v>13100.181</v>
      </c>
    </row>
    <row r="3965" spans="1:5" x14ac:dyDescent="0.35">
      <c r="A3965" s="1" t="s">
        <v>19274</v>
      </c>
      <c r="B3965" s="1" t="s">
        <v>18</v>
      </c>
      <c r="C3965" s="1" t="s">
        <v>1283</v>
      </c>
      <c r="D3965" s="1" t="s">
        <v>18</v>
      </c>
      <c r="E3965" s="250">
        <v>13100.182000000001</v>
      </c>
    </row>
    <row r="3966" spans="1:5" x14ac:dyDescent="0.35">
      <c r="A3966" s="1" t="s">
        <v>19275</v>
      </c>
      <c r="B3966" s="1" t="s">
        <v>18</v>
      </c>
      <c r="C3966" s="1" t="s">
        <v>1282</v>
      </c>
      <c r="D3966" s="1" t="s">
        <v>18</v>
      </c>
      <c r="E3966" s="250">
        <v>13100.183000000001</v>
      </c>
    </row>
    <row r="3967" spans="1:5" x14ac:dyDescent="0.35">
      <c r="A3967" s="1" t="s">
        <v>19276</v>
      </c>
      <c r="B3967" s="1" t="s">
        <v>18</v>
      </c>
      <c r="C3967" s="1" t="s">
        <v>1281</v>
      </c>
      <c r="D3967" s="1" t="s">
        <v>18</v>
      </c>
      <c r="E3967" s="250">
        <v>13100.183999999999</v>
      </c>
    </row>
    <row r="3968" spans="1:5" x14ac:dyDescent="0.35">
      <c r="A3968" s="1" t="s">
        <v>19277</v>
      </c>
      <c r="B3968" s="1" t="s">
        <v>18</v>
      </c>
      <c r="C3968" s="1" t="s">
        <v>1280</v>
      </c>
      <c r="D3968" s="1" t="s">
        <v>18</v>
      </c>
      <c r="E3968" s="250">
        <v>13100.184999999999</v>
      </c>
    </row>
    <row r="3969" spans="1:5" x14ac:dyDescent="0.35">
      <c r="A3969" s="1" t="s">
        <v>19278</v>
      </c>
      <c r="B3969" s="1" t="s">
        <v>18</v>
      </c>
      <c r="C3969" s="1" t="s">
        <v>1279</v>
      </c>
      <c r="D3969" s="1" t="s">
        <v>18</v>
      </c>
      <c r="E3969" s="250">
        <v>13100.186</v>
      </c>
    </row>
    <row r="3970" spans="1:5" x14ac:dyDescent="0.35">
      <c r="A3970" s="1" t="s">
        <v>19279</v>
      </c>
      <c r="B3970" s="1" t="s">
        <v>18</v>
      </c>
      <c r="C3970" s="1" t="s">
        <v>1278</v>
      </c>
      <c r="D3970" s="1" t="s">
        <v>18</v>
      </c>
      <c r="E3970" s="250">
        <v>13100.187</v>
      </c>
    </row>
    <row r="3971" spans="1:5" x14ac:dyDescent="0.35">
      <c r="A3971" s="1" t="s">
        <v>19280</v>
      </c>
      <c r="B3971" s="1" t="s">
        <v>18</v>
      </c>
      <c r="C3971" s="1" t="s">
        <v>1277</v>
      </c>
      <c r="D3971" s="1" t="s">
        <v>18</v>
      </c>
      <c r="E3971" s="250">
        <v>13100.188</v>
      </c>
    </row>
    <row r="3972" spans="1:5" x14ac:dyDescent="0.35">
      <c r="A3972" s="1" t="s">
        <v>19281</v>
      </c>
      <c r="B3972" s="1" t="s">
        <v>18</v>
      </c>
      <c r="C3972" s="1" t="s">
        <v>1276</v>
      </c>
      <c r="D3972" s="1" t="s">
        <v>18</v>
      </c>
      <c r="E3972" s="250">
        <v>13100.189</v>
      </c>
    </row>
    <row r="3973" spans="1:5" x14ac:dyDescent="0.35">
      <c r="A3973" s="1" t="s">
        <v>19282</v>
      </c>
      <c r="B3973" s="1" t="s">
        <v>18</v>
      </c>
      <c r="C3973" s="1" t="s">
        <v>1275</v>
      </c>
      <c r="D3973" s="1" t="s">
        <v>18</v>
      </c>
      <c r="E3973" s="250">
        <v>13100.19</v>
      </c>
    </row>
    <row r="3974" spans="1:5" x14ac:dyDescent="0.35">
      <c r="A3974" s="1" t="s">
        <v>19283</v>
      </c>
      <c r="B3974" s="1" t="s">
        <v>18</v>
      </c>
      <c r="C3974" s="1" t="s">
        <v>1274</v>
      </c>
      <c r="D3974" s="1" t="s">
        <v>18</v>
      </c>
      <c r="E3974" s="250">
        <v>13100.191000000001</v>
      </c>
    </row>
    <row r="3975" spans="1:5" x14ac:dyDescent="0.35">
      <c r="A3975" s="1" t="s">
        <v>19284</v>
      </c>
      <c r="B3975" s="1" t="s">
        <v>18</v>
      </c>
      <c r="C3975" s="1" t="s">
        <v>1273</v>
      </c>
      <c r="D3975" s="1" t="s">
        <v>18</v>
      </c>
      <c r="E3975" s="250">
        <v>13100.191999999999</v>
      </c>
    </row>
    <row r="3976" spans="1:5" x14ac:dyDescent="0.35">
      <c r="A3976" s="1" t="s">
        <v>19285</v>
      </c>
      <c r="B3976" s="1" t="s">
        <v>18</v>
      </c>
      <c r="C3976" s="1" t="s">
        <v>1272</v>
      </c>
      <c r="D3976" s="1" t="s">
        <v>18</v>
      </c>
      <c r="E3976" s="250">
        <v>13100.192999999999</v>
      </c>
    </row>
    <row r="3977" spans="1:5" x14ac:dyDescent="0.35">
      <c r="A3977" s="1" t="s">
        <v>19286</v>
      </c>
      <c r="B3977" s="1" t="s">
        <v>18</v>
      </c>
      <c r="C3977" s="1" t="s">
        <v>1271</v>
      </c>
      <c r="D3977" s="1" t="s">
        <v>18</v>
      </c>
      <c r="E3977" s="250">
        <v>13100.194</v>
      </c>
    </row>
    <row r="3978" spans="1:5" x14ac:dyDescent="0.35">
      <c r="A3978" s="1" t="s">
        <v>19287</v>
      </c>
      <c r="B3978" s="1" t="s">
        <v>18</v>
      </c>
      <c r="C3978" s="1" t="s">
        <v>1270</v>
      </c>
      <c r="D3978" s="1" t="s">
        <v>18</v>
      </c>
      <c r="E3978" s="250">
        <v>13100.195</v>
      </c>
    </row>
    <row r="3979" spans="1:5" x14ac:dyDescent="0.35">
      <c r="A3979" s="1" t="s">
        <v>19288</v>
      </c>
      <c r="B3979" s="1" t="s">
        <v>18</v>
      </c>
      <c r="C3979" s="1" t="s">
        <v>1269</v>
      </c>
      <c r="D3979" s="1" t="s">
        <v>18</v>
      </c>
      <c r="E3979" s="250">
        <v>13100.196</v>
      </c>
    </row>
    <row r="3980" spans="1:5" x14ac:dyDescent="0.35">
      <c r="A3980" s="1" t="s">
        <v>19289</v>
      </c>
      <c r="B3980" s="1" t="s">
        <v>18</v>
      </c>
      <c r="C3980" s="1" t="s">
        <v>1268</v>
      </c>
      <c r="D3980" s="1" t="s">
        <v>18</v>
      </c>
      <c r="E3980" s="250">
        <v>13100.197</v>
      </c>
    </row>
    <row r="3981" spans="1:5" x14ac:dyDescent="0.35">
      <c r="A3981" s="1" t="s">
        <v>19290</v>
      </c>
      <c r="B3981" s="1" t="s">
        <v>18</v>
      </c>
      <c r="C3981" s="1" t="s">
        <v>1267</v>
      </c>
      <c r="D3981" s="1" t="s">
        <v>18</v>
      </c>
      <c r="E3981" s="250">
        <v>13100.198</v>
      </c>
    </row>
    <row r="3982" spans="1:5" x14ac:dyDescent="0.35">
      <c r="A3982" s="1" t="s">
        <v>19291</v>
      </c>
      <c r="B3982" s="1" t="s">
        <v>18</v>
      </c>
      <c r="C3982" s="1" t="s">
        <v>1266</v>
      </c>
      <c r="D3982" s="1" t="s">
        <v>18</v>
      </c>
      <c r="E3982" s="250">
        <v>13100.199000000001</v>
      </c>
    </row>
    <row r="3983" spans="1:5" x14ac:dyDescent="0.35">
      <c r="A3983" s="1" t="s">
        <v>19292</v>
      </c>
      <c r="B3983" s="1" t="s">
        <v>18</v>
      </c>
      <c r="C3983" s="1" t="s">
        <v>1265</v>
      </c>
      <c r="D3983" s="1" t="s">
        <v>18</v>
      </c>
      <c r="E3983" s="250">
        <v>13100.2</v>
      </c>
    </row>
    <row r="3984" spans="1:5" x14ac:dyDescent="0.35">
      <c r="A3984" s="1" t="s">
        <v>19293</v>
      </c>
      <c r="B3984" s="1" t="s">
        <v>18</v>
      </c>
      <c r="C3984" s="1" t="s">
        <v>1264</v>
      </c>
      <c r="D3984" s="1" t="s">
        <v>18</v>
      </c>
      <c r="E3984" s="250">
        <v>13100.200999999999</v>
      </c>
    </row>
    <row r="3985" spans="1:5" x14ac:dyDescent="0.35">
      <c r="A3985" s="1" t="s">
        <v>19294</v>
      </c>
      <c r="B3985" s="1" t="s">
        <v>18</v>
      </c>
      <c r="C3985" s="1" t="s">
        <v>1263</v>
      </c>
      <c r="D3985" s="1" t="s">
        <v>18</v>
      </c>
      <c r="E3985" s="250">
        <v>13100.201999999999</v>
      </c>
    </row>
    <row r="3986" spans="1:5" x14ac:dyDescent="0.35">
      <c r="A3986" s="1" t="s">
        <v>19295</v>
      </c>
      <c r="B3986" s="1" t="s">
        <v>18</v>
      </c>
      <c r="C3986" s="1" t="s">
        <v>1262</v>
      </c>
      <c r="D3986" s="1" t="s">
        <v>18</v>
      </c>
      <c r="E3986" s="250">
        <v>13100.203</v>
      </c>
    </row>
    <row r="3987" spans="1:5" x14ac:dyDescent="0.35">
      <c r="A3987" s="1" t="s">
        <v>19296</v>
      </c>
      <c r="B3987" s="1" t="s">
        <v>18</v>
      </c>
      <c r="C3987" s="1" t="s">
        <v>1261</v>
      </c>
      <c r="D3987" s="1" t="s">
        <v>18</v>
      </c>
      <c r="E3987" s="250">
        <v>13100.204</v>
      </c>
    </row>
    <row r="3988" spans="1:5" x14ac:dyDescent="0.35">
      <c r="A3988" s="1" t="s">
        <v>19297</v>
      </c>
      <c r="B3988" s="1" t="s">
        <v>18</v>
      </c>
      <c r="C3988" s="1" t="s">
        <v>1260</v>
      </c>
      <c r="D3988" s="1" t="s">
        <v>18</v>
      </c>
      <c r="E3988" s="250">
        <v>13100.205</v>
      </c>
    </row>
    <row r="3989" spans="1:5" x14ac:dyDescent="0.35">
      <c r="A3989" s="1" t="s">
        <v>19298</v>
      </c>
      <c r="B3989" s="1" t="s">
        <v>18</v>
      </c>
      <c r="C3989" s="1" t="s">
        <v>1259</v>
      </c>
      <c r="D3989" s="1" t="s">
        <v>18</v>
      </c>
      <c r="E3989" s="250">
        <v>13100.206</v>
      </c>
    </row>
    <row r="3990" spans="1:5" x14ac:dyDescent="0.35">
      <c r="A3990" s="1" t="s">
        <v>19299</v>
      </c>
      <c r="B3990" s="1" t="s">
        <v>18</v>
      </c>
      <c r="C3990" s="1" t="s">
        <v>1259</v>
      </c>
      <c r="D3990" s="1" t="s">
        <v>18</v>
      </c>
      <c r="E3990" s="250">
        <v>13100.207</v>
      </c>
    </row>
    <row r="3991" spans="1:5" x14ac:dyDescent="0.35">
      <c r="A3991" s="1" t="s">
        <v>19300</v>
      </c>
      <c r="B3991" s="1" t="s">
        <v>18</v>
      </c>
      <c r="C3991" s="1" t="s">
        <v>1258</v>
      </c>
      <c r="D3991" s="1" t="s">
        <v>18</v>
      </c>
      <c r="E3991" s="250">
        <v>13100.208000000001</v>
      </c>
    </row>
    <row r="3992" spans="1:5" x14ac:dyDescent="0.35">
      <c r="A3992" s="1" t="s">
        <v>19301</v>
      </c>
      <c r="B3992" s="1" t="s">
        <v>18</v>
      </c>
      <c r="C3992" s="1" t="s">
        <v>1257</v>
      </c>
      <c r="D3992" s="1" t="s">
        <v>18</v>
      </c>
      <c r="E3992" s="250">
        <v>13100.209000000001</v>
      </c>
    </row>
    <row r="3993" spans="1:5" x14ac:dyDescent="0.35">
      <c r="A3993" s="1" t="s">
        <v>19302</v>
      </c>
      <c r="B3993" s="1" t="s">
        <v>18</v>
      </c>
      <c r="C3993" s="1" t="s">
        <v>1256</v>
      </c>
      <c r="D3993" s="1" t="s">
        <v>18</v>
      </c>
      <c r="E3993" s="250">
        <v>13100.21</v>
      </c>
    </row>
    <row r="3994" spans="1:5" x14ac:dyDescent="0.35">
      <c r="A3994" s="1" t="s">
        <v>19303</v>
      </c>
      <c r="B3994" s="1" t="s">
        <v>18</v>
      </c>
      <c r="C3994" s="1" t="s">
        <v>1255</v>
      </c>
      <c r="D3994" s="1" t="s">
        <v>18</v>
      </c>
      <c r="E3994" s="250">
        <v>13100.210999999999</v>
      </c>
    </row>
    <row r="3995" spans="1:5" x14ac:dyDescent="0.35">
      <c r="A3995" s="1" t="s">
        <v>19304</v>
      </c>
      <c r="B3995" s="1" t="s">
        <v>18</v>
      </c>
      <c r="C3995" s="1" t="s">
        <v>1254</v>
      </c>
      <c r="D3995" s="1" t="s">
        <v>18</v>
      </c>
      <c r="E3995" s="250">
        <v>13100.212</v>
      </c>
    </row>
    <row r="3996" spans="1:5" x14ac:dyDescent="0.35">
      <c r="A3996" s="1" t="s">
        <v>19305</v>
      </c>
      <c r="B3996" s="1" t="s">
        <v>18</v>
      </c>
      <c r="C3996" s="1" t="s">
        <v>1253</v>
      </c>
      <c r="D3996" s="1" t="s">
        <v>18</v>
      </c>
      <c r="E3996" s="250">
        <v>13100.213</v>
      </c>
    </row>
    <row r="3997" spans="1:5" x14ac:dyDescent="0.35">
      <c r="A3997" s="1" t="s">
        <v>19306</v>
      </c>
      <c r="B3997" s="1" t="s">
        <v>18</v>
      </c>
      <c r="C3997" s="1" t="s">
        <v>1252</v>
      </c>
      <c r="D3997" s="1" t="s">
        <v>18</v>
      </c>
      <c r="E3997" s="250">
        <v>13100.214</v>
      </c>
    </row>
    <row r="3998" spans="1:5" x14ac:dyDescent="0.35">
      <c r="A3998" s="1" t="s">
        <v>19307</v>
      </c>
      <c r="B3998" s="1" t="s">
        <v>18</v>
      </c>
      <c r="C3998" s="1" t="s">
        <v>1251</v>
      </c>
      <c r="D3998" s="1" t="s">
        <v>18</v>
      </c>
      <c r="E3998" s="250">
        <v>13100.215</v>
      </c>
    </row>
    <row r="3999" spans="1:5" x14ac:dyDescent="0.35">
      <c r="A3999" s="1" t="s">
        <v>19308</v>
      </c>
      <c r="B3999" s="1" t="s">
        <v>18</v>
      </c>
      <c r="C3999" s="1" t="s">
        <v>1250</v>
      </c>
      <c r="D3999" s="1" t="s">
        <v>18</v>
      </c>
      <c r="E3999" s="250">
        <v>13100.216</v>
      </c>
    </row>
    <row r="4000" spans="1:5" x14ac:dyDescent="0.35">
      <c r="A4000" s="1" t="s">
        <v>19309</v>
      </c>
      <c r="B4000" s="1" t="s">
        <v>18</v>
      </c>
      <c r="C4000" s="1" t="s">
        <v>1249</v>
      </c>
      <c r="D4000" s="1" t="s">
        <v>18</v>
      </c>
      <c r="E4000" s="250">
        <v>13100.217000000001</v>
      </c>
    </row>
    <row r="4001" spans="1:5" x14ac:dyDescent="0.35">
      <c r="A4001" s="1" t="s">
        <v>19310</v>
      </c>
      <c r="B4001" s="1" t="s">
        <v>18</v>
      </c>
      <c r="C4001" s="1" t="s">
        <v>1248</v>
      </c>
      <c r="D4001" s="1" t="s">
        <v>18</v>
      </c>
      <c r="E4001" s="250">
        <v>13100.218000000001</v>
      </c>
    </row>
    <row r="4002" spans="1:5" x14ac:dyDescent="0.35">
      <c r="A4002" s="1" t="s">
        <v>19311</v>
      </c>
      <c r="B4002" s="1" t="s">
        <v>18</v>
      </c>
      <c r="C4002" s="1" t="s">
        <v>1247</v>
      </c>
      <c r="D4002" s="1" t="s">
        <v>18</v>
      </c>
      <c r="E4002" s="250">
        <v>13100.218999999999</v>
      </c>
    </row>
    <row r="4003" spans="1:5" x14ac:dyDescent="0.35">
      <c r="A4003" s="1" t="s">
        <v>19312</v>
      </c>
      <c r="B4003" s="1" t="s">
        <v>18</v>
      </c>
      <c r="C4003" s="1" t="s">
        <v>1246</v>
      </c>
      <c r="D4003" s="1" t="s">
        <v>18</v>
      </c>
      <c r="E4003" s="250">
        <v>13100.221</v>
      </c>
    </row>
    <row r="4004" spans="1:5" x14ac:dyDescent="0.35">
      <c r="A4004" s="1" t="s">
        <v>19313</v>
      </c>
      <c r="B4004" s="1" t="s">
        <v>18</v>
      </c>
      <c r="C4004" s="1" t="s">
        <v>1245</v>
      </c>
      <c r="D4004" s="1" t="s">
        <v>18</v>
      </c>
      <c r="E4004" s="250">
        <v>13100.222</v>
      </c>
    </row>
    <row r="4005" spans="1:5" x14ac:dyDescent="0.35">
      <c r="A4005" s="1" t="s">
        <v>19314</v>
      </c>
      <c r="B4005" s="1" t="s">
        <v>18</v>
      </c>
      <c r="C4005" s="1" t="s">
        <v>1244</v>
      </c>
      <c r="D4005" s="1" t="s">
        <v>18</v>
      </c>
      <c r="E4005" s="250">
        <v>13100.223</v>
      </c>
    </row>
    <row r="4006" spans="1:5" x14ac:dyDescent="0.35">
      <c r="A4006" s="1" t="s">
        <v>19315</v>
      </c>
      <c r="B4006" s="1" t="s">
        <v>18</v>
      </c>
      <c r="C4006" s="1" t="s">
        <v>1243</v>
      </c>
      <c r="D4006" s="1" t="s">
        <v>18</v>
      </c>
      <c r="E4006" s="250">
        <v>13100.224</v>
      </c>
    </row>
    <row r="4007" spans="1:5" x14ac:dyDescent="0.35">
      <c r="A4007" s="1" t="s">
        <v>19316</v>
      </c>
      <c r="B4007" s="1" t="s">
        <v>18</v>
      </c>
      <c r="C4007" s="1" t="s">
        <v>1242</v>
      </c>
      <c r="D4007" s="1" t="s">
        <v>18</v>
      </c>
      <c r="E4007" s="250">
        <v>13100.225</v>
      </c>
    </row>
    <row r="4008" spans="1:5" x14ac:dyDescent="0.35">
      <c r="A4008" s="1" t="s">
        <v>19317</v>
      </c>
      <c r="B4008" s="1" t="s">
        <v>18</v>
      </c>
      <c r="C4008" s="1" t="s">
        <v>1241</v>
      </c>
      <c r="D4008" s="1" t="s">
        <v>18</v>
      </c>
      <c r="E4008" s="250">
        <v>13100.226000000001</v>
      </c>
    </row>
    <row r="4009" spans="1:5" x14ac:dyDescent="0.35">
      <c r="A4009" s="1" t="s">
        <v>19318</v>
      </c>
      <c r="B4009" s="1" t="s">
        <v>18</v>
      </c>
      <c r="C4009" s="1" t="s">
        <v>1240</v>
      </c>
      <c r="D4009" s="1" t="s">
        <v>18</v>
      </c>
      <c r="E4009" s="250">
        <v>13100.227000000001</v>
      </c>
    </row>
    <row r="4010" spans="1:5" x14ac:dyDescent="0.35">
      <c r="A4010" s="1" t="s">
        <v>19319</v>
      </c>
      <c r="B4010" s="1" t="s">
        <v>18</v>
      </c>
      <c r="C4010" s="1" t="s">
        <v>1239</v>
      </c>
      <c r="D4010" s="1" t="s">
        <v>18</v>
      </c>
      <c r="E4010" s="250">
        <v>13100.227999999999</v>
      </c>
    </row>
    <row r="4011" spans="1:5" x14ac:dyDescent="0.35">
      <c r="A4011" s="1" t="s">
        <v>19320</v>
      </c>
      <c r="B4011" s="1" t="s">
        <v>18</v>
      </c>
      <c r="C4011" s="1" t="s">
        <v>1238</v>
      </c>
      <c r="D4011" s="1" t="s">
        <v>18</v>
      </c>
      <c r="E4011" s="250">
        <v>13100.228999999999</v>
      </c>
    </row>
    <row r="4012" spans="1:5" x14ac:dyDescent="0.35">
      <c r="A4012" s="1" t="s">
        <v>19321</v>
      </c>
      <c r="B4012" s="1" t="s">
        <v>57</v>
      </c>
      <c r="C4012" s="1" t="s">
        <v>1237</v>
      </c>
      <c r="D4012" s="1" t="s">
        <v>57</v>
      </c>
      <c r="E4012" s="250">
        <v>13100.235000000001</v>
      </c>
    </row>
    <row r="4013" spans="1:5" x14ac:dyDescent="0.35">
      <c r="A4013" s="1" t="s">
        <v>19322</v>
      </c>
      <c r="B4013" s="1" t="s">
        <v>18</v>
      </c>
      <c r="C4013" s="1" t="s">
        <v>1236</v>
      </c>
      <c r="D4013" s="1" t="s">
        <v>18</v>
      </c>
      <c r="E4013" s="250">
        <v>13100.236000000001</v>
      </c>
    </row>
    <row r="4014" spans="1:5" x14ac:dyDescent="0.35">
      <c r="A4014" s="1" t="s">
        <v>19323</v>
      </c>
      <c r="B4014" s="1" t="s">
        <v>18</v>
      </c>
      <c r="C4014" s="1" t="s">
        <v>1235</v>
      </c>
      <c r="D4014" s="1" t="s">
        <v>18</v>
      </c>
      <c r="E4014" s="250">
        <v>13100.236999999999</v>
      </c>
    </row>
    <row r="4015" spans="1:5" x14ac:dyDescent="0.35">
      <c r="A4015" s="1" t="s">
        <v>19324</v>
      </c>
      <c r="B4015" s="1" t="s">
        <v>18</v>
      </c>
      <c r="C4015" s="1" t="s">
        <v>1234</v>
      </c>
      <c r="D4015" s="1" t="s">
        <v>18</v>
      </c>
      <c r="E4015" s="250">
        <v>13100.237999999999</v>
      </c>
    </row>
    <row r="4016" spans="1:5" x14ac:dyDescent="0.35">
      <c r="A4016" s="1" t="s">
        <v>19325</v>
      </c>
      <c r="B4016" s="1" t="s">
        <v>18</v>
      </c>
      <c r="C4016" s="1" t="s">
        <v>1233</v>
      </c>
      <c r="D4016" s="1" t="s">
        <v>18</v>
      </c>
      <c r="E4016" s="250">
        <v>13100.239</v>
      </c>
    </row>
    <row r="4017" spans="1:5" x14ac:dyDescent="0.35">
      <c r="A4017" s="1" t="s">
        <v>19326</v>
      </c>
      <c r="B4017" s="1" t="s">
        <v>18</v>
      </c>
      <c r="C4017" s="1" t="s">
        <v>1232</v>
      </c>
      <c r="D4017" s="1" t="s">
        <v>18</v>
      </c>
      <c r="E4017" s="250">
        <v>13100.24</v>
      </c>
    </row>
    <row r="4018" spans="1:5" x14ac:dyDescent="0.35">
      <c r="A4018" s="1" t="s">
        <v>19327</v>
      </c>
      <c r="B4018" s="1" t="s">
        <v>18</v>
      </c>
      <c r="C4018" s="1" t="s">
        <v>1231</v>
      </c>
      <c r="D4018" s="1" t="s">
        <v>18</v>
      </c>
      <c r="E4018" s="250">
        <v>13100.241</v>
      </c>
    </row>
    <row r="4019" spans="1:5" x14ac:dyDescent="0.35">
      <c r="A4019" s="1" t="s">
        <v>19328</v>
      </c>
      <c r="B4019" s="1" t="s">
        <v>18</v>
      </c>
      <c r="C4019" s="1" t="s">
        <v>1230</v>
      </c>
      <c r="D4019" s="1" t="s">
        <v>18</v>
      </c>
      <c r="E4019" s="250">
        <v>13100.242</v>
      </c>
    </row>
    <row r="4020" spans="1:5" x14ac:dyDescent="0.35">
      <c r="A4020" s="1" t="s">
        <v>19329</v>
      </c>
      <c r="B4020" s="1" t="s">
        <v>18</v>
      </c>
      <c r="C4020" s="1" t="s">
        <v>1229</v>
      </c>
      <c r="D4020" s="1" t="s">
        <v>18</v>
      </c>
      <c r="E4020" s="250">
        <v>13100.243</v>
      </c>
    </row>
    <row r="4021" spans="1:5" x14ac:dyDescent="0.35">
      <c r="A4021" s="1" t="s">
        <v>19330</v>
      </c>
      <c r="B4021" s="1" t="s">
        <v>18</v>
      </c>
      <c r="C4021" s="1" t="s">
        <v>1228</v>
      </c>
      <c r="D4021" s="1" t="s">
        <v>18</v>
      </c>
      <c r="E4021" s="250">
        <v>13100.244000000001</v>
      </c>
    </row>
    <row r="4022" spans="1:5" x14ac:dyDescent="0.35">
      <c r="A4022" s="1" t="s">
        <v>19331</v>
      </c>
      <c r="B4022" s="1" t="s">
        <v>18</v>
      </c>
      <c r="C4022" s="1" t="s">
        <v>1227</v>
      </c>
      <c r="D4022" s="1" t="s">
        <v>18</v>
      </c>
      <c r="E4022" s="250">
        <v>13100.245000000001</v>
      </c>
    </row>
    <row r="4023" spans="1:5" x14ac:dyDescent="0.35">
      <c r="A4023" s="1" t="s">
        <v>19332</v>
      </c>
      <c r="B4023" s="1" t="s">
        <v>18</v>
      </c>
      <c r="C4023" s="1" t="s">
        <v>1226</v>
      </c>
      <c r="D4023" s="1" t="s">
        <v>18</v>
      </c>
      <c r="E4023" s="250">
        <v>13100.245999999999</v>
      </c>
    </row>
    <row r="4024" spans="1:5" x14ac:dyDescent="0.35">
      <c r="A4024" s="1" t="s">
        <v>19333</v>
      </c>
      <c r="B4024" s="1" t="s">
        <v>18</v>
      </c>
      <c r="C4024" s="1" t="s">
        <v>1225</v>
      </c>
      <c r="D4024" s="1" t="s">
        <v>18</v>
      </c>
      <c r="E4024" s="250">
        <v>13100.246999999999</v>
      </c>
    </row>
    <row r="4025" spans="1:5" x14ac:dyDescent="0.35">
      <c r="A4025" s="1" t="s">
        <v>19334</v>
      </c>
      <c r="B4025" s="1" t="s">
        <v>57</v>
      </c>
      <c r="C4025" s="1" t="s">
        <v>1224</v>
      </c>
      <c r="D4025" s="1" t="s">
        <v>57</v>
      </c>
      <c r="E4025" s="250">
        <v>13100.25</v>
      </c>
    </row>
    <row r="4026" spans="1:5" x14ac:dyDescent="0.35">
      <c r="A4026" s="1" t="s">
        <v>19335</v>
      </c>
      <c r="B4026" s="1" t="s">
        <v>18</v>
      </c>
      <c r="C4026" s="1" t="s">
        <v>1223</v>
      </c>
      <c r="D4026" s="1" t="s">
        <v>18</v>
      </c>
      <c r="E4026" s="250">
        <v>13100.251</v>
      </c>
    </row>
    <row r="4027" spans="1:5" x14ac:dyDescent="0.35">
      <c r="A4027" s="1" t="s">
        <v>19336</v>
      </c>
      <c r="B4027" s="1" t="s">
        <v>18</v>
      </c>
      <c r="C4027" s="1" t="s">
        <v>1222</v>
      </c>
      <c r="D4027" s="1" t="s">
        <v>18</v>
      </c>
      <c r="E4027" s="250">
        <v>13100.252</v>
      </c>
    </row>
    <row r="4028" spans="1:5" x14ac:dyDescent="0.35">
      <c r="A4028" s="1" t="s">
        <v>19337</v>
      </c>
      <c r="B4028" s="1" t="s">
        <v>18</v>
      </c>
      <c r="C4028" s="1" t="s">
        <v>1221</v>
      </c>
      <c r="D4028" s="1" t="s">
        <v>18</v>
      </c>
      <c r="E4028" s="250">
        <v>13100.253000000001</v>
      </c>
    </row>
    <row r="4029" spans="1:5" x14ac:dyDescent="0.35">
      <c r="A4029" s="1" t="s">
        <v>19338</v>
      </c>
      <c r="B4029" s="1" t="s">
        <v>18</v>
      </c>
      <c r="C4029" s="1" t="s">
        <v>1220</v>
      </c>
      <c r="D4029" s="1" t="s">
        <v>18</v>
      </c>
      <c r="E4029" s="250">
        <v>13100.254000000001</v>
      </c>
    </row>
    <row r="4030" spans="1:5" x14ac:dyDescent="0.35">
      <c r="A4030" s="1" t="s">
        <v>19339</v>
      </c>
      <c r="B4030" s="1" t="s">
        <v>18</v>
      </c>
      <c r="C4030" s="1" t="s">
        <v>1219</v>
      </c>
      <c r="D4030" s="1" t="s">
        <v>18</v>
      </c>
      <c r="E4030" s="250">
        <v>13100.254999999999</v>
      </c>
    </row>
    <row r="4031" spans="1:5" x14ac:dyDescent="0.35">
      <c r="A4031" s="1" t="s">
        <v>19340</v>
      </c>
      <c r="B4031" s="1" t="s">
        <v>18</v>
      </c>
      <c r="C4031" s="1" t="s">
        <v>1218</v>
      </c>
      <c r="D4031" s="1" t="s">
        <v>18</v>
      </c>
      <c r="E4031" s="250">
        <v>13100.255999999999</v>
      </c>
    </row>
    <row r="4032" spans="1:5" x14ac:dyDescent="0.35">
      <c r="A4032" s="1" t="s">
        <v>19341</v>
      </c>
      <c r="B4032" s="1" t="s">
        <v>18</v>
      </c>
      <c r="C4032" s="1" t="s">
        <v>1217</v>
      </c>
      <c r="D4032" s="1" t="s">
        <v>18</v>
      </c>
      <c r="E4032" s="250">
        <v>13100.257</v>
      </c>
    </row>
    <row r="4033" spans="1:5" x14ac:dyDescent="0.35">
      <c r="A4033" s="1" t="s">
        <v>19342</v>
      </c>
      <c r="B4033" s="1" t="s">
        <v>18</v>
      </c>
      <c r="C4033" s="1" t="s">
        <v>1216</v>
      </c>
      <c r="D4033" s="1" t="s">
        <v>18</v>
      </c>
      <c r="E4033" s="250">
        <v>13100.258</v>
      </c>
    </row>
    <row r="4034" spans="1:5" x14ac:dyDescent="0.35">
      <c r="A4034" s="1" t="s">
        <v>19343</v>
      </c>
      <c r="B4034" s="1" t="s">
        <v>18</v>
      </c>
      <c r="C4034" s="1" t="s">
        <v>1215</v>
      </c>
      <c r="D4034" s="1" t="s">
        <v>18</v>
      </c>
      <c r="E4034" s="250">
        <v>13100.259</v>
      </c>
    </row>
    <row r="4035" spans="1:5" x14ac:dyDescent="0.35">
      <c r="A4035" s="1" t="s">
        <v>19344</v>
      </c>
      <c r="B4035" s="1" t="s">
        <v>18</v>
      </c>
      <c r="C4035" s="1" t="s">
        <v>1214</v>
      </c>
      <c r="D4035" s="1" t="s">
        <v>18</v>
      </c>
      <c r="E4035" s="250">
        <v>13100.26</v>
      </c>
    </row>
    <row r="4036" spans="1:5" x14ac:dyDescent="0.35">
      <c r="A4036" s="1" t="s">
        <v>19345</v>
      </c>
      <c r="B4036" s="1" t="s">
        <v>18</v>
      </c>
      <c r="C4036" s="1" t="s">
        <v>1213</v>
      </c>
      <c r="D4036" s="1" t="s">
        <v>18</v>
      </c>
      <c r="E4036" s="250">
        <v>13100.261</v>
      </c>
    </row>
    <row r="4037" spans="1:5" x14ac:dyDescent="0.35">
      <c r="A4037" s="1" t="s">
        <v>19346</v>
      </c>
      <c r="B4037" s="1" t="s">
        <v>18</v>
      </c>
      <c r="C4037" s="1" t="s">
        <v>1212</v>
      </c>
      <c r="D4037" s="1" t="s">
        <v>18</v>
      </c>
      <c r="E4037" s="250">
        <v>13100.262000000001</v>
      </c>
    </row>
    <row r="4038" spans="1:5" x14ac:dyDescent="0.35">
      <c r="A4038" s="1" t="s">
        <v>19347</v>
      </c>
      <c r="B4038" s="1" t="s">
        <v>57</v>
      </c>
      <c r="C4038" s="1" t="s">
        <v>1211</v>
      </c>
      <c r="D4038" s="1" t="s">
        <v>57</v>
      </c>
      <c r="E4038" s="250">
        <v>13100.27</v>
      </c>
    </row>
    <row r="4039" spans="1:5" x14ac:dyDescent="0.35">
      <c r="A4039" s="1" t="s">
        <v>19348</v>
      </c>
      <c r="B4039" s="1" t="s">
        <v>18</v>
      </c>
      <c r="C4039" s="1" t="s">
        <v>1210</v>
      </c>
      <c r="D4039" s="1" t="s">
        <v>18</v>
      </c>
      <c r="E4039" s="250">
        <v>13100.271000000001</v>
      </c>
    </row>
    <row r="4040" spans="1:5" x14ac:dyDescent="0.35">
      <c r="A4040" s="1" t="s">
        <v>19349</v>
      </c>
      <c r="B4040" s="1" t="s">
        <v>18</v>
      </c>
      <c r="C4040" s="1" t="s">
        <v>1209</v>
      </c>
      <c r="D4040" s="1" t="s">
        <v>18</v>
      </c>
      <c r="E4040" s="250">
        <v>13100.272000000001</v>
      </c>
    </row>
    <row r="4041" spans="1:5" x14ac:dyDescent="0.35">
      <c r="A4041" s="1" t="s">
        <v>19350</v>
      </c>
      <c r="B4041" s="1" t="s">
        <v>18</v>
      </c>
      <c r="C4041" s="1" t="s">
        <v>1208</v>
      </c>
      <c r="D4041" s="1" t="s">
        <v>18</v>
      </c>
      <c r="E4041" s="250">
        <v>13100.272999999999</v>
      </c>
    </row>
    <row r="4042" spans="1:5" x14ac:dyDescent="0.35">
      <c r="A4042" s="1" t="s">
        <v>19351</v>
      </c>
      <c r="B4042" s="1" t="s">
        <v>18</v>
      </c>
      <c r="C4042" s="1" t="s">
        <v>1207</v>
      </c>
      <c r="D4042" s="1" t="s">
        <v>18</v>
      </c>
      <c r="E4042" s="250">
        <v>13100.273999999999</v>
      </c>
    </row>
    <row r="4043" spans="1:5" x14ac:dyDescent="0.35">
      <c r="A4043" s="1" t="s">
        <v>19352</v>
      </c>
      <c r="B4043" s="1" t="s">
        <v>18</v>
      </c>
      <c r="C4043" s="1" t="s">
        <v>1206</v>
      </c>
      <c r="D4043" s="1" t="s">
        <v>18</v>
      </c>
      <c r="E4043" s="250">
        <v>13100.275</v>
      </c>
    </row>
    <row r="4044" spans="1:5" x14ac:dyDescent="0.35">
      <c r="A4044" s="1" t="s">
        <v>19353</v>
      </c>
      <c r="B4044" s="1" t="s">
        <v>18</v>
      </c>
      <c r="C4044" s="1" t="s">
        <v>1205</v>
      </c>
      <c r="D4044" s="1" t="s">
        <v>18</v>
      </c>
      <c r="E4044" s="250">
        <v>13100.276</v>
      </c>
    </row>
    <row r="4045" spans="1:5" x14ac:dyDescent="0.35">
      <c r="A4045" s="1" t="s">
        <v>19354</v>
      </c>
      <c r="B4045" s="1" t="s">
        <v>18</v>
      </c>
      <c r="C4045" s="1" t="s">
        <v>1204</v>
      </c>
      <c r="D4045" s="1" t="s">
        <v>18</v>
      </c>
      <c r="E4045" s="250">
        <v>13100.277</v>
      </c>
    </row>
    <row r="4046" spans="1:5" x14ac:dyDescent="0.35">
      <c r="A4046" s="1" t="s">
        <v>19355</v>
      </c>
      <c r="B4046" s="1" t="s">
        <v>18</v>
      </c>
      <c r="C4046" s="1" t="s">
        <v>1203</v>
      </c>
      <c r="D4046" s="1" t="s">
        <v>18</v>
      </c>
      <c r="E4046" s="250">
        <v>13100.278</v>
      </c>
    </row>
    <row r="4047" spans="1:5" x14ac:dyDescent="0.35">
      <c r="A4047" s="1" t="s">
        <v>19356</v>
      </c>
      <c r="B4047" s="1" t="s">
        <v>18</v>
      </c>
      <c r="C4047" s="1" t="s">
        <v>1202</v>
      </c>
      <c r="D4047" s="1" t="s">
        <v>18</v>
      </c>
      <c r="E4047" s="250">
        <v>13100.279</v>
      </c>
    </row>
    <row r="4048" spans="1:5" x14ac:dyDescent="0.35">
      <c r="A4048" s="1" t="s">
        <v>19357</v>
      </c>
      <c r="B4048" s="1" t="s">
        <v>18</v>
      </c>
      <c r="C4048" s="1" t="s">
        <v>1201</v>
      </c>
      <c r="D4048" s="1" t="s">
        <v>18</v>
      </c>
      <c r="E4048" s="250">
        <v>13100.28</v>
      </c>
    </row>
    <row r="4049" spans="1:5" x14ac:dyDescent="0.35">
      <c r="A4049" s="1" t="s">
        <v>19358</v>
      </c>
      <c r="B4049" s="1" t="s">
        <v>18</v>
      </c>
      <c r="C4049" s="1" t="s">
        <v>1200</v>
      </c>
      <c r="D4049" s="1" t="s">
        <v>18</v>
      </c>
      <c r="E4049" s="250">
        <v>13100.281000000001</v>
      </c>
    </row>
    <row r="4050" spans="1:5" x14ac:dyDescent="0.35">
      <c r="A4050" s="1" t="s">
        <v>19359</v>
      </c>
      <c r="B4050" s="1" t="s">
        <v>18</v>
      </c>
      <c r="C4050" s="1" t="s">
        <v>1199</v>
      </c>
      <c r="D4050" s="1" t="s">
        <v>18</v>
      </c>
      <c r="E4050" s="250">
        <v>13100.281999999999</v>
      </c>
    </row>
    <row r="4051" spans="1:5" x14ac:dyDescent="0.35">
      <c r="A4051" s="1" t="s">
        <v>19360</v>
      </c>
      <c r="B4051" s="1" t="s">
        <v>18</v>
      </c>
      <c r="C4051" s="1" t="s">
        <v>1198</v>
      </c>
      <c r="D4051" s="1" t="s">
        <v>18</v>
      </c>
      <c r="E4051" s="250">
        <v>13100.282999999999</v>
      </c>
    </row>
    <row r="4052" spans="1:5" x14ac:dyDescent="0.35">
      <c r="A4052" s="1" t="s">
        <v>19361</v>
      </c>
      <c r="B4052" s="1" t="s">
        <v>18</v>
      </c>
      <c r="C4052" s="1" t="s">
        <v>1197</v>
      </c>
      <c r="D4052" s="1" t="s">
        <v>18</v>
      </c>
      <c r="E4052" s="250">
        <v>13100.284</v>
      </c>
    </row>
    <row r="4053" spans="1:5" x14ac:dyDescent="0.35">
      <c r="A4053" s="1" t="s">
        <v>19362</v>
      </c>
      <c r="B4053" s="1" t="s">
        <v>18</v>
      </c>
      <c r="C4053" s="1" t="s">
        <v>1196</v>
      </c>
      <c r="D4053" s="1" t="s">
        <v>18</v>
      </c>
      <c r="E4053" s="250">
        <v>13100.285</v>
      </c>
    </row>
    <row r="4054" spans="1:5" x14ac:dyDescent="0.35">
      <c r="A4054" s="1" t="s">
        <v>19363</v>
      </c>
      <c r="B4054" s="1" t="s">
        <v>18</v>
      </c>
      <c r="C4054" s="1" t="s">
        <v>1195</v>
      </c>
      <c r="D4054" s="1" t="s">
        <v>18</v>
      </c>
      <c r="E4054" s="250">
        <v>13100.286</v>
      </c>
    </row>
    <row r="4055" spans="1:5" x14ac:dyDescent="0.35">
      <c r="A4055" s="1" t="s">
        <v>19364</v>
      </c>
      <c r="B4055" s="1" t="s">
        <v>18</v>
      </c>
      <c r="C4055" s="1" t="s">
        <v>1194</v>
      </c>
      <c r="D4055" s="1" t="s">
        <v>18</v>
      </c>
      <c r="E4055" s="250">
        <v>13100.287</v>
      </c>
    </row>
    <row r="4056" spans="1:5" x14ac:dyDescent="0.35">
      <c r="A4056" s="1" t="s">
        <v>19365</v>
      </c>
      <c r="B4056" s="1" t="s">
        <v>18</v>
      </c>
      <c r="C4056" s="1" t="s">
        <v>1193</v>
      </c>
      <c r="D4056" s="1" t="s">
        <v>18</v>
      </c>
      <c r="E4056" s="250">
        <v>13100.288</v>
      </c>
    </row>
    <row r="4057" spans="1:5" x14ac:dyDescent="0.35">
      <c r="A4057" s="1" t="s">
        <v>19366</v>
      </c>
      <c r="B4057" s="1" t="s">
        <v>18</v>
      </c>
      <c r="C4057" s="1" t="s">
        <v>1192</v>
      </c>
      <c r="D4057" s="1" t="s">
        <v>18</v>
      </c>
      <c r="E4057" s="250">
        <v>13100.289000000001</v>
      </c>
    </row>
    <row r="4058" spans="1:5" x14ac:dyDescent="0.35">
      <c r="A4058" s="1" t="s">
        <v>19367</v>
      </c>
      <c r="B4058" s="1" t="s">
        <v>20</v>
      </c>
      <c r="C4058" s="1" t="s">
        <v>1191</v>
      </c>
      <c r="D4058" s="1" t="s">
        <v>20</v>
      </c>
      <c r="E4058" s="250">
        <v>13120.01</v>
      </c>
    </row>
    <row r="4059" spans="1:5" x14ac:dyDescent="0.35">
      <c r="A4059" s="1" t="s">
        <v>19368</v>
      </c>
      <c r="B4059" s="1" t="s">
        <v>57</v>
      </c>
      <c r="C4059" s="1" t="s">
        <v>1190</v>
      </c>
      <c r="D4059" s="1" t="s">
        <v>57</v>
      </c>
      <c r="E4059" s="250">
        <v>13120.1</v>
      </c>
    </row>
    <row r="4060" spans="1:5" x14ac:dyDescent="0.35">
      <c r="A4060" s="1" t="s">
        <v>19369</v>
      </c>
      <c r="B4060" s="1" t="s">
        <v>20</v>
      </c>
      <c r="C4060" s="1" t="s">
        <v>1189</v>
      </c>
      <c r="D4060" s="1" t="s">
        <v>20</v>
      </c>
      <c r="E4060" s="250">
        <v>13120.101000000001</v>
      </c>
    </row>
    <row r="4061" spans="1:5" x14ac:dyDescent="0.35">
      <c r="A4061" s="1" t="s">
        <v>19370</v>
      </c>
      <c r="B4061" s="1" t="s">
        <v>20</v>
      </c>
      <c r="C4061" s="1" t="s">
        <v>1188</v>
      </c>
      <c r="D4061" s="1" t="s">
        <v>20</v>
      </c>
      <c r="E4061" s="250">
        <v>13120.102000000001</v>
      </c>
    </row>
    <row r="4062" spans="1:5" x14ac:dyDescent="0.35">
      <c r="A4062" s="1" t="s">
        <v>19371</v>
      </c>
      <c r="B4062" s="1" t="s">
        <v>20</v>
      </c>
      <c r="C4062" s="1" t="s">
        <v>1187</v>
      </c>
      <c r="D4062" s="1" t="s">
        <v>20</v>
      </c>
      <c r="E4062" s="250">
        <v>13120.102999999999</v>
      </c>
    </row>
    <row r="4063" spans="1:5" x14ac:dyDescent="0.35">
      <c r="A4063" s="1" t="s">
        <v>19372</v>
      </c>
      <c r="B4063" s="1" t="s">
        <v>58</v>
      </c>
      <c r="C4063" s="1" t="s">
        <v>1186</v>
      </c>
      <c r="D4063" s="1" t="s">
        <v>58</v>
      </c>
      <c r="E4063" s="250">
        <v>13120.109</v>
      </c>
    </row>
    <row r="4064" spans="1:5" x14ac:dyDescent="0.35">
      <c r="A4064" s="1" t="s">
        <v>19373</v>
      </c>
      <c r="B4064" s="1" t="s">
        <v>20</v>
      </c>
      <c r="C4064" s="1" t="s">
        <v>1185</v>
      </c>
      <c r="D4064" s="1" t="s">
        <v>20</v>
      </c>
      <c r="E4064" s="250">
        <v>13120.11</v>
      </c>
    </row>
    <row r="4065" spans="1:5" x14ac:dyDescent="0.35">
      <c r="A4065" s="1" t="s">
        <v>19374</v>
      </c>
      <c r="B4065" s="1" t="s">
        <v>58</v>
      </c>
      <c r="C4065" s="1" t="s">
        <v>1184</v>
      </c>
      <c r="D4065" s="1" t="s">
        <v>58</v>
      </c>
      <c r="E4065" s="250">
        <v>13120.200999999999</v>
      </c>
    </row>
    <row r="4066" spans="1:5" x14ac:dyDescent="0.35">
      <c r="A4066" s="1" t="s">
        <v>19375</v>
      </c>
      <c r="B4066" s="1" t="s">
        <v>58</v>
      </c>
      <c r="C4066" s="1" t="s">
        <v>1183</v>
      </c>
      <c r="D4066" s="1" t="s">
        <v>58</v>
      </c>
      <c r="E4066" s="250">
        <v>13120.201999999999</v>
      </c>
    </row>
    <row r="4067" spans="1:5" x14ac:dyDescent="0.35">
      <c r="A4067" s="1" t="s">
        <v>19376</v>
      </c>
      <c r="B4067" s="1" t="s">
        <v>58</v>
      </c>
      <c r="C4067" s="1" t="s">
        <v>1182</v>
      </c>
      <c r="D4067" s="1" t="s">
        <v>58</v>
      </c>
      <c r="E4067" s="250">
        <v>13120.203</v>
      </c>
    </row>
    <row r="4068" spans="1:5" x14ac:dyDescent="0.35">
      <c r="A4068" s="1" t="s">
        <v>19377</v>
      </c>
      <c r="B4068" s="1" t="s">
        <v>58</v>
      </c>
      <c r="C4068" s="1" t="s">
        <v>1181</v>
      </c>
      <c r="D4068" s="1" t="s">
        <v>58</v>
      </c>
      <c r="E4068" s="250">
        <v>13120.204</v>
      </c>
    </row>
    <row r="4069" spans="1:5" x14ac:dyDescent="0.35">
      <c r="A4069" s="1" t="s">
        <v>19378</v>
      </c>
      <c r="B4069" s="1" t="s">
        <v>58</v>
      </c>
      <c r="C4069" s="1" t="s">
        <v>1180</v>
      </c>
      <c r="D4069" s="1" t="s">
        <v>58</v>
      </c>
      <c r="E4069" s="250">
        <v>13120.205</v>
      </c>
    </row>
    <row r="4070" spans="1:5" x14ac:dyDescent="0.35">
      <c r="A4070" s="1" t="s">
        <v>19379</v>
      </c>
      <c r="B4070" s="1" t="s">
        <v>58</v>
      </c>
      <c r="C4070" s="1" t="s">
        <v>1179</v>
      </c>
      <c r="D4070" s="1" t="s">
        <v>58</v>
      </c>
      <c r="E4070" s="250">
        <v>13120.206</v>
      </c>
    </row>
    <row r="4071" spans="1:5" x14ac:dyDescent="0.35">
      <c r="A4071" s="1" t="s">
        <v>19380</v>
      </c>
      <c r="B4071" s="1" t="s">
        <v>58</v>
      </c>
      <c r="C4071" s="1" t="s">
        <v>1178</v>
      </c>
      <c r="D4071" s="1" t="s">
        <v>58</v>
      </c>
      <c r="E4071" s="250">
        <v>13120.207</v>
      </c>
    </row>
    <row r="4072" spans="1:5" x14ac:dyDescent="0.35">
      <c r="A4072" s="1" t="s">
        <v>19381</v>
      </c>
      <c r="B4072" s="1" t="s">
        <v>58</v>
      </c>
      <c r="C4072" s="1" t="s">
        <v>1177</v>
      </c>
      <c r="D4072" s="1" t="s">
        <v>58</v>
      </c>
      <c r="E4072" s="250">
        <v>13120.208000000001</v>
      </c>
    </row>
    <row r="4073" spans="1:5" x14ac:dyDescent="0.35">
      <c r="A4073" s="1" t="s">
        <v>19382</v>
      </c>
      <c r="B4073" s="1" t="s">
        <v>58</v>
      </c>
      <c r="C4073" s="1" t="s">
        <v>1176</v>
      </c>
      <c r="D4073" s="1" t="s">
        <v>58</v>
      </c>
      <c r="E4073" s="250">
        <v>13120.210999999999</v>
      </c>
    </row>
    <row r="4074" spans="1:5" x14ac:dyDescent="0.35">
      <c r="A4074" s="1" t="s">
        <v>19383</v>
      </c>
      <c r="B4074" s="1" t="s">
        <v>58</v>
      </c>
      <c r="C4074" s="1" t="s">
        <v>1175</v>
      </c>
      <c r="D4074" s="1" t="s">
        <v>58</v>
      </c>
      <c r="E4074" s="250">
        <v>13120.212</v>
      </c>
    </row>
    <row r="4075" spans="1:5" x14ac:dyDescent="0.35">
      <c r="A4075" s="1" t="s">
        <v>19384</v>
      </c>
      <c r="B4075" s="1" t="s">
        <v>58</v>
      </c>
      <c r="C4075" s="1" t="s">
        <v>1174</v>
      </c>
      <c r="D4075" s="1" t="s">
        <v>58</v>
      </c>
      <c r="E4075" s="250">
        <v>13120.213</v>
      </c>
    </row>
    <row r="4076" spans="1:5" x14ac:dyDescent="0.35">
      <c r="A4076" s="1" t="s">
        <v>19385</v>
      </c>
      <c r="B4076" s="1" t="s">
        <v>58</v>
      </c>
      <c r="C4076" s="1" t="s">
        <v>1173</v>
      </c>
      <c r="D4076" s="1" t="s">
        <v>58</v>
      </c>
      <c r="E4076" s="250">
        <v>13120.214</v>
      </c>
    </row>
    <row r="4077" spans="1:5" x14ac:dyDescent="0.35">
      <c r="A4077" s="1" t="s">
        <v>19386</v>
      </c>
      <c r="B4077" s="1" t="s">
        <v>58</v>
      </c>
      <c r="C4077" s="1" t="s">
        <v>1172</v>
      </c>
      <c r="D4077" s="1" t="s">
        <v>58</v>
      </c>
      <c r="E4077" s="250">
        <v>13120.215</v>
      </c>
    </row>
    <row r="4078" spans="1:5" x14ac:dyDescent="0.35">
      <c r="A4078" s="1" t="s">
        <v>19387</v>
      </c>
      <c r="B4078" s="1" t="s">
        <v>58</v>
      </c>
      <c r="C4078" s="1" t="s">
        <v>1171</v>
      </c>
      <c r="D4078" s="1" t="s">
        <v>58</v>
      </c>
      <c r="E4078" s="250">
        <v>13120.216</v>
      </c>
    </row>
    <row r="4079" spans="1:5" x14ac:dyDescent="0.35">
      <c r="A4079" s="1" t="s">
        <v>19388</v>
      </c>
      <c r="B4079" s="1" t="s">
        <v>58</v>
      </c>
      <c r="C4079" s="1" t="s">
        <v>1170</v>
      </c>
      <c r="D4079" s="1" t="s">
        <v>58</v>
      </c>
      <c r="E4079" s="250">
        <v>13120.217000000001</v>
      </c>
    </row>
    <row r="4080" spans="1:5" x14ac:dyDescent="0.35">
      <c r="A4080" s="1" t="s">
        <v>19389</v>
      </c>
      <c r="B4080" s="1" t="s">
        <v>58</v>
      </c>
      <c r="C4080" s="1" t="s">
        <v>1169</v>
      </c>
      <c r="D4080" s="1" t="s">
        <v>58</v>
      </c>
      <c r="E4080" s="250">
        <v>13120.218000000001</v>
      </c>
    </row>
    <row r="4081" spans="1:5" x14ac:dyDescent="0.35">
      <c r="A4081" s="1" t="s">
        <v>19390</v>
      </c>
      <c r="B4081" s="1" t="s">
        <v>58</v>
      </c>
      <c r="C4081" s="1" t="s">
        <v>1168</v>
      </c>
      <c r="D4081" s="1" t="s">
        <v>58</v>
      </c>
      <c r="E4081" s="250">
        <v>13120.221</v>
      </c>
    </row>
    <row r="4082" spans="1:5" x14ac:dyDescent="0.35">
      <c r="A4082" s="1" t="s">
        <v>19391</v>
      </c>
      <c r="B4082" s="1" t="s">
        <v>58</v>
      </c>
      <c r="C4082" s="1" t="s">
        <v>1167</v>
      </c>
      <c r="D4082" s="1" t="s">
        <v>58</v>
      </c>
      <c r="E4082" s="250">
        <v>13120.222</v>
      </c>
    </row>
    <row r="4083" spans="1:5" x14ac:dyDescent="0.35">
      <c r="A4083" s="1" t="s">
        <v>19392</v>
      </c>
      <c r="B4083" s="1" t="s">
        <v>58</v>
      </c>
      <c r="C4083" s="1" t="s">
        <v>1166</v>
      </c>
      <c r="D4083" s="1" t="s">
        <v>58</v>
      </c>
      <c r="E4083" s="250">
        <v>13120.223</v>
      </c>
    </row>
    <row r="4084" spans="1:5" x14ac:dyDescent="0.35">
      <c r="A4084" s="1" t="s">
        <v>19393</v>
      </c>
      <c r="B4084" s="1" t="s">
        <v>58</v>
      </c>
      <c r="C4084" s="1" t="s">
        <v>1165</v>
      </c>
      <c r="D4084" s="1" t="s">
        <v>58</v>
      </c>
      <c r="E4084" s="250">
        <v>13120.224</v>
      </c>
    </row>
    <row r="4085" spans="1:5" x14ac:dyDescent="0.35">
      <c r="A4085" s="1" t="s">
        <v>19394</v>
      </c>
      <c r="B4085" s="1" t="s">
        <v>58</v>
      </c>
      <c r="C4085" s="1" t="s">
        <v>1164</v>
      </c>
      <c r="D4085" s="1" t="s">
        <v>58</v>
      </c>
      <c r="E4085" s="250">
        <v>13120.225</v>
      </c>
    </row>
    <row r="4086" spans="1:5" x14ac:dyDescent="0.35">
      <c r="A4086" s="1" t="s">
        <v>19395</v>
      </c>
      <c r="B4086" s="1" t="s">
        <v>58</v>
      </c>
      <c r="C4086" s="1" t="s">
        <v>1163</v>
      </c>
      <c r="D4086" s="1" t="s">
        <v>58</v>
      </c>
      <c r="E4086" s="250">
        <v>13120.226000000001</v>
      </c>
    </row>
    <row r="4087" spans="1:5" x14ac:dyDescent="0.35">
      <c r="A4087" s="1" t="s">
        <v>19396</v>
      </c>
      <c r="B4087" s="1" t="s">
        <v>58</v>
      </c>
      <c r="C4087" s="1" t="s">
        <v>1162</v>
      </c>
      <c r="D4087" s="1" t="s">
        <v>58</v>
      </c>
      <c r="E4087" s="250">
        <v>13120.227000000001</v>
      </c>
    </row>
    <row r="4088" spans="1:5" x14ac:dyDescent="0.35">
      <c r="A4088" s="1" t="s">
        <v>19397</v>
      </c>
      <c r="B4088" s="1" t="s">
        <v>58</v>
      </c>
      <c r="C4088" s="1" t="s">
        <v>1161</v>
      </c>
      <c r="D4088" s="1" t="s">
        <v>58</v>
      </c>
      <c r="E4088" s="250">
        <v>13120.227999999999</v>
      </c>
    </row>
    <row r="4089" spans="1:5" x14ac:dyDescent="0.35">
      <c r="A4089" s="1" t="s">
        <v>19398</v>
      </c>
      <c r="B4089" s="1" t="s">
        <v>58</v>
      </c>
      <c r="C4089" s="1" t="s">
        <v>1160</v>
      </c>
      <c r="D4089" s="1" t="s">
        <v>58</v>
      </c>
      <c r="E4089" s="250">
        <v>13120.231</v>
      </c>
    </row>
    <row r="4090" spans="1:5" x14ac:dyDescent="0.35">
      <c r="A4090" s="1" t="s">
        <v>19399</v>
      </c>
      <c r="B4090" s="1" t="s">
        <v>58</v>
      </c>
      <c r="C4090" s="1" t="s">
        <v>1159</v>
      </c>
      <c r="D4090" s="1" t="s">
        <v>58</v>
      </c>
      <c r="E4090" s="250">
        <v>13120.232</v>
      </c>
    </row>
    <row r="4091" spans="1:5" x14ac:dyDescent="0.35">
      <c r="A4091" s="1" t="s">
        <v>19400</v>
      </c>
      <c r="B4091" s="1" t="s">
        <v>58</v>
      </c>
      <c r="C4091" s="1" t="s">
        <v>1158</v>
      </c>
      <c r="D4091" s="1" t="s">
        <v>58</v>
      </c>
      <c r="E4091" s="250">
        <v>13120.233</v>
      </c>
    </row>
    <row r="4092" spans="1:5" x14ac:dyDescent="0.35">
      <c r="A4092" s="1" t="s">
        <v>19401</v>
      </c>
      <c r="B4092" s="1" t="s">
        <v>58</v>
      </c>
      <c r="C4092" s="1" t="s">
        <v>1157</v>
      </c>
      <c r="D4092" s="1" t="s">
        <v>58</v>
      </c>
      <c r="E4092" s="250">
        <v>13120.234</v>
      </c>
    </row>
    <row r="4093" spans="1:5" x14ac:dyDescent="0.35">
      <c r="A4093" s="1" t="s">
        <v>19402</v>
      </c>
      <c r="B4093" s="1" t="s">
        <v>58</v>
      </c>
      <c r="C4093" s="1" t="s">
        <v>1156</v>
      </c>
      <c r="D4093" s="1" t="s">
        <v>58</v>
      </c>
      <c r="E4093" s="250">
        <v>13120.235000000001</v>
      </c>
    </row>
    <row r="4094" spans="1:5" x14ac:dyDescent="0.35">
      <c r="A4094" s="1" t="s">
        <v>19403</v>
      </c>
      <c r="B4094" s="1" t="s">
        <v>58</v>
      </c>
      <c r="C4094" s="1" t="s">
        <v>1155</v>
      </c>
      <c r="D4094" s="1" t="s">
        <v>58</v>
      </c>
      <c r="E4094" s="250">
        <v>13120.236000000001</v>
      </c>
    </row>
    <row r="4095" spans="1:5" x14ac:dyDescent="0.35">
      <c r="A4095" s="1" t="s">
        <v>19404</v>
      </c>
      <c r="B4095" s="1" t="s">
        <v>58</v>
      </c>
      <c r="C4095" s="1" t="s">
        <v>1154</v>
      </c>
      <c r="D4095" s="1" t="s">
        <v>58</v>
      </c>
      <c r="E4095" s="250">
        <v>13120.236999999999</v>
      </c>
    </row>
    <row r="4096" spans="1:5" x14ac:dyDescent="0.35">
      <c r="A4096" s="1" t="s">
        <v>19405</v>
      </c>
      <c r="B4096" s="1" t="s">
        <v>58</v>
      </c>
      <c r="C4096" s="1" t="s">
        <v>1153</v>
      </c>
      <c r="D4096" s="1" t="s">
        <v>58</v>
      </c>
      <c r="E4096" s="250">
        <v>13120.237999999999</v>
      </c>
    </row>
    <row r="4097" spans="1:5" x14ac:dyDescent="0.35">
      <c r="A4097" s="1" t="s">
        <v>19406</v>
      </c>
      <c r="B4097" s="1" t="s">
        <v>58</v>
      </c>
      <c r="C4097" s="1" t="s">
        <v>1152</v>
      </c>
      <c r="D4097" s="1" t="s">
        <v>58</v>
      </c>
      <c r="E4097" s="250">
        <v>13120.241</v>
      </c>
    </row>
    <row r="4098" spans="1:5" x14ac:dyDescent="0.35">
      <c r="A4098" s="1" t="s">
        <v>19407</v>
      </c>
      <c r="B4098" s="1" t="s">
        <v>58</v>
      </c>
      <c r="C4098" s="1" t="s">
        <v>1151</v>
      </c>
      <c r="D4098" s="1" t="s">
        <v>58</v>
      </c>
      <c r="E4098" s="250">
        <v>13120.242</v>
      </c>
    </row>
    <row r="4099" spans="1:5" x14ac:dyDescent="0.35">
      <c r="A4099" s="1" t="s">
        <v>19408</v>
      </c>
      <c r="B4099" s="1" t="s">
        <v>58</v>
      </c>
      <c r="C4099" s="1" t="s">
        <v>1150</v>
      </c>
      <c r="D4099" s="1" t="s">
        <v>58</v>
      </c>
      <c r="E4099" s="250">
        <v>13120.243</v>
      </c>
    </row>
    <row r="4100" spans="1:5" x14ac:dyDescent="0.35">
      <c r="A4100" s="1" t="s">
        <v>19409</v>
      </c>
      <c r="B4100" s="1" t="s">
        <v>58</v>
      </c>
      <c r="C4100" s="1" t="s">
        <v>1149</v>
      </c>
      <c r="D4100" s="1" t="s">
        <v>58</v>
      </c>
      <c r="E4100" s="250">
        <v>13120.244000000001</v>
      </c>
    </row>
    <row r="4101" spans="1:5" x14ac:dyDescent="0.35">
      <c r="A4101" s="1" t="s">
        <v>19410</v>
      </c>
      <c r="B4101" s="1" t="s">
        <v>62</v>
      </c>
      <c r="C4101" s="1" t="s">
        <v>1148</v>
      </c>
      <c r="D4101" s="1" t="s">
        <v>62</v>
      </c>
      <c r="E4101" s="250">
        <v>13120.25</v>
      </c>
    </row>
    <row r="4102" spans="1:5" x14ac:dyDescent="0.35">
      <c r="A4102" s="1" t="s">
        <v>19411</v>
      </c>
      <c r="B4102" s="1" t="s">
        <v>58</v>
      </c>
      <c r="C4102" s="1" t="s">
        <v>1147</v>
      </c>
      <c r="D4102" s="1" t="s">
        <v>58</v>
      </c>
      <c r="E4102" s="250">
        <v>13120.254000000001</v>
      </c>
    </row>
    <row r="4103" spans="1:5" x14ac:dyDescent="0.35">
      <c r="A4103" s="1" t="s">
        <v>19412</v>
      </c>
      <c r="B4103" s="1" t="s">
        <v>62</v>
      </c>
      <c r="C4103" s="1" t="s">
        <v>1146</v>
      </c>
      <c r="D4103" s="1" t="s">
        <v>62</v>
      </c>
      <c r="E4103" s="250">
        <v>13120.261</v>
      </c>
    </row>
    <row r="4104" spans="1:5" x14ac:dyDescent="0.35">
      <c r="A4104" s="1" t="s">
        <v>19413</v>
      </c>
      <c r="B4104" s="1" t="s">
        <v>62</v>
      </c>
      <c r="C4104" s="1" t="s">
        <v>1145</v>
      </c>
      <c r="D4104" s="1" t="s">
        <v>62</v>
      </c>
      <c r="E4104" s="250">
        <v>13120.262000000001</v>
      </c>
    </row>
    <row r="4105" spans="1:5" x14ac:dyDescent="0.35">
      <c r="A4105" s="1" t="s">
        <v>19414</v>
      </c>
      <c r="B4105" s="1" t="s">
        <v>62</v>
      </c>
      <c r="C4105" s="1" t="s">
        <v>1144</v>
      </c>
      <c r="D4105" s="1" t="s">
        <v>62</v>
      </c>
      <c r="E4105" s="250">
        <v>13120.263000000001</v>
      </c>
    </row>
    <row r="4106" spans="1:5" x14ac:dyDescent="0.35">
      <c r="A4106" s="1" t="s">
        <v>19415</v>
      </c>
      <c r="B4106" s="1" t="s">
        <v>62</v>
      </c>
      <c r="C4106" s="1" t="s">
        <v>1143</v>
      </c>
      <c r="D4106" s="1" t="s">
        <v>62</v>
      </c>
      <c r="E4106" s="250">
        <v>13120.263999999999</v>
      </c>
    </row>
    <row r="4107" spans="1:5" x14ac:dyDescent="0.35">
      <c r="A4107" s="1" t="s">
        <v>19416</v>
      </c>
      <c r="B4107" s="1" t="s">
        <v>62</v>
      </c>
      <c r="C4107" s="1" t="s">
        <v>1142</v>
      </c>
      <c r="D4107" s="1" t="s">
        <v>62</v>
      </c>
      <c r="E4107" s="250">
        <v>13120.264999999999</v>
      </c>
    </row>
    <row r="4108" spans="1:5" x14ac:dyDescent="0.35">
      <c r="A4108" s="1" t="s">
        <v>19417</v>
      </c>
      <c r="B4108" s="1" t="s">
        <v>62</v>
      </c>
      <c r="C4108" s="1" t="s">
        <v>1141</v>
      </c>
      <c r="D4108" s="1" t="s">
        <v>62</v>
      </c>
      <c r="E4108" s="250">
        <v>13120.266</v>
      </c>
    </row>
    <row r="4109" spans="1:5" x14ac:dyDescent="0.35">
      <c r="A4109" s="1" t="s">
        <v>19418</v>
      </c>
      <c r="B4109" s="1" t="s">
        <v>62</v>
      </c>
      <c r="C4109" s="1" t="s">
        <v>1140</v>
      </c>
      <c r="D4109" s="1" t="s">
        <v>62</v>
      </c>
      <c r="E4109" s="250">
        <v>13120.271000000001</v>
      </c>
    </row>
    <row r="4110" spans="1:5" x14ac:dyDescent="0.35">
      <c r="A4110" s="1" t="s">
        <v>19419</v>
      </c>
      <c r="B4110" s="1" t="s">
        <v>62</v>
      </c>
      <c r="C4110" s="1" t="s">
        <v>1139</v>
      </c>
      <c r="D4110" s="1" t="s">
        <v>62</v>
      </c>
      <c r="E4110" s="250">
        <v>13120.272000000001</v>
      </c>
    </row>
    <row r="4111" spans="1:5" x14ac:dyDescent="0.35">
      <c r="A4111" s="1" t="s">
        <v>19420</v>
      </c>
      <c r="B4111" s="1" t="s">
        <v>62</v>
      </c>
      <c r="C4111" s="1" t="s">
        <v>1138</v>
      </c>
      <c r="D4111" s="1" t="s">
        <v>62</v>
      </c>
      <c r="E4111" s="250">
        <v>13120.272999999999</v>
      </c>
    </row>
    <row r="4112" spans="1:5" x14ac:dyDescent="0.35">
      <c r="A4112" s="1" t="s">
        <v>19421</v>
      </c>
      <c r="B4112" s="1" t="s">
        <v>62</v>
      </c>
      <c r="C4112" s="1" t="s">
        <v>1137</v>
      </c>
      <c r="D4112" s="1" t="s">
        <v>62</v>
      </c>
      <c r="E4112" s="250">
        <v>13120.273999999999</v>
      </c>
    </row>
    <row r="4113" spans="1:5" x14ac:dyDescent="0.35">
      <c r="A4113" s="1" t="s">
        <v>19422</v>
      </c>
      <c r="B4113" s="1" t="s">
        <v>62</v>
      </c>
      <c r="C4113" s="1" t="s">
        <v>1136</v>
      </c>
      <c r="D4113" s="1" t="s">
        <v>62</v>
      </c>
      <c r="E4113" s="250">
        <v>13120.275</v>
      </c>
    </row>
    <row r="4114" spans="1:5" x14ac:dyDescent="0.35">
      <c r="A4114" s="1" t="s">
        <v>19423</v>
      </c>
      <c r="B4114" s="1" t="s">
        <v>62</v>
      </c>
      <c r="C4114" s="1" t="s">
        <v>1135</v>
      </c>
      <c r="D4114" s="1" t="s">
        <v>62</v>
      </c>
      <c r="E4114" s="250">
        <v>13120.276</v>
      </c>
    </row>
    <row r="4115" spans="1:5" x14ac:dyDescent="0.35">
      <c r="A4115" s="1" t="s">
        <v>19424</v>
      </c>
      <c r="B4115" s="1" t="s">
        <v>57</v>
      </c>
      <c r="C4115" s="1" t="s">
        <v>1134</v>
      </c>
      <c r="D4115" s="1" t="s">
        <v>57</v>
      </c>
      <c r="E4115" s="250">
        <v>13120.300999999999</v>
      </c>
    </row>
    <row r="4116" spans="1:5" x14ac:dyDescent="0.35">
      <c r="A4116" s="1" t="s">
        <v>19425</v>
      </c>
      <c r="B4116" s="1" t="s">
        <v>621</v>
      </c>
      <c r="C4116" s="1" t="s">
        <v>1133</v>
      </c>
      <c r="D4116" s="1" t="s">
        <v>621</v>
      </c>
      <c r="E4116" s="250">
        <v>13120.302</v>
      </c>
    </row>
    <row r="4117" spans="1:5" x14ac:dyDescent="0.35">
      <c r="A4117" s="1" t="s">
        <v>19426</v>
      </c>
      <c r="B4117" s="1" t="s">
        <v>621</v>
      </c>
      <c r="C4117" s="1" t="s">
        <v>1132</v>
      </c>
      <c r="D4117" s="1" t="s">
        <v>621</v>
      </c>
      <c r="E4117" s="250">
        <v>13120.303</v>
      </c>
    </row>
    <row r="4118" spans="1:5" x14ac:dyDescent="0.35">
      <c r="A4118" s="1" t="s">
        <v>19427</v>
      </c>
      <c r="B4118" s="1" t="s">
        <v>621</v>
      </c>
      <c r="C4118" s="1" t="s">
        <v>1131</v>
      </c>
      <c r="D4118" s="1" t="s">
        <v>621</v>
      </c>
      <c r="E4118" s="250">
        <v>13120.304</v>
      </c>
    </row>
    <row r="4119" spans="1:5" x14ac:dyDescent="0.35">
      <c r="A4119" s="1" t="s">
        <v>19428</v>
      </c>
      <c r="B4119" s="1" t="s">
        <v>621</v>
      </c>
      <c r="C4119" s="1" t="s">
        <v>1130</v>
      </c>
      <c r="D4119" s="1" t="s">
        <v>621</v>
      </c>
      <c r="E4119" s="250">
        <v>13120.31</v>
      </c>
    </row>
    <row r="4120" spans="1:5" x14ac:dyDescent="0.35">
      <c r="A4120" s="1" t="s">
        <v>19429</v>
      </c>
      <c r="B4120" s="1" t="s">
        <v>621</v>
      </c>
      <c r="C4120" s="1" t="s">
        <v>1129</v>
      </c>
      <c r="D4120" s="1" t="s">
        <v>621</v>
      </c>
      <c r="E4120" s="250">
        <v>13120.311</v>
      </c>
    </row>
    <row r="4121" spans="1:5" x14ac:dyDescent="0.35">
      <c r="A4121" s="1" t="s">
        <v>19430</v>
      </c>
      <c r="B4121" s="1" t="s">
        <v>621</v>
      </c>
      <c r="C4121" s="1" t="s">
        <v>1128</v>
      </c>
      <c r="D4121" s="1" t="s">
        <v>621</v>
      </c>
      <c r="E4121" s="250">
        <v>13120.312</v>
      </c>
    </row>
    <row r="4122" spans="1:5" x14ac:dyDescent="0.35">
      <c r="A4122" s="1" t="s">
        <v>19431</v>
      </c>
      <c r="B4122" s="1" t="s">
        <v>621</v>
      </c>
      <c r="C4122" s="1" t="s">
        <v>1127</v>
      </c>
      <c r="D4122" s="1" t="s">
        <v>621</v>
      </c>
      <c r="E4122" s="250">
        <v>13120.313</v>
      </c>
    </row>
    <row r="4123" spans="1:5" x14ac:dyDescent="0.35">
      <c r="A4123" s="1" t="s">
        <v>19432</v>
      </c>
      <c r="B4123" s="1" t="s">
        <v>621</v>
      </c>
      <c r="C4123" s="1" t="s">
        <v>1126</v>
      </c>
      <c r="D4123" s="1" t="s">
        <v>621</v>
      </c>
      <c r="E4123" s="250">
        <v>13120.32</v>
      </c>
    </row>
    <row r="4124" spans="1:5" x14ac:dyDescent="0.35">
      <c r="A4124" s="1" t="s">
        <v>19433</v>
      </c>
      <c r="B4124" s="1" t="s">
        <v>621</v>
      </c>
      <c r="C4124" s="1" t="s">
        <v>1125</v>
      </c>
      <c r="D4124" s="1" t="s">
        <v>621</v>
      </c>
      <c r="E4124" s="250">
        <v>13120.321</v>
      </c>
    </row>
    <row r="4125" spans="1:5" x14ac:dyDescent="0.35">
      <c r="A4125" s="1" t="s">
        <v>19434</v>
      </c>
      <c r="B4125" s="1" t="s">
        <v>57</v>
      </c>
      <c r="C4125" s="1" t="s">
        <v>1124</v>
      </c>
      <c r="D4125" s="1" t="s">
        <v>57</v>
      </c>
      <c r="E4125" s="250">
        <v>13120.331</v>
      </c>
    </row>
    <row r="4126" spans="1:5" x14ac:dyDescent="0.35">
      <c r="A4126" s="1" t="s">
        <v>19435</v>
      </c>
      <c r="B4126" s="1" t="s">
        <v>62</v>
      </c>
      <c r="C4126" s="1" t="s">
        <v>1123</v>
      </c>
      <c r="D4126" s="1" t="s">
        <v>62</v>
      </c>
      <c r="E4126" s="250">
        <v>13120.332</v>
      </c>
    </row>
    <row r="4127" spans="1:5" x14ac:dyDescent="0.35">
      <c r="A4127" s="1" t="s">
        <v>19436</v>
      </c>
      <c r="B4127" s="1" t="s">
        <v>62</v>
      </c>
      <c r="C4127" s="1" t="s">
        <v>1122</v>
      </c>
      <c r="D4127" s="1" t="s">
        <v>62</v>
      </c>
      <c r="E4127" s="250">
        <v>13120.333000000001</v>
      </c>
    </row>
    <row r="4128" spans="1:5" x14ac:dyDescent="0.35">
      <c r="A4128" s="1" t="s">
        <v>19437</v>
      </c>
      <c r="B4128" s="1" t="s">
        <v>62</v>
      </c>
      <c r="C4128" s="1" t="s">
        <v>1121</v>
      </c>
      <c r="D4128" s="1" t="s">
        <v>62</v>
      </c>
      <c r="E4128" s="250">
        <v>13120.334000000001</v>
      </c>
    </row>
    <row r="4129" spans="1:5" x14ac:dyDescent="0.35">
      <c r="A4129" s="1" t="s">
        <v>19438</v>
      </c>
      <c r="B4129" s="1" t="s">
        <v>62</v>
      </c>
      <c r="C4129" s="1" t="s">
        <v>1120</v>
      </c>
      <c r="D4129" s="1" t="s">
        <v>62</v>
      </c>
      <c r="E4129" s="250">
        <v>13120.334999999999</v>
      </c>
    </row>
    <row r="4130" spans="1:5" x14ac:dyDescent="0.35">
      <c r="A4130" s="1" t="s">
        <v>19439</v>
      </c>
      <c r="B4130" s="1" t="s">
        <v>621</v>
      </c>
      <c r="C4130" s="1" t="s">
        <v>1119</v>
      </c>
      <c r="D4130" s="1" t="s">
        <v>621</v>
      </c>
      <c r="E4130" s="250">
        <v>13120.35</v>
      </c>
    </row>
    <row r="4131" spans="1:5" x14ac:dyDescent="0.35">
      <c r="A4131" s="1" t="s">
        <v>19440</v>
      </c>
      <c r="B4131" s="1" t="s">
        <v>621</v>
      </c>
      <c r="C4131" s="1" t="s">
        <v>1118</v>
      </c>
      <c r="D4131" s="1" t="s">
        <v>621</v>
      </c>
      <c r="E4131" s="250">
        <v>13120.351000000001</v>
      </c>
    </row>
    <row r="4132" spans="1:5" x14ac:dyDescent="0.35">
      <c r="A4132" s="1" t="s">
        <v>19441</v>
      </c>
      <c r="B4132" s="1" t="s">
        <v>621</v>
      </c>
      <c r="C4132" s="1" t="s">
        <v>1117</v>
      </c>
      <c r="D4132" s="1" t="s">
        <v>621</v>
      </c>
      <c r="E4132" s="250">
        <v>13120.352000000001</v>
      </c>
    </row>
    <row r="4133" spans="1:5" x14ac:dyDescent="0.35">
      <c r="A4133" s="1" t="s">
        <v>19442</v>
      </c>
      <c r="B4133" s="1" t="s">
        <v>621</v>
      </c>
      <c r="C4133" s="1" t="s">
        <v>1116</v>
      </c>
      <c r="D4133" s="1" t="s">
        <v>621</v>
      </c>
      <c r="E4133" s="250">
        <v>13120.352999999999</v>
      </c>
    </row>
    <row r="4134" spans="1:5" x14ac:dyDescent="0.35">
      <c r="A4134" s="1" t="s">
        <v>19443</v>
      </c>
      <c r="B4134" s="1" t="s">
        <v>621</v>
      </c>
      <c r="C4134" s="1" t="s">
        <v>1115</v>
      </c>
      <c r="D4134" s="1" t="s">
        <v>621</v>
      </c>
      <c r="E4134" s="250">
        <v>13120.353999999999</v>
      </c>
    </row>
    <row r="4135" spans="1:5" x14ac:dyDescent="0.35">
      <c r="A4135" s="1" t="s">
        <v>19444</v>
      </c>
      <c r="B4135" s="1" t="s">
        <v>621</v>
      </c>
      <c r="C4135" s="1" t="s">
        <v>1114</v>
      </c>
      <c r="D4135" s="1" t="s">
        <v>621</v>
      </c>
      <c r="E4135" s="250">
        <v>13120.355</v>
      </c>
    </row>
    <row r="4136" spans="1:5" x14ac:dyDescent="0.35">
      <c r="A4136" s="1" t="s">
        <v>19445</v>
      </c>
      <c r="B4136" s="1" t="s">
        <v>621</v>
      </c>
      <c r="C4136" s="1" t="s">
        <v>1113</v>
      </c>
      <c r="D4136" s="1" t="s">
        <v>621</v>
      </c>
      <c r="E4136" s="250">
        <v>13120.356</v>
      </c>
    </row>
    <row r="4137" spans="1:5" x14ac:dyDescent="0.35">
      <c r="A4137" s="1" t="s">
        <v>19446</v>
      </c>
      <c r="B4137" s="1" t="s">
        <v>621</v>
      </c>
      <c r="C4137" s="1" t="s">
        <v>1112</v>
      </c>
      <c r="D4137" s="1" t="s">
        <v>621</v>
      </c>
      <c r="E4137" s="250">
        <v>13120.357</v>
      </c>
    </row>
    <row r="4138" spans="1:5" x14ac:dyDescent="0.35">
      <c r="A4138" s="1" t="s">
        <v>19447</v>
      </c>
      <c r="B4138" s="1" t="s">
        <v>621</v>
      </c>
      <c r="C4138" s="1" t="s">
        <v>1111</v>
      </c>
      <c r="D4138" s="1" t="s">
        <v>621</v>
      </c>
      <c r="E4138" s="250">
        <v>13120.358</v>
      </c>
    </row>
    <row r="4139" spans="1:5" x14ac:dyDescent="0.35">
      <c r="A4139" s="1" t="s">
        <v>19448</v>
      </c>
      <c r="B4139" s="1" t="s">
        <v>621</v>
      </c>
      <c r="C4139" s="1" t="s">
        <v>1110</v>
      </c>
      <c r="D4139" s="1" t="s">
        <v>621</v>
      </c>
      <c r="E4139" s="250">
        <v>13120.359</v>
      </c>
    </row>
    <row r="4140" spans="1:5" x14ac:dyDescent="0.35">
      <c r="A4140" s="1" t="s">
        <v>19449</v>
      </c>
      <c r="B4140" s="1" t="s">
        <v>621</v>
      </c>
      <c r="C4140" s="1" t="s">
        <v>1109</v>
      </c>
      <c r="D4140" s="1" t="s">
        <v>621</v>
      </c>
      <c r="E4140" s="250">
        <v>13120.36</v>
      </c>
    </row>
    <row r="4141" spans="1:5" x14ac:dyDescent="0.35">
      <c r="A4141" s="1" t="s">
        <v>19450</v>
      </c>
      <c r="B4141" s="1" t="s">
        <v>621</v>
      </c>
      <c r="C4141" s="1" t="s">
        <v>1108</v>
      </c>
      <c r="D4141" s="1" t="s">
        <v>621</v>
      </c>
      <c r="E4141" s="250">
        <v>13120.361000000001</v>
      </c>
    </row>
    <row r="4142" spans="1:5" x14ac:dyDescent="0.35">
      <c r="A4142" s="1" t="s">
        <v>19451</v>
      </c>
      <c r="B4142" s="1" t="s">
        <v>621</v>
      </c>
      <c r="C4142" s="1" t="s">
        <v>1107</v>
      </c>
      <c r="D4142" s="1" t="s">
        <v>621</v>
      </c>
      <c r="E4142" s="250">
        <v>13120.361999999999</v>
      </c>
    </row>
    <row r="4143" spans="1:5" x14ac:dyDescent="0.35">
      <c r="A4143" s="1" t="s">
        <v>19452</v>
      </c>
      <c r="B4143" s="1" t="s">
        <v>621</v>
      </c>
      <c r="C4143" s="1" t="s">
        <v>1106</v>
      </c>
      <c r="D4143" s="1" t="s">
        <v>621</v>
      </c>
      <c r="E4143" s="250">
        <v>13120.362999999999</v>
      </c>
    </row>
    <row r="4144" spans="1:5" x14ac:dyDescent="0.35">
      <c r="A4144" s="1" t="s">
        <v>19453</v>
      </c>
      <c r="B4144" s="1" t="s">
        <v>621</v>
      </c>
      <c r="C4144" s="1" t="s">
        <v>1105</v>
      </c>
      <c r="D4144" s="1" t="s">
        <v>621</v>
      </c>
      <c r="E4144" s="250">
        <v>13120.364</v>
      </c>
    </row>
    <row r="4145" spans="1:5" x14ac:dyDescent="0.35">
      <c r="A4145" s="1" t="s">
        <v>19454</v>
      </c>
      <c r="B4145" s="1" t="s">
        <v>621</v>
      </c>
      <c r="C4145" s="1" t="s">
        <v>1104</v>
      </c>
      <c r="D4145" s="1" t="s">
        <v>621</v>
      </c>
      <c r="E4145" s="250">
        <v>13120.365</v>
      </c>
    </row>
    <row r="4146" spans="1:5" x14ac:dyDescent="0.35">
      <c r="A4146" s="1" t="s">
        <v>19455</v>
      </c>
      <c r="B4146" s="1" t="s">
        <v>621</v>
      </c>
      <c r="C4146" s="1" t="s">
        <v>1103</v>
      </c>
      <c r="D4146" s="1" t="s">
        <v>621</v>
      </c>
      <c r="E4146" s="250">
        <v>13120.370999999999</v>
      </c>
    </row>
    <row r="4147" spans="1:5" x14ac:dyDescent="0.35">
      <c r="A4147" s="1" t="s">
        <v>19456</v>
      </c>
      <c r="B4147" s="1" t="s">
        <v>621</v>
      </c>
      <c r="C4147" s="1" t="s">
        <v>1102</v>
      </c>
      <c r="D4147" s="1" t="s">
        <v>621</v>
      </c>
      <c r="E4147" s="250">
        <v>13120.371999999999</v>
      </c>
    </row>
    <row r="4148" spans="1:5" x14ac:dyDescent="0.35">
      <c r="A4148" s="1" t="s">
        <v>19457</v>
      </c>
      <c r="B4148" s="1" t="s">
        <v>621</v>
      </c>
      <c r="C4148" s="1" t="s">
        <v>1101</v>
      </c>
      <c r="D4148" s="1" t="s">
        <v>621</v>
      </c>
      <c r="E4148" s="250">
        <v>13120.373</v>
      </c>
    </row>
    <row r="4149" spans="1:5" x14ac:dyDescent="0.35">
      <c r="A4149" s="1" t="s">
        <v>19458</v>
      </c>
      <c r="B4149" s="1" t="s">
        <v>621</v>
      </c>
      <c r="C4149" s="1" t="s">
        <v>1100</v>
      </c>
      <c r="D4149" s="1" t="s">
        <v>621</v>
      </c>
      <c r="E4149" s="250">
        <v>13120.374</v>
      </c>
    </row>
    <row r="4150" spans="1:5" x14ac:dyDescent="0.35">
      <c r="A4150" s="1" t="s">
        <v>19459</v>
      </c>
      <c r="B4150" s="1" t="s">
        <v>621</v>
      </c>
      <c r="C4150" s="1" t="s">
        <v>1099</v>
      </c>
      <c r="D4150" s="1" t="s">
        <v>621</v>
      </c>
      <c r="E4150" s="250">
        <v>13120.375</v>
      </c>
    </row>
    <row r="4151" spans="1:5" x14ac:dyDescent="0.35">
      <c r="A4151" s="1" t="s">
        <v>19460</v>
      </c>
      <c r="B4151" s="1" t="s">
        <v>621</v>
      </c>
      <c r="C4151" s="1" t="s">
        <v>1098</v>
      </c>
      <c r="D4151" s="1" t="s">
        <v>621</v>
      </c>
      <c r="E4151" s="250">
        <v>13120.376</v>
      </c>
    </row>
    <row r="4152" spans="1:5" x14ac:dyDescent="0.35">
      <c r="A4152" s="1" t="s">
        <v>19461</v>
      </c>
      <c r="B4152" s="1" t="s">
        <v>621</v>
      </c>
      <c r="C4152" s="1" t="s">
        <v>1097</v>
      </c>
      <c r="D4152" s="1" t="s">
        <v>621</v>
      </c>
      <c r="E4152" s="250">
        <v>13120.377</v>
      </c>
    </row>
    <row r="4153" spans="1:5" x14ac:dyDescent="0.35">
      <c r="A4153" s="1" t="s">
        <v>19462</v>
      </c>
      <c r="B4153" s="1" t="s">
        <v>621</v>
      </c>
      <c r="C4153" s="1" t="s">
        <v>1096</v>
      </c>
      <c r="D4153" s="1" t="s">
        <v>621</v>
      </c>
      <c r="E4153" s="250">
        <v>13120.378000000001</v>
      </c>
    </row>
    <row r="4154" spans="1:5" x14ac:dyDescent="0.35">
      <c r="A4154" s="1" t="s">
        <v>19463</v>
      </c>
      <c r="B4154" s="1" t="s">
        <v>621</v>
      </c>
      <c r="C4154" s="1" t="s">
        <v>1095</v>
      </c>
      <c r="D4154" s="1" t="s">
        <v>621</v>
      </c>
      <c r="E4154" s="250">
        <v>13120.379000000001</v>
      </c>
    </row>
    <row r="4155" spans="1:5" x14ac:dyDescent="0.35">
      <c r="A4155" s="1" t="s">
        <v>19464</v>
      </c>
      <c r="B4155" s="1" t="s">
        <v>621</v>
      </c>
      <c r="C4155" s="1" t="s">
        <v>1094</v>
      </c>
      <c r="D4155" s="1" t="s">
        <v>621</v>
      </c>
      <c r="E4155" s="250">
        <v>13120.38</v>
      </c>
    </row>
    <row r="4156" spans="1:5" x14ac:dyDescent="0.35">
      <c r="A4156" s="1" t="s">
        <v>19465</v>
      </c>
      <c r="B4156" s="1" t="s">
        <v>621</v>
      </c>
      <c r="C4156" s="1" t="s">
        <v>1093</v>
      </c>
      <c r="D4156" s="1" t="s">
        <v>621</v>
      </c>
      <c r="E4156" s="250">
        <v>13120.380999999999</v>
      </c>
    </row>
    <row r="4157" spans="1:5" x14ac:dyDescent="0.35">
      <c r="A4157" s="1" t="s">
        <v>19466</v>
      </c>
      <c r="B4157" s="1" t="s">
        <v>621</v>
      </c>
      <c r="C4157" s="1" t="s">
        <v>1092</v>
      </c>
      <c r="D4157" s="1" t="s">
        <v>621</v>
      </c>
      <c r="E4157" s="250">
        <v>13120.382</v>
      </c>
    </row>
    <row r="4158" spans="1:5" x14ac:dyDescent="0.35">
      <c r="A4158" s="1" t="s">
        <v>19467</v>
      </c>
      <c r="B4158" s="1" t="s">
        <v>621</v>
      </c>
      <c r="C4158" s="1" t="s">
        <v>1091</v>
      </c>
      <c r="D4158" s="1" t="s">
        <v>621</v>
      </c>
      <c r="E4158" s="250">
        <v>13120.383</v>
      </c>
    </row>
    <row r="4159" spans="1:5" x14ac:dyDescent="0.35">
      <c r="A4159" s="1" t="s">
        <v>19468</v>
      </c>
      <c r="B4159" s="1" t="s">
        <v>621</v>
      </c>
      <c r="C4159" s="1" t="s">
        <v>1090</v>
      </c>
      <c r="D4159" s="1" t="s">
        <v>621</v>
      </c>
      <c r="E4159" s="250">
        <v>13120.384</v>
      </c>
    </row>
    <row r="4160" spans="1:5" x14ac:dyDescent="0.35">
      <c r="A4160" s="1" t="s">
        <v>19469</v>
      </c>
      <c r="B4160" s="1" t="s">
        <v>621</v>
      </c>
      <c r="C4160" s="1" t="s">
        <v>1089</v>
      </c>
      <c r="D4160" s="1" t="s">
        <v>621</v>
      </c>
      <c r="E4160" s="250">
        <v>13120.385</v>
      </c>
    </row>
    <row r="4161" spans="1:5" x14ac:dyDescent="0.35">
      <c r="A4161" s="1" t="s">
        <v>19470</v>
      </c>
      <c r="B4161" s="1" t="s">
        <v>57</v>
      </c>
      <c r="C4161" s="1" t="s">
        <v>1088</v>
      </c>
      <c r="D4161" s="1" t="s">
        <v>57</v>
      </c>
      <c r="E4161" s="250">
        <v>13120.4</v>
      </c>
    </row>
    <row r="4162" spans="1:5" x14ac:dyDescent="0.35">
      <c r="A4162" s="1" t="s">
        <v>19471</v>
      </c>
      <c r="B4162" s="1" t="s">
        <v>58</v>
      </c>
      <c r="C4162" s="1" t="s">
        <v>1087</v>
      </c>
      <c r="D4162" s="1" t="s">
        <v>58</v>
      </c>
      <c r="E4162" s="250">
        <v>13120.401</v>
      </c>
    </row>
    <row r="4163" spans="1:5" x14ac:dyDescent="0.35">
      <c r="A4163" s="1" t="s">
        <v>19472</v>
      </c>
      <c r="B4163" s="1" t="s">
        <v>58</v>
      </c>
      <c r="C4163" s="1" t="s">
        <v>1086</v>
      </c>
      <c r="D4163" s="1" t="s">
        <v>58</v>
      </c>
      <c r="E4163" s="250">
        <v>13120.402</v>
      </c>
    </row>
    <row r="4164" spans="1:5" x14ac:dyDescent="0.35">
      <c r="A4164" s="1" t="s">
        <v>19473</v>
      </c>
      <c r="B4164" s="1" t="s">
        <v>58</v>
      </c>
      <c r="C4164" s="1" t="s">
        <v>1085</v>
      </c>
      <c r="D4164" s="1" t="s">
        <v>58</v>
      </c>
      <c r="E4164" s="250">
        <v>13120.403</v>
      </c>
    </row>
    <row r="4165" spans="1:5" x14ac:dyDescent="0.35">
      <c r="A4165" s="1" t="s">
        <v>19474</v>
      </c>
      <c r="B4165" s="1" t="s">
        <v>58</v>
      </c>
      <c r="C4165" s="1" t="s">
        <v>1084</v>
      </c>
      <c r="D4165" s="1" t="s">
        <v>58</v>
      </c>
      <c r="E4165" s="250">
        <v>13120.404</v>
      </c>
    </row>
    <row r="4166" spans="1:5" x14ac:dyDescent="0.35">
      <c r="A4166" s="1" t="s">
        <v>19475</v>
      </c>
      <c r="B4166" s="1" t="s">
        <v>58</v>
      </c>
      <c r="C4166" s="1" t="s">
        <v>1083</v>
      </c>
      <c r="D4166" s="1" t="s">
        <v>58</v>
      </c>
      <c r="E4166" s="250">
        <v>13120.405000000001</v>
      </c>
    </row>
    <row r="4167" spans="1:5" x14ac:dyDescent="0.35">
      <c r="A4167" s="1" t="s">
        <v>19476</v>
      </c>
      <c r="B4167" s="1" t="s">
        <v>58</v>
      </c>
      <c r="C4167" s="1" t="s">
        <v>1082</v>
      </c>
      <c r="D4167" s="1" t="s">
        <v>58</v>
      </c>
      <c r="E4167" s="250">
        <v>13120.406000000001</v>
      </c>
    </row>
    <row r="4168" spans="1:5" x14ac:dyDescent="0.35">
      <c r="A4168" s="1" t="s">
        <v>19477</v>
      </c>
      <c r="B4168" s="1" t="s">
        <v>58</v>
      </c>
      <c r="C4168" s="1" t="s">
        <v>1081</v>
      </c>
      <c r="D4168" s="1" t="s">
        <v>58</v>
      </c>
      <c r="E4168" s="250">
        <v>13120.406999999999</v>
      </c>
    </row>
    <row r="4169" spans="1:5" x14ac:dyDescent="0.35">
      <c r="A4169" s="1" t="s">
        <v>19478</v>
      </c>
      <c r="B4169" s="1" t="s">
        <v>57</v>
      </c>
      <c r="C4169" s="1" t="s">
        <v>35</v>
      </c>
      <c r="D4169" s="1" t="s">
        <v>57</v>
      </c>
      <c r="E4169" s="250">
        <v>13120.42</v>
      </c>
    </row>
    <row r="4170" spans="1:5" x14ac:dyDescent="0.35">
      <c r="A4170" s="1" t="s">
        <v>19479</v>
      </c>
      <c r="B4170" s="1" t="s">
        <v>58</v>
      </c>
      <c r="C4170" s="1" t="s">
        <v>1080</v>
      </c>
      <c r="D4170" s="1" t="s">
        <v>58</v>
      </c>
      <c r="E4170" s="250">
        <v>13120.421</v>
      </c>
    </row>
    <row r="4171" spans="1:5" x14ac:dyDescent="0.35">
      <c r="A4171" s="1" t="s">
        <v>19480</v>
      </c>
      <c r="B4171" s="1" t="s">
        <v>58</v>
      </c>
      <c r="C4171" s="1" t="s">
        <v>1079</v>
      </c>
      <c r="D4171" s="1" t="s">
        <v>58</v>
      </c>
      <c r="E4171" s="250">
        <v>13120.422</v>
      </c>
    </row>
    <row r="4172" spans="1:5" x14ac:dyDescent="0.35">
      <c r="A4172" s="1" t="s">
        <v>19481</v>
      </c>
      <c r="B4172" s="1" t="s">
        <v>58</v>
      </c>
      <c r="C4172" s="1" t="s">
        <v>1078</v>
      </c>
      <c r="D4172" s="1" t="s">
        <v>58</v>
      </c>
      <c r="E4172" s="250">
        <v>13120.423000000001</v>
      </c>
    </row>
    <row r="4173" spans="1:5" x14ac:dyDescent="0.35">
      <c r="A4173" s="1" t="s">
        <v>19482</v>
      </c>
      <c r="B4173" s="1" t="s">
        <v>58</v>
      </c>
      <c r="C4173" s="1" t="s">
        <v>1077</v>
      </c>
      <c r="D4173" s="1" t="s">
        <v>58</v>
      </c>
      <c r="E4173" s="250">
        <v>13120.424000000001</v>
      </c>
    </row>
    <row r="4174" spans="1:5" x14ac:dyDescent="0.35">
      <c r="A4174" s="1" t="s">
        <v>19483</v>
      </c>
      <c r="B4174" s="1" t="s">
        <v>58</v>
      </c>
      <c r="C4174" s="1" t="s">
        <v>1076</v>
      </c>
      <c r="D4174" s="1" t="s">
        <v>58</v>
      </c>
      <c r="E4174" s="250">
        <v>13120.424999999999</v>
      </c>
    </row>
    <row r="4175" spans="1:5" x14ac:dyDescent="0.35">
      <c r="A4175" s="1" t="s">
        <v>19484</v>
      </c>
      <c r="B4175" s="1" t="s">
        <v>58</v>
      </c>
      <c r="C4175" s="1" t="s">
        <v>1075</v>
      </c>
      <c r="D4175" s="1" t="s">
        <v>58</v>
      </c>
      <c r="E4175" s="250">
        <v>13120.425999999999</v>
      </c>
    </row>
    <row r="4176" spans="1:5" x14ac:dyDescent="0.35">
      <c r="A4176" s="1" t="s">
        <v>19485</v>
      </c>
      <c r="B4176" s="1" t="s">
        <v>58</v>
      </c>
      <c r="C4176" s="1" t="s">
        <v>1074</v>
      </c>
      <c r="D4176" s="1" t="s">
        <v>58</v>
      </c>
      <c r="E4176" s="250">
        <v>13120.427</v>
      </c>
    </row>
    <row r="4177" spans="1:5" x14ac:dyDescent="0.35">
      <c r="A4177" s="1" t="s">
        <v>19486</v>
      </c>
      <c r="B4177" s="1" t="s">
        <v>58</v>
      </c>
      <c r="C4177" s="1" t="s">
        <v>1073</v>
      </c>
      <c r="D4177" s="1" t="s">
        <v>58</v>
      </c>
      <c r="E4177" s="250">
        <v>13120.428</v>
      </c>
    </row>
    <row r="4178" spans="1:5" x14ac:dyDescent="0.35">
      <c r="A4178" s="1" t="s">
        <v>19487</v>
      </c>
      <c r="B4178" s="1" t="s">
        <v>58</v>
      </c>
      <c r="C4178" s="1" t="s">
        <v>1072</v>
      </c>
      <c r="D4178" s="1" t="s">
        <v>58</v>
      </c>
      <c r="E4178" s="250">
        <v>13120.450999999999</v>
      </c>
    </row>
    <row r="4179" spans="1:5" x14ac:dyDescent="0.35">
      <c r="A4179" s="1" t="s">
        <v>19488</v>
      </c>
      <c r="B4179" s="1" t="s">
        <v>58</v>
      </c>
      <c r="C4179" s="1" t="s">
        <v>1071</v>
      </c>
      <c r="D4179" s="1" t="s">
        <v>58</v>
      </c>
      <c r="E4179" s="250">
        <v>13120.451999999999</v>
      </c>
    </row>
    <row r="4180" spans="1:5" x14ac:dyDescent="0.35">
      <c r="A4180" s="1" t="s">
        <v>19489</v>
      </c>
      <c r="B4180" s="1" t="s">
        <v>58</v>
      </c>
      <c r="C4180" s="1" t="s">
        <v>1070</v>
      </c>
      <c r="D4180" s="1" t="s">
        <v>58</v>
      </c>
      <c r="E4180" s="250">
        <v>13120.46</v>
      </c>
    </row>
    <row r="4181" spans="1:5" x14ac:dyDescent="0.35">
      <c r="A4181" s="1" t="s">
        <v>19490</v>
      </c>
      <c r="B4181" s="1" t="s">
        <v>57</v>
      </c>
      <c r="C4181" s="1" t="s">
        <v>1069</v>
      </c>
      <c r="D4181" s="1" t="s">
        <v>57</v>
      </c>
      <c r="E4181" s="250">
        <v>13120.47</v>
      </c>
    </row>
    <row r="4182" spans="1:5" x14ac:dyDescent="0.35">
      <c r="A4182" s="1" t="s">
        <v>19491</v>
      </c>
      <c r="B4182" s="1" t="s">
        <v>58</v>
      </c>
      <c r="C4182" s="1" t="s">
        <v>1068</v>
      </c>
      <c r="D4182" s="1" t="s">
        <v>58</v>
      </c>
      <c r="E4182" s="250">
        <v>13120.471</v>
      </c>
    </row>
    <row r="4183" spans="1:5" x14ac:dyDescent="0.35">
      <c r="A4183" s="1" t="s">
        <v>19492</v>
      </c>
      <c r="B4183" s="1" t="s">
        <v>58</v>
      </c>
      <c r="C4183" s="1" t="s">
        <v>1067</v>
      </c>
      <c r="D4183" s="1" t="s">
        <v>58</v>
      </c>
      <c r="E4183" s="250">
        <v>13120.472</v>
      </c>
    </row>
    <row r="4184" spans="1:5" x14ac:dyDescent="0.35">
      <c r="A4184" s="1" t="s">
        <v>19493</v>
      </c>
      <c r="B4184" s="1" t="s">
        <v>58</v>
      </c>
      <c r="C4184" s="1" t="s">
        <v>1066</v>
      </c>
      <c r="D4184" s="1" t="s">
        <v>58</v>
      </c>
      <c r="E4184" s="250">
        <v>13120.473</v>
      </c>
    </row>
    <row r="4185" spans="1:5" x14ac:dyDescent="0.35">
      <c r="A4185" s="1" t="s">
        <v>19494</v>
      </c>
      <c r="B4185" s="1" t="s">
        <v>58</v>
      </c>
      <c r="C4185" s="1" t="s">
        <v>1065</v>
      </c>
      <c r="D4185" s="1" t="s">
        <v>58</v>
      </c>
      <c r="E4185" s="250">
        <v>13120.474</v>
      </c>
    </row>
    <row r="4186" spans="1:5" x14ac:dyDescent="0.35">
      <c r="A4186" s="1" t="s">
        <v>19495</v>
      </c>
      <c r="B4186" s="1" t="s">
        <v>58</v>
      </c>
      <c r="C4186" s="1" t="s">
        <v>1064</v>
      </c>
      <c r="D4186" s="1" t="s">
        <v>58</v>
      </c>
      <c r="E4186" s="250">
        <v>13120.475</v>
      </c>
    </row>
    <row r="4187" spans="1:5" x14ac:dyDescent="0.35">
      <c r="A4187" s="1" t="s">
        <v>19496</v>
      </c>
      <c r="B4187" s="1" t="s">
        <v>58</v>
      </c>
      <c r="C4187" s="1" t="s">
        <v>1063</v>
      </c>
      <c r="D4187" s="1" t="s">
        <v>58</v>
      </c>
      <c r="E4187" s="250">
        <v>13120.476000000001</v>
      </c>
    </row>
    <row r="4188" spans="1:5" x14ac:dyDescent="0.35">
      <c r="A4188" s="1" t="s">
        <v>19497</v>
      </c>
      <c r="B4188" s="1" t="s">
        <v>1060</v>
      </c>
      <c r="C4188" s="1" t="s">
        <v>1062</v>
      </c>
      <c r="D4188" s="1" t="s">
        <v>1060</v>
      </c>
      <c r="E4188" s="250">
        <v>13120.477000000001</v>
      </c>
    </row>
    <row r="4189" spans="1:5" x14ac:dyDescent="0.35">
      <c r="A4189" s="1" t="s">
        <v>19498</v>
      </c>
      <c r="B4189" s="1" t="s">
        <v>1060</v>
      </c>
      <c r="C4189" s="1" t="s">
        <v>1061</v>
      </c>
      <c r="D4189" s="1" t="s">
        <v>1060</v>
      </c>
      <c r="E4189" s="250">
        <v>13120.477999999999</v>
      </c>
    </row>
    <row r="4190" spans="1:5" x14ac:dyDescent="0.35">
      <c r="A4190" s="1" t="s">
        <v>19499</v>
      </c>
      <c r="B4190" s="1" t="s">
        <v>58</v>
      </c>
      <c r="C4190" s="1" t="s">
        <v>1059</v>
      </c>
      <c r="D4190" s="1" t="s">
        <v>58</v>
      </c>
      <c r="E4190" s="250">
        <v>13120.478999999999</v>
      </c>
    </row>
    <row r="4191" spans="1:5" x14ac:dyDescent="0.35">
      <c r="A4191" s="1" t="s">
        <v>19500</v>
      </c>
      <c r="B4191" s="1" t="s">
        <v>57</v>
      </c>
      <c r="C4191" s="1" t="s">
        <v>1058</v>
      </c>
      <c r="D4191" s="1" t="s">
        <v>57</v>
      </c>
      <c r="E4191" s="250">
        <v>13120.49</v>
      </c>
    </row>
    <row r="4192" spans="1:5" x14ac:dyDescent="0.35">
      <c r="A4192" s="1" t="s">
        <v>19501</v>
      </c>
      <c r="B4192" s="1" t="s">
        <v>62</v>
      </c>
      <c r="C4192" s="1" t="s">
        <v>1057</v>
      </c>
      <c r="D4192" s="1" t="s">
        <v>62</v>
      </c>
      <c r="E4192" s="250">
        <v>13120.491</v>
      </c>
    </row>
    <row r="4193" spans="1:5" x14ac:dyDescent="0.35">
      <c r="A4193" s="1" t="s">
        <v>19502</v>
      </c>
      <c r="B4193" s="1" t="s">
        <v>62</v>
      </c>
      <c r="C4193" s="1" t="s">
        <v>1056</v>
      </c>
      <c r="D4193" s="1" t="s">
        <v>62</v>
      </c>
      <c r="E4193" s="250">
        <v>13120.492</v>
      </c>
    </row>
    <row r="4194" spans="1:5" x14ac:dyDescent="0.35">
      <c r="A4194" s="1" t="s">
        <v>19503</v>
      </c>
      <c r="B4194" s="1" t="s">
        <v>62</v>
      </c>
      <c r="C4194" s="1" t="s">
        <v>1055</v>
      </c>
      <c r="D4194" s="1" t="s">
        <v>62</v>
      </c>
      <c r="E4194" s="250">
        <v>13120.493</v>
      </c>
    </row>
    <row r="4195" spans="1:5" x14ac:dyDescent="0.35">
      <c r="A4195" s="1" t="s">
        <v>19504</v>
      </c>
      <c r="B4195" s="1" t="s">
        <v>57</v>
      </c>
      <c r="C4195" s="1" t="s">
        <v>1054</v>
      </c>
      <c r="D4195" s="1" t="s">
        <v>57</v>
      </c>
      <c r="E4195" s="250">
        <v>13120.5</v>
      </c>
    </row>
    <row r="4196" spans="1:5" x14ac:dyDescent="0.35">
      <c r="A4196" s="1" t="s">
        <v>19505</v>
      </c>
      <c r="B4196" s="1" t="s">
        <v>62</v>
      </c>
      <c r="C4196" s="1" t="s">
        <v>1053</v>
      </c>
      <c r="D4196" s="1" t="s">
        <v>62</v>
      </c>
      <c r="E4196" s="250">
        <v>13120.501</v>
      </c>
    </row>
    <row r="4197" spans="1:5" x14ac:dyDescent="0.35">
      <c r="A4197" s="1" t="s">
        <v>19506</v>
      </c>
      <c r="B4197" s="1" t="s">
        <v>62</v>
      </c>
      <c r="C4197" s="1" t="s">
        <v>1052</v>
      </c>
      <c r="D4197" s="1" t="s">
        <v>62</v>
      </c>
      <c r="E4197" s="250">
        <v>13120.502</v>
      </c>
    </row>
    <row r="4198" spans="1:5" x14ac:dyDescent="0.35">
      <c r="A4198" s="1" t="s">
        <v>19507</v>
      </c>
      <c r="B4198" s="1" t="s">
        <v>58</v>
      </c>
      <c r="C4198" s="1" t="s">
        <v>1051</v>
      </c>
      <c r="D4198" s="1" t="s">
        <v>58</v>
      </c>
      <c r="E4198" s="250">
        <v>13120.503000000001</v>
      </c>
    </row>
    <row r="4199" spans="1:5" x14ac:dyDescent="0.35">
      <c r="A4199" s="1" t="s">
        <v>19508</v>
      </c>
      <c r="B4199" s="1" t="s">
        <v>62</v>
      </c>
      <c r="C4199" s="1" t="s">
        <v>1050</v>
      </c>
      <c r="D4199" s="1" t="s">
        <v>62</v>
      </c>
      <c r="E4199" s="250">
        <v>13120.504000000001</v>
      </c>
    </row>
    <row r="4200" spans="1:5" x14ac:dyDescent="0.35">
      <c r="A4200" s="1" t="s">
        <v>19509</v>
      </c>
      <c r="B4200" s="1" t="s">
        <v>62</v>
      </c>
      <c r="C4200" s="1" t="s">
        <v>1049</v>
      </c>
      <c r="D4200" s="1" t="s">
        <v>62</v>
      </c>
      <c r="E4200" s="250">
        <v>13120.504999999999</v>
      </c>
    </row>
    <row r="4201" spans="1:5" x14ac:dyDescent="0.35">
      <c r="A4201" s="1" t="s">
        <v>19510</v>
      </c>
      <c r="B4201" s="1" t="s">
        <v>62</v>
      </c>
      <c r="C4201" s="1" t="s">
        <v>1048</v>
      </c>
      <c r="D4201" s="1" t="s">
        <v>62</v>
      </c>
      <c r="E4201" s="250">
        <v>13120.505999999999</v>
      </c>
    </row>
    <row r="4202" spans="1:5" x14ac:dyDescent="0.35">
      <c r="A4202" s="1" t="s">
        <v>19511</v>
      </c>
      <c r="B4202" s="1" t="s">
        <v>62</v>
      </c>
      <c r="C4202" s="1" t="s">
        <v>1047</v>
      </c>
      <c r="D4202" s="1" t="s">
        <v>62</v>
      </c>
      <c r="E4202" s="250">
        <v>13120.507</v>
      </c>
    </row>
    <row r="4203" spans="1:5" x14ac:dyDescent="0.35">
      <c r="A4203" s="1" t="s">
        <v>19512</v>
      </c>
      <c r="B4203" s="1" t="s">
        <v>62</v>
      </c>
      <c r="C4203" s="1" t="s">
        <v>1046</v>
      </c>
      <c r="D4203" s="1" t="s">
        <v>62</v>
      </c>
      <c r="E4203" s="250">
        <v>13120.508</v>
      </c>
    </row>
    <row r="4204" spans="1:5" x14ac:dyDescent="0.35">
      <c r="A4204" s="1" t="s">
        <v>19513</v>
      </c>
      <c r="B4204" s="1" t="s">
        <v>62</v>
      </c>
      <c r="C4204" s="1" t="s">
        <v>1045</v>
      </c>
      <c r="D4204" s="1" t="s">
        <v>62</v>
      </c>
      <c r="E4204" s="250">
        <v>13120.509</v>
      </c>
    </row>
    <row r="4205" spans="1:5" x14ac:dyDescent="0.35">
      <c r="A4205" s="1" t="s">
        <v>19514</v>
      </c>
      <c r="B4205" s="1" t="s">
        <v>62</v>
      </c>
      <c r="C4205" s="1" t="s">
        <v>1044</v>
      </c>
      <c r="D4205" s="1" t="s">
        <v>62</v>
      </c>
      <c r="E4205" s="250">
        <v>13120.51</v>
      </c>
    </row>
    <row r="4206" spans="1:5" x14ac:dyDescent="0.35">
      <c r="A4206" s="1" t="s">
        <v>19515</v>
      </c>
      <c r="B4206" s="1" t="s">
        <v>62</v>
      </c>
      <c r="C4206" s="1" t="s">
        <v>1043</v>
      </c>
      <c r="D4206" s="1" t="s">
        <v>62</v>
      </c>
      <c r="E4206" s="250">
        <v>13120.511</v>
      </c>
    </row>
    <row r="4207" spans="1:5" x14ac:dyDescent="0.35">
      <c r="A4207" s="1" t="s">
        <v>19516</v>
      </c>
      <c r="B4207" s="1" t="s">
        <v>57</v>
      </c>
      <c r="C4207" s="1" t="s">
        <v>1042</v>
      </c>
      <c r="D4207" s="1" t="s">
        <v>57</v>
      </c>
      <c r="E4207" s="250">
        <v>13120.52</v>
      </c>
    </row>
    <row r="4208" spans="1:5" x14ac:dyDescent="0.35">
      <c r="A4208" s="1" t="s">
        <v>19517</v>
      </c>
      <c r="B4208" s="1" t="s">
        <v>58</v>
      </c>
      <c r="C4208" s="1" t="s">
        <v>1041</v>
      </c>
      <c r="D4208" s="1" t="s">
        <v>58</v>
      </c>
      <c r="E4208" s="250">
        <v>13120.521000000001</v>
      </c>
    </row>
    <row r="4209" spans="1:5" x14ac:dyDescent="0.35">
      <c r="A4209" s="1" t="s">
        <v>19518</v>
      </c>
      <c r="B4209" s="1" t="s">
        <v>58</v>
      </c>
      <c r="C4209" s="1" t="s">
        <v>1040</v>
      </c>
      <c r="D4209" s="1" t="s">
        <v>58</v>
      </c>
      <c r="E4209" s="250">
        <v>13120.522000000001</v>
      </c>
    </row>
    <row r="4210" spans="1:5" x14ac:dyDescent="0.35">
      <c r="A4210" s="1" t="s">
        <v>19519</v>
      </c>
      <c r="B4210" s="1" t="s">
        <v>58</v>
      </c>
      <c r="C4210" s="1" t="s">
        <v>1039</v>
      </c>
      <c r="D4210" s="1" t="s">
        <v>58</v>
      </c>
      <c r="E4210" s="250">
        <v>13120.522999999999</v>
      </c>
    </row>
    <row r="4211" spans="1:5" x14ac:dyDescent="0.35">
      <c r="A4211" s="1" t="s">
        <v>19520</v>
      </c>
      <c r="B4211" s="1" t="s">
        <v>58</v>
      </c>
      <c r="C4211" s="1" t="s">
        <v>1038</v>
      </c>
      <c r="D4211" s="1" t="s">
        <v>58</v>
      </c>
      <c r="E4211" s="250">
        <v>13120.523999999999</v>
      </c>
    </row>
    <row r="4212" spans="1:5" x14ac:dyDescent="0.35">
      <c r="A4212" s="1" t="s">
        <v>19521</v>
      </c>
      <c r="B4212" s="1" t="s">
        <v>58</v>
      </c>
      <c r="C4212" s="1" t="s">
        <v>1037</v>
      </c>
      <c r="D4212" s="1" t="s">
        <v>58</v>
      </c>
      <c r="E4212" s="250">
        <v>13120.525</v>
      </c>
    </row>
    <row r="4213" spans="1:5" x14ac:dyDescent="0.35">
      <c r="A4213" s="1" t="s">
        <v>19522</v>
      </c>
      <c r="B4213" s="1" t="s">
        <v>58</v>
      </c>
      <c r="C4213" s="1" t="s">
        <v>1036</v>
      </c>
      <c r="D4213" s="1" t="s">
        <v>58</v>
      </c>
      <c r="E4213" s="250">
        <v>13120.526</v>
      </c>
    </row>
    <row r="4214" spans="1:5" x14ac:dyDescent="0.35">
      <c r="A4214" s="1" t="s">
        <v>19523</v>
      </c>
      <c r="B4214" s="1" t="s">
        <v>58</v>
      </c>
      <c r="C4214" s="1" t="s">
        <v>1035</v>
      </c>
      <c r="D4214" s="1" t="s">
        <v>58</v>
      </c>
      <c r="E4214" s="250">
        <v>13120.527</v>
      </c>
    </row>
    <row r="4215" spans="1:5" x14ac:dyDescent="0.35">
      <c r="A4215" s="1" t="s">
        <v>19524</v>
      </c>
      <c r="B4215" s="1" t="s">
        <v>58</v>
      </c>
      <c r="C4215" s="1" t="s">
        <v>1034</v>
      </c>
      <c r="D4215" s="1" t="s">
        <v>58</v>
      </c>
      <c r="E4215" s="250">
        <v>13120.528</v>
      </c>
    </row>
    <row r="4216" spans="1:5" x14ac:dyDescent="0.35">
      <c r="A4216" s="1" t="s">
        <v>19525</v>
      </c>
      <c r="B4216" s="1" t="s">
        <v>58</v>
      </c>
      <c r="C4216" s="1" t="s">
        <v>1033</v>
      </c>
      <c r="D4216" s="1" t="s">
        <v>58</v>
      </c>
      <c r="E4216" s="250">
        <v>13120.529</v>
      </c>
    </row>
    <row r="4217" spans="1:5" x14ac:dyDescent="0.35">
      <c r="A4217" s="1" t="s">
        <v>19526</v>
      </c>
      <c r="B4217" s="1" t="s">
        <v>1030</v>
      </c>
      <c r="C4217" s="1" t="s">
        <v>1032</v>
      </c>
      <c r="D4217" s="1" t="s">
        <v>1030</v>
      </c>
      <c r="E4217" s="250">
        <v>13120.6</v>
      </c>
    </row>
    <row r="4218" spans="1:5" x14ac:dyDescent="0.35">
      <c r="A4218" s="1" t="s">
        <v>19527</v>
      </c>
      <c r="B4218" s="1" t="s">
        <v>1030</v>
      </c>
      <c r="C4218" s="1" t="s">
        <v>1031</v>
      </c>
      <c r="D4218" s="1" t="s">
        <v>1030</v>
      </c>
      <c r="E4218" s="250">
        <v>13120.601000000001</v>
      </c>
    </row>
    <row r="4219" spans="1:5" x14ac:dyDescent="0.35">
      <c r="A4219" s="1" t="s">
        <v>19528</v>
      </c>
      <c r="B4219" s="1" t="s">
        <v>58</v>
      </c>
      <c r="C4219" s="1" t="s">
        <v>1029</v>
      </c>
      <c r="D4219" s="1" t="s">
        <v>58</v>
      </c>
      <c r="E4219" s="250">
        <v>13150.01</v>
      </c>
    </row>
    <row r="4220" spans="1:5" x14ac:dyDescent="0.35">
      <c r="A4220" s="1" t="s">
        <v>19529</v>
      </c>
      <c r="B4220" s="1" t="s">
        <v>58</v>
      </c>
      <c r="C4220" s="1" t="s">
        <v>1028</v>
      </c>
      <c r="D4220" s="1" t="s">
        <v>58</v>
      </c>
      <c r="E4220" s="250">
        <v>13170.01</v>
      </c>
    </row>
    <row r="4221" spans="1:5" x14ac:dyDescent="0.35">
      <c r="A4221" s="1" t="s">
        <v>19530</v>
      </c>
      <c r="B4221" s="1" t="s">
        <v>57</v>
      </c>
      <c r="C4221" s="1" t="s">
        <v>1027</v>
      </c>
      <c r="D4221" s="1" t="s">
        <v>57</v>
      </c>
      <c r="E4221" s="250">
        <v>13200</v>
      </c>
    </row>
    <row r="4222" spans="1:5" x14ac:dyDescent="0.35">
      <c r="A4222" s="1" t="s">
        <v>19531</v>
      </c>
      <c r="B4222" s="1" t="s">
        <v>57</v>
      </c>
      <c r="C4222" s="1" t="s">
        <v>1026</v>
      </c>
      <c r="D4222" s="1" t="s">
        <v>57</v>
      </c>
      <c r="E4222" s="250">
        <v>13200.001</v>
      </c>
    </row>
    <row r="4223" spans="1:5" x14ac:dyDescent="0.35">
      <c r="A4223" s="1" t="s">
        <v>19532</v>
      </c>
      <c r="B4223" s="1" t="s">
        <v>18</v>
      </c>
      <c r="C4223" s="1" t="s">
        <v>1023</v>
      </c>
      <c r="D4223" s="1" t="s">
        <v>18</v>
      </c>
      <c r="E4223" s="250">
        <v>13200.002</v>
      </c>
    </row>
    <row r="4224" spans="1:5" x14ac:dyDescent="0.35">
      <c r="A4224" s="1" t="s">
        <v>19533</v>
      </c>
      <c r="B4224" s="1" t="s">
        <v>18</v>
      </c>
      <c r="C4224" s="1" t="s">
        <v>1022</v>
      </c>
      <c r="D4224" s="1" t="s">
        <v>18</v>
      </c>
      <c r="E4224" s="250">
        <v>13200.003000000001</v>
      </c>
    </row>
    <row r="4225" spans="1:5" x14ac:dyDescent="0.35">
      <c r="A4225" s="1" t="s">
        <v>19534</v>
      </c>
      <c r="B4225" s="1" t="s">
        <v>18</v>
      </c>
      <c r="C4225" s="1" t="s">
        <v>1021</v>
      </c>
      <c r="D4225" s="1" t="s">
        <v>18</v>
      </c>
      <c r="E4225" s="250">
        <v>13200.004000000001</v>
      </c>
    </row>
    <row r="4226" spans="1:5" x14ac:dyDescent="0.35">
      <c r="A4226" s="1" t="s">
        <v>19535</v>
      </c>
      <c r="B4226" s="1" t="s">
        <v>18</v>
      </c>
      <c r="C4226" s="1" t="s">
        <v>1020</v>
      </c>
      <c r="D4226" s="1" t="s">
        <v>18</v>
      </c>
      <c r="E4226" s="250">
        <v>13200.004999999999</v>
      </c>
    </row>
    <row r="4227" spans="1:5" x14ac:dyDescent="0.35">
      <c r="A4227" s="1" t="s">
        <v>19536</v>
      </c>
      <c r="B4227" s="1" t="s">
        <v>18</v>
      </c>
      <c r="C4227" s="1" t="s">
        <v>1019</v>
      </c>
      <c r="D4227" s="1" t="s">
        <v>18</v>
      </c>
      <c r="E4227" s="250">
        <v>13200.005999999999</v>
      </c>
    </row>
    <row r="4228" spans="1:5" x14ac:dyDescent="0.35">
      <c r="A4228" s="1" t="s">
        <v>19537</v>
      </c>
      <c r="B4228" s="1" t="s">
        <v>18</v>
      </c>
      <c r="C4228" s="1" t="s">
        <v>1018</v>
      </c>
      <c r="D4228" s="1" t="s">
        <v>18</v>
      </c>
      <c r="E4228" s="250">
        <v>13200.007</v>
      </c>
    </row>
    <row r="4229" spans="1:5" x14ac:dyDescent="0.35">
      <c r="A4229" s="1" t="s">
        <v>19538</v>
      </c>
      <c r="B4229" s="1" t="s">
        <v>18</v>
      </c>
      <c r="C4229" s="1" t="s">
        <v>1017</v>
      </c>
      <c r="D4229" s="1" t="s">
        <v>18</v>
      </c>
      <c r="E4229" s="250">
        <v>13200.008</v>
      </c>
    </row>
    <row r="4230" spans="1:5" x14ac:dyDescent="0.35">
      <c r="A4230" s="1" t="s">
        <v>19539</v>
      </c>
      <c r="B4230" s="1" t="s">
        <v>18</v>
      </c>
      <c r="C4230" s="1" t="s">
        <v>1016</v>
      </c>
      <c r="D4230" s="1" t="s">
        <v>18</v>
      </c>
      <c r="E4230" s="250">
        <v>13200.009</v>
      </c>
    </row>
    <row r="4231" spans="1:5" x14ac:dyDescent="0.35">
      <c r="A4231" s="1" t="s">
        <v>19540</v>
      </c>
      <c r="B4231" s="1" t="s">
        <v>18</v>
      </c>
      <c r="C4231" s="1" t="s">
        <v>1015</v>
      </c>
      <c r="D4231" s="1" t="s">
        <v>18</v>
      </c>
      <c r="E4231" s="250">
        <v>13200.01</v>
      </c>
    </row>
    <row r="4232" spans="1:5" x14ac:dyDescent="0.35">
      <c r="A4232" s="1" t="s">
        <v>19541</v>
      </c>
      <c r="B4232" s="1" t="s">
        <v>18</v>
      </c>
      <c r="C4232" s="1" t="s">
        <v>1014</v>
      </c>
      <c r="D4232" s="1" t="s">
        <v>18</v>
      </c>
      <c r="E4232" s="250">
        <v>13200.011</v>
      </c>
    </row>
    <row r="4233" spans="1:5" x14ac:dyDescent="0.35">
      <c r="A4233" s="1" t="s">
        <v>19542</v>
      </c>
      <c r="B4233" s="1" t="s">
        <v>18</v>
      </c>
      <c r="C4233" s="1" t="s">
        <v>1013</v>
      </c>
      <c r="D4233" s="1" t="s">
        <v>18</v>
      </c>
      <c r="E4233" s="250">
        <v>13200.012000000001</v>
      </c>
    </row>
    <row r="4234" spans="1:5" x14ac:dyDescent="0.35">
      <c r="A4234" s="1" t="s">
        <v>19543</v>
      </c>
      <c r="B4234" s="1" t="s">
        <v>18</v>
      </c>
      <c r="C4234" s="1" t="s">
        <v>1012</v>
      </c>
      <c r="D4234" s="1" t="s">
        <v>18</v>
      </c>
      <c r="E4234" s="250">
        <v>13200.013000000001</v>
      </c>
    </row>
    <row r="4235" spans="1:5" x14ac:dyDescent="0.35">
      <c r="A4235" s="1" t="s">
        <v>19544</v>
      </c>
      <c r="B4235" s="1" t="s">
        <v>18</v>
      </c>
      <c r="C4235" s="1" t="s">
        <v>1011</v>
      </c>
      <c r="D4235" s="1" t="s">
        <v>18</v>
      </c>
      <c r="E4235" s="250">
        <v>13200.013999999999</v>
      </c>
    </row>
    <row r="4236" spans="1:5" x14ac:dyDescent="0.35">
      <c r="A4236" s="1" t="s">
        <v>19545</v>
      </c>
      <c r="B4236" s="1" t="s">
        <v>18</v>
      </c>
      <c r="C4236" s="1" t="s">
        <v>1010</v>
      </c>
      <c r="D4236" s="1" t="s">
        <v>18</v>
      </c>
      <c r="E4236" s="250">
        <v>13200.014999999999</v>
      </c>
    </row>
    <row r="4237" spans="1:5" x14ac:dyDescent="0.35">
      <c r="A4237" s="1" t="s">
        <v>19546</v>
      </c>
      <c r="B4237" s="1" t="s">
        <v>18</v>
      </c>
      <c r="C4237" s="1" t="s">
        <v>1009</v>
      </c>
      <c r="D4237" s="1" t="s">
        <v>18</v>
      </c>
      <c r="E4237" s="250">
        <v>13200.016</v>
      </c>
    </row>
    <row r="4238" spans="1:5" x14ac:dyDescent="0.35">
      <c r="A4238" s="1" t="s">
        <v>19547</v>
      </c>
      <c r="B4238" s="1" t="s">
        <v>18</v>
      </c>
      <c r="C4238" s="1" t="s">
        <v>1009</v>
      </c>
      <c r="D4238" s="1" t="s">
        <v>18</v>
      </c>
      <c r="E4238" s="250">
        <v>13200.017</v>
      </c>
    </row>
    <row r="4239" spans="1:5" x14ac:dyDescent="0.35">
      <c r="A4239" s="1" t="s">
        <v>19548</v>
      </c>
      <c r="B4239" s="1" t="s">
        <v>57</v>
      </c>
      <c r="C4239" s="1" t="s">
        <v>1008</v>
      </c>
      <c r="D4239" s="1" t="s">
        <v>57</v>
      </c>
      <c r="E4239" s="250">
        <v>13200.02</v>
      </c>
    </row>
    <row r="4240" spans="1:5" x14ac:dyDescent="0.35">
      <c r="A4240" s="1" t="s">
        <v>19549</v>
      </c>
      <c r="B4240" s="1" t="s">
        <v>18</v>
      </c>
      <c r="C4240" s="1" t="s">
        <v>1005</v>
      </c>
      <c r="D4240" s="1" t="s">
        <v>18</v>
      </c>
      <c r="E4240" s="250">
        <v>13200.021000000001</v>
      </c>
    </row>
    <row r="4241" spans="1:5" x14ac:dyDescent="0.35">
      <c r="A4241" s="1" t="s">
        <v>19550</v>
      </c>
      <c r="B4241" s="1" t="s">
        <v>18</v>
      </c>
      <c r="C4241" s="1" t="s">
        <v>1004</v>
      </c>
      <c r="D4241" s="1" t="s">
        <v>18</v>
      </c>
      <c r="E4241" s="250">
        <v>13200.022000000001</v>
      </c>
    </row>
    <row r="4242" spans="1:5" x14ac:dyDescent="0.35">
      <c r="A4242" s="1" t="s">
        <v>19551</v>
      </c>
      <c r="B4242" s="1" t="s">
        <v>18</v>
      </c>
      <c r="C4242" s="1" t="s">
        <v>1003</v>
      </c>
      <c r="D4242" s="1" t="s">
        <v>18</v>
      </c>
      <c r="E4242" s="250">
        <v>13200.022999999999</v>
      </c>
    </row>
    <row r="4243" spans="1:5" x14ac:dyDescent="0.35">
      <c r="A4243" s="1" t="s">
        <v>19552</v>
      </c>
      <c r="B4243" s="1" t="s">
        <v>18</v>
      </c>
      <c r="C4243" s="1" t="s">
        <v>1002</v>
      </c>
      <c r="D4243" s="1" t="s">
        <v>18</v>
      </c>
      <c r="E4243" s="250">
        <v>13200.023999999999</v>
      </c>
    </row>
    <row r="4244" spans="1:5" x14ac:dyDescent="0.35">
      <c r="A4244" s="1" t="s">
        <v>19553</v>
      </c>
      <c r="B4244" s="1" t="s">
        <v>18</v>
      </c>
      <c r="C4244" s="1" t="s">
        <v>1001</v>
      </c>
      <c r="D4244" s="1" t="s">
        <v>18</v>
      </c>
      <c r="E4244" s="250">
        <v>13200.025</v>
      </c>
    </row>
    <row r="4245" spans="1:5" x14ac:dyDescent="0.35">
      <c r="A4245" s="1" t="s">
        <v>19554</v>
      </c>
      <c r="B4245" s="1" t="s">
        <v>18</v>
      </c>
      <c r="C4245" s="1" t="s">
        <v>1000</v>
      </c>
      <c r="D4245" s="1" t="s">
        <v>18</v>
      </c>
      <c r="E4245" s="250">
        <v>13200.026</v>
      </c>
    </row>
    <row r="4246" spans="1:5" x14ac:dyDescent="0.35">
      <c r="A4246" s="1" t="s">
        <v>19555</v>
      </c>
      <c r="B4246" s="1" t="s">
        <v>18</v>
      </c>
      <c r="C4246" s="1" t="s">
        <v>999</v>
      </c>
      <c r="D4246" s="1" t="s">
        <v>18</v>
      </c>
      <c r="E4246" s="250">
        <v>13200.027</v>
      </c>
    </row>
    <row r="4247" spans="1:5" x14ac:dyDescent="0.35">
      <c r="A4247" s="1" t="s">
        <v>19556</v>
      </c>
      <c r="B4247" s="1" t="s">
        <v>18</v>
      </c>
      <c r="C4247" s="1" t="s">
        <v>998</v>
      </c>
      <c r="D4247" s="1" t="s">
        <v>18</v>
      </c>
      <c r="E4247" s="250">
        <v>13200.028</v>
      </c>
    </row>
    <row r="4248" spans="1:5" x14ac:dyDescent="0.35">
      <c r="A4248" s="1" t="s">
        <v>19557</v>
      </c>
      <c r="B4248" s="1" t="s">
        <v>18</v>
      </c>
      <c r="C4248" s="1" t="s">
        <v>997</v>
      </c>
      <c r="D4248" s="1" t="s">
        <v>18</v>
      </c>
      <c r="E4248" s="250">
        <v>13200.029</v>
      </c>
    </row>
    <row r="4249" spans="1:5" x14ac:dyDescent="0.35">
      <c r="A4249" s="1" t="s">
        <v>19558</v>
      </c>
      <c r="B4249" s="1" t="s">
        <v>18</v>
      </c>
      <c r="C4249" s="1" t="s">
        <v>996</v>
      </c>
      <c r="D4249" s="1" t="s">
        <v>18</v>
      </c>
      <c r="E4249" s="250">
        <v>13200.03</v>
      </c>
    </row>
    <row r="4250" spans="1:5" x14ac:dyDescent="0.35">
      <c r="A4250" s="1" t="s">
        <v>19559</v>
      </c>
      <c r="B4250" s="1" t="s">
        <v>18</v>
      </c>
      <c r="C4250" s="1" t="s">
        <v>995</v>
      </c>
      <c r="D4250" s="1" t="s">
        <v>18</v>
      </c>
      <c r="E4250" s="250">
        <v>13200.031000000001</v>
      </c>
    </row>
    <row r="4251" spans="1:5" x14ac:dyDescent="0.35">
      <c r="A4251" s="1" t="s">
        <v>19560</v>
      </c>
      <c r="B4251" s="1" t="s">
        <v>18</v>
      </c>
      <c r="C4251" s="1" t="s">
        <v>994</v>
      </c>
      <c r="D4251" s="1" t="s">
        <v>18</v>
      </c>
      <c r="E4251" s="250">
        <v>13200.031999999999</v>
      </c>
    </row>
    <row r="4252" spans="1:5" x14ac:dyDescent="0.35">
      <c r="A4252" s="1" t="s">
        <v>19561</v>
      </c>
      <c r="B4252" s="1" t="s">
        <v>18</v>
      </c>
      <c r="C4252" s="1" t="s">
        <v>993</v>
      </c>
      <c r="D4252" s="1" t="s">
        <v>18</v>
      </c>
      <c r="E4252" s="250">
        <v>13200.032999999999</v>
      </c>
    </row>
    <row r="4253" spans="1:5" x14ac:dyDescent="0.35">
      <c r="A4253" s="1" t="s">
        <v>19562</v>
      </c>
      <c r="B4253" s="1" t="s">
        <v>18</v>
      </c>
      <c r="C4253" s="1" t="s">
        <v>992</v>
      </c>
      <c r="D4253" s="1" t="s">
        <v>18</v>
      </c>
      <c r="E4253" s="250">
        <v>13200.034</v>
      </c>
    </row>
    <row r="4254" spans="1:5" x14ac:dyDescent="0.35">
      <c r="A4254" s="1" t="s">
        <v>19563</v>
      </c>
      <c r="B4254" s="1" t="s">
        <v>18</v>
      </c>
      <c r="C4254" s="1" t="s">
        <v>991</v>
      </c>
      <c r="D4254" s="1" t="s">
        <v>18</v>
      </c>
      <c r="E4254" s="250">
        <v>13200.035</v>
      </c>
    </row>
    <row r="4255" spans="1:5" x14ac:dyDescent="0.35">
      <c r="A4255" s="1" t="s">
        <v>19564</v>
      </c>
      <c r="B4255" s="1" t="s">
        <v>18</v>
      </c>
      <c r="C4255" s="1" t="s">
        <v>991</v>
      </c>
      <c r="D4255" s="1" t="s">
        <v>18</v>
      </c>
      <c r="E4255" s="250">
        <v>13200.036</v>
      </c>
    </row>
    <row r="4256" spans="1:5" x14ac:dyDescent="0.35">
      <c r="A4256" s="1" t="s">
        <v>19565</v>
      </c>
      <c r="B4256" s="1" t="s">
        <v>57</v>
      </c>
      <c r="C4256" s="1" t="s">
        <v>1007</v>
      </c>
      <c r="D4256" s="1" t="s">
        <v>57</v>
      </c>
      <c r="E4256" s="250">
        <v>13200.04</v>
      </c>
    </row>
    <row r="4257" spans="1:5" x14ac:dyDescent="0.35">
      <c r="A4257" s="1" t="s">
        <v>19566</v>
      </c>
      <c r="B4257" s="1" t="s">
        <v>18</v>
      </c>
      <c r="C4257" s="1" t="s">
        <v>1005</v>
      </c>
      <c r="D4257" s="1" t="s">
        <v>18</v>
      </c>
      <c r="E4257" s="250">
        <v>13200.040999999999</v>
      </c>
    </row>
    <row r="4258" spans="1:5" x14ac:dyDescent="0.35">
      <c r="A4258" s="1" t="s">
        <v>19567</v>
      </c>
      <c r="B4258" s="1" t="s">
        <v>18</v>
      </c>
      <c r="C4258" s="1" t="s">
        <v>1004</v>
      </c>
      <c r="D4258" s="1" t="s">
        <v>18</v>
      </c>
      <c r="E4258" s="250">
        <v>13200.041999999999</v>
      </c>
    </row>
    <row r="4259" spans="1:5" x14ac:dyDescent="0.35">
      <c r="A4259" s="1" t="s">
        <v>19568</v>
      </c>
      <c r="B4259" s="1" t="s">
        <v>18</v>
      </c>
      <c r="C4259" s="1" t="s">
        <v>1003</v>
      </c>
      <c r="D4259" s="1" t="s">
        <v>18</v>
      </c>
      <c r="E4259" s="250">
        <v>13200.043</v>
      </c>
    </row>
    <row r="4260" spans="1:5" x14ac:dyDescent="0.35">
      <c r="A4260" s="1" t="s">
        <v>19569</v>
      </c>
      <c r="B4260" s="1" t="s">
        <v>18</v>
      </c>
      <c r="C4260" s="1" t="s">
        <v>1002</v>
      </c>
      <c r="D4260" s="1" t="s">
        <v>18</v>
      </c>
      <c r="E4260" s="250">
        <v>13200.044</v>
      </c>
    </row>
    <row r="4261" spans="1:5" x14ac:dyDescent="0.35">
      <c r="A4261" s="1" t="s">
        <v>19570</v>
      </c>
      <c r="B4261" s="1" t="s">
        <v>18</v>
      </c>
      <c r="C4261" s="1" t="s">
        <v>1001</v>
      </c>
      <c r="D4261" s="1" t="s">
        <v>18</v>
      </c>
      <c r="E4261" s="250">
        <v>13200.045</v>
      </c>
    </row>
    <row r="4262" spans="1:5" x14ac:dyDescent="0.35">
      <c r="A4262" s="1" t="s">
        <v>19571</v>
      </c>
      <c r="B4262" s="1" t="s">
        <v>18</v>
      </c>
      <c r="C4262" s="1" t="s">
        <v>1000</v>
      </c>
      <c r="D4262" s="1" t="s">
        <v>18</v>
      </c>
      <c r="E4262" s="250">
        <v>13200.046</v>
      </c>
    </row>
    <row r="4263" spans="1:5" x14ac:dyDescent="0.35">
      <c r="A4263" s="1" t="s">
        <v>19572</v>
      </c>
      <c r="B4263" s="1" t="s">
        <v>18</v>
      </c>
      <c r="C4263" s="1" t="s">
        <v>999</v>
      </c>
      <c r="D4263" s="1" t="s">
        <v>18</v>
      </c>
      <c r="E4263" s="250">
        <v>13200.047</v>
      </c>
    </row>
    <row r="4264" spans="1:5" x14ac:dyDescent="0.35">
      <c r="A4264" s="1" t="s">
        <v>19573</v>
      </c>
      <c r="B4264" s="1" t="s">
        <v>18</v>
      </c>
      <c r="C4264" s="1" t="s">
        <v>998</v>
      </c>
      <c r="D4264" s="1" t="s">
        <v>18</v>
      </c>
      <c r="E4264" s="250">
        <v>13200.048000000001</v>
      </c>
    </row>
    <row r="4265" spans="1:5" x14ac:dyDescent="0.35">
      <c r="A4265" s="1" t="s">
        <v>19574</v>
      </c>
      <c r="B4265" s="1" t="s">
        <v>18</v>
      </c>
      <c r="C4265" s="1" t="s">
        <v>997</v>
      </c>
      <c r="D4265" s="1" t="s">
        <v>18</v>
      </c>
      <c r="E4265" s="250">
        <v>13200.049000000001</v>
      </c>
    </row>
    <row r="4266" spans="1:5" x14ac:dyDescent="0.35">
      <c r="A4266" s="1" t="s">
        <v>19575</v>
      </c>
      <c r="B4266" s="1" t="s">
        <v>18</v>
      </c>
      <c r="C4266" s="1" t="s">
        <v>996</v>
      </c>
      <c r="D4266" s="1" t="s">
        <v>18</v>
      </c>
      <c r="E4266" s="250">
        <v>13200.05</v>
      </c>
    </row>
    <row r="4267" spans="1:5" x14ac:dyDescent="0.35">
      <c r="A4267" s="1" t="s">
        <v>19576</v>
      </c>
      <c r="B4267" s="1" t="s">
        <v>18</v>
      </c>
      <c r="C4267" s="1" t="s">
        <v>995</v>
      </c>
      <c r="D4267" s="1" t="s">
        <v>18</v>
      </c>
      <c r="E4267" s="250">
        <v>13200.050999999999</v>
      </c>
    </row>
    <row r="4268" spans="1:5" x14ac:dyDescent="0.35">
      <c r="A4268" s="1" t="s">
        <v>19577</v>
      </c>
      <c r="B4268" s="1" t="s">
        <v>18</v>
      </c>
      <c r="C4268" s="1" t="s">
        <v>994</v>
      </c>
      <c r="D4268" s="1" t="s">
        <v>18</v>
      </c>
      <c r="E4268" s="250">
        <v>13200.052</v>
      </c>
    </row>
    <row r="4269" spans="1:5" x14ac:dyDescent="0.35">
      <c r="A4269" s="1" t="s">
        <v>19578</v>
      </c>
      <c r="B4269" s="1" t="s">
        <v>18</v>
      </c>
      <c r="C4269" s="1" t="s">
        <v>993</v>
      </c>
      <c r="D4269" s="1" t="s">
        <v>18</v>
      </c>
      <c r="E4269" s="250">
        <v>13200.053</v>
      </c>
    </row>
    <row r="4270" spans="1:5" x14ac:dyDescent="0.35">
      <c r="A4270" s="1" t="s">
        <v>19579</v>
      </c>
      <c r="B4270" s="1" t="s">
        <v>18</v>
      </c>
      <c r="C4270" s="1" t="s">
        <v>992</v>
      </c>
      <c r="D4270" s="1" t="s">
        <v>18</v>
      </c>
      <c r="E4270" s="250">
        <v>13200.054</v>
      </c>
    </row>
    <row r="4271" spans="1:5" x14ac:dyDescent="0.35">
      <c r="A4271" s="1" t="s">
        <v>19580</v>
      </c>
      <c r="B4271" s="1" t="s">
        <v>18</v>
      </c>
      <c r="C4271" s="1" t="s">
        <v>991</v>
      </c>
      <c r="D4271" s="1" t="s">
        <v>18</v>
      </c>
      <c r="E4271" s="250">
        <v>13200.055</v>
      </c>
    </row>
    <row r="4272" spans="1:5" x14ac:dyDescent="0.35">
      <c r="A4272" s="1" t="s">
        <v>19581</v>
      </c>
      <c r="B4272" s="1" t="s">
        <v>18</v>
      </c>
      <c r="C4272" s="1" t="s">
        <v>991</v>
      </c>
      <c r="D4272" s="1" t="s">
        <v>18</v>
      </c>
      <c r="E4272" s="250">
        <v>13200.056</v>
      </c>
    </row>
    <row r="4273" spans="1:5" x14ac:dyDescent="0.35">
      <c r="A4273" s="1" t="s">
        <v>19582</v>
      </c>
      <c r="B4273" s="1" t="s">
        <v>57</v>
      </c>
      <c r="C4273" s="1" t="s">
        <v>1025</v>
      </c>
      <c r="D4273" s="1" t="s">
        <v>57</v>
      </c>
      <c r="E4273" s="250">
        <v>13200.06</v>
      </c>
    </row>
    <row r="4274" spans="1:5" x14ac:dyDescent="0.35">
      <c r="A4274" s="1" t="s">
        <v>19583</v>
      </c>
      <c r="B4274" s="1" t="s">
        <v>18</v>
      </c>
      <c r="C4274" s="1" t="s">
        <v>1005</v>
      </c>
      <c r="D4274" s="1" t="s">
        <v>18</v>
      </c>
      <c r="E4274" s="250">
        <v>13200.061</v>
      </c>
    </row>
    <row r="4275" spans="1:5" x14ac:dyDescent="0.35">
      <c r="A4275" s="1" t="s">
        <v>19584</v>
      </c>
      <c r="B4275" s="1" t="s">
        <v>18</v>
      </c>
      <c r="C4275" s="1" t="s">
        <v>1004</v>
      </c>
      <c r="D4275" s="1" t="s">
        <v>18</v>
      </c>
      <c r="E4275" s="250">
        <v>13200.062</v>
      </c>
    </row>
    <row r="4276" spans="1:5" x14ac:dyDescent="0.35">
      <c r="A4276" s="1" t="s">
        <v>19585</v>
      </c>
      <c r="B4276" s="1" t="s">
        <v>18</v>
      </c>
      <c r="C4276" s="1" t="s">
        <v>1003</v>
      </c>
      <c r="D4276" s="1" t="s">
        <v>18</v>
      </c>
      <c r="E4276" s="250">
        <v>13200.063</v>
      </c>
    </row>
    <row r="4277" spans="1:5" x14ac:dyDescent="0.35">
      <c r="A4277" s="1" t="s">
        <v>19586</v>
      </c>
      <c r="B4277" s="1" t="s">
        <v>18</v>
      </c>
      <c r="C4277" s="1" t="s">
        <v>1002</v>
      </c>
      <c r="D4277" s="1" t="s">
        <v>18</v>
      </c>
      <c r="E4277" s="250">
        <v>13200.064</v>
      </c>
    </row>
    <row r="4278" spans="1:5" x14ac:dyDescent="0.35">
      <c r="A4278" s="1" t="s">
        <v>19587</v>
      </c>
      <c r="B4278" s="1" t="s">
        <v>18</v>
      </c>
      <c r="C4278" s="1" t="s">
        <v>1001</v>
      </c>
      <c r="D4278" s="1" t="s">
        <v>18</v>
      </c>
      <c r="E4278" s="250">
        <v>13200.065000000001</v>
      </c>
    </row>
    <row r="4279" spans="1:5" x14ac:dyDescent="0.35">
      <c r="A4279" s="1" t="s">
        <v>19588</v>
      </c>
      <c r="B4279" s="1" t="s">
        <v>18</v>
      </c>
      <c r="C4279" s="1" t="s">
        <v>1000</v>
      </c>
      <c r="D4279" s="1" t="s">
        <v>18</v>
      </c>
      <c r="E4279" s="250">
        <v>13200.066000000001</v>
      </c>
    </row>
    <row r="4280" spans="1:5" x14ac:dyDescent="0.35">
      <c r="A4280" s="1" t="s">
        <v>19589</v>
      </c>
      <c r="B4280" s="1" t="s">
        <v>18</v>
      </c>
      <c r="C4280" s="1" t="s">
        <v>999</v>
      </c>
      <c r="D4280" s="1" t="s">
        <v>18</v>
      </c>
      <c r="E4280" s="250">
        <v>13200.066999999999</v>
      </c>
    </row>
    <row r="4281" spans="1:5" x14ac:dyDescent="0.35">
      <c r="A4281" s="1" t="s">
        <v>19590</v>
      </c>
      <c r="B4281" s="1" t="s">
        <v>18</v>
      </c>
      <c r="C4281" s="1" t="s">
        <v>998</v>
      </c>
      <c r="D4281" s="1" t="s">
        <v>18</v>
      </c>
      <c r="E4281" s="250">
        <v>13200.067999999999</v>
      </c>
    </row>
    <row r="4282" spans="1:5" x14ac:dyDescent="0.35">
      <c r="A4282" s="1" t="s">
        <v>19591</v>
      </c>
      <c r="B4282" s="1" t="s">
        <v>18</v>
      </c>
      <c r="C4282" s="1" t="s">
        <v>997</v>
      </c>
      <c r="D4282" s="1" t="s">
        <v>18</v>
      </c>
      <c r="E4282" s="250">
        <v>13200.069</v>
      </c>
    </row>
    <row r="4283" spans="1:5" x14ac:dyDescent="0.35">
      <c r="A4283" s="1" t="s">
        <v>19592</v>
      </c>
      <c r="B4283" s="1" t="s">
        <v>18</v>
      </c>
      <c r="C4283" s="1" t="s">
        <v>996</v>
      </c>
      <c r="D4283" s="1" t="s">
        <v>18</v>
      </c>
      <c r="E4283" s="250">
        <v>13200.07</v>
      </c>
    </row>
    <row r="4284" spans="1:5" x14ac:dyDescent="0.35">
      <c r="A4284" s="1" t="s">
        <v>19593</v>
      </c>
      <c r="B4284" s="1" t="s">
        <v>18</v>
      </c>
      <c r="C4284" s="1" t="s">
        <v>995</v>
      </c>
      <c r="D4284" s="1" t="s">
        <v>18</v>
      </c>
      <c r="E4284" s="250">
        <v>13200.071</v>
      </c>
    </row>
    <row r="4285" spans="1:5" x14ac:dyDescent="0.35">
      <c r="A4285" s="1" t="s">
        <v>19594</v>
      </c>
      <c r="B4285" s="1" t="s">
        <v>18</v>
      </c>
      <c r="C4285" s="1" t="s">
        <v>994</v>
      </c>
      <c r="D4285" s="1" t="s">
        <v>18</v>
      </c>
      <c r="E4285" s="250">
        <v>13200.072</v>
      </c>
    </row>
    <row r="4286" spans="1:5" x14ac:dyDescent="0.35">
      <c r="A4286" s="1" t="s">
        <v>19595</v>
      </c>
      <c r="B4286" s="1" t="s">
        <v>18</v>
      </c>
      <c r="C4286" s="1" t="s">
        <v>993</v>
      </c>
      <c r="D4286" s="1" t="s">
        <v>18</v>
      </c>
      <c r="E4286" s="250">
        <v>13200.073</v>
      </c>
    </row>
    <row r="4287" spans="1:5" x14ac:dyDescent="0.35">
      <c r="A4287" s="1" t="s">
        <v>19596</v>
      </c>
      <c r="B4287" s="1" t="s">
        <v>18</v>
      </c>
      <c r="C4287" s="1" t="s">
        <v>992</v>
      </c>
      <c r="D4287" s="1" t="s">
        <v>18</v>
      </c>
      <c r="E4287" s="250">
        <v>13200.074000000001</v>
      </c>
    </row>
    <row r="4288" spans="1:5" x14ac:dyDescent="0.35">
      <c r="A4288" s="1" t="s">
        <v>19597</v>
      </c>
      <c r="B4288" s="1" t="s">
        <v>18</v>
      </c>
      <c r="C4288" s="1" t="s">
        <v>991</v>
      </c>
      <c r="D4288" s="1" t="s">
        <v>18</v>
      </c>
      <c r="E4288" s="250">
        <v>13200.075000000001</v>
      </c>
    </row>
    <row r="4289" spans="1:5" x14ac:dyDescent="0.35">
      <c r="A4289" s="1" t="s">
        <v>19598</v>
      </c>
      <c r="B4289" s="1" t="s">
        <v>18</v>
      </c>
      <c r="C4289" s="1" t="s">
        <v>991</v>
      </c>
      <c r="D4289" s="1" t="s">
        <v>18</v>
      </c>
      <c r="E4289" s="250">
        <v>13200.075999999999</v>
      </c>
    </row>
    <row r="4290" spans="1:5" x14ac:dyDescent="0.35">
      <c r="A4290" s="1" t="s">
        <v>19599</v>
      </c>
      <c r="B4290" s="1" t="s">
        <v>57</v>
      </c>
      <c r="C4290" s="1" t="s">
        <v>1024</v>
      </c>
      <c r="D4290" s="1" t="s">
        <v>57</v>
      </c>
      <c r="E4290" s="250">
        <v>13200.08</v>
      </c>
    </row>
    <row r="4291" spans="1:5" x14ac:dyDescent="0.35">
      <c r="A4291" s="1" t="s">
        <v>19600</v>
      </c>
      <c r="B4291" s="1" t="s">
        <v>18</v>
      </c>
      <c r="C4291" s="1" t="s">
        <v>1023</v>
      </c>
      <c r="D4291" s="1" t="s">
        <v>18</v>
      </c>
      <c r="E4291" s="250">
        <v>13200.081</v>
      </c>
    </row>
    <row r="4292" spans="1:5" x14ac:dyDescent="0.35">
      <c r="A4292" s="1" t="s">
        <v>19601</v>
      </c>
      <c r="B4292" s="1" t="s">
        <v>18</v>
      </c>
      <c r="C4292" s="1" t="s">
        <v>1022</v>
      </c>
      <c r="D4292" s="1" t="s">
        <v>18</v>
      </c>
      <c r="E4292" s="250">
        <v>13200.082</v>
      </c>
    </row>
    <row r="4293" spans="1:5" x14ac:dyDescent="0.35">
      <c r="A4293" s="1" t="s">
        <v>19602</v>
      </c>
      <c r="B4293" s="1" t="s">
        <v>18</v>
      </c>
      <c r="C4293" s="1" t="s">
        <v>1021</v>
      </c>
      <c r="D4293" s="1" t="s">
        <v>18</v>
      </c>
      <c r="E4293" s="250">
        <v>13200.083000000001</v>
      </c>
    </row>
    <row r="4294" spans="1:5" x14ac:dyDescent="0.35">
      <c r="A4294" s="1" t="s">
        <v>19603</v>
      </c>
      <c r="B4294" s="1" t="s">
        <v>18</v>
      </c>
      <c r="C4294" s="1" t="s">
        <v>1020</v>
      </c>
      <c r="D4294" s="1" t="s">
        <v>18</v>
      </c>
      <c r="E4294" s="250">
        <v>13200.084000000001</v>
      </c>
    </row>
    <row r="4295" spans="1:5" x14ac:dyDescent="0.35">
      <c r="A4295" s="1" t="s">
        <v>19604</v>
      </c>
      <c r="B4295" s="1" t="s">
        <v>18</v>
      </c>
      <c r="C4295" s="1" t="s">
        <v>1019</v>
      </c>
      <c r="D4295" s="1" t="s">
        <v>18</v>
      </c>
      <c r="E4295" s="250">
        <v>13200.084999999999</v>
      </c>
    </row>
    <row r="4296" spans="1:5" x14ac:dyDescent="0.35">
      <c r="A4296" s="1" t="s">
        <v>19605</v>
      </c>
      <c r="B4296" s="1" t="s">
        <v>18</v>
      </c>
      <c r="C4296" s="1" t="s">
        <v>1018</v>
      </c>
      <c r="D4296" s="1" t="s">
        <v>18</v>
      </c>
      <c r="E4296" s="250">
        <v>13200.085999999999</v>
      </c>
    </row>
    <row r="4297" spans="1:5" x14ac:dyDescent="0.35">
      <c r="A4297" s="1" t="s">
        <v>19606</v>
      </c>
      <c r="B4297" s="1" t="s">
        <v>18</v>
      </c>
      <c r="C4297" s="1" t="s">
        <v>1017</v>
      </c>
      <c r="D4297" s="1" t="s">
        <v>18</v>
      </c>
      <c r="E4297" s="250">
        <v>13200.087</v>
      </c>
    </row>
    <row r="4298" spans="1:5" x14ac:dyDescent="0.35">
      <c r="A4298" s="1" t="s">
        <v>19607</v>
      </c>
      <c r="B4298" s="1" t="s">
        <v>18</v>
      </c>
      <c r="C4298" s="1" t="s">
        <v>1016</v>
      </c>
      <c r="D4298" s="1" t="s">
        <v>18</v>
      </c>
      <c r="E4298" s="250">
        <v>13200.088</v>
      </c>
    </row>
    <row r="4299" spans="1:5" x14ac:dyDescent="0.35">
      <c r="A4299" s="1" t="s">
        <v>19608</v>
      </c>
      <c r="B4299" s="1" t="s">
        <v>18</v>
      </c>
      <c r="C4299" s="1" t="s">
        <v>1015</v>
      </c>
      <c r="D4299" s="1" t="s">
        <v>18</v>
      </c>
      <c r="E4299" s="250">
        <v>13200.089</v>
      </c>
    </row>
    <row r="4300" spans="1:5" x14ac:dyDescent="0.35">
      <c r="A4300" s="1" t="s">
        <v>19609</v>
      </c>
      <c r="B4300" s="1" t="s">
        <v>18</v>
      </c>
      <c r="C4300" s="1" t="s">
        <v>1014</v>
      </c>
      <c r="D4300" s="1" t="s">
        <v>18</v>
      </c>
      <c r="E4300" s="250">
        <v>13200.09</v>
      </c>
    </row>
    <row r="4301" spans="1:5" x14ac:dyDescent="0.35">
      <c r="A4301" s="1" t="s">
        <v>19610</v>
      </c>
      <c r="B4301" s="1" t="s">
        <v>18</v>
      </c>
      <c r="C4301" s="1" t="s">
        <v>1013</v>
      </c>
      <c r="D4301" s="1" t="s">
        <v>18</v>
      </c>
      <c r="E4301" s="250">
        <v>13200.091</v>
      </c>
    </row>
    <row r="4302" spans="1:5" x14ac:dyDescent="0.35">
      <c r="A4302" s="1" t="s">
        <v>19611</v>
      </c>
      <c r="B4302" s="1" t="s">
        <v>18</v>
      </c>
      <c r="C4302" s="1" t="s">
        <v>1012</v>
      </c>
      <c r="D4302" s="1" t="s">
        <v>18</v>
      </c>
      <c r="E4302" s="250">
        <v>13200.092000000001</v>
      </c>
    </row>
    <row r="4303" spans="1:5" x14ac:dyDescent="0.35">
      <c r="A4303" s="1" t="s">
        <v>19612</v>
      </c>
      <c r="B4303" s="1" t="s">
        <v>18</v>
      </c>
      <c r="C4303" s="1" t="s">
        <v>1011</v>
      </c>
      <c r="D4303" s="1" t="s">
        <v>18</v>
      </c>
      <c r="E4303" s="250">
        <v>13200.093000000001</v>
      </c>
    </row>
    <row r="4304" spans="1:5" x14ac:dyDescent="0.35">
      <c r="A4304" s="1" t="s">
        <v>19613</v>
      </c>
      <c r="B4304" s="1" t="s">
        <v>18</v>
      </c>
      <c r="C4304" s="1" t="s">
        <v>1010</v>
      </c>
      <c r="D4304" s="1" t="s">
        <v>18</v>
      </c>
      <c r="E4304" s="250">
        <v>13200.093999999999</v>
      </c>
    </row>
    <row r="4305" spans="1:5" x14ac:dyDescent="0.35">
      <c r="A4305" s="1" t="s">
        <v>19614</v>
      </c>
      <c r="B4305" s="1" t="s">
        <v>18</v>
      </c>
      <c r="C4305" s="1" t="s">
        <v>1009</v>
      </c>
      <c r="D4305" s="1" t="s">
        <v>18</v>
      </c>
      <c r="E4305" s="250">
        <v>13200.094999999999</v>
      </c>
    </row>
    <row r="4306" spans="1:5" x14ac:dyDescent="0.35">
      <c r="A4306" s="1" t="s">
        <v>19615</v>
      </c>
      <c r="B4306" s="1" t="s">
        <v>18</v>
      </c>
      <c r="C4306" s="1" t="s">
        <v>1009</v>
      </c>
      <c r="D4306" s="1" t="s">
        <v>18</v>
      </c>
      <c r="E4306" s="250">
        <v>13200.096</v>
      </c>
    </row>
    <row r="4307" spans="1:5" x14ac:dyDescent="0.35">
      <c r="A4307" s="1" t="s">
        <v>19616</v>
      </c>
      <c r="B4307" s="1" t="s">
        <v>57</v>
      </c>
      <c r="C4307" s="1" t="s">
        <v>1008</v>
      </c>
      <c r="D4307" s="1" t="s">
        <v>57</v>
      </c>
      <c r="E4307" s="250">
        <v>13200.1</v>
      </c>
    </row>
    <row r="4308" spans="1:5" x14ac:dyDescent="0.35">
      <c r="A4308" s="1" t="s">
        <v>19617</v>
      </c>
      <c r="B4308" s="1" t="s">
        <v>18</v>
      </c>
      <c r="C4308" s="1" t="s">
        <v>1005</v>
      </c>
      <c r="D4308" s="1" t="s">
        <v>18</v>
      </c>
      <c r="E4308" s="250">
        <v>13200.101000000001</v>
      </c>
    </row>
    <row r="4309" spans="1:5" x14ac:dyDescent="0.35">
      <c r="A4309" s="1" t="s">
        <v>19618</v>
      </c>
      <c r="B4309" s="1" t="s">
        <v>18</v>
      </c>
      <c r="C4309" s="1" t="s">
        <v>1004</v>
      </c>
      <c r="D4309" s="1" t="s">
        <v>18</v>
      </c>
      <c r="E4309" s="250">
        <v>13200.102000000001</v>
      </c>
    </row>
    <row r="4310" spans="1:5" x14ac:dyDescent="0.35">
      <c r="A4310" s="1" t="s">
        <v>19619</v>
      </c>
      <c r="B4310" s="1" t="s">
        <v>18</v>
      </c>
      <c r="C4310" s="1" t="s">
        <v>1003</v>
      </c>
      <c r="D4310" s="1" t="s">
        <v>18</v>
      </c>
      <c r="E4310" s="250">
        <v>13200.102999999999</v>
      </c>
    </row>
    <row r="4311" spans="1:5" x14ac:dyDescent="0.35">
      <c r="A4311" s="1" t="s">
        <v>19620</v>
      </c>
      <c r="B4311" s="1" t="s">
        <v>18</v>
      </c>
      <c r="C4311" s="1" t="s">
        <v>1002</v>
      </c>
      <c r="D4311" s="1" t="s">
        <v>18</v>
      </c>
      <c r="E4311" s="250">
        <v>13200.103999999999</v>
      </c>
    </row>
    <row r="4312" spans="1:5" x14ac:dyDescent="0.35">
      <c r="A4312" s="1" t="s">
        <v>19621</v>
      </c>
      <c r="B4312" s="1" t="s">
        <v>18</v>
      </c>
      <c r="C4312" s="1" t="s">
        <v>1001</v>
      </c>
      <c r="D4312" s="1" t="s">
        <v>18</v>
      </c>
      <c r="E4312" s="250">
        <v>13200.105</v>
      </c>
    </row>
    <row r="4313" spans="1:5" x14ac:dyDescent="0.35">
      <c r="A4313" s="1" t="s">
        <v>19622</v>
      </c>
      <c r="B4313" s="1" t="s">
        <v>18</v>
      </c>
      <c r="C4313" s="1" t="s">
        <v>1000</v>
      </c>
      <c r="D4313" s="1" t="s">
        <v>18</v>
      </c>
      <c r="E4313" s="250">
        <v>13200.106</v>
      </c>
    </row>
    <row r="4314" spans="1:5" x14ac:dyDescent="0.35">
      <c r="A4314" s="1" t="s">
        <v>19623</v>
      </c>
      <c r="B4314" s="1" t="s">
        <v>18</v>
      </c>
      <c r="C4314" s="1" t="s">
        <v>999</v>
      </c>
      <c r="D4314" s="1" t="s">
        <v>18</v>
      </c>
      <c r="E4314" s="250">
        <v>13200.107</v>
      </c>
    </row>
    <row r="4315" spans="1:5" x14ac:dyDescent="0.35">
      <c r="A4315" s="1" t="s">
        <v>19624</v>
      </c>
      <c r="B4315" s="1" t="s">
        <v>18</v>
      </c>
      <c r="C4315" s="1" t="s">
        <v>998</v>
      </c>
      <c r="D4315" s="1" t="s">
        <v>18</v>
      </c>
      <c r="E4315" s="250">
        <v>13200.108</v>
      </c>
    </row>
    <row r="4316" spans="1:5" x14ac:dyDescent="0.35">
      <c r="A4316" s="1" t="s">
        <v>19625</v>
      </c>
      <c r="B4316" s="1" t="s">
        <v>18</v>
      </c>
      <c r="C4316" s="1" t="s">
        <v>997</v>
      </c>
      <c r="D4316" s="1" t="s">
        <v>18</v>
      </c>
      <c r="E4316" s="250">
        <v>13200.109</v>
      </c>
    </row>
    <row r="4317" spans="1:5" x14ac:dyDescent="0.35">
      <c r="A4317" s="1" t="s">
        <v>19626</v>
      </c>
      <c r="B4317" s="1" t="s">
        <v>18</v>
      </c>
      <c r="C4317" s="1" t="s">
        <v>996</v>
      </c>
      <c r="D4317" s="1" t="s">
        <v>18</v>
      </c>
      <c r="E4317" s="250">
        <v>13200.11</v>
      </c>
    </row>
    <row r="4318" spans="1:5" x14ac:dyDescent="0.35">
      <c r="A4318" s="1" t="s">
        <v>19627</v>
      </c>
      <c r="B4318" s="1" t="s">
        <v>18</v>
      </c>
      <c r="C4318" s="1" t="s">
        <v>995</v>
      </c>
      <c r="D4318" s="1" t="s">
        <v>18</v>
      </c>
      <c r="E4318" s="250">
        <v>13200.111000000001</v>
      </c>
    </row>
    <row r="4319" spans="1:5" x14ac:dyDescent="0.35">
      <c r="A4319" s="1" t="s">
        <v>19628</v>
      </c>
      <c r="B4319" s="1" t="s">
        <v>18</v>
      </c>
      <c r="C4319" s="1" t="s">
        <v>994</v>
      </c>
      <c r="D4319" s="1" t="s">
        <v>18</v>
      </c>
      <c r="E4319" s="250">
        <v>13200.111999999999</v>
      </c>
    </row>
    <row r="4320" spans="1:5" x14ac:dyDescent="0.35">
      <c r="A4320" s="1" t="s">
        <v>19629</v>
      </c>
      <c r="B4320" s="1" t="s">
        <v>18</v>
      </c>
      <c r="C4320" s="1" t="s">
        <v>993</v>
      </c>
      <c r="D4320" s="1" t="s">
        <v>18</v>
      </c>
      <c r="E4320" s="250">
        <v>13200.112999999999</v>
      </c>
    </row>
    <row r="4321" spans="1:5" x14ac:dyDescent="0.35">
      <c r="A4321" s="1" t="s">
        <v>19630</v>
      </c>
      <c r="B4321" s="1" t="s">
        <v>18</v>
      </c>
      <c r="C4321" s="1" t="s">
        <v>992</v>
      </c>
      <c r="D4321" s="1" t="s">
        <v>18</v>
      </c>
      <c r="E4321" s="250">
        <v>13200.114</v>
      </c>
    </row>
    <row r="4322" spans="1:5" x14ac:dyDescent="0.35">
      <c r="A4322" s="1" t="s">
        <v>19631</v>
      </c>
      <c r="B4322" s="1" t="s">
        <v>18</v>
      </c>
      <c r="C4322" s="1" t="s">
        <v>991</v>
      </c>
      <c r="D4322" s="1" t="s">
        <v>18</v>
      </c>
      <c r="E4322" s="250">
        <v>13200.115</v>
      </c>
    </row>
    <row r="4323" spans="1:5" x14ac:dyDescent="0.35">
      <c r="A4323" s="1" t="s">
        <v>19632</v>
      </c>
      <c r="B4323" s="1" t="s">
        <v>18</v>
      </c>
      <c r="C4323" s="1" t="s">
        <v>991</v>
      </c>
      <c r="D4323" s="1" t="s">
        <v>18</v>
      </c>
      <c r="E4323" s="250">
        <v>13200.116</v>
      </c>
    </row>
    <row r="4324" spans="1:5" x14ac:dyDescent="0.35">
      <c r="A4324" s="1" t="s">
        <v>19633</v>
      </c>
      <c r="B4324" s="1" t="s">
        <v>57</v>
      </c>
      <c r="C4324" s="1" t="s">
        <v>1007</v>
      </c>
      <c r="D4324" s="1" t="s">
        <v>57</v>
      </c>
      <c r="E4324" s="250">
        <v>13200.12</v>
      </c>
    </row>
    <row r="4325" spans="1:5" x14ac:dyDescent="0.35">
      <c r="A4325" s="1" t="s">
        <v>19634</v>
      </c>
      <c r="B4325" s="1" t="s">
        <v>18</v>
      </c>
      <c r="C4325" s="1" t="s">
        <v>1005</v>
      </c>
      <c r="D4325" s="1" t="s">
        <v>18</v>
      </c>
      <c r="E4325" s="250">
        <v>13200.120999999999</v>
      </c>
    </row>
    <row r="4326" spans="1:5" x14ac:dyDescent="0.35">
      <c r="A4326" s="1" t="s">
        <v>19635</v>
      </c>
      <c r="B4326" s="1" t="s">
        <v>18</v>
      </c>
      <c r="C4326" s="1" t="s">
        <v>1004</v>
      </c>
      <c r="D4326" s="1" t="s">
        <v>18</v>
      </c>
      <c r="E4326" s="250">
        <v>13200.121999999999</v>
      </c>
    </row>
    <row r="4327" spans="1:5" x14ac:dyDescent="0.35">
      <c r="A4327" s="1" t="s">
        <v>19636</v>
      </c>
      <c r="B4327" s="1" t="s">
        <v>18</v>
      </c>
      <c r="C4327" s="1" t="s">
        <v>1003</v>
      </c>
      <c r="D4327" s="1" t="s">
        <v>18</v>
      </c>
      <c r="E4327" s="250">
        <v>13200.123</v>
      </c>
    </row>
    <row r="4328" spans="1:5" x14ac:dyDescent="0.35">
      <c r="A4328" s="1" t="s">
        <v>19637</v>
      </c>
      <c r="B4328" s="1" t="s">
        <v>18</v>
      </c>
      <c r="C4328" s="1" t="s">
        <v>1002</v>
      </c>
      <c r="D4328" s="1" t="s">
        <v>18</v>
      </c>
      <c r="E4328" s="250">
        <v>13200.124</v>
      </c>
    </row>
    <row r="4329" spans="1:5" x14ac:dyDescent="0.35">
      <c r="A4329" s="1" t="s">
        <v>19638</v>
      </c>
      <c r="B4329" s="1" t="s">
        <v>18</v>
      </c>
      <c r="C4329" s="1" t="s">
        <v>1001</v>
      </c>
      <c r="D4329" s="1" t="s">
        <v>18</v>
      </c>
      <c r="E4329" s="250">
        <v>13200.125</v>
      </c>
    </row>
    <row r="4330" spans="1:5" x14ac:dyDescent="0.35">
      <c r="A4330" s="1" t="s">
        <v>19639</v>
      </c>
      <c r="B4330" s="1" t="s">
        <v>18</v>
      </c>
      <c r="C4330" s="1" t="s">
        <v>1000</v>
      </c>
      <c r="D4330" s="1" t="s">
        <v>18</v>
      </c>
      <c r="E4330" s="250">
        <v>13200.126</v>
      </c>
    </row>
    <row r="4331" spans="1:5" x14ac:dyDescent="0.35">
      <c r="A4331" s="1" t="s">
        <v>19640</v>
      </c>
      <c r="B4331" s="1" t="s">
        <v>18</v>
      </c>
      <c r="C4331" s="1" t="s">
        <v>999</v>
      </c>
      <c r="D4331" s="1" t="s">
        <v>18</v>
      </c>
      <c r="E4331" s="250">
        <v>13200.127</v>
      </c>
    </row>
    <row r="4332" spans="1:5" x14ac:dyDescent="0.35">
      <c r="A4332" s="1" t="s">
        <v>19641</v>
      </c>
      <c r="B4332" s="1" t="s">
        <v>18</v>
      </c>
      <c r="C4332" s="1" t="s">
        <v>998</v>
      </c>
      <c r="D4332" s="1" t="s">
        <v>18</v>
      </c>
      <c r="E4332" s="250">
        <v>13200.128000000001</v>
      </c>
    </row>
    <row r="4333" spans="1:5" x14ac:dyDescent="0.35">
      <c r="A4333" s="1" t="s">
        <v>19642</v>
      </c>
      <c r="B4333" s="1" t="s">
        <v>18</v>
      </c>
      <c r="C4333" s="1" t="s">
        <v>997</v>
      </c>
      <c r="D4333" s="1" t="s">
        <v>18</v>
      </c>
      <c r="E4333" s="250">
        <v>13200.129000000001</v>
      </c>
    </row>
    <row r="4334" spans="1:5" x14ac:dyDescent="0.35">
      <c r="A4334" s="1" t="s">
        <v>19643</v>
      </c>
      <c r="B4334" s="1" t="s">
        <v>18</v>
      </c>
      <c r="C4334" s="1" t="s">
        <v>996</v>
      </c>
      <c r="D4334" s="1" t="s">
        <v>18</v>
      </c>
      <c r="E4334" s="250">
        <v>13200.13</v>
      </c>
    </row>
    <row r="4335" spans="1:5" x14ac:dyDescent="0.35">
      <c r="A4335" s="1" t="s">
        <v>19644</v>
      </c>
      <c r="B4335" s="1" t="s">
        <v>18</v>
      </c>
      <c r="C4335" s="1" t="s">
        <v>995</v>
      </c>
      <c r="D4335" s="1" t="s">
        <v>18</v>
      </c>
      <c r="E4335" s="250">
        <v>13200.130999999999</v>
      </c>
    </row>
    <row r="4336" spans="1:5" x14ac:dyDescent="0.35">
      <c r="A4336" s="1" t="s">
        <v>19645</v>
      </c>
      <c r="B4336" s="1" t="s">
        <v>18</v>
      </c>
      <c r="C4336" s="1" t="s">
        <v>994</v>
      </c>
      <c r="D4336" s="1" t="s">
        <v>18</v>
      </c>
      <c r="E4336" s="250">
        <v>13200.132</v>
      </c>
    </row>
    <row r="4337" spans="1:5" x14ac:dyDescent="0.35">
      <c r="A4337" s="1" t="s">
        <v>19646</v>
      </c>
      <c r="B4337" s="1" t="s">
        <v>18</v>
      </c>
      <c r="C4337" s="1" t="s">
        <v>993</v>
      </c>
      <c r="D4337" s="1" t="s">
        <v>18</v>
      </c>
      <c r="E4337" s="250">
        <v>13200.133</v>
      </c>
    </row>
    <row r="4338" spans="1:5" x14ac:dyDescent="0.35">
      <c r="A4338" s="1" t="s">
        <v>19647</v>
      </c>
      <c r="B4338" s="1" t="s">
        <v>18</v>
      </c>
      <c r="C4338" s="1" t="s">
        <v>992</v>
      </c>
      <c r="D4338" s="1" t="s">
        <v>18</v>
      </c>
      <c r="E4338" s="250">
        <v>13200.134</v>
      </c>
    </row>
    <row r="4339" spans="1:5" x14ac:dyDescent="0.35">
      <c r="A4339" s="1" t="s">
        <v>19648</v>
      </c>
      <c r="B4339" s="1" t="s">
        <v>18</v>
      </c>
      <c r="C4339" s="1" t="s">
        <v>991</v>
      </c>
      <c r="D4339" s="1" t="s">
        <v>18</v>
      </c>
      <c r="E4339" s="250">
        <v>13200.135</v>
      </c>
    </row>
    <row r="4340" spans="1:5" x14ac:dyDescent="0.35">
      <c r="A4340" s="1" t="s">
        <v>19649</v>
      </c>
      <c r="B4340" s="1" t="s">
        <v>18</v>
      </c>
      <c r="C4340" s="1" t="s">
        <v>991</v>
      </c>
      <c r="D4340" s="1" t="s">
        <v>18</v>
      </c>
      <c r="E4340" s="250">
        <v>13200.136</v>
      </c>
    </row>
    <row r="4341" spans="1:5" x14ac:dyDescent="0.35">
      <c r="A4341" s="1" t="s">
        <v>19650</v>
      </c>
      <c r="B4341" s="1" t="s">
        <v>57</v>
      </c>
      <c r="C4341" s="1" t="s">
        <v>1006</v>
      </c>
      <c r="D4341" s="1" t="s">
        <v>57</v>
      </c>
      <c r="E4341" s="250">
        <v>13200.14</v>
      </c>
    </row>
    <row r="4342" spans="1:5" x14ac:dyDescent="0.35">
      <c r="A4342" s="1" t="s">
        <v>19651</v>
      </c>
      <c r="B4342" s="1" t="s">
        <v>18</v>
      </c>
      <c r="C4342" s="1" t="s">
        <v>1005</v>
      </c>
      <c r="D4342" s="1" t="s">
        <v>18</v>
      </c>
      <c r="E4342" s="250">
        <v>13200.141</v>
      </c>
    </row>
    <row r="4343" spans="1:5" x14ac:dyDescent="0.35">
      <c r="A4343" s="1" t="s">
        <v>19652</v>
      </c>
      <c r="B4343" s="1" t="s">
        <v>18</v>
      </c>
      <c r="C4343" s="1" t="s">
        <v>1004</v>
      </c>
      <c r="D4343" s="1" t="s">
        <v>18</v>
      </c>
      <c r="E4343" s="250">
        <v>13200.142</v>
      </c>
    </row>
    <row r="4344" spans="1:5" x14ac:dyDescent="0.35">
      <c r="A4344" s="1" t="s">
        <v>19653</v>
      </c>
      <c r="B4344" s="1" t="s">
        <v>18</v>
      </c>
      <c r="C4344" s="1" t="s">
        <v>1003</v>
      </c>
      <c r="D4344" s="1" t="s">
        <v>18</v>
      </c>
      <c r="E4344" s="250">
        <v>13200.143</v>
      </c>
    </row>
    <row r="4345" spans="1:5" x14ac:dyDescent="0.35">
      <c r="A4345" s="1" t="s">
        <v>19654</v>
      </c>
      <c r="B4345" s="1" t="s">
        <v>18</v>
      </c>
      <c r="C4345" s="1" t="s">
        <v>1002</v>
      </c>
      <c r="D4345" s="1" t="s">
        <v>18</v>
      </c>
      <c r="E4345" s="250">
        <v>13200.144</v>
      </c>
    </row>
    <row r="4346" spans="1:5" x14ac:dyDescent="0.35">
      <c r="A4346" s="1" t="s">
        <v>19655</v>
      </c>
      <c r="B4346" s="1" t="s">
        <v>18</v>
      </c>
      <c r="C4346" s="1" t="s">
        <v>1001</v>
      </c>
      <c r="D4346" s="1" t="s">
        <v>18</v>
      </c>
      <c r="E4346" s="250">
        <v>13200.145</v>
      </c>
    </row>
    <row r="4347" spans="1:5" x14ac:dyDescent="0.35">
      <c r="A4347" s="1" t="s">
        <v>19656</v>
      </c>
      <c r="B4347" s="1" t="s">
        <v>18</v>
      </c>
      <c r="C4347" s="1" t="s">
        <v>1000</v>
      </c>
      <c r="D4347" s="1" t="s">
        <v>18</v>
      </c>
      <c r="E4347" s="250">
        <v>13200.146000000001</v>
      </c>
    </row>
    <row r="4348" spans="1:5" x14ac:dyDescent="0.35">
      <c r="A4348" s="1" t="s">
        <v>19657</v>
      </c>
      <c r="B4348" s="1" t="s">
        <v>18</v>
      </c>
      <c r="C4348" s="1" t="s">
        <v>999</v>
      </c>
      <c r="D4348" s="1" t="s">
        <v>18</v>
      </c>
      <c r="E4348" s="250">
        <v>13200.147000000001</v>
      </c>
    </row>
    <row r="4349" spans="1:5" x14ac:dyDescent="0.35">
      <c r="A4349" s="1" t="s">
        <v>19658</v>
      </c>
      <c r="B4349" s="1" t="s">
        <v>18</v>
      </c>
      <c r="C4349" s="1" t="s">
        <v>998</v>
      </c>
      <c r="D4349" s="1" t="s">
        <v>18</v>
      </c>
      <c r="E4349" s="250">
        <v>13200.147999999999</v>
      </c>
    </row>
    <row r="4350" spans="1:5" x14ac:dyDescent="0.35">
      <c r="A4350" s="1" t="s">
        <v>19659</v>
      </c>
      <c r="B4350" s="1" t="s">
        <v>18</v>
      </c>
      <c r="C4350" s="1" t="s">
        <v>997</v>
      </c>
      <c r="D4350" s="1" t="s">
        <v>18</v>
      </c>
      <c r="E4350" s="250">
        <v>13200.148999999999</v>
      </c>
    </row>
    <row r="4351" spans="1:5" x14ac:dyDescent="0.35">
      <c r="A4351" s="1" t="s">
        <v>19660</v>
      </c>
      <c r="B4351" s="1" t="s">
        <v>18</v>
      </c>
      <c r="C4351" s="1" t="s">
        <v>996</v>
      </c>
      <c r="D4351" s="1" t="s">
        <v>18</v>
      </c>
      <c r="E4351" s="250">
        <v>13200.15</v>
      </c>
    </row>
    <row r="4352" spans="1:5" x14ac:dyDescent="0.35">
      <c r="A4352" s="1" t="s">
        <v>19661</v>
      </c>
      <c r="B4352" s="1" t="s">
        <v>18</v>
      </c>
      <c r="C4352" s="1" t="s">
        <v>995</v>
      </c>
      <c r="D4352" s="1" t="s">
        <v>18</v>
      </c>
      <c r="E4352" s="250">
        <v>13200.151</v>
      </c>
    </row>
    <row r="4353" spans="1:5" x14ac:dyDescent="0.35">
      <c r="A4353" s="1" t="s">
        <v>19662</v>
      </c>
      <c r="B4353" s="1" t="s">
        <v>18</v>
      </c>
      <c r="C4353" s="1" t="s">
        <v>994</v>
      </c>
      <c r="D4353" s="1" t="s">
        <v>18</v>
      </c>
      <c r="E4353" s="250">
        <v>13200.152</v>
      </c>
    </row>
    <row r="4354" spans="1:5" x14ac:dyDescent="0.35">
      <c r="A4354" s="1" t="s">
        <v>19663</v>
      </c>
      <c r="B4354" s="1" t="s">
        <v>18</v>
      </c>
      <c r="C4354" s="1" t="s">
        <v>993</v>
      </c>
      <c r="D4354" s="1" t="s">
        <v>18</v>
      </c>
      <c r="E4354" s="250">
        <v>13200.153</v>
      </c>
    </row>
    <row r="4355" spans="1:5" x14ac:dyDescent="0.35">
      <c r="A4355" s="1" t="s">
        <v>19664</v>
      </c>
      <c r="B4355" s="1" t="s">
        <v>18</v>
      </c>
      <c r="C4355" s="1" t="s">
        <v>992</v>
      </c>
      <c r="D4355" s="1" t="s">
        <v>18</v>
      </c>
      <c r="E4355" s="250">
        <v>13200.154</v>
      </c>
    </row>
    <row r="4356" spans="1:5" x14ac:dyDescent="0.35">
      <c r="A4356" s="1" t="s">
        <v>19665</v>
      </c>
      <c r="B4356" s="1" t="s">
        <v>18</v>
      </c>
      <c r="C4356" s="1" t="s">
        <v>991</v>
      </c>
      <c r="D4356" s="1" t="s">
        <v>18</v>
      </c>
      <c r="E4356" s="250">
        <v>13200.155000000001</v>
      </c>
    </row>
    <row r="4357" spans="1:5" x14ac:dyDescent="0.35">
      <c r="A4357" s="1" t="s">
        <v>19666</v>
      </c>
      <c r="B4357" s="1" t="s">
        <v>18</v>
      </c>
      <c r="C4357" s="1" t="s">
        <v>991</v>
      </c>
      <c r="D4357" s="1" t="s">
        <v>18</v>
      </c>
      <c r="E4357" s="250">
        <v>13200.156000000001</v>
      </c>
    </row>
    <row r="4358" spans="1:5" x14ac:dyDescent="0.35">
      <c r="A4358" s="1" t="s">
        <v>19667</v>
      </c>
      <c r="B4358" s="1" t="s">
        <v>57</v>
      </c>
      <c r="C4358" s="1" t="s">
        <v>990</v>
      </c>
      <c r="D4358" s="1" t="s">
        <v>57</v>
      </c>
      <c r="E4358" s="250">
        <v>13200.16</v>
      </c>
    </row>
    <row r="4359" spans="1:5" x14ac:dyDescent="0.35">
      <c r="A4359" s="1" t="s">
        <v>19668</v>
      </c>
      <c r="B4359" s="1" t="s">
        <v>57</v>
      </c>
      <c r="C4359" s="1" t="s">
        <v>989</v>
      </c>
      <c r="D4359" s="1" t="s">
        <v>57</v>
      </c>
      <c r="E4359" s="250">
        <v>13200.161</v>
      </c>
    </row>
    <row r="4360" spans="1:5" x14ac:dyDescent="0.35">
      <c r="A4360" s="1" t="s">
        <v>19669</v>
      </c>
      <c r="B4360" s="1" t="s">
        <v>18</v>
      </c>
      <c r="C4360" s="1" t="s">
        <v>982</v>
      </c>
      <c r="D4360" s="1" t="s">
        <v>18</v>
      </c>
      <c r="E4360" s="250">
        <v>13200.162</v>
      </c>
    </row>
    <row r="4361" spans="1:5" x14ac:dyDescent="0.35">
      <c r="A4361" s="1" t="s">
        <v>19670</v>
      </c>
      <c r="B4361" s="1" t="s">
        <v>18</v>
      </c>
      <c r="C4361" s="1" t="s">
        <v>981</v>
      </c>
      <c r="D4361" s="1" t="s">
        <v>18</v>
      </c>
      <c r="E4361" s="250">
        <v>13200.163</v>
      </c>
    </row>
    <row r="4362" spans="1:5" x14ac:dyDescent="0.35">
      <c r="A4362" s="1" t="s">
        <v>19671</v>
      </c>
      <c r="B4362" s="1" t="s">
        <v>18</v>
      </c>
      <c r="C4362" s="1" t="s">
        <v>980</v>
      </c>
      <c r="D4362" s="1" t="s">
        <v>18</v>
      </c>
      <c r="E4362" s="250">
        <v>13200.164000000001</v>
      </c>
    </row>
    <row r="4363" spans="1:5" x14ac:dyDescent="0.35">
      <c r="A4363" s="1" t="s">
        <v>19672</v>
      </c>
      <c r="B4363" s="1" t="s">
        <v>18</v>
      </c>
      <c r="C4363" s="1" t="s">
        <v>979</v>
      </c>
      <c r="D4363" s="1" t="s">
        <v>18</v>
      </c>
      <c r="E4363" s="250">
        <v>13200.165000000001</v>
      </c>
    </row>
    <row r="4364" spans="1:5" x14ac:dyDescent="0.35">
      <c r="A4364" s="1" t="s">
        <v>19673</v>
      </c>
      <c r="B4364" s="1" t="s">
        <v>18</v>
      </c>
      <c r="C4364" s="1" t="s">
        <v>987</v>
      </c>
      <c r="D4364" s="1" t="s">
        <v>18</v>
      </c>
      <c r="E4364" s="250">
        <v>13200.165999999999</v>
      </c>
    </row>
    <row r="4365" spans="1:5" x14ac:dyDescent="0.35">
      <c r="A4365" s="1" t="s">
        <v>19674</v>
      </c>
      <c r="B4365" s="1" t="s">
        <v>18</v>
      </c>
      <c r="C4365" s="1" t="s">
        <v>978</v>
      </c>
      <c r="D4365" s="1" t="s">
        <v>18</v>
      </c>
      <c r="E4365" s="250">
        <v>13200.166999999999</v>
      </c>
    </row>
    <row r="4366" spans="1:5" x14ac:dyDescent="0.35">
      <c r="A4366" s="1" t="s">
        <v>19675</v>
      </c>
      <c r="B4366" s="1" t="s">
        <v>18</v>
      </c>
      <c r="C4366" s="1" t="s">
        <v>977</v>
      </c>
      <c r="D4366" s="1" t="s">
        <v>18</v>
      </c>
      <c r="E4366" s="250">
        <v>13200.168</v>
      </c>
    </row>
    <row r="4367" spans="1:5" x14ac:dyDescent="0.35">
      <c r="A4367" s="1" t="s">
        <v>19676</v>
      </c>
      <c r="B4367" s="1" t="s">
        <v>18</v>
      </c>
      <c r="C4367" s="1" t="s">
        <v>976</v>
      </c>
      <c r="D4367" s="1" t="s">
        <v>18</v>
      </c>
      <c r="E4367" s="250">
        <v>13200.169</v>
      </c>
    </row>
    <row r="4368" spans="1:5" x14ac:dyDescent="0.35">
      <c r="A4368" s="1" t="s">
        <v>19677</v>
      </c>
      <c r="B4368" s="1" t="s">
        <v>18</v>
      </c>
      <c r="C4368" s="1" t="s">
        <v>975</v>
      </c>
      <c r="D4368" s="1" t="s">
        <v>18</v>
      </c>
      <c r="E4368" s="250">
        <v>13200.17</v>
      </c>
    </row>
    <row r="4369" spans="1:5" x14ac:dyDescent="0.35">
      <c r="A4369" s="1" t="s">
        <v>19678</v>
      </c>
      <c r="B4369" s="1" t="s">
        <v>18</v>
      </c>
      <c r="C4369" s="1" t="s">
        <v>974</v>
      </c>
      <c r="D4369" s="1" t="s">
        <v>18</v>
      </c>
      <c r="E4369" s="250">
        <v>13200.171</v>
      </c>
    </row>
    <row r="4370" spans="1:5" x14ac:dyDescent="0.35">
      <c r="A4370" s="1" t="s">
        <v>19679</v>
      </c>
      <c r="B4370" s="1" t="s">
        <v>18</v>
      </c>
      <c r="C4370" s="1" t="s">
        <v>973</v>
      </c>
      <c r="D4370" s="1" t="s">
        <v>18</v>
      </c>
      <c r="E4370" s="250">
        <v>13200.172</v>
      </c>
    </row>
    <row r="4371" spans="1:5" x14ac:dyDescent="0.35">
      <c r="A4371" s="1" t="s">
        <v>19680</v>
      </c>
      <c r="B4371" s="1" t="s">
        <v>18</v>
      </c>
      <c r="C4371" s="1" t="s">
        <v>971</v>
      </c>
      <c r="D4371" s="1" t="s">
        <v>18</v>
      </c>
      <c r="E4371" s="250">
        <v>13200.173000000001</v>
      </c>
    </row>
    <row r="4372" spans="1:5" x14ac:dyDescent="0.35">
      <c r="A4372" s="1" t="s">
        <v>19681</v>
      </c>
      <c r="B4372" s="1" t="s">
        <v>18</v>
      </c>
      <c r="C4372" s="1" t="s">
        <v>970</v>
      </c>
      <c r="D4372" s="1" t="s">
        <v>18</v>
      </c>
      <c r="E4372" s="250">
        <v>13200.174000000001</v>
      </c>
    </row>
    <row r="4373" spans="1:5" x14ac:dyDescent="0.35">
      <c r="A4373" s="1" t="s">
        <v>19682</v>
      </c>
      <c r="B4373" s="1" t="s">
        <v>18</v>
      </c>
      <c r="C4373" s="1" t="s">
        <v>986</v>
      </c>
      <c r="D4373" s="1" t="s">
        <v>18</v>
      </c>
      <c r="E4373" s="250">
        <v>13200.174999999999</v>
      </c>
    </row>
    <row r="4374" spans="1:5" x14ac:dyDescent="0.35">
      <c r="A4374" s="1" t="s">
        <v>19683</v>
      </c>
      <c r="B4374" s="1" t="s">
        <v>57</v>
      </c>
      <c r="C4374" s="1" t="s">
        <v>988</v>
      </c>
      <c r="D4374" s="1" t="s">
        <v>57</v>
      </c>
      <c r="E4374" s="250">
        <v>13200.195</v>
      </c>
    </row>
    <row r="4375" spans="1:5" x14ac:dyDescent="0.35">
      <c r="A4375" s="1" t="s">
        <v>19684</v>
      </c>
      <c r="B4375" s="1" t="s">
        <v>18</v>
      </c>
      <c r="C4375" s="1" t="s">
        <v>982</v>
      </c>
      <c r="D4375" s="1" t="s">
        <v>18</v>
      </c>
      <c r="E4375" s="250">
        <v>13200.196</v>
      </c>
    </row>
    <row r="4376" spans="1:5" x14ac:dyDescent="0.35">
      <c r="A4376" s="1" t="s">
        <v>19685</v>
      </c>
      <c r="B4376" s="1" t="s">
        <v>18</v>
      </c>
      <c r="C4376" s="1" t="s">
        <v>981</v>
      </c>
      <c r="D4376" s="1" t="s">
        <v>18</v>
      </c>
      <c r="E4376" s="250">
        <v>13200.197</v>
      </c>
    </row>
    <row r="4377" spans="1:5" x14ac:dyDescent="0.35">
      <c r="A4377" s="1" t="s">
        <v>19686</v>
      </c>
      <c r="B4377" s="1" t="s">
        <v>18</v>
      </c>
      <c r="C4377" s="1" t="s">
        <v>980</v>
      </c>
      <c r="D4377" s="1" t="s">
        <v>18</v>
      </c>
      <c r="E4377" s="250">
        <v>13200.198</v>
      </c>
    </row>
    <row r="4378" spans="1:5" x14ac:dyDescent="0.35">
      <c r="A4378" s="1" t="s">
        <v>19687</v>
      </c>
      <c r="B4378" s="1" t="s">
        <v>18</v>
      </c>
      <c r="C4378" s="1" t="s">
        <v>979</v>
      </c>
      <c r="D4378" s="1" t="s">
        <v>18</v>
      </c>
      <c r="E4378" s="250">
        <v>13200.199000000001</v>
      </c>
    </row>
    <row r="4379" spans="1:5" x14ac:dyDescent="0.35">
      <c r="A4379" s="1" t="s">
        <v>19688</v>
      </c>
      <c r="B4379" s="1" t="s">
        <v>18</v>
      </c>
      <c r="C4379" s="1" t="s">
        <v>987</v>
      </c>
      <c r="D4379" s="1" t="s">
        <v>18</v>
      </c>
      <c r="E4379" s="250">
        <v>13200.2</v>
      </c>
    </row>
    <row r="4380" spans="1:5" x14ac:dyDescent="0.35">
      <c r="A4380" s="1" t="s">
        <v>19689</v>
      </c>
      <c r="B4380" s="1" t="s">
        <v>18</v>
      </c>
      <c r="C4380" s="1" t="s">
        <v>978</v>
      </c>
      <c r="D4380" s="1" t="s">
        <v>18</v>
      </c>
      <c r="E4380" s="250">
        <v>13200.200999999999</v>
      </c>
    </row>
    <row r="4381" spans="1:5" x14ac:dyDescent="0.35">
      <c r="A4381" s="1" t="s">
        <v>19690</v>
      </c>
      <c r="B4381" s="1" t="s">
        <v>18</v>
      </c>
      <c r="C4381" s="1" t="s">
        <v>977</v>
      </c>
      <c r="D4381" s="1" t="s">
        <v>18</v>
      </c>
      <c r="E4381" s="250">
        <v>13200.201999999999</v>
      </c>
    </row>
    <row r="4382" spans="1:5" x14ac:dyDescent="0.35">
      <c r="A4382" s="1" t="s">
        <v>19691</v>
      </c>
      <c r="B4382" s="1" t="s">
        <v>18</v>
      </c>
      <c r="C4382" s="1" t="s">
        <v>976</v>
      </c>
      <c r="D4382" s="1" t="s">
        <v>18</v>
      </c>
      <c r="E4382" s="250">
        <v>13200.203</v>
      </c>
    </row>
    <row r="4383" spans="1:5" x14ac:dyDescent="0.35">
      <c r="A4383" s="1" t="s">
        <v>19692</v>
      </c>
      <c r="B4383" s="1" t="s">
        <v>18</v>
      </c>
      <c r="C4383" s="1" t="s">
        <v>975</v>
      </c>
      <c r="D4383" s="1" t="s">
        <v>18</v>
      </c>
      <c r="E4383" s="250">
        <v>13200.204</v>
      </c>
    </row>
    <row r="4384" spans="1:5" x14ac:dyDescent="0.35">
      <c r="A4384" s="1" t="s">
        <v>19693</v>
      </c>
      <c r="B4384" s="1" t="s">
        <v>18</v>
      </c>
      <c r="C4384" s="1" t="s">
        <v>974</v>
      </c>
      <c r="D4384" s="1" t="s">
        <v>18</v>
      </c>
      <c r="E4384" s="250">
        <v>13200.205</v>
      </c>
    </row>
    <row r="4385" spans="1:5" x14ac:dyDescent="0.35">
      <c r="A4385" s="1" t="s">
        <v>19694</v>
      </c>
      <c r="B4385" s="1" t="s">
        <v>18</v>
      </c>
      <c r="C4385" s="1" t="s">
        <v>973</v>
      </c>
      <c r="D4385" s="1" t="s">
        <v>18</v>
      </c>
      <c r="E4385" s="250">
        <v>13200.206</v>
      </c>
    </row>
    <row r="4386" spans="1:5" x14ac:dyDescent="0.35">
      <c r="A4386" s="1" t="s">
        <v>19695</v>
      </c>
      <c r="B4386" s="1" t="s">
        <v>18</v>
      </c>
      <c r="C4386" s="1" t="s">
        <v>971</v>
      </c>
      <c r="D4386" s="1" t="s">
        <v>18</v>
      </c>
      <c r="E4386" s="250">
        <v>13200.207</v>
      </c>
    </row>
    <row r="4387" spans="1:5" x14ac:dyDescent="0.35">
      <c r="A4387" s="1" t="s">
        <v>19696</v>
      </c>
      <c r="B4387" s="1" t="s">
        <v>18</v>
      </c>
      <c r="C4387" s="1" t="s">
        <v>970</v>
      </c>
      <c r="D4387" s="1" t="s">
        <v>18</v>
      </c>
      <c r="E4387" s="250">
        <v>13200.208000000001</v>
      </c>
    </row>
    <row r="4388" spans="1:5" x14ac:dyDescent="0.35">
      <c r="A4388" s="1" t="s">
        <v>19697</v>
      </c>
      <c r="B4388" s="1" t="s">
        <v>18</v>
      </c>
      <c r="C4388" s="1" t="s">
        <v>986</v>
      </c>
      <c r="D4388" s="1" t="s">
        <v>18</v>
      </c>
      <c r="E4388" s="250">
        <v>13200.209000000001</v>
      </c>
    </row>
    <row r="4389" spans="1:5" x14ac:dyDescent="0.35">
      <c r="A4389" s="1" t="s">
        <v>19698</v>
      </c>
      <c r="B4389" s="1" t="s">
        <v>57</v>
      </c>
      <c r="C4389" s="1" t="s">
        <v>985</v>
      </c>
      <c r="D4389" s="1" t="s">
        <v>57</v>
      </c>
      <c r="E4389" s="250">
        <v>13200.228999999999</v>
      </c>
    </row>
    <row r="4390" spans="1:5" x14ac:dyDescent="0.35">
      <c r="A4390" s="1" t="s">
        <v>19699</v>
      </c>
      <c r="B4390" s="1" t="s">
        <v>18</v>
      </c>
      <c r="C4390" s="1" t="s">
        <v>981</v>
      </c>
      <c r="D4390" s="1" t="s">
        <v>18</v>
      </c>
      <c r="E4390" s="250">
        <v>13200.23</v>
      </c>
    </row>
    <row r="4391" spans="1:5" x14ac:dyDescent="0.35">
      <c r="A4391" s="1" t="s">
        <v>19700</v>
      </c>
      <c r="B4391" s="1" t="s">
        <v>18</v>
      </c>
      <c r="C4391" s="1" t="s">
        <v>980</v>
      </c>
      <c r="D4391" s="1" t="s">
        <v>18</v>
      </c>
      <c r="E4391" s="250">
        <v>13200.231</v>
      </c>
    </row>
    <row r="4392" spans="1:5" x14ac:dyDescent="0.35">
      <c r="A4392" s="1" t="s">
        <v>19701</v>
      </c>
      <c r="B4392" s="1" t="s">
        <v>18</v>
      </c>
      <c r="C4392" s="1" t="s">
        <v>979</v>
      </c>
      <c r="D4392" s="1" t="s">
        <v>18</v>
      </c>
      <c r="E4392" s="250">
        <v>13200.232</v>
      </c>
    </row>
    <row r="4393" spans="1:5" x14ac:dyDescent="0.35">
      <c r="A4393" s="1" t="s">
        <v>19702</v>
      </c>
      <c r="B4393" s="1" t="s">
        <v>18</v>
      </c>
      <c r="C4393" s="1" t="s">
        <v>978</v>
      </c>
      <c r="D4393" s="1" t="s">
        <v>18</v>
      </c>
      <c r="E4393" s="250">
        <v>13200.233</v>
      </c>
    </row>
    <row r="4394" spans="1:5" x14ac:dyDescent="0.35">
      <c r="A4394" s="1" t="s">
        <v>19703</v>
      </c>
      <c r="B4394" s="1" t="s">
        <v>18</v>
      </c>
      <c r="C4394" s="1" t="s">
        <v>977</v>
      </c>
      <c r="D4394" s="1" t="s">
        <v>18</v>
      </c>
      <c r="E4394" s="250">
        <v>13200.234</v>
      </c>
    </row>
    <row r="4395" spans="1:5" x14ac:dyDescent="0.35">
      <c r="A4395" s="1" t="s">
        <v>19704</v>
      </c>
      <c r="B4395" s="1" t="s">
        <v>18</v>
      </c>
      <c r="C4395" s="1" t="s">
        <v>976</v>
      </c>
      <c r="D4395" s="1" t="s">
        <v>18</v>
      </c>
      <c r="E4395" s="250">
        <v>13200.235000000001</v>
      </c>
    </row>
    <row r="4396" spans="1:5" x14ac:dyDescent="0.35">
      <c r="A4396" s="1" t="s">
        <v>19705</v>
      </c>
      <c r="B4396" s="1" t="s">
        <v>18</v>
      </c>
      <c r="C4396" s="1" t="s">
        <v>975</v>
      </c>
      <c r="D4396" s="1" t="s">
        <v>18</v>
      </c>
      <c r="E4396" s="250">
        <v>13200.236000000001</v>
      </c>
    </row>
    <row r="4397" spans="1:5" x14ac:dyDescent="0.35">
      <c r="A4397" s="1" t="s">
        <v>19706</v>
      </c>
      <c r="B4397" s="1" t="s">
        <v>18</v>
      </c>
      <c r="C4397" s="1" t="s">
        <v>974</v>
      </c>
      <c r="D4397" s="1" t="s">
        <v>18</v>
      </c>
      <c r="E4397" s="250">
        <v>13200.236999999999</v>
      </c>
    </row>
    <row r="4398" spans="1:5" x14ac:dyDescent="0.35">
      <c r="A4398" s="1" t="s">
        <v>19707</v>
      </c>
      <c r="B4398" s="1" t="s">
        <v>18</v>
      </c>
      <c r="C4398" s="1" t="s">
        <v>973</v>
      </c>
      <c r="D4398" s="1" t="s">
        <v>18</v>
      </c>
      <c r="E4398" s="250">
        <v>13200.237999999999</v>
      </c>
    </row>
    <row r="4399" spans="1:5" x14ac:dyDescent="0.35">
      <c r="A4399" s="1" t="s">
        <v>19708</v>
      </c>
      <c r="B4399" s="1" t="s">
        <v>18</v>
      </c>
      <c r="C4399" s="1" t="s">
        <v>972</v>
      </c>
      <c r="D4399" s="1" t="s">
        <v>18</v>
      </c>
      <c r="E4399" s="250">
        <v>13200.239</v>
      </c>
    </row>
    <row r="4400" spans="1:5" x14ac:dyDescent="0.35">
      <c r="A4400" s="1" t="s">
        <v>19709</v>
      </c>
      <c r="B4400" s="1" t="s">
        <v>18</v>
      </c>
      <c r="C4400" s="1" t="s">
        <v>971</v>
      </c>
      <c r="D4400" s="1" t="s">
        <v>18</v>
      </c>
      <c r="E4400" s="250">
        <v>13200.24</v>
      </c>
    </row>
    <row r="4401" spans="1:5" x14ac:dyDescent="0.35">
      <c r="A4401" s="1" t="s">
        <v>19710</v>
      </c>
      <c r="B4401" s="1" t="s">
        <v>57</v>
      </c>
      <c r="C4401" s="1" t="s">
        <v>984</v>
      </c>
      <c r="D4401" s="1" t="s">
        <v>57</v>
      </c>
      <c r="E4401" s="250">
        <v>13200.26</v>
      </c>
    </row>
    <row r="4402" spans="1:5" x14ac:dyDescent="0.35">
      <c r="A4402" s="1" t="s">
        <v>19711</v>
      </c>
      <c r="B4402" s="1" t="s">
        <v>18</v>
      </c>
      <c r="C4402" s="1" t="s">
        <v>982</v>
      </c>
      <c r="D4402" s="1" t="s">
        <v>18</v>
      </c>
      <c r="E4402" s="250">
        <v>13200.261</v>
      </c>
    </row>
    <row r="4403" spans="1:5" x14ac:dyDescent="0.35">
      <c r="A4403" s="1" t="s">
        <v>19712</v>
      </c>
      <c r="B4403" s="1" t="s">
        <v>18</v>
      </c>
      <c r="C4403" s="1" t="s">
        <v>981</v>
      </c>
      <c r="D4403" s="1" t="s">
        <v>18</v>
      </c>
      <c r="E4403" s="250">
        <v>13200.262000000001</v>
      </c>
    </row>
    <row r="4404" spans="1:5" x14ac:dyDescent="0.35">
      <c r="A4404" s="1" t="s">
        <v>19713</v>
      </c>
      <c r="B4404" s="1" t="s">
        <v>18</v>
      </c>
      <c r="C4404" s="1" t="s">
        <v>980</v>
      </c>
      <c r="D4404" s="1" t="s">
        <v>18</v>
      </c>
      <c r="E4404" s="250">
        <v>13200.263000000001</v>
      </c>
    </row>
    <row r="4405" spans="1:5" x14ac:dyDescent="0.35">
      <c r="A4405" s="1" t="s">
        <v>19714</v>
      </c>
      <c r="B4405" s="1" t="s">
        <v>18</v>
      </c>
      <c r="C4405" s="1" t="s">
        <v>979</v>
      </c>
      <c r="D4405" s="1" t="s">
        <v>18</v>
      </c>
      <c r="E4405" s="250">
        <v>13200.263999999999</v>
      </c>
    </row>
    <row r="4406" spans="1:5" x14ac:dyDescent="0.35">
      <c r="A4406" s="1" t="s">
        <v>19715</v>
      </c>
      <c r="B4406" s="1" t="s">
        <v>18</v>
      </c>
      <c r="C4406" s="1" t="s">
        <v>978</v>
      </c>
      <c r="D4406" s="1" t="s">
        <v>18</v>
      </c>
      <c r="E4406" s="250">
        <v>13200.264999999999</v>
      </c>
    </row>
    <row r="4407" spans="1:5" x14ac:dyDescent="0.35">
      <c r="A4407" s="1" t="s">
        <v>19716</v>
      </c>
      <c r="B4407" s="1" t="s">
        <v>18</v>
      </c>
      <c r="C4407" s="1" t="s">
        <v>977</v>
      </c>
      <c r="D4407" s="1" t="s">
        <v>18</v>
      </c>
      <c r="E4407" s="250">
        <v>13200.266</v>
      </c>
    </row>
    <row r="4408" spans="1:5" x14ac:dyDescent="0.35">
      <c r="A4408" s="1" t="s">
        <v>19717</v>
      </c>
      <c r="B4408" s="1" t="s">
        <v>18</v>
      </c>
      <c r="C4408" s="1" t="s">
        <v>976</v>
      </c>
      <c r="D4408" s="1" t="s">
        <v>18</v>
      </c>
      <c r="E4408" s="250">
        <v>13200.267</v>
      </c>
    </row>
    <row r="4409" spans="1:5" x14ac:dyDescent="0.35">
      <c r="A4409" s="1" t="s">
        <v>19718</v>
      </c>
      <c r="B4409" s="1" t="s">
        <v>18</v>
      </c>
      <c r="C4409" s="1" t="s">
        <v>975</v>
      </c>
      <c r="D4409" s="1" t="s">
        <v>18</v>
      </c>
      <c r="E4409" s="250">
        <v>13200.268</v>
      </c>
    </row>
    <row r="4410" spans="1:5" x14ac:dyDescent="0.35">
      <c r="A4410" s="1" t="s">
        <v>19719</v>
      </c>
      <c r="B4410" s="1" t="s">
        <v>18</v>
      </c>
      <c r="C4410" s="1" t="s">
        <v>974</v>
      </c>
      <c r="D4410" s="1" t="s">
        <v>18</v>
      </c>
      <c r="E4410" s="250">
        <v>13200.269</v>
      </c>
    </row>
    <row r="4411" spans="1:5" x14ac:dyDescent="0.35">
      <c r="A4411" s="1" t="s">
        <v>19720</v>
      </c>
      <c r="B4411" s="1" t="s">
        <v>18</v>
      </c>
      <c r="C4411" s="1" t="s">
        <v>973</v>
      </c>
      <c r="D4411" s="1" t="s">
        <v>18</v>
      </c>
      <c r="E4411" s="250">
        <v>13200.27</v>
      </c>
    </row>
    <row r="4412" spans="1:5" x14ac:dyDescent="0.35">
      <c r="A4412" s="1" t="s">
        <v>19721</v>
      </c>
      <c r="B4412" s="1" t="s">
        <v>18</v>
      </c>
      <c r="C4412" s="1" t="s">
        <v>972</v>
      </c>
      <c r="D4412" s="1" t="s">
        <v>18</v>
      </c>
      <c r="E4412" s="250">
        <v>13200.271000000001</v>
      </c>
    </row>
    <row r="4413" spans="1:5" x14ac:dyDescent="0.35">
      <c r="A4413" s="1" t="s">
        <v>19722</v>
      </c>
      <c r="B4413" s="1" t="s">
        <v>18</v>
      </c>
      <c r="C4413" s="1" t="s">
        <v>971</v>
      </c>
      <c r="D4413" s="1" t="s">
        <v>18</v>
      </c>
      <c r="E4413" s="250">
        <v>13200.272000000001</v>
      </c>
    </row>
    <row r="4414" spans="1:5" x14ac:dyDescent="0.35">
      <c r="A4414" s="1" t="s">
        <v>19723</v>
      </c>
      <c r="B4414" s="1" t="s">
        <v>18</v>
      </c>
      <c r="C4414" s="1" t="s">
        <v>970</v>
      </c>
      <c r="D4414" s="1" t="s">
        <v>18</v>
      </c>
      <c r="E4414" s="250">
        <v>13200.272999999999</v>
      </c>
    </row>
    <row r="4415" spans="1:5" x14ac:dyDescent="0.35">
      <c r="A4415" s="1" t="s">
        <v>19724</v>
      </c>
      <c r="B4415" s="1" t="s">
        <v>18</v>
      </c>
      <c r="C4415" s="1" t="s">
        <v>969</v>
      </c>
      <c r="D4415" s="1" t="s">
        <v>18</v>
      </c>
      <c r="E4415" s="250">
        <v>13200.273999999999</v>
      </c>
    </row>
    <row r="4416" spans="1:5" x14ac:dyDescent="0.35">
      <c r="A4416" s="1" t="s">
        <v>19725</v>
      </c>
      <c r="B4416" s="1" t="s">
        <v>57</v>
      </c>
      <c r="C4416" s="1" t="s">
        <v>983</v>
      </c>
      <c r="D4416" s="1" t="s">
        <v>57</v>
      </c>
      <c r="E4416" s="250">
        <v>13200.294</v>
      </c>
    </row>
    <row r="4417" spans="1:5" x14ac:dyDescent="0.35">
      <c r="A4417" s="1" t="s">
        <v>19726</v>
      </c>
      <c r="B4417" s="1" t="s">
        <v>18</v>
      </c>
      <c r="C4417" s="1" t="s">
        <v>982</v>
      </c>
      <c r="D4417" s="1" t="s">
        <v>18</v>
      </c>
      <c r="E4417" s="250">
        <v>13200.295</v>
      </c>
    </row>
    <row r="4418" spans="1:5" x14ac:dyDescent="0.35">
      <c r="A4418" s="1" t="s">
        <v>19727</v>
      </c>
      <c r="B4418" s="1" t="s">
        <v>18</v>
      </c>
      <c r="C4418" s="1" t="s">
        <v>981</v>
      </c>
      <c r="D4418" s="1" t="s">
        <v>18</v>
      </c>
      <c r="E4418" s="250">
        <v>13200.296</v>
      </c>
    </row>
    <row r="4419" spans="1:5" x14ac:dyDescent="0.35">
      <c r="A4419" s="1" t="s">
        <v>19728</v>
      </c>
      <c r="B4419" s="1" t="s">
        <v>18</v>
      </c>
      <c r="C4419" s="1" t="s">
        <v>980</v>
      </c>
      <c r="D4419" s="1" t="s">
        <v>18</v>
      </c>
      <c r="E4419" s="250">
        <v>13200.297</v>
      </c>
    </row>
    <row r="4420" spans="1:5" x14ac:dyDescent="0.35">
      <c r="A4420" s="1" t="s">
        <v>19729</v>
      </c>
      <c r="B4420" s="1" t="s">
        <v>18</v>
      </c>
      <c r="C4420" s="1" t="s">
        <v>979</v>
      </c>
      <c r="D4420" s="1" t="s">
        <v>18</v>
      </c>
      <c r="E4420" s="250">
        <v>13200.298000000001</v>
      </c>
    </row>
    <row r="4421" spans="1:5" x14ac:dyDescent="0.35">
      <c r="A4421" s="1" t="s">
        <v>19730</v>
      </c>
      <c r="B4421" s="1" t="s">
        <v>18</v>
      </c>
      <c r="C4421" s="1" t="s">
        <v>978</v>
      </c>
      <c r="D4421" s="1" t="s">
        <v>18</v>
      </c>
      <c r="E4421" s="250">
        <v>13200.299000000001</v>
      </c>
    </row>
    <row r="4422" spans="1:5" x14ac:dyDescent="0.35">
      <c r="A4422" s="1" t="s">
        <v>19731</v>
      </c>
      <c r="B4422" s="1" t="s">
        <v>18</v>
      </c>
      <c r="C4422" s="1" t="s">
        <v>977</v>
      </c>
      <c r="D4422" s="1" t="s">
        <v>18</v>
      </c>
      <c r="E4422" s="250">
        <v>13200.3</v>
      </c>
    </row>
    <row r="4423" spans="1:5" x14ac:dyDescent="0.35">
      <c r="A4423" s="1" t="s">
        <v>19732</v>
      </c>
      <c r="B4423" s="1" t="s">
        <v>18</v>
      </c>
      <c r="C4423" s="1" t="s">
        <v>976</v>
      </c>
      <c r="D4423" s="1" t="s">
        <v>18</v>
      </c>
      <c r="E4423" s="250">
        <v>13200.300999999999</v>
      </c>
    </row>
    <row r="4424" spans="1:5" x14ac:dyDescent="0.35">
      <c r="A4424" s="1" t="s">
        <v>19733</v>
      </c>
      <c r="B4424" s="1" t="s">
        <v>18</v>
      </c>
      <c r="C4424" s="1" t="s">
        <v>975</v>
      </c>
      <c r="D4424" s="1" t="s">
        <v>18</v>
      </c>
      <c r="E4424" s="250">
        <v>13200.302</v>
      </c>
    </row>
    <row r="4425" spans="1:5" x14ac:dyDescent="0.35">
      <c r="A4425" s="1" t="s">
        <v>19734</v>
      </c>
      <c r="B4425" s="1" t="s">
        <v>18</v>
      </c>
      <c r="C4425" s="1" t="s">
        <v>974</v>
      </c>
      <c r="D4425" s="1" t="s">
        <v>18</v>
      </c>
      <c r="E4425" s="250">
        <v>13200.303</v>
      </c>
    </row>
    <row r="4426" spans="1:5" x14ac:dyDescent="0.35">
      <c r="A4426" s="1" t="s">
        <v>19735</v>
      </c>
      <c r="B4426" s="1" t="s">
        <v>18</v>
      </c>
      <c r="C4426" s="1" t="s">
        <v>973</v>
      </c>
      <c r="D4426" s="1" t="s">
        <v>18</v>
      </c>
      <c r="E4426" s="250">
        <v>13200.304</v>
      </c>
    </row>
    <row r="4427" spans="1:5" x14ac:dyDescent="0.35">
      <c r="A4427" s="1" t="s">
        <v>19736</v>
      </c>
      <c r="B4427" s="1" t="s">
        <v>18</v>
      </c>
      <c r="C4427" s="1" t="s">
        <v>972</v>
      </c>
      <c r="D4427" s="1" t="s">
        <v>18</v>
      </c>
      <c r="E4427" s="250">
        <v>13200.305</v>
      </c>
    </row>
    <row r="4428" spans="1:5" x14ac:dyDescent="0.35">
      <c r="A4428" s="1" t="s">
        <v>19737</v>
      </c>
      <c r="B4428" s="1" t="s">
        <v>18</v>
      </c>
      <c r="C4428" s="1" t="s">
        <v>971</v>
      </c>
      <c r="D4428" s="1" t="s">
        <v>18</v>
      </c>
      <c r="E4428" s="250">
        <v>13200.306</v>
      </c>
    </row>
    <row r="4429" spans="1:5" x14ac:dyDescent="0.35">
      <c r="A4429" s="1" t="s">
        <v>19738</v>
      </c>
      <c r="B4429" s="1" t="s">
        <v>18</v>
      </c>
      <c r="C4429" s="1" t="s">
        <v>970</v>
      </c>
      <c r="D4429" s="1" t="s">
        <v>18</v>
      </c>
      <c r="E4429" s="250">
        <v>13200.307000000001</v>
      </c>
    </row>
    <row r="4430" spans="1:5" x14ac:dyDescent="0.35">
      <c r="A4430" s="1" t="s">
        <v>19739</v>
      </c>
      <c r="B4430" s="1" t="s">
        <v>18</v>
      </c>
      <c r="C4430" s="1" t="s">
        <v>969</v>
      </c>
      <c r="D4430" s="1" t="s">
        <v>18</v>
      </c>
      <c r="E4430" s="250">
        <v>13200.308000000001</v>
      </c>
    </row>
    <row r="4431" spans="1:5" x14ac:dyDescent="0.35">
      <c r="A4431" s="1" t="s">
        <v>19740</v>
      </c>
      <c r="B4431" s="1" t="s">
        <v>57</v>
      </c>
      <c r="C4431" s="1" t="s">
        <v>968</v>
      </c>
      <c r="D4431" s="1" t="s">
        <v>57</v>
      </c>
      <c r="E4431" s="250">
        <v>13200.328</v>
      </c>
    </row>
    <row r="4432" spans="1:5" x14ac:dyDescent="0.35">
      <c r="A4432" s="1" t="s">
        <v>19741</v>
      </c>
      <c r="B4432" s="1" t="s">
        <v>18</v>
      </c>
      <c r="C4432" s="1" t="s">
        <v>967</v>
      </c>
      <c r="D4432" s="1" t="s">
        <v>18</v>
      </c>
      <c r="E4432" s="250">
        <v>13200.329</v>
      </c>
    </row>
    <row r="4433" spans="1:5" x14ac:dyDescent="0.35">
      <c r="A4433" s="1" t="s">
        <v>19742</v>
      </c>
      <c r="B4433" s="1" t="s">
        <v>18</v>
      </c>
      <c r="C4433" s="1" t="s">
        <v>966</v>
      </c>
      <c r="D4433" s="1" t="s">
        <v>18</v>
      </c>
      <c r="E4433" s="250">
        <v>13200.33</v>
      </c>
    </row>
    <row r="4434" spans="1:5" x14ac:dyDescent="0.35">
      <c r="A4434" s="1" t="s">
        <v>19743</v>
      </c>
      <c r="B4434" s="1" t="s">
        <v>18</v>
      </c>
      <c r="C4434" s="1" t="s">
        <v>965</v>
      </c>
      <c r="D4434" s="1" t="s">
        <v>18</v>
      </c>
      <c r="E4434" s="250">
        <v>13200.331</v>
      </c>
    </row>
    <row r="4435" spans="1:5" x14ac:dyDescent="0.35">
      <c r="A4435" s="1" t="s">
        <v>19744</v>
      </c>
      <c r="B4435" s="1" t="s">
        <v>18</v>
      </c>
      <c r="C4435" s="1" t="s">
        <v>964</v>
      </c>
      <c r="D4435" s="1" t="s">
        <v>18</v>
      </c>
      <c r="E4435" s="250">
        <v>13200.332</v>
      </c>
    </row>
    <row r="4436" spans="1:5" x14ac:dyDescent="0.35">
      <c r="A4436" s="1" t="s">
        <v>19745</v>
      </c>
      <c r="B4436" s="1" t="s">
        <v>65</v>
      </c>
      <c r="C4436" s="1" t="s">
        <v>963</v>
      </c>
      <c r="D4436" s="1" t="s">
        <v>65</v>
      </c>
      <c r="E4436" s="250">
        <v>13200.34</v>
      </c>
    </row>
    <row r="4437" spans="1:5" x14ac:dyDescent="0.35">
      <c r="A4437" s="1" t="s">
        <v>19746</v>
      </c>
      <c r="B4437" s="1" t="s">
        <v>57</v>
      </c>
      <c r="C4437" s="1" t="s">
        <v>962</v>
      </c>
      <c r="D4437" s="1" t="s">
        <v>57</v>
      </c>
      <c r="E4437" s="250">
        <v>13200.352000000001</v>
      </c>
    </row>
    <row r="4438" spans="1:5" x14ac:dyDescent="0.35">
      <c r="A4438" s="1" t="s">
        <v>19747</v>
      </c>
      <c r="B4438" s="1" t="s">
        <v>57</v>
      </c>
      <c r="C4438" s="1" t="s">
        <v>961</v>
      </c>
      <c r="D4438" s="1" t="s">
        <v>57</v>
      </c>
      <c r="E4438" s="250">
        <v>13200.352999999999</v>
      </c>
    </row>
    <row r="4439" spans="1:5" x14ac:dyDescent="0.35">
      <c r="A4439" s="1" t="s">
        <v>19748</v>
      </c>
      <c r="B4439" s="1" t="s">
        <v>57</v>
      </c>
      <c r="C4439" s="1" t="s">
        <v>960</v>
      </c>
      <c r="D4439" s="1" t="s">
        <v>57</v>
      </c>
      <c r="E4439" s="250">
        <v>13200.353999999999</v>
      </c>
    </row>
    <row r="4440" spans="1:5" x14ac:dyDescent="0.35">
      <c r="A4440" s="1" t="s">
        <v>19749</v>
      </c>
      <c r="B4440" s="1" t="s">
        <v>18</v>
      </c>
      <c r="C4440" s="1" t="s">
        <v>959</v>
      </c>
      <c r="D4440" s="1" t="s">
        <v>18</v>
      </c>
      <c r="E4440" s="250">
        <v>13200.355</v>
      </c>
    </row>
    <row r="4441" spans="1:5" x14ac:dyDescent="0.35">
      <c r="A4441" s="1" t="s">
        <v>19750</v>
      </c>
      <c r="B4441" s="1" t="s">
        <v>18</v>
      </c>
      <c r="C4441" s="1" t="s">
        <v>958</v>
      </c>
      <c r="D4441" s="1" t="s">
        <v>18</v>
      </c>
      <c r="E4441" s="250">
        <v>13200.356</v>
      </c>
    </row>
    <row r="4442" spans="1:5" x14ac:dyDescent="0.35">
      <c r="A4442" s="1" t="s">
        <v>19751</v>
      </c>
      <c r="B4442" s="1" t="s">
        <v>18</v>
      </c>
      <c r="C4442" s="1" t="s">
        <v>957</v>
      </c>
      <c r="D4442" s="1" t="s">
        <v>18</v>
      </c>
      <c r="E4442" s="250">
        <v>13200.357</v>
      </c>
    </row>
    <row r="4443" spans="1:5" x14ac:dyDescent="0.35">
      <c r="A4443" s="1" t="s">
        <v>19752</v>
      </c>
      <c r="B4443" s="1" t="s">
        <v>18</v>
      </c>
      <c r="C4443" s="1" t="s">
        <v>956</v>
      </c>
      <c r="D4443" s="1" t="s">
        <v>18</v>
      </c>
      <c r="E4443" s="250">
        <v>13200.358</v>
      </c>
    </row>
    <row r="4444" spans="1:5" x14ac:dyDescent="0.35">
      <c r="A4444" s="1" t="s">
        <v>19753</v>
      </c>
      <c r="B4444" s="1" t="s">
        <v>18</v>
      </c>
      <c r="C4444" s="1" t="s">
        <v>955</v>
      </c>
      <c r="D4444" s="1" t="s">
        <v>18</v>
      </c>
      <c r="E4444" s="250">
        <v>13200.359</v>
      </c>
    </row>
    <row r="4445" spans="1:5" x14ac:dyDescent="0.35">
      <c r="A4445" s="1" t="s">
        <v>19754</v>
      </c>
      <c r="B4445" s="1" t="s">
        <v>18</v>
      </c>
      <c r="C4445" s="1" t="s">
        <v>954</v>
      </c>
      <c r="D4445" s="1" t="s">
        <v>18</v>
      </c>
      <c r="E4445" s="250">
        <v>13200.36</v>
      </c>
    </row>
    <row r="4446" spans="1:5" x14ac:dyDescent="0.35">
      <c r="A4446" s="1" t="s">
        <v>19755</v>
      </c>
      <c r="B4446" s="1" t="s">
        <v>18</v>
      </c>
      <c r="C4446" s="1" t="s">
        <v>953</v>
      </c>
      <c r="D4446" s="1" t="s">
        <v>18</v>
      </c>
      <c r="E4446" s="250">
        <v>13200.361000000001</v>
      </c>
    </row>
    <row r="4447" spans="1:5" x14ac:dyDescent="0.35">
      <c r="A4447" s="1" t="s">
        <v>19756</v>
      </c>
      <c r="B4447" s="1" t="s">
        <v>18</v>
      </c>
      <c r="C4447" s="1" t="s">
        <v>959</v>
      </c>
      <c r="D4447" s="1" t="s">
        <v>18</v>
      </c>
      <c r="E4447" s="250">
        <v>13200.362999999999</v>
      </c>
    </row>
    <row r="4448" spans="1:5" x14ac:dyDescent="0.35">
      <c r="A4448" s="1" t="s">
        <v>19757</v>
      </c>
      <c r="B4448" s="1" t="s">
        <v>18</v>
      </c>
      <c r="C4448" s="1" t="s">
        <v>958</v>
      </c>
      <c r="D4448" s="1" t="s">
        <v>18</v>
      </c>
      <c r="E4448" s="250">
        <v>13200.364</v>
      </c>
    </row>
    <row r="4449" spans="1:5" x14ac:dyDescent="0.35">
      <c r="A4449" s="1" t="s">
        <v>19758</v>
      </c>
      <c r="B4449" s="1" t="s">
        <v>18</v>
      </c>
      <c r="C4449" s="1" t="s">
        <v>957</v>
      </c>
      <c r="D4449" s="1" t="s">
        <v>18</v>
      </c>
      <c r="E4449" s="250">
        <v>13200.365</v>
      </c>
    </row>
    <row r="4450" spans="1:5" x14ac:dyDescent="0.35">
      <c r="A4450" s="1" t="s">
        <v>19759</v>
      </c>
      <c r="B4450" s="1" t="s">
        <v>18</v>
      </c>
      <c r="C4450" s="1" t="s">
        <v>956</v>
      </c>
      <c r="D4450" s="1" t="s">
        <v>18</v>
      </c>
      <c r="E4450" s="250">
        <v>13200.366</v>
      </c>
    </row>
    <row r="4451" spans="1:5" x14ac:dyDescent="0.35">
      <c r="A4451" s="1" t="s">
        <v>19760</v>
      </c>
      <c r="B4451" s="1" t="s">
        <v>18</v>
      </c>
      <c r="C4451" s="1" t="s">
        <v>955</v>
      </c>
      <c r="D4451" s="1" t="s">
        <v>18</v>
      </c>
      <c r="E4451" s="250">
        <v>13200.367</v>
      </c>
    </row>
    <row r="4452" spans="1:5" x14ac:dyDescent="0.35">
      <c r="A4452" s="1" t="s">
        <v>19761</v>
      </c>
      <c r="B4452" s="1" t="s">
        <v>18</v>
      </c>
      <c r="C4452" s="1" t="s">
        <v>954</v>
      </c>
      <c r="D4452" s="1" t="s">
        <v>18</v>
      </c>
      <c r="E4452" s="250">
        <v>13200.368</v>
      </c>
    </row>
    <row r="4453" spans="1:5" x14ac:dyDescent="0.35">
      <c r="A4453" s="1" t="s">
        <v>19762</v>
      </c>
      <c r="B4453" s="1" t="s">
        <v>18</v>
      </c>
      <c r="C4453" s="1" t="s">
        <v>953</v>
      </c>
      <c r="D4453" s="1" t="s">
        <v>18</v>
      </c>
      <c r="E4453" s="250">
        <v>13200.369000000001</v>
      </c>
    </row>
    <row r="4454" spans="1:5" x14ac:dyDescent="0.35">
      <c r="A4454" s="1" t="s">
        <v>19763</v>
      </c>
      <c r="B4454" s="1" t="s">
        <v>57</v>
      </c>
      <c r="C4454" s="1" t="s">
        <v>952</v>
      </c>
      <c r="D4454" s="1" t="s">
        <v>57</v>
      </c>
      <c r="E4454" s="250">
        <v>13200.370999999999</v>
      </c>
    </row>
    <row r="4455" spans="1:5" x14ac:dyDescent="0.35">
      <c r="A4455" s="1" t="s">
        <v>19764</v>
      </c>
      <c r="B4455" s="1" t="s">
        <v>18</v>
      </c>
      <c r="C4455" s="1" t="s">
        <v>951</v>
      </c>
      <c r="D4455" s="1" t="s">
        <v>18</v>
      </c>
      <c r="E4455" s="250">
        <v>13200.371999999999</v>
      </c>
    </row>
    <row r="4456" spans="1:5" x14ac:dyDescent="0.35">
      <c r="A4456" s="1" t="s">
        <v>19765</v>
      </c>
      <c r="B4456" s="1" t="s">
        <v>18</v>
      </c>
      <c r="C4456" s="1" t="s">
        <v>950</v>
      </c>
      <c r="D4456" s="1" t="s">
        <v>18</v>
      </c>
      <c r="E4456" s="250">
        <v>13200.373</v>
      </c>
    </row>
    <row r="4457" spans="1:5" x14ac:dyDescent="0.35">
      <c r="A4457" s="1" t="s">
        <v>19766</v>
      </c>
      <c r="B4457" s="1" t="s">
        <v>18</v>
      </c>
      <c r="C4457" s="1" t="s">
        <v>949</v>
      </c>
      <c r="D4457" s="1" t="s">
        <v>18</v>
      </c>
      <c r="E4457" s="250">
        <v>13200.374</v>
      </c>
    </row>
    <row r="4458" spans="1:5" x14ac:dyDescent="0.35">
      <c r="A4458" s="1" t="s">
        <v>19767</v>
      </c>
      <c r="B4458" s="1" t="s">
        <v>57</v>
      </c>
      <c r="C4458" s="1" t="s">
        <v>948</v>
      </c>
      <c r="D4458" s="1" t="s">
        <v>57</v>
      </c>
      <c r="E4458" s="250">
        <v>13200.394</v>
      </c>
    </row>
    <row r="4459" spans="1:5" x14ac:dyDescent="0.35">
      <c r="A4459" s="1" t="s">
        <v>19768</v>
      </c>
      <c r="B4459" s="1" t="s">
        <v>18</v>
      </c>
      <c r="C4459" s="1" t="s">
        <v>947</v>
      </c>
      <c r="D4459" s="1" t="s">
        <v>18</v>
      </c>
      <c r="E4459" s="250">
        <v>13200.395</v>
      </c>
    </row>
    <row r="4460" spans="1:5" x14ac:dyDescent="0.35">
      <c r="A4460" s="1" t="s">
        <v>19769</v>
      </c>
      <c r="B4460" s="1" t="s">
        <v>18</v>
      </c>
      <c r="C4460" s="1" t="s">
        <v>946</v>
      </c>
      <c r="D4460" s="1" t="s">
        <v>18</v>
      </c>
      <c r="E4460" s="250">
        <v>13200.396000000001</v>
      </c>
    </row>
    <row r="4461" spans="1:5" x14ac:dyDescent="0.35">
      <c r="A4461" s="1" t="s">
        <v>19770</v>
      </c>
      <c r="B4461" s="1" t="s">
        <v>18</v>
      </c>
      <c r="C4461" s="1" t="s">
        <v>945</v>
      </c>
      <c r="D4461" s="1" t="s">
        <v>18</v>
      </c>
      <c r="E4461" s="250">
        <v>13200.397000000001</v>
      </c>
    </row>
    <row r="4462" spans="1:5" x14ac:dyDescent="0.35">
      <c r="A4462" s="1" t="s">
        <v>19771</v>
      </c>
      <c r="B4462" s="1" t="s">
        <v>18</v>
      </c>
      <c r="C4462" s="1" t="s">
        <v>944</v>
      </c>
      <c r="D4462" s="1" t="s">
        <v>18</v>
      </c>
      <c r="E4462" s="250">
        <v>13200.418</v>
      </c>
    </row>
    <row r="4463" spans="1:5" x14ac:dyDescent="0.35">
      <c r="A4463" s="1" t="s">
        <v>19772</v>
      </c>
      <c r="B4463" s="1" t="s">
        <v>18</v>
      </c>
      <c r="C4463" s="1" t="s">
        <v>943</v>
      </c>
      <c r="D4463" s="1" t="s">
        <v>18</v>
      </c>
      <c r="E4463" s="250">
        <v>13200.419</v>
      </c>
    </row>
    <row r="4464" spans="1:5" x14ac:dyDescent="0.35">
      <c r="A4464" s="1" t="s">
        <v>19773</v>
      </c>
      <c r="B4464" s="1" t="s">
        <v>57</v>
      </c>
      <c r="C4464" s="1" t="s">
        <v>942</v>
      </c>
      <c r="D4464" s="1" t="s">
        <v>57</v>
      </c>
      <c r="E4464" s="250">
        <v>13200.439</v>
      </c>
    </row>
    <row r="4465" spans="1:5" x14ac:dyDescent="0.35">
      <c r="A4465" s="1" t="s">
        <v>19774</v>
      </c>
      <c r="B4465" s="1" t="s">
        <v>18</v>
      </c>
      <c r="C4465" s="1" t="s">
        <v>74</v>
      </c>
      <c r="D4465" s="1" t="s">
        <v>18</v>
      </c>
      <c r="E4465" s="250">
        <v>13200.44</v>
      </c>
    </row>
    <row r="4466" spans="1:5" x14ac:dyDescent="0.35">
      <c r="A4466" s="1" t="s">
        <v>19775</v>
      </c>
      <c r="B4466" s="1" t="s">
        <v>18</v>
      </c>
      <c r="C4466" s="1" t="s">
        <v>73</v>
      </c>
      <c r="D4466" s="1" t="s">
        <v>18</v>
      </c>
      <c r="E4466" s="250">
        <v>13200.441000000001</v>
      </c>
    </row>
    <row r="4467" spans="1:5" x14ac:dyDescent="0.35">
      <c r="A4467" s="1" t="s">
        <v>19776</v>
      </c>
      <c r="B4467" s="1" t="s">
        <v>18</v>
      </c>
      <c r="C4467" s="1" t="s">
        <v>72</v>
      </c>
      <c r="D4467" s="1" t="s">
        <v>18</v>
      </c>
      <c r="E4467" s="250">
        <v>13200.441999999999</v>
      </c>
    </row>
    <row r="4468" spans="1:5" x14ac:dyDescent="0.35">
      <c r="A4468" s="1" t="s">
        <v>19777</v>
      </c>
      <c r="B4468" s="1" t="s">
        <v>18</v>
      </c>
      <c r="C4468" s="1" t="s">
        <v>71</v>
      </c>
      <c r="D4468" s="1" t="s">
        <v>18</v>
      </c>
      <c r="E4468" s="250">
        <v>13200.442999999999</v>
      </c>
    </row>
    <row r="4469" spans="1:5" x14ac:dyDescent="0.35">
      <c r="A4469" s="1" t="s">
        <v>19778</v>
      </c>
      <c r="B4469" s="1" t="s">
        <v>18</v>
      </c>
      <c r="C4469" s="1" t="s">
        <v>941</v>
      </c>
      <c r="D4469" s="1" t="s">
        <v>18</v>
      </c>
      <c r="E4469" s="250">
        <v>13200.463</v>
      </c>
    </row>
    <row r="4470" spans="1:5" x14ac:dyDescent="0.35">
      <c r="A4470" s="1" t="s">
        <v>19779</v>
      </c>
      <c r="B4470" s="1" t="s">
        <v>18</v>
      </c>
      <c r="C4470" s="1" t="s">
        <v>940</v>
      </c>
      <c r="D4470" s="1" t="s">
        <v>18</v>
      </c>
      <c r="E4470" s="250">
        <v>13200.464</v>
      </c>
    </row>
    <row r="4471" spans="1:5" x14ac:dyDescent="0.35">
      <c r="A4471" s="1" t="s">
        <v>19780</v>
      </c>
      <c r="B4471" s="1" t="s">
        <v>18</v>
      </c>
      <c r="C4471" s="1" t="s">
        <v>939</v>
      </c>
      <c r="D4471" s="1" t="s">
        <v>18</v>
      </c>
      <c r="E4471" s="250">
        <v>13200.465</v>
      </c>
    </row>
    <row r="4472" spans="1:5" x14ac:dyDescent="0.35">
      <c r="A4472" s="1" t="s">
        <v>19781</v>
      </c>
      <c r="B4472" s="1" t="s">
        <v>18</v>
      </c>
      <c r="C4472" s="1" t="s">
        <v>938</v>
      </c>
      <c r="D4472" s="1" t="s">
        <v>18</v>
      </c>
      <c r="E4472" s="250">
        <v>13200.466</v>
      </c>
    </row>
    <row r="4473" spans="1:5" x14ac:dyDescent="0.35">
      <c r="A4473" s="1" t="s">
        <v>19782</v>
      </c>
      <c r="B4473" s="1" t="s">
        <v>57</v>
      </c>
      <c r="C4473" s="1" t="s">
        <v>937</v>
      </c>
      <c r="D4473" s="1" t="s">
        <v>57</v>
      </c>
      <c r="E4473" s="250">
        <v>13200.474</v>
      </c>
    </row>
    <row r="4474" spans="1:5" x14ac:dyDescent="0.35">
      <c r="A4474" s="1" t="s">
        <v>19783</v>
      </c>
      <c r="B4474" s="1" t="s">
        <v>57</v>
      </c>
      <c r="C4474" s="1" t="s">
        <v>936</v>
      </c>
      <c r="D4474" s="1" t="s">
        <v>57</v>
      </c>
      <c r="E4474" s="250">
        <v>13200.475</v>
      </c>
    </row>
    <row r="4475" spans="1:5" x14ac:dyDescent="0.35">
      <c r="A4475" s="1" t="s">
        <v>19784</v>
      </c>
      <c r="B4475" s="1" t="s">
        <v>18</v>
      </c>
      <c r="C4475" s="1" t="s">
        <v>935</v>
      </c>
      <c r="D4475" s="1" t="s">
        <v>18</v>
      </c>
      <c r="E4475" s="250">
        <v>13200.476000000001</v>
      </c>
    </row>
    <row r="4476" spans="1:5" x14ac:dyDescent="0.35">
      <c r="A4476" s="1" t="s">
        <v>19785</v>
      </c>
      <c r="B4476" s="1" t="s">
        <v>18</v>
      </c>
      <c r="C4476" s="1" t="s">
        <v>934</v>
      </c>
      <c r="D4476" s="1" t="s">
        <v>18</v>
      </c>
      <c r="E4476" s="250">
        <v>13200.477000000001</v>
      </c>
    </row>
    <row r="4477" spans="1:5" x14ac:dyDescent="0.35">
      <c r="A4477" s="1" t="s">
        <v>19786</v>
      </c>
      <c r="B4477" s="1" t="s">
        <v>18</v>
      </c>
      <c r="C4477" s="1" t="s">
        <v>933</v>
      </c>
      <c r="D4477" s="1" t="s">
        <v>18</v>
      </c>
      <c r="E4477" s="250">
        <v>13200.477999999999</v>
      </c>
    </row>
    <row r="4478" spans="1:5" x14ac:dyDescent="0.35">
      <c r="A4478" s="1" t="s">
        <v>19787</v>
      </c>
      <c r="B4478" s="1" t="s">
        <v>18</v>
      </c>
      <c r="C4478" s="1" t="s">
        <v>932</v>
      </c>
      <c r="D4478" s="1" t="s">
        <v>18</v>
      </c>
      <c r="E4478" s="250">
        <v>13200.478999999999</v>
      </c>
    </row>
    <row r="4479" spans="1:5" x14ac:dyDescent="0.35">
      <c r="A4479" s="1" t="s">
        <v>19788</v>
      </c>
      <c r="B4479" s="1" t="s">
        <v>18</v>
      </c>
      <c r="C4479" s="1" t="s">
        <v>931</v>
      </c>
      <c r="D4479" s="1" t="s">
        <v>18</v>
      </c>
      <c r="E4479" s="250">
        <v>13200.48</v>
      </c>
    </row>
    <row r="4480" spans="1:5" x14ac:dyDescent="0.35">
      <c r="A4480" s="1" t="s">
        <v>19789</v>
      </c>
      <c r="B4480" s="1" t="s">
        <v>18</v>
      </c>
      <c r="C4480" s="1" t="s">
        <v>930</v>
      </c>
      <c r="D4480" s="1" t="s">
        <v>18</v>
      </c>
      <c r="E4480" s="250">
        <v>13200.481</v>
      </c>
    </row>
    <row r="4481" spans="1:5" x14ac:dyDescent="0.35">
      <c r="A4481" s="1" t="s">
        <v>19790</v>
      </c>
      <c r="B4481" s="1" t="s">
        <v>18</v>
      </c>
      <c r="C4481" s="1" t="s">
        <v>929</v>
      </c>
      <c r="D4481" s="1" t="s">
        <v>18</v>
      </c>
      <c r="E4481" s="250">
        <v>13200.482</v>
      </c>
    </row>
    <row r="4482" spans="1:5" x14ac:dyDescent="0.35">
      <c r="A4482" s="1" t="s">
        <v>19791</v>
      </c>
      <c r="B4482" s="1" t="s">
        <v>18</v>
      </c>
      <c r="C4482" s="1" t="s">
        <v>928</v>
      </c>
      <c r="D4482" s="1" t="s">
        <v>18</v>
      </c>
      <c r="E4482" s="250">
        <v>13200.483</v>
      </c>
    </row>
    <row r="4483" spans="1:5" x14ac:dyDescent="0.35">
      <c r="A4483" s="1" t="s">
        <v>19792</v>
      </c>
      <c r="B4483" s="1" t="s">
        <v>18</v>
      </c>
      <c r="C4483" s="1" t="s">
        <v>927</v>
      </c>
      <c r="D4483" s="1" t="s">
        <v>18</v>
      </c>
      <c r="E4483" s="250">
        <v>13200.503000000001</v>
      </c>
    </row>
    <row r="4484" spans="1:5" x14ac:dyDescent="0.35">
      <c r="A4484" s="1" t="s">
        <v>19793</v>
      </c>
      <c r="B4484" s="1" t="s">
        <v>18</v>
      </c>
      <c r="C4484" s="1" t="s">
        <v>926</v>
      </c>
      <c r="D4484" s="1" t="s">
        <v>18</v>
      </c>
      <c r="E4484" s="250">
        <v>13200.504000000001</v>
      </c>
    </row>
    <row r="4485" spans="1:5" x14ac:dyDescent="0.35">
      <c r="A4485" s="1" t="s">
        <v>19794</v>
      </c>
      <c r="B4485" s="1" t="s">
        <v>18</v>
      </c>
      <c r="C4485" s="1" t="s">
        <v>925</v>
      </c>
      <c r="D4485" s="1" t="s">
        <v>18</v>
      </c>
      <c r="E4485" s="250">
        <v>13200.504999999999</v>
      </c>
    </row>
    <row r="4486" spans="1:5" x14ac:dyDescent="0.35">
      <c r="A4486" s="1" t="s">
        <v>19795</v>
      </c>
      <c r="B4486" s="1" t="s">
        <v>18</v>
      </c>
      <c r="C4486" s="1" t="s">
        <v>924</v>
      </c>
      <c r="D4486" s="1" t="s">
        <v>18</v>
      </c>
      <c r="E4486" s="250">
        <v>13200.505999999999</v>
      </c>
    </row>
    <row r="4487" spans="1:5" x14ac:dyDescent="0.35">
      <c r="A4487" s="1" t="s">
        <v>19796</v>
      </c>
      <c r="B4487" s="1" t="s">
        <v>18</v>
      </c>
      <c r="C4487" s="1" t="s">
        <v>923</v>
      </c>
      <c r="D4487" s="1" t="s">
        <v>18</v>
      </c>
      <c r="E4487" s="250">
        <v>13200.507</v>
      </c>
    </row>
    <row r="4488" spans="1:5" x14ac:dyDescent="0.35">
      <c r="A4488" s="1" t="s">
        <v>19797</v>
      </c>
      <c r="B4488" s="1" t="s">
        <v>18</v>
      </c>
      <c r="C4488" s="1" t="s">
        <v>922</v>
      </c>
      <c r="D4488" s="1" t="s">
        <v>18</v>
      </c>
      <c r="E4488" s="250">
        <v>13200.508</v>
      </c>
    </row>
    <row r="4489" spans="1:5" x14ac:dyDescent="0.35">
      <c r="A4489" s="1" t="s">
        <v>19798</v>
      </c>
      <c r="B4489" s="1" t="s">
        <v>18</v>
      </c>
      <c r="C4489" s="1" t="s">
        <v>921</v>
      </c>
      <c r="D4489" s="1" t="s">
        <v>18</v>
      </c>
      <c r="E4489" s="250">
        <v>13200.509</v>
      </c>
    </row>
    <row r="4490" spans="1:5" x14ac:dyDescent="0.35">
      <c r="A4490" s="1" t="s">
        <v>19799</v>
      </c>
      <c r="B4490" s="1" t="s">
        <v>18</v>
      </c>
      <c r="C4490" s="1" t="s">
        <v>920</v>
      </c>
      <c r="D4490" s="1" t="s">
        <v>18</v>
      </c>
      <c r="E4490" s="250">
        <v>13200.51</v>
      </c>
    </row>
    <row r="4491" spans="1:5" x14ac:dyDescent="0.35">
      <c r="A4491" s="1" t="s">
        <v>19800</v>
      </c>
      <c r="B4491" s="1" t="s">
        <v>18</v>
      </c>
      <c r="C4491" s="1" t="s">
        <v>919</v>
      </c>
      <c r="D4491" s="1" t="s">
        <v>18</v>
      </c>
      <c r="E4491" s="250">
        <v>13200.53</v>
      </c>
    </row>
    <row r="4492" spans="1:5" x14ac:dyDescent="0.35">
      <c r="A4492" s="1" t="s">
        <v>19801</v>
      </c>
      <c r="B4492" s="1" t="s">
        <v>18</v>
      </c>
      <c r="C4492" s="1" t="s">
        <v>918</v>
      </c>
      <c r="D4492" s="1" t="s">
        <v>18</v>
      </c>
      <c r="E4492" s="250">
        <v>13200.531000000001</v>
      </c>
    </row>
    <row r="4493" spans="1:5" x14ac:dyDescent="0.35">
      <c r="A4493" s="1" t="s">
        <v>19802</v>
      </c>
      <c r="B4493" s="1" t="s">
        <v>18</v>
      </c>
      <c r="C4493" s="1" t="s">
        <v>917</v>
      </c>
      <c r="D4493" s="1" t="s">
        <v>18</v>
      </c>
      <c r="E4493" s="250">
        <v>13200.531999999999</v>
      </c>
    </row>
    <row r="4494" spans="1:5" x14ac:dyDescent="0.35">
      <c r="A4494" s="1" t="s">
        <v>19803</v>
      </c>
      <c r="B4494" s="1" t="s">
        <v>57</v>
      </c>
      <c r="C4494" s="1" t="s">
        <v>916</v>
      </c>
      <c r="D4494" s="1" t="s">
        <v>57</v>
      </c>
      <c r="E4494" s="250">
        <v>13200.55</v>
      </c>
    </row>
    <row r="4495" spans="1:5" x14ac:dyDescent="0.35">
      <c r="A4495" s="1" t="s">
        <v>19804</v>
      </c>
      <c r="B4495" s="1" t="s">
        <v>57</v>
      </c>
      <c r="C4495" s="1" t="s">
        <v>915</v>
      </c>
      <c r="D4495" s="1" t="s">
        <v>57</v>
      </c>
      <c r="E4495" s="250">
        <v>13200.550999999999</v>
      </c>
    </row>
    <row r="4496" spans="1:5" x14ac:dyDescent="0.35">
      <c r="A4496" s="1" t="s">
        <v>19805</v>
      </c>
      <c r="B4496" s="1" t="s">
        <v>18</v>
      </c>
      <c r="C4496" s="1" t="s">
        <v>914</v>
      </c>
      <c r="D4496" s="1" t="s">
        <v>18</v>
      </c>
      <c r="E4496" s="250">
        <v>13200.552</v>
      </c>
    </row>
    <row r="4497" spans="1:5" x14ac:dyDescent="0.35">
      <c r="A4497" s="1" t="s">
        <v>19806</v>
      </c>
      <c r="B4497" s="1" t="s">
        <v>18</v>
      </c>
      <c r="C4497" s="1" t="s">
        <v>913</v>
      </c>
      <c r="D4497" s="1" t="s">
        <v>18</v>
      </c>
      <c r="E4497" s="250">
        <v>13200.553</v>
      </c>
    </row>
    <row r="4498" spans="1:5" x14ac:dyDescent="0.35">
      <c r="A4498" s="1" t="s">
        <v>19807</v>
      </c>
      <c r="B4498" s="1" t="s">
        <v>18</v>
      </c>
      <c r="C4498" s="1" t="s">
        <v>912</v>
      </c>
      <c r="D4498" s="1" t="s">
        <v>18</v>
      </c>
      <c r="E4498" s="250">
        <v>13200.554</v>
      </c>
    </row>
    <row r="4499" spans="1:5" x14ac:dyDescent="0.35">
      <c r="A4499" s="1" t="s">
        <v>19808</v>
      </c>
      <c r="B4499" s="1" t="s">
        <v>18</v>
      </c>
      <c r="C4499" s="1" t="s">
        <v>911</v>
      </c>
      <c r="D4499" s="1" t="s">
        <v>18</v>
      </c>
      <c r="E4499" s="250">
        <v>13200.555</v>
      </c>
    </row>
    <row r="4500" spans="1:5" x14ac:dyDescent="0.35">
      <c r="A4500" s="1" t="s">
        <v>19809</v>
      </c>
      <c r="B4500" s="1" t="s">
        <v>18</v>
      </c>
      <c r="C4500" s="1" t="s">
        <v>910</v>
      </c>
      <c r="D4500" s="1" t="s">
        <v>18</v>
      </c>
      <c r="E4500" s="250">
        <v>13200.556</v>
      </c>
    </row>
    <row r="4501" spans="1:5" x14ac:dyDescent="0.35">
      <c r="A4501" s="1" t="s">
        <v>19810</v>
      </c>
      <c r="B4501" s="1" t="s">
        <v>18</v>
      </c>
      <c r="C4501" s="1" t="s">
        <v>909</v>
      </c>
      <c r="D4501" s="1" t="s">
        <v>18</v>
      </c>
      <c r="E4501" s="250">
        <v>13200.557000000001</v>
      </c>
    </row>
    <row r="4502" spans="1:5" x14ac:dyDescent="0.35">
      <c r="A4502" s="1" t="s">
        <v>19811</v>
      </c>
      <c r="B4502" s="1" t="s">
        <v>18</v>
      </c>
      <c r="C4502" s="1" t="s">
        <v>908</v>
      </c>
      <c r="D4502" s="1" t="s">
        <v>18</v>
      </c>
      <c r="E4502" s="250">
        <v>13200.558000000001</v>
      </c>
    </row>
    <row r="4503" spans="1:5" x14ac:dyDescent="0.35">
      <c r="A4503" s="1" t="s">
        <v>19812</v>
      </c>
      <c r="B4503" s="1" t="s">
        <v>18</v>
      </c>
      <c r="C4503" s="1" t="s">
        <v>907</v>
      </c>
      <c r="D4503" s="1" t="s">
        <v>18</v>
      </c>
      <c r="E4503" s="250">
        <v>13200.558999999999</v>
      </c>
    </row>
    <row r="4504" spans="1:5" x14ac:dyDescent="0.35">
      <c r="A4504" s="1" t="s">
        <v>19813</v>
      </c>
      <c r="B4504" s="1" t="s">
        <v>18</v>
      </c>
      <c r="C4504" s="1" t="s">
        <v>906</v>
      </c>
      <c r="D4504" s="1" t="s">
        <v>18</v>
      </c>
      <c r="E4504" s="250">
        <v>13200.56</v>
      </c>
    </row>
    <row r="4505" spans="1:5" x14ac:dyDescent="0.35">
      <c r="A4505" s="1" t="s">
        <v>19814</v>
      </c>
      <c r="B4505" s="1" t="s">
        <v>18</v>
      </c>
      <c r="C4505" s="1" t="s">
        <v>905</v>
      </c>
      <c r="D4505" s="1" t="s">
        <v>18</v>
      </c>
      <c r="E4505" s="250">
        <v>13200.561</v>
      </c>
    </row>
    <row r="4506" spans="1:5" x14ac:dyDescent="0.35">
      <c r="A4506" s="1" t="s">
        <v>19815</v>
      </c>
      <c r="B4506" s="1" t="s">
        <v>18</v>
      </c>
      <c r="C4506" s="1" t="s">
        <v>904</v>
      </c>
      <c r="D4506" s="1" t="s">
        <v>18</v>
      </c>
      <c r="E4506" s="250">
        <v>13200.562</v>
      </c>
    </row>
    <row r="4507" spans="1:5" x14ac:dyDescent="0.35">
      <c r="A4507" s="1" t="s">
        <v>19816</v>
      </c>
      <c r="B4507" s="1" t="s">
        <v>18</v>
      </c>
      <c r="C4507" s="1" t="s">
        <v>903</v>
      </c>
      <c r="D4507" s="1" t="s">
        <v>18</v>
      </c>
      <c r="E4507" s="250">
        <v>13200.563</v>
      </c>
    </row>
    <row r="4508" spans="1:5" x14ac:dyDescent="0.35">
      <c r="A4508" s="1" t="s">
        <v>19817</v>
      </c>
      <c r="B4508" s="1" t="s">
        <v>18</v>
      </c>
      <c r="C4508" s="1" t="s">
        <v>902</v>
      </c>
      <c r="D4508" s="1" t="s">
        <v>18</v>
      </c>
      <c r="E4508" s="250">
        <v>13200.564</v>
      </c>
    </row>
    <row r="4509" spans="1:5" x14ac:dyDescent="0.35">
      <c r="A4509" s="1" t="s">
        <v>19818</v>
      </c>
      <c r="B4509" s="1" t="s">
        <v>18</v>
      </c>
      <c r="C4509" s="1" t="s">
        <v>901</v>
      </c>
      <c r="D4509" s="1" t="s">
        <v>18</v>
      </c>
      <c r="E4509" s="250">
        <v>13200.565000000001</v>
      </c>
    </row>
    <row r="4510" spans="1:5" x14ac:dyDescent="0.35">
      <c r="A4510" s="1" t="s">
        <v>19819</v>
      </c>
      <c r="B4510" s="1" t="s">
        <v>18</v>
      </c>
      <c r="C4510" s="1" t="s">
        <v>900</v>
      </c>
      <c r="D4510" s="1" t="s">
        <v>18</v>
      </c>
      <c r="E4510" s="250">
        <v>13200.566000000001</v>
      </c>
    </row>
    <row r="4511" spans="1:5" x14ac:dyDescent="0.35">
      <c r="A4511" s="1" t="s">
        <v>19820</v>
      </c>
      <c r="B4511" s="1" t="s">
        <v>18</v>
      </c>
      <c r="C4511" s="1" t="s">
        <v>900</v>
      </c>
      <c r="D4511" s="1" t="s">
        <v>18</v>
      </c>
      <c r="E4511" s="250">
        <v>13200.566999999999</v>
      </c>
    </row>
    <row r="4512" spans="1:5" x14ac:dyDescent="0.35">
      <c r="A4512" s="1" t="s">
        <v>19821</v>
      </c>
      <c r="B4512" s="1" t="s">
        <v>57</v>
      </c>
      <c r="C4512" s="1" t="s">
        <v>899</v>
      </c>
      <c r="D4512" s="1" t="s">
        <v>57</v>
      </c>
      <c r="E4512" s="250">
        <v>13200.57</v>
      </c>
    </row>
    <row r="4513" spans="1:5" x14ac:dyDescent="0.35">
      <c r="A4513" s="1" t="s">
        <v>19822</v>
      </c>
      <c r="B4513" s="1" t="s">
        <v>18</v>
      </c>
      <c r="C4513" s="1" t="s">
        <v>898</v>
      </c>
      <c r="D4513" s="1" t="s">
        <v>18</v>
      </c>
      <c r="E4513" s="250">
        <v>13200.571</v>
      </c>
    </row>
    <row r="4514" spans="1:5" x14ac:dyDescent="0.35">
      <c r="A4514" s="1" t="s">
        <v>19823</v>
      </c>
      <c r="B4514" s="1" t="s">
        <v>18</v>
      </c>
      <c r="C4514" s="1" t="s">
        <v>897</v>
      </c>
      <c r="D4514" s="1" t="s">
        <v>18</v>
      </c>
      <c r="E4514" s="250">
        <v>13200.572</v>
      </c>
    </row>
    <row r="4515" spans="1:5" x14ac:dyDescent="0.35">
      <c r="A4515" s="1" t="s">
        <v>19824</v>
      </c>
      <c r="B4515" s="1" t="s">
        <v>18</v>
      </c>
      <c r="C4515" s="1" t="s">
        <v>896</v>
      </c>
      <c r="D4515" s="1" t="s">
        <v>18</v>
      </c>
      <c r="E4515" s="250">
        <v>13200.573</v>
      </c>
    </row>
    <row r="4516" spans="1:5" x14ac:dyDescent="0.35">
      <c r="A4516" s="1" t="s">
        <v>19825</v>
      </c>
      <c r="B4516" s="1" t="s">
        <v>18</v>
      </c>
      <c r="C4516" s="1" t="s">
        <v>895</v>
      </c>
      <c r="D4516" s="1" t="s">
        <v>18</v>
      </c>
      <c r="E4516" s="250">
        <v>13200.574000000001</v>
      </c>
    </row>
    <row r="4517" spans="1:5" x14ac:dyDescent="0.35">
      <c r="A4517" s="1" t="s">
        <v>19826</v>
      </c>
      <c r="B4517" s="1" t="s">
        <v>18</v>
      </c>
      <c r="C4517" s="1" t="s">
        <v>894</v>
      </c>
      <c r="D4517" s="1" t="s">
        <v>18</v>
      </c>
      <c r="E4517" s="250">
        <v>13200.575000000001</v>
      </c>
    </row>
    <row r="4518" spans="1:5" x14ac:dyDescent="0.35">
      <c r="A4518" s="1" t="s">
        <v>19827</v>
      </c>
      <c r="B4518" s="1" t="s">
        <v>18</v>
      </c>
      <c r="C4518" s="1" t="s">
        <v>893</v>
      </c>
      <c r="D4518" s="1" t="s">
        <v>18</v>
      </c>
      <c r="E4518" s="250">
        <v>13200.575999999999</v>
      </c>
    </row>
    <row r="4519" spans="1:5" x14ac:dyDescent="0.35">
      <c r="A4519" s="1" t="s">
        <v>19828</v>
      </c>
      <c r="B4519" s="1" t="s">
        <v>18</v>
      </c>
      <c r="C4519" s="1" t="s">
        <v>892</v>
      </c>
      <c r="D4519" s="1" t="s">
        <v>18</v>
      </c>
      <c r="E4519" s="250">
        <v>13200.576999999999</v>
      </c>
    </row>
    <row r="4520" spans="1:5" x14ac:dyDescent="0.35">
      <c r="A4520" s="1" t="s">
        <v>19829</v>
      </c>
      <c r="B4520" s="1" t="s">
        <v>18</v>
      </c>
      <c r="C4520" s="1" t="s">
        <v>891</v>
      </c>
      <c r="D4520" s="1" t="s">
        <v>18</v>
      </c>
      <c r="E4520" s="250">
        <v>13200.578</v>
      </c>
    </row>
    <row r="4521" spans="1:5" x14ac:dyDescent="0.35">
      <c r="A4521" s="1" t="s">
        <v>19830</v>
      </c>
      <c r="B4521" s="1" t="s">
        <v>18</v>
      </c>
      <c r="C4521" s="1" t="s">
        <v>890</v>
      </c>
      <c r="D4521" s="1" t="s">
        <v>18</v>
      </c>
      <c r="E4521" s="250">
        <v>13200.579</v>
      </c>
    </row>
    <row r="4522" spans="1:5" x14ac:dyDescent="0.35">
      <c r="A4522" s="1" t="s">
        <v>19831</v>
      </c>
      <c r="B4522" s="1" t="s">
        <v>18</v>
      </c>
      <c r="C4522" s="1" t="s">
        <v>889</v>
      </c>
      <c r="D4522" s="1" t="s">
        <v>18</v>
      </c>
      <c r="E4522" s="250">
        <v>13200.58</v>
      </c>
    </row>
    <row r="4523" spans="1:5" x14ac:dyDescent="0.35">
      <c r="A4523" s="1" t="s">
        <v>19832</v>
      </c>
      <c r="B4523" s="1" t="s">
        <v>18</v>
      </c>
      <c r="C4523" s="1" t="s">
        <v>888</v>
      </c>
      <c r="D4523" s="1" t="s">
        <v>18</v>
      </c>
      <c r="E4523" s="250">
        <v>13200.581</v>
      </c>
    </row>
    <row r="4524" spans="1:5" x14ac:dyDescent="0.35">
      <c r="A4524" s="1" t="s">
        <v>19833</v>
      </c>
      <c r="B4524" s="1" t="s">
        <v>18</v>
      </c>
      <c r="C4524" s="1" t="s">
        <v>887</v>
      </c>
      <c r="D4524" s="1" t="s">
        <v>18</v>
      </c>
      <c r="E4524" s="250">
        <v>13200.582</v>
      </c>
    </row>
    <row r="4525" spans="1:5" x14ac:dyDescent="0.35">
      <c r="A4525" s="1" t="s">
        <v>19834</v>
      </c>
      <c r="B4525" s="1" t="s">
        <v>18</v>
      </c>
      <c r="C4525" s="1" t="s">
        <v>886</v>
      </c>
      <c r="D4525" s="1" t="s">
        <v>18</v>
      </c>
      <c r="E4525" s="250">
        <v>13200.583000000001</v>
      </c>
    </row>
    <row r="4526" spans="1:5" x14ac:dyDescent="0.35">
      <c r="A4526" s="1" t="s">
        <v>19835</v>
      </c>
      <c r="B4526" s="1" t="s">
        <v>18</v>
      </c>
      <c r="C4526" s="1" t="s">
        <v>885</v>
      </c>
      <c r="D4526" s="1" t="s">
        <v>18</v>
      </c>
      <c r="E4526" s="250">
        <v>13200.584000000001</v>
      </c>
    </row>
    <row r="4527" spans="1:5" x14ac:dyDescent="0.35">
      <c r="A4527" s="1" t="s">
        <v>19836</v>
      </c>
      <c r="B4527" s="1" t="s">
        <v>18</v>
      </c>
      <c r="C4527" s="1" t="s">
        <v>884</v>
      </c>
      <c r="D4527" s="1" t="s">
        <v>18</v>
      </c>
      <c r="E4527" s="250">
        <v>13200.584999999999</v>
      </c>
    </row>
    <row r="4528" spans="1:5" x14ac:dyDescent="0.35">
      <c r="A4528" s="1" t="s">
        <v>19837</v>
      </c>
      <c r="B4528" s="1" t="s">
        <v>18</v>
      </c>
      <c r="C4528" s="1" t="s">
        <v>884</v>
      </c>
      <c r="D4528" s="1" t="s">
        <v>18</v>
      </c>
      <c r="E4528" s="250">
        <v>13200.585999999999</v>
      </c>
    </row>
    <row r="4529" spans="1:5" x14ac:dyDescent="0.35">
      <c r="A4529" s="1" t="s">
        <v>19838</v>
      </c>
      <c r="B4529" s="1" t="s">
        <v>57</v>
      </c>
      <c r="C4529" s="1" t="s">
        <v>883</v>
      </c>
      <c r="D4529" s="1" t="s">
        <v>57</v>
      </c>
      <c r="E4529" s="250">
        <v>13200.8</v>
      </c>
    </row>
    <row r="4530" spans="1:5" x14ac:dyDescent="0.35">
      <c r="A4530" s="1" t="s">
        <v>19839</v>
      </c>
      <c r="B4530" s="1" t="s">
        <v>57</v>
      </c>
      <c r="C4530" s="1" t="s">
        <v>882</v>
      </c>
      <c r="D4530" s="1" t="s">
        <v>57</v>
      </c>
      <c r="E4530" s="250">
        <v>13200.800999999999</v>
      </c>
    </row>
    <row r="4531" spans="1:5" x14ac:dyDescent="0.35">
      <c r="A4531" s="1" t="s">
        <v>19840</v>
      </c>
      <c r="B4531" s="1" t="s">
        <v>18</v>
      </c>
      <c r="C4531" s="1" t="s">
        <v>881</v>
      </c>
      <c r="D4531" s="1" t="s">
        <v>18</v>
      </c>
      <c r="E4531" s="250">
        <v>13200.802</v>
      </c>
    </row>
    <row r="4532" spans="1:5" x14ac:dyDescent="0.35">
      <c r="A4532" s="1" t="s">
        <v>19841</v>
      </c>
      <c r="B4532" s="1" t="s">
        <v>18</v>
      </c>
      <c r="C4532" s="1" t="s">
        <v>880</v>
      </c>
      <c r="D4532" s="1" t="s">
        <v>18</v>
      </c>
      <c r="E4532" s="250">
        <v>13200.803</v>
      </c>
    </row>
    <row r="4533" spans="1:5" x14ac:dyDescent="0.35">
      <c r="A4533" s="1" t="s">
        <v>19842</v>
      </c>
      <c r="B4533" s="1" t="s">
        <v>18</v>
      </c>
      <c r="C4533" s="1" t="s">
        <v>879</v>
      </c>
      <c r="D4533" s="1" t="s">
        <v>18</v>
      </c>
      <c r="E4533" s="250">
        <v>13200.804</v>
      </c>
    </row>
    <row r="4534" spans="1:5" x14ac:dyDescent="0.35">
      <c r="A4534" s="1" t="s">
        <v>19843</v>
      </c>
      <c r="B4534" s="1" t="s">
        <v>18</v>
      </c>
      <c r="C4534" s="1" t="s">
        <v>869</v>
      </c>
      <c r="D4534" s="1" t="s">
        <v>18</v>
      </c>
      <c r="E4534" s="250">
        <v>13200.805</v>
      </c>
    </row>
    <row r="4535" spans="1:5" x14ac:dyDescent="0.35">
      <c r="A4535" s="1" t="s">
        <v>19844</v>
      </c>
      <c r="B4535" s="1" t="s">
        <v>18</v>
      </c>
      <c r="C4535" s="1" t="s">
        <v>878</v>
      </c>
      <c r="D4535" s="1" t="s">
        <v>18</v>
      </c>
      <c r="E4535" s="250">
        <v>13200.806</v>
      </c>
    </row>
    <row r="4536" spans="1:5" x14ac:dyDescent="0.35">
      <c r="A4536" s="1" t="s">
        <v>19845</v>
      </c>
      <c r="B4536" s="1" t="s">
        <v>18</v>
      </c>
      <c r="C4536" s="1" t="s">
        <v>877</v>
      </c>
      <c r="D4536" s="1" t="s">
        <v>18</v>
      </c>
      <c r="E4536" s="250">
        <v>13200.807000000001</v>
      </c>
    </row>
    <row r="4537" spans="1:5" x14ac:dyDescent="0.35">
      <c r="A4537" s="1" t="s">
        <v>19846</v>
      </c>
      <c r="B4537" s="1" t="s">
        <v>57</v>
      </c>
      <c r="C4537" s="1" t="s">
        <v>876</v>
      </c>
      <c r="D4537" s="1" t="s">
        <v>57</v>
      </c>
      <c r="E4537" s="250">
        <v>13200.821</v>
      </c>
    </row>
    <row r="4538" spans="1:5" x14ac:dyDescent="0.35">
      <c r="A4538" s="1" t="s">
        <v>19847</v>
      </c>
      <c r="B4538" s="1" t="s">
        <v>18</v>
      </c>
      <c r="C4538" s="1" t="s">
        <v>875</v>
      </c>
      <c r="D4538" s="1" t="s">
        <v>18</v>
      </c>
      <c r="E4538" s="250">
        <v>13200.822</v>
      </c>
    </row>
    <row r="4539" spans="1:5" x14ac:dyDescent="0.35">
      <c r="A4539" s="1" t="s">
        <v>19848</v>
      </c>
      <c r="B4539" s="1" t="s">
        <v>18</v>
      </c>
      <c r="C4539" s="1" t="s">
        <v>874</v>
      </c>
      <c r="D4539" s="1" t="s">
        <v>18</v>
      </c>
      <c r="E4539" s="250">
        <v>13200.823</v>
      </c>
    </row>
    <row r="4540" spans="1:5" x14ac:dyDescent="0.35">
      <c r="A4540" s="1" t="s">
        <v>19849</v>
      </c>
      <c r="B4540" s="1" t="s">
        <v>18</v>
      </c>
      <c r="C4540" s="1" t="s">
        <v>873</v>
      </c>
      <c r="D4540" s="1" t="s">
        <v>18</v>
      </c>
      <c r="E4540" s="250">
        <v>13200.824000000001</v>
      </c>
    </row>
    <row r="4541" spans="1:5" x14ac:dyDescent="0.35">
      <c r="A4541" s="1" t="s">
        <v>19850</v>
      </c>
      <c r="B4541" s="1" t="s">
        <v>18</v>
      </c>
      <c r="C4541" s="1" t="s">
        <v>872</v>
      </c>
      <c r="D4541" s="1" t="s">
        <v>18</v>
      </c>
      <c r="E4541" s="250">
        <v>13200.825000000001</v>
      </c>
    </row>
    <row r="4542" spans="1:5" x14ac:dyDescent="0.35">
      <c r="A4542" s="1" t="s">
        <v>19851</v>
      </c>
      <c r="B4542" s="1" t="s">
        <v>18</v>
      </c>
      <c r="C4542" s="1" t="s">
        <v>871</v>
      </c>
      <c r="D4542" s="1" t="s">
        <v>18</v>
      </c>
      <c r="E4542" s="250">
        <v>13200.825999999999</v>
      </c>
    </row>
    <row r="4543" spans="1:5" x14ac:dyDescent="0.35">
      <c r="A4543" s="1" t="s">
        <v>19852</v>
      </c>
      <c r="B4543" s="1" t="s">
        <v>18</v>
      </c>
      <c r="C4543" s="1" t="s">
        <v>870</v>
      </c>
      <c r="D4543" s="1" t="s">
        <v>18</v>
      </c>
      <c r="E4543" s="250">
        <v>13200.826999999999</v>
      </c>
    </row>
    <row r="4544" spans="1:5" x14ac:dyDescent="0.35">
      <c r="A4544" s="1" t="s">
        <v>19853</v>
      </c>
      <c r="B4544" s="1" t="s">
        <v>18</v>
      </c>
      <c r="C4544" s="1" t="s">
        <v>869</v>
      </c>
      <c r="D4544" s="1" t="s">
        <v>18</v>
      </c>
      <c r="E4544" s="250">
        <v>13200.828</v>
      </c>
    </row>
    <row r="4545" spans="1:5" x14ac:dyDescent="0.35">
      <c r="A4545" s="1" t="s">
        <v>19854</v>
      </c>
      <c r="B4545" s="1" t="s">
        <v>18</v>
      </c>
      <c r="C4545" s="1" t="s">
        <v>868</v>
      </c>
      <c r="D4545" s="1" t="s">
        <v>18</v>
      </c>
      <c r="E4545" s="250">
        <v>13200.829</v>
      </c>
    </row>
    <row r="4546" spans="1:5" x14ac:dyDescent="0.35">
      <c r="A4546" s="1" t="s">
        <v>19855</v>
      </c>
      <c r="B4546" s="1" t="s">
        <v>18</v>
      </c>
      <c r="C4546" s="1" t="s">
        <v>867</v>
      </c>
      <c r="D4546" s="1" t="s">
        <v>18</v>
      </c>
      <c r="E4546" s="250">
        <v>13200.83</v>
      </c>
    </row>
    <row r="4547" spans="1:5" x14ac:dyDescent="0.35">
      <c r="A4547" s="1" t="s">
        <v>19856</v>
      </c>
      <c r="B4547" s="1" t="s">
        <v>18</v>
      </c>
      <c r="C4547" s="1" t="s">
        <v>866</v>
      </c>
      <c r="D4547" s="1" t="s">
        <v>18</v>
      </c>
      <c r="E4547" s="250">
        <v>13200.831</v>
      </c>
    </row>
    <row r="4548" spans="1:5" x14ac:dyDescent="0.35">
      <c r="A4548" s="1" t="s">
        <v>19857</v>
      </c>
      <c r="B4548" s="1" t="s">
        <v>18</v>
      </c>
      <c r="C4548" s="1" t="s">
        <v>865</v>
      </c>
      <c r="D4548" s="1" t="s">
        <v>18</v>
      </c>
      <c r="E4548" s="250">
        <v>13200.832</v>
      </c>
    </row>
    <row r="4549" spans="1:5" x14ac:dyDescent="0.35">
      <c r="A4549" s="1" t="s">
        <v>19858</v>
      </c>
      <c r="B4549" s="1" t="s">
        <v>18</v>
      </c>
      <c r="C4549" s="1" t="s">
        <v>864</v>
      </c>
      <c r="D4549" s="1" t="s">
        <v>18</v>
      </c>
      <c r="E4549" s="250">
        <v>13200.833000000001</v>
      </c>
    </row>
    <row r="4550" spans="1:5" x14ac:dyDescent="0.35">
      <c r="A4550" s="1" t="s">
        <v>19859</v>
      </c>
      <c r="B4550" s="1" t="s">
        <v>18</v>
      </c>
      <c r="C4550" s="1" t="s">
        <v>863</v>
      </c>
      <c r="D4550" s="1" t="s">
        <v>18</v>
      </c>
      <c r="E4550" s="250">
        <v>13200.834000000001</v>
      </c>
    </row>
    <row r="4551" spans="1:5" x14ac:dyDescent="0.35">
      <c r="A4551" s="1" t="s">
        <v>19860</v>
      </c>
      <c r="B4551" s="1" t="s">
        <v>18</v>
      </c>
      <c r="C4551" s="1" t="s">
        <v>862</v>
      </c>
      <c r="D4551" s="1" t="s">
        <v>18</v>
      </c>
      <c r="E4551" s="250">
        <v>13200.834999999999</v>
      </c>
    </row>
    <row r="4552" spans="1:5" x14ac:dyDescent="0.35">
      <c r="A4552" s="1" t="s">
        <v>19861</v>
      </c>
      <c r="B4552" s="1" t="s">
        <v>18</v>
      </c>
      <c r="C4552" s="1" t="s">
        <v>861</v>
      </c>
      <c r="D4552" s="1" t="s">
        <v>18</v>
      </c>
      <c r="E4552" s="250">
        <v>13200.835999999999</v>
      </c>
    </row>
    <row r="4553" spans="1:5" x14ac:dyDescent="0.35">
      <c r="A4553" s="1" t="s">
        <v>19862</v>
      </c>
      <c r="B4553" s="1" t="s">
        <v>57</v>
      </c>
      <c r="C4553" s="1" t="s">
        <v>860</v>
      </c>
      <c r="D4553" s="1" t="s">
        <v>57</v>
      </c>
      <c r="E4553" s="250">
        <v>13800.01</v>
      </c>
    </row>
    <row r="4554" spans="1:5" x14ac:dyDescent="0.35">
      <c r="A4554" s="1" t="s">
        <v>19863</v>
      </c>
      <c r="B4554" s="1" t="s">
        <v>18</v>
      </c>
      <c r="C4554" s="1" t="s">
        <v>856</v>
      </c>
      <c r="D4554" s="1" t="s">
        <v>18</v>
      </c>
      <c r="E4554" s="250">
        <v>13800.011</v>
      </c>
    </row>
    <row r="4555" spans="1:5" x14ac:dyDescent="0.35">
      <c r="A4555" s="1" t="s">
        <v>19864</v>
      </c>
      <c r="B4555" s="1" t="s">
        <v>18</v>
      </c>
      <c r="C4555" s="1" t="s">
        <v>855</v>
      </c>
      <c r="D4555" s="1" t="s">
        <v>18</v>
      </c>
      <c r="E4555" s="250">
        <v>13800.012000000001</v>
      </c>
    </row>
    <row r="4556" spans="1:5" x14ac:dyDescent="0.35">
      <c r="A4556" s="1" t="s">
        <v>19865</v>
      </c>
      <c r="B4556" s="1" t="s">
        <v>18</v>
      </c>
      <c r="C4556" s="1" t="s">
        <v>854</v>
      </c>
      <c r="D4556" s="1" t="s">
        <v>18</v>
      </c>
      <c r="E4556" s="250">
        <v>13800.013000000001</v>
      </c>
    </row>
    <row r="4557" spans="1:5" x14ac:dyDescent="0.35">
      <c r="A4557" s="1" t="s">
        <v>19866</v>
      </c>
      <c r="B4557" s="1" t="s">
        <v>18</v>
      </c>
      <c r="C4557" s="1" t="s">
        <v>853</v>
      </c>
      <c r="D4557" s="1" t="s">
        <v>18</v>
      </c>
      <c r="E4557" s="250">
        <v>13800.013999999999</v>
      </c>
    </row>
    <row r="4558" spans="1:5" x14ac:dyDescent="0.35">
      <c r="A4558" s="1" t="s">
        <v>19867</v>
      </c>
      <c r="B4558" s="1" t="s">
        <v>18</v>
      </c>
      <c r="C4558" s="1" t="s">
        <v>852</v>
      </c>
      <c r="D4558" s="1" t="s">
        <v>18</v>
      </c>
      <c r="E4558" s="250">
        <v>13800.014999999999</v>
      </c>
    </row>
    <row r="4559" spans="1:5" x14ac:dyDescent="0.35">
      <c r="A4559" s="1" t="s">
        <v>19868</v>
      </c>
      <c r="B4559" s="1" t="s">
        <v>18</v>
      </c>
      <c r="C4559" s="1" t="s">
        <v>851</v>
      </c>
      <c r="D4559" s="1" t="s">
        <v>18</v>
      </c>
      <c r="E4559" s="250">
        <v>13800.016</v>
      </c>
    </row>
    <row r="4560" spans="1:5" x14ac:dyDescent="0.35">
      <c r="A4560" s="1" t="s">
        <v>19869</v>
      </c>
      <c r="B4560" s="1" t="s">
        <v>18</v>
      </c>
      <c r="C4560" s="1" t="s">
        <v>850</v>
      </c>
      <c r="D4560" s="1" t="s">
        <v>18</v>
      </c>
      <c r="E4560" s="250">
        <v>13800.017</v>
      </c>
    </row>
    <row r="4561" spans="1:5" x14ac:dyDescent="0.35">
      <c r="A4561" s="1" t="s">
        <v>19870</v>
      </c>
      <c r="B4561" s="1" t="s">
        <v>18</v>
      </c>
      <c r="C4561" s="1" t="s">
        <v>849</v>
      </c>
      <c r="D4561" s="1" t="s">
        <v>18</v>
      </c>
      <c r="E4561" s="250">
        <v>13800.018</v>
      </c>
    </row>
    <row r="4562" spans="1:5" x14ac:dyDescent="0.35">
      <c r="A4562" s="1" t="s">
        <v>19871</v>
      </c>
      <c r="B4562" s="1" t="s">
        <v>18</v>
      </c>
      <c r="C4562" s="1" t="s">
        <v>848</v>
      </c>
      <c r="D4562" s="1" t="s">
        <v>18</v>
      </c>
      <c r="E4562" s="250">
        <v>13800.02</v>
      </c>
    </row>
    <row r="4563" spans="1:5" x14ac:dyDescent="0.35">
      <c r="A4563" s="1" t="s">
        <v>19872</v>
      </c>
      <c r="B4563" s="1" t="s">
        <v>18</v>
      </c>
      <c r="C4563" s="1" t="s">
        <v>847</v>
      </c>
      <c r="D4563" s="1" t="s">
        <v>18</v>
      </c>
      <c r="E4563" s="250">
        <v>13800.021000000001</v>
      </c>
    </row>
    <row r="4564" spans="1:5" x14ac:dyDescent="0.35">
      <c r="A4564" s="1" t="s">
        <v>19873</v>
      </c>
      <c r="B4564" s="1" t="s">
        <v>18</v>
      </c>
      <c r="C4564" s="1" t="s">
        <v>846</v>
      </c>
      <c r="D4564" s="1" t="s">
        <v>18</v>
      </c>
      <c r="E4564" s="250">
        <v>13800.022000000001</v>
      </c>
    </row>
    <row r="4565" spans="1:5" x14ac:dyDescent="0.35">
      <c r="A4565" s="1" t="s">
        <v>19874</v>
      </c>
      <c r="B4565" s="1" t="s">
        <v>18</v>
      </c>
      <c r="C4565" s="1" t="s">
        <v>845</v>
      </c>
      <c r="D4565" s="1" t="s">
        <v>18</v>
      </c>
      <c r="E4565" s="250">
        <v>13800.022999999999</v>
      </c>
    </row>
    <row r="4566" spans="1:5" x14ac:dyDescent="0.35">
      <c r="A4566" s="1" t="s">
        <v>19875</v>
      </c>
      <c r="B4566" s="1" t="s">
        <v>18</v>
      </c>
      <c r="C4566" s="1" t="s">
        <v>844</v>
      </c>
      <c r="D4566" s="1" t="s">
        <v>18</v>
      </c>
      <c r="E4566" s="250">
        <v>13800.023999999999</v>
      </c>
    </row>
    <row r="4567" spans="1:5" x14ac:dyDescent="0.35">
      <c r="A4567" s="1" t="s">
        <v>19876</v>
      </c>
      <c r="B4567" s="1" t="s">
        <v>18</v>
      </c>
      <c r="C4567" s="1" t="s">
        <v>843</v>
      </c>
      <c r="D4567" s="1" t="s">
        <v>18</v>
      </c>
      <c r="E4567" s="250">
        <v>13800.025</v>
      </c>
    </row>
    <row r="4568" spans="1:5" x14ac:dyDescent="0.35">
      <c r="A4568" s="1" t="s">
        <v>19877</v>
      </c>
      <c r="B4568" s="1" t="s">
        <v>18</v>
      </c>
      <c r="C4568" s="1" t="s">
        <v>842</v>
      </c>
      <c r="D4568" s="1" t="s">
        <v>18</v>
      </c>
      <c r="E4568" s="250">
        <v>13800.026</v>
      </c>
    </row>
    <row r="4569" spans="1:5" x14ac:dyDescent="0.35">
      <c r="A4569" s="1" t="s">
        <v>19878</v>
      </c>
      <c r="B4569" s="1" t="s">
        <v>18</v>
      </c>
      <c r="C4569" s="1" t="s">
        <v>841</v>
      </c>
      <c r="D4569" s="1" t="s">
        <v>18</v>
      </c>
      <c r="E4569" s="250">
        <v>13800.027</v>
      </c>
    </row>
    <row r="4570" spans="1:5" x14ac:dyDescent="0.35">
      <c r="A4570" s="1" t="s">
        <v>19879</v>
      </c>
      <c r="B4570" s="1" t="s">
        <v>18</v>
      </c>
      <c r="C4570" s="1" t="s">
        <v>840</v>
      </c>
      <c r="D4570" s="1" t="s">
        <v>18</v>
      </c>
      <c r="E4570" s="250">
        <v>13800.03</v>
      </c>
    </row>
    <row r="4571" spans="1:5" x14ac:dyDescent="0.35">
      <c r="A4571" s="1" t="s">
        <v>19880</v>
      </c>
      <c r="B4571" s="1" t="s">
        <v>18</v>
      </c>
      <c r="C4571" s="1" t="s">
        <v>839</v>
      </c>
      <c r="D4571" s="1" t="s">
        <v>18</v>
      </c>
      <c r="E4571" s="250">
        <v>13800.031000000001</v>
      </c>
    </row>
    <row r="4572" spans="1:5" x14ac:dyDescent="0.35">
      <c r="A4572" s="1" t="s">
        <v>19881</v>
      </c>
      <c r="B4572" s="1" t="s">
        <v>18</v>
      </c>
      <c r="C4572" s="1" t="s">
        <v>838</v>
      </c>
      <c r="D4572" s="1" t="s">
        <v>18</v>
      </c>
      <c r="E4572" s="250">
        <v>13800.031999999999</v>
      </c>
    </row>
    <row r="4573" spans="1:5" x14ac:dyDescent="0.35">
      <c r="A4573" s="1" t="s">
        <v>19882</v>
      </c>
      <c r="B4573" s="1" t="s">
        <v>18</v>
      </c>
      <c r="C4573" s="1" t="s">
        <v>837</v>
      </c>
      <c r="D4573" s="1" t="s">
        <v>18</v>
      </c>
      <c r="E4573" s="250">
        <v>13800.032999999999</v>
      </c>
    </row>
    <row r="4574" spans="1:5" x14ac:dyDescent="0.35">
      <c r="A4574" s="1" t="s">
        <v>19883</v>
      </c>
      <c r="B4574" s="1" t="s">
        <v>18</v>
      </c>
      <c r="C4574" s="1" t="s">
        <v>836</v>
      </c>
      <c r="D4574" s="1" t="s">
        <v>18</v>
      </c>
      <c r="E4574" s="250">
        <v>13800.034</v>
      </c>
    </row>
    <row r="4575" spans="1:5" x14ac:dyDescent="0.35">
      <c r="A4575" s="1" t="s">
        <v>19884</v>
      </c>
      <c r="B4575" s="1" t="s">
        <v>18</v>
      </c>
      <c r="C4575" s="1" t="s">
        <v>835</v>
      </c>
      <c r="D4575" s="1" t="s">
        <v>18</v>
      </c>
      <c r="E4575" s="250">
        <v>13800.035</v>
      </c>
    </row>
    <row r="4576" spans="1:5" x14ac:dyDescent="0.35">
      <c r="A4576" s="1" t="s">
        <v>19885</v>
      </c>
      <c r="B4576" s="1" t="s">
        <v>18</v>
      </c>
      <c r="C4576" s="1" t="s">
        <v>834</v>
      </c>
      <c r="D4576" s="1" t="s">
        <v>18</v>
      </c>
      <c r="E4576" s="250">
        <v>13800.036</v>
      </c>
    </row>
    <row r="4577" spans="1:5" x14ac:dyDescent="0.35">
      <c r="A4577" s="1" t="s">
        <v>19886</v>
      </c>
      <c r="B4577" s="1" t="s">
        <v>18</v>
      </c>
      <c r="C4577" s="1" t="s">
        <v>833</v>
      </c>
      <c r="D4577" s="1" t="s">
        <v>18</v>
      </c>
      <c r="E4577" s="250">
        <v>13800.037</v>
      </c>
    </row>
    <row r="4578" spans="1:5" x14ac:dyDescent="0.35">
      <c r="A4578" s="1" t="s">
        <v>19887</v>
      </c>
      <c r="B4578" s="1" t="s">
        <v>18</v>
      </c>
      <c r="C4578" s="1" t="s">
        <v>858</v>
      </c>
      <c r="D4578" s="1" t="s">
        <v>18</v>
      </c>
      <c r="E4578" s="250">
        <v>13800.04</v>
      </c>
    </row>
    <row r="4579" spans="1:5" x14ac:dyDescent="0.35">
      <c r="A4579" s="1" t="s">
        <v>19888</v>
      </c>
      <c r="B4579" s="1" t="s">
        <v>18</v>
      </c>
      <c r="C4579" s="1" t="s">
        <v>831</v>
      </c>
      <c r="D4579" s="1" t="s">
        <v>18</v>
      </c>
      <c r="E4579" s="250">
        <v>13800.040999999999</v>
      </c>
    </row>
    <row r="4580" spans="1:5" x14ac:dyDescent="0.35">
      <c r="A4580" s="1" t="s">
        <v>19889</v>
      </c>
      <c r="B4580" s="1" t="s">
        <v>18</v>
      </c>
      <c r="C4580" s="1" t="s">
        <v>830</v>
      </c>
      <c r="D4580" s="1" t="s">
        <v>18</v>
      </c>
      <c r="E4580" s="250">
        <v>13800.041999999999</v>
      </c>
    </row>
    <row r="4581" spans="1:5" x14ac:dyDescent="0.35">
      <c r="A4581" s="1" t="s">
        <v>19890</v>
      </c>
      <c r="B4581" s="1" t="s">
        <v>18</v>
      </c>
      <c r="C4581" s="1" t="s">
        <v>829</v>
      </c>
      <c r="D4581" s="1" t="s">
        <v>18</v>
      </c>
      <c r="E4581" s="250">
        <v>13800.043</v>
      </c>
    </row>
    <row r="4582" spans="1:5" x14ac:dyDescent="0.35">
      <c r="A4582" s="1" t="s">
        <v>19891</v>
      </c>
      <c r="B4582" s="1" t="s">
        <v>18</v>
      </c>
      <c r="C4582" s="1" t="s">
        <v>858</v>
      </c>
      <c r="D4582" s="1" t="s">
        <v>18</v>
      </c>
      <c r="E4582" s="250">
        <v>13800.044</v>
      </c>
    </row>
    <row r="4583" spans="1:5" x14ac:dyDescent="0.35">
      <c r="A4583" s="1" t="s">
        <v>19892</v>
      </c>
      <c r="B4583" s="1" t="s">
        <v>18</v>
      </c>
      <c r="C4583" s="1" t="s">
        <v>827</v>
      </c>
      <c r="D4583" s="1" t="s">
        <v>18</v>
      </c>
      <c r="E4583" s="250">
        <v>13800.045</v>
      </c>
    </row>
    <row r="4584" spans="1:5" x14ac:dyDescent="0.35">
      <c r="A4584" s="1" t="s">
        <v>19893</v>
      </c>
      <c r="B4584" s="1" t="s">
        <v>18</v>
      </c>
      <c r="C4584" s="1" t="s">
        <v>826</v>
      </c>
      <c r="D4584" s="1" t="s">
        <v>18</v>
      </c>
      <c r="E4584" s="250">
        <v>13800.046</v>
      </c>
    </row>
    <row r="4585" spans="1:5" x14ac:dyDescent="0.35">
      <c r="A4585" s="1" t="s">
        <v>19894</v>
      </c>
      <c r="B4585" s="1" t="s">
        <v>18</v>
      </c>
      <c r="C4585" s="1" t="s">
        <v>825</v>
      </c>
      <c r="D4585" s="1" t="s">
        <v>18</v>
      </c>
      <c r="E4585" s="250">
        <v>13800.047</v>
      </c>
    </row>
    <row r="4586" spans="1:5" x14ac:dyDescent="0.35">
      <c r="A4586" s="1" t="s">
        <v>19895</v>
      </c>
      <c r="B4586" s="1" t="s">
        <v>18</v>
      </c>
      <c r="C4586" s="1" t="s">
        <v>824</v>
      </c>
      <c r="D4586" s="1" t="s">
        <v>18</v>
      </c>
      <c r="E4586" s="250">
        <v>13800.05</v>
      </c>
    </row>
    <row r="4587" spans="1:5" x14ac:dyDescent="0.35">
      <c r="A4587" s="1" t="s">
        <v>19896</v>
      </c>
      <c r="B4587" s="1" t="s">
        <v>18</v>
      </c>
      <c r="C4587" s="1" t="s">
        <v>823</v>
      </c>
      <c r="D4587" s="1" t="s">
        <v>18</v>
      </c>
      <c r="E4587" s="250">
        <v>13800.050999999999</v>
      </c>
    </row>
    <row r="4588" spans="1:5" x14ac:dyDescent="0.35">
      <c r="A4588" s="1" t="s">
        <v>19897</v>
      </c>
      <c r="B4588" s="1" t="s">
        <v>18</v>
      </c>
      <c r="C4588" s="1" t="s">
        <v>822</v>
      </c>
      <c r="D4588" s="1" t="s">
        <v>18</v>
      </c>
      <c r="E4588" s="250">
        <v>13800.052</v>
      </c>
    </row>
    <row r="4589" spans="1:5" x14ac:dyDescent="0.35">
      <c r="A4589" s="1" t="s">
        <v>19898</v>
      </c>
      <c r="B4589" s="1" t="s">
        <v>18</v>
      </c>
      <c r="C4589" s="1" t="s">
        <v>821</v>
      </c>
      <c r="D4589" s="1" t="s">
        <v>18</v>
      </c>
      <c r="E4589" s="250">
        <v>13800.053</v>
      </c>
    </row>
    <row r="4590" spans="1:5" x14ac:dyDescent="0.35">
      <c r="A4590" s="1" t="s">
        <v>19899</v>
      </c>
      <c r="B4590" s="1" t="s">
        <v>18</v>
      </c>
      <c r="C4590" s="1" t="s">
        <v>820</v>
      </c>
      <c r="D4590" s="1" t="s">
        <v>18</v>
      </c>
      <c r="E4590" s="250">
        <v>13800.054</v>
      </c>
    </row>
    <row r="4591" spans="1:5" x14ac:dyDescent="0.35">
      <c r="A4591" s="1" t="s">
        <v>19900</v>
      </c>
      <c r="B4591" s="1" t="s">
        <v>18</v>
      </c>
      <c r="C4591" s="1" t="s">
        <v>819</v>
      </c>
      <c r="D4591" s="1" t="s">
        <v>18</v>
      </c>
      <c r="E4591" s="250">
        <v>13800.055</v>
      </c>
    </row>
    <row r="4592" spans="1:5" x14ac:dyDescent="0.35">
      <c r="A4592" s="1" t="s">
        <v>19901</v>
      </c>
      <c r="B4592" s="1" t="s">
        <v>18</v>
      </c>
      <c r="C4592" s="1" t="s">
        <v>818</v>
      </c>
      <c r="D4592" s="1" t="s">
        <v>18</v>
      </c>
      <c r="E4592" s="250">
        <v>13800.056</v>
      </c>
    </row>
    <row r="4593" spans="1:5" x14ac:dyDescent="0.35">
      <c r="A4593" s="1" t="s">
        <v>19902</v>
      </c>
      <c r="B4593" s="1" t="s">
        <v>18</v>
      </c>
      <c r="C4593" s="1" t="s">
        <v>817</v>
      </c>
      <c r="D4593" s="1" t="s">
        <v>18</v>
      </c>
      <c r="E4593" s="250">
        <v>13800.057000000001</v>
      </c>
    </row>
    <row r="4594" spans="1:5" x14ac:dyDescent="0.35">
      <c r="A4594" s="1" t="s">
        <v>19903</v>
      </c>
      <c r="B4594" s="1" t="s">
        <v>18</v>
      </c>
      <c r="C4594" s="1" t="s">
        <v>816</v>
      </c>
      <c r="D4594" s="1" t="s">
        <v>18</v>
      </c>
      <c r="E4594" s="250">
        <v>13800.06</v>
      </c>
    </row>
    <row r="4595" spans="1:5" x14ac:dyDescent="0.35">
      <c r="A4595" s="1" t="s">
        <v>19904</v>
      </c>
      <c r="B4595" s="1" t="s">
        <v>18</v>
      </c>
      <c r="C4595" s="1" t="s">
        <v>815</v>
      </c>
      <c r="D4595" s="1" t="s">
        <v>18</v>
      </c>
      <c r="E4595" s="250">
        <v>13800.061</v>
      </c>
    </row>
    <row r="4596" spans="1:5" x14ac:dyDescent="0.35">
      <c r="A4596" s="1" t="s">
        <v>19905</v>
      </c>
      <c r="B4596" s="1" t="s">
        <v>18</v>
      </c>
      <c r="C4596" s="1" t="s">
        <v>814</v>
      </c>
      <c r="D4596" s="1" t="s">
        <v>18</v>
      </c>
      <c r="E4596" s="250">
        <v>13800.062</v>
      </c>
    </row>
    <row r="4597" spans="1:5" x14ac:dyDescent="0.35">
      <c r="A4597" s="1" t="s">
        <v>19906</v>
      </c>
      <c r="B4597" s="1" t="s">
        <v>18</v>
      </c>
      <c r="C4597" s="1" t="s">
        <v>813</v>
      </c>
      <c r="D4597" s="1" t="s">
        <v>18</v>
      </c>
      <c r="E4597" s="250">
        <v>13800.063</v>
      </c>
    </row>
    <row r="4598" spans="1:5" x14ac:dyDescent="0.35">
      <c r="A4598" s="1" t="s">
        <v>19907</v>
      </c>
      <c r="B4598" s="1" t="s">
        <v>18</v>
      </c>
      <c r="C4598" s="1" t="s">
        <v>812</v>
      </c>
      <c r="D4598" s="1" t="s">
        <v>18</v>
      </c>
      <c r="E4598" s="250">
        <v>13800.064</v>
      </c>
    </row>
    <row r="4599" spans="1:5" x14ac:dyDescent="0.35">
      <c r="A4599" s="1" t="s">
        <v>19908</v>
      </c>
      <c r="B4599" s="1" t="s">
        <v>18</v>
      </c>
      <c r="C4599" s="1" t="s">
        <v>811</v>
      </c>
      <c r="D4599" s="1" t="s">
        <v>18</v>
      </c>
      <c r="E4599" s="250">
        <v>13800.065000000001</v>
      </c>
    </row>
    <row r="4600" spans="1:5" x14ac:dyDescent="0.35">
      <c r="A4600" s="1" t="s">
        <v>19909</v>
      </c>
      <c r="B4600" s="1" t="s">
        <v>18</v>
      </c>
      <c r="C4600" s="1" t="s">
        <v>810</v>
      </c>
      <c r="D4600" s="1" t="s">
        <v>18</v>
      </c>
      <c r="E4600" s="250">
        <v>13800.066000000001</v>
      </c>
    </row>
    <row r="4601" spans="1:5" x14ac:dyDescent="0.35">
      <c r="A4601" s="1" t="s">
        <v>19910</v>
      </c>
      <c r="B4601" s="1" t="s">
        <v>18</v>
      </c>
      <c r="C4601" s="1" t="s">
        <v>809</v>
      </c>
      <c r="D4601" s="1" t="s">
        <v>18</v>
      </c>
      <c r="E4601" s="250">
        <v>13800.066999999999</v>
      </c>
    </row>
    <row r="4602" spans="1:5" x14ac:dyDescent="0.35">
      <c r="A4602" s="1" t="s">
        <v>19911</v>
      </c>
      <c r="B4602" s="1" t="s">
        <v>57</v>
      </c>
      <c r="C4602" s="1" t="s">
        <v>859</v>
      </c>
      <c r="D4602" s="1" t="s">
        <v>57</v>
      </c>
      <c r="E4602" s="250">
        <v>13800.07</v>
      </c>
    </row>
    <row r="4603" spans="1:5" x14ac:dyDescent="0.35">
      <c r="A4603" s="1" t="s">
        <v>19912</v>
      </c>
      <c r="B4603" s="1" t="s">
        <v>18</v>
      </c>
      <c r="C4603" s="1" t="s">
        <v>856</v>
      </c>
      <c r="D4603" s="1" t="s">
        <v>18</v>
      </c>
      <c r="E4603" s="250">
        <v>13800.071</v>
      </c>
    </row>
    <row r="4604" spans="1:5" x14ac:dyDescent="0.35">
      <c r="A4604" s="1" t="s">
        <v>19913</v>
      </c>
      <c r="B4604" s="1" t="s">
        <v>18</v>
      </c>
      <c r="C4604" s="1" t="s">
        <v>855</v>
      </c>
      <c r="D4604" s="1" t="s">
        <v>18</v>
      </c>
      <c r="E4604" s="250">
        <v>13800.072</v>
      </c>
    </row>
    <row r="4605" spans="1:5" x14ac:dyDescent="0.35">
      <c r="A4605" s="1" t="s">
        <v>19914</v>
      </c>
      <c r="B4605" s="1" t="s">
        <v>18</v>
      </c>
      <c r="C4605" s="1" t="s">
        <v>854</v>
      </c>
      <c r="D4605" s="1" t="s">
        <v>18</v>
      </c>
      <c r="E4605" s="250">
        <v>13800.073</v>
      </c>
    </row>
    <row r="4606" spans="1:5" x14ac:dyDescent="0.35">
      <c r="A4606" s="1" t="s">
        <v>19915</v>
      </c>
      <c r="B4606" s="1" t="s">
        <v>18</v>
      </c>
      <c r="C4606" s="1" t="s">
        <v>853</v>
      </c>
      <c r="D4606" s="1" t="s">
        <v>18</v>
      </c>
      <c r="E4606" s="250">
        <v>13800.074000000001</v>
      </c>
    </row>
    <row r="4607" spans="1:5" x14ac:dyDescent="0.35">
      <c r="A4607" s="1" t="s">
        <v>19916</v>
      </c>
      <c r="B4607" s="1" t="s">
        <v>18</v>
      </c>
      <c r="C4607" s="1" t="s">
        <v>852</v>
      </c>
      <c r="D4607" s="1" t="s">
        <v>18</v>
      </c>
      <c r="E4607" s="250">
        <v>13800.075000000001</v>
      </c>
    </row>
    <row r="4608" spans="1:5" x14ac:dyDescent="0.35">
      <c r="A4608" s="1" t="s">
        <v>19917</v>
      </c>
      <c r="B4608" s="1" t="s">
        <v>18</v>
      </c>
      <c r="C4608" s="1" t="s">
        <v>851</v>
      </c>
      <c r="D4608" s="1" t="s">
        <v>18</v>
      </c>
      <c r="E4608" s="250">
        <v>13800.075999999999</v>
      </c>
    </row>
    <row r="4609" spans="1:5" x14ac:dyDescent="0.35">
      <c r="A4609" s="1" t="s">
        <v>19918</v>
      </c>
      <c r="B4609" s="1" t="s">
        <v>18</v>
      </c>
      <c r="C4609" s="1" t="s">
        <v>850</v>
      </c>
      <c r="D4609" s="1" t="s">
        <v>18</v>
      </c>
      <c r="E4609" s="250">
        <v>13800.076999999999</v>
      </c>
    </row>
    <row r="4610" spans="1:5" x14ac:dyDescent="0.35">
      <c r="A4610" s="1" t="s">
        <v>19919</v>
      </c>
      <c r="B4610" s="1" t="s">
        <v>18</v>
      </c>
      <c r="C4610" s="1" t="s">
        <v>849</v>
      </c>
      <c r="D4610" s="1" t="s">
        <v>18</v>
      </c>
      <c r="E4610" s="250">
        <v>13800.078</v>
      </c>
    </row>
    <row r="4611" spans="1:5" x14ac:dyDescent="0.35">
      <c r="A4611" s="1" t="s">
        <v>19920</v>
      </c>
      <c r="B4611" s="1" t="s">
        <v>18</v>
      </c>
      <c r="C4611" s="1" t="s">
        <v>848</v>
      </c>
      <c r="D4611" s="1" t="s">
        <v>18</v>
      </c>
      <c r="E4611" s="250">
        <v>13800.08</v>
      </c>
    </row>
    <row r="4612" spans="1:5" x14ac:dyDescent="0.35">
      <c r="A4612" s="1" t="s">
        <v>19921</v>
      </c>
      <c r="B4612" s="1" t="s">
        <v>18</v>
      </c>
      <c r="C4612" s="1" t="s">
        <v>847</v>
      </c>
      <c r="D4612" s="1" t="s">
        <v>18</v>
      </c>
      <c r="E4612" s="250">
        <v>13800.081</v>
      </c>
    </row>
    <row r="4613" spans="1:5" x14ac:dyDescent="0.35">
      <c r="A4613" s="1" t="s">
        <v>19922</v>
      </c>
      <c r="B4613" s="1" t="s">
        <v>18</v>
      </c>
      <c r="C4613" s="1" t="s">
        <v>846</v>
      </c>
      <c r="D4613" s="1" t="s">
        <v>18</v>
      </c>
      <c r="E4613" s="250">
        <v>13800.082</v>
      </c>
    </row>
    <row r="4614" spans="1:5" x14ac:dyDescent="0.35">
      <c r="A4614" s="1" t="s">
        <v>19923</v>
      </c>
      <c r="B4614" s="1" t="s">
        <v>18</v>
      </c>
      <c r="C4614" s="1" t="s">
        <v>845</v>
      </c>
      <c r="D4614" s="1" t="s">
        <v>18</v>
      </c>
      <c r="E4614" s="250">
        <v>13800.083000000001</v>
      </c>
    </row>
    <row r="4615" spans="1:5" x14ac:dyDescent="0.35">
      <c r="A4615" s="1" t="s">
        <v>19924</v>
      </c>
      <c r="B4615" s="1" t="s">
        <v>18</v>
      </c>
      <c r="C4615" s="1" t="s">
        <v>844</v>
      </c>
      <c r="D4615" s="1" t="s">
        <v>18</v>
      </c>
      <c r="E4615" s="250">
        <v>13800.084000000001</v>
      </c>
    </row>
    <row r="4616" spans="1:5" x14ac:dyDescent="0.35">
      <c r="A4616" s="1" t="s">
        <v>19925</v>
      </c>
      <c r="B4616" s="1" t="s">
        <v>18</v>
      </c>
      <c r="C4616" s="1" t="s">
        <v>843</v>
      </c>
      <c r="D4616" s="1" t="s">
        <v>18</v>
      </c>
      <c r="E4616" s="250">
        <v>13800.084999999999</v>
      </c>
    </row>
    <row r="4617" spans="1:5" x14ac:dyDescent="0.35">
      <c r="A4617" s="1" t="s">
        <v>19926</v>
      </c>
      <c r="B4617" s="1" t="s">
        <v>18</v>
      </c>
      <c r="C4617" s="1" t="s">
        <v>842</v>
      </c>
      <c r="D4617" s="1" t="s">
        <v>18</v>
      </c>
      <c r="E4617" s="250">
        <v>13800.085999999999</v>
      </c>
    </row>
    <row r="4618" spans="1:5" x14ac:dyDescent="0.35">
      <c r="A4618" s="1" t="s">
        <v>19927</v>
      </c>
      <c r="B4618" s="1" t="s">
        <v>18</v>
      </c>
      <c r="C4618" s="1" t="s">
        <v>841</v>
      </c>
      <c r="D4618" s="1" t="s">
        <v>18</v>
      </c>
      <c r="E4618" s="250">
        <v>13800.087</v>
      </c>
    </row>
    <row r="4619" spans="1:5" x14ac:dyDescent="0.35">
      <c r="A4619" s="1" t="s">
        <v>19928</v>
      </c>
      <c r="B4619" s="1" t="s">
        <v>18</v>
      </c>
      <c r="C4619" s="1" t="s">
        <v>840</v>
      </c>
      <c r="D4619" s="1" t="s">
        <v>18</v>
      </c>
      <c r="E4619" s="250">
        <v>13800.09</v>
      </c>
    </row>
    <row r="4620" spans="1:5" x14ac:dyDescent="0.35">
      <c r="A4620" s="1" t="s">
        <v>19929</v>
      </c>
      <c r="B4620" s="1" t="s">
        <v>18</v>
      </c>
      <c r="C4620" s="1" t="s">
        <v>839</v>
      </c>
      <c r="D4620" s="1" t="s">
        <v>18</v>
      </c>
      <c r="E4620" s="250">
        <v>13800.091</v>
      </c>
    </row>
    <row r="4621" spans="1:5" x14ac:dyDescent="0.35">
      <c r="A4621" s="1" t="s">
        <v>19930</v>
      </c>
      <c r="B4621" s="1" t="s">
        <v>18</v>
      </c>
      <c r="C4621" s="1" t="s">
        <v>838</v>
      </c>
      <c r="D4621" s="1" t="s">
        <v>18</v>
      </c>
      <c r="E4621" s="250">
        <v>13800.092000000001</v>
      </c>
    </row>
    <row r="4622" spans="1:5" x14ac:dyDescent="0.35">
      <c r="A4622" s="1" t="s">
        <v>19931</v>
      </c>
      <c r="B4622" s="1" t="s">
        <v>18</v>
      </c>
      <c r="C4622" s="1" t="s">
        <v>837</v>
      </c>
      <c r="D4622" s="1" t="s">
        <v>18</v>
      </c>
      <c r="E4622" s="250">
        <v>13800.093000000001</v>
      </c>
    </row>
    <row r="4623" spans="1:5" x14ac:dyDescent="0.35">
      <c r="A4623" s="1" t="s">
        <v>19932</v>
      </c>
      <c r="B4623" s="1" t="s">
        <v>18</v>
      </c>
      <c r="C4623" s="1" t="s">
        <v>836</v>
      </c>
      <c r="D4623" s="1" t="s">
        <v>18</v>
      </c>
      <c r="E4623" s="250">
        <v>13800.093999999999</v>
      </c>
    </row>
    <row r="4624" spans="1:5" x14ac:dyDescent="0.35">
      <c r="A4624" s="1" t="s">
        <v>19933</v>
      </c>
      <c r="B4624" s="1" t="s">
        <v>18</v>
      </c>
      <c r="C4624" s="1" t="s">
        <v>835</v>
      </c>
      <c r="D4624" s="1" t="s">
        <v>18</v>
      </c>
      <c r="E4624" s="250">
        <v>13800.094999999999</v>
      </c>
    </row>
    <row r="4625" spans="1:5" x14ac:dyDescent="0.35">
      <c r="A4625" s="1" t="s">
        <v>19934</v>
      </c>
      <c r="B4625" s="1" t="s">
        <v>18</v>
      </c>
      <c r="C4625" s="1" t="s">
        <v>834</v>
      </c>
      <c r="D4625" s="1" t="s">
        <v>18</v>
      </c>
      <c r="E4625" s="250">
        <v>13800.096</v>
      </c>
    </row>
    <row r="4626" spans="1:5" x14ac:dyDescent="0.35">
      <c r="A4626" s="1" t="s">
        <v>19935</v>
      </c>
      <c r="B4626" s="1" t="s">
        <v>18</v>
      </c>
      <c r="C4626" s="1" t="s">
        <v>833</v>
      </c>
      <c r="D4626" s="1" t="s">
        <v>18</v>
      </c>
      <c r="E4626" s="250">
        <v>13800.097</v>
      </c>
    </row>
    <row r="4627" spans="1:5" x14ac:dyDescent="0.35">
      <c r="A4627" s="1" t="s">
        <v>19936</v>
      </c>
      <c r="B4627" s="1" t="s">
        <v>18</v>
      </c>
      <c r="C4627" s="1" t="s">
        <v>858</v>
      </c>
      <c r="D4627" s="1" t="s">
        <v>18</v>
      </c>
      <c r="E4627" s="250">
        <v>13800.1</v>
      </c>
    </row>
    <row r="4628" spans="1:5" x14ac:dyDescent="0.35">
      <c r="A4628" s="1" t="s">
        <v>19937</v>
      </c>
      <c r="B4628" s="1" t="s">
        <v>18</v>
      </c>
      <c r="C4628" s="1" t="s">
        <v>831</v>
      </c>
      <c r="D4628" s="1" t="s">
        <v>18</v>
      </c>
      <c r="E4628" s="250">
        <v>13800.101000000001</v>
      </c>
    </row>
    <row r="4629" spans="1:5" x14ac:dyDescent="0.35">
      <c r="A4629" s="1" t="s">
        <v>19938</v>
      </c>
      <c r="B4629" s="1" t="s">
        <v>18</v>
      </c>
      <c r="C4629" s="1" t="s">
        <v>830</v>
      </c>
      <c r="D4629" s="1" t="s">
        <v>18</v>
      </c>
      <c r="E4629" s="250">
        <v>13800.102000000001</v>
      </c>
    </row>
    <row r="4630" spans="1:5" x14ac:dyDescent="0.35">
      <c r="A4630" s="1" t="s">
        <v>19939</v>
      </c>
      <c r="B4630" s="1" t="s">
        <v>18</v>
      </c>
      <c r="C4630" s="1" t="s">
        <v>829</v>
      </c>
      <c r="D4630" s="1" t="s">
        <v>18</v>
      </c>
      <c r="E4630" s="250">
        <v>13800.102999999999</v>
      </c>
    </row>
    <row r="4631" spans="1:5" x14ac:dyDescent="0.35">
      <c r="A4631" s="1" t="s">
        <v>19940</v>
      </c>
      <c r="B4631" s="1" t="s">
        <v>18</v>
      </c>
      <c r="C4631" s="1" t="s">
        <v>828</v>
      </c>
      <c r="D4631" s="1" t="s">
        <v>18</v>
      </c>
      <c r="E4631" s="250">
        <v>13800.103999999999</v>
      </c>
    </row>
    <row r="4632" spans="1:5" x14ac:dyDescent="0.35">
      <c r="A4632" s="1" t="s">
        <v>19941</v>
      </c>
      <c r="B4632" s="1" t="s">
        <v>18</v>
      </c>
      <c r="C4632" s="1" t="s">
        <v>827</v>
      </c>
      <c r="D4632" s="1" t="s">
        <v>18</v>
      </c>
      <c r="E4632" s="250">
        <v>13800.105</v>
      </c>
    </row>
    <row r="4633" spans="1:5" x14ac:dyDescent="0.35">
      <c r="A4633" s="1" t="s">
        <v>19942</v>
      </c>
      <c r="B4633" s="1" t="s">
        <v>18</v>
      </c>
      <c r="C4633" s="1" t="s">
        <v>826</v>
      </c>
      <c r="D4633" s="1" t="s">
        <v>18</v>
      </c>
      <c r="E4633" s="250">
        <v>13800.106</v>
      </c>
    </row>
    <row r="4634" spans="1:5" x14ac:dyDescent="0.35">
      <c r="A4634" s="1" t="s">
        <v>19943</v>
      </c>
      <c r="B4634" s="1" t="s">
        <v>18</v>
      </c>
      <c r="C4634" s="1" t="s">
        <v>825</v>
      </c>
      <c r="D4634" s="1" t="s">
        <v>18</v>
      </c>
      <c r="E4634" s="250">
        <v>13800.107</v>
      </c>
    </row>
    <row r="4635" spans="1:5" x14ac:dyDescent="0.35">
      <c r="A4635" s="1" t="s">
        <v>19944</v>
      </c>
      <c r="B4635" s="1" t="s">
        <v>18</v>
      </c>
      <c r="C4635" s="1" t="s">
        <v>824</v>
      </c>
      <c r="D4635" s="1" t="s">
        <v>18</v>
      </c>
      <c r="E4635" s="250">
        <v>13800.11</v>
      </c>
    </row>
    <row r="4636" spans="1:5" x14ac:dyDescent="0.35">
      <c r="A4636" s="1" t="s">
        <v>19945</v>
      </c>
      <c r="B4636" s="1" t="s">
        <v>18</v>
      </c>
      <c r="C4636" s="1" t="s">
        <v>823</v>
      </c>
      <c r="D4636" s="1" t="s">
        <v>18</v>
      </c>
      <c r="E4636" s="250">
        <v>13800.111000000001</v>
      </c>
    </row>
    <row r="4637" spans="1:5" x14ac:dyDescent="0.35">
      <c r="A4637" s="1" t="s">
        <v>19946</v>
      </c>
      <c r="B4637" s="1" t="s">
        <v>18</v>
      </c>
      <c r="C4637" s="1" t="s">
        <v>822</v>
      </c>
      <c r="D4637" s="1" t="s">
        <v>18</v>
      </c>
      <c r="E4637" s="250">
        <v>13800.111999999999</v>
      </c>
    </row>
    <row r="4638" spans="1:5" x14ac:dyDescent="0.35">
      <c r="A4638" s="1" t="s">
        <v>19947</v>
      </c>
      <c r="B4638" s="1" t="s">
        <v>18</v>
      </c>
      <c r="C4638" s="1" t="s">
        <v>821</v>
      </c>
      <c r="D4638" s="1" t="s">
        <v>18</v>
      </c>
      <c r="E4638" s="250">
        <v>13800.112999999999</v>
      </c>
    </row>
    <row r="4639" spans="1:5" x14ac:dyDescent="0.35">
      <c r="A4639" s="1" t="s">
        <v>19948</v>
      </c>
      <c r="B4639" s="1" t="s">
        <v>18</v>
      </c>
      <c r="C4639" s="1" t="s">
        <v>820</v>
      </c>
      <c r="D4639" s="1" t="s">
        <v>18</v>
      </c>
      <c r="E4639" s="250">
        <v>13800.114</v>
      </c>
    </row>
    <row r="4640" spans="1:5" x14ac:dyDescent="0.35">
      <c r="A4640" s="1" t="s">
        <v>19949</v>
      </c>
      <c r="B4640" s="1" t="s">
        <v>18</v>
      </c>
      <c r="C4640" s="1" t="s">
        <v>819</v>
      </c>
      <c r="D4640" s="1" t="s">
        <v>18</v>
      </c>
      <c r="E4640" s="250">
        <v>13800.115</v>
      </c>
    </row>
    <row r="4641" spans="1:5" x14ac:dyDescent="0.35">
      <c r="A4641" s="1" t="s">
        <v>19950</v>
      </c>
      <c r="B4641" s="1" t="s">
        <v>18</v>
      </c>
      <c r="C4641" s="1" t="s">
        <v>818</v>
      </c>
      <c r="D4641" s="1" t="s">
        <v>18</v>
      </c>
      <c r="E4641" s="250">
        <v>13800.116</v>
      </c>
    </row>
    <row r="4642" spans="1:5" x14ac:dyDescent="0.35">
      <c r="A4642" s="1" t="s">
        <v>19951</v>
      </c>
      <c r="B4642" s="1" t="s">
        <v>18</v>
      </c>
      <c r="C4642" s="1" t="s">
        <v>817</v>
      </c>
      <c r="D4642" s="1" t="s">
        <v>18</v>
      </c>
      <c r="E4642" s="250">
        <v>13800.117</v>
      </c>
    </row>
    <row r="4643" spans="1:5" x14ac:dyDescent="0.35">
      <c r="A4643" s="1" t="s">
        <v>19952</v>
      </c>
      <c r="B4643" s="1" t="s">
        <v>18</v>
      </c>
      <c r="C4643" s="1" t="s">
        <v>816</v>
      </c>
      <c r="D4643" s="1" t="s">
        <v>18</v>
      </c>
      <c r="E4643" s="250">
        <v>13800.12</v>
      </c>
    </row>
    <row r="4644" spans="1:5" x14ac:dyDescent="0.35">
      <c r="A4644" s="1" t="s">
        <v>19953</v>
      </c>
      <c r="B4644" s="1" t="s">
        <v>18</v>
      </c>
      <c r="C4644" s="1" t="s">
        <v>815</v>
      </c>
      <c r="D4644" s="1" t="s">
        <v>18</v>
      </c>
      <c r="E4644" s="250">
        <v>13800.120999999999</v>
      </c>
    </row>
    <row r="4645" spans="1:5" x14ac:dyDescent="0.35">
      <c r="A4645" s="1" t="s">
        <v>19954</v>
      </c>
      <c r="B4645" s="1" t="s">
        <v>18</v>
      </c>
      <c r="C4645" s="1" t="s">
        <v>814</v>
      </c>
      <c r="D4645" s="1" t="s">
        <v>18</v>
      </c>
      <c r="E4645" s="250">
        <v>13800.121999999999</v>
      </c>
    </row>
    <row r="4646" spans="1:5" x14ac:dyDescent="0.35">
      <c r="A4646" s="1" t="s">
        <v>19955</v>
      </c>
      <c r="B4646" s="1" t="s">
        <v>18</v>
      </c>
      <c r="C4646" s="1" t="s">
        <v>813</v>
      </c>
      <c r="D4646" s="1" t="s">
        <v>18</v>
      </c>
      <c r="E4646" s="250">
        <v>13800.123</v>
      </c>
    </row>
    <row r="4647" spans="1:5" x14ac:dyDescent="0.35">
      <c r="A4647" s="1" t="s">
        <v>19956</v>
      </c>
      <c r="B4647" s="1" t="s">
        <v>18</v>
      </c>
      <c r="C4647" s="1" t="s">
        <v>812</v>
      </c>
      <c r="D4647" s="1" t="s">
        <v>18</v>
      </c>
      <c r="E4647" s="250">
        <v>13800.124</v>
      </c>
    </row>
    <row r="4648" spans="1:5" x14ac:dyDescent="0.35">
      <c r="A4648" s="1" t="s">
        <v>19957</v>
      </c>
      <c r="B4648" s="1" t="s">
        <v>18</v>
      </c>
      <c r="C4648" s="1" t="s">
        <v>811</v>
      </c>
      <c r="D4648" s="1" t="s">
        <v>18</v>
      </c>
      <c r="E4648" s="250">
        <v>13800.125</v>
      </c>
    </row>
    <row r="4649" spans="1:5" x14ac:dyDescent="0.35">
      <c r="A4649" s="1" t="s">
        <v>19958</v>
      </c>
      <c r="B4649" s="1" t="s">
        <v>18</v>
      </c>
      <c r="C4649" s="1" t="s">
        <v>810</v>
      </c>
      <c r="D4649" s="1" t="s">
        <v>18</v>
      </c>
      <c r="E4649" s="250">
        <v>13800.126</v>
      </c>
    </row>
    <row r="4650" spans="1:5" x14ac:dyDescent="0.35">
      <c r="A4650" s="1" t="s">
        <v>19959</v>
      </c>
      <c r="B4650" s="1" t="s">
        <v>18</v>
      </c>
      <c r="C4650" s="1" t="s">
        <v>809</v>
      </c>
      <c r="D4650" s="1" t="s">
        <v>18</v>
      </c>
      <c r="E4650" s="250">
        <v>13800.127</v>
      </c>
    </row>
    <row r="4651" spans="1:5" x14ac:dyDescent="0.35">
      <c r="A4651" s="1" t="s">
        <v>19960</v>
      </c>
      <c r="B4651" s="1" t="s">
        <v>57</v>
      </c>
      <c r="C4651" s="1" t="s">
        <v>857</v>
      </c>
      <c r="D4651" s="1" t="s">
        <v>57</v>
      </c>
      <c r="E4651" s="250">
        <v>13800.13</v>
      </c>
    </row>
    <row r="4652" spans="1:5" x14ac:dyDescent="0.35">
      <c r="A4652" s="1" t="s">
        <v>19961</v>
      </c>
      <c r="B4652" s="1" t="s">
        <v>18</v>
      </c>
      <c r="C4652" s="1" t="s">
        <v>856</v>
      </c>
      <c r="D4652" s="1" t="s">
        <v>18</v>
      </c>
      <c r="E4652" s="250">
        <v>13800.130999999999</v>
      </c>
    </row>
    <row r="4653" spans="1:5" x14ac:dyDescent="0.35">
      <c r="A4653" s="1" t="s">
        <v>19962</v>
      </c>
      <c r="B4653" s="1" t="s">
        <v>18</v>
      </c>
      <c r="C4653" s="1" t="s">
        <v>855</v>
      </c>
      <c r="D4653" s="1" t="s">
        <v>18</v>
      </c>
      <c r="E4653" s="250">
        <v>13800.132</v>
      </c>
    </row>
    <row r="4654" spans="1:5" x14ac:dyDescent="0.35">
      <c r="A4654" s="1" t="s">
        <v>19963</v>
      </c>
      <c r="B4654" s="1" t="s">
        <v>18</v>
      </c>
      <c r="C4654" s="1" t="s">
        <v>854</v>
      </c>
      <c r="D4654" s="1" t="s">
        <v>18</v>
      </c>
      <c r="E4654" s="250">
        <v>13800.133</v>
      </c>
    </row>
    <row r="4655" spans="1:5" x14ac:dyDescent="0.35">
      <c r="A4655" s="1" t="s">
        <v>19964</v>
      </c>
      <c r="B4655" s="1" t="s">
        <v>18</v>
      </c>
      <c r="C4655" s="1" t="s">
        <v>853</v>
      </c>
      <c r="D4655" s="1" t="s">
        <v>18</v>
      </c>
      <c r="E4655" s="250">
        <v>13800.134</v>
      </c>
    </row>
    <row r="4656" spans="1:5" x14ac:dyDescent="0.35">
      <c r="A4656" s="1" t="s">
        <v>19965</v>
      </c>
      <c r="B4656" s="1" t="s">
        <v>18</v>
      </c>
      <c r="C4656" s="1" t="s">
        <v>852</v>
      </c>
      <c r="D4656" s="1" t="s">
        <v>18</v>
      </c>
      <c r="E4656" s="250">
        <v>13800.135</v>
      </c>
    </row>
    <row r="4657" spans="1:5" x14ac:dyDescent="0.35">
      <c r="A4657" s="1" t="s">
        <v>19966</v>
      </c>
      <c r="B4657" s="1" t="s">
        <v>18</v>
      </c>
      <c r="C4657" s="1" t="s">
        <v>851</v>
      </c>
      <c r="D4657" s="1" t="s">
        <v>18</v>
      </c>
      <c r="E4657" s="250">
        <v>13800.136</v>
      </c>
    </row>
    <row r="4658" spans="1:5" x14ac:dyDescent="0.35">
      <c r="A4658" s="1" t="s">
        <v>19967</v>
      </c>
      <c r="B4658" s="1" t="s">
        <v>18</v>
      </c>
      <c r="C4658" s="1" t="s">
        <v>850</v>
      </c>
      <c r="D4658" s="1" t="s">
        <v>18</v>
      </c>
      <c r="E4658" s="250">
        <v>13800.137000000001</v>
      </c>
    </row>
    <row r="4659" spans="1:5" x14ac:dyDescent="0.35">
      <c r="A4659" s="1" t="s">
        <v>19968</v>
      </c>
      <c r="B4659" s="1" t="s">
        <v>18</v>
      </c>
      <c r="C4659" s="1" t="s">
        <v>849</v>
      </c>
      <c r="D4659" s="1" t="s">
        <v>18</v>
      </c>
      <c r="E4659" s="250">
        <v>13800.138000000001</v>
      </c>
    </row>
    <row r="4660" spans="1:5" x14ac:dyDescent="0.35">
      <c r="A4660" s="1" t="s">
        <v>19969</v>
      </c>
      <c r="B4660" s="1" t="s">
        <v>18</v>
      </c>
      <c r="C4660" s="1" t="s">
        <v>848</v>
      </c>
      <c r="D4660" s="1" t="s">
        <v>18</v>
      </c>
      <c r="E4660" s="250">
        <v>13800.14</v>
      </c>
    </row>
    <row r="4661" spans="1:5" x14ac:dyDescent="0.35">
      <c r="A4661" s="1" t="s">
        <v>19970</v>
      </c>
      <c r="B4661" s="1" t="s">
        <v>18</v>
      </c>
      <c r="C4661" s="1" t="s">
        <v>847</v>
      </c>
      <c r="D4661" s="1" t="s">
        <v>18</v>
      </c>
      <c r="E4661" s="250">
        <v>13800.141</v>
      </c>
    </row>
    <row r="4662" spans="1:5" x14ac:dyDescent="0.35">
      <c r="A4662" s="1" t="s">
        <v>19971</v>
      </c>
      <c r="B4662" s="1" t="s">
        <v>18</v>
      </c>
      <c r="C4662" s="1" t="s">
        <v>846</v>
      </c>
      <c r="D4662" s="1" t="s">
        <v>18</v>
      </c>
      <c r="E4662" s="250">
        <v>13800.142</v>
      </c>
    </row>
    <row r="4663" spans="1:5" x14ac:dyDescent="0.35">
      <c r="A4663" s="1" t="s">
        <v>19972</v>
      </c>
      <c r="B4663" s="1" t="s">
        <v>18</v>
      </c>
      <c r="C4663" s="1" t="s">
        <v>845</v>
      </c>
      <c r="D4663" s="1" t="s">
        <v>18</v>
      </c>
      <c r="E4663" s="250">
        <v>13800.143</v>
      </c>
    </row>
    <row r="4664" spans="1:5" x14ac:dyDescent="0.35">
      <c r="A4664" s="1" t="s">
        <v>19973</v>
      </c>
      <c r="B4664" s="1" t="s">
        <v>18</v>
      </c>
      <c r="C4664" s="1" t="s">
        <v>844</v>
      </c>
      <c r="D4664" s="1" t="s">
        <v>18</v>
      </c>
      <c r="E4664" s="250">
        <v>13800.144</v>
      </c>
    </row>
    <row r="4665" spans="1:5" x14ac:dyDescent="0.35">
      <c r="A4665" s="1" t="s">
        <v>19974</v>
      </c>
      <c r="B4665" s="1" t="s">
        <v>18</v>
      </c>
      <c r="C4665" s="1" t="s">
        <v>843</v>
      </c>
      <c r="D4665" s="1" t="s">
        <v>18</v>
      </c>
      <c r="E4665" s="250">
        <v>13800.145</v>
      </c>
    </row>
    <row r="4666" spans="1:5" x14ac:dyDescent="0.35">
      <c r="A4666" s="1" t="s">
        <v>19975</v>
      </c>
      <c r="B4666" s="1" t="s">
        <v>18</v>
      </c>
      <c r="C4666" s="1" t="s">
        <v>842</v>
      </c>
      <c r="D4666" s="1" t="s">
        <v>18</v>
      </c>
      <c r="E4666" s="250">
        <v>13800.146000000001</v>
      </c>
    </row>
    <row r="4667" spans="1:5" x14ac:dyDescent="0.35">
      <c r="A4667" s="1" t="s">
        <v>19976</v>
      </c>
      <c r="B4667" s="1" t="s">
        <v>18</v>
      </c>
      <c r="C4667" s="1" t="s">
        <v>841</v>
      </c>
      <c r="D4667" s="1" t="s">
        <v>18</v>
      </c>
      <c r="E4667" s="250">
        <v>13800.147000000001</v>
      </c>
    </row>
    <row r="4668" spans="1:5" x14ac:dyDescent="0.35">
      <c r="A4668" s="1" t="s">
        <v>19977</v>
      </c>
      <c r="B4668" s="1" t="s">
        <v>18</v>
      </c>
      <c r="C4668" s="1" t="s">
        <v>840</v>
      </c>
      <c r="D4668" s="1" t="s">
        <v>18</v>
      </c>
      <c r="E4668" s="250">
        <v>13800.15</v>
      </c>
    </row>
    <row r="4669" spans="1:5" x14ac:dyDescent="0.35">
      <c r="A4669" s="1" t="s">
        <v>19978</v>
      </c>
      <c r="B4669" s="1" t="s">
        <v>18</v>
      </c>
      <c r="C4669" s="1" t="s">
        <v>839</v>
      </c>
      <c r="D4669" s="1" t="s">
        <v>18</v>
      </c>
      <c r="E4669" s="250">
        <v>13800.151</v>
      </c>
    </row>
    <row r="4670" spans="1:5" x14ac:dyDescent="0.35">
      <c r="A4670" s="1" t="s">
        <v>19979</v>
      </c>
      <c r="B4670" s="1" t="s">
        <v>18</v>
      </c>
      <c r="C4670" s="1" t="s">
        <v>838</v>
      </c>
      <c r="D4670" s="1" t="s">
        <v>18</v>
      </c>
      <c r="E4670" s="250">
        <v>13800.152</v>
      </c>
    </row>
    <row r="4671" spans="1:5" x14ac:dyDescent="0.35">
      <c r="A4671" s="1" t="s">
        <v>19980</v>
      </c>
      <c r="B4671" s="1" t="s">
        <v>18</v>
      </c>
      <c r="C4671" s="1" t="s">
        <v>837</v>
      </c>
      <c r="D4671" s="1" t="s">
        <v>18</v>
      </c>
      <c r="E4671" s="250">
        <v>13800.153</v>
      </c>
    </row>
    <row r="4672" spans="1:5" x14ac:dyDescent="0.35">
      <c r="A4672" s="1" t="s">
        <v>19981</v>
      </c>
      <c r="B4672" s="1" t="s">
        <v>18</v>
      </c>
      <c r="C4672" s="1" t="s">
        <v>836</v>
      </c>
      <c r="D4672" s="1" t="s">
        <v>18</v>
      </c>
      <c r="E4672" s="250">
        <v>13800.154</v>
      </c>
    </row>
    <row r="4673" spans="1:5" x14ac:dyDescent="0.35">
      <c r="A4673" s="1" t="s">
        <v>19982</v>
      </c>
      <c r="B4673" s="1" t="s">
        <v>18</v>
      </c>
      <c r="C4673" s="1" t="s">
        <v>835</v>
      </c>
      <c r="D4673" s="1" t="s">
        <v>18</v>
      </c>
      <c r="E4673" s="250">
        <v>13800.155000000001</v>
      </c>
    </row>
    <row r="4674" spans="1:5" x14ac:dyDescent="0.35">
      <c r="A4674" s="1" t="s">
        <v>19983</v>
      </c>
      <c r="B4674" s="1" t="s">
        <v>18</v>
      </c>
      <c r="C4674" s="1" t="s">
        <v>834</v>
      </c>
      <c r="D4674" s="1" t="s">
        <v>18</v>
      </c>
      <c r="E4674" s="250">
        <v>13800.156000000001</v>
      </c>
    </row>
    <row r="4675" spans="1:5" x14ac:dyDescent="0.35">
      <c r="A4675" s="1" t="s">
        <v>19984</v>
      </c>
      <c r="B4675" s="1" t="s">
        <v>18</v>
      </c>
      <c r="C4675" s="1" t="s">
        <v>833</v>
      </c>
      <c r="D4675" s="1" t="s">
        <v>18</v>
      </c>
      <c r="E4675" s="250">
        <v>13800.156999999999</v>
      </c>
    </row>
    <row r="4676" spans="1:5" x14ac:dyDescent="0.35">
      <c r="A4676" s="1" t="s">
        <v>19985</v>
      </c>
      <c r="B4676" s="1" t="s">
        <v>18</v>
      </c>
      <c r="C4676" s="1" t="s">
        <v>832</v>
      </c>
      <c r="D4676" s="1" t="s">
        <v>18</v>
      </c>
      <c r="E4676" s="250">
        <v>13800.16</v>
      </c>
    </row>
    <row r="4677" spans="1:5" x14ac:dyDescent="0.35">
      <c r="A4677" s="1" t="s">
        <v>19986</v>
      </c>
      <c r="B4677" s="1" t="s">
        <v>18</v>
      </c>
      <c r="C4677" s="1" t="s">
        <v>831</v>
      </c>
      <c r="D4677" s="1" t="s">
        <v>18</v>
      </c>
      <c r="E4677" s="250">
        <v>13800.161</v>
      </c>
    </row>
    <row r="4678" spans="1:5" x14ac:dyDescent="0.35">
      <c r="A4678" s="1" t="s">
        <v>19987</v>
      </c>
      <c r="B4678" s="1" t="s">
        <v>18</v>
      </c>
      <c r="C4678" s="1" t="s">
        <v>830</v>
      </c>
      <c r="D4678" s="1" t="s">
        <v>18</v>
      </c>
      <c r="E4678" s="250">
        <v>13800.162</v>
      </c>
    </row>
    <row r="4679" spans="1:5" x14ac:dyDescent="0.35">
      <c r="A4679" s="1" t="s">
        <v>19988</v>
      </c>
      <c r="B4679" s="1" t="s">
        <v>18</v>
      </c>
      <c r="C4679" s="1" t="s">
        <v>829</v>
      </c>
      <c r="D4679" s="1" t="s">
        <v>18</v>
      </c>
      <c r="E4679" s="250">
        <v>13800.163</v>
      </c>
    </row>
    <row r="4680" spans="1:5" x14ac:dyDescent="0.35">
      <c r="A4680" s="1" t="s">
        <v>19989</v>
      </c>
      <c r="B4680" s="1" t="s">
        <v>18</v>
      </c>
      <c r="C4680" s="1" t="s">
        <v>828</v>
      </c>
      <c r="D4680" s="1" t="s">
        <v>18</v>
      </c>
      <c r="E4680" s="250">
        <v>13800.164000000001</v>
      </c>
    </row>
    <row r="4681" spans="1:5" x14ac:dyDescent="0.35">
      <c r="A4681" s="1" t="s">
        <v>19990</v>
      </c>
      <c r="B4681" s="1" t="s">
        <v>18</v>
      </c>
      <c r="C4681" s="1" t="s">
        <v>827</v>
      </c>
      <c r="D4681" s="1" t="s">
        <v>18</v>
      </c>
      <c r="E4681" s="250">
        <v>13800.165000000001</v>
      </c>
    </row>
    <row r="4682" spans="1:5" x14ac:dyDescent="0.35">
      <c r="A4682" s="1" t="s">
        <v>19991</v>
      </c>
      <c r="B4682" s="1" t="s">
        <v>18</v>
      </c>
      <c r="C4682" s="1" t="s">
        <v>826</v>
      </c>
      <c r="D4682" s="1" t="s">
        <v>18</v>
      </c>
      <c r="E4682" s="250">
        <v>13800.165999999999</v>
      </c>
    </row>
    <row r="4683" spans="1:5" x14ac:dyDescent="0.35">
      <c r="A4683" s="1" t="s">
        <v>19992</v>
      </c>
      <c r="B4683" s="1" t="s">
        <v>18</v>
      </c>
      <c r="C4683" s="1" t="s">
        <v>825</v>
      </c>
      <c r="D4683" s="1" t="s">
        <v>18</v>
      </c>
      <c r="E4683" s="250">
        <v>13800.166999999999</v>
      </c>
    </row>
    <row r="4684" spans="1:5" x14ac:dyDescent="0.35">
      <c r="A4684" s="1" t="s">
        <v>19993</v>
      </c>
      <c r="B4684" s="1" t="s">
        <v>18</v>
      </c>
      <c r="C4684" s="1" t="s">
        <v>824</v>
      </c>
      <c r="D4684" s="1" t="s">
        <v>18</v>
      </c>
      <c r="E4684" s="250">
        <v>13800.17</v>
      </c>
    </row>
    <row r="4685" spans="1:5" x14ac:dyDescent="0.35">
      <c r="A4685" s="1" t="s">
        <v>19994</v>
      </c>
      <c r="B4685" s="1" t="s">
        <v>18</v>
      </c>
      <c r="C4685" s="1" t="s">
        <v>823</v>
      </c>
      <c r="D4685" s="1" t="s">
        <v>18</v>
      </c>
      <c r="E4685" s="250">
        <v>13800.171</v>
      </c>
    </row>
    <row r="4686" spans="1:5" x14ac:dyDescent="0.35">
      <c r="A4686" s="1" t="s">
        <v>19995</v>
      </c>
      <c r="B4686" s="1" t="s">
        <v>18</v>
      </c>
      <c r="C4686" s="1" t="s">
        <v>822</v>
      </c>
      <c r="D4686" s="1" t="s">
        <v>18</v>
      </c>
      <c r="E4686" s="250">
        <v>13800.172</v>
      </c>
    </row>
    <row r="4687" spans="1:5" x14ac:dyDescent="0.35">
      <c r="A4687" s="1" t="s">
        <v>19996</v>
      </c>
      <c r="B4687" s="1" t="s">
        <v>18</v>
      </c>
      <c r="C4687" s="1" t="s">
        <v>821</v>
      </c>
      <c r="D4687" s="1" t="s">
        <v>18</v>
      </c>
      <c r="E4687" s="250">
        <v>13800.173000000001</v>
      </c>
    </row>
    <row r="4688" spans="1:5" x14ac:dyDescent="0.35">
      <c r="A4688" s="1" t="s">
        <v>19997</v>
      </c>
      <c r="B4688" s="1" t="s">
        <v>18</v>
      </c>
      <c r="C4688" s="1" t="s">
        <v>820</v>
      </c>
      <c r="D4688" s="1" t="s">
        <v>18</v>
      </c>
      <c r="E4688" s="250">
        <v>13800.174000000001</v>
      </c>
    </row>
    <row r="4689" spans="1:5" x14ac:dyDescent="0.35">
      <c r="A4689" s="1" t="s">
        <v>19998</v>
      </c>
      <c r="B4689" s="1" t="s">
        <v>18</v>
      </c>
      <c r="C4689" s="1" t="s">
        <v>819</v>
      </c>
      <c r="D4689" s="1" t="s">
        <v>18</v>
      </c>
      <c r="E4689" s="250">
        <v>13800.174999999999</v>
      </c>
    </row>
    <row r="4690" spans="1:5" x14ac:dyDescent="0.35">
      <c r="A4690" s="1" t="s">
        <v>19999</v>
      </c>
      <c r="B4690" s="1" t="s">
        <v>18</v>
      </c>
      <c r="C4690" s="1" t="s">
        <v>818</v>
      </c>
      <c r="D4690" s="1" t="s">
        <v>18</v>
      </c>
      <c r="E4690" s="250">
        <v>13800.175999999999</v>
      </c>
    </row>
    <row r="4691" spans="1:5" x14ac:dyDescent="0.35">
      <c r="A4691" s="1" t="s">
        <v>20000</v>
      </c>
      <c r="B4691" s="1" t="s">
        <v>18</v>
      </c>
      <c r="C4691" s="1" t="s">
        <v>817</v>
      </c>
      <c r="D4691" s="1" t="s">
        <v>18</v>
      </c>
      <c r="E4691" s="250">
        <v>13800.177</v>
      </c>
    </row>
    <row r="4692" spans="1:5" x14ac:dyDescent="0.35">
      <c r="A4692" s="1" t="s">
        <v>20001</v>
      </c>
      <c r="B4692" s="1" t="s">
        <v>18</v>
      </c>
      <c r="C4692" s="1" t="s">
        <v>816</v>
      </c>
      <c r="D4692" s="1" t="s">
        <v>18</v>
      </c>
      <c r="E4692" s="250">
        <v>13800.18</v>
      </c>
    </row>
    <row r="4693" spans="1:5" x14ac:dyDescent="0.35">
      <c r="A4693" s="1" t="s">
        <v>20002</v>
      </c>
      <c r="B4693" s="1" t="s">
        <v>18</v>
      </c>
      <c r="C4693" s="1" t="s">
        <v>815</v>
      </c>
      <c r="D4693" s="1" t="s">
        <v>18</v>
      </c>
      <c r="E4693" s="250">
        <v>13800.181</v>
      </c>
    </row>
    <row r="4694" spans="1:5" x14ac:dyDescent="0.35">
      <c r="A4694" s="1" t="s">
        <v>20003</v>
      </c>
      <c r="B4694" s="1" t="s">
        <v>18</v>
      </c>
      <c r="C4694" s="1" t="s">
        <v>814</v>
      </c>
      <c r="D4694" s="1" t="s">
        <v>18</v>
      </c>
      <c r="E4694" s="250">
        <v>13800.182000000001</v>
      </c>
    </row>
    <row r="4695" spans="1:5" x14ac:dyDescent="0.35">
      <c r="A4695" s="1" t="s">
        <v>20004</v>
      </c>
      <c r="B4695" s="1" t="s">
        <v>18</v>
      </c>
      <c r="C4695" s="1" t="s">
        <v>813</v>
      </c>
      <c r="D4695" s="1" t="s">
        <v>18</v>
      </c>
      <c r="E4695" s="250">
        <v>13800.183000000001</v>
      </c>
    </row>
    <row r="4696" spans="1:5" x14ac:dyDescent="0.35">
      <c r="A4696" s="1" t="s">
        <v>20005</v>
      </c>
      <c r="B4696" s="1" t="s">
        <v>18</v>
      </c>
      <c r="C4696" s="1" t="s">
        <v>812</v>
      </c>
      <c r="D4696" s="1" t="s">
        <v>18</v>
      </c>
      <c r="E4696" s="250">
        <v>13800.183999999999</v>
      </c>
    </row>
    <row r="4697" spans="1:5" x14ac:dyDescent="0.35">
      <c r="A4697" s="1" t="s">
        <v>20006</v>
      </c>
      <c r="B4697" s="1" t="s">
        <v>18</v>
      </c>
      <c r="C4697" s="1" t="s">
        <v>811</v>
      </c>
      <c r="D4697" s="1" t="s">
        <v>18</v>
      </c>
      <c r="E4697" s="250">
        <v>13800.184999999999</v>
      </c>
    </row>
    <row r="4698" spans="1:5" x14ac:dyDescent="0.35">
      <c r="A4698" s="1" t="s">
        <v>20007</v>
      </c>
      <c r="B4698" s="1" t="s">
        <v>18</v>
      </c>
      <c r="C4698" s="1" t="s">
        <v>810</v>
      </c>
      <c r="D4698" s="1" t="s">
        <v>18</v>
      </c>
      <c r="E4698" s="250">
        <v>13800.186</v>
      </c>
    </row>
    <row r="4699" spans="1:5" x14ac:dyDescent="0.35">
      <c r="A4699" s="1" t="s">
        <v>20008</v>
      </c>
      <c r="B4699" s="1" t="s">
        <v>18</v>
      </c>
      <c r="C4699" s="1" t="s">
        <v>809</v>
      </c>
      <c r="D4699" s="1" t="s">
        <v>18</v>
      </c>
      <c r="E4699" s="250">
        <v>13800.187</v>
      </c>
    </row>
    <row r="4700" spans="1:5" x14ac:dyDescent="0.35">
      <c r="A4700" s="1" t="s">
        <v>20009</v>
      </c>
      <c r="B4700" s="1" t="s">
        <v>18</v>
      </c>
      <c r="C4700" s="1" t="s">
        <v>808</v>
      </c>
      <c r="D4700" s="1" t="s">
        <v>18</v>
      </c>
      <c r="E4700" s="250">
        <v>13800.19</v>
      </c>
    </row>
    <row r="4701" spans="1:5" x14ac:dyDescent="0.35">
      <c r="A4701" s="1" t="s">
        <v>20010</v>
      </c>
      <c r="B4701" s="1" t="s">
        <v>18</v>
      </c>
      <c r="C4701" s="1" t="s">
        <v>807</v>
      </c>
      <c r="D4701" s="1" t="s">
        <v>18</v>
      </c>
      <c r="E4701" s="250">
        <v>13800.191000000001</v>
      </c>
    </row>
    <row r="4702" spans="1:5" x14ac:dyDescent="0.35">
      <c r="A4702" s="1" t="s">
        <v>20011</v>
      </c>
      <c r="B4702" s="1" t="s">
        <v>18</v>
      </c>
      <c r="C4702" s="1" t="s">
        <v>806</v>
      </c>
      <c r="D4702" s="1" t="s">
        <v>18</v>
      </c>
      <c r="E4702" s="250">
        <v>13800.191999999999</v>
      </c>
    </row>
    <row r="4703" spans="1:5" x14ac:dyDescent="0.35">
      <c r="A4703" s="1" t="s">
        <v>20012</v>
      </c>
      <c r="B4703" s="1" t="s">
        <v>57</v>
      </c>
      <c r="C4703" s="1" t="s">
        <v>805</v>
      </c>
      <c r="D4703" s="1" t="s">
        <v>57</v>
      </c>
      <c r="E4703" s="250">
        <v>13800.21</v>
      </c>
    </row>
    <row r="4704" spans="1:5" x14ac:dyDescent="0.35">
      <c r="A4704" s="1" t="s">
        <v>20013</v>
      </c>
      <c r="B4704" s="1" t="s">
        <v>57</v>
      </c>
      <c r="C4704" s="1" t="s">
        <v>804</v>
      </c>
      <c r="D4704" s="1" t="s">
        <v>57</v>
      </c>
      <c r="E4704" s="250">
        <v>13800.210999999999</v>
      </c>
    </row>
    <row r="4705" spans="1:5" x14ac:dyDescent="0.35">
      <c r="A4705" s="1" t="s">
        <v>20014</v>
      </c>
      <c r="B4705" s="1" t="s">
        <v>18</v>
      </c>
      <c r="C4705" s="1" t="s">
        <v>799</v>
      </c>
      <c r="D4705" s="1" t="s">
        <v>18</v>
      </c>
      <c r="E4705" s="250">
        <v>13800.213</v>
      </c>
    </row>
    <row r="4706" spans="1:5" x14ac:dyDescent="0.35">
      <c r="A4706" s="1" t="s">
        <v>20015</v>
      </c>
      <c r="B4706" s="1" t="s">
        <v>18</v>
      </c>
      <c r="C4706" s="1" t="s">
        <v>798</v>
      </c>
      <c r="D4706" s="1" t="s">
        <v>18</v>
      </c>
      <c r="E4706" s="250">
        <v>13800.214</v>
      </c>
    </row>
    <row r="4707" spans="1:5" x14ac:dyDescent="0.35">
      <c r="A4707" s="1" t="s">
        <v>20016</v>
      </c>
      <c r="B4707" s="1" t="s">
        <v>18</v>
      </c>
      <c r="C4707" s="1" t="s">
        <v>797</v>
      </c>
      <c r="D4707" s="1" t="s">
        <v>18</v>
      </c>
      <c r="E4707" s="250">
        <v>13800.215</v>
      </c>
    </row>
    <row r="4708" spans="1:5" x14ac:dyDescent="0.35">
      <c r="A4708" s="1" t="s">
        <v>20017</v>
      </c>
      <c r="B4708" s="1" t="s">
        <v>18</v>
      </c>
      <c r="C4708" s="1" t="s">
        <v>796</v>
      </c>
      <c r="D4708" s="1" t="s">
        <v>18</v>
      </c>
      <c r="E4708" s="250">
        <v>13800.217000000001</v>
      </c>
    </row>
    <row r="4709" spans="1:5" x14ac:dyDescent="0.35">
      <c r="A4709" s="1" t="s">
        <v>20018</v>
      </c>
      <c r="B4709" s="1" t="s">
        <v>18</v>
      </c>
      <c r="C4709" s="1" t="s">
        <v>795</v>
      </c>
      <c r="D4709" s="1" t="s">
        <v>18</v>
      </c>
      <c r="E4709" s="250">
        <v>13800.218000000001</v>
      </c>
    </row>
    <row r="4710" spans="1:5" x14ac:dyDescent="0.35">
      <c r="A4710" s="1" t="s">
        <v>20019</v>
      </c>
      <c r="B4710" s="1" t="s">
        <v>18</v>
      </c>
      <c r="C4710" s="1" t="s">
        <v>794</v>
      </c>
      <c r="D4710" s="1" t="s">
        <v>18</v>
      </c>
      <c r="E4710" s="250">
        <v>13800.218999999999</v>
      </c>
    </row>
    <row r="4711" spans="1:5" x14ac:dyDescent="0.35">
      <c r="A4711" s="1" t="s">
        <v>20020</v>
      </c>
      <c r="B4711" s="1" t="s">
        <v>18</v>
      </c>
      <c r="C4711" s="1" t="s">
        <v>793</v>
      </c>
      <c r="D4711" s="1" t="s">
        <v>18</v>
      </c>
      <c r="E4711" s="250">
        <v>13800.221</v>
      </c>
    </row>
    <row r="4712" spans="1:5" x14ac:dyDescent="0.35">
      <c r="A4712" s="1" t="s">
        <v>20021</v>
      </c>
      <c r="B4712" s="1" t="s">
        <v>18</v>
      </c>
      <c r="C4712" s="1" t="s">
        <v>792</v>
      </c>
      <c r="D4712" s="1" t="s">
        <v>18</v>
      </c>
      <c r="E4712" s="250">
        <v>13800.222</v>
      </c>
    </row>
    <row r="4713" spans="1:5" x14ac:dyDescent="0.35">
      <c r="A4713" s="1" t="s">
        <v>20022</v>
      </c>
      <c r="B4713" s="1" t="s">
        <v>18</v>
      </c>
      <c r="C4713" s="1" t="s">
        <v>791</v>
      </c>
      <c r="D4713" s="1" t="s">
        <v>18</v>
      </c>
      <c r="E4713" s="250">
        <v>13800.223</v>
      </c>
    </row>
    <row r="4714" spans="1:5" x14ac:dyDescent="0.35">
      <c r="A4714" s="1" t="s">
        <v>20023</v>
      </c>
      <c r="B4714" s="1" t="s">
        <v>18</v>
      </c>
      <c r="C4714" s="1" t="s">
        <v>790</v>
      </c>
      <c r="D4714" s="1" t="s">
        <v>18</v>
      </c>
      <c r="E4714" s="250">
        <v>13800.225</v>
      </c>
    </row>
    <row r="4715" spans="1:5" x14ac:dyDescent="0.35">
      <c r="A4715" s="1" t="s">
        <v>20024</v>
      </c>
      <c r="B4715" s="1" t="s">
        <v>18</v>
      </c>
      <c r="C4715" s="1" t="s">
        <v>789</v>
      </c>
      <c r="D4715" s="1" t="s">
        <v>18</v>
      </c>
      <c r="E4715" s="250">
        <v>13800.226000000001</v>
      </c>
    </row>
    <row r="4716" spans="1:5" x14ac:dyDescent="0.35">
      <c r="A4716" s="1" t="s">
        <v>20025</v>
      </c>
      <c r="B4716" s="1" t="s">
        <v>18</v>
      </c>
      <c r="C4716" s="1" t="s">
        <v>788</v>
      </c>
      <c r="D4716" s="1" t="s">
        <v>18</v>
      </c>
      <c r="E4716" s="250">
        <v>13800.227000000001</v>
      </c>
    </row>
    <row r="4717" spans="1:5" x14ac:dyDescent="0.35">
      <c r="A4717" s="1" t="s">
        <v>20026</v>
      </c>
      <c r="B4717" s="1" t="s">
        <v>57</v>
      </c>
      <c r="C4717" s="1" t="s">
        <v>803</v>
      </c>
      <c r="D4717" s="1" t="s">
        <v>57</v>
      </c>
      <c r="E4717" s="250">
        <v>13800.23</v>
      </c>
    </row>
    <row r="4718" spans="1:5" x14ac:dyDescent="0.35">
      <c r="A4718" s="1" t="s">
        <v>20027</v>
      </c>
      <c r="B4718" s="1" t="s">
        <v>18</v>
      </c>
      <c r="C4718" s="1" t="s">
        <v>799</v>
      </c>
      <c r="D4718" s="1" t="s">
        <v>18</v>
      </c>
      <c r="E4718" s="250">
        <v>13800.231</v>
      </c>
    </row>
    <row r="4719" spans="1:5" x14ac:dyDescent="0.35">
      <c r="A4719" s="1" t="s">
        <v>20028</v>
      </c>
      <c r="B4719" s="1" t="s">
        <v>18</v>
      </c>
      <c r="C4719" s="1" t="s">
        <v>798</v>
      </c>
      <c r="D4719" s="1" t="s">
        <v>18</v>
      </c>
      <c r="E4719" s="250">
        <v>13800.232</v>
      </c>
    </row>
    <row r="4720" spans="1:5" x14ac:dyDescent="0.35">
      <c r="A4720" s="1" t="s">
        <v>20029</v>
      </c>
      <c r="B4720" s="1" t="s">
        <v>18</v>
      </c>
      <c r="C4720" s="1" t="s">
        <v>797</v>
      </c>
      <c r="D4720" s="1" t="s">
        <v>18</v>
      </c>
      <c r="E4720" s="250">
        <v>13800.233</v>
      </c>
    </row>
    <row r="4721" spans="1:5" x14ac:dyDescent="0.35">
      <c r="A4721" s="1" t="s">
        <v>20030</v>
      </c>
      <c r="B4721" s="1" t="s">
        <v>18</v>
      </c>
      <c r="C4721" s="1" t="s">
        <v>796</v>
      </c>
      <c r="D4721" s="1" t="s">
        <v>18</v>
      </c>
      <c r="E4721" s="250">
        <v>13800.235000000001</v>
      </c>
    </row>
    <row r="4722" spans="1:5" x14ac:dyDescent="0.35">
      <c r="A4722" s="1" t="s">
        <v>20031</v>
      </c>
      <c r="B4722" s="1" t="s">
        <v>18</v>
      </c>
      <c r="C4722" s="1" t="s">
        <v>795</v>
      </c>
      <c r="D4722" s="1" t="s">
        <v>18</v>
      </c>
      <c r="E4722" s="250">
        <v>13800.236000000001</v>
      </c>
    </row>
    <row r="4723" spans="1:5" x14ac:dyDescent="0.35">
      <c r="A4723" s="1" t="s">
        <v>20032</v>
      </c>
      <c r="B4723" s="1" t="s">
        <v>18</v>
      </c>
      <c r="C4723" s="1" t="s">
        <v>794</v>
      </c>
      <c r="D4723" s="1" t="s">
        <v>18</v>
      </c>
      <c r="E4723" s="250">
        <v>13800.236999999999</v>
      </c>
    </row>
    <row r="4724" spans="1:5" x14ac:dyDescent="0.35">
      <c r="A4724" s="1" t="s">
        <v>20033</v>
      </c>
      <c r="B4724" s="1" t="s">
        <v>18</v>
      </c>
      <c r="C4724" s="1" t="s">
        <v>793</v>
      </c>
      <c r="D4724" s="1" t="s">
        <v>18</v>
      </c>
      <c r="E4724" s="250">
        <v>13800.239</v>
      </c>
    </row>
    <row r="4725" spans="1:5" x14ac:dyDescent="0.35">
      <c r="A4725" s="1" t="s">
        <v>20034</v>
      </c>
      <c r="B4725" s="1" t="s">
        <v>18</v>
      </c>
      <c r="C4725" s="1" t="s">
        <v>792</v>
      </c>
      <c r="D4725" s="1" t="s">
        <v>18</v>
      </c>
      <c r="E4725" s="250">
        <v>13800.24</v>
      </c>
    </row>
    <row r="4726" spans="1:5" x14ac:dyDescent="0.35">
      <c r="A4726" s="1" t="s">
        <v>20035</v>
      </c>
      <c r="B4726" s="1" t="s">
        <v>18</v>
      </c>
      <c r="C4726" s="1" t="s">
        <v>791</v>
      </c>
      <c r="D4726" s="1" t="s">
        <v>18</v>
      </c>
      <c r="E4726" s="250">
        <v>13800.241</v>
      </c>
    </row>
    <row r="4727" spans="1:5" x14ac:dyDescent="0.35">
      <c r="A4727" s="1" t="s">
        <v>20036</v>
      </c>
      <c r="B4727" s="1" t="s">
        <v>18</v>
      </c>
      <c r="C4727" s="1" t="s">
        <v>790</v>
      </c>
      <c r="D4727" s="1" t="s">
        <v>18</v>
      </c>
      <c r="E4727" s="250">
        <v>13800.243</v>
      </c>
    </row>
    <row r="4728" spans="1:5" x14ac:dyDescent="0.35">
      <c r="A4728" s="1" t="s">
        <v>20037</v>
      </c>
      <c r="B4728" s="1" t="s">
        <v>18</v>
      </c>
      <c r="C4728" s="1" t="s">
        <v>789</v>
      </c>
      <c r="D4728" s="1" t="s">
        <v>18</v>
      </c>
      <c r="E4728" s="250">
        <v>13800.244000000001</v>
      </c>
    </row>
    <row r="4729" spans="1:5" x14ac:dyDescent="0.35">
      <c r="A4729" s="1" t="s">
        <v>20038</v>
      </c>
      <c r="B4729" s="1" t="s">
        <v>18</v>
      </c>
      <c r="C4729" s="1" t="s">
        <v>788</v>
      </c>
      <c r="D4729" s="1" t="s">
        <v>18</v>
      </c>
      <c r="E4729" s="250">
        <v>13800.245000000001</v>
      </c>
    </row>
    <row r="4730" spans="1:5" x14ac:dyDescent="0.35">
      <c r="A4730" s="1" t="s">
        <v>20039</v>
      </c>
      <c r="B4730" s="1" t="s">
        <v>57</v>
      </c>
      <c r="C4730" s="1" t="s">
        <v>802</v>
      </c>
      <c r="D4730" s="1" t="s">
        <v>57</v>
      </c>
      <c r="E4730" s="250">
        <v>13800.25</v>
      </c>
    </row>
    <row r="4731" spans="1:5" x14ac:dyDescent="0.35">
      <c r="A4731" s="1" t="s">
        <v>20040</v>
      </c>
      <c r="B4731" s="1" t="s">
        <v>18</v>
      </c>
      <c r="C4731" s="1" t="s">
        <v>799</v>
      </c>
      <c r="D4731" s="1" t="s">
        <v>18</v>
      </c>
      <c r="E4731" s="250">
        <v>13800.251</v>
      </c>
    </row>
    <row r="4732" spans="1:5" x14ac:dyDescent="0.35">
      <c r="A4732" s="1" t="s">
        <v>20041</v>
      </c>
      <c r="B4732" s="1" t="s">
        <v>18</v>
      </c>
      <c r="C4732" s="1" t="s">
        <v>798</v>
      </c>
      <c r="D4732" s="1" t="s">
        <v>18</v>
      </c>
      <c r="E4732" s="250">
        <v>13800.252</v>
      </c>
    </row>
    <row r="4733" spans="1:5" x14ac:dyDescent="0.35">
      <c r="A4733" s="1" t="s">
        <v>20042</v>
      </c>
      <c r="B4733" s="1" t="s">
        <v>18</v>
      </c>
      <c r="C4733" s="1" t="s">
        <v>797</v>
      </c>
      <c r="D4733" s="1" t="s">
        <v>18</v>
      </c>
      <c r="E4733" s="250">
        <v>13800.253000000001</v>
      </c>
    </row>
    <row r="4734" spans="1:5" x14ac:dyDescent="0.35">
      <c r="A4734" s="1" t="s">
        <v>20043</v>
      </c>
      <c r="B4734" s="1" t="s">
        <v>18</v>
      </c>
      <c r="C4734" s="1" t="s">
        <v>796</v>
      </c>
      <c r="D4734" s="1" t="s">
        <v>18</v>
      </c>
      <c r="E4734" s="250">
        <v>13800.254999999999</v>
      </c>
    </row>
    <row r="4735" spans="1:5" x14ac:dyDescent="0.35">
      <c r="A4735" s="1" t="s">
        <v>20044</v>
      </c>
      <c r="B4735" s="1" t="s">
        <v>18</v>
      </c>
      <c r="C4735" s="1" t="s">
        <v>795</v>
      </c>
      <c r="D4735" s="1" t="s">
        <v>18</v>
      </c>
      <c r="E4735" s="250">
        <v>13800.255999999999</v>
      </c>
    </row>
    <row r="4736" spans="1:5" x14ac:dyDescent="0.35">
      <c r="A4736" s="1" t="s">
        <v>20045</v>
      </c>
      <c r="B4736" s="1" t="s">
        <v>18</v>
      </c>
      <c r="C4736" s="1" t="s">
        <v>794</v>
      </c>
      <c r="D4736" s="1" t="s">
        <v>18</v>
      </c>
      <c r="E4736" s="250">
        <v>13800.257</v>
      </c>
    </row>
    <row r="4737" spans="1:5" x14ac:dyDescent="0.35">
      <c r="A4737" s="1" t="s">
        <v>20046</v>
      </c>
      <c r="B4737" s="1" t="s">
        <v>18</v>
      </c>
      <c r="C4737" s="1" t="s">
        <v>793</v>
      </c>
      <c r="D4737" s="1" t="s">
        <v>18</v>
      </c>
      <c r="E4737" s="250">
        <v>13800.259</v>
      </c>
    </row>
    <row r="4738" spans="1:5" x14ac:dyDescent="0.35">
      <c r="A4738" s="1" t="s">
        <v>20047</v>
      </c>
      <c r="B4738" s="1" t="s">
        <v>18</v>
      </c>
      <c r="C4738" s="1" t="s">
        <v>792</v>
      </c>
      <c r="D4738" s="1" t="s">
        <v>18</v>
      </c>
      <c r="E4738" s="250">
        <v>13800.26</v>
      </c>
    </row>
    <row r="4739" spans="1:5" x14ac:dyDescent="0.35">
      <c r="A4739" s="1" t="s">
        <v>20048</v>
      </c>
      <c r="B4739" s="1" t="s">
        <v>18</v>
      </c>
      <c r="C4739" s="1" t="s">
        <v>791</v>
      </c>
      <c r="D4739" s="1" t="s">
        <v>18</v>
      </c>
      <c r="E4739" s="250">
        <v>13800.261</v>
      </c>
    </row>
    <row r="4740" spans="1:5" x14ac:dyDescent="0.35">
      <c r="A4740" s="1" t="s">
        <v>20049</v>
      </c>
      <c r="B4740" s="1" t="s">
        <v>18</v>
      </c>
      <c r="C4740" s="1" t="s">
        <v>790</v>
      </c>
      <c r="D4740" s="1" t="s">
        <v>18</v>
      </c>
      <c r="E4740" s="250">
        <v>13800.263000000001</v>
      </c>
    </row>
    <row r="4741" spans="1:5" x14ac:dyDescent="0.35">
      <c r="A4741" s="1" t="s">
        <v>20050</v>
      </c>
      <c r="B4741" s="1" t="s">
        <v>18</v>
      </c>
      <c r="C4741" s="1" t="s">
        <v>789</v>
      </c>
      <c r="D4741" s="1" t="s">
        <v>18</v>
      </c>
      <c r="E4741" s="250">
        <v>13800.263999999999</v>
      </c>
    </row>
    <row r="4742" spans="1:5" x14ac:dyDescent="0.35">
      <c r="A4742" s="1" t="s">
        <v>20051</v>
      </c>
      <c r="B4742" s="1" t="s">
        <v>18</v>
      </c>
      <c r="C4742" s="1" t="s">
        <v>788</v>
      </c>
      <c r="D4742" s="1" t="s">
        <v>18</v>
      </c>
      <c r="E4742" s="250">
        <v>13800.264999999999</v>
      </c>
    </row>
    <row r="4743" spans="1:5" x14ac:dyDescent="0.35">
      <c r="A4743" s="1" t="s">
        <v>20052</v>
      </c>
      <c r="B4743" s="1" t="s">
        <v>57</v>
      </c>
      <c r="C4743" s="1" t="s">
        <v>801</v>
      </c>
      <c r="D4743" s="1" t="s">
        <v>57</v>
      </c>
      <c r="E4743" s="250">
        <v>13800.268</v>
      </c>
    </row>
    <row r="4744" spans="1:5" x14ac:dyDescent="0.35">
      <c r="A4744" s="1" t="s">
        <v>20053</v>
      </c>
      <c r="B4744" s="1" t="s">
        <v>18</v>
      </c>
      <c r="C4744" s="1" t="s">
        <v>799</v>
      </c>
      <c r="D4744" s="1" t="s">
        <v>18</v>
      </c>
      <c r="E4744" s="250">
        <v>13800.269</v>
      </c>
    </row>
    <row r="4745" spans="1:5" x14ac:dyDescent="0.35">
      <c r="A4745" s="1" t="s">
        <v>20054</v>
      </c>
      <c r="B4745" s="1" t="s">
        <v>18</v>
      </c>
      <c r="C4745" s="1" t="s">
        <v>798</v>
      </c>
      <c r="D4745" s="1" t="s">
        <v>18</v>
      </c>
      <c r="E4745" s="250">
        <v>13800.27</v>
      </c>
    </row>
    <row r="4746" spans="1:5" x14ac:dyDescent="0.35">
      <c r="A4746" s="1" t="s">
        <v>20055</v>
      </c>
      <c r="B4746" s="1" t="s">
        <v>18</v>
      </c>
      <c r="C4746" s="1" t="s">
        <v>797</v>
      </c>
      <c r="D4746" s="1" t="s">
        <v>18</v>
      </c>
      <c r="E4746" s="250">
        <v>13800.271000000001</v>
      </c>
    </row>
    <row r="4747" spans="1:5" x14ac:dyDescent="0.35">
      <c r="A4747" s="1" t="s">
        <v>20056</v>
      </c>
      <c r="B4747" s="1" t="s">
        <v>18</v>
      </c>
      <c r="C4747" s="1" t="s">
        <v>796</v>
      </c>
      <c r="D4747" s="1" t="s">
        <v>18</v>
      </c>
      <c r="E4747" s="250">
        <v>13800.272999999999</v>
      </c>
    </row>
    <row r="4748" spans="1:5" x14ac:dyDescent="0.35">
      <c r="A4748" s="1" t="s">
        <v>20057</v>
      </c>
      <c r="B4748" s="1" t="s">
        <v>18</v>
      </c>
      <c r="C4748" s="1" t="s">
        <v>795</v>
      </c>
      <c r="D4748" s="1" t="s">
        <v>18</v>
      </c>
      <c r="E4748" s="250">
        <v>13800.273999999999</v>
      </c>
    </row>
    <row r="4749" spans="1:5" x14ac:dyDescent="0.35">
      <c r="A4749" s="1" t="s">
        <v>20058</v>
      </c>
      <c r="B4749" s="1" t="s">
        <v>18</v>
      </c>
      <c r="C4749" s="1" t="s">
        <v>794</v>
      </c>
      <c r="D4749" s="1" t="s">
        <v>18</v>
      </c>
      <c r="E4749" s="250">
        <v>13800.275</v>
      </c>
    </row>
    <row r="4750" spans="1:5" x14ac:dyDescent="0.35">
      <c r="A4750" s="1" t="s">
        <v>20059</v>
      </c>
      <c r="B4750" s="1" t="s">
        <v>18</v>
      </c>
      <c r="C4750" s="1" t="s">
        <v>793</v>
      </c>
      <c r="D4750" s="1" t="s">
        <v>18</v>
      </c>
      <c r="E4750" s="250">
        <v>13800.277</v>
      </c>
    </row>
    <row r="4751" spans="1:5" x14ac:dyDescent="0.35">
      <c r="A4751" s="1" t="s">
        <v>20060</v>
      </c>
      <c r="B4751" s="1" t="s">
        <v>18</v>
      </c>
      <c r="C4751" s="1" t="s">
        <v>792</v>
      </c>
      <c r="D4751" s="1" t="s">
        <v>18</v>
      </c>
      <c r="E4751" s="250">
        <v>13800.278</v>
      </c>
    </row>
    <row r="4752" spans="1:5" x14ac:dyDescent="0.35">
      <c r="A4752" s="1" t="s">
        <v>20061</v>
      </c>
      <c r="B4752" s="1" t="s">
        <v>18</v>
      </c>
      <c r="C4752" s="1" t="s">
        <v>791</v>
      </c>
      <c r="D4752" s="1" t="s">
        <v>18</v>
      </c>
      <c r="E4752" s="250">
        <v>13800.279</v>
      </c>
    </row>
    <row r="4753" spans="1:5" x14ac:dyDescent="0.35">
      <c r="A4753" s="1" t="s">
        <v>20062</v>
      </c>
      <c r="B4753" s="1" t="s">
        <v>18</v>
      </c>
      <c r="C4753" s="1" t="s">
        <v>790</v>
      </c>
      <c r="D4753" s="1" t="s">
        <v>18</v>
      </c>
      <c r="E4753" s="250">
        <v>13800.281000000001</v>
      </c>
    </row>
    <row r="4754" spans="1:5" x14ac:dyDescent="0.35">
      <c r="A4754" s="1" t="s">
        <v>20063</v>
      </c>
      <c r="B4754" s="1" t="s">
        <v>18</v>
      </c>
      <c r="C4754" s="1" t="s">
        <v>789</v>
      </c>
      <c r="D4754" s="1" t="s">
        <v>18</v>
      </c>
      <c r="E4754" s="250">
        <v>13800.281999999999</v>
      </c>
    </row>
    <row r="4755" spans="1:5" x14ac:dyDescent="0.35">
      <c r="A4755" s="1" t="s">
        <v>20064</v>
      </c>
      <c r="B4755" s="1" t="s">
        <v>18</v>
      </c>
      <c r="C4755" s="1" t="s">
        <v>788</v>
      </c>
      <c r="D4755" s="1" t="s">
        <v>18</v>
      </c>
      <c r="E4755" s="250">
        <v>13800.282999999999</v>
      </c>
    </row>
    <row r="4756" spans="1:5" x14ac:dyDescent="0.35">
      <c r="A4756" s="1" t="s">
        <v>20065</v>
      </c>
      <c r="B4756" s="1" t="s">
        <v>57</v>
      </c>
      <c r="C4756" s="1" t="s">
        <v>800</v>
      </c>
      <c r="D4756" s="1" t="s">
        <v>57</v>
      </c>
      <c r="E4756" s="250">
        <v>13800.285</v>
      </c>
    </row>
    <row r="4757" spans="1:5" x14ac:dyDescent="0.35">
      <c r="A4757" s="1" t="s">
        <v>20066</v>
      </c>
      <c r="B4757" s="1" t="s">
        <v>18</v>
      </c>
      <c r="C4757" s="1" t="s">
        <v>799</v>
      </c>
      <c r="D4757" s="1" t="s">
        <v>18</v>
      </c>
      <c r="E4757" s="250">
        <v>13800.287</v>
      </c>
    </row>
    <row r="4758" spans="1:5" x14ac:dyDescent="0.35">
      <c r="A4758" s="1" t="s">
        <v>20067</v>
      </c>
      <c r="B4758" s="1" t="s">
        <v>18</v>
      </c>
      <c r="C4758" s="1" t="s">
        <v>798</v>
      </c>
      <c r="D4758" s="1" t="s">
        <v>18</v>
      </c>
      <c r="E4758" s="250">
        <v>13800.288</v>
      </c>
    </row>
    <row r="4759" spans="1:5" x14ac:dyDescent="0.35">
      <c r="A4759" s="1" t="s">
        <v>20068</v>
      </c>
      <c r="B4759" s="1" t="s">
        <v>18</v>
      </c>
      <c r="C4759" s="1" t="s">
        <v>797</v>
      </c>
      <c r="D4759" s="1" t="s">
        <v>18</v>
      </c>
      <c r="E4759" s="250">
        <v>13800.289000000001</v>
      </c>
    </row>
    <row r="4760" spans="1:5" x14ac:dyDescent="0.35">
      <c r="A4760" s="1" t="s">
        <v>20069</v>
      </c>
      <c r="B4760" s="1" t="s">
        <v>18</v>
      </c>
      <c r="C4760" s="1" t="s">
        <v>796</v>
      </c>
      <c r="D4760" s="1" t="s">
        <v>18</v>
      </c>
      <c r="E4760" s="250">
        <v>13800.290999999999</v>
      </c>
    </row>
    <row r="4761" spans="1:5" x14ac:dyDescent="0.35">
      <c r="A4761" s="1" t="s">
        <v>20070</v>
      </c>
      <c r="B4761" s="1" t="s">
        <v>18</v>
      </c>
      <c r="C4761" s="1" t="s">
        <v>795</v>
      </c>
      <c r="D4761" s="1" t="s">
        <v>18</v>
      </c>
      <c r="E4761" s="250">
        <v>13800.291999999999</v>
      </c>
    </row>
    <row r="4762" spans="1:5" x14ac:dyDescent="0.35">
      <c r="A4762" s="1" t="s">
        <v>20071</v>
      </c>
      <c r="B4762" s="1" t="s">
        <v>18</v>
      </c>
      <c r="C4762" s="1" t="s">
        <v>794</v>
      </c>
      <c r="D4762" s="1" t="s">
        <v>18</v>
      </c>
      <c r="E4762" s="250">
        <v>13800.293</v>
      </c>
    </row>
    <row r="4763" spans="1:5" x14ac:dyDescent="0.35">
      <c r="A4763" s="1" t="s">
        <v>20072</v>
      </c>
      <c r="B4763" s="1" t="s">
        <v>18</v>
      </c>
      <c r="C4763" s="1" t="s">
        <v>793</v>
      </c>
      <c r="D4763" s="1" t="s">
        <v>18</v>
      </c>
      <c r="E4763" s="250">
        <v>13800.295</v>
      </c>
    </row>
    <row r="4764" spans="1:5" x14ac:dyDescent="0.35">
      <c r="A4764" s="1" t="s">
        <v>20073</v>
      </c>
      <c r="B4764" s="1" t="s">
        <v>18</v>
      </c>
      <c r="C4764" s="1" t="s">
        <v>792</v>
      </c>
      <c r="D4764" s="1" t="s">
        <v>18</v>
      </c>
      <c r="E4764" s="250">
        <v>13800.296</v>
      </c>
    </row>
    <row r="4765" spans="1:5" x14ac:dyDescent="0.35">
      <c r="A4765" s="1" t="s">
        <v>20074</v>
      </c>
      <c r="B4765" s="1" t="s">
        <v>18</v>
      </c>
      <c r="C4765" s="1" t="s">
        <v>791</v>
      </c>
      <c r="D4765" s="1" t="s">
        <v>18</v>
      </c>
      <c r="E4765" s="250">
        <v>13800.297</v>
      </c>
    </row>
    <row r="4766" spans="1:5" x14ac:dyDescent="0.35">
      <c r="A4766" s="1" t="s">
        <v>20075</v>
      </c>
      <c r="B4766" s="1" t="s">
        <v>18</v>
      </c>
      <c r="C4766" s="1" t="s">
        <v>790</v>
      </c>
      <c r="D4766" s="1" t="s">
        <v>18</v>
      </c>
      <c r="E4766" s="250">
        <v>13800.299000000001</v>
      </c>
    </row>
    <row r="4767" spans="1:5" x14ac:dyDescent="0.35">
      <c r="A4767" s="1" t="s">
        <v>20076</v>
      </c>
      <c r="B4767" s="1" t="s">
        <v>18</v>
      </c>
      <c r="C4767" s="1" t="s">
        <v>789</v>
      </c>
      <c r="D4767" s="1" t="s">
        <v>18</v>
      </c>
      <c r="E4767" s="250">
        <v>13800.3</v>
      </c>
    </row>
    <row r="4768" spans="1:5" x14ac:dyDescent="0.35">
      <c r="A4768" s="1" t="s">
        <v>20077</v>
      </c>
      <c r="B4768" s="1" t="s">
        <v>18</v>
      </c>
      <c r="C4768" s="1" t="s">
        <v>788</v>
      </c>
      <c r="D4768" s="1" t="s">
        <v>18</v>
      </c>
      <c r="E4768" s="250">
        <v>13800.300999999999</v>
      </c>
    </row>
    <row r="4769" spans="1:5" x14ac:dyDescent="0.35">
      <c r="A4769" s="1" t="s">
        <v>20078</v>
      </c>
      <c r="B4769" s="1" t="s">
        <v>57</v>
      </c>
      <c r="C4769" s="1" t="s">
        <v>787</v>
      </c>
      <c r="D4769" s="1" t="s">
        <v>57</v>
      </c>
      <c r="E4769" s="250">
        <v>13800.304</v>
      </c>
    </row>
    <row r="4770" spans="1:5" x14ac:dyDescent="0.35">
      <c r="A4770" s="1" t="s">
        <v>20079</v>
      </c>
      <c r="B4770" s="1" t="s">
        <v>18</v>
      </c>
      <c r="C4770" s="1" t="s">
        <v>784</v>
      </c>
      <c r="D4770" s="1" t="s">
        <v>18</v>
      </c>
      <c r="E4770" s="250">
        <v>13800.305</v>
      </c>
    </row>
    <row r="4771" spans="1:5" x14ac:dyDescent="0.35">
      <c r="A4771" s="1" t="s">
        <v>20080</v>
      </c>
      <c r="B4771" s="1" t="s">
        <v>18</v>
      </c>
      <c r="C4771" s="1" t="s">
        <v>783</v>
      </c>
      <c r="D4771" s="1" t="s">
        <v>18</v>
      </c>
      <c r="E4771" s="250">
        <v>13800.306</v>
      </c>
    </row>
    <row r="4772" spans="1:5" x14ac:dyDescent="0.35">
      <c r="A4772" s="1" t="s">
        <v>20081</v>
      </c>
      <c r="B4772" s="1" t="s">
        <v>18</v>
      </c>
      <c r="C4772" s="1" t="s">
        <v>782</v>
      </c>
      <c r="D4772" s="1" t="s">
        <v>18</v>
      </c>
      <c r="E4772" s="250">
        <v>13800.307000000001</v>
      </c>
    </row>
    <row r="4773" spans="1:5" x14ac:dyDescent="0.35">
      <c r="A4773" s="1" t="s">
        <v>20082</v>
      </c>
      <c r="B4773" s="1" t="s">
        <v>18</v>
      </c>
      <c r="C4773" s="1" t="s">
        <v>781</v>
      </c>
      <c r="D4773" s="1" t="s">
        <v>18</v>
      </c>
      <c r="E4773" s="250">
        <v>13800.308999999999</v>
      </c>
    </row>
    <row r="4774" spans="1:5" x14ac:dyDescent="0.35">
      <c r="A4774" s="1" t="s">
        <v>20083</v>
      </c>
      <c r="B4774" s="1" t="s">
        <v>18</v>
      </c>
      <c r="C4774" s="1" t="s">
        <v>780</v>
      </c>
      <c r="D4774" s="1" t="s">
        <v>18</v>
      </c>
      <c r="E4774" s="250">
        <v>13800.31</v>
      </c>
    </row>
    <row r="4775" spans="1:5" x14ac:dyDescent="0.35">
      <c r="A4775" s="1" t="s">
        <v>20084</v>
      </c>
      <c r="B4775" s="1" t="s">
        <v>18</v>
      </c>
      <c r="C4775" s="1" t="s">
        <v>779</v>
      </c>
      <c r="D4775" s="1" t="s">
        <v>18</v>
      </c>
      <c r="E4775" s="250">
        <v>13800.311</v>
      </c>
    </row>
    <row r="4776" spans="1:5" x14ac:dyDescent="0.35">
      <c r="A4776" s="1" t="s">
        <v>20085</v>
      </c>
      <c r="B4776" s="1" t="s">
        <v>18</v>
      </c>
      <c r="C4776" s="1" t="s">
        <v>778</v>
      </c>
      <c r="D4776" s="1" t="s">
        <v>18</v>
      </c>
      <c r="E4776" s="250">
        <v>13800.313</v>
      </c>
    </row>
    <row r="4777" spans="1:5" x14ac:dyDescent="0.35">
      <c r="A4777" s="1" t="s">
        <v>20086</v>
      </c>
      <c r="B4777" s="1" t="s">
        <v>18</v>
      </c>
      <c r="C4777" s="1" t="s">
        <v>777</v>
      </c>
      <c r="D4777" s="1" t="s">
        <v>18</v>
      </c>
      <c r="E4777" s="250">
        <v>13800.314</v>
      </c>
    </row>
    <row r="4778" spans="1:5" x14ac:dyDescent="0.35">
      <c r="A4778" s="1" t="s">
        <v>20087</v>
      </c>
      <c r="B4778" s="1" t="s">
        <v>18</v>
      </c>
      <c r="C4778" s="1" t="s">
        <v>776</v>
      </c>
      <c r="D4778" s="1" t="s">
        <v>18</v>
      </c>
      <c r="E4778" s="250">
        <v>13800.315000000001</v>
      </c>
    </row>
    <row r="4779" spans="1:5" x14ac:dyDescent="0.35">
      <c r="A4779" s="1" t="s">
        <v>20088</v>
      </c>
      <c r="B4779" s="1" t="s">
        <v>18</v>
      </c>
      <c r="C4779" s="1" t="s">
        <v>775</v>
      </c>
      <c r="D4779" s="1" t="s">
        <v>18</v>
      </c>
      <c r="E4779" s="250">
        <v>13800.316999999999</v>
      </c>
    </row>
    <row r="4780" spans="1:5" x14ac:dyDescent="0.35">
      <c r="A4780" s="1" t="s">
        <v>20089</v>
      </c>
      <c r="B4780" s="1" t="s">
        <v>18</v>
      </c>
      <c r="C4780" s="1" t="s">
        <v>774</v>
      </c>
      <c r="D4780" s="1" t="s">
        <v>18</v>
      </c>
      <c r="E4780" s="250">
        <v>13800.317999999999</v>
      </c>
    </row>
    <row r="4781" spans="1:5" x14ac:dyDescent="0.35">
      <c r="A4781" s="1" t="s">
        <v>20090</v>
      </c>
      <c r="B4781" s="1" t="s">
        <v>18</v>
      </c>
      <c r="C4781" s="1" t="s">
        <v>773</v>
      </c>
      <c r="D4781" s="1" t="s">
        <v>18</v>
      </c>
      <c r="E4781" s="250">
        <v>13800.319</v>
      </c>
    </row>
    <row r="4782" spans="1:5" x14ac:dyDescent="0.35">
      <c r="A4782" s="1" t="s">
        <v>20091</v>
      </c>
      <c r="B4782" s="1" t="s">
        <v>57</v>
      </c>
      <c r="C4782" s="1" t="s">
        <v>786</v>
      </c>
      <c r="D4782" s="1" t="s">
        <v>57</v>
      </c>
      <c r="E4782" s="250">
        <v>13800.321</v>
      </c>
    </row>
    <row r="4783" spans="1:5" x14ac:dyDescent="0.35">
      <c r="A4783" s="1" t="s">
        <v>20092</v>
      </c>
      <c r="B4783" s="1" t="s">
        <v>18</v>
      </c>
      <c r="C4783" s="1" t="s">
        <v>784</v>
      </c>
      <c r="D4783" s="1" t="s">
        <v>18</v>
      </c>
      <c r="E4783" s="250">
        <v>13800.323</v>
      </c>
    </row>
    <row r="4784" spans="1:5" x14ac:dyDescent="0.35">
      <c r="A4784" s="1" t="s">
        <v>20093</v>
      </c>
      <c r="B4784" s="1" t="s">
        <v>18</v>
      </c>
      <c r="C4784" s="1" t="s">
        <v>783</v>
      </c>
      <c r="D4784" s="1" t="s">
        <v>18</v>
      </c>
      <c r="E4784" s="250">
        <v>13800.324000000001</v>
      </c>
    </row>
    <row r="4785" spans="1:5" x14ac:dyDescent="0.35">
      <c r="A4785" s="1" t="s">
        <v>20094</v>
      </c>
      <c r="B4785" s="1" t="s">
        <v>18</v>
      </c>
      <c r="C4785" s="1" t="s">
        <v>782</v>
      </c>
      <c r="D4785" s="1" t="s">
        <v>18</v>
      </c>
      <c r="E4785" s="250">
        <v>13800.325000000001</v>
      </c>
    </row>
    <row r="4786" spans="1:5" x14ac:dyDescent="0.35">
      <c r="A4786" s="1" t="s">
        <v>20095</v>
      </c>
      <c r="B4786" s="1" t="s">
        <v>18</v>
      </c>
      <c r="C4786" s="1" t="s">
        <v>781</v>
      </c>
      <c r="D4786" s="1" t="s">
        <v>18</v>
      </c>
      <c r="E4786" s="250">
        <v>13800.326999999999</v>
      </c>
    </row>
    <row r="4787" spans="1:5" x14ac:dyDescent="0.35">
      <c r="A4787" s="1" t="s">
        <v>20096</v>
      </c>
      <c r="B4787" s="1" t="s">
        <v>18</v>
      </c>
      <c r="C4787" s="1" t="s">
        <v>780</v>
      </c>
      <c r="D4787" s="1" t="s">
        <v>18</v>
      </c>
      <c r="E4787" s="250">
        <v>13800.328</v>
      </c>
    </row>
    <row r="4788" spans="1:5" x14ac:dyDescent="0.35">
      <c r="A4788" s="1" t="s">
        <v>20097</v>
      </c>
      <c r="B4788" s="1" t="s">
        <v>18</v>
      </c>
      <c r="C4788" s="1" t="s">
        <v>779</v>
      </c>
      <c r="D4788" s="1" t="s">
        <v>18</v>
      </c>
      <c r="E4788" s="250">
        <v>13800.329</v>
      </c>
    </row>
    <row r="4789" spans="1:5" x14ac:dyDescent="0.35">
      <c r="A4789" s="1" t="s">
        <v>20098</v>
      </c>
      <c r="B4789" s="1" t="s">
        <v>18</v>
      </c>
      <c r="C4789" s="1" t="s">
        <v>778</v>
      </c>
      <c r="D4789" s="1" t="s">
        <v>18</v>
      </c>
      <c r="E4789" s="250">
        <v>13800.331</v>
      </c>
    </row>
    <row r="4790" spans="1:5" x14ac:dyDescent="0.35">
      <c r="A4790" s="1" t="s">
        <v>20099</v>
      </c>
      <c r="B4790" s="1" t="s">
        <v>18</v>
      </c>
      <c r="C4790" s="1" t="s">
        <v>777</v>
      </c>
      <c r="D4790" s="1" t="s">
        <v>18</v>
      </c>
      <c r="E4790" s="250">
        <v>13800.332</v>
      </c>
    </row>
    <row r="4791" spans="1:5" x14ac:dyDescent="0.35">
      <c r="A4791" s="1" t="s">
        <v>20100</v>
      </c>
      <c r="B4791" s="1" t="s">
        <v>18</v>
      </c>
      <c r="C4791" s="1" t="s">
        <v>776</v>
      </c>
      <c r="D4791" s="1" t="s">
        <v>18</v>
      </c>
      <c r="E4791" s="250">
        <v>13800.333000000001</v>
      </c>
    </row>
    <row r="4792" spans="1:5" x14ac:dyDescent="0.35">
      <c r="A4792" s="1" t="s">
        <v>20101</v>
      </c>
      <c r="B4792" s="1" t="s">
        <v>18</v>
      </c>
      <c r="C4792" s="1" t="s">
        <v>775</v>
      </c>
      <c r="D4792" s="1" t="s">
        <v>18</v>
      </c>
      <c r="E4792" s="250">
        <v>13800.334999999999</v>
      </c>
    </row>
    <row r="4793" spans="1:5" x14ac:dyDescent="0.35">
      <c r="A4793" s="1" t="s">
        <v>20102</v>
      </c>
      <c r="B4793" s="1" t="s">
        <v>18</v>
      </c>
      <c r="C4793" s="1" t="s">
        <v>774</v>
      </c>
      <c r="D4793" s="1" t="s">
        <v>18</v>
      </c>
      <c r="E4793" s="250">
        <v>13800.335999999999</v>
      </c>
    </row>
    <row r="4794" spans="1:5" x14ac:dyDescent="0.35">
      <c r="A4794" s="1" t="s">
        <v>20103</v>
      </c>
      <c r="B4794" s="1" t="s">
        <v>18</v>
      </c>
      <c r="C4794" s="1" t="s">
        <v>773</v>
      </c>
      <c r="D4794" s="1" t="s">
        <v>18</v>
      </c>
      <c r="E4794" s="250">
        <v>13800.337</v>
      </c>
    </row>
    <row r="4795" spans="1:5" x14ac:dyDescent="0.35">
      <c r="A4795" s="1" t="s">
        <v>20104</v>
      </c>
      <c r="B4795" s="1" t="s">
        <v>57</v>
      </c>
      <c r="C4795" s="1" t="s">
        <v>785</v>
      </c>
      <c r="D4795" s="1" t="s">
        <v>57</v>
      </c>
      <c r="E4795" s="250">
        <v>13800.34</v>
      </c>
    </row>
    <row r="4796" spans="1:5" x14ac:dyDescent="0.35">
      <c r="A4796" s="1" t="s">
        <v>20105</v>
      </c>
      <c r="B4796" s="1" t="s">
        <v>18</v>
      </c>
      <c r="C4796" s="1" t="s">
        <v>784</v>
      </c>
      <c r="D4796" s="1" t="s">
        <v>18</v>
      </c>
      <c r="E4796" s="250">
        <v>13800.341</v>
      </c>
    </row>
    <row r="4797" spans="1:5" x14ac:dyDescent="0.35">
      <c r="A4797" s="1" t="s">
        <v>20106</v>
      </c>
      <c r="B4797" s="1" t="s">
        <v>18</v>
      </c>
      <c r="C4797" s="1" t="s">
        <v>783</v>
      </c>
      <c r="D4797" s="1" t="s">
        <v>18</v>
      </c>
      <c r="E4797" s="250">
        <v>13800.342000000001</v>
      </c>
    </row>
    <row r="4798" spans="1:5" x14ac:dyDescent="0.35">
      <c r="A4798" s="1" t="s">
        <v>20107</v>
      </c>
      <c r="B4798" s="1" t="s">
        <v>18</v>
      </c>
      <c r="C4798" s="1" t="s">
        <v>782</v>
      </c>
      <c r="D4798" s="1" t="s">
        <v>18</v>
      </c>
      <c r="E4798" s="250">
        <v>13800.343000000001</v>
      </c>
    </row>
    <row r="4799" spans="1:5" x14ac:dyDescent="0.35">
      <c r="A4799" s="1" t="s">
        <v>20108</v>
      </c>
      <c r="B4799" s="1" t="s">
        <v>18</v>
      </c>
      <c r="C4799" s="1" t="s">
        <v>781</v>
      </c>
      <c r="D4799" s="1" t="s">
        <v>18</v>
      </c>
      <c r="E4799" s="250">
        <v>13800.344999999999</v>
      </c>
    </row>
    <row r="4800" spans="1:5" x14ac:dyDescent="0.35">
      <c r="A4800" s="1" t="s">
        <v>20109</v>
      </c>
      <c r="B4800" s="1" t="s">
        <v>18</v>
      </c>
      <c r="C4800" s="1" t="s">
        <v>780</v>
      </c>
      <c r="D4800" s="1" t="s">
        <v>18</v>
      </c>
      <c r="E4800" s="250">
        <v>13800.346</v>
      </c>
    </row>
    <row r="4801" spans="1:5" x14ac:dyDescent="0.35">
      <c r="A4801" s="1" t="s">
        <v>20110</v>
      </c>
      <c r="B4801" s="1" t="s">
        <v>18</v>
      </c>
      <c r="C4801" s="1" t="s">
        <v>779</v>
      </c>
      <c r="D4801" s="1" t="s">
        <v>18</v>
      </c>
      <c r="E4801" s="250">
        <v>13800.347</v>
      </c>
    </row>
    <row r="4802" spans="1:5" x14ac:dyDescent="0.35">
      <c r="A4802" s="1" t="s">
        <v>20111</v>
      </c>
      <c r="B4802" s="1" t="s">
        <v>18</v>
      </c>
      <c r="C4802" s="1" t="s">
        <v>778</v>
      </c>
      <c r="D4802" s="1" t="s">
        <v>18</v>
      </c>
      <c r="E4802" s="250">
        <v>13800.349</v>
      </c>
    </row>
    <row r="4803" spans="1:5" x14ac:dyDescent="0.35">
      <c r="A4803" s="1" t="s">
        <v>20112</v>
      </c>
      <c r="B4803" s="1" t="s">
        <v>18</v>
      </c>
      <c r="C4803" s="1" t="s">
        <v>777</v>
      </c>
      <c r="D4803" s="1" t="s">
        <v>18</v>
      </c>
      <c r="E4803" s="250">
        <v>13800.35</v>
      </c>
    </row>
    <row r="4804" spans="1:5" x14ac:dyDescent="0.35">
      <c r="A4804" s="1" t="s">
        <v>20113</v>
      </c>
      <c r="B4804" s="1" t="s">
        <v>18</v>
      </c>
      <c r="C4804" s="1" t="s">
        <v>776</v>
      </c>
      <c r="D4804" s="1" t="s">
        <v>18</v>
      </c>
      <c r="E4804" s="250">
        <v>13800.351000000001</v>
      </c>
    </row>
    <row r="4805" spans="1:5" x14ac:dyDescent="0.35">
      <c r="A4805" s="1" t="s">
        <v>20114</v>
      </c>
      <c r="B4805" s="1" t="s">
        <v>18</v>
      </c>
      <c r="C4805" s="1" t="s">
        <v>775</v>
      </c>
      <c r="D4805" s="1" t="s">
        <v>18</v>
      </c>
      <c r="E4805" s="250">
        <v>13800.352999999999</v>
      </c>
    </row>
    <row r="4806" spans="1:5" x14ac:dyDescent="0.35">
      <c r="A4806" s="1" t="s">
        <v>20115</v>
      </c>
      <c r="B4806" s="1" t="s">
        <v>18</v>
      </c>
      <c r="C4806" s="1" t="s">
        <v>774</v>
      </c>
      <c r="D4806" s="1" t="s">
        <v>18</v>
      </c>
      <c r="E4806" s="250">
        <v>13800.353999999999</v>
      </c>
    </row>
    <row r="4807" spans="1:5" x14ac:dyDescent="0.35">
      <c r="A4807" s="1" t="s">
        <v>20116</v>
      </c>
      <c r="B4807" s="1" t="s">
        <v>18</v>
      </c>
      <c r="C4807" s="1" t="s">
        <v>773</v>
      </c>
      <c r="D4807" s="1" t="s">
        <v>18</v>
      </c>
      <c r="E4807" s="250">
        <v>13800.355</v>
      </c>
    </row>
    <row r="4808" spans="1:5" x14ac:dyDescent="0.35">
      <c r="A4808" s="1" t="s">
        <v>20117</v>
      </c>
      <c r="B4808" s="1" t="s">
        <v>18</v>
      </c>
      <c r="C4808" s="1" t="s">
        <v>772</v>
      </c>
      <c r="D4808" s="1" t="s">
        <v>18</v>
      </c>
      <c r="E4808" s="250">
        <v>13800.359</v>
      </c>
    </row>
    <row r="4809" spans="1:5" x14ac:dyDescent="0.35">
      <c r="A4809" s="1" t="s">
        <v>20118</v>
      </c>
      <c r="B4809" s="1" t="s">
        <v>57</v>
      </c>
      <c r="C4809" s="1" t="s">
        <v>771</v>
      </c>
      <c r="D4809" s="1" t="s">
        <v>57</v>
      </c>
      <c r="E4809" s="250">
        <v>13800.36</v>
      </c>
    </row>
    <row r="4810" spans="1:5" x14ac:dyDescent="0.35">
      <c r="A4810" s="1" t="s">
        <v>20119</v>
      </c>
      <c r="B4810" s="1" t="s">
        <v>57</v>
      </c>
      <c r="C4810" s="1" t="s">
        <v>770</v>
      </c>
      <c r="D4810" s="1" t="s">
        <v>57</v>
      </c>
      <c r="E4810" s="250">
        <v>13800.361000000001</v>
      </c>
    </row>
    <row r="4811" spans="1:5" x14ac:dyDescent="0.35">
      <c r="A4811" s="1" t="s">
        <v>20120</v>
      </c>
      <c r="B4811" s="1" t="s">
        <v>18</v>
      </c>
      <c r="C4811" s="1" t="s">
        <v>766</v>
      </c>
      <c r="D4811" s="1" t="s">
        <v>18</v>
      </c>
      <c r="E4811" s="250">
        <v>13800.361999999999</v>
      </c>
    </row>
    <row r="4812" spans="1:5" x14ac:dyDescent="0.35">
      <c r="A4812" s="1" t="s">
        <v>20121</v>
      </c>
      <c r="B4812" s="1" t="s">
        <v>18</v>
      </c>
      <c r="C4812" s="1" t="s">
        <v>765</v>
      </c>
      <c r="D4812" s="1" t="s">
        <v>18</v>
      </c>
      <c r="E4812" s="250">
        <v>13800.362999999999</v>
      </c>
    </row>
    <row r="4813" spans="1:5" x14ac:dyDescent="0.35">
      <c r="A4813" s="1" t="s">
        <v>20122</v>
      </c>
      <c r="B4813" s="1" t="s">
        <v>18</v>
      </c>
      <c r="C4813" s="1" t="s">
        <v>764</v>
      </c>
      <c r="D4813" s="1" t="s">
        <v>18</v>
      </c>
      <c r="E4813" s="250">
        <v>13800.364</v>
      </c>
    </row>
    <row r="4814" spans="1:5" x14ac:dyDescent="0.35">
      <c r="A4814" s="1" t="s">
        <v>20123</v>
      </c>
      <c r="B4814" s="1" t="s">
        <v>18</v>
      </c>
      <c r="C4814" s="1" t="s">
        <v>763</v>
      </c>
      <c r="D4814" s="1" t="s">
        <v>18</v>
      </c>
      <c r="E4814" s="250">
        <v>13800.365</v>
      </c>
    </row>
    <row r="4815" spans="1:5" x14ac:dyDescent="0.35">
      <c r="A4815" s="1" t="s">
        <v>20124</v>
      </c>
      <c r="B4815" s="1" t="s">
        <v>18</v>
      </c>
      <c r="C4815" s="1" t="s">
        <v>762</v>
      </c>
      <c r="D4815" s="1" t="s">
        <v>18</v>
      </c>
      <c r="E4815" s="250">
        <v>13800.366</v>
      </c>
    </row>
    <row r="4816" spans="1:5" x14ac:dyDescent="0.35">
      <c r="A4816" s="1" t="s">
        <v>20125</v>
      </c>
      <c r="B4816" s="1" t="s">
        <v>18</v>
      </c>
      <c r="C4816" s="1" t="s">
        <v>761</v>
      </c>
      <c r="D4816" s="1" t="s">
        <v>18</v>
      </c>
      <c r="E4816" s="250">
        <v>13800.367</v>
      </c>
    </row>
    <row r="4817" spans="1:5" x14ac:dyDescent="0.35">
      <c r="A4817" s="1" t="s">
        <v>20126</v>
      </c>
      <c r="B4817" s="1" t="s">
        <v>18</v>
      </c>
      <c r="C4817" s="1" t="s">
        <v>760</v>
      </c>
      <c r="D4817" s="1" t="s">
        <v>18</v>
      </c>
      <c r="E4817" s="250">
        <v>13800.368</v>
      </c>
    </row>
    <row r="4818" spans="1:5" x14ac:dyDescent="0.35">
      <c r="A4818" s="1" t="s">
        <v>20127</v>
      </c>
      <c r="B4818" s="1" t="s">
        <v>18</v>
      </c>
      <c r="C4818" s="1" t="s">
        <v>759</v>
      </c>
      <c r="D4818" s="1" t="s">
        <v>18</v>
      </c>
      <c r="E4818" s="250">
        <v>13800.369000000001</v>
      </c>
    </row>
    <row r="4819" spans="1:5" x14ac:dyDescent="0.35">
      <c r="A4819" s="1" t="s">
        <v>20128</v>
      </c>
      <c r="B4819" s="1" t="s">
        <v>57</v>
      </c>
      <c r="C4819" s="1" t="s">
        <v>769</v>
      </c>
      <c r="D4819" s="1" t="s">
        <v>57</v>
      </c>
      <c r="E4819" s="250">
        <v>13800.375</v>
      </c>
    </row>
    <row r="4820" spans="1:5" x14ac:dyDescent="0.35">
      <c r="A4820" s="1" t="s">
        <v>20129</v>
      </c>
      <c r="B4820" s="1" t="s">
        <v>18</v>
      </c>
      <c r="C4820" s="1" t="s">
        <v>766</v>
      </c>
      <c r="D4820" s="1" t="s">
        <v>18</v>
      </c>
      <c r="E4820" s="250">
        <v>13800.376</v>
      </c>
    </row>
    <row r="4821" spans="1:5" x14ac:dyDescent="0.35">
      <c r="A4821" s="1" t="s">
        <v>20130</v>
      </c>
      <c r="B4821" s="1" t="s">
        <v>18</v>
      </c>
      <c r="C4821" s="1" t="s">
        <v>765</v>
      </c>
      <c r="D4821" s="1" t="s">
        <v>18</v>
      </c>
      <c r="E4821" s="250">
        <v>13800.377</v>
      </c>
    </row>
    <row r="4822" spans="1:5" x14ac:dyDescent="0.35">
      <c r="A4822" s="1" t="s">
        <v>20131</v>
      </c>
      <c r="B4822" s="1" t="s">
        <v>18</v>
      </c>
      <c r="C4822" s="1" t="s">
        <v>764</v>
      </c>
      <c r="D4822" s="1" t="s">
        <v>18</v>
      </c>
      <c r="E4822" s="250">
        <v>13800.378000000001</v>
      </c>
    </row>
    <row r="4823" spans="1:5" x14ac:dyDescent="0.35">
      <c r="A4823" s="1" t="s">
        <v>20132</v>
      </c>
      <c r="B4823" s="1" t="s">
        <v>18</v>
      </c>
      <c r="C4823" s="1" t="s">
        <v>763</v>
      </c>
      <c r="D4823" s="1" t="s">
        <v>18</v>
      </c>
      <c r="E4823" s="250">
        <v>13800.379000000001</v>
      </c>
    </row>
    <row r="4824" spans="1:5" x14ac:dyDescent="0.35">
      <c r="A4824" s="1" t="s">
        <v>20133</v>
      </c>
      <c r="B4824" s="1" t="s">
        <v>18</v>
      </c>
      <c r="C4824" s="1" t="s">
        <v>762</v>
      </c>
      <c r="D4824" s="1" t="s">
        <v>18</v>
      </c>
      <c r="E4824" s="250">
        <v>13800.38</v>
      </c>
    </row>
    <row r="4825" spans="1:5" x14ac:dyDescent="0.35">
      <c r="A4825" s="1" t="s">
        <v>20134</v>
      </c>
      <c r="B4825" s="1" t="s">
        <v>18</v>
      </c>
      <c r="C4825" s="1" t="s">
        <v>761</v>
      </c>
      <c r="D4825" s="1" t="s">
        <v>18</v>
      </c>
      <c r="E4825" s="250">
        <v>13800.380999999999</v>
      </c>
    </row>
    <row r="4826" spans="1:5" x14ac:dyDescent="0.35">
      <c r="A4826" s="1" t="s">
        <v>20135</v>
      </c>
      <c r="B4826" s="1" t="s">
        <v>18</v>
      </c>
      <c r="C4826" s="1" t="s">
        <v>760</v>
      </c>
      <c r="D4826" s="1" t="s">
        <v>18</v>
      </c>
      <c r="E4826" s="250">
        <v>13800.382</v>
      </c>
    </row>
    <row r="4827" spans="1:5" x14ac:dyDescent="0.35">
      <c r="A4827" s="1" t="s">
        <v>20136</v>
      </c>
      <c r="B4827" s="1" t="s">
        <v>18</v>
      </c>
      <c r="C4827" s="1" t="s">
        <v>759</v>
      </c>
      <c r="D4827" s="1" t="s">
        <v>18</v>
      </c>
      <c r="E4827" s="250">
        <v>13800.383</v>
      </c>
    </row>
    <row r="4828" spans="1:5" x14ac:dyDescent="0.35">
      <c r="A4828" s="1" t="s">
        <v>20137</v>
      </c>
      <c r="B4828" s="1" t="s">
        <v>57</v>
      </c>
      <c r="C4828" s="1" t="s">
        <v>768</v>
      </c>
      <c r="D4828" s="1" t="s">
        <v>57</v>
      </c>
      <c r="E4828" s="250">
        <v>13800.39</v>
      </c>
    </row>
    <row r="4829" spans="1:5" x14ac:dyDescent="0.35">
      <c r="A4829" s="1" t="s">
        <v>20138</v>
      </c>
      <c r="B4829" s="1" t="s">
        <v>18</v>
      </c>
      <c r="C4829" s="1" t="s">
        <v>766</v>
      </c>
      <c r="D4829" s="1" t="s">
        <v>18</v>
      </c>
      <c r="E4829" s="250">
        <v>13800.391</v>
      </c>
    </row>
    <row r="4830" spans="1:5" x14ac:dyDescent="0.35">
      <c r="A4830" s="1" t="s">
        <v>20139</v>
      </c>
      <c r="B4830" s="1" t="s">
        <v>18</v>
      </c>
      <c r="C4830" s="1" t="s">
        <v>765</v>
      </c>
      <c r="D4830" s="1" t="s">
        <v>18</v>
      </c>
      <c r="E4830" s="250">
        <v>13800.392</v>
      </c>
    </row>
    <row r="4831" spans="1:5" x14ac:dyDescent="0.35">
      <c r="A4831" s="1" t="s">
        <v>20140</v>
      </c>
      <c r="B4831" s="1" t="s">
        <v>18</v>
      </c>
      <c r="C4831" s="1" t="s">
        <v>764</v>
      </c>
      <c r="D4831" s="1" t="s">
        <v>18</v>
      </c>
      <c r="E4831" s="250">
        <v>13800.393</v>
      </c>
    </row>
    <row r="4832" spans="1:5" x14ac:dyDescent="0.35">
      <c r="A4832" s="1" t="s">
        <v>20141</v>
      </c>
      <c r="B4832" s="1" t="s">
        <v>18</v>
      </c>
      <c r="C4832" s="1" t="s">
        <v>763</v>
      </c>
      <c r="D4832" s="1" t="s">
        <v>18</v>
      </c>
      <c r="E4832" s="250">
        <v>13800.394</v>
      </c>
    </row>
    <row r="4833" spans="1:5" x14ac:dyDescent="0.35">
      <c r="A4833" s="1" t="s">
        <v>20142</v>
      </c>
      <c r="B4833" s="1" t="s">
        <v>18</v>
      </c>
      <c r="C4833" s="1" t="s">
        <v>762</v>
      </c>
      <c r="D4833" s="1" t="s">
        <v>18</v>
      </c>
      <c r="E4833" s="250">
        <v>13800.395</v>
      </c>
    </row>
    <row r="4834" spans="1:5" x14ac:dyDescent="0.35">
      <c r="A4834" s="1" t="s">
        <v>20143</v>
      </c>
      <c r="B4834" s="1" t="s">
        <v>18</v>
      </c>
      <c r="C4834" s="1" t="s">
        <v>761</v>
      </c>
      <c r="D4834" s="1" t="s">
        <v>18</v>
      </c>
      <c r="E4834" s="250">
        <v>13800.396000000001</v>
      </c>
    </row>
    <row r="4835" spans="1:5" x14ac:dyDescent="0.35">
      <c r="A4835" s="1" t="s">
        <v>20144</v>
      </c>
      <c r="B4835" s="1" t="s">
        <v>18</v>
      </c>
      <c r="C4835" s="1" t="s">
        <v>760</v>
      </c>
      <c r="D4835" s="1" t="s">
        <v>18</v>
      </c>
      <c r="E4835" s="250">
        <v>13800.397000000001</v>
      </c>
    </row>
    <row r="4836" spans="1:5" x14ac:dyDescent="0.35">
      <c r="A4836" s="1" t="s">
        <v>20145</v>
      </c>
      <c r="B4836" s="1" t="s">
        <v>18</v>
      </c>
      <c r="C4836" s="1" t="s">
        <v>759</v>
      </c>
      <c r="D4836" s="1" t="s">
        <v>18</v>
      </c>
      <c r="E4836" s="250">
        <v>13800.397999999999</v>
      </c>
    </row>
    <row r="4837" spans="1:5" x14ac:dyDescent="0.35">
      <c r="A4837" s="1" t="s">
        <v>20146</v>
      </c>
      <c r="B4837" s="1" t="s">
        <v>57</v>
      </c>
      <c r="C4837" s="1" t="s">
        <v>767</v>
      </c>
      <c r="D4837" s="1" t="s">
        <v>57</v>
      </c>
      <c r="E4837" s="250">
        <v>13800.405000000001</v>
      </c>
    </row>
    <row r="4838" spans="1:5" x14ac:dyDescent="0.35">
      <c r="A4838" s="1" t="s">
        <v>20147</v>
      </c>
      <c r="B4838" s="1" t="s">
        <v>18</v>
      </c>
      <c r="C4838" s="1" t="s">
        <v>766</v>
      </c>
      <c r="D4838" s="1" t="s">
        <v>18</v>
      </c>
      <c r="E4838" s="250">
        <v>13800.406000000001</v>
      </c>
    </row>
    <row r="4839" spans="1:5" x14ac:dyDescent="0.35">
      <c r="A4839" s="1" t="s">
        <v>20148</v>
      </c>
      <c r="B4839" s="1" t="s">
        <v>18</v>
      </c>
      <c r="C4839" s="1" t="s">
        <v>765</v>
      </c>
      <c r="D4839" s="1" t="s">
        <v>18</v>
      </c>
      <c r="E4839" s="250">
        <v>13800.406999999999</v>
      </c>
    </row>
    <row r="4840" spans="1:5" x14ac:dyDescent="0.35">
      <c r="A4840" s="1" t="s">
        <v>20149</v>
      </c>
      <c r="B4840" s="1" t="s">
        <v>18</v>
      </c>
      <c r="C4840" s="1" t="s">
        <v>764</v>
      </c>
      <c r="D4840" s="1" t="s">
        <v>18</v>
      </c>
      <c r="E4840" s="250">
        <v>13800.407999999999</v>
      </c>
    </row>
    <row r="4841" spans="1:5" x14ac:dyDescent="0.35">
      <c r="A4841" s="1" t="s">
        <v>20150</v>
      </c>
      <c r="B4841" s="1" t="s">
        <v>18</v>
      </c>
      <c r="C4841" s="1" t="s">
        <v>763</v>
      </c>
      <c r="D4841" s="1" t="s">
        <v>18</v>
      </c>
      <c r="E4841" s="250">
        <v>13800.409</v>
      </c>
    </row>
    <row r="4842" spans="1:5" x14ac:dyDescent="0.35">
      <c r="A4842" s="1" t="s">
        <v>20151</v>
      </c>
      <c r="B4842" s="1" t="s">
        <v>18</v>
      </c>
      <c r="C4842" s="1" t="s">
        <v>762</v>
      </c>
      <c r="D4842" s="1" t="s">
        <v>18</v>
      </c>
      <c r="E4842" s="250">
        <v>13800.41</v>
      </c>
    </row>
    <row r="4843" spans="1:5" x14ac:dyDescent="0.35">
      <c r="A4843" s="1" t="s">
        <v>20152</v>
      </c>
      <c r="B4843" s="1" t="s">
        <v>18</v>
      </c>
      <c r="C4843" s="1" t="s">
        <v>761</v>
      </c>
      <c r="D4843" s="1" t="s">
        <v>18</v>
      </c>
      <c r="E4843" s="250">
        <v>13800.411</v>
      </c>
    </row>
    <row r="4844" spans="1:5" x14ac:dyDescent="0.35">
      <c r="A4844" s="1" t="s">
        <v>20153</v>
      </c>
      <c r="B4844" s="1" t="s">
        <v>18</v>
      </c>
      <c r="C4844" s="1" t="s">
        <v>760</v>
      </c>
      <c r="D4844" s="1" t="s">
        <v>18</v>
      </c>
      <c r="E4844" s="250">
        <v>13800.412</v>
      </c>
    </row>
    <row r="4845" spans="1:5" x14ac:dyDescent="0.35">
      <c r="A4845" s="1" t="s">
        <v>20154</v>
      </c>
      <c r="B4845" s="1" t="s">
        <v>18</v>
      </c>
      <c r="C4845" s="1" t="s">
        <v>759</v>
      </c>
      <c r="D4845" s="1" t="s">
        <v>18</v>
      </c>
      <c r="E4845" s="250">
        <v>13800.413</v>
      </c>
    </row>
    <row r="4846" spans="1:5" x14ac:dyDescent="0.35">
      <c r="A4846" s="1" t="s">
        <v>20155</v>
      </c>
      <c r="B4846" s="1" t="s">
        <v>18</v>
      </c>
      <c r="C4846" s="1" t="s">
        <v>758</v>
      </c>
      <c r="D4846" s="1" t="s">
        <v>18</v>
      </c>
      <c r="E4846" s="250">
        <v>13800.509</v>
      </c>
    </row>
    <row r="4847" spans="1:5" x14ac:dyDescent="0.35">
      <c r="A4847" s="1" t="s">
        <v>20156</v>
      </c>
      <c r="B4847" s="1" t="s">
        <v>18</v>
      </c>
      <c r="C4847" s="1" t="s">
        <v>757</v>
      </c>
      <c r="D4847" s="1" t="s">
        <v>18</v>
      </c>
      <c r="E4847" s="250">
        <v>13800.51</v>
      </c>
    </row>
    <row r="4848" spans="1:5" x14ac:dyDescent="0.35">
      <c r="A4848" s="1" t="s">
        <v>20157</v>
      </c>
      <c r="B4848" s="1" t="s">
        <v>18</v>
      </c>
      <c r="C4848" s="1" t="s">
        <v>756</v>
      </c>
      <c r="D4848" s="1" t="s">
        <v>18</v>
      </c>
      <c r="E4848" s="250">
        <v>13800.511</v>
      </c>
    </row>
    <row r="4849" spans="1:5" x14ac:dyDescent="0.35">
      <c r="A4849" s="1" t="s">
        <v>20158</v>
      </c>
      <c r="B4849" s="1" t="s">
        <v>57</v>
      </c>
      <c r="C4849" s="1" t="s">
        <v>755</v>
      </c>
      <c r="D4849" s="1" t="s">
        <v>57</v>
      </c>
      <c r="E4849" s="250">
        <v>13800.52</v>
      </c>
    </row>
    <row r="4850" spans="1:5" x14ac:dyDescent="0.35">
      <c r="A4850" s="1" t="s">
        <v>20159</v>
      </c>
      <c r="B4850" s="1" t="s">
        <v>18</v>
      </c>
      <c r="C4850" s="1" t="s">
        <v>754</v>
      </c>
      <c r="D4850" s="1" t="s">
        <v>18</v>
      </c>
      <c r="E4850" s="250">
        <v>13800.521000000001</v>
      </c>
    </row>
    <row r="4851" spans="1:5" x14ac:dyDescent="0.35">
      <c r="A4851" s="1" t="s">
        <v>20160</v>
      </c>
      <c r="B4851" s="1" t="s">
        <v>18</v>
      </c>
      <c r="C4851" s="1" t="s">
        <v>753</v>
      </c>
      <c r="D4851" s="1" t="s">
        <v>18</v>
      </c>
      <c r="E4851" s="250">
        <v>13800.522000000001</v>
      </c>
    </row>
    <row r="4852" spans="1:5" x14ac:dyDescent="0.35">
      <c r="A4852" s="1" t="s">
        <v>20161</v>
      </c>
      <c r="B4852" s="1" t="s">
        <v>18</v>
      </c>
      <c r="C4852" s="1" t="s">
        <v>752</v>
      </c>
      <c r="D4852" s="1" t="s">
        <v>18</v>
      </c>
      <c r="E4852" s="250">
        <v>13800.522999999999</v>
      </c>
    </row>
    <row r="4853" spans="1:5" x14ac:dyDescent="0.35">
      <c r="A4853" s="1" t="s">
        <v>20162</v>
      </c>
      <c r="B4853" s="1" t="s">
        <v>18</v>
      </c>
      <c r="C4853" s="1" t="s">
        <v>751</v>
      </c>
      <c r="D4853" s="1" t="s">
        <v>18</v>
      </c>
      <c r="E4853" s="250">
        <v>13800.523999999999</v>
      </c>
    </row>
    <row r="4854" spans="1:5" x14ac:dyDescent="0.35">
      <c r="A4854" s="1" t="s">
        <v>20163</v>
      </c>
      <c r="B4854" s="1" t="s">
        <v>57</v>
      </c>
      <c r="C4854" s="1" t="s">
        <v>750</v>
      </c>
      <c r="D4854" s="1" t="s">
        <v>57</v>
      </c>
      <c r="E4854" s="250">
        <v>13800.54</v>
      </c>
    </row>
    <row r="4855" spans="1:5" x14ac:dyDescent="0.35">
      <c r="A4855" s="1" t="s">
        <v>20164</v>
      </c>
      <c r="B4855" s="1" t="s">
        <v>18</v>
      </c>
      <c r="C4855" s="1" t="s">
        <v>749</v>
      </c>
      <c r="D4855" s="1" t="s">
        <v>18</v>
      </c>
      <c r="E4855" s="250">
        <v>13800.540999999999</v>
      </c>
    </row>
    <row r="4856" spans="1:5" x14ac:dyDescent="0.35">
      <c r="A4856" s="1" t="s">
        <v>20165</v>
      </c>
      <c r="B4856" s="1" t="s">
        <v>18</v>
      </c>
      <c r="C4856" s="1" t="s">
        <v>746</v>
      </c>
      <c r="D4856" s="1" t="s">
        <v>18</v>
      </c>
      <c r="E4856" s="250">
        <v>13800.541999999999</v>
      </c>
    </row>
    <row r="4857" spans="1:5" x14ac:dyDescent="0.35">
      <c r="A4857" s="1" t="s">
        <v>20166</v>
      </c>
      <c r="B4857" s="1" t="s">
        <v>18</v>
      </c>
      <c r="C4857" s="1" t="s">
        <v>745</v>
      </c>
      <c r="D4857" s="1" t="s">
        <v>18</v>
      </c>
      <c r="E4857" s="250">
        <v>13800.543</v>
      </c>
    </row>
    <row r="4858" spans="1:5" x14ac:dyDescent="0.35">
      <c r="A4858" s="1" t="s">
        <v>20167</v>
      </c>
      <c r="B4858" s="1" t="s">
        <v>18</v>
      </c>
      <c r="C4858" s="1" t="s">
        <v>744</v>
      </c>
      <c r="D4858" s="1" t="s">
        <v>18</v>
      </c>
      <c r="E4858" s="250">
        <v>13800.544</v>
      </c>
    </row>
    <row r="4859" spans="1:5" x14ac:dyDescent="0.35">
      <c r="A4859" s="1" t="s">
        <v>20168</v>
      </c>
      <c r="B4859" s="1" t="s">
        <v>18</v>
      </c>
      <c r="C4859" s="1" t="s">
        <v>743</v>
      </c>
      <c r="D4859" s="1" t="s">
        <v>18</v>
      </c>
      <c r="E4859" s="250">
        <v>13800.545</v>
      </c>
    </row>
    <row r="4860" spans="1:5" x14ac:dyDescent="0.35">
      <c r="A4860" s="1" t="s">
        <v>20169</v>
      </c>
      <c r="B4860" s="1" t="s">
        <v>57</v>
      </c>
      <c r="C4860" s="1" t="s">
        <v>748</v>
      </c>
      <c r="D4860" s="1" t="s">
        <v>57</v>
      </c>
      <c r="E4860" s="250">
        <v>13800.55</v>
      </c>
    </row>
    <row r="4861" spans="1:5" x14ac:dyDescent="0.35">
      <c r="A4861" s="1" t="s">
        <v>20170</v>
      </c>
      <c r="B4861" s="1" t="s">
        <v>18</v>
      </c>
      <c r="C4861" s="1" t="s">
        <v>747</v>
      </c>
      <c r="D4861" s="1" t="s">
        <v>18</v>
      </c>
      <c r="E4861" s="250">
        <v>13800.550999999999</v>
      </c>
    </row>
    <row r="4862" spans="1:5" x14ac:dyDescent="0.35">
      <c r="A4862" s="1" t="s">
        <v>20171</v>
      </c>
      <c r="B4862" s="1" t="s">
        <v>18</v>
      </c>
      <c r="C4862" s="1" t="s">
        <v>746</v>
      </c>
      <c r="D4862" s="1" t="s">
        <v>18</v>
      </c>
      <c r="E4862" s="250">
        <v>13800.552</v>
      </c>
    </row>
    <row r="4863" spans="1:5" x14ac:dyDescent="0.35">
      <c r="A4863" s="1" t="s">
        <v>20172</v>
      </c>
      <c r="B4863" s="1" t="s">
        <v>18</v>
      </c>
      <c r="C4863" s="1" t="s">
        <v>745</v>
      </c>
      <c r="D4863" s="1" t="s">
        <v>18</v>
      </c>
      <c r="E4863" s="250">
        <v>13800.553</v>
      </c>
    </row>
    <row r="4864" spans="1:5" x14ac:dyDescent="0.35">
      <c r="A4864" s="1" t="s">
        <v>20173</v>
      </c>
      <c r="B4864" s="1" t="s">
        <v>18</v>
      </c>
      <c r="C4864" s="1" t="s">
        <v>744</v>
      </c>
      <c r="D4864" s="1" t="s">
        <v>18</v>
      </c>
      <c r="E4864" s="250">
        <v>13800.554</v>
      </c>
    </row>
    <row r="4865" spans="1:5" x14ac:dyDescent="0.35">
      <c r="A4865" s="1" t="s">
        <v>20174</v>
      </c>
      <c r="B4865" s="1" t="s">
        <v>18</v>
      </c>
      <c r="C4865" s="1" t="s">
        <v>743</v>
      </c>
      <c r="D4865" s="1" t="s">
        <v>18</v>
      </c>
      <c r="E4865" s="250">
        <v>13800.555</v>
      </c>
    </row>
    <row r="4866" spans="1:5" x14ac:dyDescent="0.35">
      <c r="A4866" s="1" t="s">
        <v>20175</v>
      </c>
      <c r="B4866" s="1" t="s">
        <v>18</v>
      </c>
      <c r="C4866" s="1" t="s">
        <v>742</v>
      </c>
      <c r="D4866" s="1" t="s">
        <v>18</v>
      </c>
      <c r="E4866" s="250">
        <v>13800.58</v>
      </c>
    </row>
    <row r="4867" spans="1:5" x14ac:dyDescent="0.35">
      <c r="A4867" s="1" t="s">
        <v>20176</v>
      </c>
      <c r="B4867" s="1" t="s">
        <v>18</v>
      </c>
      <c r="C4867" s="1" t="s">
        <v>741</v>
      </c>
      <c r="D4867" s="1" t="s">
        <v>18</v>
      </c>
      <c r="E4867" s="250">
        <v>13800.581</v>
      </c>
    </row>
    <row r="4868" spans="1:5" x14ac:dyDescent="0.35">
      <c r="A4868" s="1" t="s">
        <v>20177</v>
      </c>
      <c r="B4868" s="1" t="s">
        <v>18</v>
      </c>
      <c r="C4868" s="1" t="s">
        <v>740</v>
      </c>
      <c r="D4868" s="1" t="s">
        <v>18</v>
      </c>
      <c r="E4868" s="250">
        <v>13800.582</v>
      </c>
    </row>
    <row r="4869" spans="1:5" x14ac:dyDescent="0.35">
      <c r="A4869" s="1" t="s">
        <v>20178</v>
      </c>
      <c r="B4869" s="1" t="s">
        <v>18</v>
      </c>
      <c r="C4869" s="1" t="s">
        <v>739</v>
      </c>
      <c r="D4869" s="1" t="s">
        <v>18</v>
      </c>
      <c r="E4869" s="250">
        <v>13800.584999999999</v>
      </c>
    </row>
    <row r="4870" spans="1:5" x14ac:dyDescent="0.35">
      <c r="A4870" s="1" t="s">
        <v>20179</v>
      </c>
      <c r="B4870" s="1" t="s">
        <v>18</v>
      </c>
      <c r="C4870" s="1" t="s">
        <v>738</v>
      </c>
      <c r="D4870" s="1" t="s">
        <v>18</v>
      </c>
      <c r="E4870" s="250">
        <v>13800.585999999999</v>
      </c>
    </row>
    <row r="4871" spans="1:5" x14ac:dyDescent="0.35">
      <c r="A4871" s="1" t="s">
        <v>20180</v>
      </c>
      <c r="B4871" s="1" t="s">
        <v>18</v>
      </c>
      <c r="C4871" s="1" t="s">
        <v>737</v>
      </c>
      <c r="D4871" s="1" t="s">
        <v>18</v>
      </c>
      <c r="E4871" s="250">
        <v>13800.587</v>
      </c>
    </row>
    <row r="4872" spans="1:5" x14ac:dyDescent="0.35">
      <c r="A4872" s="1" t="s">
        <v>20181</v>
      </c>
      <c r="B4872" s="1" t="s">
        <v>18</v>
      </c>
      <c r="C4872" s="1" t="s">
        <v>736</v>
      </c>
      <c r="D4872" s="1" t="s">
        <v>18</v>
      </c>
      <c r="E4872" s="250">
        <v>13800.59</v>
      </c>
    </row>
    <row r="4873" spans="1:5" x14ac:dyDescent="0.35">
      <c r="A4873" s="1" t="s">
        <v>20182</v>
      </c>
      <c r="B4873" s="1" t="s">
        <v>18</v>
      </c>
      <c r="C4873" s="1" t="s">
        <v>735</v>
      </c>
      <c r="D4873" s="1" t="s">
        <v>18</v>
      </c>
      <c r="E4873" s="250">
        <v>13800.591</v>
      </c>
    </row>
    <row r="4874" spans="1:5" x14ac:dyDescent="0.35">
      <c r="A4874" s="1" t="s">
        <v>20183</v>
      </c>
      <c r="B4874" s="1" t="s">
        <v>18</v>
      </c>
      <c r="C4874" s="1" t="s">
        <v>734</v>
      </c>
      <c r="D4874" s="1" t="s">
        <v>18</v>
      </c>
      <c r="E4874" s="250">
        <v>13800.592000000001</v>
      </c>
    </row>
    <row r="4875" spans="1:5" x14ac:dyDescent="0.35">
      <c r="A4875" s="1" t="s">
        <v>20184</v>
      </c>
      <c r="B4875" s="1" t="s">
        <v>18</v>
      </c>
      <c r="C4875" s="1" t="s">
        <v>733</v>
      </c>
      <c r="D4875" s="1" t="s">
        <v>18</v>
      </c>
      <c r="E4875" s="250">
        <v>13800.593000000001</v>
      </c>
    </row>
    <row r="4876" spans="1:5" x14ac:dyDescent="0.35">
      <c r="A4876" s="1" t="s">
        <v>20185</v>
      </c>
      <c r="B4876" s="1" t="s">
        <v>18</v>
      </c>
      <c r="C4876" s="1" t="s">
        <v>732</v>
      </c>
      <c r="D4876" s="1" t="s">
        <v>18</v>
      </c>
      <c r="E4876" s="250">
        <v>13800.594999999999</v>
      </c>
    </row>
    <row r="4877" spans="1:5" x14ac:dyDescent="0.35">
      <c r="A4877" s="1" t="s">
        <v>20186</v>
      </c>
      <c r="B4877" s="1" t="s">
        <v>18</v>
      </c>
      <c r="C4877" s="1" t="s">
        <v>731</v>
      </c>
      <c r="D4877" s="1" t="s">
        <v>18</v>
      </c>
      <c r="E4877" s="250">
        <v>13800.596</v>
      </c>
    </row>
    <row r="4878" spans="1:5" x14ac:dyDescent="0.35">
      <c r="A4878" s="1" t="s">
        <v>20187</v>
      </c>
      <c r="B4878" s="1" t="s">
        <v>18</v>
      </c>
      <c r="C4878" s="1" t="s">
        <v>730</v>
      </c>
      <c r="D4878" s="1" t="s">
        <v>18</v>
      </c>
      <c r="E4878" s="250">
        <v>13800.597</v>
      </c>
    </row>
    <row r="4879" spans="1:5" x14ac:dyDescent="0.35">
      <c r="A4879" s="1" t="s">
        <v>20188</v>
      </c>
      <c r="B4879" s="1" t="s">
        <v>18</v>
      </c>
      <c r="C4879" s="1" t="s">
        <v>729</v>
      </c>
      <c r="D4879" s="1" t="s">
        <v>18</v>
      </c>
      <c r="E4879" s="250">
        <v>13800.598</v>
      </c>
    </row>
    <row r="4880" spans="1:5" x14ac:dyDescent="0.35">
      <c r="A4880" s="1" t="s">
        <v>20189</v>
      </c>
      <c r="B4880" s="1" t="s">
        <v>18</v>
      </c>
      <c r="C4880" s="1" t="s">
        <v>728</v>
      </c>
      <c r="D4880" s="1" t="s">
        <v>18</v>
      </c>
      <c r="E4880" s="250">
        <v>13800.61</v>
      </c>
    </row>
    <row r="4881" spans="1:5" x14ac:dyDescent="0.35">
      <c r="A4881" s="1" t="s">
        <v>20190</v>
      </c>
      <c r="B4881" s="1" t="s">
        <v>18</v>
      </c>
      <c r="C4881" s="1" t="s">
        <v>727</v>
      </c>
      <c r="D4881" s="1" t="s">
        <v>18</v>
      </c>
      <c r="E4881" s="250">
        <v>13800.611000000001</v>
      </c>
    </row>
    <row r="4882" spans="1:5" x14ac:dyDescent="0.35">
      <c r="A4882" s="1" t="s">
        <v>20191</v>
      </c>
      <c r="B4882" s="1" t="s">
        <v>18</v>
      </c>
      <c r="C4882" s="1" t="s">
        <v>726</v>
      </c>
      <c r="D4882" s="1" t="s">
        <v>18</v>
      </c>
      <c r="E4882" s="250">
        <v>13800.611999999999</v>
      </c>
    </row>
    <row r="4883" spans="1:5" x14ac:dyDescent="0.35">
      <c r="A4883" s="1" t="s">
        <v>20192</v>
      </c>
      <c r="B4883" s="1" t="s">
        <v>18</v>
      </c>
      <c r="C4883" s="1" t="s">
        <v>725</v>
      </c>
      <c r="D4883" s="1" t="s">
        <v>18</v>
      </c>
      <c r="E4883" s="250">
        <v>13800.615</v>
      </c>
    </row>
    <row r="4884" spans="1:5" x14ac:dyDescent="0.35">
      <c r="A4884" s="1" t="s">
        <v>20193</v>
      </c>
      <c r="B4884" s="1" t="s">
        <v>18</v>
      </c>
      <c r="C4884" s="1" t="s">
        <v>724</v>
      </c>
      <c r="D4884" s="1" t="s">
        <v>18</v>
      </c>
      <c r="E4884" s="250">
        <v>13800.616</v>
      </c>
    </row>
    <row r="4885" spans="1:5" x14ac:dyDescent="0.35">
      <c r="A4885" s="1" t="s">
        <v>20194</v>
      </c>
      <c r="B4885" s="1" t="s">
        <v>57</v>
      </c>
      <c r="C4885" s="1" t="s">
        <v>723</v>
      </c>
      <c r="D4885" s="1" t="s">
        <v>57</v>
      </c>
      <c r="E4885" s="250">
        <v>13850.01</v>
      </c>
    </row>
    <row r="4886" spans="1:5" x14ac:dyDescent="0.35">
      <c r="A4886" s="1" t="s">
        <v>20195</v>
      </c>
      <c r="B4886" s="1" t="s">
        <v>18</v>
      </c>
      <c r="C4886" s="1" t="s">
        <v>722</v>
      </c>
      <c r="D4886" s="1" t="s">
        <v>18</v>
      </c>
      <c r="E4886" s="250">
        <v>13850.011</v>
      </c>
    </row>
    <row r="4887" spans="1:5" x14ac:dyDescent="0.35">
      <c r="A4887" s="1" t="s">
        <v>20196</v>
      </c>
      <c r="B4887" s="1" t="s">
        <v>18</v>
      </c>
      <c r="C4887" s="1" t="s">
        <v>721</v>
      </c>
      <c r="D4887" s="1" t="s">
        <v>18</v>
      </c>
      <c r="E4887" s="250">
        <v>13850.012000000001</v>
      </c>
    </row>
    <row r="4888" spans="1:5" x14ac:dyDescent="0.35">
      <c r="A4888" s="1" t="s">
        <v>20197</v>
      </c>
      <c r="B4888" s="1" t="s">
        <v>18</v>
      </c>
      <c r="C4888" s="1" t="s">
        <v>720</v>
      </c>
      <c r="D4888" s="1" t="s">
        <v>18</v>
      </c>
      <c r="E4888" s="250">
        <v>13850.013000000001</v>
      </c>
    </row>
    <row r="4889" spans="1:5" x14ac:dyDescent="0.35">
      <c r="A4889" s="1" t="s">
        <v>20198</v>
      </c>
      <c r="B4889" s="1" t="s">
        <v>18</v>
      </c>
      <c r="C4889" s="1" t="s">
        <v>719</v>
      </c>
      <c r="D4889" s="1" t="s">
        <v>18</v>
      </c>
      <c r="E4889" s="250">
        <v>13850.013999999999</v>
      </c>
    </row>
    <row r="4890" spans="1:5" x14ac:dyDescent="0.35">
      <c r="A4890" s="1" t="s">
        <v>20199</v>
      </c>
      <c r="B4890" s="1" t="s">
        <v>18</v>
      </c>
      <c r="C4890" s="1" t="s">
        <v>718</v>
      </c>
      <c r="D4890" s="1" t="s">
        <v>18</v>
      </c>
      <c r="E4890" s="250">
        <v>13850.014999999999</v>
      </c>
    </row>
    <row r="4891" spans="1:5" x14ac:dyDescent="0.35">
      <c r="A4891" s="1" t="s">
        <v>20200</v>
      </c>
      <c r="B4891" s="1" t="s">
        <v>18</v>
      </c>
      <c r="C4891" s="1" t="s">
        <v>717</v>
      </c>
      <c r="D4891" s="1" t="s">
        <v>18</v>
      </c>
      <c r="E4891" s="250">
        <v>13850.016</v>
      </c>
    </row>
    <row r="4892" spans="1:5" x14ac:dyDescent="0.35">
      <c r="A4892" s="1" t="s">
        <v>20201</v>
      </c>
      <c r="B4892" s="1" t="s">
        <v>18</v>
      </c>
      <c r="C4892" s="1" t="s">
        <v>716</v>
      </c>
      <c r="D4892" s="1" t="s">
        <v>18</v>
      </c>
      <c r="E4892" s="250">
        <v>13850.017</v>
      </c>
    </row>
    <row r="4893" spans="1:5" x14ac:dyDescent="0.35">
      <c r="A4893" s="1" t="s">
        <v>20202</v>
      </c>
      <c r="B4893" s="1" t="s">
        <v>18</v>
      </c>
      <c r="C4893" s="1" t="s">
        <v>715</v>
      </c>
      <c r="D4893" s="1" t="s">
        <v>18</v>
      </c>
      <c r="E4893" s="250">
        <v>13850.018</v>
      </c>
    </row>
    <row r="4894" spans="1:5" x14ac:dyDescent="0.35">
      <c r="A4894" s="1" t="s">
        <v>20203</v>
      </c>
      <c r="B4894" s="1" t="s">
        <v>18</v>
      </c>
      <c r="C4894" s="1" t="s">
        <v>714</v>
      </c>
      <c r="D4894" s="1" t="s">
        <v>18</v>
      </c>
      <c r="E4894" s="250">
        <v>13850.019</v>
      </c>
    </row>
    <row r="4895" spans="1:5" x14ac:dyDescent="0.35">
      <c r="A4895" s="1" t="s">
        <v>20204</v>
      </c>
      <c r="B4895" s="1" t="s">
        <v>57</v>
      </c>
      <c r="C4895" s="1" t="s">
        <v>713</v>
      </c>
      <c r="D4895" s="1" t="s">
        <v>57</v>
      </c>
      <c r="E4895" s="250">
        <v>13850.03</v>
      </c>
    </row>
    <row r="4896" spans="1:5" x14ac:dyDescent="0.35">
      <c r="A4896" s="1" t="s">
        <v>20205</v>
      </c>
      <c r="B4896" s="1" t="s">
        <v>18</v>
      </c>
      <c r="C4896" s="1" t="s">
        <v>712</v>
      </c>
      <c r="D4896" s="1" t="s">
        <v>18</v>
      </c>
      <c r="E4896" s="250">
        <v>13850.031000000001</v>
      </c>
    </row>
    <row r="4897" spans="1:5" x14ac:dyDescent="0.35">
      <c r="A4897" s="1" t="s">
        <v>20206</v>
      </c>
      <c r="B4897" s="1" t="s">
        <v>18</v>
      </c>
      <c r="C4897" s="1" t="s">
        <v>711</v>
      </c>
      <c r="D4897" s="1" t="s">
        <v>18</v>
      </c>
      <c r="E4897" s="250">
        <v>13850.031999999999</v>
      </c>
    </row>
    <row r="4898" spans="1:5" x14ac:dyDescent="0.35">
      <c r="A4898" s="1" t="s">
        <v>20207</v>
      </c>
      <c r="B4898" s="1" t="s">
        <v>18</v>
      </c>
      <c r="C4898" s="1" t="s">
        <v>710</v>
      </c>
      <c r="D4898" s="1" t="s">
        <v>18</v>
      </c>
      <c r="E4898" s="250">
        <v>13850.035</v>
      </c>
    </row>
    <row r="4899" spans="1:5" x14ac:dyDescent="0.35">
      <c r="A4899" s="1" t="s">
        <v>20208</v>
      </c>
      <c r="B4899" s="1" t="s">
        <v>18</v>
      </c>
      <c r="C4899" s="1" t="s">
        <v>709</v>
      </c>
      <c r="D4899" s="1" t="s">
        <v>18</v>
      </c>
      <c r="E4899" s="250">
        <v>13850.04</v>
      </c>
    </row>
    <row r="4900" spans="1:5" x14ac:dyDescent="0.35">
      <c r="A4900" s="1" t="s">
        <v>20209</v>
      </c>
      <c r="B4900" s="1" t="s">
        <v>18</v>
      </c>
      <c r="C4900" s="1" t="s">
        <v>708</v>
      </c>
      <c r="D4900" s="1" t="s">
        <v>18</v>
      </c>
      <c r="E4900" s="250">
        <v>13850.040999999999</v>
      </c>
    </row>
    <row r="4901" spans="1:5" x14ac:dyDescent="0.35">
      <c r="A4901" s="1" t="s">
        <v>20210</v>
      </c>
      <c r="B4901" s="1" t="s">
        <v>18</v>
      </c>
      <c r="C4901" s="1" t="s">
        <v>707</v>
      </c>
      <c r="D4901" s="1" t="s">
        <v>18</v>
      </c>
      <c r="E4901" s="250">
        <v>13850.041999999999</v>
      </c>
    </row>
    <row r="4902" spans="1:5" x14ac:dyDescent="0.35">
      <c r="A4902" s="1" t="s">
        <v>20211</v>
      </c>
      <c r="B4902" s="1" t="s">
        <v>18</v>
      </c>
      <c r="C4902" s="1" t="s">
        <v>706</v>
      </c>
      <c r="D4902" s="1" t="s">
        <v>18</v>
      </c>
      <c r="E4902" s="250">
        <v>13850.61</v>
      </c>
    </row>
    <row r="4903" spans="1:5" x14ac:dyDescent="0.35">
      <c r="A4903" s="1" t="s">
        <v>20212</v>
      </c>
      <c r="B4903" s="1" t="s">
        <v>18</v>
      </c>
      <c r="C4903" s="1" t="s">
        <v>705</v>
      </c>
      <c r="D4903" s="1" t="s">
        <v>18</v>
      </c>
      <c r="E4903" s="250">
        <v>13850.611000000001</v>
      </c>
    </row>
    <row r="4904" spans="1:5" x14ac:dyDescent="0.35">
      <c r="A4904" s="1" t="s">
        <v>20213</v>
      </c>
      <c r="B4904" s="1" t="s">
        <v>18</v>
      </c>
      <c r="C4904" s="1" t="s">
        <v>704</v>
      </c>
      <c r="D4904" s="1" t="s">
        <v>18</v>
      </c>
      <c r="E4904" s="250">
        <v>13850.615</v>
      </c>
    </row>
    <row r="4905" spans="1:5" x14ac:dyDescent="0.35">
      <c r="A4905" s="1" t="s">
        <v>20214</v>
      </c>
      <c r="B4905" s="1" t="s">
        <v>18</v>
      </c>
      <c r="C4905" s="1" t="s">
        <v>703</v>
      </c>
      <c r="D4905" s="1" t="s">
        <v>18</v>
      </c>
      <c r="E4905" s="250">
        <v>13850.616</v>
      </c>
    </row>
    <row r="4906" spans="1:5" x14ac:dyDescent="0.35">
      <c r="A4906" s="1" t="s">
        <v>20215</v>
      </c>
      <c r="B4906" s="1" t="s">
        <v>18</v>
      </c>
      <c r="C4906" s="1" t="s">
        <v>702</v>
      </c>
      <c r="D4906" s="1" t="s">
        <v>18</v>
      </c>
      <c r="E4906" s="250">
        <v>13850.62</v>
      </c>
    </row>
    <row r="4907" spans="1:5" x14ac:dyDescent="0.35">
      <c r="A4907" s="1" t="s">
        <v>20216</v>
      </c>
      <c r="B4907" s="1" t="s">
        <v>18</v>
      </c>
      <c r="C4907" s="1" t="s">
        <v>701</v>
      </c>
      <c r="D4907" s="1" t="s">
        <v>18</v>
      </c>
      <c r="E4907" s="250">
        <v>13850.620999999999</v>
      </c>
    </row>
    <row r="4908" spans="1:5" x14ac:dyDescent="0.35">
      <c r="A4908" s="1" t="s">
        <v>20217</v>
      </c>
      <c r="B4908" s="1" t="s">
        <v>18</v>
      </c>
      <c r="C4908" s="1" t="s">
        <v>700</v>
      </c>
      <c r="D4908" s="1" t="s">
        <v>18</v>
      </c>
      <c r="E4908" s="250">
        <v>13850.625</v>
      </c>
    </row>
    <row r="4909" spans="1:5" x14ac:dyDescent="0.35">
      <c r="A4909" s="1" t="s">
        <v>20218</v>
      </c>
      <c r="B4909" s="1" t="s">
        <v>18</v>
      </c>
      <c r="C4909" s="1" t="s">
        <v>699</v>
      </c>
      <c r="D4909" s="1" t="s">
        <v>18</v>
      </c>
      <c r="E4909" s="250">
        <v>13850.63</v>
      </c>
    </row>
    <row r="4910" spans="1:5" x14ac:dyDescent="0.35">
      <c r="A4910" s="1" t="s">
        <v>20219</v>
      </c>
      <c r="B4910" s="1" t="s">
        <v>18</v>
      </c>
      <c r="C4910" s="1" t="s">
        <v>698</v>
      </c>
      <c r="D4910" s="1" t="s">
        <v>18</v>
      </c>
      <c r="E4910" s="250">
        <v>13850.635</v>
      </c>
    </row>
    <row r="4911" spans="1:5" x14ac:dyDescent="0.35">
      <c r="A4911" s="1" t="s">
        <v>20220</v>
      </c>
      <c r="B4911" s="1" t="s">
        <v>18</v>
      </c>
      <c r="C4911" s="1" t="s">
        <v>697</v>
      </c>
      <c r="D4911" s="1" t="s">
        <v>18</v>
      </c>
      <c r="E4911" s="250">
        <v>13850.636</v>
      </c>
    </row>
    <row r="4912" spans="1:5" x14ac:dyDescent="0.35">
      <c r="A4912" s="1" t="s">
        <v>20221</v>
      </c>
      <c r="B4912" s="1" t="s">
        <v>18</v>
      </c>
      <c r="C4912" s="1" t="s">
        <v>696</v>
      </c>
      <c r="D4912" s="1" t="s">
        <v>18</v>
      </c>
      <c r="E4912" s="250">
        <v>13850.637000000001</v>
      </c>
    </row>
    <row r="4913" spans="1:5" x14ac:dyDescent="0.35">
      <c r="A4913" s="1" t="s">
        <v>20222</v>
      </c>
      <c r="B4913" s="1" t="s">
        <v>18</v>
      </c>
      <c r="C4913" s="1" t="s">
        <v>695</v>
      </c>
      <c r="D4913" s="1" t="s">
        <v>18</v>
      </c>
      <c r="E4913" s="250">
        <v>13850.638000000001</v>
      </c>
    </row>
    <row r="4914" spans="1:5" x14ac:dyDescent="0.35">
      <c r="A4914" s="1" t="s">
        <v>20223</v>
      </c>
      <c r="B4914" s="1" t="s">
        <v>18</v>
      </c>
      <c r="C4914" s="1" t="s">
        <v>694</v>
      </c>
      <c r="D4914" s="1" t="s">
        <v>18</v>
      </c>
      <c r="E4914" s="250">
        <v>13850.638999999999</v>
      </c>
    </row>
    <row r="4915" spans="1:5" x14ac:dyDescent="0.35">
      <c r="A4915" s="1" t="s">
        <v>20224</v>
      </c>
      <c r="B4915" s="1" t="s">
        <v>18</v>
      </c>
      <c r="C4915" s="1" t="s">
        <v>693</v>
      </c>
      <c r="D4915" s="1" t="s">
        <v>18</v>
      </c>
      <c r="E4915" s="250">
        <v>13850.64</v>
      </c>
    </row>
    <row r="4916" spans="1:5" x14ac:dyDescent="0.35">
      <c r="A4916" s="1" t="s">
        <v>20225</v>
      </c>
      <c r="B4916" s="1" t="s">
        <v>18</v>
      </c>
      <c r="C4916" s="1" t="s">
        <v>692</v>
      </c>
      <c r="D4916" s="1" t="s">
        <v>18</v>
      </c>
      <c r="E4916" s="250">
        <v>13850.641</v>
      </c>
    </row>
    <row r="4917" spans="1:5" x14ac:dyDescent="0.35">
      <c r="A4917" s="1" t="s">
        <v>20226</v>
      </c>
      <c r="B4917" s="1" t="s">
        <v>18</v>
      </c>
      <c r="C4917" s="1" t="s">
        <v>691</v>
      </c>
      <c r="D4917" s="1" t="s">
        <v>18</v>
      </c>
      <c r="E4917" s="250">
        <v>13850.642</v>
      </c>
    </row>
    <row r="4918" spans="1:5" x14ac:dyDescent="0.35">
      <c r="A4918" s="1" t="s">
        <v>20227</v>
      </c>
      <c r="B4918" s="1" t="s">
        <v>18</v>
      </c>
      <c r="C4918" s="1" t="s">
        <v>690</v>
      </c>
      <c r="D4918" s="1" t="s">
        <v>18</v>
      </c>
      <c r="E4918" s="250">
        <v>13850.645</v>
      </c>
    </row>
    <row r="4919" spans="1:5" x14ac:dyDescent="0.35">
      <c r="A4919" s="1" t="s">
        <v>20228</v>
      </c>
      <c r="B4919" s="1" t="s">
        <v>18</v>
      </c>
      <c r="C4919" s="1" t="s">
        <v>689</v>
      </c>
      <c r="D4919" s="1" t="s">
        <v>18</v>
      </c>
      <c r="E4919" s="250">
        <v>13850.646000000001</v>
      </c>
    </row>
    <row r="4920" spans="1:5" x14ac:dyDescent="0.35">
      <c r="A4920" s="1" t="s">
        <v>20229</v>
      </c>
      <c r="B4920" s="1" t="s">
        <v>18</v>
      </c>
      <c r="C4920" s="1" t="s">
        <v>688</v>
      </c>
      <c r="D4920" s="1" t="s">
        <v>18</v>
      </c>
      <c r="E4920" s="250">
        <v>13850.65</v>
      </c>
    </row>
    <row r="4921" spans="1:5" x14ac:dyDescent="0.35">
      <c r="A4921" s="1" t="s">
        <v>20230</v>
      </c>
      <c r="B4921" s="1" t="s">
        <v>18</v>
      </c>
      <c r="C4921" s="1" t="s">
        <v>687</v>
      </c>
      <c r="D4921" s="1" t="s">
        <v>18</v>
      </c>
      <c r="E4921" s="250">
        <v>13850.655000000001</v>
      </c>
    </row>
    <row r="4922" spans="1:5" x14ac:dyDescent="0.35">
      <c r="A4922" s="1" t="s">
        <v>20231</v>
      </c>
      <c r="B4922" s="1" t="s">
        <v>18</v>
      </c>
      <c r="C4922" s="1" t="s">
        <v>686</v>
      </c>
      <c r="D4922" s="1" t="s">
        <v>18</v>
      </c>
      <c r="E4922" s="250">
        <v>13850.66</v>
      </c>
    </row>
    <row r="4923" spans="1:5" x14ac:dyDescent="0.35">
      <c r="A4923" s="1" t="s">
        <v>20232</v>
      </c>
      <c r="B4923" s="1" t="s">
        <v>18</v>
      </c>
      <c r="C4923" s="1" t="s">
        <v>685</v>
      </c>
      <c r="D4923" s="1" t="s">
        <v>18</v>
      </c>
      <c r="E4923" s="250">
        <v>13850.665000000001</v>
      </c>
    </row>
    <row r="4924" spans="1:5" x14ac:dyDescent="0.35">
      <c r="A4924" s="1" t="s">
        <v>20233</v>
      </c>
      <c r="B4924" s="1" t="s">
        <v>18</v>
      </c>
      <c r="C4924" s="1" t="s">
        <v>684</v>
      </c>
      <c r="D4924" s="1" t="s">
        <v>18</v>
      </c>
      <c r="E4924" s="250">
        <v>13850.67</v>
      </c>
    </row>
    <row r="4925" spans="1:5" x14ac:dyDescent="0.35">
      <c r="A4925" s="1" t="s">
        <v>20234</v>
      </c>
      <c r="B4925" s="1" t="s">
        <v>18</v>
      </c>
      <c r="C4925" s="1" t="s">
        <v>683</v>
      </c>
      <c r="D4925" s="1" t="s">
        <v>18</v>
      </c>
      <c r="E4925" s="250">
        <v>13850.671</v>
      </c>
    </row>
    <row r="4926" spans="1:5" x14ac:dyDescent="0.35">
      <c r="A4926" s="1" t="s">
        <v>20235</v>
      </c>
      <c r="B4926" s="1" t="s">
        <v>18</v>
      </c>
      <c r="C4926" s="1" t="s">
        <v>682</v>
      </c>
      <c r="D4926" s="1" t="s">
        <v>18</v>
      </c>
      <c r="E4926" s="250">
        <v>13850.672</v>
      </c>
    </row>
    <row r="4927" spans="1:5" x14ac:dyDescent="0.35">
      <c r="A4927" s="1" t="s">
        <v>20236</v>
      </c>
      <c r="B4927" s="1" t="s">
        <v>18</v>
      </c>
      <c r="C4927" s="1" t="s">
        <v>681</v>
      </c>
      <c r="D4927" s="1" t="s">
        <v>18</v>
      </c>
      <c r="E4927" s="250">
        <v>13850.673000000001</v>
      </c>
    </row>
    <row r="4928" spans="1:5" x14ac:dyDescent="0.35">
      <c r="A4928" s="1" t="s">
        <v>20237</v>
      </c>
      <c r="B4928" s="1" t="s">
        <v>18</v>
      </c>
      <c r="C4928" s="1" t="s">
        <v>680</v>
      </c>
      <c r="D4928" s="1" t="s">
        <v>18</v>
      </c>
      <c r="E4928" s="250">
        <v>13850.68</v>
      </c>
    </row>
    <row r="4929" spans="1:5" x14ac:dyDescent="0.35">
      <c r="A4929" s="1" t="s">
        <v>20238</v>
      </c>
      <c r="B4929" s="1" t="s">
        <v>18</v>
      </c>
      <c r="C4929" s="1" t="s">
        <v>679</v>
      </c>
      <c r="D4929" s="1" t="s">
        <v>18</v>
      </c>
      <c r="E4929" s="250">
        <v>13850.681</v>
      </c>
    </row>
    <row r="4930" spans="1:5" x14ac:dyDescent="0.35">
      <c r="A4930" s="1" t="s">
        <v>20239</v>
      </c>
      <c r="B4930" s="1" t="s">
        <v>18</v>
      </c>
      <c r="C4930" s="1" t="s">
        <v>678</v>
      </c>
      <c r="D4930" s="1" t="s">
        <v>18</v>
      </c>
      <c r="E4930" s="250">
        <v>13850.682000000001</v>
      </c>
    </row>
    <row r="4931" spans="1:5" x14ac:dyDescent="0.35">
      <c r="A4931" s="1" t="s">
        <v>20240</v>
      </c>
      <c r="B4931" s="1" t="s">
        <v>18</v>
      </c>
      <c r="C4931" s="1" t="s">
        <v>677</v>
      </c>
      <c r="D4931" s="1" t="s">
        <v>18</v>
      </c>
      <c r="E4931" s="250">
        <v>13850.683000000001</v>
      </c>
    </row>
    <row r="4932" spans="1:5" x14ac:dyDescent="0.35">
      <c r="A4932" s="1" t="s">
        <v>20241</v>
      </c>
      <c r="B4932" s="1" t="s">
        <v>18</v>
      </c>
      <c r="C4932" s="1" t="s">
        <v>676</v>
      </c>
      <c r="D4932" s="1" t="s">
        <v>18</v>
      </c>
      <c r="E4932" s="250">
        <v>13850.683999999999</v>
      </c>
    </row>
    <row r="4933" spans="1:5" x14ac:dyDescent="0.35">
      <c r="A4933" s="1" t="s">
        <v>20242</v>
      </c>
      <c r="B4933" s="1" t="s">
        <v>18</v>
      </c>
      <c r="C4933" s="1" t="s">
        <v>675</v>
      </c>
      <c r="D4933" s="1" t="s">
        <v>18</v>
      </c>
      <c r="E4933" s="250">
        <v>13850.69</v>
      </c>
    </row>
    <row r="4934" spans="1:5" x14ac:dyDescent="0.35">
      <c r="A4934" s="1" t="s">
        <v>20243</v>
      </c>
      <c r="B4934" s="1" t="s">
        <v>18</v>
      </c>
      <c r="C4934" s="1" t="s">
        <v>674</v>
      </c>
      <c r="D4934" s="1" t="s">
        <v>18</v>
      </c>
      <c r="E4934" s="250">
        <v>13850.691000000001</v>
      </c>
    </row>
    <row r="4935" spans="1:5" x14ac:dyDescent="0.35">
      <c r="A4935" s="1" t="s">
        <v>20244</v>
      </c>
      <c r="B4935" s="1" t="s">
        <v>18</v>
      </c>
      <c r="C4935" s="1" t="s">
        <v>673</v>
      </c>
      <c r="D4935" s="1" t="s">
        <v>18</v>
      </c>
      <c r="E4935" s="250">
        <v>13850.691999999999</v>
      </c>
    </row>
    <row r="4936" spans="1:5" x14ac:dyDescent="0.35">
      <c r="A4936" s="1" t="s">
        <v>20245</v>
      </c>
      <c r="B4936" s="1" t="s">
        <v>18</v>
      </c>
      <c r="C4936" s="1" t="s">
        <v>672</v>
      </c>
      <c r="D4936" s="1" t="s">
        <v>18</v>
      </c>
      <c r="E4936" s="250">
        <v>13850.692999999999</v>
      </c>
    </row>
    <row r="4937" spans="1:5" x14ac:dyDescent="0.35">
      <c r="A4937" s="1" t="s">
        <v>20246</v>
      </c>
      <c r="B4937" s="1" t="s">
        <v>18</v>
      </c>
      <c r="C4937" s="1" t="s">
        <v>671</v>
      </c>
      <c r="D4937" s="1" t="s">
        <v>18</v>
      </c>
      <c r="E4937" s="250">
        <v>13850.694</v>
      </c>
    </row>
    <row r="4938" spans="1:5" x14ac:dyDescent="0.35">
      <c r="A4938" s="1" t="s">
        <v>20247</v>
      </c>
      <c r="B4938" s="1" t="s">
        <v>18</v>
      </c>
      <c r="C4938" s="1" t="s">
        <v>670</v>
      </c>
      <c r="D4938" s="1" t="s">
        <v>18</v>
      </c>
      <c r="E4938" s="250">
        <v>13850.7</v>
      </c>
    </row>
    <row r="4939" spans="1:5" x14ac:dyDescent="0.35">
      <c r="A4939" s="1" t="s">
        <v>20248</v>
      </c>
      <c r="B4939" s="1" t="s">
        <v>18</v>
      </c>
      <c r="C4939" s="1" t="s">
        <v>669</v>
      </c>
      <c r="D4939" s="1" t="s">
        <v>18</v>
      </c>
      <c r="E4939" s="250">
        <v>13850.700999999999</v>
      </c>
    </row>
    <row r="4940" spans="1:5" x14ac:dyDescent="0.35">
      <c r="A4940" s="1" t="s">
        <v>20249</v>
      </c>
      <c r="B4940" s="1" t="s">
        <v>18</v>
      </c>
      <c r="C4940" s="1" t="s">
        <v>668</v>
      </c>
      <c r="D4940" s="1" t="s">
        <v>18</v>
      </c>
      <c r="E4940" s="250">
        <v>13850.701999999999</v>
      </c>
    </row>
    <row r="4941" spans="1:5" x14ac:dyDescent="0.35">
      <c r="A4941" s="1" t="s">
        <v>20250</v>
      </c>
      <c r="B4941" s="1" t="s">
        <v>18</v>
      </c>
      <c r="C4941" s="1" t="s">
        <v>667</v>
      </c>
      <c r="D4941" s="1" t="s">
        <v>18</v>
      </c>
      <c r="E4941" s="250">
        <v>13850.703</v>
      </c>
    </row>
    <row r="4942" spans="1:5" x14ac:dyDescent="0.35">
      <c r="A4942" s="1" t="s">
        <v>20251</v>
      </c>
      <c r="B4942" s="1" t="s">
        <v>18</v>
      </c>
      <c r="C4942" s="1" t="s">
        <v>666</v>
      </c>
      <c r="D4942" s="1" t="s">
        <v>18</v>
      </c>
      <c r="E4942" s="250">
        <v>13850.71</v>
      </c>
    </row>
    <row r="4943" spans="1:5" x14ac:dyDescent="0.35">
      <c r="A4943" s="1" t="s">
        <v>20252</v>
      </c>
      <c r="B4943" s="1" t="s">
        <v>18</v>
      </c>
      <c r="C4943" s="1" t="s">
        <v>665</v>
      </c>
      <c r="D4943" s="1" t="s">
        <v>18</v>
      </c>
      <c r="E4943" s="250">
        <v>13850.710999999999</v>
      </c>
    </row>
    <row r="4944" spans="1:5" x14ac:dyDescent="0.35">
      <c r="A4944" s="1" t="s">
        <v>20253</v>
      </c>
      <c r="B4944" s="1" t="s">
        <v>18</v>
      </c>
      <c r="C4944" s="1" t="s">
        <v>664</v>
      </c>
      <c r="D4944" s="1" t="s">
        <v>18</v>
      </c>
      <c r="E4944" s="250">
        <v>13850.712</v>
      </c>
    </row>
    <row r="4945" spans="1:5" x14ac:dyDescent="0.35">
      <c r="A4945" s="1" t="s">
        <v>20254</v>
      </c>
      <c r="B4945" s="1" t="s">
        <v>18</v>
      </c>
      <c r="C4945" s="1" t="s">
        <v>663</v>
      </c>
      <c r="D4945" s="1" t="s">
        <v>18</v>
      </c>
      <c r="E4945" s="250">
        <v>13850.713</v>
      </c>
    </row>
    <row r="4946" spans="1:5" x14ac:dyDescent="0.35">
      <c r="A4946" s="1" t="s">
        <v>20255</v>
      </c>
      <c r="B4946" s="1" t="s">
        <v>18</v>
      </c>
      <c r="C4946" s="1" t="s">
        <v>662</v>
      </c>
      <c r="D4946" s="1" t="s">
        <v>18</v>
      </c>
      <c r="E4946" s="250">
        <v>13850.714</v>
      </c>
    </row>
    <row r="4947" spans="1:5" x14ac:dyDescent="0.35">
      <c r="A4947" s="1" t="s">
        <v>20256</v>
      </c>
      <c r="B4947" s="1" t="s">
        <v>18</v>
      </c>
      <c r="C4947" s="1" t="s">
        <v>661</v>
      </c>
      <c r="D4947" s="1" t="s">
        <v>18</v>
      </c>
      <c r="E4947" s="250">
        <v>13850.72</v>
      </c>
    </row>
    <row r="4948" spans="1:5" x14ac:dyDescent="0.35">
      <c r="A4948" s="1" t="s">
        <v>20257</v>
      </c>
      <c r="B4948" s="1" t="s">
        <v>18</v>
      </c>
      <c r="C4948" s="1" t="s">
        <v>660</v>
      </c>
      <c r="D4948" s="1" t="s">
        <v>18</v>
      </c>
      <c r="E4948" s="250">
        <v>13850.721</v>
      </c>
    </row>
    <row r="4949" spans="1:5" x14ac:dyDescent="0.35">
      <c r="A4949" s="1" t="s">
        <v>20258</v>
      </c>
      <c r="B4949" s="1" t="s">
        <v>18</v>
      </c>
      <c r="C4949" s="1" t="s">
        <v>659</v>
      </c>
      <c r="D4949" s="1" t="s">
        <v>18</v>
      </c>
      <c r="E4949" s="250">
        <v>13850.722</v>
      </c>
    </row>
    <row r="4950" spans="1:5" x14ac:dyDescent="0.35">
      <c r="A4950" s="1" t="s">
        <v>20259</v>
      </c>
      <c r="B4950" s="1" t="s">
        <v>18</v>
      </c>
      <c r="C4950" s="1" t="s">
        <v>658</v>
      </c>
      <c r="D4950" s="1" t="s">
        <v>18</v>
      </c>
      <c r="E4950" s="250">
        <v>13850.73</v>
      </c>
    </row>
    <row r="4951" spans="1:5" x14ac:dyDescent="0.35">
      <c r="A4951" s="1" t="s">
        <v>20260</v>
      </c>
      <c r="B4951" s="1" t="s">
        <v>18</v>
      </c>
      <c r="C4951" s="1" t="s">
        <v>657</v>
      </c>
      <c r="D4951" s="1" t="s">
        <v>18</v>
      </c>
      <c r="E4951" s="250">
        <v>13850.74</v>
      </c>
    </row>
    <row r="4952" spans="1:5" x14ac:dyDescent="0.35">
      <c r="A4952" s="1" t="s">
        <v>20261</v>
      </c>
      <c r="B4952" s="1" t="s">
        <v>18</v>
      </c>
      <c r="C4952" s="1" t="s">
        <v>656</v>
      </c>
      <c r="D4952" s="1" t="s">
        <v>18</v>
      </c>
      <c r="E4952" s="250">
        <v>13850.741</v>
      </c>
    </row>
    <row r="4953" spans="1:5" x14ac:dyDescent="0.35">
      <c r="A4953" s="1" t="s">
        <v>20262</v>
      </c>
      <c r="B4953" s="1" t="s">
        <v>18</v>
      </c>
      <c r="C4953" s="1" t="s">
        <v>655</v>
      </c>
      <c r="D4953" s="1" t="s">
        <v>18</v>
      </c>
      <c r="E4953" s="250">
        <v>13850.742</v>
      </c>
    </row>
    <row r="4954" spans="1:5" x14ac:dyDescent="0.35">
      <c r="A4954" s="1" t="s">
        <v>20263</v>
      </c>
      <c r="B4954" s="1" t="s">
        <v>18</v>
      </c>
      <c r="C4954" s="1" t="s">
        <v>654</v>
      </c>
      <c r="D4954" s="1" t="s">
        <v>18</v>
      </c>
      <c r="E4954" s="250">
        <v>13850.743</v>
      </c>
    </row>
    <row r="4955" spans="1:5" x14ac:dyDescent="0.35">
      <c r="A4955" s="1" t="s">
        <v>20264</v>
      </c>
      <c r="B4955" s="1" t="s">
        <v>18</v>
      </c>
      <c r="C4955" s="1" t="s">
        <v>653</v>
      </c>
      <c r="D4955" s="1" t="s">
        <v>18</v>
      </c>
      <c r="E4955" s="250">
        <v>13850.745000000001</v>
      </c>
    </row>
    <row r="4956" spans="1:5" x14ac:dyDescent="0.35">
      <c r="A4956" s="1" t="s">
        <v>20265</v>
      </c>
      <c r="B4956" s="1" t="s">
        <v>18</v>
      </c>
      <c r="C4956" s="1" t="s">
        <v>652</v>
      </c>
      <c r="D4956" s="1" t="s">
        <v>18</v>
      </c>
      <c r="E4956" s="250">
        <v>13850.75</v>
      </c>
    </row>
    <row r="4957" spans="1:5" x14ac:dyDescent="0.35">
      <c r="A4957" s="1" t="s">
        <v>20266</v>
      </c>
      <c r="B4957" s="1" t="s">
        <v>18</v>
      </c>
      <c r="C4957" s="1" t="s">
        <v>651</v>
      </c>
      <c r="D4957" s="1" t="s">
        <v>18</v>
      </c>
      <c r="E4957" s="250">
        <v>13850.76</v>
      </c>
    </row>
    <row r="4958" spans="1:5" x14ac:dyDescent="0.35">
      <c r="A4958" s="1" t="s">
        <v>20267</v>
      </c>
      <c r="B4958" s="1" t="s">
        <v>18</v>
      </c>
      <c r="C4958" s="1" t="s">
        <v>650</v>
      </c>
      <c r="D4958" s="1" t="s">
        <v>18</v>
      </c>
      <c r="E4958" s="250">
        <v>13850.761</v>
      </c>
    </row>
    <row r="4959" spans="1:5" x14ac:dyDescent="0.35">
      <c r="A4959" s="1" t="s">
        <v>20268</v>
      </c>
      <c r="B4959" s="1" t="s">
        <v>18</v>
      </c>
      <c r="C4959" s="1" t="s">
        <v>649</v>
      </c>
      <c r="D4959" s="1" t="s">
        <v>18</v>
      </c>
      <c r="E4959" s="250">
        <v>13850.762000000001</v>
      </c>
    </row>
    <row r="4960" spans="1:5" x14ac:dyDescent="0.35">
      <c r="A4960" s="1" t="s">
        <v>20269</v>
      </c>
      <c r="B4960" s="1" t="s">
        <v>18</v>
      </c>
      <c r="C4960" s="1" t="s">
        <v>648</v>
      </c>
      <c r="D4960" s="1" t="s">
        <v>18</v>
      </c>
      <c r="E4960" s="250">
        <v>13850.77</v>
      </c>
    </row>
    <row r="4961" spans="1:5" x14ac:dyDescent="0.35">
      <c r="A4961" s="1" t="s">
        <v>20270</v>
      </c>
      <c r="B4961" s="1" t="s">
        <v>18</v>
      </c>
      <c r="C4961" s="1" t="s">
        <v>647</v>
      </c>
      <c r="D4961" s="1" t="s">
        <v>18</v>
      </c>
      <c r="E4961" s="250">
        <v>13850.771000000001</v>
      </c>
    </row>
    <row r="4962" spans="1:5" x14ac:dyDescent="0.35">
      <c r="A4962" s="1" t="s">
        <v>20271</v>
      </c>
      <c r="B4962" s="1" t="s">
        <v>18</v>
      </c>
      <c r="C4962" s="1" t="s">
        <v>646</v>
      </c>
      <c r="D4962" s="1" t="s">
        <v>18</v>
      </c>
      <c r="E4962" s="250">
        <v>13850.775</v>
      </c>
    </row>
    <row r="4963" spans="1:5" x14ac:dyDescent="0.35">
      <c r="A4963" s="1" t="s">
        <v>20272</v>
      </c>
      <c r="B4963" s="1" t="s">
        <v>18</v>
      </c>
      <c r="C4963" s="1" t="s">
        <v>645</v>
      </c>
      <c r="D4963" s="1" t="s">
        <v>18</v>
      </c>
      <c r="E4963" s="250">
        <v>13850.78</v>
      </c>
    </row>
    <row r="4964" spans="1:5" x14ac:dyDescent="0.35">
      <c r="A4964" s="1" t="s">
        <v>20273</v>
      </c>
      <c r="B4964" s="1" t="s">
        <v>18</v>
      </c>
      <c r="C4964" s="1" t="s">
        <v>644</v>
      </c>
      <c r="D4964" s="1" t="s">
        <v>18</v>
      </c>
      <c r="E4964" s="250">
        <v>13850.781000000001</v>
      </c>
    </row>
    <row r="4965" spans="1:5" x14ac:dyDescent="0.35">
      <c r="A4965" s="1" t="s">
        <v>20274</v>
      </c>
      <c r="B4965" s="1" t="s">
        <v>18</v>
      </c>
      <c r="C4965" s="1" t="s">
        <v>643</v>
      </c>
      <c r="D4965" s="1" t="s">
        <v>18</v>
      </c>
      <c r="E4965" s="250">
        <v>13850.782999999999</v>
      </c>
    </row>
    <row r="4966" spans="1:5" x14ac:dyDescent="0.35">
      <c r="A4966" s="1" t="s">
        <v>20275</v>
      </c>
      <c r="B4966" s="1" t="s">
        <v>18</v>
      </c>
      <c r="C4966" s="1" t="s">
        <v>642</v>
      </c>
      <c r="D4966" s="1" t="s">
        <v>18</v>
      </c>
      <c r="E4966" s="250">
        <v>13850.81</v>
      </c>
    </row>
    <row r="4967" spans="1:5" x14ac:dyDescent="0.35">
      <c r="A4967" s="1" t="s">
        <v>20276</v>
      </c>
      <c r="B4967" s="1" t="s">
        <v>18</v>
      </c>
      <c r="C4967" s="1" t="s">
        <v>641</v>
      </c>
      <c r="D4967" s="1" t="s">
        <v>18</v>
      </c>
      <c r="E4967" s="250">
        <v>13850.82</v>
      </c>
    </row>
    <row r="4968" spans="1:5" x14ac:dyDescent="0.35">
      <c r="A4968" s="1" t="s">
        <v>20277</v>
      </c>
      <c r="B4968" s="1" t="s">
        <v>18</v>
      </c>
      <c r="C4968" s="1" t="s">
        <v>640</v>
      </c>
      <c r="D4968" s="1" t="s">
        <v>18</v>
      </c>
      <c r="E4968" s="250">
        <v>13850.821</v>
      </c>
    </row>
    <row r="4969" spans="1:5" x14ac:dyDescent="0.35">
      <c r="A4969" s="1" t="s">
        <v>20278</v>
      </c>
      <c r="B4969" s="1" t="s">
        <v>18</v>
      </c>
      <c r="C4969" s="1" t="s">
        <v>639</v>
      </c>
      <c r="D4969" s="1" t="s">
        <v>18</v>
      </c>
      <c r="E4969" s="250">
        <v>13850.83</v>
      </c>
    </row>
    <row r="4970" spans="1:5" x14ac:dyDescent="0.35">
      <c r="A4970" s="1" t="s">
        <v>20279</v>
      </c>
      <c r="B4970" s="1" t="s">
        <v>18</v>
      </c>
      <c r="C4970" s="1" t="s">
        <v>638</v>
      </c>
      <c r="D4970" s="1" t="s">
        <v>18</v>
      </c>
      <c r="E4970" s="250">
        <v>13850.85</v>
      </c>
    </row>
    <row r="4971" spans="1:5" x14ac:dyDescent="0.35">
      <c r="A4971" s="1" t="s">
        <v>20280</v>
      </c>
      <c r="B4971" s="1" t="s">
        <v>18</v>
      </c>
      <c r="C4971" s="1" t="s">
        <v>637</v>
      </c>
      <c r="D4971" s="1" t="s">
        <v>18</v>
      </c>
      <c r="E4971" s="250">
        <v>13850.86</v>
      </c>
    </row>
    <row r="4972" spans="1:5" x14ac:dyDescent="0.35">
      <c r="A4972" s="1" t="s">
        <v>20281</v>
      </c>
      <c r="B4972" s="1" t="s">
        <v>39</v>
      </c>
      <c r="C4972" s="1" t="s">
        <v>636</v>
      </c>
      <c r="D4972" s="1" t="s">
        <v>39</v>
      </c>
      <c r="E4972" s="250">
        <v>13851.01</v>
      </c>
    </row>
    <row r="4973" spans="1:5" x14ac:dyDescent="0.35">
      <c r="A4973" s="1" t="s">
        <v>20282</v>
      </c>
      <c r="B4973" s="1" t="s">
        <v>18</v>
      </c>
      <c r="C4973" s="1" t="s">
        <v>635</v>
      </c>
      <c r="D4973" s="1" t="s">
        <v>18</v>
      </c>
      <c r="E4973" s="250">
        <v>13851.05</v>
      </c>
    </row>
    <row r="4974" spans="1:5" x14ac:dyDescent="0.35">
      <c r="A4974" s="1" t="s">
        <v>20283</v>
      </c>
      <c r="B4974" s="1" t="s">
        <v>18</v>
      </c>
      <c r="C4974" s="1" t="s">
        <v>634</v>
      </c>
      <c r="D4974" s="1" t="s">
        <v>18</v>
      </c>
      <c r="E4974" s="250">
        <v>13851.050999999999</v>
      </c>
    </row>
    <row r="4975" spans="1:5" x14ac:dyDescent="0.35">
      <c r="A4975" s="1" t="s">
        <v>20284</v>
      </c>
      <c r="B4975" s="1" t="s">
        <v>18</v>
      </c>
      <c r="C4975" s="1" t="s">
        <v>633</v>
      </c>
      <c r="D4975" s="1" t="s">
        <v>18</v>
      </c>
      <c r="E4975" s="250">
        <v>13851.052</v>
      </c>
    </row>
    <row r="4976" spans="1:5" x14ac:dyDescent="0.35">
      <c r="A4976" s="1" t="s">
        <v>20285</v>
      </c>
      <c r="B4976" s="1" t="s">
        <v>18</v>
      </c>
      <c r="C4976" s="1" t="s">
        <v>632</v>
      </c>
      <c r="D4976" s="1" t="s">
        <v>18</v>
      </c>
      <c r="E4976" s="250">
        <v>13851.06</v>
      </c>
    </row>
    <row r="4977" spans="1:5" x14ac:dyDescent="0.35">
      <c r="A4977" s="1" t="s">
        <v>20286</v>
      </c>
      <c r="B4977" s="1" t="s">
        <v>18</v>
      </c>
      <c r="C4977" s="1" t="s">
        <v>631</v>
      </c>
      <c r="D4977" s="1" t="s">
        <v>18</v>
      </c>
      <c r="E4977" s="250">
        <v>13851.072</v>
      </c>
    </row>
    <row r="4978" spans="1:5" x14ac:dyDescent="0.35">
      <c r="A4978" s="1" t="s">
        <v>20287</v>
      </c>
      <c r="B4978" s="1" t="s">
        <v>18</v>
      </c>
      <c r="C4978" s="1" t="s">
        <v>630</v>
      </c>
      <c r="D4978" s="1" t="s">
        <v>18</v>
      </c>
      <c r="E4978" s="250">
        <v>13851.08</v>
      </c>
    </row>
    <row r="4979" spans="1:5" x14ac:dyDescent="0.35">
      <c r="A4979" s="1" t="s">
        <v>20288</v>
      </c>
      <c r="B4979" s="1" t="s">
        <v>18</v>
      </c>
      <c r="C4979" s="1" t="s">
        <v>629</v>
      </c>
      <c r="D4979" s="1" t="s">
        <v>18</v>
      </c>
      <c r="E4979" s="250">
        <v>13851.081</v>
      </c>
    </row>
    <row r="4980" spans="1:5" x14ac:dyDescent="0.35">
      <c r="A4980" s="1" t="s">
        <v>20289</v>
      </c>
      <c r="B4980" s="1" t="s">
        <v>18</v>
      </c>
      <c r="C4980" s="1" t="s">
        <v>628</v>
      </c>
      <c r="D4980" s="1" t="s">
        <v>18</v>
      </c>
      <c r="E4980" s="250">
        <v>13851.082</v>
      </c>
    </row>
    <row r="4981" spans="1:5" x14ac:dyDescent="0.35">
      <c r="A4981" s="1" t="s">
        <v>20290</v>
      </c>
      <c r="B4981" s="1" t="s">
        <v>18</v>
      </c>
      <c r="C4981" s="1" t="s">
        <v>627</v>
      </c>
      <c r="D4981" s="1" t="s">
        <v>18</v>
      </c>
      <c r="E4981" s="250">
        <v>13851.083000000001</v>
      </c>
    </row>
    <row r="4982" spans="1:5" x14ac:dyDescent="0.35">
      <c r="A4982" s="1" t="s">
        <v>20291</v>
      </c>
      <c r="B4982" s="1" t="s">
        <v>18</v>
      </c>
      <c r="C4982" s="1" t="s">
        <v>626</v>
      </c>
      <c r="D4982" s="1" t="s">
        <v>18</v>
      </c>
      <c r="E4982" s="250">
        <v>13851.084000000001</v>
      </c>
    </row>
    <row r="4983" spans="1:5" x14ac:dyDescent="0.35">
      <c r="A4983" s="1" t="s">
        <v>20292</v>
      </c>
      <c r="B4983" s="1" t="s">
        <v>18</v>
      </c>
      <c r="C4983" s="1" t="s">
        <v>625</v>
      </c>
      <c r="D4983" s="1" t="s">
        <v>18</v>
      </c>
      <c r="E4983" s="250">
        <v>13851.09</v>
      </c>
    </row>
    <row r="4984" spans="1:5" x14ac:dyDescent="0.35">
      <c r="A4984" s="1" t="s">
        <v>20293</v>
      </c>
      <c r="B4984" s="1" t="s">
        <v>18</v>
      </c>
      <c r="C4984" s="1" t="s">
        <v>624</v>
      </c>
      <c r="D4984" s="1" t="s">
        <v>18</v>
      </c>
      <c r="E4984" s="250">
        <v>13851.1</v>
      </c>
    </row>
    <row r="4985" spans="1:5" x14ac:dyDescent="0.35">
      <c r="A4985" s="1" t="s">
        <v>20294</v>
      </c>
      <c r="B4985" s="1" t="s">
        <v>58</v>
      </c>
      <c r="C4985" s="1" t="s">
        <v>623</v>
      </c>
      <c r="D4985" s="1" t="s">
        <v>58</v>
      </c>
      <c r="E4985" s="250">
        <v>13859.9</v>
      </c>
    </row>
    <row r="4986" spans="1:5" x14ac:dyDescent="0.35">
      <c r="A4986" s="1" t="s">
        <v>20295</v>
      </c>
      <c r="B4986" s="1" t="s">
        <v>621</v>
      </c>
      <c r="C4986" s="1" t="s">
        <v>622</v>
      </c>
      <c r="D4986" s="1" t="s">
        <v>621</v>
      </c>
      <c r="E4986" s="250">
        <v>13909.9</v>
      </c>
    </row>
    <row r="4987" spans="1:5" x14ac:dyDescent="0.35">
      <c r="A4987" s="1" t="s">
        <v>20296</v>
      </c>
      <c r="B4987" s="1" t="s">
        <v>23</v>
      </c>
      <c r="C4987" s="1" t="s">
        <v>620</v>
      </c>
      <c r="D4987" s="1" t="s">
        <v>23</v>
      </c>
      <c r="E4987" s="250">
        <v>13910.01</v>
      </c>
    </row>
    <row r="4988" spans="1:5" x14ac:dyDescent="0.35">
      <c r="A4988" s="1" t="s">
        <v>20297</v>
      </c>
      <c r="B4988" s="1" t="s">
        <v>23</v>
      </c>
      <c r="C4988" s="1" t="s">
        <v>619</v>
      </c>
      <c r="D4988" s="1" t="s">
        <v>23</v>
      </c>
      <c r="E4988" s="250">
        <v>13910.014999999999</v>
      </c>
    </row>
    <row r="4989" spans="1:5" x14ac:dyDescent="0.35">
      <c r="A4989" s="1" t="s">
        <v>20298</v>
      </c>
      <c r="B4989" s="1" t="s">
        <v>23</v>
      </c>
      <c r="C4989" s="1" t="s">
        <v>618</v>
      </c>
      <c r="D4989" s="1" t="s">
        <v>23</v>
      </c>
      <c r="E4989" s="250">
        <v>13910.02</v>
      </c>
    </row>
    <row r="4990" spans="1:5" x14ac:dyDescent="0.35">
      <c r="A4990" s="1" t="s">
        <v>20299</v>
      </c>
      <c r="B4990" s="1" t="s">
        <v>23</v>
      </c>
      <c r="C4990" s="1" t="s">
        <v>617</v>
      </c>
      <c r="D4990" s="1" t="s">
        <v>23</v>
      </c>
      <c r="E4990" s="250">
        <v>13910.025</v>
      </c>
    </row>
    <row r="4991" spans="1:5" x14ac:dyDescent="0.35">
      <c r="A4991" s="1" t="s">
        <v>20300</v>
      </c>
      <c r="B4991" s="1" t="s">
        <v>23</v>
      </c>
      <c r="C4991" s="1" t="s">
        <v>616</v>
      </c>
      <c r="D4991" s="1" t="s">
        <v>23</v>
      </c>
      <c r="E4991" s="250">
        <v>13910.03</v>
      </c>
    </row>
    <row r="4992" spans="1:5" x14ac:dyDescent="0.35">
      <c r="A4992" s="1" t="s">
        <v>20301</v>
      </c>
      <c r="B4992" s="1" t="s">
        <v>23</v>
      </c>
      <c r="C4992" s="1" t="s">
        <v>615</v>
      </c>
      <c r="D4992" s="1" t="s">
        <v>23</v>
      </c>
      <c r="E4992" s="250">
        <v>13910.035</v>
      </c>
    </row>
    <row r="4993" spans="1:5" x14ac:dyDescent="0.35">
      <c r="A4993" s="1" t="s">
        <v>20302</v>
      </c>
      <c r="B4993" s="1" t="s">
        <v>23</v>
      </c>
      <c r="C4993" s="1" t="s">
        <v>614</v>
      </c>
      <c r="D4993" s="1" t="s">
        <v>23</v>
      </c>
      <c r="E4993" s="250">
        <v>13910.04</v>
      </c>
    </row>
    <row r="4994" spans="1:5" x14ac:dyDescent="0.35">
      <c r="A4994" s="1" t="s">
        <v>20303</v>
      </c>
      <c r="B4994" s="1" t="s">
        <v>23</v>
      </c>
      <c r="C4994" s="1" t="s">
        <v>613</v>
      </c>
      <c r="D4994" s="1" t="s">
        <v>23</v>
      </c>
      <c r="E4994" s="250">
        <v>13910.045</v>
      </c>
    </row>
    <row r="4995" spans="1:5" x14ac:dyDescent="0.35">
      <c r="A4995" s="1" t="s">
        <v>20304</v>
      </c>
      <c r="B4995" s="1" t="s">
        <v>23</v>
      </c>
      <c r="C4995" s="1" t="s">
        <v>612</v>
      </c>
      <c r="D4995" s="1" t="s">
        <v>23</v>
      </c>
      <c r="E4995" s="250">
        <v>13910.05</v>
      </c>
    </row>
    <row r="4996" spans="1:5" x14ac:dyDescent="0.35">
      <c r="A4996" s="1" t="s">
        <v>20305</v>
      </c>
      <c r="B4996" s="1" t="s">
        <v>18</v>
      </c>
      <c r="C4996" s="1" t="s">
        <v>611</v>
      </c>
      <c r="D4996" s="1" t="s">
        <v>18</v>
      </c>
      <c r="E4996" s="250">
        <v>13910.055</v>
      </c>
    </row>
    <row r="4997" spans="1:5" x14ac:dyDescent="0.35">
      <c r="A4997" s="1" t="s">
        <v>20306</v>
      </c>
      <c r="B4997" s="1" t="s">
        <v>41</v>
      </c>
      <c r="C4997" s="1" t="s">
        <v>610</v>
      </c>
      <c r="D4997" s="1" t="s">
        <v>41</v>
      </c>
      <c r="E4997" s="250">
        <v>13910.55</v>
      </c>
    </row>
    <row r="4998" spans="1:5" x14ac:dyDescent="0.35">
      <c r="A4998" s="1" t="s">
        <v>20307</v>
      </c>
      <c r="B4998" s="1" t="s">
        <v>65</v>
      </c>
      <c r="C4998" s="1" t="s">
        <v>609</v>
      </c>
      <c r="D4998" s="1" t="s">
        <v>65</v>
      </c>
      <c r="E4998" s="250">
        <v>13910.552</v>
      </c>
    </row>
    <row r="4999" spans="1:5" x14ac:dyDescent="0.35">
      <c r="A4999" s="1" t="s">
        <v>20308</v>
      </c>
      <c r="B4999" s="1" t="s">
        <v>57</v>
      </c>
      <c r="C4999" s="1" t="s">
        <v>608</v>
      </c>
      <c r="D4999" s="1" t="s">
        <v>57</v>
      </c>
      <c r="E4999" s="250">
        <v>13920.01</v>
      </c>
    </row>
    <row r="5000" spans="1:5" x14ac:dyDescent="0.35">
      <c r="A5000" s="1" t="s">
        <v>20309</v>
      </c>
      <c r="B5000" s="1" t="s">
        <v>57</v>
      </c>
      <c r="C5000" s="1" t="s">
        <v>607</v>
      </c>
      <c r="D5000" s="1" t="s">
        <v>57</v>
      </c>
      <c r="E5000" s="250">
        <v>13920.011</v>
      </c>
    </row>
    <row r="5001" spans="1:5" x14ac:dyDescent="0.35">
      <c r="A5001" s="1" t="s">
        <v>20310</v>
      </c>
      <c r="B5001" s="1" t="s">
        <v>18</v>
      </c>
      <c r="C5001" s="1" t="s">
        <v>606</v>
      </c>
      <c r="D5001" s="1" t="s">
        <v>18</v>
      </c>
      <c r="E5001" s="250">
        <v>13920.012000000001</v>
      </c>
    </row>
    <row r="5002" spans="1:5" x14ac:dyDescent="0.35">
      <c r="A5002" s="1" t="s">
        <v>20311</v>
      </c>
      <c r="B5002" s="1" t="s">
        <v>18</v>
      </c>
      <c r="C5002" s="1" t="s">
        <v>605</v>
      </c>
      <c r="D5002" s="1" t="s">
        <v>18</v>
      </c>
      <c r="E5002" s="250">
        <v>13920.013000000001</v>
      </c>
    </row>
    <row r="5003" spans="1:5" x14ac:dyDescent="0.35">
      <c r="A5003" s="1" t="s">
        <v>20312</v>
      </c>
      <c r="B5003" s="1" t="s">
        <v>18</v>
      </c>
      <c r="C5003" s="1" t="s">
        <v>602</v>
      </c>
      <c r="D5003" s="1" t="s">
        <v>18</v>
      </c>
      <c r="E5003" s="250">
        <v>13920.013999999999</v>
      </c>
    </row>
    <row r="5004" spans="1:5" x14ac:dyDescent="0.35">
      <c r="A5004" s="1" t="s">
        <v>20313</v>
      </c>
      <c r="B5004" s="1" t="s">
        <v>18</v>
      </c>
      <c r="C5004" s="1" t="s">
        <v>601</v>
      </c>
      <c r="D5004" s="1" t="s">
        <v>18</v>
      </c>
      <c r="E5004" s="250">
        <v>13920.014999999999</v>
      </c>
    </row>
    <row r="5005" spans="1:5" x14ac:dyDescent="0.35">
      <c r="A5005" s="1" t="s">
        <v>20314</v>
      </c>
      <c r="B5005" s="1" t="s">
        <v>18</v>
      </c>
      <c r="C5005" s="1" t="s">
        <v>600</v>
      </c>
      <c r="D5005" s="1" t="s">
        <v>18</v>
      </c>
      <c r="E5005" s="250">
        <v>13920.016</v>
      </c>
    </row>
    <row r="5006" spans="1:5" x14ac:dyDescent="0.35">
      <c r="A5006" s="1" t="s">
        <v>20315</v>
      </c>
      <c r="B5006" s="1" t="s">
        <v>18</v>
      </c>
      <c r="C5006" s="1" t="s">
        <v>598</v>
      </c>
      <c r="D5006" s="1" t="s">
        <v>18</v>
      </c>
      <c r="E5006" s="250">
        <v>13920.017</v>
      </c>
    </row>
    <row r="5007" spans="1:5" x14ac:dyDescent="0.35">
      <c r="A5007" s="1" t="s">
        <v>20316</v>
      </c>
      <c r="B5007" s="1" t="s">
        <v>18</v>
      </c>
      <c r="C5007" s="1" t="s">
        <v>597</v>
      </c>
      <c r="D5007" s="1" t="s">
        <v>18</v>
      </c>
      <c r="E5007" s="250">
        <v>13920.018</v>
      </c>
    </row>
    <row r="5008" spans="1:5" x14ac:dyDescent="0.35">
      <c r="A5008" s="1" t="s">
        <v>20317</v>
      </c>
      <c r="B5008" s="1" t="s">
        <v>18</v>
      </c>
      <c r="C5008" s="1" t="s">
        <v>596</v>
      </c>
      <c r="D5008" s="1" t="s">
        <v>18</v>
      </c>
      <c r="E5008" s="250">
        <v>13920.019</v>
      </c>
    </row>
    <row r="5009" spans="1:5" x14ac:dyDescent="0.35">
      <c r="A5009" s="1" t="s">
        <v>20318</v>
      </c>
      <c r="B5009" s="1" t="s">
        <v>57</v>
      </c>
      <c r="C5009" s="1" t="s">
        <v>604</v>
      </c>
      <c r="D5009" s="1" t="s">
        <v>57</v>
      </c>
      <c r="E5009" s="250">
        <v>13920.029</v>
      </c>
    </row>
    <row r="5010" spans="1:5" x14ac:dyDescent="0.35">
      <c r="A5010" s="1" t="s">
        <v>20319</v>
      </c>
      <c r="B5010" s="1" t="s">
        <v>18</v>
      </c>
      <c r="C5010" s="1" t="s">
        <v>603</v>
      </c>
      <c r="D5010" s="1" t="s">
        <v>18</v>
      </c>
      <c r="E5010" s="250">
        <v>13920.03</v>
      </c>
    </row>
    <row r="5011" spans="1:5" x14ac:dyDescent="0.35">
      <c r="A5011" s="1" t="s">
        <v>20320</v>
      </c>
      <c r="B5011" s="1" t="s">
        <v>18</v>
      </c>
      <c r="C5011" s="1" t="s">
        <v>602</v>
      </c>
      <c r="D5011" s="1" t="s">
        <v>18</v>
      </c>
      <c r="E5011" s="250">
        <v>13920.031000000001</v>
      </c>
    </row>
    <row r="5012" spans="1:5" x14ac:dyDescent="0.35">
      <c r="A5012" s="1" t="s">
        <v>20321</v>
      </c>
      <c r="B5012" s="1" t="s">
        <v>18</v>
      </c>
      <c r="C5012" s="1" t="s">
        <v>601</v>
      </c>
      <c r="D5012" s="1" t="s">
        <v>18</v>
      </c>
      <c r="E5012" s="250">
        <v>13920.031999999999</v>
      </c>
    </row>
    <row r="5013" spans="1:5" x14ac:dyDescent="0.35">
      <c r="A5013" s="1" t="s">
        <v>20322</v>
      </c>
      <c r="B5013" s="1" t="s">
        <v>18</v>
      </c>
      <c r="C5013" s="1" t="s">
        <v>600</v>
      </c>
      <c r="D5013" s="1" t="s">
        <v>18</v>
      </c>
      <c r="E5013" s="250">
        <v>13920.032999999999</v>
      </c>
    </row>
    <row r="5014" spans="1:5" x14ac:dyDescent="0.35">
      <c r="A5014" s="1" t="s">
        <v>20323</v>
      </c>
      <c r="B5014" s="1" t="s">
        <v>18</v>
      </c>
      <c r="C5014" s="1" t="s">
        <v>599</v>
      </c>
      <c r="D5014" s="1" t="s">
        <v>18</v>
      </c>
      <c r="E5014" s="250">
        <v>13920.034</v>
      </c>
    </row>
    <row r="5015" spans="1:5" x14ac:dyDescent="0.35">
      <c r="A5015" s="1" t="s">
        <v>20324</v>
      </c>
      <c r="B5015" s="1" t="s">
        <v>18</v>
      </c>
      <c r="C5015" s="1" t="s">
        <v>598</v>
      </c>
      <c r="D5015" s="1" t="s">
        <v>18</v>
      </c>
      <c r="E5015" s="250">
        <v>13920.035</v>
      </c>
    </row>
    <row r="5016" spans="1:5" x14ac:dyDescent="0.35">
      <c r="A5016" s="1" t="s">
        <v>20325</v>
      </c>
      <c r="B5016" s="1" t="s">
        <v>18</v>
      </c>
      <c r="C5016" s="1" t="s">
        <v>597</v>
      </c>
      <c r="D5016" s="1" t="s">
        <v>18</v>
      </c>
      <c r="E5016" s="250">
        <v>13920.036</v>
      </c>
    </row>
    <row r="5017" spans="1:5" x14ac:dyDescent="0.35">
      <c r="A5017" s="1" t="s">
        <v>20326</v>
      </c>
      <c r="B5017" s="1" t="s">
        <v>18</v>
      </c>
      <c r="C5017" s="1" t="s">
        <v>596</v>
      </c>
      <c r="D5017" s="1" t="s">
        <v>18</v>
      </c>
      <c r="E5017" s="250">
        <v>13920.037</v>
      </c>
    </row>
    <row r="5018" spans="1:5" x14ac:dyDescent="0.35">
      <c r="A5018" s="1" t="s">
        <v>20327</v>
      </c>
      <c r="B5018" s="1" t="s">
        <v>18</v>
      </c>
      <c r="C5018" s="1" t="s">
        <v>595</v>
      </c>
      <c r="D5018" s="1" t="s">
        <v>18</v>
      </c>
      <c r="E5018" s="250">
        <v>13920.040999999999</v>
      </c>
    </row>
    <row r="5019" spans="1:5" x14ac:dyDescent="0.35">
      <c r="A5019" s="1" t="s">
        <v>20328</v>
      </c>
      <c r="B5019" s="1" t="s">
        <v>18</v>
      </c>
      <c r="C5019" s="1" t="s">
        <v>594</v>
      </c>
      <c r="D5019" s="1" t="s">
        <v>18</v>
      </c>
      <c r="E5019" s="250">
        <v>13920.041999999999</v>
      </c>
    </row>
    <row r="5020" spans="1:5" x14ac:dyDescent="0.35">
      <c r="A5020" s="1" t="s">
        <v>20329</v>
      </c>
      <c r="B5020" s="1" t="s">
        <v>18</v>
      </c>
      <c r="C5020" s="1" t="s">
        <v>593</v>
      </c>
      <c r="D5020" s="1" t="s">
        <v>18</v>
      </c>
      <c r="E5020" s="250">
        <v>13920.043</v>
      </c>
    </row>
    <row r="5021" spans="1:5" x14ac:dyDescent="0.35">
      <c r="A5021" s="1" t="s">
        <v>20330</v>
      </c>
      <c r="B5021" s="1" t="s">
        <v>18</v>
      </c>
      <c r="C5021" s="1" t="s">
        <v>592</v>
      </c>
      <c r="D5021" s="1" t="s">
        <v>18</v>
      </c>
      <c r="E5021" s="250">
        <v>13920.044</v>
      </c>
    </row>
    <row r="5022" spans="1:5" x14ac:dyDescent="0.35">
      <c r="A5022" s="1" t="s">
        <v>20331</v>
      </c>
      <c r="B5022" s="1" t="s">
        <v>18</v>
      </c>
      <c r="C5022" s="1" t="s">
        <v>591</v>
      </c>
      <c r="D5022" s="1" t="s">
        <v>18</v>
      </c>
      <c r="E5022" s="250">
        <v>13920.045</v>
      </c>
    </row>
    <row r="5023" spans="1:5" x14ac:dyDescent="0.35">
      <c r="A5023" s="1" t="s">
        <v>20332</v>
      </c>
      <c r="B5023" s="1" t="s">
        <v>18</v>
      </c>
      <c r="C5023" s="1" t="s">
        <v>590</v>
      </c>
      <c r="D5023" s="1" t="s">
        <v>18</v>
      </c>
      <c r="E5023" s="250">
        <v>13920.046</v>
      </c>
    </row>
    <row r="5024" spans="1:5" x14ac:dyDescent="0.35">
      <c r="A5024" s="1" t="s">
        <v>20333</v>
      </c>
      <c r="B5024" s="1" t="s">
        <v>18</v>
      </c>
      <c r="C5024" s="1" t="s">
        <v>589</v>
      </c>
      <c r="D5024" s="1" t="s">
        <v>18</v>
      </c>
      <c r="E5024" s="250">
        <v>13920.047</v>
      </c>
    </row>
    <row r="5025" spans="1:5" x14ac:dyDescent="0.35">
      <c r="A5025" s="1" t="s">
        <v>20334</v>
      </c>
      <c r="B5025" s="1" t="s">
        <v>18</v>
      </c>
      <c r="C5025" s="1" t="s">
        <v>588</v>
      </c>
      <c r="D5025" s="1" t="s">
        <v>18</v>
      </c>
      <c r="E5025" s="250">
        <v>13920.048000000001</v>
      </c>
    </row>
    <row r="5026" spans="1:5" x14ac:dyDescent="0.35">
      <c r="A5026" s="1" t="s">
        <v>20335</v>
      </c>
      <c r="B5026" s="1" t="s">
        <v>18</v>
      </c>
      <c r="C5026" s="1" t="s">
        <v>587</v>
      </c>
      <c r="D5026" s="1" t="s">
        <v>18</v>
      </c>
      <c r="E5026" s="250">
        <v>13920.055</v>
      </c>
    </row>
    <row r="5027" spans="1:5" x14ac:dyDescent="0.35">
      <c r="A5027" s="1" t="s">
        <v>20336</v>
      </c>
      <c r="B5027" s="1" t="s">
        <v>18</v>
      </c>
      <c r="C5027" s="1" t="s">
        <v>586</v>
      </c>
      <c r="D5027" s="1" t="s">
        <v>18</v>
      </c>
      <c r="E5027" s="250">
        <v>13920.056</v>
      </c>
    </row>
    <row r="5028" spans="1:5" x14ac:dyDescent="0.35">
      <c r="A5028" s="1" t="s">
        <v>20337</v>
      </c>
      <c r="B5028" s="1" t="s">
        <v>18</v>
      </c>
      <c r="C5028" s="1" t="s">
        <v>585</v>
      </c>
      <c r="D5028" s="1" t="s">
        <v>18</v>
      </c>
      <c r="E5028" s="250">
        <v>13920.057000000001</v>
      </c>
    </row>
    <row r="5029" spans="1:5" x14ac:dyDescent="0.35">
      <c r="A5029" s="1" t="s">
        <v>20338</v>
      </c>
      <c r="B5029" s="1" t="s">
        <v>18</v>
      </c>
      <c r="C5029" s="1" t="s">
        <v>584</v>
      </c>
      <c r="D5029" s="1" t="s">
        <v>18</v>
      </c>
      <c r="E5029" s="250">
        <v>13920.058000000001</v>
      </c>
    </row>
    <row r="5030" spans="1:5" x14ac:dyDescent="0.35">
      <c r="A5030" s="1" t="s">
        <v>20339</v>
      </c>
      <c r="B5030" s="1" t="s">
        <v>18</v>
      </c>
      <c r="C5030" s="1" t="s">
        <v>583</v>
      </c>
      <c r="D5030" s="1" t="s">
        <v>18</v>
      </c>
      <c r="E5030" s="250">
        <v>13920.058999999999</v>
      </c>
    </row>
    <row r="5031" spans="1:5" x14ac:dyDescent="0.35">
      <c r="A5031" s="1" t="s">
        <v>20340</v>
      </c>
      <c r="B5031" s="1" t="s">
        <v>18</v>
      </c>
      <c r="C5031" s="1" t="s">
        <v>582</v>
      </c>
      <c r="D5031" s="1" t="s">
        <v>18</v>
      </c>
      <c r="E5031" s="250">
        <v>13920.06</v>
      </c>
    </row>
    <row r="5032" spans="1:5" x14ac:dyDescent="0.35">
      <c r="A5032" s="1" t="s">
        <v>20341</v>
      </c>
      <c r="B5032" s="1" t="s">
        <v>18</v>
      </c>
      <c r="C5032" s="1" t="s">
        <v>581</v>
      </c>
      <c r="D5032" s="1" t="s">
        <v>18</v>
      </c>
      <c r="E5032" s="250">
        <v>13920.061</v>
      </c>
    </row>
    <row r="5033" spans="1:5" x14ac:dyDescent="0.35">
      <c r="A5033" s="1" t="s">
        <v>20342</v>
      </c>
      <c r="B5033" s="1" t="s">
        <v>18</v>
      </c>
      <c r="C5033" s="1" t="s">
        <v>580</v>
      </c>
      <c r="D5033" s="1" t="s">
        <v>18</v>
      </c>
      <c r="E5033" s="250">
        <v>13920.062</v>
      </c>
    </row>
    <row r="5034" spans="1:5" x14ac:dyDescent="0.35">
      <c r="A5034" s="1" t="s">
        <v>20343</v>
      </c>
      <c r="B5034" s="1" t="s">
        <v>57</v>
      </c>
      <c r="C5034" s="1" t="s">
        <v>579</v>
      </c>
      <c r="D5034" s="1" t="s">
        <v>57</v>
      </c>
      <c r="E5034" s="250">
        <v>13930.01</v>
      </c>
    </row>
    <row r="5035" spans="1:5" x14ac:dyDescent="0.35">
      <c r="A5035" s="1" t="s">
        <v>20344</v>
      </c>
      <c r="B5035" s="1" t="s">
        <v>57</v>
      </c>
      <c r="C5035" s="1" t="s">
        <v>576</v>
      </c>
      <c r="D5035" s="1" t="s">
        <v>57</v>
      </c>
      <c r="E5035" s="250">
        <v>13930.011</v>
      </c>
    </row>
    <row r="5036" spans="1:5" x14ac:dyDescent="0.35">
      <c r="A5036" s="1" t="s">
        <v>20345</v>
      </c>
      <c r="B5036" s="1" t="s">
        <v>19</v>
      </c>
      <c r="C5036" s="1" t="s">
        <v>494</v>
      </c>
      <c r="D5036" s="1" t="s">
        <v>19</v>
      </c>
      <c r="E5036" s="250">
        <v>13930.013999999999</v>
      </c>
    </row>
    <row r="5037" spans="1:5" x14ac:dyDescent="0.35">
      <c r="A5037" s="1" t="s">
        <v>20346</v>
      </c>
      <c r="B5037" s="1" t="s">
        <v>19</v>
      </c>
      <c r="C5037" s="1" t="s">
        <v>493</v>
      </c>
      <c r="D5037" s="1" t="s">
        <v>19</v>
      </c>
      <c r="E5037" s="250">
        <v>13930.014999999999</v>
      </c>
    </row>
    <row r="5038" spans="1:5" x14ac:dyDescent="0.35">
      <c r="A5038" s="1" t="s">
        <v>20347</v>
      </c>
      <c r="B5038" s="1" t="s">
        <v>19</v>
      </c>
      <c r="C5038" s="1" t="s">
        <v>492</v>
      </c>
      <c r="D5038" s="1" t="s">
        <v>19</v>
      </c>
      <c r="E5038" s="250">
        <v>13930.016</v>
      </c>
    </row>
    <row r="5039" spans="1:5" x14ac:dyDescent="0.35">
      <c r="A5039" s="1" t="s">
        <v>20348</v>
      </c>
      <c r="B5039" s="1" t="s">
        <v>19</v>
      </c>
      <c r="C5039" s="1" t="s">
        <v>491</v>
      </c>
      <c r="D5039" s="1" t="s">
        <v>19</v>
      </c>
      <c r="E5039" s="250">
        <v>13930.017</v>
      </c>
    </row>
    <row r="5040" spans="1:5" x14ac:dyDescent="0.35">
      <c r="A5040" s="1" t="s">
        <v>20349</v>
      </c>
      <c r="B5040" s="1" t="s">
        <v>19</v>
      </c>
      <c r="C5040" s="1" t="s">
        <v>490</v>
      </c>
      <c r="D5040" s="1" t="s">
        <v>19</v>
      </c>
      <c r="E5040" s="250">
        <v>13930.018</v>
      </c>
    </row>
    <row r="5041" spans="1:5" x14ac:dyDescent="0.35">
      <c r="A5041" s="1" t="s">
        <v>20350</v>
      </c>
      <c r="B5041" s="1" t="s">
        <v>19</v>
      </c>
      <c r="C5041" s="1" t="s">
        <v>419</v>
      </c>
      <c r="D5041" s="1" t="s">
        <v>19</v>
      </c>
      <c r="E5041" s="250">
        <v>13930.019</v>
      </c>
    </row>
    <row r="5042" spans="1:5" x14ac:dyDescent="0.35">
      <c r="A5042" s="1" t="s">
        <v>20351</v>
      </c>
      <c r="B5042" s="1" t="s">
        <v>19</v>
      </c>
      <c r="C5042" s="1" t="s">
        <v>416</v>
      </c>
      <c r="D5042" s="1" t="s">
        <v>19</v>
      </c>
      <c r="E5042" s="250">
        <v>13930.02</v>
      </c>
    </row>
    <row r="5043" spans="1:5" x14ac:dyDescent="0.35">
      <c r="A5043" s="1" t="s">
        <v>20352</v>
      </c>
      <c r="B5043" s="1" t="s">
        <v>19</v>
      </c>
      <c r="C5043" s="1" t="s">
        <v>489</v>
      </c>
      <c r="D5043" s="1" t="s">
        <v>19</v>
      </c>
      <c r="E5043" s="250">
        <v>13930.021000000001</v>
      </c>
    </row>
    <row r="5044" spans="1:5" x14ac:dyDescent="0.35">
      <c r="A5044" s="1" t="s">
        <v>20353</v>
      </c>
      <c r="B5044" s="1" t="s">
        <v>19</v>
      </c>
      <c r="C5044" s="1" t="s">
        <v>415</v>
      </c>
      <c r="D5044" s="1" t="s">
        <v>19</v>
      </c>
      <c r="E5044" s="250">
        <v>13930.022000000001</v>
      </c>
    </row>
    <row r="5045" spans="1:5" x14ac:dyDescent="0.35">
      <c r="A5045" s="1" t="s">
        <v>20354</v>
      </c>
      <c r="B5045" s="1" t="s">
        <v>19</v>
      </c>
      <c r="C5045" s="1" t="s">
        <v>414</v>
      </c>
      <c r="D5045" s="1" t="s">
        <v>19</v>
      </c>
      <c r="E5045" s="250">
        <v>13930.022999999999</v>
      </c>
    </row>
    <row r="5046" spans="1:5" x14ac:dyDescent="0.35">
      <c r="A5046" s="1" t="s">
        <v>20355</v>
      </c>
      <c r="B5046" s="1" t="s">
        <v>19</v>
      </c>
      <c r="C5046" s="1" t="s">
        <v>413</v>
      </c>
      <c r="D5046" s="1" t="s">
        <v>19</v>
      </c>
      <c r="E5046" s="250">
        <v>13930.023999999999</v>
      </c>
    </row>
    <row r="5047" spans="1:5" x14ac:dyDescent="0.35">
      <c r="A5047" s="1" t="s">
        <v>20356</v>
      </c>
      <c r="B5047" s="1" t="s">
        <v>19</v>
      </c>
      <c r="C5047" s="1" t="s">
        <v>412</v>
      </c>
      <c r="D5047" s="1" t="s">
        <v>19</v>
      </c>
      <c r="E5047" s="250">
        <v>13930.025</v>
      </c>
    </row>
    <row r="5048" spans="1:5" x14ac:dyDescent="0.35">
      <c r="A5048" s="1" t="s">
        <v>20357</v>
      </c>
      <c r="B5048" s="1" t="s">
        <v>57</v>
      </c>
      <c r="C5048" s="1" t="s">
        <v>578</v>
      </c>
      <c r="D5048" s="1" t="s">
        <v>57</v>
      </c>
      <c r="E5048" s="250">
        <v>13930.031999999999</v>
      </c>
    </row>
    <row r="5049" spans="1:5" x14ac:dyDescent="0.35">
      <c r="A5049" s="1" t="s">
        <v>20358</v>
      </c>
      <c r="B5049" s="1" t="s">
        <v>57</v>
      </c>
      <c r="C5049" s="1" t="s">
        <v>576</v>
      </c>
      <c r="D5049" s="1" t="s">
        <v>57</v>
      </c>
      <c r="E5049" s="250">
        <v>13930.032999999999</v>
      </c>
    </row>
    <row r="5050" spans="1:5" x14ac:dyDescent="0.35">
      <c r="A5050" s="1" t="s">
        <v>20359</v>
      </c>
      <c r="B5050" s="1" t="s">
        <v>19</v>
      </c>
      <c r="C5050" s="1" t="s">
        <v>414</v>
      </c>
      <c r="D5050" s="1" t="s">
        <v>19</v>
      </c>
      <c r="E5050" s="250">
        <v>13930.034</v>
      </c>
    </row>
    <row r="5051" spans="1:5" x14ac:dyDescent="0.35">
      <c r="A5051" s="1" t="s">
        <v>20360</v>
      </c>
      <c r="B5051" s="1" t="s">
        <v>19</v>
      </c>
      <c r="C5051" s="1" t="s">
        <v>413</v>
      </c>
      <c r="D5051" s="1" t="s">
        <v>19</v>
      </c>
      <c r="E5051" s="250">
        <v>13930.035</v>
      </c>
    </row>
    <row r="5052" spans="1:5" x14ac:dyDescent="0.35">
      <c r="A5052" s="1" t="s">
        <v>20361</v>
      </c>
      <c r="B5052" s="1" t="s">
        <v>19</v>
      </c>
      <c r="C5052" s="1" t="s">
        <v>412</v>
      </c>
      <c r="D5052" s="1" t="s">
        <v>19</v>
      </c>
      <c r="E5052" s="250">
        <v>13930.036</v>
      </c>
    </row>
    <row r="5053" spans="1:5" x14ac:dyDescent="0.35">
      <c r="A5053" s="1" t="s">
        <v>20362</v>
      </c>
      <c r="B5053" s="1" t="s">
        <v>57</v>
      </c>
      <c r="C5053" s="1" t="s">
        <v>577</v>
      </c>
      <c r="D5053" s="1" t="s">
        <v>57</v>
      </c>
      <c r="E5053" s="250">
        <v>13930.041999999999</v>
      </c>
    </row>
    <row r="5054" spans="1:5" x14ac:dyDescent="0.35">
      <c r="A5054" s="1" t="s">
        <v>20363</v>
      </c>
      <c r="B5054" s="1" t="s">
        <v>57</v>
      </c>
      <c r="C5054" s="1" t="s">
        <v>576</v>
      </c>
      <c r="D5054" s="1" t="s">
        <v>57</v>
      </c>
      <c r="E5054" s="250">
        <v>13930.043</v>
      </c>
    </row>
    <row r="5055" spans="1:5" x14ac:dyDescent="0.35">
      <c r="A5055" s="1" t="s">
        <v>20364</v>
      </c>
      <c r="B5055" s="1" t="s">
        <v>19</v>
      </c>
      <c r="C5055" s="1" t="s">
        <v>414</v>
      </c>
      <c r="D5055" s="1" t="s">
        <v>19</v>
      </c>
      <c r="E5055" s="250">
        <v>13930.044</v>
      </c>
    </row>
    <row r="5056" spans="1:5" x14ac:dyDescent="0.35">
      <c r="A5056" s="1" t="s">
        <v>20365</v>
      </c>
      <c r="B5056" s="1" t="s">
        <v>19</v>
      </c>
      <c r="C5056" s="1" t="s">
        <v>413</v>
      </c>
      <c r="D5056" s="1" t="s">
        <v>19</v>
      </c>
      <c r="E5056" s="250">
        <v>13930.045</v>
      </c>
    </row>
    <row r="5057" spans="1:5" x14ac:dyDescent="0.35">
      <c r="A5057" s="1" t="s">
        <v>20366</v>
      </c>
      <c r="B5057" s="1" t="s">
        <v>19</v>
      </c>
      <c r="C5057" s="1" t="s">
        <v>412</v>
      </c>
      <c r="D5057" s="1" t="s">
        <v>19</v>
      </c>
      <c r="E5057" s="250">
        <v>13930.046</v>
      </c>
    </row>
    <row r="5058" spans="1:5" x14ac:dyDescent="0.35">
      <c r="A5058" s="1" t="s">
        <v>20367</v>
      </c>
      <c r="B5058" s="1" t="s">
        <v>57</v>
      </c>
      <c r="C5058" s="1" t="s">
        <v>514</v>
      </c>
      <c r="D5058" s="1" t="s">
        <v>57</v>
      </c>
      <c r="E5058" s="250">
        <v>13930.052</v>
      </c>
    </row>
    <row r="5059" spans="1:5" x14ac:dyDescent="0.35">
      <c r="A5059" s="1" t="s">
        <v>20368</v>
      </c>
      <c r="B5059" s="1" t="s">
        <v>57</v>
      </c>
      <c r="C5059" s="1" t="s">
        <v>576</v>
      </c>
      <c r="D5059" s="1" t="s">
        <v>57</v>
      </c>
      <c r="E5059" s="250">
        <v>13930.053</v>
      </c>
    </row>
    <row r="5060" spans="1:5" x14ac:dyDescent="0.35">
      <c r="A5060" s="1" t="s">
        <v>20369</v>
      </c>
      <c r="B5060" s="1" t="s">
        <v>19</v>
      </c>
      <c r="C5060" s="1" t="s">
        <v>494</v>
      </c>
      <c r="D5060" s="1" t="s">
        <v>19</v>
      </c>
      <c r="E5060" s="250">
        <v>13930.054</v>
      </c>
    </row>
    <row r="5061" spans="1:5" x14ac:dyDescent="0.35">
      <c r="A5061" s="1" t="s">
        <v>20370</v>
      </c>
      <c r="B5061" s="1" t="s">
        <v>19</v>
      </c>
      <c r="C5061" s="1" t="s">
        <v>493</v>
      </c>
      <c r="D5061" s="1" t="s">
        <v>19</v>
      </c>
      <c r="E5061" s="250">
        <v>13930.055</v>
      </c>
    </row>
    <row r="5062" spans="1:5" x14ac:dyDescent="0.35">
      <c r="A5062" s="1" t="s">
        <v>20371</v>
      </c>
      <c r="B5062" s="1" t="s">
        <v>19</v>
      </c>
      <c r="C5062" s="1" t="s">
        <v>492</v>
      </c>
      <c r="D5062" s="1" t="s">
        <v>19</v>
      </c>
      <c r="E5062" s="250">
        <v>13930.056</v>
      </c>
    </row>
    <row r="5063" spans="1:5" x14ac:dyDescent="0.35">
      <c r="A5063" s="1" t="s">
        <v>20372</v>
      </c>
      <c r="B5063" s="1" t="s">
        <v>19</v>
      </c>
      <c r="C5063" s="1" t="s">
        <v>491</v>
      </c>
      <c r="D5063" s="1" t="s">
        <v>19</v>
      </c>
      <c r="E5063" s="250">
        <v>13930.057000000001</v>
      </c>
    </row>
    <row r="5064" spans="1:5" x14ac:dyDescent="0.35">
      <c r="A5064" s="1" t="s">
        <v>20373</v>
      </c>
      <c r="B5064" s="1" t="s">
        <v>19</v>
      </c>
      <c r="C5064" s="1" t="s">
        <v>490</v>
      </c>
      <c r="D5064" s="1" t="s">
        <v>19</v>
      </c>
      <c r="E5064" s="250">
        <v>13930.058000000001</v>
      </c>
    </row>
    <row r="5065" spans="1:5" x14ac:dyDescent="0.35">
      <c r="A5065" s="1" t="s">
        <v>20374</v>
      </c>
      <c r="B5065" s="1" t="s">
        <v>19</v>
      </c>
      <c r="C5065" s="1" t="s">
        <v>419</v>
      </c>
      <c r="D5065" s="1" t="s">
        <v>19</v>
      </c>
      <c r="E5065" s="250">
        <v>13930.058999999999</v>
      </c>
    </row>
    <row r="5066" spans="1:5" x14ac:dyDescent="0.35">
      <c r="A5066" s="1" t="s">
        <v>20375</v>
      </c>
      <c r="B5066" s="1" t="s">
        <v>19</v>
      </c>
      <c r="C5066" s="1" t="s">
        <v>416</v>
      </c>
      <c r="D5066" s="1" t="s">
        <v>19</v>
      </c>
      <c r="E5066" s="250">
        <v>13930.06</v>
      </c>
    </row>
    <row r="5067" spans="1:5" x14ac:dyDescent="0.35">
      <c r="A5067" s="1" t="s">
        <v>20376</v>
      </c>
      <c r="B5067" s="1" t="s">
        <v>19</v>
      </c>
      <c r="C5067" s="1" t="s">
        <v>489</v>
      </c>
      <c r="D5067" s="1" t="s">
        <v>19</v>
      </c>
      <c r="E5067" s="250">
        <v>13930.061</v>
      </c>
    </row>
    <row r="5068" spans="1:5" x14ac:dyDescent="0.35">
      <c r="A5068" s="1" t="s">
        <v>20377</v>
      </c>
      <c r="B5068" s="1" t="s">
        <v>19</v>
      </c>
      <c r="C5068" s="1" t="s">
        <v>415</v>
      </c>
      <c r="D5068" s="1" t="s">
        <v>19</v>
      </c>
      <c r="E5068" s="250">
        <v>13930.062</v>
      </c>
    </row>
    <row r="5069" spans="1:5" x14ac:dyDescent="0.35">
      <c r="A5069" s="1" t="s">
        <v>20378</v>
      </c>
      <c r="B5069" s="1" t="s">
        <v>19</v>
      </c>
      <c r="C5069" s="1" t="s">
        <v>414</v>
      </c>
      <c r="D5069" s="1" t="s">
        <v>19</v>
      </c>
      <c r="E5069" s="250">
        <v>13930.063</v>
      </c>
    </row>
    <row r="5070" spans="1:5" x14ac:dyDescent="0.35">
      <c r="A5070" s="1" t="s">
        <v>20379</v>
      </c>
      <c r="B5070" s="1" t="s">
        <v>19</v>
      </c>
      <c r="C5070" s="1" t="s">
        <v>413</v>
      </c>
      <c r="D5070" s="1" t="s">
        <v>19</v>
      </c>
      <c r="E5070" s="250">
        <v>13930.064</v>
      </c>
    </row>
    <row r="5071" spans="1:5" x14ac:dyDescent="0.35">
      <c r="A5071" s="1" t="s">
        <v>20380</v>
      </c>
      <c r="B5071" s="1" t="s">
        <v>19</v>
      </c>
      <c r="C5071" s="1" t="s">
        <v>412</v>
      </c>
      <c r="D5071" s="1" t="s">
        <v>19</v>
      </c>
      <c r="E5071" s="250">
        <v>13930.065000000001</v>
      </c>
    </row>
    <row r="5072" spans="1:5" x14ac:dyDescent="0.35">
      <c r="A5072" s="1" t="s">
        <v>20381</v>
      </c>
      <c r="B5072" s="1" t="s">
        <v>57</v>
      </c>
      <c r="C5072" s="1" t="s">
        <v>575</v>
      </c>
      <c r="D5072" s="1" t="s">
        <v>57</v>
      </c>
      <c r="E5072" s="250">
        <v>13930.072</v>
      </c>
    </row>
    <row r="5073" spans="1:5" x14ac:dyDescent="0.35">
      <c r="A5073" s="1" t="s">
        <v>20382</v>
      </c>
      <c r="B5073" s="1" t="s">
        <v>18</v>
      </c>
      <c r="C5073" s="1" t="s">
        <v>485</v>
      </c>
      <c r="D5073" s="1" t="s">
        <v>18</v>
      </c>
      <c r="E5073" s="250">
        <v>13930.073</v>
      </c>
    </row>
    <row r="5074" spans="1:5" x14ac:dyDescent="0.35">
      <c r="A5074" s="1" t="s">
        <v>20383</v>
      </c>
      <c r="B5074" s="1" t="s">
        <v>18</v>
      </c>
      <c r="C5074" s="1" t="s">
        <v>484</v>
      </c>
      <c r="D5074" s="1" t="s">
        <v>18</v>
      </c>
      <c r="E5074" s="250">
        <v>13930.074000000001</v>
      </c>
    </row>
    <row r="5075" spans="1:5" x14ac:dyDescent="0.35">
      <c r="A5075" s="1" t="s">
        <v>20384</v>
      </c>
      <c r="B5075" s="1" t="s">
        <v>18</v>
      </c>
      <c r="C5075" s="1" t="s">
        <v>483</v>
      </c>
      <c r="D5075" s="1" t="s">
        <v>18</v>
      </c>
      <c r="E5075" s="250">
        <v>13930.075000000001</v>
      </c>
    </row>
    <row r="5076" spans="1:5" x14ac:dyDescent="0.35">
      <c r="A5076" s="1" t="s">
        <v>20385</v>
      </c>
      <c r="B5076" s="1" t="s">
        <v>18</v>
      </c>
      <c r="C5076" s="1" t="s">
        <v>482</v>
      </c>
      <c r="D5076" s="1" t="s">
        <v>18</v>
      </c>
      <c r="E5076" s="250">
        <v>13930.075999999999</v>
      </c>
    </row>
    <row r="5077" spans="1:5" x14ac:dyDescent="0.35">
      <c r="A5077" s="1" t="s">
        <v>20386</v>
      </c>
      <c r="B5077" s="1" t="s">
        <v>18</v>
      </c>
      <c r="C5077" s="1" t="s">
        <v>481</v>
      </c>
      <c r="D5077" s="1" t="s">
        <v>18</v>
      </c>
      <c r="E5077" s="250">
        <v>13930.076999999999</v>
      </c>
    </row>
    <row r="5078" spans="1:5" x14ac:dyDescent="0.35">
      <c r="A5078" s="1" t="s">
        <v>20387</v>
      </c>
      <c r="B5078" s="1" t="s">
        <v>18</v>
      </c>
      <c r="C5078" s="1" t="s">
        <v>480</v>
      </c>
      <c r="D5078" s="1" t="s">
        <v>18</v>
      </c>
      <c r="E5078" s="250">
        <v>13930.078</v>
      </c>
    </row>
    <row r="5079" spans="1:5" x14ac:dyDescent="0.35">
      <c r="A5079" s="1" t="s">
        <v>20388</v>
      </c>
      <c r="B5079" s="1" t="s">
        <v>18</v>
      </c>
      <c r="C5079" s="1" t="s">
        <v>479</v>
      </c>
      <c r="D5079" s="1" t="s">
        <v>18</v>
      </c>
      <c r="E5079" s="250">
        <v>13930.079</v>
      </c>
    </row>
    <row r="5080" spans="1:5" x14ac:dyDescent="0.35">
      <c r="A5080" s="1" t="s">
        <v>20389</v>
      </c>
      <c r="B5080" s="1" t="s">
        <v>18</v>
      </c>
      <c r="C5080" s="1" t="s">
        <v>478</v>
      </c>
      <c r="D5080" s="1" t="s">
        <v>18</v>
      </c>
      <c r="E5080" s="250">
        <v>13930.08</v>
      </c>
    </row>
    <row r="5081" spans="1:5" x14ac:dyDescent="0.35">
      <c r="A5081" s="1" t="s">
        <v>20390</v>
      </c>
      <c r="B5081" s="1" t="s">
        <v>18</v>
      </c>
      <c r="C5081" s="1" t="s">
        <v>477</v>
      </c>
      <c r="D5081" s="1" t="s">
        <v>18</v>
      </c>
      <c r="E5081" s="250">
        <v>13930.081</v>
      </c>
    </row>
    <row r="5082" spans="1:5" x14ac:dyDescent="0.35">
      <c r="A5082" s="1" t="s">
        <v>20391</v>
      </c>
      <c r="B5082" s="1" t="s">
        <v>18</v>
      </c>
      <c r="C5082" s="1" t="s">
        <v>476</v>
      </c>
      <c r="D5082" s="1" t="s">
        <v>18</v>
      </c>
      <c r="E5082" s="250">
        <v>13930.082</v>
      </c>
    </row>
    <row r="5083" spans="1:5" x14ac:dyDescent="0.35">
      <c r="A5083" s="1" t="s">
        <v>20392</v>
      </c>
      <c r="B5083" s="1" t="s">
        <v>18</v>
      </c>
      <c r="C5083" s="1" t="s">
        <v>475</v>
      </c>
      <c r="D5083" s="1" t="s">
        <v>18</v>
      </c>
      <c r="E5083" s="250">
        <v>13930.083000000001</v>
      </c>
    </row>
    <row r="5084" spans="1:5" x14ac:dyDescent="0.35">
      <c r="A5084" s="1" t="s">
        <v>20393</v>
      </c>
      <c r="B5084" s="1" t="s">
        <v>18</v>
      </c>
      <c r="C5084" s="1" t="s">
        <v>474</v>
      </c>
      <c r="D5084" s="1" t="s">
        <v>18</v>
      </c>
      <c r="E5084" s="250">
        <v>13930.084000000001</v>
      </c>
    </row>
    <row r="5085" spans="1:5" x14ac:dyDescent="0.35">
      <c r="A5085" s="1" t="s">
        <v>20394</v>
      </c>
      <c r="B5085" s="1" t="s">
        <v>18</v>
      </c>
      <c r="C5085" s="1" t="s">
        <v>471</v>
      </c>
      <c r="D5085" s="1" t="s">
        <v>18</v>
      </c>
      <c r="E5085" s="250">
        <v>13930.092000000001</v>
      </c>
    </row>
    <row r="5086" spans="1:5" x14ac:dyDescent="0.35">
      <c r="A5086" s="1" t="s">
        <v>20395</v>
      </c>
      <c r="B5086" s="1" t="s">
        <v>18</v>
      </c>
      <c r="C5086" s="1" t="s">
        <v>470</v>
      </c>
      <c r="D5086" s="1" t="s">
        <v>18</v>
      </c>
      <c r="E5086" s="250">
        <v>13930.093000000001</v>
      </c>
    </row>
    <row r="5087" spans="1:5" x14ac:dyDescent="0.35">
      <c r="A5087" s="1" t="s">
        <v>20396</v>
      </c>
      <c r="B5087" s="1" t="s">
        <v>18</v>
      </c>
      <c r="C5087" s="1" t="s">
        <v>469</v>
      </c>
      <c r="D5087" s="1" t="s">
        <v>18</v>
      </c>
      <c r="E5087" s="250">
        <v>13930.093999999999</v>
      </c>
    </row>
    <row r="5088" spans="1:5" x14ac:dyDescent="0.35">
      <c r="A5088" s="1" t="s">
        <v>20397</v>
      </c>
      <c r="B5088" s="1" t="s">
        <v>18</v>
      </c>
      <c r="C5088" s="1" t="s">
        <v>468</v>
      </c>
      <c r="D5088" s="1" t="s">
        <v>18</v>
      </c>
      <c r="E5088" s="250">
        <v>13930.094999999999</v>
      </c>
    </row>
    <row r="5089" spans="1:5" x14ac:dyDescent="0.35">
      <c r="A5089" s="1" t="s">
        <v>20398</v>
      </c>
      <c r="B5089" s="1" t="s">
        <v>18</v>
      </c>
      <c r="C5089" s="1" t="s">
        <v>467</v>
      </c>
      <c r="D5089" s="1" t="s">
        <v>18</v>
      </c>
      <c r="E5089" s="250">
        <v>13930.096</v>
      </c>
    </row>
    <row r="5090" spans="1:5" x14ac:dyDescent="0.35">
      <c r="A5090" s="1" t="s">
        <v>20399</v>
      </c>
      <c r="B5090" s="1" t="s">
        <v>18</v>
      </c>
      <c r="C5090" s="1" t="s">
        <v>410</v>
      </c>
      <c r="D5090" s="1" t="s">
        <v>18</v>
      </c>
      <c r="E5090" s="250">
        <v>13930.097</v>
      </c>
    </row>
    <row r="5091" spans="1:5" x14ac:dyDescent="0.35">
      <c r="A5091" s="1" t="s">
        <v>20400</v>
      </c>
      <c r="B5091" s="1" t="s">
        <v>18</v>
      </c>
      <c r="C5091" s="1" t="s">
        <v>409</v>
      </c>
      <c r="D5091" s="1" t="s">
        <v>18</v>
      </c>
      <c r="E5091" s="250">
        <v>13930.098</v>
      </c>
    </row>
    <row r="5092" spans="1:5" x14ac:dyDescent="0.35">
      <c r="A5092" s="1" t="s">
        <v>20401</v>
      </c>
      <c r="B5092" s="1" t="s">
        <v>18</v>
      </c>
      <c r="C5092" s="1" t="s">
        <v>466</v>
      </c>
      <c r="D5092" s="1" t="s">
        <v>18</v>
      </c>
      <c r="E5092" s="250">
        <v>13930.099</v>
      </c>
    </row>
    <row r="5093" spans="1:5" x14ac:dyDescent="0.35">
      <c r="A5093" s="1" t="s">
        <v>20402</v>
      </c>
      <c r="B5093" s="1" t="s">
        <v>18</v>
      </c>
      <c r="C5093" s="1" t="s">
        <v>408</v>
      </c>
      <c r="D5093" s="1" t="s">
        <v>18</v>
      </c>
      <c r="E5093" s="250">
        <v>13930.1</v>
      </c>
    </row>
    <row r="5094" spans="1:5" x14ac:dyDescent="0.35">
      <c r="A5094" s="1" t="s">
        <v>20403</v>
      </c>
      <c r="B5094" s="1" t="s">
        <v>18</v>
      </c>
      <c r="C5094" s="1" t="s">
        <v>407</v>
      </c>
      <c r="D5094" s="1" t="s">
        <v>18</v>
      </c>
      <c r="E5094" s="250">
        <v>13930.101000000001</v>
      </c>
    </row>
    <row r="5095" spans="1:5" x14ac:dyDescent="0.35">
      <c r="A5095" s="1" t="s">
        <v>20404</v>
      </c>
      <c r="B5095" s="1" t="s">
        <v>18</v>
      </c>
      <c r="C5095" s="1" t="s">
        <v>406</v>
      </c>
      <c r="D5095" s="1" t="s">
        <v>18</v>
      </c>
      <c r="E5095" s="250">
        <v>13930.102000000001</v>
      </c>
    </row>
    <row r="5096" spans="1:5" x14ac:dyDescent="0.35">
      <c r="A5096" s="1" t="s">
        <v>20405</v>
      </c>
      <c r="B5096" s="1" t="s">
        <v>18</v>
      </c>
      <c r="C5096" s="1" t="s">
        <v>405</v>
      </c>
      <c r="D5096" s="1" t="s">
        <v>18</v>
      </c>
      <c r="E5096" s="250">
        <v>13930.102999999999</v>
      </c>
    </row>
    <row r="5097" spans="1:5" x14ac:dyDescent="0.35">
      <c r="A5097" s="1" t="s">
        <v>20406</v>
      </c>
      <c r="B5097" s="1" t="s">
        <v>18</v>
      </c>
      <c r="C5097" s="1" t="s">
        <v>463</v>
      </c>
      <c r="D5097" s="1" t="s">
        <v>18</v>
      </c>
      <c r="E5097" s="250">
        <v>13930.11</v>
      </c>
    </row>
    <row r="5098" spans="1:5" x14ac:dyDescent="0.35">
      <c r="A5098" s="1" t="s">
        <v>20407</v>
      </c>
      <c r="B5098" s="1" t="s">
        <v>18</v>
      </c>
      <c r="C5098" s="1" t="s">
        <v>462</v>
      </c>
      <c r="D5098" s="1" t="s">
        <v>18</v>
      </c>
      <c r="E5098" s="250">
        <v>13930.111000000001</v>
      </c>
    </row>
    <row r="5099" spans="1:5" x14ac:dyDescent="0.35">
      <c r="A5099" s="1" t="s">
        <v>20408</v>
      </c>
      <c r="B5099" s="1" t="s">
        <v>18</v>
      </c>
      <c r="C5099" s="1" t="s">
        <v>461</v>
      </c>
      <c r="D5099" s="1" t="s">
        <v>18</v>
      </c>
      <c r="E5099" s="250">
        <v>13930.111999999999</v>
      </c>
    </row>
    <row r="5100" spans="1:5" x14ac:dyDescent="0.35">
      <c r="A5100" s="1" t="s">
        <v>20409</v>
      </c>
      <c r="B5100" s="1" t="s">
        <v>18</v>
      </c>
      <c r="C5100" s="1" t="s">
        <v>460</v>
      </c>
      <c r="D5100" s="1" t="s">
        <v>18</v>
      </c>
      <c r="E5100" s="250">
        <v>13930.112999999999</v>
      </c>
    </row>
    <row r="5101" spans="1:5" x14ac:dyDescent="0.35">
      <c r="A5101" s="1" t="s">
        <v>20410</v>
      </c>
      <c r="B5101" s="1" t="s">
        <v>18</v>
      </c>
      <c r="C5101" s="1" t="s">
        <v>459</v>
      </c>
      <c r="D5101" s="1" t="s">
        <v>18</v>
      </c>
      <c r="E5101" s="250">
        <v>13930.114</v>
      </c>
    </row>
    <row r="5102" spans="1:5" x14ac:dyDescent="0.35">
      <c r="A5102" s="1" t="s">
        <v>20411</v>
      </c>
      <c r="B5102" s="1" t="s">
        <v>18</v>
      </c>
      <c r="C5102" s="1" t="s">
        <v>404</v>
      </c>
      <c r="D5102" s="1" t="s">
        <v>18</v>
      </c>
      <c r="E5102" s="250">
        <v>13930.115</v>
      </c>
    </row>
    <row r="5103" spans="1:5" x14ac:dyDescent="0.35">
      <c r="A5103" s="1" t="s">
        <v>20412</v>
      </c>
      <c r="B5103" s="1" t="s">
        <v>18</v>
      </c>
      <c r="C5103" s="1" t="s">
        <v>403</v>
      </c>
      <c r="D5103" s="1" t="s">
        <v>18</v>
      </c>
      <c r="E5103" s="250">
        <v>13930.116</v>
      </c>
    </row>
    <row r="5104" spans="1:5" x14ac:dyDescent="0.35">
      <c r="A5104" s="1" t="s">
        <v>20413</v>
      </c>
      <c r="B5104" s="1" t="s">
        <v>18</v>
      </c>
      <c r="C5104" s="1" t="s">
        <v>458</v>
      </c>
      <c r="D5104" s="1" t="s">
        <v>18</v>
      </c>
      <c r="E5104" s="250">
        <v>13930.117</v>
      </c>
    </row>
    <row r="5105" spans="1:5" x14ac:dyDescent="0.35">
      <c r="A5105" s="1" t="s">
        <v>20414</v>
      </c>
      <c r="B5105" s="1" t="s">
        <v>18</v>
      </c>
      <c r="C5105" s="1" t="s">
        <v>402</v>
      </c>
      <c r="D5105" s="1" t="s">
        <v>18</v>
      </c>
      <c r="E5105" s="250">
        <v>13930.118</v>
      </c>
    </row>
    <row r="5106" spans="1:5" x14ac:dyDescent="0.35">
      <c r="A5106" s="1" t="s">
        <v>20415</v>
      </c>
      <c r="B5106" s="1" t="s">
        <v>18</v>
      </c>
      <c r="C5106" s="1" t="s">
        <v>401</v>
      </c>
      <c r="D5106" s="1" t="s">
        <v>18</v>
      </c>
      <c r="E5106" s="250">
        <v>13930.119000000001</v>
      </c>
    </row>
    <row r="5107" spans="1:5" x14ac:dyDescent="0.35">
      <c r="A5107" s="1" t="s">
        <v>20416</v>
      </c>
      <c r="B5107" s="1" t="s">
        <v>18</v>
      </c>
      <c r="C5107" s="1" t="s">
        <v>400</v>
      </c>
      <c r="D5107" s="1" t="s">
        <v>18</v>
      </c>
      <c r="E5107" s="250">
        <v>13930.12</v>
      </c>
    </row>
    <row r="5108" spans="1:5" x14ac:dyDescent="0.35">
      <c r="A5108" s="1" t="s">
        <v>20417</v>
      </c>
      <c r="B5108" s="1" t="s">
        <v>18</v>
      </c>
      <c r="C5108" s="1" t="s">
        <v>399</v>
      </c>
      <c r="D5108" s="1" t="s">
        <v>18</v>
      </c>
      <c r="E5108" s="250">
        <v>13930.120999999999</v>
      </c>
    </row>
    <row r="5109" spans="1:5" x14ac:dyDescent="0.35">
      <c r="A5109" s="1" t="s">
        <v>20418</v>
      </c>
      <c r="B5109" s="1" t="s">
        <v>18</v>
      </c>
      <c r="C5109" s="1" t="s">
        <v>455</v>
      </c>
      <c r="D5109" s="1" t="s">
        <v>18</v>
      </c>
      <c r="E5109" s="250">
        <v>13930.128000000001</v>
      </c>
    </row>
    <row r="5110" spans="1:5" x14ac:dyDescent="0.35">
      <c r="A5110" s="1" t="s">
        <v>20419</v>
      </c>
      <c r="B5110" s="1" t="s">
        <v>18</v>
      </c>
      <c r="C5110" s="1" t="s">
        <v>454</v>
      </c>
      <c r="D5110" s="1" t="s">
        <v>18</v>
      </c>
      <c r="E5110" s="250">
        <v>13930.129000000001</v>
      </c>
    </row>
    <row r="5111" spans="1:5" x14ac:dyDescent="0.35">
      <c r="A5111" s="1" t="s">
        <v>20420</v>
      </c>
      <c r="B5111" s="1" t="s">
        <v>18</v>
      </c>
      <c r="C5111" s="1" t="s">
        <v>453</v>
      </c>
      <c r="D5111" s="1" t="s">
        <v>18</v>
      </c>
      <c r="E5111" s="250">
        <v>13930.13</v>
      </c>
    </row>
    <row r="5112" spans="1:5" x14ac:dyDescent="0.35">
      <c r="A5112" s="1" t="s">
        <v>20421</v>
      </c>
      <c r="B5112" s="1" t="s">
        <v>18</v>
      </c>
      <c r="C5112" s="1" t="s">
        <v>452</v>
      </c>
      <c r="D5112" s="1" t="s">
        <v>18</v>
      </c>
      <c r="E5112" s="250">
        <v>13930.130999999999</v>
      </c>
    </row>
    <row r="5113" spans="1:5" x14ac:dyDescent="0.35">
      <c r="A5113" s="1" t="s">
        <v>20422</v>
      </c>
      <c r="B5113" s="1" t="s">
        <v>18</v>
      </c>
      <c r="C5113" s="1" t="s">
        <v>451</v>
      </c>
      <c r="D5113" s="1" t="s">
        <v>18</v>
      </c>
      <c r="E5113" s="250">
        <v>13930.132</v>
      </c>
    </row>
    <row r="5114" spans="1:5" x14ac:dyDescent="0.35">
      <c r="A5114" s="1" t="s">
        <v>20423</v>
      </c>
      <c r="B5114" s="1" t="s">
        <v>18</v>
      </c>
      <c r="C5114" s="1" t="s">
        <v>450</v>
      </c>
      <c r="D5114" s="1" t="s">
        <v>18</v>
      </c>
      <c r="E5114" s="250">
        <v>13930.133</v>
      </c>
    </row>
    <row r="5115" spans="1:5" x14ac:dyDescent="0.35">
      <c r="A5115" s="1" t="s">
        <v>20424</v>
      </c>
      <c r="B5115" s="1" t="s">
        <v>18</v>
      </c>
      <c r="C5115" s="1" t="s">
        <v>449</v>
      </c>
      <c r="D5115" s="1" t="s">
        <v>18</v>
      </c>
      <c r="E5115" s="250">
        <v>13930.134</v>
      </c>
    </row>
    <row r="5116" spans="1:5" x14ac:dyDescent="0.35">
      <c r="A5116" s="1" t="s">
        <v>20425</v>
      </c>
      <c r="B5116" s="1" t="s">
        <v>18</v>
      </c>
      <c r="C5116" s="1" t="s">
        <v>448</v>
      </c>
      <c r="D5116" s="1" t="s">
        <v>18</v>
      </c>
      <c r="E5116" s="250">
        <v>13930.135</v>
      </c>
    </row>
    <row r="5117" spans="1:5" x14ac:dyDescent="0.35">
      <c r="A5117" s="1" t="s">
        <v>20426</v>
      </c>
      <c r="B5117" s="1" t="s">
        <v>18</v>
      </c>
      <c r="C5117" s="1" t="s">
        <v>447</v>
      </c>
      <c r="D5117" s="1" t="s">
        <v>18</v>
      </c>
      <c r="E5117" s="250">
        <v>13930.136</v>
      </c>
    </row>
    <row r="5118" spans="1:5" x14ac:dyDescent="0.35">
      <c r="A5118" s="1" t="s">
        <v>20427</v>
      </c>
      <c r="B5118" s="1" t="s">
        <v>18</v>
      </c>
      <c r="C5118" s="1" t="s">
        <v>446</v>
      </c>
      <c r="D5118" s="1" t="s">
        <v>18</v>
      </c>
      <c r="E5118" s="250">
        <v>13930.137000000001</v>
      </c>
    </row>
    <row r="5119" spans="1:5" x14ac:dyDescent="0.35">
      <c r="A5119" s="1" t="s">
        <v>20428</v>
      </c>
      <c r="B5119" s="1" t="s">
        <v>18</v>
      </c>
      <c r="C5119" s="1" t="s">
        <v>445</v>
      </c>
      <c r="D5119" s="1" t="s">
        <v>18</v>
      </c>
      <c r="E5119" s="250">
        <v>13930.138000000001</v>
      </c>
    </row>
    <row r="5120" spans="1:5" x14ac:dyDescent="0.35">
      <c r="A5120" s="1" t="s">
        <v>20429</v>
      </c>
      <c r="B5120" s="1" t="s">
        <v>18</v>
      </c>
      <c r="C5120" s="1" t="s">
        <v>444</v>
      </c>
      <c r="D5120" s="1" t="s">
        <v>18</v>
      </c>
      <c r="E5120" s="250">
        <v>13930.138999999999</v>
      </c>
    </row>
    <row r="5121" spans="1:5" x14ac:dyDescent="0.35">
      <c r="A5121" s="1" t="s">
        <v>20430</v>
      </c>
      <c r="B5121" s="1" t="s">
        <v>18</v>
      </c>
      <c r="C5121" s="1" t="s">
        <v>550</v>
      </c>
      <c r="D5121" s="1" t="s">
        <v>18</v>
      </c>
      <c r="E5121" s="250">
        <v>13930.142</v>
      </c>
    </row>
    <row r="5122" spans="1:5" x14ac:dyDescent="0.35">
      <c r="A5122" s="1" t="s">
        <v>20431</v>
      </c>
      <c r="B5122" s="1" t="s">
        <v>18</v>
      </c>
      <c r="C5122" s="1" t="s">
        <v>549</v>
      </c>
      <c r="D5122" s="1" t="s">
        <v>18</v>
      </c>
      <c r="E5122" s="250">
        <v>13930.143</v>
      </c>
    </row>
    <row r="5123" spans="1:5" x14ac:dyDescent="0.35">
      <c r="A5123" s="1" t="s">
        <v>20432</v>
      </c>
      <c r="B5123" s="1" t="s">
        <v>18</v>
      </c>
      <c r="C5123" s="1" t="s">
        <v>548</v>
      </c>
      <c r="D5123" s="1" t="s">
        <v>18</v>
      </c>
      <c r="E5123" s="250">
        <v>13930.144</v>
      </c>
    </row>
    <row r="5124" spans="1:5" x14ac:dyDescent="0.35">
      <c r="A5124" s="1" t="s">
        <v>20433</v>
      </c>
      <c r="B5124" s="1" t="s">
        <v>18</v>
      </c>
      <c r="C5124" s="1" t="s">
        <v>547</v>
      </c>
      <c r="D5124" s="1" t="s">
        <v>18</v>
      </c>
      <c r="E5124" s="250">
        <v>13930.145</v>
      </c>
    </row>
    <row r="5125" spans="1:5" x14ac:dyDescent="0.35">
      <c r="A5125" s="1" t="s">
        <v>20434</v>
      </c>
      <c r="B5125" s="1" t="s">
        <v>18</v>
      </c>
      <c r="C5125" s="1" t="s">
        <v>546</v>
      </c>
      <c r="D5125" s="1" t="s">
        <v>18</v>
      </c>
      <c r="E5125" s="250">
        <v>13930.146000000001</v>
      </c>
    </row>
    <row r="5126" spans="1:5" x14ac:dyDescent="0.35">
      <c r="A5126" s="1" t="s">
        <v>20435</v>
      </c>
      <c r="B5126" s="1" t="s">
        <v>18</v>
      </c>
      <c r="C5126" s="1" t="s">
        <v>545</v>
      </c>
      <c r="D5126" s="1" t="s">
        <v>18</v>
      </c>
      <c r="E5126" s="250">
        <v>13930.147000000001</v>
      </c>
    </row>
    <row r="5127" spans="1:5" x14ac:dyDescent="0.35">
      <c r="A5127" s="1" t="s">
        <v>20436</v>
      </c>
      <c r="B5127" s="1" t="s">
        <v>18</v>
      </c>
      <c r="C5127" s="1" t="s">
        <v>544</v>
      </c>
      <c r="D5127" s="1" t="s">
        <v>18</v>
      </c>
      <c r="E5127" s="250">
        <v>13930.147999999999</v>
      </c>
    </row>
    <row r="5128" spans="1:5" x14ac:dyDescent="0.35">
      <c r="A5128" s="1" t="s">
        <v>20437</v>
      </c>
      <c r="B5128" s="1" t="s">
        <v>18</v>
      </c>
      <c r="C5128" s="1" t="s">
        <v>574</v>
      </c>
      <c r="D5128" s="1" t="s">
        <v>18</v>
      </c>
      <c r="E5128" s="250">
        <v>13930.153</v>
      </c>
    </row>
    <row r="5129" spans="1:5" x14ac:dyDescent="0.35">
      <c r="A5129" s="1" t="s">
        <v>20438</v>
      </c>
      <c r="B5129" s="1" t="s">
        <v>18</v>
      </c>
      <c r="C5129" s="1" t="s">
        <v>573</v>
      </c>
      <c r="D5129" s="1" t="s">
        <v>18</v>
      </c>
      <c r="E5129" s="250">
        <v>13930.154</v>
      </c>
    </row>
    <row r="5130" spans="1:5" x14ac:dyDescent="0.35">
      <c r="A5130" s="1" t="s">
        <v>20439</v>
      </c>
      <c r="B5130" s="1" t="s">
        <v>18</v>
      </c>
      <c r="C5130" s="1" t="s">
        <v>572</v>
      </c>
      <c r="D5130" s="1" t="s">
        <v>18</v>
      </c>
      <c r="E5130" s="250">
        <v>13930.155000000001</v>
      </c>
    </row>
    <row r="5131" spans="1:5" x14ac:dyDescent="0.35">
      <c r="A5131" s="1" t="s">
        <v>20440</v>
      </c>
      <c r="B5131" s="1" t="s">
        <v>18</v>
      </c>
      <c r="C5131" s="1" t="s">
        <v>571</v>
      </c>
      <c r="D5131" s="1" t="s">
        <v>18</v>
      </c>
      <c r="E5131" s="250">
        <v>13930.156000000001</v>
      </c>
    </row>
    <row r="5132" spans="1:5" x14ac:dyDescent="0.35">
      <c r="A5132" s="1" t="s">
        <v>20441</v>
      </c>
      <c r="B5132" s="1" t="s">
        <v>18</v>
      </c>
      <c r="C5132" s="1" t="s">
        <v>570</v>
      </c>
      <c r="D5132" s="1" t="s">
        <v>18</v>
      </c>
      <c r="E5132" s="250">
        <v>13930.156999999999</v>
      </c>
    </row>
    <row r="5133" spans="1:5" x14ac:dyDescent="0.35">
      <c r="A5133" s="1" t="s">
        <v>20442</v>
      </c>
      <c r="B5133" s="1" t="s">
        <v>18</v>
      </c>
      <c r="C5133" s="1" t="s">
        <v>569</v>
      </c>
      <c r="D5133" s="1" t="s">
        <v>18</v>
      </c>
      <c r="E5133" s="250">
        <v>13930.157999999999</v>
      </c>
    </row>
    <row r="5134" spans="1:5" x14ac:dyDescent="0.35">
      <c r="A5134" s="1" t="s">
        <v>20443</v>
      </c>
      <c r="B5134" s="1" t="s">
        <v>18</v>
      </c>
      <c r="C5134" s="1" t="s">
        <v>568</v>
      </c>
      <c r="D5134" s="1" t="s">
        <v>18</v>
      </c>
      <c r="E5134" s="250">
        <v>13930.159</v>
      </c>
    </row>
    <row r="5135" spans="1:5" x14ac:dyDescent="0.35">
      <c r="A5135" s="1" t="s">
        <v>20444</v>
      </c>
      <c r="B5135" s="1" t="s">
        <v>18</v>
      </c>
      <c r="C5135" s="1" t="s">
        <v>567</v>
      </c>
      <c r="D5135" s="1" t="s">
        <v>18</v>
      </c>
      <c r="E5135" s="250">
        <v>13930.165000000001</v>
      </c>
    </row>
    <row r="5136" spans="1:5" x14ac:dyDescent="0.35">
      <c r="A5136" s="1" t="s">
        <v>20445</v>
      </c>
      <c r="B5136" s="1" t="s">
        <v>18</v>
      </c>
      <c r="C5136" s="1" t="s">
        <v>566</v>
      </c>
      <c r="D5136" s="1" t="s">
        <v>18</v>
      </c>
      <c r="E5136" s="250">
        <v>13930.165999999999</v>
      </c>
    </row>
    <row r="5137" spans="1:5" x14ac:dyDescent="0.35">
      <c r="A5137" s="1" t="s">
        <v>20446</v>
      </c>
      <c r="B5137" s="1" t="s">
        <v>18</v>
      </c>
      <c r="C5137" s="1" t="s">
        <v>565</v>
      </c>
      <c r="D5137" s="1" t="s">
        <v>18</v>
      </c>
      <c r="E5137" s="250">
        <v>13930.166999999999</v>
      </c>
    </row>
    <row r="5138" spans="1:5" x14ac:dyDescent="0.35">
      <c r="A5138" s="1" t="s">
        <v>20447</v>
      </c>
      <c r="B5138" s="1" t="s">
        <v>18</v>
      </c>
      <c r="C5138" s="1" t="s">
        <v>564</v>
      </c>
      <c r="D5138" s="1" t="s">
        <v>18</v>
      </c>
      <c r="E5138" s="250">
        <v>13930.168</v>
      </c>
    </row>
    <row r="5139" spans="1:5" x14ac:dyDescent="0.35">
      <c r="A5139" s="1" t="s">
        <v>20448</v>
      </c>
      <c r="B5139" s="1" t="s">
        <v>18</v>
      </c>
      <c r="C5139" s="1" t="s">
        <v>563</v>
      </c>
      <c r="D5139" s="1" t="s">
        <v>18</v>
      </c>
      <c r="E5139" s="250">
        <v>13930.169</v>
      </c>
    </row>
    <row r="5140" spans="1:5" x14ac:dyDescent="0.35">
      <c r="A5140" s="1" t="s">
        <v>20449</v>
      </c>
      <c r="B5140" s="1" t="s">
        <v>18</v>
      </c>
      <c r="C5140" s="1" t="s">
        <v>562</v>
      </c>
      <c r="D5140" s="1" t="s">
        <v>18</v>
      </c>
      <c r="E5140" s="250">
        <v>13930.17</v>
      </c>
    </row>
    <row r="5141" spans="1:5" x14ac:dyDescent="0.35">
      <c r="A5141" s="1" t="s">
        <v>20450</v>
      </c>
      <c r="B5141" s="1" t="s">
        <v>18</v>
      </c>
      <c r="C5141" s="1" t="s">
        <v>561</v>
      </c>
      <c r="D5141" s="1" t="s">
        <v>18</v>
      </c>
      <c r="E5141" s="250">
        <v>13930.171</v>
      </c>
    </row>
    <row r="5142" spans="1:5" x14ac:dyDescent="0.35">
      <c r="A5142" s="1" t="s">
        <v>20451</v>
      </c>
      <c r="B5142" s="1" t="s">
        <v>18</v>
      </c>
      <c r="C5142" s="1" t="s">
        <v>560</v>
      </c>
      <c r="D5142" s="1" t="s">
        <v>18</v>
      </c>
      <c r="E5142" s="250">
        <v>13930.172</v>
      </c>
    </row>
    <row r="5143" spans="1:5" x14ac:dyDescent="0.35">
      <c r="A5143" s="1" t="s">
        <v>20452</v>
      </c>
      <c r="B5143" s="1" t="s">
        <v>18</v>
      </c>
      <c r="C5143" s="1" t="s">
        <v>559</v>
      </c>
      <c r="D5143" s="1" t="s">
        <v>18</v>
      </c>
      <c r="E5143" s="250">
        <v>13930.173000000001</v>
      </c>
    </row>
    <row r="5144" spans="1:5" x14ac:dyDescent="0.35">
      <c r="A5144" s="1" t="s">
        <v>20453</v>
      </c>
      <c r="B5144" s="1" t="s">
        <v>18</v>
      </c>
      <c r="C5144" s="1" t="s">
        <v>558</v>
      </c>
      <c r="D5144" s="1" t="s">
        <v>18</v>
      </c>
      <c r="E5144" s="250">
        <v>13930.174000000001</v>
      </c>
    </row>
    <row r="5145" spans="1:5" x14ac:dyDescent="0.35">
      <c r="A5145" s="1" t="s">
        <v>20454</v>
      </c>
      <c r="B5145" s="1" t="s">
        <v>18</v>
      </c>
      <c r="C5145" s="1" t="s">
        <v>557</v>
      </c>
      <c r="D5145" s="1" t="s">
        <v>18</v>
      </c>
      <c r="E5145" s="250">
        <v>13930.174999999999</v>
      </c>
    </row>
    <row r="5146" spans="1:5" x14ac:dyDescent="0.35">
      <c r="A5146" s="1" t="s">
        <v>20455</v>
      </c>
      <c r="B5146" s="1" t="s">
        <v>18</v>
      </c>
      <c r="C5146" s="1" t="s">
        <v>556</v>
      </c>
      <c r="D5146" s="1" t="s">
        <v>18</v>
      </c>
      <c r="E5146" s="250">
        <v>13930.175999999999</v>
      </c>
    </row>
    <row r="5147" spans="1:5" x14ac:dyDescent="0.35">
      <c r="A5147" s="1" t="s">
        <v>20456</v>
      </c>
      <c r="B5147" s="1" t="s">
        <v>18</v>
      </c>
      <c r="C5147" s="1" t="s">
        <v>441</v>
      </c>
      <c r="D5147" s="1" t="s">
        <v>18</v>
      </c>
      <c r="E5147" s="250">
        <v>13930.183000000001</v>
      </c>
    </row>
    <row r="5148" spans="1:5" x14ac:dyDescent="0.35">
      <c r="A5148" s="1" t="s">
        <v>20457</v>
      </c>
      <c r="B5148" s="1" t="s">
        <v>18</v>
      </c>
      <c r="C5148" s="1" t="s">
        <v>440</v>
      </c>
      <c r="D5148" s="1" t="s">
        <v>18</v>
      </c>
      <c r="E5148" s="250">
        <v>13930.183999999999</v>
      </c>
    </row>
    <row r="5149" spans="1:5" x14ac:dyDescent="0.35">
      <c r="A5149" s="1" t="s">
        <v>20458</v>
      </c>
      <c r="B5149" s="1" t="s">
        <v>18</v>
      </c>
      <c r="C5149" s="1" t="s">
        <v>439</v>
      </c>
      <c r="D5149" s="1" t="s">
        <v>18</v>
      </c>
      <c r="E5149" s="250">
        <v>13930.184999999999</v>
      </c>
    </row>
    <row r="5150" spans="1:5" x14ac:dyDescent="0.35">
      <c r="A5150" s="1" t="s">
        <v>20459</v>
      </c>
      <c r="B5150" s="1" t="s">
        <v>18</v>
      </c>
      <c r="C5150" s="1" t="s">
        <v>438</v>
      </c>
      <c r="D5150" s="1" t="s">
        <v>18</v>
      </c>
      <c r="E5150" s="250">
        <v>13930.186</v>
      </c>
    </row>
    <row r="5151" spans="1:5" x14ac:dyDescent="0.35">
      <c r="A5151" s="1" t="s">
        <v>20460</v>
      </c>
      <c r="B5151" s="1" t="s">
        <v>18</v>
      </c>
      <c r="C5151" s="1" t="s">
        <v>437</v>
      </c>
      <c r="D5151" s="1" t="s">
        <v>18</v>
      </c>
      <c r="E5151" s="250">
        <v>13930.187</v>
      </c>
    </row>
    <row r="5152" spans="1:5" x14ac:dyDescent="0.35">
      <c r="A5152" s="1" t="s">
        <v>20461</v>
      </c>
      <c r="B5152" s="1" t="s">
        <v>18</v>
      </c>
      <c r="C5152" s="1" t="s">
        <v>436</v>
      </c>
      <c r="D5152" s="1" t="s">
        <v>18</v>
      </c>
      <c r="E5152" s="250">
        <v>13930.188</v>
      </c>
    </row>
    <row r="5153" spans="1:5" x14ac:dyDescent="0.35">
      <c r="A5153" s="1" t="s">
        <v>20462</v>
      </c>
      <c r="B5153" s="1" t="s">
        <v>18</v>
      </c>
      <c r="C5153" s="1" t="s">
        <v>435</v>
      </c>
      <c r="D5153" s="1" t="s">
        <v>18</v>
      </c>
      <c r="E5153" s="250">
        <v>13930.189</v>
      </c>
    </row>
    <row r="5154" spans="1:5" x14ac:dyDescent="0.35">
      <c r="A5154" s="1" t="s">
        <v>20463</v>
      </c>
      <c r="B5154" s="1" t="s">
        <v>18</v>
      </c>
      <c r="C5154" s="1" t="s">
        <v>434</v>
      </c>
      <c r="D5154" s="1" t="s">
        <v>18</v>
      </c>
      <c r="E5154" s="250">
        <v>13930.19</v>
      </c>
    </row>
    <row r="5155" spans="1:5" x14ac:dyDescent="0.35">
      <c r="A5155" s="1" t="s">
        <v>20464</v>
      </c>
      <c r="B5155" s="1" t="s">
        <v>18</v>
      </c>
      <c r="C5155" s="1" t="s">
        <v>433</v>
      </c>
      <c r="D5155" s="1" t="s">
        <v>18</v>
      </c>
      <c r="E5155" s="250">
        <v>13930.191000000001</v>
      </c>
    </row>
    <row r="5156" spans="1:5" x14ac:dyDescent="0.35">
      <c r="A5156" s="1" t="s">
        <v>20465</v>
      </c>
      <c r="B5156" s="1" t="s">
        <v>18</v>
      </c>
      <c r="C5156" s="1" t="s">
        <v>432</v>
      </c>
      <c r="D5156" s="1" t="s">
        <v>18</v>
      </c>
      <c r="E5156" s="250">
        <v>13930.191999999999</v>
      </c>
    </row>
    <row r="5157" spans="1:5" x14ac:dyDescent="0.35">
      <c r="A5157" s="1" t="s">
        <v>20466</v>
      </c>
      <c r="B5157" s="1" t="s">
        <v>18</v>
      </c>
      <c r="C5157" s="1" t="s">
        <v>431</v>
      </c>
      <c r="D5157" s="1" t="s">
        <v>18</v>
      </c>
      <c r="E5157" s="250">
        <v>13930.192999999999</v>
      </c>
    </row>
    <row r="5158" spans="1:5" x14ac:dyDescent="0.35">
      <c r="A5158" s="1" t="s">
        <v>20467</v>
      </c>
      <c r="B5158" s="1" t="s">
        <v>18</v>
      </c>
      <c r="C5158" s="1" t="s">
        <v>430</v>
      </c>
      <c r="D5158" s="1" t="s">
        <v>18</v>
      </c>
      <c r="E5158" s="250">
        <v>13930.194</v>
      </c>
    </row>
    <row r="5159" spans="1:5" x14ac:dyDescent="0.35">
      <c r="A5159" s="1" t="s">
        <v>20468</v>
      </c>
      <c r="B5159" s="1" t="s">
        <v>57</v>
      </c>
      <c r="C5159" s="1" t="s">
        <v>555</v>
      </c>
      <c r="D5159" s="1" t="s">
        <v>57</v>
      </c>
      <c r="E5159" s="250">
        <v>13930.209000000001</v>
      </c>
    </row>
    <row r="5160" spans="1:5" x14ac:dyDescent="0.35">
      <c r="A5160" s="1" t="s">
        <v>20469</v>
      </c>
      <c r="B5160" s="1" t="s">
        <v>57</v>
      </c>
      <c r="C5160" s="1" t="s">
        <v>554</v>
      </c>
      <c r="D5160" s="1" t="s">
        <v>57</v>
      </c>
      <c r="E5160" s="250">
        <v>13930.21</v>
      </c>
    </row>
    <row r="5161" spans="1:5" x14ac:dyDescent="0.35">
      <c r="A5161" s="1" t="s">
        <v>20470</v>
      </c>
      <c r="B5161" s="1" t="s">
        <v>19</v>
      </c>
      <c r="C5161" s="1" t="s">
        <v>494</v>
      </c>
      <c r="D5161" s="1" t="s">
        <v>19</v>
      </c>
      <c r="E5161" s="250">
        <v>13930.212</v>
      </c>
    </row>
    <row r="5162" spans="1:5" x14ac:dyDescent="0.35">
      <c r="A5162" s="1" t="s">
        <v>20471</v>
      </c>
      <c r="B5162" s="1" t="s">
        <v>19</v>
      </c>
      <c r="C5162" s="1" t="s">
        <v>493</v>
      </c>
      <c r="D5162" s="1" t="s">
        <v>19</v>
      </c>
      <c r="E5162" s="250">
        <v>13930.213</v>
      </c>
    </row>
    <row r="5163" spans="1:5" x14ac:dyDescent="0.35">
      <c r="A5163" s="1" t="s">
        <v>20472</v>
      </c>
      <c r="B5163" s="1" t="s">
        <v>19</v>
      </c>
      <c r="C5163" s="1" t="s">
        <v>492</v>
      </c>
      <c r="D5163" s="1" t="s">
        <v>19</v>
      </c>
      <c r="E5163" s="250">
        <v>13930.214</v>
      </c>
    </row>
    <row r="5164" spans="1:5" x14ac:dyDescent="0.35">
      <c r="A5164" s="1" t="s">
        <v>20473</v>
      </c>
      <c r="B5164" s="1" t="s">
        <v>19</v>
      </c>
      <c r="C5164" s="1" t="s">
        <v>491</v>
      </c>
      <c r="D5164" s="1" t="s">
        <v>19</v>
      </c>
      <c r="E5164" s="250">
        <v>13930.215</v>
      </c>
    </row>
    <row r="5165" spans="1:5" x14ac:dyDescent="0.35">
      <c r="A5165" s="1" t="s">
        <v>20474</v>
      </c>
      <c r="B5165" s="1" t="s">
        <v>57</v>
      </c>
      <c r="C5165" s="1" t="s">
        <v>553</v>
      </c>
      <c r="D5165" s="1" t="s">
        <v>57</v>
      </c>
      <c r="E5165" s="250">
        <v>13930.218999999999</v>
      </c>
    </row>
    <row r="5166" spans="1:5" x14ac:dyDescent="0.35">
      <c r="A5166" s="1" t="s">
        <v>20475</v>
      </c>
      <c r="B5166" s="1" t="s">
        <v>18</v>
      </c>
      <c r="C5166" s="1" t="s">
        <v>471</v>
      </c>
      <c r="D5166" s="1" t="s">
        <v>18</v>
      </c>
      <c r="E5166" s="250">
        <v>13930.22</v>
      </c>
    </row>
    <row r="5167" spans="1:5" x14ac:dyDescent="0.35">
      <c r="A5167" s="1" t="s">
        <v>20476</v>
      </c>
      <c r="B5167" s="1" t="s">
        <v>18</v>
      </c>
      <c r="C5167" s="1" t="s">
        <v>470</v>
      </c>
      <c r="D5167" s="1" t="s">
        <v>18</v>
      </c>
      <c r="E5167" s="250">
        <v>13930.221</v>
      </c>
    </row>
    <row r="5168" spans="1:5" x14ac:dyDescent="0.35">
      <c r="A5168" s="1" t="s">
        <v>20477</v>
      </c>
      <c r="B5168" s="1" t="s">
        <v>18</v>
      </c>
      <c r="C5168" s="1" t="s">
        <v>469</v>
      </c>
      <c r="D5168" s="1" t="s">
        <v>18</v>
      </c>
      <c r="E5168" s="250">
        <v>13930.222</v>
      </c>
    </row>
    <row r="5169" spans="1:5" x14ac:dyDescent="0.35">
      <c r="A5169" s="1" t="s">
        <v>20478</v>
      </c>
      <c r="B5169" s="1" t="s">
        <v>18</v>
      </c>
      <c r="C5169" s="1" t="s">
        <v>468</v>
      </c>
      <c r="D5169" s="1" t="s">
        <v>18</v>
      </c>
      <c r="E5169" s="250">
        <v>13930.223</v>
      </c>
    </row>
    <row r="5170" spans="1:5" x14ac:dyDescent="0.35">
      <c r="A5170" s="1" t="s">
        <v>20479</v>
      </c>
      <c r="B5170" s="1" t="s">
        <v>18</v>
      </c>
      <c r="C5170" s="1" t="s">
        <v>463</v>
      </c>
      <c r="D5170" s="1" t="s">
        <v>18</v>
      </c>
      <c r="E5170" s="250">
        <v>13930.227999999999</v>
      </c>
    </row>
    <row r="5171" spans="1:5" x14ac:dyDescent="0.35">
      <c r="A5171" s="1" t="s">
        <v>20480</v>
      </c>
      <c r="B5171" s="1" t="s">
        <v>18</v>
      </c>
      <c r="C5171" s="1" t="s">
        <v>462</v>
      </c>
      <c r="D5171" s="1" t="s">
        <v>18</v>
      </c>
      <c r="E5171" s="250">
        <v>13930.228999999999</v>
      </c>
    </row>
    <row r="5172" spans="1:5" x14ac:dyDescent="0.35">
      <c r="A5172" s="1" t="s">
        <v>20481</v>
      </c>
      <c r="B5172" s="1" t="s">
        <v>18</v>
      </c>
      <c r="C5172" s="1" t="s">
        <v>461</v>
      </c>
      <c r="D5172" s="1" t="s">
        <v>18</v>
      </c>
      <c r="E5172" s="250">
        <v>13930.23</v>
      </c>
    </row>
    <row r="5173" spans="1:5" x14ac:dyDescent="0.35">
      <c r="A5173" s="1" t="s">
        <v>20482</v>
      </c>
      <c r="B5173" s="1" t="s">
        <v>18</v>
      </c>
      <c r="C5173" s="1" t="s">
        <v>460</v>
      </c>
      <c r="D5173" s="1" t="s">
        <v>18</v>
      </c>
      <c r="E5173" s="250">
        <v>13930.231</v>
      </c>
    </row>
    <row r="5174" spans="1:5" x14ac:dyDescent="0.35">
      <c r="A5174" s="1" t="s">
        <v>20483</v>
      </c>
      <c r="B5174" s="1" t="s">
        <v>18</v>
      </c>
      <c r="C5174" s="1" t="s">
        <v>455</v>
      </c>
      <c r="D5174" s="1" t="s">
        <v>18</v>
      </c>
      <c r="E5174" s="250">
        <v>13930.236999999999</v>
      </c>
    </row>
    <row r="5175" spans="1:5" x14ac:dyDescent="0.35">
      <c r="A5175" s="1" t="s">
        <v>20484</v>
      </c>
      <c r="B5175" s="1" t="s">
        <v>18</v>
      </c>
      <c r="C5175" s="1" t="s">
        <v>454</v>
      </c>
      <c r="D5175" s="1" t="s">
        <v>18</v>
      </c>
      <c r="E5175" s="250">
        <v>13930.237999999999</v>
      </c>
    </row>
    <row r="5176" spans="1:5" x14ac:dyDescent="0.35">
      <c r="A5176" s="1" t="s">
        <v>20485</v>
      </c>
      <c r="B5176" s="1" t="s">
        <v>18</v>
      </c>
      <c r="C5176" s="1" t="s">
        <v>453</v>
      </c>
      <c r="D5176" s="1" t="s">
        <v>18</v>
      </c>
      <c r="E5176" s="250">
        <v>13930.239</v>
      </c>
    </row>
    <row r="5177" spans="1:5" x14ac:dyDescent="0.35">
      <c r="A5177" s="1" t="s">
        <v>20486</v>
      </c>
      <c r="B5177" s="1" t="s">
        <v>18</v>
      </c>
      <c r="C5177" s="1" t="s">
        <v>452</v>
      </c>
      <c r="D5177" s="1" t="s">
        <v>18</v>
      </c>
      <c r="E5177" s="250">
        <v>13930.24</v>
      </c>
    </row>
    <row r="5178" spans="1:5" x14ac:dyDescent="0.35">
      <c r="A5178" s="1" t="s">
        <v>20487</v>
      </c>
      <c r="B5178" s="1" t="s">
        <v>57</v>
      </c>
      <c r="C5178" s="1" t="s">
        <v>514</v>
      </c>
      <c r="D5178" s="1" t="s">
        <v>57</v>
      </c>
      <c r="E5178" s="250">
        <v>13930.258</v>
      </c>
    </row>
    <row r="5179" spans="1:5" x14ac:dyDescent="0.35">
      <c r="A5179" s="1" t="s">
        <v>20488</v>
      </c>
      <c r="B5179" s="1" t="s">
        <v>57</v>
      </c>
      <c r="C5179" s="1" t="s">
        <v>552</v>
      </c>
      <c r="D5179" s="1" t="s">
        <v>57</v>
      </c>
      <c r="E5179" s="250">
        <v>13930.259</v>
      </c>
    </row>
    <row r="5180" spans="1:5" x14ac:dyDescent="0.35">
      <c r="A5180" s="1" t="s">
        <v>20489</v>
      </c>
      <c r="B5180" s="1" t="s">
        <v>19</v>
      </c>
      <c r="C5180" s="1" t="s">
        <v>496</v>
      </c>
      <c r="D5180" s="1" t="s">
        <v>19</v>
      </c>
      <c r="E5180" s="250">
        <v>13930.26</v>
      </c>
    </row>
    <row r="5181" spans="1:5" x14ac:dyDescent="0.35">
      <c r="A5181" s="1" t="s">
        <v>20490</v>
      </c>
      <c r="B5181" s="1" t="s">
        <v>19</v>
      </c>
      <c r="C5181" s="1" t="s">
        <v>495</v>
      </c>
      <c r="D5181" s="1" t="s">
        <v>19</v>
      </c>
      <c r="E5181" s="250">
        <v>13930.261</v>
      </c>
    </row>
    <row r="5182" spans="1:5" x14ac:dyDescent="0.35">
      <c r="A5182" s="1" t="s">
        <v>20491</v>
      </c>
      <c r="B5182" s="1" t="s">
        <v>19</v>
      </c>
      <c r="C5182" s="1" t="s">
        <v>494</v>
      </c>
      <c r="D5182" s="1" t="s">
        <v>19</v>
      </c>
      <c r="E5182" s="250">
        <v>13930.262000000001</v>
      </c>
    </row>
    <row r="5183" spans="1:5" x14ac:dyDescent="0.35">
      <c r="A5183" s="1" t="s">
        <v>20492</v>
      </c>
      <c r="B5183" s="1" t="s">
        <v>19</v>
      </c>
      <c r="C5183" s="1" t="s">
        <v>493</v>
      </c>
      <c r="D5183" s="1" t="s">
        <v>19</v>
      </c>
      <c r="E5183" s="250">
        <v>13930.263000000001</v>
      </c>
    </row>
    <row r="5184" spans="1:5" x14ac:dyDescent="0.35">
      <c r="A5184" s="1" t="s">
        <v>20493</v>
      </c>
      <c r="B5184" s="1" t="s">
        <v>19</v>
      </c>
      <c r="C5184" s="1" t="s">
        <v>492</v>
      </c>
      <c r="D5184" s="1" t="s">
        <v>19</v>
      </c>
      <c r="E5184" s="250">
        <v>13930.263999999999</v>
      </c>
    </row>
    <row r="5185" spans="1:5" x14ac:dyDescent="0.35">
      <c r="A5185" s="1" t="s">
        <v>20494</v>
      </c>
      <c r="B5185" s="1" t="s">
        <v>19</v>
      </c>
      <c r="C5185" s="1" t="s">
        <v>491</v>
      </c>
      <c r="D5185" s="1" t="s">
        <v>19</v>
      </c>
      <c r="E5185" s="250">
        <v>13930.264999999999</v>
      </c>
    </row>
    <row r="5186" spans="1:5" x14ac:dyDescent="0.35">
      <c r="A5186" s="1" t="s">
        <v>20495</v>
      </c>
      <c r="B5186" s="1" t="s">
        <v>19</v>
      </c>
      <c r="C5186" s="1" t="s">
        <v>490</v>
      </c>
      <c r="D5186" s="1" t="s">
        <v>19</v>
      </c>
      <c r="E5186" s="250">
        <v>13930.266</v>
      </c>
    </row>
    <row r="5187" spans="1:5" x14ac:dyDescent="0.35">
      <c r="A5187" s="1" t="s">
        <v>20496</v>
      </c>
      <c r="B5187" s="1" t="s">
        <v>19</v>
      </c>
      <c r="C5187" s="1" t="s">
        <v>419</v>
      </c>
      <c r="D5187" s="1" t="s">
        <v>19</v>
      </c>
      <c r="E5187" s="250">
        <v>13930.267</v>
      </c>
    </row>
    <row r="5188" spans="1:5" x14ac:dyDescent="0.35">
      <c r="A5188" s="1" t="s">
        <v>20497</v>
      </c>
      <c r="B5188" s="1" t="s">
        <v>19</v>
      </c>
      <c r="C5188" s="1" t="s">
        <v>416</v>
      </c>
      <c r="D5188" s="1" t="s">
        <v>19</v>
      </c>
      <c r="E5188" s="250">
        <v>13930.268</v>
      </c>
    </row>
    <row r="5189" spans="1:5" x14ac:dyDescent="0.35">
      <c r="A5189" s="1" t="s">
        <v>20498</v>
      </c>
      <c r="B5189" s="1" t="s">
        <v>19</v>
      </c>
      <c r="C5189" s="1" t="s">
        <v>489</v>
      </c>
      <c r="D5189" s="1" t="s">
        <v>19</v>
      </c>
      <c r="E5189" s="250">
        <v>13930.269</v>
      </c>
    </row>
    <row r="5190" spans="1:5" x14ac:dyDescent="0.35">
      <c r="A5190" s="1" t="s">
        <v>20499</v>
      </c>
      <c r="B5190" s="1" t="s">
        <v>19</v>
      </c>
      <c r="C5190" s="1" t="s">
        <v>415</v>
      </c>
      <c r="D5190" s="1" t="s">
        <v>19</v>
      </c>
      <c r="E5190" s="250">
        <v>13930.27</v>
      </c>
    </row>
    <row r="5191" spans="1:5" x14ac:dyDescent="0.35">
      <c r="A5191" s="1" t="s">
        <v>20500</v>
      </c>
      <c r="B5191" s="1" t="s">
        <v>57</v>
      </c>
      <c r="C5191" s="1" t="s">
        <v>551</v>
      </c>
      <c r="D5191" s="1" t="s">
        <v>57</v>
      </c>
      <c r="E5191" s="250">
        <v>13930.275</v>
      </c>
    </row>
    <row r="5192" spans="1:5" x14ac:dyDescent="0.35">
      <c r="A5192" s="1" t="s">
        <v>20501</v>
      </c>
      <c r="B5192" s="1" t="s">
        <v>18</v>
      </c>
      <c r="C5192" s="1" t="s">
        <v>487</v>
      </c>
      <c r="D5192" s="1" t="s">
        <v>18</v>
      </c>
      <c r="E5192" s="250">
        <v>13930.276</v>
      </c>
    </row>
    <row r="5193" spans="1:5" x14ac:dyDescent="0.35">
      <c r="A5193" s="1" t="s">
        <v>20502</v>
      </c>
      <c r="B5193" s="1" t="s">
        <v>18</v>
      </c>
      <c r="C5193" s="1" t="s">
        <v>486</v>
      </c>
      <c r="D5193" s="1" t="s">
        <v>18</v>
      </c>
      <c r="E5193" s="250">
        <v>13930.277</v>
      </c>
    </row>
    <row r="5194" spans="1:5" x14ac:dyDescent="0.35">
      <c r="A5194" s="1" t="s">
        <v>20503</v>
      </c>
      <c r="B5194" s="1" t="s">
        <v>18</v>
      </c>
      <c r="C5194" s="1" t="s">
        <v>485</v>
      </c>
      <c r="D5194" s="1" t="s">
        <v>18</v>
      </c>
      <c r="E5194" s="250">
        <v>13930.278</v>
      </c>
    </row>
    <row r="5195" spans="1:5" x14ac:dyDescent="0.35">
      <c r="A5195" s="1" t="s">
        <v>20504</v>
      </c>
      <c r="B5195" s="1" t="s">
        <v>18</v>
      </c>
      <c r="C5195" s="1" t="s">
        <v>484</v>
      </c>
      <c r="D5195" s="1" t="s">
        <v>18</v>
      </c>
      <c r="E5195" s="250">
        <v>13930.279</v>
      </c>
    </row>
    <row r="5196" spans="1:5" x14ac:dyDescent="0.35">
      <c r="A5196" s="1" t="s">
        <v>20505</v>
      </c>
      <c r="B5196" s="1" t="s">
        <v>18</v>
      </c>
      <c r="C5196" s="1" t="s">
        <v>483</v>
      </c>
      <c r="D5196" s="1" t="s">
        <v>18</v>
      </c>
      <c r="E5196" s="250">
        <v>13930.28</v>
      </c>
    </row>
    <row r="5197" spans="1:5" x14ac:dyDescent="0.35">
      <c r="A5197" s="1" t="s">
        <v>20506</v>
      </c>
      <c r="B5197" s="1" t="s">
        <v>18</v>
      </c>
      <c r="C5197" s="1" t="s">
        <v>482</v>
      </c>
      <c r="D5197" s="1" t="s">
        <v>18</v>
      </c>
      <c r="E5197" s="250">
        <v>13930.281000000001</v>
      </c>
    </row>
    <row r="5198" spans="1:5" x14ac:dyDescent="0.35">
      <c r="A5198" s="1" t="s">
        <v>20507</v>
      </c>
      <c r="B5198" s="1" t="s">
        <v>18</v>
      </c>
      <c r="C5198" s="1" t="s">
        <v>481</v>
      </c>
      <c r="D5198" s="1" t="s">
        <v>18</v>
      </c>
      <c r="E5198" s="250">
        <v>13930.281999999999</v>
      </c>
    </row>
    <row r="5199" spans="1:5" x14ac:dyDescent="0.35">
      <c r="A5199" s="1" t="s">
        <v>20508</v>
      </c>
      <c r="B5199" s="1" t="s">
        <v>18</v>
      </c>
      <c r="C5199" s="1" t="s">
        <v>480</v>
      </c>
      <c r="D5199" s="1" t="s">
        <v>18</v>
      </c>
      <c r="E5199" s="250">
        <v>13930.282999999999</v>
      </c>
    </row>
    <row r="5200" spans="1:5" x14ac:dyDescent="0.35">
      <c r="A5200" s="1" t="s">
        <v>20509</v>
      </c>
      <c r="B5200" s="1" t="s">
        <v>18</v>
      </c>
      <c r="C5200" s="1" t="s">
        <v>479</v>
      </c>
      <c r="D5200" s="1" t="s">
        <v>18</v>
      </c>
      <c r="E5200" s="250">
        <v>13930.284</v>
      </c>
    </row>
    <row r="5201" spans="1:5" x14ac:dyDescent="0.35">
      <c r="A5201" s="1" t="s">
        <v>20510</v>
      </c>
      <c r="B5201" s="1" t="s">
        <v>18</v>
      </c>
      <c r="C5201" s="1" t="s">
        <v>478</v>
      </c>
      <c r="D5201" s="1" t="s">
        <v>18</v>
      </c>
      <c r="E5201" s="250">
        <v>13930.285</v>
      </c>
    </row>
    <row r="5202" spans="1:5" x14ac:dyDescent="0.35">
      <c r="A5202" s="1" t="s">
        <v>20511</v>
      </c>
      <c r="B5202" s="1" t="s">
        <v>18</v>
      </c>
      <c r="C5202" s="1" t="s">
        <v>477</v>
      </c>
      <c r="D5202" s="1" t="s">
        <v>18</v>
      </c>
      <c r="E5202" s="250">
        <v>13930.286</v>
      </c>
    </row>
    <row r="5203" spans="1:5" x14ac:dyDescent="0.35">
      <c r="A5203" s="1" t="s">
        <v>20512</v>
      </c>
      <c r="B5203" s="1" t="s">
        <v>18</v>
      </c>
      <c r="C5203" s="1" t="s">
        <v>473</v>
      </c>
      <c r="D5203" s="1" t="s">
        <v>18</v>
      </c>
      <c r="E5203" s="250">
        <v>13930.293</v>
      </c>
    </row>
    <row r="5204" spans="1:5" x14ac:dyDescent="0.35">
      <c r="A5204" s="1" t="s">
        <v>20513</v>
      </c>
      <c r="B5204" s="1" t="s">
        <v>18</v>
      </c>
      <c r="C5204" s="1" t="s">
        <v>472</v>
      </c>
      <c r="D5204" s="1" t="s">
        <v>18</v>
      </c>
      <c r="E5204" s="250">
        <v>13930.294</v>
      </c>
    </row>
    <row r="5205" spans="1:5" x14ac:dyDescent="0.35">
      <c r="A5205" s="1" t="s">
        <v>20514</v>
      </c>
      <c r="B5205" s="1" t="s">
        <v>18</v>
      </c>
      <c r="C5205" s="1" t="s">
        <v>471</v>
      </c>
      <c r="D5205" s="1" t="s">
        <v>18</v>
      </c>
      <c r="E5205" s="250">
        <v>13930.295</v>
      </c>
    </row>
    <row r="5206" spans="1:5" x14ac:dyDescent="0.35">
      <c r="A5206" s="1" t="s">
        <v>20515</v>
      </c>
      <c r="B5206" s="1" t="s">
        <v>18</v>
      </c>
      <c r="C5206" s="1" t="s">
        <v>470</v>
      </c>
      <c r="D5206" s="1" t="s">
        <v>18</v>
      </c>
      <c r="E5206" s="250">
        <v>13930.296</v>
      </c>
    </row>
    <row r="5207" spans="1:5" x14ac:dyDescent="0.35">
      <c r="A5207" s="1" t="s">
        <v>20516</v>
      </c>
      <c r="B5207" s="1" t="s">
        <v>18</v>
      </c>
      <c r="C5207" s="1" t="s">
        <v>469</v>
      </c>
      <c r="D5207" s="1" t="s">
        <v>18</v>
      </c>
      <c r="E5207" s="250">
        <v>13930.297</v>
      </c>
    </row>
    <row r="5208" spans="1:5" x14ac:dyDescent="0.35">
      <c r="A5208" s="1" t="s">
        <v>20517</v>
      </c>
      <c r="B5208" s="1" t="s">
        <v>18</v>
      </c>
      <c r="C5208" s="1" t="s">
        <v>468</v>
      </c>
      <c r="D5208" s="1" t="s">
        <v>18</v>
      </c>
      <c r="E5208" s="250">
        <v>13930.298000000001</v>
      </c>
    </row>
    <row r="5209" spans="1:5" x14ac:dyDescent="0.35">
      <c r="A5209" s="1" t="s">
        <v>20518</v>
      </c>
      <c r="B5209" s="1" t="s">
        <v>18</v>
      </c>
      <c r="C5209" s="1" t="s">
        <v>467</v>
      </c>
      <c r="D5209" s="1" t="s">
        <v>18</v>
      </c>
      <c r="E5209" s="250">
        <v>13930.299000000001</v>
      </c>
    </row>
    <row r="5210" spans="1:5" x14ac:dyDescent="0.35">
      <c r="A5210" s="1" t="s">
        <v>20519</v>
      </c>
      <c r="B5210" s="1" t="s">
        <v>18</v>
      </c>
      <c r="C5210" s="1" t="s">
        <v>410</v>
      </c>
      <c r="D5210" s="1" t="s">
        <v>18</v>
      </c>
      <c r="E5210" s="250">
        <v>13930.3</v>
      </c>
    </row>
    <row r="5211" spans="1:5" x14ac:dyDescent="0.35">
      <c r="A5211" s="1" t="s">
        <v>20520</v>
      </c>
      <c r="B5211" s="1" t="s">
        <v>18</v>
      </c>
      <c r="C5211" s="1" t="s">
        <v>409</v>
      </c>
      <c r="D5211" s="1" t="s">
        <v>18</v>
      </c>
      <c r="E5211" s="250">
        <v>13930.300999999999</v>
      </c>
    </row>
    <row r="5212" spans="1:5" x14ac:dyDescent="0.35">
      <c r="A5212" s="1" t="s">
        <v>20521</v>
      </c>
      <c r="B5212" s="1" t="s">
        <v>18</v>
      </c>
      <c r="C5212" s="1" t="s">
        <v>466</v>
      </c>
      <c r="D5212" s="1" t="s">
        <v>18</v>
      </c>
      <c r="E5212" s="250">
        <v>13930.302</v>
      </c>
    </row>
    <row r="5213" spans="1:5" x14ac:dyDescent="0.35">
      <c r="A5213" s="1" t="s">
        <v>20522</v>
      </c>
      <c r="B5213" s="1" t="s">
        <v>18</v>
      </c>
      <c r="C5213" s="1" t="s">
        <v>408</v>
      </c>
      <c r="D5213" s="1" t="s">
        <v>18</v>
      </c>
      <c r="E5213" s="250">
        <v>13930.303</v>
      </c>
    </row>
    <row r="5214" spans="1:5" x14ac:dyDescent="0.35">
      <c r="A5214" s="1" t="s">
        <v>20523</v>
      </c>
      <c r="B5214" s="1" t="s">
        <v>18</v>
      </c>
      <c r="C5214" s="1" t="s">
        <v>465</v>
      </c>
      <c r="D5214" s="1" t="s">
        <v>18</v>
      </c>
      <c r="E5214" s="250">
        <v>13930.312</v>
      </c>
    </row>
    <row r="5215" spans="1:5" x14ac:dyDescent="0.35">
      <c r="A5215" s="1" t="s">
        <v>20524</v>
      </c>
      <c r="B5215" s="1" t="s">
        <v>18</v>
      </c>
      <c r="C5215" s="1" t="s">
        <v>464</v>
      </c>
      <c r="D5215" s="1" t="s">
        <v>18</v>
      </c>
      <c r="E5215" s="250">
        <v>13930.313</v>
      </c>
    </row>
    <row r="5216" spans="1:5" x14ac:dyDescent="0.35">
      <c r="A5216" s="1" t="s">
        <v>20525</v>
      </c>
      <c r="B5216" s="1" t="s">
        <v>18</v>
      </c>
      <c r="C5216" s="1" t="s">
        <v>463</v>
      </c>
      <c r="D5216" s="1" t="s">
        <v>18</v>
      </c>
      <c r="E5216" s="250">
        <v>13930.314</v>
      </c>
    </row>
    <row r="5217" spans="1:5" x14ac:dyDescent="0.35">
      <c r="A5217" s="1" t="s">
        <v>20526</v>
      </c>
      <c r="B5217" s="1" t="s">
        <v>18</v>
      </c>
      <c r="C5217" s="1" t="s">
        <v>462</v>
      </c>
      <c r="D5217" s="1" t="s">
        <v>18</v>
      </c>
      <c r="E5217" s="250">
        <v>13930.315000000001</v>
      </c>
    </row>
    <row r="5218" spans="1:5" x14ac:dyDescent="0.35">
      <c r="A5218" s="1" t="s">
        <v>20527</v>
      </c>
      <c r="B5218" s="1" t="s">
        <v>18</v>
      </c>
      <c r="C5218" s="1" t="s">
        <v>461</v>
      </c>
      <c r="D5218" s="1" t="s">
        <v>18</v>
      </c>
      <c r="E5218" s="250">
        <v>13930.316000000001</v>
      </c>
    </row>
    <row r="5219" spans="1:5" x14ac:dyDescent="0.35">
      <c r="A5219" s="1" t="s">
        <v>20528</v>
      </c>
      <c r="B5219" s="1" t="s">
        <v>18</v>
      </c>
      <c r="C5219" s="1" t="s">
        <v>460</v>
      </c>
      <c r="D5219" s="1" t="s">
        <v>18</v>
      </c>
      <c r="E5219" s="250">
        <v>13930.316999999999</v>
      </c>
    </row>
    <row r="5220" spans="1:5" x14ac:dyDescent="0.35">
      <c r="A5220" s="1" t="s">
        <v>20529</v>
      </c>
      <c r="B5220" s="1" t="s">
        <v>18</v>
      </c>
      <c r="C5220" s="1" t="s">
        <v>459</v>
      </c>
      <c r="D5220" s="1" t="s">
        <v>18</v>
      </c>
      <c r="E5220" s="250">
        <v>13930.317999999999</v>
      </c>
    </row>
    <row r="5221" spans="1:5" x14ac:dyDescent="0.35">
      <c r="A5221" s="1" t="s">
        <v>20530</v>
      </c>
      <c r="B5221" s="1" t="s">
        <v>18</v>
      </c>
      <c r="C5221" s="1" t="s">
        <v>404</v>
      </c>
      <c r="D5221" s="1" t="s">
        <v>18</v>
      </c>
      <c r="E5221" s="250">
        <v>13930.319</v>
      </c>
    </row>
    <row r="5222" spans="1:5" x14ac:dyDescent="0.35">
      <c r="A5222" s="1" t="s">
        <v>20531</v>
      </c>
      <c r="B5222" s="1" t="s">
        <v>18</v>
      </c>
      <c r="C5222" s="1" t="s">
        <v>403</v>
      </c>
      <c r="D5222" s="1" t="s">
        <v>18</v>
      </c>
      <c r="E5222" s="250">
        <v>13930.32</v>
      </c>
    </row>
    <row r="5223" spans="1:5" x14ac:dyDescent="0.35">
      <c r="A5223" s="1" t="s">
        <v>20532</v>
      </c>
      <c r="B5223" s="1" t="s">
        <v>18</v>
      </c>
      <c r="C5223" s="1" t="s">
        <v>458</v>
      </c>
      <c r="D5223" s="1" t="s">
        <v>18</v>
      </c>
      <c r="E5223" s="250">
        <v>13930.321</v>
      </c>
    </row>
    <row r="5224" spans="1:5" x14ac:dyDescent="0.35">
      <c r="A5224" s="1" t="s">
        <v>20533</v>
      </c>
      <c r="B5224" s="1" t="s">
        <v>18</v>
      </c>
      <c r="C5224" s="1" t="s">
        <v>402</v>
      </c>
      <c r="D5224" s="1" t="s">
        <v>18</v>
      </c>
      <c r="E5224" s="250">
        <v>13930.322</v>
      </c>
    </row>
    <row r="5225" spans="1:5" x14ac:dyDescent="0.35">
      <c r="A5225" s="1" t="s">
        <v>20534</v>
      </c>
      <c r="B5225" s="1" t="s">
        <v>18</v>
      </c>
      <c r="C5225" s="1" t="s">
        <v>457</v>
      </c>
      <c r="D5225" s="1" t="s">
        <v>18</v>
      </c>
      <c r="E5225" s="250">
        <v>13930.33</v>
      </c>
    </row>
    <row r="5226" spans="1:5" x14ac:dyDescent="0.35">
      <c r="A5226" s="1" t="s">
        <v>20535</v>
      </c>
      <c r="B5226" s="1" t="s">
        <v>18</v>
      </c>
      <c r="C5226" s="1" t="s">
        <v>456</v>
      </c>
      <c r="D5226" s="1" t="s">
        <v>18</v>
      </c>
      <c r="E5226" s="250">
        <v>13930.331</v>
      </c>
    </row>
    <row r="5227" spans="1:5" x14ac:dyDescent="0.35">
      <c r="A5227" s="1" t="s">
        <v>20536</v>
      </c>
      <c r="B5227" s="1" t="s">
        <v>18</v>
      </c>
      <c r="C5227" s="1" t="s">
        <v>455</v>
      </c>
      <c r="D5227" s="1" t="s">
        <v>18</v>
      </c>
      <c r="E5227" s="250">
        <v>13930.332</v>
      </c>
    </row>
    <row r="5228" spans="1:5" x14ac:dyDescent="0.35">
      <c r="A5228" s="1" t="s">
        <v>20537</v>
      </c>
      <c r="B5228" s="1" t="s">
        <v>18</v>
      </c>
      <c r="C5228" s="1" t="s">
        <v>454</v>
      </c>
      <c r="D5228" s="1" t="s">
        <v>18</v>
      </c>
      <c r="E5228" s="250">
        <v>13930.333000000001</v>
      </c>
    </row>
    <row r="5229" spans="1:5" x14ac:dyDescent="0.35">
      <c r="A5229" s="1" t="s">
        <v>20538</v>
      </c>
      <c r="B5229" s="1" t="s">
        <v>18</v>
      </c>
      <c r="C5229" s="1" t="s">
        <v>453</v>
      </c>
      <c r="D5229" s="1" t="s">
        <v>18</v>
      </c>
      <c r="E5229" s="250">
        <v>13930.334000000001</v>
      </c>
    </row>
    <row r="5230" spans="1:5" x14ac:dyDescent="0.35">
      <c r="A5230" s="1" t="s">
        <v>20539</v>
      </c>
      <c r="B5230" s="1" t="s">
        <v>18</v>
      </c>
      <c r="C5230" s="1" t="s">
        <v>452</v>
      </c>
      <c r="D5230" s="1" t="s">
        <v>18</v>
      </c>
      <c r="E5230" s="250">
        <v>13930.334999999999</v>
      </c>
    </row>
    <row r="5231" spans="1:5" x14ac:dyDescent="0.35">
      <c r="A5231" s="1" t="s">
        <v>20540</v>
      </c>
      <c r="B5231" s="1" t="s">
        <v>18</v>
      </c>
      <c r="C5231" s="1" t="s">
        <v>451</v>
      </c>
      <c r="D5231" s="1" t="s">
        <v>18</v>
      </c>
      <c r="E5231" s="250">
        <v>13930.335999999999</v>
      </c>
    </row>
    <row r="5232" spans="1:5" x14ac:dyDescent="0.35">
      <c r="A5232" s="1" t="s">
        <v>20541</v>
      </c>
      <c r="B5232" s="1" t="s">
        <v>18</v>
      </c>
      <c r="C5232" s="1" t="s">
        <v>450</v>
      </c>
      <c r="D5232" s="1" t="s">
        <v>18</v>
      </c>
      <c r="E5232" s="250">
        <v>13930.337</v>
      </c>
    </row>
    <row r="5233" spans="1:5" x14ac:dyDescent="0.35">
      <c r="A5233" s="1" t="s">
        <v>20542</v>
      </c>
      <c r="B5233" s="1" t="s">
        <v>18</v>
      </c>
      <c r="C5233" s="1" t="s">
        <v>449</v>
      </c>
      <c r="D5233" s="1" t="s">
        <v>18</v>
      </c>
      <c r="E5233" s="250">
        <v>13930.338</v>
      </c>
    </row>
    <row r="5234" spans="1:5" x14ac:dyDescent="0.35">
      <c r="A5234" s="1" t="s">
        <v>20543</v>
      </c>
      <c r="B5234" s="1" t="s">
        <v>18</v>
      </c>
      <c r="C5234" s="1" t="s">
        <v>448</v>
      </c>
      <c r="D5234" s="1" t="s">
        <v>18</v>
      </c>
      <c r="E5234" s="250">
        <v>13930.339</v>
      </c>
    </row>
    <row r="5235" spans="1:5" x14ac:dyDescent="0.35">
      <c r="A5235" s="1" t="s">
        <v>20544</v>
      </c>
      <c r="B5235" s="1" t="s">
        <v>18</v>
      </c>
      <c r="C5235" s="1" t="s">
        <v>447</v>
      </c>
      <c r="D5235" s="1" t="s">
        <v>18</v>
      </c>
      <c r="E5235" s="250">
        <v>13930.34</v>
      </c>
    </row>
    <row r="5236" spans="1:5" x14ac:dyDescent="0.35">
      <c r="A5236" s="1" t="s">
        <v>20545</v>
      </c>
      <c r="B5236" s="1" t="s">
        <v>18</v>
      </c>
      <c r="C5236" s="1" t="s">
        <v>550</v>
      </c>
      <c r="D5236" s="1" t="s">
        <v>18</v>
      </c>
      <c r="E5236" s="250">
        <v>13930.348</v>
      </c>
    </row>
    <row r="5237" spans="1:5" x14ac:dyDescent="0.35">
      <c r="A5237" s="1" t="s">
        <v>20546</v>
      </c>
      <c r="B5237" s="1" t="s">
        <v>18</v>
      </c>
      <c r="C5237" s="1" t="s">
        <v>549</v>
      </c>
      <c r="D5237" s="1" t="s">
        <v>18</v>
      </c>
      <c r="E5237" s="250">
        <v>13930.349</v>
      </c>
    </row>
    <row r="5238" spans="1:5" x14ac:dyDescent="0.35">
      <c r="A5238" s="1" t="s">
        <v>20547</v>
      </c>
      <c r="B5238" s="1" t="s">
        <v>18</v>
      </c>
      <c r="C5238" s="1" t="s">
        <v>548</v>
      </c>
      <c r="D5238" s="1" t="s">
        <v>18</v>
      </c>
      <c r="E5238" s="250">
        <v>13930.35</v>
      </c>
    </row>
    <row r="5239" spans="1:5" x14ac:dyDescent="0.35">
      <c r="A5239" s="1" t="s">
        <v>20548</v>
      </c>
      <c r="B5239" s="1" t="s">
        <v>18</v>
      </c>
      <c r="C5239" s="1" t="s">
        <v>547</v>
      </c>
      <c r="D5239" s="1" t="s">
        <v>18</v>
      </c>
      <c r="E5239" s="250">
        <v>13930.351000000001</v>
      </c>
    </row>
    <row r="5240" spans="1:5" x14ac:dyDescent="0.35">
      <c r="A5240" s="1" t="s">
        <v>20549</v>
      </c>
      <c r="B5240" s="1" t="s">
        <v>18</v>
      </c>
      <c r="C5240" s="1" t="s">
        <v>546</v>
      </c>
      <c r="D5240" s="1" t="s">
        <v>18</v>
      </c>
      <c r="E5240" s="250">
        <v>13930.352000000001</v>
      </c>
    </row>
    <row r="5241" spans="1:5" x14ac:dyDescent="0.35">
      <c r="A5241" s="1" t="s">
        <v>20550</v>
      </c>
      <c r="B5241" s="1" t="s">
        <v>18</v>
      </c>
      <c r="C5241" s="1" t="s">
        <v>545</v>
      </c>
      <c r="D5241" s="1" t="s">
        <v>18</v>
      </c>
      <c r="E5241" s="250">
        <v>13930.352999999999</v>
      </c>
    </row>
    <row r="5242" spans="1:5" x14ac:dyDescent="0.35">
      <c r="A5242" s="1" t="s">
        <v>20551</v>
      </c>
      <c r="B5242" s="1" t="s">
        <v>18</v>
      </c>
      <c r="C5242" s="1" t="s">
        <v>544</v>
      </c>
      <c r="D5242" s="1" t="s">
        <v>18</v>
      </c>
      <c r="E5242" s="250">
        <v>13930.353999999999</v>
      </c>
    </row>
    <row r="5243" spans="1:5" x14ac:dyDescent="0.35">
      <c r="A5243" s="1" t="s">
        <v>20552</v>
      </c>
      <c r="B5243" s="1" t="s">
        <v>18</v>
      </c>
      <c r="C5243" s="1" t="s">
        <v>443</v>
      </c>
      <c r="D5243" s="1" t="s">
        <v>18</v>
      </c>
      <c r="E5243" s="250">
        <v>13930.36</v>
      </c>
    </row>
    <row r="5244" spans="1:5" x14ac:dyDescent="0.35">
      <c r="A5244" s="1" t="s">
        <v>20553</v>
      </c>
      <c r="B5244" s="1" t="s">
        <v>18</v>
      </c>
      <c r="C5244" s="1" t="s">
        <v>442</v>
      </c>
      <c r="D5244" s="1" t="s">
        <v>18</v>
      </c>
      <c r="E5244" s="250">
        <v>13930.361000000001</v>
      </c>
    </row>
    <row r="5245" spans="1:5" x14ac:dyDescent="0.35">
      <c r="A5245" s="1" t="s">
        <v>20554</v>
      </c>
      <c r="B5245" s="1" t="s">
        <v>18</v>
      </c>
      <c r="C5245" s="1" t="s">
        <v>441</v>
      </c>
      <c r="D5245" s="1" t="s">
        <v>18</v>
      </c>
      <c r="E5245" s="250">
        <v>13930.361999999999</v>
      </c>
    </row>
    <row r="5246" spans="1:5" x14ac:dyDescent="0.35">
      <c r="A5246" s="1" t="s">
        <v>20555</v>
      </c>
      <c r="B5246" s="1" t="s">
        <v>18</v>
      </c>
      <c r="C5246" s="1" t="s">
        <v>440</v>
      </c>
      <c r="D5246" s="1" t="s">
        <v>18</v>
      </c>
      <c r="E5246" s="250">
        <v>13930.362999999999</v>
      </c>
    </row>
    <row r="5247" spans="1:5" x14ac:dyDescent="0.35">
      <c r="A5247" s="1" t="s">
        <v>20556</v>
      </c>
      <c r="B5247" s="1" t="s">
        <v>18</v>
      </c>
      <c r="C5247" s="1" t="s">
        <v>439</v>
      </c>
      <c r="D5247" s="1" t="s">
        <v>18</v>
      </c>
      <c r="E5247" s="250">
        <v>13930.364</v>
      </c>
    </row>
    <row r="5248" spans="1:5" x14ac:dyDescent="0.35">
      <c r="A5248" s="1" t="s">
        <v>20557</v>
      </c>
      <c r="B5248" s="1" t="s">
        <v>18</v>
      </c>
      <c r="C5248" s="1" t="s">
        <v>438</v>
      </c>
      <c r="D5248" s="1" t="s">
        <v>18</v>
      </c>
      <c r="E5248" s="250">
        <v>13930.365</v>
      </c>
    </row>
    <row r="5249" spans="1:5" x14ac:dyDescent="0.35">
      <c r="A5249" s="1" t="s">
        <v>20558</v>
      </c>
      <c r="B5249" s="1" t="s">
        <v>18</v>
      </c>
      <c r="C5249" s="1" t="s">
        <v>437</v>
      </c>
      <c r="D5249" s="1" t="s">
        <v>18</v>
      </c>
      <c r="E5249" s="250">
        <v>13930.366</v>
      </c>
    </row>
    <row r="5250" spans="1:5" x14ac:dyDescent="0.35">
      <c r="A5250" s="1" t="s">
        <v>20559</v>
      </c>
      <c r="B5250" s="1" t="s">
        <v>18</v>
      </c>
      <c r="C5250" s="1" t="s">
        <v>436</v>
      </c>
      <c r="D5250" s="1" t="s">
        <v>18</v>
      </c>
      <c r="E5250" s="250">
        <v>13930.367</v>
      </c>
    </row>
    <row r="5251" spans="1:5" x14ac:dyDescent="0.35">
      <c r="A5251" s="1" t="s">
        <v>20560</v>
      </c>
      <c r="B5251" s="1" t="s">
        <v>18</v>
      </c>
      <c r="C5251" s="1" t="s">
        <v>435</v>
      </c>
      <c r="D5251" s="1" t="s">
        <v>18</v>
      </c>
      <c r="E5251" s="250">
        <v>13930.368</v>
      </c>
    </row>
    <row r="5252" spans="1:5" x14ac:dyDescent="0.35">
      <c r="A5252" s="1" t="s">
        <v>20561</v>
      </c>
      <c r="B5252" s="1" t="s">
        <v>18</v>
      </c>
      <c r="C5252" s="1" t="s">
        <v>434</v>
      </c>
      <c r="D5252" s="1" t="s">
        <v>18</v>
      </c>
      <c r="E5252" s="250">
        <v>13930.369000000001</v>
      </c>
    </row>
    <row r="5253" spans="1:5" x14ac:dyDescent="0.35">
      <c r="A5253" s="1" t="s">
        <v>20562</v>
      </c>
      <c r="B5253" s="1" t="s">
        <v>18</v>
      </c>
      <c r="C5253" s="1" t="s">
        <v>433</v>
      </c>
      <c r="D5253" s="1" t="s">
        <v>18</v>
      </c>
      <c r="E5253" s="250">
        <v>13930.37</v>
      </c>
    </row>
    <row r="5254" spans="1:5" x14ac:dyDescent="0.35">
      <c r="A5254" s="1" t="s">
        <v>20563</v>
      </c>
      <c r="B5254" s="1" t="s">
        <v>18</v>
      </c>
      <c r="C5254" s="1" t="s">
        <v>429</v>
      </c>
      <c r="D5254" s="1" t="s">
        <v>18</v>
      </c>
      <c r="E5254" s="250">
        <v>13930.378000000001</v>
      </c>
    </row>
    <row r="5255" spans="1:5" x14ac:dyDescent="0.35">
      <c r="A5255" s="1" t="s">
        <v>20564</v>
      </c>
      <c r="B5255" s="1" t="s">
        <v>18</v>
      </c>
      <c r="C5255" s="1" t="s">
        <v>428</v>
      </c>
      <c r="D5255" s="1" t="s">
        <v>18</v>
      </c>
      <c r="E5255" s="250">
        <v>13930.379000000001</v>
      </c>
    </row>
    <row r="5256" spans="1:5" x14ac:dyDescent="0.35">
      <c r="A5256" s="1" t="s">
        <v>20565</v>
      </c>
      <c r="B5256" s="1" t="s">
        <v>18</v>
      </c>
      <c r="C5256" s="1" t="s">
        <v>427</v>
      </c>
      <c r="D5256" s="1" t="s">
        <v>18</v>
      </c>
      <c r="E5256" s="250">
        <v>13930.38</v>
      </c>
    </row>
    <row r="5257" spans="1:5" x14ac:dyDescent="0.35">
      <c r="A5257" s="1" t="s">
        <v>20566</v>
      </c>
      <c r="B5257" s="1" t="s">
        <v>18</v>
      </c>
      <c r="C5257" s="1" t="s">
        <v>426</v>
      </c>
      <c r="D5257" s="1" t="s">
        <v>18</v>
      </c>
      <c r="E5257" s="250">
        <v>13930.380999999999</v>
      </c>
    </row>
    <row r="5258" spans="1:5" x14ac:dyDescent="0.35">
      <c r="A5258" s="1" t="s">
        <v>20567</v>
      </c>
      <c r="B5258" s="1" t="s">
        <v>18</v>
      </c>
      <c r="C5258" s="1" t="s">
        <v>425</v>
      </c>
      <c r="D5258" s="1" t="s">
        <v>18</v>
      </c>
      <c r="E5258" s="250">
        <v>13930.382</v>
      </c>
    </row>
    <row r="5259" spans="1:5" x14ac:dyDescent="0.35">
      <c r="A5259" s="1" t="s">
        <v>20568</v>
      </c>
      <c r="B5259" s="1" t="s">
        <v>18</v>
      </c>
      <c r="C5259" s="1" t="s">
        <v>424</v>
      </c>
      <c r="D5259" s="1" t="s">
        <v>18</v>
      </c>
      <c r="E5259" s="250">
        <v>13930.383</v>
      </c>
    </row>
    <row r="5260" spans="1:5" x14ac:dyDescent="0.35">
      <c r="A5260" s="1" t="s">
        <v>20569</v>
      </c>
      <c r="B5260" s="1" t="s">
        <v>18</v>
      </c>
      <c r="C5260" s="1" t="s">
        <v>423</v>
      </c>
      <c r="D5260" s="1" t="s">
        <v>18</v>
      </c>
      <c r="E5260" s="250">
        <v>13930.384</v>
      </c>
    </row>
    <row r="5261" spans="1:5" x14ac:dyDescent="0.35">
      <c r="A5261" s="1" t="s">
        <v>20570</v>
      </c>
      <c r="B5261" s="1" t="s">
        <v>18</v>
      </c>
      <c r="C5261" s="1" t="s">
        <v>537</v>
      </c>
      <c r="D5261" s="1" t="s">
        <v>18</v>
      </c>
      <c r="E5261" s="250">
        <v>13930.385</v>
      </c>
    </row>
    <row r="5262" spans="1:5" x14ac:dyDescent="0.35">
      <c r="A5262" s="1" t="s">
        <v>20571</v>
      </c>
      <c r="B5262" s="1" t="s">
        <v>18</v>
      </c>
      <c r="C5262" s="1" t="s">
        <v>536</v>
      </c>
      <c r="D5262" s="1" t="s">
        <v>18</v>
      </c>
      <c r="E5262" s="250">
        <v>13930.386</v>
      </c>
    </row>
    <row r="5263" spans="1:5" x14ac:dyDescent="0.35">
      <c r="A5263" s="1" t="s">
        <v>20572</v>
      </c>
      <c r="B5263" s="1" t="s">
        <v>18</v>
      </c>
      <c r="C5263" s="1" t="s">
        <v>535</v>
      </c>
      <c r="D5263" s="1" t="s">
        <v>18</v>
      </c>
      <c r="E5263" s="250">
        <v>13930.387000000001</v>
      </c>
    </row>
    <row r="5264" spans="1:5" x14ac:dyDescent="0.35">
      <c r="A5264" s="1" t="s">
        <v>20573</v>
      </c>
      <c r="B5264" s="1" t="s">
        <v>18</v>
      </c>
      <c r="C5264" s="1" t="s">
        <v>534</v>
      </c>
      <c r="D5264" s="1" t="s">
        <v>18</v>
      </c>
      <c r="E5264" s="250">
        <v>13930.388000000001</v>
      </c>
    </row>
    <row r="5265" spans="1:5" x14ac:dyDescent="0.35">
      <c r="A5265" s="1" t="s">
        <v>20574</v>
      </c>
      <c r="B5265" s="1" t="s">
        <v>57</v>
      </c>
      <c r="C5265" s="1" t="s">
        <v>514</v>
      </c>
      <c r="D5265" s="1" t="s">
        <v>57</v>
      </c>
      <c r="E5265" s="250">
        <v>13930.395</v>
      </c>
    </row>
    <row r="5266" spans="1:5" x14ac:dyDescent="0.35">
      <c r="A5266" s="1" t="s">
        <v>20575</v>
      </c>
      <c r="B5266" s="1" t="s">
        <v>57</v>
      </c>
      <c r="C5266" s="1" t="s">
        <v>497</v>
      </c>
      <c r="D5266" s="1" t="s">
        <v>57</v>
      </c>
      <c r="E5266" s="250">
        <v>13930.396000000001</v>
      </c>
    </row>
    <row r="5267" spans="1:5" x14ac:dyDescent="0.35">
      <c r="A5267" s="1" t="s">
        <v>20576</v>
      </c>
      <c r="B5267" s="1" t="s">
        <v>19</v>
      </c>
      <c r="C5267" s="1" t="s">
        <v>496</v>
      </c>
      <c r="D5267" s="1" t="s">
        <v>19</v>
      </c>
      <c r="E5267" s="250">
        <v>13930.397000000001</v>
      </c>
    </row>
    <row r="5268" spans="1:5" x14ac:dyDescent="0.35">
      <c r="A5268" s="1" t="s">
        <v>20577</v>
      </c>
      <c r="B5268" s="1" t="s">
        <v>19</v>
      </c>
      <c r="C5268" s="1" t="s">
        <v>495</v>
      </c>
      <c r="D5268" s="1" t="s">
        <v>19</v>
      </c>
      <c r="E5268" s="250">
        <v>13930.397999999999</v>
      </c>
    </row>
    <row r="5269" spans="1:5" x14ac:dyDescent="0.35">
      <c r="A5269" s="1" t="s">
        <v>20578</v>
      </c>
      <c r="B5269" s="1" t="s">
        <v>19</v>
      </c>
      <c r="C5269" s="1" t="s">
        <v>494</v>
      </c>
      <c r="D5269" s="1" t="s">
        <v>19</v>
      </c>
      <c r="E5269" s="250">
        <v>13930.398999999999</v>
      </c>
    </row>
    <row r="5270" spans="1:5" x14ac:dyDescent="0.35">
      <c r="A5270" s="1" t="s">
        <v>20579</v>
      </c>
      <c r="B5270" s="1" t="s">
        <v>19</v>
      </c>
      <c r="C5270" s="1" t="s">
        <v>493</v>
      </c>
      <c r="D5270" s="1" t="s">
        <v>19</v>
      </c>
      <c r="E5270" s="250">
        <v>13930.4</v>
      </c>
    </row>
    <row r="5271" spans="1:5" x14ac:dyDescent="0.35">
      <c r="A5271" s="1" t="s">
        <v>20580</v>
      </c>
      <c r="B5271" s="1" t="s">
        <v>19</v>
      </c>
      <c r="C5271" s="1" t="s">
        <v>492</v>
      </c>
      <c r="D5271" s="1" t="s">
        <v>19</v>
      </c>
      <c r="E5271" s="250">
        <v>13930.401</v>
      </c>
    </row>
    <row r="5272" spans="1:5" x14ac:dyDescent="0.35">
      <c r="A5272" s="1" t="s">
        <v>20581</v>
      </c>
      <c r="B5272" s="1" t="s">
        <v>19</v>
      </c>
      <c r="C5272" s="1" t="s">
        <v>491</v>
      </c>
      <c r="D5272" s="1" t="s">
        <v>19</v>
      </c>
      <c r="E5272" s="250">
        <v>13930.402</v>
      </c>
    </row>
    <row r="5273" spans="1:5" x14ac:dyDescent="0.35">
      <c r="A5273" s="1" t="s">
        <v>20582</v>
      </c>
      <c r="B5273" s="1" t="s">
        <v>19</v>
      </c>
      <c r="C5273" s="1" t="s">
        <v>490</v>
      </c>
      <c r="D5273" s="1" t="s">
        <v>19</v>
      </c>
      <c r="E5273" s="250">
        <v>13930.403</v>
      </c>
    </row>
    <row r="5274" spans="1:5" x14ac:dyDescent="0.35">
      <c r="A5274" s="1" t="s">
        <v>20583</v>
      </c>
      <c r="B5274" s="1" t="s">
        <v>19</v>
      </c>
      <c r="C5274" s="1" t="s">
        <v>419</v>
      </c>
      <c r="D5274" s="1" t="s">
        <v>19</v>
      </c>
      <c r="E5274" s="250">
        <v>13930.404</v>
      </c>
    </row>
    <row r="5275" spans="1:5" x14ac:dyDescent="0.35">
      <c r="A5275" s="1" t="s">
        <v>20584</v>
      </c>
      <c r="B5275" s="1" t="s">
        <v>19</v>
      </c>
      <c r="C5275" s="1" t="s">
        <v>543</v>
      </c>
      <c r="D5275" s="1" t="s">
        <v>19</v>
      </c>
      <c r="E5275" s="250">
        <v>13930.405000000001</v>
      </c>
    </row>
    <row r="5276" spans="1:5" x14ac:dyDescent="0.35">
      <c r="A5276" s="1" t="s">
        <v>20585</v>
      </c>
      <c r="B5276" s="1" t="s">
        <v>19</v>
      </c>
      <c r="C5276" s="1" t="s">
        <v>489</v>
      </c>
      <c r="D5276" s="1" t="s">
        <v>19</v>
      </c>
      <c r="E5276" s="250">
        <v>13930.406000000001</v>
      </c>
    </row>
    <row r="5277" spans="1:5" x14ac:dyDescent="0.35">
      <c r="A5277" s="1" t="s">
        <v>20586</v>
      </c>
      <c r="B5277" s="1" t="s">
        <v>19</v>
      </c>
      <c r="C5277" s="1" t="s">
        <v>415</v>
      </c>
      <c r="D5277" s="1" t="s">
        <v>19</v>
      </c>
      <c r="E5277" s="250">
        <v>13930.406999999999</v>
      </c>
    </row>
    <row r="5278" spans="1:5" x14ac:dyDescent="0.35">
      <c r="A5278" s="1" t="s">
        <v>20587</v>
      </c>
      <c r="B5278" s="1" t="s">
        <v>19</v>
      </c>
      <c r="C5278" s="1" t="s">
        <v>414</v>
      </c>
      <c r="D5278" s="1" t="s">
        <v>19</v>
      </c>
      <c r="E5278" s="250">
        <v>13930.407999999999</v>
      </c>
    </row>
    <row r="5279" spans="1:5" x14ac:dyDescent="0.35">
      <c r="A5279" s="1" t="s">
        <v>20588</v>
      </c>
      <c r="B5279" s="1" t="s">
        <v>19</v>
      </c>
      <c r="C5279" s="1" t="s">
        <v>413</v>
      </c>
      <c r="D5279" s="1" t="s">
        <v>19</v>
      </c>
      <c r="E5279" s="250">
        <v>13930.409</v>
      </c>
    </row>
    <row r="5280" spans="1:5" x14ac:dyDescent="0.35">
      <c r="A5280" s="1" t="s">
        <v>20589</v>
      </c>
      <c r="B5280" s="1" t="s">
        <v>19</v>
      </c>
      <c r="C5280" s="1" t="s">
        <v>412</v>
      </c>
      <c r="D5280" s="1" t="s">
        <v>19</v>
      </c>
      <c r="E5280" s="250">
        <v>13930.41</v>
      </c>
    </row>
    <row r="5281" spans="1:5" x14ac:dyDescent="0.35">
      <c r="A5281" s="1" t="s">
        <v>20590</v>
      </c>
      <c r="B5281" s="1" t="s">
        <v>57</v>
      </c>
      <c r="C5281" s="1" t="s">
        <v>542</v>
      </c>
      <c r="D5281" s="1" t="s">
        <v>57</v>
      </c>
      <c r="E5281" s="250">
        <v>13930.415000000001</v>
      </c>
    </row>
    <row r="5282" spans="1:5" x14ac:dyDescent="0.35">
      <c r="A5282" s="1" t="s">
        <v>20591</v>
      </c>
      <c r="B5282" s="1" t="s">
        <v>18</v>
      </c>
      <c r="C5282" s="1" t="s">
        <v>541</v>
      </c>
      <c r="D5282" s="1" t="s">
        <v>18</v>
      </c>
      <c r="E5282" s="250">
        <v>13930.415999999999</v>
      </c>
    </row>
    <row r="5283" spans="1:5" x14ac:dyDescent="0.35">
      <c r="A5283" s="1" t="s">
        <v>20592</v>
      </c>
      <c r="B5283" s="1" t="s">
        <v>18</v>
      </c>
      <c r="C5283" s="1" t="s">
        <v>486</v>
      </c>
      <c r="D5283" s="1" t="s">
        <v>18</v>
      </c>
      <c r="E5283" s="250">
        <v>13930.416999999999</v>
      </c>
    </row>
    <row r="5284" spans="1:5" x14ac:dyDescent="0.35">
      <c r="A5284" s="1" t="s">
        <v>20593</v>
      </c>
      <c r="B5284" s="1" t="s">
        <v>18</v>
      </c>
      <c r="C5284" s="1" t="s">
        <v>485</v>
      </c>
      <c r="D5284" s="1" t="s">
        <v>18</v>
      </c>
      <c r="E5284" s="250">
        <v>13930.418</v>
      </c>
    </row>
    <row r="5285" spans="1:5" x14ac:dyDescent="0.35">
      <c r="A5285" s="1" t="s">
        <v>20594</v>
      </c>
      <c r="B5285" s="1" t="s">
        <v>18</v>
      </c>
      <c r="C5285" s="1" t="s">
        <v>484</v>
      </c>
      <c r="D5285" s="1" t="s">
        <v>18</v>
      </c>
      <c r="E5285" s="250">
        <v>13930.419</v>
      </c>
    </row>
    <row r="5286" spans="1:5" x14ac:dyDescent="0.35">
      <c r="A5286" s="1" t="s">
        <v>20595</v>
      </c>
      <c r="B5286" s="1" t="s">
        <v>18</v>
      </c>
      <c r="C5286" s="1" t="s">
        <v>483</v>
      </c>
      <c r="D5286" s="1" t="s">
        <v>18</v>
      </c>
      <c r="E5286" s="250">
        <v>13930.42</v>
      </c>
    </row>
    <row r="5287" spans="1:5" x14ac:dyDescent="0.35">
      <c r="A5287" s="1" t="s">
        <v>20596</v>
      </c>
      <c r="B5287" s="1" t="s">
        <v>18</v>
      </c>
      <c r="C5287" s="1" t="s">
        <v>481</v>
      </c>
      <c r="D5287" s="1" t="s">
        <v>18</v>
      </c>
      <c r="E5287" s="250">
        <v>13930.422</v>
      </c>
    </row>
    <row r="5288" spans="1:5" x14ac:dyDescent="0.35">
      <c r="A5288" s="1" t="s">
        <v>20597</v>
      </c>
      <c r="B5288" s="1" t="s">
        <v>18</v>
      </c>
      <c r="C5288" s="1" t="s">
        <v>480</v>
      </c>
      <c r="D5288" s="1" t="s">
        <v>18</v>
      </c>
      <c r="E5288" s="250">
        <v>13930.423000000001</v>
      </c>
    </row>
    <row r="5289" spans="1:5" x14ac:dyDescent="0.35">
      <c r="A5289" s="1" t="s">
        <v>20598</v>
      </c>
      <c r="B5289" s="1" t="s">
        <v>18</v>
      </c>
      <c r="C5289" s="1" t="s">
        <v>479</v>
      </c>
      <c r="D5289" s="1" t="s">
        <v>18</v>
      </c>
      <c r="E5289" s="250">
        <v>13930.424000000001</v>
      </c>
    </row>
    <row r="5290" spans="1:5" x14ac:dyDescent="0.35">
      <c r="A5290" s="1" t="s">
        <v>20599</v>
      </c>
      <c r="B5290" s="1" t="s">
        <v>18</v>
      </c>
      <c r="C5290" s="1" t="s">
        <v>478</v>
      </c>
      <c r="D5290" s="1" t="s">
        <v>18</v>
      </c>
      <c r="E5290" s="250">
        <v>13930.424999999999</v>
      </c>
    </row>
    <row r="5291" spans="1:5" x14ac:dyDescent="0.35">
      <c r="A5291" s="1" t="s">
        <v>20600</v>
      </c>
      <c r="B5291" s="1" t="s">
        <v>18</v>
      </c>
      <c r="C5291" s="1" t="s">
        <v>477</v>
      </c>
      <c r="D5291" s="1" t="s">
        <v>18</v>
      </c>
      <c r="E5291" s="250">
        <v>13930.425999999999</v>
      </c>
    </row>
    <row r="5292" spans="1:5" x14ac:dyDescent="0.35">
      <c r="A5292" s="1" t="s">
        <v>20601</v>
      </c>
      <c r="B5292" s="1" t="s">
        <v>18</v>
      </c>
      <c r="C5292" s="1" t="s">
        <v>476</v>
      </c>
      <c r="D5292" s="1" t="s">
        <v>18</v>
      </c>
      <c r="E5292" s="250">
        <v>13930.427</v>
      </c>
    </row>
    <row r="5293" spans="1:5" x14ac:dyDescent="0.35">
      <c r="A5293" s="1" t="s">
        <v>20602</v>
      </c>
      <c r="B5293" s="1" t="s">
        <v>18</v>
      </c>
      <c r="C5293" s="1" t="s">
        <v>475</v>
      </c>
      <c r="D5293" s="1" t="s">
        <v>18</v>
      </c>
      <c r="E5293" s="250">
        <v>13930.428</v>
      </c>
    </row>
    <row r="5294" spans="1:5" x14ac:dyDescent="0.35">
      <c r="A5294" s="1" t="s">
        <v>20603</v>
      </c>
      <c r="B5294" s="1" t="s">
        <v>18</v>
      </c>
      <c r="C5294" s="1" t="s">
        <v>474</v>
      </c>
      <c r="D5294" s="1" t="s">
        <v>18</v>
      </c>
      <c r="E5294" s="250">
        <v>13930.429</v>
      </c>
    </row>
    <row r="5295" spans="1:5" x14ac:dyDescent="0.35">
      <c r="A5295" s="1" t="s">
        <v>20604</v>
      </c>
      <c r="B5295" s="1" t="s">
        <v>18</v>
      </c>
      <c r="C5295" s="1" t="s">
        <v>473</v>
      </c>
      <c r="D5295" s="1" t="s">
        <v>18</v>
      </c>
      <c r="E5295" s="250">
        <v>13930.434999999999</v>
      </c>
    </row>
    <row r="5296" spans="1:5" x14ac:dyDescent="0.35">
      <c r="A5296" s="1" t="s">
        <v>20605</v>
      </c>
      <c r="B5296" s="1" t="s">
        <v>18</v>
      </c>
      <c r="C5296" s="1" t="s">
        <v>472</v>
      </c>
      <c r="D5296" s="1" t="s">
        <v>18</v>
      </c>
      <c r="E5296" s="250">
        <v>13930.436</v>
      </c>
    </row>
    <row r="5297" spans="1:5" x14ac:dyDescent="0.35">
      <c r="A5297" s="1" t="s">
        <v>20606</v>
      </c>
      <c r="B5297" s="1" t="s">
        <v>18</v>
      </c>
      <c r="C5297" s="1" t="s">
        <v>471</v>
      </c>
      <c r="D5297" s="1" t="s">
        <v>18</v>
      </c>
      <c r="E5297" s="250">
        <v>13930.437</v>
      </c>
    </row>
    <row r="5298" spans="1:5" x14ac:dyDescent="0.35">
      <c r="A5298" s="1" t="s">
        <v>20607</v>
      </c>
      <c r="B5298" s="1" t="s">
        <v>18</v>
      </c>
      <c r="C5298" s="1" t="s">
        <v>540</v>
      </c>
      <c r="D5298" s="1" t="s">
        <v>18</v>
      </c>
      <c r="E5298" s="250">
        <v>13930.438</v>
      </c>
    </row>
    <row r="5299" spans="1:5" x14ac:dyDescent="0.35">
      <c r="A5299" s="1" t="s">
        <v>20608</v>
      </c>
      <c r="B5299" s="1" t="s">
        <v>18</v>
      </c>
      <c r="C5299" s="1" t="s">
        <v>469</v>
      </c>
      <c r="D5299" s="1" t="s">
        <v>18</v>
      </c>
      <c r="E5299" s="250">
        <v>13930.439</v>
      </c>
    </row>
    <row r="5300" spans="1:5" x14ac:dyDescent="0.35">
      <c r="A5300" s="1" t="s">
        <v>20609</v>
      </c>
      <c r="B5300" s="1" t="s">
        <v>18</v>
      </c>
      <c r="C5300" s="1" t="s">
        <v>468</v>
      </c>
      <c r="D5300" s="1" t="s">
        <v>18</v>
      </c>
      <c r="E5300" s="250">
        <v>13930.44</v>
      </c>
    </row>
    <row r="5301" spans="1:5" x14ac:dyDescent="0.35">
      <c r="A5301" s="1" t="s">
        <v>20610</v>
      </c>
      <c r="B5301" s="1" t="s">
        <v>18</v>
      </c>
      <c r="C5301" s="1" t="s">
        <v>539</v>
      </c>
      <c r="D5301" s="1" t="s">
        <v>18</v>
      </c>
      <c r="E5301" s="250">
        <v>13930.441000000001</v>
      </c>
    </row>
    <row r="5302" spans="1:5" x14ac:dyDescent="0.35">
      <c r="A5302" s="1" t="s">
        <v>20611</v>
      </c>
      <c r="B5302" s="1" t="s">
        <v>18</v>
      </c>
      <c r="C5302" s="1" t="s">
        <v>410</v>
      </c>
      <c r="D5302" s="1" t="s">
        <v>18</v>
      </c>
      <c r="E5302" s="250">
        <v>13930.441999999999</v>
      </c>
    </row>
    <row r="5303" spans="1:5" x14ac:dyDescent="0.35">
      <c r="A5303" s="1" t="s">
        <v>20612</v>
      </c>
      <c r="B5303" s="1" t="s">
        <v>18</v>
      </c>
      <c r="C5303" s="1" t="s">
        <v>409</v>
      </c>
      <c r="D5303" s="1" t="s">
        <v>18</v>
      </c>
      <c r="E5303" s="250">
        <v>13930.442999999999</v>
      </c>
    </row>
    <row r="5304" spans="1:5" x14ac:dyDescent="0.35">
      <c r="A5304" s="1" t="s">
        <v>20613</v>
      </c>
      <c r="B5304" s="1" t="s">
        <v>18</v>
      </c>
      <c r="C5304" s="1" t="s">
        <v>466</v>
      </c>
      <c r="D5304" s="1" t="s">
        <v>18</v>
      </c>
      <c r="E5304" s="250">
        <v>13930.444</v>
      </c>
    </row>
    <row r="5305" spans="1:5" x14ac:dyDescent="0.35">
      <c r="A5305" s="1" t="s">
        <v>20614</v>
      </c>
      <c r="B5305" s="1" t="s">
        <v>18</v>
      </c>
      <c r="C5305" s="1" t="s">
        <v>408</v>
      </c>
      <c r="D5305" s="1" t="s">
        <v>18</v>
      </c>
      <c r="E5305" s="250">
        <v>13930.445</v>
      </c>
    </row>
    <row r="5306" spans="1:5" x14ac:dyDescent="0.35">
      <c r="A5306" s="1" t="s">
        <v>20615</v>
      </c>
      <c r="B5306" s="1" t="s">
        <v>18</v>
      </c>
      <c r="C5306" s="1" t="s">
        <v>407</v>
      </c>
      <c r="D5306" s="1" t="s">
        <v>18</v>
      </c>
      <c r="E5306" s="250">
        <v>13930.446</v>
      </c>
    </row>
    <row r="5307" spans="1:5" x14ac:dyDescent="0.35">
      <c r="A5307" s="1" t="s">
        <v>20616</v>
      </c>
      <c r="B5307" s="1" t="s">
        <v>18</v>
      </c>
      <c r="C5307" s="1" t="s">
        <v>406</v>
      </c>
      <c r="D5307" s="1" t="s">
        <v>18</v>
      </c>
      <c r="E5307" s="250">
        <v>13930.447</v>
      </c>
    </row>
    <row r="5308" spans="1:5" x14ac:dyDescent="0.35">
      <c r="A5308" s="1" t="s">
        <v>20617</v>
      </c>
      <c r="B5308" s="1" t="s">
        <v>18</v>
      </c>
      <c r="C5308" s="1" t="s">
        <v>405</v>
      </c>
      <c r="D5308" s="1" t="s">
        <v>18</v>
      </c>
      <c r="E5308" s="250">
        <v>13930.448</v>
      </c>
    </row>
    <row r="5309" spans="1:5" x14ac:dyDescent="0.35">
      <c r="A5309" s="1" t="s">
        <v>20618</v>
      </c>
      <c r="B5309" s="1" t="s">
        <v>18</v>
      </c>
      <c r="C5309" s="1" t="s">
        <v>465</v>
      </c>
      <c r="D5309" s="1" t="s">
        <v>18</v>
      </c>
      <c r="E5309" s="250">
        <v>13930.455</v>
      </c>
    </row>
    <row r="5310" spans="1:5" x14ac:dyDescent="0.35">
      <c r="A5310" s="1" t="s">
        <v>20619</v>
      </c>
      <c r="B5310" s="1" t="s">
        <v>18</v>
      </c>
      <c r="C5310" s="1" t="s">
        <v>464</v>
      </c>
      <c r="D5310" s="1" t="s">
        <v>18</v>
      </c>
      <c r="E5310" s="250">
        <v>13930.456</v>
      </c>
    </row>
    <row r="5311" spans="1:5" x14ac:dyDescent="0.35">
      <c r="A5311" s="1" t="s">
        <v>20620</v>
      </c>
      <c r="B5311" s="1" t="s">
        <v>18</v>
      </c>
      <c r="C5311" s="1" t="s">
        <v>463</v>
      </c>
      <c r="D5311" s="1" t="s">
        <v>18</v>
      </c>
      <c r="E5311" s="250">
        <v>13930.457</v>
      </c>
    </row>
    <row r="5312" spans="1:5" x14ac:dyDescent="0.35">
      <c r="A5312" s="1" t="s">
        <v>20621</v>
      </c>
      <c r="B5312" s="1" t="s">
        <v>18</v>
      </c>
      <c r="C5312" s="1" t="s">
        <v>462</v>
      </c>
      <c r="D5312" s="1" t="s">
        <v>18</v>
      </c>
      <c r="E5312" s="250">
        <v>13930.458000000001</v>
      </c>
    </row>
    <row r="5313" spans="1:5" x14ac:dyDescent="0.35">
      <c r="A5313" s="1" t="s">
        <v>20622</v>
      </c>
      <c r="B5313" s="1" t="s">
        <v>18</v>
      </c>
      <c r="C5313" s="1" t="s">
        <v>461</v>
      </c>
      <c r="D5313" s="1" t="s">
        <v>18</v>
      </c>
      <c r="E5313" s="250">
        <v>13930.459000000001</v>
      </c>
    </row>
    <row r="5314" spans="1:5" x14ac:dyDescent="0.35">
      <c r="A5314" s="1" t="s">
        <v>20623</v>
      </c>
      <c r="B5314" s="1" t="s">
        <v>18</v>
      </c>
      <c r="C5314" s="1" t="s">
        <v>460</v>
      </c>
      <c r="D5314" s="1" t="s">
        <v>18</v>
      </c>
      <c r="E5314" s="250">
        <v>13930.46</v>
      </c>
    </row>
    <row r="5315" spans="1:5" x14ac:dyDescent="0.35">
      <c r="A5315" s="1" t="s">
        <v>20624</v>
      </c>
      <c r="B5315" s="1" t="s">
        <v>18</v>
      </c>
      <c r="C5315" s="1" t="s">
        <v>538</v>
      </c>
      <c r="D5315" s="1" t="s">
        <v>18</v>
      </c>
      <c r="E5315" s="250">
        <v>13930.460999999999</v>
      </c>
    </row>
    <row r="5316" spans="1:5" x14ac:dyDescent="0.35">
      <c r="A5316" s="1" t="s">
        <v>20625</v>
      </c>
      <c r="B5316" s="1" t="s">
        <v>18</v>
      </c>
      <c r="C5316" s="1" t="s">
        <v>404</v>
      </c>
      <c r="D5316" s="1" t="s">
        <v>18</v>
      </c>
      <c r="E5316" s="250">
        <v>13930.462</v>
      </c>
    </row>
    <row r="5317" spans="1:5" x14ac:dyDescent="0.35">
      <c r="A5317" s="1" t="s">
        <v>20626</v>
      </c>
      <c r="B5317" s="1" t="s">
        <v>18</v>
      </c>
      <c r="C5317" s="1" t="s">
        <v>403</v>
      </c>
      <c r="D5317" s="1" t="s">
        <v>18</v>
      </c>
      <c r="E5317" s="250">
        <v>13930.463</v>
      </c>
    </row>
    <row r="5318" spans="1:5" x14ac:dyDescent="0.35">
      <c r="A5318" s="1" t="s">
        <v>20627</v>
      </c>
      <c r="B5318" s="1" t="s">
        <v>18</v>
      </c>
      <c r="C5318" s="1" t="s">
        <v>458</v>
      </c>
      <c r="D5318" s="1" t="s">
        <v>18</v>
      </c>
      <c r="E5318" s="250">
        <v>13930.464</v>
      </c>
    </row>
    <row r="5319" spans="1:5" x14ac:dyDescent="0.35">
      <c r="A5319" s="1" t="s">
        <v>20628</v>
      </c>
      <c r="B5319" s="1" t="s">
        <v>18</v>
      </c>
      <c r="C5319" s="1" t="s">
        <v>402</v>
      </c>
      <c r="D5319" s="1" t="s">
        <v>18</v>
      </c>
      <c r="E5319" s="250">
        <v>13930.465</v>
      </c>
    </row>
    <row r="5320" spans="1:5" x14ac:dyDescent="0.35">
      <c r="A5320" s="1" t="s">
        <v>20629</v>
      </c>
      <c r="B5320" s="1" t="s">
        <v>18</v>
      </c>
      <c r="C5320" s="1" t="s">
        <v>401</v>
      </c>
      <c r="D5320" s="1" t="s">
        <v>18</v>
      </c>
      <c r="E5320" s="250">
        <v>13930.466</v>
      </c>
    </row>
    <row r="5321" spans="1:5" x14ac:dyDescent="0.35">
      <c r="A5321" s="1" t="s">
        <v>20630</v>
      </c>
      <c r="B5321" s="1" t="s">
        <v>18</v>
      </c>
      <c r="C5321" s="1" t="s">
        <v>400</v>
      </c>
      <c r="D5321" s="1" t="s">
        <v>18</v>
      </c>
      <c r="E5321" s="250">
        <v>13930.467000000001</v>
      </c>
    </row>
    <row r="5322" spans="1:5" x14ac:dyDescent="0.35">
      <c r="A5322" s="1" t="s">
        <v>20631</v>
      </c>
      <c r="B5322" s="1" t="s">
        <v>18</v>
      </c>
      <c r="C5322" s="1" t="s">
        <v>399</v>
      </c>
      <c r="D5322" s="1" t="s">
        <v>18</v>
      </c>
      <c r="E5322" s="250">
        <v>13930.468000000001</v>
      </c>
    </row>
    <row r="5323" spans="1:5" x14ac:dyDescent="0.35">
      <c r="A5323" s="1" t="s">
        <v>20632</v>
      </c>
      <c r="B5323" s="1" t="s">
        <v>18</v>
      </c>
      <c r="C5323" s="1" t="s">
        <v>457</v>
      </c>
      <c r="D5323" s="1" t="s">
        <v>18</v>
      </c>
      <c r="E5323" s="250">
        <v>13930.475</v>
      </c>
    </row>
    <row r="5324" spans="1:5" x14ac:dyDescent="0.35">
      <c r="A5324" s="1" t="s">
        <v>20633</v>
      </c>
      <c r="B5324" s="1" t="s">
        <v>18</v>
      </c>
      <c r="C5324" s="1" t="s">
        <v>456</v>
      </c>
      <c r="D5324" s="1" t="s">
        <v>18</v>
      </c>
      <c r="E5324" s="250">
        <v>13930.476000000001</v>
      </c>
    </row>
    <row r="5325" spans="1:5" x14ac:dyDescent="0.35">
      <c r="A5325" s="1" t="s">
        <v>20634</v>
      </c>
      <c r="B5325" s="1" t="s">
        <v>18</v>
      </c>
      <c r="C5325" s="1" t="s">
        <v>455</v>
      </c>
      <c r="D5325" s="1" t="s">
        <v>18</v>
      </c>
      <c r="E5325" s="250">
        <v>13930.477000000001</v>
      </c>
    </row>
    <row r="5326" spans="1:5" x14ac:dyDescent="0.35">
      <c r="A5326" s="1" t="s">
        <v>20635</v>
      </c>
      <c r="B5326" s="1" t="s">
        <v>18</v>
      </c>
      <c r="C5326" s="1" t="s">
        <v>454</v>
      </c>
      <c r="D5326" s="1" t="s">
        <v>18</v>
      </c>
      <c r="E5326" s="250">
        <v>13930.477999999999</v>
      </c>
    </row>
    <row r="5327" spans="1:5" x14ac:dyDescent="0.35">
      <c r="A5327" s="1" t="s">
        <v>20636</v>
      </c>
      <c r="B5327" s="1" t="s">
        <v>18</v>
      </c>
      <c r="C5327" s="1" t="s">
        <v>453</v>
      </c>
      <c r="D5327" s="1" t="s">
        <v>18</v>
      </c>
      <c r="E5327" s="250">
        <v>13930.478999999999</v>
      </c>
    </row>
    <row r="5328" spans="1:5" x14ac:dyDescent="0.35">
      <c r="A5328" s="1" t="s">
        <v>20637</v>
      </c>
      <c r="B5328" s="1" t="s">
        <v>18</v>
      </c>
      <c r="C5328" s="1" t="s">
        <v>452</v>
      </c>
      <c r="D5328" s="1" t="s">
        <v>18</v>
      </c>
      <c r="E5328" s="250">
        <v>13930.48</v>
      </c>
    </row>
    <row r="5329" spans="1:5" x14ac:dyDescent="0.35">
      <c r="A5329" s="1" t="s">
        <v>20638</v>
      </c>
      <c r="B5329" s="1" t="s">
        <v>18</v>
      </c>
      <c r="C5329" s="1" t="s">
        <v>451</v>
      </c>
      <c r="D5329" s="1" t="s">
        <v>18</v>
      </c>
      <c r="E5329" s="250">
        <v>13930.481</v>
      </c>
    </row>
    <row r="5330" spans="1:5" x14ac:dyDescent="0.35">
      <c r="A5330" s="1" t="s">
        <v>20639</v>
      </c>
      <c r="B5330" s="1" t="s">
        <v>18</v>
      </c>
      <c r="C5330" s="1" t="s">
        <v>450</v>
      </c>
      <c r="D5330" s="1" t="s">
        <v>18</v>
      </c>
      <c r="E5330" s="250">
        <v>13930.482</v>
      </c>
    </row>
    <row r="5331" spans="1:5" x14ac:dyDescent="0.35">
      <c r="A5331" s="1" t="s">
        <v>20640</v>
      </c>
      <c r="B5331" s="1" t="s">
        <v>18</v>
      </c>
      <c r="C5331" s="1" t="s">
        <v>449</v>
      </c>
      <c r="D5331" s="1" t="s">
        <v>18</v>
      </c>
      <c r="E5331" s="250">
        <v>13930.483</v>
      </c>
    </row>
    <row r="5332" spans="1:5" x14ac:dyDescent="0.35">
      <c r="A5332" s="1" t="s">
        <v>20641</v>
      </c>
      <c r="B5332" s="1" t="s">
        <v>18</v>
      </c>
      <c r="C5332" s="1" t="s">
        <v>448</v>
      </c>
      <c r="D5332" s="1" t="s">
        <v>18</v>
      </c>
      <c r="E5332" s="250">
        <v>13930.484</v>
      </c>
    </row>
    <row r="5333" spans="1:5" x14ac:dyDescent="0.35">
      <c r="A5333" s="1" t="s">
        <v>20642</v>
      </c>
      <c r="B5333" s="1" t="s">
        <v>18</v>
      </c>
      <c r="C5333" s="1" t="s">
        <v>447</v>
      </c>
      <c r="D5333" s="1" t="s">
        <v>18</v>
      </c>
      <c r="E5333" s="250">
        <v>13930.485000000001</v>
      </c>
    </row>
    <row r="5334" spans="1:5" x14ac:dyDescent="0.35">
      <c r="A5334" s="1" t="s">
        <v>20643</v>
      </c>
      <c r="B5334" s="1" t="s">
        <v>18</v>
      </c>
      <c r="C5334" s="1" t="s">
        <v>446</v>
      </c>
      <c r="D5334" s="1" t="s">
        <v>18</v>
      </c>
      <c r="E5334" s="250">
        <v>13930.486000000001</v>
      </c>
    </row>
    <row r="5335" spans="1:5" x14ac:dyDescent="0.35">
      <c r="A5335" s="1" t="s">
        <v>20644</v>
      </c>
      <c r="B5335" s="1" t="s">
        <v>18</v>
      </c>
      <c r="C5335" s="1" t="s">
        <v>445</v>
      </c>
      <c r="D5335" s="1" t="s">
        <v>18</v>
      </c>
      <c r="E5335" s="250">
        <v>13930.486999999999</v>
      </c>
    </row>
    <row r="5336" spans="1:5" x14ac:dyDescent="0.35">
      <c r="A5336" s="1" t="s">
        <v>20645</v>
      </c>
      <c r="B5336" s="1" t="s">
        <v>18</v>
      </c>
      <c r="C5336" s="1" t="s">
        <v>444</v>
      </c>
      <c r="D5336" s="1" t="s">
        <v>18</v>
      </c>
      <c r="E5336" s="250">
        <v>13930.487999999999</v>
      </c>
    </row>
    <row r="5337" spans="1:5" x14ac:dyDescent="0.35">
      <c r="A5337" s="1" t="s">
        <v>20646</v>
      </c>
      <c r="B5337" s="1" t="s">
        <v>18</v>
      </c>
      <c r="C5337" s="1" t="s">
        <v>443</v>
      </c>
      <c r="D5337" s="1" t="s">
        <v>18</v>
      </c>
      <c r="E5337" s="250">
        <v>13930.495000000001</v>
      </c>
    </row>
    <row r="5338" spans="1:5" x14ac:dyDescent="0.35">
      <c r="A5338" s="1" t="s">
        <v>20647</v>
      </c>
      <c r="B5338" s="1" t="s">
        <v>18</v>
      </c>
      <c r="C5338" s="1" t="s">
        <v>442</v>
      </c>
      <c r="D5338" s="1" t="s">
        <v>18</v>
      </c>
      <c r="E5338" s="250">
        <v>13930.495999999999</v>
      </c>
    </row>
    <row r="5339" spans="1:5" x14ac:dyDescent="0.35">
      <c r="A5339" s="1" t="s">
        <v>20648</v>
      </c>
      <c r="B5339" s="1" t="s">
        <v>18</v>
      </c>
      <c r="C5339" s="1" t="s">
        <v>441</v>
      </c>
      <c r="D5339" s="1" t="s">
        <v>18</v>
      </c>
      <c r="E5339" s="250">
        <v>13930.496999999999</v>
      </c>
    </row>
    <row r="5340" spans="1:5" x14ac:dyDescent="0.35">
      <c r="A5340" s="1" t="s">
        <v>20649</v>
      </c>
      <c r="B5340" s="1" t="s">
        <v>18</v>
      </c>
      <c r="C5340" s="1" t="s">
        <v>440</v>
      </c>
      <c r="D5340" s="1" t="s">
        <v>18</v>
      </c>
      <c r="E5340" s="250">
        <v>13930.498</v>
      </c>
    </row>
    <row r="5341" spans="1:5" x14ac:dyDescent="0.35">
      <c r="A5341" s="1" t="s">
        <v>20650</v>
      </c>
      <c r="B5341" s="1" t="s">
        <v>18</v>
      </c>
      <c r="C5341" s="1" t="s">
        <v>439</v>
      </c>
      <c r="D5341" s="1" t="s">
        <v>18</v>
      </c>
      <c r="E5341" s="250">
        <v>13930.499</v>
      </c>
    </row>
    <row r="5342" spans="1:5" x14ac:dyDescent="0.35">
      <c r="A5342" s="1" t="s">
        <v>20651</v>
      </c>
      <c r="B5342" s="1" t="s">
        <v>18</v>
      </c>
      <c r="C5342" s="1" t="s">
        <v>438</v>
      </c>
      <c r="D5342" s="1" t="s">
        <v>18</v>
      </c>
      <c r="E5342" s="250">
        <v>13930.5</v>
      </c>
    </row>
    <row r="5343" spans="1:5" x14ac:dyDescent="0.35">
      <c r="A5343" s="1" t="s">
        <v>20652</v>
      </c>
      <c r="B5343" s="1" t="s">
        <v>18</v>
      </c>
      <c r="C5343" s="1" t="s">
        <v>437</v>
      </c>
      <c r="D5343" s="1" t="s">
        <v>18</v>
      </c>
      <c r="E5343" s="250">
        <v>13930.501</v>
      </c>
    </row>
    <row r="5344" spans="1:5" x14ac:dyDescent="0.35">
      <c r="A5344" s="1" t="s">
        <v>20653</v>
      </c>
      <c r="B5344" s="1" t="s">
        <v>18</v>
      </c>
      <c r="C5344" s="1" t="s">
        <v>436</v>
      </c>
      <c r="D5344" s="1" t="s">
        <v>18</v>
      </c>
      <c r="E5344" s="250">
        <v>13930.502</v>
      </c>
    </row>
    <row r="5345" spans="1:5" x14ac:dyDescent="0.35">
      <c r="A5345" s="1" t="s">
        <v>20654</v>
      </c>
      <c r="B5345" s="1" t="s">
        <v>18</v>
      </c>
      <c r="C5345" s="1" t="s">
        <v>435</v>
      </c>
      <c r="D5345" s="1" t="s">
        <v>18</v>
      </c>
      <c r="E5345" s="250">
        <v>13930.503000000001</v>
      </c>
    </row>
    <row r="5346" spans="1:5" x14ac:dyDescent="0.35">
      <c r="A5346" s="1" t="s">
        <v>20655</v>
      </c>
      <c r="B5346" s="1" t="s">
        <v>18</v>
      </c>
      <c r="C5346" s="1" t="s">
        <v>434</v>
      </c>
      <c r="D5346" s="1" t="s">
        <v>18</v>
      </c>
      <c r="E5346" s="250">
        <v>13930.504000000001</v>
      </c>
    </row>
    <row r="5347" spans="1:5" x14ac:dyDescent="0.35">
      <c r="A5347" s="1" t="s">
        <v>20656</v>
      </c>
      <c r="B5347" s="1" t="s">
        <v>18</v>
      </c>
      <c r="C5347" s="1" t="s">
        <v>433</v>
      </c>
      <c r="D5347" s="1" t="s">
        <v>18</v>
      </c>
      <c r="E5347" s="250">
        <v>13930.504999999999</v>
      </c>
    </row>
    <row r="5348" spans="1:5" x14ac:dyDescent="0.35">
      <c r="A5348" s="1" t="s">
        <v>20657</v>
      </c>
      <c r="B5348" s="1" t="s">
        <v>18</v>
      </c>
      <c r="C5348" s="1" t="s">
        <v>432</v>
      </c>
      <c r="D5348" s="1" t="s">
        <v>18</v>
      </c>
      <c r="E5348" s="250">
        <v>13930.505999999999</v>
      </c>
    </row>
    <row r="5349" spans="1:5" x14ac:dyDescent="0.35">
      <c r="A5349" s="1" t="s">
        <v>20658</v>
      </c>
      <c r="B5349" s="1" t="s">
        <v>18</v>
      </c>
      <c r="C5349" s="1" t="s">
        <v>431</v>
      </c>
      <c r="D5349" s="1" t="s">
        <v>18</v>
      </c>
      <c r="E5349" s="250">
        <v>13930.507</v>
      </c>
    </row>
    <row r="5350" spans="1:5" x14ac:dyDescent="0.35">
      <c r="A5350" s="1" t="s">
        <v>20659</v>
      </c>
      <c r="B5350" s="1" t="s">
        <v>18</v>
      </c>
      <c r="C5350" s="1" t="s">
        <v>430</v>
      </c>
      <c r="D5350" s="1" t="s">
        <v>18</v>
      </c>
      <c r="E5350" s="250">
        <v>13930.508</v>
      </c>
    </row>
    <row r="5351" spans="1:5" x14ac:dyDescent="0.35">
      <c r="A5351" s="1" t="s">
        <v>20660</v>
      </c>
      <c r="B5351" s="1" t="s">
        <v>18</v>
      </c>
      <c r="C5351" s="1" t="s">
        <v>429</v>
      </c>
      <c r="D5351" s="1" t="s">
        <v>18</v>
      </c>
      <c r="E5351" s="250">
        <v>13930.516</v>
      </c>
    </row>
    <row r="5352" spans="1:5" x14ac:dyDescent="0.35">
      <c r="A5352" s="1" t="s">
        <v>20661</v>
      </c>
      <c r="B5352" s="1" t="s">
        <v>18</v>
      </c>
      <c r="C5352" s="1" t="s">
        <v>428</v>
      </c>
      <c r="D5352" s="1" t="s">
        <v>18</v>
      </c>
      <c r="E5352" s="250">
        <v>13930.517</v>
      </c>
    </row>
    <row r="5353" spans="1:5" x14ac:dyDescent="0.35">
      <c r="A5353" s="1" t="s">
        <v>20662</v>
      </c>
      <c r="B5353" s="1" t="s">
        <v>18</v>
      </c>
      <c r="C5353" s="1" t="s">
        <v>427</v>
      </c>
      <c r="D5353" s="1" t="s">
        <v>18</v>
      </c>
      <c r="E5353" s="250">
        <v>13930.518</v>
      </c>
    </row>
    <row r="5354" spans="1:5" x14ac:dyDescent="0.35">
      <c r="A5354" s="1" t="s">
        <v>20663</v>
      </c>
      <c r="B5354" s="1" t="s">
        <v>18</v>
      </c>
      <c r="C5354" s="1" t="s">
        <v>426</v>
      </c>
      <c r="D5354" s="1" t="s">
        <v>18</v>
      </c>
      <c r="E5354" s="250">
        <v>13930.519</v>
      </c>
    </row>
    <row r="5355" spans="1:5" x14ac:dyDescent="0.35">
      <c r="A5355" s="1" t="s">
        <v>20664</v>
      </c>
      <c r="B5355" s="1" t="s">
        <v>18</v>
      </c>
      <c r="C5355" s="1" t="s">
        <v>425</v>
      </c>
      <c r="D5355" s="1" t="s">
        <v>18</v>
      </c>
      <c r="E5355" s="250">
        <v>13930.52</v>
      </c>
    </row>
    <row r="5356" spans="1:5" x14ac:dyDescent="0.35">
      <c r="A5356" s="1" t="s">
        <v>20665</v>
      </c>
      <c r="B5356" s="1" t="s">
        <v>18</v>
      </c>
      <c r="C5356" s="1" t="s">
        <v>424</v>
      </c>
      <c r="D5356" s="1" t="s">
        <v>18</v>
      </c>
      <c r="E5356" s="250">
        <v>13930.521000000001</v>
      </c>
    </row>
    <row r="5357" spans="1:5" x14ac:dyDescent="0.35">
      <c r="A5357" s="1" t="s">
        <v>20666</v>
      </c>
      <c r="B5357" s="1" t="s">
        <v>18</v>
      </c>
      <c r="C5357" s="1" t="s">
        <v>423</v>
      </c>
      <c r="D5357" s="1" t="s">
        <v>18</v>
      </c>
      <c r="E5357" s="250">
        <v>13930.522000000001</v>
      </c>
    </row>
    <row r="5358" spans="1:5" x14ac:dyDescent="0.35">
      <c r="A5358" s="1" t="s">
        <v>20667</v>
      </c>
      <c r="B5358" s="1" t="s">
        <v>18</v>
      </c>
      <c r="C5358" s="1" t="s">
        <v>537</v>
      </c>
      <c r="D5358" s="1" t="s">
        <v>18</v>
      </c>
      <c r="E5358" s="250">
        <v>13930.522999999999</v>
      </c>
    </row>
    <row r="5359" spans="1:5" x14ac:dyDescent="0.35">
      <c r="A5359" s="1" t="s">
        <v>20668</v>
      </c>
      <c r="B5359" s="1" t="s">
        <v>18</v>
      </c>
      <c r="C5359" s="1" t="s">
        <v>536</v>
      </c>
      <c r="D5359" s="1" t="s">
        <v>18</v>
      </c>
      <c r="E5359" s="250">
        <v>13930.523999999999</v>
      </c>
    </row>
    <row r="5360" spans="1:5" x14ac:dyDescent="0.35">
      <c r="A5360" s="1" t="s">
        <v>20669</v>
      </c>
      <c r="B5360" s="1" t="s">
        <v>18</v>
      </c>
      <c r="C5360" s="1" t="s">
        <v>535</v>
      </c>
      <c r="D5360" s="1" t="s">
        <v>18</v>
      </c>
      <c r="E5360" s="250">
        <v>13930.525</v>
      </c>
    </row>
    <row r="5361" spans="1:5" x14ac:dyDescent="0.35">
      <c r="A5361" s="1" t="s">
        <v>20670</v>
      </c>
      <c r="B5361" s="1" t="s">
        <v>18</v>
      </c>
      <c r="C5361" s="1" t="s">
        <v>534</v>
      </c>
      <c r="D5361" s="1" t="s">
        <v>18</v>
      </c>
      <c r="E5361" s="250">
        <v>13930.526</v>
      </c>
    </row>
    <row r="5362" spans="1:5" x14ac:dyDescent="0.35">
      <c r="A5362" s="1" t="s">
        <v>20671</v>
      </c>
      <c r="B5362" s="1" t="s">
        <v>18</v>
      </c>
      <c r="C5362" s="1" t="s">
        <v>533</v>
      </c>
      <c r="D5362" s="1" t="s">
        <v>18</v>
      </c>
      <c r="E5362" s="250">
        <v>13930.527</v>
      </c>
    </row>
    <row r="5363" spans="1:5" x14ac:dyDescent="0.35">
      <c r="A5363" s="1" t="s">
        <v>20672</v>
      </c>
      <c r="B5363" s="1" t="s">
        <v>18</v>
      </c>
      <c r="C5363" s="1" t="s">
        <v>532</v>
      </c>
      <c r="D5363" s="1" t="s">
        <v>18</v>
      </c>
      <c r="E5363" s="250">
        <v>13930.528</v>
      </c>
    </row>
    <row r="5364" spans="1:5" x14ac:dyDescent="0.35">
      <c r="A5364" s="1" t="s">
        <v>20673</v>
      </c>
      <c r="B5364" s="1" t="s">
        <v>18</v>
      </c>
      <c r="C5364" s="1" t="s">
        <v>531</v>
      </c>
      <c r="D5364" s="1" t="s">
        <v>18</v>
      </c>
      <c r="E5364" s="250">
        <v>13930.529</v>
      </c>
    </row>
    <row r="5365" spans="1:5" x14ac:dyDescent="0.35">
      <c r="A5365" s="1" t="s">
        <v>20674</v>
      </c>
      <c r="B5365" s="1" t="s">
        <v>18</v>
      </c>
      <c r="C5365" s="1" t="s">
        <v>530</v>
      </c>
      <c r="D5365" s="1" t="s">
        <v>18</v>
      </c>
      <c r="E5365" s="250">
        <v>13930.535</v>
      </c>
    </row>
    <row r="5366" spans="1:5" x14ac:dyDescent="0.35">
      <c r="A5366" s="1" t="s">
        <v>20675</v>
      </c>
      <c r="B5366" s="1" t="s">
        <v>18</v>
      </c>
      <c r="C5366" s="1" t="s">
        <v>529</v>
      </c>
      <c r="D5366" s="1" t="s">
        <v>18</v>
      </c>
      <c r="E5366" s="250">
        <v>13930.536</v>
      </c>
    </row>
    <row r="5367" spans="1:5" x14ac:dyDescent="0.35">
      <c r="A5367" s="1" t="s">
        <v>20676</v>
      </c>
      <c r="B5367" s="1" t="s">
        <v>18</v>
      </c>
      <c r="C5367" s="1" t="s">
        <v>528</v>
      </c>
      <c r="D5367" s="1" t="s">
        <v>18</v>
      </c>
      <c r="E5367" s="250">
        <v>13930.537</v>
      </c>
    </row>
    <row r="5368" spans="1:5" x14ac:dyDescent="0.35">
      <c r="A5368" s="1" t="s">
        <v>20677</v>
      </c>
      <c r="B5368" s="1" t="s">
        <v>18</v>
      </c>
      <c r="C5368" s="1" t="s">
        <v>527</v>
      </c>
      <c r="D5368" s="1" t="s">
        <v>18</v>
      </c>
      <c r="E5368" s="250">
        <v>13930.538</v>
      </c>
    </row>
    <row r="5369" spans="1:5" x14ac:dyDescent="0.35">
      <c r="A5369" s="1" t="s">
        <v>20678</v>
      </c>
      <c r="B5369" s="1" t="s">
        <v>18</v>
      </c>
      <c r="C5369" s="1" t="s">
        <v>526</v>
      </c>
      <c r="D5369" s="1" t="s">
        <v>18</v>
      </c>
      <c r="E5369" s="250">
        <v>13930.539000000001</v>
      </c>
    </row>
    <row r="5370" spans="1:5" x14ac:dyDescent="0.35">
      <c r="A5370" s="1" t="s">
        <v>20679</v>
      </c>
      <c r="B5370" s="1" t="s">
        <v>18</v>
      </c>
      <c r="C5370" s="1" t="s">
        <v>525</v>
      </c>
      <c r="D5370" s="1" t="s">
        <v>18</v>
      </c>
      <c r="E5370" s="250">
        <v>13930.54</v>
      </c>
    </row>
    <row r="5371" spans="1:5" x14ac:dyDescent="0.35">
      <c r="A5371" s="1" t="s">
        <v>20680</v>
      </c>
      <c r="B5371" s="1" t="s">
        <v>18</v>
      </c>
      <c r="C5371" s="1" t="s">
        <v>524</v>
      </c>
      <c r="D5371" s="1" t="s">
        <v>18</v>
      </c>
      <c r="E5371" s="250">
        <v>13930.540999999999</v>
      </c>
    </row>
    <row r="5372" spans="1:5" x14ac:dyDescent="0.35">
      <c r="A5372" s="1" t="s">
        <v>20681</v>
      </c>
      <c r="B5372" s="1" t="s">
        <v>18</v>
      </c>
      <c r="C5372" s="1" t="s">
        <v>523</v>
      </c>
      <c r="D5372" s="1" t="s">
        <v>18</v>
      </c>
      <c r="E5372" s="250">
        <v>13930.541999999999</v>
      </c>
    </row>
    <row r="5373" spans="1:5" x14ac:dyDescent="0.35">
      <c r="A5373" s="1" t="s">
        <v>20682</v>
      </c>
      <c r="B5373" s="1" t="s">
        <v>18</v>
      </c>
      <c r="C5373" s="1" t="s">
        <v>522</v>
      </c>
      <c r="D5373" s="1" t="s">
        <v>18</v>
      </c>
      <c r="E5373" s="250">
        <v>13930.543</v>
      </c>
    </row>
    <row r="5374" spans="1:5" x14ac:dyDescent="0.35">
      <c r="A5374" s="1" t="s">
        <v>20683</v>
      </c>
      <c r="B5374" s="1" t="s">
        <v>57</v>
      </c>
      <c r="C5374" s="1" t="s">
        <v>521</v>
      </c>
      <c r="D5374" s="1" t="s">
        <v>57</v>
      </c>
      <c r="E5374" s="250">
        <v>13930.557000000001</v>
      </c>
    </row>
    <row r="5375" spans="1:5" x14ac:dyDescent="0.35">
      <c r="A5375" s="1" t="s">
        <v>20684</v>
      </c>
      <c r="B5375" s="1" t="s">
        <v>57</v>
      </c>
      <c r="C5375" s="1" t="s">
        <v>520</v>
      </c>
      <c r="D5375" s="1" t="s">
        <v>57</v>
      </c>
      <c r="E5375" s="250">
        <v>13930.558000000001</v>
      </c>
    </row>
    <row r="5376" spans="1:5" x14ac:dyDescent="0.35">
      <c r="A5376" s="1" t="s">
        <v>20685</v>
      </c>
      <c r="B5376" s="1" t="s">
        <v>18</v>
      </c>
      <c r="C5376" s="1" t="s">
        <v>468</v>
      </c>
      <c r="D5376" s="1" t="s">
        <v>18</v>
      </c>
      <c r="E5376" s="250">
        <v>13930.562</v>
      </c>
    </row>
    <row r="5377" spans="1:5" x14ac:dyDescent="0.35">
      <c r="A5377" s="1" t="s">
        <v>20686</v>
      </c>
      <c r="B5377" s="1" t="s">
        <v>18</v>
      </c>
      <c r="C5377" s="1" t="s">
        <v>467</v>
      </c>
      <c r="D5377" s="1" t="s">
        <v>18</v>
      </c>
      <c r="E5377" s="250">
        <v>13930.563</v>
      </c>
    </row>
    <row r="5378" spans="1:5" x14ac:dyDescent="0.35">
      <c r="A5378" s="1" t="s">
        <v>20687</v>
      </c>
      <c r="B5378" s="1" t="s">
        <v>18</v>
      </c>
      <c r="C5378" s="1" t="s">
        <v>410</v>
      </c>
      <c r="D5378" s="1" t="s">
        <v>18</v>
      </c>
      <c r="E5378" s="250">
        <v>13930.564</v>
      </c>
    </row>
    <row r="5379" spans="1:5" x14ac:dyDescent="0.35">
      <c r="A5379" s="1" t="s">
        <v>20688</v>
      </c>
      <c r="B5379" s="1" t="s">
        <v>18</v>
      </c>
      <c r="C5379" s="1" t="s">
        <v>409</v>
      </c>
      <c r="D5379" s="1" t="s">
        <v>18</v>
      </c>
      <c r="E5379" s="250">
        <v>13930.565000000001</v>
      </c>
    </row>
    <row r="5380" spans="1:5" x14ac:dyDescent="0.35">
      <c r="A5380" s="1" t="s">
        <v>20689</v>
      </c>
      <c r="B5380" s="1" t="s">
        <v>18</v>
      </c>
      <c r="C5380" s="1" t="s">
        <v>466</v>
      </c>
      <c r="D5380" s="1" t="s">
        <v>18</v>
      </c>
      <c r="E5380" s="250">
        <v>13930.566000000001</v>
      </c>
    </row>
    <row r="5381" spans="1:5" x14ac:dyDescent="0.35">
      <c r="A5381" s="1" t="s">
        <v>20690</v>
      </c>
      <c r="B5381" s="1" t="s">
        <v>18</v>
      </c>
      <c r="C5381" s="1" t="s">
        <v>408</v>
      </c>
      <c r="D5381" s="1" t="s">
        <v>18</v>
      </c>
      <c r="E5381" s="250">
        <v>13930.566999999999</v>
      </c>
    </row>
    <row r="5382" spans="1:5" x14ac:dyDescent="0.35">
      <c r="A5382" s="1" t="s">
        <v>20691</v>
      </c>
      <c r="B5382" s="1" t="s">
        <v>18</v>
      </c>
      <c r="C5382" s="1" t="s">
        <v>407</v>
      </c>
      <c r="D5382" s="1" t="s">
        <v>18</v>
      </c>
      <c r="E5382" s="250">
        <v>13930.567999999999</v>
      </c>
    </row>
    <row r="5383" spans="1:5" x14ac:dyDescent="0.35">
      <c r="A5383" s="1" t="s">
        <v>20692</v>
      </c>
      <c r="B5383" s="1" t="s">
        <v>18</v>
      </c>
      <c r="C5383" s="1" t="s">
        <v>406</v>
      </c>
      <c r="D5383" s="1" t="s">
        <v>18</v>
      </c>
      <c r="E5383" s="250">
        <v>13930.569</v>
      </c>
    </row>
    <row r="5384" spans="1:5" x14ac:dyDescent="0.35">
      <c r="A5384" s="1" t="s">
        <v>20693</v>
      </c>
      <c r="B5384" s="1" t="s">
        <v>18</v>
      </c>
      <c r="C5384" s="1" t="s">
        <v>405</v>
      </c>
      <c r="D5384" s="1" t="s">
        <v>18</v>
      </c>
      <c r="E5384" s="250">
        <v>13930.57</v>
      </c>
    </row>
    <row r="5385" spans="1:5" x14ac:dyDescent="0.35">
      <c r="A5385" s="1" t="s">
        <v>20694</v>
      </c>
      <c r="B5385" s="1" t="s">
        <v>18</v>
      </c>
      <c r="C5385" s="1" t="s">
        <v>460</v>
      </c>
      <c r="D5385" s="1" t="s">
        <v>18</v>
      </c>
      <c r="E5385" s="250">
        <v>13930.578</v>
      </c>
    </row>
    <row r="5386" spans="1:5" x14ac:dyDescent="0.35">
      <c r="A5386" s="1" t="s">
        <v>20695</v>
      </c>
      <c r="B5386" s="1" t="s">
        <v>18</v>
      </c>
      <c r="C5386" s="1" t="s">
        <v>404</v>
      </c>
      <c r="D5386" s="1" t="s">
        <v>18</v>
      </c>
      <c r="E5386" s="250">
        <v>13930.58</v>
      </c>
    </row>
    <row r="5387" spans="1:5" x14ac:dyDescent="0.35">
      <c r="A5387" s="1" t="s">
        <v>20696</v>
      </c>
      <c r="B5387" s="1" t="s">
        <v>18</v>
      </c>
      <c r="C5387" s="1" t="s">
        <v>403</v>
      </c>
      <c r="D5387" s="1" t="s">
        <v>18</v>
      </c>
      <c r="E5387" s="250">
        <v>13930.581</v>
      </c>
    </row>
    <row r="5388" spans="1:5" x14ac:dyDescent="0.35">
      <c r="A5388" s="1" t="s">
        <v>20697</v>
      </c>
      <c r="B5388" s="1" t="s">
        <v>18</v>
      </c>
      <c r="C5388" s="1" t="s">
        <v>458</v>
      </c>
      <c r="D5388" s="1" t="s">
        <v>18</v>
      </c>
      <c r="E5388" s="250">
        <v>13930.582</v>
      </c>
    </row>
    <row r="5389" spans="1:5" x14ac:dyDescent="0.35">
      <c r="A5389" s="1" t="s">
        <v>20698</v>
      </c>
      <c r="B5389" s="1" t="s">
        <v>18</v>
      </c>
      <c r="C5389" s="1" t="s">
        <v>402</v>
      </c>
      <c r="D5389" s="1" t="s">
        <v>18</v>
      </c>
      <c r="E5389" s="250">
        <v>13930.583000000001</v>
      </c>
    </row>
    <row r="5390" spans="1:5" x14ac:dyDescent="0.35">
      <c r="A5390" s="1" t="s">
        <v>20699</v>
      </c>
      <c r="B5390" s="1" t="s">
        <v>18</v>
      </c>
      <c r="C5390" s="1" t="s">
        <v>401</v>
      </c>
      <c r="D5390" s="1" t="s">
        <v>18</v>
      </c>
      <c r="E5390" s="250">
        <v>13930.584000000001</v>
      </c>
    </row>
    <row r="5391" spans="1:5" x14ac:dyDescent="0.35">
      <c r="A5391" s="1" t="s">
        <v>20700</v>
      </c>
      <c r="B5391" s="1" t="s">
        <v>18</v>
      </c>
      <c r="C5391" s="1" t="s">
        <v>400</v>
      </c>
      <c r="D5391" s="1" t="s">
        <v>18</v>
      </c>
      <c r="E5391" s="250">
        <v>13930.584999999999</v>
      </c>
    </row>
    <row r="5392" spans="1:5" x14ac:dyDescent="0.35">
      <c r="A5392" s="1" t="s">
        <v>20701</v>
      </c>
      <c r="B5392" s="1" t="s">
        <v>18</v>
      </c>
      <c r="C5392" s="1" t="s">
        <v>399</v>
      </c>
      <c r="D5392" s="1" t="s">
        <v>18</v>
      </c>
      <c r="E5392" s="250">
        <v>13930.585999999999</v>
      </c>
    </row>
    <row r="5393" spans="1:5" x14ac:dyDescent="0.35">
      <c r="A5393" s="1" t="s">
        <v>20702</v>
      </c>
      <c r="B5393" s="1" t="s">
        <v>18</v>
      </c>
      <c r="C5393" s="1" t="s">
        <v>452</v>
      </c>
      <c r="D5393" s="1" t="s">
        <v>18</v>
      </c>
      <c r="E5393" s="250">
        <v>13930.596</v>
      </c>
    </row>
    <row r="5394" spans="1:5" x14ac:dyDescent="0.35">
      <c r="A5394" s="1" t="s">
        <v>20703</v>
      </c>
      <c r="B5394" s="1" t="s">
        <v>18</v>
      </c>
      <c r="C5394" s="1" t="s">
        <v>451</v>
      </c>
      <c r="D5394" s="1" t="s">
        <v>18</v>
      </c>
      <c r="E5394" s="250">
        <v>13930.597</v>
      </c>
    </row>
    <row r="5395" spans="1:5" x14ac:dyDescent="0.35">
      <c r="A5395" s="1" t="s">
        <v>20704</v>
      </c>
      <c r="B5395" s="1" t="s">
        <v>18</v>
      </c>
      <c r="C5395" s="1" t="s">
        <v>450</v>
      </c>
      <c r="D5395" s="1" t="s">
        <v>18</v>
      </c>
      <c r="E5395" s="250">
        <v>13930.598</v>
      </c>
    </row>
    <row r="5396" spans="1:5" x14ac:dyDescent="0.35">
      <c r="A5396" s="1" t="s">
        <v>20705</v>
      </c>
      <c r="B5396" s="1" t="s">
        <v>18</v>
      </c>
      <c r="C5396" s="1" t="s">
        <v>449</v>
      </c>
      <c r="D5396" s="1" t="s">
        <v>18</v>
      </c>
      <c r="E5396" s="250">
        <v>13930.599</v>
      </c>
    </row>
    <row r="5397" spans="1:5" x14ac:dyDescent="0.35">
      <c r="A5397" s="1" t="s">
        <v>20706</v>
      </c>
      <c r="B5397" s="1" t="s">
        <v>18</v>
      </c>
      <c r="C5397" s="1" t="s">
        <v>448</v>
      </c>
      <c r="D5397" s="1" t="s">
        <v>18</v>
      </c>
      <c r="E5397" s="250">
        <v>13930.6</v>
      </c>
    </row>
    <row r="5398" spans="1:5" x14ac:dyDescent="0.35">
      <c r="A5398" s="1" t="s">
        <v>20707</v>
      </c>
      <c r="B5398" s="1" t="s">
        <v>18</v>
      </c>
      <c r="C5398" s="1" t="s">
        <v>447</v>
      </c>
      <c r="D5398" s="1" t="s">
        <v>18</v>
      </c>
      <c r="E5398" s="250">
        <v>13930.601000000001</v>
      </c>
    </row>
    <row r="5399" spans="1:5" x14ac:dyDescent="0.35">
      <c r="A5399" s="1" t="s">
        <v>20708</v>
      </c>
      <c r="B5399" s="1" t="s">
        <v>18</v>
      </c>
      <c r="C5399" s="1" t="s">
        <v>446</v>
      </c>
      <c r="D5399" s="1" t="s">
        <v>18</v>
      </c>
      <c r="E5399" s="250">
        <v>13930.602000000001</v>
      </c>
    </row>
    <row r="5400" spans="1:5" x14ac:dyDescent="0.35">
      <c r="A5400" s="1" t="s">
        <v>20709</v>
      </c>
      <c r="B5400" s="1" t="s">
        <v>18</v>
      </c>
      <c r="C5400" s="1" t="s">
        <v>445</v>
      </c>
      <c r="D5400" s="1" t="s">
        <v>18</v>
      </c>
      <c r="E5400" s="250">
        <v>13930.602999999999</v>
      </c>
    </row>
    <row r="5401" spans="1:5" x14ac:dyDescent="0.35">
      <c r="A5401" s="1" t="s">
        <v>20710</v>
      </c>
      <c r="B5401" s="1" t="s">
        <v>18</v>
      </c>
      <c r="C5401" s="1" t="s">
        <v>444</v>
      </c>
      <c r="D5401" s="1" t="s">
        <v>18</v>
      </c>
      <c r="E5401" s="250">
        <v>13930.603999999999</v>
      </c>
    </row>
    <row r="5402" spans="1:5" x14ac:dyDescent="0.35">
      <c r="A5402" s="1" t="s">
        <v>20711</v>
      </c>
      <c r="B5402" s="1" t="s">
        <v>18</v>
      </c>
      <c r="C5402" s="1" t="s">
        <v>519</v>
      </c>
      <c r="D5402" s="1" t="s">
        <v>18</v>
      </c>
      <c r="E5402" s="250">
        <v>13930.614</v>
      </c>
    </row>
    <row r="5403" spans="1:5" x14ac:dyDescent="0.35">
      <c r="A5403" s="1" t="s">
        <v>20712</v>
      </c>
      <c r="B5403" s="1" t="s">
        <v>18</v>
      </c>
      <c r="C5403" s="1" t="s">
        <v>518</v>
      </c>
      <c r="D5403" s="1" t="s">
        <v>18</v>
      </c>
      <c r="E5403" s="250">
        <v>13930.616</v>
      </c>
    </row>
    <row r="5404" spans="1:5" x14ac:dyDescent="0.35">
      <c r="A5404" s="1" t="s">
        <v>20713</v>
      </c>
      <c r="B5404" s="1" t="s">
        <v>18</v>
      </c>
      <c r="C5404" s="1" t="s">
        <v>517</v>
      </c>
      <c r="D5404" s="1" t="s">
        <v>18</v>
      </c>
      <c r="E5404" s="250">
        <v>13930.617</v>
      </c>
    </row>
    <row r="5405" spans="1:5" x14ac:dyDescent="0.35">
      <c r="A5405" s="1" t="s">
        <v>20714</v>
      </c>
      <c r="B5405" s="1" t="s">
        <v>18</v>
      </c>
      <c r="C5405" s="1" t="s">
        <v>516</v>
      </c>
      <c r="D5405" s="1" t="s">
        <v>18</v>
      </c>
      <c r="E5405" s="250">
        <v>13930.618</v>
      </c>
    </row>
    <row r="5406" spans="1:5" x14ac:dyDescent="0.35">
      <c r="A5406" s="1" t="s">
        <v>20715</v>
      </c>
      <c r="B5406" s="1" t="s">
        <v>18</v>
      </c>
      <c r="C5406" s="1" t="s">
        <v>515</v>
      </c>
      <c r="D5406" s="1" t="s">
        <v>18</v>
      </c>
      <c r="E5406" s="250">
        <v>13930.619000000001</v>
      </c>
    </row>
    <row r="5407" spans="1:5" x14ac:dyDescent="0.35">
      <c r="A5407" s="1" t="s">
        <v>20716</v>
      </c>
      <c r="B5407" s="1" t="s">
        <v>57</v>
      </c>
      <c r="C5407" s="1" t="s">
        <v>514</v>
      </c>
      <c r="D5407" s="1" t="s">
        <v>57</v>
      </c>
      <c r="E5407" s="250">
        <v>13930.65</v>
      </c>
    </row>
    <row r="5408" spans="1:5" x14ac:dyDescent="0.35">
      <c r="A5408" s="1" t="s">
        <v>20717</v>
      </c>
      <c r="B5408" s="1" t="s">
        <v>57</v>
      </c>
      <c r="C5408" s="1" t="s">
        <v>513</v>
      </c>
      <c r="D5408" s="1" t="s">
        <v>57</v>
      </c>
      <c r="E5408" s="250">
        <v>13930.651</v>
      </c>
    </row>
    <row r="5409" spans="1:5" x14ac:dyDescent="0.35">
      <c r="A5409" s="1" t="s">
        <v>20718</v>
      </c>
      <c r="B5409" s="1" t="s">
        <v>19</v>
      </c>
      <c r="C5409" s="1" t="s">
        <v>496</v>
      </c>
      <c r="D5409" s="1" t="s">
        <v>19</v>
      </c>
      <c r="E5409" s="250">
        <v>13930.652</v>
      </c>
    </row>
    <row r="5410" spans="1:5" x14ac:dyDescent="0.35">
      <c r="A5410" s="1" t="s">
        <v>20719</v>
      </c>
      <c r="B5410" s="1" t="s">
        <v>19</v>
      </c>
      <c r="C5410" s="1" t="s">
        <v>495</v>
      </c>
      <c r="D5410" s="1" t="s">
        <v>19</v>
      </c>
      <c r="E5410" s="250">
        <v>13930.653</v>
      </c>
    </row>
    <row r="5411" spans="1:5" x14ac:dyDescent="0.35">
      <c r="A5411" s="1" t="s">
        <v>20720</v>
      </c>
      <c r="B5411" s="1" t="s">
        <v>19</v>
      </c>
      <c r="C5411" s="1" t="s">
        <v>494</v>
      </c>
      <c r="D5411" s="1" t="s">
        <v>19</v>
      </c>
      <c r="E5411" s="250">
        <v>13930.654</v>
      </c>
    </row>
    <row r="5412" spans="1:5" x14ac:dyDescent="0.35">
      <c r="A5412" s="1" t="s">
        <v>20721</v>
      </c>
      <c r="B5412" s="1" t="s">
        <v>19</v>
      </c>
      <c r="C5412" s="1" t="s">
        <v>493</v>
      </c>
      <c r="D5412" s="1" t="s">
        <v>19</v>
      </c>
      <c r="E5412" s="250">
        <v>13930.655000000001</v>
      </c>
    </row>
    <row r="5413" spans="1:5" x14ac:dyDescent="0.35">
      <c r="A5413" s="1" t="s">
        <v>20722</v>
      </c>
      <c r="B5413" s="1" t="s">
        <v>19</v>
      </c>
      <c r="C5413" s="1" t="s">
        <v>492</v>
      </c>
      <c r="D5413" s="1" t="s">
        <v>19</v>
      </c>
      <c r="E5413" s="250">
        <v>13930.656000000001</v>
      </c>
    </row>
    <row r="5414" spans="1:5" x14ac:dyDescent="0.35">
      <c r="A5414" s="1" t="s">
        <v>20723</v>
      </c>
      <c r="B5414" s="1" t="s">
        <v>19</v>
      </c>
      <c r="C5414" s="1" t="s">
        <v>491</v>
      </c>
      <c r="D5414" s="1" t="s">
        <v>19</v>
      </c>
      <c r="E5414" s="250">
        <v>13930.656999999999</v>
      </c>
    </row>
    <row r="5415" spans="1:5" x14ac:dyDescent="0.35">
      <c r="A5415" s="1" t="s">
        <v>20724</v>
      </c>
      <c r="B5415" s="1" t="s">
        <v>19</v>
      </c>
      <c r="C5415" s="1" t="s">
        <v>490</v>
      </c>
      <c r="D5415" s="1" t="s">
        <v>19</v>
      </c>
      <c r="E5415" s="250">
        <v>13930.657999999999</v>
      </c>
    </row>
    <row r="5416" spans="1:5" x14ac:dyDescent="0.35">
      <c r="A5416" s="1" t="s">
        <v>20725</v>
      </c>
      <c r="B5416" s="1" t="s">
        <v>19</v>
      </c>
      <c r="C5416" s="1" t="s">
        <v>419</v>
      </c>
      <c r="D5416" s="1" t="s">
        <v>19</v>
      </c>
      <c r="E5416" s="250">
        <v>13930.659</v>
      </c>
    </row>
    <row r="5417" spans="1:5" x14ac:dyDescent="0.35">
      <c r="A5417" s="1" t="s">
        <v>20726</v>
      </c>
      <c r="B5417" s="1" t="s">
        <v>19</v>
      </c>
      <c r="C5417" s="1" t="s">
        <v>416</v>
      </c>
      <c r="D5417" s="1" t="s">
        <v>19</v>
      </c>
      <c r="E5417" s="250">
        <v>13930.66</v>
      </c>
    </row>
    <row r="5418" spans="1:5" x14ac:dyDescent="0.35">
      <c r="A5418" s="1" t="s">
        <v>20727</v>
      </c>
      <c r="B5418" s="1" t="s">
        <v>19</v>
      </c>
      <c r="C5418" s="1" t="s">
        <v>489</v>
      </c>
      <c r="D5418" s="1" t="s">
        <v>19</v>
      </c>
      <c r="E5418" s="250">
        <v>13930.661</v>
      </c>
    </row>
    <row r="5419" spans="1:5" x14ac:dyDescent="0.35">
      <c r="A5419" s="1" t="s">
        <v>20728</v>
      </c>
      <c r="B5419" s="1" t="s">
        <v>19</v>
      </c>
      <c r="C5419" s="1" t="s">
        <v>415</v>
      </c>
      <c r="D5419" s="1" t="s">
        <v>19</v>
      </c>
      <c r="E5419" s="250">
        <v>13930.662</v>
      </c>
    </row>
    <row r="5420" spans="1:5" x14ac:dyDescent="0.35">
      <c r="A5420" s="1" t="s">
        <v>20729</v>
      </c>
      <c r="B5420" s="1" t="s">
        <v>57</v>
      </c>
      <c r="C5420" s="1" t="s">
        <v>512</v>
      </c>
      <c r="D5420" s="1" t="s">
        <v>57</v>
      </c>
      <c r="E5420" s="250">
        <v>13930.668</v>
      </c>
    </row>
    <row r="5421" spans="1:5" x14ac:dyDescent="0.35">
      <c r="A5421" s="1" t="s">
        <v>20730</v>
      </c>
      <c r="B5421" s="1" t="s">
        <v>18</v>
      </c>
      <c r="C5421" s="1" t="s">
        <v>487</v>
      </c>
      <c r="D5421" s="1" t="s">
        <v>18</v>
      </c>
      <c r="E5421" s="250">
        <v>13930.669</v>
      </c>
    </row>
    <row r="5422" spans="1:5" x14ac:dyDescent="0.35">
      <c r="A5422" s="1" t="s">
        <v>20731</v>
      </c>
      <c r="B5422" s="1" t="s">
        <v>18</v>
      </c>
      <c r="C5422" s="1" t="s">
        <v>486</v>
      </c>
      <c r="D5422" s="1" t="s">
        <v>18</v>
      </c>
      <c r="E5422" s="250">
        <v>13930.67</v>
      </c>
    </row>
    <row r="5423" spans="1:5" x14ac:dyDescent="0.35">
      <c r="A5423" s="1" t="s">
        <v>20732</v>
      </c>
      <c r="B5423" s="1" t="s">
        <v>18</v>
      </c>
      <c r="C5423" s="1" t="s">
        <v>485</v>
      </c>
      <c r="D5423" s="1" t="s">
        <v>18</v>
      </c>
      <c r="E5423" s="250">
        <v>13930.671</v>
      </c>
    </row>
    <row r="5424" spans="1:5" x14ac:dyDescent="0.35">
      <c r="A5424" s="1" t="s">
        <v>20733</v>
      </c>
      <c r="B5424" s="1" t="s">
        <v>18</v>
      </c>
      <c r="C5424" s="1" t="s">
        <v>484</v>
      </c>
      <c r="D5424" s="1" t="s">
        <v>18</v>
      </c>
      <c r="E5424" s="250">
        <v>13930.672</v>
      </c>
    </row>
    <row r="5425" spans="1:5" x14ac:dyDescent="0.35">
      <c r="A5425" s="1" t="s">
        <v>20734</v>
      </c>
      <c r="B5425" s="1" t="s">
        <v>18</v>
      </c>
      <c r="C5425" s="1" t="s">
        <v>483</v>
      </c>
      <c r="D5425" s="1" t="s">
        <v>18</v>
      </c>
      <c r="E5425" s="250">
        <v>13930.673000000001</v>
      </c>
    </row>
    <row r="5426" spans="1:5" x14ac:dyDescent="0.35">
      <c r="A5426" s="1" t="s">
        <v>20735</v>
      </c>
      <c r="B5426" s="1" t="s">
        <v>18</v>
      </c>
      <c r="C5426" s="1" t="s">
        <v>482</v>
      </c>
      <c r="D5426" s="1" t="s">
        <v>18</v>
      </c>
      <c r="E5426" s="250">
        <v>13930.674000000001</v>
      </c>
    </row>
    <row r="5427" spans="1:5" x14ac:dyDescent="0.35">
      <c r="A5427" s="1" t="s">
        <v>20736</v>
      </c>
      <c r="B5427" s="1" t="s">
        <v>18</v>
      </c>
      <c r="C5427" s="1" t="s">
        <v>481</v>
      </c>
      <c r="D5427" s="1" t="s">
        <v>18</v>
      </c>
      <c r="E5427" s="250">
        <v>13930.674999999999</v>
      </c>
    </row>
    <row r="5428" spans="1:5" x14ac:dyDescent="0.35">
      <c r="A5428" s="1" t="s">
        <v>20737</v>
      </c>
      <c r="B5428" s="1" t="s">
        <v>18</v>
      </c>
      <c r="C5428" s="1" t="s">
        <v>480</v>
      </c>
      <c r="D5428" s="1" t="s">
        <v>18</v>
      </c>
      <c r="E5428" s="250">
        <v>13930.675999999999</v>
      </c>
    </row>
    <row r="5429" spans="1:5" x14ac:dyDescent="0.35">
      <c r="A5429" s="1" t="s">
        <v>20738</v>
      </c>
      <c r="B5429" s="1" t="s">
        <v>18</v>
      </c>
      <c r="C5429" s="1" t="s">
        <v>479</v>
      </c>
      <c r="D5429" s="1" t="s">
        <v>18</v>
      </c>
      <c r="E5429" s="250">
        <v>13930.677</v>
      </c>
    </row>
    <row r="5430" spans="1:5" x14ac:dyDescent="0.35">
      <c r="A5430" s="1" t="s">
        <v>20739</v>
      </c>
      <c r="B5430" s="1" t="s">
        <v>18</v>
      </c>
      <c r="C5430" s="1" t="s">
        <v>478</v>
      </c>
      <c r="D5430" s="1" t="s">
        <v>18</v>
      </c>
      <c r="E5430" s="250">
        <v>13930.678</v>
      </c>
    </row>
    <row r="5431" spans="1:5" x14ac:dyDescent="0.35">
      <c r="A5431" s="1" t="s">
        <v>20740</v>
      </c>
      <c r="B5431" s="1" t="s">
        <v>18</v>
      </c>
      <c r="C5431" s="1" t="s">
        <v>477</v>
      </c>
      <c r="D5431" s="1" t="s">
        <v>18</v>
      </c>
      <c r="E5431" s="250">
        <v>13930.679</v>
      </c>
    </row>
    <row r="5432" spans="1:5" x14ac:dyDescent="0.35">
      <c r="A5432" s="1" t="s">
        <v>20741</v>
      </c>
      <c r="B5432" s="1" t="s">
        <v>18</v>
      </c>
      <c r="C5432" s="1" t="s">
        <v>473</v>
      </c>
      <c r="D5432" s="1" t="s">
        <v>18</v>
      </c>
      <c r="E5432" s="250">
        <v>13930.686</v>
      </c>
    </row>
    <row r="5433" spans="1:5" x14ac:dyDescent="0.35">
      <c r="A5433" s="1" t="s">
        <v>20742</v>
      </c>
      <c r="B5433" s="1" t="s">
        <v>18</v>
      </c>
      <c r="C5433" s="1" t="s">
        <v>472</v>
      </c>
      <c r="D5433" s="1" t="s">
        <v>18</v>
      </c>
      <c r="E5433" s="250">
        <v>13930.687</v>
      </c>
    </row>
    <row r="5434" spans="1:5" x14ac:dyDescent="0.35">
      <c r="A5434" s="1" t="s">
        <v>20743</v>
      </c>
      <c r="B5434" s="1" t="s">
        <v>18</v>
      </c>
      <c r="C5434" s="1" t="s">
        <v>471</v>
      </c>
      <c r="D5434" s="1" t="s">
        <v>18</v>
      </c>
      <c r="E5434" s="250">
        <v>13930.688</v>
      </c>
    </row>
    <row r="5435" spans="1:5" x14ac:dyDescent="0.35">
      <c r="A5435" s="1" t="s">
        <v>20744</v>
      </c>
      <c r="B5435" s="1" t="s">
        <v>18</v>
      </c>
      <c r="C5435" s="1" t="s">
        <v>470</v>
      </c>
      <c r="D5435" s="1" t="s">
        <v>18</v>
      </c>
      <c r="E5435" s="250">
        <v>13930.689</v>
      </c>
    </row>
    <row r="5436" spans="1:5" x14ac:dyDescent="0.35">
      <c r="A5436" s="1" t="s">
        <v>20745</v>
      </c>
      <c r="B5436" s="1" t="s">
        <v>18</v>
      </c>
      <c r="C5436" s="1" t="s">
        <v>469</v>
      </c>
      <c r="D5436" s="1" t="s">
        <v>18</v>
      </c>
      <c r="E5436" s="250">
        <v>13930.69</v>
      </c>
    </row>
    <row r="5437" spans="1:5" x14ac:dyDescent="0.35">
      <c r="A5437" s="1" t="s">
        <v>20746</v>
      </c>
      <c r="B5437" s="1" t="s">
        <v>18</v>
      </c>
      <c r="C5437" s="1" t="s">
        <v>468</v>
      </c>
      <c r="D5437" s="1" t="s">
        <v>18</v>
      </c>
      <c r="E5437" s="250">
        <v>13930.691000000001</v>
      </c>
    </row>
    <row r="5438" spans="1:5" x14ac:dyDescent="0.35">
      <c r="A5438" s="1" t="s">
        <v>20747</v>
      </c>
      <c r="B5438" s="1" t="s">
        <v>18</v>
      </c>
      <c r="C5438" s="1" t="s">
        <v>467</v>
      </c>
      <c r="D5438" s="1" t="s">
        <v>18</v>
      </c>
      <c r="E5438" s="250">
        <v>13930.691999999999</v>
      </c>
    </row>
    <row r="5439" spans="1:5" x14ac:dyDescent="0.35">
      <c r="A5439" s="1" t="s">
        <v>20748</v>
      </c>
      <c r="B5439" s="1" t="s">
        <v>18</v>
      </c>
      <c r="C5439" s="1" t="s">
        <v>410</v>
      </c>
      <c r="D5439" s="1" t="s">
        <v>18</v>
      </c>
      <c r="E5439" s="250">
        <v>13930.692999999999</v>
      </c>
    </row>
    <row r="5440" spans="1:5" x14ac:dyDescent="0.35">
      <c r="A5440" s="1" t="s">
        <v>20749</v>
      </c>
      <c r="B5440" s="1" t="s">
        <v>18</v>
      </c>
      <c r="C5440" s="1" t="s">
        <v>409</v>
      </c>
      <c r="D5440" s="1" t="s">
        <v>18</v>
      </c>
      <c r="E5440" s="250">
        <v>13930.694</v>
      </c>
    </row>
    <row r="5441" spans="1:5" x14ac:dyDescent="0.35">
      <c r="A5441" s="1" t="s">
        <v>20750</v>
      </c>
      <c r="B5441" s="1" t="s">
        <v>18</v>
      </c>
      <c r="C5441" s="1" t="s">
        <v>466</v>
      </c>
      <c r="D5441" s="1" t="s">
        <v>18</v>
      </c>
      <c r="E5441" s="250">
        <v>13930.695</v>
      </c>
    </row>
    <row r="5442" spans="1:5" x14ac:dyDescent="0.35">
      <c r="A5442" s="1" t="s">
        <v>20751</v>
      </c>
      <c r="B5442" s="1" t="s">
        <v>18</v>
      </c>
      <c r="C5442" s="1" t="s">
        <v>408</v>
      </c>
      <c r="D5442" s="1" t="s">
        <v>18</v>
      </c>
      <c r="E5442" s="250">
        <v>13930.696</v>
      </c>
    </row>
    <row r="5443" spans="1:5" x14ac:dyDescent="0.35">
      <c r="A5443" s="1" t="s">
        <v>20752</v>
      </c>
      <c r="B5443" s="1" t="s">
        <v>18</v>
      </c>
      <c r="C5443" s="1" t="s">
        <v>465</v>
      </c>
      <c r="D5443" s="1" t="s">
        <v>18</v>
      </c>
      <c r="E5443" s="250">
        <v>13930.705</v>
      </c>
    </row>
    <row r="5444" spans="1:5" x14ac:dyDescent="0.35">
      <c r="A5444" s="1" t="s">
        <v>20753</v>
      </c>
      <c r="B5444" s="1" t="s">
        <v>18</v>
      </c>
      <c r="C5444" s="1" t="s">
        <v>464</v>
      </c>
      <c r="D5444" s="1" t="s">
        <v>18</v>
      </c>
      <c r="E5444" s="250">
        <v>13930.706</v>
      </c>
    </row>
    <row r="5445" spans="1:5" x14ac:dyDescent="0.35">
      <c r="A5445" s="1" t="s">
        <v>20754</v>
      </c>
      <c r="B5445" s="1" t="s">
        <v>18</v>
      </c>
      <c r="C5445" s="1" t="s">
        <v>463</v>
      </c>
      <c r="D5445" s="1" t="s">
        <v>18</v>
      </c>
      <c r="E5445" s="250">
        <v>13930.707</v>
      </c>
    </row>
    <row r="5446" spans="1:5" x14ac:dyDescent="0.35">
      <c r="A5446" s="1" t="s">
        <v>20755</v>
      </c>
      <c r="B5446" s="1" t="s">
        <v>18</v>
      </c>
      <c r="C5446" s="1" t="s">
        <v>462</v>
      </c>
      <c r="D5446" s="1" t="s">
        <v>18</v>
      </c>
      <c r="E5446" s="250">
        <v>13930.708000000001</v>
      </c>
    </row>
    <row r="5447" spans="1:5" x14ac:dyDescent="0.35">
      <c r="A5447" s="1" t="s">
        <v>20756</v>
      </c>
      <c r="B5447" s="1" t="s">
        <v>18</v>
      </c>
      <c r="C5447" s="1" t="s">
        <v>461</v>
      </c>
      <c r="D5447" s="1" t="s">
        <v>18</v>
      </c>
      <c r="E5447" s="250">
        <v>13930.709000000001</v>
      </c>
    </row>
    <row r="5448" spans="1:5" x14ac:dyDescent="0.35">
      <c r="A5448" s="1" t="s">
        <v>20757</v>
      </c>
      <c r="B5448" s="1" t="s">
        <v>18</v>
      </c>
      <c r="C5448" s="1" t="s">
        <v>460</v>
      </c>
      <c r="D5448" s="1" t="s">
        <v>18</v>
      </c>
      <c r="E5448" s="250">
        <v>13930.71</v>
      </c>
    </row>
    <row r="5449" spans="1:5" x14ac:dyDescent="0.35">
      <c r="A5449" s="1" t="s">
        <v>20758</v>
      </c>
      <c r="B5449" s="1" t="s">
        <v>18</v>
      </c>
      <c r="C5449" s="1" t="s">
        <v>459</v>
      </c>
      <c r="D5449" s="1" t="s">
        <v>18</v>
      </c>
      <c r="E5449" s="250">
        <v>13930.710999999999</v>
      </c>
    </row>
    <row r="5450" spans="1:5" x14ac:dyDescent="0.35">
      <c r="A5450" s="1" t="s">
        <v>20759</v>
      </c>
      <c r="B5450" s="1" t="s">
        <v>18</v>
      </c>
      <c r="C5450" s="1" t="s">
        <v>404</v>
      </c>
      <c r="D5450" s="1" t="s">
        <v>18</v>
      </c>
      <c r="E5450" s="250">
        <v>13930.712</v>
      </c>
    </row>
    <row r="5451" spans="1:5" x14ac:dyDescent="0.35">
      <c r="A5451" s="1" t="s">
        <v>20760</v>
      </c>
      <c r="B5451" s="1" t="s">
        <v>18</v>
      </c>
      <c r="C5451" s="1" t="s">
        <v>403</v>
      </c>
      <c r="D5451" s="1" t="s">
        <v>18</v>
      </c>
      <c r="E5451" s="250">
        <v>13930.713</v>
      </c>
    </row>
    <row r="5452" spans="1:5" x14ac:dyDescent="0.35">
      <c r="A5452" s="1" t="s">
        <v>20761</v>
      </c>
      <c r="B5452" s="1" t="s">
        <v>18</v>
      </c>
      <c r="C5452" s="1" t="s">
        <v>458</v>
      </c>
      <c r="D5452" s="1" t="s">
        <v>18</v>
      </c>
      <c r="E5452" s="250">
        <v>13930.714</v>
      </c>
    </row>
    <row r="5453" spans="1:5" x14ac:dyDescent="0.35">
      <c r="A5453" s="1" t="s">
        <v>20762</v>
      </c>
      <c r="B5453" s="1" t="s">
        <v>18</v>
      </c>
      <c r="C5453" s="1" t="s">
        <v>402</v>
      </c>
      <c r="D5453" s="1" t="s">
        <v>18</v>
      </c>
      <c r="E5453" s="250">
        <v>13930.715</v>
      </c>
    </row>
    <row r="5454" spans="1:5" x14ac:dyDescent="0.35">
      <c r="A5454" s="1" t="s">
        <v>20763</v>
      </c>
      <c r="B5454" s="1" t="s">
        <v>18</v>
      </c>
      <c r="C5454" s="1" t="s">
        <v>457</v>
      </c>
      <c r="D5454" s="1" t="s">
        <v>18</v>
      </c>
      <c r="E5454" s="250">
        <v>13930.721</v>
      </c>
    </row>
    <row r="5455" spans="1:5" x14ac:dyDescent="0.35">
      <c r="A5455" s="1" t="s">
        <v>20764</v>
      </c>
      <c r="B5455" s="1" t="s">
        <v>18</v>
      </c>
      <c r="C5455" s="1" t="s">
        <v>456</v>
      </c>
      <c r="D5455" s="1" t="s">
        <v>18</v>
      </c>
      <c r="E5455" s="250">
        <v>13930.722</v>
      </c>
    </row>
    <row r="5456" spans="1:5" x14ac:dyDescent="0.35">
      <c r="A5456" s="1" t="s">
        <v>20765</v>
      </c>
      <c r="B5456" s="1" t="s">
        <v>18</v>
      </c>
      <c r="C5456" s="1" t="s">
        <v>455</v>
      </c>
      <c r="D5456" s="1" t="s">
        <v>18</v>
      </c>
      <c r="E5456" s="250">
        <v>13930.723</v>
      </c>
    </row>
    <row r="5457" spans="1:5" x14ac:dyDescent="0.35">
      <c r="A5457" s="1" t="s">
        <v>20766</v>
      </c>
      <c r="B5457" s="1" t="s">
        <v>18</v>
      </c>
      <c r="C5457" s="1" t="s">
        <v>454</v>
      </c>
      <c r="D5457" s="1" t="s">
        <v>18</v>
      </c>
      <c r="E5457" s="250">
        <v>13930.724</v>
      </c>
    </row>
    <row r="5458" spans="1:5" x14ac:dyDescent="0.35">
      <c r="A5458" s="1" t="s">
        <v>20767</v>
      </c>
      <c r="B5458" s="1" t="s">
        <v>18</v>
      </c>
      <c r="C5458" s="1" t="s">
        <v>453</v>
      </c>
      <c r="D5458" s="1" t="s">
        <v>18</v>
      </c>
      <c r="E5458" s="250">
        <v>13930.725</v>
      </c>
    </row>
    <row r="5459" spans="1:5" x14ac:dyDescent="0.35">
      <c r="A5459" s="1" t="s">
        <v>20768</v>
      </c>
      <c r="B5459" s="1" t="s">
        <v>18</v>
      </c>
      <c r="C5459" s="1" t="s">
        <v>452</v>
      </c>
      <c r="D5459" s="1" t="s">
        <v>18</v>
      </c>
      <c r="E5459" s="250">
        <v>13930.726000000001</v>
      </c>
    </row>
    <row r="5460" spans="1:5" x14ac:dyDescent="0.35">
      <c r="A5460" s="1" t="s">
        <v>20769</v>
      </c>
      <c r="B5460" s="1" t="s">
        <v>18</v>
      </c>
      <c r="C5460" s="1" t="s">
        <v>451</v>
      </c>
      <c r="D5460" s="1" t="s">
        <v>18</v>
      </c>
      <c r="E5460" s="250">
        <v>13930.727000000001</v>
      </c>
    </row>
    <row r="5461" spans="1:5" x14ac:dyDescent="0.35">
      <c r="A5461" s="1" t="s">
        <v>20770</v>
      </c>
      <c r="B5461" s="1" t="s">
        <v>18</v>
      </c>
      <c r="C5461" s="1" t="s">
        <v>450</v>
      </c>
      <c r="D5461" s="1" t="s">
        <v>18</v>
      </c>
      <c r="E5461" s="250">
        <v>13930.727999999999</v>
      </c>
    </row>
    <row r="5462" spans="1:5" x14ac:dyDescent="0.35">
      <c r="A5462" s="1" t="s">
        <v>20771</v>
      </c>
      <c r="B5462" s="1" t="s">
        <v>18</v>
      </c>
      <c r="C5462" s="1" t="s">
        <v>449</v>
      </c>
      <c r="D5462" s="1" t="s">
        <v>18</v>
      </c>
      <c r="E5462" s="250">
        <v>13930.728999999999</v>
      </c>
    </row>
    <row r="5463" spans="1:5" x14ac:dyDescent="0.35">
      <c r="A5463" s="1" t="s">
        <v>20772</v>
      </c>
      <c r="B5463" s="1" t="s">
        <v>18</v>
      </c>
      <c r="C5463" s="1" t="s">
        <v>448</v>
      </c>
      <c r="D5463" s="1" t="s">
        <v>18</v>
      </c>
      <c r="E5463" s="250">
        <v>13930.73</v>
      </c>
    </row>
    <row r="5464" spans="1:5" x14ac:dyDescent="0.35">
      <c r="A5464" s="1" t="s">
        <v>20773</v>
      </c>
      <c r="B5464" s="1" t="s">
        <v>18</v>
      </c>
      <c r="C5464" s="1" t="s">
        <v>447</v>
      </c>
      <c r="D5464" s="1" t="s">
        <v>18</v>
      </c>
      <c r="E5464" s="250">
        <v>13930.731</v>
      </c>
    </row>
    <row r="5465" spans="1:5" x14ac:dyDescent="0.35">
      <c r="A5465" s="1" t="s">
        <v>20774</v>
      </c>
      <c r="B5465" s="1" t="s">
        <v>18</v>
      </c>
      <c r="C5465" s="1" t="s">
        <v>443</v>
      </c>
      <c r="D5465" s="1" t="s">
        <v>18</v>
      </c>
      <c r="E5465" s="250">
        <v>13930.737999999999</v>
      </c>
    </row>
    <row r="5466" spans="1:5" x14ac:dyDescent="0.35">
      <c r="A5466" s="1" t="s">
        <v>20775</v>
      </c>
      <c r="B5466" s="1" t="s">
        <v>18</v>
      </c>
      <c r="C5466" s="1" t="s">
        <v>442</v>
      </c>
      <c r="D5466" s="1" t="s">
        <v>18</v>
      </c>
      <c r="E5466" s="250">
        <v>13930.739</v>
      </c>
    </row>
    <row r="5467" spans="1:5" x14ac:dyDescent="0.35">
      <c r="A5467" s="1" t="s">
        <v>20776</v>
      </c>
      <c r="B5467" s="1" t="s">
        <v>18</v>
      </c>
      <c r="C5467" s="1" t="s">
        <v>441</v>
      </c>
      <c r="D5467" s="1" t="s">
        <v>18</v>
      </c>
      <c r="E5467" s="250">
        <v>13930.74</v>
      </c>
    </row>
    <row r="5468" spans="1:5" x14ac:dyDescent="0.35">
      <c r="A5468" s="1" t="s">
        <v>20777</v>
      </c>
      <c r="B5468" s="1" t="s">
        <v>18</v>
      </c>
      <c r="C5468" s="1" t="s">
        <v>440</v>
      </c>
      <c r="D5468" s="1" t="s">
        <v>18</v>
      </c>
      <c r="E5468" s="250">
        <v>13930.741</v>
      </c>
    </row>
    <row r="5469" spans="1:5" x14ac:dyDescent="0.35">
      <c r="A5469" s="1" t="s">
        <v>20778</v>
      </c>
      <c r="B5469" s="1" t="s">
        <v>18</v>
      </c>
      <c r="C5469" s="1" t="s">
        <v>439</v>
      </c>
      <c r="D5469" s="1" t="s">
        <v>18</v>
      </c>
      <c r="E5469" s="250">
        <v>13930.742</v>
      </c>
    </row>
    <row r="5470" spans="1:5" x14ac:dyDescent="0.35">
      <c r="A5470" s="1" t="s">
        <v>20779</v>
      </c>
      <c r="B5470" s="1" t="s">
        <v>18</v>
      </c>
      <c r="C5470" s="1" t="s">
        <v>438</v>
      </c>
      <c r="D5470" s="1" t="s">
        <v>18</v>
      </c>
      <c r="E5470" s="250">
        <v>13930.743</v>
      </c>
    </row>
    <row r="5471" spans="1:5" x14ac:dyDescent="0.35">
      <c r="A5471" s="1" t="s">
        <v>20780</v>
      </c>
      <c r="B5471" s="1" t="s">
        <v>18</v>
      </c>
      <c r="C5471" s="1" t="s">
        <v>437</v>
      </c>
      <c r="D5471" s="1" t="s">
        <v>18</v>
      </c>
      <c r="E5471" s="250">
        <v>13930.744000000001</v>
      </c>
    </row>
    <row r="5472" spans="1:5" x14ac:dyDescent="0.35">
      <c r="A5472" s="1" t="s">
        <v>20781</v>
      </c>
      <c r="B5472" s="1" t="s">
        <v>18</v>
      </c>
      <c r="C5472" s="1" t="s">
        <v>436</v>
      </c>
      <c r="D5472" s="1" t="s">
        <v>18</v>
      </c>
      <c r="E5472" s="250">
        <v>13930.745000000001</v>
      </c>
    </row>
    <row r="5473" spans="1:5" x14ac:dyDescent="0.35">
      <c r="A5473" s="1" t="s">
        <v>20782</v>
      </c>
      <c r="B5473" s="1" t="s">
        <v>18</v>
      </c>
      <c r="C5473" s="1" t="s">
        <v>435</v>
      </c>
      <c r="D5473" s="1" t="s">
        <v>18</v>
      </c>
      <c r="E5473" s="250">
        <v>13930.745999999999</v>
      </c>
    </row>
    <row r="5474" spans="1:5" x14ac:dyDescent="0.35">
      <c r="A5474" s="1" t="s">
        <v>20783</v>
      </c>
      <c r="B5474" s="1" t="s">
        <v>18</v>
      </c>
      <c r="C5474" s="1" t="s">
        <v>434</v>
      </c>
      <c r="D5474" s="1" t="s">
        <v>18</v>
      </c>
      <c r="E5474" s="250">
        <v>13930.746999999999</v>
      </c>
    </row>
    <row r="5475" spans="1:5" x14ac:dyDescent="0.35">
      <c r="A5475" s="1" t="s">
        <v>20784</v>
      </c>
      <c r="B5475" s="1" t="s">
        <v>18</v>
      </c>
      <c r="C5475" s="1" t="s">
        <v>433</v>
      </c>
      <c r="D5475" s="1" t="s">
        <v>18</v>
      </c>
      <c r="E5475" s="250">
        <v>13930.748</v>
      </c>
    </row>
    <row r="5476" spans="1:5" x14ac:dyDescent="0.35">
      <c r="A5476" s="1" t="s">
        <v>20785</v>
      </c>
      <c r="B5476" s="1" t="s">
        <v>18</v>
      </c>
      <c r="C5476" s="1" t="s">
        <v>511</v>
      </c>
      <c r="D5476" s="1" t="s">
        <v>18</v>
      </c>
      <c r="E5476" s="250">
        <v>13930.755999999999</v>
      </c>
    </row>
    <row r="5477" spans="1:5" x14ac:dyDescent="0.35">
      <c r="A5477" s="1" t="s">
        <v>20786</v>
      </c>
      <c r="B5477" s="1" t="s">
        <v>18</v>
      </c>
      <c r="C5477" s="1" t="s">
        <v>510</v>
      </c>
      <c r="D5477" s="1" t="s">
        <v>18</v>
      </c>
      <c r="E5477" s="250">
        <v>13930.757</v>
      </c>
    </row>
    <row r="5478" spans="1:5" x14ac:dyDescent="0.35">
      <c r="A5478" s="1" t="s">
        <v>20787</v>
      </c>
      <c r="B5478" s="1" t="s">
        <v>18</v>
      </c>
      <c r="C5478" s="1" t="s">
        <v>509</v>
      </c>
      <c r="D5478" s="1" t="s">
        <v>18</v>
      </c>
      <c r="E5478" s="250">
        <v>13930.758</v>
      </c>
    </row>
    <row r="5479" spans="1:5" x14ac:dyDescent="0.35">
      <c r="A5479" s="1" t="s">
        <v>20788</v>
      </c>
      <c r="B5479" s="1" t="s">
        <v>18</v>
      </c>
      <c r="C5479" s="1" t="s">
        <v>508</v>
      </c>
      <c r="D5479" s="1" t="s">
        <v>18</v>
      </c>
      <c r="E5479" s="250">
        <v>13930.759</v>
      </c>
    </row>
    <row r="5480" spans="1:5" x14ac:dyDescent="0.35">
      <c r="A5480" s="1" t="s">
        <v>20789</v>
      </c>
      <c r="B5480" s="1" t="s">
        <v>18</v>
      </c>
      <c r="C5480" s="1" t="s">
        <v>507</v>
      </c>
      <c r="D5480" s="1" t="s">
        <v>18</v>
      </c>
      <c r="E5480" s="250">
        <v>13930.76</v>
      </c>
    </row>
    <row r="5481" spans="1:5" x14ac:dyDescent="0.35">
      <c r="A5481" s="1" t="s">
        <v>20790</v>
      </c>
      <c r="B5481" s="1" t="s">
        <v>18</v>
      </c>
      <c r="C5481" s="1" t="s">
        <v>506</v>
      </c>
      <c r="D5481" s="1" t="s">
        <v>18</v>
      </c>
      <c r="E5481" s="250">
        <v>13930.761</v>
      </c>
    </row>
    <row r="5482" spans="1:5" x14ac:dyDescent="0.35">
      <c r="A5482" s="1" t="s">
        <v>20791</v>
      </c>
      <c r="B5482" s="1" t="s">
        <v>18</v>
      </c>
      <c r="C5482" s="1" t="s">
        <v>505</v>
      </c>
      <c r="D5482" s="1" t="s">
        <v>18</v>
      </c>
      <c r="E5482" s="250">
        <v>13930.762000000001</v>
      </c>
    </row>
    <row r="5483" spans="1:5" x14ac:dyDescent="0.35">
      <c r="A5483" s="1" t="s">
        <v>20792</v>
      </c>
      <c r="B5483" s="1" t="s">
        <v>18</v>
      </c>
      <c r="C5483" s="1" t="s">
        <v>504</v>
      </c>
      <c r="D5483" s="1" t="s">
        <v>18</v>
      </c>
      <c r="E5483" s="250">
        <v>13930.763000000001</v>
      </c>
    </row>
    <row r="5484" spans="1:5" x14ac:dyDescent="0.35">
      <c r="A5484" s="1" t="s">
        <v>20793</v>
      </c>
      <c r="B5484" s="1" t="s">
        <v>18</v>
      </c>
      <c r="C5484" s="1" t="s">
        <v>503</v>
      </c>
      <c r="D5484" s="1" t="s">
        <v>18</v>
      </c>
      <c r="E5484" s="250">
        <v>13930.763999999999</v>
      </c>
    </row>
    <row r="5485" spans="1:5" x14ac:dyDescent="0.35">
      <c r="A5485" s="1" t="s">
        <v>20794</v>
      </c>
      <c r="B5485" s="1" t="s">
        <v>18</v>
      </c>
      <c r="C5485" s="1" t="s">
        <v>502</v>
      </c>
      <c r="D5485" s="1" t="s">
        <v>18</v>
      </c>
      <c r="E5485" s="250">
        <v>13930.764999999999</v>
      </c>
    </row>
    <row r="5486" spans="1:5" x14ac:dyDescent="0.35">
      <c r="A5486" s="1" t="s">
        <v>20795</v>
      </c>
      <c r="B5486" s="1" t="s">
        <v>18</v>
      </c>
      <c r="C5486" s="1" t="s">
        <v>501</v>
      </c>
      <c r="D5486" s="1" t="s">
        <v>18</v>
      </c>
      <c r="E5486" s="250">
        <v>13930.766</v>
      </c>
    </row>
    <row r="5487" spans="1:5" x14ac:dyDescent="0.35">
      <c r="A5487" s="1" t="s">
        <v>20796</v>
      </c>
      <c r="B5487" s="1" t="s">
        <v>57</v>
      </c>
      <c r="C5487" s="1" t="s">
        <v>498</v>
      </c>
      <c r="D5487" s="1" t="s">
        <v>57</v>
      </c>
      <c r="E5487" s="250">
        <v>13930.78</v>
      </c>
    </row>
    <row r="5488" spans="1:5" x14ac:dyDescent="0.35">
      <c r="A5488" s="1" t="s">
        <v>20797</v>
      </c>
      <c r="B5488" s="1" t="s">
        <v>57</v>
      </c>
      <c r="C5488" s="1" t="s">
        <v>500</v>
      </c>
      <c r="D5488" s="1" t="s">
        <v>57</v>
      </c>
      <c r="E5488" s="250">
        <v>13930.781000000001</v>
      </c>
    </row>
    <row r="5489" spans="1:5" x14ac:dyDescent="0.35">
      <c r="A5489" s="1" t="s">
        <v>20798</v>
      </c>
      <c r="B5489" s="1" t="s">
        <v>19</v>
      </c>
      <c r="C5489" s="1" t="s">
        <v>496</v>
      </c>
      <c r="D5489" s="1" t="s">
        <v>19</v>
      </c>
      <c r="E5489" s="250">
        <v>13930.781999999999</v>
      </c>
    </row>
    <row r="5490" spans="1:5" x14ac:dyDescent="0.35">
      <c r="A5490" s="1" t="s">
        <v>20799</v>
      </c>
      <c r="B5490" s="1" t="s">
        <v>19</v>
      </c>
      <c r="C5490" s="1" t="s">
        <v>495</v>
      </c>
      <c r="D5490" s="1" t="s">
        <v>19</v>
      </c>
      <c r="E5490" s="250">
        <v>13930.782999999999</v>
      </c>
    </row>
    <row r="5491" spans="1:5" x14ac:dyDescent="0.35">
      <c r="A5491" s="1" t="s">
        <v>20800</v>
      </c>
      <c r="B5491" s="1" t="s">
        <v>19</v>
      </c>
      <c r="C5491" s="1" t="s">
        <v>494</v>
      </c>
      <c r="D5491" s="1" t="s">
        <v>19</v>
      </c>
      <c r="E5491" s="250">
        <v>13930.784</v>
      </c>
    </row>
    <row r="5492" spans="1:5" x14ac:dyDescent="0.35">
      <c r="A5492" s="1" t="s">
        <v>20801</v>
      </c>
      <c r="B5492" s="1" t="s">
        <v>19</v>
      </c>
      <c r="C5492" s="1" t="s">
        <v>493</v>
      </c>
      <c r="D5492" s="1" t="s">
        <v>19</v>
      </c>
      <c r="E5492" s="250">
        <v>13930.785</v>
      </c>
    </row>
    <row r="5493" spans="1:5" x14ac:dyDescent="0.35">
      <c r="A5493" s="1" t="s">
        <v>20802</v>
      </c>
      <c r="B5493" s="1" t="s">
        <v>19</v>
      </c>
      <c r="C5493" s="1" t="s">
        <v>492</v>
      </c>
      <c r="D5493" s="1" t="s">
        <v>19</v>
      </c>
      <c r="E5493" s="250">
        <v>13930.786</v>
      </c>
    </row>
    <row r="5494" spans="1:5" x14ac:dyDescent="0.35">
      <c r="A5494" s="1" t="s">
        <v>20803</v>
      </c>
      <c r="B5494" s="1" t="s">
        <v>19</v>
      </c>
      <c r="C5494" s="1" t="s">
        <v>491</v>
      </c>
      <c r="D5494" s="1" t="s">
        <v>19</v>
      </c>
      <c r="E5494" s="250">
        <v>13930.787</v>
      </c>
    </row>
    <row r="5495" spans="1:5" x14ac:dyDescent="0.35">
      <c r="A5495" s="1" t="s">
        <v>20804</v>
      </c>
      <c r="B5495" s="1" t="s">
        <v>19</v>
      </c>
      <c r="C5495" s="1" t="s">
        <v>490</v>
      </c>
      <c r="D5495" s="1" t="s">
        <v>19</v>
      </c>
      <c r="E5495" s="250">
        <v>13930.788</v>
      </c>
    </row>
    <row r="5496" spans="1:5" x14ac:dyDescent="0.35">
      <c r="A5496" s="1" t="s">
        <v>20805</v>
      </c>
      <c r="B5496" s="1" t="s">
        <v>19</v>
      </c>
      <c r="C5496" s="1" t="s">
        <v>419</v>
      </c>
      <c r="D5496" s="1" t="s">
        <v>19</v>
      </c>
      <c r="E5496" s="250">
        <v>13930.789000000001</v>
      </c>
    </row>
    <row r="5497" spans="1:5" x14ac:dyDescent="0.35">
      <c r="A5497" s="1" t="s">
        <v>20806</v>
      </c>
      <c r="B5497" s="1" t="s">
        <v>19</v>
      </c>
      <c r="C5497" s="1" t="s">
        <v>416</v>
      </c>
      <c r="D5497" s="1" t="s">
        <v>19</v>
      </c>
      <c r="E5497" s="250">
        <v>13930.79</v>
      </c>
    </row>
    <row r="5498" spans="1:5" x14ac:dyDescent="0.35">
      <c r="A5498" s="1" t="s">
        <v>20807</v>
      </c>
      <c r="B5498" s="1" t="s">
        <v>19</v>
      </c>
      <c r="C5498" s="1" t="s">
        <v>489</v>
      </c>
      <c r="D5498" s="1" t="s">
        <v>19</v>
      </c>
      <c r="E5498" s="250">
        <v>13930.790999999999</v>
      </c>
    </row>
    <row r="5499" spans="1:5" x14ac:dyDescent="0.35">
      <c r="A5499" s="1" t="s">
        <v>20808</v>
      </c>
      <c r="B5499" s="1" t="s">
        <v>19</v>
      </c>
      <c r="C5499" s="1" t="s">
        <v>415</v>
      </c>
      <c r="D5499" s="1" t="s">
        <v>19</v>
      </c>
      <c r="E5499" s="250">
        <v>13930.791999999999</v>
      </c>
    </row>
    <row r="5500" spans="1:5" x14ac:dyDescent="0.35">
      <c r="A5500" s="1" t="s">
        <v>20809</v>
      </c>
      <c r="B5500" s="1" t="s">
        <v>57</v>
      </c>
      <c r="C5500" s="1" t="s">
        <v>499</v>
      </c>
      <c r="D5500" s="1" t="s">
        <v>57</v>
      </c>
      <c r="E5500" s="250">
        <v>13930.796</v>
      </c>
    </row>
    <row r="5501" spans="1:5" x14ac:dyDescent="0.35">
      <c r="A5501" s="1" t="s">
        <v>20810</v>
      </c>
      <c r="B5501" s="1" t="s">
        <v>18</v>
      </c>
      <c r="C5501" s="1" t="s">
        <v>487</v>
      </c>
      <c r="D5501" s="1" t="s">
        <v>18</v>
      </c>
      <c r="E5501" s="250">
        <v>13930.797</v>
      </c>
    </row>
    <row r="5502" spans="1:5" x14ac:dyDescent="0.35">
      <c r="A5502" s="1" t="s">
        <v>20811</v>
      </c>
      <c r="B5502" s="1" t="s">
        <v>18</v>
      </c>
      <c r="C5502" s="1" t="s">
        <v>486</v>
      </c>
      <c r="D5502" s="1" t="s">
        <v>18</v>
      </c>
      <c r="E5502" s="250">
        <v>13930.798000000001</v>
      </c>
    </row>
    <row r="5503" spans="1:5" x14ac:dyDescent="0.35">
      <c r="A5503" s="1" t="s">
        <v>20812</v>
      </c>
      <c r="B5503" s="1" t="s">
        <v>18</v>
      </c>
      <c r="C5503" s="1" t="s">
        <v>485</v>
      </c>
      <c r="D5503" s="1" t="s">
        <v>18</v>
      </c>
      <c r="E5503" s="250">
        <v>13930.799000000001</v>
      </c>
    </row>
    <row r="5504" spans="1:5" x14ac:dyDescent="0.35">
      <c r="A5504" s="1" t="s">
        <v>20813</v>
      </c>
      <c r="B5504" s="1" t="s">
        <v>18</v>
      </c>
      <c r="C5504" s="1" t="s">
        <v>484</v>
      </c>
      <c r="D5504" s="1" t="s">
        <v>18</v>
      </c>
      <c r="E5504" s="250">
        <v>13930.8</v>
      </c>
    </row>
    <row r="5505" spans="1:5" x14ac:dyDescent="0.35">
      <c r="A5505" s="1" t="s">
        <v>20814</v>
      </c>
      <c r="B5505" s="1" t="s">
        <v>18</v>
      </c>
      <c r="C5505" s="1" t="s">
        <v>483</v>
      </c>
      <c r="D5505" s="1" t="s">
        <v>18</v>
      </c>
      <c r="E5505" s="250">
        <v>13930.800999999999</v>
      </c>
    </row>
    <row r="5506" spans="1:5" x14ac:dyDescent="0.35">
      <c r="A5506" s="1" t="s">
        <v>20815</v>
      </c>
      <c r="B5506" s="1" t="s">
        <v>18</v>
      </c>
      <c r="C5506" s="1" t="s">
        <v>482</v>
      </c>
      <c r="D5506" s="1" t="s">
        <v>18</v>
      </c>
      <c r="E5506" s="250">
        <v>13930.802</v>
      </c>
    </row>
    <row r="5507" spans="1:5" x14ac:dyDescent="0.35">
      <c r="A5507" s="1" t="s">
        <v>20816</v>
      </c>
      <c r="B5507" s="1" t="s">
        <v>18</v>
      </c>
      <c r="C5507" s="1" t="s">
        <v>481</v>
      </c>
      <c r="D5507" s="1" t="s">
        <v>18</v>
      </c>
      <c r="E5507" s="250">
        <v>13930.803</v>
      </c>
    </row>
    <row r="5508" spans="1:5" x14ac:dyDescent="0.35">
      <c r="A5508" s="1" t="s">
        <v>20817</v>
      </c>
      <c r="B5508" s="1" t="s">
        <v>18</v>
      </c>
      <c r="C5508" s="1" t="s">
        <v>480</v>
      </c>
      <c r="D5508" s="1" t="s">
        <v>18</v>
      </c>
      <c r="E5508" s="250">
        <v>13930.804</v>
      </c>
    </row>
    <row r="5509" spans="1:5" x14ac:dyDescent="0.35">
      <c r="A5509" s="1" t="s">
        <v>20818</v>
      </c>
      <c r="B5509" s="1" t="s">
        <v>18</v>
      </c>
      <c r="C5509" s="1" t="s">
        <v>479</v>
      </c>
      <c r="D5509" s="1" t="s">
        <v>18</v>
      </c>
      <c r="E5509" s="250">
        <v>13930.805</v>
      </c>
    </row>
    <row r="5510" spans="1:5" x14ac:dyDescent="0.35">
      <c r="A5510" s="1" t="s">
        <v>20819</v>
      </c>
      <c r="B5510" s="1" t="s">
        <v>18</v>
      </c>
      <c r="C5510" s="1" t="s">
        <v>478</v>
      </c>
      <c r="D5510" s="1" t="s">
        <v>18</v>
      </c>
      <c r="E5510" s="250">
        <v>13930.806</v>
      </c>
    </row>
    <row r="5511" spans="1:5" x14ac:dyDescent="0.35">
      <c r="A5511" s="1" t="s">
        <v>20820</v>
      </c>
      <c r="B5511" s="1" t="s">
        <v>18</v>
      </c>
      <c r="C5511" s="1" t="s">
        <v>477</v>
      </c>
      <c r="D5511" s="1" t="s">
        <v>18</v>
      </c>
      <c r="E5511" s="250">
        <v>13930.807000000001</v>
      </c>
    </row>
    <row r="5512" spans="1:5" x14ac:dyDescent="0.35">
      <c r="A5512" s="1" t="s">
        <v>20821</v>
      </c>
      <c r="B5512" s="1" t="s">
        <v>18</v>
      </c>
      <c r="C5512" s="1" t="s">
        <v>473</v>
      </c>
      <c r="D5512" s="1" t="s">
        <v>18</v>
      </c>
      <c r="E5512" s="250">
        <v>13930.814</v>
      </c>
    </row>
    <row r="5513" spans="1:5" x14ac:dyDescent="0.35">
      <c r="A5513" s="1" t="s">
        <v>20822</v>
      </c>
      <c r="B5513" s="1" t="s">
        <v>18</v>
      </c>
      <c r="C5513" s="1" t="s">
        <v>472</v>
      </c>
      <c r="D5513" s="1" t="s">
        <v>18</v>
      </c>
      <c r="E5513" s="250">
        <v>13930.815000000001</v>
      </c>
    </row>
    <row r="5514" spans="1:5" x14ac:dyDescent="0.35">
      <c r="A5514" s="1" t="s">
        <v>20823</v>
      </c>
      <c r="B5514" s="1" t="s">
        <v>18</v>
      </c>
      <c r="C5514" s="1" t="s">
        <v>471</v>
      </c>
      <c r="D5514" s="1" t="s">
        <v>18</v>
      </c>
      <c r="E5514" s="250">
        <v>13930.816000000001</v>
      </c>
    </row>
    <row r="5515" spans="1:5" x14ac:dyDescent="0.35">
      <c r="A5515" s="1" t="s">
        <v>20824</v>
      </c>
      <c r="B5515" s="1" t="s">
        <v>18</v>
      </c>
      <c r="C5515" s="1" t="s">
        <v>470</v>
      </c>
      <c r="D5515" s="1" t="s">
        <v>18</v>
      </c>
      <c r="E5515" s="250">
        <v>13930.816999999999</v>
      </c>
    </row>
    <row r="5516" spans="1:5" x14ac:dyDescent="0.35">
      <c r="A5516" s="1" t="s">
        <v>20825</v>
      </c>
      <c r="B5516" s="1" t="s">
        <v>18</v>
      </c>
      <c r="C5516" s="1" t="s">
        <v>469</v>
      </c>
      <c r="D5516" s="1" t="s">
        <v>18</v>
      </c>
      <c r="E5516" s="250">
        <v>13930.817999999999</v>
      </c>
    </row>
    <row r="5517" spans="1:5" x14ac:dyDescent="0.35">
      <c r="A5517" s="1" t="s">
        <v>20826</v>
      </c>
      <c r="B5517" s="1" t="s">
        <v>18</v>
      </c>
      <c r="C5517" s="1" t="s">
        <v>468</v>
      </c>
      <c r="D5517" s="1" t="s">
        <v>18</v>
      </c>
      <c r="E5517" s="250">
        <v>13930.819</v>
      </c>
    </row>
    <row r="5518" spans="1:5" x14ac:dyDescent="0.35">
      <c r="A5518" s="1" t="s">
        <v>20827</v>
      </c>
      <c r="B5518" s="1" t="s">
        <v>18</v>
      </c>
      <c r="C5518" s="1" t="s">
        <v>467</v>
      </c>
      <c r="D5518" s="1" t="s">
        <v>18</v>
      </c>
      <c r="E5518" s="250">
        <v>13930.82</v>
      </c>
    </row>
    <row r="5519" spans="1:5" x14ac:dyDescent="0.35">
      <c r="A5519" s="1" t="s">
        <v>20828</v>
      </c>
      <c r="B5519" s="1" t="s">
        <v>18</v>
      </c>
      <c r="C5519" s="1" t="s">
        <v>410</v>
      </c>
      <c r="D5519" s="1" t="s">
        <v>18</v>
      </c>
      <c r="E5519" s="250">
        <v>13930.821</v>
      </c>
    </row>
    <row r="5520" spans="1:5" x14ac:dyDescent="0.35">
      <c r="A5520" s="1" t="s">
        <v>20829</v>
      </c>
      <c r="B5520" s="1" t="s">
        <v>18</v>
      </c>
      <c r="C5520" s="1" t="s">
        <v>409</v>
      </c>
      <c r="D5520" s="1" t="s">
        <v>18</v>
      </c>
      <c r="E5520" s="250">
        <v>13930.822</v>
      </c>
    </row>
    <row r="5521" spans="1:5" x14ac:dyDescent="0.35">
      <c r="A5521" s="1" t="s">
        <v>20830</v>
      </c>
      <c r="B5521" s="1" t="s">
        <v>18</v>
      </c>
      <c r="C5521" s="1" t="s">
        <v>466</v>
      </c>
      <c r="D5521" s="1" t="s">
        <v>18</v>
      </c>
      <c r="E5521" s="250">
        <v>13930.823</v>
      </c>
    </row>
    <row r="5522" spans="1:5" x14ac:dyDescent="0.35">
      <c r="A5522" s="1" t="s">
        <v>20831</v>
      </c>
      <c r="B5522" s="1" t="s">
        <v>18</v>
      </c>
      <c r="C5522" s="1" t="s">
        <v>408</v>
      </c>
      <c r="D5522" s="1" t="s">
        <v>18</v>
      </c>
      <c r="E5522" s="250">
        <v>13930.824000000001</v>
      </c>
    </row>
    <row r="5523" spans="1:5" x14ac:dyDescent="0.35">
      <c r="A5523" s="1" t="s">
        <v>20832</v>
      </c>
      <c r="B5523" s="1" t="s">
        <v>18</v>
      </c>
      <c r="C5523" s="1" t="s">
        <v>465</v>
      </c>
      <c r="D5523" s="1" t="s">
        <v>18</v>
      </c>
      <c r="E5523" s="250">
        <v>13930.829</v>
      </c>
    </row>
    <row r="5524" spans="1:5" x14ac:dyDescent="0.35">
      <c r="A5524" s="1" t="s">
        <v>20833</v>
      </c>
      <c r="B5524" s="1" t="s">
        <v>18</v>
      </c>
      <c r="C5524" s="1" t="s">
        <v>464</v>
      </c>
      <c r="D5524" s="1" t="s">
        <v>18</v>
      </c>
      <c r="E5524" s="250">
        <v>13930.83</v>
      </c>
    </row>
    <row r="5525" spans="1:5" x14ac:dyDescent="0.35">
      <c r="A5525" s="1" t="s">
        <v>20834</v>
      </c>
      <c r="B5525" s="1" t="s">
        <v>18</v>
      </c>
      <c r="C5525" s="1" t="s">
        <v>463</v>
      </c>
      <c r="D5525" s="1" t="s">
        <v>18</v>
      </c>
      <c r="E5525" s="250">
        <v>13930.831</v>
      </c>
    </row>
    <row r="5526" spans="1:5" x14ac:dyDescent="0.35">
      <c r="A5526" s="1" t="s">
        <v>20835</v>
      </c>
      <c r="B5526" s="1" t="s">
        <v>18</v>
      </c>
      <c r="C5526" s="1" t="s">
        <v>462</v>
      </c>
      <c r="D5526" s="1" t="s">
        <v>18</v>
      </c>
      <c r="E5526" s="250">
        <v>13930.832</v>
      </c>
    </row>
    <row r="5527" spans="1:5" x14ac:dyDescent="0.35">
      <c r="A5527" s="1" t="s">
        <v>20836</v>
      </c>
      <c r="B5527" s="1" t="s">
        <v>18</v>
      </c>
      <c r="C5527" s="1" t="s">
        <v>461</v>
      </c>
      <c r="D5527" s="1" t="s">
        <v>18</v>
      </c>
      <c r="E5527" s="250">
        <v>13930.833000000001</v>
      </c>
    </row>
    <row r="5528" spans="1:5" x14ac:dyDescent="0.35">
      <c r="A5528" s="1" t="s">
        <v>20837</v>
      </c>
      <c r="B5528" s="1" t="s">
        <v>18</v>
      </c>
      <c r="C5528" s="1" t="s">
        <v>460</v>
      </c>
      <c r="D5528" s="1" t="s">
        <v>18</v>
      </c>
      <c r="E5528" s="250">
        <v>13930.834000000001</v>
      </c>
    </row>
    <row r="5529" spans="1:5" x14ac:dyDescent="0.35">
      <c r="A5529" s="1" t="s">
        <v>20838</v>
      </c>
      <c r="B5529" s="1" t="s">
        <v>18</v>
      </c>
      <c r="C5529" s="1" t="s">
        <v>459</v>
      </c>
      <c r="D5529" s="1" t="s">
        <v>18</v>
      </c>
      <c r="E5529" s="250">
        <v>13930.834999999999</v>
      </c>
    </row>
    <row r="5530" spans="1:5" x14ac:dyDescent="0.35">
      <c r="A5530" s="1" t="s">
        <v>20839</v>
      </c>
      <c r="B5530" s="1" t="s">
        <v>18</v>
      </c>
      <c r="C5530" s="1" t="s">
        <v>404</v>
      </c>
      <c r="D5530" s="1" t="s">
        <v>18</v>
      </c>
      <c r="E5530" s="250">
        <v>13930.835999999999</v>
      </c>
    </row>
    <row r="5531" spans="1:5" x14ac:dyDescent="0.35">
      <c r="A5531" s="1" t="s">
        <v>20840</v>
      </c>
      <c r="B5531" s="1" t="s">
        <v>18</v>
      </c>
      <c r="C5531" s="1" t="s">
        <v>403</v>
      </c>
      <c r="D5531" s="1" t="s">
        <v>18</v>
      </c>
      <c r="E5531" s="250">
        <v>13930.837</v>
      </c>
    </row>
    <row r="5532" spans="1:5" x14ac:dyDescent="0.35">
      <c r="A5532" s="1" t="s">
        <v>20841</v>
      </c>
      <c r="B5532" s="1" t="s">
        <v>18</v>
      </c>
      <c r="C5532" s="1" t="s">
        <v>458</v>
      </c>
      <c r="D5532" s="1" t="s">
        <v>18</v>
      </c>
      <c r="E5532" s="250">
        <v>13930.838</v>
      </c>
    </row>
    <row r="5533" spans="1:5" x14ac:dyDescent="0.35">
      <c r="A5533" s="1" t="s">
        <v>20842</v>
      </c>
      <c r="B5533" s="1" t="s">
        <v>18</v>
      </c>
      <c r="C5533" s="1" t="s">
        <v>402</v>
      </c>
      <c r="D5533" s="1" t="s">
        <v>18</v>
      </c>
      <c r="E5533" s="250">
        <v>13930.839</v>
      </c>
    </row>
    <row r="5534" spans="1:5" x14ac:dyDescent="0.35">
      <c r="A5534" s="1" t="s">
        <v>20843</v>
      </c>
      <c r="B5534" s="1" t="s">
        <v>18</v>
      </c>
      <c r="C5534" s="1" t="s">
        <v>457</v>
      </c>
      <c r="D5534" s="1" t="s">
        <v>18</v>
      </c>
      <c r="E5534" s="250">
        <v>13930.844999999999</v>
      </c>
    </row>
    <row r="5535" spans="1:5" x14ac:dyDescent="0.35">
      <c r="A5535" s="1" t="s">
        <v>20844</v>
      </c>
      <c r="B5535" s="1" t="s">
        <v>18</v>
      </c>
      <c r="C5535" s="1" t="s">
        <v>456</v>
      </c>
      <c r="D5535" s="1" t="s">
        <v>18</v>
      </c>
      <c r="E5535" s="250">
        <v>13930.846</v>
      </c>
    </row>
    <row r="5536" spans="1:5" x14ac:dyDescent="0.35">
      <c r="A5536" s="1" t="s">
        <v>20845</v>
      </c>
      <c r="B5536" s="1" t="s">
        <v>18</v>
      </c>
      <c r="C5536" s="1" t="s">
        <v>455</v>
      </c>
      <c r="D5536" s="1" t="s">
        <v>18</v>
      </c>
      <c r="E5536" s="250">
        <v>13930.847</v>
      </c>
    </row>
    <row r="5537" spans="1:5" x14ac:dyDescent="0.35">
      <c r="A5537" s="1" t="s">
        <v>20846</v>
      </c>
      <c r="B5537" s="1" t="s">
        <v>18</v>
      </c>
      <c r="C5537" s="1" t="s">
        <v>454</v>
      </c>
      <c r="D5537" s="1" t="s">
        <v>18</v>
      </c>
      <c r="E5537" s="250">
        <v>13930.848</v>
      </c>
    </row>
    <row r="5538" spans="1:5" x14ac:dyDescent="0.35">
      <c r="A5538" s="1" t="s">
        <v>20847</v>
      </c>
      <c r="B5538" s="1" t="s">
        <v>18</v>
      </c>
      <c r="C5538" s="1" t="s">
        <v>453</v>
      </c>
      <c r="D5538" s="1" t="s">
        <v>18</v>
      </c>
      <c r="E5538" s="250">
        <v>13930.849</v>
      </c>
    </row>
    <row r="5539" spans="1:5" x14ac:dyDescent="0.35">
      <c r="A5539" s="1" t="s">
        <v>20848</v>
      </c>
      <c r="B5539" s="1" t="s">
        <v>18</v>
      </c>
      <c r="C5539" s="1" t="s">
        <v>452</v>
      </c>
      <c r="D5539" s="1" t="s">
        <v>18</v>
      </c>
      <c r="E5539" s="250">
        <v>13930.85</v>
      </c>
    </row>
    <row r="5540" spans="1:5" x14ac:dyDescent="0.35">
      <c r="A5540" s="1" t="s">
        <v>20849</v>
      </c>
      <c r="B5540" s="1" t="s">
        <v>18</v>
      </c>
      <c r="C5540" s="1" t="s">
        <v>451</v>
      </c>
      <c r="D5540" s="1" t="s">
        <v>18</v>
      </c>
      <c r="E5540" s="250">
        <v>13930.851000000001</v>
      </c>
    </row>
    <row r="5541" spans="1:5" x14ac:dyDescent="0.35">
      <c r="A5541" s="1" t="s">
        <v>20850</v>
      </c>
      <c r="B5541" s="1" t="s">
        <v>18</v>
      </c>
      <c r="C5541" s="1" t="s">
        <v>450</v>
      </c>
      <c r="D5541" s="1" t="s">
        <v>18</v>
      </c>
      <c r="E5541" s="250">
        <v>13930.852000000001</v>
      </c>
    </row>
    <row r="5542" spans="1:5" x14ac:dyDescent="0.35">
      <c r="A5542" s="1" t="s">
        <v>20851</v>
      </c>
      <c r="B5542" s="1" t="s">
        <v>18</v>
      </c>
      <c r="C5542" s="1" t="s">
        <v>449</v>
      </c>
      <c r="D5542" s="1" t="s">
        <v>18</v>
      </c>
      <c r="E5542" s="250">
        <v>13930.852999999999</v>
      </c>
    </row>
    <row r="5543" spans="1:5" x14ac:dyDescent="0.35">
      <c r="A5543" s="1" t="s">
        <v>20852</v>
      </c>
      <c r="B5543" s="1" t="s">
        <v>18</v>
      </c>
      <c r="C5543" s="1" t="s">
        <v>448</v>
      </c>
      <c r="D5543" s="1" t="s">
        <v>18</v>
      </c>
      <c r="E5543" s="250">
        <v>13930.853999999999</v>
      </c>
    </row>
    <row r="5544" spans="1:5" x14ac:dyDescent="0.35">
      <c r="A5544" s="1" t="s">
        <v>20853</v>
      </c>
      <c r="B5544" s="1" t="s">
        <v>18</v>
      </c>
      <c r="C5544" s="1" t="s">
        <v>447</v>
      </c>
      <c r="D5544" s="1" t="s">
        <v>18</v>
      </c>
      <c r="E5544" s="250">
        <v>13930.855</v>
      </c>
    </row>
    <row r="5545" spans="1:5" x14ac:dyDescent="0.35">
      <c r="A5545" s="1" t="s">
        <v>20854</v>
      </c>
      <c r="B5545" s="1" t="s">
        <v>57</v>
      </c>
      <c r="C5545" s="1" t="s">
        <v>498</v>
      </c>
      <c r="D5545" s="1" t="s">
        <v>57</v>
      </c>
      <c r="E5545" s="250">
        <v>13930.897999999999</v>
      </c>
    </row>
    <row r="5546" spans="1:5" x14ac:dyDescent="0.35">
      <c r="A5546" s="1" t="s">
        <v>20855</v>
      </c>
      <c r="B5546" s="1" t="s">
        <v>57</v>
      </c>
      <c r="C5546" s="1" t="s">
        <v>497</v>
      </c>
      <c r="D5546" s="1" t="s">
        <v>57</v>
      </c>
      <c r="E5546" s="250">
        <v>13930.898999999999</v>
      </c>
    </row>
    <row r="5547" spans="1:5" x14ac:dyDescent="0.35">
      <c r="A5547" s="1" t="s">
        <v>20856</v>
      </c>
      <c r="B5547" s="1" t="s">
        <v>19</v>
      </c>
      <c r="C5547" s="1" t="s">
        <v>496</v>
      </c>
      <c r="D5547" s="1" t="s">
        <v>19</v>
      </c>
      <c r="E5547" s="250">
        <v>13930.9</v>
      </c>
    </row>
    <row r="5548" spans="1:5" x14ac:dyDescent="0.35">
      <c r="A5548" s="1" t="s">
        <v>20857</v>
      </c>
      <c r="B5548" s="1" t="s">
        <v>19</v>
      </c>
      <c r="C5548" s="1" t="s">
        <v>495</v>
      </c>
      <c r="D5548" s="1" t="s">
        <v>19</v>
      </c>
      <c r="E5548" s="250">
        <v>13930.901</v>
      </c>
    </row>
    <row r="5549" spans="1:5" x14ac:dyDescent="0.35">
      <c r="A5549" s="1" t="s">
        <v>20858</v>
      </c>
      <c r="B5549" s="1" t="s">
        <v>19</v>
      </c>
      <c r="C5549" s="1" t="s">
        <v>494</v>
      </c>
      <c r="D5549" s="1" t="s">
        <v>19</v>
      </c>
      <c r="E5549" s="250">
        <v>13930.902</v>
      </c>
    </row>
    <row r="5550" spans="1:5" x14ac:dyDescent="0.35">
      <c r="A5550" s="1" t="s">
        <v>20859</v>
      </c>
      <c r="B5550" s="1" t="s">
        <v>19</v>
      </c>
      <c r="C5550" s="1" t="s">
        <v>493</v>
      </c>
      <c r="D5550" s="1" t="s">
        <v>19</v>
      </c>
      <c r="E5550" s="250">
        <v>13930.903</v>
      </c>
    </row>
    <row r="5551" spans="1:5" x14ac:dyDescent="0.35">
      <c r="A5551" s="1" t="s">
        <v>20860</v>
      </c>
      <c r="B5551" s="1" t="s">
        <v>19</v>
      </c>
      <c r="C5551" s="1" t="s">
        <v>492</v>
      </c>
      <c r="D5551" s="1" t="s">
        <v>19</v>
      </c>
      <c r="E5551" s="250">
        <v>13930.904</v>
      </c>
    </row>
    <row r="5552" spans="1:5" x14ac:dyDescent="0.35">
      <c r="A5552" s="1" t="s">
        <v>20861</v>
      </c>
      <c r="B5552" s="1" t="s">
        <v>19</v>
      </c>
      <c r="C5552" s="1" t="s">
        <v>491</v>
      </c>
      <c r="D5552" s="1" t="s">
        <v>19</v>
      </c>
      <c r="E5552" s="250">
        <v>13930.905000000001</v>
      </c>
    </row>
    <row r="5553" spans="1:5" x14ac:dyDescent="0.35">
      <c r="A5553" s="1" t="s">
        <v>20862</v>
      </c>
      <c r="B5553" s="1" t="s">
        <v>19</v>
      </c>
      <c r="C5553" s="1" t="s">
        <v>490</v>
      </c>
      <c r="D5553" s="1" t="s">
        <v>19</v>
      </c>
      <c r="E5553" s="250">
        <v>13930.906000000001</v>
      </c>
    </row>
    <row r="5554" spans="1:5" x14ac:dyDescent="0.35">
      <c r="A5554" s="1" t="s">
        <v>20863</v>
      </c>
      <c r="B5554" s="1" t="s">
        <v>19</v>
      </c>
      <c r="C5554" s="1" t="s">
        <v>419</v>
      </c>
      <c r="D5554" s="1" t="s">
        <v>19</v>
      </c>
      <c r="E5554" s="250">
        <v>13930.906999999999</v>
      </c>
    </row>
    <row r="5555" spans="1:5" x14ac:dyDescent="0.35">
      <c r="A5555" s="1" t="s">
        <v>20864</v>
      </c>
      <c r="B5555" s="1" t="s">
        <v>19</v>
      </c>
      <c r="C5555" s="1" t="s">
        <v>416</v>
      </c>
      <c r="D5555" s="1" t="s">
        <v>19</v>
      </c>
      <c r="E5555" s="250">
        <v>13930.907999999999</v>
      </c>
    </row>
    <row r="5556" spans="1:5" x14ac:dyDescent="0.35">
      <c r="A5556" s="1" t="s">
        <v>20865</v>
      </c>
      <c r="B5556" s="1" t="s">
        <v>19</v>
      </c>
      <c r="C5556" s="1" t="s">
        <v>489</v>
      </c>
      <c r="D5556" s="1" t="s">
        <v>19</v>
      </c>
      <c r="E5556" s="250">
        <v>13930.909</v>
      </c>
    </row>
    <row r="5557" spans="1:5" x14ac:dyDescent="0.35">
      <c r="A5557" s="1" t="s">
        <v>20866</v>
      </c>
      <c r="B5557" s="1" t="s">
        <v>19</v>
      </c>
      <c r="C5557" s="1" t="s">
        <v>415</v>
      </c>
      <c r="D5557" s="1" t="s">
        <v>19</v>
      </c>
      <c r="E5557" s="250">
        <v>13930.91</v>
      </c>
    </row>
    <row r="5558" spans="1:5" x14ac:dyDescent="0.35">
      <c r="A5558" s="1" t="s">
        <v>20867</v>
      </c>
      <c r="B5558" s="1" t="s">
        <v>19</v>
      </c>
      <c r="C5558" s="1" t="s">
        <v>414</v>
      </c>
      <c r="D5558" s="1" t="s">
        <v>19</v>
      </c>
      <c r="E5558" s="250">
        <v>13930.911</v>
      </c>
    </row>
    <row r="5559" spans="1:5" x14ac:dyDescent="0.35">
      <c r="A5559" s="1" t="s">
        <v>20868</v>
      </c>
      <c r="B5559" s="1" t="s">
        <v>19</v>
      </c>
      <c r="C5559" s="1" t="s">
        <v>413</v>
      </c>
      <c r="D5559" s="1" t="s">
        <v>19</v>
      </c>
      <c r="E5559" s="250">
        <v>13930.912</v>
      </c>
    </row>
    <row r="5560" spans="1:5" x14ac:dyDescent="0.35">
      <c r="A5560" s="1" t="s">
        <v>20869</v>
      </c>
      <c r="B5560" s="1" t="s">
        <v>19</v>
      </c>
      <c r="C5560" s="1" t="s">
        <v>412</v>
      </c>
      <c r="D5560" s="1" t="s">
        <v>19</v>
      </c>
      <c r="E5560" s="250">
        <v>13930.913</v>
      </c>
    </row>
    <row r="5561" spans="1:5" x14ac:dyDescent="0.35">
      <c r="A5561" s="1" t="s">
        <v>20870</v>
      </c>
      <c r="B5561" s="1" t="s">
        <v>57</v>
      </c>
      <c r="C5561" s="1" t="s">
        <v>488</v>
      </c>
      <c r="D5561" s="1" t="s">
        <v>57</v>
      </c>
      <c r="E5561" s="250">
        <v>13930.918</v>
      </c>
    </row>
    <row r="5562" spans="1:5" x14ac:dyDescent="0.35">
      <c r="A5562" s="1" t="s">
        <v>20871</v>
      </c>
      <c r="B5562" s="1" t="s">
        <v>18</v>
      </c>
      <c r="C5562" s="1" t="s">
        <v>487</v>
      </c>
      <c r="D5562" s="1" t="s">
        <v>18</v>
      </c>
      <c r="E5562" s="250">
        <v>13930.919</v>
      </c>
    </row>
    <row r="5563" spans="1:5" x14ac:dyDescent="0.35">
      <c r="A5563" s="1" t="s">
        <v>20872</v>
      </c>
      <c r="B5563" s="1" t="s">
        <v>18</v>
      </c>
      <c r="C5563" s="1" t="s">
        <v>486</v>
      </c>
      <c r="D5563" s="1" t="s">
        <v>18</v>
      </c>
      <c r="E5563" s="250">
        <v>13930.92</v>
      </c>
    </row>
    <row r="5564" spans="1:5" x14ac:dyDescent="0.35">
      <c r="A5564" s="1" t="s">
        <v>20873</v>
      </c>
      <c r="B5564" s="1" t="s">
        <v>18</v>
      </c>
      <c r="C5564" s="1" t="s">
        <v>485</v>
      </c>
      <c r="D5564" s="1" t="s">
        <v>18</v>
      </c>
      <c r="E5564" s="250">
        <v>13930.921</v>
      </c>
    </row>
    <row r="5565" spans="1:5" x14ac:dyDescent="0.35">
      <c r="A5565" s="1" t="s">
        <v>20874</v>
      </c>
      <c r="B5565" s="1" t="s">
        <v>18</v>
      </c>
      <c r="C5565" s="1" t="s">
        <v>484</v>
      </c>
      <c r="D5565" s="1" t="s">
        <v>18</v>
      </c>
      <c r="E5565" s="250">
        <v>13930.922</v>
      </c>
    </row>
    <row r="5566" spans="1:5" x14ac:dyDescent="0.35">
      <c r="A5566" s="1" t="s">
        <v>20875</v>
      </c>
      <c r="B5566" s="1" t="s">
        <v>18</v>
      </c>
      <c r="C5566" s="1" t="s">
        <v>483</v>
      </c>
      <c r="D5566" s="1" t="s">
        <v>18</v>
      </c>
      <c r="E5566" s="250">
        <v>13930.923000000001</v>
      </c>
    </row>
    <row r="5567" spans="1:5" x14ac:dyDescent="0.35">
      <c r="A5567" s="1" t="s">
        <v>20876</v>
      </c>
      <c r="B5567" s="1" t="s">
        <v>18</v>
      </c>
      <c r="C5567" s="1" t="s">
        <v>482</v>
      </c>
      <c r="D5567" s="1" t="s">
        <v>18</v>
      </c>
      <c r="E5567" s="250">
        <v>13930.924000000001</v>
      </c>
    </row>
    <row r="5568" spans="1:5" x14ac:dyDescent="0.35">
      <c r="A5568" s="1" t="s">
        <v>20877</v>
      </c>
      <c r="B5568" s="1" t="s">
        <v>18</v>
      </c>
      <c r="C5568" s="1" t="s">
        <v>481</v>
      </c>
      <c r="D5568" s="1" t="s">
        <v>18</v>
      </c>
      <c r="E5568" s="250">
        <v>13930.924999999999</v>
      </c>
    </row>
    <row r="5569" spans="1:5" x14ac:dyDescent="0.35">
      <c r="A5569" s="1" t="s">
        <v>20878</v>
      </c>
      <c r="B5569" s="1" t="s">
        <v>18</v>
      </c>
      <c r="C5569" s="1" t="s">
        <v>480</v>
      </c>
      <c r="D5569" s="1" t="s">
        <v>18</v>
      </c>
      <c r="E5569" s="250">
        <v>13930.925999999999</v>
      </c>
    </row>
    <row r="5570" spans="1:5" x14ac:dyDescent="0.35">
      <c r="A5570" s="1" t="s">
        <v>20879</v>
      </c>
      <c r="B5570" s="1" t="s">
        <v>18</v>
      </c>
      <c r="C5570" s="1" t="s">
        <v>479</v>
      </c>
      <c r="D5570" s="1" t="s">
        <v>18</v>
      </c>
      <c r="E5570" s="250">
        <v>13930.927</v>
      </c>
    </row>
    <row r="5571" spans="1:5" x14ac:dyDescent="0.35">
      <c r="A5571" s="1" t="s">
        <v>20880</v>
      </c>
      <c r="B5571" s="1" t="s">
        <v>18</v>
      </c>
      <c r="C5571" s="1" t="s">
        <v>478</v>
      </c>
      <c r="D5571" s="1" t="s">
        <v>18</v>
      </c>
      <c r="E5571" s="250">
        <v>13930.928</v>
      </c>
    </row>
    <row r="5572" spans="1:5" x14ac:dyDescent="0.35">
      <c r="A5572" s="1" t="s">
        <v>20881</v>
      </c>
      <c r="B5572" s="1" t="s">
        <v>18</v>
      </c>
      <c r="C5572" s="1" t="s">
        <v>477</v>
      </c>
      <c r="D5572" s="1" t="s">
        <v>18</v>
      </c>
      <c r="E5572" s="250">
        <v>13930.929</v>
      </c>
    </row>
    <row r="5573" spans="1:5" x14ac:dyDescent="0.35">
      <c r="A5573" s="1" t="s">
        <v>20882</v>
      </c>
      <c r="B5573" s="1" t="s">
        <v>18</v>
      </c>
      <c r="C5573" s="1" t="s">
        <v>476</v>
      </c>
      <c r="D5573" s="1" t="s">
        <v>18</v>
      </c>
      <c r="E5573" s="250">
        <v>13930.93</v>
      </c>
    </row>
    <row r="5574" spans="1:5" x14ac:dyDescent="0.35">
      <c r="A5574" s="1" t="s">
        <v>20883</v>
      </c>
      <c r="B5574" s="1" t="s">
        <v>18</v>
      </c>
      <c r="C5574" s="1" t="s">
        <v>475</v>
      </c>
      <c r="D5574" s="1" t="s">
        <v>18</v>
      </c>
      <c r="E5574" s="250">
        <v>13930.931</v>
      </c>
    </row>
    <row r="5575" spans="1:5" x14ac:dyDescent="0.35">
      <c r="A5575" s="1" t="s">
        <v>20884</v>
      </c>
      <c r="B5575" s="1" t="s">
        <v>18</v>
      </c>
      <c r="C5575" s="1" t="s">
        <v>474</v>
      </c>
      <c r="D5575" s="1" t="s">
        <v>18</v>
      </c>
      <c r="E5575" s="250">
        <v>13930.932000000001</v>
      </c>
    </row>
    <row r="5576" spans="1:5" x14ac:dyDescent="0.35">
      <c r="A5576" s="1" t="s">
        <v>20885</v>
      </c>
      <c r="B5576" s="1" t="s">
        <v>18</v>
      </c>
      <c r="C5576" s="1" t="s">
        <v>473</v>
      </c>
      <c r="D5576" s="1" t="s">
        <v>18</v>
      </c>
      <c r="E5576" s="250">
        <v>13930.938</v>
      </c>
    </row>
    <row r="5577" spans="1:5" x14ac:dyDescent="0.35">
      <c r="A5577" s="1" t="s">
        <v>20886</v>
      </c>
      <c r="B5577" s="1" t="s">
        <v>18</v>
      </c>
      <c r="C5577" s="1" t="s">
        <v>472</v>
      </c>
      <c r="D5577" s="1" t="s">
        <v>18</v>
      </c>
      <c r="E5577" s="250">
        <v>13930.939</v>
      </c>
    </row>
    <row r="5578" spans="1:5" x14ac:dyDescent="0.35">
      <c r="A5578" s="1" t="s">
        <v>20887</v>
      </c>
      <c r="B5578" s="1" t="s">
        <v>18</v>
      </c>
      <c r="C5578" s="1" t="s">
        <v>471</v>
      </c>
      <c r="D5578" s="1" t="s">
        <v>18</v>
      </c>
      <c r="E5578" s="250">
        <v>13930.94</v>
      </c>
    </row>
    <row r="5579" spans="1:5" x14ac:dyDescent="0.35">
      <c r="A5579" s="1" t="s">
        <v>20888</v>
      </c>
      <c r="B5579" s="1" t="s">
        <v>18</v>
      </c>
      <c r="C5579" s="1" t="s">
        <v>470</v>
      </c>
      <c r="D5579" s="1" t="s">
        <v>18</v>
      </c>
      <c r="E5579" s="250">
        <v>13930.941000000001</v>
      </c>
    </row>
    <row r="5580" spans="1:5" x14ac:dyDescent="0.35">
      <c r="A5580" s="1" t="s">
        <v>20889</v>
      </c>
      <c r="B5580" s="1" t="s">
        <v>18</v>
      </c>
      <c r="C5580" s="1" t="s">
        <v>469</v>
      </c>
      <c r="D5580" s="1" t="s">
        <v>18</v>
      </c>
      <c r="E5580" s="250">
        <v>13930.941999999999</v>
      </c>
    </row>
    <row r="5581" spans="1:5" x14ac:dyDescent="0.35">
      <c r="A5581" s="1" t="s">
        <v>20890</v>
      </c>
      <c r="B5581" s="1" t="s">
        <v>18</v>
      </c>
      <c r="C5581" s="1" t="s">
        <v>468</v>
      </c>
      <c r="D5581" s="1" t="s">
        <v>18</v>
      </c>
      <c r="E5581" s="250">
        <v>13930.942999999999</v>
      </c>
    </row>
    <row r="5582" spans="1:5" x14ac:dyDescent="0.35">
      <c r="A5582" s="1" t="s">
        <v>20891</v>
      </c>
      <c r="B5582" s="1" t="s">
        <v>18</v>
      </c>
      <c r="C5582" s="1" t="s">
        <v>467</v>
      </c>
      <c r="D5582" s="1" t="s">
        <v>18</v>
      </c>
      <c r="E5582" s="250">
        <v>13930.944</v>
      </c>
    </row>
    <row r="5583" spans="1:5" x14ac:dyDescent="0.35">
      <c r="A5583" s="1" t="s">
        <v>20892</v>
      </c>
      <c r="B5583" s="1" t="s">
        <v>18</v>
      </c>
      <c r="C5583" s="1" t="s">
        <v>410</v>
      </c>
      <c r="D5583" s="1" t="s">
        <v>18</v>
      </c>
      <c r="E5583" s="250">
        <v>13930.945</v>
      </c>
    </row>
    <row r="5584" spans="1:5" x14ac:dyDescent="0.35">
      <c r="A5584" s="1" t="s">
        <v>20893</v>
      </c>
      <c r="B5584" s="1" t="s">
        <v>18</v>
      </c>
      <c r="C5584" s="1" t="s">
        <v>409</v>
      </c>
      <c r="D5584" s="1" t="s">
        <v>18</v>
      </c>
      <c r="E5584" s="250">
        <v>13930.946</v>
      </c>
    </row>
    <row r="5585" spans="1:5" x14ac:dyDescent="0.35">
      <c r="A5585" s="1" t="s">
        <v>20894</v>
      </c>
      <c r="B5585" s="1" t="s">
        <v>18</v>
      </c>
      <c r="C5585" s="1" t="s">
        <v>466</v>
      </c>
      <c r="D5585" s="1" t="s">
        <v>18</v>
      </c>
      <c r="E5585" s="250">
        <v>13930.947</v>
      </c>
    </row>
    <row r="5586" spans="1:5" x14ac:dyDescent="0.35">
      <c r="A5586" s="1" t="s">
        <v>20895</v>
      </c>
      <c r="B5586" s="1" t="s">
        <v>18</v>
      </c>
      <c r="C5586" s="1" t="s">
        <v>408</v>
      </c>
      <c r="D5586" s="1" t="s">
        <v>18</v>
      </c>
      <c r="E5586" s="250">
        <v>13930.948</v>
      </c>
    </row>
    <row r="5587" spans="1:5" x14ac:dyDescent="0.35">
      <c r="A5587" s="1" t="s">
        <v>20896</v>
      </c>
      <c r="B5587" s="1" t="s">
        <v>18</v>
      </c>
      <c r="C5587" s="1" t="s">
        <v>407</v>
      </c>
      <c r="D5587" s="1" t="s">
        <v>18</v>
      </c>
      <c r="E5587" s="250">
        <v>13930.949000000001</v>
      </c>
    </row>
    <row r="5588" spans="1:5" x14ac:dyDescent="0.35">
      <c r="A5588" s="1" t="s">
        <v>20897</v>
      </c>
      <c r="B5588" s="1" t="s">
        <v>18</v>
      </c>
      <c r="C5588" s="1" t="s">
        <v>406</v>
      </c>
      <c r="D5588" s="1" t="s">
        <v>18</v>
      </c>
      <c r="E5588" s="250">
        <v>13930.95</v>
      </c>
    </row>
    <row r="5589" spans="1:5" x14ac:dyDescent="0.35">
      <c r="A5589" s="1" t="s">
        <v>20898</v>
      </c>
      <c r="B5589" s="1" t="s">
        <v>18</v>
      </c>
      <c r="C5589" s="1" t="s">
        <v>405</v>
      </c>
      <c r="D5589" s="1" t="s">
        <v>18</v>
      </c>
      <c r="E5589" s="250">
        <v>13930.950999999999</v>
      </c>
    </row>
    <row r="5590" spans="1:5" x14ac:dyDescent="0.35">
      <c r="A5590" s="1" t="s">
        <v>20899</v>
      </c>
      <c r="B5590" s="1" t="s">
        <v>18</v>
      </c>
      <c r="C5590" s="1" t="s">
        <v>465</v>
      </c>
      <c r="D5590" s="1" t="s">
        <v>18</v>
      </c>
      <c r="E5590" s="250">
        <v>13930.956</v>
      </c>
    </row>
    <row r="5591" spans="1:5" x14ac:dyDescent="0.35">
      <c r="A5591" s="1" t="s">
        <v>20900</v>
      </c>
      <c r="B5591" s="1" t="s">
        <v>18</v>
      </c>
      <c r="C5591" s="1" t="s">
        <v>464</v>
      </c>
      <c r="D5591" s="1" t="s">
        <v>18</v>
      </c>
      <c r="E5591" s="250">
        <v>13930.957</v>
      </c>
    </row>
    <row r="5592" spans="1:5" x14ac:dyDescent="0.35">
      <c r="A5592" s="1" t="s">
        <v>20901</v>
      </c>
      <c r="B5592" s="1" t="s">
        <v>18</v>
      </c>
      <c r="C5592" s="1" t="s">
        <v>463</v>
      </c>
      <c r="D5592" s="1" t="s">
        <v>18</v>
      </c>
      <c r="E5592" s="250">
        <v>13930.958000000001</v>
      </c>
    </row>
    <row r="5593" spans="1:5" x14ac:dyDescent="0.35">
      <c r="A5593" s="1" t="s">
        <v>20902</v>
      </c>
      <c r="B5593" s="1" t="s">
        <v>18</v>
      </c>
      <c r="C5593" s="1" t="s">
        <v>462</v>
      </c>
      <c r="D5593" s="1" t="s">
        <v>18</v>
      </c>
      <c r="E5593" s="250">
        <v>13930.959000000001</v>
      </c>
    </row>
    <row r="5594" spans="1:5" x14ac:dyDescent="0.35">
      <c r="A5594" s="1" t="s">
        <v>20903</v>
      </c>
      <c r="B5594" s="1" t="s">
        <v>18</v>
      </c>
      <c r="C5594" s="1" t="s">
        <v>461</v>
      </c>
      <c r="D5594" s="1" t="s">
        <v>18</v>
      </c>
      <c r="E5594" s="250">
        <v>13930.96</v>
      </c>
    </row>
    <row r="5595" spans="1:5" x14ac:dyDescent="0.35">
      <c r="A5595" s="1" t="s">
        <v>20904</v>
      </c>
      <c r="B5595" s="1" t="s">
        <v>18</v>
      </c>
      <c r="C5595" s="1" t="s">
        <v>460</v>
      </c>
      <c r="D5595" s="1" t="s">
        <v>18</v>
      </c>
      <c r="E5595" s="250">
        <v>13930.960999999999</v>
      </c>
    </row>
    <row r="5596" spans="1:5" x14ac:dyDescent="0.35">
      <c r="A5596" s="1" t="s">
        <v>20905</v>
      </c>
      <c r="B5596" s="1" t="s">
        <v>18</v>
      </c>
      <c r="C5596" s="1" t="s">
        <v>459</v>
      </c>
      <c r="D5596" s="1" t="s">
        <v>18</v>
      </c>
      <c r="E5596" s="250">
        <v>13930.962</v>
      </c>
    </row>
    <row r="5597" spans="1:5" x14ac:dyDescent="0.35">
      <c r="A5597" s="1" t="s">
        <v>20906</v>
      </c>
      <c r="B5597" s="1" t="s">
        <v>18</v>
      </c>
      <c r="C5597" s="1" t="s">
        <v>404</v>
      </c>
      <c r="D5597" s="1" t="s">
        <v>18</v>
      </c>
      <c r="E5597" s="250">
        <v>13930.963</v>
      </c>
    </row>
    <row r="5598" spans="1:5" x14ac:dyDescent="0.35">
      <c r="A5598" s="1" t="s">
        <v>20907</v>
      </c>
      <c r="B5598" s="1" t="s">
        <v>18</v>
      </c>
      <c r="C5598" s="1" t="s">
        <v>403</v>
      </c>
      <c r="D5598" s="1" t="s">
        <v>18</v>
      </c>
      <c r="E5598" s="250">
        <v>13930.964</v>
      </c>
    </row>
    <row r="5599" spans="1:5" x14ac:dyDescent="0.35">
      <c r="A5599" s="1" t="s">
        <v>20908</v>
      </c>
      <c r="B5599" s="1" t="s">
        <v>18</v>
      </c>
      <c r="C5599" s="1" t="s">
        <v>458</v>
      </c>
      <c r="D5599" s="1" t="s">
        <v>18</v>
      </c>
      <c r="E5599" s="250">
        <v>13930.965</v>
      </c>
    </row>
    <row r="5600" spans="1:5" x14ac:dyDescent="0.35">
      <c r="A5600" s="1" t="s">
        <v>20909</v>
      </c>
      <c r="B5600" s="1" t="s">
        <v>18</v>
      </c>
      <c r="C5600" s="1" t="s">
        <v>402</v>
      </c>
      <c r="D5600" s="1" t="s">
        <v>18</v>
      </c>
      <c r="E5600" s="250">
        <v>13930.966</v>
      </c>
    </row>
    <row r="5601" spans="1:5" x14ac:dyDescent="0.35">
      <c r="A5601" s="1" t="s">
        <v>20910</v>
      </c>
      <c r="B5601" s="1" t="s">
        <v>18</v>
      </c>
      <c r="C5601" s="1" t="s">
        <v>401</v>
      </c>
      <c r="D5601" s="1" t="s">
        <v>18</v>
      </c>
      <c r="E5601" s="250">
        <v>13930.967000000001</v>
      </c>
    </row>
    <row r="5602" spans="1:5" x14ac:dyDescent="0.35">
      <c r="A5602" s="1" t="s">
        <v>20911</v>
      </c>
      <c r="B5602" s="1" t="s">
        <v>18</v>
      </c>
      <c r="C5602" s="1" t="s">
        <v>400</v>
      </c>
      <c r="D5602" s="1" t="s">
        <v>18</v>
      </c>
      <c r="E5602" s="250">
        <v>13930.968000000001</v>
      </c>
    </row>
    <row r="5603" spans="1:5" x14ac:dyDescent="0.35">
      <c r="A5603" s="1" t="s">
        <v>20912</v>
      </c>
      <c r="B5603" s="1" t="s">
        <v>18</v>
      </c>
      <c r="C5603" s="1" t="s">
        <v>399</v>
      </c>
      <c r="D5603" s="1" t="s">
        <v>18</v>
      </c>
      <c r="E5603" s="250">
        <v>13930.968999999999</v>
      </c>
    </row>
    <row r="5604" spans="1:5" x14ac:dyDescent="0.35">
      <c r="A5604" s="1" t="s">
        <v>20913</v>
      </c>
      <c r="B5604" s="1" t="s">
        <v>18</v>
      </c>
      <c r="C5604" s="1" t="s">
        <v>457</v>
      </c>
      <c r="D5604" s="1" t="s">
        <v>18</v>
      </c>
      <c r="E5604" s="250">
        <v>13930.975</v>
      </c>
    </row>
    <row r="5605" spans="1:5" x14ac:dyDescent="0.35">
      <c r="A5605" s="1" t="s">
        <v>20914</v>
      </c>
      <c r="B5605" s="1" t="s">
        <v>18</v>
      </c>
      <c r="C5605" s="1" t="s">
        <v>456</v>
      </c>
      <c r="D5605" s="1" t="s">
        <v>18</v>
      </c>
      <c r="E5605" s="250">
        <v>13930.976000000001</v>
      </c>
    </row>
    <row r="5606" spans="1:5" x14ac:dyDescent="0.35">
      <c r="A5606" s="1" t="s">
        <v>20915</v>
      </c>
      <c r="B5606" s="1" t="s">
        <v>18</v>
      </c>
      <c r="C5606" s="1" t="s">
        <v>455</v>
      </c>
      <c r="D5606" s="1" t="s">
        <v>18</v>
      </c>
      <c r="E5606" s="250">
        <v>13930.977000000001</v>
      </c>
    </row>
    <row r="5607" spans="1:5" x14ac:dyDescent="0.35">
      <c r="A5607" s="1" t="s">
        <v>20916</v>
      </c>
      <c r="B5607" s="1" t="s">
        <v>18</v>
      </c>
      <c r="C5607" s="1" t="s">
        <v>454</v>
      </c>
      <c r="D5607" s="1" t="s">
        <v>18</v>
      </c>
      <c r="E5607" s="250">
        <v>13930.977999999999</v>
      </c>
    </row>
    <row r="5608" spans="1:5" x14ac:dyDescent="0.35">
      <c r="A5608" s="1" t="s">
        <v>20917</v>
      </c>
      <c r="B5608" s="1" t="s">
        <v>18</v>
      </c>
      <c r="C5608" s="1" t="s">
        <v>453</v>
      </c>
      <c r="D5608" s="1" t="s">
        <v>18</v>
      </c>
      <c r="E5608" s="250">
        <v>13930.978999999999</v>
      </c>
    </row>
    <row r="5609" spans="1:5" x14ac:dyDescent="0.35">
      <c r="A5609" s="1" t="s">
        <v>20918</v>
      </c>
      <c r="B5609" s="1" t="s">
        <v>18</v>
      </c>
      <c r="C5609" s="1" t="s">
        <v>452</v>
      </c>
      <c r="D5609" s="1" t="s">
        <v>18</v>
      </c>
      <c r="E5609" s="250">
        <v>13930.98</v>
      </c>
    </row>
    <row r="5610" spans="1:5" x14ac:dyDescent="0.35">
      <c r="A5610" s="1" t="s">
        <v>20919</v>
      </c>
      <c r="B5610" s="1" t="s">
        <v>18</v>
      </c>
      <c r="C5610" s="1" t="s">
        <v>451</v>
      </c>
      <c r="D5610" s="1" t="s">
        <v>18</v>
      </c>
      <c r="E5610" s="250">
        <v>13930.981</v>
      </c>
    </row>
    <row r="5611" spans="1:5" x14ac:dyDescent="0.35">
      <c r="A5611" s="1" t="s">
        <v>20920</v>
      </c>
      <c r="B5611" s="1" t="s">
        <v>18</v>
      </c>
      <c r="C5611" s="1" t="s">
        <v>450</v>
      </c>
      <c r="D5611" s="1" t="s">
        <v>18</v>
      </c>
      <c r="E5611" s="250">
        <v>13930.982</v>
      </c>
    </row>
    <row r="5612" spans="1:5" x14ac:dyDescent="0.35">
      <c r="A5612" s="1" t="s">
        <v>20921</v>
      </c>
      <c r="B5612" s="1" t="s">
        <v>18</v>
      </c>
      <c r="C5612" s="1" t="s">
        <v>449</v>
      </c>
      <c r="D5612" s="1" t="s">
        <v>18</v>
      </c>
      <c r="E5612" s="250">
        <v>13930.983</v>
      </c>
    </row>
    <row r="5613" spans="1:5" x14ac:dyDescent="0.35">
      <c r="A5613" s="1" t="s">
        <v>20922</v>
      </c>
      <c r="B5613" s="1" t="s">
        <v>18</v>
      </c>
      <c r="C5613" s="1" t="s">
        <v>448</v>
      </c>
      <c r="D5613" s="1" t="s">
        <v>18</v>
      </c>
      <c r="E5613" s="250">
        <v>13930.984</v>
      </c>
    </row>
    <row r="5614" spans="1:5" x14ac:dyDescent="0.35">
      <c r="A5614" s="1" t="s">
        <v>20923</v>
      </c>
      <c r="B5614" s="1" t="s">
        <v>18</v>
      </c>
      <c r="C5614" s="1" t="s">
        <v>447</v>
      </c>
      <c r="D5614" s="1" t="s">
        <v>18</v>
      </c>
      <c r="E5614" s="250">
        <v>13930.985000000001</v>
      </c>
    </row>
    <row r="5615" spans="1:5" x14ac:dyDescent="0.35">
      <c r="A5615" s="1" t="s">
        <v>20924</v>
      </c>
      <c r="B5615" s="1" t="s">
        <v>18</v>
      </c>
      <c r="C5615" s="1" t="s">
        <v>446</v>
      </c>
      <c r="D5615" s="1" t="s">
        <v>18</v>
      </c>
      <c r="E5615" s="250">
        <v>13930.986000000001</v>
      </c>
    </row>
    <row r="5616" spans="1:5" x14ac:dyDescent="0.35">
      <c r="A5616" s="1" t="s">
        <v>20925</v>
      </c>
      <c r="B5616" s="1" t="s">
        <v>18</v>
      </c>
      <c r="C5616" s="1" t="s">
        <v>445</v>
      </c>
      <c r="D5616" s="1" t="s">
        <v>18</v>
      </c>
      <c r="E5616" s="250">
        <v>13930.986999999999</v>
      </c>
    </row>
    <row r="5617" spans="1:5" x14ac:dyDescent="0.35">
      <c r="A5617" s="1" t="s">
        <v>20926</v>
      </c>
      <c r="B5617" s="1" t="s">
        <v>18</v>
      </c>
      <c r="C5617" s="1" t="s">
        <v>444</v>
      </c>
      <c r="D5617" s="1" t="s">
        <v>18</v>
      </c>
      <c r="E5617" s="250">
        <v>13930.987999999999</v>
      </c>
    </row>
    <row r="5618" spans="1:5" x14ac:dyDescent="0.35">
      <c r="A5618" s="1" t="s">
        <v>20927</v>
      </c>
      <c r="B5618" s="1" t="s">
        <v>18</v>
      </c>
      <c r="C5618" s="1" t="s">
        <v>443</v>
      </c>
      <c r="D5618" s="1" t="s">
        <v>18</v>
      </c>
      <c r="E5618" s="250">
        <v>13930.993</v>
      </c>
    </row>
    <row r="5619" spans="1:5" x14ac:dyDescent="0.35">
      <c r="A5619" s="1" t="s">
        <v>20928</v>
      </c>
      <c r="B5619" s="1" t="s">
        <v>18</v>
      </c>
      <c r="C5619" s="1" t="s">
        <v>442</v>
      </c>
      <c r="D5619" s="1" t="s">
        <v>18</v>
      </c>
      <c r="E5619" s="250">
        <v>13930.994000000001</v>
      </c>
    </row>
    <row r="5620" spans="1:5" x14ac:dyDescent="0.35">
      <c r="A5620" s="1" t="s">
        <v>20929</v>
      </c>
      <c r="B5620" s="1" t="s">
        <v>18</v>
      </c>
      <c r="C5620" s="1" t="s">
        <v>441</v>
      </c>
      <c r="D5620" s="1" t="s">
        <v>18</v>
      </c>
      <c r="E5620" s="250">
        <v>13930.995000000001</v>
      </c>
    </row>
    <row r="5621" spans="1:5" x14ac:dyDescent="0.35">
      <c r="A5621" s="1" t="s">
        <v>20930</v>
      </c>
      <c r="B5621" s="1" t="s">
        <v>18</v>
      </c>
      <c r="C5621" s="1" t="s">
        <v>440</v>
      </c>
      <c r="D5621" s="1" t="s">
        <v>18</v>
      </c>
      <c r="E5621" s="250">
        <v>13930.995999999999</v>
      </c>
    </row>
    <row r="5622" spans="1:5" x14ac:dyDescent="0.35">
      <c r="A5622" s="1" t="s">
        <v>20931</v>
      </c>
      <c r="B5622" s="1" t="s">
        <v>18</v>
      </c>
      <c r="C5622" s="1" t="s">
        <v>439</v>
      </c>
      <c r="D5622" s="1" t="s">
        <v>18</v>
      </c>
      <c r="E5622" s="250">
        <v>13930.996999999999</v>
      </c>
    </row>
    <row r="5623" spans="1:5" x14ac:dyDescent="0.35">
      <c r="A5623" s="1" t="s">
        <v>20932</v>
      </c>
      <c r="B5623" s="1" t="s">
        <v>18</v>
      </c>
      <c r="C5623" s="1" t="s">
        <v>438</v>
      </c>
      <c r="D5623" s="1" t="s">
        <v>18</v>
      </c>
      <c r="E5623" s="250">
        <v>13930.998</v>
      </c>
    </row>
    <row r="5624" spans="1:5" x14ac:dyDescent="0.35">
      <c r="A5624" s="1" t="s">
        <v>20933</v>
      </c>
      <c r="B5624" s="1" t="s">
        <v>18</v>
      </c>
      <c r="C5624" s="1" t="s">
        <v>437</v>
      </c>
      <c r="D5624" s="1" t="s">
        <v>18</v>
      </c>
      <c r="E5624" s="250">
        <v>13930.999</v>
      </c>
    </row>
    <row r="5625" spans="1:5" x14ac:dyDescent="0.35">
      <c r="A5625" s="1" t="s">
        <v>20934</v>
      </c>
      <c r="B5625" s="1" t="s">
        <v>18</v>
      </c>
      <c r="C5625" s="1" t="s">
        <v>436</v>
      </c>
      <c r="D5625" s="1" t="s">
        <v>18</v>
      </c>
      <c r="E5625" s="250">
        <v>13931.001</v>
      </c>
    </row>
    <row r="5626" spans="1:5" x14ac:dyDescent="0.35">
      <c r="A5626" s="1" t="s">
        <v>20935</v>
      </c>
      <c r="B5626" s="1" t="s">
        <v>18</v>
      </c>
      <c r="C5626" s="1" t="s">
        <v>435</v>
      </c>
      <c r="D5626" s="1" t="s">
        <v>18</v>
      </c>
      <c r="E5626" s="250">
        <v>13931.002</v>
      </c>
    </row>
    <row r="5627" spans="1:5" x14ac:dyDescent="0.35">
      <c r="A5627" s="1" t="s">
        <v>20936</v>
      </c>
      <c r="B5627" s="1" t="s">
        <v>18</v>
      </c>
      <c r="C5627" s="1" t="s">
        <v>434</v>
      </c>
      <c r="D5627" s="1" t="s">
        <v>18</v>
      </c>
      <c r="E5627" s="250">
        <v>13931.003000000001</v>
      </c>
    </row>
    <row r="5628" spans="1:5" x14ac:dyDescent="0.35">
      <c r="A5628" s="1" t="s">
        <v>20937</v>
      </c>
      <c r="B5628" s="1" t="s">
        <v>18</v>
      </c>
      <c r="C5628" s="1" t="s">
        <v>433</v>
      </c>
      <c r="D5628" s="1" t="s">
        <v>18</v>
      </c>
      <c r="E5628" s="250">
        <v>13931.004000000001</v>
      </c>
    </row>
    <row r="5629" spans="1:5" x14ac:dyDescent="0.35">
      <c r="A5629" s="1" t="s">
        <v>20938</v>
      </c>
      <c r="B5629" s="1" t="s">
        <v>18</v>
      </c>
      <c r="C5629" s="1" t="s">
        <v>432</v>
      </c>
      <c r="D5629" s="1" t="s">
        <v>18</v>
      </c>
      <c r="E5629" s="250">
        <v>13931.004999999999</v>
      </c>
    </row>
    <row r="5630" spans="1:5" x14ac:dyDescent="0.35">
      <c r="A5630" s="1" t="s">
        <v>20939</v>
      </c>
      <c r="B5630" s="1" t="s">
        <v>18</v>
      </c>
      <c r="C5630" s="1" t="s">
        <v>431</v>
      </c>
      <c r="D5630" s="1" t="s">
        <v>18</v>
      </c>
      <c r="E5630" s="250">
        <v>13931.005999999999</v>
      </c>
    </row>
    <row r="5631" spans="1:5" x14ac:dyDescent="0.35">
      <c r="A5631" s="1" t="s">
        <v>20940</v>
      </c>
      <c r="B5631" s="1" t="s">
        <v>18</v>
      </c>
      <c r="C5631" s="1" t="s">
        <v>430</v>
      </c>
      <c r="D5631" s="1" t="s">
        <v>18</v>
      </c>
      <c r="E5631" s="250">
        <v>13931.007</v>
      </c>
    </row>
    <row r="5632" spans="1:5" x14ac:dyDescent="0.35">
      <c r="A5632" s="1" t="s">
        <v>20941</v>
      </c>
      <c r="B5632" s="1" t="s">
        <v>18</v>
      </c>
      <c r="C5632" s="1" t="s">
        <v>429</v>
      </c>
      <c r="D5632" s="1" t="s">
        <v>18</v>
      </c>
      <c r="E5632" s="250">
        <v>13931.012000000001</v>
      </c>
    </row>
    <row r="5633" spans="1:5" x14ac:dyDescent="0.35">
      <c r="A5633" s="1" t="s">
        <v>20942</v>
      </c>
      <c r="B5633" s="1" t="s">
        <v>18</v>
      </c>
      <c r="C5633" s="1" t="s">
        <v>428</v>
      </c>
      <c r="D5633" s="1" t="s">
        <v>18</v>
      </c>
      <c r="E5633" s="250">
        <v>13931.013000000001</v>
      </c>
    </row>
    <row r="5634" spans="1:5" x14ac:dyDescent="0.35">
      <c r="A5634" s="1" t="s">
        <v>20943</v>
      </c>
      <c r="B5634" s="1" t="s">
        <v>18</v>
      </c>
      <c r="C5634" s="1" t="s">
        <v>427</v>
      </c>
      <c r="D5634" s="1" t="s">
        <v>18</v>
      </c>
      <c r="E5634" s="250">
        <v>13931.013999999999</v>
      </c>
    </row>
    <row r="5635" spans="1:5" x14ac:dyDescent="0.35">
      <c r="A5635" s="1" t="s">
        <v>20944</v>
      </c>
      <c r="B5635" s="1" t="s">
        <v>18</v>
      </c>
      <c r="C5635" s="1" t="s">
        <v>426</v>
      </c>
      <c r="D5635" s="1" t="s">
        <v>18</v>
      </c>
      <c r="E5635" s="250">
        <v>13931.014999999999</v>
      </c>
    </row>
    <row r="5636" spans="1:5" x14ac:dyDescent="0.35">
      <c r="A5636" s="1" t="s">
        <v>20945</v>
      </c>
      <c r="B5636" s="1" t="s">
        <v>18</v>
      </c>
      <c r="C5636" s="1" t="s">
        <v>425</v>
      </c>
      <c r="D5636" s="1" t="s">
        <v>18</v>
      </c>
      <c r="E5636" s="250">
        <v>13931.016</v>
      </c>
    </row>
    <row r="5637" spans="1:5" x14ac:dyDescent="0.35">
      <c r="A5637" s="1" t="s">
        <v>20946</v>
      </c>
      <c r="B5637" s="1" t="s">
        <v>18</v>
      </c>
      <c r="C5637" s="1" t="s">
        <v>424</v>
      </c>
      <c r="D5637" s="1" t="s">
        <v>18</v>
      </c>
      <c r="E5637" s="250">
        <v>13931.017</v>
      </c>
    </row>
    <row r="5638" spans="1:5" x14ac:dyDescent="0.35">
      <c r="A5638" s="1" t="s">
        <v>20947</v>
      </c>
      <c r="B5638" s="1" t="s">
        <v>18</v>
      </c>
      <c r="C5638" s="1" t="s">
        <v>423</v>
      </c>
      <c r="D5638" s="1" t="s">
        <v>18</v>
      </c>
      <c r="E5638" s="250">
        <v>13931.018</v>
      </c>
    </row>
    <row r="5639" spans="1:5" x14ac:dyDescent="0.35">
      <c r="A5639" s="1" t="s">
        <v>20948</v>
      </c>
      <c r="B5639" s="1" t="s">
        <v>57</v>
      </c>
      <c r="C5639" s="1" t="s">
        <v>421</v>
      </c>
      <c r="D5639" s="1" t="s">
        <v>57</v>
      </c>
      <c r="E5639" s="250">
        <v>13931.04</v>
      </c>
    </row>
    <row r="5640" spans="1:5" x14ac:dyDescent="0.35">
      <c r="A5640" s="1" t="s">
        <v>20949</v>
      </c>
      <c r="B5640" s="1" t="s">
        <v>57</v>
      </c>
      <c r="C5640" s="1" t="s">
        <v>422</v>
      </c>
      <c r="D5640" s="1" t="s">
        <v>57</v>
      </c>
      <c r="E5640" s="250">
        <v>13931.040999999999</v>
      </c>
    </row>
    <row r="5641" spans="1:5" x14ac:dyDescent="0.35">
      <c r="A5641" s="1" t="s">
        <v>20950</v>
      </c>
      <c r="B5641" s="1" t="s">
        <v>19</v>
      </c>
      <c r="C5641" s="1" t="s">
        <v>419</v>
      </c>
      <c r="D5641" s="1" t="s">
        <v>19</v>
      </c>
      <c r="E5641" s="250">
        <v>13931.041999999999</v>
      </c>
    </row>
    <row r="5642" spans="1:5" x14ac:dyDescent="0.35">
      <c r="A5642" s="1" t="s">
        <v>20951</v>
      </c>
      <c r="B5642" s="1" t="s">
        <v>19</v>
      </c>
      <c r="C5642" s="1" t="s">
        <v>416</v>
      </c>
      <c r="D5642" s="1" t="s">
        <v>19</v>
      </c>
      <c r="E5642" s="250">
        <v>13931.043</v>
      </c>
    </row>
    <row r="5643" spans="1:5" x14ac:dyDescent="0.35">
      <c r="A5643" s="1" t="s">
        <v>20952</v>
      </c>
      <c r="B5643" s="1" t="s">
        <v>19</v>
      </c>
      <c r="C5643" s="1" t="s">
        <v>415</v>
      </c>
      <c r="D5643" s="1" t="s">
        <v>19</v>
      </c>
      <c r="E5643" s="250">
        <v>13931.044</v>
      </c>
    </row>
    <row r="5644" spans="1:5" x14ac:dyDescent="0.35">
      <c r="A5644" s="1" t="s">
        <v>20953</v>
      </c>
      <c r="B5644" s="1" t="s">
        <v>19</v>
      </c>
      <c r="C5644" s="1" t="s">
        <v>414</v>
      </c>
      <c r="D5644" s="1" t="s">
        <v>19</v>
      </c>
      <c r="E5644" s="250">
        <v>13931.045</v>
      </c>
    </row>
    <row r="5645" spans="1:5" x14ac:dyDescent="0.35">
      <c r="A5645" s="1" t="s">
        <v>20954</v>
      </c>
      <c r="B5645" s="1" t="s">
        <v>19</v>
      </c>
      <c r="C5645" s="1" t="s">
        <v>413</v>
      </c>
      <c r="D5645" s="1" t="s">
        <v>19</v>
      </c>
      <c r="E5645" s="250">
        <v>13931.046</v>
      </c>
    </row>
    <row r="5646" spans="1:5" x14ac:dyDescent="0.35">
      <c r="A5646" s="1" t="s">
        <v>20955</v>
      </c>
      <c r="B5646" s="1" t="s">
        <v>19</v>
      </c>
      <c r="C5646" s="1" t="s">
        <v>412</v>
      </c>
      <c r="D5646" s="1" t="s">
        <v>19</v>
      </c>
      <c r="E5646" s="250">
        <v>13931.047</v>
      </c>
    </row>
    <row r="5647" spans="1:5" x14ac:dyDescent="0.35">
      <c r="A5647" s="1" t="s">
        <v>20956</v>
      </c>
      <c r="B5647" s="1" t="s">
        <v>57</v>
      </c>
      <c r="C5647" s="1" t="s">
        <v>421</v>
      </c>
      <c r="D5647" s="1" t="s">
        <v>57</v>
      </c>
      <c r="E5647" s="250">
        <v>13931.057000000001</v>
      </c>
    </row>
    <row r="5648" spans="1:5" x14ac:dyDescent="0.35">
      <c r="A5648" s="1" t="s">
        <v>20957</v>
      </c>
      <c r="B5648" s="1" t="s">
        <v>57</v>
      </c>
      <c r="C5648" s="1" t="s">
        <v>420</v>
      </c>
      <c r="D5648" s="1" t="s">
        <v>57</v>
      </c>
      <c r="E5648" s="250">
        <v>13931.058000000001</v>
      </c>
    </row>
    <row r="5649" spans="1:5" x14ac:dyDescent="0.35">
      <c r="A5649" s="1" t="s">
        <v>20958</v>
      </c>
      <c r="B5649" s="1" t="s">
        <v>19</v>
      </c>
      <c r="C5649" s="1" t="s">
        <v>419</v>
      </c>
      <c r="D5649" s="1" t="s">
        <v>19</v>
      </c>
      <c r="E5649" s="250">
        <v>13931.058999999999</v>
      </c>
    </row>
    <row r="5650" spans="1:5" x14ac:dyDescent="0.35">
      <c r="A5650" s="1" t="s">
        <v>20959</v>
      </c>
      <c r="B5650" s="1" t="s">
        <v>19</v>
      </c>
      <c r="C5650" s="1" t="s">
        <v>416</v>
      </c>
      <c r="D5650" s="1" t="s">
        <v>19</v>
      </c>
      <c r="E5650" s="250">
        <v>13931.06</v>
      </c>
    </row>
    <row r="5651" spans="1:5" x14ac:dyDescent="0.35">
      <c r="A5651" s="1" t="s">
        <v>20960</v>
      </c>
      <c r="B5651" s="1" t="s">
        <v>19</v>
      </c>
      <c r="C5651" s="1" t="s">
        <v>415</v>
      </c>
      <c r="D5651" s="1" t="s">
        <v>19</v>
      </c>
      <c r="E5651" s="250">
        <v>13931.061</v>
      </c>
    </row>
    <row r="5652" spans="1:5" x14ac:dyDescent="0.35">
      <c r="A5652" s="1" t="s">
        <v>20961</v>
      </c>
      <c r="B5652" s="1" t="s">
        <v>19</v>
      </c>
      <c r="C5652" s="1" t="s">
        <v>414</v>
      </c>
      <c r="D5652" s="1" t="s">
        <v>19</v>
      </c>
      <c r="E5652" s="250">
        <v>13931.062</v>
      </c>
    </row>
    <row r="5653" spans="1:5" x14ac:dyDescent="0.35">
      <c r="A5653" s="1" t="s">
        <v>20962</v>
      </c>
      <c r="B5653" s="1" t="s">
        <v>19</v>
      </c>
      <c r="C5653" s="1" t="s">
        <v>413</v>
      </c>
      <c r="D5653" s="1" t="s">
        <v>19</v>
      </c>
      <c r="E5653" s="250">
        <v>13931.063</v>
      </c>
    </row>
    <row r="5654" spans="1:5" x14ac:dyDescent="0.35">
      <c r="A5654" s="1" t="s">
        <v>20963</v>
      </c>
      <c r="B5654" s="1" t="s">
        <v>19</v>
      </c>
      <c r="C5654" s="1" t="s">
        <v>412</v>
      </c>
      <c r="D5654" s="1" t="s">
        <v>19</v>
      </c>
      <c r="E5654" s="250">
        <v>13931.064</v>
      </c>
    </row>
    <row r="5655" spans="1:5" x14ac:dyDescent="0.35">
      <c r="A5655" s="1" t="s">
        <v>20964</v>
      </c>
      <c r="B5655" s="1" t="s">
        <v>57</v>
      </c>
      <c r="C5655" s="1" t="s">
        <v>418</v>
      </c>
      <c r="D5655" s="1" t="s">
        <v>57</v>
      </c>
      <c r="E5655" s="250">
        <v>13931.074000000001</v>
      </c>
    </row>
    <row r="5656" spans="1:5" x14ac:dyDescent="0.35">
      <c r="A5656" s="1" t="s">
        <v>20965</v>
      </c>
      <c r="B5656" s="1" t="s">
        <v>57</v>
      </c>
      <c r="C5656" s="1" t="s">
        <v>417</v>
      </c>
      <c r="D5656" s="1" t="s">
        <v>57</v>
      </c>
      <c r="E5656" s="250">
        <v>13931.075000000001</v>
      </c>
    </row>
    <row r="5657" spans="1:5" x14ac:dyDescent="0.35">
      <c r="A5657" s="1" t="s">
        <v>20966</v>
      </c>
      <c r="B5657" s="1" t="s">
        <v>19</v>
      </c>
      <c r="C5657" s="1" t="s">
        <v>416</v>
      </c>
      <c r="D5657" s="1" t="s">
        <v>19</v>
      </c>
      <c r="E5657" s="250">
        <v>13931.075999999999</v>
      </c>
    </row>
    <row r="5658" spans="1:5" x14ac:dyDescent="0.35">
      <c r="A5658" s="1" t="s">
        <v>20967</v>
      </c>
      <c r="B5658" s="1" t="s">
        <v>19</v>
      </c>
      <c r="C5658" s="1" t="s">
        <v>415</v>
      </c>
      <c r="D5658" s="1" t="s">
        <v>19</v>
      </c>
      <c r="E5658" s="250">
        <v>13931.076999999999</v>
      </c>
    </row>
    <row r="5659" spans="1:5" x14ac:dyDescent="0.35">
      <c r="A5659" s="1" t="s">
        <v>20968</v>
      </c>
      <c r="B5659" s="1" t="s">
        <v>19</v>
      </c>
      <c r="C5659" s="1" t="s">
        <v>414</v>
      </c>
      <c r="D5659" s="1" t="s">
        <v>19</v>
      </c>
      <c r="E5659" s="250">
        <v>13931.078</v>
      </c>
    </row>
    <row r="5660" spans="1:5" x14ac:dyDescent="0.35">
      <c r="A5660" s="1" t="s">
        <v>20969</v>
      </c>
      <c r="B5660" s="1" t="s">
        <v>19</v>
      </c>
      <c r="C5660" s="1" t="s">
        <v>413</v>
      </c>
      <c r="D5660" s="1" t="s">
        <v>19</v>
      </c>
      <c r="E5660" s="250">
        <v>13931.079</v>
      </c>
    </row>
    <row r="5661" spans="1:5" x14ac:dyDescent="0.35">
      <c r="A5661" s="1" t="s">
        <v>20970</v>
      </c>
      <c r="B5661" s="1" t="s">
        <v>19</v>
      </c>
      <c r="C5661" s="1" t="s">
        <v>412</v>
      </c>
      <c r="D5661" s="1" t="s">
        <v>19</v>
      </c>
      <c r="E5661" s="250">
        <v>13931.08</v>
      </c>
    </row>
    <row r="5662" spans="1:5" x14ac:dyDescent="0.35">
      <c r="A5662" s="1" t="s">
        <v>20971</v>
      </c>
      <c r="B5662" s="1" t="s">
        <v>57</v>
      </c>
      <c r="C5662" s="1" t="s">
        <v>411</v>
      </c>
      <c r="D5662" s="1" t="s">
        <v>57</v>
      </c>
      <c r="E5662" s="250">
        <v>13931.1</v>
      </c>
    </row>
    <row r="5663" spans="1:5" x14ac:dyDescent="0.35">
      <c r="A5663" s="1" t="s">
        <v>20972</v>
      </c>
      <c r="B5663" s="1" t="s">
        <v>18</v>
      </c>
      <c r="C5663" s="1" t="s">
        <v>410</v>
      </c>
      <c r="D5663" s="1" t="s">
        <v>18</v>
      </c>
      <c r="E5663" s="250">
        <v>13931.101000000001</v>
      </c>
    </row>
    <row r="5664" spans="1:5" x14ac:dyDescent="0.35">
      <c r="A5664" s="1" t="s">
        <v>20973</v>
      </c>
      <c r="B5664" s="1" t="s">
        <v>18</v>
      </c>
      <c r="C5664" s="1" t="s">
        <v>409</v>
      </c>
      <c r="D5664" s="1" t="s">
        <v>18</v>
      </c>
      <c r="E5664" s="250">
        <v>13931.102000000001</v>
      </c>
    </row>
    <row r="5665" spans="1:5" x14ac:dyDescent="0.35">
      <c r="A5665" s="1" t="s">
        <v>20974</v>
      </c>
      <c r="B5665" s="1" t="s">
        <v>18</v>
      </c>
      <c r="C5665" s="1" t="s">
        <v>408</v>
      </c>
      <c r="D5665" s="1" t="s">
        <v>18</v>
      </c>
      <c r="E5665" s="250">
        <v>13931.102999999999</v>
      </c>
    </row>
    <row r="5666" spans="1:5" x14ac:dyDescent="0.35">
      <c r="A5666" s="1" t="s">
        <v>20975</v>
      </c>
      <c r="B5666" s="1" t="s">
        <v>18</v>
      </c>
      <c r="C5666" s="1" t="s">
        <v>407</v>
      </c>
      <c r="D5666" s="1" t="s">
        <v>18</v>
      </c>
      <c r="E5666" s="250">
        <v>13931.103999999999</v>
      </c>
    </row>
    <row r="5667" spans="1:5" x14ac:dyDescent="0.35">
      <c r="A5667" s="1" t="s">
        <v>20976</v>
      </c>
      <c r="B5667" s="1" t="s">
        <v>18</v>
      </c>
      <c r="C5667" s="1" t="s">
        <v>406</v>
      </c>
      <c r="D5667" s="1" t="s">
        <v>18</v>
      </c>
      <c r="E5667" s="250">
        <v>13931.105</v>
      </c>
    </row>
    <row r="5668" spans="1:5" x14ac:dyDescent="0.35">
      <c r="A5668" s="1" t="s">
        <v>20977</v>
      </c>
      <c r="B5668" s="1" t="s">
        <v>18</v>
      </c>
      <c r="C5668" s="1" t="s">
        <v>405</v>
      </c>
      <c r="D5668" s="1" t="s">
        <v>18</v>
      </c>
      <c r="E5668" s="250">
        <v>13931.106</v>
      </c>
    </row>
    <row r="5669" spans="1:5" x14ac:dyDescent="0.35">
      <c r="A5669" s="1" t="s">
        <v>20978</v>
      </c>
      <c r="B5669" s="1" t="s">
        <v>18</v>
      </c>
      <c r="C5669" s="1" t="s">
        <v>404</v>
      </c>
      <c r="D5669" s="1" t="s">
        <v>18</v>
      </c>
      <c r="E5669" s="250">
        <v>13931.115</v>
      </c>
    </row>
    <row r="5670" spans="1:5" x14ac:dyDescent="0.35">
      <c r="A5670" s="1" t="s">
        <v>20979</v>
      </c>
      <c r="B5670" s="1" t="s">
        <v>18</v>
      </c>
      <c r="C5670" s="1" t="s">
        <v>403</v>
      </c>
      <c r="D5670" s="1" t="s">
        <v>18</v>
      </c>
      <c r="E5670" s="250">
        <v>13931.116</v>
      </c>
    </row>
    <row r="5671" spans="1:5" x14ac:dyDescent="0.35">
      <c r="A5671" s="1" t="s">
        <v>20980</v>
      </c>
      <c r="B5671" s="1" t="s">
        <v>18</v>
      </c>
      <c r="C5671" s="1" t="s">
        <v>402</v>
      </c>
      <c r="D5671" s="1" t="s">
        <v>18</v>
      </c>
      <c r="E5671" s="250">
        <v>13931.117</v>
      </c>
    </row>
    <row r="5672" spans="1:5" x14ac:dyDescent="0.35">
      <c r="A5672" s="1" t="s">
        <v>20981</v>
      </c>
      <c r="B5672" s="1" t="s">
        <v>18</v>
      </c>
      <c r="C5672" s="1" t="s">
        <v>401</v>
      </c>
      <c r="D5672" s="1" t="s">
        <v>18</v>
      </c>
      <c r="E5672" s="250">
        <v>13931.118</v>
      </c>
    </row>
    <row r="5673" spans="1:5" x14ac:dyDescent="0.35">
      <c r="A5673" s="1" t="s">
        <v>20982</v>
      </c>
      <c r="B5673" s="1" t="s">
        <v>18</v>
      </c>
      <c r="C5673" s="1" t="s">
        <v>400</v>
      </c>
      <c r="D5673" s="1" t="s">
        <v>18</v>
      </c>
      <c r="E5673" s="250">
        <v>13931.119000000001</v>
      </c>
    </row>
    <row r="5674" spans="1:5" x14ac:dyDescent="0.35">
      <c r="A5674" s="1" t="s">
        <v>20983</v>
      </c>
      <c r="B5674" s="1" t="s">
        <v>18</v>
      </c>
      <c r="C5674" s="1" t="s">
        <v>399</v>
      </c>
      <c r="D5674" s="1" t="s">
        <v>18</v>
      </c>
      <c r="E5674" s="250">
        <v>13931.12</v>
      </c>
    </row>
    <row r="5675" spans="1:5" x14ac:dyDescent="0.35">
      <c r="A5675" s="1" t="s">
        <v>20984</v>
      </c>
      <c r="B5675" s="1" t="s">
        <v>18</v>
      </c>
      <c r="C5675" s="1" t="s">
        <v>398</v>
      </c>
      <c r="D5675" s="1" t="s">
        <v>18</v>
      </c>
      <c r="E5675" s="250">
        <v>13931.130999999999</v>
      </c>
    </row>
    <row r="5676" spans="1:5" x14ac:dyDescent="0.35">
      <c r="A5676" s="1" t="s">
        <v>20985</v>
      </c>
      <c r="B5676" s="1" t="s">
        <v>18</v>
      </c>
      <c r="C5676" s="1" t="s">
        <v>397</v>
      </c>
      <c r="D5676" s="1" t="s">
        <v>18</v>
      </c>
      <c r="E5676" s="250">
        <v>13931.132</v>
      </c>
    </row>
    <row r="5677" spans="1:5" x14ac:dyDescent="0.35">
      <c r="A5677" s="1" t="s">
        <v>20986</v>
      </c>
      <c r="B5677" s="1" t="s">
        <v>18</v>
      </c>
      <c r="C5677" s="1" t="s">
        <v>396</v>
      </c>
      <c r="D5677" s="1" t="s">
        <v>18</v>
      </c>
      <c r="E5677" s="250">
        <v>13931.133</v>
      </c>
    </row>
    <row r="5678" spans="1:5" x14ac:dyDescent="0.35">
      <c r="A5678" s="1" t="s">
        <v>20987</v>
      </c>
      <c r="B5678" s="1" t="s">
        <v>18</v>
      </c>
      <c r="C5678" s="1" t="s">
        <v>395</v>
      </c>
      <c r="D5678" s="1" t="s">
        <v>18</v>
      </c>
      <c r="E5678" s="250">
        <v>13931.134</v>
      </c>
    </row>
    <row r="5679" spans="1:5" x14ac:dyDescent="0.35">
      <c r="A5679" s="1" t="s">
        <v>20988</v>
      </c>
      <c r="B5679" s="1" t="s">
        <v>18</v>
      </c>
      <c r="C5679" s="1" t="s">
        <v>394</v>
      </c>
      <c r="D5679" s="1" t="s">
        <v>18</v>
      </c>
      <c r="E5679" s="250">
        <v>13931.135</v>
      </c>
    </row>
    <row r="5680" spans="1:5" x14ac:dyDescent="0.35">
      <c r="A5680" s="1" t="s">
        <v>20989</v>
      </c>
      <c r="B5680" s="1" t="s">
        <v>18</v>
      </c>
      <c r="C5680" s="1" t="s">
        <v>393</v>
      </c>
      <c r="D5680" s="1" t="s">
        <v>18</v>
      </c>
      <c r="E5680" s="250">
        <v>13931.136</v>
      </c>
    </row>
    <row r="5681" spans="1:5" x14ac:dyDescent="0.35">
      <c r="A5681" s="1" t="s">
        <v>20990</v>
      </c>
      <c r="B5681" s="1" t="s">
        <v>57</v>
      </c>
      <c r="C5681" s="1" t="s">
        <v>392</v>
      </c>
      <c r="D5681" s="1" t="s">
        <v>57</v>
      </c>
      <c r="E5681" s="250">
        <v>13931.147000000001</v>
      </c>
    </row>
    <row r="5682" spans="1:5" x14ac:dyDescent="0.35">
      <c r="A5682" s="1" t="s">
        <v>20991</v>
      </c>
      <c r="B5682" s="1" t="s">
        <v>57</v>
      </c>
      <c r="C5682" s="1" t="s">
        <v>391</v>
      </c>
      <c r="D5682" s="1" t="s">
        <v>57</v>
      </c>
      <c r="E5682" s="250">
        <v>13931.147999999999</v>
      </c>
    </row>
    <row r="5683" spans="1:5" x14ac:dyDescent="0.35">
      <c r="A5683" s="1" t="s">
        <v>20992</v>
      </c>
      <c r="B5683" s="1" t="s">
        <v>18</v>
      </c>
      <c r="C5683" s="1" t="s">
        <v>369</v>
      </c>
      <c r="D5683" s="1" t="s">
        <v>18</v>
      </c>
      <c r="E5683" s="250">
        <v>13931.148999999999</v>
      </c>
    </row>
    <row r="5684" spans="1:5" x14ac:dyDescent="0.35">
      <c r="A5684" s="1" t="s">
        <v>20993</v>
      </c>
      <c r="B5684" s="1" t="s">
        <v>18</v>
      </c>
      <c r="C5684" s="1" t="s">
        <v>368</v>
      </c>
      <c r="D5684" s="1" t="s">
        <v>18</v>
      </c>
      <c r="E5684" s="250">
        <v>13931.15</v>
      </c>
    </row>
    <row r="5685" spans="1:5" x14ac:dyDescent="0.35">
      <c r="A5685" s="1" t="s">
        <v>20994</v>
      </c>
      <c r="B5685" s="1" t="s">
        <v>18</v>
      </c>
      <c r="C5685" s="1" t="s">
        <v>367</v>
      </c>
      <c r="D5685" s="1" t="s">
        <v>18</v>
      </c>
      <c r="E5685" s="250">
        <v>13931.151</v>
      </c>
    </row>
    <row r="5686" spans="1:5" x14ac:dyDescent="0.35">
      <c r="A5686" s="1" t="s">
        <v>20995</v>
      </c>
      <c r="B5686" s="1" t="s">
        <v>18</v>
      </c>
      <c r="C5686" s="1" t="s">
        <v>366</v>
      </c>
      <c r="D5686" s="1" t="s">
        <v>18</v>
      </c>
      <c r="E5686" s="250">
        <v>13931.152</v>
      </c>
    </row>
    <row r="5687" spans="1:5" x14ac:dyDescent="0.35">
      <c r="A5687" s="1" t="s">
        <v>20996</v>
      </c>
      <c r="B5687" s="1" t="s">
        <v>18</v>
      </c>
      <c r="C5687" s="1" t="s">
        <v>365</v>
      </c>
      <c r="D5687" s="1" t="s">
        <v>18</v>
      </c>
      <c r="E5687" s="250">
        <v>13931.153</v>
      </c>
    </row>
    <row r="5688" spans="1:5" x14ac:dyDescent="0.35">
      <c r="A5688" s="1" t="s">
        <v>20997</v>
      </c>
      <c r="B5688" s="1" t="s">
        <v>18</v>
      </c>
      <c r="C5688" s="1" t="s">
        <v>364</v>
      </c>
      <c r="D5688" s="1" t="s">
        <v>18</v>
      </c>
      <c r="E5688" s="250">
        <v>13931.154</v>
      </c>
    </row>
    <row r="5689" spans="1:5" x14ac:dyDescent="0.35">
      <c r="A5689" s="1" t="s">
        <v>20998</v>
      </c>
      <c r="B5689" s="1" t="s">
        <v>18</v>
      </c>
      <c r="C5689" s="1" t="s">
        <v>363</v>
      </c>
      <c r="D5689" s="1" t="s">
        <v>18</v>
      </c>
      <c r="E5689" s="250">
        <v>13931.155000000001</v>
      </c>
    </row>
    <row r="5690" spans="1:5" x14ac:dyDescent="0.35">
      <c r="A5690" s="1" t="s">
        <v>20999</v>
      </c>
      <c r="B5690" s="1" t="s">
        <v>18</v>
      </c>
      <c r="C5690" s="1" t="s">
        <v>362</v>
      </c>
      <c r="D5690" s="1" t="s">
        <v>18</v>
      </c>
      <c r="E5690" s="250">
        <v>13931.156000000001</v>
      </c>
    </row>
    <row r="5691" spans="1:5" x14ac:dyDescent="0.35">
      <c r="A5691" s="1" t="s">
        <v>21000</v>
      </c>
      <c r="B5691" s="1" t="s">
        <v>18</v>
      </c>
      <c r="C5691" s="1" t="s">
        <v>361</v>
      </c>
      <c r="D5691" s="1" t="s">
        <v>18</v>
      </c>
      <c r="E5691" s="250">
        <v>13931.156999999999</v>
      </c>
    </row>
    <row r="5692" spans="1:5" x14ac:dyDescent="0.35">
      <c r="A5692" s="1" t="s">
        <v>21001</v>
      </c>
      <c r="B5692" s="1" t="s">
        <v>18</v>
      </c>
      <c r="C5692" s="1" t="s">
        <v>360</v>
      </c>
      <c r="D5692" s="1" t="s">
        <v>18</v>
      </c>
      <c r="E5692" s="250">
        <v>13931.157999999999</v>
      </c>
    </row>
    <row r="5693" spans="1:5" x14ac:dyDescent="0.35">
      <c r="A5693" s="1" t="s">
        <v>21002</v>
      </c>
      <c r="B5693" s="1" t="s">
        <v>18</v>
      </c>
      <c r="C5693" s="1" t="s">
        <v>359</v>
      </c>
      <c r="D5693" s="1" t="s">
        <v>18</v>
      </c>
      <c r="E5693" s="250">
        <v>13931.159</v>
      </c>
    </row>
    <row r="5694" spans="1:5" x14ac:dyDescent="0.35">
      <c r="A5694" s="1" t="s">
        <v>21003</v>
      </c>
      <c r="B5694" s="1" t="s">
        <v>18</v>
      </c>
      <c r="C5694" s="1" t="s">
        <v>358</v>
      </c>
      <c r="D5694" s="1" t="s">
        <v>18</v>
      </c>
      <c r="E5694" s="250">
        <v>13931.16</v>
      </c>
    </row>
    <row r="5695" spans="1:5" x14ac:dyDescent="0.35">
      <c r="A5695" s="1" t="s">
        <v>21004</v>
      </c>
      <c r="B5695" s="1" t="s">
        <v>18</v>
      </c>
      <c r="C5695" s="1" t="s">
        <v>357</v>
      </c>
      <c r="D5695" s="1" t="s">
        <v>18</v>
      </c>
      <c r="E5695" s="250">
        <v>13931.161</v>
      </c>
    </row>
    <row r="5696" spans="1:5" x14ac:dyDescent="0.35">
      <c r="A5696" s="1" t="s">
        <v>21005</v>
      </c>
      <c r="B5696" s="1" t="s">
        <v>18</v>
      </c>
      <c r="C5696" s="1" t="s">
        <v>356</v>
      </c>
      <c r="D5696" s="1" t="s">
        <v>18</v>
      </c>
      <c r="E5696" s="250">
        <v>13931.162</v>
      </c>
    </row>
    <row r="5697" spans="1:5" x14ac:dyDescent="0.35">
      <c r="A5697" s="1" t="s">
        <v>21006</v>
      </c>
      <c r="B5697" s="1" t="s">
        <v>57</v>
      </c>
      <c r="C5697" s="1" t="s">
        <v>390</v>
      </c>
      <c r="D5697" s="1" t="s">
        <v>57</v>
      </c>
      <c r="E5697" s="250">
        <v>13931.166999999999</v>
      </c>
    </row>
    <row r="5698" spans="1:5" x14ac:dyDescent="0.35">
      <c r="A5698" s="1" t="s">
        <v>21007</v>
      </c>
      <c r="B5698" s="1" t="s">
        <v>18</v>
      </c>
      <c r="C5698" s="1" t="s">
        <v>354</v>
      </c>
      <c r="D5698" s="1" t="s">
        <v>18</v>
      </c>
      <c r="E5698" s="250">
        <v>13931.168</v>
      </c>
    </row>
    <row r="5699" spans="1:5" x14ac:dyDescent="0.35">
      <c r="A5699" s="1" t="s">
        <v>21008</v>
      </c>
      <c r="B5699" s="1" t="s">
        <v>18</v>
      </c>
      <c r="C5699" s="1" t="s">
        <v>353</v>
      </c>
      <c r="D5699" s="1" t="s">
        <v>18</v>
      </c>
      <c r="E5699" s="250">
        <v>13931.169</v>
      </c>
    </row>
    <row r="5700" spans="1:5" x14ac:dyDescent="0.35">
      <c r="A5700" s="1" t="s">
        <v>21009</v>
      </c>
      <c r="B5700" s="1" t="s">
        <v>18</v>
      </c>
      <c r="C5700" s="1" t="s">
        <v>352</v>
      </c>
      <c r="D5700" s="1" t="s">
        <v>18</v>
      </c>
      <c r="E5700" s="250">
        <v>13931.17</v>
      </c>
    </row>
    <row r="5701" spans="1:5" x14ac:dyDescent="0.35">
      <c r="A5701" s="1" t="s">
        <v>21010</v>
      </c>
      <c r="B5701" s="1" t="s">
        <v>18</v>
      </c>
      <c r="C5701" s="1" t="s">
        <v>351</v>
      </c>
      <c r="D5701" s="1" t="s">
        <v>18</v>
      </c>
      <c r="E5701" s="250">
        <v>13931.171</v>
      </c>
    </row>
    <row r="5702" spans="1:5" x14ac:dyDescent="0.35">
      <c r="A5702" s="1" t="s">
        <v>21011</v>
      </c>
      <c r="B5702" s="1" t="s">
        <v>18</v>
      </c>
      <c r="C5702" s="1" t="s">
        <v>350</v>
      </c>
      <c r="D5702" s="1" t="s">
        <v>18</v>
      </c>
      <c r="E5702" s="250">
        <v>13931.172</v>
      </c>
    </row>
    <row r="5703" spans="1:5" x14ac:dyDescent="0.35">
      <c r="A5703" s="1" t="s">
        <v>21012</v>
      </c>
      <c r="B5703" s="1" t="s">
        <v>18</v>
      </c>
      <c r="C5703" s="1" t="s">
        <v>349</v>
      </c>
      <c r="D5703" s="1" t="s">
        <v>18</v>
      </c>
      <c r="E5703" s="250">
        <v>13931.173000000001</v>
      </c>
    </row>
    <row r="5704" spans="1:5" x14ac:dyDescent="0.35">
      <c r="A5704" s="1" t="s">
        <v>21013</v>
      </c>
      <c r="B5704" s="1" t="s">
        <v>18</v>
      </c>
      <c r="C5704" s="1" t="s">
        <v>348</v>
      </c>
      <c r="D5704" s="1" t="s">
        <v>18</v>
      </c>
      <c r="E5704" s="250">
        <v>13931.174000000001</v>
      </c>
    </row>
    <row r="5705" spans="1:5" x14ac:dyDescent="0.35">
      <c r="A5705" s="1" t="s">
        <v>21014</v>
      </c>
      <c r="B5705" s="1" t="s">
        <v>18</v>
      </c>
      <c r="C5705" s="1" t="s">
        <v>347</v>
      </c>
      <c r="D5705" s="1" t="s">
        <v>18</v>
      </c>
      <c r="E5705" s="250">
        <v>13931.174999999999</v>
      </c>
    </row>
    <row r="5706" spans="1:5" x14ac:dyDescent="0.35">
      <c r="A5706" s="1" t="s">
        <v>21015</v>
      </c>
      <c r="B5706" s="1" t="s">
        <v>18</v>
      </c>
      <c r="C5706" s="1" t="s">
        <v>346</v>
      </c>
      <c r="D5706" s="1" t="s">
        <v>18</v>
      </c>
      <c r="E5706" s="250">
        <v>13931.175999999999</v>
      </c>
    </row>
    <row r="5707" spans="1:5" x14ac:dyDescent="0.35">
      <c r="A5707" s="1" t="s">
        <v>21016</v>
      </c>
      <c r="B5707" s="1" t="s">
        <v>18</v>
      </c>
      <c r="C5707" s="1" t="s">
        <v>345</v>
      </c>
      <c r="D5707" s="1" t="s">
        <v>18</v>
      </c>
      <c r="E5707" s="250">
        <v>13931.177</v>
      </c>
    </row>
    <row r="5708" spans="1:5" x14ac:dyDescent="0.35">
      <c r="A5708" s="1" t="s">
        <v>21017</v>
      </c>
      <c r="B5708" s="1" t="s">
        <v>18</v>
      </c>
      <c r="C5708" s="1" t="s">
        <v>344</v>
      </c>
      <c r="D5708" s="1" t="s">
        <v>18</v>
      </c>
      <c r="E5708" s="250">
        <v>13931.178</v>
      </c>
    </row>
    <row r="5709" spans="1:5" x14ac:dyDescent="0.35">
      <c r="A5709" s="1" t="s">
        <v>21018</v>
      </c>
      <c r="B5709" s="1" t="s">
        <v>18</v>
      </c>
      <c r="C5709" s="1" t="s">
        <v>343</v>
      </c>
      <c r="D5709" s="1" t="s">
        <v>18</v>
      </c>
      <c r="E5709" s="250">
        <v>13931.179</v>
      </c>
    </row>
    <row r="5710" spans="1:5" x14ac:dyDescent="0.35">
      <c r="A5710" s="1" t="s">
        <v>21019</v>
      </c>
      <c r="B5710" s="1" t="s">
        <v>18</v>
      </c>
      <c r="C5710" s="1" t="s">
        <v>342</v>
      </c>
      <c r="D5710" s="1" t="s">
        <v>18</v>
      </c>
      <c r="E5710" s="250">
        <v>13931.18</v>
      </c>
    </row>
    <row r="5711" spans="1:5" x14ac:dyDescent="0.35">
      <c r="A5711" s="1" t="s">
        <v>21020</v>
      </c>
      <c r="B5711" s="1" t="s">
        <v>18</v>
      </c>
      <c r="C5711" s="1" t="s">
        <v>341</v>
      </c>
      <c r="D5711" s="1" t="s">
        <v>18</v>
      </c>
      <c r="E5711" s="250">
        <v>13931.181</v>
      </c>
    </row>
    <row r="5712" spans="1:5" x14ac:dyDescent="0.35">
      <c r="A5712" s="1" t="s">
        <v>21021</v>
      </c>
      <c r="B5712" s="1" t="s">
        <v>18</v>
      </c>
      <c r="C5712" s="1" t="s">
        <v>389</v>
      </c>
      <c r="D5712" s="1" t="s">
        <v>18</v>
      </c>
      <c r="E5712" s="250">
        <v>13931.19</v>
      </c>
    </row>
    <row r="5713" spans="1:5" x14ac:dyDescent="0.35">
      <c r="A5713" s="1" t="s">
        <v>21022</v>
      </c>
      <c r="B5713" s="1" t="s">
        <v>18</v>
      </c>
      <c r="C5713" s="1" t="s">
        <v>388</v>
      </c>
      <c r="D5713" s="1" t="s">
        <v>18</v>
      </c>
      <c r="E5713" s="250">
        <v>13931.191000000001</v>
      </c>
    </row>
    <row r="5714" spans="1:5" x14ac:dyDescent="0.35">
      <c r="A5714" s="1" t="s">
        <v>21023</v>
      </c>
      <c r="B5714" s="1" t="s">
        <v>18</v>
      </c>
      <c r="C5714" s="1" t="s">
        <v>387</v>
      </c>
      <c r="D5714" s="1" t="s">
        <v>18</v>
      </c>
      <c r="E5714" s="250">
        <v>13931.191999999999</v>
      </c>
    </row>
    <row r="5715" spans="1:5" x14ac:dyDescent="0.35">
      <c r="A5715" s="1" t="s">
        <v>21024</v>
      </c>
      <c r="B5715" s="1" t="s">
        <v>18</v>
      </c>
      <c r="C5715" s="1" t="s">
        <v>386</v>
      </c>
      <c r="D5715" s="1" t="s">
        <v>18</v>
      </c>
      <c r="E5715" s="250">
        <v>13931.192999999999</v>
      </c>
    </row>
    <row r="5716" spans="1:5" x14ac:dyDescent="0.35">
      <c r="A5716" s="1" t="s">
        <v>21025</v>
      </c>
      <c r="B5716" s="1" t="s">
        <v>18</v>
      </c>
      <c r="C5716" s="1" t="s">
        <v>385</v>
      </c>
      <c r="D5716" s="1" t="s">
        <v>18</v>
      </c>
      <c r="E5716" s="250">
        <v>13931.194</v>
      </c>
    </row>
    <row r="5717" spans="1:5" x14ac:dyDescent="0.35">
      <c r="A5717" s="1" t="s">
        <v>21026</v>
      </c>
      <c r="B5717" s="1" t="s">
        <v>18</v>
      </c>
      <c r="C5717" s="1" t="s">
        <v>384</v>
      </c>
      <c r="D5717" s="1" t="s">
        <v>18</v>
      </c>
      <c r="E5717" s="250">
        <v>13931.195</v>
      </c>
    </row>
    <row r="5718" spans="1:5" x14ac:dyDescent="0.35">
      <c r="A5718" s="1" t="s">
        <v>21027</v>
      </c>
      <c r="B5718" s="1" t="s">
        <v>18</v>
      </c>
      <c r="C5718" s="1" t="s">
        <v>383</v>
      </c>
      <c r="D5718" s="1" t="s">
        <v>18</v>
      </c>
      <c r="E5718" s="250">
        <v>13931.196</v>
      </c>
    </row>
    <row r="5719" spans="1:5" x14ac:dyDescent="0.35">
      <c r="A5719" s="1" t="s">
        <v>21028</v>
      </c>
      <c r="B5719" s="1" t="s">
        <v>18</v>
      </c>
      <c r="C5719" s="1" t="s">
        <v>382</v>
      </c>
      <c r="D5719" s="1" t="s">
        <v>18</v>
      </c>
      <c r="E5719" s="250">
        <v>13931.197</v>
      </c>
    </row>
    <row r="5720" spans="1:5" x14ac:dyDescent="0.35">
      <c r="A5720" s="1" t="s">
        <v>21029</v>
      </c>
      <c r="B5720" s="1" t="s">
        <v>18</v>
      </c>
      <c r="C5720" s="1" t="s">
        <v>381</v>
      </c>
      <c r="D5720" s="1" t="s">
        <v>18</v>
      </c>
      <c r="E5720" s="250">
        <v>13931.198</v>
      </c>
    </row>
    <row r="5721" spans="1:5" x14ac:dyDescent="0.35">
      <c r="A5721" s="1" t="s">
        <v>21030</v>
      </c>
      <c r="B5721" s="1" t="s">
        <v>18</v>
      </c>
      <c r="C5721" s="1" t="s">
        <v>380</v>
      </c>
      <c r="D5721" s="1" t="s">
        <v>18</v>
      </c>
      <c r="E5721" s="250">
        <v>13931.21</v>
      </c>
    </row>
    <row r="5722" spans="1:5" x14ac:dyDescent="0.35">
      <c r="A5722" s="1" t="s">
        <v>21031</v>
      </c>
      <c r="B5722" s="1" t="s">
        <v>18</v>
      </c>
      <c r="C5722" s="1" t="s">
        <v>379</v>
      </c>
      <c r="D5722" s="1" t="s">
        <v>18</v>
      </c>
      <c r="E5722" s="250">
        <v>13931.210999999999</v>
      </c>
    </row>
    <row r="5723" spans="1:5" x14ac:dyDescent="0.35">
      <c r="A5723" s="1" t="s">
        <v>21032</v>
      </c>
      <c r="B5723" s="1" t="s">
        <v>18</v>
      </c>
      <c r="C5723" s="1" t="s">
        <v>378</v>
      </c>
      <c r="D5723" s="1" t="s">
        <v>18</v>
      </c>
      <c r="E5723" s="250">
        <v>13931.212</v>
      </c>
    </row>
    <row r="5724" spans="1:5" x14ac:dyDescent="0.35">
      <c r="A5724" s="1" t="s">
        <v>21033</v>
      </c>
      <c r="B5724" s="1" t="s">
        <v>18</v>
      </c>
      <c r="C5724" s="1" t="s">
        <v>377</v>
      </c>
      <c r="D5724" s="1" t="s">
        <v>18</v>
      </c>
      <c r="E5724" s="250">
        <v>13931.213</v>
      </c>
    </row>
    <row r="5725" spans="1:5" x14ac:dyDescent="0.35">
      <c r="A5725" s="1" t="s">
        <v>21034</v>
      </c>
      <c r="B5725" s="1" t="s">
        <v>18</v>
      </c>
      <c r="C5725" s="1" t="s">
        <v>376</v>
      </c>
      <c r="D5725" s="1" t="s">
        <v>18</v>
      </c>
      <c r="E5725" s="250">
        <v>13931.214</v>
      </c>
    </row>
    <row r="5726" spans="1:5" x14ac:dyDescent="0.35">
      <c r="A5726" s="1" t="s">
        <v>21035</v>
      </c>
      <c r="B5726" s="1" t="s">
        <v>18</v>
      </c>
      <c r="C5726" s="1" t="s">
        <v>375</v>
      </c>
      <c r="D5726" s="1" t="s">
        <v>18</v>
      </c>
      <c r="E5726" s="250">
        <v>13931.215</v>
      </c>
    </row>
    <row r="5727" spans="1:5" x14ac:dyDescent="0.35">
      <c r="A5727" s="1" t="s">
        <v>21036</v>
      </c>
      <c r="B5727" s="1" t="s">
        <v>18</v>
      </c>
      <c r="C5727" s="1" t="s">
        <v>374</v>
      </c>
      <c r="D5727" s="1" t="s">
        <v>18</v>
      </c>
      <c r="E5727" s="250">
        <v>13931.216</v>
      </c>
    </row>
    <row r="5728" spans="1:5" x14ac:dyDescent="0.35">
      <c r="A5728" s="1" t="s">
        <v>21037</v>
      </c>
      <c r="B5728" s="1" t="s">
        <v>18</v>
      </c>
      <c r="C5728" s="1" t="s">
        <v>373</v>
      </c>
      <c r="D5728" s="1" t="s">
        <v>18</v>
      </c>
      <c r="E5728" s="250">
        <v>13931.217000000001</v>
      </c>
    </row>
    <row r="5729" spans="1:5" x14ac:dyDescent="0.35">
      <c r="A5729" s="1" t="s">
        <v>21038</v>
      </c>
      <c r="B5729" s="1" t="s">
        <v>18</v>
      </c>
      <c r="C5729" s="1" t="s">
        <v>372</v>
      </c>
      <c r="D5729" s="1" t="s">
        <v>18</v>
      </c>
      <c r="E5729" s="250">
        <v>13931.218000000001</v>
      </c>
    </row>
    <row r="5730" spans="1:5" x14ac:dyDescent="0.35">
      <c r="A5730" s="1" t="s">
        <v>21039</v>
      </c>
      <c r="B5730" s="1" t="s">
        <v>57</v>
      </c>
      <c r="C5730" s="1" t="s">
        <v>371</v>
      </c>
      <c r="D5730" s="1" t="s">
        <v>57</v>
      </c>
      <c r="E5730" s="250">
        <v>13931.228999999999</v>
      </c>
    </row>
    <row r="5731" spans="1:5" x14ac:dyDescent="0.35">
      <c r="A5731" s="1" t="s">
        <v>21040</v>
      </c>
      <c r="B5731" s="1" t="s">
        <v>18</v>
      </c>
      <c r="C5731" s="1" t="s">
        <v>369</v>
      </c>
      <c r="D5731" s="1" t="s">
        <v>18</v>
      </c>
      <c r="E5731" s="250">
        <v>13931.23</v>
      </c>
    </row>
    <row r="5732" spans="1:5" x14ac:dyDescent="0.35">
      <c r="A5732" s="1" t="s">
        <v>21041</v>
      </c>
      <c r="B5732" s="1" t="s">
        <v>18</v>
      </c>
      <c r="C5732" s="1" t="s">
        <v>368</v>
      </c>
      <c r="D5732" s="1" t="s">
        <v>18</v>
      </c>
      <c r="E5732" s="250">
        <v>13931.231</v>
      </c>
    </row>
    <row r="5733" spans="1:5" x14ac:dyDescent="0.35">
      <c r="A5733" s="1" t="s">
        <v>21042</v>
      </c>
      <c r="B5733" s="1" t="s">
        <v>18</v>
      </c>
      <c r="C5733" s="1" t="s">
        <v>367</v>
      </c>
      <c r="D5733" s="1" t="s">
        <v>18</v>
      </c>
      <c r="E5733" s="250">
        <v>13931.232</v>
      </c>
    </row>
    <row r="5734" spans="1:5" x14ac:dyDescent="0.35">
      <c r="A5734" s="1" t="s">
        <v>21043</v>
      </c>
      <c r="B5734" s="1" t="s">
        <v>18</v>
      </c>
      <c r="C5734" s="1" t="s">
        <v>366</v>
      </c>
      <c r="D5734" s="1" t="s">
        <v>18</v>
      </c>
      <c r="E5734" s="250">
        <v>13931.233</v>
      </c>
    </row>
    <row r="5735" spans="1:5" x14ac:dyDescent="0.35">
      <c r="A5735" s="1" t="s">
        <v>21044</v>
      </c>
      <c r="B5735" s="1" t="s">
        <v>18</v>
      </c>
      <c r="C5735" s="1" t="s">
        <v>365</v>
      </c>
      <c r="D5735" s="1" t="s">
        <v>18</v>
      </c>
      <c r="E5735" s="250">
        <v>13931.234</v>
      </c>
    </row>
    <row r="5736" spans="1:5" x14ac:dyDescent="0.35">
      <c r="A5736" s="1" t="s">
        <v>21045</v>
      </c>
      <c r="B5736" s="1" t="s">
        <v>18</v>
      </c>
      <c r="C5736" s="1" t="s">
        <v>364</v>
      </c>
      <c r="D5736" s="1" t="s">
        <v>18</v>
      </c>
      <c r="E5736" s="250">
        <v>13931.235000000001</v>
      </c>
    </row>
    <row r="5737" spans="1:5" x14ac:dyDescent="0.35">
      <c r="A5737" s="1" t="s">
        <v>21046</v>
      </c>
      <c r="B5737" s="1" t="s">
        <v>18</v>
      </c>
      <c r="C5737" s="1" t="s">
        <v>363</v>
      </c>
      <c r="D5737" s="1" t="s">
        <v>18</v>
      </c>
      <c r="E5737" s="250">
        <v>13931.236000000001</v>
      </c>
    </row>
    <row r="5738" spans="1:5" x14ac:dyDescent="0.35">
      <c r="A5738" s="1" t="s">
        <v>21047</v>
      </c>
      <c r="B5738" s="1" t="s">
        <v>18</v>
      </c>
      <c r="C5738" s="1" t="s">
        <v>362</v>
      </c>
      <c r="D5738" s="1" t="s">
        <v>18</v>
      </c>
      <c r="E5738" s="250">
        <v>13931.236999999999</v>
      </c>
    </row>
    <row r="5739" spans="1:5" x14ac:dyDescent="0.35">
      <c r="A5739" s="1" t="s">
        <v>21048</v>
      </c>
      <c r="B5739" s="1" t="s">
        <v>18</v>
      </c>
      <c r="C5739" s="1" t="s">
        <v>361</v>
      </c>
      <c r="D5739" s="1" t="s">
        <v>18</v>
      </c>
      <c r="E5739" s="250">
        <v>13931.237999999999</v>
      </c>
    </row>
    <row r="5740" spans="1:5" x14ac:dyDescent="0.35">
      <c r="A5740" s="1" t="s">
        <v>21049</v>
      </c>
      <c r="B5740" s="1" t="s">
        <v>18</v>
      </c>
      <c r="C5740" s="1" t="s">
        <v>360</v>
      </c>
      <c r="D5740" s="1" t="s">
        <v>18</v>
      </c>
      <c r="E5740" s="250">
        <v>13931.239</v>
      </c>
    </row>
    <row r="5741" spans="1:5" x14ac:dyDescent="0.35">
      <c r="A5741" s="1" t="s">
        <v>21050</v>
      </c>
      <c r="B5741" s="1" t="s">
        <v>18</v>
      </c>
      <c r="C5741" s="1" t="s">
        <v>359</v>
      </c>
      <c r="D5741" s="1" t="s">
        <v>18</v>
      </c>
      <c r="E5741" s="250">
        <v>13931.24</v>
      </c>
    </row>
    <row r="5742" spans="1:5" x14ac:dyDescent="0.35">
      <c r="A5742" s="1" t="s">
        <v>21051</v>
      </c>
      <c r="B5742" s="1" t="s">
        <v>18</v>
      </c>
      <c r="C5742" s="1" t="s">
        <v>358</v>
      </c>
      <c r="D5742" s="1" t="s">
        <v>18</v>
      </c>
      <c r="E5742" s="250">
        <v>13931.241</v>
      </c>
    </row>
    <row r="5743" spans="1:5" x14ac:dyDescent="0.35">
      <c r="A5743" s="1" t="s">
        <v>21052</v>
      </c>
      <c r="B5743" s="1" t="s">
        <v>18</v>
      </c>
      <c r="C5743" s="1" t="s">
        <v>357</v>
      </c>
      <c r="D5743" s="1" t="s">
        <v>18</v>
      </c>
      <c r="E5743" s="250">
        <v>13931.242</v>
      </c>
    </row>
    <row r="5744" spans="1:5" x14ac:dyDescent="0.35">
      <c r="A5744" s="1" t="s">
        <v>21053</v>
      </c>
      <c r="B5744" s="1" t="s">
        <v>18</v>
      </c>
      <c r="C5744" s="1" t="s">
        <v>356</v>
      </c>
      <c r="D5744" s="1" t="s">
        <v>18</v>
      </c>
      <c r="E5744" s="250">
        <v>13931.243</v>
      </c>
    </row>
    <row r="5745" spans="1:5" x14ac:dyDescent="0.35">
      <c r="A5745" s="1" t="s">
        <v>21054</v>
      </c>
      <c r="B5745" s="1" t="s">
        <v>57</v>
      </c>
      <c r="C5745" s="1" t="s">
        <v>370</v>
      </c>
      <c r="D5745" s="1" t="s">
        <v>57</v>
      </c>
      <c r="E5745" s="250">
        <v>13931.249</v>
      </c>
    </row>
    <row r="5746" spans="1:5" x14ac:dyDescent="0.35">
      <c r="A5746" s="1" t="s">
        <v>21055</v>
      </c>
      <c r="B5746" s="1" t="s">
        <v>18</v>
      </c>
      <c r="C5746" s="1" t="s">
        <v>369</v>
      </c>
      <c r="D5746" s="1" t="s">
        <v>18</v>
      </c>
      <c r="E5746" s="250">
        <v>13931.25</v>
      </c>
    </row>
    <row r="5747" spans="1:5" x14ac:dyDescent="0.35">
      <c r="A5747" s="1" t="s">
        <v>21056</v>
      </c>
      <c r="B5747" s="1" t="s">
        <v>18</v>
      </c>
      <c r="C5747" s="1" t="s">
        <v>368</v>
      </c>
      <c r="D5747" s="1" t="s">
        <v>18</v>
      </c>
      <c r="E5747" s="250">
        <v>13931.251</v>
      </c>
    </row>
    <row r="5748" spans="1:5" x14ac:dyDescent="0.35">
      <c r="A5748" s="1" t="s">
        <v>21057</v>
      </c>
      <c r="B5748" s="1" t="s">
        <v>18</v>
      </c>
      <c r="C5748" s="1" t="s">
        <v>367</v>
      </c>
      <c r="D5748" s="1" t="s">
        <v>18</v>
      </c>
      <c r="E5748" s="250">
        <v>13931.252</v>
      </c>
    </row>
    <row r="5749" spans="1:5" x14ac:dyDescent="0.35">
      <c r="A5749" s="1" t="s">
        <v>21058</v>
      </c>
      <c r="B5749" s="1" t="s">
        <v>18</v>
      </c>
      <c r="C5749" s="1" t="s">
        <v>366</v>
      </c>
      <c r="D5749" s="1" t="s">
        <v>18</v>
      </c>
      <c r="E5749" s="250">
        <v>13931.253000000001</v>
      </c>
    </row>
    <row r="5750" spans="1:5" x14ac:dyDescent="0.35">
      <c r="A5750" s="1" t="s">
        <v>21059</v>
      </c>
      <c r="B5750" s="1" t="s">
        <v>18</v>
      </c>
      <c r="C5750" s="1" t="s">
        <v>365</v>
      </c>
      <c r="D5750" s="1" t="s">
        <v>18</v>
      </c>
      <c r="E5750" s="250">
        <v>13931.254000000001</v>
      </c>
    </row>
    <row r="5751" spans="1:5" x14ac:dyDescent="0.35">
      <c r="A5751" s="1" t="s">
        <v>21060</v>
      </c>
      <c r="B5751" s="1" t="s">
        <v>18</v>
      </c>
      <c r="C5751" s="1" t="s">
        <v>364</v>
      </c>
      <c r="D5751" s="1" t="s">
        <v>18</v>
      </c>
      <c r="E5751" s="250">
        <v>13931.254999999999</v>
      </c>
    </row>
    <row r="5752" spans="1:5" x14ac:dyDescent="0.35">
      <c r="A5752" s="1" t="s">
        <v>21061</v>
      </c>
      <c r="B5752" s="1" t="s">
        <v>18</v>
      </c>
      <c r="C5752" s="1" t="s">
        <v>363</v>
      </c>
      <c r="D5752" s="1" t="s">
        <v>18</v>
      </c>
      <c r="E5752" s="250">
        <v>13931.255999999999</v>
      </c>
    </row>
    <row r="5753" spans="1:5" x14ac:dyDescent="0.35">
      <c r="A5753" s="1" t="s">
        <v>21062</v>
      </c>
      <c r="B5753" s="1" t="s">
        <v>18</v>
      </c>
      <c r="C5753" s="1" t="s">
        <v>362</v>
      </c>
      <c r="D5753" s="1" t="s">
        <v>18</v>
      </c>
      <c r="E5753" s="250">
        <v>13931.257</v>
      </c>
    </row>
    <row r="5754" spans="1:5" x14ac:dyDescent="0.35">
      <c r="A5754" s="1" t="s">
        <v>21063</v>
      </c>
      <c r="B5754" s="1" t="s">
        <v>18</v>
      </c>
      <c r="C5754" s="1" t="s">
        <v>361</v>
      </c>
      <c r="D5754" s="1" t="s">
        <v>18</v>
      </c>
      <c r="E5754" s="250">
        <v>13931.258</v>
      </c>
    </row>
    <row r="5755" spans="1:5" x14ac:dyDescent="0.35">
      <c r="A5755" s="1" t="s">
        <v>21064</v>
      </c>
      <c r="B5755" s="1" t="s">
        <v>18</v>
      </c>
      <c r="C5755" s="1" t="s">
        <v>360</v>
      </c>
      <c r="D5755" s="1" t="s">
        <v>18</v>
      </c>
      <c r="E5755" s="250">
        <v>13931.259</v>
      </c>
    </row>
    <row r="5756" spans="1:5" x14ac:dyDescent="0.35">
      <c r="A5756" s="1" t="s">
        <v>21065</v>
      </c>
      <c r="B5756" s="1" t="s">
        <v>18</v>
      </c>
      <c r="C5756" s="1" t="s">
        <v>359</v>
      </c>
      <c r="D5756" s="1" t="s">
        <v>18</v>
      </c>
      <c r="E5756" s="250">
        <v>13931.26</v>
      </c>
    </row>
    <row r="5757" spans="1:5" x14ac:dyDescent="0.35">
      <c r="A5757" s="1" t="s">
        <v>21066</v>
      </c>
      <c r="B5757" s="1" t="s">
        <v>18</v>
      </c>
      <c r="C5757" s="1" t="s">
        <v>358</v>
      </c>
      <c r="D5757" s="1" t="s">
        <v>18</v>
      </c>
      <c r="E5757" s="250">
        <v>13931.261</v>
      </c>
    </row>
    <row r="5758" spans="1:5" x14ac:dyDescent="0.35">
      <c r="A5758" s="1" t="s">
        <v>21067</v>
      </c>
      <c r="B5758" s="1" t="s">
        <v>18</v>
      </c>
      <c r="C5758" s="1" t="s">
        <v>357</v>
      </c>
      <c r="D5758" s="1" t="s">
        <v>18</v>
      </c>
      <c r="E5758" s="250">
        <v>13931.262000000001</v>
      </c>
    </row>
    <row r="5759" spans="1:5" x14ac:dyDescent="0.35">
      <c r="A5759" s="1" t="s">
        <v>21068</v>
      </c>
      <c r="B5759" s="1" t="s">
        <v>18</v>
      </c>
      <c r="C5759" s="1" t="s">
        <v>356</v>
      </c>
      <c r="D5759" s="1" t="s">
        <v>18</v>
      </c>
      <c r="E5759" s="250">
        <v>13931.263000000001</v>
      </c>
    </row>
    <row r="5760" spans="1:5" x14ac:dyDescent="0.35">
      <c r="A5760" s="1" t="s">
        <v>21069</v>
      </c>
      <c r="B5760" s="1" t="s">
        <v>57</v>
      </c>
      <c r="C5760" s="1" t="s">
        <v>355</v>
      </c>
      <c r="D5760" s="1" t="s">
        <v>57</v>
      </c>
      <c r="E5760" s="250">
        <v>13931.269</v>
      </c>
    </row>
    <row r="5761" spans="1:5" x14ac:dyDescent="0.35">
      <c r="A5761" s="1" t="s">
        <v>21070</v>
      </c>
      <c r="B5761" s="1" t="s">
        <v>18</v>
      </c>
      <c r="C5761" s="1" t="s">
        <v>354</v>
      </c>
      <c r="D5761" s="1" t="s">
        <v>18</v>
      </c>
      <c r="E5761" s="250">
        <v>13931.27</v>
      </c>
    </row>
    <row r="5762" spans="1:5" x14ac:dyDescent="0.35">
      <c r="A5762" s="1" t="s">
        <v>21071</v>
      </c>
      <c r="B5762" s="1" t="s">
        <v>18</v>
      </c>
      <c r="C5762" s="1" t="s">
        <v>353</v>
      </c>
      <c r="D5762" s="1" t="s">
        <v>18</v>
      </c>
      <c r="E5762" s="250">
        <v>13931.271000000001</v>
      </c>
    </row>
    <row r="5763" spans="1:5" x14ac:dyDescent="0.35">
      <c r="A5763" s="1" t="s">
        <v>21072</v>
      </c>
      <c r="B5763" s="1" t="s">
        <v>18</v>
      </c>
      <c r="C5763" s="1" t="s">
        <v>352</v>
      </c>
      <c r="D5763" s="1" t="s">
        <v>18</v>
      </c>
      <c r="E5763" s="250">
        <v>13931.272000000001</v>
      </c>
    </row>
    <row r="5764" spans="1:5" x14ac:dyDescent="0.35">
      <c r="A5764" s="1" t="s">
        <v>21073</v>
      </c>
      <c r="B5764" s="1" t="s">
        <v>18</v>
      </c>
      <c r="C5764" s="1" t="s">
        <v>351</v>
      </c>
      <c r="D5764" s="1" t="s">
        <v>18</v>
      </c>
      <c r="E5764" s="250">
        <v>13931.272999999999</v>
      </c>
    </row>
    <row r="5765" spans="1:5" x14ac:dyDescent="0.35">
      <c r="A5765" s="1" t="s">
        <v>21074</v>
      </c>
      <c r="B5765" s="1" t="s">
        <v>18</v>
      </c>
      <c r="C5765" s="1" t="s">
        <v>350</v>
      </c>
      <c r="D5765" s="1" t="s">
        <v>18</v>
      </c>
      <c r="E5765" s="250">
        <v>13931.273999999999</v>
      </c>
    </row>
    <row r="5766" spans="1:5" x14ac:dyDescent="0.35">
      <c r="A5766" s="1" t="s">
        <v>21075</v>
      </c>
      <c r="B5766" s="1" t="s">
        <v>18</v>
      </c>
      <c r="C5766" s="1" t="s">
        <v>349</v>
      </c>
      <c r="D5766" s="1" t="s">
        <v>18</v>
      </c>
      <c r="E5766" s="250">
        <v>13931.275</v>
      </c>
    </row>
    <row r="5767" spans="1:5" x14ac:dyDescent="0.35">
      <c r="A5767" s="1" t="s">
        <v>21076</v>
      </c>
      <c r="B5767" s="1" t="s">
        <v>18</v>
      </c>
      <c r="C5767" s="1" t="s">
        <v>348</v>
      </c>
      <c r="D5767" s="1" t="s">
        <v>18</v>
      </c>
      <c r="E5767" s="250">
        <v>13931.276</v>
      </c>
    </row>
    <row r="5768" spans="1:5" x14ac:dyDescent="0.35">
      <c r="A5768" s="1" t="s">
        <v>21077</v>
      </c>
      <c r="B5768" s="1" t="s">
        <v>18</v>
      </c>
      <c r="C5768" s="1" t="s">
        <v>347</v>
      </c>
      <c r="D5768" s="1" t="s">
        <v>18</v>
      </c>
      <c r="E5768" s="250">
        <v>13931.277</v>
      </c>
    </row>
    <row r="5769" spans="1:5" x14ac:dyDescent="0.35">
      <c r="A5769" s="1" t="s">
        <v>21078</v>
      </c>
      <c r="B5769" s="1" t="s">
        <v>18</v>
      </c>
      <c r="C5769" s="1" t="s">
        <v>346</v>
      </c>
      <c r="D5769" s="1" t="s">
        <v>18</v>
      </c>
      <c r="E5769" s="250">
        <v>13931.278</v>
      </c>
    </row>
    <row r="5770" spans="1:5" x14ac:dyDescent="0.35">
      <c r="A5770" s="1" t="s">
        <v>21079</v>
      </c>
      <c r="B5770" s="1" t="s">
        <v>18</v>
      </c>
      <c r="C5770" s="1" t="s">
        <v>345</v>
      </c>
      <c r="D5770" s="1" t="s">
        <v>18</v>
      </c>
      <c r="E5770" s="250">
        <v>13931.279</v>
      </c>
    </row>
    <row r="5771" spans="1:5" x14ac:dyDescent="0.35">
      <c r="A5771" s="1" t="s">
        <v>21080</v>
      </c>
      <c r="B5771" s="1" t="s">
        <v>18</v>
      </c>
      <c r="C5771" s="1" t="s">
        <v>344</v>
      </c>
      <c r="D5771" s="1" t="s">
        <v>18</v>
      </c>
      <c r="E5771" s="250">
        <v>13931.28</v>
      </c>
    </row>
    <row r="5772" spans="1:5" x14ac:dyDescent="0.35">
      <c r="A5772" s="1" t="s">
        <v>21081</v>
      </c>
      <c r="B5772" s="1" t="s">
        <v>18</v>
      </c>
      <c r="C5772" s="1" t="s">
        <v>343</v>
      </c>
      <c r="D5772" s="1" t="s">
        <v>18</v>
      </c>
      <c r="E5772" s="250">
        <v>13931.281000000001</v>
      </c>
    </row>
    <row r="5773" spans="1:5" x14ac:dyDescent="0.35">
      <c r="A5773" s="1" t="s">
        <v>21082</v>
      </c>
      <c r="B5773" s="1" t="s">
        <v>18</v>
      </c>
      <c r="C5773" s="1" t="s">
        <v>342</v>
      </c>
      <c r="D5773" s="1" t="s">
        <v>18</v>
      </c>
      <c r="E5773" s="250">
        <v>13931.281999999999</v>
      </c>
    </row>
    <row r="5774" spans="1:5" x14ac:dyDescent="0.35">
      <c r="A5774" s="1" t="s">
        <v>21083</v>
      </c>
      <c r="B5774" s="1" t="s">
        <v>18</v>
      </c>
      <c r="C5774" s="1" t="s">
        <v>341</v>
      </c>
      <c r="D5774" s="1" t="s">
        <v>18</v>
      </c>
      <c r="E5774" s="250">
        <v>13931.282999999999</v>
      </c>
    </row>
    <row r="5775" spans="1:5" x14ac:dyDescent="0.35">
      <c r="A5775" s="1" t="s">
        <v>21084</v>
      </c>
      <c r="B5775" s="1" t="s">
        <v>57</v>
      </c>
      <c r="C5775" s="1" t="s">
        <v>340</v>
      </c>
      <c r="D5775" s="1" t="s">
        <v>57</v>
      </c>
      <c r="E5775" s="250">
        <v>13931.385</v>
      </c>
    </row>
    <row r="5776" spans="1:5" x14ac:dyDescent="0.35">
      <c r="A5776" s="1" t="s">
        <v>21085</v>
      </c>
      <c r="B5776" s="1" t="s">
        <v>18</v>
      </c>
      <c r="C5776" s="1" t="s">
        <v>339</v>
      </c>
      <c r="D5776" s="1" t="s">
        <v>18</v>
      </c>
      <c r="E5776" s="250">
        <v>13931.386</v>
      </c>
    </row>
    <row r="5777" spans="1:5" x14ac:dyDescent="0.35">
      <c r="A5777" s="1" t="s">
        <v>21086</v>
      </c>
      <c r="B5777" s="1" t="s">
        <v>18</v>
      </c>
      <c r="C5777" s="1" t="s">
        <v>338</v>
      </c>
      <c r="D5777" s="1" t="s">
        <v>18</v>
      </c>
      <c r="E5777" s="250">
        <v>13931.387000000001</v>
      </c>
    </row>
    <row r="5778" spans="1:5" x14ac:dyDescent="0.35">
      <c r="A5778" s="1" t="s">
        <v>21087</v>
      </c>
      <c r="B5778" s="1" t="s">
        <v>18</v>
      </c>
      <c r="C5778" s="1" t="s">
        <v>337</v>
      </c>
      <c r="D5778" s="1" t="s">
        <v>18</v>
      </c>
      <c r="E5778" s="250">
        <v>13931.388000000001</v>
      </c>
    </row>
    <row r="5779" spans="1:5" x14ac:dyDescent="0.35">
      <c r="A5779" s="1" t="s">
        <v>21088</v>
      </c>
      <c r="B5779" s="1" t="s">
        <v>18</v>
      </c>
      <c r="C5779" s="1" t="s">
        <v>336</v>
      </c>
      <c r="D5779" s="1" t="s">
        <v>18</v>
      </c>
      <c r="E5779" s="250">
        <v>13931.388999999999</v>
      </c>
    </row>
    <row r="5780" spans="1:5" x14ac:dyDescent="0.35">
      <c r="A5780" s="1" t="s">
        <v>21089</v>
      </c>
      <c r="B5780" s="1" t="s">
        <v>18</v>
      </c>
      <c r="C5780" s="1" t="s">
        <v>335</v>
      </c>
      <c r="D5780" s="1" t="s">
        <v>18</v>
      </c>
      <c r="E5780" s="250">
        <v>13931.39</v>
      </c>
    </row>
    <row r="5781" spans="1:5" x14ac:dyDescent="0.35">
      <c r="A5781" s="1" t="s">
        <v>21090</v>
      </c>
      <c r="B5781" s="1" t="s">
        <v>18</v>
      </c>
      <c r="C5781" s="1" t="s">
        <v>334</v>
      </c>
      <c r="D5781" s="1" t="s">
        <v>18</v>
      </c>
      <c r="E5781" s="250">
        <v>13931.391</v>
      </c>
    </row>
    <row r="5782" spans="1:5" x14ac:dyDescent="0.35">
      <c r="A5782" s="1" t="s">
        <v>21091</v>
      </c>
      <c r="B5782" s="1" t="s">
        <v>18</v>
      </c>
      <c r="C5782" s="1" t="s">
        <v>333</v>
      </c>
      <c r="D5782" s="1" t="s">
        <v>18</v>
      </c>
      <c r="E5782" s="250">
        <v>13931.392</v>
      </c>
    </row>
    <row r="5783" spans="1:5" x14ac:dyDescent="0.35">
      <c r="A5783" s="1" t="s">
        <v>21092</v>
      </c>
      <c r="B5783" s="1" t="s">
        <v>18</v>
      </c>
      <c r="C5783" s="1" t="s">
        <v>332</v>
      </c>
      <c r="D5783" s="1" t="s">
        <v>18</v>
      </c>
      <c r="E5783" s="250">
        <v>13931.393</v>
      </c>
    </row>
    <row r="5784" spans="1:5" x14ac:dyDescent="0.35">
      <c r="A5784" s="1" t="s">
        <v>21093</v>
      </c>
      <c r="B5784" s="1" t="s">
        <v>18</v>
      </c>
      <c r="C5784" s="1" t="s">
        <v>331</v>
      </c>
      <c r="D5784" s="1" t="s">
        <v>18</v>
      </c>
      <c r="E5784" s="250">
        <v>13931.394</v>
      </c>
    </row>
    <row r="5785" spans="1:5" x14ac:dyDescent="0.35">
      <c r="A5785" s="1" t="s">
        <v>21094</v>
      </c>
      <c r="B5785" s="1" t="s">
        <v>18</v>
      </c>
      <c r="C5785" s="1" t="s">
        <v>330</v>
      </c>
      <c r="D5785" s="1" t="s">
        <v>18</v>
      </c>
      <c r="E5785" s="250">
        <v>13931.395</v>
      </c>
    </row>
    <row r="5786" spans="1:5" x14ac:dyDescent="0.35">
      <c r="A5786" s="1" t="s">
        <v>21095</v>
      </c>
      <c r="B5786" s="1" t="s">
        <v>18</v>
      </c>
      <c r="C5786" s="1" t="s">
        <v>329</v>
      </c>
      <c r="D5786" s="1" t="s">
        <v>18</v>
      </c>
      <c r="E5786" s="250">
        <v>13931.396000000001</v>
      </c>
    </row>
    <row r="5787" spans="1:5" x14ac:dyDescent="0.35">
      <c r="A5787" s="1" t="s">
        <v>21096</v>
      </c>
      <c r="B5787" s="1" t="s">
        <v>18</v>
      </c>
      <c r="C5787" s="1" t="s">
        <v>328</v>
      </c>
      <c r="D5787" s="1" t="s">
        <v>18</v>
      </c>
      <c r="E5787" s="250">
        <v>13931.397000000001</v>
      </c>
    </row>
    <row r="5788" spans="1:5" x14ac:dyDescent="0.35">
      <c r="A5788" s="1" t="s">
        <v>21097</v>
      </c>
      <c r="B5788" s="1" t="s">
        <v>18</v>
      </c>
      <c r="C5788" s="1" t="s">
        <v>327</v>
      </c>
      <c r="D5788" s="1" t="s">
        <v>18</v>
      </c>
      <c r="E5788" s="250">
        <v>13931.397999999999</v>
      </c>
    </row>
    <row r="5789" spans="1:5" x14ac:dyDescent="0.35">
      <c r="A5789" s="1" t="s">
        <v>21098</v>
      </c>
      <c r="B5789" s="1" t="s">
        <v>18</v>
      </c>
      <c r="C5789" s="1" t="s">
        <v>326</v>
      </c>
      <c r="D5789" s="1" t="s">
        <v>18</v>
      </c>
      <c r="E5789" s="250">
        <v>13931.398999999999</v>
      </c>
    </row>
    <row r="5790" spans="1:5" x14ac:dyDescent="0.35">
      <c r="A5790" s="1" t="s">
        <v>21099</v>
      </c>
      <c r="B5790" s="1" t="s">
        <v>57</v>
      </c>
      <c r="C5790" s="1" t="s">
        <v>325</v>
      </c>
      <c r="D5790" s="1" t="s">
        <v>57</v>
      </c>
      <c r="E5790" s="250">
        <v>13931.5</v>
      </c>
    </row>
    <row r="5791" spans="1:5" x14ac:dyDescent="0.35">
      <c r="A5791" s="1" t="s">
        <v>21100</v>
      </c>
      <c r="B5791" s="1" t="s">
        <v>18</v>
      </c>
      <c r="C5791" s="1" t="s">
        <v>324</v>
      </c>
      <c r="D5791" s="1" t="s">
        <v>18</v>
      </c>
      <c r="E5791" s="250">
        <v>13931.501</v>
      </c>
    </row>
    <row r="5792" spans="1:5" x14ac:dyDescent="0.35">
      <c r="A5792" s="1" t="s">
        <v>21101</v>
      </c>
      <c r="B5792" s="1" t="s">
        <v>18</v>
      </c>
      <c r="C5792" s="1" t="s">
        <v>323</v>
      </c>
      <c r="D5792" s="1" t="s">
        <v>18</v>
      </c>
      <c r="E5792" s="250">
        <v>13931.502</v>
      </c>
    </row>
    <row r="5793" spans="1:5" x14ac:dyDescent="0.35">
      <c r="A5793" s="1" t="s">
        <v>21102</v>
      </c>
      <c r="B5793" s="1" t="s">
        <v>18</v>
      </c>
      <c r="C5793" s="1" t="s">
        <v>322</v>
      </c>
      <c r="D5793" s="1" t="s">
        <v>18</v>
      </c>
      <c r="E5793" s="250">
        <v>13931.503000000001</v>
      </c>
    </row>
    <row r="5794" spans="1:5" x14ac:dyDescent="0.35">
      <c r="A5794" s="1" t="s">
        <v>21103</v>
      </c>
      <c r="B5794" s="1" t="s">
        <v>18</v>
      </c>
      <c r="C5794" s="1" t="s">
        <v>321</v>
      </c>
      <c r="D5794" s="1" t="s">
        <v>18</v>
      </c>
      <c r="E5794" s="250">
        <v>13931.504000000001</v>
      </c>
    </row>
    <row r="5795" spans="1:5" x14ac:dyDescent="0.35">
      <c r="A5795" s="1" t="s">
        <v>21104</v>
      </c>
      <c r="B5795" s="1" t="s">
        <v>18</v>
      </c>
      <c r="C5795" s="1" t="s">
        <v>320</v>
      </c>
      <c r="D5795" s="1" t="s">
        <v>18</v>
      </c>
      <c r="E5795" s="250">
        <v>13931.504999999999</v>
      </c>
    </row>
    <row r="5796" spans="1:5" x14ac:dyDescent="0.35">
      <c r="A5796" s="1" t="s">
        <v>21105</v>
      </c>
      <c r="B5796" s="1" t="s">
        <v>18</v>
      </c>
      <c r="C5796" s="1" t="s">
        <v>319</v>
      </c>
      <c r="D5796" s="1" t="s">
        <v>18</v>
      </c>
      <c r="E5796" s="250">
        <v>13931.505999999999</v>
      </c>
    </row>
    <row r="5797" spans="1:5" x14ac:dyDescent="0.35">
      <c r="A5797" s="1" t="s">
        <v>21106</v>
      </c>
      <c r="B5797" s="1" t="s">
        <v>18</v>
      </c>
      <c r="C5797" s="1" t="s">
        <v>318</v>
      </c>
      <c r="D5797" s="1" t="s">
        <v>18</v>
      </c>
      <c r="E5797" s="250">
        <v>13931.516</v>
      </c>
    </row>
    <row r="5798" spans="1:5" x14ac:dyDescent="0.35">
      <c r="A5798" s="1" t="s">
        <v>21107</v>
      </c>
      <c r="B5798" s="1" t="s">
        <v>18</v>
      </c>
      <c r="C5798" s="1" t="s">
        <v>317</v>
      </c>
      <c r="D5798" s="1" t="s">
        <v>18</v>
      </c>
      <c r="E5798" s="250">
        <v>13931.517</v>
      </c>
    </row>
    <row r="5799" spans="1:5" x14ac:dyDescent="0.35">
      <c r="A5799" s="1" t="s">
        <v>21108</v>
      </c>
      <c r="B5799" s="1" t="s">
        <v>18</v>
      </c>
      <c r="C5799" s="1" t="s">
        <v>316</v>
      </c>
      <c r="D5799" s="1" t="s">
        <v>18</v>
      </c>
      <c r="E5799" s="250">
        <v>13931.518</v>
      </c>
    </row>
    <row r="5800" spans="1:5" x14ac:dyDescent="0.35">
      <c r="A5800" s="1" t="s">
        <v>21109</v>
      </c>
      <c r="B5800" s="1" t="s">
        <v>18</v>
      </c>
      <c r="C5800" s="1" t="s">
        <v>315</v>
      </c>
      <c r="D5800" s="1" t="s">
        <v>18</v>
      </c>
      <c r="E5800" s="250">
        <v>13931.519</v>
      </c>
    </row>
    <row r="5801" spans="1:5" x14ac:dyDescent="0.35">
      <c r="A5801" s="1" t="s">
        <v>21110</v>
      </c>
      <c r="B5801" s="1" t="s">
        <v>18</v>
      </c>
      <c r="C5801" s="1" t="s">
        <v>314</v>
      </c>
      <c r="D5801" s="1" t="s">
        <v>18</v>
      </c>
      <c r="E5801" s="250">
        <v>13931.52</v>
      </c>
    </row>
    <row r="5802" spans="1:5" x14ac:dyDescent="0.35">
      <c r="A5802" s="1" t="s">
        <v>21111</v>
      </c>
      <c r="B5802" s="1" t="s">
        <v>18</v>
      </c>
      <c r="C5802" s="1" t="s">
        <v>313</v>
      </c>
      <c r="D5802" s="1" t="s">
        <v>18</v>
      </c>
      <c r="E5802" s="250">
        <v>13931.521000000001</v>
      </c>
    </row>
    <row r="5803" spans="1:5" x14ac:dyDescent="0.35">
      <c r="A5803" s="1" t="s">
        <v>21112</v>
      </c>
      <c r="B5803" s="1" t="s">
        <v>18</v>
      </c>
      <c r="C5803" s="1" t="s">
        <v>312</v>
      </c>
      <c r="D5803" s="1" t="s">
        <v>18</v>
      </c>
      <c r="E5803" s="250">
        <v>13931.531000000001</v>
      </c>
    </row>
    <row r="5804" spans="1:5" x14ac:dyDescent="0.35">
      <c r="A5804" s="1" t="s">
        <v>21113</v>
      </c>
      <c r="B5804" s="1" t="s">
        <v>18</v>
      </c>
      <c r="C5804" s="1" t="s">
        <v>311</v>
      </c>
      <c r="D5804" s="1" t="s">
        <v>18</v>
      </c>
      <c r="E5804" s="250">
        <v>13931.531999999999</v>
      </c>
    </row>
    <row r="5805" spans="1:5" x14ac:dyDescent="0.35">
      <c r="A5805" s="1" t="s">
        <v>21114</v>
      </c>
      <c r="B5805" s="1" t="s">
        <v>18</v>
      </c>
      <c r="C5805" s="1" t="s">
        <v>310</v>
      </c>
      <c r="D5805" s="1" t="s">
        <v>18</v>
      </c>
      <c r="E5805" s="250">
        <v>13931.532999999999</v>
      </c>
    </row>
    <row r="5806" spans="1:5" x14ac:dyDescent="0.35">
      <c r="A5806" s="1" t="s">
        <v>21115</v>
      </c>
      <c r="B5806" s="1" t="s">
        <v>18</v>
      </c>
      <c r="C5806" s="1" t="s">
        <v>309</v>
      </c>
      <c r="D5806" s="1" t="s">
        <v>18</v>
      </c>
      <c r="E5806" s="250">
        <v>13931.534</v>
      </c>
    </row>
    <row r="5807" spans="1:5" x14ac:dyDescent="0.35">
      <c r="A5807" s="1" t="s">
        <v>21116</v>
      </c>
      <c r="B5807" s="1" t="s">
        <v>18</v>
      </c>
      <c r="C5807" s="1" t="s">
        <v>308</v>
      </c>
      <c r="D5807" s="1" t="s">
        <v>18</v>
      </c>
      <c r="E5807" s="250">
        <v>13931.535</v>
      </c>
    </row>
    <row r="5808" spans="1:5" x14ac:dyDescent="0.35">
      <c r="A5808" s="1" t="s">
        <v>21117</v>
      </c>
      <c r="B5808" s="1" t="s">
        <v>18</v>
      </c>
      <c r="C5808" s="1" t="s">
        <v>307</v>
      </c>
      <c r="D5808" s="1" t="s">
        <v>18</v>
      </c>
      <c r="E5808" s="250">
        <v>13931.536</v>
      </c>
    </row>
    <row r="5809" spans="1:5" x14ac:dyDescent="0.35">
      <c r="A5809" s="1" t="s">
        <v>21118</v>
      </c>
      <c r="B5809" s="1" t="s">
        <v>18</v>
      </c>
      <c r="C5809" s="1" t="s">
        <v>306</v>
      </c>
      <c r="D5809" s="1" t="s">
        <v>18</v>
      </c>
      <c r="E5809" s="250">
        <v>13931.546</v>
      </c>
    </row>
    <row r="5810" spans="1:5" x14ac:dyDescent="0.35">
      <c r="A5810" s="1" t="s">
        <v>21119</v>
      </c>
      <c r="B5810" s="1" t="s">
        <v>18</v>
      </c>
      <c r="C5810" s="1" t="s">
        <v>305</v>
      </c>
      <c r="D5810" s="1" t="s">
        <v>18</v>
      </c>
      <c r="E5810" s="250">
        <v>13931.547</v>
      </c>
    </row>
    <row r="5811" spans="1:5" x14ac:dyDescent="0.35">
      <c r="A5811" s="1" t="s">
        <v>21120</v>
      </c>
      <c r="B5811" s="1" t="s">
        <v>18</v>
      </c>
      <c r="C5811" s="1" t="s">
        <v>304</v>
      </c>
      <c r="D5811" s="1" t="s">
        <v>18</v>
      </c>
      <c r="E5811" s="250">
        <v>13931.548000000001</v>
      </c>
    </row>
    <row r="5812" spans="1:5" x14ac:dyDescent="0.35">
      <c r="A5812" s="1" t="s">
        <v>21121</v>
      </c>
      <c r="B5812" s="1" t="s">
        <v>18</v>
      </c>
      <c r="C5812" s="1" t="s">
        <v>303</v>
      </c>
      <c r="D5812" s="1" t="s">
        <v>18</v>
      </c>
      <c r="E5812" s="250">
        <v>13931.549000000001</v>
      </c>
    </row>
    <row r="5813" spans="1:5" x14ac:dyDescent="0.35">
      <c r="A5813" s="1" t="s">
        <v>21122</v>
      </c>
      <c r="B5813" s="1" t="s">
        <v>18</v>
      </c>
      <c r="C5813" s="1" t="s">
        <v>302</v>
      </c>
      <c r="D5813" s="1" t="s">
        <v>18</v>
      </c>
      <c r="E5813" s="250">
        <v>13931.55</v>
      </c>
    </row>
    <row r="5814" spans="1:5" x14ac:dyDescent="0.35">
      <c r="A5814" s="1" t="s">
        <v>21123</v>
      </c>
      <c r="B5814" s="1" t="s">
        <v>18</v>
      </c>
      <c r="C5814" s="1" t="s">
        <v>301</v>
      </c>
      <c r="D5814" s="1" t="s">
        <v>18</v>
      </c>
      <c r="E5814" s="250">
        <v>13931.550999999999</v>
      </c>
    </row>
    <row r="5815" spans="1:5" x14ac:dyDescent="0.35">
      <c r="A5815" s="1" t="s">
        <v>21124</v>
      </c>
      <c r="B5815" s="1" t="s">
        <v>18</v>
      </c>
      <c r="C5815" s="1" t="s">
        <v>300</v>
      </c>
      <c r="D5815" s="1" t="s">
        <v>18</v>
      </c>
      <c r="E5815" s="250">
        <v>13931.561</v>
      </c>
    </row>
    <row r="5816" spans="1:5" x14ac:dyDescent="0.35">
      <c r="A5816" s="1" t="s">
        <v>21125</v>
      </c>
      <c r="B5816" s="1" t="s">
        <v>18</v>
      </c>
      <c r="C5816" s="1" t="s">
        <v>299</v>
      </c>
      <c r="D5816" s="1" t="s">
        <v>18</v>
      </c>
      <c r="E5816" s="250">
        <v>13931.562</v>
      </c>
    </row>
    <row r="5817" spans="1:5" x14ac:dyDescent="0.35">
      <c r="A5817" s="1" t="s">
        <v>21126</v>
      </c>
      <c r="B5817" s="1" t="s">
        <v>18</v>
      </c>
      <c r="C5817" s="1" t="s">
        <v>298</v>
      </c>
      <c r="D5817" s="1" t="s">
        <v>18</v>
      </c>
      <c r="E5817" s="250">
        <v>13931.563</v>
      </c>
    </row>
    <row r="5818" spans="1:5" x14ac:dyDescent="0.35">
      <c r="A5818" s="1" t="s">
        <v>21127</v>
      </c>
      <c r="B5818" s="1" t="s">
        <v>18</v>
      </c>
      <c r="C5818" s="1" t="s">
        <v>297</v>
      </c>
      <c r="D5818" s="1" t="s">
        <v>18</v>
      </c>
      <c r="E5818" s="250">
        <v>13931.564</v>
      </c>
    </row>
    <row r="5819" spans="1:5" x14ac:dyDescent="0.35">
      <c r="A5819" s="1" t="s">
        <v>21128</v>
      </c>
      <c r="B5819" s="1" t="s">
        <v>18</v>
      </c>
      <c r="C5819" s="1" t="s">
        <v>296</v>
      </c>
      <c r="D5819" s="1" t="s">
        <v>18</v>
      </c>
      <c r="E5819" s="250">
        <v>13931.565000000001</v>
      </c>
    </row>
    <row r="5820" spans="1:5" x14ac:dyDescent="0.35">
      <c r="A5820" s="1" t="s">
        <v>21129</v>
      </c>
      <c r="B5820" s="1" t="s">
        <v>18</v>
      </c>
      <c r="C5820" s="1" t="s">
        <v>295</v>
      </c>
      <c r="D5820" s="1" t="s">
        <v>18</v>
      </c>
      <c r="E5820" s="250">
        <v>13931.566000000001</v>
      </c>
    </row>
    <row r="5821" spans="1:5" x14ac:dyDescent="0.35">
      <c r="A5821" s="1" t="s">
        <v>21130</v>
      </c>
      <c r="B5821" s="1" t="s">
        <v>18</v>
      </c>
      <c r="C5821" s="1" t="s">
        <v>294</v>
      </c>
      <c r="D5821" s="1" t="s">
        <v>18</v>
      </c>
      <c r="E5821" s="250">
        <v>13931.575999999999</v>
      </c>
    </row>
    <row r="5822" spans="1:5" x14ac:dyDescent="0.35">
      <c r="A5822" s="1" t="s">
        <v>21131</v>
      </c>
      <c r="B5822" s="1" t="s">
        <v>18</v>
      </c>
      <c r="C5822" s="1" t="s">
        <v>293</v>
      </c>
      <c r="D5822" s="1" t="s">
        <v>18</v>
      </c>
      <c r="E5822" s="250">
        <v>13931.576999999999</v>
      </c>
    </row>
    <row r="5823" spans="1:5" x14ac:dyDescent="0.35">
      <c r="A5823" s="1" t="s">
        <v>21132</v>
      </c>
      <c r="B5823" s="1" t="s">
        <v>18</v>
      </c>
      <c r="C5823" s="1" t="s">
        <v>292</v>
      </c>
      <c r="D5823" s="1" t="s">
        <v>18</v>
      </c>
      <c r="E5823" s="250">
        <v>13931.578</v>
      </c>
    </row>
    <row r="5824" spans="1:5" x14ac:dyDescent="0.35">
      <c r="A5824" s="1" t="s">
        <v>21133</v>
      </c>
      <c r="B5824" s="1" t="s">
        <v>18</v>
      </c>
      <c r="C5824" s="1" t="s">
        <v>291</v>
      </c>
      <c r="D5824" s="1" t="s">
        <v>18</v>
      </c>
      <c r="E5824" s="250">
        <v>13931.579</v>
      </c>
    </row>
    <row r="5825" spans="1:5" x14ac:dyDescent="0.35">
      <c r="A5825" s="1" t="s">
        <v>21134</v>
      </c>
      <c r="B5825" s="1" t="s">
        <v>18</v>
      </c>
      <c r="C5825" s="1" t="s">
        <v>290</v>
      </c>
      <c r="D5825" s="1" t="s">
        <v>18</v>
      </c>
      <c r="E5825" s="250">
        <v>13931.58</v>
      </c>
    </row>
    <row r="5826" spans="1:5" x14ac:dyDescent="0.35">
      <c r="A5826" s="1" t="s">
        <v>21135</v>
      </c>
      <c r="B5826" s="1" t="s">
        <v>57</v>
      </c>
      <c r="C5826" s="1" t="s">
        <v>289</v>
      </c>
      <c r="D5826" s="1" t="s">
        <v>57</v>
      </c>
      <c r="E5826" s="250">
        <v>13931.59</v>
      </c>
    </row>
    <row r="5827" spans="1:5" x14ac:dyDescent="0.35">
      <c r="A5827" s="1" t="s">
        <v>21136</v>
      </c>
      <c r="B5827" s="1" t="s">
        <v>18</v>
      </c>
      <c r="C5827" s="1" t="s">
        <v>288</v>
      </c>
      <c r="D5827" s="1" t="s">
        <v>18</v>
      </c>
      <c r="E5827" s="250">
        <v>13931.591</v>
      </c>
    </row>
    <row r="5828" spans="1:5" x14ac:dyDescent="0.35">
      <c r="A5828" s="1" t="s">
        <v>21137</v>
      </c>
      <c r="B5828" s="1" t="s">
        <v>18</v>
      </c>
      <c r="C5828" s="1" t="s">
        <v>287</v>
      </c>
      <c r="D5828" s="1" t="s">
        <v>18</v>
      </c>
      <c r="E5828" s="250">
        <v>13931.592000000001</v>
      </c>
    </row>
    <row r="5829" spans="1:5" x14ac:dyDescent="0.35">
      <c r="A5829" s="1" t="s">
        <v>21138</v>
      </c>
      <c r="B5829" s="1" t="s">
        <v>18</v>
      </c>
      <c r="C5829" s="1" t="s">
        <v>286</v>
      </c>
      <c r="D5829" s="1" t="s">
        <v>18</v>
      </c>
      <c r="E5829" s="250">
        <v>13931.593000000001</v>
      </c>
    </row>
    <row r="5830" spans="1:5" x14ac:dyDescent="0.35">
      <c r="A5830" s="1" t="s">
        <v>21139</v>
      </c>
      <c r="B5830" s="1" t="s">
        <v>18</v>
      </c>
      <c r="C5830" s="1" t="s">
        <v>285</v>
      </c>
      <c r="D5830" s="1" t="s">
        <v>18</v>
      </c>
      <c r="E5830" s="250">
        <v>13931.593999999999</v>
      </c>
    </row>
    <row r="5831" spans="1:5" x14ac:dyDescent="0.35">
      <c r="A5831" s="1" t="s">
        <v>21140</v>
      </c>
      <c r="B5831" s="1" t="s">
        <v>18</v>
      </c>
      <c r="C5831" s="1" t="s">
        <v>284</v>
      </c>
      <c r="D5831" s="1" t="s">
        <v>18</v>
      </c>
      <c r="E5831" s="250">
        <v>13931.594999999999</v>
      </c>
    </row>
    <row r="5832" spans="1:5" x14ac:dyDescent="0.35">
      <c r="A5832" s="1" t="s">
        <v>21141</v>
      </c>
      <c r="B5832" s="1" t="s">
        <v>18</v>
      </c>
      <c r="C5832" s="1" t="s">
        <v>283</v>
      </c>
      <c r="D5832" s="1" t="s">
        <v>18</v>
      </c>
      <c r="E5832" s="250">
        <v>13931.596</v>
      </c>
    </row>
    <row r="5833" spans="1:5" x14ac:dyDescent="0.35">
      <c r="A5833" s="1" t="s">
        <v>21142</v>
      </c>
      <c r="B5833" s="1" t="s">
        <v>18</v>
      </c>
      <c r="C5833" s="1" t="s">
        <v>282</v>
      </c>
      <c r="D5833" s="1" t="s">
        <v>18</v>
      </c>
      <c r="E5833" s="250">
        <v>13931.597</v>
      </c>
    </row>
    <row r="5834" spans="1:5" x14ac:dyDescent="0.35">
      <c r="A5834" s="1" t="s">
        <v>21143</v>
      </c>
      <c r="B5834" s="1" t="s">
        <v>18</v>
      </c>
      <c r="C5834" s="1" t="s">
        <v>281</v>
      </c>
      <c r="D5834" s="1" t="s">
        <v>18</v>
      </c>
      <c r="E5834" s="250">
        <v>13931.598</v>
      </c>
    </row>
    <row r="5835" spans="1:5" x14ac:dyDescent="0.35">
      <c r="A5835" s="1" t="s">
        <v>21144</v>
      </c>
      <c r="B5835" s="1" t="s">
        <v>18</v>
      </c>
      <c r="C5835" s="1" t="s">
        <v>280</v>
      </c>
      <c r="D5835" s="1" t="s">
        <v>18</v>
      </c>
      <c r="E5835" s="250">
        <v>13931.599</v>
      </c>
    </row>
    <row r="5836" spans="1:5" x14ac:dyDescent="0.35">
      <c r="A5836" s="1" t="s">
        <v>21145</v>
      </c>
      <c r="B5836" s="1" t="s">
        <v>18</v>
      </c>
      <c r="C5836" s="1" t="s">
        <v>279</v>
      </c>
      <c r="D5836" s="1" t="s">
        <v>18</v>
      </c>
      <c r="E5836" s="250">
        <v>13931.609</v>
      </c>
    </row>
    <row r="5837" spans="1:5" x14ac:dyDescent="0.35">
      <c r="A5837" s="1" t="s">
        <v>21146</v>
      </c>
      <c r="B5837" s="1" t="s">
        <v>18</v>
      </c>
      <c r="C5837" s="1" t="s">
        <v>278</v>
      </c>
      <c r="D5837" s="1" t="s">
        <v>18</v>
      </c>
      <c r="E5837" s="250">
        <v>13931.61</v>
      </c>
    </row>
    <row r="5838" spans="1:5" x14ac:dyDescent="0.35">
      <c r="A5838" s="1" t="s">
        <v>21147</v>
      </c>
      <c r="B5838" s="1" t="s">
        <v>18</v>
      </c>
      <c r="C5838" s="1" t="s">
        <v>277</v>
      </c>
      <c r="D5838" s="1" t="s">
        <v>18</v>
      </c>
      <c r="E5838" s="250">
        <v>13931.611000000001</v>
      </c>
    </row>
    <row r="5839" spans="1:5" x14ac:dyDescent="0.35">
      <c r="A5839" s="1" t="s">
        <v>21148</v>
      </c>
      <c r="B5839" s="1" t="s">
        <v>18</v>
      </c>
      <c r="C5839" s="1" t="s">
        <v>276</v>
      </c>
      <c r="D5839" s="1" t="s">
        <v>18</v>
      </c>
      <c r="E5839" s="250">
        <v>13931.611999999999</v>
      </c>
    </row>
    <row r="5840" spans="1:5" x14ac:dyDescent="0.35">
      <c r="A5840" s="1" t="s">
        <v>21149</v>
      </c>
      <c r="B5840" s="1" t="s">
        <v>18</v>
      </c>
      <c r="C5840" s="1" t="s">
        <v>275</v>
      </c>
      <c r="D5840" s="1" t="s">
        <v>18</v>
      </c>
      <c r="E5840" s="250">
        <v>13931.612999999999</v>
      </c>
    </row>
    <row r="5841" spans="1:5" x14ac:dyDescent="0.35">
      <c r="A5841" s="1" t="s">
        <v>21150</v>
      </c>
      <c r="B5841" s="1" t="s">
        <v>18</v>
      </c>
      <c r="C5841" s="1" t="s">
        <v>274</v>
      </c>
      <c r="D5841" s="1" t="s">
        <v>18</v>
      </c>
      <c r="E5841" s="250">
        <v>13931.614</v>
      </c>
    </row>
    <row r="5842" spans="1:5" x14ac:dyDescent="0.35">
      <c r="A5842" s="1" t="s">
        <v>21151</v>
      </c>
      <c r="B5842" s="1" t="s">
        <v>18</v>
      </c>
      <c r="C5842" s="1" t="s">
        <v>273</v>
      </c>
      <c r="D5842" s="1" t="s">
        <v>18</v>
      </c>
      <c r="E5842" s="250">
        <v>13931.624</v>
      </c>
    </row>
    <row r="5843" spans="1:5" x14ac:dyDescent="0.35">
      <c r="A5843" s="1" t="s">
        <v>21152</v>
      </c>
      <c r="B5843" s="1" t="s">
        <v>18</v>
      </c>
      <c r="C5843" s="1" t="s">
        <v>272</v>
      </c>
      <c r="D5843" s="1" t="s">
        <v>18</v>
      </c>
      <c r="E5843" s="250">
        <v>13931.625</v>
      </c>
    </row>
    <row r="5844" spans="1:5" x14ac:dyDescent="0.35">
      <c r="A5844" s="1" t="s">
        <v>21153</v>
      </c>
      <c r="B5844" s="1" t="s">
        <v>18</v>
      </c>
      <c r="C5844" s="1" t="s">
        <v>271</v>
      </c>
      <c r="D5844" s="1" t="s">
        <v>18</v>
      </c>
      <c r="E5844" s="250">
        <v>13931.626</v>
      </c>
    </row>
    <row r="5845" spans="1:5" x14ac:dyDescent="0.35">
      <c r="A5845" s="1" t="s">
        <v>21154</v>
      </c>
      <c r="B5845" s="1" t="s">
        <v>18</v>
      </c>
      <c r="C5845" s="1" t="s">
        <v>270</v>
      </c>
      <c r="D5845" s="1" t="s">
        <v>18</v>
      </c>
      <c r="E5845" s="250">
        <v>13931.627</v>
      </c>
    </row>
    <row r="5846" spans="1:5" x14ac:dyDescent="0.35">
      <c r="A5846" s="1" t="s">
        <v>21155</v>
      </c>
      <c r="B5846" s="1" t="s">
        <v>18</v>
      </c>
      <c r="C5846" s="1" t="s">
        <v>269</v>
      </c>
      <c r="D5846" s="1" t="s">
        <v>18</v>
      </c>
      <c r="E5846" s="250">
        <v>13931.628000000001</v>
      </c>
    </row>
    <row r="5847" spans="1:5" x14ac:dyDescent="0.35">
      <c r="A5847" s="1" t="s">
        <v>21156</v>
      </c>
      <c r="B5847" s="1" t="s">
        <v>18</v>
      </c>
      <c r="C5847" s="1" t="s">
        <v>268</v>
      </c>
      <c r="D5847" s="1" t="s">
        <v>18</v>
      </c>
      <c r="E5847" s="250">
        <v>13931.629000000001</v>
      </c>
    </row>
    <row r="5848" spans="1:5" x14ac:dyDescent="0.35">
      <c r="A5848" s="1" t="s">
        <v>21157</v>
      </c>
      <c r="B5848" s="1" t="s">
        <v>18</v>
      </c>
      <c r="C5848" s="1" t="s">
        <v>267</v>
      </c>
      <c r="D5848" s="1" t="s">
        <v>18</v>
      </c>
      <c r="E5848" s="250">
        <v>13931.63</v>
      </c>
    </row>
    <row r="5849" spans="1:5" x14ac:dyDescent="0.35">
      <c r="A5849" s="1" t="s">
        <v>21158</v>
      </c>
      <c r="B5849" s="1" t="s">
        <v>18</v>
      </c>
      <c r="C5849" s="1" t="s">
        <v>266</v>
      </c>
      <c r="D5849" s="1" t="s">
        <v>18</v>
      </c>
      <c r="E5849" s="250">
        <v>13931.630999999999</v>
      </c>
    </row>
    <row r="5850" spans="1:5" x14ac:dyDescent="0.35">
      <c r="A5850" s="1" t="s">
        <v>21159</v>
      </c>
      <c r="B5850" s="1" t="s">
        <v>18</v>
      </c>
      <c r="C5850" s="1" t="s">
        <v>265</v>
      </c>
      <c r="D5850" s="1" t="s">
        <v>18</v>
      </c>
      <c r="E5850" s="250">
        <v>13931.632</v>
      </c>
    </row>
    <row r="5851" spans="1:5" x14ac:dyDescent="0.35">
      <c r="A5851" s="1" t="s">
        <v>21160</v>
      </c>
      <c r="B5851" s="1" t="s">
        <v>18</v>
      </c>
      <c r="C5851" s="1" t="s">
        <v>264</v>
      </c>
      <c r="D5851" s="1" t="s">
        <v>18</v>
      </c>
      <c r="E5851" s="250">
        <v>13931.642</v>
      </c>
    </row>
    <row r="5852" spans="1:5" x14ac:dyDescent="0.35">
      <c r="A5852" s="1" t="s">
        <v>21161</v>
      </c>
      <c r="B5852" s="1" t="s">
        <v>18</v>
      </c>
      <c r="C5852" s="1" t="s">
        <v>263</v>
      </c>
      <c r="D5852" s="1" t="s">
        <v>18</v>
      </c>
      <c r="E5852" s="250">
        <v>13931.643</v>
      </c>
    </row>
    <row r="5853" spans="1:5" x14ac:dyDescent="0.35">
      <c r="A5853" s="1" t="s">
        <v>21162</v>
      </c>
      <c r="B5853" s="1" t="s">
        <v>18</v>
      </c>
      <c r="C5853" s="1" t="s">
        <v>262</v>
      </c>
      <c r="D5853" s="1" t="s">
        <v>18</v>
      </c>
      <c r="E5853" s="250">
        <v>13931.644</v>
      </c>
    </row>
    <row r="5854" spans="1:5" x14ac:dyDescent="0.35">
      <c r="A5854" s="1" t="s">
        <v>21163</v>
      </c>
      <c r="B5854" s="1" t="s">
        <v>18</v>
      </c>
      <c r="C5854" s="1" t="s">
        <v>261</v>
      </c>
      <c r="D5854" s="1" t="s">
        <v>18</v>
      </c>
      <c r="E5854" s="250">
        <v>13931.645</v>
      </c>
    </row>
    <row r="5855" spans="1:5" x14ac:dyDescent="0.35">
      <c r="A5855" s="1" t="s">
        <v>21164</v>
      </c>
      <c r="B5855" s="1" t="s">
        <v>18</v>
      </c>
      <c r="C5855" s="1" t="s">
        <v>260</v>
      </c>
      <c r="D5855" s="1" t="s">
        <v>18</v>
      </c>
      <c r="E5855" s="250">
        <v>13931.646000000001</v>
      </c>
    </row>
    <row r="5856" spans="1:5" x14ac:dyDescent="0.35">
      <c r="A5856" s="1" t="s">
        <v>21165</v>
      </c>
      <c r="B5856" s="1" t="s">
        <v>18</v>
      </c>
      <c r="C5856" s="1" t="s">
        <v>259</v>
      </c>
      <c r="D5856" s="1" t="s">
        <v>18</v>
      </c>
      <c r="E5856" s="250">
        <v>13931.647000000001</v>
      </c>
    </row>
    <row r="5857" spans="1:5" x14ac:dyDescent="0.35">
      <c r="A5857" s="1" t="s">
        <v>21166</v>
      </c>
      <c r="B5857" s="1" t="s">
        <v>18</v>
      </c>
      <c r="C5857" s="1" t="s">
        <v>258</v>
      </c>
      <c r="D5857" s="1" t="s">
        <v>18</v>
      </c>
      <c r="E5857" s="250">
        <v>13931.647999999999</v>
      </c>
    </row>
    <row r="5858" spans="1:5" x14ac:dyDescent="0.35">
      <c r="A5858" s="1" t="s">
        <v>21167</v>
      </c>
      <c r="B5858" s="1" t="s">
        <v>18</v>
      </c>
      <c r="C5858" s="1" t="s">
        <v>257</v>
      </c>
      <c r="D5858" s="1" t="s">
        <v>18</v>
      </c>
      <c r="E5858" s="250">
        <v>13931.648999999999</v>
      </c>
    </row>
    <row r="5859" spans="1:5" x14ac:dyDescent="0.35">
      <c r="A5859" s="1" t="s">
        <v>21168</v>
      </c>
      <c r="B5859" s="1" t="s">
        <v>18</v>
      </c>
      <c r="C5859" s="1" t="s">
        <v>256</v>
      </c>
      <c r="D5859" s="1" t="s">
        <v>18</v>
      </c>
      <c r="E5859" s="250">
        <v>13931.65</v>
      </c>
    </row>
    <row r="5860" spans="1:5" x14ac:dyDescent="0.35">
      <c r="A5860" s="1" t="s">
        <v>21169</v>
      </c>
      <c r="B5860" s="1" t="s">
        <v>18</v>
      </c>
      <c r="C5860" s="1" t="s">
        <v>255</v>
      </c>
      <c r="D5860" s="1" t="s">
        <v>18</v>
      </c>
      <c r="E5860" s="250">
        <v>13931.66</v>
      </c>
    </row>
    <row r="5861" spans="1:5" x14ac:dyDescent="0.35">
      <c r="A5861" s="1" t="s">
        <v>21170</v>
      </c>
      <c r="B5861" s="1" t="s">
        <v>18</v>
      </c>
      <c r="C5861" s="1" t="s">
        <v>254</v>
      </c>
      <c r="D5861" s="1" t="s">
        <v>18</v>
      </c>
      <c r="E5861" s="250">
        <v>13931.661</v>
      </c>
    </row>
    <row r="5862" spans="1:5" x14ac:dyDescent="0.35">
      <c r="A5862" s="1" t="s">
        <v>21171</v>
      </c>
      <c r="B5862" s="1" t="s">
        <v>18</v>
      </c>
      <c r="C5862" s="1" t="s">
        <v>253</v>
      </c>
      <c r="D5862" s="1" t="s">
        <v>18</v>
      </c>
      <c r="E5862" s="250">
        <v>13931.662</v>
      </c>
    </row>
    <row r="5863" spans="1:5" x14ac:dyDescent="0.35">
      <c r="A5863" s="1" t="s">
        <v>21172</v>
      </c>
      <c r="B5863" s="1" t="s">
        <v>18</v>
      </c>
      <c r="C5863" s="1" t="s">
        <v>252</v>
      </c>
      <c r="D5863" s="1" t="s">
        <v>18</v>
      </c>
      <c r="E5863" s="250">
        <v>13931.663</v>
      </c>
    </row>
    <row r="5864" spans="1:5" x14ac:dyDescent="0.35">
      <c r="A5864" s="1" t="s">
        <v>21173</v>
      </c>
      <c r="B5864" s="1" t="s">
        <v>18</v>
      </c>
      <c r="C5864" s="1" t="s">
        <v>251</v>
      </c>
      <c r="D5864" s="1" t="s">
        <v>18</v>
      </c>
      <c r="E5864" s="250">
        <v>13931.664000000001</v>
      </c>
    </row>
    <row r="5865" spans="1:5" x14ac:dyDescent="0.35">
      <c r="A5865" s="1" t="s">
        <v>21174</v>
      </c>
      <c r="B5865" s="1" t="s">
        <v>18</v>
      </c>
      <c r="C5865" s="1" t="s">
        <v>250</v>
      </c>
      <c r="D5865" s="1" t="s">
        <v>18</v>
      </c>
      <c r="E5865" s="250">
        <v>13931.665000000001</v>
      </c>
    </row>
    <row r="5866" spans="1:5" x14ac:dyDescent="0.35">
      <c r="A5866" s="1" t="s">
        <v>21175</v>
      </c>
      <c r="B5866" s="1" t="s">
        <v>18</v>
      </c>
      <c r="C5866" s="1" t="s">
        <v>249</v>
      </c>
      <c r="D5866" s="1" t="s">
        <v>18</v>
      </c>
      <c r="E5866" s="250">
        <v>13931.674999999999</v>
      </c>
    </row>
    <row r="5867" spans="1:5" x14ac:dyDescent="0.35">
      <c r="A5867" s="1" t="s">
        <v>21176</v>
      </c>
      <c r="B5867" s="1" t="s">
        <v>18</v>
      </c>
      <c r="C5867" s="1" t="s">
        <v>248</v>
      </c>
      <c r="D5867" s="1" t="s">
        <v>18</v>
      </c>
      <c r="E5867" s="250">
        <v>13931.675999999999</v>
      </c>
    </row>
    <row r="5868" spans="1:5" x14ac:dyDescent="0.35">
      <c r="A5868" s="1" t="s">
        <v>21177</v>
      </c>
      <c r="B5868" s="1" t="s">
        <v>18</v>
      </c>
      <c r="C5868" s="1" t="s">
        <v>247</v>
      </c>
      <c r="D5868" s="1" t="s">
        <v>18</v>
      </c>
      <c r="E5868" s="250">
        <v>13931.677</v>
      </c>
    </row>
    <row r="5869" spans="1:5" x14ac:dyDescent="0.35">
      <c r="A5869" s="1" t="s">
        <v>21178</v>
      </c>
      <c r="B5869" s="1" t="s">
        <v>18</v>
      </c>
      <c r="C5869" s="1" t="s">
        <v>246</v>
      </c>
      <c r="D5869" s="1" t="s">
        <v>18</v>
      </c>
      <c r="E5869" s="250">
        <v>13931.678</v>
      </c>
    </row>
    <row r="5870" spans="1:5" x14ac:dyDescent="0.35">
      <c r="A5870" s="1" t="s">
        <v>21179</v>
      </c>
      <c r="B5870" s="1" t="s">
        <v>18</v>
      </c>
      <c r="C5870" s="1" t="s">
        <v>245</v>
      </c>
      <c r="D5870" s="1" t="s">
        <v>18</v>
      </c>
      <c r="E5870" s="250">
        <v>13931.679</v>
      </c>
    </row>
    <row r="5871" spans="1:5" x14ac:dyDescent="0.35">
      <c r="A5871" s="1" t="s">
        <v>21180</v>
      </c>
      <c r="B5871" s="1" t="s">
        <v>18</v>
      </c>
      <c r="C5871" s="1" t="s">
        <v>244</v>
      </c>
      <c r="D5871" s="1" t="s">
        <v>18</v>
      </c>
      <c r="E5871" s="250">
        <v>13931.68</v>
      </c>
    </row>
    <row r="5872" spans="1:5" x14ac:dyDescent="0.35">
      <c r="A5872" s="1" t="s">
        <v>21181</v>
      </c>
      <c r="B5872" s="1" t="s">
        <v>18</v>
      </c>
      <c r="C5872" s="1" t="s">
        <v>243</v>
      </c>
      <c r="D5872" s="1" t="s">
        <v>18</v>
      </c>
      <c r="E5872" s="250">
        <v>13931.681</v>
      </c>
    </row>
    <row r="5873" spans="1:5" x14ac:dyDescent="0.35">
      <c r="A5873" s="1" t="s">
        <v>21182</v>
      </c>
      <c r="B5873" s="1" t="s">
        <v>18</v>
      </c>
      <c r="C5873" s="1" t="s">
        <v>242</v>
      </c>
      <c r="D5873" s="1" t="s">
        <v>18</v>
      </c>
      <c r="E5873" s="250">
        <v>13931.682000000001</v>
      </c>
    </row>
    <row r="5874" spans="1:5" x14ac:dyDescent="0.35">
      <c r="A5874" s="1" t="s">
        <v>21183</v>
      </c>
      <c r="B5874" s="1" t="s">
        <v>18</v>
      </c>
      <c r="C5874" s="1" t="s">
        <v>241</v>
      </c>
      <c r="D5874" s="1" t="s">
        <v>18</v>
      </c>
      <c r="E5874" s="250">
        <v>13931.683000000001</v>
      </c>
    </row>
    <row r="5875" spans="1:5" x14ac:dyDescent="0.35">
      <c r="A5875" s="1" t="s">
        <v>21184</v>
      </c>
      <c r="B5875" s="1" t="s">
        <v>18</v>
      </c>
      <c r="C5875" s="1" t="s">
        <v>240</v>
      </c>
      <c r="D5875" s="1" t="s">
        <v>18</v>
      </c>
      <c r="E5875" s="250">
        <v>13931.692999999999</v>
      </c>
    </row>
    <row r="5876" spans="1:5" x14ac:dyDescent="0.35">
      <c r="A5876" s="1" t="s">
        <v>21185</v>
      </c>
      <c r="B5876" s="1" t="s">
        <v>18</v>
      </c>
      <c r="C5876" s="1" t="s">
        <v>239</v>
      </c>
      <c r="D5876" s="1" t="s">
        <v>18</v>
      </c>
      <c r="E5876" s="250">
        <v>13931.694</v>
      </c>
    </row>
    <row r="5877" spans="1:5" x14ac:dyDescent="0.35">
      <c r="A5877" s="1" t="s">
        <v>21186</v>
      </c>
      <c r="B5877" s="1" t="s">
        <v>18</v>
      </c>
      <c r="C5877" s="1" t="s">
        <v>238</v>
      </c>
      <c r="D5877" s="1" t="s">
        <v>18</v>
      </c>
      <c r="E5877" s="250">
        <v>13931.695</v>
      </c>
    </row>
    <row r="5878" spans="1:5" x14ac:dyDescent="0.35">
      <c r="A5878" s="1" t="s">
        <v>21187</v>
      </c>
      <c r="B5878" s="1" t="s">
        <v>18</v>
      </c>
      <c r="C5878" s="1" t="s">
        <v>237</v>
      </c>
      <c r="D5878" s="1" t="s">
        <v>18</v>
      </c>
      <c r="E5878" s="250">
        <v>13931.696</v>
      </c>
    </row>
    <row r="5879" spans="1:5" x14ac:dyDescent="0.35">
      <c r="A5879" s="1" t="s">
        <v>21188</v>
      </c>
      <c r="B5879" s="1" t="s">
        <v>18</v>
      </c>
      <c r="C5879" s="1" t="s">
        <v>236</v>
      </c>
      <c r="D5879" s="1" t="s">
        <v>18</v>
      </c>
      <c r="E5879" s="250">
        <v>13931.697</v>
      </c>
    </row>
    <row r="5880" spans="1:5" x14ac:dyDescent="0.35">
      <c r="A5880" s="1" t="s">
        <v>21189</v>
      </c>
      <c r="B5880" s="1" t="s">
        <v>18</v>
      </c>
      <c r="C5880" s="1" t="s">
        <v>235</v>
      </c>
      <c r="D5880" s="1" t="s">
        <v>18</v>
      </c>
      <c r="E5880" s="250">
        <v>13931.698</v>
      </c>
    </row>
    <row r="5881" spans="1:5" x14ac:dyDescent="0.35">
      <c r="A5881" s="1" t="s">
        <v>21190</v>
      </c>
      <c r="B5881" s="1" t="s">
        <v>18</v>
      </c>
      <c r="C5881" s="1" t="s">
        <v>234</v>
      </c>
      <c r="D5881" s="1" t="s">
        <v>18</v>
      </c>
      <c r="E5881" s="250">
        <v>13931.708000000001</v>
      </c>
    </row>
    <row r="5882" spans="1:5" x14ac:dyDescent="0.35">
      <c r="A5882" s="1" t="s">
        <v>21191</v>
      </c>
      <c r="B5882" s="1" t="s">
        <v>18</v>
      </c>
      <c r="C5882" s="1" t="s">
        <v>233</v>
      </c>
      <c r="D5882" s="1" t="s">
        <v>18</v>
      </c>
      <c r="E5882" s="250">
        <v>13931.709000000001</v>
      </c>
    </row>
    <row r="5883" spans="1:5" x14ac:dyDescent="0.35">
      <c r="A5883" s="1" t="s">
        <v>21192</v>
      </c>
      <c r="B5883" s="1" t="s">
        <v>18</v>
      </c>
      <c r="C5883" s="1" t="s">
        <v>232</v>
      </c>
      <c r="D5883" s="1" t="s">
        <v>18</v>
      </c>
      <c r="E5883" s="250">
        <v>13931.71</v>
      </c>
    </row>
    <row r="5884" spans="1:5" x14ac:dyDescent="0.35">
      <c r="A5884" s="1" t="s">
        <v>21193</v>
      </c>
      <c r="B5884" s="1" t="s">
        <v>18</v>
      </c>
      <c r="C5884" s="1" t="s">
        <v>231</v>
      </c>
      <c r="D5884" s="1" t="s">
        <v>18</v>
      </c>
      <c r="E5884" s="250">
        <v>13931.710999999999</v>
      </c>
    </row>
    <row r="5885" spans="1:5" x14ac:dyDescent="0.35">
      <c r="A5885" s="1" t="s">
        <v>21194</v>
      </c>
      <c r="B5885" s="1" t="s">
        <v>57</v>
      </c>
      <c r="C5885" s="1" t="s">
        <v>230</v>
      </c>
      <c r="D5885" s="1" t="s">
        <v>57</v>
      </c>
      <c r="E5885" s="250">
        <v>13931.85</v>
      </c>
    </row>
    <row r="5886" spans="1:5" x14ac:dyDescent="0.35">
      <c r="A5886" s="1" t="s">
        <v>21195</v>
      </c>
      <c r="B5886" s="1" t="s">
        <v>57</v>
      </c>
      <c r="C5886" s="1" t="s">
        <v>229</v>
      </c>
      <c r="D5886" s="1" t="s">
        <v>57</v>
      </c>
      <c r="E5886" s="250">
        <v>13931.851000000001</v>
      </c>
    </row>
    <row r="5887" spans="1:5" x14ac:dyDescent="0.35">
      <c r="A5887" s="1" t="s">
        <v>21196</v>
      </c>
      <c r="B5887" s="1" t="s">
        <v>18</v>
      </c>
      <c r="C5887" s="1" t="s">
        <v>228</v>
      </c>
      <c r="D5887" s="1" t="s">
        <v>18</v>
      </c>
      <c r="E5887" s="250">
        <v>13931.852000000001</v>
      </c>
    </row>
    <row r="5888" spans="1:5" x14ac:dyDescent="0.35">
      <c r="A5888" s="1" t="s">
        <v>21197</v>
      </c>
      <c r="B5888" s="1" t="s">
        <v>18</v>
      </c>
      <c r="C5888" s="1" t="s">
        <v>227</v>
      </c>
      <c r="D5888" s="1" t="s">
        <v>18</v>
      </c>
      <c r="E5888" s="250">
        <v>13931.852999999999</v>
      </c>
    </row>
    <row r="5889" spans="1:5" x14ac:dyDescent="0.35">
      <c r="A5889" s="1" t="s">
        <v>21198</v>
      </c>
      <c r="B5889" s="1" t="s">
        <v>18</v>
      </c>
      <c r="C5889" s="1" t="s">
        <v>226</v>
      </c>
      <c r="D5889" s="1" t="s">
        <v>18</v>
      </c>
      <c r="E5889" s="250">
        <v>13931.853999999999</v>
      </c>
    </row>
    <row r="5890" spans="1:5" x14ac:dyDescent="0.35">
      <c r="A5890" s="1" t="s">
        <v>21199</v>
      </c>
      <c r="B5890" s="1" t="s">
        <v>18</v>
      </c>
      <c r="C5890" s="1" t="s">
        <v>225</v>
      </c>
      <c r="D5890" s="1" t="s">
        <v>18</v>
      </c>
      <c r="E5890" s="250">
        <v>13931.855</v>
      </c>
    </row>
    <row r="5891" spans="1:5" x14ac:dyDescent="0.35">
      <c r="A5891" s="1" t="s">
        <v>21200</v>
      </c>
      <c r="B5891" s="1" t="s">
        <v>18</v>
      </c>
      <c r="C5891" s="1" t="s">
        <v>224</v>
      </c>
      <c r="D5891" s="1" t="s">
        <v>18</v>
      </c>
      <c r="E5891" s="250">
        <v>13931.856</v>
      </c>
    </row>
    <row r="5892" spans="1:5" x14ac:dyDescent="0.35">
      <c r="A5892" s="1" t="s">
        <v>21201</v>
      </c>
      <c r="B5892" s="1" t="s">
        <v>18</v>
      </c>
      <c r="C5892" s="1" t="s">
        <v>223</v>
      </c>
      <c r="D5892" s="1" t="s">
        <v>18</v>
      </c>
      <c r="E5892" s="250">
        <v>13931.857</v>
      </c>
    </row>
    <row r="5893" spans="1:5" x14ac:dyDescent="0.35">
      <c r="A5893" s="1" t="s">
        <v>21202</v>
      </c>
      <c r="B5893" s="1" t="s">
        <v>18</v>
      </c>
      <c r="C5893" s="1" t="s">
        <v>222</v>
      </c>
      <c r="D5893" s="1" t="s">
        <v>18</v>
      </c>
      <c r="E5893" s="250">
        <v>13931.858</v>
      </c>
    </row>
    <row r="5894" spans="1:5" x14ac:dyDescent="0.35">
      <c r="A5894" s="1" t="s">
        <v>21203</v>
      </c>
      <c r="B5894" s="1" t="s">
        <v>18</v>
      </c>
      <c r="C5894" s="1" t="s">
        <v>221</v>
      </c>
      <c r="D5894" s="1" t="s">
        <v>18</v>
      </c>
      <c r="E5894" s="250">
        <v>13931.859</v>
      </c>
    </row>
    <row r="5895" spans="1:5" x14ac:dyDescent="0.35">
      <c r="A5895" s="1" t="s">
        <v>21204</v>
      </c>
      <c r="B5895" s="1" t="s">
        <v>18</v>
      </c>
      <c r="C5895" s="1" t="s">
        <v>220</v>
      </c>
      <c r="D5895" s="1" t="s">
        <v>18</v>
      </c>
      <c r="E5895" s="250">
        <v>13931.86</v>
      </c>
    </row>
    <row r="5896" spans="1:5" x14ac:dyDescent="0.35">
      <c r="A5896" s="1" t="s">
        <v>21205</v>
      </c>
      <c r="B5896" s="1" t="s">
        <v>18</v>
      </c>
      <c r="C5896" s="1" t="s">
        <v>219</v>
      </c>
      <c r="D5896" s="1" t="s">
        <v>18</v>
      </c>
      <c r="E5896" s="250">
        <v>13931.861000000001</v>
      </c>
    </row>
    <row r="5897" spans="1:5" x14ac:dyDescent="0.35">
      <c r="A5897" s="1" t="s">
        <v>21206</v>
      </c>
      <c r="B5897" s="1" t="s">
        <v>18</v>
      </c>
      <c r="C5897" s="1" t="s">
        <v>218</v>
      </c>
      <c r="D5897" s="1" t="s">
        <v>18</v>
      </c>
      <c r="E5897" s="250">
        <v>13931.861999999999</v>
      </c>
    </row>
    <row r="5898" spans="1:5" x14ac:dyDescent="0.35">
      <c r="A5898" s="1" t="s">
        <v>21207</v>
      </c>
      <c r="B5898" s="1" t="s">
        <v>18</v>
      </c>
      <c r="C5898" s="1" t="s">
        <v>217</v>
      </c>
      <c r="D5898" s="1" t="s">
        <v>18</v>
      </c>
      <c r="E5898" s="250">
        <v>13931.862999999999</v>
      </c>
    </row>
    <row r="5899" spans="1:5" x14ac:dyDescent="0.35">
      <c r="A5899" s="1" t="s">
        <v>21208</v>
      </c>
      <c r="B5899" s="1" t="s">
        <v>18</v>
      </c>
      <c r="C5899" s="1" t="s">
        <v>216</v>
      </c>
      <c r="D5899" s="1" t="s">
        <v>18</v>
      </c>
      <c r="E5899" s="250">
        <v>13931.874</v>
      </c>
    </row>
    <row r="5900" spans="1:5" x14ac:dyDescent="0.35">
      <c r="A5900" s="1" t="s">
        <v>21209</v>
      </c>
      <c r="B5900" s="1" t="s">
        <v>18</v>
      </c>
      <c r="C5900" s="1" t="s">
        <v>215</v>
      </c>
      <c r="D5900" s="1" t="s">
        <v>18</v>
      </c>
      <c r="E5900" s="250">
        <v>13931.875</v>
      </c>
    </row>
    <row r="5901" spans="1:5" x14ac:dyDescent="0.35">
      <c r="A5901" s="1" t="s">
        <v>21210</v>
      </c>
      <c r="B5901" s="1" t="s">
        <v>18</v>
      </c>
      <c r="C5901" s="1" t="s">
        <v>214</v>
      </c>
      <c r="D5901" s="1" t="s">
        <v>18</v>
      </c>
      <c r="E5901" s="250">
        <v>13931.876</v>
      </c>
    </row>
    <row r="5902" spans="1:5" x14ac:dyDescent="0.35">
      <c r="A5902" s="1" t="s">
        <v>21211</v>
      </c>
      <c r="B5902" s="1" t="s">
        <v>18</v>
      </c>
      <c r="C5902" s="1" t="s">
        <v>213</v>
      </c>
      <c r="D5902" s="1" t="s">
        <v>18</v>
      </c>
      <c r="E5902" s="250">
        <v>13931.877</v>
      </c>
    </row>
    <row r="5903" spans="1:5" x14ac:dyDescent="0.35">
      <c r="A5903" s="1" t="s">
        <v>21212</v>
      </c>
      <c r="B5903" s="1" t="s">
        <v>18</v>
      </c>
      <c r="C5903" s="1" t="s">
        <v>212</v>
      </c>
      <c r="D5903" s="1" t="s">
        <v>18</v>
      </c>
      <c r="E5903" s="250">
        <v>13931.878000000001</v>
      </c>
    </row>
    <row r="5904" spans="1:5" x14ac:dyDescent="0.35">
      <c r="A5904" s="1" t="s">
        <v>21213</v>
      </c>
      <c r="B5904" s="1" t="s">
        <v>18</v>
      </c>
      <c r="C5904" s="1" t="s">
        <v>211</v>
      </c>
      <c r="D5904" s="1" t="s">
        <v>18</v>
      </c>
      <c r="E5904" s="250">
        <v>13931.879000000001</v>
      </c>
    </row>
    <row r="5905" spans="1:5" x14ac:dyDescent="0.35">
      <c r="A5905" s="1" t="s">
        <v>21214</v>
      </c>
      <c r="B5905" s="1" t="s">
        <v>18</v>
      </c>
      <c r="C5905" s="1" t="s">
        <v>210</v>
      </c>
      <c r="D5905" s="1" t="s">
        <v>18</v>
      </c>
      <c r="E5905" s="250">
        <v>13931.88</v>
      </c>
    </row>
    <row r="5906" spans="1:5" x14ac:dyDescent="0.35">
      <c r="A5906" s="1" t="s">
        <v>21215</v>
      </c>
      <c r="B5906" s="1" t="s">
        <v>18</v>
      </c>
      <c r="C5906" s="1" t="s">
        <v>209</v>
      </c>
      <c r="D5906" s="1" t="s">
        <v>18</v>
      </c>
      <c r="E5906" s="250">
        <v>13931.880999999999</v>
      </c>
    </row>
    <row r="5907" spans="1:5" x14ac:dyDescent="0.35">
      <c r="A5907" s="1" t="s">
        <v>21216</v>
      </c>
      <c r="B5907" s="1" t="s">
        <v>18</v>
      </c>
      <c r="C5907" s="1" t="s">
        <v>208</v>
      </c>
      <c r="D5907" s="1" t="s">
        <v>18</v>
      </c>
      <c r="E5907" s="250">
        <v>13931.882</v>
      </c>
    </row>
    <row r="5908" spans="1:5" x14ac:dyDescent="0.35">
      <c r="A5908" s="1" t="s">
        <v>21217</v>
      </c>
      <c r="B5908" s="1" t="s">
        <v>18</v>
      </c>
      <c r="C5908" s="1" t="s">
        <v>207</v>
      </c>
      <c r="D5908" s="1" t="s">
        <v>18</v>
      </c>
      <c r="E5908" s="250">
        <v>13931.883</v>
      </c>
    </row>
    <row r="5909" spans="1:5" x14ac:dyDescent="0.35">
      <c r="A5909" s="1" t="s">
        <v>21218</v>
      </c>
      <c r="B5909" s="1" t="s">
        <v>18</v>
      </c>
      <c r="C5909" s="1" t="s">
        <v>206</v>
      </c>
      <c r="D5909" s="1" t="s">
        <v>18</v>
      </c>
      <c r="E5909" s="250">
        <v>13931.884</v>
      </c>
    </row>
    <row r="5910" spans="1:5" x14ac:dyDescent="0.35">
      <c r="A5910" s="1" t="s">
        <v>21219</v>
      </c>
      <c r="B5910" s="1" t="s">
        <v>18</v>
      </c>
      <c r="C5910" s="1" t="s">
        <v>205</v>
      </c>
      <c r="D5910" s="1" t="s">
        <v>18</v>
      </c>
      <c r="E5910" s="250">
        <v>13931.885</v>
      </c>
    </row>
    <row r="5911" spans="1:5" x14ac:dyDescent="0.35">
      <c r="A5911" s="1" t="s">
        <v>21220</v>
      </c>
      <c r="B5911" s="1" t="s">
        <v>18</v>
      </c>
      <c r="C5911" s="1" t="s">
        <v>202</v>
      </c>
      <c r="D5911" s="1" t="s">
        <v>18</v>
      </c>
      <c r="E5911" s="250">
        <v>13931.896000000001</v>
      </c>
    </row>
    <row r="5912" spans="1:5" x14ac:dyDescent="0.35">
      <c r="A5912" s="1" t="s">
        <v>21221</v>
      </c>
      <c r="B5912" s="1" t="s">
        <v>18</v>
      </c>
      <c r="C5912" s="1" t="s">
        <v>201</v>
      </c>
      <c r="D5912" s="1" t="s">
        <v>18</v>
      </c>
      <c r="E5912" s="250">
        <v>13931.897000000001</v>
      </c>
    </row>
    <row r="5913" spans="1:5" x14ac:dyDescent="0.35">
      <c r="A5913" s="1" t="s">
        <v>21222</v>
      </c>
      <c r="B5913" s="1" t="s">
        <v>18</v>
      </c>
      <c r="C5913" s="1" t="s">
        <v>200</v>
      </c>
      <c r="D5913" s="1" t="s">
        <v>18</v>
      </c>
      <c r="E5913" s="250">
        <v>13931.897999999999</v>
      </c>
    </row>
    <row r="5914" spans="1:5" x14ac:dyDescent="0.35">
      <c r="A5914" s="1" t="s">
        <v>21223</v>
      </c>
      <c r="B5914" s="1" t="s">
        <v>18</v>
      </c>
      <c r="C5914" s="1" t="s">
        <v>199</v>
      </c>
      <c r="D5914" s="1" t="s">
        <v>18</v>
      </c>
      <c r="E5914" s="250">
        <v>13931.898999999999</v>
      </c>
    </row>
    <row r="5915" spans="1:5" x14ac:dyDescent="0.35">
      <c r="A5915" s="1" t="s">
        <v>21224</v>
      </c>
      <c r="B5915" s="1" t="s">
        <v>18</v>
      </c>
      <c r="C5915" s="1" t="s">
        <v>198</v>
      </c>
      <c r="D5915" s="1" t="s">
        <v>18</v>
      </c>
      <c r="E5915" s="250">
        <v>13931.9</v>
      </c>
    </row>
    <row r="5916" spans="1:5" x14ac:dyDescent="0.35">
      <c r="A5916" s="1" t="s">
        <v>21225</v>
      </c>
      <c r="B5916" s="1" t="s">
        <v>18</v>
      </c>
      <c r="C5916" s="1" t="s">
        <v>197</v>
      </c>
      <c r="D5916" s="1" t="s">
        <v>18</v>
      </c>
      <c r="E5916" s="250">
        <v>13931.901</v>
      </c>
    </row>
    <row r="5917" spans="1:5" x14ac:dyDescent="0.35">
      <c r="A5917" s="1" t="s">
        <v>21226</v>
      </c>
      <c r="B5917" s="1" t="s">
        <v>18</v>
      </c>
      <c r="C5917" s="1" t="s">
        <v>196</v>
      </c>
      <c r="D5917" s="1" t="s">
        <v>18</v>
      </c>
      <c r="E5917" s="250">
        <v>13931.902</v>
      </c>
    </row>
    <row r="5918" spans="1:5" x14ac:dyDescent="0.35">
      <c r="A5918" s="1" t="s">
        <v>21227</v>
      </c>
      <c r="B5918" s="1" t="s">
        <v>18</v>
      </c>
      <c r="C5918" s="1" t="s">
        <v>195</v>
      </c>
      <c r="D5918" s="1" t="s">
        <v>18</v>
      </c>
      <c r="E5918" s="250">
        <v>13931.903</v>
      </c>
    </row>
    <row r="5919" spans="1:5" x14ac:dyDescent="0.35">
      <c r="A5919" s="1" t="s">
        <v>21228</v>
      </c>
      <c r="B5919" s="1" t="s">
        <v>18</v>
      </c>
      <c r="C5919" s="1" t="s">
        <v>194</v>
      </c>
      <c r="D5919" s="1" t="s">
        <v>18</v>
      </c>
      <c r="E5919" s="250">
        <v>13931.904</v>
      </c>
    </row>
    <row r="5920" spans="1:5" x14ac:dyDescent="0.35">
      <c r="A5920" s="1" t="s">
        <v>21229</v>
      </c>
      <c r="B5920" s="1" t="s">
        <v>18</v>
      </c>
      <c r="C5920" s="1" t="s">
        <v>193</v>
      </c>
      <c r="D5920" s="1" t="s">
        <v>18</v>
      </c>
      <c r="E5920" s="250">
        <v>13931.905000000001</v>
      </c>
    </row>
    <row r="5921" spans="1:5" x14ac:dyDescent="0.35">
      <c r="A5921" s="1" t="s">
        <v>21230</v>
      </c>
      <c r="B5921" s="1" t="s">
        <v>18</v>
      </c>
      <c r="C5921" s="1" t="s">
        <v>192</v>
      </c>
      <c r="D5921" s="1" t="s">
        <v>18</v>
      </c>
      <c r="E5921" s="250">
        <v>13931.906000000001</v>
      </c>
    </row>
    <row r="5922" spans="1:5" x14ac:dyDescent="0.35">
      <c r="A5922" s="1" t="s">
        <v>21231</v>
      </c>
      <c r="B5922" s="1" t="s">
        <v>18</v>
      </c>
      <c r="C5922" s="1" t="s">
        <v>191</v>
      </c>
      <c r="D5922" s="1" t="s">
        <v>18</v>
      </c>
      <c r="E5922" s="250">
        <v>13931.906999999999</v>
      </c>
    </row>
    <row r="5923" spans="1:5" x14ac:dyDescent="0.35">
      <c r="A5923" s="1" t="s">
        <v>21232</v>
      </c>
      <c r="B5923" s="1" t="s">
        <v>18</v>
      </c>
      <c r="C5923" s="1" t="s">
        <v>190</v>
      </c>
      <c r="D5923" s="1" t="s">
        <v>18</v>
      </c>
      <c r="E5923" s="250">
        <v>13931.907999999999</v>
      </c>
    </row>
    <row r="5924" spans="1:5" x14ac:dyDescent="0.35">
      <c r="A5924" s="1" t="s">
        <v>21233</v>
      </c>
      <c r="B5924" s="1" t="s">
        <v>18</v>
      </c>
      <c r="C5924" s="1" t="s">
        <v>189</v>
      </c>
      <c r="D5924" s="1" t="s">
        <v>18</v>
      </c>
      <c r="E5924" s="250">
        <v>13931.909</v>
      </c>
    </row>
    <row r="5925" spans="1:5" x14ac:dyDescent="0.35">
      <c r="A5925" s="1" t="s">
        <v>21234</v>
      </c>
      <c r="B5925" s="1" t="s">
        <v>57</v>
      </c>
      <c r="C5925" s="1" t="s">
        <v>204</v>
      </c>
      <c r="D5925" s="1" t="s">
        <v>57</v>
      </c>
      <c r="E5925" s="250">
        <v>13931.916999999999</v>
      </c>
    </row>
    <row r="5926" spans="1:5" x14ac:dyDescent="0.35">
      <c r="A5926" s="1" t="s">
        <v>21235</v>
      </c>
      <c r="B5926" s="1" t="s">
        <v>57</v>
      </c>
      <c r="C5926" s="1" t="s">
        <v>203</v>
      </c>
      <c r="D5926" s="1" t="s">
        <v>57</v>
      </c>
      <c r="E5926" s="250">
        <v>13931.918</v>
      </c>
    </row>
    <row r="5927" spans="1:5" x14ac:dyDescent="0.35">
      <c r="A5927" s="1" t="s">
        <v>21236</v>
      </c>
      <c r="B5927" s="1" t="s">
        <v>18</v>
      </c>
      <c r="C5927" s="1" t="s">
        <v>202</v>
      </c>
      <c r="D5927" s="1" t="s">
        <v>18</v>
      </c>
      <c r="E5927" s="250">
        <v>13931.92</v>
      </c>
    </row>
    <row r="5928" spans="1:5" x14ac:dyDescent="0.35">
      <c r="A5928" s="1" t="s">
        <v>21237</v>
      </c>
      <c r="B5928" s="1" t="s">
        <v>18</v>
      </c>
      <c r="C5928" s="1" t="s">
        <v>201</v>
      </c>
      <c r="D5928" s="1" t="s">
        <v>18</v>
      </c>
      <c r="E5928" s="250">
        <v>13931.921</v>
      </c>
    </row>
    <row r="5929" spans="1:5" x14ac:dyDescent="0.35">
      <c r="A5929" s="1" t="s">
        <v>21238</v>
      </c>
      <c r="B5929" s="1" t="s">
        <v>18</v>
      </c>
      <c r="C5929" s="1" t="s">
        <v>200</v>
      </c>
      <c r="D5929" s="1" t="s">
        <v>18</v>
      </c>
      <c r="E5929" s="250">
        <v>13931.922</v>
      </c>
    </row>
    <row r="5930" spans="1:5" x14ac:dyDescent="0.35">
      <c r="A5930" s="1" t="s">
        <v>21239</v>
      </c>
      <c r="B5930" s="1" t="s">
        <v>18</v>
      </c>
      <c r="C5930" s="1" t="s">
        <v>199</v>
      </c>
      <c r="D5930" s="1" t="s">
        <v>18</v>
      </c>
      <c r="E5930" s="250">
        <v>13931.923000000001</v>
      </c>
    </row>
    <row r="5931" spans="1:5" x14ac:dyDescent="0.35">
      <c r="A5931" s="1" t="s">
        <v>21240</v>
      </c>
      <c r="B5931" s="1" t="s">
        <v>18</v>
      </c>
      <c r="C5931" s="1" t="s">
        <v>198</v>
      </c>
      <c r="D5931" s="1" t="s">
        <v>18</v>
      </c>
      <c r="E5931" s="250">
        <v>13931.924000000001</v>
      </c>
    </row>
    <row r="5932" spans="1:5" x14ac:dyDescent="0.35">
      <c r="A5932" s="1" t="s">
        <v>21241</v>
      </c>
      <c r="B5932" s="1" t="s">
        <v>18</v>
      </c>
      <c r="C5932" s="1" t="s">
        <v>197</v>
      </c>
      <c r="D5932" s="1" t="s">
        <v>18</v>
      </c>
      <c r="E5932" s="250">
        <v>13931.924999999999</v>
      </c>
    </row>
    <row r="5933" spans="1:5" x14ac:dyDescent="0.35">
      <c r="A5933" s="1" t="s">
        <v>21242</v>
      </c>
      <c r="B5933" s="1" t="s">
        <v>18</v>
      </c>
      <c r="C5933" s="1" t="s">
        <v>196</v>
      </c>
      <c r="D5933" s="1" t="s">
        <v>18</v>
      </c>
      <c r="E5933" s="250">
        <v>13931.925999999999</v>
      </c>
    </row>
    <row r="5934" spans="1:5" x14ac:dyDescent="0.35">
      <c r="A5934" s="1" t="s">
        <v>21243</v>
      </c>
      <c r="B5934" s="1" t="s">
        <v>18</v>
      </c>
      <c r="C5934" s="1" t="s">
        <v>195</v>
      </c>
      <c r="D5934" s="1" t="s">
        <v>18</v>
      </c>
      <c r="E5934" s="250">
        <v>13931.927</v>
      </c>
    </row>
    <row r="5935" spans="1:5" x14ac:dyDescent="0.35">
      <c r="A5935" s="1" t="s">
        <v>21244</v>
      </c>
      <c r="B5935" s="1" t="s">
        <v>18</v>
      </c>
      <c r="C5935" s="1" t="s">
        <v>194</v>
      </c>
      <c r="D5935" s="1" t="s">
        <v>18</v>
      </c>
      <c r="E5935" s="250">
        <v>13931.928</v>
      </c>
    </row>
    <row r="5936" spans="1:5" x14ac:dyDescent="0.35">
      <c r="A5936" s="1" t="s">
        <v>21245</v>
      </c>
      <c r="B5936" s="1" t="s">
        <v>18</v>
      </c>
      <c r="C5936" s="1" t="s">
        <v>193</v>
      </c>
      <c r="D5936" s="1" t="s">
        <v>18</v>
      </c>
      <c r="E5936" s="250">
        <v>13931.929</v>
      </c>
    </row>
    <row r="5937" spans="1:5" x14ac:dyDescent="0.35">
      <c r="A5937" s="1" t="s">
        <v>21246</v>
      </c>
      <c r="B5937" s="1" t="s">
        <v>18</v>
      </c>
      <c r="C5937" s="1" t="s">
        <v>192</v>
      </c>
      <c r="D5937" s="1" t="s">
        <v>18</v>
      </c>
      <c r="E5937" s="250">
        <v>13931.93</v>
      </c>
    </row>
    <row r="5938" spans="1:5" x14ac:dyDescent="0.35">
      <c r="A5938" s="1" t="s">
        <v>21247</v>
      </c>
      <c r="B5938" s="1" t="s">
        <v>18</v>
      </c>
      <c r="C5938" s="1" t="s">
        <v>191</v>
      </c>
      <c r="D5938" s="1" t="s">
        <v>18</v>
      </c>
      <c r="E5938" s="250">
        <v>13931.931</v>
      </c>
    </row>
    <row r="5939" spans="1:5" x14ac:dyDescent="0.35">
      <c r="A5939" s="1" t="s">
        <v>21248</v>
      </c>
      <c r="B5939" s="1" t="s">
        <v>18</v>
      </c>
      <c r="C5939" s="1" t="s">
        <v>190</v>
      </c>
      <c r="D5939" s="1" t="s">
        <v>18</v>
      </c>
      <c r="E5939" s="250">
        <v>13931.932000000001</v>
      </c>
    </row>
    <row r="5940" spans="1:5" x14ac:dyDescent="0.35">
      <c r="A5940" s="1" t="s">
        <v>21249</v>
      </c>
      <c r="B5940" s="1" t="s">
        <v>18</v>
      </c>
      <c r="C5940" s="1" t="s">
        <v>189</v>
      </c>
      <c r="D5940" s="1" t="s">
        <v>18</v>
      </c>
      <c r="E5940" s="250">
        <v>13931.933000000001</v>
      </c>
    </row>
    <row r="5941" spans="1:5" x14ac:dyDescent="0.35">
      <c r="A5941" s="1" t="s">
        <v>21250</v>
      </c>
      <c r="B5941" s="1" t="s">
        <v>18</v>
      </c>
      <c r="C5941" s="1" t="s">
        <v>188</v>
      </c>
      <c r="D5941" s="1" t="s">
        <v>18</v>
      </c>
      <c r="E5941" s="250">
        <v>13931.942999999999</v>
      </c>
    </row>
    <row r="5942" spans="1:5" x14ac:dyDescent="0.35">
      <c r="A5942" s="1" t="s">
        <v>21251</v>
      </c>
      <c r="B5942" s="1" t="s">
        <v>18</v>
      </c>
      <c r="C5942" s="1" t="s">
        <v>187</v>
      </c>
      <c r="D5942" s="1" t="s">
        <v>18</v>
      </c>
      <c r="E5942" s="250">
        <v>13931.944</v>
      </c>
    </row>
    <row r="5943" spans="1:5" x14ac:dyDescent="0.35">
      <c r="A5943" s="1" t="s">
        <v>21252</v>
      </c>
      <c r="B5943" s="1" t="s">
        <v>18</v>
      </c>
      <c r="C5943" s="1" t="s">
        <v>186</v>
      </c>
      <c r="D5943" s="1" t="s">
        <v>18</v>
      </c>
      <c r="E5943" s="250">
        <v>13931.945</v>
      </c>
    </row>
    <row r="5944" spans="1:5" x14ac:dyDescent="0.35">
      <c r="A5944" s="1" t="s">
        <v>21253</v>
      </c>
      <c r="B5944" s="1" t="s">
        <v>18</v>
      </c>
      <c r="C5944" s="1" t="s">
        <v>185</v>
      </c>
      <c r="D5944" s="1" t="s">
        <v>18</v>
      </c>
      <c r="E5944" s="250">
        <v>13931.946</v>
      </c>
    </row>
    <row r="5945" spans="1:5" x14ac:dyDescent="0.35">
      <c r="A5945" s="1" t="s">
        <v>21254</v>
      </c>
      <c r="B5945" s="1" t="s">
        <v>18</v>
      </c>
      <c r="C5945" s="1" t="s">
        <v>184</v>
      </c>
      <c r="D5945" s="1" t="s">
        <v>18</v>
      </c>
      <c r="E5945" s="250">
        <v>13931.947</v>
      </c>
    </row>
    <row r="5946" spans="1:5" x14ac:dyDescent="0.35">
      <c r="A5946" s="1" t="s">
        <v>21255</v>
      </c>
      <c r="B5946" s="1" t="s">
        <v>18</v>
      </c>
      <c r="C5946" s="1" t="s">
        <v>183</v>
      </c>
      <c r="D5946" s="1" t="s">
        <v>18</v>
      </c>
      <c r="E5946" s="250">
        <v>13931.948</v>
      </c>
    </row>
    <row r="5947" spans="1:5" x14ac:dyDescent="0.35">
      <c r="A5947" s="1" t="s">
        <v>21256</v>
      </c>
      <c r="B5947" s="1" t="s">
        <v>18</v>
      </c>
      <c r="C5947" s="1" t="s">
        <v>182</v>
      </c>
      <c r="D5947" s="1" t="s">
        <v>18</v>
      </c>
      <c r="E5947" s="250">
        <v>13931.949000000001</v>
      </c>
    </row>
    <row r="5948" spans="1:5" x14ac:dyDescent="0.35">
      <c r="A5948" s="1" t="s">
        <v>21257</v>
      </c>
      <c r="B5948" s="1" t="s">
        <v>18</v>
      </c>
      <c r="C5948" s="1" t="s">
        <v>181</v>
      </c>
      <c r="D5948" s="1" t="s">
        <v>18</v>
      </c>
      <c r="E5948" s="250">
        <v>13931.95</v>
      </c>
    </row>
    <row r="5949" spans="1:5" x14ac:dyDescent="0.35">
      <c r="A5949" s="1" t="s">
        <v>21258</v>
      </c>
      <c r="B5949" s="1" t="s">
        <v>18</v>
      </c>
      <c r="C5949" s="1" t="s">
        <v>180</v>
      </c>
      <c r="D5949" s="1" t="s">
        <v>18</v>
      </c>
      <c r="E5949" s="250">
        <v>13931.950999999999</v>
      </c>
    </row>
    <row r="5950" spans="1:5" x14ac:dyDescent="0.35">
      <c r="A5950" s="1" t="s">
        <v>21259</v>
      </c>
      <c r="B5950" s="1" t="s">
        <v>18</v>
      </c>
      <c r="C5950" s="1" t="s">
        <v>179</v>
      </c>
      <c r="D5950" s="1" t="s">
        <v>18</v>
      </c>
      <c r="E5950" s="250">
        <v>13931.951999999999</v>
      </c>
    </row>
    <row r="5951" spans="1:5" x14ac:dyDescent="0.35">
      <c r="A5951" s="1" t="s">
        <v>21260</v>
      </c>
      <c r="B5951" s="1" t="s">
        <v>18</v>
      </c>
      <c r="C5951" s="1" t="s">
        <v>178</v>
      </c>
      <c r="D5951" s="1" t="s">
        <v>18</v>
      </c>
      <c r="E5951" s="250">
        <v>13931.953</v>
      </c>
    </row>
    <row r="5952" spans="1:5" x14ac:dyDescent="0.35">
      <c r="A5952" s="1" t="s">
        <v>21261</v>
      </c>
      <c r="B5952" s="1" t="s">
        <v>18</v>
      </c>
      <c r="C5952" s="1" t="s">
        <v>177</v>
      </c>
      <c r="D5952" s="1" t="s">
        <v>18</v>
      </c>
      <c r="E5952" s="250">
        <v>13931.954</v>
      </c>
    </row>
    <row r="5953" spans="1:5" x14ac:dyDescent="0.35">
      <c r="A5953" s="1" t="s">
        <v>21262</v>
      </c>
      <c r="B5953" s="1" t="s">
        <v>18</v>
      </c>
      <c r="C5953" s="1" t="s">
        <v>176</v>
      </c>
      <c r="D5953" s="1" t="s">
        <v>18</v>
      </c>
      <c r="E5953" s="250">
        <v>13931.955</v>
      </c>
    </row>
    <row r="5954" spans="1:5" x14ac:dyDescent="0.35">
      <c r="A5954" s="1" t="s">
        <v>21263</v>
      </c>
      <c r="B5954" s="1" t="s">
        <v>18</v>
      </c>
      <c r="C5954" s="1" t="s">
        <v>175</v>
      </c>
      <c r="D5954" s="1" t="s">
        <v>18</v>
      </c>
      <c r="E5954" s="250">
        <v>13931.956</v>
      </c>
    </row>
    <row r="5955" spans="1:5" x14ac:dyDescent="0.35">
      <c r="A5955" s="1" t="s">
        <v>21264</v>
      </c>
      <c r="B5955" s="1" t="s">
        <v>57</v>
      </c>
      <c r="C5955" s="1" t="s">
        <v>174</v>
      </c>
      <c r="D5955" s="1" t="s">
        <v>57</v>
      </c>
      <c r="E5955" s="250">
        <v>13934.01</v>
      </c>
    </row>
    <row r="5956" spans="1:5" x14ac:dyDescent="0.35">
      <c r="A5956" s="1" t="s">
        <v>21265</v>
      </c>
      <c r="B5956" s="1" t="s">
        <v>57</v>
      </c>
      <c r="C5956" s="1" t="s">
        <v>173</v>
      </c>
      <c r="D5956" s="1" t="s">
        <v>57</v>
      </c>
      <c r="E5956" s="250">
        <v>13934.012000000001</v>
      </c>
    </row>
    <row r="5957" spans="1:5" x14ac:dyDescent="0.35">
      <c r="A5957" s="1" t="s">
        <v>21266</v>
      </c>
      <c r="B5957" s="1" t="s">
        <v>18</v>
      </c>
      <c r="C5957" s="1" t="s">
        <v>172</v>
      </c>
      <c r="D5957" s="1" t="s">
        <v>18</v>
      </c>
      <c r="E5957" s="250">
        <v>13934.013000000001</v>
      </c>
    </row>
    <row r="5958" spans="1:5" x14ac:dyDescent="0.35">
      <c r="A5958" s="1" t="s">
        <v>21267</v>
      </c>
      <c r="B5958" s="1" t="s">
        <v>18</v>
      </c>
      <c r="C5958" s="1" t="s">
        <v>171</v>
      </c>
      <c r="D5958" s="1" t="s">
        <v>18</v>
      </c>
      <c r="E5958" s="250">
        <v>13934.013999999999</v>
      </c>
    </row>
    <row r="5959" spans="1:5" x14ac:dyDescent="0.35">
      <c r="A5959" s="1" t="s">
        <v>21268</v>
      </c>
      <c r="B5959" s="1" t="s">
        <v>18</v>
      </c>
      <c r="C5959" s="1" t="s">
        <v>168</v>
      </c>
      <c r="D5959" s="1" t="s">
        <v>18</v>
      </c>
      <c r="E5959" s="250">
        <v>13934.014999999999</v>
      </c>
    </row>
    <row r="5960" spans="1:5" x14ac:dyDescent="0.35">
      <c r="A5960" s="1" t="s">
        <v>21269</v>
      </c>
      <c r="B5960" s="1" t="s">
        <v>57</v>
      </c>
      <c r="C5960" s="1" t="s">
        <v>170</v>
      </c>
      <c r="D5960" s="1" t="s">
        <v>57</v>
      </c>
      <c r="E5960" s="250">
        <v>13934.025</v>
      </c>
    </row>
    <row r="5961" spans="1:5" x14ac:dyDescent="0.35">
      <c r="A5961" s="1" t="s">
        <v>21270</v>
      </c>
      <c r="B5961" s="1" t="s">
        <v>18</v>
      </c>
      <c r="C5961" s="1" t="s">
        <v>169</v>
      </c>
      <c r="D5961" s="1" t="s">
        <v>18</v>
      </c>
      <c r="E5961" s="250">
        <v>13934.027</v>
      </c>
    </row>
    <row r="5962" spans="1:5" x14ac:dyDescent="0.35">
      <c r="A5962" s="1" t="s">
        <v>21271</v>
      </c>
      <c r="B5962" s="1" t="s">
        <v>18</v>
      </c>
      <c r="C5962" s="1" t="s">
        <v>168</v>
      </c>
      <c r="D5962" s="1" t="s">
        <v>18</v>
      </c>
      <c r="E5962" s="250">
        <v>13934.028</v>
      </c>
    </row>
    <row r="5963" spans="1:5" x14ac:dyDescent="0.35">
      <c r="A5963" s="1" t="s">
        <v>21272</v>
      </c>
      <c r="B5963" s="1" t="s">
        <v>18</v>
      </c>
      <c r="C5963" s="1" t="s">
        <v>167</v>
      </c>
      <c r="D5963" s="1" t="s">
        <v>18</v>
      </c>
      <c r="E5963" s="250">
        <v>13934.029</v>
      </c>
    </row>
    <row r="5964" spans="1:5" x14ac:dyDescent="0.35">
      <c r="A5964" s="1" t="s">
        <v>21273</v>
      </c>
      <c r="B5964" s="1" t="s">
        <v>20</v>
      </c>
      <c r="C5964" s="1" t="s">
        <v>166</v>
      </c>
      <c r="D5964" s="1" t="s">
        <v>20</v>
      </c>
      <c r="E5964" s="250">
        <v>13934.035</v>
      </c>
    </row>
    <row r="5965" spans="1:5" x14ac:dyDescent="0.35">
      <c r="A5965" s="1" t="s">
        <v>21274</v>
      </c>
      <c r="B5965" s="1" t="s">
        <v>20</v>
      </c>
      <c r="C5965" s="1" t="s">
        <v>165</v>
      </c>
      <c r="D5965" s="1" t="s">
        <v>20</v>
      </c>
      <c r="E5965" s="250">
        <v>13935.01</v>
      </c>
    </row>
    <row r="5966" spans="1:5" x14ac:dyDescent="0.35">
      <c r="A5966" s="1" t="s">
        <v>21275</v>
      </c>
      <c r="B5966" s="1" t="s">
        <v>20</v>
      </c>
      <c r="C5966" s="1" t="s">
        <v>164</v>
      </c>
      <c r="D5966" s="1" t="s">
        <v>20</v>
      </c>
      <c r="E5966" s="250">
        <v>13940.01</v>
      </c>
    </row>
    <row r="5967" spans="1:5" x14ac:dyDescent="0.35">
      <c r="A5967" s="1" t="s">
        <v>21276</v>
      </c>
      <c r="B5967" s="1" t="s">
        <v>22</v>
      </c>
      <c r="C5967" s="1" t="s">
        <v>163</v>
      </c>
      <c r="D5967" s="1" t="s">
        <v>22</v>
      </c>
      <c r="E5967" s="250">
        <v>13965.004999999999</v>
      </c>
    </row>
    <row r="5968" spans="1:5" x14ac:dyDescent="0.35">
      <c r="A5968" s="1" t="s">
        <v>21277</v>
      </c>
      <c r="B5968" s="1" t="s">
        <v>57</v>
      </c>
      <c r="C5968" s="1" t="s">
        <v>162</v>
      </c>
      <c r="D5968" s="1" t="s">
        <v>57</v>
      </c>
      <c r="E5968" s="250">
        <v>13975.01</v>
      </c>
    </row>
    <row r="5969" spans="1:5" x14ac:dyDescent="0.35">
      <c r="A5969" s="1" t="s">
        <v>21278</v>
      </c>
      <c r="B5969" s="1" t="s">
        <v>57</v>
      </c>
      <c r="C5969" s="1" t="s">
        <v>161</v>
      </c>
      <c r="D5969" s="1" t="s">
        <v>57</v>
      </c>
      <c r="E5969" s="250">
        <v>13975.013000000001</v>
      </c>
    </row>
    <row r="5970" spans="1:5" x14ac:dyDescent="0.35">
      <c r="A5970" s="1" t="s">
        <v>21279</v>
      </c>
      <c r="B5970" s="1" t="s">
        <v>18</v>
      </c>
      <c r="C5970" s="1" t="s">
        <v>155</v>
      </c>
      <c r="D5970" s="1" t="s">
        <v>18</v>
      </c>
      <c r="E5970" s="250">
        <v>13975.013999999999</v>
      </c>
    </row>
    <row r="5971" spans="1:5" x14ac:dyDescent="0.35">
      <c r="A5971" s="1" t="s">
        <v>21280</v>
      </c>
      <c r="B5971" s="1" t="s">
        <v>18</v>
      </c>
      <c r="C5971" s="1" t="s">
        <v>154</v>
      </c>
      <c r="D5971" s="1" t="s">
        <v>18</v>
      </c>
      <c r="E5971" s="250">
        <v>13975.014999999999</v>
      </c>
    </row>
    <row r="5972" spans="1:5" x14ac:dyDescent="0.35">
      <c r="A5972" s="1" t="s">
        <v>21281</v>
      </c>
      <c r="B5972" s="1" t="s">
        <v>18</v>
      </c>
      <c r="C5972" s="1" t="s">
        <v>153</v>
      </c>
      <c r="D5972" s="1" t="s">
        <v>18</v>
      </c>
      <c r="E5972" s="250">
        <v>13975.016</v>
      </c>
    </row>
    <row r="5973" spans="1:5" x14ac:dyDescent="0.35">
      <c r="A5973" s="1" t="s">
        <v>21282</v>
      </c>
      <c r="B5973" s="1" t="s">
        <v>18</v>
      </c>
      <c r="C5973" s="1" t="s">
        <v>158</v>
      </c>
      <c r="D5973" s="1" t="s">
        <v>18</v>
      </c>
      <c r="E5973" s="250">
        <v>13975.017</v>
      </c>
    </row>
    <row r="5974" spans="1:5" x14ac:dyDescent="0.35">
      <c r="A5974" s="1" t="s">
        <v>21283</v>
      </c>
      <c r="B5974" s="1" t="s">
        <v>18</v>
      </c>
      <c r="C5974" s="1" t="s">
        <v>160</v>
      </c>
      <c r="D5974" s="1" t="s">
        <v>18</v>
      </c>
      <c r="E5974" s="250">
        <v>13975.018</v>
      </c>
    </row>
    <row r="5975" spans="1:5" x14ac:dyDescent="0.35">
      <c r="A5975" s="1" t="s">
        <v>21284</v>
      </c>
      <c r="B5975" s="1" t="s">
        <v>18</v>
      </c>
      <c r="C5975" s="1" t="s">
        <v>153</v>
      </c>
      <c r="D5975" s="1" t="s">
        <v>18</v>
      </c>
      <c r="E5975" s="250">
        <v>13975.019</v>
      </c>
    </row>
    <row r="5976" spans="1:5" x14ac:dyDescent="0.35">
      <c r="A5976" s="1" t="s">
        <v>21285</v>
      </c>
      <c r="B5976" s="1" t="s">
        <v>57</v>
      </c>
      <c r="C5976" s="1" t="s">
        <v>159</v>
      </c>
      <c r="D5976" s="1" t="s">
        <v>57</v>
      </c>
      <c r="E5976" s="250">
        <v>13975.04</v>
      </c>
    </row>
    <row r="5977" spans="1:5" x14ac:dyDescent="0.35">
      <c r="A5977" s="1" t="s">
        <v>21286</v>
      </c>
      <c r="B5977" s="1" t="s">
        <v>18</v>
      </c>
      <c r="C5977" s="1" t="s">
        <v>155</v>
      </c>
      <c r="D5977" s="1" t="s">
        <v>18</v>
      </c>
      <c r="E5977" s="250">
        <v>13975.040999999999</v>
      </c>
    </row>
    <row r="5978" spans="1:5" x14ac:dyDescent="0.35">
      <c r="A5978" s="1" t="s">
        <v>21287</v>
      </c>
      <c r="B5978" s="1" t="s">
        <v>18</v>
      </c>
      <c r="C5978" s="1" t="s">
        <v>154</v>
      </c>
      <c r="D5978" s="1" t="s">
        <v>18</v>
      </c>
      <c r="E5978" s="250">
        <v>13975.041999999999</v>
      </c>
    </row>
    <row r="5979" spans="1:5" x14ac:dyDescent="0.35">
      <c r="A5979" s="1" t="s">
        <v>21288</v>
      </c>
      <c r="B5979" s="1" t="s">
        <v>18</v>
      </c>
      <c r="C5979" s="1" t="s">
        <v>153</v>
      </c>
      <c r="D5979" s="1" t="s">
        <v>18</v>
      </c>
      <c r="E5979" s="250">
        <v>13975.043</v>
      </c>
    </row>
    <row r="5980" spans="1:5" x14ac:dyDescent="0.35">
      <c r="A5980" s="1" t="s">
        <v>21289</v>
      </c>
      <c r="B5980" s="1" t="s">
        <v>18</v>
      </c>
      <c r="C5980" s="1" t="s">
        <v>158</v>
      </c>
      <c r="D5980" s="1" t="s">
        <v>18</v>
      </c>
      <c r="E5980" s="250">
        <v>13975.044</v>
      </c>
    </row>
    <row r="5981" spans="1:5" x14ac:dyDescent="0.35">
      <c r="A5981" s="1" t="s">
        <v>21290</v>
      </c>
      <c r="B5981" s="1" t="s">
        <v>18</v>
      </c>
      <c r="C5981" s="1" t="s">
        <v>157</v>
      </c>
      <c r="D5981" s="1" t="s">
        <v>18</v>
      </c>
      <c r="E5981" s="250">
        <v>13975.045</v>
      </c>
    </row>
    <row r="5982" spans="1:5" x14ac:dyDescent="0.35">
      <c r="A5982" s="1" t="s">
        <v>21291</v>
      </c>
      <c r="B5982" s="1" t="s">
        <v>18</v>
      </c>
      <c r="C5982" s="1" t="s">
        <v>150</v>
      </c>
      <c r="D5982" s="1" t="s">
        <v>18</v>
      </c>
      <c r="E5982" s="250">
        <v>13975.046</v>
      </c>
    </row>
    <row r="5983" spans="1:5" x14ac:dyDescent="0.35">
      <c r="A5983" s="1" t="s">
        <v>21292</v>
      </c>
      <c r="B5983" s="1" t="s">
        <v>57</v>
      </c>
      <c r="C5983" s="1" t="s">
        <v>156</v>
      </c>
      <c r="D5983" s="1" t="s">
        <v>57</v>
      </c>
      <c r="E5983" s="250">
        <v>13975.066999999999</v>
      </c>
    </row>
    <row r="5984" spans="1:5" x14ac:dyDescent="0.35">
      <c r="A5984" s="1" t="s">
        <v>21293</v>
      </c>
      <c r="B5984" s="1" t="s">
        <v>18</v>
      </c>
      <c r="C5984" s="1" t="s">
        <v>155</v>
      </c>
      <c r="D5984" s="1" t="s">
        <v>18</v>
      </c>
      <c r="E5984" s="250">
        <v>13975.067999999999</v>
      </c>
    </row>
    <row r="5985" spans="1:5" x14ac:dyDescent="0.35">
      <c r="A5985" s="1" t="s">
        <v>21294</v>
      </c>
      <c r="B5985" s="1" t="s">
        <v>18</v>
      </c>
      <c r="C5985" s="1" t="s">
        <v>154</v>
      </c>
      <c r="D5985" s="1" t="s">
        <v>18</v>
      </c>
      <c r="E5985" s="250">
        <v>13975.069</v>
      </c>
    </row>
    <row r="5986" spans="1:5" x14ac:dyDescent="0.35">
      <c r="A5986" s="1" t="s">
        <v>21295</v>
      </c>
      <c r="B5986" s="1" t="s">
        <v>18</v>
      </c>
      <c r="C5986" s="1" t="s">
        <v>153</v>
      </c>
      <c r="D5986" s="1" t="s">
        <v>18</v>
      </c>
      <c r="E5986" s="250">
        <v>13975.07</v>
      </c>
    </row>
    <row r="5987" spans="1:5" x14ac:dyDescent="0.35">
      <c r="A5987" s="1" t="s">
        <v>21296</v>
      </c>
      <c r="B5987" s="1" t="s">
        <v>18</v>
      </c>
      <c r="C5987" s="1" t="s">
        <v>152</v>
      </c>
      <c r="D5987" s="1" t="s">
        <v>18</v>
      </c>
      <c r="E5987" s="250">
        <v>13975.071</v>
      </c>
    </row>
    <row r="5988" spans="1:5" x14ac:dyDescent="0.35">
      <c r="A5988" s="1" t="s">
        <v>21297</v>
      </c>
      <c r="B5988" s="1" t="s">
        <v>18</v>
      </c>
      <c r="C5988" s="1" t="s">
        <v>151</v>
      </c>
      <c r="D5988" s="1" t="s">
        <v>18</v>
      </c>
      <c r="E5988" s="250">
        <v>13975.072</v>
      </c>
    </row>
    <row r="5989" spans="1:5" x14ac:dyDescent="0.35">
      <c r="A5989" s="1" t="s">
        <v>21298</v>
      </c>
      <c r="B5989" s="1" t="s">
        <v>18</v>
      </c>
      <c r="C5989" s="1" t="s">
        <v>150</v>
      </c>
      <c r="D5989" s="1" t="s">
        <v>18</v>
      </c>
      <c r="E5989" s="250">
        <v>13975.073</v>
      </c>
    </row>
    <row r="5990" spans="1:5" x14ac:dyDescent="0.35">
      <c r="A5990" s="1" t="s">
        <v>21299</v>
      </c>
      <c r="B5990" s="1" t="s">
        <v>57</v>
      </c>
      <c r="C5990" s="1" t="s">
        <v>149</v>
      </c>
      <c r="D5990" s="1" t="s">
        <v>57</v>
      </c>
      <c r="E5990" s="250">
        <v>13975.1</v>
      </c>
    </row>
    <row r="5991" spans="1:5" x14ac:dyDescent="0.35">
      <c r="A5991" s="1" t="s">
        <v>21300</v>
      </c>
      <c r="B5991" s="1" t="s">
        <v>18</v>
      </c>
      <c r="C5991" s="1" t="s">
        <v>148</v>
      </c>
      <c r="D5991" s="1" t="s">
        <v>18</v>
      </c>
      <c r="E5991" s="250">
        <v>13975.102000000001</v>
      </c>
    </row>
    <row r="5992" spans="1:5" x14ac:dyDescent="0.35">
      <c r="A5992" s="1" t="s">
        <v>21301</v>
      </c>
      <c r="B5992" s="1" t="s">
        <v>18</v>
      </c>
      <c r="C5992" s="1" t="s">
        <v>147</v>
      </c>
      <c r="D5992" s="1" t="s">
        <v>18</v>
      </c>
      <c r="E5992" s="250">
        <v>13975.102999999999</v>
      </c>
    </row>
    <row r="5993" spans="1:5" x14ac:dyDescent="0.35">
      <c r="A5993" s="1" t="s">
        <v>21302</v>
      </c>
      <c r="B5993" s="1" t="s">
        <v>18</v>
      </c>
      <c r="C5993" s="1" t="s">
        <v>145</v>
      </c>
      <c r="D5993" s="1" t="s">
        <v>18</v>
      </c>
      <c r="E5993" s="250">
        <v>13975.103999999999</v>
      </c>
    </row>
    <row r="5994" spans="1:5" x14ac:dyDescent="0.35">
      <c r="A5994" s="1" t="s">
        <v>21303</v>
      </c>
      <c r="B5994" s="1" t="s">
        <v>57</v>
      </c>
      <c r="C5994" s="1" t="s">
        <v>146</v>
      </c>
      <c r="D5994" s="1" t="s">
        <v>57</v>
      </c>
      <c r="E5994" s="250">
        <v>13975.11</v>
      </c>
    </row>
    <row r="5995" spans="1:5" x14ac:dyDescent="0.35">
      <c r="A5995" s="1" t="s">
        <v>21304</v>
      </c>
      <c r="B5995" s="1" t="s">
        <v>18</v>
      </c>
      <c r="C5995" s="1" t="s">
        <v>145</v>
      </c>
      <c r="D5995" s="1" t="s">
        <v>18</v>
      </c>
      <c r="E5995" s="250">
        <v>13975.111999999999</v>
      </c>
    </row>
    <row r="5996" spans="1:5" x14ac:dyDescent="0.35">
      <c r="A5996" s="1" t="s">
        <v>21305</v>
      </c>
      <c r="B5996" s="1" t="s">
        <v>18</v>
      </c>
      <c r="C5996" s="1" t="s">
        <v>144</v>
      </c>
      <c r="D5996" s="1" t="s">
        <v>18</v>
      </c>
      <c r="E5996" s="250">
        <v>13975.112999999999</v>
      </c>
    </row>
    <row r="5997" spans="1:5" x14ac:dyDescent="0.35">
      <c r="A5997" s="1" t="s">
        <v>21306</v>
      </c>
      <c r="B5997" s="1" t="s">
        <v>57</v>
      </c>
      <c r="C5997" s="1" t="s">
        <v>143</v>
      </c>
      <c r="D5997" s="1" t="s">
        <v>57</v>
      </c>
      <c r="E5997" s="250">
        <v>13975.2</v>
      </c>
    </row>
    <row r="5998" spans="1:5" x14ac:dyDescent="0.35">
      <c r="A5998" s="1" t="s">
        <v>21307</v>
      </c>
      <c r="B5998" s="1" t="s">
        <v>57</v>
      </c>
      <c r="C5998" s="1" t="s">
        <v>142</v>
      </c>
      <c r="D5998" s="1" t="s">
        <v>57</v>
      </c>
      <c r="E5998" s="250">
        <v>13975.201999999999</v>
      </c>
    </row>
    <row r="5999" spans="1:5" x14ac:dyDescent="0.35">
      <c r="A5999" s="1" t="s">
        <v>21308</v>
      </c>
      <c r="B5999" s="1" t="s">
        <v>18</v>
      </c>
      <c r="C5999" s="1" t="s">
        <v>141</v>
      </c>
      <c r="D5999" s="1" t="s">
        <v>18</v>
      </c>
      <c r="E5999" s="250">
        <v>13975.203</v>
      </c>
    </row>
    <row r="6000" spans="1:5" x14ac:dyDescent="0.35">
      <c r="A6000" s="1" t="s">
        <v>21309</v>
      </c>
      <c r="B6000" s="1" t="s">
        <v>18</v>
      </c>
      <c r="C6000" s="1" t="s">
        <v>140</v>
      </c>
      <c r="D6000" s="1" t="s">
        <v>18</v>
      </c>
      <c r="E6000" s="250">
        <v>13975.204</v>
      </c>
    </row>
    <row r="6001" spans="1:5" x14ac:dyDescent="0.35">
      <c r="A6001" s="1" t="s">
        <v>21310</v>
      </c>
      <c r="B6001" s="1" t="s">
        <v>57</v>
      </c>
      <c r="C6001" s="1" t="s">
        <v>139</v>
      </c>
      <c r="D6001" s="1" t="s">
        <v>57</v>
      </c>
      <c r="E6001" s="250">
        <v>13975.21</v>
      </c>
    </row>
    <row r="6002" spans="1:5" x14ac:dyDescent="0.35">
      <c r="A6002" s="1" t="s">
        <v>21311</v>
      </c>
      <c r="B6002" s="1" t="s">
        <v>18</v>
      </c>
      <c r="C6002" s="1" t="s">
        <v>138</v>
      </c>
      <c r="D6002" s="1" t="s">
        <v>18</v>
      </c>
      <c r="E6002" s="250">
        <v>13975.212</v>
      </c>
    </row>
    <row r="6003" spans="1:5" x14ac:dyDescent="0.35">
      <c r="A6003" s="1" t="s">
        <v>21312</v>
      </c>
      <c r="B6003" s="1" t="s">
        <v>18</v>
      </c>
      <c r="C6003" s="1" t="s">
        <v>137</v>
      </c>
      <c r="D6003" s="1" t="s">
        <v>18</v>
      </c>
      <c r="E6003" s="250">
        <v>13975.213</v>
      </c>
    </row>
    <row r="6004" spans="1:5" x14ac:dyDescent="0.35">
      <c r="A6004" s="1" t="s">
        <v>21313</v>
      </c>
      <c r="B6004" s="1" t="s">
        <v>57</v>
      </c>
      <c r="C6004" s="1" t="s">
        <v>136</v>
      </c>
      <c r="D6004" s="1" t="s">
        <v>57</v>
      </c>
      <c r="E6004" s="250">
        <v>13975.218000000001</v>
      </c>
    </row>
    <row r="6005" spans="1:5" x14ac:dyDescent="0.35">
      <c r="A6005" s="1" t="s">
        <v>21314</v>
      </c>
      <c r="B6005" s="1" t="s">
        <v>18</v>
      </c>
      <c r="C6005" s="1" t="s">
        <v>70</v>
      </c>
      <c r="D6005" s="1" t="s">
        <v>18</v>
      </c>
      <c r="E6005" s="250">
        <v>13975.22</v>
      </c>
    </row>
    <row r="6006" spans="1:5" x14ac:dyDescent="0.35">
      <c r="A6006" s="1" t="s">
        <v>21315</v>
      </c>
      <c r="B6006" s="1" t="s">
        <v>18</v>
      </c>
      <c r="C6006" s="1" t="s">
        <v>69</v>
      </c>
      <c r="D6006" s="1" t="s">
        <v>18</v>
      </c>
      <c r="E6006" s="250">
        <v>13975.221</v>
      </c>
    </row>
    <row r="6007" spans="1:5" x14ac:dyDescent="0.35">
      <c r="A6007" s="1" t="s">
        <v>21316</v>
      </c>
      <c r="B6007" s="1" t="s">
        <v>57</v>
      </c>
      <c r="C6007" s="1" t="s">
        <v>135</v>
      </c>
      <c r="D6007" s="1" t="s">
        <v>57</v>
      </c>
      <c r="E6007" s="250">
        <v>13975.225</v>
      </c>
    </row>
    <row r="6008" spans="1:5" x14ac:dyDescent="0.35">
      <c r="A6008" s="1" t="s">
        <v>21317</v>
      </c>
      <c r="B6008" s="1" t="s">
        <v>18</v>
      </c>
      <c r="C6008" s="1" t="s">
        <v>134</v>
      </c>
      <c r="D6008" s="1" t="s">
        <v>18</v>
      </c>
      <c r="E6008" s="250">
        <v>13975.227000000001</v>
      </c>
    </row>
    <row r="6009" spans="1:5" x14ac:dyDescent="0.35">
      <c r="A6009" s="1" t="s">
        <v>21318</v>
      </c>
      <c r="B6009" s="1" t="s">
        <v>18</v>
      </c>
      <c r="C6009" s="1" t="s">
        <v>133</v>
      </c>
      <c r="D6009" s="1" t="s">
        <v>18</v>
      </c>
      <c r="E6009" s="250">
        <v>13975.23</v>
      </c>
    </row>
    <row r="6010" spans="1:5" x14ac:dyDescent="0.35">
      <c r="A6010" s="1" t="s">
        <v>21319</v>
      </c>
      <c r="B6010" s="1" t="s">
        <v>57</v>
      </c>
      <c r="C6010" s="1" t="s">
        <v>132</v>
      </c>
      <c r="D6010" s="1" t="s">
        <v>57</v>
      </c>
      <c r="E6010" s="250">
        <v>13975.24</v>
      </c>
    </row>
    <row r="6011" spans="1:5" x14ac:dyDescent="0.35">
      <c r="A6011" s="1" t="s">
        <v>21320</v>
      </c>
      <c r="B6011" s="1" t="s">
        <v>57</v>
      </c>
      <c r="C6011" s="1" t="s">
        <v>131</v>
      </c>
      <c r="D6011" s="1" t="s">
        <v>57</v>
      </c>
      <c r="E6011" s="250">
        <v>13975.242</v>
      </c>
    </row>
    <row r="6012" spans="1:5" x14ac:dyDescent="0.35">
      <c r="A6012" s="1" t="s">
        <v>21321</v>
      </c>
      <c r="B6012" s="1" t="s">
        <v>18</v>
      </c>
      <c r="C6012" s="1" t="s">
        <v>73</v>
      </c>
      <c r="D6012" s="1" t="s">
        <v>18</v>
      </c>
      <c r="E6012" s="250">
        <v>13975.243</v>
      </c>
    </row>
    <row r="6013" spans="1:5" x14ac:dyDescent="0.35">
      <c r="A6013" s="1" t="s">
        <v>21322</v>
      </c>
      <c r="B6013" s="1" t="s">
        <v>18</v>
      </c>
      <c r="C6013" s="1" t="s">
        <v>72</v>
      </c>
      <c r="D6013" s="1" t="s">
        <v>18</v>
      </c>
      <c r="E6013" s="250">
        <v>13975.244000000001</v>
      </c>
    </row>
    <row r="6014" spans="1:5" x14ac:dyDescent="0.35">
      <c r="A6014" s="1" t="s">
        <v>21323</v>
      </c>
      <c r="B6014" s="1" t="s">
        <v>57</v>
      </c>
      <c r="C6014" s="1" t="s">
        <v>130</v>
      </c>
      <c r="D6014" s="1" t="s">
        <v>57</v>
      </c>
      <c r="E6014" s="250">
        <v>13975.25</v>
      </c>
    </row>
    <row r="6015" spans="1:5" x14ac:dyDescent="0.35">
      <c r="A6015" s="1" t="s">
        <v>21324</v>
      </c>
      <c r="B6015" s="1" t="s">
        <v>18</v>
      </c>
      <c r="C6015" s="1" t="s">
        <v>72</v>
      </c>
      <c r="D6015" s="1" t="s">
        <v>18</v>
      </c>
      <c r="E6015" s="250">
        <v>13975.252</v>
      </c>
    </row>
    <row r="6016" spans="1:5" x14ac:dyDescent="0.35">
      <c r="A6016" s="1" t="s">
        <v>21325</v>
      </c>
      <c r="B6016" s="1" t="s">
        <v>57</v>
      </c>
      <c r="C6016" s="1" t="s">
        <v>129</v>
      </c>
      <c r="D6016" s="1" t="s">
        <v>57</v>
      </c>
      <c r="E6016" s="250">
        <v>13975.255999999999</v>
      </c>
    </row>
    <row r="6017" spans="1:5" x14ac:dyDescent="0.35">
      <c r="A6017" s="1" t="s">
        <v>21326</v>
      </c>
      <c r="B6017" s="1" t="s">
        <v>18</v>
      </c>
      <c r="C6017" s="1" t="s">
        <v>72</v>
      </c>
      <c r="D6017" s="1" t="s">
        <v>18</v>
      </c>
      <c r="E6017" s="250">
        <v>13975.258</v>
      </c>
    </row>
    <row r="6018" spans="1:5" x14ac:dyDescent="0.35">
      <c r="A6018" s="1" t="s">
        <v>21327</v>
      </c>
      <c r="B6018" s="1" t="s">
        <v>57</v>
      </c>
      <c r="C6018" s="1" t="s">
        <v>128</v>
      </c>
      <c r="D6018" s="1" t="s">
        <v>57</v>
      </c>
      <c r="E6018" s="250">
        <v>13975.26</v>
      </c>
    </row>
    <row r="6019" spans="1:5" x14ac:dyDescent="0.35">
      <c r="A6019" s="1" t="s">
        <v>21328</v>
      </c>
      <c r="B6019" s="1" t="s">
        <v>18</v>
      </c>
      <c r="C6019" s="1" t="s">
        <v>71</v>
      </c>
      <c r="D6019" s="1" t="s">
        <v>18</v>
      </c>
      <c r="E6019" s="250">
        <v>13975.262000000001</v>
      </c>
    </row>
    <row r="6020" spans="1:5" x14ac:dyDescent="0.35">
      <c r="A6020" s="1" t="s">
        <v>21329</v>
      </c>
      <c r="B6020" s="1" t="s">
        <v>57</v>
      </c>
      <c r="C6020" s="1" t="s">
        <v>127</v>
      </c>
      <c r="D6020" s="1" t="s">
        <v>57</v>
      </c>
      <c r="E6020" s="250">
        <v>13975.264999999999</v>
      </c>
    </row>
    <row r="6021" spans="1:5" x14ac:dyDescent="0.35">
      <c r="A6021" s="1" t="s">
        <v>21330</v>
      </c>
      <c r="B6021" s="1" t="s">
        <v>57</v>
      </c>
      <c r="C6021" s="1" t="s">
        <v>125</v>
      </c>
      <c r="D6021" s="1" t="s">
        <v>57</v>
      </c>
      <c r="E6021" s="250">
        <v>13975.267</v>
      </c>
    </row>
    <row r="6022" spans="1:5" x14ac:dyDescent="0.35">
      <c r="A6022" s="1" t="s">
        <v>21331</v>
      </c>
      <c r="B6022" s="1" t="s">
        <v>18</v>
      </c>
      <c r="C6022" s="1" t="s">
        <v>124</v>
      </c>
      <c r="D6022" s="1" t="s">
        <v>18</v>
      </c>
      <c r="E6022" s="250">
        <v>13975.268</v>
      </c>
    </row>
    <row r="6023" spans="1:5" x14ac:dyDescent="0.35">
      <c r="A6023" s="1" t="s">
        <v>21332</v>
      </c>
      <c r="B6023" s="1" t="s">
        <v>18</v>
      </c>
      <c r="C6023" s="1" t="s">
        <v>123</v>
      </c>
      <c r="D6023" s="1" t="s">
        <v>18</v>
      </c>
      <c r="E6023" s="250">
        <v>13975.269</v>
      </c>
    </row>
    <row r="6024" spans="1:5" x14ac:dyDescent="0.35">
      <c r="A6024" s="1" t="s">
        <v>21333</v>
      </c>
      <c r="B6024" s="1" t="s">
        <v>57</v>
      </c>
      <c r="C6024" s="1" t="s">
        <v>126</v>
      </c>
      <c r="D6024" s="1" t="s">
        <v>57</v>
      </c>
      <c r="E6024" s="250">
        <v>13975.272000000001</v>
      </c>
    </row>
    <row r="6025" spans="1:5" x14ac:dyDescent="0.35">
      <c r="A6025" s="1" t="s">
        <v>21334</v>
      </c>
      <c r="B6025" s="1" t="s">
        <v>57</v>
      </c>
      <c r="C6025" s="1" t="s">
        <v>125</v>
      </c>
      <c r="D6025" s="1" t="s">
        <v>57</v>
      </c>
      <c r="E6025" s="250">
        <v>13975.273999999999</v>
      </c>
    </row>
    <row r="6026" spans="1:5" x14ac:dyDescent="0.35">
      <c r="A6026" s="1" t="s">
        <v>21335</v>
      </c>
      <c r="B6026" s="1" t="s">
        <v>18</v>
      </c>
      <c r="C6026" s="1" t="s">
        <v>124</v>
      </c>
      <c r="D6026" s="1" t="s">
        <v>18</v>
      </c>
      <c r="E6026" s="250">
        <v>13975.275</v>
      </c>
    </row>
    <row r="6027" spans="1:5" x14ac:dyDescent="0.35">
      <c r="A6027" s="1" t="s">
        <v>21336</v>
      </c>
      <c r="B6027" s="1" t="s">
        <v>18</v>
      </c>
      <c r="C6027" s="1" t="s">
        <v>123</v>
      </c>
      <c r="D6027" s="1" t="s">
        <v>18</v>
      </c>
      <c r="E6027" s="250">
        <v>13975.276</v>
      </c>
    </row>
    <row r="6028" spans="1:5" x14ac:dyDescent="0.35">
      <c r="A6028" s="1" t="s">
        <v>21337</v>
      </c>
      <c r="B6028" s="1" t="s">
        <v>57</v>
      </c>
      <c r="C6028" s="1" t="s">
        <v>122</v>
      </c>
      <c r="D6028" s="1" t="s">
        <v>57</v>
      </c>
      <c r="E6028" s="250">
        <v>13975.285</v>
      </c>
    </row>
    <row r="6029" spans="1:5" x14ac:dyDescent="0.35">
      <c r="A6029" s="1" t="s">
        <v>21338</v>
      </c>
      <c r="B6029" s="1" t="s">
        <v>57</v>
      </c>
      <c r="C6029" s="1" t="s">
        <v>120</v>
      </c>
      <c r="D6029" s="1" t="s">
        <v>57</v>
      </c>
      <c r="E6029" s="250">
        <v>13975.287</v>
      </c>
    </row>
    <row r="6030" spans="1:5" x14ac:dyDescent="0.35">
      <c r="A6030" s="1" t="s">
        <v>21339</v>
      </c>
      <c r="B6030" s="1" t="s">
        <v>18</v>
      </c>
      <c r="C6030" s="1" t="s">
        <v>114</v>
      </c>
      <c r="D6030" s="1" t="s">
        <v>18</v>
      </c>
      <c r="E6030" s="250">
        <v>13975.288</v>
      </c>
    </row>
    <row r="6031" spans="1:5" x14ac:dyDescent="0.35">
      <c r="A6031" s="1" t="s">
        <v>21340</v>
      </c>
      <c r="B6031" s="1" t="s">
        <v>18</v>
      </c>
      <c r="C6031" s="1" t="s">
        <v>119</v>
      </c>
      <c r="D6031" s="1" t="s">
        <v>18</v>
      </c>
      <c r="E6031" s="250">
        <v>13975.289000000001</v>
      </c>
    </row>
    <row r="6032" spans="1:5" x14ac:dyDescent="0.35">
      <c r="A6032" s="1" t="s">
        <v>21341</v>
      </c>
      <c r="B6032" s="1" t="s">
        <v>18</v>
      </c>
      <c r="C6032" s="1" t="s">
        <v>118</v>
      </c>
      <c r="D6032" s="1" t="s">
        <v>18</v>
      </c>
      <c r="E6032" s="250">
        <v>13975.29</v>
      </c>
    </row>
    <row r="6033" spans="1:5" x14ac:dyDescent="0.35">
      <c r="A6033" s="1" t="s">
        <v>21342</v>
      </c>
      <c r="B6033" s="1" t="s">
        <v>18</v>
      </c>
      <c r="C6033" s="1" t="s">
        <v>117</v>
      </c>
      <c r="D6033" s="1" t="s">
        <v>18</v>
      </c>
      <c r="E6033" s="250">
        <v>13975.290999999999</v>
      </c>
    </row>
    <row r="6034" spans="1:5" x14ac:dyDescent="0.35">
      <c r="A6034" s="1" t="s">
        <v>21343</v>
      </c>
      <c r="B6034" s="1" t="s">
        <v>57</v>
      </c>
      <c r="C6034" s="1" t="s">
        <v>121</v>
      </c>
      <c r="D6034" s="1" t="s">
        <v>57</v>
      </c>
      <c r="E6034" s="250">
        <v>13975.295</v>
      </c>
    </row>
    <row r="6035" spans="1:5" x14ac:dyDescent="0.35">
      <c r="A6035" s="1" t="s">
        <v>21344</v>
      </c>
      <c r="B6035" s="1" t="s">
        <v>57</v>
      </c>
      <c r="C6035" s="1" t="s">
        <v>120</v>
      </c>
      <c r="D6035" s="1" t="s">
        <v>57</v>
      </c>
      <c r="E6035" s="250">
        <v>13975.297</v>
      </c>
    </row>
    <row r="6036" spans="1:5" x14ac:dyDescent="0.35">
      <c r="A6036" s="1" t="s">
        <v>21345</v>
      </c>
      <c r="B6036" s="1" t="s">
        <v>18</v>
      </c>
      <c r="C6036" s="1" t="s">
        <v>119</v>
      </c>
      <c r="D6036" s="1" t="s">
        <v>18</v>
      </c>
      <c r="E6036" s="250">
        <v>13975.298000000001</v>
      </c>
    </row>
    <row r="6037" spans="1:5" x14ac:dyDescent="0.35">
      <c r="A6037" s="1" t="s">
        <v>21346</v>
      </c>
      <c r="B6037" s="1" t="s">
        <v>18</v>
      </c>
      <c r="C6037" s="1" t="s">
        <v>118</v>
      </c>
      <c r="D6037" s="1" t="s">
        <v>18</v>
      </c>
      <c r="E6037" s="250">
        <v>13975.299000000001</v>
      </c>
    </row>
    <row r="6038" spans="1:5" x14ac:dyDescent="0.35">
      <c r="A6038" s="1" t="s">
        <v>21347</v>
      </c>
      <c r="B6038" s="1" t="s">
        <v>18</v>
      </c>
      <c r="C6038" s="1" t="s">
        <v>117</v>
      </c>
      <c r="D6038" s="1" t="s">
        <v>18</v>
      </c>
      <c r="E6038" s="250">
        <v>13975.3</v>
      </c>
    </row>
    <row r="6039" spans="1:5" x14ac:dyDescent="0.35">
      <c r="A6039" s="1" t="s">
        <v>21348</v>
      </c>
      <c r="B6039" s="1" t="s">
        <v>57</v>
      </c>
      <c r="C6039" s="1" t="s">
        <v>116</v>
      </c>
      <c r="D6039" s="1" t="s">
        <v>57</v>
      </c>
      <c r="E6039" s="250">
        <v>13975.305</v>
      </c>
    </row>
    <row r="6040" spans="1:5" x14ac:dyDescent="0.35">
      <c r="A6040" s="1" t="s">
        <v>21349</v>
      </c>
      <c r="B6040" s="1" t="s">
        <v>57</v>
      </c>
      <c r="C6040" s="1" t="s">
        <v>115</v>
      </c>
      <c r="D6040" s="1" t="s">
        <v>57</v>
      </c>
      <c r="E6040" s="250">
        <v>13975.306</v>
      </c>
    </row>
    <row r="6041" spans="1:5" x14ac:dyDescent="0.35">
      <c r="A6041" s="1" t="s">
        <v>21350</v>
      </c>
      <c r="B6041" s="1" t="s">
        <v>18</v>
      </c>
      <c r="C6041" s="1" t="s">
        <v>114</v>
      </c>
      <c r="D6041" s="1" t="s">
        <v>18</v>
      </c>
      <c r="E6041" s="250">
        <v>13975.307000000001</v>
      </c>
    </row>
    <row r="6042" spans="1:5" x14ac:dyDescent="0.35">
      <c r="A6042" s="1" t="s">
        <v>21351</v>
      </c>
      <c r="B6042" s="1" t="s">
        <v>18</v>
      </c>
      <c r="C6042" s="1" t="s">
        <v>113</v>
      </c>
      <c r="D6042" s="1" t="s">
        <v>18</v>
      </c>
      <c r="E6042" s="250">
        <v>13975.308000000001</v>
      </c>
    </row>
    <row r="6043" spans="1:5" x14ac:dyDescent="0.35">
      <c r="A6043" s="1" t="s">
        <v>21352</v>
      </c>
      <c r="B6043" s="1" t="s">
        <v>57</v>
      </c>
      <c r="C6043" s="1" t="s">
        <v>112</v>
      </c>
      <c r="D6043" s="1" t="s">
        <v>57</v>
      </c>
      <c r="E6043" s="250">
        <v>13975.315000000001</v>
      </c>
    </row>
    <row r="6044" spans="1:5" x14ac:dyDescent="0.35">
      <c r="A6044" s="1" t="s">
        <v>21353</v>
      </c>
      <c r="B6044" s="1" t="s">
        <v>57</v>
      </c>
      <c r="C6044" s="1" t="s">
        <v>111</v>
      </c>
      <c r="D6044" s="1" t="s">
        <v>57</v>
      </c>
      <c r="E6044" s="250">
        <v>13975.316999999999</v>
      </c>
    </row>
    <row r="6045" spans="1:5" x14ac:dyDescent="0.35">
      <c r="A6045" s="1" t="s">
        <v>21354</v>
      </c>
      <c r="B6045" s="1" t="s">
        <v>18</v>
      </c>
      <c r="C6045" s="1" t="s">
        <v>110</v>
      </c>
      <c r="D6045" s="1" t="s">
        <v>18</v>
      </c>
      <c r="E6045" s="250">
        <v>13975.317999999999</v>
      </c>
    </row>
    <row r="6046" spans="1:5" s="2" customFormat="1" x14ac:dyDescent="0.35">
      <c r="A6046" s="2" t="s">
        <v>21355</v>
      </c>
      <c r="B6046" s="2" t="s">
        <v>18</v>
      </c>
      <c r="C6046" s="2" t="s">
        <v>109</v>
      </c>
      <c r="D6046" s="2" t="s">
        <v>18</v>
      </c>
      <c r="E6046" s="253">
        <v>13975.319</v>
      </c>
    </row>
    <row r="6047" spans="1:5" x14ac:dyDescent="0.35">
      <c r="A6047" s="1" t="s">
        <v>21356</v>
      </c>
      <c r="B6047" s="1" t="s">
        <v>58</v>
      </c>
      <c r="C6047" s="1" t="s">
        <v>108</v>
      </c>
      <c r="D6047" s="1" t="s">
        <v>58</v>
      </c>
      <c r="E6047" s="250">
        <v>14009.891</v>
      </c>
    </row>
    <row r="6048" spans="1:5" x14ac:dyDescent="0.35">
      <c r="A6048" s="1" t="s">
        <v>21357</v>
      </c>
      <c r="B6048" s="1" t="s">
        <v>58</v>
      </c>
      <c r="C6048" s="1" t="s">
        <v>108</v>
      </c>
      <c r="D6048" s="1" t="s">
        <v>58</v>
      </c>
      <c r="E6048" s="250">
        <v>14009.9</v>
      </c>
    </row>
    <row r="6049" spans="1:5" x14ac:dyDescent="0.35">
      <c r="A6049" s="1" t="s">
        <v>21358</v>
      </c>
      <c r="B6049" s="1" t="s">
        <v>18</v>
      </c>
      <c r="C6049" s="1" t="s">
        <v>107</v>
      </c>
      <c r="D6049" s="1" t="s">
        <v>18</v>
      </c>
      <c r="E6049" s="250">
        <v>14120.01</v>
      </c>
    </row>
    <row r="6050" spans="1:5" x14ac:dyDescent="0.35">
      <c r="A6050" s="1" t="s">
        <v>21359</v>
      </c>
      <c r="B6050" s="1" t="s">
        <v>58</v>
      </c>
      <c r="C6050" s="1" t="s">
        <v>106</v>
      </c>
      <c r="D6050" s="1" t="s">
        <v>58</v>
      </c>
      <c r="E6050" s="250">
        <v>14209.9</v>
      </c>
    </row>
    <row r="6051" spans="1:5" x14ac:dyDescent="0.35">
      <c r="A6051" s="1" t="s">
        <v>21360</v>
      </c>
      <c r="B6051" s="1" t="s">
        <v>58</v>
      </c>
      <c r="C6051" s="1" t="s">
        <v>105</v>
      </c>
      <c r="D6051" s="1" t="s">
        <v>58</v>
      </c>
      <c r="E6051" s="250">
        <v>14209.901</v>
      </c>
    </row>
    <row r="6052" spans="1:5" x14ac:dyDescent="0.35">
      <c r="A6052" s="1" t="s">
        <v>21361</v>
      </c>
      <c r="B6052" s="1" t="s">
        <v>18</v>
      </c>
      <c r="C6052" s="1" t="s">
        <v>104</v>
      </c>
      <c r="D6052" s="1" t="s">
        <v>18</v>
      </c>
      <c r="E6052" s="250">
        <v>14210.01</v>
      </c>
    </row>
    <row r="6053" spans="1:5" x14ac:dyDescent="0.35">
      <c r="A6053" s="1" t="s">
        <v>21362</v>
      </c>
      <c r="B6053" s="1" t="s">
        <v>18</v>
      </c>
      <c r="C6053" s="1" t="s">
        <v>103</v>
      </c>
      <c r="D6053" s="1" t="s">
        <v>18</v>
      </c>
      <c r="E6053" s="250">
        <v>14210.02</v>
      </c>
    </row>
    <row r="6054" spans="1:5" x14ac:dyDescent="0.35">
      <c r="A6054" s="1" t="s">
        <v>21363</v>
      </c>
      <c r="B6054" s="1" t="s">
        <v>18</v>
      </c>
      <c r="C6054" s="1" t="s">
        <v>102</v>
      </c>
      <c r="D6054" s="1" t="s">
        <v>18</v>
      </c>
      <c r="E6054" s="250">
        <v>14240.01</v>
      </c>
    </row>
    <row r="6055" spans="1:5" x14ac:dyDescent="0.35">
      <c r="A6055" s="1" t="s">
        <v>21364</v>
      </c>
      <c r="B6055" s="1" t="s">
        <v>18</v>
      </c>
      <c r="C6055" s="1" t="s">
        <v>101</v>
      </c>
      <c r="D6055" s="1" t="s">
        <v>18</v>
      </c>
      <c r="E6055" s="250">
        <v>14240.02</v>
      </c>
    </row>
    <row r="6056" spans="1:5" x14ac:dyDescent="0.35">
      <c r="A6056" s="1" t="s">
        <v>21365</v>
      </c>
      <c r="B6056" s="1" t="s">
        <v>18</v>
      </c>
      <c r="C6056" s="1" t="s">
        <v>100</v>
      </c>
      <c r="D6056" s="1" t="s">
        <v>18</v>
      </c>
      <c r="E6056" s="250">
        <v>14270.01</v>
      </c>
    </row>
    <row r="6057" spans="1:5" x14ac:dyDescent="0.35">
      <c r="A6057" s="1" t="s">
        <v>21366</v>
      </c>
      <c r="B6057" s="1" t="s">
        <v>18</v>
      </c>
      <c r="C6057" s="1" t="s">
        <v>99</v>
      </c>
      <c r="D6057" s="1" t="s">
        <v>18</v>
      </c>
      <c r="E6057" s="250">
        <v>14270.02</v>
      </c>
    </row>
    <row r="6058" spans="1:5" x14ac:dyDescent="0.35">
      <c r="A6058" s="1" t="s">
        <v>21367</v>
      </c>
      <c r="B6058" s="1" t="s">
        <v>18</v>
      </c>
      <c r="C6058" s="1" t="s">
        <v>98</v>
      </c>
      <c r="D6058" s="1" t="s">
        <v>18</v>
      </c>
      <c r="E6058" s="250">
        <v>14270.03</v>
      </c>
    </row>
    <row r="6059" spans="1:5" x14ac:dyDescent="0.35">
      <c r="A6059" s="1" t="s">
        <v>21368</v>
      </c>
      <c r="B6059" s="1" t="s">
        <v>18</v>
      </c>
      <c r="C6059" s="1" t="s">
        <v>97</v>
      </c>
      <c r="D6059" s="1" t="s">
        <v>18</v>
      </c>
      <c r="E6059" s="250">
        <v>14270.04</v>
      </c>
    </row>
    <row r="6060" spans="1:5" x14ac:dyDescent="0.35">
      <c r="A6060" s="1" t="s">
        <v>21369</v>
      </c>
      <c r="B6060" s="1" t="s">
        <v>18</v>
      </c>
      <c r="C6060" s="1" t="s">
        <v>96</v>
      </c>
      <c r="D6060" s="1" t="s">
        <v>18</v>
      </c>
      <c r="E6060" s="250">
        <v>14300.01</v>
      </c>
    </row>
    <row r="6061" spans="1:5" x14ac:dyDescent="0.35">
      <c r="A6061" s="1" t="s">
        <v>21370</v>
      </c>
      <c r="B6061" s="1" t="s">
        <v>19</v>
      </c>
      <c r="C6061" s="1" t="s">
        <v>95</v>
      </c>
      <c r="D6061" s="1" t="s">
        <v>19</v>
      </c>
      <c r="E6061" s="250">
        <v>14300.012000000001</v>
      </c>
    </row>
    <row r="6062" spans="1:5" x14ac:dyDescent="0.35">
      <c r="A6062" s="1" t="s">
        <v>21371</v>
      </c>
      <c r="B6062" s="1" t="s">
        <v>19</v>
      </c>
      <c r="C6062" s="1" t="s">
        <v>94</v>
      </c>
      <c r="D6062" s="1" t="s">
        <v>19</v>
      </c>
      <c r="E6062" s="250">
        <v>14550.011</v>
      </c>
    </row>
    <row r="6063" spans="1:5" x14ac:dyDescent="0.35">
      <c r="A6063" s="1" t="s">
        <v>21372</v>
      </c>
      <c r="B6063" s="1" t="s">
        <v>18</v>
      </c>
      <c r="C6063" s="1" t="s">
        <v>93</v>
      </c>
      <c r="D6063" s="1" t="s">
        <v>18</v>
      </c>
      <c r="E6063" s="250">
        <v>14560.01</v>
      </c>
    </row>
    <row r="6064" spans="1:5" x14ac:dyDescent="0.35">
      <c r="A6064" s="1" t="s">
        <v>21373</v>
      </c>
      <c r="B6064" s="1" t="s">
        <v>18</v>
      </c>
      <c r="C6064" s="1" t="s">
        <v>92</v>
      </c>
      <c r="D6064" s="1" t="s">
        <v>18</v>
      </c>
      <c r="E6064" s="250">
        <v>14560.02</v>
      </c>
    </row>
    <row r="6065" spans="1:5" x14ac:dyDescent="0.35">
      <c r="A6065" s="1" t="s">
        <v>21374</v>
      </c>
      <c r="B6065" s="1" t="s">
        <v>90</v>
      </c>
      <c r="C6065" s="1" t="s">
        <v>91</v>
      </c>
      <c r="D6065" s="1" t="s">
        <v>90</v>
      </c>
      <c r="E6065" s="250">
        <v>14580.004999999999</v>
      </c>
    </row>
    <row r="6066" spans="1:5" x14ac:dyDescent="0.35">
      <c r="A6066" s="1" t="s">
        <v>21375</v>
      </c>
      <c r="B6066" s="1" t="s">
        <v>77</v>
      </c>
      <c r="C6066" s="1" t="s">
        <v>89</v>
      </c>
      <c r="D6066" s="1" t="s">
        <v>77</v>
      </c>
      <c r="E6066" s="250">
        <v>14605.011</v>
      </c>
    </row>
    <row r="6067" spans="1:5" x14ac:dyDescent="0.35">
      <c r="A6067" s="1" t="s">
        <v>21376</v>
      </c>
      <c r="B6067" s="1" t="s">
        <v>77</v>
      </c>
      <c r="C6067" s="1" t="s">
        <v>88</v>
      </c>
      <c r="D6067" s="1" t="s">
        <v>77</v>
      </c>
      <c r="E6067" s="250">
        <v>14605.012000000001</v>
      </c>
    </row>
    <row r="6068" spans="1:5" x14ac:dyDescent="0.35">
      <c r="A6068" s="1" t="s">
        <v>21377</v>
      </c>
      <c r="B6068" s="1" t="s">
        <v>77</v>
      </c>
      <c r="C6068" s="1" t="s">
        <v>87</v>
      </c>
      <c r="D6068" s="1" t="s">
        <v>77</v>
      </c>
      <c r="E6068" s="250">
        <v>14605.013000000001</v>
      </c>
    </row>
    <row r="6069" spans="1:5" x14ac:dyDescent="0.35">
      <c r="A6069" s="1" t="s">
        <v>21378</v>
      </c>
      <c r="B6069" s="1" t="s">
        <v>77</v>
      </c>
      <c r="C6069" s="1" t="s">
        <v>86</v>
      </c>
      <c r="D6069" s="1" t="s">
        <v>77</v>
      </c>
      <c r="E6069" s="250">
        <v>14605.013999999999</v>
      </c>
    </row>
    <row r="6070" spans="1:5" x14ac:dyDescent="0.35">
      <c r="A6070" s="1" t="s">
        <v>21379</v>
      </c>
      <c r="B6070" s="1" t="s">
        <v>77</v>
      </c>
      <c r="C6070" s="1" t="s">
        <v>85</v>
      </c>
      <c r="D6070" s="1" t="s">
        <v>77</v>
      </c>
      <c r="E6070" s="250">
        <v>14605.014999999999</v>
      </c>
    </row>
    <row r="6071" spans="1:5" x14ac:dyDescent="0.35">
      <c r="A6071" s="1" t="s">
        <v>21380</v>
      </c>
      <c r="B6071" s="1" t="s">
        <v>77</v>
      </c>
      <c r="C6071" s="1" t="s">
        <v>84</v>
      </c>
      <c r="D6071" s="1" t="s">
        <v>77</v>
      </c>
      <c r="E6071" s="250">
        <v>14605.016</v>
      </c>
    </row>
    <row r="6072" spans="1:5" x14ac:dyDescent="0.35">
      <c r="A6072" s="1" t="s">
        <v>21381</v>
      </c>
      <c r="B6072" s="1" t="s">
        <v>77</v>
      </c>
      <c r="C6072" s="1" t="s">
        <v>83</v>
      </c>
      <c r="D6072" s="1" t="s">
        <v>77</v>
      </c>
      <c r="E6072" s="250">
        <v>14605.017</v>
      </c>
    </row>
    <row r="6073" spans="1:5" x14ac:dyDescent="0.35">
      <c r="A6073" s="1" t="s">
        <v>21382</v>
      </c>
      <c r="B6073" s="1" t="s">
        <v>77</v>
      </c>
      <c r="C6073" s="1" t="s">
        <v>82</v>
      </c>
      <c r="D6073" s="1" t="s">
        <v>77</v>
      </c>
      <c r="E6073" s="250">
        <v>14605.018</v>
      </c>
    </row>
    <row r="6074" spans="1:5" x14ac:dyDescent="0.35">
      <c r="A6074" s="1" t="s">
        <v>21383</v>
      </c>
      <c r="B6074" s="1" t="s">
        <v>77</v>
      </c>
      <c r="C6074" s="1" t="s">
        <v>81</v>
      </c>
      <c r="D6074" s="1" t="s">
        <v>77</v>
      </c>
      <c r="E6074" s="250">
        <v>14605.019</v>
      </c>
    </row>
    <row r="6075" spans="1:5" x14ac:dyDescent="0.35">
      <c r="A6075" s="1" t="s">
        <v>21384</v>
      </c>
      <c r="B6075" s="1" t="s">
        <v>77</v>
      </c>
      <c r="C6075" s="1" t="s">
        <v>80</v>
      </c>
      <c r="D6075" s="1" t="s">
        <v>77</v>
      </c>
      <c r="E6075" s="250">
        <v>14605.02</v>
      </c>
    </row>
    <row r="6076" spans="1:5" x14ac:dyDescent="0.35">
      <c r="A6076" s="1" t="s">
        <v>21385</v>
      </c>
      <c r="B6076" s="1" t="s">
        <v>77</v>
      </c>
      <c r="C6076" s="1" t="s">
        <v>79</v>
      </c>
      <c r="D6076" s="1" t="s">
        <v>77</v>
      </c>
      <c r="E6076" s="250">
        <v>14605.021000000001</v>
      </c>
    </row>
    <row r="6077" spans="1:5" x14ac:dyDescent="0.35">
      <c r="A6077" s="1" t="s">
        <v>21386</v>
      </c>
      <c r="B6077" s="1" t="s">
        <v>77</v>
      </c>
      <c r="C6077" s="1" t="s">
        <v>78</v>
      </c>
      <c r="D6077" s="1" t="s">
        <v>77</v>
      </c>
      <c r="E6077" s="250">
        <v>14605.022000000001</v>
      </c>
    </row>
    <row r="6078" spans="1:5" s="2" customFormat="1" x14ac:dyDescent="0.35">
      <c r="A6078" s="2" t="s">
        <v>21387</v>
      </c>
      <c r="B6078" s="2" t="s">
        <v>18</v>
      </c>
      <c r="C6078" s="2" t="s">
        <v>76</v>
      </c>
      <c r="D6078" s="2" t="s">
        <v>18</v>
      </c>
      <c r="E6078" s="253">
        <v>14610.01</v>
      </c>
    </row>
  </sheetData>
  <pageMargins left="0.7" right="0.7" top="0.75" bottom="0.75" header="0.3" footer="0.3"/>
</worksheet>
</file>

<file path=xl/worksheets/sheet1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94215-FF40-448C-ADEE-CC2FA3FD1D96}">
  <sheetPr codeName="Sheet179"/>
  <dimension ref="A1:Q205"/>
  <sheetViews>
    <sheetView zoomScale="75" zoomScaleNormal="75" workbookViewId="0">
      <selection activeCell="G20" sqref="G20"/>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f>C10</f>
        <v>0</v>
      </c>
      <c r="J2" s="59"/>
      <c r="K2" s="59"/>
      <c r="L2" s="1"/>
      <c r="M2" s="59"/>
      <c r="N2" s="59"/>
      <c r="O2" s="60"/>
      <c r="P2" s="57"/>
      <c r="Q2" s="57"/>
    </row>
    <row r="3" spans="1:17" ht="15" thickBot="1" x14ac:dyDescent="0.4">
      <c r="A3" s="446" t="s">
        <v>21565</v>
      </c>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40"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f>B206</f>
        <v>0</v>
      </c>
      <c r="C10" s="24">
        <f>C206</f>
        <v>0</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f>C10</f>
        <v>0</v>
      </c>
      <c r="D12" s="31"/>
      <c r="E12" s="32"/>
      <c r="F12" s="34"/>
      <c r="G12" s="33"/>
      <c r="H12" s="34"/>
      <c r="I12" s="33"/>
      <c r="J12" s="34"/>
      <c r="K12" s="34"/>
      <c r="L12" s="34"/>
      <c r="M12" s="33"/>
      <c r="N12" s="34"/>
      <c r="O12" s="35"/>
      <c r="P12" s="31"/>
      <c r="Q12" s="35"/>
    </row>
    <row r="13" spans="1:17" x14ac:dyDescent="0.35">
      <c r="A13" s="1"/>
      <c r="B13" s="1"/>
      <c r="C13" s="1"/>
      <c r="D13" s="1"/>
      <c r="E13" s="1"/>
      <c r="F13" s="1"/>
      <c r="G13" s="1"/>
      <c r="H13" s="1"/>
      <c r="I13" s="1"/>
      <c r="J13" s="1"/>
      <c r="K13" s="1"/>
      <c r="L13" s="1"/>
      <c r="M13" s="1"/>
      <c r="N13" s="1"/>
      <c r="O13" s="1"/>
      <c r="P13" s="1"/>
      <c r="Q13" s="1"/>
    </row>
    <row r="14" spans="1:17" x14ac:dyDescent="0.35">
      <c r="A14" s="1"/>
      <c r="B14" s="1"/>
      <c r="C14" s="1"/>
      <c r="D14" s="1"/>
      <c r="E14" s="1"/>
      <c r="F14" s="1"/>
      <c r="G14" s="1"/>
      <c r="H14" s="1"/>
      <c r="I14" s="1"/>
      <c r="J14" s="1"/>
      <c r="K14" s="1"/>
      <c r="L14" s="1"/>
      <c r="M14" s="1"/>
      <c r="N14" s="1"/>
      <c r="O14" s="1"/>
      <c r="P14" s="1"/>
      <c r="Q14" s="1"/>
    </row>
    <row r="15" spans="1:17" x14ac:dyDescent="0.35">
      <c r="A15" s="1"/>
      <c r="B15" s="1"/>
      <c r="C15" s="1"/>
      <c r="D15" s="1"/>
      <c r="E15" s="1"/>
      <c r="F15" s="1"/>
      <c r="G15" s="1"/>
      <c r="H15" s="1"/>
      <c r="I15" s="1"/>
      <c r="J15" s="1"/>
      <c r="K15" s="1"/>
      <c r="L15" s="1"/>
      <c r="M15" s="1"/>
      <c r="N15" s="1"/>
      <c r="O15" s="1"/>
      <c r="P15" s="1"/>
      <c r="Q15" s="1"/>
    </row>
    <row r="16" spans="1:17" x14ac:dyDescent="0.35">
      <c r="A16" s="1"/>
      <c r="B16" s="1"/>
      <c r="C16" s="1"/>
      <c r="D16" s="1"/>
      <c r="E16" s="1"/>
      <c r="F16" s="1"/>
      <c r="G16" s="1"/>
      <c r="H16" s="1"/>
      <c r="I16" s="1"/>
      <c r="J16" s="1"/>
      <c r="K16" s="1"/>
      <c r="L16" s="1"/>
      <c r="M16" s="1"/>
      <c r="N16" s="1"/>
      <c r="O16" s="1"/>
      <c r="P16" s="1"/>
      <c r="Q16" s="1"/>
    </row>
    <row r="17" spans="1:17" x14ac:dyDescent="0.35">
      <c r="A17" s="1"/>
      <c r="B17" s="1"/>
      <c r="C17" s="1"/>
      <c r="D17" s="1"/>
      <c r="E17" s="1"/>
      <c r="F17" s="1"/>
      <c r="G17" s="1"/>
      <c r="H17" s="1"/>
      <c r="I17" s="1"/>
      <c r="J17" s="1"/>
      <c r="K17" s="1"/>
      <c r="L17" s="1"/>
      <c r="M17" s="1"/>
      <c r="N17" s="1"/>
      <c r="O17" s="1"/>
      <c r="P17" s="1"/>
      <c r="Q17" s="1"/>
    </row>
    <row r="18" spans="1:17" x14ac:dyDescent="0.35">
      <c r="A18" s="1"/>
      <c r="B18" s="1"/>
      <c r="C18" s="1"/>
      <c r="D18" s="1"/>
      <c r="E18" s="1"/>
      <c r="F18" s="1"/>
      <c r="G18" s="1"/>
      <c r="H18" s="1"/>
      <c r="I18" s="1"/>
      <c r="J18" s="1"/>
      <c r="K18" s="1"/>
      <c r="L18" s="1"/>
      <c r="M18" s="1"/>
      <c r="N18" s="1"/>
      <c r="O18" s="1"/>
      <c r="P18" s="1"/>
      <c r="Q18" s="1"/>
    </row>
    <row r="19" spans="1:17" x14ac:dyDescent="0.35">
      <c r="A19" s="1"/>
      <c r="B19" s="1"/>
      <c r="C19" s="1"/>
      <c r="D19" s="1"/>
      <c r="E19" s="1"/>
      <c r="F19" s="1"/>
      <c r="G19" s="1"/>
      <c r="H19" s="1"/>
      <c r="I19" s="1"/>
      <c r="J19" s="1"/>
      <c r="K19" s="1"/>
      <c r="L19" s="1"/>
      <c r="M19" s="1"/>
      <c r="N19" s="1"/>
      <c r="O19" s="1"/>
      <c r="P19" s="1"/>
      <c r="Q19" s="1"/>
    </row>
    <row r="20" spans="1:17" x14ac:dyDescent="0.35">
      <c r="A20" s="1"/>
      <c r="B20" s="1"/>
      <c r="C20" s="1"/>
      <c r="D20" s="1"/>
      <c r="E20" s="1"/>
      <c r="F20" s="1"/>
      <c r="G20" s="1"/>
      <c r="H20" s="1"/>
      <c r="I20" s="1"/>
      <c r="J20" s="1"/>
      <c r="K20" s="1"/>
      <c r="L20" s="1"/>
      <c r="M20" s="1"/>
      <c r="N20" s="1"/>
      <c r="O20" s="1"/>
      <c r="P20" s="1"/>
      <c r="Q20" s="1"/>
    </row>
    <row r="21" spans="1:17" x14ac:dyDescent="0.35">
      <c r="A21" s="1"/>
      <c r="B21" s="1"/>
      <c r="C21" s="1"/>
      <c r="D21" s="1"/>
      <c r="E21" s="1"/>
      <c r="F21" s="1"/>
      <c r="G21" s="1"/>
      <c r="H21" s="1"/>
      <c r="I21" s="1"/>
      <c r="J21" s="1"/>
      <c r="K21" s="1"/>
      <c r="L21" s="1"/>
      <c r="M21" s="1"/>
      <c r="N21" s="1"/>
      <c r="O21" s="1"/>
      <c r="P21" s="1"/>
      <c r="Q21" s="1"/>
    </row>
    <row r="22" spans="1:17" x14ac:dyDescent="0.35">
      <c r="A22" s="1"/>
      <c r="B22" s="1"/>
      <c r="C22" s="1"/>
      <c r="D22" s="1"/>
      <c r="E22" s="1"/>
      <c r="F22" s="1"/>
      <c r="G22" s="1"/>
      <c r="H22" s="1"/>
      <c r="I22" s="1"/>
      <c r="J22" s="1"/>
      <c r="K22" s="1"/>
      <c r="L22" s="1"/>
      <c r="M22" s="1"/>
      <c r="N22" s="1"/>
      <c r="O22" s="1"/>
      <c r="P22" s="1"/>
      <c r="Q22" s="1"/>
    </row>
    <row r="23" spans="1:17" x14ac:dyDescent="0.35">
      <c r="A23" s="1"/>
      <c r="B23" s="1"/>
      <c r="C23" s="1"/>
      <c r="D23" s="1"/>
      <c r="E23" s="1"/>
      <c r="F23" s="1"/>
      <c r="G23" s="1"/>
      <c r="H23" s="1"/>
      <c r="I23" s="1"/>
      <c r="J23" s="1"/>
      <c r="K23" s="1"/>
      <c r="L23" s="1"/>
      <c r="M23" s="1"/>
      <c r="N23" s="1"/>
      <c r="O23" s="1"/>
      <c r="P23" s="1"/>
      <c r="Q23" s="1"/>
    </row>
    <row r="24" spans="1:17" x14ac:dyDescent="0.35">
      <c r="A24" s="1"/>
      <c r="B24" s="1"/>
      <c r="C24" s="1"/>
      <c r="D24" s="1"/>
      <c r="E24" s="1"/>
      <c r="F24" s="1"/>
      <c r="G24" s="1"/>
      <c r="H24" s="1"/>
      <c r="I24" s="1"/>
      <c r="J24" s="1"/>
      <c r="K24" s="1"/>
      <c r="L24" s="1"/>
      <c r="M24" s="1"/>
      <c r="N24" s="1"/>
      <c r="O24" s="1"/>
      <c r="P24" s="1"/>
      <c r="Q24" s="1"/>
    </row>
    <row r="25" spans="1:17" x14ac:dyDescent="0.35">
      <c r="A25" s="1"/>
      <c r="B25" s="1"/>
      <c r="C25" s="1"/>
      <c r="D25" s="1"/>
      <c r="E25" s="1"/>
      <c r="F25" s="1"/>
      <c r="G25" s="1"/>
      <c r="H25" s="1"/>
      <c r="I25" s="1"/>
      <c r="J25" s="1"/>
      <c r="K25" s="1"/>
      <c r="L25" s="1"/>
      <c r="M25" s="1"/>
      <c r="N25" s="1"/>
      <c r="O25" s="1"/>
      <c r="P25" s="1"/>
      <c r="Q25" s="1"/>
    </row>
    <row r="26" spans="1:17" x14ac:dyDescent="0.35">
      <c r="A26" s="1"/>
      <c r="B26" s="1"/>
      <c r="C26" s="1"/>
      <c r="D26" s="1"/>
      <c r="E26" s="1"/>
      <c r="F26" s="1"/>
      <c r="G26" s="1"/>
      <c r="H26" s="1"/>
      <c r="I26" s="1"/>
      <c r="J26" s="1"/>
      <c r="K26" s="1"/>
      <c r="L26" s="1"/>
      <c r="M26" s="1"/>
      <c r="N26" s="1"/>
      <c r="O26" s="1"/>
      <c r="P26" s="1"/>
      <c r="Q26" s="1"/>
    </row>
    <row r="27" spans="1:17" x14ac:dyDescent="0.35">
      <c r="A27" s="1"/>
      <c r="B27" s="1"/>
      <c r="C27" s="1"/>
      <c r="D27" s="1"/>
      <c r="E27" s="1"/>
      <c r="F27" s="1"/>
      <c r="G27" s="1"/>
      <c r="H27" s="1"/>
      <c r="I27" s="1"/>
      <c r="J27" s="1"/>
      <c r="K27" s="1"/>
      <c r="L27" s="1"/>
      <c r="M27" s="1"/>
      <c r="N27" s="1"/>
      <c r="O27" s="1"/>
      <c r="P27" s="1"/>
      <c r="Q27" s="1"/>
    </row>
    <row r="28" spans="1:17" x14ac:dyDescent="0.35">
      <c r="A28" s="1"/>
      <c r="B28" s="1"/>
      <c r="C28" s="1"/>
      <c r="D28" s="1"/>
      <c r="E28" s="1"/>
      <c r="F28" s="1"/>
      <c r="G28" s="1"/>
      <c r="H28" s="1"/>
      <c r="I28" s="1"/>
      <c r="J28" s="1"/>
      <c r="K28" s="1"/>
      <c r="L28" s="1"/>
      <c r="M28" s="1"/>
      <c r="N28" s="1"/>
      <c r="O28" s="1"/>
      <c r="P28" s="1"/>
      <c r="Q28" s="1"/>
    </row>
    <row r="29" spans="1:17" x14ac:dyDescent="0.35">
      <c r="A29" s="1"/>
      <c r="B29" s="1"/>
      <c r="C29" s="1"/>
      <c r="D29" s="1"/>
      <c r="E29" s="1"/>
      <c r="F29" s="1"/>
      <c r="G29" s="1"/>
      <c r="H29" s="1"/>
      <c r="I29" s="1"/>
      <c r="J29" s="1"/>
      <c r="K29" s="1"/>
      <c r="L29" s="1"/>
      <c r="M29" s="1"/>
      <c r="N29" s="1"/>
      <c r="O29" s="1"/>
      <c r="P29" s="1"/>
      <c r="Q29" s="1"/>
    </row>
    <row r="30" spans="1:17" x14ac:dyDescent="0.35">
      <c r="A30" s="1"/>
      <c r="B30" s="1"/>
      <c r="C30" s="1"/>
      <c r="D30" s="1"/>
      <c r="E30" s="1"/>
      <c r="F30" s="1"/>
      <c r="G30" s="1"/>
      <c r="H30" s="1"/>
      <c r="I30" s="1"/>
      <c r="J30" s="1"/>
      <c r="K30" s="1"/>
      <c r="L30" s="1"/>
      <c r="M30" s="1"/>
      <c r="N30" s="1"/>
      <c r="O30" s="1"/>
      <c r="P30" s="1"/>
      <c r="Q30" s="1"/>
    </row>
    <row r="31" spans="1:17" x14ac:dyDescent="0.35">
      <c r="A31" s="1"/>
      <c r="B31" s="1"/>
      <c r="C31" s="1"/>
      <c r="D31" s="1"/>
      <c r="E31" s="1"/>
      <c r="F31" s="1"/>
      <c r="G31" s="1"/>
      <c r="H31" s="1"/>
      <c r="I31" s="1"/>
      <c r="J31" s="1"/>
      <c r="K31" s="1"/>
      <c r="L31" s="1"/>
      <c r="M31" s="1"/>
      <c r="N31" s="1"/>
      <c r="O31" s="1"/>
      <c r="P31" s="1"/>
      <c r="Q31" s="1"/>
    </row>
    <row r="32" spans="1:17" x14ac:dyDescent="0.35">
      <c r="A32" s="1"/>
      <c r="B32" s="1"/>
      <c r="C32" s="1"/>
      <c r="D32" s="1"/>
      <c r="E32" s="1"/>
      <c r="F32" s="1"/>
      <c r="G32" s="1"/>
      <c r="H32" s="1"/>
      <c r="I32" s="1"/>
      <c r="J32" s="1"/>
      <c r="K32" s="1"/>
      <c r="L32" s="1"/>
      <c r="M32" s="1"/>
      <c r="N32" s="1"/>
      <c r="O32" s="1"/>
      <c r="P32" s="1"/>
      <c r="Q32" s="1"/>
    </row>
    <row r="33" spans="1:17" x14ac:dyDescent="0.35">
      <c r="A33" s="1"/>
      <c r="B33" s="1"/>
      <c r="C33" s="1"/>
      <c r="D33" s="1"/>
      <c r="E33" s="1"/>
      <c r="F33" s="1"/>
      <c r="G33" s="1"/>
      <c r="H33" s="1"/>
      <c r="I33" s="1"/>
      <c r="J33" s="1"/>
      <c r="K33" s="1"/>
      <c r="L33" s="1"/>
      <c r="M33" s="1"/>
      <c r="N33" s="1"/>
      <c r="O33" s="1"/>
      <c r="P33" s="1"/>
      <c r="Q33" s="1"/>
    </row>
    <row r="34" spans="1:17" x14ac:dyDescent="0.35">
      <c r="A34" s="1"/>
      <c r="B34" s="1"/>
      <c r="C34" s="1"/>
      <c r="D34" s="1"/>
      <c r="E34" s="1"/>
      <c r="F34" s="1"/>
      <c r="G34" s="1"/>
      <c r="H34" s="1"/>
      <c r="I34" s="1"/>
      <c r="J34" s="1"/>
      <c r="K34" s="1"/>
      <c r="L34" s="1"/>
      <c r="M34" s="1"/>
      <c r="N34" s="1"/>
      <c r="O34" s="1"/>
      <c r="P34" s="1"/>
      <c r="Q34" s="1"/>
    </row>
    <row r="35" spans="1:17" x14ac:dyDescent="0.35">
      <c r="A35" s="1"/>
      <c r="B35" s="1"/>
      <c r="C35" s="1"/>
      <c r="D35" s="1"/>
      <c r="E35" s="1"/>
      <c r="F35" s="1"/>
      <c r="G35" s="1"/>
      <c r="H35" s="1"/>
      <c r="I35" s="1"/>
      <c r="J35" s="1"/>
      <c r="K35" s="1"/>
      <c r="L35" s="1"/>
      <c r="M35" s="1"/>
      <c r="N35" s="1"/>
      <c r="O35" s="1"/>
      <c r="P35" s="1"/>
      <c r="Q35" s="1"/>
    </row>
    <row r="36" spans="1:17" x14ac:dyDescent="0.35">
      <c r="A36" s="1"/>
      <c r="B36" s="1"/>
      <c r="C36" s="1"/>
      <c r="D36" s="1"/>
      <c r="E36" s="1"/>
      <c r="F36" s="1"/>
      <c r="G36" s="1"/>
      <c r="H36" s="1"/>
      <c r="I36" s="1"/>
      <c r="J36" s="1"/>
      <c r="K36" s="1"/>
      <c r="L36" s="1"/>
      <c r="M36" s="1"/>
      <c r="N36" s="1"/>
      <c r="O36" s="1"/>
      <c r="P36" s="1"/>
      <c r="Q36" s="1"/>
    </row>
    <row r="37" spans="1:17" x14ac:dyDescent="0.35">
      <c r="A37" s="1"/>
      <c r="B37" s="1"/>
      <c r="C37" s="1"/>
      <c r="D37" s="1"/>
      <c r="E37" s="1"/>
      <c r="F37" s="1"/>
      <c r="G37" s="1"/>
      <c r="H37" s="1"/>
      <c r="I37" s="1"/>
      <c r="J37" s="1"/>
      <c r="K37" s="1"/>
      <c r="L37" s="1"/>
      <c r="M37" s="1"/>
      <c r="N37" s="1"/>
      <c r="O37" s="1"/>
      <c r="P37" s="1"/>
      <c r="Q37" s="1"/>
    </row>
    <row r="38" spans="1:17" x14ac:dyDescent="0.35">
      <c r="A38" s="1"/>
      <c r="B38" s="1"/>
      <c r="C38" s="1"/>
      <c r="D38" s="1"/>
      <c r="E38" s="1"/>
      <c r="F38" s="1"/>
      <c r="G38" s="1"/>
      <c r="H38" s="1"/>
      <c r="I38" s="1"/>
      <c r="J38" s="1"/>
      <c r="K38" s="1"/>
      <c r="L38" s="1"/>
      <c r="M38" s="1"/>
      <c r="N38" s="1"/>
      <c r="O38" s="1"/>
      <c r="P38" s="1"/>
      <c r="Q38" s="1"/>
    </row>
    <row r="39" spans="1:17" x14ac:dyDescent="0.35">
      <c r="A39" s="1"/>
      <c r="B39" s="1"/>
      <c r="C39" s="1"/>
      <c r="D39" s="1"/>
      <c r="E39" s="1"/>
      <c r="F39" s="1"/>
      <c r="G39" s="1"/>
      <c r="H39" s="1"/>
      <c r="I39" s="1"/>
      <c r="J39" s="1"/>
      <c r="K39" s="1"/>
      <c r="L39" s="1"/>
      <c r="M39" s="1"/>
      <c r="N39" s="1"/>
      <c r="O39" s="1"/>
      <c r="P39" s="1"/>
      <c r="Q39" s="1"/>
    </row>
    <row r="40" spans="1:17" x14ac:dyDescent="0.35">
      <c r="A40" s="1"/>
      <c r="B40" s="1"/>
      <c r="C40" s="1"/>
      <c r="D40" s="1"/>
      <c r="E40" s="1"/>
      <c r="F40" s="1"/>
      <c r="G40" s="1"/>
      <c r="H40" s="1"/>
      <c r="I40" s="1"/>
      <c r="J40" s="1"/>
      <c r="K40" s="1"/>
      <c r="L40" s="1"/>
      <c r="M40" s="1"/>
      <c r="N40" s="1"/>
      <c r="O40" s="1"/>
      <c r="P40" s="1"/>
      <c r="Q40" s="1"/>
    </row>
    <row r="41" spans="1:17" x14ac:dyDescent="0.35">
      <c r="A41" s="1"/>
      <c r="B41" s="1"/>
      <c r="C41" s="1"/>
      <c r="D41" s="1"/>
      <c r="E41" s="1"/>
      <c r="F41" s="1"/>
      <c r="G41" s="1"/>
      <c r="H41" s="1"/>
      <c r="I41" s="1"/>
      <c r="J41" s="1"/>
      <c r="K41" s="1"/>
      <c r="L41" s="1"/>
      <c r="M41" s="1"/>
      <c r="N41" s="1"/>
      <c r="O41" s="1"/>
      <c r="P41" s="1"/>
      <c r="Q41" s="1"/>
    </row>
    <row r="42" spans="1:17" x14ac:dyDescent="0.35">
      <c r="A42" s="1"/>
      <c r="B42" s="1"/>
      <c r="C42" s="1"/>
      <c r="D42" s="1"/>
      <c r="E42" s="1"/>
      <c r="F42" s="1"/>
      <c r="G42" s="1"/>
      <c r="H42" s="1"/>
      <c r="I42" s="1"/>
      <c r="J42" s="1"/>
      <c r="K42" s="1"/>
      <c r="L42" s="1"/>
      <c r="M42" s="1"/>
      <c r="N42" s="1"/>
      <c r="O42" s="1"/>
      <c r="P42" s="1"/>
      <c r="Q42" s="1"/>
    </row>
    <row r="43" spans="1:17" x14ac:dyDescent="0.35">
      <c r="A43" s="1"/>
      <c r="B43" s="1"/>
      <c r="C43" s="1"/>
      <c r="D43" s="1"/>
      <c r="E43" s="1"/>
      <c r="F43" s="1"/>
      <c r="G43" s="1"/>
      <c r="H43" s="1"/>
      <c r="I43" s="1"/>
      <c r="J43" s="1"/>
      <c r="K43" s="1"/>
      <c r="L43" s="1"/>
      <c r="M43" s="1"/>
      <c r="N43" s="1"/>
      <c r="O43" s="1"/>
      <c r="P43" s="1"/>
      <c r="Q43" s="1"/>
    </row>
    <row r="44" spans="1:17" x14ac:dyDescent="0.35">
      <c r="A44" s="1"/>
      <c r="B44" s="1"/>
      <c r="C44" s="1"/>
      <c r="D44" s="1"/>
      <c r="E44" s="1"/>
      <c r="F44" s="1"/>
      <c r="G44" s="1"/>
      <c r="H44" s="1"/>
      <c r="I44" s="1"/>
      <c r="J44" s="1"/>
      <c r="K44" s="1"/>
      <c r="L44" s="1"/>
      <c r="M44" s="1"/>
      <c r="N44" s="1"/>
      <c r="O44" s="1"/>
      <c r="P44" s="1"/>
      <c r="Q44" s="1"/>
    </row>
    <row r="45" spans="1:17" x14ac:dyDescent="0.35">
      <c r="A45" s="1"/>
      <c r="B45" s="1"/>
      <c r="C45" s="1"/>
      <c r="D45" s="1"/>
      <c r="E45" s="1"/>
      <c r="F45" s="1"/>
      <c r="G45" s="1"/>
      <c r="H45" s="1"/>
      <c r="I45" s="1"/>
      <c r="J45" s="1"/>
      <c r="K45" s="1"/>
      <c r="L45" s="1"/>
      <c r="M45" s="1"/>
      <c r="N45" s="1"/>
      <c r="O45" s="1"/>
      <c r="P45" s="1"/>
      <c r="Q45" s="1"/>
    </row>
    <row r="46" spans="1:17" x14ac:dyDescent="0.35">
      <c r="A46" s="1"/>
      <c r="B46" s="1"/>
      <c r="C46" s="1"/>
      <c r="D46" s="1"/>
      <c r="E46" s="1"/>
      <c r="F46" s="1"/>
      <c r="G46" s="1"/>
      <c r="H46" s="1"/>
      <c r="I46" s="1"/>
      <c r="J46" s="1"/>
      <c r="K46" s="1"/>
      <c r="L46" s="1"/>
      <c r="M46" s="1"/>
      <c r="N46" s="1"/>
      <c r="O46" s="1"/>
      <c r="P46" s="1"/>
      <c r="Q46" s="1"/>
    </row>
    <row r="47" spans="1:17" x14ac:dyDescent="0.35">
      <c r="A47" s="1"/>
      <c r="B47" s="1"/>
      <c r="C47" s="1"/>
      <c r="D47" s="1"/>
      <c r="E47" s="1"/>
      <c r="F47" s="1"/>
      <c r="G47" s="1"/>
      <c r="H47" s="1"/>
      <c r="I47" s="1"/>
      <c r="J47" s="1"/>
      <c r="K47" s="1"/>
      <c r="L47" s="1"/>
      <c r="M47" s="1"/>
      <c r="N47" s="1"/>
      <c r="O47" s="1"/>
      <c r="P47" s="1"/>
      <c r="Q47" s="1"/>
    </row>
    <row r="48" spans="1:17" x14ac:dyDescent="0.35">
      <c r="A48" s="1"/>
      <c r="B48" s="1"/>
      <c r="C48" s="1"/>
      <c r="D48" s="1"/>
      <c r="E48" s="1"/>
      <c r="F48" s="1"/>
      <c r="G48" s="1"/>
      <c r="H48" s="1"/>
      <c r="I48" s="1"/>
      <c r="J48" s="1"/>
      <c r="K48" s="1"/>
      <c r="L48" s="1"/>
      <c r="M48" s="1"/>
      <c r="N48" s="1"/>
      <c r="O48" s="1"/>
      <c r="P48" s="1"/>
      <c r="Q48" s="1"/>
    </row>
    <row r="49" spans="1:17" x14ac:dyDescent="0.35">
      <c r="A49" s="1"/>
      <c r="B49" s="1"/>
      <c r="C49" s="1"/>
      <c r="D49" s="1"/>
      <c r="E49" s="1"/>
      <c r="F49" s="1"/>
      <c r="G49" s="1"/>
      <c r="H49" s="1"/>
      <c r="I49" s="1"/>
      <c r="J49" s="1"/>
      <c r="K49" s="1"/>
      <c r="L49" s="1"/>
      <c r="M49" s="1"/>
      <c r="N49" s="1"/>
      <c r="O49" s="1"/>
      <c r="P49" s="1"/>
      <c r="Q49" s="1"/>
    </row>
    <row r="50" spans="1:17" x14ac:dyDescent="0.35">
      <c r="A50" s="1"/>
      <c r="B50" s="1"/>
      <c r="C50" s="1"/>
      <c r="D50" s="1"/>
      <c r="E50" s="1"/>
      <c r="F50" s="1"/>
      <c r="G50" s="1"/>
      <c r="H50" s="1"/>
      <c r="I50" s="1"/>
      <c r="J50" s="1"/>
      <c r="K50" s="1"/>
      <c r="L50" s="1"/>
      <c r="M50" s="1"/>
      <c r="N50" s="1"/>
      <c r="O50" s="1"/>
      <c r="P50" s="1"/>
      <c r="Q50" s="1"/>
    </row>
    <row r="51" spans="1:17" x14ac:dyDescent="0.35">
      <c r="A51" s="1"/>
      <c r="B51" s="1"/>
      <c r="C51" s="1"/>
      <c r="D51" s="1"/>
      <c r="E51" s="1"/>
      <c r="F51" s="1"/>
      <c r="G51" s="1"/>
      <c r="H51" s="1"/>
      <c r="I51" s="1"/>
      <c r="J51" s="1"/>
      <c r="K51" s="1"/>
      <c r="L51" s="1"/>
      <c r="M51" s="1"/>
      <c r="N51" s="1"/>
      <c r="O51" s="1"/>
      <c r="P51" s="1"/>
      <c r="Q51" s="1"/>
    </row>
    <row r="52" spans="1:17" x14ac:dyDescent="0.35">
      <c r="A52" s="1"/>
      <c r="B52" s="1"/>
      <c r="C52" s="1"/>
      <c r="D52" s="1"/>
      <c r="E52" s="1"/>
      <c r="F52" s="1"/>
      <c r="G52" s="1"/>
      <c r="H52" s="1"/>
      <c r="I52" s="1"/>
      <c r="J52" s="1"/>
      <c r="K52" s="1"/>
      <c r="L52" s="1"/>
      <c r="M52" s="1"/>
      <c r="N52" s="1"/>
      <c r="O52" s="1"/>
      <c r="P52" s="1"/>
      <c r="Q52" s="1"/>
    </row>
    <row r="53" spans="1:17" x14ac:dyDescent="0.35">
      <c r="A53" s="1"/>
      <c r="B53" s="1"/>
      <c r="C53" s="1"/>
      <c r="D53" s="1"/>
      <c r="E53" s="1"/>
      <c r="F53" s="1"/>
      <c r="G53" s="1"/>
      <c r="H53" s="1"/>
      <c r="I53" s="1"/>
      <c r="J53" s="1"/>
      <c r="K53" s="1"/>
      <c r="L53" s="1"/>
      <c r="M53" s="1"/>
      <c r="N53" s="1"/>
      <c r="O53" s="1"/>
      <c r="P53" s="1"/>
      <c r="Q53" s="1"/>
    </row>
    <row r="54" spans="1:17" x14ac:dyDescent="0.35">
      <c r="A54" s="1"/>
      <c r="B54" s="1"/>
      <c r="C54" s="1"/>
      <c r="D54" s="1"/>
      <c r="E54" s="1"/>
      <c r="F54" s="1"/>
      <c r="G54" s="1"/>
      <c r="H54" s="1"/>
      <c r="I54" s="1"/>
      <c r="J54" s="1"/>
      <c r="K54" s="1"/>
      <c r="L54" s="1"/>
      <c r="M54" s="1"/>
      <c r="N54" s="1"/>
      <c r="O54" s="1"/>
      <c r="P54" s="1"/>
      <c r="Q54" s="1"/>
    </row>
    <row r="55" spans="1:17" x14ac:dyDescent="0.35">
      <c r="A55" s="1"/>
      <c r="B55" s="1"/>
      <c r="C55" s="1"/>
      <c r="D55" s="1"/>
      <c r="E55" s="1"/>
      <c r="F55" s="1"/>
      <c r="G55" s="1"/>
      <c r="H55" s="1"/>
      <c r="I55" s="1"/>
      <c r="J55" s="1"/>
      <c r="K55" s="1"/>
      <c r="L55" s="1"/>
      <c r="M55" s="1"/>
      <c r="N55" s="1"/>
      <c r="O55" s="1"/>
      <c r="P55" s="1"/>
      <c r="Q55" s="1"/>
    </row>
    <row r="56" spans="1:17" x14ac:dyDescent="0.35">
      <c r="A56" s="1"/>
      <c r="B56" s="1"/>
      <c r="C56" s="1"/>
      <c r="D56" s="1"/>
      <c r="E56" s="1"/>
      <c r="F56" s="1"/>
      <c r="G56" s="1"/>
      <c r="H56" s="1"/>
      <c r="I56" s="1"/>
      <c r="J56" s="1"/>
      <c r="K56" s="1"/>
      <c r="L56" s="1"/>
      <c r="M56" s="1"/>
      <c r="N56" s="1"/>
      <c r="O56" s="1"/>
      <c r="P56" s="1"/>
      <c r="Q56" s="1"/>
    </row>
    <row r="57" spans="1:17" x14ac:dyDescent="0.35">
      <c r="A57" s="1"/>
      <c r="B57" s="1"/>
      <c r="C57" s="1"/>
      <c r="D57" s="1"/>
      <c r="E57" s="1"/>
      <c r="F57" s="1"/>
      <c r="G57" s="1"/>
      <c r="H57" s="1"/>
      <c r="I57" s="1"/>
      <c r="J57" s="1"/>
      <c r="K57" s="1"/>
      <c r="L57" s="1"/>
      <c r="M57" s="1"/>
      <c r="N57" s="1"/>
      <c r="O57" s="1"/>
      <c r="P57" s="1"/>
      <c r="Q57" s="1"/>
    </row>
    <row r="58" spans="1:17" x14ac:dyDescent="0.35">
      <c r="A58" s="1"/>
      <c r="B58" s="1"/>
      <c r="C58" s="1"/>
      <c r="D58" s="1"/>
      <c r="E58" s="1"/>
      <c r="F58" s="1"/>
      <c r="G58" s="1"/>
      <c r="H58" s="1"/>
      <c r="I58" s="1"/>
      <c r="J58" s="1"/>
      <c r="K58" s="1"/>
      <c r="L58" s="1"/>
      <c r="M58" s="1"/>
      <c r="N58" s="1"/>
      <c r="O58" s="1"/>
      <c r="P58" s="1"/>
      <c r="Q58" s="1"/>
    </row>
    <row r="59" spans="1:17" x14ac:dyDescent="0.35">
      <c r="A59" s="1"/>
      <c r="B59" s="1"/>
      <c r="C59" s="1"/>
      <c r="D59" s="1"/>
      <c r="E59" s="1"/>
      <c r="F59" s="1"/>
      <c r="G59" s="1"/>
      <c r="H59" s="1"/>
      <c r="I59" s="1"/>
      <c r="J59" s="1"/>
      <c r="K59" s="1"/>
      <c r="L59" s="1"/>
      <c r="M59" s="1"/>
      <c r="N59" s="1"/>
      <c r="O59" s="1"/>
      <c r="P59" s="1"/>
      <c r="Q59" s="1"/>
    </row>
    <row r="60" spans="1:17" x14ac:dyDescent="0.35">
      <c r="A60" s="1"/>
      <c r="B60" s="1"/>
      <c r="C60" s="1"/>
      <c r="D60" s="1"/>
      <c r="E60" s="1"/>
      <c r="F60" s="1"/>
      <c r="G60" s="1"/>
      <c r="H60" s="1"/>
      <c r="I60" s="1"/>
      <c r="J60" s="1"/>
      <c r="K60" s="1"/>
      <c r="L60" s="1"/>
      <c r="M60" s="1"/>
      <c r="N60" s="1"/>
      <c r="O60" s="1"/>
      <c r="P60" s="1"/>
      <c r="Q60" s="1"/>
    </row>
    <row r="61" spans="1:17" x14ac:dyDescent="0.35">
      <c r="A61" s="1"/>
      <c r="B61" s="1"/>
      <c r="C61" s="1"/>
      <c r="D61" s="1"/>
      <c r="E61" s="1"/>
      <c r="F61" s="1"/>
      <c r="G61" s="1"/>
      <c r="H61" s="1"/>
      <c r="I61" s="1"/>
      <c r="J61" s="1"/>
      <c r="K61" s="1"/>
      <c r="L61" s="1"/>
      <c r="M61" s="1"/>
      <c r="N61" s="1"/>
      <c r="O61" s="1"/>
      <c r="P61" s="1"/>
      <c r="Q61" s="1"/>
    </row>
    <row r="62" spans="1:17" x14ac:dyDescent="0.35">
      <c r="A62" s="1"/>
      <c r="B62" s="1"/>
      <c r="C62" s="1"/>
      <c r="D62" s="1"/>
      <c r="E62" s="1"/>
      <c r="F62" s="1"/>
      <c r="G62" s="1"/>
      <c r="H62" s="1"/>
      <c r="I62" s="1"/>
      <c r="J62" s="1"/>
      <c r="K62" s="1"/>
      <c r="L62" s="1"/>
      <c r="M62" s="1"/>
      <c r="N62" s="1"/>
      <c r="O62" s="1"/>
      <c r="P62" s="1"/>
      <c r="Q62" s="1"/>
    </row>
    <row r="63" spans="1:17" x14ac:dyDescent="0.35">
      <c r="A63" s="1"/>
      <c r="B63" s="1"/>
      <c r="C63" s="1"/>
      <c r="D63" s="1"/>
      <c r="E63" s="1"/>
      <c r="F63" s="1"/>
      <c r="G63" s="1"/>
      <c r="H63" s="1"/>
      <c r="I63" s="1"/>
      <c r="J63" s="1"/>
      <c r="K63" s="1"/>
      <c r="L63" s="1"/>
      <c r="M63" s="1"/>
      <c r="N63" s="1"/>
      <c r="O63" s="1"/>
      <c r="P63" s="1"/>
      <c r="Q63" s="1"/>
    </row>
    <row r="64" spans="1:17" x14ac:dyDescent="0.35">
      <c r="A64" s="1"/>
      <c r="B64" s="1"/>
      <c r="C64" s="1"/>
      <c r="D64" s="1"/>
      <c r="E64" s="1"/>
      <c r="F64" s="1"/>
      <c r="G64" s="1"/>
      <c r="H64" s="1"/>
      <c r="I64" s="1"/>
      <c r="J64" s="1"/>
      <c r="K64" s="1"/>
      <c r="L64" s="1"/>
      <c r="M64" s="1"/>
      <c r="N64" s="1"/>
      <c r="O64" s="1"/>
      <c r="P64" s="1"/>
      <c r="Q64" s="1"/>
    </row>
    <row r="65" spans="1:17" x14ac:dyDescent="0.35">
      <c r="A65" s="1"/>
      <c r="B65" s="1"/>
      <c r="C65" s="1"/>
      <c r="D65" s="1"/>
      <c r="E65" s="1"/>
      <c r="F65" s="1"/>
      <c r="G65" s="1"/>
      <c r="H65" s="1"/>
      <c r="I65" s="1"/>
      <c r="J65" s="1"/>
      <c r="K65" s="1"/>
      <c r="L65" s="1"/>
      <c r="M65" s="1"/>
      <c r="N65" s="1"/>
      <c r="O65" s="1"/>
      <c r="P65" s="1"/>
      <c r="Q65" s="1"/>
    </row>
    <row r="66" spans="1:17" x14ac:dyDescent="0.35">
      <c r="A66" s="1"/>
      <c r="B66" s="1"/>
      <c r="C66" s="1"/>
      <c r="D66" s="1"/>
      <c r="E66" s="1"/>
      <c r="F66" s="1"/>
      <c r="G66" s="1"/>
      <c r="H66" s="1"/>
      <c r="I66" s="1"/>
      <c r="J66" s="1"/>
      <c r="K66" s="1"/>
      <c r="L66" s="1"/>
      <c r="M66" s="1"/>
      <c r="N66" s="1"/>
      <c r="O66" s="1"/>
      <c r="P66" s="1"/>
      <c r="Q66" s="1"/>
    </row>
    <row r="67" spans="1:17" x14ac:dyDescent="0.35">
      <c r="A67" s="1"/>
      <c r="B67" s="1"/>
      <c r="C67" s="1"/>
      <c r="D67" s="1"/>
      <c r="E67" s="1"/>
      <c r="F67" s="1"/>
      <c r="G67" s="1"/>
      <c r="H67" s="1"/>
      <c r="I67" s="1"/>
      <c r="J67" s="1"/>
      <c r="K67" s="1"/>
      <c r="L67" s="1"/>
      <c r="M67" s="1"/>
      <c r="N67" s="1"/>
      <c r="O67" s="1"/>
      <c r="P67" s="1"/>
      <c r="Q67" s="1"/>
    </row>
    <row r="68" spans="1:17" x14ac:dyDescent="0.35">
      <c r="A68" s="1"/>
      <c r="B68" s="1"/>
      <c r="C68" s="1"/>
      <c r="D68" s="1"/>
      <c r="E68" s="1"/>
      <c r="F68" s="1"/>
      <c r="G68" s="1"/>
      <c r="H68" s="1"/>
      <c r="I68" s="1"/>
      <c r="J68" s="1"/>
      <c r="K68" s="1"/>
      <c r="L68" s="1"/>
      <c r="M68" s="1"/>
      <c r="N68" s="1"/>
      <c r="O68" s="1"/>
      <c r="P68" s="1"/>
      <c r="Q68" s="1"/>
    </row>
    <row r="69" spans="1:17" x14ac:dyDescent="0.35">
      <c r="A69" s="1"/>
      <c r="B69" s="1"/>
      <c r="C69" s="1"/>
      <c r="D69" s="1"/>
      <c r="E69" s="1"/>
      <c r="F69" s="1"/>
      <c r="G69" s="1"/>
      <c r="H69" s="1"/>
      <c r="I69" s="1"/>
      <c r="J69" s="1"/>
      <c r="K69" s="1"/>
      <c r="L69" s="1"/>
      <c r="M69" s="1"/>
      <c r="N69" s="1"/>
      <c r="O69" s="1"/>
      <c r="P69" s="1"/>
      <c r="Q69" s="1"/>
    </row>
    <row r="70" spans="1:17" x14ac:dyDescent="0.35">
      <c r="A70" s="1"/>
      <c r="B70" s="1"/>
      <c r="C70" s="1"/>
      <c r="D70" s="1"/>
      <c r="E70" s="1"/>
      <c r="F70" s="1"/>
      <c r="G70" s="1"/>
      <c r="H70" s="1"/>
      <c r="I70" s="1"/>
      <c r="J70" s="1"/>
      <c r="K70" s="1"/>
      <c r="L70" s="1"/>
      <c r="M70" s="1"/>
      <c r="N70" s="1"/>
      <c r="O70" s="1"/>
      <c r="P70" s="1"/>
      <c r="Q70" s="1"/>
    </row>
    <row r="71" spans="1:17" x14ac:dyDescent="0.35">
      <c r="A71" s="1"/>
      <c r="B71" s="1"/>
      <c r="C71" s="1"/>
      <c r="D71" s="1"/>
      <c r="E71" s="1"/>
      <c r="F71" s="1"/>
      <c r="G71" s="1"/>
      <c r="H71" s="1"/>
      <c r="I71" s="1"/>
      <c r="J71" s="1"/>
      <c r="K71" s="1"/>
      <c r="L71" s="1"/>
      <c r="M71" s="1"/>
      <c r="N71" s="1"/>
      <c r="O71" s="1"/>
      <c r="P71" s="1"/>
      <c r="Q71" s="1"/>
    </row>
    <row r="72" spans="1:17" x14ac:dyDescent="0.35">
      <c r="A72" s="1"/>
      <c r="B72" s="1"/>
      <c r="C72" s="1"/>
      <c r="D72" s="1"/>
      <c r="E72" s="1"/>
      <c r="F72" s="1"/>
      <c r="G72" s="1"/>
      <c r="H72" s="1"/>
      <c r="I72" s="1"/>
      <c r="J72" s="1"/>
      <c r="K72" s="1"/>
      <c r="L72" s="1"/>
      <c r="M72" s="1"/>
      <c r="N72" s="1"/>
      <c r="O72" s="1"/>
      <c r="P72" s="1"/>
      <c r="Q72" s="1"/>
    </row>
    <row r="73" spans="1:17" x14ac:dyDescent="0.35">
      <c r="A73" s="1"/>
      <c r="B73" s="1"/>
      <c r="C73" s="1"/>
      <c r="D73" s="1"/>
      <c r="E73" s="1"/>
      <c r="F73" s="1"/>
      <c r="G73" s="1"/>
      <c r="H73" s="1"/>
      <c r="I73" s="1"/>
      <c r="J73" s="1"/>
      <c r="K73" s="1"/>
      <c r="L73" s="1"/>
      <c r="M73" s="1"/>
      <c r="N73" s="1"/>
      <c r="O73" s="1"/>
      <c r="P73" s="1"/>
      <c r="Q73" s="1"/>
    </row>
    <row r="74" spans="1:17" x14ac:dyDescent="0.35">
      <c r="A74" s="1"/>
      <c r="B74" s="1"/>
      <c r="C74" s="1"/>
      <c r="D74" s="1"/>
      <c r="E74" s="1"/>
      <c r="F74" s="1"/>
      <c r="G74" s="1"/>
      <c r="H74" s="1"/>
      <c r="I74" s="1"/>
      <c r="J74" s="1"/>
      <c r="K74" s="1"/>
      <c r="L74" s="1"/>
      <c r="M74" s="1"/>
      <c r="N74" s="1"/>
      <c r="O74" s="1"/>
      <c r="P74" s="1"/>
      <c r="Q74" s="1"/>
    </row>
    <row r="75" spans="1:17" x14ac:dyDescent="0.35">
      <c r="A75" s="1"/>
      <c r="B75" s="1"/>
      <c r="C75" s="1"/>
      <c r="D75" s="1"/>
      <c r="E75" s="1"/>
      <c r="F75" s="1"/>
      <c r="G75" s="1"/>
      <c r="H75" s="1"/>
      <c r="I75" s="1"/>
      <c r="J75" s="1"/>
      <c r="K75" s="1"/>
      <c r="L75" s="1"/>
      <c r="M75" s="1"/>
      <c r="N75" s="1"/>
      <c r="O75" s="1"/>
      <c r="P75" s="1"/>
      <c r="Q75" s="1"/>
    </row>
    <row r="76" spans="1:17" x14ac:dyDescent="0.35">
      <c r="A76" s="1"/>
      <c r="B76" s="1"/>
      <c r="C76" s="1"/>
      <c r="D76" s="1"/>
      <c r="E76" s="1"/>
      <c r="F76" s="1"/>
      <c r="G76" s="1"/>
      <c r="H76" s="1"/>
      <c r="I76" s="1"/>
      <c r="J76" s="1"/>
      <c r="K76" s="1"/>
      <c r="L76" s="1"/>
      <c r="M76" s="1"/>
      <c r="N76" s="1"/>
      <c r="O76" s="1"/>
      <c r="P76" s="1"/>
      <c r="Q76" s="1"/>
    </row>
    <row r="77" spans="1:17" x14ac:dyDescent="0.35">
      <c r="A77" s="1"/>
      <c r="B77" s="1"/>
      <c r="C77" s="1"/>
      <c r="D77" s="1"/>
      <c r="E77" s="1"/>
      <c r="F77" s="1"/>
      <c r="G77" s="1"/>
      <c r="H77" s="1"/>
      <c r="I77" s="1"/>
      <c r="J77" s="1"/>
      <c r="K77" s="1"/>
      <c r="L77" s="1"/>
      <c r="M77" s="1"/>
      <c r="N77" s="1"/>
      <c r="O77" s="1"/>
      <c r="P77" s="1"/>
      <c r="Q77" s="1"/>
    </row>
    <row r="78" spans="1:17" x14ac:dyDescent="0.35">
      <c r="A78" s="1"/>
      <c r="B78" s="1"/>
      <c r="C78" s="1"/>
      <c r="D78" s="1"/>
      <c r="E78" s="1"/>
      <c r="F78" s="1"/>
      <c r="G78" s="1"/>
      <c r="H78" s="1"/>
      <c r="I78" s="1"/>
      <c r="J78" s="1"/>
      <c r="K78" s="1"/>
      <c r="L78" s="1"/>
      <c r="M78" s="1"/>
      <c r="N78" s="1"/>
      <c r="O78" s="1"/>
      <c r="P78" s="1"/>
      <c r="Q78" s="1"/>
    </row>
    <row r="79" spans="1:17" x14ac:dyDescent="0.35">
      <c r="A79" s="1"/>
      <c r="B79" s="1"/>
      <c r="C79" s="1"/>
      <c r="D79" s="1"/>
      <c r="E79" s="1"/>
      <c r="F79" s="1"/>
      <c r="G79" s="1"/>
      <c r="H79" s="1"/>
      <c r="I79" s="1"/>
      <c r="J79" s="1"/>
      <c r="K79" s="1"/>
      <c r="L79" s="1"/>
      <c r="M79" s="1"/>
      <c r="N79" s="1"/>
      <c r="O79" s="1"/>
      <c r="P79" s="1"/>
      <c r="Q79" s="1"/>
    </row>
    <row r="80" spans="1:17" x14ac:dyDescent="0.35">
      <c r="A80" s="1"/>
      <c r="B80" s="1"/>
      <c r="C80" s="1"/>
      <c r="D80" s="1"/>
      <c r="E80" s="1"/>
      <c r="F80" s="1"/>
      <c r="G80" s="1"/>
      <c r="H80" s="1"/>
      <c r="I80" s="1"/>
      <c r="J80" s="1"/>
      <c r="K80" s="1"/>
      <c r="L80" s="1"/>
      <c r="M80" s="1"/>
      <c r="N80" s="1"/>
      <c r="O80" s="1"/>
      <c r="P80" s="1"/>
      <c r="Q80" s="1"/>
    </row>
    <row r="81" spans="1:17" x14ac:dyDescent="0.35">
      <c r="A81" s="1"/>
      <c r="B81" s="1"/>
      <c r="C81" s="1"/>
      <c r="D81" s="1"/>
      <c r="E81" s="1"/>
      <c r="F81" s="1"/>
      <c r="G81" s="1"/>
      <c r="H81" s="1"/>
      <c r="I81" s="1"/>
      <c r="J81" s="1"/>
      <c r="K81" s="1"/>
      <c r="L81" s="1"/>
      <c r="M81" s="1"/>
      <c r="N81" s="1"/>
      <c r="O81" s="1"/>
      <c r="P81" s="1"/>
      <c r="Q81" s="1"/>
    </row>
    <row r="82" spans="1:17" x14ac:dyDescent="0.35">
      <c r="A82" s="1"/>
      <c r="B82" s="1"/>
      <c r="C82" s="1"/>
      <c r="D82" s="1"/>
      <c r="E82" s="1"/>
      <c r="F82" s="1"/>
      <c r="G82" s="1"/>
      <c r="H82" s="1"/>
      <c r="I82" s="1"/>
      <c r="J82" s="1"/>
      <c r="K82" s="1"/>
      <c r="L82" s="1"/>
      <c r="M82" s="1"/>
      <c r="N82" s="1"/>
      <c r="O82" s="1"/>
      <c r="P82" s="1"/>
      <c r="Q82" s="1"/>
    </row>
    <row r="83" spans="1:17" x14ac:dyDescent="0.35">
      <c r="A83" s="1"/>
      <c r="B83" s="1"/>
      <c r="C83" s="1"/>
      <c r="D83" s="1"/>
      <c r="E83" s="1"/>
      <c r="F83" s="1"/>
      <c r="G83" s="1"/>
      <c r="H83" s="1"/>
      <c r="I83" s="1"/>
      <c r="J83" s="1"/>
      <c r="K83" s="1"/>
      <c r="L83" s="1"/>
      <c r="M83" s="1"/>
      <c r="N83" s="1"/>
      <c r="O83" s="1"/>
      <c r="P83" s="1"/>
      <c r="Q83" s="1"/>
    </row>
    <row r="84" spans="1:17" x14ac:dyDescent="0.35">
      <c r="A84" s="1"/>
      <c r="B84" s="1"/>
      <c r="C84" s="1"/>
      <c r="D84" s="1"/>
      <c r="E84" s="1"/>
      <c r="F84" s="1"/>
      <c r="G84" s="1"/>
      <c r="H84" s="1"/>
      <c r="I84" s="1"/>
      <c r="J84" s="1"/>
      <c r="K84" s="1"/>
      <c r="L84" s="1"/>
      <c r="M84" s="1"/>
      <c r="N84" s="1"/>
      <c r="O84" s="1"/>
      <c r="P84" s="1"/>
      <c r="Q84" s="1"/>
    </row>
    <row r="85" spans="1:17" x14ac:dyDescent="0.35">
      <c r="A85" s="1"/>
      <c r="B85" s="1"/>
      <c r="C85" s="1"/>
      <c r="D85" s="1"/>
      <c r="E85" s="1"/>
      <c r="F85" s="1"/>
      <c r="G85" s="1"/>
      <c r="H85" s="1"/>
      <c r="I85" s="1"/>
      <c r="J85" s="1"/>
      <c r="K85" s="1"/>
      <c r="L85" s="1"/>
      <c r="M85" s="1"/>
      <c r="N85" s="1"/>
      <c r="O85" s="1"/>
      <c r="P85" s="1"/>
      <c r="Q85" s="1"/>
    </row>
    <row r="86" spans="1:17" x14ac:dyDescent="0.35">
      <c r="A86" s="1"/>
      <c r="B86" s="1"/>
      <c r="C86" s="1"/>
      <c r="D86" s="1"/>
      <c r="E86" s="1"/>
      <c r="F86" s="1"/>
      <c r="G86" s="1"/>
      <c r="H86" s="1"/>
      <c r="I86" s="1"/>
      <c r="J86" s="1"/>
      <c r="K86" s="1"/>
      <c r="L86" s="1"/>
      <c r="M86" s="1"/>
      <c r="N86" s="1"/>
      <c r="O86" s="1"/>
      <c r="P86" s="1"/>
      <c r="Q86" s="1"/>
    </row>
    <row r="87" spans="1:17" x14ac:dyDescent="0.35">
      <c r="A87" s="1"/>
      <c r="B87" s="1"/>
      <c r="C87" s="1"/>
      <c r="D87" s="1"/>
      <c r="E87" s="1"/>
      <c r="F87" s="1"/>
      <c r="G87" s="1"/>
      <c r="H87" s="1"/>
      <c r="I87" s="1"/>
      <c r="J87" s="1"/>
      <c r="K87" s="1"/>
      <c r="L87" s="1"/>
      <c r="M87" s="1"/>
      <c r="N87" s="1"/>
      <c r="O87" s="1"/>
      <c r="P87" s="1"/>
      <c r="Q87" s="1"/>
    </row>
    <row r="88" spans="1:17" x14ac:dyDescent="0.35">
      <c r="A88" s="1"/>
      <c r="B88" s="1"/>
      <c r="C88" s="1"/>
      <c r="D88" s="1"/>
      <c r="E88" s="1"/>
      <c r="F88" s="1"/>
      <c r="G88" s="1"/>
      <c r="H88" s="1"/>
      <c r="I88" s="1"/>
      <c r="J88" s="1"/>
      <c r="K88" s="1"/>
      <c r="L88" s="1"/>
      <c r="M88" s="1"/>
      <c r="N88" s="1"/>
      <c r="O88" s="1"/>
      <c r="P88" s="1"/>
      <c r="Q88" s="1"/>
    </row>
    <row r="89" spans="1:17" x14ac:dyDescent="0.35">
      <c r="A89" s="1"/>
      <c r="B89" s="1"/>
      <c r="C89" s="1"/>
      <c r="D89" s="1"/>
      <c r="E89" s="1"/>
      <c r="F89" s="1"/>
      <c r="G89" s="1"/>
      <c r="H89" s="1"/>
      <c r="I89" s="1"/>
      <c r="J89" s="1"/>
      <c r="K89" s="1"/>
      <c r="L89" s="1"/>
      <c r="M89" s="1"/>
      <c r="N89" s="1"/>
      <c r="O89" s="1"/>
      <c r="P89" s="1"/>
      <c r="Q89" s="1"/>
    </row>
    <row r="90" spans="1:17" x14ac:dyDescent="0.35">
      <c r="A90" s="1"/>
      <c r="B90" s="1"/>
      <c r="C90" s="1"/>
      <c r="D90" s="1"/>
      <c r="E90" s="1"/>
      <c r="F90" s="1"/>
      <c r="G90" s="1"/>
      <c r="H90" s="1"/>
      <c r="I90" s="1"/>
      <c r="J90" s="1"/>
      <c r="K90" s="1"/>
      <c r="L90" s="1"/>
      <c r="M90" s="1"/>
      <c r="N90" s="1"/>
      <c r="O90" s="1"/>
      <c r="P90" s="1"/>
      <c r="Q90" s="1"/>
    </row>
    <row r="91" spans="1:17" x14ac:dyDescent="0.35">
      <c r="A91" s="1"/>
      <c r="B91" s="1"/>
      <c r="C91" s="1"/>
      <c r="D91" s="1"/>
      <c r="E91" s="1"/>
      <c r="F91" s="1"/>
      <c r="G91" s="1"/>
      <c r="H91" s="1"/>
      <c r="I91" s="1"/>
      <c r="J91" s="1"/>
      <c r="K91" s="1"/>
      <c r="L91" s="1"/>
      <c r="M91" s="1"/>
      <c r="N91" s="1"/>
      <c r="O91" s="1"/>
      <c r="P91" s="1"/>
      <c r="Q91" s="1"/>
    </row>
    <row r="92" spans="1:17" x14ac:dyDescent="0.35">
      <c r="A92" s="1"/>
      <c r="B92" s="1"/>
      <c r="C92" s="1"/>
      <c r="D92" s="1"/>
      <c r="E92" s="1"/>
      <c r="F92" s="1"/>
      <c r="G92" s="1"/>
      <c r="H92" s="1"/>
      <c r="I92" s="1"/>
      <c r="J92" s="1"/>
      <c r="K92" s="1"/>
      <c r="L92" s="1"/>
      <c r="M92" s="1"/>
      <c r="N92" s="1"/>
      <c r="O92" s="1"/>
      <c r="P92" s="1"/>
      <c r="Q92" s="1"/>
    </row>
    <row r="93" spans="1:17" x14ac:dyDescent="0.35">
      <c r="A93" s="1"/>
      <c r="B93" s="1"/>
      <c r="C93" s="1"/>
      <c r="D93" s="1"/>
      <c r="E93" s="1"/>
      <c r="F93" s="1"/>
      <c r="G93" s="1"/>
      <c r="H93" s="1"/>
      <c r="I93" s="1"/>
      <c r="J93" s="1"/>
      <c r="K93" s="1"/>
      <c r="L93" s="1"/>
      <c r="M93" s="1"/>
      <c r="N93" s="1"/>
      <c r="O93" s="1"/>
      <c r="P93" s="1"/>
      <c r="Q93" s="1"/>
    </row>
    <row r="94" spans="1:17" x14ac:dyDescent="0.35">
      <c r="A94" s="1"/>
      <c r="B94" s="1"/>
      <c r="C94" s="1"/>
      <c r="D94" s="1"/>
      <c r="E94" s="1"/>
      <c r="F94" s="1"/>
      <c r="G94" s="1"/>
      <c r="H94" s="1"/>
      <c r="I94" s="1"/>
      <c r="J94" s="1"/>
      <c r="K94" s="1"/>
      <c r="L94" s="1"/>
      <c r="M94" s="1"/>
      <c r="N94" s="1"/>
      <c r="O94" s="1"/>
      <c r="P94" s="1"/>
      <c r="Q94" s="1"/>
    </row>
    <row r="95" spans="1:17" x14ac:dyDescent="0.35">
      <c r="A95" s="1"/>
      <c r="B95" s="1"/>
      <c r="C95" s="1"/>
      <c r="D95" s="1"/>
      <c r="E95" s="1"/>
      <c r="F95" s="1"/>
      <c r="G95" s="1"/>
      <c r="H95" s="1"/>
      <c r="I95" s="1"/>
      <c r="J95" s="1"/>
      <c r="K95" s="1"/>
      <c r="L95" s="1"/>
      <c r="M95" s="1"/>
      <c r="N95" s="1"/>
      <c r="O95" s="1"/>
      <c r="P95" s="1"/>
      <c r="Q95" s="1"/>
    </row>
    <row r="96" spans="1:17" x14ac:dyDescent="0.35">
      <c r="A96" s="1"/>
      <c r="B96" s="1"/>
      <c r="C96" s="1"/>
      <c r="D96" s="1"/>
      <c r="E96" s="1"/>
      <c r="F96" s="1"/>
      <c r="G96" s="1"/>
      <c r="H96" s="1"/>
      <c r="I96" s="1"/>
      <c r="J96" s="1"/>
      <c r="K96" s="1"/>
      <c r="L96" s="1"/>
      <c r="M96" s="1"/>
      <c r="N96" s="1"/>
      <c r="O96" s="1"/>
      <c r="P96" s="1"/>
      <c r="Q96" s="1"/>
    </row>
    <row r="97" spans="1:17" x14ac:dyDescent="0.35">
      <c r="A97" s="1"/>
      <c r="B97" s="1"/>
      <c r="C97" s="1"/>
      <c r="D97" s="1"/>
      <c r="E97" s="1"/>
      <c r="F97" s="1"/>
      <c r="G97" s="1"/>
      <c r="H97" s="1"/>
      <c r="I97" s="1"/>
      <c r="J97" s="1"/>
      <c r="K97" s="1"/>
      <c r="L97" s="1"/>
      <c r="M97" s="1"/>
      <c r="N97" s="1"/>
      <c r="O97" s="1"/>
      <c r="P97" s="1"/>
      <c r="Q97" s="1"/>
    </row>
    <row r="98" spans="1:17" x14ac:dyDescent="0.35">
      <c r="A98" s="1"/>
      <c r="B98" s="1"/>
      <c r="C98" s="1"/>
      <c r="D98" s="1"/>
      <c r="E98" s="1"/>
      <c r="F98" s="1"/>
      <c r="G98" s="1"/>
      <c r="H98" s="1"/>
      <c r="I98" s="1"/>
      <c r="J98" s="1"/>
      <c r="K98" s="1"/>
      <c r="L98" s="1"/>
      <c r="M98" s="1"/>
      <c r="N98" s="1"/>
      <c r="O98" s="1"/>
      <c r="P98" s="1"/>
      <c r="Q98" s="1"/>
    </row>
    <row r="99" spans="1:17" x14ac:dyDescent="0.35">
      <c r="A99" s="1"/>
      <c r="B99" s="1"/>
      <c r="C99" s="1"/>
      <c r="D99" s="1"/>
      <c r="E99" s="1"/>
      <c r="F99" s="1"/>
      <c r="G99" s="1"/>
      <c r="H99" s="1"/>
      <c r="I99" s="1"/>
      <c r="J99" s="1"/>
      <c r="K99" s="1"/>
      <c r="L99" s="1"/>
      <c r="M99" s="1"/>
      <c r="N99" s="1"/>
      <c r="O99" s="1"/>
      <c r="P99" s="1"/>
      <c r="Q99" s="1"/>
    </row>
    <row r="100" spans="1:17" x14ac:dyDescent="0.35">
      <c r="A100" s="1"/>
      <c r="B100" s="1"/>
      <c r="C100" s="1"/>
      <c r="D100" s="1"/>
      <c r="E100" s="1"/>
      <c r="F100" s="1"/>
      <c r="G100" s="1"/>
      <c r="H100" s="1"/>
      <c r="I100" s="1"/>
      <c r="J100" s="1"/>
      <c r="K100" s="1"/>
      <c r="L100" s="1"/>
      <c r="M100" s="1"/>
      <c r="N100" s="1"/>
      <c r="O100" s="1"/>
      <c r="P100" s="1"/>
      <c r="Q100" s="1"/>
    </row>
    <row r="101" spans="1:17" x14ac:dyDescent="0.35">
      <c r="A101" s="1"/>
      <c r="B101" s="1"/>
      <c r="C101" s="1"/>
      <c r="D101" s="1"/>
      <c r="E101" s="1"/>
      <c r="F101" s="1"/>
      <c r="G101" s="1"/>
      <c r="H101" s="1"/>
      <c r="I101" s="1"/>
      <c r="J101" s="1"/>
      <c r="K101" s="1"/>
      <c r="L101" s="1"/>
      <c r="M101" s="1"/>
      <c r="N101" s="1"/>
      <c r="O101" s="1"/>
      <c r="P101" s="1"/>
      <c r="Q101" s="1"/>
    </row>
    <row r="102" spans="1:17" x14ac:dyDescent="0.35">
      <c r="A102" s="1"/>
      <c r="B102" s="1"/>
      <c r="C102" s="1"/>
      <c r="D102" s="1"/>
      <c r="E102" s="1"/>
      <c r="F102" s="1"/>
      <c r="G102" s="1"/>
      <c r="H102" s="1"/>
      <c r="I102" s="1"/>
      <c r="J102" s="1"/>
      <c r="K102" s="1"/>
      <c r="L102" s="1"/>
      <c r="M102" s="1"/>
      <c r="N102" s="1"/>
      <c r="O102" s="1"/>
      <c r="P102" s="1"/>
      <c r="Q102" s="1"/>
    </row>
    <row r="103" spans="1:17" x14ac:dyDescent="0.35">
      <c r="A103" s="1"/>
      <c r="B103" s="1"/>
      <c r="C103" s="1"/>
      <c r="D103" s="1"/>
      <c r="E103" s="1"/>
      <c r="F103" s="1"/>
      <c r="G103" s="1"/>
      <c r="H103" s="1"/>
      <c r="I103" s="1"/>
      <c r="J103" s="1"/>
      <c r="K103" s="1"/>
      <c r="L103" s="1"/>
      <c r="M103" s="1"/>
      <c r="N103" s="1"/>
      <c r="O103" s="1"/>
      <c r="P103" s="1"/>
      <c r="Q103" s="1"/>
    </row>
    <row r="104" spans="1:17" x14ac:dyDescent="0.35">
      <c r="A104" s="1"/>
      <c r="B104" s="1"/>
      <c r="C104" s="1"/>
      <c r="D104" s="1"/>
      <c r="E104" s="1"/>
      <c r="F104" s="1"/>
      <c r="G104" s="1"/>
      <c r="H104" s="1"/>
      <c r="I104" s="1"/>
      <c r="J104" s="1"/>
      <c r="K104" s="1"/>
      <c r="L104" s="1"/>
      <c r="M104" s="1"/>
      <c r="N104" s="1"/>
      <c r="O104" s="1"/>
      <c r="P104" s="1"/>
      <c r="Q104" s="1"/>
    </row>
    <row r="105" spans="1:17" x14ac:dyDescent="0.35">
      <c r="A105" s="1"/>
      <c r="B105" s="1"/>
      <c r="C105" s="1"/>
      <c r="D105" s="1"/>
      <c r="E105" s="1"/>
      <c r="F105" s="1"/>
      <c r="G105" s="1"/>
      <c r="H105" s="1"/>
      <c r="I105" s="1"/>
      <c r="J105" s="1"/>
      <c r="K105" s="1"/>
      <c r="L105" s="1"/>
      <c r="M105" s="1"/>
      <c r="N105" s="1"/>
      <c r="O105" s="1"/>
      <c r="P105" s="1"/>
      <c r="Q105" s="1"/>
    </row>
    <row r="106" spans="1:17" x14ac:dyDescent="0.35">
      <c r="A106" s="1"/>
      <c r="B106" s="1"/>
      <c r="C106" s="1"/>
      <c r="D106" s="1"/>
      <c r="E106" s="1"/>
      <c r="F106" s="1"/>
      <c r="G106" s="1"/>
      <c r="H106" s="1"/>
      <c r="I106" s="1"/>
      <c r="J106" s="1"/>
      <c r="K106" s="1"/>
      <c r="L106" s="1"/>
      <c r="M106" s="1"/>
      <c r="N106" s="1"/>
      <c r="O106" s="1"/>
      <c r="P106" s="1"/>
      <c r="Q106" s="1"/>
    </row>
    <row r="107" spans="1:17" x14ac:dyDescent="0.35">
      <c r="A107" s="1"/>
      <c r="B107" s="1"/>
      <c r="C107" s="1"/>
      <c r="D107" s="1"/>
      <c r="E107" s="1"/>
      <c r="F107" s="1"/>
      <c r="G107" s="1"/>
      <c r="H107" s="1"/>
      <c r="I107" s="1"/>
      <c r="J107" s="1"/>
      <c r="K107" s="1"/>
      <c r="L107" s="1"/>
      <c r="M107" s="1"/>
      <c r="N107" s="1"/>
      <c r="O107" s="1"/>
      <c r="P107" s="1"/>
      <c r="Q107" s="1"/>
    </row>
    <row r="108" spans="1:17" x14ac:dyDescent="0.35">
      <c r="A108" s="1"/>
      <c r="B108" s="1"/>
      <c r="C108" s="1"/>
      <c r="D108" s="1"/>
      <c r="E108" s="1"/>
      <c r="F108" s="1"/>
      <c r="G108" s="1"/>
      <c r="H108" s="1"/>
      <c r="I108" s="1"/>
      <c r="J108" s="1"/>
      <c r="K108" s="1"/>
      <c r="L108" s="1"/>
      <c r="M108" s="1"/>
      <c r="N108" s="1"/>
      <c r="O108" s="1"/>
      <c r="P108" s="1"/>
      <c r="Q108" s="1"/>
    </row>
    <row r="109" spans="1:17" x14ac:dyDescent="0.35">
      <c r="A109" s="1"/>
      <c r="B109" s="1"/>
      <c r="C109" s="1"/>
      <c r="D109" s="1"/>
      <c r="E109" s="1"/>
      <c r="F109" s="1"/>
      <c r="G109" s="1"/>
      <c r="H109" s="1"/>
      <c r="I109" s="1"/>
      <c r="J109" s="1"/>
      <c r="K109" s="1"/>
      <c r="L109" s="1"/>
      <c r="M109" s="1"/>
      <c r="N109" s="1"/>
      <c r="O109" s="1"/>
      <c r="P109" s="1"/>
      <c r="Q109" s="1"/>
    </row>
    <row r="110" spans="1:17" x14ac:dyDescent="0.35">
      <c r="A110" s="1"/>
      <c r="B110" s="1"/>
      <c r="C110" s="1"/>
      <c r="D110" s="1"/>
      <c r="E110" s="1"/>
      <c r="F110" s="1"/>
      <c r="G110" s="1"/>
      <c r="H110" s="1"/>
      <c r="I110" s="1"/>
      <c r="J110" s="1"/>
      <c r="K110" s="1"/>
      <c r="L110" s="1"/>
      <c r="M110" s="1"/>
      <c r="N110" s="1"/>
      <c r="O110" s="1"/>
      <c r="P110" s="1"/>
      <c r="Q110" s="1"/>
    </row>
    <row r="111" spans="1:17" x14ac:dyDescent="0.35">
      <c r="A111" s="1"/>
      <c r="B111" s="1"/>
      <c r="C111" s="1"/>
      <c r="D111" s="1"/>
      <c r="E111" s="1"/>
      <c r="F111" s="1"/>
      <c r="G111" s="1"/>
      <c r="H111" s="1"/>
      <c r="I111" s="1"/>
      <c r="J111" s="1"/>
      <c r="K111" s="1"/>
      <c r="L111" s="1"/>
      <c r="M111" s="1"/>
      <c r="N111" s="1"/>
      <c r="O111" s="1"/>
      <c r="P111" s="1"/>
      <c r="Q111" s="1"/>
    </row>
    <row r="112" spans="1:17" x14ac:dyDescent="0.35">
      <c r="A112" s="1"/>
      <c r="B112" s="1"/>
      <c r="C112" s="1"/>
      <c r="D112" s="1"/>
      <c r="E112" s="1"/>
      <c r="F112" s="1"/>
      <c r="G112" s="1"/>
      <c r="H112" s="1"/>
      <c r="I112" s="1"/>
      <c r="J112" s="1"/>
      <c r="K112" s="1"/>
      <c r="L112" s="1"/>
      <c r="M112" s="1"/>
      <c r="N112" s="1"/>
      <c r="O112" s="1"/>
      <c r="P112" s="1"/>
      <c r="Q112" s="1"/>
    </row>
    <row r="113" spans="1:17" x14ac:dyDescent="0.35">
      <c r="A113" s="1"/>
      <c r="B113" s="1"/>
      <c r="C113" s="1"/>
      <c r="D113" s="1"/>
      <c r="E113" s="1"/>
      <c r="F113" s="1"/>
      <c r="G113" s="1"/>
      <c r="H113" s="1"/>
      <c r="I113" s="1"/>
      <c r="J113" s="1"/>
      <c r="K113" s="1"/>
      <c r="L113" s="1"/>
      <c r="M113" s="1"/>
      <c r="N113" s="1"/>
      <c r="O113" s="1"/>
      <c r="P113" s="1"/>
      <c r="Q113" s="1"/>
    </row>
    <row r="114" spans="1:17" x14ac:dyDescent="0.35">
      <c r="A114" s="1"/>
      <c r="B114" s="1"/>
      <c r="C114" s="1"/>
      <c r="D114" s="1"/>
      <c r="E114" s="1"/>
      <c r="F114" s="1"/>
      <c r="G114" s="1"/>
      <c r="H114" s="1"/>
      <c r="I114" s="1"/>
      <c r="J114" s="1"/>
      <c r="K114" s="1"/>
      <c r="L114" s="1"/>
      <c r="M114" s="1"/>
      <c r="N114" s="1"/>
      <c r="O114" s="1"/>
      <c r="P114" s="1"/>
      <c r="Q114" s="1"/>
    </row>
    <row r="115" spans="1:17" x14ac:dyDescent="0.35">
      <c r="A115" s="1"/>
      <c r="B115" s="1"/>
      <c r="C115" s="1"/>
      <c r="D115" s="1"/>
      <c r="E115" s="1"/>
      <c r="F115" s="1"/>
      <c r="G115" s="1"/>
      <c r="H115" s="1"/>
      <c r="I115" s="1"/>
      <c r="J115" s="1"/>
      <c r="K115" s="1"/>
      <c r="L115" s="1"/>
      <c r="M115" s="1"/>
      <c r="N115" s="1"/>
      <c r="O115" s="1"/>
      <c r="P115" s="1"/>
      <c r="Q115" s="1"/>
    </row>
    <row r="116" spans="1:17" x14ac:dyDescent="0.35">
      <c r="A116" s="1"/>
      <c r="B116" s="1"/>
      <c r="C116" s="1"/>
      <c r="D116" s="1"/>
      <c r="E116" s="1"/>
      <c r="F116" s="1"/>
      <c r="G116" s="1"/>
      <c r="H116" s="1"/>
      <c r="I116" s="1"/>
      <c r="J116" s="1"/>
      <c r="K116" s="1"/>
      <c r="L116" s="1"/>
      <c r="M116" s="1"/>
      <c r="N116" s="1"/>
      <c r="O116" s="1"/>
      <c r="P116" s="1"/>
      <c r="Q116" s="1"/>
    </row>
    <row r="117" spans="1:17" x14ac:dyDescent="0.35">
      <c r="A117" s="1"/>
      <c r="B117" s="1"/>
      <c r="C117" s="1"/>
      <c r="D117" s="1"/>
      <c r="E117" s="1"/>
      <c r="F117" s="1"/>
      <c r="G117" s="1"/>
      <c r="H117" s="1"/>
      <c r="I117" s="1"/>
      <c r="J117" s="1"/>
      <c r="K117" s="1"/>
      <c r="L117" s="1"/>
      <c r="M117" s="1"/>
      <c r="N117" s="1"/>
      <c r="O117" s="1"/>
      <c r="P117" s="1"/>
      <c r="Q117" s="1"/>
    </row>
    <row r="118" spans="1:17" x14ac:dyDescent="0.35">
      <c r="A118" s="1"/>
      <c r="B118" s="1"/>
      <c r="C118" s="1"/>
      <c r="D118" s="1"/>
      <c r="E118" s="1"/>
      <c r="F118" s="1"/>
      <c r="G118" s="1"/>
      <c r="H118" s="1"/>
      <c r="I118" s="1"/>
      <c r="J118" s="1"/>
      <c r="K118" s="1"/>
      <c r="L118" s="1"/>
      <c r="M118" s="1"/>
      <c r="N118" s="1"/>
      <c r="O118" s="1"/>
      <c r="P118" s="1"/>
      <c r="Q118" s="1"/>
    </row>
    <row r="119" spans="1:17" x14ac:dyDescent="0.35">
      <c r="A119" s="1"/>
      <c r="B119" s="1"/>
      <c r="C119" s="1"/>
      <c r="D119" s="1"/>
      <c r="E119" s="1"/>
      <c r="F119" s="1"/>
      <c r="G119" s="1"/>
      <c r="H119" s="1"/>
      <c r="I119" s="1"/>
      <c r="J119" s="1"/>
      <c r="K119" s="1"/>
      <c r="L119" s="1"/>
      <c r="M119" s="1"/>
      <c r="N119" s="1"/>
      <c r="O119" s="1"/>
      <c r="P119" s="1"/>
      <c r="Q119" s="1"/>
    </row>
    <row r="120" spans="1:17" x14ac:dyDescent="0.35">
      <c r="A120" s="1"/>
      <c r="B120" s="1"/>
      <c r="C120" s="1"/>
      <c r="D120" s="1"/>
      <c r="E120" s="1"/>
      <c r="F120" s="1"/>
      <c r="G120" s="1"/>
      <c r="H120" s="1"/>
      <c r="I120" s="1"/>
      <c r="J120" s="1"/>
      <c r="K120" s="1"/>
      <c r="L120" s="1"/>
      <c r="M120" s="1"/>
      <c r="N120" s="1"/>
      <c r="O120" s="1"/>
      <c r="P120" s="1"/>
      <c r="Q120" s="1"/>
    </row>
    <row r="121" spans="1:17" x14ac:dyDescent="0.35">
      <c r="A121" s="1"/>
      <c r="B121" s="1"/>
      <c r="C121" s="1"/>
      <c r="D121" s="1"/>
      <c r="E121" s="1"/>
      <c r="F121" s="1"/>
      <c r="G121" s="1"/>
      <c r="H121" s="1"/>
      <c r="I121" s="1"/>
      <c r="J121" s="1"/>
      <c r="K121" s="1"/>
      <c r="L121" s="1"/>
      <c r="M121" s="1"/>
      <c r="N121" s="1"/>
      <c r="O121" s="1"/>
      <c r="P121" s="1"/>
      <c r="Q121" s="1"/>
    </row>
    <row r="122" spans="1:17" x14ac:dyDescent="0.35">
      <c r="A122" s="1"/>
      <c r="B122" s="1"/>
      <c r="C122" s="1"/>
      <c r="D122" s="1"/>
      <c r="E122" s="1"/>
      <c r="F122" s="1"/>
      <c r="G122" s="1"/>
      <c r="H122" s="1"/>
      <c r="I122" s="1"/>
      <c r="J122" s="1"/>
      <c r="K122" s="1"/>
      <c r="L122" s="1"/>
      <c r="M122" s="1"/>
      <c r="N122" s="1"/>
      <c r="O122" s="1"/>
      <c r="P122" s="1"/>
      <c r="Q122" s="1"/>
    </row>
    <row r="123" spans="1:17" x14ac:dyDescent="0.35">
      <c r="A123" s="1"/>
      <c r="B123" s="1"/>
      <c r="C123" s="1"/>
      <c r="D123" s="1"/>
      <c r="E123" s="1"/>
      <c r="F123" s="1"/>
      <c r="G123" s="1"/>
      <c r="H123" s="1"/>
      <c r="I123" s="1"/>
      <c r="J123" s="1"/>
      <c r="K123" s="1"/>
      <c r="L123" s="1"/>
      <c r="M123" s="1"/>
      <c r="N123" s="1"/>
      <c r="O123" s="1"/>
      <c r="P123" s="1"/>
      <c r="Q123" s="1"/>
    </row>
    <row r="124" spans="1:17" x14ac:dyDescent="0.35">
      <c r="A124" s="1"/>
      <c r="B124" s="1"/>
      <c r="C124" s="1"/>
      <c r="D124" s="1"/>
      <c r="E124" s="1"/>
      <c r="F124" s="1"/>
      <c r="G124" s="1"/>
      <c r="H124" s="1"/>
      <c r="I124" s="1"/>
      <c r="J124" s="1"/>
      <c r="K124" s="1"/>
      <c r="L124" s="1"/>
      <c r="M124" s="1"/>
      <c r="N124" s="1"/>
      <c r="O124" s="1"/>
      <c r="P124" s="1"/>
      <c r="Q124" s="1"/>
    </row>
    <row r="125" spans="1:17" x14ac:dyDescent="0.35">
      <c r="A125" s="1"/>
      <c r="B125" s="1"/>
      <c r="C125" s="1"/>
      <c r="D125" s="1"/>
      <c r="E125" s="1"/>
      <c r="F125" s="1"/>
      <c r="G125" s="1"/>
      <c r="H125" s="1"/>
      <c r="I125" s="1"/>
      <c r="J125" s="1"/>
      <c r="K125" s="1"/>
      <c r="L125" s="1"/>
      <c r="M125" s="1"/>
      <c r="N125" s="1"/>
      <c r="O125" s="1"/>
      <c r="P125" s="1"/>
      <c r="Q125" s="1"/>
    </row>
    <row r="126" spans="1:17" x14ac:dyDescent="0.35">
      <c r="A126" s="1"/>
      <c r="B126" s="1"/>
      <c r="C126" s="1"/>
      <c r="D126" s="1"/>
      <c r="E126" s="1"/>
      <c r="F126" s="1"/>
      <c r="G126" s="1"/>
      <c r="H126" s="1"/>
      <c r="I126" s="1"/>
      <c r="J126" s="1"/>
      <c r="K126" s="1"/>
      <c r="L126" s="1"/>
      <c r="M126" s="1"/>
      <c r="N126" s="1"/>
      <c r="O126" s="1"/>
      <c r="P126" s="1"/>
      <c r="Q126" s="1"/>
    </row>
    <row r="127" spans="1:17" x14ac:dyDescent="0.35">
      <c r="A127" s="1"/>
      <c r="B127" s="1"/>
      <c r="C127" s="1"/>
      <c r="D127" s="1"/>
      <c r="E127" s="1"/>
      <c r="F127" s="1"/>
      <c r="G127" s="1"/>
      <c r="H127" s="1"/>
      <c r="I127" s="1"/>
      <c r="J127" s="1"/>
      <c r="K127" s="1"/>
      <c r="L127" s="1"/>
      <c r="M127" s="1"/>
      <c r="N127" s="1"/>
      <c r="O127" s="1"/>
      <c r="P127" s="1"/>
      <c r="Q127" s="1"/>
    </row>
    <row r="128" spans="1:17" x14ac:dyDescent="0.35">
      <c r="A128" s="1"/>
      <c r="B128" s="1"/>
      <c r="C128" s="1"/>
      <c r="D128" s="1"/>
      <c r="E128" s="1"/>
      <c r="F128" s="1"/>
      <c r="G128" s="1"/>
      <c r="H128" s="1"/>
      <c r="I128" s="1"/>
      <c r="J128" s="1"/>
      <c r="K128" s="1"/>
      <c r="L128" s="1"/>
      <c r="M128" s="1"/>
      <c r="N128" s="1"/>
      <c r="O128" s="1"/>
      <c r="P128" s="1"/>
      <c r="Q128" s="1"/>
    </row>
    <row r="129" spans="1:17" x14ac:dyDescent="0.35">
      <c r="A129" s="1"/>
      <c r="B129" s="1"/>
      <c r="C129" s="1"/>
      <c r="D129" s="1"/>
      <c r="E129" s="1"/>
      <c r="F129" s="1"/>
      <c r="G129" s="1"/>
      <c r="H129" s="1"/>
      <c r="I129" s="1"/>
      <c r="J129" s="1"/>
      <c r="K129" s="1"/>
      <c r="L129" s="1"/>
      <c r="M129" s="1"/>
      <c r="N129" s="1"/>
      <c r="O129" s="1"/>
      <c r="P129" s="1"/>
      <c r="Q129" s="1"/>
    </row>
    <row r="130" spans="1:17" x14ac:dyDescent="0.35">
      <c r="A130" s="1"/>
      <c r="B130" s="1"/>
      <c r="C130" s="1"/>
      <c r="D130" s="1"/>
      <c r="E130" s="1"/>
      <c r="F130" s="1"/>
      <c r="G130" s="1"/>
      <c r="H130" s="1"/>
      <c r="I130" s="1"/>
      <c r="J130" s="1"/>
      <c r="K130" s="1"/>
      <c r="L130" s="1"/>
      <c r="M130" s="1"/>
      <c r="N130" s="1"/>
      <c r="O130" s="1"/>
      <c r="P130" s="1"/>
      <c r="Q130" s="1"/>
    </row>
    <row r="131" spans="1:17" x14ac:dyDescent="0.35">
      <c r="A131" s="1"/>
      <c r="B131" s="1"/>
      <c r="C131" s="1"/>
      <c r="D131" s="1"/>
      <c r="E131" s="1"/>
      <c r="F131" s="1"/>
      <c r="G131" s="1"/>
      <c r="H131" s="1"/>
      <c r="I131" s="1"/>
      <c r="J131" s="1"/>
      <c r="K131" s="1"/>
      <c r="L131" s="1"/>
      <c r="M131" s="1"/>
      <c r="N131" s="1"/>
      <c r="O131" s="1"/>
      <c r="P131" s="1"/>
      <c r="Q131" s="1"/>
    </row>
    <row r="132" spans="1:17" x14ac:dyDescent="0.35">
      <c r="A132" s="1"/>
      <c r="B132" s="1"/>
      <c r="C132" s="1"/>
      <c r="D132" s="1"/>
      <c r="E132" s="1"/>
      <c r="F132" s="1"/>
      <c r="G132" s="1"/>
      <c r="H132" s="1"/>
      <c r="I132" s="1"/>
      <c r="J132" s="1"/>
      <c r="K132" s="1"/>
      <c r="L132" s="1"/>
      <c r="M132" s="1"/>
      <c r="N132" s="1"/>
      <c r="O132" s="1"/>
      <c r="P132" s="1"/>
      <c r="Q132" s="1"/>
    </row>
    <row r="133" spans="1:17" x14ac:dyDescent="0.35">
      <c r="A133" s="1"/>
      <c r="B133" s="1"/>
      <c r="C133" s="1"/>
      <c r="D133" s="1"/>
      <c r="E133" s="1"/>
      <c r="F133" s="1"/>
      <c r="G133" s="1"/>
      <c r="H133" s="1"/>
      <c r="I133" s="1"/>
      <c r="J133" s="1"/>
      <c r="K133" s="1"/>
      <c r="L133" s="1"/>
      <c r="M133" s="1"/>
      <c r="N133" s="1"/>
      <c r="O133" s="1"/>
      <c r="P133" s="1"/>
      <c r="Q133" s="1"/>
    </row>
    <row r="134" spans="1:17" x14ac:dyDescent="0.35">
      <c r="A134" s="1"/>
      <c r="B134" s="1"/>
      <c r="C134" s="1"/>
      <c r="D134" s="1"/>
      <c r="E134" s="1"/>
      <c r="F134" s="1"/>
      <c r="G134" s="1"/>
      <c r="H134" s="1"/>
      <c r="I134" s="1"/>
      <c r="J134" s="1"/>
      <c r="K134" s="1"/>
      <c r="L134" s="1"/>
      <c r="M134" s="1"/>
      <c r="N134" s="1"/>
      <c r="O134" s="1"/>
      <c r="P134" s="1"/>
      <c r="Q134" s="1"/>
    </row>
    <row r="135" spans="1:17" x14ac:dyDescent="0.35">
      <c r="A135" s="1"/>
      <c r="B135" s="1"/>
      <c r="C135" s="1"/>
      <c r="D135" s="1"/>
      <c r="E135" s="1"/>
      <c r="F135" s="1"/>
      <c r="G135" s="1"/>
      <c r="H135" s="1"/>
      <c r="I135" s="1"/>
      <c r="J135" s="1"/>
      <c r="K135" s="1"/>
      <c r="L135" s="1"/>
      <c r="M135" s="1"/>
      <c r="N135" s="1"/>
      <c r="O135" s="1"/>
      <c r="P135" s="1"/>
      <c r="Q135" s="1"/>
    </row>
    <row r="136" spans="1:17" x14ac:dyDescent="0.35">
      <c r="A136" s="1"/>
      <c r="B136" s="1"/>
      <c r="C136" s="1"/>
      <c r="D136" s="1"/>
      <c r="E136" s="1"/>
      <c r="F136" s="1"/>
      <c r="G136" s="1"/>
      <c r="H136" s="1"/>
      <c r="I136" s="1"/>
      <c r="J136" s="1"/>
      <c r="K136" s="1"/>
      <c r="L136" s="1"/>
      <c r="M136" s="1"/>
      <c r="N136" s="1"/>
      <c r="O136" s="1"/>
      <c r="P136" s="1"/>
      <c r="Q136" s="1"/>
    </row>
    <row r="137" spans="1:17" x14ac:dyDescent="0.35">
      <c r="A137" s="1"/>
      <c r="B137" s="1"/>
      <c r="C137" s="1"/>
      <c r="D137" s="1"/>
      <c r="E137" s="1"/>
      <c r="F137" s="1"/>
      <c r="G137" s="1"/>
      <c r="H137" s="1"/>
      <c r="I137" s="1"/>
      <c r="J137" s="1"/>
      <c r="K137" s="1"/>
      <c r="L137" s="1"/>
      <c r="M137" s="1"/>
      <c r="N137" s="1"/>
      <c r="O137" s="1"/>
      <c r="P137" s="1"/>
      <c r="Q137" s="1"/>
    </row>
    <row r="138" spans="1:17" x14ac:dyDescent="0.35">
      <c r="A138" s="1"/>
      <c r="B138" s="1"/>
      <c r="C138" s="1"/>
      <c r="D138" s="1"/>
      <c r="E138" s="1"/>
      <c r="F138" s="1"/>
      <c r="G138" s="1"/>
      <c r="H138" s="1"/>
      <c r="I138" s="1"/>
      <c r="J138" s="1"/>
      <c r="K138" s="1"/>
      <c r="L138" s="1"/>
      <c r="M138" s="1"/>
      <c r="N138" s="1"/>
      <c r="O138" s="1"/>
      <c r="P138" s="1"/>
      <c r="Q138" s="1"/>
    </row>
    <row r="139" spans="1:17" x14ac:dyDescent="0.35">
      <c r="A139" s="1"/>
      <c r="B139" s="1"/>
      <c r="C139" s="1"/>
      <c r="D139" s="1"/>
      <c r="E139" s="1"/>
      <c r="F139" s="1"/>
      <c r="G139" s="1"/>
      <c r="H139" s="1"/>
      <c r="I139" s="1"/>
      <c r="J139" s="1"/>
      <c r="K139" s="1"/>
      <c r="L139" s="1"/>
      <c r="M139" s="1"/>
      <c r="N139" s="1"/>
      <c r="O139" s="1"/>
      <c r="P139" s="1"/>
      <c r="Q139" s="1"/>
    </row>
    <row r="140" spans="1:17" x14ac:dyDescent="0.35">
      <c r="A140" s="1"/>
      <c r="B140" s="1"/>
      <c r="C140" s="1"/>
      <c r="D140" s="1"/>
      <c r="E140" s="1"/>
      <c r="F140" s="1"/>
      <c r="G140" s="1"/>
      <c r="H140" s="1"/>
      <c r="I140" s="1"/>
      <c r="J140" s="1"/>
      <c r="K140" s="1"/>
      <c r="L140" s="1"/>
      <c r="M140" s="1"/>
      <c r="N140" s="1"/>
      <c r="O140" s="1"/>
      <c r="P140" s="1"/>
      <c r="Q140" s="1"/>
    </row>
    <row r="141" spans="1:17" x14ac:dyDescent="0.35">
      <c r="A141" s="1"/>
      <c r="B141" s="1"/>
      <c r="C141" s="1"/>
      <c r="D141" s="1"/>
      <c r="E141" s="1"/>
      <c r="F141" s="1"/>
      <c r="G141" s="1"/>
      <c r="H141" s="1"/>
      <c r="I141" s="1"/>
      <c r="J141" s="1"/>
      <c r="K141" s="1"/>
      <c r="L141" s="1"/>
      <c r="M141" s="1"/>
      <c r="N141" s="1"/>
      <c r="O141" s="1"/>
      <c r="P141" s="1"/>
      <c r="Q141" s="1"/>
    </row>
    <row r="142" spans="1:17" x14ac:dyDescent="0.35">
      <c r="A142" s="1"/>
      <c r="B142" s="1"/>
      <c r="C142" s="1"/>
      <c r="D142" s="1"/>
      <c r="E142" s="1"/>
      <c r="F142" s="1"/>
      <c r="G142" s="1"/>
      <c r="H142" s="1"/>
      <c r="I142" s="1"/>
      <c r="J142" s="1"/>
      <c r="K142" s="1"/>
      <c r="L142" s="1"/>
      <c r="M142" s="1"/>
      <c r="N142" s="1"/>
      <c r="O142" s="1"/>
      <c r="P142" s="1"/>
      <c r="Q142" s="1"/>
    </row>
    <row r="143" spans="1:17" x14ac:dyDescent="0.35">
      <c r="A143" s="1"/>
      <c r="B143" s="1"/>
      <c r="C143" s="1"/>
      <c r="D143" s="1"/>
      <c r="E143" s="1"/>
      <c r="F143" s="1"/>
      <c r="G143" s="1"/>
      <c r="H143" s="1"/>
      <c r="I143" s="1"/>
      <c r="J143" s="1"/>
      <c r="K143" s="1"/>
      <c r="L143" s="1"/>
      <c r="M143" s="1"/>
      <c r="N143" s="1"/>
      <c r="O143" s="1"/>
      <c r="P143" s="1"/>
      <c r="Q143" s="1"/>
    </row>
    <row r="144" spans="1:17" x14ac:dyDescent="0.35">
      <c r="A144" s="1"/>
      <c r="B144" s="1"/>
      <c r="C144" s="1"/>
      <c r="D144" s="1"/>
      <c r="E144" s="1"/>
      <c r="F144" s="1"/>
      <c r="G144" s="1"/>
      <c r="H144" s="1"/>
      <c r="I144" s="1"/>
      <c r="J144" s="1"/>
      <c r="K144" s="1"/>
      <c r="L144" s="1"/>
      <c r="M144" s="1"/>
      <c r="N144" s="1"/>
      <c r="O144" s="1"/>
      <c r="P144" s="1"/>
      <c r="Q144" s="1"/>
    </row>
    <row r="145" spans="1:17" x14ac:dyDescent="0.35">
      <c r="A145" s="1"/>
      <c r="B145" s="1"/>
      <c r="C145" s="1"/>
      <c r="D145" s="1"/>
      <c r="E145" s="1"/>
      <c r="F145" s="1"/>
      <c r="G145" s="1"/>
      <c r="H145" s="1"/>
      <c r="I145" s="1"/>
      <c r="J145" s="1"/>
      <c r="K145" s="1"/>
      <c r="L145" s="1"/>
      <c r="M145" s="1"/>
      <c r="N145" s="1"/>
      <c r="O145" s="1"/>
      <c r="P145" s="1"/>
      <c r="Q145" s="1"/>
    </row>
    <row r="146" spans="1:17" x14ac:dyDescent="0.35">
      <c r="A146" s="1"/>
      <c r="B146" s="1"/>
      <c r="C146" s="1"/>
      <c r="D146" s="1"/>
      <c r="E146" s="1"/>
      <c r="F146" s="1"/>
      <c r="G146" s="1"/>
      <c r="H146" s="1"/>
      <c r="I146" s="1"/>
      <c r="J146" s="1"/>
      <c r="K146" s="1"/>
      <c r="L146" s="1"/>
      <c r="M146" s="1"/>
      <c r="N146" s="1"/>
      <c r="O146" s="1"/>
      <c r="P146" s="1"/>
      <c r="Q146" s="1"/>
    </row>
    <row r="147" spans="1:17" x14ac:dyDescent="0.35">
      <c r="A147" s="1"/>
      <c r="B147" s="1"/>
      <c r="C147" s="1"/>
      <c r="D147" s="1"/>
      <c r="E147" s="1"/>
      <c r="F147" s="1"/>
      <c r="G147" s="1"/>
      <c r="H147" s="1"/>
      <c r="I147" s="1"/>
      <c r="J147" s="1"/>
      <c r="K147" s="1"/>
      <c r="L147" s="1"/>
      <c r="M147" s="1"/>
      <c r="N147" s="1"/>
      <c r="O147" s="1"/>
      <c r="P147" s="1"/>
      <c r="Q147" s="1"/>
    </row>
    <row r="148" spans="1:17" x14ac:dyDescent="0.35">
      <c r="A148" s="1"/>
      <c r="B148" s="1"/>
      <c r="C148" s="1"/>
      <c r="D148" s="1"/>
      <c r="E148" s="1"/>
      <c r="F148" s="1"/>
      <c r="G148" s="1"/>
      <c r="H148" s="1"/>
      <c r="I148" s="1"/>
      <c r="J148" s="1"/>
      <c r="K148" s="1"/>
      <c r="L148" s="1"/>
      <c r="M148" s="1"/>
      <c r="N148" s="1"/>
      <c r="O148" s="1"/>
      <c r="P148" s="1"/>
      <c r="Q148" s="1"/>
    </row>
    <row r="149" spans="1:17" x14ac:dyDescent="0.35">
      <c r="A149" s="1"/>
      <c r="B149" s="1"/>
      <c r="C149" s="1"/>
      <c r="D149" s="1"/>
      <c r="E149" s="1"/>
      <c r="F149" s="1"/>
      <c r="G149" s="1"/>
      <c r="H149" s="1"/>
      <c r="I149" s="1"/>
      <c r="J149" s="1"/>
      <c r="K149" s="1"/>
      <c r="L149" s="1"/>
      <c r="M149" s="1"/>
      <c r="N149" s="1"/>
      <c r="O149" s="1"/>
      <c r="P149" s="1"/>
      <c r="Q149" s="1"/>
    </row>
    <row r="150" spans="1:17" x14ac:dyDescent="0.35">
      <c r="A150" s="1"/>
      <c r="B150" s="1"/>
      <c r="C150" s="1"/>
      <c r="D150" s="1"/>
      <c r="E150" s="1"/>
      <c r="F150" s="1"/>
      <c r="G150" s="1"/>
      <c r="H150" s="1"/>
      <c r="I150" s="1"/>
      <c r="J150" s="1"/>
      <c r="K150" s="1"/>
      <c r="L150" s="1"/>
      <c r="M150" s="1"/>
      <c r="N150" s="1"/>
      <c r="O150" s="1"/>
      <c r="P150" s="1"/>
      <c r="Q150" s="1"/>
    </row>
    <row r="151" spans="1:17" x14ac:dyDescent="0.35">
      <c r="A151" s="1"/>
      <c r="B151" s="1"/>
      <c r="C151" s="1"/>
      <c r="D151" s="1"/>
      <c r="E151" s="1"/>
      <c r="F151" s="1"/>
      <c r="G151" s="1"/>
      <c r="H151" s="1"/>
      <c r="I151" s="1"/>
      <c r="J151" s="1"/>
      <c r="K151" s="1"/>
      <c r="L151" s="1"/>
      <c r="M151" s="1"/>
      <c r="N151" s="1"/>
      <c r="O151" s="1"/>
      <c r="P151" s="1"/>
      <c r="Q151" s="1"/>
    </row>
    <row r="152" spans="1:17" x14ac:dyDescent="0.35">
      <c r="A152" s="1"/>
      <c r="B152" s="1"/>
      <c r="C152" s="1"/>
      <c r="D152" s="1"/>
      <c r="E152" s="1"/>
      <c r="F152" s="1"/>
      <c r="G152" s="1"/>
      <c r="H152" s="1"/>
      <c r="I152" s="1"/>
      <c r="J152" s="1"/>
      <c r="K152" s="1"/>
      <c r="L152" s="1"/>
      <c r="M152" s="1"/>
      <c r="N152" s="1"/>
      <c r="O152" s="1"/>
      <c r="P152" s="1"/>
      <c r="Q152" s="1"/>
    </row>
    <row r="153" spans="1:17" x14ac:dyDescent="0.35">
      <c r="A153" s="1"/>
      <c r="B153" s="1"/>
      <c r="C153" s="1"/>
      <c r="D153" s="1"/>
      <c r="E153" s="1"/>
      <c r="F153" s="1"/>
      <c r="G153" s="1"/>
      <c r="H153" s="1"/>
      <c r="I153" s="1"/>
      <c r="J153" s="1"/>
      <c r="K153" s="1"/>
      <c r="L153" s="1"/>
      <c r="M153" s="1"/>
      <c r="N153" s="1"/>
      <c r="O153" s="1"/>
      <c r="P153" s="1"/>
      <c r="Q153" s="1"/>
    </row>
    <row r="154" spans="1:17" x14ac:dyDescent="0.35">
      <c r="A154" s="1"/>
      <c r="B154" s="1"/>
      <c r="C154" s="1"/>
      <c r="D154" s="1"/>
      <c r="E154" s="1"/>
      <c r="F154" s="1"/>
      <c r="G154" s="1"/>
      <c r="H154" s="1"/>
      <c r="I154" s="1"/>
      <c r="J154" s="1"/>
      <c r="K154" s="1"/>
      <c r="L154" s="1"/>
      <c r="M154" s="1"/>
      <c r="N154" s="1"/>
      <c r="O154" s="1"/>
      <c r="P154" s="1"/>
      <c r="Q154" s="1"/>
    </row>
    <row r="155" spans="1:17" x14ac:dyDescent="0.35">
      <c r="A155" s="1"/>
      <c r="B155" s="1"/>
      <c r="C155" s="1"/>
      <c r="D155" s="1"/>
      <c r="E155" s="1"/>
      <c r="F155" s="1"/>
      <c r="G155" s="1"/>
      <c r="H155" s="1"/>
      <c r="I155" s="1"/>
      <c r="J155" s="1"/>
      <c r="K155" s="1"/>
      <c r="L155" s="1"/>
      <c r="M155" s="1"/>
      <c r="N155" s="1"/>
      <c r="O155" s="1"/>
      <c r="P155" s="1"/>
      <c r="Q155" s="1"/>
    </row>
    <row r="156" spans="1:17" x14ac:dyDescent="0.35">
      <c r="A156" s="1"/>
      <c r="B156" s="1"/>
      <c r="C156" s="1"/>
      <c r="D156" s="1"/>
      <c r="E156" s="1"/>
      <c r="F156" s="1"/>
      <c r="G156" s="1"/>
      <c r="H156" s="1"/>
      <c r="I156" s="1"/>
      <c r="J156" s="1"/>
      <c r="K156" s="1"/>
      <c r="L156" s="1"/>
      <c r="M156" s="1"/>
      <c r="N156" s="1"/>
      <c r="O156" s="1"/>
      <c r="P156" s="1"/>
      <c r="Q156" s="1"/>
    </row>
    <row r="157" spans="1:17" x14ac:dyDescent="0.35">
      <c r="A157" s="1"/>
      <c r="B157" s="1"/>
      <c r="C157" s="1"/>
      <c r="D157" s="1"/>
      <c r="E157" s="1"/>
      <c r="F157" s="1"/>
      <c r="G157" s="1"/>
      <c r="H157" s="1"/>
      <c r="I157" s="1"/>
      <c r="J157" s="1"/>
      <c r="K157" s="1"/>
      <c r="L157" s="1"/>
      <c r="M157" s="1"/>
      <c r="N157" s="1"/>
      <c r="O157" s="1"/>
      <c r="P157" s="1"/>
      <c r="Q157" s="1"/>
    </row>
    <row r="158" spans="1:17" x14ac:dyDescent="0.35">
      <c r="A158" s="1"/>
      <c r="B158" s="1"/>
      <c r="C158" s="1"/>
      <c r="D158" s="1"/>
      <c r="E158" s="1"/>
      <c r="F158" s="1"/>
      <c r="G158" s="1"/>
      <c r="H158" s="1"/>
      <c r="I158" s="1"/>
      <c r="J158" s="1"/>
      <c r="K158" s="1"/>
      <c r="L158" s="1"/>
      <c r="M158" s="1"/>
      <c r="N158" s="1"/>
      <c r="O158" s="1"/>
      <c r="P158" s="1"/>
      <c r="Q158" s="1"/>
    </row>
    <row r="159" spans="1:17" x14ac:dyDescent="0.35">
      <c r="A159" s="1"/>
      <c r="B159" s="1"/>
      <c r="C159" s="1"/>
      <c r="D159" s="1"/>
      <c r="E159" s="1"/>
      <c r="F159" s="1"/>
      <c r="G159" s="1"/>
      <c r="H159" s="1"/>
      <c r="I159" s="1"/>
      <c r="J159" s="1"/>
      <c r="K159" s="1"/>
      <c r="L159" s="1"/>
      <c r="M159" s="1"/>
      <c r="N159" s="1"/>
      <c r="O159" s="1"/>
      <c r="P159" s="1"/>
      <c r="Q159" s="1"/>
    </row>
    <row r="160" spans="1:17" x14ac:dyDescent="0.35">
      <c r="A160" s="1"/>
      <c r="B160" s="1"/>
      <c r="C160" s="1"/>
      <c r="D160" s="1"/>
      <c r="E160" s="1"/>
      <c r="F160" s="1"/>
      <c r="G160" s="1"/>
      <c r="H160" s="1"/>
      <c r="I160" s="1"/>
      <c r="J160" s="1"/>
      <c r="K160" s="1"/>
      <c r="L160" s="1"/>
      <c r="M160" s="1"/>
      <c r="N160" s="1"/>
      <c r="O160" s="1"/>
      <c r="P160" s="1"/>
      <c r="Q160" s="1"/>
    </row>
    <row r="161" spans="1:17" x14ac:dyDescent="0.35">
      <c r="A161" s="1"/>
      <c r="B161" s="1"/>
      <c r="C161" s="1"/>
      <c r="D161" s="1"/>
      <c r="E161" s="1"/>
      <c r="F161" s="1"/>
      <c r="G161" s="1"/>
      <c r="H161" s="1"/>
      <c r="I161" s="1"/>
      <c r="J161" s="1"/>
      <c r="K161" s="1"/>
      <c r="L161" s="1"/>
      <c r="M161" s="1"/>
      <c r="N161" s="1"/>
      <c r="O161" s="1"/>
      <c r="P161" s="1"/>
      <c r="Q161" s="1"/>
    </row>
    <row r="162" spans="1:17" x14ac:dyDescent="0.35">
      <c r="A162" s="1"/>
      <c r="B162" s="1"/>
      <c r="C162" s="1"/>
      <c r="D162" s="1"/>
      <c r="E162" s="1"/>
      <c r="F162" s="1"/>
      <c r="G162" s="1"/>
      <c r="H162" s="1"/>
      <c r="I162" s="1"/>
      <c r="J162" s="1"/>
      <c r="K162" s="1"/>
      <c r="L162" s="1"/>
      <c r="M162" s="1"/>
      <c r="N162" s="1"/>
      <c r="O162" s="1"/>
      <c r="P162" s="1"/>
      <c r="Q162" s="1"/>
    </row>
    <row r="163" spans="1:17" x14ac:dyDescent="0.35">
      <c r="A163" s="1"/>
      <c r="B163" s="1"/>
      <c r="C163" s="1"/>
      <c r="D163" s="1"/>
      <c r="E163" s="1"/>
      <c r="F163" s="1"/>
      <c r="G163" s="1"/>
      <c r="H163" s="1"/>
      <c r="I163" s="1"/>
      <c r="J163" s="1"/>
      <c r="K163" s="1"/>
      <c r="L163" s="1"/>
      <c r="M163" s="1"/>
      <c r="N163" s="1"/>
      <c r="O163" s="1"/>
      <c r="P163" s="1"/>
      <c r="Q163" s="1"/>
    </row>
    <row r="164" spans="1:17" x14ac:dyDescent="0.35">
      <c r="A164" s="1"/>
      <c r="B164" s="1"/>
      <c r="C164" s="1"/>
      <c r="D164" s="1"/>
      <c r="E164" s="1"/>
      <c r="F164" s="1"/>
      <c r="G164" s="1"/>
      <c r="H164" s="1"/>
      <c r="I164" s="1"/>
      <c r="J164" s="1"/>
      <c r="K164" s="1"/>
      <c r="L164" s="1"/>
      <c r="M164" s="1"/>
      <c r="N164" s="1"/>
      <c r="O164" s="1"/>
      <c r="P164" s="1"/>
      <c r="Q164" s="1"/>
    </row>
    <row r="165" spans="1:17" x14ac:dyDescent="0.35">
      <c r="A165" s="1"/>
      <c r="B165" s="1"/>
      <c r="C165" s="1"/>
      <c r="D165" s="1"/>
      <c r="E165" s="1"/>
      <c r="F165" s="1"/>
      <c r="G165" s="1"/>
      <c r="H165" s="1"/>
      <c r="I165" s="1"/>
      <c r="J165" s="1"/>
      <c r="K165" s="1"/>
      <c r="L165" s="1"/>
      <c r="M165" s="1"/>
      <c r="N165" s="1"/>
      <c r="O165" s="1"/>
      <c r="P165" s="1"/>
      <c r="Q165" s="1"/>
    </row>
    <row r="166" spans="1:17" x14ac:dyDescent="0.35">
      <c r="A166" s="1"/>
      <c r="B166" s="1"/>
      <c r="C166" s="1"/>
      <c r="D166" s="1"/>
      <c r="E166" s="1"/>
      <c r="F166" s="1"/>
      <c r="G166" s="1"/>
      <c r="H166" s="1"/>
      <c r="I166" s="1"/>
      <c r="J166" s="1"/>
      <c r="K166" s="1"/>
      <c r="L166" s="1"/>
      <c r="M166" s="1"/>
      <c r="N166" s="1"/>
      <c r="O166" s="1"/>
      <c r="P166" s="1"/>
      <c r="Q166" s="1"/>
    </row>
    <row r="167" spans="1:17" x14ac:dyDescent="0.35">
      <c r="A167" s="1"/>
      <c r="B167" s="1"/>
      <c r="C167" s="1"/>
      <c r="D167" s="1"/>
      <c r="E167" s="1"/>
      <c r="F167" s="1"/>
      <c r="G167" s="1"/>
      <c r="H167" s="1"/>
      <c r="I167" s="1"/>
      <c r="J167" s="1"/>
      <c r="K167" s="1"/>
      <c r="L167" s="1"/>
      <c r="M167" s="1"/>
      <c r="N167" s="1"/>
      <c r="O167" s="1"/>
      <c r="P167" s="1"/>
      <c r="Q167" s="1"/>
    </row>
    <row r="168" spans="1:17" x14ac:dyDescent="0.35">
      <c r="A168" s="1"/>
      <c r="B168" s="1"/>
      <c r="C168" s="1"/>
      <c r="D168" s="1"/>
      <c r="E168" s="1"/>
      <c r="F168" s="1"/>
      <c r="G168" s="1"/>
      <c r="H168" s="1"/>
      <c r="I168" s="1"/>
      <c r="J168" s="1"/>
      <c r="K168" s="1"/>
      <c r="L168" s="1"/>
      <c r="M168" s="1"/>
      <c r="N168" s="1"/>
      <c r="O168" s="1"/>
      <c r="P168" s="1"/>
      <c r="Q168" s="1"/>
    </row>
    <row r="169" spans="1:17" x14ac:dyDescent="0.35">
      <c r="A169" s="1"/>
      <c r="B169" s="1"/>
      <c r="C169" s="1"/>
      <c r="D169" s="1"/>
      <c r="E169" s="1"/>
      <c r="F169" s="1"/>
      <c r="G169" s="1"/>
      <c r="H169" s="1"/>
      <c r="I169" s="1"/>
      <c r="J169" s="1"/>
      <c r="K169" s="1"/>
      <c r="L169" s="1"/>
      <c r="M169" s="1"/>
      <c r="N169" s="1"/>
      <c r="O169" s="1"/>
      <c r="P169" s="1"/>
      <c r="Q169" s="1"/>
    </row>
    <row r="170" spans="1:17" x14ac:dyDescent="0.35">
      <c r="A170" s="1"/>
      <c r="B170" s="1"/>
      <c r="C170" s="1"/>
      <c r="D170" s="1"/>
      <c r="E170" s="1"/>
      <c r="F170" s="1"/>
      <c r="G170" s="1"/>
      <c r="H170" s="1"/>
      <c r="I170" s="1"/>
      <c r="J170" s="1"/>
      <c r="K170" s="1"/>
      <c r="L170" s="1"/>
      <c r="M170" s="1"/>
      <c r="N170" s="1"/>
      <c r="O170" s="1"/>
      <c r="P170" s="1"/>
      <c r="Q170" s="1"/>
    </row>
    <row r="171" spans="1:17" x14ac:dyDescent="0.35">
      <c r="A171" s="1"/>
      <c r="B171" s="1"/>
      <c r="C171" s="1"/>
      <c r="D171" s="1"/>
      <c r="E171" s="1"/>
      <c r="F171" s="1"/>
      <c r="G171" s="1"/>
      <c r="H171" s="1"/>
      <c r="I171" s="1"/>
      <c r="J171" s="1"/>
      <c r="K171" s="1"/>
      <c r="L171" s="1"/>
      <c r="M171" s="1"/>
      <c r="N171" s="1"/>
      <c r="O171" s="1"/>
      <c r="P171" s="1"/>
      <c r="Q171" s="1"/>
    </row>
    <row r="172" spans="1:17" x14ac:dyDescent="0.35">
      <c r="A172" s="1"/>
      <c r="B172" s="1"/>
      <c r="C172" s="1"/>
      <c r="D172" s="1"/>
      <c r="E172" s="1"/>
      <c r="F172" s="1"/>
      <c r="G172" s="1"/>
      <c r="H172" s="1"/>
      <c r="I172" s="1"/>
      <c r="J172" s="1"/>
      <c r="K172" s="1"/>
      <c r="L172" s="1"/>
      <c r="M172" s="1"/>
      <c r="N172" s="1"/>
      <c r="O172" s="1"/>
      <c r="P172" s="1"/>
      <c r="Q172" s="1"/>
    </row>
    <row r="173" spans="1:17" x14ac:dyDescent="0.35">
      <c r="A173" s="1"/>
      <c r="B173" s="1"/>
      <c r="C173" s="1"/>
      <c r="D173" s="1"/>
      <c r="E173" s="1"/>
      <c r="F173" s="1"/>
      <c r="G173" s="1"/>
      <c r="H173" s="1"/>
      <c r="I173" s="1"/>
      <c r="J173" s="1"/>
      <c r="K173" s="1"/>
      <c r="L173" s="1"/>
      <c r="M173" s="1"/>
      <c r="N173" s="1"/>
      <c r="O173" s="1"/>
      <c r="P173" s="1"/>
      <c r="Q173" s="1"/>
    </row>
    <row r="174" spans="1:17" x14ac:dyDescent="0.35">
      <c r="A174" s="1"/>
      <c r="B174" s="1"/>
      <c r="C174" s="1"/>
      <c r="D174" s="1"/>
      <c r="E174" s="1"/>
      <c r="F174" s="1"/>
      <c r="G174" s="1"/>
      <c r="H174" s="1"/>
      <c r="I174" s="1"/>
      <c r="J174" s="1"/>
      <c r="K174" s="1"/>
      <c r="L174" s="1"/>
      <c r="M174" s="1"/>
      <c r="N174" s="1"/>
      <c r="O174" s="1"/>
      <c r="P174" s="1"/>
      <c r="Q174" s="1"/>
    </row>
    <row r="175" spans="1:17" x14ac:dyDescent="0.35">
      <c r="A175" s="1"/>
      <c r="B175" s="1"/>
      <c r="C175" s="1"/>
      <c r="D175" s="1"/>
      <c r="E175" s="1"/>
      <c r="F175" s="1"/>
      <c r="G175" s="1"/>
      <c r="H175" s="1"/>
      <c r="I175" s="1"/>
      <c r="J175" s="1"/>
      <c r="K175" s="1"/>
      <c r="L175" s="1"/>
      <c r="M175" s="1"/>
      <c r="N175" s="1"/>
      <c r="O175" s="1"/>
      <c r="P175" s="1"/>
      <c r="Q175" s="1"/>
    </row>
    <row r="176" spans="1:17" x14ac:dyDescent="0.35">
      <c r="A176" s="1"/>
      <c r="B176" s="1"/>
      <c r="C176" s="1"/>
      <c r="D176" s="1"/>
      <c r="E176" s="1"/>
      <c r="F176" s="1"/>
      <c r="G176" s="1"/>
      <c r="H176" s="1"/>
      <c r="I176" s="1"/>
      <c r="J176" s="1"/>
      <c r="K176" s="1"/>
      <c r="L176" s="1"/>
      <c r="M176" s="1"/>
      <c r="N176" s="1"/>
      <c r="O176" s="1"/>
      <c r="P176" s="1"/>
      <c r="Q176" s="1"/>
    </row>
    <row r="177" spans="1:17" x14ac:dyDescent="0.35">
      <c r="A177" s="1"/>
      <c r="B177" s="1"/>
      <c r="C177" s="1"/>
      <c r="D177" s="1"/>
      <c r="E177" s="1"/>
      <c r="F177" s="1"/>
      <c r="G177" s="1"/>
      <c r="H177" s="1"/>
      <c r="I177" s="1"/>
      <c r="J177" s="1"/>
      <c r="K177" s="1"/>
      <c r="L177" s="1"/>
      <c r="M177" s="1"/>
      <c r="N177" s="1"/>
      <c r="O177" s="1"/>
      <c r="P177" s="1"/>
      <c r="Q177" s="1"/>
    </row>
    <row r="178" spans="1:17" x14ac:dyDescent="0.35">
      <c r="A178" s="1"/>
      <c r="B178" s="1"/>
      <c r="C178" s="1"/>
      <c r="D178" s="1"/>
      <c r="E178" s="1"/>
      <c r="F178" s="1"/>
      <c r="G178" s="1"/>
      <c r="H178" s="1"/>
      <c r="I178" s="1"/>
      <c r="J178" s="1"/>
      <c r="K178" s="1"/>
      <c r="L178" s="1"/>
      <c r="M178" s="1"/>
      <c r="N178" s="1"/>
      <c r="O178" s="1"/>
      <c r="P178" s="1"/>
      <c r="Q178" s="1"/>
    </row>
    <row r="179" spans="1:17" x14ac:dyDescent="0.35">
      <c r="A179" s="1"/>
      <c r="B179" s="1"/>
      <c r="C179" s="1"/>
      <c r="D179" s="1"/>
      <c r="E179" s="1"/>
      <c r="F179" s="1"/>
      <c r="G179" s="1"/>
      <c r="H179" s="1"/>
      <c r="I179" s="1"/>
      <c r="J179" s="1"/>
      <c r="K179" s="1"/>
      <c r="L179" s="1"/>
      <c r="M179" s="1"/>
      <c r="N179" s="1"/>
      <c r="O179" s="1"/>
      <c r="P179" s="1"/>
      <c r="Q179" s="1"/>
    </row>
    <row r="180" spans="1:17" x14ac:dyDescent="0.35">
      <c r="A180" s="1"/>
      <c r="B180" s="1"/>
      <c r="C180" s="1"/>
      <c r="D180" s="1"/>
      <c r="E180" s="1"/>
      <c r="F180" s="1"/>
      <c r="G180" s="1"/>
      <c r="H180" s="1"/>
      <c r="I180" s="1"/>
      <c r="J180" s="1"/>
      <c r="K180" s="1"/>
      <c r="L180" s="1"/>
      <c r="M180" s="1"/>
      <c r="N180" s="1"/>
      <c r="O180" s="1"/>
      <c r="P180" s="1"/>
      <c r="Q180" s="1"/>
    </row>
    <row r="181" spans="1:17" x14ac:dyDescent="0.35">
      <c r="A181" s="1"/>
      <c r="B181" s="1"/>
      <c r="C181" s="1"/>
      <c r="D181" s="1"/>
      <c r="E181" s="1"/>
      <c r="F181" s="1"/>
      <c r="G181" s="1"/>
      <c r="H181" s="1"/>
      <c r="I181" s="1"/>
      <c r="J181" s="1"/>
      <c r="K181" s="1"/>
      <c r="L181" s="1"/>
      <c r="M181" s="1"/>
      <c r="N181" s="1"/>
      <c r="O181" s="1"/>
      <c r="P181" s="1"/>
      <c r="Q181" s="1"/>
    </row>
    <row r="182" spans="1:17" x14ac:dyDescent="0.35">
      <c r="A182" s="1"/>
      <c r="B182" s="1"/>
      <c r="C182" s="1"/>
      <c r="D182" s="1"/>
      <c r="E182" s="1"/>
      <c r="F182" s="1"/>
      <c r="G182" s="1"/>
      <c r="H182" s="1"/>
      <c r="I182" s="1"/>
      <c r="J182" s="1"/>
      <c r="K182" s="1"/>
      <c r="L182" s="1"/>
      <c r="M182" s="1"/>
      <c r="N182" s="1"/>
      <c r="O182" s="1"/>
      <c r="P182" s="1"/>
      <c r="Q182" s="1"/>
    </row>
    <row r="183" spans="1:17" x14ac:dyDescent="0.35">
      <c r="A183" s="1"/>
      <c r="B183" s="1"/>
      <c r="C183" s="1"/>
      <c r="D183" s="1"/>
      <c r="E183" s="1"/>
      <c r="F183" s="1"/>
      <c r="G183" s="1"/>
      <c r="H183" s="1"/>
      <c r="I183" s="1"/>
      <c r="J183" s="1"/>
      <c r="K183" s="1"/>
      <c r="L183" s="1"/>
      <c r="M183" s="1"/>
      <c r="N183" s="1"/>
      <c r="O183" s="1"/>
      <c r="P183" s="1"/>
      <c r="Q183" s="1"/>
    </row>
    <row r="184" spans="1:17" x14ac:dyDescent="0.35">
      <c r="A184" s="1"/>
      <c r="B184" s="1"/>
      <c r="C184" s="1"/>
      <c r="D184" s="1"/>
      <c r="E184" s="1"/>
      <c r="F184" s="1"/>
      <c r="G184" s="1"/>
      <c r="H184" s="1"/>
      <c r="I184" s="1"/>
      <c r="J184" s="1"/>
      <c r="K184" s="1"/>
      <c r="L184" s="1"/>
      <c r="M184" s="1"/>
      <c r="N184" s="1"/>
      <c r="O184" s="1"/>
      <c r="P184" s="1"/>
      <c r="Q184" s="1"/>
    </row>
    <row r="185" spans="1:17" x14ac:dyDescent="0.35">
      <c r="A185" s="1"/>
      <c r="B185" s="1"/>
      <c r="C185" s="1"/>
      <c r="D185" s="1"/>
      <c r="E185" s="1"/>
      <c r="F185" s="1"/>
      <c r="G185" s="1"/>
      <c r="H185" s="1"/>
      <c r="I185" s="1"/>
      <c r="J185" s="1"/>
      <c r="K185" s="1"/>
      <c r="L185" s="1"/>
      <c r="M185" s="1"/>
      <c r="N185" s="1"/>
      <c r="O185" s="1"/>
      <c r="P185" s="1"/>
      <c r="Q185" s="1"/>
    </row>
    <row r="186" spans="1:17" x14ac:dyDescent="0.35">
      <c r="A186" s="1"/>
      <c r="B186" s="1"/>
      <c r="C186" s="1"/>
      <c r="D186" s="1"/>
      <c r="E186" s="1"/>
      <c r="F186" s="1"/>
      <c r="G186" s="1"/>
      <c r="H186" s="1"/>
      <c r="I186" s="1"/>
      <c r="J186" s="1"/>
      <c r="K186" s="1"/>
      <c r="L186" s="1"/>
      <c r="M186" s="1"/>
      <c r="N186" s="1"/>
      <c r="O186" s="1"/>
      <c r="P186" s="1"/>
      <c r="Q186" s="1"/>
    </row>
    <row r="187" spans="1:17" x14ac:dyDescent="0.35">
      <c r="A187" s="1"/>
      <c r="B187" s="1"/>
      <c r="C187" s="1"/>
      <c r="D187" s="1"/>
      <c r="E187" s="1"/>
      <c r="F187" s="1"/>
      <c r="G187" s="1"/>
      <c r="H187" s="1"/>
      <c r="I187" s="1"/>
      <c r="J187" s="1"/>
      <c r="K187" s="1"/>
      <c r="L187" s="1"/>
      <c r="M187" s="1"/>
      <c r="N187" s="1"/>
      <c r="O187" s="1"/>
      <c r="P187" s="1"/>
      <c r="Q187" s="1"/>
    </row>
    <row r="188" spans="1:17" x14ac:dyDescent="0.35">
      <c r="A188" s="1"/>
      <c r="B188" s="1"/>
      <c r="C188" s="1"/>
      <c r="D188" s="1"/>
      <c r="E188" s="1"/>
      <c r="F188" s="1"/>
      <c r="G188" s="1"/>
      <c r="H188" s="1"/>
      <c r="I188" s="1"/>
      <c r="J188" s="1"/>
      <c r="K188" s="1"/>
      <c r="L188" s="1"/>
      <c r="M188" s="1"/>
      <c r="N188" s="1"/>
      <c r="O188" s="1"/>
      <c r="P188" s="1"/>
      <c r="Q188" s="1"/>
    </row>
    <row r="189" spans="1:17" x14ac:dyDescent="0.35">
      <c r="A189" s="1"/>
      <c r="B189" s="1"/>
      <c r="C189" s="1"/>
      <c r="D189" s="1"/>
      <c r="E189" s="1"/>
      <c r="F189" s="1"/>
      <c r="G189" s="1"/>
      <c r="H189" s="1"/>
      <c r="I189" s="1"/>
      <c r="J189" s="1"/>
      <c r="K189" s="1"/>
      <c r="L189" s="1"/>
      <c r="M189" s="1"/>
      <c r="N189" s="1"/>
      <c r="O189" s="1"/>
      <c r="P189" s="1"/>
      <c r="Q189" s="1"/>
    </row>
    <row r="190" spans="1:17" x14ac:dyDescent="0.35">
      <c r="A190" s="1"/>
      <c r="B190" s="1"/>
      <c r="C190" s="1"/>
      <c r="D190" s="1"/>
      <c r="E190" s="1"/>
      <c r="F190" s="1"/>
      <c r="G190" s="1"/>
      <c r="H190" s="1"/>
      <c r="I190" s="1"/>
      <c r="J190" s="1"/>
      <c r="K190" s="1"/>
      <c r="L190" s="1"/>
      <c r="M190" s="1"/>
      <c r="N190" s="1"/>
      <c r="O190" s="1"/>
      <c r="P190" s="1"/>
      <c r="Q190" s="1"/>
    </row>
    <row r="191" spans="1:17" x14ac:dyDescent="0.35">
      <c r="A191" s="1"/>
      <c r="B191" s="1"/>
      <c r="C191" s="1"/>
      <c r="D191" s="1"/>
      <c r="E191" s="1"/>
      <c r="F191" s="1"/>
      <c r="G191" s="1"/>
      <c r="H191" s="1"/>
      <c r="I191" s="1"/>
      <c r="J191" s="1"/>
      <c r="K191" s="1"/>
      <c r="L191" s="1"/>
      <c r="M191" s="1"/>
      <c r="N191" s="1"/>
      <c r="O191" s="1"/>
      <c r="P191" s="1"/>
      <c r="Q191" s="1"/>
    </row>
    <row r="192" spans="1:17" x14ac:dyDescent="0.35">
      <c r="A192" s="1"/>
      <c r="B192" s="1"/>
      <c r="C192" s="1"/>
      <c r="D192" s="1"/>
      <c r="E192" s="1"/>
      <c r="F192" s="1"/>
      <c r="G192" s="1"/>
      <c r="H192" s="1"/>
      <c r="I192" s="1"/>
      <c r="J192" s="1"/>
      <c r="K192" s="1"/>
      <c r="L192" s="1"/>
      <c r="M192" s="1"/>
      <c r="N192" s="1"/>
      <c r="O192" s="1"/>
      <c r="P192" s="1"/>
      <c r="Q192" s="1"/>
    </row>
    <row r="193" spans="1:17" x14ac:dyDescent="0.35">
      <c r="A193" s="1"/>
      <c r="B193" s="1"/>
      <c r="C193" s="1"/>
      <c r="D193" s="1"/>
      <c r="E193" s="1"/>
      <c r="F193" s="1"/>
      <c r="G193" s="1"/>
      <c r="H193" s="1"/>
      <c r="I193" s="1"/>
      <c r="J193" s="1"/>
      <c r="K193" s="1"/>
      <c r="L193" s="1"/>
      <c r="M193" s="1"/>
      <c r="N193" s="1"/>
      <c r="O193" s="1"/>
      <c r="P193" s="1"/>
      <c r="Q193" s="1"/>
    </row>
    <row r="194" spans="1:17" x14ac:dyDescent="0.35">
      <c r="A194" s="1"/>
      <c r="B194" s="1"/>
      <c r="C194" s="1"/>
      <c r="D194" s="1"/>
      <c r="E194" s="1"/>
      <c r="F194" s="1"/>
      <c r="G194" s="1"/>
      <c r="H194" s="1"/>
      <c r="I194" s="1"/>
      <c r="J194" s="1"/>
      <c r="K194" s="1"/>
      <c r="L194" s="1"/>
      <c r="M194" s="1"/>
      <c r="N194" s="1"/>
      <c r="O194" s="1"/>
      <c r="P194" s="1"/>
      <c r="Q194" s="1"/>
    </row>
    <row r="195" spans="1:17" x14ac:dyDescent="0.35">
      <c r="A195" s="1"/>
      <c r="B195" s="1"/>
      <c r="C195" s="1"/>
      <c r="D195" s="1"/>
      <c r="E195" s="1"/>
      <c r="F195" s="1"/>
      <c r="G195" s="1"/>
      <c r="H195" s="1"/>
      <c r="I195" s="1"/>
      <c r="J195" s="1"/>
      <c r="K195" s="1"/>
      <c r="L195" s="1"/>
      <c r="M195" s="1"/>
      <c r="N195" s="1"/>
      <c r="O195" s="1"/>
      <c r="P195" s="1"/>
      <c r="Q195" s="1"/>
    </row>
    <row r="196" spans="1:17" x14ac:dyDescent="0.35">
      <c r="A196" s="1"/>
      <c r="B196" s="1"/>
      <c r="C196" s="1"/>
      <c r="D196" s="1"/>
      <c r="E196" s="1"/>
      <c r="F196" s="1"/>
      <c r="G196" s="1"/>
      <c r="H196" s="1"/>
      <c r="I196" s="1"/>
      <c r="J196" s="1"/>
      <c r="K196" s="1"/>
      <c r="L196" s="1"/>
      <c r="M196" s="1"/>
      <c r="N196" s="1"/>
      <c r="O196" s="1"/>
      <c r="P196" s="1"/>
      <c r="Q196" s="1"/>
    </row>
    <row r="197" spans="1:17" x14ac:dyDescent="0.35">
      <c r="A197" s="1"/>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1:17" x14ac:dyDescent="0.35">
      <c r="A198" s="1"/>
      <c r="B198" s="37"/>
      <c r="C198" s="38"/>
      <c r="D198" s="31"/>
      <c r="E198" s="32"/>
      <c r="F198" s="34"/>
      <c r="G198" s="33"/>
      <c r="H198" s="34"/>
      <c r="I198" s="33"/>
      <c r="J198" s="34"/>
      <c r="K198" s="34"/>
      <c r="L198" s="34"/>
      <c r="M198" s="33"/>
      <c r="N198" s="34"/>
      <c r="O198" s="35"/>
      <c r="P198" s="36"/>
      <c r="Q198" s="35"/>
    </row>
    <row r="199" spans="1:17" x14ac:dyDescent="0.35">
      <c r="A199" s="1"/>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1:17" x14ac:dyDescent="0.35">
      <c r="A200" s="1"/>
      <c r="B200" s="1"/>
      <c r="C200" s="1"/>
      <c r="D200" s="1"/>
      <c r="E200" s="1"/>
      <c r="F200" s="1"/>
      <c r="G200" s="1"/>
      <c r="H200" s="1"/>
      <c r="I200" s="1"/>
      <c r="J200" s="1"/>
      <c r="K200" s="1"/>
      <c r="L200" s="1"/>
      <c r="M200" s="1"/>
      <c r="N200" s="1"/>
      <c r="O200" s="1"/>
      <c r="P200" s="1"/>
      <c r="Q200" s="78" t="s">
        <v>21404</v>
      </c>
    </row>
    <row r="201" spans="1:17" x14ac:dyDescent="0.35">
      <c r="A201" s="1"/>
      <c r="B201" s="1"/>
      <c r="C201" s="78" t="s">
        <v>21592</v>
      </c>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77" t="s">
        <v>21399</v>
      </c>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t="s">
        <v>21398</v>
      </c>
      <c r="D205" s="1" t="s">
        <v>75</v>
      </c>
      <c r="E205" s="1" t="s">
        <v>13768</v>
      </c>
      <c r="F205" s="2" t="s">
        <v>21397</v>
      </c>
      <c r="G205" s="1" t="s">
        <v>9</v>
      </c>
      <c r="H205" s="1"/>
      <c r="I205" s="1"/>
      <c r="J205" s="1"/>
      <c r="K205" s="1"/>
      <c r="L205" s="1"/>
      <c r="M205" s="1"/>
      <c r="N205" s="1"/>
      <c r="O205" s="1"/>
      <c r="P205" s="1"/>
      <c r="Q205" s="1"/>
    </row>
  </sheetData>
  <mergeCells count="9">
    <mergeCell ref="J5:K5"/>
    <mergeCell ref="J6:K6"/>
    <mergeCell ref="J7:K7"/>
    <mergeCell ref="A3:B3"/>
    <mergeCell ref="D3:G3"/>
    <mergeCell ref="J3:K3"/>
    <mergeCell ref="P3:Q3"/>
    <mergeCell ref="A4:B4"/>
    <mergeCell ref="J4:K4"/>
  </mergeCells>
  <dataValidations count="1">
    <dataValidation type="list" allowBlank="1" showInputMessage="1" showErrorMessage="1" sqref="C16:C190" xr:uid="{2AC9E7C1-1F57-406A-B063-A6AA696CD8A8}">
      <formula1>$C$205:$C207</formula1>
    </dataValidation>
  </dataValidations>
  <hyperlinks>
    <hyperlink ref="D3" r:id="rId1" display="datamateapp@gmail.com" xr:uid="{EC18F227-95D7-4A1C-B647-AFC7518A2390}"/>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85409" r:id="rId4" name="Button 1">
              <controlPr defaultSize="0" print="0" autoFill="0" autoPict="0" macro="SaveData">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785410" r:id="rId5" name="Button 2">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785411"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785412"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785413" r:id="rId8" name="Button 5">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785414" r:id="rId9" name="Button 6">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785415" r:id="rId10" name="Button 7">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785416" r:id="rId11" name="Button 8">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controls>
    </mc:Choice>
  </mc:AlternateContent>
</worksheet>
</file>

<file path=xl/worksheets/sheet1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58D3A-7790-4106-A0BD-916DBDE7E5BE}">
  <sheetPr codeName="Sheet180"/>
  <dimension ref="A1:Q207"/>
  <sheetViews>
    <sheetView zoomScale="75" zoomScaleNormal="75" workbookViewId="0">
      <selection activeCell="B2" sqref="B2:L2"/>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7" t="str">
        <f>DIV_14View_Print!B2</f>
        <v>AREA/FLOOR/ZONE- Page- SUB COST- MAT COST- LAB COST- EQUIP COST- Total Cost- Date- Description- Log 10- Log 11- Log 12</v>
      </c>
      <c r="B1" s="57"/>
      <c r="C1" s="57"/>
      <c r="D1" s="57"/>
      <c r="E1" s="57"/>
      <c r="F1" s="57"/>
      <c r="G1" s="57"/>
      <c r="H1" s="57"/>
      <c r="I1" s="57"/>
      <c r="J1" s="57"/>
      <c r="K1" s="57"/>
      <c r="L1" s="57"/>
      <c r="M1" s="57" t="str">
        <f>DIV_02Input!M1</f>
        <v>Update 1</v>
      </c>
      <c r="N1" s="57" t="str">
        <f>DIV_02Input!N1</f>
        <v>Update 2</v>
      </c>
      <c r="O1" s="57" t="str">
        <f>DIV_02Input!O1</f>
        <v>Update 3</v>
      </c>
      <c r="P1" s="57"/>
      <c r="Q1" s="57"/>
    </row>
    <row r="2" spans="1:17" x14ac:dyDescent="0.35">
      <c r="A2" s="57"/>
      <c r="B2" s="436" t="s">
        <v>21420</v>
      </c>
      <c r="C2" s="436"/>
      <c r="D2" s="436"/>
      <c r="E2" s="436"/>
      <c r="F2" s="436"/>
      <c r="G2" s="436"/>
      <c r="H2" s="436"/>
      <c r="I2" s="436"/>
      <c r="J2" s="436"/>
      <c r="K2" s="436"/>
      <c r="L2" s="436"/>
      <c r="M2" s="1"/>
      <c r="N2" s="1"/>
      <c r="O2" s="1"/>
      <c r="P2" s="57"/>
      <c r="Q2" s="57"/>
    </row>
    <row r="3" spans="1:17" ht="15" thickBot="1" x14ac:dyDescent="0.4">
      <c r="A3" s="446" t="e">
        <f>VLOOKUP(A1,DIV_14Data!$A$1:$DZU$1000000,36,FALSE)</f>
        <v>#N/A</v>
      </c>
      <c r="B3" s="425"/>
      <c r="C3" s="103" t="e">
        <f>VLOOKUP(A1,DIV_14Data!$A$1:$DZU$1000000,38,FALSE)</f>
        <v>#N/A</v>
      </c>
      <c r="D3" s="447" t="e">
        <f>VLOOKUP(A1,DIV_14Data!$A$1:$DZU$1000000,39,FALSE)</f>
        <v>#N/A</v>
      </c>
      <c r="E3" s="448"/>
      <c r="F3" s="448"/>
      <c r="G3" s="448"/>
      <c r="H3" s="6" t="e">
        <f>VLOOKUP(A1,DIV_14Data!$A$1:$DZU$1000000,43,FALSE)</f>
        <v>#N/A</v>
      </c>
      <c r="I3" s="6" t="e">
        <f>VLOOKUP(A1,DIV_14Data!$A$1:$DZU$1000000,44,FALSE)</f>
        <v>#N/A</v>
      </c>
      <c r="J3" s="449" t="e">
        <f>VLOOKUP(A1,DIV_14Data!$A$1:$DZU$1000000,45,FALSE)</f>
        <v>#N/A</v>
      </c>
      <c r="K3" s="450"/>
      <c r="L3" s="100" t="e">
        <f>VLOOKUP(A1,DIV_14Data!$A$1:$DZU$1000000,47,FALSE)</f>
        <v>#N/A</v>
      </c>
      <c r="M3" s="8" t="e">
        <f>VLOOKUP(A1,DIV_14Data!$A$1:$DZU$1000000,48,FALSE)</f>
        <v>#N/A</v>
      </c>
      <c r="N3" s="6" t="e">
        <f>VLOOKUP(A1,DIV_14Data!$A$1:$DZU$1000000,49,FALSE)</f>
        <v>#N/A</v>
      </c>
      <c r="O3" s="8" t="e">
        <f>VLOOKUP(A1,DIV_14Data!$A$1:$DZU$1000000,50,FALSE)</f>
        <v>#N/A</v>
      </c>
      <c r="P3" s="7" t="e">
        <f>VLOOKUP(A1,DIV_14Data!$A$1:$DZU$1000000,51,FALSE)</f>
        <v>#N/A</v>
      </c>
      <c r="Q3" s="8" t="e">
        <f>VLOOKUP(A1,DIV_14Data!$A$1:$DZU$1000000,52,FALSE)</f>
        <v>#N/A</v>
      </c>
    </row>
    <row r="4" spans="1:17" ht="15" thickBot="1" x14ac:dyDescent="0.4">
      <c r="A4" s="451" t="e">
        <f>VLOOKUP(A1,DIV_14Data!$A$1:$DZU$1000000,53,FALSE)</f>
        <v>#N/A</v>
      </c>
      <c r="B4" s="452"/>
      <c r="C4" s="79" t="e">
        <f>VLOOKUP(A1,DIV_14Data!$A$1:$DZU$1000000,55,FALSE)</f>
        <v>#N/A</v>
      </c>
      <c r="D4" s="6" t="e">
        <f>VLOOKUP(A1,DIV_14Data!$A$1:$DZU$1000000,56,FALSE)</f>
        <v>#N/A</v>
      </c>
      <c r="E4" s="5" t="e">
        <f>VLOOKUP(A1,DIV_14Data!$A$1:$DZU$1000000,57,FALSE)</f>
        <v>#N/A</v>
      </c>
      <c r="F4" s="61" t="e">
        <f>VLOOKUP(A1,DIV_14Data!$A$1:$DZU$1000000,58,FALSE)</f>
        <v>#N/A</v>
      </c>
      <c r="G4" s="8" t="e">
        <f>VLOOKUP(A1,DIV_14Data!$A$1:$DZU$1000000,59,FALSE)</f>
        <v>#N/A</v>
      </c>
      <c r="H4" s="6" t="e">
        <f>VLOOKUP(A1,DIV_14Data!$A$1:$DZU$1000000,60,FALSE)</f>
        <v>#N/A</v>
      </c>
      <c r="I4" s="6" t="e">
        <f>VLOOKUP(A1,DIV_14Data!$A$1:$DZU$1000000,61,FALSE)</f>
        <v>#N/A</v>
      </c>
      <c r="J4" s="443" t="e">
        <f>VLOOKUP(A1,DIV_14Data!$A$1:$DZU$1000000,62,FALSE)</f>
        <v>#N/A</v>
      </c>
      <c r="K4" s="444"/>
      <c r="L4" s="102" t="e">
        <f>VLOOKUP(A1,DIV_14Data!$A$1:$DZU$1000000,64,FALSE)</f>
        <v>#N/A</v>
      </c>
      <c r="M4" s="9" t="e">
        <f>VLOOKUP(A1,DIV_14Data!$A$1:$DZU$1000000,65,FALSE)</f>
        <v>#N/A</v>
      </c>
      <c r="N4" s="31" t="e">
        <f>VLOOKUP(A1,DIV_14Data!$A$1:$DZU$1000000,66,FALSE)</f>
        <v>#N/A</v>
      </c>
      <c r="O4" s="98" t="e">
        <f>VLOOKUP(A1,DIV_14Data!$A$1:$DZU$1000000,67,FALSE)</f>
        <v>#N/A</v>
      </c>
      <c r="P4" s="7" t="e">
        <f>VLOOKUP(A1,DIV_14Data!$A$1:$DZU$1000000,68,FALSE)</f>
        <v>#N/A</v>
      </c>
      <c r="Q4" s="10" t="e">
        <f>VLOOKUP(A1,DIV_14Data!$A$1:$DZU$1000000,69,FALSE)</f>
        <v>#N/A</v>
      </c>
    </row>
    <row r="5" spans="1:17" ht="15" thickBot="1" x14ac:dyDescent="0.4">
      <c r="A5" s="3" t="e">
        <f>VLOOKUP(A1,DIV_14Data!$A$1:$DZU$1000000,70,FALSE)</f>
        <v>#N/A</v>
      </c>
      <c r="B5" s="4" t="e">
        <f>VLOOKUP(A1,DIV_14Data!$A$1:$DZU$1000000,71,FALSE)</f>
        <v>#N/A</v>
      </c>
      <c r="C5" s="5" t="e">
        <f>VLOOKUP(A1,DIV_14Data!$A$1:$DZU$1000000,72,FALSE)</f>
        <v>#N/A</v>
      </c>
      <c r="D5" s="6" t="e">
        <f>VLOOKUP(A1,DIV_14Data!$A$1:$DZU$1000000,73,FALSE)</f>
        <v>#N/A</v>
      </c>
      <c r="E5" s="7" t="e">
        <f>VLOOKUP(A1,DIV_14Data!$A$1:$DZU$1000000,74,FALSE)</f>
        <v>#N/A</v>
      </c>
      <c r="F5" s="6" t="e">
        <f>VLOOKUP(A1,DIV_14Data!$A$1:$DZU$1000000,75,FALSE)</f>
        <v>#N/A</v>
      </c>
      <c r="G5" s="8" t="e">
        <f>VLOOKUP(A1,DIV_14Data!$A$1:$DZU$1000000,76,FALSE)</f>
        <v>#N/A</v>
      </c>
      <c r="H5" s="6" t="e">
        <f>VLOOKUP(A1,DIV_14Data!$A$1:$DZU$1000000,77,FALSE)</f>
        <v>#N/A</v>
      </c>
      <c r="I5" s="6" t="e">
        <f>VLOOKUP(A1,DIV_14Data!$A$1:$DZU$1000000,78,FALSE)</f>
        <v>#N/A</v>
      </c>
      <c r="J5" s="443" t="e">
        <f>VLOOKUP(A1,DIV_14Data!$A$1:$DZU$1000000,79,FALSE)</f>
        <v>#N/A</v>
      </c>
      <c r="K5" s="444"/>
      <c r="L5" s="11" t="e">
        <f>VLOOKUP(A1,DIV_14Data!$A$1:$DZU$1000000,81,FALSE)</f>
        <v>#N/A</v>
      </c>
      <c r="M5" s="91" t="e">
        <f>VLOOKUP(A1,DIV_14Data!$A$1:$DZU$1000000,82,FALSE)</f>
        <v>#N/A</v>
      </c>
      <c r="N5" s="31" t="e">
        <f>VLOOKUP(A1,DIV_14Data!$A$1:$DZU$1000000,83,FALSE)</f>
        <v>#N/A</v>
      </c>
      <c r="O5" s="96" t="e">
        <f>VLOOKUP(A1,DIV_14Data!$A$1:$DZU$1000000,84,FALSE)</f>
        <v>#N/A</v>
      </c>
      <c r="P5" s="86" t="e">
        <f>VLOOKUP(A1,DIV_14Data!$A$1:$DZU$1000000,85,FALSE)</f>
        <v>#N/A</v>
      </c>
      <c r="Q5" s="8" t="e">
        <f>VLOOKUP(A1,DIV_14Data!$A$1:$DZU$1000000,86,FALSE)</f>
        <v>#N/A</v>
      </c>
    </row>
    <row r="6" spans="1:17" ht="15" thickBot="1" x14ac:dyDescent="0.4">
      <c r="A6" s="3" t="e">
        <f>VLOOKUP(A1,DIV_14Data!$A$1:$DZU$1000000,87,FALSE)</f>
        <v>#N/A</v>
      </c>
      <c r="B6" s="4" t="e">
        <f>VLOOKUP(A1,DIV_14Data!$A$1:$DZU$1000000,88,FALSE)</f>
        <v>#N/A</v>
      </c>
      <c r="C6" s="5" t="e">
        <f>VLOOKUP(A1,DIV_14Data!$A$1:$DZU$1000000,89,FALSE)</f>
        <v>#N/A</v>
      </c>
      <c r="D6" s="6" t="e">
        <f>VLOOKUP(A1,DIV_14Data!$A$1:$DZU$1000000,90,FALSE)</f>
        <v>#N/A</v>
      </c>
      <c r="E6" s="7" t="e">
        <f>VLOOKUP(A1,DIV_14Data!$A$1:$DZU$1000000,91,FALSE)</f>
        <v>#N/A</v>
      </c>
      <c r="F6" s="6" t="e">
        <f>VLOOKUP(A1,DIV_14Data!$A$1:$DZU$1000000,92,FALSE)</f>
        <v>#N/A</v>
      </c>
      <c r="G6" s="10" t="e">
        <f>VLOOKUP(A1,DIV_14Data!$A$1:$DZU$1000000,93,FALSE)</f>
        <v>#N/A</v>
      </c>
      <c r="H6" s="12" t="e">
        <f>VLOOKUP(A1,DIV_14Data!$A$1:$DZU$1000000,94,FALSE)</f>
        <v>#N/A</v>
      </c>
      <c r="I6" s="13" t="e">
        <f>VLOOKUP(A1,DIV_14Data!$A$1:$DZU$1000000,95,FALSE)</f>
        <v>#N/A</v>
      </c>
      <c r="J6" s="445" t="e">
        <f>VLOOKUP(A1,DIV_14Data!$A$1:$DZU$1000000,96,FALSE)</f>
        <v>#N/A</v>
      </c>
      <c r="K6" s="444"/>
      <c r="L6" s="11" t="e">
        <f>VLOOKUP(A1,DIV_14Data!$A$1:$DZU$1000000,98,FALSE)</f>
        <v>#N/A</v>
      </c>
      <c r="M6" s="9" t="e">
        <f>VLOOKUP(A1,DIV_14Data!$A$1:$DZU$1000000,99,FALSE)</f>
        <v>#N/A</v>
      </c>
      <c r="N6" s="31" t="e">
        <f>VLOOKUP(A1,DIV_14Data!$A$1:$DZU$1000000,100,FALSE)</f>
        <v>#N/A</v>
      </c>
      <c r="O6" s="97" t="e">
        <f>VLOOKUP(A1,DIV_14Data!$A$1:$DZU$1000000,101,FALSE)</f>
        <v>#N/A</v>
      </c>
      <c r="P6" s="7" t="e">
        <f>VLOOKUP(A1,DIV_14Data!$A$1:$DZU$1000000,102,FALSE)</f>
        <v>#N/A</v>
      </c>
      <c r="Q6" s="8" t="e">
        <f>VLOOKUP(A1,DIV_14Data!$A$1:$DZU$1000000,103,FALSE)</f>
        <v>#N/A</v>
      </c>
    </row>
    <row r="7" spans="1:17" x14ac:dyDescent="0.35">
      <c r="A7" s="3" t="e">
        <f>VLOOKUP(A1,DIV_14Data!$A$1:$DZU$1000000,104,FALSE)</f>
        <v>#N/A</v>
      </c>
      <c r="B7" s="4" t="e">
        <f>VLOOKUP(A1,DIV_14Data!$A$1:$DZU$1000000,105,FALSE)</f>
        <v>#N/A</v>
      </c>
      <c r="C7" s="84" t="e">
        <f>VLOOKUP(A1,DIV_14Data!$A$1:$DZU$1000000,106,FALSE)</f>
        <v>#N/A</v>
      </c>
      <c r="D7" s="6" t="e">
        <f>VLOOKUP(A1,DIV_14Data!$A$1:$DZU$1000000,107,FALSE)</f>
        <v>#N/A</v>
      </c>
      <c r="E7" s="7" t="e">
        <f>VLOOKUP(A1,DIV_14Data!$A$1:$DZU$1000000,108,FALSE)</f>
        <v>#N/A</v>
      </c>
      <c r="F7" s="6" t="e">
        <f>VLOOKUP(A1,DIV_14Data!$A$1:$DZU$1000000,109,FALSE)</f>
        <v>#N/A</v>
      </c>
      <c r="G7" s="7" t="e">
        <f>VLOOKUP(A1,DIV_14Data!$A$1:$DZU$1000000,110,FALSE)</f>
        <v>#N/A</v>
      </c>
      <c r="H7" s="14" t="e">
        <f>VLOOKUP(A1,DIV_14Data!$A$1:$DZU$1000000,111,FALSE)</f>
        <v>#N/A</v>
      </c>
      <c r="I7" s="6" t="e">
        <f>VLOOKUP(A1,DIV_14Data!$A$1:$DZU$1000000,112,FALSE)</f>
        <v>#N/A</v>
      </c>
      <c r="J7" s="443" t="e">
        <f>VLOOKUP(A1,DIV_14Data!$A$1:$DZU$1000000,113,FALSE)</f>
        <v>#N/A</v>
      </c>
      <c r="K7" s="444"/>
      <c r="L7" s="11" t="e">
        <f>VLOOKUP(A1,DIV_14Data!$A$1:$DZU$1000000,115,FALSE)</f>
        <v>#N/A</v>
      </c>
      <c r="M7" s="6" t="e">
        <f>VLOOKUP(A1,DIV_14Data!$A$1:$DZU$1000000,116,FALSE)</f>
        <v>#N/A</v>
      </c>
      <c r="N7" s="31" t="e">
        <f>VLOOKUP(A1,DIV_14Data!$A$1:$DZU$1000000,117,FALSE)</f>
        <v>#N/A</v>
      </c>
      <c r="O7" s="96" t="e">
        <f>VLOOKUP(A1,DIV_14Data!$A$1:$DZU$1000000,118,FALSE)</f>
        <v>#N/A</v>
      </c>
      <c r="P7" s="90" t="e">
        <f>VLOOKUP(A1,DIV_14Data!$A$1:$DZU$1000000,119,FALSE)</f>
        <v>#N/A</v>
      </c>
      <c r="Q7" s="90" t="e">
        <f>VLOOKUP(A1,DIV_14Data!$A$1:$DZU$1000000,120,FALSE)</f>
        <v>#N/A</v>
      </c>
    </row>
    <row r="8" spans="1:17" ht="15" thickBot="1" x14ac:dyDescent="0.4">
      <c r="A8" s="3" t="e">
        <f>VLOOKUP(A1,DIV_14Data!$A$1:$DZU$1000000,121,FALSE)</f>
        <v>#N/A</v>
      </c>
      <c r="B8" s="4" t="e">
        <f>VLOOKUP(A1,DIV_14Data!$A$1:$DZU$1000000,122,FALSE)</f>
        <v>#N/A</v>
      </c>
      <c r="C8" s="86" t="e">
        <f>VLOOKUP(A1,DIV_14Data!$A$1:$DZU$1000000,123,FALSE)</f>
        <v>#N/A</v>
      </c>
      <c r="D8" s="6" t="e">
        <f>VLOOKUP(A1,DIV_14Data!$A$1:$DZU$1000000,124,FALSE)</f>
        <v>#N/A</v>
      </c>
      <c r="E8" s="7" t="e">
        <f>VLOOKUP(A1,DIV_14Data!$A$1:$DZU$1000000,125,FALSE)</f>
        <v>#N/A</v>
      </c>
      <c r="F8" s="6" t="e">
        <f>VLOOKUP(A1,DIV_14Data!$A$1:$DZU$1000000,126,FALSE)</f>
        <v>#N/A</v>
      </c>
      <c r="G8" s="6" t="e">
        <f>VLOOKUP(A1,DIV_14Data!$A$1:$DZU$1000000,127,FALSE)</f>
        <v>#N/A</v>
      </c>
      <c r="H8" s="6" t="e">
        <f>VLOOKUP(A1,DIV_14Data!$A$1:$DZU$1000000,128,FALSE)</f>
        <v>#N/A</v>
      </c>
      <c r="I8" s="6" t="e">
        <f>VLOOKUP(A1,DIV_14Data!$A$1:$DZU$1000000,129,FALSE)</f>
        <v>#N/A</v>
      </c>
      <c r="J8" s="6" t="e">
        <f>VLOOKUP(A1,DIV_14Data!$A$1:$DZU$1000000,130,FALSE)</f>
        <v>#N/A</v>
      </c>
      <c r="K8" s="6" t="e">
        <f>VLOOKUP(A1,DIV_14Data!$A$1:$DZU$1000000,131,FALSE)</f>
        <v>#N/A</v>
      </c>
      <c r="L8" s="83" t="e">
        <f>VLOOKUP(A1,DIV_14Data!$A$1:$DZU$1000000,132,FALSE)</f>
        <v>#N/A</v>
      </c>
      <c r="M8" s="6" t="e">
        <f>VLOOKUP(A1,DIV_14Data!$A$1:$DZU$1000000,133,FALSE)</f>
        <v>#N/A</v>
      </c>
      <c r="N8" s="6" t="e">
        <f>VLOOKUP(A1,DIV_14Data!$A$1:$DZU$1000000,134,FALSE)</f>
        <v>#N/A</v>
      </c>
      <c r="O8" s="95" t="e">
        <f>VLOOKUP(A1,DIV_14Data!$A$1:$DZU$1000000,135,FALSE)</f>
        <v>#N/A</v>
      </c>
      <c r="P8" s="6" t="e">
        <f>VLOOKUP(A1,DIV_14Data!$A$1:$DZU$1000000,136,FALSE)</f>
        <v>#N/A</v>
      </c>
      <c r="Q8" s="6" t="e">
        <f>VLOOKUP(A1,DIV_14Data!$A$1:$DZU$1000000,137,FALSE)</f>
        <v>#N/A</v>
      </c>
    </row>
    <row r="9" spans="1:17" ht="15" thickBot="1" x14ac:dyDescent="0.4">
      <c r="A9" s="15" t="e">
        <f>VLOOKUP(A1,DIV_14Data!$A$1:$DZU$1000000,138,FALSE)</f>
        <v>#N/A</v>
      </c>
      <c r="B9" s="16" t="e">
        <f>VLOOKUP(A1,DIV_14Data!$A$1:$DZU$1000000,139,FALSE)</f>
        <v>#N/A</v>
      </c>
      <c r="C9" s="17" t="e">
        <f>VLOOKUP(A1,DIV_14Data!$A$1:$DZU$1000000,140,FALSE)</f>
        <v>#N/A</v>
      </c>
      <c r="D9" s="18" t="e">
        <f>VLOOKUP(A1,DIV_14Data!$A$1:$DZU$1000000,141,FALSE)</f>
        <v>#N/A</v>
      </c>
      <c r="E9" s="19" t="e">
        <f>VLOOKUP(A1,DIV_14Data!$A$1:$DZU$1000000,142,FALSE)</f>
        <v>#N/A</v>
      </c>
      <c r="F9" s="16" t="e">
        <f>VLOOKUP(A1,DIV_14Data!$A$1:$DZU$1000000,143,FALSE)</f>
        <v>#N/A</v>
      </c>
      <c r="G9" s="20" t="e">
        <f>VLOOKUP(A1,DIV_14Data!$A$1:$DZU$1000000,144,FALSE)</f>
        <v>#N/A</v>
      </c>
      <c r="H9" s="16" t="e">
        <f>VLOOKUP(A1,DIV_14Data!$A$1:$DZU$1000000,145,FALSE)</f>
        <v>#N/A</v>
      </c>
      <c r="I9" s="20" t="e">
        <f>VLOOKUP(A1,DIV_14Data!$A$1:$DZU$1000000,146,FALSE)</f>
        <v>#N/A</v>
      </c>
      <c r="J9" s="21" t="e">
        <f>VLOOKUP(A1,DIV_14Data!$A$1:$DZU$1000000,147,FALSE)</f>
        <v>#N/A</v>
      </c>
      <c r="K9" s="16" t="e">
        <f>VLOOKUP(A1,DIV_14Data!$A$1:$DZU$1000000,148,FALSE)</f>
        <v>#N/A</v>
      </c>
      <c r="L9" s="21" t="e">
        <f>VLOOKUP(A1,DIV_14Data!$A$1:$DZU$1000000,149,FALSE)</f>
        <v>#N/A</v>
      </c>
      <c r="M9" s="20" t="e">
        <f>VLOOKUP(A1,DIV_14Data!$A$1:$DZU$1000000,150,FALSE)</f>
        <v>#N/A</v>
      </c>
      <c r="N9" s="16" t="e">
        <f>VLOOKUP(A1,DIV_14Data!$A$1:$DZU$1000000,151,FALSE)</f>
        <v>#N/A</v>
      </c>
      <c r="O9" s="20" t="e">
        <f>VLOOKUP(A1,DIV_14Data!$A$1:$DZU$1000000,152,FALSE)</f>
        <v>#N/A</v>
      </c>
      <c r="P9" s="18" t="e">
        <f>VLOOKUP(A1,DIV_14Data!$A$1:$DZU$1000000,153,FALSE)</f>
        <v>#N/A</v>
      </c>
      <c r="Q9" s="20" t="e">
        <f>VLOOKUP(A1,DIV_14Data!$A$1:$DZU$1000000,154,FALSE)</f>
        <v>#N/A</v>
      </c>
    </row>
    <row r="10" spans="1:17" ht="15" thickBot="1" x14ac:dyDescent="0.4">
      <c r="A10" s="22" t="e">
        <f>VLOOKUP(A1,DIV_14Data!$A$1:$DZU$1000000,155,FALSE)</f>
        <v>#N/A</v>
      </c>
      <c r="B10" s="23" t="e">
        <f>VLOOKUP(A1,DIV_14Data!$A$1:$DZU$1000000,156,FALSE)</f>
        <v>#N/A</v>
      </c>
      <c r="C10" s="24" t="e">
        <f>VLOOKUP(A1,DIV_14Data!$A$1:$DZU$1000000,157,FALSE)</f>
        <v>#N/A</v>
      </c>
      <c r="D10" s="25" t="e">
        <f>VLOOKUP(A1,DIV_14Data!$A$1:$DZU$1000000,158,FALSE)</f>
        <v>#N/A</v>
      </c>
      <c r="E10" s="26" t="e">
        <f>VLOOKUP(A1,DIV_14Data!$A$1:$DZU$1000000,159,FALSE)</f>
        <v>#N/A</v>
      </c>
      <c r="F10" s="27" t="e">
        <f>VLOOKUP(A1,DIV_14Data!$A$1:$DZU$1000000,160,FALSE)</f>
        <v>#N/A</v>
      </c>
      <c r="G10" s="28" t="e">
        <f>VLOOKUP(A1,DIV_14Data!$A$1:$DZU$1000000,161,FALSE)</f>
        <v>#N/A</v>
      </c>
      <c r="H10" s="27" t="e">
        <f>VLOOKUP(A1,DIV_14Data!$A$1:$DZU$1000000,162,FALSE)</f>
        <v>#N/A</v>
      </c>
      <c r="I10" s="28" t="e">
        <f>VLOOKUP(A1,DIV_14Data!$A$1:$DZU$1000000,163,FALSE)</f>
        <v>#N/A</v>
      </c>
      <c r="J10" s="27" t="e">
        <f>VLOOKUP(A1,DIV_14Data!$A$1:$DZU$1000000,164,FALSE)</f>
        <v>#N/A</v>
      </c>
      <c r="K10" s="27" t="e">
        <f>VLOOKUP(A1,DIV_14Data!$A$1:$DZU$1000000,165,FALSE)</f>
        <v>#N/A</v>
      </c>
      <c r="L10" s="27" t="e">
        <f>VLOOKUP(A1,DIV_14Data!$A$1:$DZU$1000000,166,FALSE)</f>
        <v>#N/A</v>
      </c>
      <c r="M10" s="28" t="e">
        <f>VLOOKUP(A1,DIV_14Data!$A$1:$DZU$1000000,167,FALSE)</f>
        <v>#N/A</v>
      </c>
      <c r="N10" s="27" t="e">
        <f>VLOOKUP(A1,DIV_14Data!$A$1:$DZU$1000000,168,FALSE)</f>
        <v>#N/A</v>
      </c>
      <c r="O10" s="28" t="e">
        <f>VLOOKUP(A1,DIV_14Data!$A$1:$DZU$1000000,169,FALSE)</f>
        <v>#N/A</v>
      </c>
      <c r="P10" s="25" t="e">
        <f>VLOOKUP(A1,DIV_14Data!$A$1:$DZU$1000000,170,FALSE)</f>
        <v>#N/A</v>
      </c>
      <c r="Q10" s="28" t="e">
        <f>VLOOKUP(A1,DIV_14Data!$A$1:$DZU$1000000,171,FALSE)</f>
        <v>#N/A</v>
      </c>
    </row>
    <row r="11" spans="1:17" x14ac:dyDescent="0.35">
      <c r="A11" s="22" t="e">
        <f>VLOOKUP(A1,DIV_14Data!$A$1:$DZU$1000000,172,FALSE)</f>
        <v>#N/A</v>
      </c>
      <c r="B11" s="29" t="e">
        <f>VLOOKUP(A1,DIV_14Data!$A$1:$DZU$1000000,173,FALSE)</f>
        <v>#N/A</v>
      </c>
      <c r="C11" s="30" t="e">
        <f>VLOOKUP(A1,DIV_14Data!$A$1:$DZU$1000000,174,FALSE)</f>
        <v>#N/A</v>
      </c>
      <c r="D11" s="31" t="e">
        <f>VLOOKUP(A1,DIV_14Data!$A$1:$DZU$1000000,175,FALSE)</f>
        <v>#N/A</v>
      </c>
      <c r="E11" s="32" t="e">
        <f>VLOOKUP(A1,DIV_14Data!$A$1:$DZU$1000000,176,FALSE)</f>
        <v>#N/A</v>
      </c>
      <c r="F11" s="34" t="e">
        <f>VLOOKUP(A1,DIV_14Data!$A$1:$DZU$1000000,177,FALSE)</f>
        <v>#N/A</v>
      </c>
      <c r="G11" s="33" t="e">
        <f>VLOOKUP(A1,DIV_14Data!$A$1:$DZU$1000000,178,FALSE)</f>
        <v>#N/A</v>
      </c>
      <c r="H11" s="34" t="e">
        <f>VLOOKUP(A1,DIV_14Data!$A$1:$DZU$1000000,179,FALSE)</f>
        <v>#N/A</v>
      </c>
      <c r="I11" s="33" t="e">
        <f>VLOOKUP(A1,DIV_14Data!$A$1:$DZU$1000000,180,FALSE)</f>
        <v>#N/A</v>
      </c>
      <c r="J11" s="34" t="e">
        <f>VLOOKUP(A1,DIV_14Data!$A$1:$DZU$1000000,181,FALSE)</f>
        <v>#N/A</v>
      </c>
      <c r="K11" s="34" t="e">
        <f>VLOOKUP(A1,DIV_14Data!$A$1:$DZU$1000000,182,FALSE)</f>
        <v>#N/A</v>
      </c>
      <c r="L11" s="34" t="e">
        <f>VLOOKUP(A1,DIV_14Data!$A$1:$DZU$1000000,183,FALSE)</f>
        <v>#N/A</v>
      </c>
      <c r="M11" s="33" t="e">
        <f>VLOOKUP(A1,DIV_14Data!$A$1:$DZU$1000000,184,FALSE)</f>
        <v>#N/A</v>
      </c>
      <c r="N11" s="34" t="e">
        <f>VLOOKUP(A1,DIV_14Data!$A$1:$DZU$1000000,185,FALSE)</f>
        <v>#N/A</v>
      </c>
      <c r="O11" s="35" t="e">
        <f>VLOOKUP(A1,DIV_14Data!$A$1:$DZU$1000000,186,FALSE)</f>
        <v>#N/A</v>
      </c>
      <c r="P11" s="31" t="e">
        <f>VLOOKUP(A1,DIV_14Data!$A$1:$DZU$1000000,187,FALSE)</f>
        <v>#N/A</v>
      </c>
      <c r="Q11" s="35" t="e">
        <f>VLOOKUP(A1,DIV_14Data!$A$1:$DZU$1000000,188,FALSE)</f>
        <v>#N/A</v>
      </c>
    </row>
    <row r="12" spans="1:17" x14ac:dyDescent="0.35">
      <c r="A12" s="22" t="e">
        <f>VLOOKUP(A1,DIV_14Data!$A$1:$DZU$1000000,189,FALSE)</f>
        <v>#N/A</v>
      </c>
      <c r="B12" s="29" t="e">
        <f>VLOOKUP(A1,DIV_14Data!$A$1:$DZU$1000000,190,FALSE)</f>
        <v>#N/A</v>
      </c>
      <c r="C12" s="30" t="e">
        <f>VLOOKUP(A1,DIV_14Data!$A$1:$DZU$1000000,191,FALSE)</f>
        <v>#N/A</v>
      </c>
      <c r="D12" s="31" t="e">
        <f>VLOOKUP(A1,DIV_14Data!$A$1:$DZU$1000000,192,FALSE)</f>
        <v>#N/A</v>
      </c>
      <c r="E12" s="32" t="e">
        <f>VLOOKUP(A1,DIV_14Data!$A$1:$DZU$1000000,193,FALSE)</f>
        <v>#N/A</v>
      </c>
      <c r="F12" s="34" t="e">
        <f>VLOOKUP(A1,DIV_14Data!$A$1:$DZU$1000000,194,FALSE)</f>
        <v>#N/A</v>
      </c>
      <c r="G12" s="33" t="e">
        <f>VLOOKUP(A1,DIV_14Data!$A$1:$DZU$1000000,195,FALSE)</f>
        <v>#N/A</v>
      </c>
      <c r="H12" s="34" t="e">
        <f>VLOOKUP(A1,DIV_14Data!$A$1:$DZU$1000000,196,FALSE)</f>
        <v>#N/A</v>
      </c>
      <c r="I12" s="33" t="e">
        <f>VLOOKUP(A1,DIV_14Data!$A$1:$DZU$1000000,197,FALSE)</f>
        <v>#N/A</v>
      </c>
      <c r="J12" s="34" t="e">
        <f>VLOOKUP(A1,DIV_14Data!$A$1:$DZU$1000000,198,FALSE)</f>
        <v>#N/A</v>
      </c>
      <c r="K12" s="34" t="e">
        <f>VLOOKUP(A1,DIV_14Data!$A$1:$DZU$1000000,199,FALSE)</f>
        <v>#N/A</v>
      </c>
      <c r="L12" s="34" t="e">
        <f>VLOOKUP(A1,DIV_14Data!$A$1:$DZU$1000000,200,FALSE)</f>
        <v>#N/A</v>
      </c>
      <c r="M12" s="33" t="e">
        <f>VLOOKUP(A1,DIV_14Data!$A$1:$DZU$1000000,201,FALSE)</f>
        <v>#N/A</v>
      </c>
      <c r="N12" s="34" t="e">
        <f>VLOOKUP(A1,DIV_14Data!$A$1:$DZU$1000000,202,FALSE)</f>
        <v>#N/A</v>
      </c>
      <c r="O12" s="35" t="e">
        <f>VLOOKUP(A1,DIV_14Data!$A$1:$DZU$1000000,203,FALSE)</f>
        <v>#N/A</v>
      </c>
      <c r="P12" s="31" t="e">
        <f>VLOOKUP(A1,DIV_14Data!$A$1:$DZU$1000000,204,FALSE)</f>
        <v>#N/A</v>
      </c>
      <c r="Q12" s="35" t="e">
        <f>VLOOKUP(A1,DIV_14Data!$A$1:$DZU$1000000,205,FALSE)</f>
        <v>#N/A</v>
      </c>
    </row>
    <row r="13" spans="1:17" x14ac:dyDescent="0.35">
      <c r="A13" s="22" t="e">
        <f>VLOOKUP(A1,DIV_14Data!$A$1:$DZU$1000000,206,FALSE)</f>
        <v>#N/A</v>
      </c>
      <c r="B13" s="37" t="e">
        <f>VLOOKUP(A1,DIV_14Data!$A$1:$DZU$1000000,207,FALSE)</f>
        <v>#N/A</v>
      </c>
      <c r="C13" s="38" t="e">
        <f>VLOOKUP(A1,DIV_14Data!$A$1:$DZU$1000000,208,FALSE)</f>
        <v>#N/A</v>
      </c>
      <c r="D13" s="31" t="e">
        <f>VLOOKUP(A1,DIV_14Data!$A$1:$DZU$1000000,209,FALSE)</f>
        <v>#N/A</v>
      </c>
      <c r="E13" s="32" t="e">
        <f>VLOOKUP(A1,DIV_14Data!$A$1:$DZU$1000000,210,FALSE)</f>
        <v>#N/A</v>
      </c>
      <c r="F13" s="93" t="e">
        <f>VLOOKUP(A1,DIV_14Data!$A$1:$DZU$1000000,211,FALSE)</f>
        <v>#N/A</v>
      </c>
      <c r="G13" s="33" t="e">
        <f>VLOOKUP(A1,DIV_14Data!$A$1:$DZU$1000000,212,FALSE)</f>
        <v>#N/A</v>
      </c>
      <c r="H13" s="93" t="e">
        <f>VLOOKUP(A1,DIV_14Data!$A$1:$DZU$1000000,213,FALSE)</f>
        <v>#N/A</v>
      </c>
      <c r="I13" s="33" t="e">
        <f>VLOOKUP(A1,DIV_14Data!$A$1:$DZU$1000000,214,FALSE)</f>
        <v>#N/A</v>
      </c>
      <c r="J13" s="34" t="e">
        <f>VLOOKUP(A1,DIV_14Data!$A$1:$DZU$1000000,215,FALSE)</f>
        <v>#N/A</v>
      </c>
      <c r="K13" s="34" t="e">
        <f>VLOOKUP(A1,DIV_14Data!$A$1:$DZU$1000000,216,FALSE)</f>
        <v>#N/A</v>
      </c>
      <c r="L13" s="93" t="e">
        <f>VLOOKUP(A1,DIV_14Data!$A$1:$DZU$1000000,217,FALSE)</f>
        <v>#N/A</v>
      </c>
      <c r="M13" s="33" t="e">
        <f>VLOOKUP(A1,DIV_14Data!$A$1:$DZU$1000000,218,FALSE)</f>
        <v>#N/A</v>
      </c>
      <c r="N13" s="93" t="e">
        <f>VLOOKUP(A1,DIV_14Data!$A$1:$DZU$1000000,219,FALSE)</f>
        <v>#N/A</v>
      </c>
      <c r="O13" s="33" t="e">
        <f>VLOOKUP(A1,DIV_14Data!$A$1:$DZU$1000000,220,FALSE)</f>
        <v>#N/A</v>
      </c>
      <c r="P13" s="46" t="e">
        <f>VLOOKUP(A1,DIV_14Data!$A$1:$DZU$1000000,221,FALSE)</f>
        <v>#N/A</v>
      </c>
      <c r="Q13" s="33" t="e">
        <f>VLOOKUP(A1,DIV_14Data!$A$1:$DZU$1000000,222,FALSE)</f>
        <v>#N/A</v>
      </c>
    </row>
    <row r="14" spans="1:17" x14ac:dyDescent="0.35">
      <c r="A14" s="22" t="e">
        <f>VLOOKUP(A1,DIV_14Data!$A$1:$DZU$1000000,223,FALSE)</f>
        <v>#N/A</v>
      </c>
      <c r="B14" s="37" t="e">
        <f>VLOOKUP(A1,DIV_14Data!$A$1:$DZU$1000000,224,FALSE)</f>
        <v>#N/A</v>
      </c>
      <c r="C14" s="38" t="e">
        <f>VLOOKUP(A1,DIV_14Data!$A$1:$DZU$1000000,225,FALSE)</f>
        <v>#N/A</v>
      </c>
      <c r="D14" s="31" t="e">
        <f>VLOOKUP(A1,DIV_14Data!$A$1:$DZU$1000000,226,FALSE)</f>
        <v>#N/A</v>
      </c>
      <c r="E14" s="32" t="e">
        <f>VLOOKUP(A1,DIV_14Data!$A$1:$DZU$1000000,227,FALSE)</f>
        <v>#N/A</v>
      </c>
      <c r="F14" s="34" t="e">
        <f>VLOOKUP(A1,DIV_14Data!$A$1:$DZU$1000000,228,FALSE)</f>
        <v>#N/A</v>
      </c>
      <c r="G14" s="33" t="e">
        <f>VLOOKUP(A1,DIV_14Data!$A$1:$DZU$1000000,229,FALSE)</f>
        <v>#N/A</v>
      </c>
      <c r="H14" s="34" t="e">
        <f>VLOOKUP(A1,DIV_14Data!$A$1:$DZU$1000000,230,FALSE)</f>
        <v>#N/A</v>
      </c>
      <c r="I14" s="33" t="e">
        <f>VLOOKUP(A1,DIV_14Data!$A$1:$DZU$1000000,231,FALSE)</f>
        <v>#N/A</v>
      </c>
      <c r="J14" s="34" t="e">
        <f>VLOOKUP(A1,DIV_14Data!$A$1:$DZU$1000000,232,FALSE)</f>
        <v>#N/A</v>
      </c>
      <c r="K14" s="34" t="e">
        <f>VLOOKUP(A1,DIV_14Data!$A$1:$DZU$1000000,233,FALSE)</f>
        <v>#N/A</v>
      </c>
      <c r="L14" s="34" t="e">
        <f>VLOOKUP(A1,DIV_14Data!$A$1:$DZU$1000000,234,FALSE)</f>
        <v>#N/A</v>
      </c>
      <c r="M14" s="33" t="e">
        <f>VLOOKUP(A1,DIV_14Data!$A$1:$DZU$1000000,235,FALSE)</f>
        <v>#N/A</v>
      </c>
      <c r="N14" s="34" t="e">
        <f>VLOOKUP(A1,DIV_14Data!$A$1:$DZU$1000000,236,FALSE)</f>
        <v>#N/A</v>
      </c>
      <c r="O14" s="33" t="e">
        <f>VLOOKUP(A1,DIV_14Data!$A$1:$DZU$1000000,237,FALSE)</f>
        <v>#N/A</v>
      </c>
      <c r="P14" s="46" t="e">
        <f>VLOOKUP(A1,DIV_14Data!$A$1:$DZU$1000000,238,FALSE)</f>
        <v>#N/A</v>
      </c>
      <c r="Q14" s="33" t="e">
        <f>VLOOKUP(A1,DIV_14Data!$A$1:$DZU$1000000,239,FALSE)</f>
        <v>#N/A</v>
      </c>
    </row>
    <row r="15" spans="1:17" x14ac:dyDescent="0.35">
      <c r="A15" s="22" t="e">
        <f>VLOOKUP(A1,DIV_14Data!$A$1:$DZU$1000000,240,FALSE)</f>
        <v>#N/A</v>
      </c>
      <c r="B15" s="37" t="e">
        <f>VLOOKUP(A1,DIV_14Data!$A$1:$DZU$1000000,241,FALSE)</f>
        <v>#N/A</v>
      </c>
      <c r="C15" s="38" t="e">
        <f>VLOOKUP(A1,DIV_14Data!$A$1:$DZU$1000000,242,FALSE)</f>
        <v>#N/A</v>
      </c>
      <c r="D15" s="31" t="e">
        <f>VLOOKUP(A1,DIV_14Data!$A$1:$DZU$1000000,243,FALSE)</f>
        <v>#N/A</v>
      </c>
      <c r="E15" s="32" t="e">
        <f>VLOOKUP(A1,DIV_14Data!$A$1:$DZU$1000000,244,FALSE)</f>
        <v>#N/A</v>
      </c>
      <c r="F15" s="34" t="e">
        <f>VLOOKUP(A1,DIV_14Data!$A$1:$DZU$1000000,245,FALSE)</f>
        <v>#N/A</v>
      </c>
      <c r="G15" s="33" t="e">
        <f>VLOOKUP(A1,DIV_14Data!$A$1:$DZU$1000000,246,FALSE)</f>
        <v>#N/A</v>
      </c>
      <c r="H15" s="34" t="e">
        <f>VLOOKUP(A1,DIV_14Data!$A$1:$DZU$1000000,247,FALSE)</f>
        <v>#N/A</v>
      </c>
      <c r="I15" s="33" t="e">
        <f>VLOOKUP(A1,DIV_14Data!$A$1:$DZU$1000000,248,FALSE)</f>
        <v>#N/A</v>
      </c>
      <c r="J15" s="34" t="e">
        <f>VLOOKUP(A1,DIV_14Data!$A$1:$DZU$1000000,249,FALSE)</f>
        <v>#N/A</v>
      </c>
      <c r="K15" s="34" t="e">
        <f>VLOOKUP(A1,DIV_14Data!$A$1:$DZU$1000000,250,FALSE)</f>
        <v>#N/A</v>
      </c>
      <c r="L15" s="34" t="e">
        <f>VLOOKUP(A1,DIV_14Data!$A$1:$DZU$1000000,251,FALSE)</f>
        <v>#N/A</v>
      </c>
      <c r="M15" s="33" t="e">
        <f>VLOOKUP(A1,DIV_14Data!$A$1:$DZU$1000000,252,FALSE)</f>
        <v>#N/A</v>
      </c>
      <c r="N15" s="34" t="e">
        <f>VLOOKUP(A1,DIV_14Data!$A$1:$DZU$1000000,253,FALSE)</f>
        <v>#N/A</v>
      </c>
      <c r="O15" s="33" t="e">
        <f>VLOOKUP(A1,DIV_14Data!$A$1:$DZU$1000000,254,FALSE)</f>
        <v>#N/A</v>
      </c>
      <c r="P15" s="31" t="e">
        <f>VLOOKUP(A1,DIV_14Data!$A$1:$DZU$1000000,255,FALSE)</f>
        <v>#N/A</v>
      </c>
      <c r="Q15" s="33" t="e">
        <f>VLOOKUP(A1,DIV_14Data!$A$1:$DZU$1000000,256,FALSE)</f>
        <v>#N/A</v>
      </c>
    </row>
    <row r="16" spans="1:17" x14ac:dyDescent="0.35">
      <c r="A16" s="22" t="e">
        <f>VLOOKUP(A1,DIV_14Data!$A$1:$DZU$1000000,257,FALSE)</f>
        <v>#N/A</v>
      </c>
      <c r="B16" s="37" t="e">
        <f>VLOOKUP(A1,DIV_14Data!$A$1:$DZU$1000000,258,FALSE)</f>
        <v>#N/A</v>
      </c>
      <c r="C16" s="38" t="e">
        <f>VLOOKUP(A1,DIV_14Data!$A$1:$DZU$1000000,259,FALSE)</f>
        <v>#N/A</v>
      </c>
      <c r="D16" s="31" t="e">
        <f>VLOOKUP(A1,DIV_14Data!$A$1:$DZU$1000000,260,FALSE)</f>
        <v>#N/A</v>
      </c>
      <c r="E16" s="32" t="e">
        <f>VLOOKUP(A1,DIV_14Data!$A$1:$DZU$1000000,261,FALSE)</f>
        <v>#N/A</v>
      </c>
      <c r="F16" s="34" t="e">
        <f>VLOOKUP(A1,DIV_14Data!$A$1:$DZU$1000000,262,FALSE)</f>
        <v>#N/A</v>
      </c>
      <c r="G16" s="33" t="e">
        <f>VLOOKUP(A1,DIV_14Data!$A$1:$DZU$1000000,263,FALSE)</f>
        <v>#N/A</v>
      </c>
      <c r="H16" s="34" t="e">
        <f>VLOOKUP(A1,DIV_14Data!$A$1:$DZU$1000000,264,FALSE)</f>
        <v>#N/A</v>
      </c>
      <c r="I16" s="33" t="e">
        <f>VLOOKUP(A1,DIV_14Data!$A$1:$DZU$1000000,265,FALSE)</f>
        <v>#N/A</v>
      </c>
      <c r="J16" s="34" t="e">
        <f>VLOOKUP(A1,DIV_14Data!$A$1:$DZU$1000000,266,FALSE)</f>
        <v>#N/A</v>
      </c>
      <c r="K16" s="34" t="e">
        <f>VLOOKUP(A1,DIV_14Data!$A$1:$DZU$1000000,267,FALSE)</f>
        <v>#N/A</v>
      </c>
      <c r="L16" s="93" t="e">
        <f>VLOOKUP(A1,DIV_14Data!$A$1:$DZU$1000000,268,FALSE)</f>
        <v>#N/A</v>
      </c>
      <c r="M16" s="33" t="e">
        <f>VLOOKUP(A1,DIV_14Data!$A$1:$DZU$1000000,269,FALSE)</f>
        <v>#N/A</v>
      </c>
      <c r="N16" s="34" t="e">
        <f>VLOOKUP(A1,DIV_14Data!$A$1:$DZU$1000000,270,FALSE)</f>
        <v>#N/A</v>
      </c>
      <c r="O16" s="33" t="e">
        <f>VLOOKUP(A1,DIV_14Data!$A$1:$DZU$1000000,271,FALSE)</f>
        <v>#N/A</v>
      </c>
      <c r="P16" s="46" t="e">
        <f>VLOOKUP(A1,DIV_14Data!$A$1:$DZU$1000000,272,FALSE)</f>
        <v>#N/A</v>
      </c>
      <c r="Q16" s="33" t="e">
        <f>VLOOKUP(A1,DIV_14Data!$A$1:$DZU$1000000,273,FALSE)</f>
        <v>#N/A</v>
      </c>
    </row>
    <row r="17" spans="1:17" x14ac:dyDescent="0.35">
      <c r="A17" s="22" t="e">
        <f>VLOOKUP(A1,DIV_14Data!$A$1:$DZU$1000000,274,FALSE)</f>
        <v>#N/A</v>
      </c>
      <c r="B17" s="37" t="e">
        <f>VLOOKUP(A1,DIV_14Data!$A$1:$DZU$1000000,275,FALSE)</f>
        <v>#N/A</v>
      </c>
      <c r="C17" s="38" t="e">
        <f>VLOOKUP(A1,DIV_14Data!$A$1:$DZU$1000000,276,FALSE)</f>
        <v>#N/A</v>
      </c>
      <c r="D17" s="31" t="e">
        <f>VLOOKUP(A1,DIV_14Data!$A$1:$DZU$1000000,277,FALSE)</f>
        <v>#N/A</v>
      </c>
      <c r="E17" s="32" t="e">
        <f>VLOOKUP(A1,DIV_14Data!$A$1:$DZU$1000000,278,FALSE)</f>
        <v>#N/A</v>
      </c>
      <c r="F17" s="34" t="e">
        <f>VLOOKUP(A1,DIV_14Data!$A$1:$DZU$1000000,279,FALSE)</f>
        <v>#N/A</v>
      </c>
      <c r="G17" s="33" t="e">
        <f>VLOOKUP(A1,DIV_14Data!$A$1:$DZU$1000000,280,FALSE)</f>
        <v>#N/A</v>
      </c>
      <c r="H17" s="34" t="e">
        <f>VLOOKUP(A1,DIV_14Data!$A$1:$DZU$1000000,281,FALSE)</f>
        <v>#N/A</v>
      </c>
      <c r="I17" s="33" t="e">
        <f>VLOOKUP(A1,DIV_14Data!$A$1:$DZU$1000000,282,FALSE)</f>
        <v>#N/A</v>
      </c>
      <c r="J17" s="34" t="e">
        <f>VLOOKUP(A1,DIV_14Data!$A$1:$DZU$1000000,283,FALSE)</f>
        <v>#N/A</v>
      </c>
      <c r="K17" s="34" t="e">
        <f>VLOOKUP(A1,DIV_14Data!$A$1:$DZU$1000000,284,FALSE)</f>
        <v>#N/A</v>
      </c>
      <c r="L17" s="93" t="e">
        <f>VLOOKUP(A1,DIV_14Data!$A$1:$DZU$1000000,285,FALSE)</f>
        <v>#N/A</v>
      </c>
      <c r="M17" s="33" t="e">
        <f>VLOOKUP(A1,DIV_14Data!$A$1:$DZU$1000000,286,FALSE)</f>
        <v>#N/A</v>
      </c>
      <c r="N17" s="34" t="e">
        <f>VLOOKUP(A1,DIV_14Data!$A$1:$DZU$1000000,287,FALSE)</f>
        <v>#N/A</v>
      </c>
      <c r="O17" s="33" t="e">
        <f>VLOOKUP(A1,DIV_14Data!$A$1:$DZU$1000000,288,FALSE)</f>
        <v>#N/A</v>
      </c>
      <c r="P17" s="46" t="e">
        <f>VLOOKUP(A1,DIV_14Data!$A$1:$DZU$1000000,289,FALSE)</f>
        <v>#N/A</v>
      </c>
      <c r="Q17" s="33" t="e">
        <f>VLOOKUP(A1,DIV_14Data!$A$1:$DZU$1000000,290,FALSE)</f>
        <v>#N/A</v>
      </c>
    </row>
    <row r="18" spans="1:17" x14ac:dyDescent="0.35">
      <c r="A18" s="22" t="e">
        <f>VLOOKUP(A1,DIV_14Data!$A$1:$DZU$1000000,291,FALSE)</f>
        <v>#N/A</v>
      </c>
      <c r="B18" s="37" t="e">
        <f>VLOOKUP(A1,DIV_14Data!$A$1:$DZU$1000000,292,FALSE)</f>
        <v>#N/A</v>
      </c>
      <c r="C18" s="38" t="e">
        <f>VLOOKUP(A1,DIV_14Data!$A$1:$DZU$1000000,293,FALSE)</f>
        <v>#N/A</v>
      </c>
      <c r="D18" s="31" t="e">
        <f>VLOOKUP(A1,DIV_14Data!$A$1:$DZU$1000000,294,FALSE)</f>
        <v>#N/A</v>
      </c>
      <c r="E18" s="32" t="e">
        <f>VLOOKUP(A1,DIV_14Data!$A$1:$DZU$1000000,295,FALSE)</f>
        <v>#N/A</v>
      </c>
      <c r="F18" s="34" t="e">
        <f>VLOOKUP(A1,DIV_14Data!$A$1:$DZU$1000000,296,FALSE)</f>
        <v>#N/A</v>
      </c>
      <c r="G18" s="33" t="e">
        <f>VLOOKUP(A1,DIV_14Data!$A$1:$DZU$1000000,297,FALSE)</f>
        <v>#N/A</v>
      </c>
      <c r="H18" s="34" t="e">
        <f>VLOOKUP(A1,DIV_14Data!$A$1:$DZU$1000000,298,FALSE)</f>
        <v>#N/A</v>
      </c>
      <c r="I18" s="33" t="e">
        <f>VLOOKUP(A1,DIV_14Data!$A$1:$DZU$1000000,299,FALSE)</f>
        <v>#N/A</v>
      </c>
      <c r="J18" s="34" t="e">
        <f>VLOOKUP(A1,DIV_14Data!$A$1:$DZU$1000000,300,FALSE)</f>
        <v>#N/A</v>
      </c>
      <c r="K18" s="34" t="e">
        <f>VLOOKUP(A1,DIV_14Data!$A$1:$DZU$1000000,301,FALSE)</f>
        <v>#N/A</v>
      </c>
      <c r="L18" s="93" t="e">
        <f>VLOOKUP(A1,DIV_14Data!$A$1:$DZU$1000000,302,FALSE)</f>
        <v>#N/A</v>
      </c>
      <c r="M18" s="33" t="e">
        <f>VLOOKUP(A1,DIV_14Data!$A$1:$DZU$1000000,303,FALSE)</f>
        <v>#N/A</v>
      </c>
      <c r="N18" s="34" t="e">
        <f>VLOOKUP(A1,DIV_14Data!$A$1:$DZU$1000000,304,FALSE)</f>
        <v>#N/A</v>
      </c>
      <c r="O18" s="33" t="e">
        <f>VLOOKUP(A1,DIV_14Data!$A$1:$DZU$1000000,305,FALSE)</f>
        <v>#N/A</v>
      </c>
      <c r="P18" s="46" t="e">
        <f>VLOOKUP(A1,DIV_14Data!$A$1:$DZU$1000000,306,FALSE)</f>
        <v>#N/A</v>
      </c>
      <c r="Q18" s="33" t="e">
        <f>VLOOKUP(A1,DIV_14Data!$A$1:$DZU$1000000,307,FALSE)</f>
        <v>#N/A</v>
      </c>
    </row>
    <row r="19" spans="1:17" x14ac:dyDescent="0.35">
      <c r="A19" s="22" t="e">
        <f>VLOOKUP(A1,DIV_14Data!$A$1:$DZU$1000000,308,FALSE)</f>
        <v>#N/A</v>
      </c>
      <c r="B19" s="37" t="e">
        <f>VLOOKUP(A1,DIV_14Data!$A$1:$DZU$1000000,309,FALSE)</f>
        <v>#N/A</v>
      </c>
      <c r="C19" s="38" t="e">
        <f>VLOOKUP(A1,DIV_14Data!$A$1:$DZU$1000000,310,FALSE)</f>
        <v>#N/A</v>
      </c>
      <c r="D19" s="31" t="e">
        <f>VLOOKUP(A1,DIV_14Data!$A$1:$DZU$1000000,311,FALSE)</f>
        <v>#N/A</v>
      </c>
      <c r="E19" s="32" t="e">
        <f>VLOOKUP(A1,DIV_14Data!$A$1:$DZU$1000000,312,FALSE)</f>
        <v>#N/A</v>
      </c>
      <c r="F19" s="34" t="e">
        <f>VLOOKUP(A1,DIV_14Data!$A$1:$DZU$1000000,313,FALSE)</f>
        <v>#N/A</v>
      </c>
      <c r="G19" s="33" t="e">
        <f>VLOOKUP(A1,DIV_14Data!$A$1:$DZU$1000000,314,FALSE)</f>
        <v>#N/A</v>
      </c>
      <c r="H19" s="34" t="e">
        <f>VLOOKUP(A1,DIV_14Data!$A$1:$DZU$1000000,315,FALSE)</f>
        <v>#N/A</v>
      </c>
      <c r="I19" s="33" t="e">
        <f>VLOOKUP(A1,DIV_14Data!$A$1:$DZU$1000000,316,FALSE)</f>
        <v>#N/A</v>
      </c>
      <c r="J19" s="34" t="e">
        <f>VLOOKUP(A1,DIV_14Data!$A$1:$DZU$1000000,317,FALSE)</f>
        <v>#N/A</v>
      </c>
      <c r="K19" s="34" t="e">
        <f>VLOOKUP(A1,DIV_14Data!$A$1:$DZU$1000000,318,FALSE)</f>
        <v>#N/A</v>
      </c>
      <c r="L19" s="93" t="e">
        <f>VLOOKUP(A1,DIV_14Data!$A$1:$DZU$1000000,319,FALSE)</f>
        <v>#N/A</v>
      </c>
      <c r="M19" s="33" t="e">
        <f>VLOOKUP(A1,DIV_14Data!$A$1:$DZU$1000000,320,FALSE)</f>
        <v>#N/A</v>
      </c>
      <c r="N19" s="34" t="e">
        <f>VLOOKUP(A1,DIV_14Data!$A$1:$DZU$1000000,321,FALSE)</f>
        <v>#N/A</v>
      </c>
      <c r="O19" s="33" t="e">
        <f>VLOOKUP(A1,DIV_14Data!$A$1:$DZU$1000000,322,FALSE)</f>
        <v>#N/A</v>
      </c>
      <c r="P19" s="46" t="e">
        <f>VLOOKUP(A1,DIV_14Data!$A$1:$DZU$1000000,323,FALSE)</f>
        <v>#N/A</v>
      </c>
      <c r="Q19" s="33" t="e">
        <f>VLOOKUP(A1,DIV_14Data!$A$1:$DZU$1000000,324,FALSE)</f>
        <v>#N/A</v>
      </c>
    </row>
    <row r="20" spans="1:17" x14ac:dyDescent="0.35">
      <c r="A20" s="22" t="e">
        <f>VLOOKUP(A1,DIV_14Data!$A$1:$DZU$1000000,325,FALSE)</f>
        <v>#N/A</v>
      </c>
      <c r="B20" s="37" t="e">
        <f>VLOOKUP(A1,DIV_14Data!$A$1:$DZU$1000000,326,FALSE)</f>
        <v>#N/A</v>
      </c>
      <c r="C20" s="38" t="e">
        <f>VLOOKUP(A1,DIV_14Data!$A$1:$DZU$1000000,327,FALSE)</f>
        <v>#N/A</v>
      </c>
      <c r="D20" s="31" t="e">
        <f>VLOOKUP(A1,DIV_14Data!$A$1:$DZU$1000000,328,FALSE)</f>
        <v>#N/A</v>
      </c>
      <c r="E20" s="32" t="e">
        <f>VLOOKUP(A1,DIV_14Data!$A$1:$DZU$1000000,329,FALSE)</f>
        <v>#N/A</v>
      </c>
      <c r="F20" s="34" t="e">
        <f>VLOOKUP(A1,DIV_14Data!$A$1:$DZU$1000000,330,FALSE)</f>
        <v>#N/A</v>
      </c>
      <c r="G20" s="33" t="e">
        <f>VLOOKUP(A1,DIV_14Data!$A$1:$DZU$1000000,331,FALSE)</f>
        <v>#N/A</v>
      </c>
      <c r="H20" s="34" t="e">
        <f>VLOOKUP(A1,DIV_14Data!$A$1:$DZU$1000000,332,FALSE)</f>
        <v>#N/A</v>
      </c>
      <c r="I20" s="33" t="e">
        <f>VLOOKUP(A1,DIV_14Data!$A$1:$DZU$1000000,333,FALSE)</f>
        <v>#N/A</v>
      </c>
      <c r="J20" s="34" t="e">
        <f>VLOOKUP(A1,DIV_14Data!$A$1:$DZU$1000000,334,FALSE)</f>
        <v>#N/A</v>
      </c>
      <c r="K20" s="34" t="e">
        <f>VLOOKUP(A1,DIV_14Data!$A$1:$DZU$1000000,335,FALSE)</f>
        <v>#N/A</v>
      </c>
      <c r="L20" s="93" t="e">
        <f>VLOOKUP(A1,DIV_14Data!$A$1:$DZU$1000000,336,FALSE)</f>
        <v>#N/A</v>
      </c>
      <c r="M20" s="33" t="e">
        <f>VLOOKUP(A1,DIV_14Data!$A$1:$DZU$1000000,337,FALSE)</f>
        <v>#N/A</v>
      </c>
      <c r="N20" s="34" t="e">
        <f>VLOOKUP(A1,DIV_14Data!$A$1:$DZU$1000000,338,FALSE)</f>
        <v>#N/A</v>
      </c>
      <c r="O20" s="33" t="e">
        <f>VLOOKUP(A1,DIV_14Data!$A$1:$DZU$1000000,339,FALSE)</f>
        <v>#N/A</v>
      </c>
      <c r="P20" s="46" t="e">
        <f>VLOOKUP(A1,DIV_14Data!$A$1:$DZU$1000000,340,FALSE)</f>
        <v>#N/A</v>
      </c>
      <c r="Q20" s="33" t="e">
        <f>VLOOKUP(A1,DIV_14Data!$A$1:$DZU$1000000,341,FALSE)</f>
        <v>#N/A</v>
      </c>
    </row>
    <row r="21" spans="1:17" x14ac:dyDescent="0.35">
      <c r="A21" s="22" t="e">
        <f>VLOOKUP(A1,DIV_14Data!$A$1:$DZU$1000000,342,FALSE)</f>
        <v>#N/A</v>
      </c>
      <c r="B21" s="37" t="e">
        <f>VLOOKUP(A1,DIV_14Data!$A$1:$DZU$1000000,343,FALSE)</f>
        <v>#N/A</v>
      </c>
      <c r="C21" s="38" t="e">
        <f>VLOOKUP(A1,DIV_14Data!$A$1:$DZU$1000000,344,FALSE)</f>
        <v>#N/A</v>
      </c>
      <c r="D21" s="31" t="e">
        <f>VLOOKUP(A1,DIV_14Data!$A$1:$DZU$1000000,345,FALSE)</f>
        <v>#N/A</v>
      </c>
      <c r="E21" s="32" t="e">
        <f>VLOOKUP(A1,DIV_14Data!$A$1:$DZU$1000000,346,FALSE)</f>
        <v>#N/A</v>
      </c>
      <c r="F21" s="34" t="e">
        <f>VLOOKUP(A1,DIV_14Data!$A$1:$DZU$1000000,347,FALSE)</f>
        <v>#N/A</v>
      </c>
      <c r="G21" s="33" t="e">
        <f>VLOOKUP(A1,DIV_14Data!$A$1:$DZU$1000000,348,FALSE)</f>
        <v>#N/A</v>
      </c>
      <c r="H21" s="34" t="e">
        <f>VLOOKUP(A1,DIV_14Data!$A$1:$DZU$1000000,349,FALSE)</f>
        <v>#N/A</v>
      </c>
      <c r="I21" s="33" t="e">
        <f>VLOOKUP(A1,DIV_14Data!$A$1:$DZU$1000000,350,FALSE)</f>
        <v>#N/A</v>
      </c>
      <c r="J21" s="34" t="e">
        <f>VLOOKUP(A1,DIV_14Data!$A$1:$DZU$1000000,351,FALSE)</f>
        <v>#N/A</v>
      </c>
      <c r="K21" s="34" t="e">
        <f>VLOOKUP(A1,DIV_14Data!$A$1:$DZU$1000000,352,FALSE)</f>
        <v>#N/A</v>
      </c>
      <c r="L21" s="93" t="e">
        <f>VLOOKUP(A1,DIV_14Data!$A$1:$DZU$1000000,353,FALSE)</f>
        <v>#N/A</v>
      </c>
      <c r="M21" s="33" t="e">
        <f>VLOOKUP(A1,DIV_14Data!$A$1:$DZU$1000000,354,FALSE)</f>
        <v>#N/A</v>
      </c>
      <c r="N21" s="34" t="e">
        <f>VLOOKUP(A1,DIV_14Data!$A$1:$DZU$1000000,355,FALSE)</f>
        <v>#N/A</v>
      </c>
      <c r="O21" s="33" t="e">
        <f>VLOOKUP(A1,DIV_14Data!$A$1:$DZU$1000000,356,FALSE)</f>
        <v>#N/A</v>
      </c>
      <c r="P21" s="46" t="e">
        <f>VLOOKUP(A1,DIV_14Data!$A$1:$DZU$1000000,357,FALSE)</f>
        <v>#N/A</v>
      </c>
      <c r="Q21" s="33" t="e">
        <f>VLOOKUP(A1,DIV_14Data!$A$1:$DZU$1000000,358,FALSE)</f>
        <v>#N/A</v>
      </c>
    </row>
    <row r="22" spans="1:17" x14ac:dyDescent="0.35">
      <c r="A22" s="22" t="e">
        <f>VLOOKUP(A1,DIV_14Data!$A$1:$DZU$1000000,359,FALSE)</f>
        <v>#N/A</v>
      </c>
      <c r="B22" s="37" t="e">
        <f>VLOOKUP(A1,DIV_14Data!$A$1:$DZU$1000000,360,FALSE)</f>
        <v>#N/A</v>
      </c>
      <c r="C22" s="38" t="e">
        <f>VLOOKUP(A1,DIV_14Data!$A$1:$DZU$1000000,361,FALSE)</f>
        <v>#N/A</v>
      </c>
      <c r="D22" s="31" t="e">
        <f>VLOOKUP(A1,DIV_14Data!$A$1:$DZU$1000000,362,FALSE)</f>
        <v>#N/A</v>
      </c>
      <c r="E22" s="32" t="e">
        <f>VLOOKUP(A1,DIV_14Data!$A$1:$DZU$1000000,363,FALSE)</f>
        <v>#N/A</v>
      </c>
      <c r="F22" s="34" t="e">
        <f>VLOOKUP(A1,DIV_14Data!$A$1:$DZU$1000000,364,FALSE)</f>
        <v>#N/A</v>
      </c>
      <c r="G22" s="33" t="e">
        <f>VLOOKUP(A1,DIV_14Data!$A$1:$DZU$1000000,365,FALSE)</f>
        <v>#N/A</v>
      </c>
      <c r="H22" s="34" t="e">
        <f>VLOOKUP(A1,DIV_14Data!$A$1:$DZU$1000000,366,FALSE)</f>
        <v>#N/A</v>
      </c>
      <c r="I22" s="33" t="e">
        <f>VLOOKUP(A1,DIV_14Data!$A$1:$DZU$1000000,367,FALSE)</f>
        <v>#N/A</v>
      </c>
      <c r="J22" s="34" t="e">
        <f>VLOOKUP(A1,DIV_14Data!$A$1:$DZU$1000000,368,FALSE)</f>
        <v>#N/A</v>
      </c>
      <c r="K22" s="34" t="e">
        <f>VLOOKUP(A1,DIV_14Data!$A$1:$DZU$1000000,369,FALSE)</f>
        <v>#N/A</v>
      </c>
      <c r="L22" s="93" t="e">
        <f>VLOOKUP(A1,DIV_14Data!$A$1:$DZU$1000000,370,FALSE)</f>
        <v>#N/A</v>
      </c>
      <c r="M22" s="33" t="e">
        <f>VLOOKUP(A1,DIV_14Data!$A$1:$DZU$1000000,371,FALSE)</f>
        <v>#N/A</v>
      </c>
      <c r="N22" s="34" t="e">
        <f>VLOOKUP(A1,DIV_14Data!$A$1:$DZU$1000000,372,FALSE)</f>
        <v>#N/A</v>
      </c>
      <c r="O22" s="33" t="e">
        <f>VLOOKUP(A1,DIV_14Data!$A$1:$DZU$1000000,373,FALSE)</f>
        <v>#N/A</v>
      </c>
      <c r="P22" s="46" t="e">
        <f>VLOOKUP(A1,DIV_14Data!$A$1:$DZU$1000000,374,FALSE)</f>
        <v>#N/A</v>
      </c>
      <c r="Q22" s="33" t="e">
        <f>VLOOKUP(A1,DIV_14Data!$A$1:$DZU$1000000,375,FALSE)</f>
        <v>#N/A</v>
      </c>
    </row>
    <row r="23" spans="1:17" x14ac:dyDescent="0.35">
      <c r="A23" s="22" t="e">
        <f>VLOOKUP(A1,DIV_14Data!$A$1:$DZU$1000000,376,FALSE)</f>
        <v>#N/A</v>
      </c>
      <c r="B23" s="37" t="e">
        <f>VLOOKUP(A1,DIV_14Data!$A$1:$DZU$1000000,377,FALSE)</f>
        <v>#N/A</v>
      </c>
      <c r="C23" s="38" t="e">
        <f>VLOOKUP(A1,DIV_14Data!$A$1:$DZU$1000000,378,FALSE)</f>
        <v>#N/A</v>
      </c>
      <c r="D23" s="31" t="e">
        <f>VLOOKUP(A1,DIV_14Data!$A$1:$DZU$1000000,379,FALSE)</f>
        <v>#N/A</v>
      </c>
      <c r="E23" s="32" t="e">
        <f>VLOOKUP(A1,DIV_14Data!$A$1:$DZU$1000000,380,FALSE)</f>
        <v>#N/A</v>
      </c>
      <c r="F23" s="34" t="e">
        <f>VLOOKUP(A1,DIV_14Data!$A$1:$DZU$1000000,381,FALSE)</f>
        <v>#N/A</v>
      </c>
      <c r="G23" s="33" t="e">
        <f>VLOOKUP(A1,DIV_14Data!$A$1:$DZU$1000000,382,FALSE)</f>
        <v>#N/A</v>
      </c>
      <c r="H23" s="34" t="e">
        <f>VLOOKUP(A1,DIV_14Data!$A$1:$DZU$1000000,383,FALSE)</f>
        <v>#N/A</v>
      </c>
      <c r="I23" s="33" t="e">
        <f>VLOOKUP(A1,DIV_14Data!$A$1:$DZU$1000000,384,FALSE)</f>
        <v>#N/A</v>
      </c>
      <c r="J23" s="34" t="e">
        <f>VLOOKUP(A1,DIV_14Data!$A$1:$DZU$1000000,385,FALSE)</f>
        <v>#N/A</v>
      </c>
      <c r="K23" s="34" t="e">
        <f>VLOOKUP(A1,DIV_14Data!$A$1:$DZU$1000000,386,FALSE)</f>
        <v>#N/A</v>
      </c>
      <c r="L23" s="93" t="e">
        <f>VLOOKUP(A1,DIV_14Data!$A$1:$DZU$1000000,387,FALSE)</f>
        <v>#N/A</v>
      </c>
      <c r="M23" s="33" t="e">
        <f>VLOOKUP(A1,DIV_14Data!$A$1:$DZU$1000000,388,FALSE)</f>
        <v>#N/A</v>
      </c>
      <c r="N23" s="34" t="e">
        <f>VLOOKUP(A1,DIV_14Data!$A$1:$DZU$1000000,389,FALSE)</f>
        <v>#N/A</v>
      </c>
      <c r="O23" s="33" t="e">
        <f>VLOOKUP(A1,DIV_14Data!$A$1:$DZU$1000000,390,FALSE)</f>
        <v>#N/A</v>
      </c>
      <c r="P23" s="46" t="e">
        <f>VLOOKUP(A1,DIV_14Data!$A$1:$DZU$1000000,391,FALSE)</f>
        <v>#N/A</v>
      </c>
      <c r="Q23" s="33" t="e">
        <f>VLOOKUP(A1,DIV_14Data!$A$1:$DZU$1000000,392,FALSE)</f>
        <v>#N/A</v>
      </c>
    </row>
    <row r="24" spans="1:17" x14ac:dyDescent="0.35">
      <c r="A24" s="22" t="e">
        <f>VLOOKUP(A1,DIV_14Data!$A$1:$DZU$1000000,393,FALSE)</f>
        <v>#N/A</v>
      </c>
      <c r="B24" s="37" t="e">
        <f>VLOOKUP(A1,DIV_14Data!$A$1:$DZU$1000000,394,FALSE)</f>
        <v>#N/A</v>
      </c>
      <c r="C24" s="38" t="e">
        <f>VLOOKUP(A1,DIV_14Data!$A$1:$DZU$1000000,395,FALSE)</f>
        <v>#N/A</v>
      </c>
      <c r="D24" s="31" t="e">
        <f>VLOOKUP(A1,DIV_14Data!$A$1:$DZU$1000000,396,FALSE)</f>
        <v>#N/A</v>
      </c>
      <c r="E24" s="32" t="e">
        <f>VLOOKUP(A1,DIV_14Data!$A$1:$DZU$1000000,397,FALSE)</f>
        <v>#N/A</v>
      </c>
      <c r="F24" s="34" t="e">
        <f>VLOOKUP(A1,DIV_14Data!$A$1:$DZU$1000000,398,FALSE)</f>
        <v>#N/A</v>
      </c>
      <c r="G24" s="33" t="e">
        <f>VLOOKUP(A1,DIV_14Data!$A$1:$DZU$1000000,399,FALSE)</f>
        <v>#N/A</v>
      </c>
      <c r="H24" s="34" t="e">
        <f>VLOOKUP(A1,DIV_14Data!$A$1:$DZU$1000000,400,FALSE)</f>
        <v>#N/A</v>
      </c>
      <c r="I24" s="33" t="e">
        <f>VLOOKUP(A1,DIV_14Data!$A$1:$DZU$1000000,401,FALSE)</f>
        <v>#N/A</v>
      </c>
      <c r="J24" s="34" t="e">
        <f>VLOOKUP(A1,DIV_14Data!$A$1:$DZU$1000000,402,FALSE)</f>
        <v>#N/A</v>
      </c>
      <c r="K24" s="34" t="e">
        <f>VLOOKUP(A1,DIV_14Data!$A$1:$DZU$1000000,403,FALSE)</f>
        <v>#N/A</v>
      </c>
      <c r="L24" s="93" t="e">
        <f>VLOOKUP(A1,DIV_14Data!$A$1:$DZU$1000000,404,FALSE)</f>
        <v>#N/A</v>
      </c>
      <c r="M24" s="33" t="e">
        <f>VLOOKUP(A1,DIV_14Data!$A$1:$DZU$1000000,405,FALSE)</f>
        <v>#N/A</v>
      </c>
      <c r="N24" s="34" t="e">
        <f>VLOOKUP(A1,DIV_14Data!$A$1:$DZU$1000000,406,FALSE)</f>
        <v>#N/A</v>
      </c>
      <c r="O24" s="33" t="e">
        <f>VLOOKUP(A1,DIV_14Data!$A$1:$DZU$1000000,407,FALSE)</f>
        <v>#N/A</v>
      </c>
      <c r="P24" s="46" t="e">
        <f>VLOOKUP(A1,DIV_14Data!$A$1:$DZU$1000000,408,FALSE)</f>
        <v>#N/A</v>
      </c>
      <c r="Q24" s="33" t="e">
        <f>VLOOKUP(A1,DIV_14Data!$A$1:$DZU$1000000,409,FALSE)</f>
        <v>#N/A</v>
      </c>
    </row>
    <row r="25" spans="1:17" x14ac:dyDescent="0.35">
      <c r="A25" s="22" t="e">
        <f>VLOOKUP(A1,DIV_14Data!$A$1:$DZU$1000000,410,FALSE)</f>
        <v>#N/A</v>
      </c>
      <c r="B25" s="37" t="e">
        <f>VLOOKUP(A1,DIV_14Data!$A$1:$DZU$1000000,411,FALSE)</f>
        <v>#N/A</v>
      </c>
      <c r="C25" s="38" t="e">
        <f>VLOOKUP(A1,DIV_14Data!$A$1:$DZU$1000000,412,FALSE)</f>
        <v>#N/A</v>
      </c>
      <c r="D25" s="31" t="e">
        <f>VLOOKUP(A1,DIV_14Data!$A$1:$DZU$1000000,413,FALSE)</f>
        <v>#N/A</v>
      </c>
      <c r="E25" s="32" t="e">
        <f>VLOOKUP(A1,DIV_14Data!$A$1:$DZU$1000000,414,FALSE)</f>
        <v>#N/A</v>
      </c>
      <c r="F25" s="34" t="e">
        <f>VLOOKUP(A1,DIV_14Data!$A$1:$DZU$1000000,415,FALSE)</f>
        <v>#N/A</v>
      </c>
      <c r="G25" s="33" t="e">
        <f>VLOOKUP(A1,DIV_14Data!$A$1:$DZU$1000000,416,FALSE)</f>
        <v>#N/A</v>
      </c>
      <c r="H25" s="34" t="e">
        <f>VLOOKUP(A1,DIV_14Data!$A$1:$DZU$1000000,417,FALSE)</f>
        <v>#N/A</v>
      </c>
      <c r="I25" s="33" t="e">
        <f>VLOOKUP(A1,DIV_14Data!$A$1:$DZU$1000000,418,FALSE)</f>
        <v>#N/A</v>
      </c>
      <c r="J25" s="34" t="e">
        <f>VLOOKUP(A1,DIV_14Data!$A$1:$DZU$1000000,419,FALSE)</f>
        <v>#N/A</v>
      </c>
      <c r="K25" s="34" t="e">
        <f>VLOOKUP(A1,DIV_14Data!$A$1:$DZU$1000000,420,FALSE)</f>
        <v>#N/A</v>
      </c>
      <c r="L25" s="93" t="e">
        <f>VLOOKUP(A1,DIV_14Data!$A$1:$DZU$1000000,421,FALSE)</f>
        <v>#N/A</v>
      </c>
      <c r="M25" s="33" t="e">
        <f>VLOOKUP(A1,DIV_14Data!$A$1:$DZU$1000000,422,FALSE)</f>
        <v>#N/A</v>
      </c>
      <c r="N25" s="34" t="e">
        <f>VLOOKUP(A1,DIV_14Data!$A$1:$DZU$1000000,423,FALSE)</f>
        <v>#N/A</v>
      </c>
      <c r="O25" s="33" t="e">
        <f>VLOOKUP(A1,DIV_14Data!$A$1:$DZU$1000000,424,FALSE)</f>
        <v>#N/A</v>
      </c>
      <c r="P25" s="46" t="e">
        <f>VLOOKUP(A1,DIV_14Data!$A$1:$DZU$1000000,425,FALSE)</f>
        <v>#N/A</v>
      </c>
      <c r="Q25" s="33" t="e">
        <f>VLOOKUP(A1,DIV_14Data!$A$1:$DZU$1000000,426,FALSE)</f>
        <v>#N/A</v>
      </c>
    </row>
    <row r="26" spans="1:17" x14ac:dyDescent="0.35">
      <c r="A26" s="22" t="e">
        <f>VLOOKUP(A1,DIV_14Data!$A$1:$DZU$1000000,427,FALSE)</f>
        <v>#N/A</v>
      </c>
      <c r="B26" s="37" t="e">
        <f>VLOOKUP(A1,DIV_14Data!$A$1:$DZU$1000000,428,FALSE)</f>
        <v>#N/A</v>
      </c>
      <c r="C26" s="38" t="e">
        <f>VLOOKUP(A1,DIV_14Data!$A$1:$DZU$1000000,429,FALSE)</f>
        <v>#N/A</v>
      </c>
      <c r="D26" s="31" t="e">
        <f>VLOOKUP(A1,DIV_14Data!$A$1:$DZU$1000000,430,FALSE)</f>
        <v>#N/A</v>
      </c>
      <c r="E26" s="32" t="e">
        <f>VLOOKUP(A1,DIV_14Data!$A$1:$DZU$1000000,431,FALSE)</f>
        <v>#N/A</v>
      </c>
      <c r="F26" s="34" t="e">
        <f>VLOOKUP(A1,DIV_14Data!$A$1:$DZU$1000000,432,FALSE)</f>
        <v>#N/A</v>
      </c>
      <c r="G26" s="33" t="e">
        <f>VLOOKUP(A1,DIV_14Data!$A$1:$DZU$1000000,433,FALSE)</f>
        <v>#N/A</v>
      </c>
      <c r="H26" s="34" t="e">
        <f>VLOOKUP(A1,DIV_14Data!$A$1:$DZU$1000000,434,FALSE)</f>
        <v>#N/A</v>
      </c>
      <c r="I26" s="33" t="e">
        <f>VLOOKUP(A1,DIV_14Data!$A$1:$DZU$1000000,435,FALSE)</f>
        <v>#N/A</v>
      </c>
      <c r="J26" s="34" t="e">
        <f>VLOOKUP(A1,DIV_14Data!$A$1:$DZU$1000000,436,FALSE)</f>
        <v>#N/A</v>
      </c>
      <c r="K26" s="34" t="e">
        <f>VLOOKUP(A1,DIV_14Data!$A$1:$DZU$1000000,437,FALSE)</f>
        <v>#N/A</v>
      </c>
      <c r="L26" s="93" t="e">
        <f>VLOOKUP(A1,DIV_14Data!$A$1:$DZU$1000000,438,FALSE)</f>
        <v>#N/A</v>
      </c>
      <c r="M26" s="33" t="e">
        <f>VLOOKUP(A1,DIV_14Data!$A$1:$DZU$1000000,439,FALSE)</f>
        <v>#N/A</v>
      </c>
      <c r="N26" s="34" t="e">
        <f>VLOOKUP(A1,DIV_14Data!$A$1:$DZU$1000000,440,FALSE)</f>
        <v>#N/A</v>
      </c>
      <c r="O26" s="33" t="e">
        <f>VLOOKUP(A1,DIV_14Data!$A$1:$DZU$1000000,441,FALSE)</f>
        <v>#N/A</v>
      </c>
      <c r="P26" s="46" t="e">
        <f>VLOOKUP(A1,DIV_14Data!$A$1:$DZU$1000000,442,FALSE)</f>
        <v>#N/A</v>
      </c>
      <c r="Q26" s="33" t="e">
        <f>VLOOKUP(A1,DIV_14Data!$A$1:$DZU$1000000,443,FALSE)</f>
        <v>#N/A</v>
      </c>
    </row>
    <row r="27" spans="1:17" x14ac:dyDescent="0.35">
      <c r="A27" s="22" t="e">
        <f>VLOOKUP(A1,DIV_14Data!$A$1:$DZU$1000000,444,FALSE)</f>
        <v>#N/A</v>
      </c>
      <c r="B27" s="37" t="e">
        <f>VLOOKUP(A1,DIV_14Data!$A$1:$DZU$1000000,445,FALSE)</f>
        <v>#N/A</v>
      </c>
      <c r="C27" s="38" t="e">
        <f>VLOOKUP(A1,DIV_14Data!$A$1:$DZU$1000000,446,FALSE)</f>
        <v>#N/A</v>
      </c>
      <c r="D27" s="31" t="e">
        <f>VLOOKUP(A1,DIV_14Data!$A$1:$DZU$1000000,447,FALSE)</f>
        <v>#N/A</v>
      </c>
      <c r="E27" s="32" t="e">
        <f>VLOOKUP(A1,DIV_14Data!$A$1:$DZU$1000000,448,FALSE)</f>
        <v>#N/A</v>
      </c>
      <c r="F27" s="34" t="e">
        <f>VLOOKUP(A1,DIV_14Data!$A$1:$DZU$1000000,449,FALSE)</f>
        <v>#N/A</v>
      </c>
      <c r="G27" s="33" t="e">
        <f>VLOOKUP(A1,DIV_14Data!$A$1:$DZU$1000000,450,FALSE)</f>
        <v>#N/A</v>
      </c>
      <c r="H27" s="34" t="e">
        <f>VLOOKUP(A1,DIV_14Data!$A$1:$DZU$1000000,451,FALSE)</f>
        <v>#N/A</v>
      </c>
      <c r="I27" s="33" t="e">
        <f>VLOOKUP(A1,DIV_14Data!$A$1:$DZU$1000000,452,FALSE)</f>
        <v>#N/A</v>
      </c>
      <c r="J27" s="34" t="e">
        <f>VLOOKUP(A1,DIV_14Data!$A$1:$DZU$1000000,453,FALSE)</f>
        <v>#N/A</v>
      </c>
      <c r="K27" s="34" t="e">
        <f>VLOOKUP(A1,DIV_14Data!$A$1:$DZU$1000000,454,FALSE)</f>
        <v>#N/A</v>
      </c>
      <c r="L27" s="93" t="e">
        <f>VLOOKUP(A1,DIV_14Data!$A$1:$DZU$1000000,455,FALSE)</f>
        <v>#N/A</v>
      </c>
      <c r="M27" s="33" t="e">
        <f>VLOOKUP(A1,DIV_14Data!$A$1:$DZU$1000000,456,FALSE)</f>
        <v>#N/A</v>
      </c>
      <c r="N27" s="34" t="e">
        <f>VLOOKUP(A1,DIV_14Data!$A$1:$DZU$1000000,457,FALSE)</f>
        <v>#N/A</v>
      </c>
      <c r="O27" s="33" t="e">
        <f>VLOOKUP(A1,DIV_14Data!$A$1:$DZU$1000000,458,FALSE)</f>
        <v>#N/A</v>
      </c>
      <c r="P27" s="46" t="e">
        <f>VLOOKUP(A1,DIV_14Data!$A$1:$DZU$1000000,459,FALSE)</f>
        <v>#N/A</v>
      </c>
      <c r="Q27" s="33" t="e">
        <f>VLOOKUP(A1,DIV_14Data!$A$1:$DZU$1000000,460,FALSE)</f>
        <v>#N/A</v>
      </c>
    </row>
    <row r="28" spans="1:17" x14ac:dyDescent="0.35">
      <c r="A28" s="22" t="e">
        <f>VLOOKUP(A1,DIV_14Data!$A$1:$DZU$1000000,461,FALSE)</f>
        <v>#N/A</v>
      </c>
      <c r="B28" s="37" t="e">
        <f>VLOOKUP(A1,DIV_14Data!$A$1:$DZU$1000000,462,FALSE)</f>
        <v>#N/A</v>
      </c>
      <c r="C28" s="38" t="e">
        <f>VLOOKUP(A1,DIV_14Data!$A$1:$DZU$1000000,463,FALSE)</f>
        <v>#N/A</v>
      </c>
      <c r="D28" s="31" t="e">
        <f>VLOOKUP(A1,DIV_14Data!$A$1:$DZU$1000000,464,FALSE)</f>
        <v>#N/A</v>
      </c>
      <c r="E28" s="32" t="e">
        <f>VLOOKUP(A1,DIV_14Data!$A$1:$DZU$1000000,465,FALSE)</f>
        <v>#N/A</v>
      </c>
      <c r="F28" s="34" t="e">
        <f>VLOOKUP(A1,DIV_14Data!$A$1:$DZU$1000000,466,FALSE)</f>
        <v>#N/A</v>
      </c>
      <c r="G28" s="33" t="e">
        <f>VLOOKUP(A1,DIV_14Data!$A$1:$DZU$1000000,467,FALSE)</f>
        <v>#N/A</v>
      </c>
      <c r="H28" s="34" t="e">
        <f>VLOOKUP(A1,DIV_14Data!$A$1:$DZU$1000000,468,FALSE)</f>
        <v>#N/A</v>
      </c>
      <c r="I28" s="33" t="e">
        <f>VLOOKUP(A1,DIV_14Data!$A$1:$DZU$1000000,469,FALSE)</f>
        <v>#N/A</v>
      </c>
      <c r="J28" s="34" t="e">
        <f>VLOOKUP(A1,DIV_14Data!$A$1:$DZU$1000000,470,FALSE)</f>
        <v>#N/A</v>
      </c>
      <c r="K28" s="34" t="e">
        <f>VLOOKUP(A1,DIV_14Data!$A$1:$DZU$1000000,471,FALSE)</f>
        <v>#N/A</v>
      </c>
      <c r="L28" s="93" t="e">
        <f>VLOOKUP(A1,DIV_14Data!$A$1:$DZU$1000000,472,FALSE)</f>
        <v>#N/A</v>
      </c>
      <c r="M28" s="33" t="e">
        <f>VLOOKUP(A1,DIV_14Data!$A$1:$DZU$1000000,473,FALSE)</f>
        <v>#N/A</v>
      </c>
      <c r="N28" s="34" t="e">
        <f>VLOOKUP(A1,DIV_14Data!$A$1:$DZU$1000000,474,FALSE)</f>
        <v>#N/A</v>
      </c>
      <c r="O28" s="33" t="e">
        <f>VLOOKUP(A1,DIV_14Data!$A$1:$DZU$1000000,475,FALSE)</f>
        <v>#N/A</v>
      </c>
      <c r="P28" s="46" t="e">
        <f>VLOOKUP(A1,DIV_14Data!$A$1:$DZU$1000000,476,FALSE)</f>
        <v>#N/A</v>
      </c>
      <c r="Q28" s="33" t="e">
        <f>VLOOKUP(A1,DIV_14Data!$A$1:$DZU$1000000,477,FALSE)</f>
        <v>#N/A</v>
      </c>
    </row>
    <row r="29" spans="1:17" x14ac:dyDescent="0.35">
      <c r="A29" s="22" t="e">
        <f>VLOOKUP(A1,DIV_14Data!$A$1:$DZU$1000000,478,FALSE)</f>
        <v>#N/A</v>
      </c>
      <c r="B29" s="37" t="e">
        <f>VLOOKUP(A1,DIV_14Data!$A$1:$DZU$1000000,479,FALSE)</f>
        <v>#N/A</v>
      </c>
      <c r="C29" s="38" t="e">
        <f>VLOOKUP(A1,DIV_14Data!$A$1:$DZU$1000000,480,FALSE)</f>
        <v>#N/A</v>
      </c>
      <c r="D29" s="31" t="e">
        <f>VLOOKUP(A1,DIV_14Data!$A$1:$DZU$1000000,481,FALSE)</f>
        <v>#N/A</v>
      </c>
      <c r="E29" s="32" t="e">
        <f>VLOOKUP(A1,DIV_14Data!$A$1:$DZU$1000000,482,FALSE)</f>
        <v>#N/A</v>
      </c>
      <c r="F29" s="34" t="e">
        <f>VLOOKUP(A1,DIV_14Data!$A$1:$DZU$1000000,483,FALSE)</f>
        <v>#N/A</v>
      </c>
      <c r="G29" s="33" t="e">
        <f>VLOOKUP(A1,DIV_14Data!$A$1:$DZU$1000000,484,FALSE)</f>
        <v>#N/A</v>
      </c>
      <c r="H29" s="34" t="e">
        <f>VLOOKUP(A1,DIV_14Data!$A$1:$DZU$1000000,485,FALSE)</f>
        <v>#N/A</v>
      </c>
      <c r="I29" s="33" t="e">
        <f>VLOOKUP(A1,DIV_14Data!$A$1:$DZU$1000000,486,FALSE)</f>
        <v>#N/A</v>
      </c>
      <c r="J29" s="34" t="e">
        <f>VLOOKUP(A1,DIV_14Data!$A$1:$DZU$1000000,487,FALSE)</f>
        <v>#N/A</v>
      </c>
      <c r="K29" s="34" t="e">
        <f>VLOOKUP(A1,DIV_14Data!$A$1:$DZU$1000000,488,FALSE)</f>
        <v>#N/A</v>
      </c>
      <c r="L29" s="93" t="e">
        <f>VLOOKUP(A1,DIV_14Data!$A$1:$DZU$1000000,489,FALSE)</f>
        <v>#N/A</v>
      </c>
      <c r="M29" s="33" t="e">
        <f>VLOOKUP(A1,DIV_14Data!$A$1:$DZU$1000000,490,FALSE)</f>
        <v>#N/A</v>
      </c>
      <c r="N29" s="34" t="e">
        <f>VLOOKUP(A1,DIV_14Data!$A$1:$DZU$1000000,491,FALSE)</f>
        <v>#N/A</v>
      </c>
      <c r="O29" s="33" t="e">
        <f>VLOOKUP(A1,DIV_14Data!$A$1:$DZU$1000000,492,FALSE)</f>
        <v>#N/A</v>
      </c>
      <c r="P29" s="46" t="e">
        <f>VLOOKUP(A1,DIV_14Data!$A$1:$DZU$1000000,493,FALSE)</f>
        <v>#N/A</v>
      </c>
      <c r="Q29" s="33" t="e">
        <f>VLOOKUP(A1,DIV_14Data!$A$1:$DZU$1000000,494,FALSE)</f>
        <v>#N/A</v>
      </c>
    </row>
    <row r="30" spans="1:17" x14ac:dyDescent="0.35">
      <c r="A30" s="22" t="e">
        <f>VLOOKUP(A1,DIV_14Data!$A$1:$DZU$1000000,495,FALSE)</f>
        <v>#N/A</v>
      </c>
      <c r="B30" s="37" t="e">
        <f>VLOOKUP(A1,DIV_14Data!$A$1:$DZU$1000000,496,FALSE)</f>
        <v>#N/A</v>
      </c>
      <c r="C30" s="38" t="e">
        <f>VLOOKUP(A1,DIV_14Data!$A$1:$DZU$1000000,497,FALSE)</f>
        <v>#N/A</v>
      </c>
      <c r="D30" s="31" t="e">
        <f>VLOOKUP(A1,DIV_14Data!$A$1:$DZU$1000000,498,FALSE)</f>
        <v>#N/A</v>
      </c>
      <c r="E30" s="32" t="e">
        <f>VLOOKUP(A1,DIV_14Data!$A$1:$DZU$1000000,499,FALSE)</f>
        <v>#N/A</v>
      </c>
      <c r="F30" s="34" t="e">
        <f>VLOOKUP(A1,DIV_14Data!$A$1:$DZU$1000000,500,FALSE)</f>
        <v>#N/A</v>
      </c>
      <c r="G30" s="33" t="e">
        <f>VLOOKUP(A1,DIV_14Data!$A$1:$DZU$1000000,501,FALSE)</f>
        <v>#N/A</v>
      </c>
      <c r="H30" s="34" t="e">
        <f>VLOOKUP(A1,DIV_14Data!$A$1:$DZU$1000000,502,FALSE)</f>
        <v>#N/A</v>
      </c>
      <c r="I30" s="33" t="e">
        <f>VLOOKUP(A1,DIV_14Data!$A$1:$DZU$1000000,503,FALSE)</f>
        <v>#N/A</v>
      </c>
      <c r="J30" s="34" t="e">
        <f>VLOOKUP(A1,DIV_14Data!$A$1:$DZU$1000000,504,FALSE)</f>
        <v>#N/A</v>
      </c>
      <c r="K30" s="34" t="e">
        <f>VLOOKUP(A1,DIV_14Data!$A$1:$DZU$1000000,505,FALSE)</f>
        <v>#N/A</v>
      </c>
      <c r="L30" s="93" t="e">
        <f>VLOOKUP(A1,DIV_14Data!$A$1:$DZU$1000000,506,FALSE)</f>
        <v>#N/A</v>
      </c>
      <c r="M30" s="33" t="e">
        <f>VLOOKUP(A1,DIV_14Data!$A$1:$DZU$1000000,507,FALSE)</f>
        <v>#N/A</v>
      </c>
      <c r="N30" s="34" t="e">
        <f>VLOOKUP(A1,DIV_14Data!$A$1:$DZU$1000000,508,FALSE)</f>
        <v>#N/A</v>
      </c>
      <c r="O30" s="33" t="e">
        <f>VLOOKUP(A1,DIV_14Data!$A$1:$DZU$1000000,509,FALSE)</f>
        <v>#N/A</v>
      </c>
      <c r="P30" s="46" t="e">
        <f>VLOOKUP(A1,DIV_14Data!$A$1:$DZU$1000000,510,FALSE)</f>
        <v>#N/A</v>
      </c>
      <c r="Q30" s="33" t="e">
        <f>VLOOKUP(A1,DIV_14Data!$A$1:$DZU$1000000,511,FALSE)</f>
        <v>#N/A</v>
      </c>
    </row>
    <row r="31" spans="1:17" x14ac:dyDescent="0.35">
      <c r="A31" s="22" t="e">
        <f>VLOOKUP(A1,DIV_14Data!$A$1:$DZU$1000000,512,FALSE)</f>
        <v>#N/A</v>
      </c>
      <c r="B31" s="37" t="e">
        <f>VLOOKUP(A1,DIV_14Data!$A$1:$DZU$1000000,513,FALSE)</f>
        <v>#N/A</v>
      </c>
      <c r="C31" s="38" t="e">
        <f>VLOOKUP(A1,DIV_14Data!$A$1:$DZU$1000000,514,FALSE)</f>
        <v>#N/A</v>
      </c>
      <c r="D31" s="31" t="e">
        <f>VLOOKUP(A1,DIV_14Data!$A$1:$DZU$1000000,515,FALSE)</f>
        <v>#N/A</v>
      </c>
      <c r="E31" s="32" t="e">
        <f>VLOOKUP(A1,DIV_14Data!$A$1:$DZU$1000000,516,FALSE)</f>
        <v>#N/A</v>
      </c>
      <c r="F31" s="34" t="e">
        <f>VLOOKUP(A1,DIV_14Data!$A$1:$DZU$1000000,517,FALSE)</f>
        <v>#N/A</v>
      </c>
      <c r="G31" s="33" t="e">
        <f>VLOOKUP(A1,DIV_14Data!$A$1:$DZU$1000000,518,FALSE)</f>
        <v>#N/A</v>
      </c>
      <c r="H31" s="34" t="e">
        <f>VLOOKUP(A1,DIV_14Data!$A$1:$DZU$1000000,519,FALSE)</f>
        <v>#N/A</v>
      </c>
      <c r="I31" s="33" t="e">
        <f>VLOOKUP(A1,DIV_14Data!$A$1:$DZU$1000000,520,FALSE)</f>
        <v>#N/A</v>
      </c>
      <c r="J31" s="34" t="e">
        <f>VLOOKUP(A1,DIV_14Data!$A$1:$DZU$1000000,521,FALSE)</f>
        <v>#N/A</v>
      </c>
      <c r="K31" s="34" t="e">
        <f>VLOOKUP(A1,DIV_14Data!$A$1:$DZU$1000000,522,FALSE)</f>
        <v>#N/A</v>
      </c>
      <c r="L31" s="93" t="e">
        <f>VLOOKUP(A1,DIV_14Data!$A$1:$DZU$1000000,523,FALSE)</f>
        <v>#N/A</v>
      </c>
      <c r="M31" s="33" t="e">
        <f>VLOOKUP(A1,DIV_14Data!$A$1:$DZU$1000000,524,FALSE)</f>
        <v>#N/A</v>
      </c>
      <c r="N31" s="34" t="e">
        <f>VLOOKUP(A1,DIV_14Data!$A$1:$DZU$1000000,525,FALSE)</f>
        <v>#N/A</v>
      </c>
      <c r="O31" s="33" t="e">
        <f>VLOOKUP(A1,DIV_14Data!$A$1:$DZU$1000000,526,FALSE)</f>
        <v>#N/A</v>
      </c>
      <c r="P31" s="46" t="e">
        <f>VLOOKUP(A1,DIV_14Data!$A$1:$DZU$1000000,527,FALSE)</f>
        <v>#N/A</v>
      </c>
      <c r="Q31" s="33" t="e">
        <f>VLOOKUP(A1,DIV_14Data!$A$1:$DZU$1000000,528,FALSE)</f>
        <v>#N/A</v>
      </c>
    </row>
    <row r="32" spans="1:17" x14ac:dyDescent="0.35">
      <c r="A32" s="22" t="e">
        <f>VLOOKUP(A1,DIV_14Data!$A$1:$DZU$1000000,529,FALSE)</f>
        <v>#N/A</v>
      </c>
      <c r="B32" s="37" t="e">
        <f>VLOOKUP(A1,DIV_14Data!$A$1:$DZU$1000000,530,FALSE)</f>
        <v>#N/A</v>
      </c>
      <c r="C32" s="38" t="e">
        <f>VLOOKUP(A1,DIV_14Data!$A$1:$DZU$1000000,531,FALSE)</f>
        <v>#N/A</v>
      </c>
      <c r="D32" s="31" t="e">
        <f>VLOOKUP(A1,DIV_14Data!$A$1:$DZU$1000000,532,FALSE)</f>
        <v>#N/A</v>
      </c>
      <c r="E32" s="32" t="e">
        <f>VLOOKUP(A1,DIV_14Data!$A$1:$DZU$1000000,533,FALSE)</f>
        <v>#N/A</v>
      </c>
      <c r="F32" s="34" t="e">
        <f>VLOOKUP(A1,DIV_14Data!$A$1:$DZU$1000000,534,FALSE)</f>
        <v>#N/A</v>
      </c>
      <c r="G32" s="33" t="e">
        <f>VLOOKUP(A1,DIV_14Data!$A$1:$DZU$1000000,535,FALSE)</f>
        <v>#N/A</v>
      </c>
      <c r="H32" s="34" t="e">
        <f>VLOOKUP(A1,DIV_14Data!$A$1:$DZU$1000000,536,FALSE)</f>
        <v>#N/A</v>
      </c>
      <c r="I32" s="33" t="e">
        <f>VLOOKUP(A1,DIV_14Data!$A$1:$DZU$1000000,537,FALSE)</f>
        <v>#N/A</v>
      </c>
      <c r="J32" s="34" t="e">
        <f>VLOOKUP(A1,DIV_14Data!$A$1:$DZU$1000000,538,FALSE)</f>
        <v>#N/A</v>
      </c>
      <c r="K32" s="34" t="e">
        <f>VLOOKUP(A1,DIV_14Data!$A$1:$DZU$1000000,539,FALSE)</f>
        <v>#N/A</v>
      </c>
      <c r="L32" s="93" t="e">
        <f>VLOOKUP(A1,DIV_14Data!$A$1:$DZU$1000000,540,FALSE)</f>
        <v>#N/A</v>
      </c>
      <c r="M32" s="33" t="e">
        <f>VLOOKUP(A1,DIV_14Data!$A$1:$DZU$1000000,541,FALSE)</f>
        <v>#N/A</v>
      </c>
      <c r="N32" s="34" t="e">
        <f>VLOOKUP(A1,DIV_14Data!$A$1:$DZU$1000000,542,FALSE)</f>
        <v>#N/A</v>
      </c>
      <c r="O32" s="33" t="e">
        <f>VLOOKUP(A1,DIV_14Data!$A$1:$DZU$1000000,543,FALSE)</f>
        <v>#N/A</v>
      </c>
      <c r="P32" s="46" t="e">
        <f>VLOOKUP(A1,DIV_14Data!$A$1:$DZU$1000000,544,FALSE)</f>
        <v>#N/A</v>
      </c>
      <c r="Q32" s="33" t="e">
        <f>VLOOKUP(A1,DIV_14Data!$A$1:$DZU$1000000,545,FALSE)</f>
        <v>#N/A</v>
      </c>
    </row>
    <row r="33" spans="1:17" x14ac:dyDescent="0.35">
      <c r="A33" s="22" t="e">
        <f>VLOOKUP(A1,DIV_14Data!$A$1:$DZU$1000000,546,FALSE)</f>
        <v>#N/A</v>
      </c>
      <c r="B33" s="37" t="e">
        <f>VLOOKUP(A1,DIV_14Data!$A$1:$DZU$1000000,547,FALSE)</f>
        <v>#N/A</v>
      </c>
      <c r="C33" s="38" t="e">
        <f>VLOOKUP(A1,DIV_14Data!$A$1:$DZU$1000000,548,FALSE)</f>
        <v>#N/A</v>
      </c>
      <c r="D33" s="31" t="e">
        <f>VLOOKUP(A1,DIV_14Data!$A$1:$DZU$1000000,549,FALSE)</f>
        <v>#N/A</v>
      </c>
      <c r="E33" s="32" t="e">
        <f>VLOOKUP(A1,DIV_14Data!$A$1:$DZU$1000000,550,FALSE)</f>
        <v>#N/A</v>
      </c>
      <c r="F33" s="34" t="e">
        <f>VLOOKUP(A1,DIV_14Data!$A$1:$DZU$1000000,551,FALSE)</f>
        <v>#N/A</v>
      </c>
      <c r="G33" s="33" t="e">
        <f>VLOOKUP(A1,DIV_14Data!$A$1:$DZU$1000000,552,FALSE)</f>
        <v>#N/A</v>
      </c>
      <c r="H33" s="34" t="e">
        <f>VLOOKUP(A1,DIV_14Data!$A$1:$DZU$1000000,553,FALSE)</f>
        <v>#N/A</v>
      </c>
      <c r="I33" s="33" t="e">
        <f>VLOOKUP(A1,DIV_14Data!$A$1:$DZU$1000000,554,FALSE)</f>
        <v>#N/A</v>
      </c>
      <c r="J33" s="34" t="e">
        <f>VLOOKUP(A1,DIV_14Data!$A$1:$DZU$1000000,555,FALSE)</f>
        <v>#N/A</v>
      </c>
      <c r="K33" s="34" t="e">
        <f>VLOOKUP(A1,DIV_14Data!$A$1:$DZU$1000000,556,FALSE)</f>
        <v>#N/A</v>
      </c>
      <c r="L33" s="93" t="e">
        <f>VLOOKUP(A1,DIV_14Data!$A$1:$DZU$1000000,557,FALSE)</f>
        <v>#N/A</v>
      </c>
      <c r="M33" s="33" t="e">
        <f>VLOOKUP(A1,DIV_14Data!$A$1:$DZU$1000000,558,FALSE)</f>
        <v>#N/A</v>
      </c>
      <c r="N33" s="34" t="e">
        <f>VLOOKUP(A1,DIV_14Data!$A$1:$DZU$1000000,559,FALSE)</f>
        <v>#N/A</v>
      </c>
      <c r="O33" s="33" t="e">
        <f>VLOOKUP(A1,DIV_14Data!$A$1:$DZU$1000000,560,FALSE)</f>
        <v>#N/A</v>
      </c>
      <c r="P33" s="46" t="e">
        <f>VLOOKUP(A1,DIV_14Data!$A$1:$DZU$1000000,561,FALSE)</f>
        <v>#N/A</v>
      </c>
      <c r="Q33" s="33" t="e">
        <f>VLOOKUP(A1,DIV_14Data!$A$1:$DZU$1000000,562,FALSE)</f>
        <v>#N/A</v>
      </c>
    </row>
    <row r="34" spans="1:17" x14ac:dyDescent="0.35">
      <c r="A34" s="22" t="e">
        <f>VLOOKUP(A1,DIV_14Data!$A$1:$DZU$1000000,563,FALSE)</f>
        <v>#N/A</v>
      </c>
      <c r="B34" s="37" t="e">
        <f>VLOOKUP(A1,DIV_14Data!$A$1:$DZU$1000000,564,FALSE)</f>
        <v>#N/A</v>
      </c>
      <c r="C34" s="38" t="e">
        <f>VLOOKUP(A1,DIV_14Data!$A$1:$DZU$1000000,565,FALSE)</f>
        <v>#N/A</v>
      </c>
      <c r="D34" s="31" t="e">
        <f>VLOOKUP(A1,DIV_14Data!$A$1:$DZU$1000000,566,FALSE)</f>
        <v>#N/A</v>
      </c>
      <c r="E34" s="32" t="e">
        <f>VLOOKUP(A1,DIV_14Data!$A$1:$DZU$1000000,567,FALSE)</f>
        <v>#N/A</v>
      </c>
      <c r="F34" s="34" t="e">
        <f>VLOOKUP(A1,DIV_14Data!$A$1:$DZU$1000000,568,FALSE)</f>
        <v>#N/A</v>
      </c>
      <c r="G34" s="33" t="e">
        <f>VLOOKUP(A1,DIV_14Data!$A$1:$DZU$1000000,569,FALSE)</f>
        <v>#N/A</v>
      </c>
      <c r="H34" s="34" t="e">
        <f>VLOOKUP(A1,DIV_14Data!$A$1:$DZU$1000000,570,FALSE)</f>
        <v>#N/A</v>
      </c>
      <c r="I34" s="33" t="e">
        <f>VLOOKUP(A1,DIV_14Data!$A$1:$DZU$1000000,571,FALSE)</f>
        <v>#N/A</v>
      </c>
      <c r="J34" s="34" t="e">
        <f>VLOOKUP(A1,DIV_14Data!$A$1:$DZU$1000000,572,FALSE)</f>
        <v>#N/A</v>
      </c>
      <c r="K34" s="34" t="e">
        <f>VLOOKUP(A1,DIV_14Data!$A$1:$DZU$1000000,573,FALSE)</f>
        <v>#N/A</v>
      </c>
      <c r="L34" s="93" t="e">
        <f>VLOOKUP(A1,DIV_14Data!$A$1:$DZU$1000000,574,FALSE)</f>
        <v>#N/A</v>
      </c>
      <c r="M34" s="33" t="e">
        <f>VLOOKUP(A1,DIV_14Data!$A$1:$DZU$1000000,575,FALSE)</f>
        <v>#N/A</v>
      </c>
      <c r="N34" s="34" t="e">
        <f>VLOOKUP(A1,DIV_14Data!$A$1:$DZU$1000000,576,FALSE)</f>
        <v>#N/A</v>
      </c>
      <c r="O34" s="33" t="e">
        <f>VLOOKUP(A1,DIV_14Data!$A$1:$DZU$1000000,577,FALSE)</f>
        <v>#N/A</v>
      </c>
      <c r="P34" s="46" t="e">
        <f>VLOOKUP(A1,DIV_14Data!$A$1:$DZU$1000000,578,FALSE)</f>
        <v>#N/A</v>
      </c>
      <c r="Q34" s="33" t="e">
        <f>VLOOKUP(A1,DIV_14Data!$A$1:$DZU$1000000,579,FALSE)</f>
        <v>#N/A</v>
      </c>
    </row>
    <row r="35" spans="1:17" x14ac:dyDescent="0.35">
      <c r="A35" s="22" t="e">
        <f>VLOOKUP(A1,DIV_14Data!$A$1:$DZU$1000000,580,FALSE)</f>
        <v>#N/A</v>
      </c>
      <c r="B35" s="37" t="e">
        <f>VLOOKUP(A1,DIV_14Data!$A$1:$DZU$1000000,581,FALSE)</f>
        <v>#N/A</v>
      </c>
      <c r="C35" s="38" t="e">
        <f>VLOOKUP(A1,DIV_14Data!$A$1:$DZU$1000000,582,FALSE)</f>
        <v>#N/A</v>
      </c>
      <c r="D35" s="31" t="e">
        <f>VLOOKUP(A1,DIV_14Data!$A$1:$DZU$1000000,583,FALSE)</f>
        <v>#N/A</v>
      </c>
      <c r="E35" s="32" t="e">
        <f>VLOOKUP(A1,DIV_14Data!$A$1:$DZU$1000000,584,FALSE)</f>
        <v>#N/A</v>
      </c>
      <c r="F35" s="34" t="e">
        <f>VLOOKUP(A1,DIV_14Data!$A$1:$DZU$1000000,585,FALSE)</f>
        <v>#N/A</v>
      </c>
      <c r="G35" s="33" t="e">
        <f>VLOOKUP(A1,DIV_14Data!$A$1:$DZU$1000000,586,FALSE)</f>
        <v>#N/A</v>
      </c>
      <c r="H35" s="34" t="e">
        <f>VLOOKUP(A1,DIV_14Data!$A$1:$DZU$1000000,587,FALSE)</f>
        <v>#N/A</v>
      </c>
      <c r="I35" s="33" t="e">
        <f>VLOOKUP(A1,DIV_14Data!$A$1:$DZU$1000000,588,FALSE)</f>
        <v>#N/A</v>
      </c>
      <c r="J35" s="34" t="e">
        <f>VLOOKUP(A1,DIV_14Data!$A$1:$DZU$1000000,589,FALSE)</f>
        <v>#N/A</v>
      </c>
      <c r="K35" s="34" t="e">
        <f>VLOOKUP(A1,DIV_14Data!$A$1:$DZU$1000000,590,FALSE)</f>
        <v>#N/A</v>
      </c>
      <c r="L35" s="93" t="e">
        <f>VLOOKUP(A1,DIV_14Data!$A$1:$DZU$1000000,591,FALSE)</f>
        <v>#N/A</v>
      </c>
      <c r="M35" s="33" t="e">
        <f>VLOOKUP(A1,DIV_14Data!$A$1:$DZU$1000000,592,FALSE)</f>
        <v>#N/A</v>
      </c>
      <c r="N35" s="34" t="e">
        <f>VLOOKUP(A1,DIV_14Data!$A$1:$DZU$1000000,593,FALSE)</f>
        <v>#N/A</v>
      </c>
      <c r="O35" s="33" t="e">
        <f>VLOOKUP(A1,DIV_14Data!$A$1:$DZU$1000000,594,FALSE)</f>
        <v>#N/A</v>
      </c>
      <c r="P35" s="46" t="e">
        <f>VLOOKUP(A1,DIV_14Data!$A$1:$DZU$1000000,595,FALSE)</f>
        <v>#N/A</v>
      </c>
      <c r="Q35" s="33" t="e">
        <f>VLOOKUP(A1,DIV_14Data!$A$1:$DZU$1000000,596,FALSE)</f>
        <v>#N/A</v>
      </c>
    </row>
    <row r="36" spans="1:17" x14ac:dyDescent="0.35">
      <c r="A36" s="22" t="e">
        <f>VLOOKUP(A1,DIV_14Data!$A$1:$DZU$1000000,597,FALSE)</f>
        <v>#N/A</v>
      </c>
      <c r="B36" s="37" t="e">
        <f>VLOOKUP(A1,DIV_14Data!$A$1:$DZU$1000000,598,FALSE)</f>
        <v>#N/A</v>
      </c>
      <c r="C36" s="38" t="e">
        <f>VLOOKUP(A1,DIV_14Data!$A$1:$DZU$1000000,599,FALSE)</f>
        <v>#N/A</v>
      </c>
      <c r="D36" s="31" t="e">
        <f>VLOOKUP(A1,DIV_14Data!$A$1:$DZU$1000000,600,FALSE)</f>
        <v>#N/A</v>
      </c>
      <c r="E36" s="32" t="e">
        <f>VLOOKUP(A1,DIV_14Data!$A$1:$DZU$1000000,601,FALSE)</f>
        <v>#N/A</v>
      </c>
      <c r="F36" s="34" t="e">
        <f>VLOOKUP(A1,DIV_14Data!$A$1:$DZU$1000000,602,FALSE)</f>
        <v>#N/A</v>
      </c>
      <c r="G36" s="33" t="e">
        <f>VLOOKUP(A1,DIV_14Data!$A$1:$DZU$1000000,603,FALSE)</f>
        <v>#N/A</v>
      </c>
      <c r="H36" s="34" t="e">
        <f>VLOOKUP(A1,DIV_14Data!$A$1:$DZU$1000000,604,FALSE)</f>
        <v>#N/A</v>
      </c>
      <c r="I36" s="33" t="e">
        <f>VLOOKUP(A1,DIV_14Data!$A$1:$DZU$1000000,605,FALSE)</f>
        <v>#N/A</v>
      </c>
      <c r="J36" s="34" t="e">
        <f>VLOOKUP(A1,DIV_14Data!$A$1:$DZU$1000000,606,FALSE)</f>
        <v>#N/A</v>
      </c>
      <c r="K36" s="34" t="e">
        <f>VLOOKUP(A1,DIV_14Data!$A$1:$DZU$1000000,607,FALSE)</f>
        <v>#N/A</v>
      </c>
      <c r="L36" s="93" t="e">
        <f>VLOOKUP(A1,DIV_14Data!$A$1:$DZU$1000000,608,FALSE)</f>
        <v>#N/A</v>
      </c>
      <c r="M36" s="33" t="e">
        <f>VLOOKUP(A1,DIV_14Data!$A$1:$DZU$1000000,609,FALSE)</f>
        <v>#N/A</v>
      </c>
      <c r="N36" s="34" t="e">
        <f>VLOOKUP(A1,DIV_14Data!$A$1:$DZU$1000000,610,FALSE)</f>
        <v>#N/A</v>
      </c>
      <c r="O36" s="33" t="e">
        <f>VLOOKUP(A1,DIV_14Data!$A$1:$DZU$1000000,611,FALSE)</f>
        <v>#N/A</v>
      </c>
      <c r="P36" s="46" t="e">
        <f>VLOOKUP(A1,DIV_14Data!$A$1:$DZU$1000000,612,FALSE)</f>
        <v>#N/A</v>
      </c>
      <c r="Q36" s="33" t="e">
        <f>VLOOKUP(A1,DIV_14Data!$A$1:$DZU$1000000,613,FALSE)</f>
        <v>#N/A</v>
      </c>
    </row>
    <row r="37" spans="1:17" x14ac:dyDescent="0.35">
      <c r="A37" s="22" t="e">
        <f>VLOOKUP(A1,DIV_14Data!$A$1:$DZU$1000000,614,FALSE)</f>
        <v>#N/A</v>
      </c>
      <c r="B37" s="37" t="e">
        <f>VLOOKUP(A1,DIV_14Data!$A$1:$DZU$1000000,615,FALSE)</f>
        <v>#N/A</v>
      </c>
      <c r="C37" s="38" t="e">
        <f>VLOOKUP(A1,DIV_14Data!$A$1:$DZU$1000000,616,FALSE)</f>
        <v>#N/A</v>
      </c>
      <c r="D37" s="31" t="e">
        <f>VLOOKUP(A1,DIV_14Data!$A$1:$DZU$1000000,617,FALSE)</f>
        <v>#N/A</v>
      </c>
      <c r="E37" s="32" t="e">
        <f>VLOOKUP(A1,DIV_14Data!$A$1:$DZU$1000000,618,FALSE)</f>
        <v>#N/A</v>
      </c>
      <c r="F37" s="34" t="e">
        <f>VLOOKUP(A1,DIV_14Data!$A$1:$DZU$1000000,619,FALSE)</f>
        <v>#N/A</v>
      </c>
      <c r="G37" s="33" t="e">
        <f>VLOOKUP(A1,DIV_14Data!$A$1:$DZU$1000000,620,FALSE)</f>
        <v>#N/A</v>
      </c>
      <c r="H37" s="34" t="e">
        <f>VLOOKUP(A1,DIV_14Data!$A$1:$DZU$1000000,621,FALSE)</f>
        <v>#N/A</v>
      </c>
      <c r="I37" s="33" t="e">
        <f>VLOOKUP(A1,DIV_14Data!$A$1:$DZU$1000000,622,FALSE)</f>
        <v>#N/A</v>
      </c>
      <c r="J37" s="34" t="e">
        <f>VLOOKUP(A1,DIV_14Data!$A$1:$DZU$1000000,623,FALSE)</f>
        <v>#N/A</v>
      </c>
      <c r="K37" s="34" t="e">
        <f>VLOOKUP(A1,DIV_14Data!$A$1:$DZU$1000000,624,FALSE)</f>
        <v>#N/A</v>
      </c>
      <c r="L37" s="93" t="e">
        <f>VLOOKUP(A1,DIV_14Data!$A$1:$DZU$1000000,625,FALSE)</f>
        <v>#N/A</v>
      </c>
      <c r="M37" s="33" t="e">
        <f>VLOOKUP(A1,DIV_14Data!$A$1:$DZU$1000000,626,FALSE)</f>
        <v>#N/A</v>
      </c>
      <c r="N37" s="34" t="e">
        <f>VLOOKUP(A1,DIV_14Data!$A$1:$DZU$1000000,627,FALSE)</f>
        <v>#N/A</v>
      </c>
      <c r="O37" s="33" t="e">
        <f>VLOOKUP(A1,DIV_14Data!$A$1:$DZU$1000000,628,FALSE)</f>
        <v>#N/A</v>
      </c>
      <c r="P37" s="46" t="e">
        <f>VLOOKUP(A1,DIV_14Data!$A$1:$DZU$1000000,629,FALSE)</f>
        <v>#N/A</v>
      </c>
      <c r="Q37" s="33" t="e">
        <f>VLOOKUP(A1,DIV_14Data!$A$1:$DZU$1000000,630,FALSE)</f>
        <v>#N/A</v>
      </c>
    </row>
    <row r="38" spans="1:17" x14ac:dyDescent="0.35">
      <c r="A38" s="22" t="e">
        <f>VLOOKUP(A1,DIV_14Data!$A$1:$DZU$1000000,631,FALSE)</f>
        <v>#N/A</v>
      </c>
      <c r="B38" s="37" t="e">
        <f>VLOOKUP(A1,DIV_14Data!$A$1:$DZU$1000000,632,FALSE)</f>
        <v>#N/A</v>
      </c>
      <c r="C38" s="38" t="e">
        <f>VLOOKUP(A1,DIV_14Data!$A$1:$DZU$1000000,633,FALSE)</f>
        <v>#N/A</v>
      </c>
      <c r="D38" s="31" t="e">
        <f>VLOOKUP(A1,DIV_14Data!$A$1:$DZU$1000000,634,FALSE)</f>
        <v>#N/A</v>
      </c>
      <c r="E38" s="32" t="e">
        <f>VLOOKUP(A1,DIV_14Data!$A$1:$DZU$1000000,635,FALSE)</f>
        <v>#N/A</v>
      </c>
      <c r="F38" s="34" t="e">
        <f>VLOOKUP(A1,DIV_14Data!$A$1:$DZU$1000000,636,FALSE)</f>
        <v>#N/A</v>
      </c>
      <c r="G38" s="33" t="e">
        <f>VLOOKUP(A1,DIV_14Data!$A$1:$DZU$1000000,637,FALSE)</f>
        <v>#N/A</v>
      </c>
      <c r="H38" s="34" t="e">
        <f>VLOOKUP(A1,DIV_14Data!$A$1:$DZU$1000000,638,FALSE)</f>
        <v>#N/A</v>
      </c>
      <c r="I38" s="33" t="e">
        <f>VLOOKUP(A1,DIV_14Data!$A$1:$DZU$1000000,639,FALSE)</f>
        <v>#N/A</v>
      </c>
      <c r="J38" s="34" t="e">
        <f>VLOOKUP(A1,DIV_14Data!$A$1:$DZU$1000000,640,FALSE)</f>
        <v>#N/A</v>
      </c>
      <c r="K38" s="34" t="e">
        <f>VLOOKUP(A1,DIV_14Data!$A$1:$DZU$1000000,641,FALSE)</f>
        <v>#N/A</v>
      </c>
      <c r="L38" s="93" t="e">
        <f>VLOOKUP(A1,DIV_14Data!$A$1:$DZU$1000000,642,FALSE)</f>
        <v>#N/A</v>
      </c>
      <c r="M38" s="33" t="e">
        <f>VLOOKUP(A1,DIV_14Data!$A$1:$DZU$1000000,643,FALSE)</f>
        <v>#N/A</v>
      </c>
      <c r="N38" s="34" t="e">
        <f>VLOOKUP(A1,DIV_14Data!$A$1:$DZU$1000000,644,FALSE)</f>
        <v>#N/A</v>
      </c>
      <c r="O38" s="33" t="e">
        <f>VLOOKUP(A1,DIV_14Data!$A$1:$DZU$1000000,645,FALSE)</f>
        <v>#N/A</v>
      </c>
      <c r="P38" s="46" t="e">
        <f>VLOOKUP(A1,DIV_14Data!$A$1:$DZU$1000000,646,FALSE)</f>
        <v>#N/A</v>
      </c>
      <c r="Q38" s="33" t="e">
        <f>VLOOKUP(A1,DIV_14Data!$A$1:$DZU$1000000,647,FALSE)</f>
        <v>#N/A</v>
      </c>
    </row>
    <row r="39" spans="1:17" x14ac:dyDescent="0.35">
      <c r="A39" s="22" t="e">
        <f>VLOOKUP(A1,DIV_14Data!$A$1:$DZU$1000000,648,FALSE)</f>
        <v>#N/A</v>
      </c>
      <c r="B39" s="37" t="e">
        <f>VLOOKUP(A1,DIV_14Data!$A$1:$DZU$1000000,649,FALSE)</f>
        <v>#N/A</v>
      </c>
      <c r="C39" s="38" t="e">
        <f>VLOOKUP(A1,DIV_14Data!$A$1:$DZU$1000000,650,FALSE)</f>
        <v>#N/A</v>
      </c>
      <c r="D39" s="31" t="e">
        <f>VLOOKUP(A1,DIV_14Data!$A$1:$DZU$1000000,651,FALSE)</f>
        <v>#N/A</v>
      </c>
      <c r="E39" s="32" t="e">
        <f>VLOOKUP(A1,DIV_14Data!$A$1:$DZU$1000000,652,FALSE)</f>
        <v>#N/A</v>
      </c>
      <c r="F39" s="34" t="e">
        <f>VLOOKUP(A1,DIV_14Data!$A$1:$DZU$1000000,653,FALSE)</f>
        <v>#N/A</v>
      </c>
      <c r="G39" s="33" t="e">
        <f>VLOOKUP(A1,DIV_14Data!$A$1:$DZU$1000000,654,FALSE)</f>
        <v>#N/A</v>
      </c>
      <c r="H39" s="34" t="e">
        <f>VLOOKUP(A1,DIV_14Data!$A$1:$DZU$1000000,655,FALSE)</f>
        <v>#N/A</v>
      </c>
      <c r="I39" s="33" t="e">
        <f>VLOOKUP(A1,DIV_14Data!$A$1:$DZU$1000000,656,FALSE)</f>
        <v>#N/A</v>
      </c>
      <c r="J39" s="34" t="e">
        <f>VLOOKUP(A1,DIV_14Data!$A$1:$DZU$1000000,657,FALSE)</f>
        <v>#N/A</v>
      </c>
      <c r="K39" s="34" t="e">
        <f>VLOOKUP(A1,DIV_14Data!$A$1:$DZU$1000000,658,FALSE)</f>
        <v>#N/A</v>
      </c>
      <c r="L39" s="93" t="e">
        <f>VLOOKUP(A1,DIV_14Data!$A$1:$DZU$1000000,659,FALSE)</f>
        <v>#N/A</v>
      </c>
      <c r="M39" s="33" t="e">
        <f>VLOOKUP(A1,DIV_14Data!$A$1:$DZU$1000000,660,FALSE)</f>
        <v>#N/A</v>
      </c>
      <c r="N39" s="34" t="e">
        <f>VLOOKUP(A1,DIV_14Data!$A$1:$DZU$1000000,661,FALSE)</f>
        <v>#N/A</v>
      </c>
      <c r="O39" s="33" t="e">
        <f>VLOOKUP(A1,DIV_14Data!$A$1:$DZU$1000000,662,FALSE)</f>
        <v>#N/A</v>
      </c>
      <c r="P39" s="46" t="e">
        <f>VLOOKUP(A1,DIV_14Data!$A$1:$DZU$1000000,663,FALSE)</f>
        <v>#N/A</v>
      </c>
      <c r="Q39" s="33" t="e">
        <f>VLOOKUP(A1,DIV_14Data!$A$1:$DZU$1000000,664,FALSE)</f>
        <v>#N/A</v>
      </c>
    </row>
    <row r="40" spans="1:17" x14ac:dyDescent="0.35">
      <c r="A40" s="22" t="e">
        <f>VLOOKUP(A1,DIV_14Data!$A$1:$DZU$1000000,665,FALSE)</f>
        <v>#N/A</v>
      </c>
      <c r="B40" s="37" t="e">
        <f>VLOOKUP(A1,DIV_14Data!$A$1:$DZU$1000000,666,FALSE)</f>
        <v>#N/A</v>
      </c>
      <c r="C40" s="38" t="e">
        <f>VLOOKUP(A1,DIV_14Data!$A$1:$DZU$1000000,667,FALSE)</f>
        <v>#N/A</v>
      </c>
      <c r="D40" s="31" t="e">
        <f>VLOOKUP(A1,DIV_14Data!$A$1:$DZU$1000000,668,FALSE)</f>
        <v>#N/A</v>
      </c>
      <c r="E40" s="32" t="e">
        <f>VLOOKUP(A1,DIV_14Data!$A$1:$DZU$1000000,669,FALSE)</f>
        <v>#N/A</v>
      </c>
      <c r="F40" s="34" t="e">
        <f>VLOOKUP(A1,DIV_14Data!$A$1:$DZU$1000000,670,FALSE)</f>
        <v>#N/A</v>
      </c>
      <c r="G40" s="33" t="e">
        <f>VLOOKUP(A1,DIV_14Data!$A$1:$DZU$1000000,671,FALSE)</f>
        <v>#N/A</v>
      </c>
      <c r="H40" s="34" t="e">
        <f>VLOOKUP(A1,DIV_14Data!$A$1:$DZU$1000000,672,FALSE)</f>
        <v>#N/A</v>
      </c>
      <c r="I40" s="33" t="e">
        <f>VLOOKUP(A1,DIV_14Data!$A$1:$DZU$1000000,673,FALSE)</f>
        <v>#N/A</v>
      </c>
      <c r="J40" s="34" t="e">
        <f>VLOOKUP(A1,DIV_14Data!$A$1:$DZU$1000000,674,FALSE)</f>
        <v>#N/A</v>
      </c>
      <c r="K40" s="34" t="e">
        <f>VLOOKUP(A1,DIV_14Data!$A$1:$DZU$1000000,675,FALSE)</f>
        <v>#N/A</v>
      </c>
      <c r="L40" s="93" t="e">
        <f>VLOOKUP(A1,DIV_14Data!$A$1:$DZU$1000000,676,FALSE)</f>
        <v>#N/A</v>
      </c>
      <c r="M40" s="33" t="e">
        <f>VLOOKUP(A1,DIV_14Data!$A$1:$DZU$1000000,677,FALSE)</f>
        <v>#N/A</v>
      </c>
      <c r="N40" s="34" t="e">
        <f>VLOOKUP(A1,DIV_14Data!$A$1:$DZU$1000000,678,FALSE)</f>
        <v>#N/A</v>
      </c>
      <c r="O40" s="33" t="e">
        <f>VLOOKUP(A1,DIV_14Data!$A$1:$DZU$1000000,679,FALSE)</f>
        <v>#N/A</v>
      </c>
      <c r="P40" s="46" t="e">
        <f>VLOOKUP(A1,DIV_14Data!$A$1:$DZU$1000000,680,FALSE)</f>
        <v>#N/A</v>
      </c>
      <c r="Q40" s="33" t="e">
        <f>VLOOKUP(A1,DIV_14Data!$A$1:$DZU$1000000,681,FALSE)</f>
        <v>#N/A</v>
      </c>
    </row>
    <row r="41" spans="1:17" x14ac:dyDescent="0.35">
      <c r="A41" s="22" t="e">
        <f>VLOOKUP(A1,DIV_14Data!$A$1:$DZU$1000000,682,FALSE)</f>
        <v>#N/A</v>
      </c>
      <c r="B41" s="37" t="e">
        <f>VLOOKUP(A1,DIV_14Data!$A$1:$DZU$1000000,683,FALSE)</f>
        <v>#N/A</v>
      </c>
      <c r="C41" s="38" t="e">
        <f>VLOOKUP(A1,DIV_14Data!$A$1:$DZU$1000000,684,FALSE)</f>
        <v>#N/A</v>
      </c>
      <c r="D41" s="31" t="e">
        <f>VLOOKUP(A1,DIV_14Data!$A$1:$DZU$1000000,685,FALSE)</f>
        <v>#N/A</v>
      </c>
      <c r="E41" s="32" t="e">
        <f>VLOOKUP(A1,DIV_14Data!$A$1:$DZU$1000000,686,FALSE)</f>
        <v>#N/A</v>
      </c>
      <c r="F41" s="34" t="e">
        <f>VLOOKUP(A1,DIV_14Data!$A$1:$DZU$1000000,687,FALSE)</f>
        <v>#N/A</v>
      </c>
      <c r="G41" s="33" t="e">
        <f>VLOOKUP(A1,DIV_14Data!$A$1:$DZU$1000000,688,FALSE)</f>
        <v>#N/A</v>
      </c>
      <c r="H41" s="34" t="e">
        <f>VLOOKUP(A1,DIV_14Data!$A$1:$DZU$1000000,689,FALSE)</f>
        <v>#N/A</v>
      </c>
      <c r="I41" s="33" t="e">
        <f>VLOOKUP(A1,DIV_14Data!$A$1:$DZU$1000000,690,FALSE)</f>
        <v>#N/A</v>
      </c>
      <c r="J41" s="34" t="e">
        <f>VLOOKUP(A1,DIV_14Data!$A$1:$DZU$1000000,691,FALSE)</f>
        <v>#N/A</v>
      </c>
      <c r="K41" s="34" t="e">
        <f>VLOOKUP(A1,DIV_14Data!$A$1:$DZU$1000000,692,FALSE)</f>
        <v>#N/A</v>
      </c>
      <c r="L41" s="93" t="e">
        <f>VLOOKUP(A1,DIV_14Data!$A$1:$DZU$1000000,693,FALSE)</f>
        <v>#N/A</v>
      </c>
      <c r="M41" s="33" t="e">
        <f>VLOOKUP(A1,DIV_14Data!$A$1:$DZU$1000000,694,FALSE)</f>
        <v>#N/A</v>
      </c>
      <c r="N41" s="34" t="e">
        <f>VLOOKUP(A1,DIV_14Data!$A$1:$DZU$1000000,695,FALSE)</f>
        <v>#N/A</v>
      </c>
      <c r="O41" s="33" t="e">
        <f>VLOOKUP(A1,DIV_14Data!$A$1:$DZU$1000000,696,FALSE)</f>
        <v>#N/A</v>
      </c>
      <c r="P41" s="46" t="e">
        <f>VLOOKUP(A1,DIV_14Data!$A$1:$DZU$1000000,697,FALSE)</f>
        <v>#N/A</v>
      </c>
      <c r="Q41" s="33" t="e">
        <f>VLOOKUP(A1,DIV_14Data!$A$1:$DZU$1000000,698,FALSE)</f>
        <v>#N/A</v>
      </c>
    </row>
    <row r="42" spans="1:17" x14ac:dyDescent="0.35">
      <c r="A42" s="22" t="e">
        <f>VLOOKUP(A1,DIV_14Data!$A$1:$DZU$1000000,699,FALSE)</f>
        <v>#N/A</v>
      </c>
      <c r="B42" s="37" t="e">
        <f>VLOOKUP(A1,DIV_14Data!$A$1:$DZU$1000000,700,FALSE)</f>
        <v>#N/A</v>
      </c>
      <c r="C42" s="38" t="e">
        <f>VLOOKUP(A1,DIV_14Data!$A$1:$DZU$1000000,701,FALSE)</f>
        <v>#N/A</v>
      </c>
      <c r="D42" s="31" t="e">
        <f>VLOOKUP(A1,DIV_14Data!$A$1:$DZU$1000000,702,FALSE)</f>
        <v>#N/A</v>
      </c>
      <c r="E42" s="32" t="e">
        <f>VLOOKUP(A1,DIV_14Data!$A$1:$DZU$1000000,703,FALSE)</f>
        <v>#N/A</v>
      </c>
      <c r="F42" s="34" t="e">
        <f>VLOOKUP(A1,DIV_14Data!$A$1:$DZU$1000000,704,FALSE)</f>
        <v>#N/A</v>
      </c>
      <c r="G42" s="33" t="e">
        <f>VLOOKUP(A1,DIV_14Data!$A$1:$DZU$1000000,705,FALSE)</f>
        <v>#N/A</v>
      </c>
      <c r="H42" s="34" t="e">
        <f>VLOOKUP(A1,DIV_14Data!$A$1:$DZU$1000000,706,FALSE)</f>
        <v>#N/A</v>
      </c>
      <c r="I42" s="33" t="e">
        <f>VLOOKUP(A1,DIV_14Data!$A$1:$DZU$1000000,707,FALSE)</f>
        <v>#N/A</v>
      </c>
      <c r="J42" s="34" t="e">
        <f>VLOOKUP(A1,DIV_14Data!$A$1:$DZU$1000000,708,FALSE)</f>
        <v>#N/A</v>
      </c>
      <c r="K42" s="34" t="e">
        <f>VLOOKUP(A1,DIV_14Data!$A$1:$DZU$1000000,709,FALSE)</f>
        <v>#N/A</v>
      </c>
      <c r="L42" s="93" t="e">
        <f>VLOOKUP(A1,DIV_14Data!$A$1:$DZU$1000000,710,FALSE)</f>
        <v>#N/A</v>
      </c>
      <c r="M42" s="33" t="e">
        <f>VLOOKUP(A1,DIV_14Data!$A$1:$DZU$1000000,711,FALSE)</f>
        <v>#N/A</v>
      </c>
      <c r="N42" s="34" t="e">
        <f>VLOOKUP(A1,DIV_14Data!$A$1:$DZU$1000000,712,FALSE)</f>
        <v>#N/A</v>
      </c>
      <c r="O42" s="33" t="e">
        <f>VLOOKUP(A1,DIV_14Data!$A$1:$DZU$1000000,713,FALSE)</f>
        <v>#N/A</v>
      </c>
      <c r="P42" s="46" t="e">
        <f>VLOOKUP(A1,DIV_14Data!$A$1:$DZU$1000000,714,FALSE)</f>
        <v>#N/A</v>
      </c>
      <c r="Q42" s="33" t="e">
        <f>VLOOKUP(A1,DIV_14Data!$A$1:$DZU$1000000,715,FALSE)</f>
        <v>#N/A</v>
      </c>
    </row>
    <row r="43" spans="1:17" x14ac:dyDescent="0.35">
      <c r="A43" s="22" t="e">
        <f>VLOOKUP(A1,DIV_14Data!$A$1:$DZU$1000000,716,FALSE)</f>
        <v>#N/A</v>
      </c>
      <c r="B43" s="37" t="e">
        <f>VLOOKUP(A1,DIV_14Data!$A$1:$DZU$1000000,717,FALSE)</f>
        <v>#N/A</v>
      </c>
      <c r="C43" s="38" t="e">
        <f>VLOOKUP(A1,DIV_14Data!$A$1:$DZU$1000000,718,FALSE)</f>
        <v>#N/A</v>
      </c>
      <c r="D43" s="31" t="e">
        <f>VLOOKUP(A1,DIV_14Data!$A$1:$DZU$1000000,719,FALSE)</f>
        <v>#N/A</v>
      </c>
      <c r="E43" s="32" t="e">
        <f>VLOOKUP(A1,DIV_14Data!$A$1:$DZU$1000000,720,FALSE)</f>
        <v>#N/A</v>
      </c>
      <c r="F43" s="34" t="e">
        <f>VLOOKUP(A1,DIV_14Data!$A$1:$DZU$1000000,721,FALSE)</f>
        <v>#N/A</v>
      </c>
      <c r="G43" s="33" t="e">
        <f>VLOOKUP(A1,DIV_14Data!$A$1:$DZU$1000000,722,FALSE)</f>
        <v>#N/A</v>
      </c>
      <c r="H43" s="34" t="e">
        <f>VLOOKUP(A1,DIV_14Data!$A$1:$DZU$1000000,723,FALSE)</f>
        <v>#N/A</v>
      </c>
      <c r="I43" s="33" t="e">
        <f>VLOOKUP(A1,DIV_14Data!$A$1:$DZU$1000000,724,FALSE)</f>
        <v>#N/A</v>
      </c>
      <c r="J43" s="34" t="e">
        <f>VLOOKUP(A1,DIV_14Data!$A$1:$DZU$1000000,725,FALSE)</f>
        <v>#N/A</v>
      </c>
      <c r="K43" s="34" t="e">
        <f>VLOOKUP(A1,DIV_14Data!$A$1:$DZU$1000000,726,FALSE)</f>
        <v>#N/A</v>
      </c>
      <c r="L43" s="93" t="e">
        <f>VLOOKUP(A1,DIV_14Data!$A$1:$DZU$1000000,727,FALSE)</f>
        <v>#N/A</v>
      </c>
      <c r="M43" s="33" t="e">
        <f>VLOOKUP(A1,DIV_14Data!$A$1:$DZU$1000000,728,FALSE)</f>
        <v>#N/A</v>
      </c>
      <c r="N43" s="34" t="e">
        <f>VLOOKUP(A1,DIV_14Data!$A$1:$DZU$1000000,729,FALSE)</f>
        <v>#N/A</v>
      </c>
      <c r="O43" s="33" t="e">
        <f>VLOOKUP(A1,DIV_14Data!$A$1:$DZU$1000000,730,FALSE)</f>
        <v>#N/A</v>
      </c>
      <c r="P43" s="46" t="e">
        <f>VLOOKUP(A1,DIV_14Data!$A$1:$DZU$1000000,731,FALSE)</f>
        <v>#N/A</v>
      </c>
      <c r="Q43" s="33" t="e">
        <f>VLOOKUP(A1,DIV_14Data!$A$1:$DZU$1000000,732,FALSE)</f>
        <v>#N/A</v>
      </c>
    </row>
    <row r="44" spans="1:17" x14ac:dyDescent="0.35">
      <c r="A44" s="22" t="e">
        <f>VLOOKUP(A1,DIV_14Data!$A$1:$DZU$1000000,733,FALSE)</f>
        <v>#N/A</v>
      </c>
      <c r="B44" s="37" t="e">
        <f>VLOOKUP(A1,DIV_14Data!$A$1:$DZU$1000000,734,FALSE)</f>
        <v>#N/A</v>
      </c>
      <c r="C44" s="38" t="e">
        <f>VLOOKUP(A1,DIV_14Data!$A$1:$DZU$1000000,735,FALSE)</f>
        <v>#N/A</v>
      </c>
      <c r="D44" s="31" t="e">
        <f>VLOOKUP(A1,DIV_14Data!$A$1:$DZU$1000000,736,FALSE)</f>
        <v>#N/A</v>
      </c>
      <c r="E44" s="32" t="e">
        <f>VLOOKUP(A1,DIV_14Data!$A$1:$DZU$1000000,737,FALSE)</f>
        <v>#N/A</v>
      </c>
      <c r="F44" s="34" t="e">
        <f>VLOOKUP(A1,DIV_14Data!$A$1:$DZU$1000000,738,FALSE)</f>
        <v>#N/A</v>
      </c>
      <c r="G44" s="33" t="e">
        <f>VLOOKUP(A1,DIV_14Data!$A$1:$DZU$1000000,739,FALSE)</f>
        <v>#N/A</v>
      </c>
      <c r="H44" s="34" t="e">
        <f>VLOOKUP(A1,DIV_14Data!$A$1:$DZU$1000000,740,FALSE)</f>
        <v>#N/A</v>
      </c>
      <c r="I44" s="33" t="e">
        <f>VLOOKUP(A1,DIV_14Data!$A$1:$DZU$1000000,741,FALSE)</f>
        <v>#N/A</v>
      </c>
      <c r="J44" s="34" t="e">
        <f>VLOOKUP(A1,DIV_14Data!$A$1:$DZU$1000000,742,FALSE)</f>
        <v>#N/A</v>
      </c>
      <c r="K44" s="34" t="e">
        <f>VLOOKUP(A1,DIV_14Data!$A$1:$DZU$1000000,743,FALSE)</f>
        <v>#N/A</v>
      </c>
      <c r="L44" s="93" t="e">
        <f>VLOOKUP(A1,DIV_14Data!$A$1:$DZU$1000000,744,FALSE)</f>
        <v>#N/A</v>
      </c>
      <c r="M44" s="33" t="e">
        <f>VLOOKUP(A1,DIV_14Data!$A$1:$DZU$1000000,745,FALSE)</f>
        <v>#N/A</v>
      </c>
      <c r="N44" s="34" t="e">
        <f>VLOOKUP(A1,DIV_14Data!$A$1:$DZU$1000000,746,FALSE)</f>
        <v>#N/A</v>
      </c>
      <c r="O44" s="33" t="e">
        <f>VLOOKUP(A1,DIV_14Data!$A$1:$DZU$1000000,747,FALSE)</f>
        <v>#N/A</v>
      </c>
      <c r="P44" s="46" t="e">
        <f>VLOOKUP(A1,DIV_14Data!$A$1:$DZU$1000000,748,FALSE)</f>
        <v>#N/A</v>
      </c>
      <c r="Q44" s="33" t="e">
        <f>VLOOKUP(A1,DIV_14Data!$A$1:$DZU$1000000,749,FALSE)</f>
        <v>#N/A</v>
      </c>
    </row>
    <row r="45" spans="1:17" x14ac:dyDescent="0.35">
      <c r="A45" s="22" t="e">
        <f>VLOOKUP(A1,DIV_14Data!$A$1:$DZU$1000000,750,FALSE)</f>
        <v>#N/A</v>
      </c>
      <c r="B45" s="37" t="e">
        <f>VLOOKUP(A1,DIV_14Data!$A$1:$DZU$1000000,751,FALSE)</f>
        <v>#N/A</v>
      </c>
      <c r="C45" s="38" t="e">
        <f>VLOOKUP(A1,DIV_14Data!$A$1:$DZU$1000000,752,FALSE)</f>
        <v>#N/A</v>
      </c>
      <c r="D45" s="31" t="e">
        <f>VLOOKUP(A1,DIV_14Data!$A$1:$DZU$1000000,753,FALSE)</f>
        <v>#N/A</v>
      </c>
      <c r="E45" s="32" t="e">
        <f>VLOOKUP(A1,DIV_14Data!$A$1:$DZU$1000000,754,FALSE)</f>
        <v>#N/A</v>
      </c>
      <c r="F45" s="34" t="e">
        <f>VLOOKUP(A1,DIV_14Data!$A$1:$DZU$1000000,755,FALSE)</f>
        <v>#N/A</v>
      </c>
      <c r="G45" s="33" t="e">
        <f>VLOOKUP(A1,DIV_14Data!$A$1:$DZU$1000000,756,FALSE)</f>
        <v>#N/A</v>
      </c>
      <c r="H45" s="34" t="e">
        <f>VLOOKUP(A1,DIV_14Data!$A$1:$DZU$1000000,757,FALSE)</f>
        <v>#N/A</v>
      </c>
      <c r="I45" s="33" t="e">
        <f>VLOOKUP(A1,DIV_14Data!$A$1:$DZU$1000000,758,FALSE)</f>
        <v>#N/A</v>
      </c>
      <c r="J45" s="34" t="e">
        <f>VLOOKUP(A1,DIV_14Data!$A$1:$DZU$1000000,759,FALSE)</f>
        <v>#N/A</v>
      </c>
      <c r="K45" s="34" t="e">
        <f>VLOOKUP(A1,DIV_14Data!$A$1:$DZU$1000000,760,FALSE)</f>
        <v>#N/A</v>
      </c>
      <c r="L45" s="93" t="e">
        <f>VLOOKUP(A1,DIV_14Data!$A$1:$DZU$1000000,761,FALSE)</f>
        <v>#N/A</v>
      </c>
      <c r="M45" s="33" t="e">
        <f>VLOOKUP(A1,DIV_14Data!$A$1:$DZU$1000000,762,FALSE)</f>
        <v>#N/A</v>
      </c>
      <c r="N45" s="34" t="e">
        <f>VLOOKUP(A1,DIV_14Data!$A$1:$DZU$1000000,763,FALSE)</f>
        <v>#N/A</v>
      </c>
      <c r="O45" s="33" t="e">
        <f>VLOOKUP(A1,DIV_14Data!$A$1:$DZU$1000000,764,FALSE)</f>
        <v>#N/A</v>
      </c>
      <c r="P45" s="46" t="e">
        <f>VLOOKUP(A1,DIV_14Data!$A$1:$DZU$1000000,765,FALSE)</f>
        <v>#N/A</v>
      </c>
      <c r="Q45" s="33" t="e">
        <f>VLOOKUP(A1,DIV_14Data!$A$1:$DZU$1000000,766,FALSE)</f>
        <v>#N/A</v>
      </c>
    </row>
    <row r="46" spans="1:17" x14ac:dyDescent="0.35">
      <c r="A46" s="22" t="e">
        <f>VLOOKUP(A1,DIV_14Data!$A$1:$DZU$1000000,767,FALSE)</f>
        <v>#N/A</v>
      </c>
      <c r="B46" s="37" t="e">
        <f>VLOOKUP(A1,DIV_14Data!$A$1:$DZU$1000000,768,FALSE)</f>
        <v>#N/A</v>
      </c>
      <c r="C46" s="38" t="e">
        <f>VLOOKUP(A1,DIV_14Data!$A$1:$DZU$1000000,769,FALSE)</f>
        <v>#N/A</v>
      </c>
      <c r="D46" s="31" t="e">
        <f>VLOOKUP(A1,DIV_14Data!$A$1:$DZU$1000000,770,FALSE)</f>
        <v>#N/A</v>
      </c>
      <c r="E46" s="32" t="e">
        <f>VLOOKUP(A1,DIV_14Data!$A$1:$DZU$1000000,771,FALSE)</f>
        <v>#N/A</v>
      </c>
      <c r="F46" s="34" t="e">
        <f>VLOOKUP(A1,DIV_14Data!$A$1:$DZU$1000000,772,FALSE)</f>
        <v>#N/A</v>
      </c>
      <c r="G46" s="33" t="e">
        <f>VLOOKUP(A1,DIV_14Data!$A$1:$DZU$1000000,773,FALSE)</f>
        <v>#N/A</v>
      </c>
      <c r="H46" s="34" t="e">
        <f>VLOOKUP(A1,DIV_14Data!$A$1:$DZU$1000000,774,FALSE)</f>
        <v>#N/A</v>
      </c>
      <c r="I46" s="33" t="e">
        <f>VLOOKUP(A1,DIV_14Data!$A$1:$DZU$1000000,775,FALSE)</f>
        <v>#N/A</v>
      </c>
      <c r="J46" s="34" t="e">
        <f>VLOOKUP(A1,DIV_14Data!$A$1:$DZU$1000000,776,FALSE)</f>
        <v>#N/A</v>
      </c>
      <c r="K46" s="34" t="e">
        <f>VLOOKUP(A1,DIV_14Data!$A$1:$DZU$1000000,777,FALSE)</f>
        <v>#N/A</v>
      </c>
      <c r="L46" s="93" t="e">
        <f>VLOOKUP(A1,DIV_14Data!$A$1:$DZU$1000000,778,FALSE)</f>
        <v>#N/A</v>
      </c>
      <c r="M46" s="33" t="e">
        <f>VLOOKUP(A1,DIV_14Data!$A$1:$DZU$1000000,779,FALSE)</f>
        <v>#N/A</v>
      </c>
      <c r="N46" s="34" t="e">
        <f>VLOOKUP(A1,DIV_14Data!$A$1:$DZU$1000000,780,FALSE)</f>
        <v>#N/A</v>
      </c>
      <c r="O46" s="33" t="e">
        <f>VLOOKUP(A1,DIV_14Data!$A$1:$DZU$1000000,781,FALSE)</f>
        <v>#N/A</v>
      </c>
      <c r="P46" s="46" t="e">
        <f>VLOOKUP(A1,DIV_14Data!$A$1:$DZU$1000000,782,FALSE)</f>
        <v>#N/A</v>
      </c>
      <c r="Q46" s="33" t="e">
        <f>VLOOKUP(A1,DIV_14Data!$A$1:$DZU$1000000,783,FALSE)</f>
        <v>#N/A</v>
      </c>
    </row>
    <row r="47" spans="1:17" x14ac:dyDescent="0.35">
      <c r="A47" s="22" t="e">
        <f>VLOOKUP(A1,DIV_14Data!$A$1:$DZU$1000000,784,FALSE)</f>
        <v>#N/A</v>
      </c>
      <c r="B47" s="37" t="e">
        <f>VLOOKUP(A1,DIV_14Data!$A$1:$DZU$1000000,785,FALSE)</f>
        <v>#N/A</v>
      </c>
      <c r="C47" s="38" t="e">
        <f>VLOOKUP(A1,DIV_14Data!$A$1:$DZU$1000000,786,FALSE)</f>
        <v>#N/A</v>
      </c>
      <c r="D47" s="31" t="e">
        <f>VLOOKUP(A1,DIV_14Data!$A$1:$DZU$1000000,787,FALSE)</f>
        <v>#N/A</v>
      </c>
      <c r="E47" s="32" t="e">
        <f>VLOOKUP(A1,DIV_14Data!$A$1:$DZU$1000000,788,FALSE)</f>
        <v>#N/A</v>
      </c>
      <c r="F47" s="34" t="e">
        <f>VLOOKUP(A1,DIV_14Data!$A$1:$DZU$1000000,789,FALSE)</f>
        <v>#N/A</v>
      </c>
      <c r="G47" s="33" t="e">
        <f>VLOOKUP(A1,DIV_14Data!$A$1:$DZU$1000000,790,FALSE)</f>
        <v>#N/A</v>
      </c>
      <c r="H47" s="34" t="e">
        <f>VLOOKUP(A1,DIV_14Data!$A$1:$DZU$1000000,791,FALSE)</f>
        <v>#N/A</v>
      </c>
      <c r="I47" s="33" t="e">
        <f>VLOOKUP(A1,DIV_14Data!$A$1:$DZU$1000000,792,FALSE)</f>
        <v>#N/A</v>
      </c>
      <c r="J47" s="34" t="e">
        <f>VLOOKUP(A1,DIV_14Data!$A$1:$DZU$1000000,793,FALSE)</f>
        <v>#N/A</v>
      </c>
      <c r="K47" s="34" t="e">
        <f>VLOOKUP(A1,DIV_14Data!$A$1:$DZU$1000000,794,FALSE)</f>
        <v>#N/A</v>
      </c>
      <c r="L47" s="93" t="e">
        <f>VLOOKUP(A1,DIV_14Data!$A$1:$DZU$1000000,795,FALSE)</f>
        <v>#N/A</v>
      </c>
      <c r="M47" s="33" t="e">
        <f>VLOOKUP(A1,DIV_14Data!$A$1:$DZU$1000000,796,FALSE)</f>
        <v>#N/A</v>
      </c>
      <c r="N47" s="34" t="e">
        <f>VLOOKUP(A1,DIV_14Data!$A$1:$DZU$1000000,797,FALSE)</f>
        <v>#N/A</v>
      </c>
      <c r="O47" s="33" t="e">
        <f>VLOOKUP(A1,DIV_14Data!$A$1:$DZU$1000000,798,FALSE)</f>
        <v>#N/A</v>
      </c>
      <c r="P47" s="46" t="e">
        <f>VLOOKUP(A1,DIV_14Data!$A$1:$DZU$1000000,799,FALSE)</f>
        <v>#N/A</v>
      </c>
      <c r="Q47" s="33" t="e">
        <f>VLOOKUP(A1,DIV_14Data!$A$1:$DZU$1000000,800,FALSE)</f>
        <v>#N/A</v>
      </c>
    </row>
    <row r="48" spans="1:17" x14ac:dyDescent="0.35">
      <c r="A48" s="22" t="e">
        <f>VLOOKUP(A1,DIV_14Data!$A$1:$DZU$1000000,801,FALSE)</f>
        <v>#N/A</v>
      </c>
      <c r="B48" s="37" t="e">
        <f>VLOOKUP(A1,DIV_14Data!$A$1:$DZU$1000000,802,FALSE)</f>
        <v>#N/A</v>
      </c>
      <c r="C48" s="38" t="e">
        <f>VLOOKUP(A1,DIV_14Data!$A$1:$DZU$1000000,803,FALSE)</f>
        <v>#N/A</v>
      </c>
      <c r="D48" s="31" t="e">
        <f>VLOOKUP(A1,DIV_14Data!$A$1:$DZU$1000000,804,FALSE)</f>
        <v>#N/A</v>
      </c>
      <c r="E48" s="32" t="e">
        <f>VLOOKUP(A1,DIV_14Data!$A$1:$DZU$1000000,805,FALSE)</f>
        <v>#N/A</v>
      </c>
      <c r="F48" s="34" t="e">
        <f>VLOOKUP(A1,DIV_14Data!$A$1:$DZU$1000000,806,FALSE)</f>
        <v>#N/A</v>
      </c>
      <c r="G48" s="33" t="e">
        <f>VLOOKUP(A1,DIV_14Data!$A$1:$DZU$1000000,807,FALSE)</f>
        <v>#N/A</v>
      </c>
      <c r="H48" s="34" t="e">
        <f>VLOOKUP(A1,DIV_14Data!$A$1:$DZU$1000000,808,FALSE)</f>
        <v>#N/A</v>
      </c>
      <c r="I48" s="33" t="e">
        <f>VLOOKUP(A1,DIV_14Data!$A$1:$DZU$1000000,809,FALSE)</f>
        <v>#N/A</v>
      </c>
      <c r="J48" s="34" t="e">
        <f>VLOOKUP(A1,DIV_14Data!$A$1:$DZU$1000000,810,FALSE)</f>
        <v>#N/A</v>
      </c>
      <c r="K48" s="34" t="e">
        <f>VLOOKUP(A1,DIV_14Data!$A$1:$DZU$1000000,811,FALSE)</f>
        <v>#N/A</v>
      </c>
      <c r="L48" s="93" t="e">
        <f>VLOOKUP(A1,DIV_14Data!$A$1:$DZU$1000000,812,FALSE)</f>
        <v>#N/A</v>
      </c>
      <c r="M48" s="33" t="e">
        <f>VLOOKUP(A1,DIV_14Data!$A$1:$DZU$1000000,813,FALSE)</f>
        <v>#N/A</v>
      </c>
      <c r="N48" s="34" t="e">
        <f>VLOOKUP(A1,DIV_14Data!$A$1:$DZU$1000000,814,FALSE)</f>
        <v>#N/A</v>
      </c>
      <c r="O48" s="33" t="e">
        <f>VLOOKUP(A1,DIV_14Data!$A$1:$DZU$1000000,815,FALSE)</f>
        <v>#N/A</v>
      </c>
      <c r="P48" s="46" t="e">
        <f>VLOOKUP(A1,DIV_14Data!$A$1:$DZU$1000000,816,FALSE)</f>
        <v>#N/A</v>
      </c>
      <c r="Q48" s="33" t="e">
        <f>VLOOKUP(A1,DIV_14Data!$A$1:$DZU$1000000,817,FALSE)</f>
        <v>#N/A</v>
      </c>
    </row>
    <row r="49" spans="1:17" x14ac:dyDescent="0.35">
      <c r="A49" s="22" t="e">
        <f>VLOOKUP(A1,DIV_14Data!$A$1:$DZU$1000000,818,FALSE)</f>
        <v>#N/A</v>
      </c>
      <c r="B49" s="37" t="e">
        <f>VLOOKUP(A1,DIV_14Data!$A$1:$DZU$1000000,819,FALSE)</f>
        <v>#N/A</v>
      </c>
      <c r="C49" s="38" t="e">
        <f>VLOOKUP(A1,DIV_14Data!$A$1:$DZU$1000000,820,FALSE)</f>
        <v>#N/A</v>
      </c>
      <c r="D49" s="31" t="e">
        <f>VLOOKUP(A1,DIV_14Data!$A$1:$DZU$1000000,821,FALSE)</f>
        <v>#N/A</v>
      </c>
      <c r="E49" s="32" t="e">
        <f>VLOOKUP(A1,DIV_14Data!$A$1:$DZU$1000000,822,FALSE)</f>
        <v>#N/A</v>
      </c>
      <c r="F49" s="34" t="e">
        <f>VLOOKUP(A1,DIV_14Data!$A$1:$DZU$1000000,823,FALSE)</f>
        <v>#N/A</v>
      </c>
      <c r="G49" s="33" t="e">
        <f>VLOOKUP(A1,DIV_14Data!$A$1:$DZU$1000000,824,FALSE)</f>
        <v>#N/A</v>
      </c>
      <c r="H49" s="34" t="e">
        <f>VLOOKUP(A1,DIV_14Data!$A$1:$DZU$1000000,825,FALSE)</f>
        <v>#N/A</v>
      </c>
      <c r="I49" s="33" t="e">
        <f>VLOOKUP(A1,DIV_14Data!$A$1:$DZU$1000000,826,FALSE)</f>
        <v>#N/A</v>
      </c>
      <c r="J49" s="34" t="e">
        <f>VLOOKUP(A1,DIV_14Data!$A$1:$DZU$1000000,827,FALSE)</f>
        <v>#N/A</v>
      </c>
      <c r="K49" s="34" t="e">
        <f>VLOOKUP(A1,DIV_14Data!$A$1:$DZU$1000000,828,FALSE)</f>
        <v>#N/A</v>
      </c>
      <c r="L49" s="93" t="e">
        <f>VLOOKUP(A1,DIV_14Data!$A$1:$DZU$1000000,829,FALSE)</f>
        <v>#N/A</v>
      </c>
      <c r="M49" s="33" t="e">
        <f>VLOOKUP(A1,DIV_14Data!$A$1:$DZU$1000000,830,FALSE)</f>
        <v>#N/A</v>
      </c>
      <c r="N49" s="34" t="e">
        <f>VLOOKUP(A1,DIV_14Data!$A$1:$DZU$1000000,831,FALSE)</f>
        <v>#N/A</v>
      </c>
      <c r="O49" s="33" t="e">
        <f>VLOOKUP(A1,DIV_14Data!$A$1:$DZU$1000000,832,FALSE)</f>
        <v>#N/A</v>
      </c>
      <c r="P49" s="46" t="e">
        <f>VLOOKUP(A1,DIV_14Data!$A$1:$DZU$1000000,833,FALSE)</f>
        <v>#N/A</v>
      </c>
      <c r="Q49" s="33" t="e">
        <f>VLOOKUP(A1,DIV_14Data!$A$1:$DZU$1000000,834,FALSE)</f>
        <v>#N/A</v>
      </c>
    </row>
    <row r="50" spans="1:17" x14ac:dyDescent="0.35">
      <c r="A50" s="22" t="e">
        <f>VLOOKUP(A1,DIV_14Data!$A$1:$DZU$1000000,835,FALSE)</f>
        <v>#N/A</v>
      </c>
      <c r="B50" s="37" t="e">
        <f>VLOOKUP(A1,DIV_14Data!$A$1:$DZU$1000000,836,FALSE)</f>
        <v>#N/A</v>
      </c>
      <c r="C50" s="38" t="e">
        <f>VLOOKUP(A1,DIV_14Data!$A$1:$DZU$1000000,837,FALSE)</f>
        <v>#N/A</v>
      </c>
      <c r="D50" s="31" t="e">
        <f>VLOOKUP(A1,DIV_14Data!$A$1:$DZU$1000000,838,FALSE)</f>
        <v>#N/A</v>
      </c>
      <c r="E50" s="32" t="e">
        <f>VLOOKUP(A1,DIV_14Data!$A$1:$DZU$1000000,839,FALSE)</f>
        <v>#N/A</v>
      </c>
      <c r="F50" s="34" t="e">
        <f>VLOOKUP(A1,DIV_14Data!$A$1:$DZU$1000000,840,FALSE)</f>
        <v>#N/A</v>
      </c>
      <c r="G50" s="33" t="e">
        <f>VLOOKUP(A1,DIV_14Data!$A$1:$DZU$1000000,841,FALSE)</f>
        <v>#N/A</v>
      </c>
      <c r="H50" s="34" t="e">
        <f>VLOOKUP(A1,DIV_14Data!$A$1:$DZU$1000000,842,FALSE)</f>
        <v>#N/A</v>
      </c>
      <c r="I50" s="33" t="e">
        <f>VLOOKUP(A1,DIV_14Data!$A$1:$DZU$1000000,843,FALSE)</f>
        <v>#N/A</v>
      </c>
      <c r="J50" s="34" t="e">
        <f>VLOOKUP(A1,DIV_14Data!$A$1:$DZU$1000000,844,FALSE)</f>
        <v>#N/A</v>
      </c>
      <c r="K50" s="34" t="e">
        <f>VLOOKUP(A1,DIV_14Data!$A$1:$DZU$1000000,845,FALSE)</f>
        <v>#N/A</v>
      </c>
      <c r="L50" s="93" t="e">
        <f>VLOOKUP(A1,DIV_14Data!$A$1:$DZU$1000000,846,FALSE)</f>
        <v>#N/A</v>
      </c>
      <c r="M50" s="33" t="e">
        <f>VLOOKUP(A1,DIV_14Data!$A$1:$DZU$1000000,847,FALSE)</f>
        <v>#N/A</v>
      </c>
      <c r="N50" s="34" t="e">
        <f>VLOOKUP(A1,DIV_14Data!$A$1:$DZU$1000000,848,FALSE)</f>
        <v>#N/A</v>
      </c>
      <c r="O50" s="33" t="e">
        <f>VLOOKUP(A1,DIV_14Data!$A$1:$DZU$1000000,849,FALSE)</f>
        <v>#N/A</v>
      </c>
      <c r="P50" s="46" t="e">
        <f>VLOOKUP(A1,DIV_14Data!$A$1:$DZU$1000000,850,FALSE)</f>
        <v>#N/A</v>
      </c>
      <c r="Q50" s="33" t="e">
        <f>VLOOKUP(A1,DIV_14Data!$A$1:$DZU$1000000,851,FALSE)</f>
        <v>#N/A</v>
      </c>
    </row>
    <row r="51" spans="1:17" x14ac:dyDescent="0.35">
      <c r="A51" s="22" t="e">
        <f>VLOOKUP(A1,DIV_14Data!$A$1:$DZU$1000000,852,FALSE)</f>
        <v>#N/A</v>
      </c>
      <c r="B51" s="37" t="e">
        <f>VLOOKUP(A1,DIV_14Data!$A$1:$DZU$1000000,853,FALSE)</f>
        <v>#N/A</v>
      </c>
      <c r="C51" s="38" t="e">
        <f>VLOOKUP(A1,DIV_14Data!$A$1:$DZU$1000000,854,FALSE)</f>
        <v>#N/A</v>
      </c>
      <c r="D51" s="31" t="e">
        <f>VLOOKUP(A1,DIV_14Data!$A$1:$DZU$1000000,855,FALSE)</f>
        <v>#N/A</v>
      </c>
      <c r="E51" s="32" t="e">
        <f>VLOOKUP(A1,DIV_14Data!$A$1:$DZU$1000000,856,FALSE)</f>
        <v>#N/A</v>
      </c>
      <c r="F51" s="34" t="e">
        <f>VLOOKUP(A1,DIV_14Data!$A$1:$DZU$1000000,857,FALSE)</f>
        <v>#N/A</v>
      </c>
      <c r="G51" s="33" t="e">
        <f>VLOOKUP(A1,DIV_14Data!$A$1:$DZU$1000000,858,FALSE)</f>
        <v>#N/A</v>
      </c>
      <c r="H51" s="34" t="e">
        <f>VLOOKUP(A1,DIV_14Data!$A$1:$DZU$1000000,859,FALSE)</f>
        <v>#N/A</v>
      </c>
      <c r="I51" s="33" t="e">
        <f>VLOOKUP(A1,DIV_14Data!$A$1:$DZU$1000000,860,FALSE)</f>
        <v>#N/A</v>
      </c>
      <c r="J51" s="34" t="e">
        <f>VLOOKUP(A1,DIV_14Data!$A$1:$DZU$1000000,861,FALSE)</f>
        <v>#N/A</v>
      </c>
      <c r="K51" s="34" t="e">
        <f>VLOOKUP(A1,DIV_14Data!$A$1:$DZU$1000000,862,FALSE)</f>
        <v>#N/A</v>
      </c>
      <c r="L51" s="93" t="e">
        <f>VLOOKUP(A1,DIV_14Data!$A$1:$DZU$1000000,863,FALSE)</f>
        <v>#N/A</v>
      </c>
      <c r="M51" s="33" t="e">
        <f>VLOOKUP(A1,DIV_14Data!$A$1:$DZU$1000000,864,FALSE)</f>
        <v>#N/A</v>
      </c>
      <c r="N51" s="34" t="e">
        <f>VLOOKUP(A1,DIV_14Data!$A$1:$DZU$1000000,865,FALSE)</f>
        <v>#N/A</v>
      </c>
      <c r="O51" s="33" t="e">
        <f>VLOOKUP(A1,DIV_14Data!$A$1:$DZU$1000000,866,FALSE)</f>
        <v>#N/A</v>
      </c>
      <c r="P51" s="46" t="e">
        <f>VLOOKUP(A1,DIV_14Data!$A$1:$DZU$1000000,867,FALSE)</f>
        <v>#N/A</v>
      </c>
      <c r="Q51" s="33" t="e">
        <f>VLOOKUP(A1,DIV_14Data!$A$1:$DZU$1000000,868,FALSE)</f>
        <v>#N/A</v>
      </c>
    </row>
    <row r="52" spans="1:17" x14ac:dyDescent="0.35">
      <c r="A52" s="22" t="e">
        <f>VLOOKUP(A1,DIV_14Data!$A$1:$DZU$1000000,869,FALSE)</f>
        <v>#N/A</v>
      </c>
      <c r="B52" s="37" t="e">
        <f>VLOOKUP(A1,DIV_14Data!$A$1:$DZU$1000000,870,FALSE)</f>
        <v>#N/A</v>
      </c>
      <c r="C52" s="38" t="e">
        <f>VLOOKUP(A1,DIV_14Data!$A$1:$DZU$1000000,871,FALSE)</f>
        <v>#N/A</v>
      </c>
      <c r="D52" s="31" t="e">
        <f>VLOOKUP(A1,DIV_14Data!$A$1:$DZU$1000000,872,FALSE)</f>
        <v>#N/A</v>
      </c>
      <c r="E52" s="32" t="e">
        <f>VLOOKUP(A1,DIV_14Data!$A$1:$DZU$1000000,873,FALSE)</f>
        <v>#N/A</v>
      </c>
      <c r="F52" s="34" t="e">
        <f>VLOOKUP(A1,DIV_14Data!$A$1:$DZU$1000000,874,FALSE)</f>
        <v>#N/A</v>
      </c>
      <c r="G52" s="33" t="e">
        <f>VLOOKUP(A1,DIV_14Data!$A$1:$DZU$1000000,875,FALSE)</f>
        <v>#N/A</v>
      </c>
      <c r="H52" s="34" t="e">
        <f>VLOOKUP(A1,DIV_14Data!$A$1:$DZU$1000000,876,FALSE)</f>
        <v>#N/A</v>
      </c>
      <c r="I52" s="33" t="e">
        <f>VLOOKUP(A1,DIV_14Data!$A$1:$DZU$1000000,877,FALSE)</f>
        <v>#N/A</v>
      </c>
      <c r="J52" s="34" t="e">
        <f>VLOOKUP(A1,DIV_14Data!$A$1:$DZU$1000000,878,FALSE)</f>
        <v>#N/A</v>
      </c>
      <c r="K52" s="34" t="e">
        <f>VLOOKUP(A1,DIV_14Data!$A$1:$DZU$1000000,879,FALSE)</f>
        <v>#N/A</v>
      </c>
      <c r="L52" s="93" t="e">
        <f>VLOOKUP(A1,DIV_14Data!$A$1:$DZU$1000000,880,FALSE)</f>
        <v>#N/A</v>
      </c>
      <c r="M52" s="33" t="e">
        <f>VLOOKUP(A1,DIV_14Data!$A$1:$DZU$1000000,881,FALSE)</f>
        <v>#N/A</v>
      </c>
      <c r="N52" s="34" t="e">
        <f>VLOOKUP(A1,DIV_14Data!$A$1:$DZU$1000000,882,FALSE)</f>
        <v>#N/A</v>
      </c>
      <c r="O52" s="33" t="e">
        <f>VLOOKUP(A1,DIV_14Data!$A$1:$DZU$1000000,883,FALSE)</f>
        <v>#N/A</v>
      </c>
      <c r="P52" s="46" t="e">
        <f>VLOOKUP(A1,DIV_14Data!$A$1:$DZU$1000000,884,FALSE)</f>
        <v>#N/A</v>
      </c>
      <c r="Q52" s="33" t="e">
        <f>VLOOKUP(A1,DIV_14Data!$A$1:$DZU$1000000,885,FALSE)</f>
        <v>#N/A</v>
      </c>
    </row>
    <row r="53" spans="1:17" x14ac:dyDescent="0.35">
      <c r="A53" s="22" t="e">
        <f>VLOOKUP(A1,DIV_14Data!$A$1:$DZU$1000000,886,FALSE)</f>
        <v>#N/A</v>
      </c>
      <c r="B53" s="37" t="e">
        <f>VLOOKUP(A1,DIV_14Data!$A$1:$DZU$1000000,887,FALSE)</f>
        <v>#N/A</v>
      </c>
      <c r="C53" s="38" t="e">
        <f>VLOOKUP(A1,DIV_14Data!$A$1:$DZU$1000000,888,FALSE)</f>
        <v>#N/A</v>
      </c>
      <c r="D53" s="31" t="e">
        <f>VLOOKUP(A1,DIV_14Data!$A$1:$DZU$1000000,889,FALSE)</f>
        <v>#N/A</v>
      </c>
      <c r="E53" s="32" t="e">
        <f>VLOOKUP(A1,DIV_14Data!$A$1:$DZU$1000000,890,FALSE)</f>
        <v>#N/A</v>
      </c>
      <c r="F53" s="34" t="e">
        <f>VLOOKUP(A1,DIV_14Data!$A$1:$DZU$1000000,891,FALSE)</f>
        <v>#N/A</v>
      </c>
      <c r="G53" s="33" t="e">
        <f>VLOOKUP(A1,DIV_14Data!$A$1:$DZU$1000000,892,FALSE)</f>
        <v>#N/A</v>
      </c>
      <c r="H53" s="34" t="e">
        <f>VLOOKUP(A1,DIV_14Data!$A$1:$DZU$1000000,893,FALSE)</f>
        <v>#N/A</v>
      </c>
      <c r="I53" s="33" t="e">
        <f>VLOOKUP(A1,DIV_14Data!$A$1:$DZU$1000000,894,FALSE)</f>
        <v>#N/A</v>
      </c>
      <c r="J53" s="34" t="e">
        <f>VLOOKUP(A1,DIV_14Data!$A$1:$DZU$1000000,895,FALSE)</f>
        <v>#N/A</v>
      </c>
      <c r="K53" s="34" t="e">
        <f>VLOOKUP(A1,DIV_14Data!$A$1:$DZU$1000000,896,FALSE)</f>
        <v>#N/A</v>
      </c>
      <c r="L53" s="93" t="e">
        <f>VLOOKUP(A1,DIV_14Data!$A$1:$DZU$1000000,897,FALSE)</f>
        <v>#N/A</v>
      </c>
      <c r="M53" s="33" t="e">
        <f>VLOOKUP(A1,DIV_14Data!$A$1:$DZU$1000000,898,FALSE)</f>
        <v>#N/A</v>
      </c>
      <c r="N53" s="34" t="e">
        <f>VLOOKUP(A1,DIV_14Data!$A$1:$DZU$1000000,899,FALSE)</f>
        <v>#N/A</v>
      </c>
      <c r="O53" s="33" t="e">
        <f>VLOOKUP(A1,DIV_14Data!$A$1:$DZU$1000000,900,FALSE)</f>
        <v>#N/A</v>
      </c>
      <c r="P53" s="46" t="e">
        <f>VLOOKUP(A1,DIV_14Data!$A$1:$DZU$1000000,901,FALSE)</f>
        <v>#N/A</v>
      </c>
      <c r="Q53" s="33" t="e">
        <f>VLOOKUP(A1,DIV_14Data!$A$1:$DZU$1000000,902,FALSE)</f>
        <v>#N/A</v>
      </c>
    </row>
    <row r="54" spans="1:17" x14ac:dyDescent="0.35">
      <c r="A54" s="22" t="e">
        <f>VLOOKUP(A1,DIV_14Data!$A$1:$DZU$1000000,903,FALSE)</f>
        <v>#N/A</v>
      </c>
      <c r="B54" s="37" t="e">
        <f>VLOOKUP(A1,DIV_14Data!$A$1:$DZU$1000000,904,FALSE)</f>
        <v>#N/A</v>
      </c>
      <c r="C54" s="38" t="e">
        <f>VLOOKUP(A1,DIV_14Data!$A$1:$DZU$1000000,905,FALSE)</f>
        <v>#N/A</v>
      </c>
      <c r="D54" s="31" t="e">
        <f>VLOOKUP(A1,DIV_14Data!$A$1:$DZU$1000000,906,FALSE)</f>
        <v>#N/A</v>
      </c>
      <c r="E54" s="32" t="e">
        <f>VLOOKUP(A1,DIV_14Data!$A$1:$DZU$1000000,907,FALSE)</f>
        <v>#N/A</v>
      </c>
      <c r="F54" s="34" t="e">
        <f>VLOOKUP(A1,DIV_14Data!$A$1:$DZU$1000000,908,FALSE)</f>
        <v>#N/A</v>
      </c>
      <c r="G54" s="33" t="e">
        <f>VLOOKUP(A1,DIV_14Data!$A$1:$DZU$1000000,909,FALSE)</f>
        <v>#N/A</v>
      </c>
      <c r="H54" s="34" t="e">
        <f>VLOOKUP(A1,DIV_14Data!$A$1:$DZU$1000000,910,FALSE)</f>
        <v>#N/A</v>
      </c>
      <c r="I54" s="33" t="e">
        <f>VLOOKUP(A1,DIV_14Data!$A$1:$DZU$1000000,911,FALSE)</f>
        <v>#N/A</v>
      </c>
      <c r="J54" s="34" t="e">
        <f>VLOOKUP(A1,DIV_14Data!$A$1:$DZU$1000000,912,FALSE)</f>
        <v>#N/A</v>
      </c>
      <c r="K54" s="34" t="e">
        <f>VLOOKUP(A1,DIV_14Data!$A$1:$DZU$1000000,913,FALSE)</f>
        <v>#N/A</v>
      </c>
      <c r="L54" s="93" t="e">
        <f>VLOOKUP(A1,DIV_14Data!$A$1:$DZU$1000000,914,FALSE)</f>
        <v>#N/A</v>
      </c>
      <c r="M54" s="33" t="e">
        <f>VLOOKUP(A1,DIV_14Data!$A$1:$DZU$1000000,915,FALSE)</f>
        <v>#N/A</v>
      </c>
      <c r="N54" s="34" t="e">
        <f>VLOOKUP(A1,DIV_14Data!$A$1:$DZU$1000000,916,FALSE)</f>
        <v>#N/A</v>
      </c>
      <c r="O54" s="33" t="e">
        <f>VLOOKUP(A1,DIV_14Data!$A$1:$DZU$1000000,917,FALSE)</f>
        <v>#N/A</v>
      </c>
      <c r="P54" s="46" t="e">
        <f>VLOOKUP(A1,DIV_14Data!$A$1:$DZU$1000000,918,FALSE)</f>
        <v>#N/A</v>
      </c>
      <c r="Q54" s="33" t="e">
        <f>VLOOKUP(A1,DIV_14Data!$A$1:$DZU$1000000,919,FALSE)</f>
        <v>#N/A</v>
      </c>
    </row>
    <row r="55" spans="1:17" x14ac:dyDescent="0.35">
      <c r="A55" s="22" t="e">
        <f>VLOOKUP(A1,DIV_14Data!$A$1:$DZU$1000000,920,FALSE)</f>
        <v>#N/A</v>
      </c>
      <c r="B55" s="37" t="e">
        <f>VLOOKUP(A1,DIV_14Data!$A$1:$DZU$1000000,921,FALSE)</f>
        <v>#N/A</v>
      </c>
      <c r="C55" s="38" t="e">
        <f>VLOOKUP(A1,DIV_14Data!$A$1:$DZU$1000000,922,FALSE)</f>
        <v>#N/A</v>
      </c>
      <c r="D55" s="31" t="e">
        <f>VLOOKUP(A1,DIV_14Data!$A$1:$DZU$1000000,923,FALSE)</f>
        <v>#N/A</v>
      </c>
      <c r="E55" s="32" t="e">
        <f>VLOOKUP(A1,DIV_14Data!$A$1:$DZU$1000000,924,FALSE)</f>
        <v>#N/A</v>
      </c>
      <c r="F55" s="34" t="e">
        <f>VLOOKUP(A1,DIV_14Data!$A$1:$DZU$1000000,925,FALSE)</f>
        <v>#N/A</v>
      </c>
      <c r="G55" s="33" t="e">
        <f>VLOOKUP(A1,DIV_14Data!$A$1:$DZU$1000000,926,FALSE)</f>
        <v>#N/A</v>
      </c>
      <c r="H55" s="34" t="e">
        <f>VLOOKUP(A1,DIV_14Data!$A$1:$DZU$1000000,927,FALSE)</f>
        <v>#N/A</v>
      </c>
      <c r="I55" s="33" t="e">
        <f>VLOOKUP(A1,DIV_14Data!$A$1:$DZU$1000000,928,FALSE)</f>
        <v>#N/A</v>
      </c>
      <c r="J55" s="34" t="e">
        <f>VLOOKUP(A1,DIV_14Data!$A$1:$DZU$1000000,929,FALSE)</f>
        <v>#N/A</v>
      </c>
      <c r="K55" s="34" t="e">
        <f>VLOOKUP(A1,DIV_14Data!$A$1:$DZU$1000000,930,FALSE)</f>
        <v>#N/A</v>
      </c>
      <c r="L55" s="93" t="e">
        <f>VLOOKUP(A1,DIV_14Data!$A$1:$DZU$1000000,931,FALSE)</f>
        <v>#N/A</v>
      </c>
      <c r="M55" s="33" t="e">
        <f>VLOOKUP(A1,DIV_14Data!$A$1:$DZU$1000000,932,FALSE)</f>
        <v>#N/A</v>
      </c>
      <c r="N55" s="34" t="e">
        <f>VLOOKUP(A1,DIV_14Data!$A$1:$DZU$1000000,933,FALSE)</f>
        <v>#N/A</v>
      </c>
      <c r="O55" s="33" t="e">
        <f>VLOOKUP(A1,DIV_14Data!$A$1:$DZU$1000000,934,FALSE)</f>
        <v>#N/A</v>
      </c>
      <c r="P55" s="46" t="e">
        <f>VLOOKUP(A1,DIV_14Data!$A$1:$DZU$1000000,935,FALSE)</f>
        <v>#N/A</v>
      </c>
      <c r="Q55" s="33" t="e">
        <f>VLOOKUP(A1,DIV_14Data!$A$1:$DZU$1000000,936,FALSE)</f>
        <v>#N/A</v>
      </c>
    </row>
    <row r="56" spans="1:17" x14ac:dyDescent="0.35">
      <c r="A56" s="22" t="e">
        <f>VLOOKUP(A1,DIV_14Data!$A$1:$DZU$1000000,937,FALSE)</f>
        <v>#N/A</v>
      </c>
      <c r="B56" s="37" t="e">
        <f>VLOOKUP(A1,DIV_14Data!$A$1:$DZU$1000000,938,FALSE)</f>
        <v>#N/A</v>
      </c>
      <c r="C56" s="38" t="e">
        <f>VLOOKUP(A1,DIV_14Data!$A$1:$DZU$1000000,939,FALSE)</f>
        <v>#N/A</v>
      </c>
      <c r="D56" s="31" t="e">
        <f>VLOOKUP(A1,DIV_14Data!$A$1:$DZU$1000000,940,FALSE)</f>
        <v>#N/A</v>
      </c>
      <c r="E56" s="32" t="e">
        <f>VLOOKUP(A1,DIV_14Data!$A$1:$DZU$1000000,941,FALSE)</f>
        <v>#N/A</v>
      </c>
      <c r="F56" s="34" t="e">
        <f>VLOOKUP(A1,DIV_14Data!$A$1:$DZU$1000000,942,FALSE)</f>
        <v>#N/A</v>
      </c>
      <c r="G56" s="33" t="e">
        <f>VLOOKUP(A1,DIV_14Data!$A$1:$DZU$1000000,943,FALSE)</f>
        <v>#N/A</v>
      </c>
      <c r="H56" s="34" t="e">
        <f>VLOOKUP(A1,DIV_14Data!$A$1:$DZU$1000000,944,FALSE)</f>
        <v>#N/A</v>
      </c>
      <c r="I56" s="33" t="e">
        <f>VLOOKUP(A1,DIV_14Data!$A$1:$DZU$1000000,945,FALSE)</f>
        <v>#N/A</v>
      </c>
      <c r="J56" s="34" t="e">
        <f>VLOOKUP(A1,DIV_14Data!$A$1:$DZU$1000000,946,FALSE)</f>
        <v>#N/A</v>
      </c>
      <c r="K56" s="34" t="e">
        <f>VLOOKUP(A1,DIV_14Data!$A$1:$DZU$1000000,947,FALSE)</f>
        <v>#N/A</v>
      </c>
      <c r="L56" s="93" t="e">
        <f>VLOOKUP(A1,DIV_14Data!$A$1:$DZU$1000000,948,FALSE)</f>
        <v>#N/A</v>
      </c>
      <c r="M56" s="33" t="e">
        <f>VLOOKUP(A1,DIV_14Data!$A$1:$DZU$1000000,949,FALSE)</f>
        <v>#N/A</v>
      </c>
      <c r="N56" s="34" t="e">
        <f>VLOOKUP(A1,DIV_14Data!$A$1:$DZU$1000000,950,FALSE)</f>
        <v>#N/A</v>
      </c>
      <c r="O56" s="33" t="e">
        <f>VLOOKUP(A1,DIV_14Data!$A$1:$DZU$1000000,951,FALSE)</f>
        <v>#N/A</v>
      </c>
      <c r="P56" s="46" t="e">
        <f>VLOOKUP(A1,DIV_14Data!$A$1:$DZU$1000000,952,FALSE)</f>
        <v>#N/A</v>
      </c>
      <c r="Q56" s="33" t="e">
        <f>VLOOKUP(A1,DIV_14Data!$A$1:$DZU$1000000,953,FALSE)</f>
        <v>#N/A</v>
      </c>
    </row>
    <row r="57" spans="1:17" x14ac:dyDescent="0.35">
      <c r="A57" s="22" t="e">
        <f>VLOOKUP(A1,DIV_14Data!$A$1:$DZU$1000000,954,FALSE)</f>
        <v>#N/A</v>
      </c>
      <c r="B57" s="37" t="e">
        <f>VLOOKUP(A1,DIV_14Data!$A$1:$DZU$1000000,955,FALSE)</f>
        <v>#N/A</v>
      </c>
      <c r="C57" s="38" t="e">
        <f>VLOOKUP(A1,DIV_14Data!$A$1:$DZU$1000000,956,FALSE)</f>
        <v>#N/A</v>
      </c>
      <c r="D57" s="31" t="e">
        <f>VLOOKUP(A1,DIV_14Data!$A$1:$DZU$1000000,957,FALSE)</f>
        <v>#N/A</v>
      </c>
      <c r="E57" s="32" t="e">
        <f>VLOOKUP(A1,DIV_14Data!$A$1:$DZU$1000000,958,FALSE)</f>
        <v>#N/A</v>
      </c>
      <c r="F57" s="34" t="e">
        <f>VLOOKUP(A1,DIV_14Data!$A$1:$DZU$1000000,959,FALSE)</f>
        <v>#N/A</v>
      </c>
      <c r="G57" s="33" t="e">
        <f>VLOOKUP(A1,DIV_14Data!$A$1:$DZU$1000000,960,FALSE)</f>
        <v>#N/A</v>
      </c>
      <c r="H57" s="34" t="e">
        <f>VLOOKUP(A1,DIV_14Data!$A$1:$DZU$1000000,961,FALSE)</f>
        <v>#N/A</v>
      </c>
      <c r="I57" s="33" t="e">
        <f>VLOOKUP(A1,DIV_14Data!$A$1:$DZU$1000000,962,FALSE)</f>
        <v>#N/A</v>
      </c>
      <c r="J57" s="34" t="e">
        <f>VLOOKUP(A1,DIV_14Data!$A$1:$DZU$1000000,963,FALSE)</f>
        <v>#N/A</v>
      </c>
      <c r="K57" s="34" t="e">
        <f>VLOOKUP(A1,DIV_14Data!$A$1:$DZU$1000000,964,FALSE)</f>
        <v>#N/A</v>
      </c>
      <c r="L57" s="93" t="e">
        <f>VLOOKUP(A1,DIV_14Data!$A$1:$DZU$1000000,965,FALSE)</f>
        <v>#N/A</v>
      </c>
      <c r="M57" s="33" t="e">
        <f>VLOOKUP(A1,DIV_14Data!$A$1:$DZU$1000000,966,FALSE)</f>
        <v>#N/A</v>
      </c>
      <c r="N57" s="34" t="e">
        <f>VLOOKUP(A1,DIV_14Data!$A$1:$DZU$1000000,967,FALSE)</f>
        <v>#N/A</v>
      </c>
      <c r="O57" s="33" t="e">
        <f>VLOOKUP(A1,DIV_14Data!$A$1:$DZU$1000000,968,FALSE)</f>
        <v>#N/A</v>
      </c>
      <c r="P57" s="46" t="e">
        <f>VLOOKUP(A1,DIV_14Data!$A$1:$DZU$1000000,969,FALSE)</f>
        <v>#N/A</v>
      </c>
      <c r="Q57" s="33" t="e">
        <f>VLOOKUP(A1,DIV_14Data!$A$1:$DZU$1000000,970,FALSE)</f>
        <v>#N/A</v>
      </c>
    </row>
    <row r="58" spans="1:17" x14ac:dyDescent="0.35">
      <c r="A58" s="22" t="e">
        <f>VLOOKUP(A1,DIV_14Data!$A$1:$DZU$1000000,971,FALSE)</f>
        <v>#N/A</v>
      </c>
      <c r="B58" s="37" t="e">
        <f>VLOOKUP(A1,DIV_14Data!$A$1:$DZU$1000000,972,FALSE)</f>
        <v>#N/A</v>
      </c>
      <c r="C58" s="38" t="e">
        <f>VLOOKUP(A1,DIV_14Data!$A$1:$DZU$1000000,973,FALSE)</f>
        <v>#N/A</v>
      </c>
      <c r="D58" s="31" t="e">
        <f>VLOOKUP(A1,DIV_14Data!$A$1:$DZU$1000000,974,FALSE)</f>
        <v>#N/A</v>
      </c>
      <c r="E58" s="32" t="e">
        <f>VLOOKUP(A1,DIV_14Data!$A$1:$DZU$1000000,975,FALSE)</f>
        <v>#N/A</v>
      </c>
      <c r="F58" s="34" t="e">
        <f>VLOOKUP(A1,DIV_14Data!$A$1:$DZU$1000000,976,FALSE)</f>
        <v>#N/A</v>
      </c>
      <c r="G58" s="33" t="e">
        <f>VLOOKUP(A1,DIV_14Data!$A$1:$DZU$1000000,977,FALSE)</f>
        <v>#N/A</v>
      </c>
      <c r="H58" s="34" t="e">
        <f>VLOOKUP(A1,DIV_14Data!$A$1:$DZU$1000000,978,FALSE)</f>
        <v>#N/A</v>
      </c>
      <c r="I58" s="33" t="e">
        <f>VLOOKUP(A1,DIV_14Data!$A$1:$DZU$1000000,979,FALSE)</f>
        <v>#N/A</v>
      </c>
      <c r="J58" s="34" t="e">
        <f>VLOOKUP(A1,DIV_14Data!$A$1:$DZU$1000000,980,FALSE)</f>
        <v>#N/A</v>
      </c>
      <c r="K58" s="34" t="e">
        <f>VLOOKUP(A1,DIV_14Data!$A$1:$DZU$1000000,981,FALSE)</f>
        <v>#N/A</v>
      </c>
      <c r="L58" s="93" t="e">
        <f>VLOOKUP(A1,DIV_14Data!$A$1:$DZU$1000000,982,FALSE)</f>
        <v>#N/A</v>
      </c>
      <c r="M58" s="33" t="e">
        <f>VLOOKUP(A1,DIV_14Data!$A$1:$DZU$1000000,983,FALSE)</f>
        <v>#N/A</v>
      </c>
      <c r="N58" s="34" t="e">
        <f>VLOOKUP(A1,DIV_14Data!$A$1:$DZU$1000000,984,FALSE)</f>
        <v>#N/A</v>
      </c>
      <c r="O58" s="33" t="e">
        <f>VLOOKUP(A1,DIV_14Data!$A$1:$DZU$1000000,985,FALSE)</f>
        <v>#N/A</v>
      </c>
      <c r="P58" s="46" t="e">
        <f>VLOOKUP(A1,DIV_14Data!$A$1:$DZU$1000000,986,FALSE)</f>
        <v>#N/A</v>
      </c>
      <c r="Q58" s="33" t="e">
        <f>VLOOKUP(A1,DIV_14Data!$A$1:$DZU$1000000,987,FALSE)</f>
        <v>#N/A</v>
      </c>
    </row>
    <row r="59" spans="1:17" x14ac:dyDescent="0.35">
      <c r="A59" s="22" t="e">
        <f>VLOOKUP(A1,DIV_14Data!$A$1:$DZU$1000000,988,FALSE)</f>
        <v>#N/A</v>
      </c>
      <c r="B59" s="37" t="e">
        <f>VLOOKUP(A1,DIV_14Data!$A$1:$DZU$1000000,989,FALSE)</f>
        <v>#N/A</v>
      </c>
      <c r="C59" s="38" t="e">
        <f>VLOOKUP(A1,DIV_14Data!$A$1:$DZU$1000000,990,FALSE)</f>
        <v>#N/A</v>
      </c>
      <c r="D59" s="31" t="e">
        <f>VLOOKUP(A1,DIV_14Data!$A$1:$DZU$1000000,991,FALSE)</f>
        <v>#N/A</v>
      </c>
      <c r="E59" s="32" t="e">
        <f>VLOOKUP(A1,DIV_14Data!$A$1:$DZU$1000000,992,FALSE)</f>
        <v>#N/A</v>
      </c>
      <c r="F59" s="34" t="e">
        <f>VLOOKUP(A1,DIV_14Data!$A$1:$DZU$1000000,993,FALSE)</f>
        <v>#N/A</v>
      </c>
      <c r="G59" s="33" t="e">
        <f>VLOOKUP(A1,DIV_14Data!$A$1:$DZU$1000000,994,FALSE)</f>
        <v>#N/A</v>
      </c>
      <c r="H59" s="34" t="e">
        <f>VLOOKUP(A1,DIV_14Data!$A$1:$DZU$1000000,995,FALSE)</f>
        <v>#N/A</v>
      </c>
      <c r="I59" s="33" t="e">
        <f>VLOOKUP(A1,DIV_14Data!$A$1:$DZU$1000000,996,FALSE)</f>
        <v>#N/A</v>
      </c>
      <c r="J59" s="34" t="e">
        <f>VLOOKUP(A1,DIV_14Data!$A$1:$DZU$1000000,997,FALSE)</f>
        <v>#N/A</v>
      </c>
      <c r="K59" s="34" t="e">
        <f>VLOOKUP(A1,DIV_14Data!$A$1:$DZU$1000000,998,FALSE)</f>
        <v>#N/A</v>
      </c>
      <c r="L59" s="93" t="e">
        <f>VLOOKUP(A1,DIV_14Data!$A$1:$DZU$1000000,999,FALSE)</f>
        <v>#N/A</v>
      </c>
      <c r="M59" s="33" t="e">
        <f>VLOOKUP(A1,DIV_14Data!$A$1:$DZU$1000000,1000,FALSE)</f>
        <v>#N/A</v>
      </c>
      <c r="N59" s="34" t="e">
        <f>VLOOKUP(A1,DIV_14Data!$A$1:$DZU$1000000,1001,FALSE)</f>
        <v>#N/A</v>
      </c>
      <c r="O59" s="33" t="e">
        <f>VLOOKUP(A1,DIV_14Data!$A$1:$DZU$1000000,1002,FALSE)</f>
        <v>#N/A</v>
      </c>
      <c r="P59" s="46" t="e">
        <f>VLOOKUP(A1,DIV_14Data!$A$1:$DZU$1000000,1003,FALSE)</f>
        <v>#N/A</v>
      </c>
      <c r="Q59" s="33" t="e">
        <f>VLOOKUP(A1,DIV_14Data!$A$1:$DZU$1000000,1004,FALSE)</f>
        <v>#N/A</v>
      </c>
    </row>
    <row r="60" spans="1:17" x14ac:dyDescent="0.35">
      <c r="A60" s="22" t="e">
        <f>VLOOKUP(A1,DIV_14Data!$A$1:$DZU$1000000,1005,FALSE)</f>
        <v>#N/A</v>
      </c>
      <c r="B60" s="37" t="e">
        <f>VLOOKUP(A1,DIV_14Data!$A$1:$DZU$1000000,1006,FALSE)</f>
        <v>#N/A</v>
      </c>
      <c r="C60" s="38" t="e">
        <f>VLOOKUP(A1,DIV_14Data!$A$1:$DZU$1000000,1007,FALSE)</f>
        <v>#N/A</v>
      </c>
      <c r="D60" s="31" t="e">
        <f>VLOOKUP(A1,DIV_14Data!$A$1:$DZU$1000000,1008,FALSE)</f>
        <v>#N/A</v>
      </c>
      <c r="E60" s="32" t="e">
        <f>VLOOKUP(A1,DIV_14Data!$A$1:$DZU$1000000,1009,FALSE)</f>
        <v>#N/A</v>
      </c>
      <c r="F60" s="34" t="e">
        <f>VLOOKUP(A1,DIV_14Data!$A$1:$DZU$1000000,1010,FALSE)</f>
        <v>#N/A</v>
      </c>
      <c r="G60" s="33" t="e">
        <f>VLOOKUP(A1,DIV_14Data!$A$1:$DZU$1000000,1011,FALSE)</f>
        <v>#N/A</v>
      </c>
      <c r="H60" s="34" t="e">
        <f>VLOOKUP(A1,DIV_14Data!$A$1:$DZU$1000000,1012,FALSE)</f>
        <v>#N/A</v>
      </c>
      <c r="I60" s="33" t="e">
        <f>VLOOKUP(A1,DIV_14Data!$A$1:$DZU$1000000,1013,FALSE)</f>
        <v>#N/A</v>
      </c>
      <c r="J60" s="34" t="e">
        <f>VLOOKUP(A1,DIV_14Data!$A$1:$DZU$1000000,1014,FALSE)</f>
        <v>#N/A</v>
      </c>
      <c r="K60" s="34" t="e">
        <f>VLOOKUP(A1,DIV_14Data!$A$1:$DZU$1000000,1015,FALSE)</f>
        <v>#N/A</v>
      </c>
      <c r="L60" s="93" t="e">
        <f>VLOOKUP(A1,DIV_14Data!$A$1:$DZU$1000000,1016,FALSE)</f>
        <v>#N/A</v>
      </c>
      <c r="M60" s="33" t="e">
        <f>VLOOKUP(A1,DIV_14Data!$A$1:$DZU$1000000,1017,FALSE)</f>
        <v>#N/A</v>
      </c>
      <c r="N60" s="34" t="e">
        <f>VLOOKUP(A1,DIV_14Data!$A$1:$DZU$1000000,1018,FALSE)</f>
        <v>#N/A</v>
      </c>
      <c r="O60" s="33" t="e">
        <f>VLOOKUP(A1,DIV_14Data!$A$1:$DZU$1000000,1019,FALSE)</f>
        <v>#N/A</v>
      </c>
      <c r="P60" s="46" t="e">
        <f>VLOOKUP(A1,DIV_14Data!$A$1:$DZU$1000000,1020,FALSE)</f>
        <v>#N/A</v>
      </c>
      <c r="Q60" s="33" t="e">
        <f>VLOOKUP(A1,DIV_14Data!$A$1:$DZU$1000000,1021,FALSE)</f>
        <v>#N/A</v>
      </c>
    </row>
    <row r="61" spans="1:17" x14ac:dyDescent="0.35">
      <c r="A61" s="22" t="e">
        <f>VLOOKUP(A1,DIV_14Data!$A$1:$DZU$1000000,1022,FALSE)</f>
        <v>#N/A</v>
      </c>
      <c r="B61" s="37" t="e">
        <f>VLOOKUP(A1,DIV_14Data!$A$1:$DZU$1000000,1023,FALSE)</f>
        <v>#N/A</v>
      </c>
      <c r="C61" s="38" t="e">
        <f>VLOOKUP(A1,DIV_14Data!$A$1:$DZU$1000000,1024,FALSE)</f>
        <v>#N/A</v>
      </c>
      <c r="D61" s="31" t="e">
        <f>VLOOKUP(A1,DIV_14Data!$A$1:$DZU$1000000,1025,FALSE)</f>
        <v>#N/A</v>
      </c>
      <c r="E61" s="32" t="e">
        <f>VLOOKUP(A1,DIV_14Data!$A$1:$DZU$1000000,1026,FALSE)</f>
        <v>#N/A</v>
      </c>
      <c r="F61" s="34" t="e">
        <f>VLOOKUP(A1,DIV_14Data!$A$1:$DZU$1000000,1027,FALSE)</f>
        <v>#N/A</v>
      </c>
      <c r="G61" s="33" t="e">
        <f>VLOOKUP(A1,DIV_14Data!$A$1:$DZU$1000000,1028,FALSE)</f>
        <v>#N/A</v>
      </c>
      <c r="H61" s="34" t="e">
        <f>VLOOKUP(A1,DIV_14Data!$A$1:$DZU$1000000,1029,FALSE)</f>
        <v>#N/A</v>
      </c>
      <c r="I61" s="33" t="e">
        <f>VLOOKUP(A1,DIV_14Data!$A$1:$DZU$1000000,1030,FALSE)</f>
        <v>#N/A</v>
      </c>
      <c r="J61" s="34" t="e">
        <f>VLOOKUP(A1,DIV_14Data!$A$1:$DZU$1000000,1031,FALSE)</f>
        <v>#N/A</v>
      </c>
      <c r="K61" s="34" t="e">
        <f>VLOOKUP(A1,DIV_14Data!$A$1:$DZU$1000000,1032,FALSE)</f>
        <v>#N/A</v>
      </c>
      <c r="L61" s="93" t="e">
        <f>VLOOKUP(A1,DIV_14Data!$A$1:$DZU$1000000,1033,FALSE)</f>
        <v>#N/A</v>
      </c>
      <c r="M61" s="33" t="e">
        <f>VLOOKUP(A1,DIV_14Data!$A$1:$DZU$1000000,1034,FALSE)</f>
        <v>#N/A</v>
      </c>
      <c r="N61" s="34" t="e">
        <f>VLOOKUP(A1,DIV_14Data!$A$1:$DZU$1000000,1035,FALSE)</f>
        <v>#N/A</v>
      </c>
      <c r="O61" s="33" t="e">
        <f>VLOOKUP(A1,DIV_14Data!$A$1:$DZU$1000000,1036,FALSE)</f>
        <v>#N/A</v>
      </c>
      <c r="P61" s="46" t="e">
        <f>VLOOKUP(A1,DIV_14Data!$A$1:$DZU$1000000,1037,FALSE)</f>
        <v>#N/A</v>
      </c>
      <c r="Q61" s="33" t="e">
        <f>VLOOKUP(A1,DIV_14Data!$A$1:$DZU$1000000,1038,FALSE)</f>
        <v>#N/A</v>
      </c>
    </row>
    <row r="62" spans="1:17" x14ac:dyDescent="0.35">
      <c r="A62" s="22" t="e">
        <f>VLOOKUP(A1,DIV_14Data!$A$1:$DZU$1000000,1039,FALSE)</f>
        <v>#N/A</v>
      </c>
      <c r="B62" s="37" t="e">
        <f>VLOOKUP(A1,DIV_14Data!$A$1:$DZU$1000000,1040,FALSE)</f>
        <v>#N/A</v>
      </c>
      <c r="C62" s="38" t="e">
        <f>VLOOKUP(A1,DIV_14Data!$A$1:$DZU$1000000,1041,FALSE)</f>
        <v>#N/A</v>
      </c>
      <c r="D62" s="31" t="e">
        <f>VLOOKUP(A1,DIV_14Data!$A$1:$DZU$1000000,1042,FALSE)</f>
        <v>#N/A</v>
      </c>
      <c r="E62" s="32" t="e">
        <f>VLOOKUP(A1,DIV_14Data!$A$1:$DZU$1000000,1043,FALSE)</f>
        <v>#N/A</v>
      </c>
      <c r="F62" s="34" t="e">
        <f>VLOOKUP(A1,DIV_14Data!$A$1:$DZU$1000000,1044,FALSE)</f>
        <v>#N/A</v>
      </c>
      <c r="G62" s="33" t="e">
        <f>VLOOKUP(A1,DIV_14Data!$A$1:$DZU$1000000,1045,FALSE)</f>
        <v>#N/A</v>
      </c>
      <c r="H62" s="34" t="e">
        <f>VLOOKUP(A1,DIV_14Data!$A$1:$DZU$1000000,1046,FALSE)</f>
        <v>#N/A</v>
      </c>
      <c r="I62" s="33" t="e">
        <f>VLOOKUP(A1,DIV_14Data!$A$1:$DZU$1000000,1047,FALSE)</f>
        <v>#N/A</v>
      </c>
      <c r="J62" s="34" t="e">
        <f>VLOOKUP(A1,DIV_14Data!$A$1:$DZU$1000000,1048,FALSE)</f>
        <v>#N/A</v>
      </c>
      <c r="K62" s="34" t="e">
        <f>VLOOKUP(A1,DIV_14Data!$A$1:$DZU$1000000,1049,FALSE)</f>
        <v>#N/A</v>
      </c>
      <c r="L62" s="93" t="e">
        <f>VLOOKUP(A1,DIV_14Data!$A$1:$DZU$1000000,1050,FALSE)</f>
        <v>#N/A</v>
      </c>
      <c r="M62" s="33" t="e">
        <f>VLOOKUP(A1,DIV_14Data!$A$1:$DZU$1000000,1051,FALSE)</f>
        <v>#N/A</v>
      </c>
      <c r="N62" s="34" t="e">
        <f>VLOOKUP(A1,DIV_14Data!$A$1:$DZU$1000000,1052,FALSE)</f>
        <v>#N/A</v>
      </c>
      <c r="O62" s="33" t="e">
        <f>VLOOKUP(A1,DIV_14Data!$A$1:$DZU$1000000,1053,FALSE)</f>
        <v>#N/A</v>
      </c>
      <c r="P62" s="46" t="e">
        <f>VLOOKUP(A1,DIV_14Data!$A$1:$DZU$1000000,1054,FALSE)</f>
        <v>#N/A</v>
      </c>
      <c r="Q62" s="33" t="e">
        <f>VLOOKUP(A1,DIV_14Data!$A$1:$DZU$1000000,1055,FALSE)</f>
        <v>#N/A</v>
      </c>
    </row>
    <row r="63" spans="1:17" x14ac:dyDescent="0.35">
      <c r="A63" s="22" t="e">
        <f>VLOOKUP(A1,DIV_14Data!$A$1:$DZU$1000000,1056,FALSE)</f>
        <v>#N/A</v>
      </c>
      <c r="B63" s="37" t="e">
        <f>VLOOKUP(A1,DIV_14Data!$A$1:$DZU$1000000,1057,FALSE)</f>
        <v>#N/A</v>
      </c>
      <c r="C63" s="38" t="e">
        <f>VLOOKUP(A1,DIV_14Data!$A$1:$DZU$1000000,1058,FALSE)</f>
        <v>#N/A</v>
      </c>
      <c r="D63" s="31" t="e">
        <f>VLOOKUP(A1,DIV_14Data!$A$1:$DZU$1000000,1059,FALSE)</f>
        <v>#N/A</v>
      </c>
      <c r="E63" s="32" t="e">
        <f>VLOOKUP(A1,DIV_14Data!$A$1:$DZU$1000000,1060,FALSE)</f>
        <v>#N/A</v>
      </c>
      <c r="F63" s="34" t="e">
        <f>VLOOKUP(A1,DIV_14Data!$A$1:$DZU$1000000,1061,FALSE)</f>
        <v>#N/A</v>
      </c>
      <c r="G63" s="33" t="e">
        <f>VLOOKUP(A1,DIV_14Data!$A$1:$DZU$1000000,1062,FALSE)</f>
        <v>#N/A</v>
      </c>
      <c r="H63" s="34" t="e">
        <f>VLOOKUP(A1,DIV_14Data!$A$1:$DZU$1000000,1063,FALSE)</f>
        <v>#N/A</v>
      </c>
      <c r="I63" s="33" t="e">
        <f>VLOOKUP(A1,DIV_14Data!$A$1:$DZU$1000000,1064,FALSE)</f>
        <v>#N/A</v>
      </c>
      <c r="J63" s="34" t="e">
        <f>VLOOKUP(A1,DIV_14Data!$A$1:$DZU$1000000,1065,FALSE)</f>
        <v>#N/A</v>
      </c>
      <c r="K63" s="34" t="e">
        <f>VLOOKUP(A1,DIV_14Data!$A$1:$DZU$1000000,1066,FALSE)</f>
        <v>#N/A</v>
      </c>
      <c r="L63" s="93" t="e">
        <f>VLOOKUP(A1,DIV_14Data!$A$1:$DZU$1000000,1067,FALSE)</f>
        <v>#N/A</v>
      </c>
      <c r="M63" s="33" t="e">
        <f>VLOOKUP(A1,DIV_14Data!$A$1:$DZU$1000000,1068,FALSE)</f>
        <v>#N/A</v>
      </c>
      <c r="N63" s="34" t="e">
        <f>VLOOKUP(A1,DIV_14Data!$A$1:$DZU$1000000,1069,FALSE)</f>
        <v>#N/A</v>
      </c>
      <c r="O63" s="33" t="e">
        <f>VLOOKUP(A1,DIV_14Data!$A$1:$DZU$1000000,1070,FALSE)</f>
        <v>#N/A</v>
      </c>
      <c r="P63" s="46" t="e">
        <f>VLOOKUP(A1,DIV_14Data!$A$1:$DZU$1000000,1071,FALSE)</f>
        <v>#N/A</v>
      </c>
      <c r="Q63" s="33" t="e">
        <f>VLOOKUP(A1,DIV_14Data!$A$1:$DZU$1000000,1072,FALSE)</f>
        <v>#N/A</v>
      </c>
    </row>
    <row r="64" spans="1:17" x14ac:dyDescent="0.35">
      <c r="A64" s="22" t="e">
        <f>VLOOKUP(A1,DIV_14Data!$A$1:$DZU$1000000,1073,FALSE)</f>
        <v>#N/A</v>
      </c>
      <c r="B64" s="37" t="e">
        <f>VLOOKUP(A1,DIV_14Data!$A$1:$DZU$1000000,1074,FALSE)</f>
        <v>#N/A</v>
      </c>
      <c r="C64" s="38" t="e">
        <f>VLOOKUP(A1,DIV_14Data!$A$1:$DZU$1000000,1075,FALSE)</f>
        <v>#N/A</v>
      </c>
      <c r="D64" s="31" t="e">
        <f>VLOOKUP(A1,DIV_14Data!$A$1:$DZU$1000000,1076,FALSE)</f>
        <v>#N/A</v>
      </c>
      <c r="E64" s="32" t="e">
        <f>VLOOKUP(A1,DIV_14Data!$A$1:$DZU$1000000,1077,FALSE)</f>
        <v>#N/A</v>
      </c>
      <c r="F64" s="34" t="e">
        <f>VLOOKUP(A1,DIV_14Data!$A$1:$DZU$1000000,1078,FALSE)</f>
        <v>#N/A</v>
      </c>
      <c r="G64" s="33" t="e">
        <f>VLOOKUP(A1,DIV_14Data!$A$1:$DZU$1000000,1079,FALSE)</f>
        <v>#N/A</v>
      </c>
      <c r="H64" s="34" t="e">
        <f>VLOOKUP(A1,DIV_14Data!$A$1:$DZU$1000000,1080,FALSE)</f>
        <v>#N/A</v>
      </c>
      <c r="I64" s="33" t="e">
        <f>VLOOKUP(A1,DIV_14Data!$A$1:$DZU$1000000,1081,FALSE)</f>
        <v>#N/A</v>
      </c>
      <c r="J64" s="34" t="e">
        <f>VLOOKUP(A1,DIV_14Data!$A$1:$DZU$1000000,1082,FALSE)</f>
        <v>#N/A</v>
      </c>
      <c r="K64" s="34" t="e">
        <f>VLOOKUP(A1,DIV_14Data!$A$1:$DZU$1000000,1083,FALSE)</f>
        <v>#N/A</v>
      </c>
      <c r="L64" s="93" t="e">
        <f>VLOOKUP(A1,DIV_14Data!$A$1:$DZU$1000000,1084,FALSE)</f>
        <v>#N/A</v>
      </c>
      <c r="M64" s="33" t="e">
        <f>VLOOKUP(A1,DIV_14Data!$A$1:$DZU$1000000,1085,FALSE)</f>
        <v>#N/A</v>
      </c>
      <c r="N64" s="34" t="e">
        <f>VLOOKUP(A1,DIV_14Data!$A$1:$DZU$1000000,1086,FALSE)</f>
        <v>#N/A</v>
      </c>
      <c r="O64" s="33" t="e">
        <f>VLOOKUP(A1,DIV_14Data!$A$1:$DZU$1000000,1087,FALSE)</f>
        <v>#N/A</v>
      </c>
      <c r="P64" s="46" t="e">
        <f>VLOOKUP(A1,DIV_14Data!$A$1:$DZU$1000000,1088,FALSE)</f>
        <v>#N/A</v>
      </c>
      <c r="Q64" s="33" t="e">
        <f>VLOOKUP(A1,DIV_14Data!$A$1:$DZU$1000000,1089,FALSE)</f>
        <v>#N/A</v>
      </c>
    </row>
    <row r="65" spans="1:17" x14ac:dyDescent="0.35">
      <c r="A65" s="22" t="e">
        <f>VLOOKUP(A1,DIV_14Data!$A$1:$DZU$1000000,1090,FALSE)</f>
        <v>#N/A</v>
      </c>
      <c r="B65" s="37" t="e">
        <f>VLOOKUP(A1,DIV_14Data!$A$1:$DZU$1000000,1091,FALSE)</f>
        <v>#N/A</v>
      </c>
      <c r="C65" s="38" t="e">
        <f>VLOOKUP(A1,DIV_14Data!$A$1:$DZU$1000000,1092,FALSE)</f>
        <v>#N/A</v>
      </c>
      <c r="D65" s="31" t="e">
        <f>VLOOKUP(A1,DIV_14Data!$A$1:$DZU$1000000,1093,FALSE)</f>
        <v>#N/A</v>
      </c>
      <c r="E65" s="32" t="e">
        <f>VLOOKUP(A1,DIV_14Data!$A$1:$DZU$1000000,1094,FALSE)</f>
        <v>#N/A</v>
      </c>
      <c r="F65" s="34" t="e">
        <f>VLOOKUP(A1,DIV_14Data!$A$1:$DZU$1000000,1095,FALSE)</f>
        <v>#N/A</v>
      </c>
      <c r="G65" s="33" t="e">
        <f>VLOOKUP(A1,DIV_14Data!$A$1:$DZU$1000000,1096,FALSE)</f>
        <v>#N/A</v>
      </c>
      <c r="H65" s="34" t="e">
        <f>VLOOKUP(A1,DIV_14Data!$A$1:$DZU$1000000,1097,FALSE)</f>
        <v>#N/A</v>
      </c>
      <c r="I65" s="33" t="e">
        <f>VLOOKUP(A1,DIV_14Data!$A$1:$DZU$1000000,1098,FALSE)</f>
        <v>#N/A</v>
      </c>
      <c r="J65" s="34" t="e">
        <f>VLOOKUP(A1,DIV_14Data!$A$1:$DZU$1000000,1099,FALSE)</f>
        <v>#N/A</v>
      </c>
      <c r="K65" s="34" t="e">
        <f>VLOOKUP(A1,DIV_14Data!$A$1:$DZU$1000000,1100,FALSE)</f>
        <v>#N/A</v>
      </c>
      <c r="L65" s="93" t="e">
        <f>VLOOKUP(A1,DIV_14Data!$A$1:$DZU$1000000,1101,FALSE)</f>
        <v>#N/A</v>
      </c>
      <c r="M65" s="33" t="e">
        <f>VLOOKUP(A1,DIV_14Data!$A$1:$DZU$1000000,1102,FALSE)</f>
        <v>#N/A</v>
      </c>
      <c r="N65" s="34" t="e">
        <f>VLOOKUP(A1,DIV_14Data!$A$1:$DZU$1000000,1103,FALSE)</f>
        <v>#N/A</v>
      </c>
      <c r="O65" s="33" t="e">
        <f>VLOOKUP(A1,DIV_14Data!$A$1:$DZU$1000000,1104,FALSE)</f>
        <v>#N/A</v>
      </c>
      <c r="P65" s="46" t="e">
        <f>VLOOKUP(A1,DIV_14Data!$A$1:$DZU$1000000,1105,FALSE)</f>
        <v>#N/A</v>
      </c>
      <c r="Q65" s="33" t="e">
        <f>VLOOKUP(A1,DIV_14Data!$A$1:$DZU$1000000,1106,FALSE)</f>
        <v>#N/A</v>
      </c>
    </row>
    <row r="66" spans="1:17" x14ac:dyDescent="0.35">
      <c r="A66" s="22" t="e">
        <f>VLOOKUP(A1,DIV_14Data!$A$1:$DZU$1000000,1107,FALSE)</f>
        <v>#N/A</v>
      </c>
      <c r="B66" s="37" t="e">
        <f>VLOOKUP(A1,DIV_14Data!$A$1:$DZU$1000000,1108,FALSE)</f>
        <v>#N/A</v>
      </c>
      <c r="C66" s="38" t="e">
        <f>VLOOKUP(A1,DIV_14Data!$A$1:$DZU$1000000,1109,FALSE)</f>
        <v>#N/A</v>
      </c>
      <c r="D66" s="31" t="e">
        <f>VLOOKUP(A1,DIV_14Data!$A$1:$DZU$1000000,1110,FALSE)</f>
        <v>#N/A</v>
      </c>
      <c r="E66" s="32" t="e">
        <f>VLOOKUP(A1,DIV_14Data!$A$1:$DZU$1000000,1111,FALSE)</f>
        <v>#N/A</v>
      </c>
      <c r="F66" s="34" t="e">
        <f>VLOOKUP(A1,DIV_14Data!$A$1:$DZU$1000000,1112,FALSE)</f>
        <v>#N/A</v>
      </c>
      <c r="G66" s="33" t="e">
        <f>VLOOKUP(A1,DIV_14Data!$A$1:$DZU$1000000,1113,FALSE)</f>
        <v>#N/A</v>
      </c>
      <c r="H66" s="34" t="e">
        <f>VLOOKUP(A1,DIV_14Data!$A$1:$DZU$1000000,1114,FALSE)</f>
        <v>#N/A</v>
      </c>
      <c r="I66" s="33" t="e">
        <f>VLOOKUP(A1,DIV_14Data!$A$1:$DZU$1000000,1115,FALSE)</f>
        <v>#N/A</v>
      </c>
      <c r="J66" s="34" t="e">
        <f>VLOOKUP(A1,DIV_14Data!$A$1:$DZU$1000000,1116,FALSE)</f>
        <v>#N/A</v>
      </c>
      <c r="K66" s="34" t="e">
        <f>VLOOKUP(A1,DIV_14Data!$A$1:$DZU$1000000,1117,FALSE)</f>
        <v>#N/A</v>
      </c>
      <c r="L66" s="93" t="e">
        <f>VLOOKUP(A1,DIV_14Data!$A$1:$DZU$1000000,1118,FALSE)</f>
        <v>#N/A</v>
      </c>
      <c r="M66" s="33" t="e">
        <f>VLOOKUP(A1,DIV_14Data!$A$1:$DZU$1000000,1119,FALSE)</f>
        <v>#N/A</v>
      </c>
      <c r="N66" s="34" t="e">
        <f>VLOOKUP(A1,DIV_14Data!$A$1:$DZU$1000000,1120,FALSE)</f>
        <v>#N/A</v>
      </c>
      <c r="O66" s="33" t="e">
        <f>VLOOKUP(A1,DIV_14Data!$A$1:$DZU$1000000,1121,FALSE)</f>
        <v>#N/A</v>
      </c>
      <c r="P66" s="46" t="e">
        <f>VLOOKUP(A1,DIV_14Data!$A$1:$DZU$1000000,1122,FALSE)</f>
        <v>#N/A</v>
      </c>
      <c r="Q66" s="33" t="e">
        <f>VLOOKUP(A1,DIV_14Data!$A$1:$DZU$1000000,1123,FALSE)</f>
        <v>#N/A</v>
      </c>
    </row>
    <row r="67" spans="1:17" x14ac:dyDescent="0.35">
      <c r="A67" s="22" t="e">
        <f>VLOOKUP(A1,DIV_14Data!$A$1:$DZU$1000000,1124,FALSE)</f>
        <v>#N/A</v>
      </c>
      <c r="B67" s="37" t="e">
        <f>VLOOKUP(A1,DIV_14Data!$A$1:$DZU$1000000,1125,FALSE)</f>
        <v>#N/A</v>
      </c>
      <c r="C67" s="38" t="e">
        <f>VLOOKUP(A1,DIV_14Data!$A$1:$DZU$1000000,1126,FALSE)</f>
        <v>#N/A</v>
      </c>
      <c r="D67" s="31" t="e">
        <f>VLOOKUP(A1,DIV_14Data!$A$1:$DZU$1000000,1127,FALSE)</f>
        <v>#N/A</v>
      </c>
      <c r="E67" s="32" t="e">
        <f>VLOOKUP(A1,DIV_14Data!$A$1:$DZU$1000000,1128,FALSE)</f>
        <v>#N/A</v>
      </c>
      <c r="F67" s="34" t="e">
        <f>VLOOKUP(A1,DIV_14Data!$A$1:$DZU$1000000,1129,FALSE)</f>
        <v>#N/A</v>
      </c>
      <c r="G67" s="33" t="e">
        <f>VLOOKUP(A1,DIV_14Data!$A$1:$DZU$1000000,1130,FALSE)</f>
        <v>#N/A</v>
      </c>
      <c r="H67" s="34" t="e">
        <f>VLOOKUP(A1,DIV_14Data!$A$1:$DZU$1000000,1131,FALSE)</f>
        <v>#N/A</v>
      </c>
      <c r="I67" s="33" t="e">
        <f>VLOOKUP(A1,DIV_14Data!$A$1:$DZU$1000000,1132,FALSE)</f>
        <v>#N/A</v>
      </c>
      <c r="J67" s="34" t="e">
        <f>VLOOKUP(A1,DIV_14Data!$A$1:$DZU$1000000,1133,FALSE)</f>
        <v>#N/A</v>
      </c>
      <c r="K67" s="34" t="e">
        <f>VLOOKUP(A1,DIV_14Data!$A$1:$DZU$1000000,1134,FALSE)</f>
        <v>#N/A</v>
      </c>
      <c r="L67" s="93" t="e">
        <f>VLOOKUP(A1,DIV_14Data!$A$1:$DZU$1000000,1135,FALSE)</f>
        <v>#N/A</v>
      </c>
      <c r="M67" s="33" t="e">
        <f>VLOOKUP(A1,DIV_14Data!$A$1:$DZU$1000000,1136,FALSE)</f>
        <v>#N/A</v>
      </c>
      <c r="N67" s="34" t="e">
        <f>VLOOKUP(A1,DIV_14Data!$A$1:$DZU$1000000,1137,FALSE)</f>
        <v>#N/A</v>
      </c>
      <c r="O67" s="33" t="e">
        <f>VLOOKUP(A1,DIV_14Data!$A$1:$DZU$1000000,1138,FALSE)</f>
        <v>#N/A</v>
      </c>
      <c r="P67" s="46" t="e">
        <f>VLOOKUP(A1,DIV_14Data!$A$1:$DZU$1000000,1139,FALSE)</f>
        <v>#N/A</v>
      </c>
      <c r="Q67" s="33" t="e">
        <f>VLOOKUP(A1,DIV_14Data!$A$1:$DZU$1000000,1140,FALSE)</f>
        <v>#N/A</v>
      </c>
    </row>
    <row r="68" spans="1:17" x14ac:dyDescent="0.35">
      <c r="A68" s="22" t="e">
        <f>VLOOKUP(A1,DIV_14Data!$A$1:$DZU$1000000,1141,FALSE)</f>
        <v>#N/A</v>
      </c>
      <c r="B68" s="37" t="e">
        <f>VLOOKUP(A1,DIV_14Data!$A$1:$DZU$1000000,1142,FALSE)</f>
        <v>#N/A</v>
      </c>
      <c r="C68" s="38" t="e">
        <f>VLOOKUP(A1,DIV_14Data!$A$1:$DZU$1000000,1143,FALSE)</f>
        <v>#N/A</v>
      </c>
      <c r="D68" s="31" t="e">
        <f>VLOOKUP(A1,DIV_14Data!$A$1:$DZU$1000000,1144,FALSE)</f>
        <v>#N/A</v>
      </c>
      <c r="E68" s="32" t="e">
        <f>VLOOKUP(A1,DIV_14Data!$A$1:$DZU$1000000,1145,FALSE)</f>
        <v>#N/A</v>
      </c>
      <c r="F68" s="34" t="e">
        <f>VLOOKUP(A1,DIV_14Data!$A$1:$DZU$1000000,1146,FALSE)</f>
        <v>#N/A</v>
      </c>
      <c r="G68" s="33" t="e">
        <f>VLOOKUP(A1,DIV_14Data!$A$1:$DZU$1000000,1147,FALSE)</f>
        <v>#N/A</v>
      </c>
      <c r="H68" s="34" t="e">
        <f>VLOOKUP(A1,DIV_14Data!$A$1:$DZU$1000000,1148,FALSE)</f>
        <v>#N/A</v>
      </c>
      <c r="I68" s="33" t="e">
        <f>VLOOKUP(A1,DIV_14Data!$A$1:$DZU$1000000,1149,FALSE)</f>
        <v>#N/A</v>
      </c>
      <c r="J68" s="34" t="e">
        <f>VLOOKUP(A1,DIV_14Data!$A$1:$DZU$1000000,1150,FALSE)</f>
        <v>#N/A</v>
      </c>
      <c r="K68" s="34" t="e">
        <f>VLOOKUP(A1,DIV_14Data!$A$1:$DZU$1000000,1151,FALSE)</f>
        <v>#N/A</v>
      </c>
      <c r="L68" s="93" t="e">
        <f>VLOOKUP(A1,DIV_14Data!$A$1:$DZU$1000000,1152,FALSE)</f>
        <v>#N/A</v>
      </c>
      <c r="M68" s="33" t="e">
        <f>VLOOKUP(A1,DIV_14Data!$A$1:$DZU$1000000,1153,FALSE)</f>
        <v>#N/A</v>
      </c>
      <c r="N68" s="34" t="e">
        <f>VLOOKUP(A1,DIV_14Data!$A$1:$DZU$1000000,1154,FALSE)</f>
        <v>#N/A</v>
      </c>
      <c r="O68" s="33" t="e">
        <f>VLOOKUP(A1,DIV_14Data!$A$1:$DZU$1000000,1155,FALSE)</f>
        <v>#N/A</v>
      </c>
      <c r="P68" s="46" t="e">
        <f>VLOOKUP(A1,DIV_14Data!$A$1:$DZU$1000000,1156,FALSE)</f>
        <v>#N/A</v>
      </c>
      <c r="Q68" s="33" t="e">
        <f>VLOOKUP(A1,DIV_14Data!$A$1:$DZU$1000000,1157,FALSE)</f>
        <v>#N/A</v>
      </c>
    </row>
    <row r="69" spans="1:17" x14ac:dyDescent="0.35">
      <c r="A69" s="22" t="e">
        <f>VLOOKUP(A1,DIV_14Data!$A$1:$DZU$1000000,1158,FALSE)</f>
        <v>#N/A</v>
      </c>
      <c r="B69" s="37" t="e">
        <f>VLOOKUP(A1,DIV_14Data!$A$1:$DZU$1000000,1159,FALSE)</f>
        <v>#N/A</v>
      </c>
      <c r="C69" s="38" t="e">
        <f>VLOOKUP(A1,DIV_14Data!$A$1:$DZU$1000000,1160,FALSE)</f>
        <v>#N/A</v>
      </c>
      <c r="D69" s="31" t="e">
        <f>VLOOKUP(A1,DIV_14Data!$A$1:$DZU$1000000,1161,FALSE)</f>
        <v>#N/A</v>
      </c>
      <c r="E69" s="32" t="e">
        <f>VLOOKUP(A1,DIV_14Data!$A$1:$DZU$1000000,1162,FALSE)</f>
        <v>#N/A</v>
      </c>
      <c r="F69" s="34" t="e">
        <f>VLOOKUP(A1,DIV_14Data!$A$1:$DZU$1000000,1163,FALSE)</f>
        <v>#N/A</v>
      </c>
      <c r="G69" s="33" t="e">
        <f>VLOOKUP(A1,DIV_14Data!$A$1:$DZU$1000000,1164,FALSE)</f>
        <v>#N/A</v>
      </c>
      <c r="H69" s="34" t="e">
        <f>VLOOKUP(A1,DIV_14Data!$A$1:$DZU$1000000,1165,FALSE)</f>
        <v>#N/A</v>
      </c>
      <c r="I69" s="33" t="e">
        <f>VLOOKUP(A1,DIV_14Data!$A$1:$DZU$1000000,1166,FALSE)</f>
        <v>#N/A</v>
      </c>
      <c r="J69" s="34" t="e">
        <f>VLOOKUP(A1,DIV_14Data!$A$1:$DZU$1000000,1167,FALSE)</f>
        <v>#N/A</v>
      </c>
      <c r="K69" s="34" t="e">
        <f>VLOOKUP(A1,DIV_14Data!$A$1:$DZU$1000000,1168,FALSE)</f>
        <v>#N/A</v>
      </c>
      <c r="L69" s="93" t="e">
        <f>VLOOKUP(A1,DIV_14Data!$A$1:$DZU$1000000,1169,FALSE)</f>
        <v>#N/A</v>
      </c>
      <c r="M69" s="33" t="e">
        <f>VLOOKUP(A1,DIV_14Data!$A$1:$DZU$1000000,1170,FALSE)</f>
        <v>#N/A</v>
      </c>
      <c r="N69" s="34" t="e">
        <f>VLOOKUP(A1,DIV_14Data!$A$1:$DZU$1000000,1171,FALSE)</f>
        <v>#N/A</v>
      </c>
      <c r="O69" s="33" t="e">
        <f>VLOOKUP(A1,DIV_14Data!$A$1:$DZU$1000000,1172,FALSE)</f>
        <v>#N/A</v>
      </c>
      <c r="P69" s="46" t="e">
        <f>VLOOKUP(A1,DIV_14Data!$A$1:$DZU$1000000,1173,FALSE)</f>
        <v>#N/A</v>
      </c>
      <c r="Q69" s="33" t="e">
        <f>VLOOKUP(A1,DIV_14Data!$A$1:$DZU$1000000,1174,FALSE)</f>
        <v>#N/A</v>
      </c>
    </row>
    <row r="70" spans="1:17" x14ac:dyDescent="0.35">
      <c r="A70" s="22" t="e">
        <f>VLOOKUP(A1,DIV_14Data!$A$1:$DZU$1000000,1175,FALSE)</f>
        <v>#N/A</v>
      </c>
      <c r="B70" s="37" t="e">
        <f>VLOOKUP(A1,DIV_14Data!$A$1:$DZU$1000000,1176,FALSE)</f>
        <v>#N/A</v>
      </c>
      <c r="C70" s="38" t="e">
        <f>VLOOKUP(A1,DIV_14Data!$A$1:$DZU$1000000,1177,FALSE)</f>
        <v>#N/A</v>
      </c>
      <c r="D70" s="31" t="e">
        <f>VLOOKUP(A1,DIV_14Data!$A$1:$DZU$1000000,1178,FALSE)</f>
        <v>#N/A</v>
      </c>
      <c r="E70" s="32" t="e">
        <f>VLOOKUP(A1,DIV_14Data!$A$1:$DZU$1000000,1179,FALSE)</f>
        <v>#N/A</v>
      </c>
      <c r="F70" s="34" t="e">
        <f>VLOOKUP(A1,DIV_14Data!$A$1:$DZU$1000000,1180,FALSE)</f>
        <v>#N/A</v>
      </c>
      <c r="G70" s="33" t="e">
        <f>VLOOKUP(A1,DIV_14Data!$A$1:$DZU$1000000,1181,FALSE)</f>
        <v>#N/A</v>
      </c>
      <c r="H70" s="34" t="e">
        <f>VLOOKUP(A1,DIV_14Data!$A$1:$DZU$1000000,1182,FALSE)</f>
        <v>#N/A</v>
      </c>
      <c r="I70" s="33" t="e">
        <f>VLOOKUP(A1,DIV_14Data!$A$1:$DZU$1000000,1183,FALSE)</f>
        <v>#N/A</v>
      </c>
      <c r="J70" s="34" t="e">
        <f>VLOOKUP(A1,DIV_14Data!$A$1:$DZU$1000000,1184,FALSE)</f>
        <v>#N/A</v>
      </c>
      <c r="K70" s="34" t="e">
        <f>VLOOKUP(A1,DIV_14Data!$A$1:$DZU$1000000,1185,FALSE)</f>
        <v>#N/A</v>
      </c>
      <c r="L70" s="93" t="e">
        <f>VLOOKUP(A1,DIV_14Data!$A$1:$DZU$1000000,1186,FALSE)</f>
        <v>#N/A</v>
      </c>
      <c r="M70" s="33" t="e">
        <f>VLOOKUP(A1,DIV_14Data!$A$1:$DZU$1000000,1187,FALSE)</f>
        <v>#N/A</v>
      </c>
      <c r="N70" s="34" t="e">
        <f>VLOOKUP(A1,DIV_14Data!$A$1:$DZU$1000000,1188,FALSE)</f>
        <v>#N/A</v>
      </c>
      <c r="O70" s="33" t="e">
        <f>VLOOKUP(A1,DIV_14Data!$A$1:$DZU$1000000,1189,FALSE)</f>
        <v>#N/A</v>
      </c>
      <c r="P70" s="46" t="e">
        <f>VLOOKUP(A1,DIV_14Data!$A$1:$DZU$1000000,1190,FALSE)</f>
        <v>#N/A</v>
      </c>
      <c r="Q70" s="33" t="e">
        <f>VLOOKUP(A1,DIV_14Data!$A$1:$DZU$1000000,1191,FALSE)</f>
        <v>#N/A</v>
      </c>
    </row>
    <row r="71" spans="1:17" x14ac:dyDescent="0.35">
      <c r="A71" s="22" t="e">
        <f>VLOOKUP(A1,DIV_14Data!$A$1:$DZU$1000000,1192,FALSE)</f>
        <v>#N/A</v>
      </c>
      <c r="B71" s="37" t="e">
        <f>VLOOKUP(A1,DIV_14Data!$A$1:$DZU$1000000,1193,FALSE)</f>
        <v>#N/A</v>
      </c>
      <c r="C71" s="38" t="e">
        <f>VLOOKUP(A1,DIV_14Data!$A$1:$DZU$1000000,1194,FALSE)</f>
        <v>#N/A</v>
      </c>
      <c r="D71" s="31" t="e">
        <f>VLOOKUP(A1,DIV_14Data!$A$1:$DZU$1000000,1195,FALSE)</f>
        <v>#N/A</v>
      </c>
      <c r="E71" s="32" t="e">
        <f>VLOOKUP(A1,DIV_14Data!$A$1:$DZU$1000000,1196,FALSE)</f>
        <v>#N/A</v>
      </c>
      <c r="F71" s="34" t="e">
        <f>VLOOKUP(A1,DIV_14Data!$A$1:$DZU$1000000,1197,FALSE)</f>
        <v>#N/A</v>
      </c>
      <c r="G71" s="33" t="e">
        <f>VLOOKUP(A1,DIV_14Data!$A$1:$DZU$1000000,1198,FALSE)</f>
        <v>#N/A</v>
      </c>
      <c r="H71" s="34" t="e">
        <f>VLOOKUP(A1,DIV_14Data!$A$1:$DZU$1000000,1199,FALSE)</f>
        <v>#N/A</v>
      </c>
      <c r="I71" s="33" t="e">
        <f>VLOOKUP(A1,DIV_14Data!$A$1:$DZU$1000000,1200,FALSE)</f>
        <v>#N/A</v>
      </c>
      <c r="J71" s="34" t="e">
        <f>VLOOKUP(A1,DIV_14Data!$A$1:$DZU$1000000,1201,FALSE)</f>
        <v>#N/A</v>
      </c>
      <c r="K71" s="34" t="e">
        <f>VLOOKUP(A1,DIV_14Data!$A$1:$DZU$1000000,1202,FALSE)</f>
        <v>#N/A</v>
      </c>
      <c r="L71" s="93" t="e">
        <f>VLOOKUP(A1,DIV_14Data!$A$1:$DZU$1000000,1203,FALSE)</f>
        <v>#N/A</v>
      </c>
      <c r="M71" s="33" t="e">
        <f>VLOOKUP(A1,DIV_14Data!$A$1:$DZU$1000000,1204,FALSE)</f>
        <v>#N/A</v>
      </c>
      <c r="N71" s="34" t="e">
        <f>VLOOKUP(A1,DIV_14Data!$A$1:$DZU$1000000,1205,FALSE)</f>
        <v>#N/A</v>
      </c>
      <c r="O71" s="33" t="e">
        <f>VLOOKUP(A1,DIV_14Data!$A$1:$DZU$1000000,1206,FALSE)</f>
        <v>#N/A</v>
      </c>
      <c r="P71" s="46" t="e">
        <f>VLOOKUP(A1,DIV_14Data!$A$1:$DZU$1000000,1207,FALSE)</f>
        <v>#N/A</v>
      </c>
      <c r="Q71" s="33" t="e">
        <f>VLOOKUP(A1,DIV_14Data!$A$1:$DZU$1000000,1208,FALSE)</f>
        <v>#N/A</v>
      </c>
    </row>
    <row r="72" spans="1:17" x14ac:dyDescent="0.35">
      <c r="A72" s="22" t="e">
        <f>VLOOKUP(A1,DIV_14Data!$A$1:$DZU$1000000,1209,FALSE)</f>
        <v>#N/A</v>
      </c>
      <c r="B72" s="37" t="e">
        <f>VLOOKUP(A1,DIV_14Data!$A$1:$DZU$1000000,1210,FALSE)</f>
        <v>#N/A</v>
      </c>
      <c r="C72" s="38" t="e">
        <f>VLOOKUP(A1,DIV_14Data!$A$1:$DZU$1000000,1211,FALSE)</f>
        <v>#N/A</v>
      </c>
      <c r="D72" s="31" t="e">
        <f>VLOOKUP(A1,DIV_14Data!$A$1:$DZU$1000000,1212,FALSE)</f>
        <v>#N/A</v>
      </c>
      <c r="E72" s="32" t="e">
        <f>VLOOKUP(A1,DIV_14Data!$A$1:$DZU$1000000,1213,FALSE)</f>
        <v>#N/A</v>
      </c>
      <c r="F72" s="34" t="e">
        <f>VLOOKUP(A1,DIV_14Data!$A$1:$DZU$1000000,1214,FALSE)</f>
        <v>#N/A</v>
      </c>
      <c r="G72" s="33" t="e">
        <f>VLOOKUP(A1,DIV_14Data!$A$1:$DZU$1000000,1215,FALSE)</f>
        <v>#N/A</v>
      </c>
      <c r="H72" s="34" t="e">
        <f>VLOOKUP(A1,DIV_14Data!$A$1:$DZU$1000000,1216,FALSE)</f>
        <v>#N/A</v>
      </c>
      <c r="I72" s="33" t="e">
        <f>VLOOKUP(A1,DIV_14Data!$A$1:$DZU$1000000,1217,FALSE)</f>
        <v>#N/A</v>
      </c>
      <c r="J72" s="34" t="e">
        <f>VLOOKUP(A1,DIV_14Data!$A$1:$DZU$1000000,1218,FALSE)</f>
        <v>#N/A</v>
      </c>
      <c r="K72" s="34" t="e">
        <f>VLOOKUP(A1,DIV_14Data!$A$1:$DZU$1000000,1219,FALSE)</f>
        <v>#N/A</v>
      </c>
      <c r="L72" s="93" t="e">
        <f>VLOOKUP(A1,DIV_14Data!$A$1:$DZU$1000000,1220,FALSE)</f>
        <v>#N/A</v>
      </c>
      <c r="M72" s="33" t="e">
        <f>VLOOKUP(A1,DIV_14Data!$A$1:$DZU$1000000,1221,FALSE)</f>
        <v>#N/A</v>
      </c>
      <c r="N72" s="34" t="e">
        <f>VLOOKUP(A1,DIV_14Data!$A$1:$DZU$1000000,1222,FALSE)</f>
        <v>#N/A</v>
      </c>
      <c r="O72" s="33" t="e">
        <f>VLOOKUP(A1,DIV_14Data!$A$1:$DZU$1000000,1223,FALSE)</f>
        <v>#N/A</v>
      </c>
      <c r="P72" s="46" t="e">
        <f>VLOOKUP(A1,DIV_14Data!$A$1:$DZU$1000000,1224,FALSE)</f>
        <v>#N/A</v>
      </c>
      <c r="Q72" s="33" t="e">
        <f>VLOOKUP(A1,DIV_14Data!$A$1:$DZU$1000000,1225,FALSE)</f>
        <v>#N/A</v>
      </c>
    </row>
    <row r="73" spans="1:17" x14ac:dyDescent="0.35">
      <c r="A73" s="22" t="e">
        <f>VLOOKUP(A1,DIV_14Data!$A$1:$DZU$1000000,1226,FALSE)</f>
        <v>#N/A</v>
      </c>
      <c r="B73" s="37" t="e">
        <f>VLOOKUP(A1,DIV_14Data!$A$1:$DZU$1000000,1227,FALSE)</f>
        <v>#N/A</v>
      </c>
      <c r="C73" s="38" t="e">
        <f>VLOOKUP(A1,DIV_14Data!$A$1:$DZU$1000000,1228,FALSE)</f>
        <v>#N/A</v>
      </c>
      <c r="D73" s="31" t="e">
        <f>VLOOKUP(A1,DIV_14Data!$A$1:$DZU$1000000,1229,FALSE)</f>
        <v>#N/A</v>
      </c>
      <c r="E73" s="32" t="e">
        <f>VLOOKUP(A1,DIV_14Data!$A$1:$DZU$1000000,1230,FALSE)</f>
        <v>#N/A</v>
      </c>
      <c r="F73" s="34" t="e">
        <f>VLOOKUP(A1,DIV_14Data!$A$1:$DZU$1000000,1231,FALSE)</f>
        <v>#N/A</v>
      </c>
      <c r="G73" s="33" t="e">
        <f>VLOOKUP(A1,DIV_14Data!$A$1:$DZU$1000000,1232,FALSE)</f>
        <v>#N/A</v>
      </c>
      <c r="H73" s="34" t="e">
        <f>VLOOKUP(A1,DIV_14Data!$A$1:$DZU$1000000,1233,FALSE)</f>
        <v>#N/A</v>
      </c>
      <c r="I73" s="33" t="e">
        <f>VLOOKUP(A1,DIV_14Data!$A$1:$DZU$1000000,1234,FALSE)</f>
        <v>#N/A</v>
      </c>
      <c r="J73" s="34" t="e">
        <f>VLOOKUP(A1,DIV_14Data!$A$1:$DZU$1000000,1235,FALSE)</f>
        <v>#N/A</v>
      </c>
      <c r="K73" s="34" t="e">
        <f>VLOOKUP(A1,DIV_14Data!$A$1:$DZU$1000000,1236,FALSE)</f>
        <v>#N/A</v>
      </c>
      <c r="L73" s="93" t="e">
        <f>VLOOKUP(A1,DIV_14Data!$A$1:$DZU$1000000,1237,FALSE)</f>
        <v>#N/A</v>
      </c>
      <c r="M73" s="33" t="e">
        <f>VLOOKUP(A1,DIV_14Data!$A$1:$DZU$1000000,1238,FALSE)</f>
        <v>#N/A</v>
      </c>
      <c r="N73" s="34" t="e">
        <f>VLOOKUP(A1,DIV_14Data!$A$1:$DZU$1000000,1239,FALSE)</f>
        <v>#N/A</v>
      </c>
      <c r="O73" s="33" t="e">
        <f>VLOOKUP(A1,DIV_14Data!$A$1:$DZU$1000000,1240,FALSE)</f>
        <v>#N/A</v>
      </c>
      <c r="P73" s="46" t="e">
        <f>VLOOKUP(A1,DIV_14Data!$A$1:$DZU$1000000,1241,FALSE)</f>
        <v>#N/A</v>
      </c>
      <c r="Q73" s="33" t="e">
        <f>VLOOKUP(A1,DIV_14Data!$A$1:$DZU$1000000,1242,FALSE)</f>
        <v>#N/A</v>
      </c>
    </row>
    <row r="74" spans="1:17" x14ac:dyDescent="0.35">
      <c r="A74" s="22" t="e">
        <f>VLOOKUP(A1,DIV_14Data!$A$1:$DZU$1000000,1243,FALSE)</f>
        <v>#N/A</v>
      </c>
      <c r="B74" s="37" t="e">
        <f>VLOOKUP(A1,DIV_14Data!$A$1:$DZU$1000000,1244,FALSE)</f>
        <v>#N/A</v>
      </c>
      <c r="C74" s="38" t="e">
        <f>VLOOKUP(A1,DIV_14Data!$A$1:$DZU$1000000,1245,FALSE)</f>
        <v>#N/A</v>
      </c>
      <c r="D74" s="31" t="e">
        <f>VLOOKUP(A1,DIV_14Data!$A$1:$DZU$1000000,1246,FALSE)</f>
        <v>#N/A</v>
      </c>
      <c r="E74" s="32" t="e">
        <f>VLOOKUP(A1,DIV_14Data!$A$1:$DZU$1000000,1247,FALSE)</f>
        <v>#N/A</v>
      </c>
      <c r="F74" s="34" t="e">
        <f>VLOOKUP(A1,DIV_14Data!$A$1:$DZU$1000000,1248,FALSE)</f>
        <v>#N/A</v>
      </c>
      <c r="G74" s="33" t="e">
        <f>VLOOKUP(A1,DIV_14Data!$A$1:$DZU$1000000,1249,FALSE)</f>
        <v>#N/A</v>
      </c>
      <c r="H74" s="34" t="e">
        <f>VLOOKUP(A1,DIV_14Data!$A$1:$DZU$1000000,1250,FALSE)</f>
        <v>#N/A</v>
      </c>
      <c r="I74" s="33" t="e">
        <f>VLOOKUP(A1,DIV_14Data!$A$1:$DZU$1000000,1251,FALSE)</f>
        <v>#N/A</v>
      </c>
      <c r="J74" s="34" t="e">
        <f>VLOOKUP(A1,DIV_14Data!$A$1:$DZU$1000000,1252,FALSE)</f>
        <v>#N/A</v>
      </c>
      <c r="K74" s="34" t="e">
        <f>VLOOKUP(A1,DIV_14Data!$A$1:$DZU$1000000,1253,FALSE)</f>
        <v>#N/A</v>
      </c>
      <c r="L74" s="93" t="e">
        <f>VLOOKUP(A1,DIV_14Data!$A$1:$DZU$1000000,1254,FALSE)</f>
        <v>#N/A</v>
      </c>
      <c r="M74" s="33" t="e">
        <f>VLOOKUP(A1,DIV_14Data!$A$1:$DZU$1000000,1255,FALSE)</f>
        <v>#N/A</v>
      </c>
      <c r="N74" s="34" t="e">
        <f>VLOOKUP(A1,DIV_14Data!$A$1:$DZU$1000000,1256,FALSE)</f>
        <v>#N/A</v>
      </c>
      <c r="O74" s="33" t="e">
        <f>VLOOKUP(A1,DIV_14Data!$A$1:$DZU$1000000,1257,FALSE)</f>
        <v>#N/A</v>
      </c>
      <c r="P74" s="46" t="e">
        <f>VLOOKUP(A1,DIV_14Data!$A$1:$DZU$1000000,1258,FALSE)</f>
        <v>#N/A</v>
      </c>
      <c r="Q74" s="33" t="e">
        <f>VLOOKUP(A1,DIV_14Data!$A$1:$DZU$1000000,1259,FALSE)</f>
        <v>#N/A</v>
      </c>
    </row>
    <row r="75" spans="1:17" x14ac:dyDescent="0.35">
      <c r="A75" s="22" t="e">
        <f>VLOOKUP(A1,DIV_14Data!$A$1:$DZU$1000000,1260,FALSE)</f>
        <v>#N/A</v>
      </c>
      <c r="B75" s="37" t="e">
        <f>VLOOKUP(A1,DIV_14Data!$A$1:$DZU$1000000,1261,FALSE)</f>
        <v>#N/A</v>
      </c>
      <c r="C75" s="38" t="e">
        <f>VLOOKUP(A1,DIV_14Data!$A$1:$DZU$1000000,1262,FALSE)</f>
        <v>#N/A</v>
      </c>
      <c r="D75" s="31" t="e">
        <f>VLOOKUP(A1,DIV_14Data!$A$1:$DZU$1000000,1263,FALSE)</f>
        <v>#N/A</v>
      </c>
      <c r="E75" s="32" t="e">
        <f>VLOOKUP(A1,DIV_14Data!$A$1:$DZU$1000000,1264,FALSE)</f>
        <v>#N/A</v>
      </c>
      <c r="F75" s="34" t="e">
        <f>VLOOKUP(A1,DIV_14Data!$A$1:$DZU$1000000,1265,FALSE)</f>
        <v>#N/A</v>
      </c>
      <c r="G75" s="33" t="e">
        <f>VLOOKUP(A1,DIV_14Data!$A$1:$DZU$1000000,1266,FALSE)</f>
        <v>#N/A</v>
      </c>
      <c r="H75" s="34" t="e">
        <f>VLOOKUP(A1,DIV_14Data!$A$1:$DZU$1000000,1267,FALSE)</f>
        <v>#N/A</v>
      </c>
      <c r="I75" s="33" t="e">
        <f>VLOOKUP(A1,DIV_14Data!$A$1:$DZU$1000000,1268,FALSE)</f>
        <v>#N/A</v>
      </c>
      <c r="J75" s="34" t="e">
        <f>VLOOKUP(A1,DIV_14Data!$A$1:$DZU$1000000,1269,FALSE)</f>
        <v>#N/A</v>
      </c>
      <c r="K75" s="34" t="e">
        <f>VLOOKUP(A1,DIV_14Data!$A$1:$DZU$1000000,1270,FALSE)</f>
        <v>#N/A</v>
      </c>
      <c r="L75" s="93" t="e">
        <f>VLOOKUP(A1,DIV_14Data!$A$1:$DZU$1000000,1271,FALSE)</f>
        <v>#N/A</v>
      </c>
      <c r="M75" s="33" t="e">
        <f>VLOOKUP(A1,DIV_14Data!$A$1:$DZU$1000000,1272,FALSE)</f>
        <v>#N/A</v>
      </c>
      <c r="N75" s="34" t="e">
        <f>VLOOKUP(A1,DIV_14Data!$A$1:$DZU$1000000,1273,FALSE)</f>
        <v>#N/A</v>
      </c>
      <c r="O75" s="33" t="e">
        <f>VLOOKUP(A1,DIV_14Data!$A$1:$DZU$1000000,1274,FALSE)</f>
        <v>#N/A</v>
      </c>
      <c r="P75" s="46" t="e">
        <f>VLOOKUP(A1,DIV_14Data!$A$1:$DZU$1000000,1275,FALSE)</f>
        <v>#N/A</v>
      </c>
      <c r="Q75" s="33" t="e">
        <f>VLOOKUP(A1,DIV_14Data!$A$1:$DZU$1000000,1276,FALSE)</f>
        <v>#N/A</v>
      </c>
    </row>
    <row r="76" spans="1:17" x14ac:dyDescent="0.35">
      <c r="A76" s="22" t="e">
        <f>VLOOKUP(A1,DIV_14Data!$A$1:$DZU$1000000,1277,FALSE)</f>
        <v>#N/A</v>
      </c>
      <c r="B76" s="37" t="e">
        <f>VLOOKUP(A1,DIV_14Data!$A$1:$DZU$1000000,1278,FALSE)</f>
        <v>#N/A</v>
      </c>
      <c r="C76" s="38" t="e">
        <f>VLOOKUP(A1,DIV_14Data!$A$1:$DZU$1000000,1279,FALSE)</f>
        <v>#N/A</v>
      </c>
      <c r="D76" s="31" t="e">
        <f>VLOOKUP(A1,DIV_14Data!$A$1:$DZU$1000000,1280,FALSE)</f>
        <v>#N/A</v>
      </c>
      <c r="E76" s="32" t="e">
        <f>VLOOKUP(A1,DIV_14Data!$A$1:$DZU$1000000,1281,FALSE)</f>
        <v>#N/A</v>
      </c>
      <c r="F76" s="34" t="e">
        <f>VLOOKUP(A1,DIV_14Data!$A$1:$DZU$1000000,1282,FALSE)</f>
        <v>#N/A</v>
      </c>
      <c r="G76" s="33" t="e">
        <f>VLOOKUP(A1,DIV_14Data!$A$1:$DZU$1000000,1283,FALSE)</f>
        <v>#N/A</v>
      </c>
      <c r="H76" s="34" t="e">
        <f>VLOOKUP(A1,DIV_14Data!$A$1:$DZU$1000000,1284,FALSE)</f>
        <v>#N/A</v>
      </c>
      <c r="I76" s="33" t="e">
        <f>VLOOKUP(A1,DIV_14Data!$A$1:$DZU$1000000,1285,FALSE)</f>
        <v>#N/A</v>
      </c>
      <c r="J76" s="34" t="e">
        <f>VLOOKUP(A1,DIV_14Data!$A$1:$DZU$1000000,1286,FALSE)</f>
        <v>#N/A</v>
      </c>
      <c r="K76" s="34" t="e">
        <f>VLOOKUP(A1,DIV_14Data!$A$1:$DZU$1000000,1287,FALSE)</f>
        <v>#N/A</v>
      </c>
      <c r="L76" s="93" t="e">
        <f>VLOOKUP(A1,DIV_14Data!$A$1:$DZU$1000000,1288,FALSE)</f>
        <v>#N/A</v>
      </c>
      <c r="M76" s="33" t="e">
        <f>VLOOKUP(A1,DIV_14Data!$A$1:$DZU$1000000,1289,FALSE)</f>
        <v>#N/A</v>
      </c>
      <c r="N76" s="34" t="e">
        <f>VLOOKUP(A1,DIV_14Data!$A$1:$DZU$1000000,1290,FALSE)</f>
        <v>#N/A</v>
      </c>
      <c r="O76" s="33" t="e">
        <f>VLOOKUP(A1,DIV_14Data!$A$1:$DZU$1000000,1291,FALSE)</f>
        <v>#N/A</v>
      </c>
      <c r="P76" s="46" t="e">
        <f>VLOOKUP(A1,DIV_14Data!$A$1:$DZU$1000000,1292,FALSE)</f>
        <v>#N/A</v>
      </c>
      <c r="Q76" s="33" t="e">
        <f>VLOOKUP(A1,DIV_14Data!$A$1:$DZU$1000000,1293,FALSE)</f>
        <v>#N/A</v>
      </c>
    </row>
    <row r="77" spans="1:17" x14ac:dyDescent="0.35">
      <c r="A77" s="22" t="e">
        <f>VLOOKUP(A1,DIV_14Data!$A$1:$DZU$1000000,1294,FALSE)</f>
        <v>#N/A</v>
      </c>
      <c r="B77" s="37" t="e">
        <f>VLOOKUP(A1,DIV_14Data!$A$1:$DZU$1000000,1295,FALSE)</f>
        <v>#N/A</v>
      </c>
      <c r="C77" s="38" t="e">
        <f>VLOOKUP(A1,DIV_14Data!$A$1:$DZU$1000000,1296,FALSE)</f>
        <v>#N/A</v>
      </c>
      <c r="D77" s="31" t="e">
        <f>VLOOKUP(A1,DIV_14Data!$A$1:$DZU$1000000,1297,FALSE)</f>
        <v>#N/A</v>
      </c>
      <c r="E77" s="32" t="e">
        <f>VLOOKUP(A1,DIV_14Data!$A$1:$DZU$1000000,1298,FALSE)</f>
        <v>#N/A</v>
      </c>
      <c r="F77" s="34" t="e">
        <f>VLOOKUP(A1,DIV_14Data!$A$1:$DZU$1000000,1299,FALSE)</f>
        <v>#N/A</v>
      </c>
      <c r="G77" s="33" t="e">
        <f>VLOOKUP(A1,DIV_14Data!$A$1:$DZU$1000000,1300,FALSE)</f>
        <v>#N/A</v>
      </c>
      <c r="H77" s="34" t="e">
        <f>VLOOKUP(A1,DIV_14Data!$A$1:$DZU$1000000,1301,FALSE)</f>
        <v>#N/A</v>
      </c>
      <c r="I77" s="33" t="e">
        <f>VLOOKUP(A1,DIV_14Data!$A$1:$DZU$1000000,1302,FALSE)</f>
        <v>#N/A</v>
      </c>
      <c r="J77" s="34" t="e">
        <f>VLOOKUP(A1,DIV_14Data!$A$1:$DZU$1000000,1303,FALSE)</f>
        <v>#N/A</v>
      </c>
      <c r="K77" s="34" t="e">
        <f>VLOOKUP(A1,DIV_14Data!$A$1:$DZU$1000000,1304,FALSE)</f>
        <v>#N/A</v>
      </c>
      <c r="L77" s="93" t="e">
        <f>VLOOKUP(A1,DIV_14Data!$A$1:$DZU$1000000,1305,FALSE)</f>
        <v>#N/A</v>
      </c>
      <c r="M77" s="33" t="e">
        <f>VLOOKUP(A1,DIV_14Data!$A$1:$DZU$1000000,1306,FALSE)</f>
        <v>#N/A</v>
      </c>
      <c r="N77" s="34" t="e">
        <f>VLOOKUP(A1,DIV_14Data!$A$1:$DZU$1000000,1307,FALSE)</f>
        <v>#N/A</v>
      </c>
      <c r="O77" s="33" t="e">
        <f>VLOOKUP(A1,DIV_14Data!$A$1:$DZU$1000000,1308,FALSE)</f>
        <v>#N/A</v>
      </c>
      <c r="P77" s="46" t="e">
        <f>VLOOKUP(A1,DIV_14Data!$A$1:$DZU$1000000,1309,FALSE)</f>
        <v>#N/A</v>
      </c>
      <c r="Q77" s="33" t="e">
        <f>VLOOKUP(A1,DIV_14Data!$A$1:$DZU$1000000,1310,FALSE)</f>
        <v>#N/A</v>
      </c>
    </row>
    <row r="78" spans="1:17" x14ac:dyDescent="0.35">
      <c r="A78" s="22" t="e">
        <f>VLOOKUP(A1,DIV_14Data!$A$1:$DZU$1000000,1311,FALSE)</f>
        <v>#N/A</v>
      </c>
      <c r="B78" s="37" t="e">
        <f>VLOOKUP(A1,DIV_14Data!$A$1:$DZU$1000000,1312,FALSE)</f>
        <v>#N/A</v>
      </c>
      <c r="C78" s="38" t="e">
        <f>VLOOKUP(A1,DIV_14Data!$A$1:$DZU$1000000,1313,FALSE)</f>
        <v>#N/A</v>
      </c>
      <c r="D78" s="31" t="e">
        <f>VLOOKUP(A1,DIV_14Data!$A$1:$DZU$1000000,1314,FALSE)</f>
        <v>#N/A</v>
      </c>
      <c r="E78" s="32" t="e">
        <f>VLOOKUP(A1,DIV_14Data!$A$1:$DZU$1000000,1315,FALSE)</f>
        <v>#N/A</v>
      </c>
      <c r="F78" s="34" t="e">
        <f>VLOOKUP(A1,DIV_14Data!$A$1:$DZU$1000000,1316,FALSE)</f>
        <v>#N/A</v>
      </c>
      <c r="G78" s="33" t="e">
        <f>VLOOKUP(A1,DIV_14Data!$A$1:$DZU$1000000,1317,FALSE)</f>
        <v>#N/A</v>
      </c>
      <c r="H78" s="34" t="e">
        <f>VLOOKUP(A1,DIV_14Data!$A$1:$DZU$1000000,1318,FALSE)</f>
        <v>#N/A</v>
      </c>
      <c r="I78" s="33" t="e">
        <f>VLOOKUP(A1,DIV_14Data!$A$1:$DZU$1000000,1319,FALSE)</f>
        <v>#N/A</v>
      </c>
      <c r="J78" s="34" t="e">
        <f>VLOOKUP(A1,DIV_14Data!$A$1:$DZU$1000000,1320,FALSE)</f>
        <v>#N/A</v>
      </c>
      <c r="K78" s="34" t="e">
        <f>VLOOKUP(A1,DIV_14Data!$A$1:$DZU$1000000,1321,FALSE)</f>
        <v>#N/A</v>
      </c>
      <c r="L78" s="93" t="e">
        <f>VLOOKUP(A1,DIV_14Data!$A$1:$DZU$1000000,1322,FALSE)</f>
        <v>#N/A</v>
      </c>
      <c r="M78" s="33" t="e">
        <f>VLOOKUP(A1,DIV_14Data!$A$1:$DZU$1000000,1323,FALSE)</f>
        <v>#N/A</v>
      </c>
      <c r="N78" s="34" t="e">
        <f>VLOOKUP(A1,DIV_14Data!$A$1:$DZU$1000000,1324,FALSE)</f>
        <v>#N/A</v>
      </c>
      <c r="O78" s="33" t="e">
        <f>VLOOKUP(A1,DIV_14Data!$A$1:$DZU$1000000,1325,FALSE)</f>
        <v>#N/A</v>
      </c>
      <c r="P78" s="46" t="e">
        <f>VLOOKUP(A1,DIV_14Data!$A$1:$DZU$1000000,1326,FALSE)</f>
        <v>#N/A</v>
      </c>
      <c r="Q78" s="33" t="e">
        <f>VLOOKUP(A1,DIV_14Data!$A$1:$DZU$1000000,1327,FALSE)</f>
        <v>#N/A</v>
      </c>
    </row>
    <row r="79" spans="1:17" x14ac:dyDescent="0.35">
      <c r="A79" s="22" t="e">
        <f>VLOOKUP(A1,DIV_14Data!$A$1:$DZU$1000000,1328,FALSE)</f>
        <v>#N/A</v>
      </c>
      <c r="B79" s="37" t="e">
        <f>VLOOKUP(A1,DIV_14Data!$A$1:$DZU$1000000,1329,FALSE)</f>
        <v>#N/A</v>
      </c>
      <c r="C79" s="38" t="e">
        <f>VLOOKUP(A1,DIV_14Data!$A$1:$DZU$1000000,1330,FALSE)</f>
        <v>#N/A</v>
      </c>
      <c r="D79" s="31" t="e">
        <f>VLOOKUP(A1,DIV_14Data!$A$1:$DZU$1000000,1331,FALSE)</f>
        <v>#N/A</v>
      </c>
      <c r="E79" s="32" t="e">
        <f>VLOOKUP(A1,DIV_14Data!$A$1:$DZU$1000000,1332,FALSE)</f>
        <v>#N/A</v>
      </c>
      <c r="F79" s="34" t="e">
        <f>VLOOKUP(A1,DIV_14Data!$A$1:$DZU$1000000,1333,FALSE)</f>
        <v>#N/A</v>
      </c>
      <c r="G79" s="33" t="e">
        <f>VLOOKUP(A1,DIV_14Data!$A$1:$DZU$1000000,1334,FALSE)</f>
        <v>#N/A</v>
      </c>
      <c r="H79" s="34" t="e">
        <f>VLOOKUP(A1,DIV_14Data!$A$1:$DZU$1000000,1335,FALSE)</f>
        <v>#N/A</v>
      </c>
      <c r="I79" s="33" t="e">
        <f>VLOOKUP(A1,DIV_14Data!$A$1:$DZU$1000000,1336,FALSE)</f>
        <v>#N/A</v>
      </c>
      <c r="J79" s="34" t="e">
        <f>VLOOKUP(A1,DIV_14Data!$A$1:$DZU$1000000,1337,FALSE)</f>
        <v>#N/A</v>
      </c>
      <c r="K79" s="34" t="e">
        <f>VLOOKUP(A1,DIV_14Data!$A$1:$DZU$1000000,1338,FALSE)</f>
        <v>#N/A</v>
      </c>
      <c r="L79" s="93" t="e">
        <f>VLOOKUP(A1,DIV_14Data!$A$1:$DZU$1000000,1339,FALSE)</f>
        <v>#N/A</v>
      </c>
      <c r="M79" s="33" t="e">
        <f>VLOOKUP(A1,DIV_14Data!$A$1:$DZU$1000000,1340,FALSE)</f>
        <v>#N/A</v>
      </c>
      <c r="N79" s="34" t="e">
        <f>VLOOKUP(A1,DIV_14Data!$A$1:$DZU$1000000,1341,FALSE)</f>
        <v>#N/A</v>
      </c>
      <c r="O79" s="33" t="e">
        <f>VLOOKUP(A1,DIV_14Data!$A$1:$DZU$1000000,1342,FALSE)</f>
        <v>#N/A</v>
      </c>
      <c r="P79" s="46" t="e">
        <f>VLOOKUP(A1,DIV_14Data!$A$1:$DZU$1000000,1343,FALSE)</f>
        <v>#N/A</v>
      </c>
      <c r="Q79" s="33" t="e">
        <f>VLOOKUP(A1,DIV_14Data!$A$1:$DZU$1000000,1344,FALSE)</f>
        <v>#N/A</v>
      </c>
    </row>
    <row r="80" spans="1:17" x14ac:dyDescent="0.35">
      <c r="A80" s="22" t="e">
        <f>VLOOKUP(A1,DIV_14Data!$A$1:$DZU$1000000,1345,FALSE)</f>
        <v>#N/A</v>
      </c>
      <c r="B80" s="37" t="e">
        <f>VLOOKUP(A1,DIV_14Data!$A$1:$DZU$1000000,1346,FALSE)</f>
        <v>#N/A</v>
      </c>
      <c r="C80" s="38" t="e">
        <f>VLOOKUP(A1,DIV_14Data!$A$1:$DZU$1000000,1347,FALSE)</f>
        <v>#N/A</v>
      </c>
      <c r="D80" s="31" t="e">
        <f>VLOOKUP(A1,DIV_14Data!$A$1:$DZU$1000000,1348,FALSE)</f>
        <v>#N/A</v>
      </c>
      <c r="E80" s="32" t="e">
        <f>VLOOKUP(A1,DIV_14Data!$A$1:$DZU$1000000,1349,FALSE)</f>
        <v>#N/A</v>
      </c>
      <c r="F80" s="34" t="e">
        <f>VLOOKUP(A1,DIV_14Data!$A$1:$DZU$1000000,1350,FALSE)</f>
        <v>#N/A</v>
      </c>
      <c r="G80" s="33" t="e">
        <f>VLOOKUP(A1,DIV_14Data!$A$1:$DZU$1000000,1351,FALSE)</f>
        <v>#N/A</v>
      </c>
      <c r="H80" s="34" t="e">
        <f>VLOOKUP(A1,DIV_14Data!$A$1:$DZU$1000000,1352,FALSE)</f>
        <v>#N/A</v>
      </c>
      <c r="I80" s="33" t="e">
        <f>VLOOKUP(A1,DIV_14Data!$A$1:$DZU$1000000,1353,FALSE)</f>
        <v>#N/A</v>
      </c>
      <c r="J80" s="34" t="e">
        <f>VLOOKUP(A1,DIV_14Data!$A$1:$DZU$1000000,1354,FALSE)</f>
        <v>#N/A</v>
      </c>
      <c r="K80" s="34" t="e">
        <f>VLOOKUP(A1,DIV_14Data!$A$1:$DZU$1000000,1355,FALSE)</f>
        <v>#N/A</v>
      </c>
      <c r="L80" s="93" t="e">
        <f>VLOOKUP(A1,DIV_14Data!$A$1:$DZU$1000000,1356,FALSE)</f>
        <v>#N/A</v>
      </c>
      <c r="M80" s="33" t="e">
        <f>VLOOKUP(A1,DIV_14Data!$A$1:$DZU$1000000,1357,FALSE)</f>
        <v>#N/A</v>
      </c>
      <c r="N80" s="34" t="e">
        <f>VLOOKUP(A1,DIV_14Data!$A$1:$DZU$1000000,1358,FALSE)</f>
        <v>#N/A</v>
      </c>
      <c r="O80" s="33" t="e">
        <f>VLOOKUP(A1,DIV_14Data!$A$1:$DZU$1000000,1359,FALSE)</f>
        <v>#N/A</v>
      </c>
      <c r="P80" s="46" t="e">
        <f>VLOOKUP(A1,DIV_14Data!$A$1:$DZU$1000000,1360,FALSE)</f>
        <v>#N/A</v>
      </c>
      <c r="Q80" s="33" t="e">
        <f>VLOOKUP(A1,DIV_14Data!$A$1:$DZU$1000000,1361,FALSE)</f>
        <v>#N/A</v>
      </c>
    </row>
    <row r="81" spans="1:17" x14ac:dyDescent="0.35">
      <c r="A81" s="22" t="e">
        <f>VLOOKUP(A1,DIV_14Data!$A$1:$DZU$1000000,1362,FALSE)</f>
        <v>#N/A</v>
      </c>
      <c r="B81" s="37" t="e">
        <f>VLOOKUP(A1,DIV_14Data!$A$1:$DZU$1000000,1363,FALSE)</f>
        <v>#N/A</v>
      </c>
      <c r="C81" s="38" t="e">
        <f>VLOOKUP(A1,DIV_14Data!$A$1:$DZU$1000000,1364,FALSE)</f>
        <v>#N/A</v>
      </c>
      <c r="D81" s="31" t="e">
        <f>VLOOKUP(A1,DIV_14Data!$A$1:$DZU$1000000,1365,FALSE)</f>
        <v>#N/A</v>
      </c>
      <c r="E81" s="32" t="e">
        <f>VLOOKUP(A1,DIV_14Data!$A$1:$DZU$1000000,1366,FALSE)</f>
        <v>#N/A</v>
      </c>
      <c r="F81" s="34" t="e">
        <f>VLOOKUP(A1,DIV_14Data!$A$1:$DZU$1000000,1367,FALSE)</f>
        <v>#N/A</v>
      </c>
      <c r="G81" s="33" t="e">
        <f>VLOOKUP(A1,DIV_14Data!$A$1:$DZU$1000000,1368,FALSE)</f>
        <v>#N/A</v>
      </c>
      <c r="H81" s="34" t="e">
        <f>VLOOKUP(A1,DIV_14Data!$A$1:$DZU$1000000,1369,FALSE)</f>
        <v>#N/A</v>
      </c>
      <c r="I81" s="33" t="e">
        <f>VLOOKUP(A1,DIV_14Data!$A$1:$DZU$1000000,1370,FALSE)</f>
        <v>#N/A</v>
      </c>
      <c r="J81" s="34" t="e">
        <f>VLOOKUP(A1,DIV_14Data!$A$1:$DZU$1000000,1371,FALSE)</f>
        <v>#N/A</v>
      </c>
      <c r="K81" s="34" t="e">
        <f>VLOOKUP(A1,DIV_14Data!$A$1:$DZU$1000000,1372,FALSE)</f>
        <v>#N/A</v>
      </c>
      <c r="L81" s="93" t="e">
        <f>VLOOKUP(A1,DIV_14Data!$A$1:$DZU$1000000,1373,FALSE)</f>
        <v>#N/A</v>
      </c>
      <c r="M81" s="33" t="e">
        <f>VLOOKUP(A1,DIV_14Data!$A$1:$DZU$1000000,1374,FALSE)</f>
        <v>#N/A</v>
      </c>
      <c r="N81" s="34" t="e">
        <f>VLOOKUP(A1,DIV_14Data!$A$1:$DZU$1000000,1375,FALSE)</f>
        <v>#N/A</v>
      </c>
      <c r="O81" s="33" t="e">
        <f>VLOOKUP(A1,DIV_14Data!$A$1:$DZU$1000000,1376,FALSE)</f>
        <v>#N/A</v>
      </c>
      <c r="P81" s="46" t="e">
        <f>VLOOKUP(A1,DIV_14Data!$A$1:$DZU$1000000,1377,FALSE)</f>
        <v>#N/A</v>
      </c>
      <c r="Q81" s="33" t="e">
        <f>VLOOKUP(A1,DIV_14Data!$A$1:$DZU$1000000,1378,FALSE)</f>
        <v>#N/A</v>
      </c>
    </row>
    <row r="82" spans="1:17" x14ac:dyDescent="0.35">
      <c r="A82" s="22" t="e">
        <f>VLOOKUP(A1,DIV_14Data!$A$1:$DZU$1000000,1379,FALSE)</f>
        <v>#N/A</v>
      </c>
      <c r="B82" s="37" t="e">
        <f>VLOOKUP(A1,DIV_14Data!$A$1:$DZU$1000000,1380,FALSE)</f>
        <v>#N/A</v>
      </c>
      <c r="C82" s="38" t="e">
        <f>VLOOKUP(A1,DIV_14Data!$A$1:$DZU$1000000,1381,FALSE)</f>
        <v>#N/A</v>
      </c>
      <c r="D82" s="31" t="e">
        <f>VLOOKUP(A1,DIV_14Data!$A$1:$DZU$1000000,1382,FALSE)</f>
        <v>#N/A</v>
      </c>
      <c r="E82" s="32" t="e">
        <f>VLOOKUP(A1,DIV_14Data!$A$1:$DZU$1000000,1383,FALSE)</f>
        <v>#N/A</v>
      </c>
      <c r="F82" s="34" t="e">
        <f>VLOOKUP(A1,DIV_14Data!$A$1:$DZU$1000000,1384,FALSE)</f>
        <v>#N/A</v>
      </c>
      <c r="G82" s="33" t="e">
        <f>VLOOKUP(A1,DIV_14Data!$A$1:$DZU$1000000,1385,FALSE)</f>
        <v>#N/A</v>
      </c>
      <c r="H82" s="34" t="e">
        <f>VLOOKUP(A1,DIV_14Data!$A$1:$DZU$1000000,1386,FALSE)</f>
        <v>#N/A</v>
      </c>
      <c r="I82" s="33" t="e">
        <f>VLOOKUP(A1,DIV_14Data!$A$1:$DZU$1000000,1387,FALSE)</f>
        <v>#N/A</v>
      </c>
      <c r="J82" s="34" t="e">
        <f>VLOOKUP(A1,DIV_14Data!$A$1:$DZU$1000000,1388,FALSE)</f>
        <v>#N/A</v>
      </c>
      <c r="K82" s="34" t="e">
        <f>VLOOKUP(A1,DIV_14Data!$A$1:$DZU$1000000,1389,FALSE)</f>
        <v>#N/A</v>
      </c>
      <c r="L82" s="93" t="e">
        <f>VLOOKUP(A1,DIV_14Data!$A$1:$DZU$1000000,1390,FALSE)</f>
        <v>#N/A</v>
      </c>
      <c r="M82" s="33" t="e">
        <f>VLOOKUP(A1,DIV_14Data!$A$1:$DZU$1000000,1391,FALSE)</f>
        <v>#N/A</v>
      </c>
      <c r="N82" s="34" t="e">
        <f>VLOOKUP(A1,DIV_14Data!$A$1:$DZU$1000000,1392,FALSE)</f>
        <v>#N/A</v>
      </c>
      <c r="O82" s="33" t="e">
        <f>VLOOKUP(A1,DIV_14Data!$A$1:$DZU$1000000,1393,FALSE)</f>
        <v>#N/A</v>
      </c>
      <c r="P82" s="46" t="e">
        <f>VLOOKUP(A1,DIV_14Data!$A$1:$DZU$1000000,1394,FALSE)</f>
        <v>#N/A</v>
      </c>
      <c r="Q82" s="33" t="e">
        <f>VLOOKUP(A1,DIV_14Data!$A$1:$DZU$1000000,1395,FALSE)</f>
        <v>#N/A</v>
      </c>
    </row>
    <row r="83" spans="1:17" x14ac:dyDescent="0.35">
      <c r="A83" s="22" t="e">
        <f>VLOOKUP(A1,DIV_14Data!$A$1:$DZU$1000000,1396,FALSE)</f>
        <v>#N/A</v>
      </c>
      <c r="B83" s="37" t="e">
        <f>VLOOKUP(A1,DIV_14Data!$A$1:$DZU$1000000,1397,FALSE)</f>
        <v>#N/A</v>
      </c>
      <c r="C83" s="38" t="e">
        <f>VLOOKUP(A1,DIV_14Data!$A$1:$DZU$1000000,1398,FALSE)</f>
        <v>#N/A</v>
      </c>
      <c r="D83" s="31" t="e">
        <f>VLOOKUP(A1,DIV_14Data!$A$1:$DZU$1000000,1399,FALSE)</f>
        <v>#N/A</v>
      </c>
      <c r="E83" s="32" t="e">
        <f>VLOOKUP(A1,DIV_14Data!$A$1:$DZU$1000000,1400,FALSE)</f>
        <v>#N/A</v>
      </c>
      <c r="F83" s="34" t="e">
        <f>VLOOKUP(A1,DIV_14Data!$A$1:$DZU$1000000,1401,FALSE)</f>
        <v>#N/A</v>
      </c>
      <c r="G83" s="33" t="e">
        <f>VLOOKUP(A1,DIV_14Data!$A$1:$DZU$1000000,1402,FALSE)</f>
        <v>#N/A</v>
      </c>
      <c r="H83" s="34" t="e">
        <f>VLOOKUP(A1,DIV_14Data!$A$1:$DZU$1000000,1403,FALSE)</f>
        <v>#N/A</v>
      </c>
      <c r="I83" s="33" t="e">
        <f>VLOOKUP(A1,DIV_14Data!$A$1:$DZU$1000000,1404,FALSE)</f>
        <v>#N/A</v>
      </c>
      <c r="J83" s="34" t="e">
        <f>VLOOKUP(A1,DIV_14Data!$A$1:$DZU$1000000,1405,FALSE)</f>
        <v>#N/A</v>
      </c>
      <c r="K83" s="34" t="e">
        <f>VLOOKUP(A1,DIV_14Data!$A$1:$DZU$1000000,1406,FALSE)</f>
        <v>#N/A</v>
      </c>
      <c r="L83" s="93" t="e">
        <f>VLOOKUP(A1,DIV_14Data!$A$1:$DZU$1000000,1407,FALSE)</f>
        <v>#N/A</v>
      </c>
      <c r="M83" s="33" t="e">
        <f>VLOOKUP(A1,DIV_14Data!$A$1:$DZU$1000000,1408,FALSE)</f>
        <v>#N/A</v>
      </c>
      <c r="N83" s="34" t="e">
        <f>VLOOKUP(A1,DIV_14Data!$A$1:$DZU$1000000,1409,FALSE)</f>
        <v>#N/A</v>
      </c>
      <c r="O83" s="33" t="e">
        <f>VLOOKUP(A1,DIV_14Data!$A$1:$DZU$1000000,1410,FALSE)</f>
        <v>#N/A</v>
      </c>
      <c r="P83" s="46" t="e">
        <f>VLOOKUP(A1,DIV_14Data!$A$1:$DZU$1000000,1411,FALSE)</f>
        <v>#N/A</v>
      </c>
      <c r="Q83" s="33" t="e">
        <f>VLOOKUP(A1,DIV_14Data!$A$1:$DZU$1000000,1412,FALSE)</f>
        <v>#N/A</v>
      </c>
    </row>
    <row r="84" spans="1:17" x14ac:dyDescent="0.35">
      <c r="A84" s="22" t="e">
        <f>VLOOKUP(A1,DIV_14Data!$A$1:$DZU$1000000,1413,FALSE)</f>
        <v>#N/A</v>
      </c>
      <c r="B84" s="37" t="e">
        <f>VLOOKUP(A1,DIV_14Data!$A$1:$DZU$1000000,1414,FALSE)</f>
        <v>#N/A</v>
      </c>
      <c r="C84" s="38" t="e">
        <f>VLOOKUP(A1,DIV_14Data!$A$1:$DZU$1000000,1415,FALSE)</f>
        <v>#N/A</v>
      </c>
      <c r="D84" s="31" t="e">
        <f>VLOOKUP(A1,DIV_14Data!$A$1:$DZU$1000000,1416,FALSE)</f>
        <v>#N/A</v>
      </c>
      <c r="E84" s="32" t="e">
        <f>VLOOKUP(A1,DIV_14Data!$A$1:$DZU$1000000,1417,FALSE)</f>
        <v>#N/A</v>
      </c>
      <c r="F84" s="34" t="e">
        <f>VLOOKUP(A1,DIV_14Data!$A$1:$DZU$1000000,1418,FALSE)</f>
        <v>#N/A</v>
      </c>
      <c r="G84" s="33" t="e">
        <f>VLOOKUP(A1,DIV_14Data!$A$1:$DZU$1000000,1419,FALSE)</f>
        <v>#N/A</v>
      </c>
      <c r="H84" s="34" t="e">
        <f>VLOOKUP(A1,DIV_14Data!$A$1:$DZU$1000000,1420,FALSE)</f>
        <v>#N/A</v>
      </c>
      <c r="I84" s="33" t="e">
        <f>VLOOKUP(A1,DIV_14Data!$A$1:$DZU$1000000,1421,FALSE)</f>
        <v>#N/A</v>
      </c>
      <c r="J84" s="34" t="e">
        <f>VLOOKUP(A1,DIV_14Data!$A$1:$DZU$1000000,1422,FALSE)</f>
        <v>#N/A</v>
      </c>
      <c r="K84" s="34" t="e">
        <f>VLOOKUP(A1,DIV_14Data!$A$1:$DZU$1000000,1423,FALSE)</f>
        <v>#N/A</v>
      </c>
      <c r="L84" s="93" t="e">
        <f>VLOOKUP(A1,DIV_14Data!$A$1:$DZU$1000000,1424,FALSE)</f>
        <v>#N/A</v>
      </c>
      <c r="M84" s="33" t="e">
        <f>VLOOKUP(A1,DIV_14Data!$A$1:$DZU$1000000,1425,FALSE)</f>
        <v>#N/A</v>
      </c>
      <c r="N84" s="34" t="e">
        <f>VLOOKUP(A1,DIV_14Data!$A$1:$DZU$1000000,1426,FALSE)</f>
        <v>#N/A</v>
      </c>
      <c r="O84" s="33" t="e">
        <f>VLOOKUP(A1,DIV_14Data!$A$1:$DZU$1000000,1427,FALSE)</f>
        <v>#N/A</v>
      </c>
      <c r="P84" s="46" t="e">
        <f>VLOOKUP(A1,DIV_14Data!$A$1:$DZU$1000000,1428,FALSE)</f>
        <v>#N/A</v>
      </c>
      <c r="Q84" s="33" t="e">
        <f>VLOOKUP(A1,DIV_14Data!$A$1:$DZU$1000000,1429,FALSE)</f>
        <v>#N/A</v>
      </c>
    </row>
    <row r="85" spans="1:17" x14ac:dyDescent="0.35">
      <c r="A85" s="22" t="e">
        <f>VLOOKUP(A1,DIV_14Data!$A$1:$DZU$1000000,1430,FALSE)</f>
        <v>#N/A</v>
      </c>
      <c r="B85" s="37" t="e">
        <f>VLOOKUP(A1,DIV_14Data!$A$1:$DZU$1000000,1431,FALSE)</f>
        <v>#N/A</v>
      </c>
      <c r="C85" s="38" t="e">
        <f>VLOOKUP(A1,DIV_14Data!$A$1:$DZU$1000000,1432,FALSE)</f>
        <v>#N/A</v>
      </c>
      <c r="D85" s="31" t="e">
        <f>VLOOKUP(A1,DIV_14Data!$A$1:$DZU$1000000,1433,FALSE)</f>
        <v>#N/A</v>
      </c>
      <c r="E85" s="32" t="e">
        <f>VLOOKUP(A1,DIV_14Data!$A$1:$DZU$1000000,1434,FALSE)</f>
        <v>#N/A</v>
      </c>
      <c r="F85" s="34" t="e">
        <f>VLOOKUP(A1,DIV_14Data!$A$1:$DZU$1000000,1435,FALSE)</f>
        <v>#N/A</v>
      </c>
      <c r="G85" s="33" t="e">
        <f>VLOOKUP(A1,DIV_14Data!$A$1:$DZU$1000000,1436,FALSE)</f>
        <v>#N/A</v>
      </c>
      <c r="H85" s="34" t="e">
        <f>VLOOKUP(A1,DIV_14Data!$A$1:$DZU$1000000,1437,FALSE)</f>
        <v>#N/A</v>
      </c>
      <c r="I85" s="33" t="e">
        <f>VLOOKUP(A1,DIV_14Data!$A$1:$DZU$1000000,1438,FALSE)</f>
        <v>#N/A</v>
      </c>
      <c r="J85" s="34" t="e">
        <f>VLOOKUP(A1,DIV_14Data!$A$1:$DZU$1000000,1439,FALSE)</f>
        <v>#N/A</v>
      </c>
      <c r="K85" s="34" t="e">
        <f>VLOOKUP(A1,DIV_14Data!$A$1:$DZU$1000000,1440,FALSE)</f>
        <v>#N/A</v>
      </c>
      <c r="L85" s="93" t="e">
        <f>VLOOKUP(A1,DIV_14Data!$A$1:$DZU$1000000,1441,FALSE)</f>
        <v>#N/A</v>
      </c>
      <c r="M85" s="33" t="e">
        <f>VLOOKUP(A1,DIV_14Data!$A$1:$DZU$1000000,1442,FALSE)</f>
        <v>#N/A</v>
      </c>
      <c r="N85" s="34" t="e">
        <f>VLOOKUP(A1,DIV_14Data!$A$1:$DZU$1000000,1443,FALSE)</f>
        <v>#N/A</v>
      </c>
      <c r="O85" s="33" t="e">
        <f>VLOOKUP(A1,DIV_14Data!$A$1:$DZU$1000000,1444,FALSE)</f>
        <v>#N/A</v>
      </c>
      <c r="P85" s="46" t="e">
        <f>VLOOKUP(A1,DIV_14Data!$A$1:$DZU$1000000,1445,FALSE)</f>
        <v>#N/A</v>
      </c>
      <c r="Q85" s="33" t="e">
        <f>VLOOKUP(A1,DIV_14Data!$A$1:$DZU$1000000,1446,FALSE)</f>
        <v>#N/A</v>
      </c>
    </row>
    <row r="86" spans="1:17" x14ac:dyDescent="0.35">
      <c r="A86" s="22" t="e">
        <f>VLOOKUP(A1,DIV_14Data!$A$1:$DZU$1000000,1447,FALSE)</f>
        <v>#N/A</v>
      </c>
      <c r="B86" s="37" t="e">
        <f>VLOOKUP(A1,DIV_14Data!$A$1:$DZU$1000000,1448,FALSE)</f>
        <v>#N/A</v>
      </c>
      <c r="C86" s="38" t="e">
        <f>VLOOKUP(A1,DIV_14Data!$A$1:$DZU$1000000,1449,FALSE)</f>
        <v>#N/A</v>
      </c>
      <c r="D86" s="31" t="e">
        <f>VLOOKUP(A1,DIV_14Data!$A$1:$DZU$1000000,1450,FALSE)</f>
        <v>#N/A</v>
      </c>
      <c r="E86" s="32" t="e">
        <f>VLOOKUP(A1,DIV_14Data!$A$1:$DZU$1000000,1451,FALSE)</f>
        <v>#N/A</v>
      </c>
      <c r="F86" s="34" t="e">
        <f>VLOOKUP(A1,DIV_14Data!$A$1:$DZU$1000000,1452,FALSE)</f>
        <v>#N/A</v>
      </c>
      <c r="G86" s="33" t="e">
        <f>VLOOKUP(A1,DIV_14Data!$A$1:$DZU$1000000,1453,FALSE)</f>
        <v>#N/A</v>
      </c>
      <c r="H86" s="34" t="e">
        <f>VLOOKUP(A1,DIV_14Data!$A$1:$DZU$1000000,1454,FALSE)</f>
        <v>#N/A</v>
      </c>
      <c r="I86" s="33" t="e">
        <f>VLOOKUP(A1,DIV_14Data!$A$1:$DZU$1000000,1455,FALSE)</f>
        <v>#N/A</v>
      </c>
      <c r="J86" s="34" t="e">
        <f>VLOOKUP(A1,DIV_14Data!$A$1:$DZU$1000000,1456,FALSE)</f>
        <v>#N/A</v>
      </c>
      <c r="K86" s="34" t="e">
        <f>VLOOKUP(A1,DIV_14Data!$A$1:$DZU$1000000,1457,FALSE)</f>
        <v>#N/A</v>
      </c>
      <c r="L86" s="93" t="e">
        <f>VLOOKUP(A1,DIV_14Data!$A$1:$DZU$1000000,1458,FALSE)</f>
        <v>#N/A</v>
      </c>
      <c r="M86" s="33" t="e">
        <f>VLOOKUP(A1,DIV_14Data!$A$1:$DZU$1000000,1459,FALSE)</f>
        <v>#N/A</v>
      </c>
      <c r="N86" s="34" t="e">
        <f>VLOOKUP(A1,DIV_14Data!$A$1:$DZU$1000000,1460,FALSE)</f>
        <v>#N/A</v>
      </c>
      <c r="O86" s="33" t="e">
        <f>VLOOKUP(A1,DIV_14Data!$A$1:$DZU$1000000,1461,FALSE)</f>
        <v>#N/A</v>
      </c>
      <c r="P86" s="46" t="e">
        <f>VLOOKUP(A1,DIV_14Data!$A$1:$DZU$1000000,1462,FALSE)</f>
        <v>#N/A</v>
      </c>
      <c r="Q86" s="33" t="e">
        <f>VLOOKUP(A1,DIV_14Data!$A$1:$DZU$1000000,1463,FALSE)</f>
        <v>#N/A</v>
      </c>
    </row>
    <row r="87" spans="1:17" x14ac:dyDescent="0.35">
      <c r="A87" s="22" t="e">
        <f>VLOOKUP(A1,DIV_14Data!$A$1:$DZU$1000000,1464,FALSE)</f>
        <v>#N/A</v>
      </c>
      <c r="B87" s="37" t="e">
        <f>VLOOKUP(A1,DIV_14Data!$A$1:$DZU$1000000,1465,FALSE)</f>
        <v>#N/A</v>
      </c>
      <c r="C87" s="38" t="e">
        <f>VLOOKUP(A1,DIV_14Data!$A$1:$DZU$1000000,1466,FALSE)</f>
        <v>#N/A</v>
      </c>
      <c r="D87" s="31" t="e">
        <f>VLOOKUP(A1,DIV_14Data!$A$1:$DZU$1000000,1467,FALSE)</f>
        <v>#N/A</v>
      </c>
      <c r="E87" s="32" t="e">
        <f>VLOOKUP(A1,DIV_14Data!$A$1:$DZU$1000000,1468,FALSE)</f>
        <v>#N/A</v>
      </c>
      <c r="F87" s="34" t="e">
        <f>VLOOKUP(A1,DIV_14Data!$A$1:$DZU$1000000,1469,FALSE)</f>
        <v>#N/A</v>
      </c>
      <c r="G87" s="33" t="e">
        <f>VLOOKUP(A1,DIV_14Data!$A$1:$DZU$1000000,1470,FALSE)</f>
        <v>#N/A</v>
      </c>
      <c r="H87" s="34" t="e">
        <f>VLOOKUP(A1,DIV_14Data!$A$1:$DZU$1000000,1471,FALSE)</f>
        <v>#N/A</v>
      </c>
      <c r="I87" s="33" t="e">
        <f>VLOOKUP(A1,DIV_14Data!$A$1:$DZU$1000000,1472,FALSE)</f>
        <v>#N/A</v>
      </c>
      <c r="J87" s="34" t="e">
        <f>VLOOKUP(A1,DIV_14Data!$A$1:$DZU$1000000,1473,FALSE)</f>
        <v>#N/A</v>
      </c>
      <c r="K87" s="34" t="e">
        <f>VLOOKUP(A1,DIV_14Data!$A$1:$DZU$1000000,1474,FALSE)</f>
        <v>#N/A</v>
      </c>
      <c r="L87" s="93" t="e">
        <f>VLOOKUP(A1,DIV_14Data!$A$1:$DZU$1000000,1475,FALSE)</f>
        <v>#N/A</v>
      </c>
      <c r="M87" s="33" t="e">
        <f>VLOOKUP(A1,DIV_14Data!$A$1:$DZU$1000000,1476,FALSE)</f>
        <v>#N/A</v>
      </c>
      <c r="N87" s="34" t="e">
        <f>VLOOKUP(A1,DIV_14Data!$A$1:$DZU$1000000,1477,FALSE)</f>
        <v>#N/A</v>
      </c>
      <c r="O87" s="33" t="e">
        <f>VLOOKUP(A1,DIV_14Data!$A$1:$DZU$1000000,1478,FALSE)</f>
        <v>#N/A</v>
      </c>
      <c r="P87" s="46" t="e">
        <f>VLOOKUP(A1,DIV_14Data!$A$1:$DZU$1000000,1479,FALSE)</f>
        <v>#N/A</v>
      </c>
      <c r="Q87" s="33" t="e">
        <f>VLOOKUP(A1,DIV_14Data!$A$1:$DZU$1000000,1480,FALSE)</f>
        <v>#N/A</v>
      </c>
    </row>
    <row r="88" spans="1:17" x14ac:dyDescent="0.35">
      <c r="A88" s="22" t="e">
        <f>VLOOKUP(A1,DIV_14Data!$A$1:$DZU$1000000,1481,FALSE)</f>
        <v>#N/A</v>
      </c>
      <c r="B88" s="37" t="e">
        <f>VLOOKUP(A1,DIV_14Data!$A$1:$DZU$1000000,1482,FALSE)</f>
        <v>#N/A</v>
      </c>
      <c r="C88" s="38" t="e">
        <f>VLOOKUP(A1,DIV_14Data!$A$1:$DZU$1000000,1483,FALSE)</f>
        <v>#N/A</v>
      </c>
      <c r="D88" s="31" t="e">
        <f>VLOOKUP(A1,DIV_14Data!$A$1:$DZU$1000000,1484,FALSE)</f>
        <v>#N/A</v>
      </c>
      <c r="E88" s="32" t="e">
        <f>VLOOKUP(A1,DIV_14Data!$A$1:$DZU$1000000,1485,FALSE)</f>
        <v>#N/A</v>
      </c>
      <c r="F88" s="34" t="e">
        <f>VLOOKUP(A1,DIV_14Data!$A$1:$DZU$1000000,1486,FALSE)</f>
        <v>#N/A</v>
      </c>
      <c r="G88" s="33" t="e">
        <f>VLOOKUP(A1,DIV_14Data!$A$1:$DZU$1000000,1487,FALSE)</f>
        <v>#N/A</v>
      </c>
      <c r="H88" s="34" t="e">
        <f>VLOOKUP(A1,DIV_14Data!$A$1:$DZU$1000000,1488,FALSE)</f>
        <v>#N/A</v>
      </c>
      <c r="I88" s="33" t="e">
        <f>VLOOKUP(A1,DIV_14Data!$A$1:$DZU$1000000,1489,FALSE)</f>
        <v>#N/A</v>
      </c>
      <c r="J88" s="34" t="e">
        <f>VLOOKUP(A1,DIV_14Data!$A$1:$DZU$1000000,1490,FALSE)</f>
        <v>#N/A</v>
      </c>
      <c r="K88" s="34" t="e">
        <f>VLOOKUP(A1,DIV_14Data!$A$1:$DZU$1000000,1491,FALSE)</f>
        <v>#N/A</v>
      </c>
      <c r="L88" s="93" t="e">
        <f>VLOOKUP(A1,DIV_14Data!$A$1:$DZU$1000000,1492,FALSE)</f>
        <v>#N/A</v>
      </c>
      <c r="M88" s="33" t="e">
        <f>VLOOKUP(A1,DIV_14Data!$A$1:$DZU$1000000,1493,FALSE)</f>
        <v>#N/A</v>
      </c>
      <c r="N88" s="34" t="e">
        <f>VLOOKUP(A1,DIV_14Data!$A$1:$DZU$1000000,1494,FALSE)</f>
        <v>#N/A</v>
      </c>
      <c r="O88" s="33" t="e">
        <f>VLOOKUP(A1,DIV_14Data!$A$1:$DZU$1000000,1495,FALSE)</f>
        <v>#N/A</v>
      </c>
      <c r="P88" s="46" t="e">
        <f>VLOOKUP(A1,DIV_14Data!$A$1:$DZU$1000000,1496,FALSE)</f>
        <v>#N/A</v>
      </c>
      <c r="Q88" s="33" t="e">
        <f>VLOOKUP(A1,DIV_14Data!$A$1:$DZU$1000000,1497,FALSE)</f>
        <v>#N/A</v>
      </c>
    </row>
    <row r="89" spans="1:17" x14ac:dyDescent="0.35">
      <c r="A89" s="22" t="e">
        <f>VLOOKUP(A1,DIV_14Data!$A$1:$DZU$1000000,1498,FALSE)</f>
        <v>#N/A</v>
      </c>
      <c r="B89" s="37" t="e">
        <f>VLOOKUP(A1,DIV_14Data!$A$1:$DZU$1000000,1499,FALSE)</f>
        <v>#N/A</v>
      </c>
      <c r="C89" s="38" t="e">
        <f>VLOOKUP(A1,DIV_14Data!$A$1:$DZU$1000000,1500,FALSE)</f>
        <v>#N/A</v>
      </c>
      <c r="D89" s="31" t="e">
        <f>VLOOKUP(A1,DIV_14Data!$A$1:$DZU$1000000,1501,FALSE)</f>
        <v>#N/A</v>
      </c>
      <c r="E89" s="32" t="e">
        <f>VLOOKUP(A1,DIV_14Data!$A$1:$DZU$1000000,1502,FALSE)</f>
        <v>#N/A</v>
      </c>
      <c r="F89" s="34" t="e">
        <f>VLOOKUP(A1,DIV_14Data!$A$1:$DZU$1000000,1503,FALSE)</f>
        <v>#N/A</v>
      </c>
      <c r="G89" s="33" t="e">
        <f>VLOOKUP(A1,DIV_14Data!$A$1:$DZU$1000000,1504,FALSE)</f>
        <v>#N/A</v>
      </c>
      <c r="H89" s="34" t="e">
        <f>VLOOKUP(A1,DIV_14Data!$A$1:$DZU$1000000,1505,FALSE)</f>
        <v>#N/A</v>
      </c>
      <c r="I89" s="33" t="e">
        <f>VLOOKUP(A1,DIV_14Data!$A$1:$DZU$1000000,1506,FALSE)</f>
        <v>#N/A</v>
      </c>
      <c r="J89" s="34" t="e">
        <f>VLOOKUP(A1,DIV_14Data!$A$1:$DZU$1000000,1507,FALSE)</f>
        <v>#N/A</v>
      </c>
      <c r="K89" s="34" t="e">
        <f>VLOOKUP(A1,DIV_14Data!$A$1:$DZU$1000000,1508,FALSE)</f>
        <v>#N/A</v>
      </c>
      <c r="L89" s="93" t="e">
        <f>VLOOKUP(A1,DIV_14Data!$A$1:$DZU$1000000,1509,FALSE)</f>
        <v>#N/A</v>
      </c>
      <c r="M89" s="33" t="e">
        <f>VLOOKUP(A1,DIV_14Data!$A$1:$DZU$1000000,1510,FALSE)</f>
        <v>#N/A</v>
      </c>
      <c r="N89" s="34" t="e">
        <f>VLOOKUP(A1,DIV_14Data!$A$1:$DZU$1000000,1511,FALSE)</f>
        <v>#N/A</v>
      </c>
      <c r="O89" s="33" t="e">
        <f>VLOOKUP(A1,DIV_14Data!$A$1:$DZU$1000000,1512,FALSE)</f>
        <v>#N/A</v>
      </c>
      <c r="P89" s="46" t="e">
        <f>VLOOKUP(A1,DIV_14Data!$A$1:$DZU$1000000,1513,FALSE)</f>
        <v>#N/A</v>
      </c>
      <c r="Q89" s="33" t="e">
        <f>VLOOKUP(A1,DIV_14Data!$A$1:$DZU$1000000,1514,FALSE)</f>
        <v>#N/A</v>
      </c>
    </row>
    <row r="90" spans="1:17" x14ac:dyDescent="0.35">
      <c r="A90" s="22" t="e">
        <f>VLOOKUP(A1,DIV_14Data!$A$1:$DZU$1000000,1515,FALSE)</f>
        <v>#N/A</v>
      </c>
      <c r="B90" s="37" t="e">
        <f>VLOOKUP(A1,DIV_14Data!$A$1:$DZU$1000000,1516,FALSE)</f>
        <v>#N/A</v>
      </c>
      <c r="C90" s="38" t="e">
        <f>VLOOKUP(A1,DIV_14Data!$A$1:$DZU$1000000,1517,FALSE)</f>
        <v>#N/A</v>
      </c>
      <c r="D90" s="31" t="e">
        <f>VLOOKUP(A1,DIV_14Data!$A$1:$DZU$1000000,1518,FALSE)</f>
        <v>#N/A</v>
      </c>
      <c r="E90" s="32" t="e">
        <f>VLOOKUP(A1,DIV_14Data!$A$1:$DZU$1000000,1519,FALSE)</f>
        <v>#N/A</v>
      </c>
      <c r="F90" s="34" t="e">
        <f>VLOOKUP(A1,DIV_14Data!$A$1:$DZU$1000000,1520,FALSE)</f>
        <v>#N/A</v>
      </c>
      <c r="G90" s="33" t="e">
        <f>VLOOKUP(A1,DIV_14Data!$A$1:$DZU$1000000,1521,FALSE)</f>
        <v>#N/A</v>
      </c>
      <c r="H90" s="34" t="e">
        <f>VLOOKUP(A1,DIV_14Data!$A$1:$DZU$1000000,1522,FALSE)</f>
        <v>#N/A</v>
      </c>
      <c r="I90" s="33" t="e">
        <f>VLOOKUP(A1,DIV_14Data!$A$1:$DZU$1000000,1523,FALSE)</f>
        <v>#N/A</v>
      </c>
      <c r="J90" s="34" t="e">
        <f>VLOOKUP(A1,DIV_14Data!$A$1:$DZU$1000000,1524,FALSE)</f>
        <v>#N/A</v>
      </c>
      <c r="K90" s="34" t="e">
        <f>VLOOKUP(A1,DIV_14Data!$A$1:$DZU$1000000,1525,FALSE)</f>
        <v>#N/A</v>
      </c>
      <c r="L90" s="93" t="e">
        <f>VLOOKUP(A1,DIV_14Data!$A$1:$DZU$1000000,1526,FALSE)</f>
        <v>#N/A</v>
      </c>
      <c r="M90" s="33" t="e">
        <f>VLOOKUP(A1,DIV_14Data!$A$1:$DZU$1000000,1527,FALSE)</f>
        <v>#N/A</v>
      </c>
      <c r="N90" s="34" t="e">
        <f>VLOOKUP(A1,DIV_14Data!$A$1:$DZU$1000000,1528,FALSE)</f>
        <v>#N/A</v>
      </c>
      <c r="O90" s="33" t="e">
        <f>VLOOKUP(A1,DIV_14Data!$A$1:$DZU$1000000,1529,FALSE)</f>
        <v>#N/A</v>
      </c>
      <c r="P90" s="46" t="e">
        <f>VLOOKUP(A1,DIV_14Data!$A$1:$DZU$1000000,1530,FALSE)</f>
        <v>#N/A</v>
      </c>
      <c r="Q90" s="33" t="e">
        <f>VLOOKUP(A1,DIV_14Data!$A$1:$DZU$1000000,1531,FALSE)</f>
        <v>#N/A</v>
      </c>
    </row>
    <row r="91" spans="1:17" x14ac:dyDescent="0.35">
      <c r="A91" s="22" t="e">
        <f>VLOOKUP(A1,DIV_14Data!$A$1:$DZU$1000000,1532,FALSE)</f>
        <v>#N/A</v>
      </c>
      <c r="B91" s="37" t="e">
        <f>VLOOKUP(A1,DIV_14Data!$A$1:$DZU$1000000,1533,FALSE)</f>
        <v>#N/A</v>
      </c>
      <c r="C91" s="38" t="e">
        <f>VLOOKUP(A1,DIV_14Data!$A$1:$DZU$1000000,1534,FALSE)</f>
        <v>#N/A</v>
      </c>
      <c r="D91" s="31" t="e">
        <f>VLOOKUP(A1,DIV_14Data!$A$1:$DZU$1000000,1535,FALSE)</f>
        <v>#N/A</v>
      </c>
      <c r="E91" s="32" t="e">
        <f>VLOOKUP(A1,DIV_14Data!$A$1:$DZU$1000000,1536,FALSE)</f>
        <v>#N/A</v>
      </c>
      <c r="F91" s="34" t="e">
        <f>VLOOKUP(A1,DIV_14Data!$A$1:$DZU$1000000,1537,FALSE)</f>
        <v>#N/A</v>
      </c>
      <c r="G91" s="33" t="e">
        <f>VLOOKUP(A1,DIV_14Data!$A$1:$DZU$1000000,1538,FALSE)</f>
        <v>#N/A</v>
      </c>
      <c r="H91" s="34" t="e">
        <f>VLOOKUP(A1,DIV_14Data!$A$1:$DZU$1000000,1539,FALSE)</f>
        <v>#N/A</v>
      </c>
      <c r="I91" s="33" t="e">
        <f>VLOOKUP(A1,DIV_14Data!$A$1:$DZU$1000000,1540,FALSE)</f>
        <v>#N/A</v>
      </c>
      <c r="J91" s="34" t="e">
        <f>VLOOKUP(A1,DIV_14Data!$A$1:$DZU$1000000,1541,FALSE)</f>
        <v>#N/A</v>
      </c>
      <c r="K91" s="34" t="e">
        <f>VLOOKUP(A1,DIV_14Data!$A$1:$DZU$1000000,1542,FALSE)</f>
        <v>#N/A</v>
      </c>
      <c r="L91" s="93" t="e">
        <f>VLOOKUP(A1,DIV_14Data!$A$1:$DZU$1000000,1543,FALSE)</f>
        <v>#N/A</v>
      </c>
      <c r="M91" s="33" t="e">
        <f>VLOOKUP(A1,DIV_14Data!$A$1:$DZU$1000000,1544,FALSE)</f>
        <v>#N/A</v>
      </c>
      <c r="N91" s="34" t="e">
        <f>VLOOKUP(A1,DIV_14Data!$A$1:$DZU$1000000,1545,FALSE)</f>
        <v>#N/A</v>
      </c>
      <c r="O91" s="33" t="e">
        <f>VLOOKUP(A1,DIV_14Data!$A$1:$DZU$1000000,1546,FALSE)</f>
        <v>#N/A</v>
      </c>
      <c r="P91" s="46" t="e">
        <f>VLOOKUP(A1,DIV_14Data!$A$1:$DZU$1000000,1547,FALSE)</f>
        <v>#N/A</v>
      </c>
      <c r="Q91" s="33" t="e">
        <f>VLOOKUP(A1,DIV_14Data!$A$1:$DZU$1000000,1548,FALSE)</f>
        <v>#N/A</v>
      </c>
    </row>
    <row r="92" spans="1:17" x14ac:dyDescent="0.35">
      <c r="A92" s="22" t="e">
        <f>VLOOKUP(A1,DIV_14Data!$A$1:$DZU$1000000,1549,FALSE)</f>
        <v>#N/A</v>
      </c>
      <c r="B92" s="37" t="e">
        <f>VLOOKUP(A1,DIV_14Data!$A$1:$DZU$1000000,1550,FALSE)</f>
        <v>#N/A</v>
      </c>
      <c r="C92" s="38" t="e">
        <f>VLOOKUP(A1,DIV_14Data!$A$1:$DZU$1000000,1551,FALSE)</f>
        <v>#N/A</v>
      </c>
      <c r="D92" s="31" t="e">
        <f>VLOOKUP(A1,DIV_14Data!$A$1:$DZU$1000000,1552,FALSE)</f>
        <v>#N/A</v>
      </c>
      <c r="E92" s="32" t="e">
        <f>VLOOKUP(A1,DIV_14Data!$A$1:$DZU$1000000,1553,FALSE)</f>
        <v>#N/A</v>
      </c>
      <c r="F92" s="34" t="e">
        <f>VLOOKUP(A1,DIV_14Data!$A$1:$DZU$1000000,1554,FALSE)</f>
        <v>#N/A</v>
      </c>
      <c r="G92" s="33" t="e">
        <f>VLOOKUP(A1,DIV_14Data!$A$1:$DZU$1000000,1555,FALSE)</f>
        <v>#N/A</v>
      </c>
      <c r="H92" s="34" t="e">
        <f>VLOOKUP(A1,DIV_14Data!$A$1:$DZU$1000000,1556,FALSE)</f>
        <v>#N/A</v>
      </c>
      <c r="I92" s="33" t="e">
        <f>VLOOKUP(A1,DIV_14Data!$A$1:$DZU$1000000,1557,FALSE)</f>
        <v>#N/A</v>
      </c>
      <c r="J92" s="34" t="e">
        <f>VLOOKUP(A1,DIV_14Data!$A$1:$DZU$1000000,1558,FALSE)</f>
        <v>#N/A</v>
      </c>
      <c r="K92" s="34" t="e">
        <f>VLOOKUP(A1,DIV_14Data!$A$1:$DZU$1000000,1559,FALSE)</f>
        <v>#N/A</v>
      </c>
      <c r="L92" s="93" t="e">
        <f>VLOOKUP(A1,DIV_14Data!$A$1:$DZU$1000000,1560,FALSE)</f>
        <v>#N/A</v>
      </c>
      <c r="M92" s="33" t="e">
        <f>VLOOKUP(A1,DIV_14Data!$A$1:$DZU$1000000,1561,FALSE)</f>
        <v>#N/A</v>
      </c>
      <c r="N92" s="34" t="e">
        <f>VLOOKUP(A1,DIV_14Data!$A$1:$DZU$1000000,1562,FALSE)</f>
        <v>#N/A</v>
      </c>
      <c r="O92" s="33" t="e">
        <f>VLOOKUP(A1,DIV_14Data!$A$1:$DZU$1000000,1563,FALSE)</f>
        <v>#N/A</v>
      </c>
      <c r="P92" s="46" t="e">
        <f>VLOOKUP(A1,DIV_14Data!$A$1:$DZU$1000000,1564,FALSE)</f>
        <v>#N/A</v>
      </c>
      <c r="Q92" s="33" t="e">
        <f>VLOOKUP(A1,DIV_14Data!$A$1:$DZU$1000000,1565,FALSE)</f>
        <v>#N/A</v>
      </c>
    </row>
    <row r="93" spans="1:17" x14ac:dyDescent="0.35">
      <c r="A93" s="22" t="e">
        <f>VLOOKUP(A1,DIV_14Data!$A$1:$DZU$1000000,1566,FALSE)</f>
        <v>#N/A</v>
      </c>
      <c r="B93" s="37" t="e">
        <f>VLOOKUP(A1,DIV_14Data!$A$1:$DZU$1000000,1567,FALSE)</f>
        <v>#N/A</v>
      </c>
      <c r="C93" s="38" t="e">
        <f>VLOOKUP(A1,DIV_14Data!$A$1:$DZU$1000000,1568,FALSE)</f>
        <v>#N/A</v>
      </c>
      <c r="D93" s="31" t="e">
        <f>VLOOKUP(A1,DIV_14Data!$A$1:$DZU$1000000,1569,FALSE)</f>
        <v>#N/A</v>
      </c>
      <c r="E93" s="32" t="e">
        <f>VLOOKUP(A1,DIV_14Data!$A$1:$DZU$1000000,1570,FALSE)</f>
        <v>#N/A</v>
      </c>
      <c r="F93" s="34" t="e">
        <f>VLOOKUP(A1,DIV_14Data!$A$1:$DZU$1000000,1571,FALSE)</f>
        <v>#N/A</v>
      </c>
      <c r="G93" s="33" t="e">
        <f>VLOOKUP(A1,DIV_14Data!$A$1:$DZU$1000000,1572,FALSE)</f>
        <v>#N/A</v>
      </c>
      <c r="H93" s="34" t="e">
        <f>VLOOKUP(A1,DIV_14Data!$A$1:$DZU$1000000,1573,FALSE)</f>
        <v>#N/A</v>
      </c>
      <c r="I93" s="33" t="e">
        <f>VLOOKUP(A1,DIV_14Data!$A$1:$DZU$1000000,1574,FALSE)</f>
        <v>#N/A</v>
      </c>
      <c r="J93" s="34" t="e">
        <f>VLOOKUP(A1,DIV_14Data!$A$1:$DZU$1000000,1575,FALSE)</f>
        <v>#N/A</v>
      </c>
      <c r="K93" s="34" t="e">
        <f>VLOOKUP(A1,DIV_14Data!$A$1:$DZU$1000000,1576,FALSE)</f>
        <v>#N/A</v>
      </c>
      <c r="L93" s="93" t="e">
        <f>VLOOKUP(A1,DIV_14Data!$A$1:$DZU$1000000,1577,FALSE)</f>
        <v>#N/A</v>
      </c>
      <c r="M93" s="33" t="e">
        <f>VLOOKUP(A1,DIV_14Data!$A$1:$DZU$1000000,1578,FALSE)</f>
        <v>#N/A</v>
      </c>
      <c r="N93" s="34" t="e">
        <f>VLOOKUP(A1,DIV_14Data!$A$1:$DZU$1000000,1579,FALSE)</f>
        <v>#N/A</v>
      </c>
      <c r="O93" s="33" t="e">
        <f>VLOOKUP(A1,DIV_14Data!$A$1:$DZU$1000000,1580,FALSE)</f>
        <v>#N/A</v>
      </c>
      <c r="P93" s="46" t="e">
        <f>VLOOKUP(A1,DIV_14Data!$A$1:$DZU$1000000,1581,FALSE)</f>
        <v>#N/A</v>
      </c>
      <c r="Q93" s="33" t="e">
        <f>VLOOKUP(A1,DIV_14Data!$A$1:$DZU$1000000,1582,FALSE)</f>
        <v>#N/A</v>
      </c>
    </row>
    <row r="94" spans="1:17" x14ac:dyDescent="0.35">
      <c r="A94" s="22" t="e">
        <f>VLOOKUP(A1,DIV_14Data!$A$1:$DZU$1000000,1583,FALSE)</f>
        <v>#N/A</v>
      </c>
      <c r="B94" s="37" t="e">
        <f>VLOOKUP(A1,DIV_14Data!$A$1:$DZU$1000000,1584,FALSE)</f>
        <v>#N/A</v>
      </c>
      <c r="C94" s="38" t="e">
        <f>VLOOKUP(A1,DIV_14Data!$A$1:$DZU$1000000,1585,FALSE)</f>
        <v>#N/A</v>
      </c>
      <c r="D94" s="31" t="e">
        <f>VLOOKUP(A1,DIV_14Data!$A$1:$DZU$1000000,1586,FALSE)</f>
        <v>#N/A</v>
      </c>
      <c r="E94" s="32" t="e">
        <f>VLOOKUP(A1,DIV_14Data!$A$1:$DZU$1000000,1587,FALSE)</f>
        <v>#N/A</v>
      </c>
      <c r="F94" s="34" t="e">
        <f>VLOOKUP(A1,DIV_14Data!$A$1:$DZU$1000000,1588,FALSE)</f>
        <v>#N/A</v>
      </c>
      <c r="G94" s="33" t="e">
        <f>VLOOKUP(A1,DIV_14Data!$A$1:$DZU$1000000,1589,FALSE)</f>
        <v>#N/A</v>
      </c>
      <c r="H94" s="34" t="e">
        <f>VLOOKUP(A1,DIV_14Data!$A$1:$DZU$1000000,1590,FALSE)</f>
        <v>#N/A</v>
      </c>
      <c r="I94" s="33" t="e">
        <f>VLOOKUP(A1,DIV_14Data!$A$1:$DZU$1000000,1591,FALSE)</f>
        <v>#N/A</v>
      </c>
      <c r="J94" s="34" t="e">
        <f>VLOOKUP(A1,DIV_14Data!$A$1:$DZU$1000000,1592,FALSE)</f>
        <v>#N/A</v>
      </c>
      <c r="K94" s="34" t="e">
        <f>VLOOKUP(A1,DIV_14Data!$A$1:$DZU$1000000,1593,FALSE)</f>
        <v>#N/A</v>
      </c>
      <c r="L94" s="93" t="e">
        <f>VLOOKUP(A1,DIV_14Data!$A$1:$DZU$1000000,1594,FALSE)</f>
        <v>#N/A</v>
      </c>
      <c r="M94" s="33" t="e">
        <f>VLOOKUP(A1,DIV_14Data!$A$1:$DZU$1000000,1595,FALSE)</f>
        <v>#N/A</v>
      </c>
      <c r="N94" s="34" t="e">
        <f>VLOOKUP(A1,DIV_14Data!$A$1:$DZU$1000000,1596,FALSE)</f>
        <v>#N/A</v>
      </c>
      <c r="O94" s="33" t="e">
        <f>VLOOKUP(A1,DIV_14Data!$A$1:$DZU$1000000,1597,FALSE)</f>
        <v>#N/A</v>
      </c>
      <c r="P94" s="46" t="e">
        <f>VLOOKUP(A1,DIV_14Data!$A$1:$DZU$1000000,1598,FALSE)</f>
        <v>#N/A</v>
      </c>
      <c r="Q94" s="33" t="e">
        <f>VLOOKUP(A1,DIV_14Data!$A$1:$DZU$1000000,1599,FALSE)</f>
        <v>#N/A</v>
      </c>
    </row>
    <row r="95" spans="1:17" x14ac:dyDescent="0.35">
      <c r="A95" s="22" t="e">
        <f>VLOOKUP(A1,DIV_14Data!$A$1:$DZU$1000000,1600,FALSE)</f>
        <v>#N/A</v>
      </c>
      <c r="B95" s="37" t="e">
        <f>VLOOKUP(A1,DIV_14Data!$A$1:$DZU$1000000,1601,FALSE)</f>
        <v>#N/A</v>
      </c>
      <c r="C95" s="38" t="e">
        <f>VLOOKUP(A1,DIV_14Data!$A$1:$DZU$1000000,1602,FALSE)</f>
        <v>#N/A</v>
      </c>
      <c r="D95" s="31" t="e">
        <f>VLOOKUP(A1,DIV_14Data!$A$1:$DZU$1000000,1603,FALSE)</f>
        <v>#N/A</v>
      </c>
      <c r="E95" s="32" t="e">
        <f>VLOOKUP(A1,DIV_14Data!$A$1:$DZU$1000000,1604,FALSE)</f>
        <v>#N/A</v>
      </c>
      <c r="F95" s="34" t="e">
        <f>VLOOKUP(A1,DIV_14Data!$A$1:$DZU$1000000,1605,FALSE)</f>
        <v>#N/A</v>
      </c>
      <c r="G95" s="33" t="e">
        <f>VLOOKUP(A1,DIV_14Data!$A$1:$DZU$1000000,1606,FALSE)</f>
        <v>#N/A</v>
      </c>
      <c r="H95" s="34" t="e">
        <f>VLOOKUP(A1,DIV_14Data!$A$1:$DZU$1000000,1607,FALSE)</f>
        <v>#N/A</v>
      </c>
      <c r="I95" s="33" t="e">
        <f>VLOOKUP(A1,DIV_14Data!$A$1:$DZU$1000000,1608,FALSE)</f>
        <v>#N/A</v>
      </c>
      <c r="J95" s="34" t="e">
        <f>VLOOKUP(A1,DIV_14Data!$A$1:$DZU$1000000,1609,FALSE)</f>
        <v>#N/A</v>
      </c>
      <c r="K95" s="34" t="e">
        <f>VLOOKUP(A1,DIV_14Data!$A$1:$DZU$1000000,1610,FALSE)</f>
        <v>#N/A</v>
      </c>
      <c r="L95" s="93" t="e">
        <f>VLOOKUP(A1,DIV_14Data!$A$1:$DZU$1000000,1611,FALSE)</f>
        <v>#N/A</v>
      </c>
      <c r="M95" s="33" t="e">
        <f>VLOOKUP(A1,DIV_14Data!$A$1:$DZU$1000000,1612,FALSE)</f>
        <v>#N/A</v>
      </c>
      <c r="N95" s="34" t="e">
        <f>VLOOKUP(A1,DIV_14Data!$A$1:$DZU$1000000,1613,FALSE)</f>
        <v>#N/A</v>
      </c>
      <c r="O95" s="33" t="e">
        <f>VLOOKUP(A1,DIV_14Data!$A$1:$DZU$1000000,1614,FALSE)</f>
        <v>#N/A</v>
      </c>
      <c r="P95" s="46" t="e">
        <f>VLOOKUP(A1,DIV_14Data!$A$1:$DZU$1000000,1615,FALSE)</f>
        <v>#N/A</v>
      </c>
      <c r="Q95" s="33" t="e">
        <f>VLOOKUP(A1,DIV_14Data!$A$1:$DZU$1000000,1616,FALSE)</f>
        <v>#N/A</v>
      </c>
    </row>
    <row r="96" spans="1:17" x14ac:dyDescent="0.35">
      <c r="A96" s="22" t="e">
        <f>VLOOKUP(A1,DIV_14Data!$A$1:$DZU$1000000,1617,FALSE)</f>
        <v>#N/A</v>
      </c>
      <c r="B96" s="37" t="e">
        <f>VLOOKUP(A1,DIV_14Data!$A$1:$DZU$1000000,1618,FALSE)</f>
        <v>#N/A</v>
      </c>
      <c r="C96" s="38" t="e">
        <f>VLOOKUP(A1,DIV_14Data!$A$1:$DZU$1000000,1619,FALSE)</f>
        <v>#N/A</v>
      </c>
      <c r="D96" s="31" t="e">
        <f>VLOOKUP(A1,DIV_14Data!$A$1:$DZU$1000000,1620,FALSE)</f>
        <v>#N/A</v>
      </c>
      <c r="E96" s="32" t="e">
        <f>VLOOKUP(A1,DIV_14Data!$A$1:$DZU$1000000,1621,FALSE)</f>
        <v>#N/A</v>
      </c>
      <c r="F96" s="34" t="e">
        <f>VLOOKUP(A1,DIV_14Data!$A$1:$DZU$1000000,1622,FALSE)</f>
        <v>#N/A</v>
      </c>
      <c r="G96" s="33" t="e">
        <f>VLOOKUP(A1,DIV_14Data!$A$1:$DZU$1000000,1623,FALSE)</f>
        <v>#N/A</v>
      </c>
      <c r="H96" s="34" t="e">
        <f>VLOOKUP(A1,DIV_14Data!$A$1:$DZU$1000000,1624,FALSE)</f>
        <v>#N/A</v>
      </c>
      <c r="I96" s="33" t="e">
        <f>VLOOKUP(A1,DIV_14Data!$A$1:$DZU$1000000,1625,FALSE)</f>
        <v>#N/A</v>
      </c>
      <c r="J96" s="34" t="e">
        <f>VLOOKUP(A1,DIV_14Data!$A$1:$DZU$1000000,1626,FALSE)</f>
        <v>#N/A</v>
      </c>
      <c r="K96" s="34" t="e">
        <f>VLOOKUP(A1,DIV_14Data!$A$1:$DZU$1000000,1627,FALSE)</f>
        <v>#N/A</v>
      </c>
      <c r="L96" s="93" t="e">
        <f>VLOOKUP(A1,DIV_14Data!$A$1:$DZU$1000000,1628,FALSE)</f>
        <v>#N/A</v>
      </c>
      <c r="M96" s="33" t="e">
        <f>VLOOKUP(A1,DIV_14Data!$A$1:$DZU$1000000,1629,FALSE)</f>
        <v>#N/A</v>
      </c>
      <c r="N96" s="34" t="e">
        <f>VLOOKUP(A1,DIV_14Data!$A$1:$DZU$1000000,1630,FALSE)</f>
        <v>#N/A</v>
      </c>
      <c r="O96" s="33" t="e">
        <f>VLOOKUP(A1,DIV_14Data!$A$1:$DZU$1000000,1631,FALSE)</f>
        <v>#N/A</v>
      </c>
      <c r="P96" s="46" t="e">
        <f>VLOOKUP(A1,DIV_14Data!$A$1:$DZU$1000000,1632,FALSE)</f>
        <v>#N/A</v>
      </c>
      <c r="Q96" s="33" t="e">
        <f>VLOOKUP(A1,DIV_14Data!$A$1:$DZU$1000000,1633,FALSE)</f>
        <v>#N/A</v>
      </c>
    </row>
    <row r="97" spans="1:17" x14ac:dyDescent="0.35">
      <c r="A97" s="22" t="e">
        <f>VLOOKUP(A1,DIV_14Data!$A$1:$DZU$1000000,1634,FALSE)</f>
        <v>#N/A</v>
      </c>
      <c r="B97" s="37" t="e">
        <f>VLOOKUP(A1,DIV_14Data!$A$1:$DZU$1000000,1635,FALSE)</f>
        <v>#N/A</v>
      </c>
      <c r="C97" s="38" t="e">
        <f>VLOOKUP(A1,DIV_14Data!$A$1:$DZU$1000000,1636,FALSE)</f>
        <v>#N/A</v>
      </c>
      <c r="D97" s="31" t="e">
        <f>VLOOKUP(A1,DIV_14Data!$A$1:$DZU$1000000,1637,FALSE)</f>
        <v>#N/A</v>
      </c>
      <c r="E97" s="32" t="e">
        <f>VLOOKUP(A1,DIV_14Data!$A$1:$DZU$1000000,1638,FALSE)</f>
        <v>#N/A</v>
      </c>
      <c r="F97" s="34" t="e">
        <f>VLOOKUP(A1,DIV_14Data!$A$1:$DZU$1000000,1639,FALSE)</f>
        <v>#N/A</v>
      </c>
      <c r="G97" s="33" t="e">
        <f>VLOOKUP(A1,DIV_14Data!$A$1:$DZU$1000000,1640,FALSE)</f>
        <v>#N/A</v>
      </c>
      <c r="H97" s="34" t="e">
        <f>VLOOKUP(A1,DIV_14Data!$A$1:$DZU$1000000,1641,FALSE)</f>
        <v>#N/A</v>
      </c>
      <c r="I97" s="33" t="e">
        <f>VLOOKUP(A1,DIV_14Data!$A$1:$DZU$1000000,1642,FALSE)</f>
        <v>#N/A</v>
      </c>
      <c r="J97" s="34" t="e">
        <f>VLOOKUP(A1,DIV_14Data!$A$1:$DZU$1000000,1643,FALSE)</f>
        <v>#N/A</v>
      </c>
      <c r="K97" s="34" t="e">
        <f>VLOOKUP(A1,DIV_14Data!$A$1:$DZU$1000000,1644,FALSE)</f>
        <v>#N/A</v>
      </c>
      <c r="L97" s="93" t="e">
        <f>VLOOKUP(A1,DIV_14Data!$A$1:$DZU$1000000,1645,FALSE)</f>
        <v>#N/A</v>
      </c>
      <c r="M97" s="33" t="e">
        <f>VLOOKUP(A1,DIV_14Data!$A$1:$DZU$1000000,1646,FALSE)</f>
        <v>#N/A</v>
      </c>
      <c r="N97" s="34" t="e">
        <f>VLOOKUP(A1,DIV_14Data!$A$1:$DZU$1000000,1647,FALSE)</f>
        <v>#N/A</v>
      </c>
      <c r="O97" s="33" t="e">
        <f>VLOOKUP(A1,DIV_14Data!$A$1:$DZU$1000000,1648,FALSE)</f>
        <v>#N/A</v>
      </c>
      <c r="P97" s="46" t="e">
        <f>VLOOKUP(A1,DIV_14Data!$A$1:$DZU$1000000,1649,FALSE)</f>
        <v>#N/A</v>
      </c>
      <c r="Q97" s="33" t="e">
        <f>VLOOKUP(A1,DIV_14Data!$A$1:$DZU$1000000,1650,FALSE)</f>
        <v>#N/A</v>
      </c>
    </row>
    <row r="98" spans="1:17" x14ac:dyDescent="0.35">
      <c r="A98" s="22" t="e">
        <f>VLOOKUP(A1,DIV_14Data!$A$1:$DZU$1000000,1651,FALSE)</f>
        <v>#N/A</v>
      </c>
      <c r="B98" s="37" t="e">
        <f>VLOOKUP(A1,DIV_14Data!$A$1:$DZU$1000000,1652,FALSE)</f>
        <v>#N/A</v>
      </c>
      <c r="C98" s="38" t="e">
        <f>VLOOKUP(A1,DIV_14Data!$A$1:$DZU$1000000,1653,FALSE)</f>
        <v>#N/A</v>
      </c>
      <c r="D98" s="31" t="e">
        <f>VLOOKUP(A1,DIV_14Data!$A$1:$DZU$1000000,1654,FALSE)</f>
        <v>#N/A</v>
      </c>
      <c r="E98" s="32" t="e">
        <f>VLOOKUP(A1,DIV_14Data!$A$1:$DZU$1000000,1655,FALSE)</f>
        <v>#N/A</v>
      </c>
      <c r="F98" s="34" t="e">
        <f>VLOOKUP(A1,DIV_14Data!$A$1:$DZU$1000000,1656,FALSE)</f>
        <v>#N/A</v>
      </c>
      <c r="G98" s="33" t="e">
        <f>VLOOKUP(A1,DIV_14Data!$A$1:$DZU$1000000,1657,FALSE)</f>
        <v>#N/A</v>
      </c>
      <c r="H98" s="34" t="e">
        <f>VLOOKUP(A1,DIV_14Data!$A$1:$DZU$1000000,1658,FALSE)</f>
        <v>#N/A</v>
      </c>
      <c r="I98" s="33" t="e">
        <f>VLOOKUP(A1,DIV_14Data!$A$1:$DZU$1000000,1659,FALSE)</f>
        <v>#N/A</v>
      </c>
      <c r="J98" s="34" t="e">
        <f>VLOOKUP(A1,DIV_14Data!$A$1:$DZU$1000000,1660,FALSE)</f>
        <v>#N/A</v>
      </c>
      <c r="K98" s="34" t="e">
        <f>VLOOKUP(A1,DIV_14Data!$A$1:$DZU$1000000,1661,FALSE)</f>
        <v>#N/A</v>
      </c>
      <c r="L98" s="93" t="e">
        <f>VLOOKUP(A1,DIV_14Data!$A$1:$DZU$1000000,1662,FALSE)</f>
        <v>#N/A</v>
      </c>
      <c r="M98" s="33" t="e">
        <f>VLOOKUP(A1,DIV_14Data!$A$1:$DZU$1000000,1663,FALSE)</f>
        <v>#N/A</v>
      </c>
      <c r="N98" s="34" t="e">
        <f>VLOOKUP(A1,DIV_14Data!$A$1:$DZU$1000000,1664,FALSE)</f>
        <v>#N/A</v>
      </c>
      <c r="O98" s="33" t="e">
        <f>VLOOKUP(A1,DIV_14Data!$A$1:$DZU$1000000,1665,FALSE)</f>
        <v>#N/A</v>
      </c>
      <c r="P98" s="46" t="e">
        <f>VLOOKUP(A1,DIV_14Data!$A$1:$DZU$1000000,1666,FALSE)</f>
        <v>#N/A</v>
      </c>
      <c r="Q98" s="33" t="e">
        <f>VLOOKUP(A1,DIV_14Data!$A$1:$DZU$1000000,1667,FALSE)</f>
        <v>#N/A</v>
      </c>
    </row>
    <row r="99" spans="1:17" x14ac:dyDescent="0.35">
      <c r="A99" s="22" t="e">
        <f>VLOOKUP(A1,DIV_14Data!$A$1:$DZU$1000000,1668,FALSE)</f>
        <v>#N/A</v>
      </c>
      <c r="B99" s="37" t="e">
        <f>VLOOKUP(A1,DIV_14Data!$A$1:$DZU$1000000,1669,FALSE)</f>
        <v>#N/A</v>
      </c>
      <c r="C99" s="38" t="e">
        <f>VLOOKUP(A1,DIV_14Data!$A$1:$DZU$1000000,1670,FALSE)</f>
        <v>#N/A</v>
      </c>
      <c r="D99" s="31" t="e">
        <f>VLOOKUP(A1,DIV_14Data!$A$1:$DZU$1000000,1671,FALSE)</f>
        <v>#N/A</v>
      </c>
      <c r="E99" s="32" t="e">
        <f>VLOOKUP(A1,DIV_14Data!$A$1:$DZU$1000000,1672,FALSE)</f>
        <v>#N/A</v>
      </c>
      <c r="F99" s="34" t="e">
        <f>VLOOKUP(A1,DIV_14Data!$A$1:$DZU$1000000,1673,FALSE)</f>
        <v>#N/A</v>
      </c>
      <c r="G99" s="33" t="e">
        <f>VLOOKUP(A1,DIV_14Data!$A$1:$DZU$1000000,1674,FALSE)</f>
        <v>#N/A</v>
      </c>
      <c r="H99" s="34" t="e">
        <f>VLOOKUP(A1,DIV_14Data!$A$1:$DZU$1000000,1675,FALSE)</f>
        <v>#N/A</v>
      </c>
      <c r="I99" s="33" t="e">
        <f>VLOOKUP(A1,DIV_14Data!$A$1:$DZU$1000000,1676,FALSE)</f>
        <v>#N/A</v>
      </c>
      <c r="J99" s="34" t="e">
        <f>VLOOKUP(A1,DIV_14Data!$A$1:$DZU$1000000,1677,FALSE)</f>
        <v>#N/A</v>
      </c>
      <c r="K99" s="34" t="e">
        <f>VLOOKUP(A1,DIV_14Data!$A$1:$DZU$1000000,1678,FALSE)</f>
        <v>#N/A</v>
      </c>
      <c r="L99" s="93" t="e">
        <f>VLOOKUP(A1,DIV_14Data!$A$1:$DZU$1000000,1679,FALSE)</f>
        <v>#N/A</v>
      </c>
      <c r="M99" s="33" t="e">
        <f>VLOOKUP(A1,DIV_14Data!$A$1:$DZU$1000000,1680,FALSE)</f>
        <v>#N/A</v>
      </c>
      <c r="N99" s="34" t="e">
        <f>VLOOKUP(A1,DIV_14Data!$A$1:$DZU$1000000,1681,FALSE)</f>
        <v>#N/A</v>
      </c>
      <c r="O99" s="33" t="e">
        <f>VLOOKUP(A1,DIV_14Data!$A$1:$DZU$1000000,1682,FALSE)</f>
        <v>#N/A</v>
      </c>
      <c r="P99" s="46" t="e">
        <f>VLOOKUP(A1,DIV_14Data!$A$1:$DZU$1000000,1683,FALSE)</f>
        <v>#N/A</v>
      </c>
      <c r="Q99" s="33" t="e">
        <f>VLOOKUP(A1,DIV_14Data!$A$1:$DZU$1000000,1684,FALSE)</f>
        <v>#N/A</v>
      </c>
    </row>
    <row r="100" spans="1:17" x14ac:dyDescent="0.35">
      <c r="A100" s="22" t="e">
        <f>VLOOKUP(A1,DIV_14Data!$A$1:$DZU$1000000,1685,FALSE)</f>
        <v>#N/A</v>
      </c>
      <c r="B100" s="37" t="e">
        <f>VLOOKUP(A1,DIV_14Data!$A$1:$DZU$1000000,1686,FALSE)</f>
        <v>#N/A</v>
      </c>
      <c r="C100" s="38" t="e">
        <f>VLOOKUP(A1,DIV_14Data!$A$1:$DZU$1000000,1687,FALSE)</f>
        <v>#N/A</v>
      </c>
      <c r="D100" s="31" t="e">
        <f>VLOOKUP(A1,DIV_14Data!$A$1:$DZU$1000000,1688,FALSE)</f>
        <v>#N/A</v>
      </c>
      <c r="E100" s="32" t="e">
        <f>VLOOKUP(A1,DIV_14Data!$A$1:$DZU$1000000,1689,FALSE)</f>
        <v>#N/A</v>
      </c>
      <c r="F100" s="34" t="e">
        <f>VLOOKUP(A1,DIV_14Data!$A$1:$DZU$1000000,1690,FALSE)</f>
        <v>#N/A</v>
      </c>
      <c r="G100" s="33" t="e">
        <f>VLOOKUP(A1,DIV_14Data!$A$1:$DZU$1000000,1691,FALSE)</f>
        <v>#N/A</v>
      </c>
      <c r="H100" s="34" t="e">
        <f>VLOOKUP(A1,DIV_14Data!$A$1:$DZU$1000000,1692,FALSE)</f>
        <v>#N/A</v>
      </c>
      <c r="I100" s="33" t="e">
        <f>VLOOKUP(A1,DIV_14Data!$A$1:$DZU$1000000,1693,FALSE)</f>
        <v>#N/A</v>
      </c>
      <c r="J100" s="34" t="e">
        <f>VLOOKUP(A1,DIV_14Data!$A$1:$DZU$1000000,1694,FALSE)</f>
        <v>#N/A</v>
      </c>
      <c r="K100" s="34" t="e">
        <f>VLOOKUP(A1,DIV_14Data!$A$1:$DZU$1000000,1695,FALSE)</f>
        <v>#N/A</v>
      </c>
      <c r="L100" s="93" t="e">
        <f>VLOOKUP(A1,DIV_14Data!$A$1:$DZU$1000000,1696,FALSE)</f>
        <v>#N/A</v>
      </c>
      <c r="M100" s="33" t="e">
        <f>VLOOKUP(A1,DIV_14Data!$A$1:$DZU$1000000,1697,FALSE)</f>
        <v>#N/A</v>
      </c>
      <c r="N100" s="34" t="e">
        <f>VLOOKUP(A1,DIV_14Data!$A$1:$DZU$1000000,1698,FALSE)</f>
        <v>#N/A</v>
      </c>
      <c r="O100" s="33" t="e">
        <f>VLOOKUP(A1,DIV_14Data!$A$1:$DZU$1000000,1699,FALSE)</f>
        <v>#N/A</v>
      </c>
      <c r="P100" s="46" t="e">
        <f>VLOOKUP(A1,DIV_14Data!$A$1:$DZU$1000000,1700,FALSE)</f>
        <v>#N/A</v>
      </c>
      <c r="Q100" s="33" t="e">
        <f>VLOOKUP(A1,DIV_14Data!$A$1:$DZU$1000000,1701,FALSE)</f>
        <v>#N/A</v>
      </c>
    </row>
    <row r="101" spans="1:17" x14ac:dyDescent="0.35">
      <c r="A101" s="22" t="e">
        <f>VLOOKUP(A1,DIV_14Data!$A$1:$DZU$1000000,1702,FALSE)</f>
        <v>#N/A</v>
      </c>
      <c r="B101" s="37" t="e">
        <f>VLOOKUP(A1,DIV_14Data!$A$1:$DZU$1000000,1703,FALSE)</f>
        <v>#N/A</v>
      </c>
      <c r="C101" s="38" t="e">
        <f>VLOOKUP(A1,DIV_14Data!$A$1:$DZU$1000000,1704,FALSE)</f>
        <v>#N/A</v>
      </c>
      <c r="D101" s="31" t="e">
        <f>VLOOKUP(A1,DIV_14Data!$A$1:$DZU$1000000,1705,FALSE)</f>
        <v>#N/A</v>
      </c>
      <c r="E101" s="32" t="e">
        <f>VLOOKUP(A1,DIV_14Data!$A$1:$DZU$1000000,1706,FALSE)</f>
        <v>#N/A</v>
      </c>
      <c r="F101" s="34" t="e">
        <f>VLOOKUP(A1,DIV_14Data!$A$1:$DZU$1000000,1707,FALSE)</f>
        <v>#N/A</v>
      </c>
      <c r="G101" s="33" t="e">
        <f>VLOOKUP(A1,DIV_14Data!$A$1:$DZU$1000000,1708,FALSE)</f>
        <v>#N/A</v>
      </c>
      <c r="H101" s="34" t="e">
        <f>VLOOKUP(A1,DIV_14Data!$A$1:$DZU$1000000,1709,FALSE)</f>
        <v>#N/A</v>
      </c>
      <c r="I101" s="33" t="e">
        <f>VLOOKUP(A1,DIV_14Data!$A$1:$DZU$1000000,1710,FALSE)</f>
        <v>#N/A</v>
      </c>
      <c r="J101" s="34" t="e">
        <f>VLOOKUP(A1,DIV_14Data!$A$1:$DZU$1000000,1711,FALSE)</f>
        <v>#N/A</v>
      </c>
      <c r="K101" s="34" t="e">
        <f>VLOOKUP(A1,DIV_14Data!$A$1:$DZU$1000000,1712,FALSE)</f>
        <v>#N/A</v>
      </c>
      <c r="L101" s="93" t="e">
        <f>VLOOKUP(A1,DIV_14Data!$A$1:$DZU$1000000,1713,FALSE)</f>
        <v>#N/A</v>
      </c>
      <c r="M101" s="33" t="e">
        <f>VLOOKUP(A1,DIV_14Data!$A$1:$DZU$1000000,1714,FALSE)</f>
        <v>#N/A</v>
      </c>
      <c r="N101" s="34" t="e">
        <f>VLOOKUP(A1,DIV_14Data!$A$1:$DZU$1000000,1715,FALSE)</f>
        <v>#N/A</v>
      </c>
      <c r="O101" s="33" t="e">
        <f>VLOOKUP(A1,DIV_14Data!$A$1:$DZU$1000000,1716,FALSE)</f>
        <v>#N/A</v>
      </c>
      <c r="P101" s="46" t="e">
        <f>VLOOKUP(A1,DIV_14Data!$A$1:$DZU$1000000,1717,FALSE)</f>
        <v>#N/A</v>
      </c>
      <c r="Q101" s="33" t="e">
        <f>VLOOKUP(A1,DIV_14Data!$A$1:$DZU$1000000,1718,FALSE)</f>
        <v>#N/A</v>
      </c>
    </row>
    <row r="102" spans="1:17" x14ac:dyDescent="0.35">
      <c r="A102" s="22" t="e">
        <f>VLOOKUP(A1,DIV_14Data!$A$1:$DZU$1000000,1719,FALSE)</f>
        <v>#N/A</v>
      </c>
      <c r="B102" s="37" t="e">
        <f>VLOOKUP(A1,DIV_14Data!$A$1:$DZU$1000000,1720,FALSE)</f>
        <v>#N/A</v>
      </c>
      <c r="C102" s="38" t="e">
        <f>VLOOKUP(A1,DIV_14Data!$A$1:$DZU$1000000,1721,FALSE)</f>
        <v>#N/A</v>
      </c>
      <c r="D102" s="31" t="e">
        <f>VLOOKUP(A1,DIV_14Data!$A$1:$DZU$1000000,1722,FALSE)</f>
        <v>#N/A</v>
      </c>
      <c r="E102" s="32" t="e">
        <f>VLOOKUP(A1,DIV_14Data!$A$1:$DZU$1000000,1723,FALSE)</f>
        <v>#N/A</v>
      </c>
      <c r="F102" s="34" t="e">
        <f>VLOOKUP(A1,DIV_14Data!$A$1:$DZU$1000000,1724,FALSE)</f>
        <v>#N/A</v>
      </c>
      <c r="G102" s="33" t="e">
        <f>VLOOKUP(A1,DIV_14Data!$A$1:$DZU$1000000,1725,FALSE)</f>
        <v>#N/A</v>
      </c>
      <c r="H102" s="34" t="e">
        <f>VLOOKUP(A1,DIV_14Data!$A$1:$DZU$1000000,1726,FALSE)</f>
        <v>#N/A</v>
      </c>
      <c r="I102" s="33" t="e">
        <f>VLOOKUP(A1,DIV_14Data!$A$1:$DZU$1000000,1727,FALSE)</f>
        <v>#N/A</v>
      </c>
      <c r="J102" s="34" t="e">
        <f>VLOOKUP(A1,DIV_14Data!$A$1:$DZU$1000000,1728,FALSE)</f>
        <v>#N/A</v>
      </c>
      <c r="K102" s="34" t="e">
        <f>VLOOKUP(A1,DIV_14Data!$A$1:$DZU$1000000,1729,FALSE)</f>
        <v>#N/A</v>
      </c>
      <c r="L102" s="93" t="e">
        <f>VLOOKUP(A1,DIV_14Data!$A$1:$DZU$1000000,1730,FALSE)</f>
        <v>#N/A</v>
      </c>
      <c r="M102" s="33" t="e">
        <f>VLOOKUP(A1,DIV_14Data!$A$1:$DZU$1000000,1731,FALSE)</f>
        <v>#N/A</v>
      </c>
      <c r="N102" s="34" t="e">
        <f>VLOOKUP(A1,DIV_14Data!$A$1:$DZU$1000000,1732,FALSE)</f>
        <v>#N/A</v>
      </c>
      <c r="O102" s="33" t="e">
        <f>VLOOKUP(A1,DIV_14Data!$A$1:$DZU$1000000,1733,FALSE)</f>
        <v>#N/A</v>
      </c>
      <c r="P102" s="46" t="e">
        <f>VLOOKUP(A1,DIV_14Data!$A$1:$DZU$1000000,1734,FALSE)</f>
        <v>#N/A</v>
      </c>
      <c r="Q102" s="33" t="e">
        <f>VLOOKUP(A1,DIV_14Data!$A$1:$DZU$1000000,1735,FALSE)</f>
        <v>#N/A</v>
      </c>
    </row>
    <row r="103" spans="1:17" x14ac:dyDescent="0.35">
      <c r="A103" s="22" t="e">
        <f>VLOOKUP(A1,DIV_14Data!$A$1:$DZU$1000000,1736,FALSE)</f>
        <v>#N/A</v>
      </c>
      <c r="B103" s="37" t="e">
        <f>VLOOKUP(A1,DIV_14Data!$A$1:$DZU$1000000,1737,FALSE)</f>
        <v>#N/A</v>
      </c>
      <c r="C103" s="38" t="e">
        <f>VLOOKUP(A1,DIV_14Data!$A$1:$DZU$1000000,1738,FALSE)</f>
        <v>#N/A</v>
      </c>
      <c r="D103" s="31" t="e">
        <f>VLOOKUP(A1,DIV_14Data!$A$1:$DZU$1000000,1739,FALSE)</f>
        <v>#N/A</v>
      </c>
      <c r="E103" s="32" t="e">
        <f>VLOOKUP(A1,DIV_14Data!$A$1:$DZU$1000000,1740,FALSE)</f>
        <v>#N/A</v>
      </c>
      <c r="F103" s="34" t="e">
        <f>VLOOKUP(A1,DIV_14Data!$A$1:$DZU$1000000,1741,FALSE)</f>
        <v>#N/A</v>
      </c>
      <c r="G103" s="33" t="e">
        <f>VLOOKUP(A1,DIV_14Data!$A$1:$DZU$1000000,1742,FALSE)</f>
        <v>#N/A</v>
      </c>
      <c r="H103" s="34" t="e">
        <f>VLOOKUP(A1,DIV_14Data!$A$1:$DZU$1000000,1743,FALSE)</f>
        <v>#N/A</v>
      </c>
      <c r="I103" s="33" t="e">
        <f>VLOOKUP(A1,DIV_14Data!$A$1:$DZU$1000000,1744,FALSE)</f>
        <v>#N/A</v>
      </c>
      <c r="J103" s="34" t="e">
        <f>VLOOKUP(A1,DIV_14Data!$A$1:$DZU$1000000,1745,FALSE)</f>
        <v>#N/A</v>
      </c>
      <c r="K103" s="34" t="e">
        <f>VLOOKUP(A1,DIV_14Data!$A$1:$DZU$1000000,1746,FALSE)</f>
        <v>#N/A</v>
      </c>
      <c r="L103" s="93" t="e">
        <f>VLOOKUP(A1,DIV_14Data!$A$1:$DZU$1000000,1747,FALSE)</f>
        <v>#N/A</v>
      </c>
      <c r="M103" s="33" t="e">
        <f>VLOOKUP(A1,DIV_14Data!$A$1:$DZU$1000000,1748,FALSE)</f>
        <v>#N/A</v>
      </c>
      <c r="N103" s="34" t="e">
        <f>VLOOKUP(A1,DIV_14Data!$A$1:$DZU$1000000,1749,FALSE)</f>
        <v>#N/A</v>
      </c>
      <c r="O103" s="33" t="e">
        <f>VLOOKUP(A1,DIV_14Data!$A$1:$DZU$1000000,1750,FALSE)</f>
        <v>#N/A</v>
      </c>
      <c r="P103" s="46" t="e">
        <f>VLOOKUP(A1,DIV_14Data!$A$1:$DZU$1000000,1751,FALSE)</f>
        <v>#N/A</v>
      </c>
      <c r="Q103" s="33" t="e">
        <f>VLOOKUP(A1,DIV_14Data!$A$1:$DZU$1000000,1752,FALSE)</f>
        <v>#N/A</v>
      </c>
    </row>
    <row r="104" spans="1:17" x14ac:dyDescent="0.35">
      <c r="A104" s="22" t="e">
        <f>VLOOKUP(A1,DIV_14Data!$A$1:$DZU$1000000,1753,FALSE)</f>
        <v>#N/A</v>
      </c>
      <c r="B104" s="37" t="e">
        <f>VLOOKUP(A1,DIV_14Data!$A$1:$DZU$1000000,1754,FALSE)</f>
        <v>#N/A</v>
      </c>
      <c r="C104" s="38" t="e">
        <f>VLOOKUP(A1,DIV_14Data!$A$1:$DZU$1000000,1755,FALSE)</f>
        <v>#N/A</v>
      </c>
      <c r="D104" s="31" t="e">
        <f>VLOOKUP(A1,DIV_14Data!$A$1:$DZU$1000000,1756,FALSE)</f>
        <v>#N/A</v>
      </c>
      <c r="E104" s="32" t="e">
        <f>VLOOKUP(A1,DIV_14Data!$A$1:$DZU$1000000,1757,FALSE)</f>
        <v>#N/A</v>
      </c>
      <c r="F104" s="34" t="e">
        <f>VLOOKUP(A1,DIV_14Data!$A$1:$DZU$1000000,1758,FALSE)</f>
        <v>#N/A</v>
      </c>
      <c r="G104" s="33" t="e">
        <f>VLOOKUP(A1,DIV_14Data!$A$1:$DZU$1000000,1759,FALSE)</f>
        <v>#N/A</v>
      </c>
      <c r="H104" s="34" t="e">
        <f>VLOOKUP(A1,DIV_14Data!$A$1:$DZU$1000000,1760,FALSE)</f>
        <v>#N/A</v>
      </c>
      <c r="I104" s="33" t="e">
        <f>VLOOKUP(A1,DIV_14Data!$A$1:$DZU$1000000,1761,FALSE)</f>
        <v>#N/A</v>
      </c>
      <c r="J104" s="34" t="e">
        <f>VLOOKUP(A1,DIV_14Data!$A$1:$DZU$1000000,1762,FALSE)</f>
        <v>#N/A</v>
      </c>
      <c r="K104" s="34" t="e">
        <f>VLOOKUP(A1,DIV_14Data!$A$1:$DZU$1000000,1763,FALSE)</f>
        <v>#N/A</v>
      </c>
      <c r="L104" s="93" t="e">
        <f>VLOOKUP(A1,DIV_14Data!$A$1:$DZU$1000000,1764,FALSE)</f>
        <v>#N/A</v>
      </c>
      <c r="M104" s="33" t="e">
        <f>VLOOKUP(A1,DIV_14Data!$A$1:$DZU$1000000,1765,FALSE)</f>
        <v>#N/A</v>
      </c>
      <c r="N104" s="34" t="e">
        <f>VLOOKUP(A1,DIV_14Data!$A$1:$DZU$1000000,1766,FALSE)</f>
        <v>#N/A</v>
      </c>
      <c r="O104" s="33" t="e">
        <f>VLOOKUP(A1,DIV_14Data!$A$1:$DZU$1000000,1767,FALSE)</f>
        <v>#N/A</v>
      </c>
      <c r="P104" s="46" t="e">
        <f>VLOOKUP(A1,DIV_14Data!$A$1:$DZU$1000000,1768,FALSE)</f>
        <v>#N/A</v>
      </c>
      <c r="Q104" s="33" t="e">
        <f>VLOOKUP(A1,DIV_14Data!$A$1:$DZU$1000000,1769,FALSE)</f>
        <v>#N/A</v>
      </c>
    </row>
    <row r="105" spans="1:17" x14ac:dyDescent="0.35">
      <c r="A105" s="22" t="e">
        <f>VLOOKUP(A1,DIV_14Data!$A$1:$DZU$1000000,1770,FALSE)</f>
        <v>#N/A</v>
      </c>
      <c r="B105" s="37" t="e">
        <f>VLOOKUP(A1,DIV_14Data!$A$1:$DZU$1000000,1771,FALSE)</f>
        <v>#N/A</v>
      </c>
      <c r="C105" s="38" t="e">
        <f>VLOOKUP(A1,DIV_14Data!$A$1:$DZU$1000000,1772,FALSE)</f>
        <v>#N/A</v>
      </c>
      <c r="D105" s="31" t="e">
        <f>VLOOKUP(A1,DIV_14Data!$A$1:$DZU$1000000,1773,FALSE)</f>
        <v>#N/A</v>
      </c>
      <c r="E105" s="32" t="e">
        <f>VLOOKUP(A1,DIV_14Data!$A$1:$DZU$1000000,1774,FALSE)</f>
        <v>#N/A</v>
      </c>
      <c r="F105" s="34" t="e">
        <f>VLOOKUP(A1,DIV_14Data!$A$1:$DZU$1000000,1775,FALSE)</f>
        <v>#N/A</v>
      </c>
      <c r="G105" s="33" t="e">
        <f>VLOOKUP(A1,DIV_14Data!$A$1:$DZU$1000000,1776,FALSE)</f>
        <v>#N/A</v>
      </c>
      <c r="H105" s="34" t="e">
        <f>VLOOKUP(A1,DIV_14Data!$A$1:$DZU$1000000,1777,FALSE)</f>
        <v>#N/A</v>
      </c>
      <c r="I105" s="33" t="e">
        <f>VLOOKUP(A1,DIV_14Data!$A$1:$DZU$1000000,1778,FALSE)</f>
        <v>#N/A</v>
      </c>
      <c r="J105" s="34" t="e">
        <f>VLOOKUP(A1,DIV_14Data!$A$1:$DZU$1000000,1779,FALSE)</f>
        <v>#N/A</v>
      </c>
      <c r="K105" s="34" t="e">
        <f>VLOOKUP(A1,DIV_14Data!$A$1:$DZU$1000000,1780,FALSE)</f>
        <v>#N/A</v>
      </c>
      <c r="L105" s="93" t="e">
        <f>VLOOKUP(A1,DIV_14Data!$A$1:$DZU$1000000,1781,FALSE)</f>
        <v>#N/A</v>
      </c>
      <c r="M105" s="33" t="e">
        <f>VLOOKUP(A1,DIV_14Data!$A$1:$DZU$1000000,1782,FALSE)</f>
        <v>#N/A</v>
      </c>
      <c r="N105" s="34" t="e">
        <f>VLOOKUP(A1,DIV_14Data!$A$1:$DZU$1000000,1783,FALSE)</f>
        <v>#N/A</v>
      </c>
      <c r="O105" s="33" t="e">
        <f>VLOOKUP(A1,DIV_14Data!$A$1:$DZU$1000000,1784,FALSE)</f>
        <v>#N/A</v>
      </c>
      <c r="P105" s="46" t="e">
        <f>VLOOKUP(A1,DIV_14Data!$A$1:$DZU$1000000,1785,FALSE)</f>
        <v>#N/A</v>
      </c>
      <c r="Q105" s="33" t="e">
        <f>VLOOKUP(A1,DIV_14Data!$A$1:$DZU$1000000,1786,FALSE)</f>
        <v>#N/A</v>
      </c>
    </row>
    <row r="106" spans="1:17" x14ac:dyDescent="0.35">
      <c r="A106" s="22" t="e">
        <f>VLOOKUP(A1,DIV_14Data!$A$1:$DZU$1000000,1787,FALSE)</f>
        <v>#N/A</v>
      </c>
      <c r="B106" s="37" t="e">
        <f>VLOOKUP(A1,DIV_14Data!$A$1:$DZU$1000000,1788,FALSE)</f>
        <v>#N/A</v>
      </c>
      <c r="C106" s="38" t="e">
        <f>VLOOKUP(A1,DIV_14Data!$A$1:$DZU$1000000,1789,FALSE)</f>
        <v>#N/A</v>
      </c>
      <c r="D106" s="31" t="e">
        <f>VLOOKUP(A1,DIV_14Data!$A$1:$DZU$1000000,1790,FALSE)</f>
        <v>#N/A</v>
      </c>
      <c r="E106" s="32" t="e">
        <f>VLOOKUP(A1,DIV_14Data!$A$1:$DZU$1000000,1791,FALSE)</f>
        <v>#N/A</v>
      </c>
      <c r="F106" s="34" t="e">
        <f>VLOOKUP(A1,DIV_14Data!$A$1:$DZU$1000000,1792,FALSE)</f>
        <v>#N/A</v>
      </c>
      <c r="G106" s="33" t="e">
        <f>VLOOKUP(A1,DIV_14Data!$A$1:$DZU$1000000,1793,FALSE)</f>
        <v>#N/A</v>
      </c>
      <c r="H106" s="34" t="e">
        <f>VLOOKUP(A1,DIV_14Data!$A$1:$DZU$1000000,1794,FALSE)</f>
        <v>#N/A</v>
      </c>
      <c r="I106" s="33" t="e">
        <f>VLOOKUP(A1,DIV_14Data!$A$1:$DZU$1000000,1795,FALSE)</f>
        <v>#N/A</v>
      </c>
      <c r="J106" s="34" t="e">
        <f>VLOOKUP(A1,DIV_14Data!$A$1:$DZU$1000000,1796,FALSE)</f>
        <v>#N/A</v>
      </c>
      <c r="K106" s="34" t="e">
        <f>VLOOKUP(A1,DIV_14Data!$A$1:$DZU$1000000,1797,FALSE)</f>
        <v>#N/A</v>
      </c>
      <c r="L106" s="93" t="e">
        <f>VLOOKUP(A1,DIV_14Data!$A$1:$DZU$1000000,1798,FALSE)</f>
        <v>#N/A</v>
      </c>
      <c r="M106" s="33" t="e">
        <f>VLOOKUP(A1,DIV_14Data!$A$1:$DZU$1000000,1799,FALSE)</f>
        <v>#N/A</v>
      </c>
      <c r="N106" s="34" t="e">
        <f>VLOOKUP(A1,DIV_14Data!$A$1:$DZU$1000000,1800,FALSE)</f>
        <v>#N/A</v>
      </c>
      <c r="O106" s="33" t="e">
        <f>VLOOKUP(A1,DIV_14Data!$A$1:$DZU$1000000,1801,FALSE)</f>
        <v>#N/A</v>
      </c>
      <c r="P106" s="46" t="e">
        <f>VLOOKUP(A1,DIV_14Data!$A$1:$DZU$1000000,1802,FALSE)</f>
        <v>#N/A</v>
      </c>
      <c r="Q106" s="33" t="e">
        <f>VLOOKUP(A1,DIV_14Data!$A$1:$DZU$1000000,1803,FALSE)</f>
        <v>#N/A</v>
      </c>
    </row>
    <row r="107" spans="1:17" x14ac:dyDescent="0.35">
      <c r="A107" s="22" t="e">
        <f>VLOOKUP(A1,DIV_14Data!$A$1:$DZU$1000000,1804,FALSE)</f>
        <v>#N/A</v>
      </c>
      <c r="B107" s="37" t="e">
        <f>VLOOKUP(A1,DIV_14Data!$A$1:$DZU$1000000,1805,FALSE)</f>
        <v>#N/A</v>
      </c>
      <c r="C107" s="38" t="e">
        <f>VLOOKUP(A1,DIV_14Data!$A$1:$DZU$1000000,1806,FALSE)</f>
        <v>#N/A</v>
      </c>
      <c r="D107" s="31" t="e">
        <f>VLOOKUP(A1,DIV_14Data!$A$1:$DZU$1000000,1807,FALSE)</f>
        <v>#N/A</v>
      </c>
      <c r="E107" s="32" t="e">
        <f>VLOOKUP(A1,DIV_14Data!$A$1:$DZU$1000000,1808,FALSE)</f>
        <v>#N/A</v>
      </c>
      <c r="F107" s="34" t="e">
        <f>VLOOKUP(A1,DIV_14Data!$A$1:$DZU$1000000,1809,FALSE)</f>
        <v>#N/A</v>
      </c>
      <c r="G107" s="33" t="e">
        <f>VLOOKUP(A1,DIV_14Data!$A$1:$DZU$1000000,1810,FALSE)</f>
        <v>#N/A</v>
      </c>
      <c r="H107" s="34" t="e">
        <f>VLOOKUP(A1,DIV_14Data!$A$1:$DZU$1000000,1811,FALSE)</f>
        <v>#N/A</v>
      </c>
      <c r="I107" s="33" t="e">
        <f>VLOOKUP(A1,DIV_14Data!$A$1:$DZU$1000000,1812,FALSE)</f>
        <v>#N/A</v>
      </c>
      <c r="J107" s="34" t="e">
        <f>VLOOKUP(A1,DIV_14Data!$A$1:$DZU$1000000,1813,FALSE)</f>
        <v>#N/A</v>
      </c>
      <c r="K107" s="34" t="e">
        <f>VLOOKUP(A1,DIV_14Data!$A$1:$DZU$1000000,1814,FALSE)</f>
        <v>#N/A</v>
      </c>
      <c r="L107" s="93" t="e">
        <f>VLOOKUP(A1,DIV_14Data!$A$1:$DZU$1000000,1815,FALSE)</f>
        <v>#N/A</v>
      </c>
      <c r="M107" s="33" t="e">
        <f>VLOOKUP(A1,DIV_14Data!$A$1:$DZU$1000000,1816,FALSE)</f>
        <v>#N/A</v>
      </c>
      <c r="N107" s="34" t="e">
        <f>VLOOKUP(A1,DIV_14Data!$A$1:$DZU$1000000,1817,FALSE)</f>
        <v>#N/A</v>
      </c>
      <c r="O107" s="33" t="e">
        <f>VLOOKUP(A1,DIV_14Data!$A$1:$DZU$1000000,1818,FALSE)</f>
        <v>#N/A</v>
      </c>
      <c r="P107" s="46" t="e">
        <f>VLOOKUP(A1,DIV_14Data!$A$1:$DZU$1000000,1819,FALSE)</f>
        <v>#N/A</v>
      </c>
      <c r="Q107" s="33" t="e">
        <f>VLOOKUP(A1,DIV_14Data!$A$1:$DZU$1000000,1820,FALSE)</f>
        <v>#N/A</v>
      </c>
    </row>
    <row r="108" spans="1:17" x14ac:dyDescent="0.35">
      <c r="A108" s="22" t="e">
        <f>VLOOKUP(A1,DIV_14Data!$A$1:$DZU$1000000,1821,FALSE)</f>
        <v>#N/A</v>
      </c>
      <c r="B108" s="37" t="e">
        <f>VLOOKUP(A1,DIV_14Data!$A$1:$DZU$1000000,1822,FALSE)</f>
        <v>#N/A</v>
      </c>
      <c r="C108" s="38" t="e">
        <f>VLOOKUP(A1,DIV_14Data!$A$1:$DZU$1000000,1823,FALSE)</f>
        <v>#N/A</v>
      </c>
      <c r="D108" s="31" t="e">
        <f>VLOOKUP(A1,DIV_14Data!$A$1:$DZU$1000000,1824,FALSE)</f>
        <v>#N/A</v>
      </c>
      <c r="E108" s="32" t="e">
        <f>VLOOKUP(A1,DIV_14Data!$A$1:$DZU$1000000,1825,FALSE)</f>
        <v>#N/A</v>
      </c>
      <c r="F108" s="34" t="e">
        <f>VLOOKUP(A1,DIV_14Data!$A$1:$DZU$1000000,1826,FALSE)</f>
        <v>#N/A</v>
      </c>
      <c r="G108" s="33" t="e">
        <f>VLOOKUP(A1,DIV_14Data!$A$1:$DZU$1000000,1827,FALSE)</f>
        <v>#N/A</v>
      </c>
      <c r="H108" s="34" t="e">
        <f>VLOOKUP(A1,DIV_14Data!$A$1:$DZU$1000000,1828,FALSE)</f>
        <v>#N/A</v>
      </c>
      <c r="I108" s="33" t="e">
        <f>VLOOKUP(A1,DIV_14Data!$A$1:$DZU$1000000,1829,FALSE)</f>
        <v>#N/A</v>
      </c>
      <c r="J108" s="34" t="e">
        <f>VLOOKUP(A1,DIV_14Data!$A$1:$DZU$1000000,1830,FALSE)</f>
        <v>#N/A</v>
      </c>
      <c r="K108" s="34" t="e">
        <f>VLOOKUP(A1,DIV_14Data!$A$1:$DZU$1000000,1831,FALSE)</f>
        <v>#N/A</v>
      </c>
      <c r="L108" s="93" t="e">
        <f>VLOOKUP(A1,DIV_14Data!$A$1:$DZU$1000000,1832,FALSE)</f>
        <v>#N/A</v>
      </c>
      <c r="M108" s="33" t="e">
        <f>VLOOKUP(A1,DIV_14Data!$A$1:$DZU$1000000,1833,FALSE)</f>
        <v>#N/A</v>
      </c>
      <c r="N108" s="34" t="e">
        <f>VLOOKUP(A1,DIV_14Data!$A$1:$DZU$1000000,1834,FALSE)</f>
        <v>#N/A</v>
      </c>
      <c r="O108" s="33" t="e">
        <f>VLOOKUP(A1,DIV_14Data!$A$1:$DZU$1000000,1835,FALSE)</f>
        <v>#N/A</v>
      </c>
      <c r="P108" s="46" t="e">
        <f>VLOOKUP(A1,DIV_14Data!$A$1:$DZU$1000000,1836,FALSE)</f>
        <v>#N/A</v>
      </c>
      <c r="Q108" s="33" t="e">
        <f>VLOOKUP(A1,DIV_14Data!$A$1:$DZU$1000000,1837,FALSE)</f>
        <v>#N/A</v>
      </c>
    </row>
    <row r="109" spans="1:17" x14ac:dyDescent="0.35">
      <c r="A109" s="22" t="e">
        <f>VLOOKUP(A1,DIV_14Data!$A$1:$DZU$1000000,1838,FALSE)</f>
        <v>#N/A</v>
      </c>
      <c r="B109" s="37" t="e">
        <f>VLOOKUP(A1,DIV_14Data!$A$1:$DZU$1000000,1839,FALSE)</f>
        <v>#N/A</v>
      </c>
      <c r="C109" s="38" t="e">
        <f>VLOOKUP(A1,DIV_14Data!$A$1:$DZU$1000000,1840,FALSE)</f>
        <v>#N/A</v>
      </c>
      <c r="D109" s="31" t="e">
        <f>VLOOKUP(A1,DIV_14Data!$A$1:$DZU$1000000,1841,FALSE)</f>
        <v>#N/A</v>
      </c>
      <c r="E109" s="32" t="e">
        <f>VLOOKUP(A1,DIV_14Data!$A$1:$DZU$1000000,1842,FALSE)</f>
        <v>#N/A</v>
      </c>
      <c r="F109" s="34" t="e">
        <f>VLOOKUP(A1,DIV_14Data!$A$1:$DZU$1000000,1843,FALSE)</f>
        <v>#N/A</v>
      </c>
      <c r="G109" s="33" t="e">
        <f>VLOOKUP(A1,DIV_14Data!$A$1:$DZU$1000000,1844,FALSE)</f>
        <v>#N/A</v>
      </c>
      <c r="H109" s="34" t="e">
        <f>VLOOKUP(A1,DIV_14Data!$A$1:$DZU$1000000,1845,FALSE)</f>
        <v>#N/A</v>
      </c>
      <c r="I109" s="33" t="e">
        <f>VLOOKUP(A1,DIV_14Data!$A$1:$DZU$1000000,1846,FALSE)</f>
        <v>#N/A</v>
      </c>
      <c r="J109" s="34" t="e">
        <f>VLOOKUP(A1,DIV_14Data!$A$1:$DZU$1000000,1847,FALSE)</f>
        <v>#N/A</v>
      </c>
      <c r="K109" s="34" t="e">
        <f>VLOOKUP(A1,DIV_14Data!$A$1:$DZU$1000000,1848,FALSE)</f>
        <v>#N/A</v>
      </c>
      <c r="L109" s="93" t="e">
        <f>VLOOKUP(A1,DIV_14Data!$A$1:$DZU$1000000,1849,FALSE)</f>
        <v>#N/A</v>
      </c>
      <c r="M109" s="33" t="e">
        <f>VLOOKUP(A1,DIV_14Data!$A$1:$DZU$1000000,1850,FALSE)</f>
        <v>#N/A</v>
      </c>
      <c r="N109" s="34" t="e">
        <f>VLOOKUP(A1,DIV_14Data!$A$1:$DZU$1000000,1851,FALSE)</f>
        <v>#N/A</v>
      </c>
      <c r="O109" s="33" t="e">
        <f>VLOOKUP(A1,DIV_14Data!$A$1:$DZU$1000000,1852,FALSE)</f>
        <v>#N/A</v>
      </c>
      <c r="P109" s="46" t="e">
        <f>VLOOKUP(A1,DIV_14Data!$A$1:$DZU$1000000,1853,FALSE)</f>
        <v>#N/A</v>
      </c>
      <c r="Q109" s="33" t="e">
        <f>VLOOKUP(A1,DIV_14Data!$A$1:$DZU$1000000,1854,FALSE)</f>
        <v>#N/A</v>
      </c>
    </row>
    <row r="110" spans="1:17" x14ac:dyDescent="0.35">
      <c r="A110" s="22" t="e">
        <f>VLOOKUP(A1,DIV_14Data!$A$1:$DZU$1000000,1855,FALSE)</f>
        <v>#N/A</v>
      </c>
      <c r="B110" s="37" t="e">
        <f>VLOOKUP(A1,DIV_14Data!$A$1:$DZU$1000000,1856,FALSE)</f>
        <v>#N/A</v>
      </c>
      <c r="C110" s="38" t="e">
        <f>VLOOKUP(A1,DIV_14Data!$A$1:$DZU$1000000,1857,FALSE)</f>
        <v>#N/A</v>
      </c>
      <c r="D110" s="31" t="e">
        <f>VLOOKUP(A1,DIV_14Data!$A$1:$DZU$1000000,1858,FALSE)</f>
        <v>#N/A</v>
      </c>
      <c r="E110" s="32" t="e">
        <f>VLOOKUP(A1,DIV_14Data!$A$1:$DZU$1000000,1859,FALSE)</f>
        <v>#N/A</v>
      </c>
      <c r="F110" s="34" t="e">
        <f>VLOOKUP(A1,DIV_14Data!$A$1:$DZU$1000000,1860,FALSE)</f>
        <v>#N/A</v>
      </c>
      <c r="G110" s="33" t="e">
        <f>VLOOKUP(A1,DIV_14Data!$A$1:$DZU$1000000,1861,FALSE)</f>
        <v>#N/A</v>
      </c>
      <c r="H110" s="34" t="e">
        <f>VLOOKUP(A1,DIV_14Data!$A$1:$DZU$1000000,1862,FALSE)</f>
        <v>#N/A</v>
      </c>
      <c r="I110" s="33" t="e">
        <f>VLOOKUP(A1,DIV_14Data!$A$1:$DZU$1000000,1863,FALSE)</f>
        <v>#N/A</v>
      </c>
      <c r="J110" s="34" t="e">
        <f>VLOOKUP(A1,DIV_14Data!$A$1:$DZU$1000000,1864,FALSE)</f>
        <v>#N/A</v>
      </c>
      <c r="K110" s="34" t="e">
        <f>VLOOKUP(A1,DIV_14Data!$A$1:$DZU$1000000,1865,FALSE)</f>
        <v>#N/A</v>
      </c>
      <c r="L110" s="93" t="e">
        <f>VLOOKUP(A1,DIV_14Data!$A$1:$DZU$1000000,1866,FALSE)</f>
        <v>#N/A</v>
      </c>
      <c r="M110" s="33" t="e">
        <f>VLOOKUP(A1,DIV_14Data!$A$1:$DZU$1000000,1867,FALSE)</f>
        <v>#N/A</v>
      </c>
      <c r="N110" s="34" t="e">
        <f>VLOOKUP(A1,DIV_14Data!$A$1:$DZU$1000000,1868,FALSE)</f>
        <v>#N/A</v>
      </c>
      <c r="O110" s="33" t="e">
        <f>VLOOKUP(A1,DIV_14Data!$A$1:$DZU$1000000,1869,FALSE)</f>
        <v>#N/A</v>
      </c>
      <c r="P110" s="46" t="e">
        <f>VLOOKUP(A1,DIV_14Data!$A$1:$DZU$1000000,1870,FALSE)</f>
        <v>#N/A</v>
      </c>
      <c r="Q110" s="33" t="e">
        <f>VLOOKUP(A1,DIV_14Data!$A$1:$DZU$1000000,1871,FALSE)</f>
        <v>#N/A</v>
      </c>
    </row>
    <row r="111" spans="1:17" x14ac:dyDescent="0.35">
      <c r="A111" s="22" t="e">
        <f>VLOOKUP(A1,DIV_14Data!$A$1:$DZU$1000000,1872,FALSE)</f>
        <v>#N/A</v>
      </c>
      <c r="B111" s="37" t="e">
        <f>VLOOKUP(A1,DIV_14Data!$A$1:$DZU$1000000,1873,FALSE)</f>
        <v>#N/A</v>
      </c>
      <c r="C111" s="38" t="e">
        <f>VLOOKUP(A1,DIV_14Data!$A$1:$DZU$1000000,1874,FALSE)</f>
        <v>#N/A</v>
      </c>
      <c r="D111" s="31" t="e">
        <f>VLOOKUP(A1,DIV_14Data!$A$1:$DZU$1000000,1875,FALSE)</f>
        <v>#N/A</v>
      </c>
      <c r="E111" s="32" t="e">
        <f>VLOOKUP(A1,DIV_14Data!$A$1:$DZU$1000000,1876,FALSE)</f>
        <v>#N/A</v>
      </c>
      <c r="F111" s="34" t="e">
        <f>VLOOKUP(A1,DIV_14Data!$A$1:$DZU$1000000,1877,FALSE)</f>
        <v>#N/A</v>
      </c>
      <c r="G111" s="33" t="e">
        <f>VLOOKUP(A1,DIV_14Data!$A$1:$DZU$1000000,1878,FALSE)</f>
        <v>#N/A</v>
      </c>
      <c r="H111" s="34" t="e">
        <f>VLOOKUP(A1,DIV_14Data!$A$1:$DZU$1000000,1879,FALSE)</f>
        <v>#N/A</v>
      </c>
      <c r="I111" s="33" t="e">
        <f>VLOOKUP(A1,DIV_14Data!$A$1:$DZU$1000000,1880,FALSE)</f>
        <v>#N/A</v>
      </c>
      <c r="J111" s="34" t="e">
        <f>VLOOKUP(A1,DIV_14Data!$A$1:$DZU$1000000,1881,FALSE)</f>
        <v>#N/A</v>
      </c>
      <c r="K111" s="34" t="e">
        <f>VLOOKUP(A1,DIV_14Data!$A$1:$DZU$1000000,1882,FALSE)</f>
        <v>#N/A</v>
      </c>
      <c r="L111" s="93" t="e">
        <f>VLOOKUP(A1,DIV_14Data!$A$1:$DZU$1000000,1883,FALSE)</f>
        <v>#N/A</v>
      </c>
      <c r="M111" s="33" t="e">
        <f>VLOOKUP(A1,DIV_14Data!$A$1:$DZU$1000000,1884,FALSE)</f>
        <v>#N/A</v>
      </c>
      <c r="N111" s="34" t="e">
        <f>VLOOKUP(A1,DIV_14Data!$A$1:$DZU$1000000,1885,FALSE)</f>
        <v>#N/A</v>
      </c>
      <c r="O111" s="33" t="e">
        <f>VLOOKUP(A1,DIV_14Data!$A$1:$DZU$1000000,1886,FALSE)</f>
        <v>#N/A</v>
      </c>
      <c r="P111" s="46" t="e">
        <f>VLOOKUP(A1,DIV_14Data!$A$1:$DZU$1000000,1887,FALSE)</f>
        <v>#N/A</v>
      </c>
      <c r="Q111" s="33" t="e">
        <f>VLOOKUP(A1,DIV_14Data!$A$1:$DZU$1000000,1888,FALSE)</f>
        <v>#N/A</v>
      </c>
    </row>
    <row r="112" spans="1:17" x14ac:dyDescent="0.35">
      <c r="A112" s="22" t="e">
        <f>VLOOKUP(A1,DIV_14Data!$A$1:$DZU$1000000,1889,FALSE)</f>
        <v>#N/A</v>
      </c>
      <c r="B112" s="37" t="e">
        <f>VLOOKUP(A1,DIV_14Data!$A$1:$DZU$1000000,1890,FALSE)</f>
        <v>#N/A</v>
      </c>
      <c r="C112" s="38" t="e">
        <f>VLOOKUP(A1,DIV_14Data!$A$1:$DZU$1000000,1891,FALSE)</f>
        <v>#N/A</v>
      </c>
      <c r="D112" s="31" t="e">
        <f>VLOOKUP(A1,DIV_14Data!$A$1:$DZU$1000000,1892,FALSE)</f>
        <v>#N/A</v>
      </c>
      <c r="E112" s="32" t="e">
        <f>VLOOKUP(A1,DIV_14Data!$A$1:$DZU$1000000,1893,FALSE)</f>
        <v>#N/A</v>
      </c>
      <c r="F112" s="34" t="e">
        <f>VLOOKUP(A1,DIV_14Data!$A$1:$DZU$1000000,1894,FALSE)</f>
        <v>#N/A</v>
      </c>
      <c r="G112" s="33" t="e">
        <f>VLOOKUP(A1,DIV_14Data!$A$1:$DZU$1000000,1895,FALSE)</f>
        <v>#N/A</v>
      </c>
      <c r="H112" s="34" t="e">
        <f>VLOOKUP(A1,DIV_14Data!$A$1:$DZU$1000000,1896,FALSE)</f>
        <v>#N/A</v>
      </c>
      <c r="I112" s="33" t="e">
        <f>VLOOKUP(A1,DIV_14Data!$A$1:$DZU$1000000,1897,FALSE)</f>
        <v>#N/A</v>
      </c>
      <c r="J112" s="34" t="e">
        <f>VLOOKUP(A1,DIV_14Data!$A$1:$DZU$1000000,1898,FALSE)</f>
        <v>#N/A</v>
      </c>
      <c r="K112" s="34" t="e">
        <f>VLOOKUP(A1,DIV_14Data!$A$1:$DZU$1000000,1899,FALSE)</f>
        <v>#N/A</v>
      </c>
      <c r="L112" s="93" t="e">
        <f>VLOOKUP(A1,DIV_14Data!$A$1:$DZU$1000000,1900,FALSE)</f>
        <v>#N/A</v>
      </c>
      <c r="M112" s="33" t="e">
        <f>VLOOKUP(A1,DIV_14Data!$A$1:$DZU$1000000,1901,FALSE)</f>
        <v>#N/A</v>
      </c>
      <c r="N112" s="34" t="e">
        <f>VLOOKUP(A1,DIV_14Data!$A$1:$DZU$1000000,1902,FALSE)</f>
        <v>#N/A</v>
      </c>
      <c r="O112" s="33" t="e">
        <f>VLOOKUP(A1,DIV_14Data!$A$1:$DZU$1000000,1903,FALSE)</f>
        <v>#N/A</v>
      </c>
      <c r="P112" s="46" t="e">
        <f>VLOOKUP(A1,DIV_14Data!$A$1:$DZU$1000000,1904,FALSE)</f>
        <v>#N/A</v>
      </c>
      <c r="Q112" s="33" t="e">
        <f>VLOOKUP(A1,DIV_14Data!$A$1:$DZU$1000000,1905,FALSE)</f>
        <v>#N/A</v>
      </c>
    </row>
    <row r="113" spans="1:17" x14ac:dyDescent="0.35">
      <c r="A113" s="22" t="e">
        <f>VLOOKUP(A1,DIV_14Data!$A$1:$DZU$1000000,1906,FALSE)</f>
        <v>#N/A</v>
      </c>
      <c r="B113" s="37" t="e">
        <f>VLOOKUP(A1,DIV_14Data!$A$1:$DZU$1000000,1907,FALSE)</f>
        <v>#N/A</v>
      </c>
      <c r="C113" s="38" t="e">
        <f>VLOOKUP(A1,DIV_14Data!$A$1:$DZU$1000000,1908,FALSE)</f>
        <v>#N/A</v>
      </c>
      <c r="D113" s="31" t="e">
        <f>VLOOKUP(A1,DIV_14Data!$A$1:$DZU$1000000,1909,FALSE)</f>
        <v>#N/A</v>
      </c>
      <c r="E113" s="32" t="e">
        <f>VLOOKUP(A1,DIV_14Data!$A$1:$DZU$1000000,1910,FALSE)</f>
        <v>#N/A</v>
      </c>
      <c r="F113" s="34" t="e">
        <f>VLOOKUP(A1,DIV_14Data!$A$1:$DZU$1000000,1911,FALSE)</f>
        <v>#N/A</v>
      </c>
      <c r="G113" s="33" t="e">
        <f>VLOOKUP(A1,DIV_14Data!$A$1:$DZU$1000000,1912,FALSE)</f>
        <v>#N/A</v>
      </c>
      <c r="H113" s="34" t="e">
        <f>VLOOKUP(A1,DIV_14Data!$A$1:$DZU$1000000,1913,FALSE)</f>
        <v>#N/A</v>
      </c>
      <c r="I113" s="33" t="e">
        <f>VLOOKUP(A1,DIV_14Data!$A$1:$DZU$1000000,1914,FALSE)</f>
        <v>#N/A</v>
      </c>
      <c r="J113" s="34" t="e">
        <f>VLOOKUP(A1,DIV_14Data!$A$1:$DZU$1000000,1915,FALSE)</f>
        <v>#N/A</v>
      </c>
      <c r="K113" s="34" t="e">
        <f>VLOOKUP(A1,DIV_14Data!$A$1:$DZU$1000000,1916,FALSE)</f>
        <v>#N/A</v>
      </c>
      <c r="L113" s="93" t="e">
        <f>VLOOKUP(A1,DIV_14Data!$A$1:$DZU$1000000,1917,FALSE)</f>
        <v>#N/A</v>
      </c>
      <c r="M113" s="33" t="e">
        <f>VLOOKUP(A1,DIV_14Data!$A$1:$DZU$1000000,1918,FALSE)</f>
        <v>#N/A</v>
      </c>
      <c r="N113" s="34" t="e">
        <f>VLOOKUP(A1,DIV_14Data!$A$1:$DZU$1000000,1919,FALSE)</f>
        <v>#N/A</v>
      </c>
      <c r="O113" s="33" t="e">
        <f>VLOOKUP(A1,DIV_14Data!$A$1:$DZU$1000000,1920,FALSE)</f>
        <v>#N/A</v>
      </c>
      <c r="P113" s="46" t="e">
        <f>VLOOKUP(A1,DIV_14Data!$A$1:$DZU$1000000,1921,FALSE)</f>
        <v>#N/A</v>
      </c>
      <c r="Q113" s="33" t="e">
        <f>VLOOKUP(A1,DIV_14Data!$A$1:$DZU$1000000,1922,FALSE)</f>
        <v>#N/A</v>
      </c>
    </row>
    <row r="114" spans="1:17" x14ac:dyDescent="0.35">
      <c r="A114" s="22" t="e">
        <f>VLOOKUP(A1,DIV_14Data!$A$1:$DZU$1000000,1923,FALSE)</f>
        <v>#N/A</v>
      </c>
      <c r="B114" s="37" t="e">
        <f>VLOOKUP(A1,DIV_14Data!$A$1:$DZU$1000000,1924,FALSE)</f>
        <v>#N/A</v>
      </c>
      <c r="C114" s="38" t="e">
        <f>VLOOKUP(A1,DIV_14Data!$A$1:$DZU$1000000,1925,FALSE)</f>
        <v>#N/A</v>
      </c>
      <c r="D114" s="31" t="e">
        <f>VLOOKUP(A1,DIV_14Data!$A$1:$DZU$1000000,1926,FALSE)</f>
        <v>#N/A</v>
      </c>
      <c r="E114" s="32" t="e">
        <f>VLOOKUP(A1,DIV_14Data!$A$1:$DZU$1000000,1927,FALSE)</f>
        <v>#N/A</v>
      </c>
      <c r="F114" s="34" t="e">
        <f>VLOOKUP(A1,DIV_14Data!$A$1:$DZU$1000000,1928,FALSE)</f>
        <v>#N/A</v>
      </c>
      <c r="G114" s="33" t="e">
        <f>VLOOKUP(A1,DIV_14Data!$A$1:$DZU$1000000,1929,FALSE)</f>
        <v>#N/A</v>
      </c>
      <c r="H114" s="34" t="e">
        <f>VLOOKUP(A1,DIV_14Data!$A$1:$DZU$1000000,1930,FALSE)</f>
        <v>#N/A</v>
      </c>
      <c r="I114" s="33" t="e">
        <f>VLOOKUP(A1,DIV_14Data!$A$1:$DZU$1000000,1931,FALSE)</f>
        <v>#N/A</v>
      </c>
      <c r="J114" s="34" t="e">
        <f>VLOOKUP(A1,DIV_14Data!$A$1:$DZU$1000000,1932,FALSE)</f>
        <v>#N/A</v>
      </c>
      <c r="K114" s="34" t="e">
        <f>VLOOKUP(A1,DIV_14Data!$A$1:$DZU$1000000,1933,FALSE)</f>
        <v>#N/A</v>
      </c>
      <c r="L114" s="93" t="e">
        <f>VLOOKUP(A1,DIV_14Data!$A$1:$DZU$1000000,1934,FALSE)</f>
        <v>#N/A</v>
      </c>
      <c r="M114" s="33" t="e">
        <f>VLOOKUP(A1,DIV_14Data!$A$1:$DZU$1000000,1935,FALSE)</f>
        <v>#N/A</v>
      </c>
      <c r="N114" s="34" t="e">
        <f>VLOOKUP(A1,DIV_14Data!$A$1:$DZU$1000000,1936,FALSE)</f>
        <v>#N/A</v>
      </c>
      <c r="O114" s="33" t="e">
        <f>VLOOKUP(A1,DIV_14Data!$A$1:$DZU$1000000,1937,FALSE)</f>
        <v>#N/A</v>
      </c>
      <c r="P114" s="46" t="e">
        <f>VLOOKUP(A1,DIV_14Data!$A$1:$DZU$1000000,1938,FALSE)</f>
        <v>#N/A</v>
      </c>
      <c r="Q114" s="33" t="e">
        <f>VLOOKUP(A1,DIV_14Data!$A$1:$DZU$1000000,1939,FALSE)</f>
        <v>#N/A</v>
      </c>
    </row>
    <row r="115" spans="1:17" x14ac:dyDescent="0.35">
      <c r="A115" s="22" t="e">
        <f>VLOOKUP(A1,DIV_14Data!$A$1:$DZU$1000000,1940,FALSE)</f>
        <v>#N/A</v>
      </c>
      <c r="B115" s="37" t="e">
        <f>VLOOKUP(A1,DIV_14Data!$A$1:$DZU$1000000,1941,FALSE)</f>
        <v>#N/A</v>
      </c>
      <c r="C115" s="38" t="e">
        <f>VLOOKUP(A1,DIV_14Data!$A$1:$DZU$1000000,1942,FALSE)</f>
        <v>#N/A</v>
      </c>
      <c r="D115" s="31" t="e">
        <f>VLOOKUP(A1,DIV_14Data!$A$1:$DZU$1000000,1943,FALSE)</f>
        <v>#N/A</v>
      </c>
      <c r="E115" s="32" t="e">
        <f>VLOOKUP(A1,DIV_14Data!$A$1:$DZU$1000000,1944,FALSE)</f>
        <v>#N/A</v>
      </c>
      <c r="F115" s="34" t="e">
        <f>VLOOKUP(A1,DIV_14Data!$A$1:$DZU$1000000,1945,FALSE)</f>
        <v>#N/A</v>
      </c>
      <c r="G115" s="33" t="e">
        <f>VLOOKUP(A1,DIV_14Data!$A$1:$DZU$1000000,1946,FALSE)</f>
        <v>#N/A</v>
      </c>
      <c r="H115" s="34" t="e">
        <f>VLOOKUP(A1,DIV_14Data!$A$1:$DZU$1000000,1947,FALSE)</f>
        <v>#N/A</v>
      </c>
      <c r="I115" s="33" t="e">
        <f>VLOOKUP(A1,DIV_14Data!$A$1:$DZU$1000000,1948,FALSE)</f>
        <v>#N/A</v>
      </c>
      <c r="J115" s="34" t="e">
        <f>VLOOKUP(A1,DIV_14Data!$A$1:$DZU$1000000,1949,FALSE)</f>
        <v>#N/A</v>
      </c>
      <c r="K115" s="34" t="e">
        <f>VLOOKUP(A1,DIV_14Data!$A$1:$DZU$1000000,1950,FALSE)</f>
        <v>#N/A</v>
      </c>
      <c r="L115" s="93" t="e">
        <f>VLOOKUP(A1,DIV_14Data!$A$1:$DZU$1000000,1951,FALSE)</f>
        <v>#N/A</v>
      </c>
      <c r="M115" s="33" t="e">
        <f>VLOOKUP(A1,DIV_14Data!$A$1:$DZU$1000000,1952,FALSE)</f>
        <v>#N/A</v>
      </c>
      <c r="N115" s="34" t="e">
        <f>VLOOKUP(A1,DIV_14Data!$A$1:$DZU$1000000,1953,FALSE)</f>
        <v>#N/A</v>
      </c>
      <c r="O115" s="33" t="e">
        <f>VLOOKUP(A1,DIV_14Data!$A$1:$DZU$1000000,1954,FALSE)</f>
        <v>#N/A</v>
      </c>
      <c r="P115" s="46" t="e">
        <f>VLOOKUP(A1,DIV_14Data!$A$1:$DZU$1000000,1955,FALSE)</f>
        <v>#N/A</v>
      </c>
      <c r="Q115" s="33" t="e">
        <f>VLOOKUP(A1,DIV_14Data!$A$1:$DZU$1000000,1956,FALSE)</f>
        <v>#N/A</v>
      </c>
    </row>
    <row r="116" spans="1:17" x14ac:dyDescent="0.35">
      <c r="A116" s="22" t="e">
        <f>VLOOKUP(A1,DIV_14Data!$A$1:$DZU$1000000,1957,FALSE)</f>
        <v>#N/A</v>
      </c>
      <c r="B116" s="37" t="e">
        <f>VLOOKUP(A1,DIV_14Data!$A$1:$DZU$1000000,1958,FALSE)</f>
        <v>#N/A</v>
      </c>
      <c r="C116" s="38" t="e">
        <f>VLOOKUP(A1,DIV_14Data!$A$1:$DZU$1000000,1959,FALSE)</f>
        <v>#N/A</v>
      </c>
      <c r="D116" s="31" t="e">
        <f>VLOOKUP(A1,DIV_14Data!$A$1:$DZU$1000000,1960,FALSE)</f>
        <v>#N/A</v>
      </c>
      <c r="E116" s="32" t="e">
        <f>VLOOKUP(A1,DIV_14Data!$A$1:$DZU$1000000,1961,FALSE)</f>
        <v>#N/A</v>
      </c>
      <c r="F116" s="34" t="e">
        <f>VLOOKUP(A1,DIV_14Data!$A$1:$DZU$1000000,1962,FALSE)</f>
        <v>#N/A</v>
      </c>
      <c r="G116" s="33" t="e">
        <f>VLOOKUP(A1,DIV_14Data!$A$1:$DZU$1000000,1963,FALSE)</f>
        <v>#N/A</v>
      </c>
      <c r="H116" s="34" t="e">
        <f>VLOOKUP(A1,DIV_14Data!$A$1:$DZU$1000000,1964,FALSE)</f>
        <v>#N/A</v>
      </c>
      <c r="I116" s="33" t="e">
        <f>VLOOKUP(A1,DIV_14Data!$A$1:$DZU$1000000,1965,FALSE)</f>
        <v>#N/A</v>
      </c>
      <c r="J116" s="34" t="e">
        <f>VLOOKUP(A1,DIV_14Data!$A$1:$DZU$1000000,1966,FALSE)</f>
        <v>#N/A</v>
      </c>
      <c r="K116" s="34" t="e">
        <f>VLOOKUP(A1,DIV_14Data!$A$1:$DZU$1000000,1967,FALSE)</f>
        <v>#N/A</v>
      </c>
      <c r="L116" s="93" t="e">
        <f>VLOOKUP(A1,DIV_14Data!$A$1:$DZU$1000000,1968,FALSE)</f>
        <v>#N/A</v>
      </c>
      <c r="M116" s="33" t="e">
        <f>VLOOKUP(A1,DIV_14Data!$A$1:$DZU$1000000,1969,FALSE)</f>
        <v>#N/A</v>
      </c>
      <c r="N116" s="34" t="e">
        <f>VLOOKUP(A1,DIV_14Data!$A$1:$DZU$1000000,1970,FALSE)</f>
        <v>#N/A</v>
      </c>
      <c r="O116" s="33" t="e">
        <f>VLOOKUP(A1,DIV_14Data!$A$1:$DZU$1000000,1971,FALSE)</f>
        <v>#N/A</v>
      </c>
      <c r="P116" s="46" t="e">
        <f>VLOOKUP(A1,DIV_14Data!$A$1:$DZU$1000000,1972,FALSE)</f>
        <v>#N/A</v>
      </c>
      <c r="Q116" s="33" t="e">
        <f>VLOOKUP(A1,DIV_14Data!$A$1:$DZU$1000000,1973,FALSE)</f>
        <v>#N/A</v>
      </c>
    </row>
    <row r="117" spans="1:17" x14ac:dyDescent="0.35">
      <c r="A117" s="22" t="e">
        <f>VLOOKUP(A1,DIV_14Data!$A$1:$DZU$1000000,1974,FALSE)</f>
        <v>#N/A</v>
      </c>
      <c r="B117" s="37" t="e">
        <f>VLOOKUP(A1,DIV_14Data!$A$1:$DZU$1000000,1975,FALSE)</f>
        <v>#N/A</v>
      </c>
      <c r="C117" s="38" t="e">
        <f>VLOOKUP(A1,DIV_14Data!$A$1:$DZU$1000000,1976,FALSE)</f>
        <v>#N/A</v>
      </c>
      <c r="D117" s="31" t="e">
        <f>VLOOKUP(A1,DIV_14Data!$A$1:$DZU$1000000,1977,FALSE)</f>
        <v>#N/A</v>
      </c>
      <c r="E117" s="32" t="e">
        <f>VLOOKUP(A1,DIV_14Data!$A$1:$DZU$1000000,1978,FALSE)</f>
        <v>#N/A</v>
      </c>
      <c r="F117" s="34" t="e">
        <f>VLOOKUP(A1,DIV_14Data!$A$1:$DZU$1000000,1979,FALSE)</f>
        <v>#N/A</v>
      </c>
      <c r="G117" s="33" t="e">
        <f>VLOOKUP(A1,DIV_14Data!$A$1:$DZU$1000000,1980,FALSE)</f>
        <v>#N/A</v>
      </c>
      <c r="H117" s="34" t="e">
        <f>VLOOKUP(A1,DIV_14Data!$A$1:$DZU$1000000,1981,FALSE)</f>
        <v>#N/A</v>
      </c>
      <c r="I117" s="33" t="e">
        <f>VLOOKUP(A1,DIV_14Data!$A$1:$DZU$1000000,1982,FALSE)</f>
        <v>#N/A</v>
      </c>
      <c r="J117" s="34" t="e">
        <f>VLOOKUP(A1,DIV_14Data!$A$1:$DZU$1000000,1983,FALSE)</f>
        <v>#N/A</v>
      </c>
      <c r="K117" s="34" t="e">
        <f>VLOOKUP(A1,DIV_14Data!$A$1:$DZU$1000000,1984,FALSE)</f>
        <v>#N/A</v>
      </c>
      <c r="L117" s="93" t="e">
        <f>VLOOKUP(A1,DIV_14Data!$A$1:$DZU$1000000,1985,FALSE)</f>
        <v>#N/A</v>
      </c>
      <c r="M117" s="33" t="e">
        <f>VLOOKUP(A1,DIV_14Data!$A$1:$DZU$1000000,1986,FALSE)</f>
        <v>#N/A</v>
      </c>
      <c r="N117" s="34" t="e">
        <f>VLOOKUP(A1,DIV_14Data!$A$1:$DZU$1000000,1987,FALSE)</f>
        <v>#N/A</v>
      </c>
      <c r="O117" s="33" t="e">
        <f>VLOOKUP(A1,DIV_14Data!$A$1:$DZU$1000000,1988,FALSE)</f>
        <v>#N/A</v>
      </c>
      <c r="P117" s="46" t="e">
        <f>VLOOKUP(A1,DIV_14Data!$A$1:$DZU$1000000,1989,FALSE)</f>
        <v>#N/A</v>
      </c>
      <c r="Q117" s="33" t="e">
        <f>VLOOKUP(A1,DIV_14Data!$A$1:$DZU$1000000,1990,FALSE)</f>
        <v>#N/A</v>
      </c>
    </row>
    <row r="118" spans="1:17" x14ac:dyDescent="0.35">
      <c r="A118" s="22" t="e">
        <f>VLOOKUP(A1,DIV_14Data!$A$1:$DZU$1000000,1991,FALSE)</f>
        <v>#N/A</v>
      </c>
      <c r="B118" s="37" t="e">
        <f>VLOOKUP(A1,DIV_14Data!$A$1:$DZU$1000000,1992,FALSE)</f>
        <v>#N/A</v>
      </c>
      <c r="C118" s="38" t="e">
        <f>VLOOKUP(A1,DIV_14Data!$A$1:$DZU$1000000,1993,FALSE)</f>
        <v>#N/A</v>
      </c>
      <c r="D118" s="31" t="e">
        <f>VLOOKUP(A1,DIV_14Data!$A$1:$DZU$1000000,1994,FALSE)</f>
        <v>#N/A</v>
      </c>
      <c r="E118" s="32" t="e">
        <f>VLOOKUP(A1,DIV_14Data!$A$1:$DZU$1000000,1995,FALSE)</f>
        <v>#N/A</v>
      </c>
      <c r="F118" s="34" t="e">
        <f>VLOOKUP(A1,DIV_14Data!$A$1:$DZU$1000000,1996,FALSE)</f>
        <v>#N/A</v>
      </c>
      <c r="G118" s="33" t="e">
        <f>VLOOKUP(A1,DIV_14Data!$A$1:$DZU$1000000,1997,FALSE)</f>
        <v>#N/A</v>
      </c>
      <c r="H118" s="34" t="e">
        <f>VLOOKUP(A1,DIV_14Data!$A$1:$DZU$1000000,1998,FALSE)</f>
        <v>#N/A</v>
      </c>
      <c r="I118" s="33" t="e">
        <f>VLOOKUP(A1,DIV_14Data!$A$1:$DZU$1000000,1999,FALSE)</f>
        <v>#N/A</v>
      </c>
      <c r="J118" s="34" t="e">
        <f>VLOOKUP(A1,DIV_14Data!$A$1:$DZU$1000000,2000,FALSE)</f>
        <v>#N/A</v>
      </c>
      <c r="K118" s="34" t="e">
        <f>VLOOKUP(A1,DIV_14Data!$A$1:$DZU$1000000,2001,FALSE)</f>
        <v>#N/A</v>
      </c>
      <c r="L118" s="93" t="e">
        <f>VLOOKUP(A1,DIV_14Data!$A$1:$DZU$1000000,2002,FALSE)</f>
        <v>#N/A</v>
      </c>
      <c r="M118" s="33" t="e">
        <f>VLOOKUP(A1,DIV_14Data!$A$1:$DZU$1000000,2003,FALSE)</f>
        <v>#N/A</v>
      </c>
      <c r="N118" s="34" t="e">
        <f>VLOOKUP(A1,DIV_14Data!$A$1:$DZU$1000000,2004,FALSE)</f>
        <v>#N/A</v>
      </c>
      <c r="O118" s="33" t="e">
        <f>VLOOKUP(A1,DIV_14Data!$A$1:$DZU$1000000,2005,FALSE)</f>
        <v>#N/A</v>
      </c>
      <c r="P118" s="46" t="e">
        <f>VLOOKUP(A1,DIV_14Data!$A$1:$DZU$1000000,2006,FALSE)</f>
        <v>#N/A</v>
      </c>
      <c r="Q118" s="33" t="e">
        <f>VLOOKUP(A1,DIV_14Data!$A$1:$DZU$1000000,2007,FALSE)</f>
        <v>#N/A</v>
      </c>
    </row>
    <row r="119" spans="1:17" x14ac:dyDescent="0.35">
      <c r="A119" s="22" t="e">
        <f>VLOOKUP(A1,DIV_14Data!$A$1:$DZU$1000000,2008,FALSE)</f>
        <v>#N/A</v>
      </c>
      <c r="B119" s="37" t="e">
        <f>VLOOKUP(A1,DIV_14Data!$A$1:$DZU$1000000,2009,FALSE)</f>
        <v>#N/A</v>
      </c>
      <c r="C119" s="38" t="e">
        <f>VLOOKUP(A1,DIV_14Data!$A$1:$DZU$1000000,2010,FALSE)</f>
        <v>#N/A</v>
      </c>
      <c r="D119" s="31" t="e">
        <f>VLOOKUP(A1,DIV_14Data!$A$1:$DZU$1000000,2011,FALSE)</f>
        <v>#N/A</v>
      </c>
      <c r="E119" s="32" t="e">
        <f>VLOOKUP(A1,DIV_14Data!$A$1:$DZU$1000000,2012,FALSE)</f>
        <v>#N/A</v>
      </c>
      <c r="F119" s="34" t="e">
        <f>VLOOKUP(A1,DIV_14Data!$A$1:$DZU$1000000,2013,FALSE)</f>
        <v>#N/A</v>
      </c>
      <c r="G119" s="33" t="e">
        <f>VLOOKUP(A1,DIV_14Data!$A$1:$DZU$1000000,2014,FALSE)</f>
        <v>#N/A</v>
      </c>
      <c r="H119" s="34" t="e">
        <f>VLOOKUP(A1,DIV_14Data!$A$1:$DZU$1000000,2015,FALSE)</f>
        <v>#N/A</v>
      </c>
      <c r="I119" s="33" t="e">
        <f>VLOOKUP(A1,DIV_14Data!$A$1:$DZU$1000000,2016,FALSE)</f>
        <v>#N/A</v>
      </c>
      <c r="J119" s="34" t="e">
        <f>VLOOKUP(A1,DIV_14Data!$A$1:$DZU$1000000,2017,FALSE)</f>
        <v>#N/A</v>
      </c>
      <c r="K119" s="34" t="e">
        <f>VLOOKUP(A1,DIV_14Data!$A$1:$DZU$1000000,2018,FALSE)</f>
        <v>#N/A</v>
      </c>
      <c r="L119" s="93" t="e">
        <f>VLOOKUP(A1,DIV_14Data!$A$1:$DZU$1000000,2019,FALSE)</f>
        <v>#N/A</v>
      </c>
      <c r="M119" s="33" t="e">
        <f>VLOOKUP(A1,DIV_14Data!$A$1:$DZU$1000000,2020,FALSE)</f>
        <v>#N/A</v>
      </c>
      <c r="N119" s="34" t="e">
        <f>VLOOKUP(A1,DIV_14Data!$A$1:$DZU$1000000,2021,FALSE)</f>
        <v>#N/A</v>
      </c>
      <c r="O119" s="33" t="e">
        <f>VLOOKUP(A1,DIV_14Data!$A$1:$DZU$1000000,2022,FALSE)</f>
        <v>#N/A</v>
      </c>
      <c r="P119" s="46" t="e">
        <f>VLOOKUP(A1,DIV_14Data!$A$1:$DZU$1000000,2023,FALSE)</f>
        <v>#N/A</v>
      </c>
      <c r="Q119" s="33" t="e">
        <f>VLOOKUP(A1,DIV_14Data!$A$1:$DZU$1000000,2024,FALSE)</f>
        <v>#N/A</v>
      </c>
    </row>
    <row r="120" spans="1:17" x14ac:dyDescent="0.35">
      <c r="A120" s="22" t="e">
        <f>VLOOKUP(A1,DIV_14Data!$A$1:$DZU$1000000,2025,FALSE)</f>
        <v>#N/A</v>
      </c>
      <c r="B120" s="37" t="e">
        <f>VLOOKUP(A1,DIV_14Data!$A$1:$DZU$1000000,2026,FALSE)</f>
        <v>#N/A</v>
      </c>
      <c r="C120" s="38" t="e">
        <f>VLOOKUP(A1,DIV_14Data!$A$1:$DZU$1000000,2027,FALSE)</f>
        <v>#N/A</v>
      </c>
      <c r="D120" s="31" t="e">
        <f>VLOOKUP(A1,DIV_14Data!$A$1:$DZU$1000000,2028,FALSE)</f>
        <v>#N/A</v>
      </c>
      <c r="E120" s="32" t="e">
        <f>VLOOKUP(A1,DIV_14Data!$A$1:$DZU$1000000,2029,FALSE)</f>
        <v>#N/A</v>
      </c>
      <c r="F120" s="34" t="e">
        <f>VLOOKUP(A1,DIV_14Data!$A$1:$DZU$1000000,2030,FALSE)</f>
        <v>#N/A</v>
      </c>
      <c r="G120" s="33" t="e">
        <f>VLOOKUP(A1,DIV_14Data!$A$1:$DZU$1000000,2031,FALSE)</f>
        <v>#N/A</v>
      </c>
      <c r="H120" s="34" t="e">
        <f>VLOOKUP(A1,DIV_14Data!$A$1:$DZU$1000000,2032,FALSE)</f>
        <v>#N/A</v>
      </c>
      <c r="I120" s="33" t="e">
        <f>VLOOKUP(A1,DIV_14Data!$A$1:$DZU$1000000,2033,FALSE)</f>
        <v>#N/A</v>
      </c>
      <c r="J120" s="34" t="e">
        <f>VLOOKUP(A1,DIV_14Data!$A$1:$DZU$1000000,2034,FALSE)</f>
        <v>#N/A</v>
      </c>
      <c r="K120" s="34" t="e">
        <f>VLOOKUP(A1,DIV_14Data!$A$1:$DZU$1000000,2035,FALSE)</f>
        <v>#N/A</v>
      </c>
      <c r="L120" s="93" t="e">
        <f>VLOOKUP(A1,DIV_14Data!$A$1:$DZU$1000000,2036,FALSE)</f>
        <v>#N/A</v>
      </c>
      <c r="M120" s="33" t="e">
        <f>VLOOKUP(A1,DIV_14Data!$A$1:$DZU$1000000,2037,FALSE)</f>
        <v>#N/A</v>
      </c>
      <c r="N120" s="34" t="e">
        <f>VLOOKUP(A1,DIV_14Data!$A$1:$DZU$1000000,2038,FALSE)</f>
        <v>#N/A</v>
      </c>
      <c r="O120" s="33" t="e">
        <f>VLOOKUP(A1,DIV_14Data!$A$1:$DZU$1000000,2039,FALSE)</f>
        <v>#N/A</v>
      </c>
      <c r="P120" s="46" t="e">
        <f>VLOOKUP(A1,DIV_14Data!$A$1:$DZU$1000000,2040,FALSE)</f>
        <v>#N/A</v>
      </c>
      <c r="Q120" s="33" t="e">
        <f>VLOOKUP(A1,DIV_14Data!$A$1:$DZU$1000000,2041,FALSE)</f>
        <v>#N/A</v>
      </c>
    </row>
    <row r="121" spans="1:17" x14ac:dyDescent="0.35">
      <c r="A121" s="22" t="e">
        <f>VLOOKUP(A1,DIV_14Data!$A$1:$DZU$1000000,2042,FALSE)</f>
        <v>#N/A</v>
      </c>
      <c r="B121" s="37" t="e">
        <f>VLOOKUP(A1,DIV_14Data!$A$1:$DZU$1000000,2043,FALSE)</f>
        <v>#N/A</v>
      </c>
      <c r="C121" s="38" t="e">
        <f>VLOOKUP(A1,DIV_14Data!$A$1:$DZU$1000000,2044,FALSE)</f>
        <v>#N/A</v>
      </c>
      <c r="D121" s="31" t="e">
        <f>VLOOKUP(A1,DIV_14Data!$A$1:$DZU$1000000,2045,FALSE)</f>
        <v>#N/A</v>
      </c>
      <c r="E121" s="32" t="e">
        <f>VLOOKUP(A1,DIV_14Data!$A$1:$DZU$1000000,2046,FALSE)</f>
        <v>#N/A</v>
      </c>
      <c r="F121" s="34" t="e">
        <f>VLOOKUP(A1,DIV_14Data!$A$1:$DZU$1000000,2047,FALSE)</f>
        <v>#N/A</v>
      </c>
      <c r="G121" s="33" t="e">
        <f>VLOOKUP(A1,DIV_14Data!$A$1:$DZU$1000000,2048,FALSE)</f>
        <v>#N/A</v>
      </c>
      <c r="H121" s="34" t="e">
        <f>VLOOKUP(A1,DIV_14Data!$A$1:$DZU$1000000,2049,FALSE)</f>
        <v>#N/A</v>
      </c>
      <c r="I121" s="33" t="e">
        <f>VLOOKUP(A1,DIV_14Data!$A$1:$DZU$1000000,2050,FALSE)</f>
        <v>#N/A</v>
      </c>
      <c r="J121" s="34" t="e">
        <f>VLOOKUP(A1,DIV_14Data!$A$1:$DZU$1000000,2051,FALSE)</f>
        <v>#N/A</v>
      </c>
      <c r="K121" s="34" t="e">
        <f>VLOOKUP(A1,DIV_14Data!$A$1:$DZU$1000000,2052,FALSE)</f>
        <v>#N/A</v>
      </c>
      <c r="L121" s="93" t="e">
        <f>VLOOKUP(A1,DIV_14Data!$A$1:$DZU$1000000,2053,FALSE)</f>
        <v>#N/A</v>
      </c>
      <c r="M121" s="33" t="e">
        <f>VLOOKUP(A1,DIV_14Data!$A$1:$DZU$1000000,2054,FALSE)</f>
        <v>#N/A</v>
      </c>
      <c r="N121" s="34" t="e">
        <f>VLOOKUP(A1,DIV_14Data!$A$1:$DZU$1000000,2055,FALSE)</f>
        <v>#N/A</v>
      </c>
      <c r="O121" s="33" t="e">
        <f>VLOOKUP(A1,DIV_14Data!$A$1:$DZU$1000000,2056,FALSE)</f>
        <v>#N/A</v>
      </c>
      <c r="P121" s="46" t="e">
        <f>VLOOKUP(A1,DIV_14Data!$A$1:$DZU$1000000,2057,FALSE)</f>
        <v>#N/A</v>
      </c>
      <c r="Q121" s="33" t="e">
        <f>VLOOKUP(A1,DIV_14Data!$A$1:$DZU$1000000,2058,FALSE)</f>
        <v>#N/A</v>
      </c>
    </row>
    <row r="122" spans="1:17" x14ac:dyDescent="0.35">
      <c r="A122" s="22" t="e">
        <f>VLOOKUP(A1,DIV_14Data!$A$1:$DZU$1000000,2059,FALSE)</f>
        <v>#N/A</v>
      </c>
      <c r="B122" s="37" t="e">
        <f>VLOOKUP(A1,DIV_14Data!$A$1:$DZU$1000000,2060,FALSE)</f>
        <v>#N/A</v>
      </c>
      <c r="C122" s="38" t="e">
        <f>VLOOKUP(A1,DIV_14Data!$A$1:$DZU$1000000,2061,FALSE)</f>
        <v>#N/A</v>
      </c>
      <c r="D122" s="31" t="e">
        <f>VLOOKUP(A1,DIV_14Data!$A$1:$DZU$1000000,2062,FALSE)</f>
        <v>#N/A</v>
      </c>
      <c r="E122" s="32" t="e">
        <f>VLOOKUP(A1,DIV_14Data!$A$1:$DZU$1000000,2063,FALSE)</f>
        <v>#N/A</v>
      </c>
      <c r="F122" s="34" t="e">
        <f>VLOOKUP(A1,DIV_14Data!$A$1:$DZU$1000000,2064,FALSE)</f>
        <v>#N/A</v>
      </c>
      <c r="G122" s="33" t="e">
        <f>VLOOKUP(A1,DIV_14Data!$A$1:$DZU$1000000,2065,FALSE)</f>
        <v>#N/A</v>
      </c>
      <c r="H122" s="34" t="e">
        <f>VLOOKUP(A1,DIV_14Data!$A$1:$DZU$1000000,2066,FALSE)</f>
        <v>#N/A</v>
      </c>
      <c r="I122" s="33" t="e">
        <f>VLOOKUP(A1,DIV_14Data!$A$1:$DZU$1000000,2067,FALSE)</f>
        <v>#N/A</v>
      </c>
      <c r="J122" s="34" t="e">
        <f>VLOOKUP(A1,DIV_14Data!$A$1:$DZU$1000000,2068,FALSE)</f>
        <v>#N/A</v>
      </c>
      <c r="K122" s="34" t="e">
        <f>VLOOKUP(A1,DIV_14Data!$A$1:$DZU$1000000,2069,FALSE)</f>
        <v>#N/A</v>
      </c>
      <c r="L122" s="93" t="e">
        <f>VLOOKUP(A1,DIV_14Data!$A$1:$DZU$1000000,2070,FALSE)</f>
        <v>#N/A</v>
      </c>
      <c r="M122" s="33" t="e">
        <f>VLOOKUP(A1,DIV_14Data!$A$1:$DZU$1000000,2071,FALSE)</f>
        <v>#N/A</v>
      </c>
      <c r="N122" s="34" t="e">
        <f>VLOOKUP(A1,DIV_14Data!$A$1:$DZU$1000000,2072,FALSE)</f>
        <v>#N/A</v>
      </c>
      <c r="O122" s="33" t="e">
        <f>VLOOKUP(A1,DIV_14Data!$A$1:$DZU$1000000,2073,FALSE)</f>
        <v>#N/A</v>
      </c>
      <c r="P122" s="46" t="e">
        <f>VLOOKUP(A1,DIV_14Data!$A$1:$DZU$1000000,2074,FALSE)</f>
        <v>#N/A</v>
      </c>
      <c r="Q122" s="33" t="e">
        <f>VLOOKUP(A1,DIV_14Data!$A$1:$DZU$1000000,2075,FALSE)</f>
        <v>#N/A</v>
      </c>
    </row>
    <row r="123" spans="1:17" x14ac:dyDescent="0.35">
      <c r="A123" s="22" t="e">
        <f>VLOOKUP(A1,DIV_14Data!$A$1:$DZU$1000000,2076,FALSE)</f>
        <v>#N/A</v>
      </c>
      <c r="B123" s="37" t="e">
        <f>VLOOKUP(A1,DIV_14Data!$A$1:$DZU$1000000,2077,FALSE)</f>
        <v>#N/A</v>
      </c>
      <c r="C123" s="38" t="e">
        <f>VLOOKUP(A1,DIV_14Data!$A$1:$DZU$1000000,2078,FALSE)</f>
        <v>#N/A</v>
      </c>
      <c r="D123" s="31" t="e">
        <f>VLOOKUP(A1,DIV_14Data!$A$1:$DZU$1000000,2079,FALSE)</f>
        <v>#N/A</v>
      </c>
      <c r="E123" s="32" t="e">
        <f>VLOOKUP(A1,DIV_14Data!$A$1:$DZU$1000000,2080,FALSE)</f>
        <v>#N/A</v>
      </c>
      <c r="F123" s="34" t="e">
        <f>VLOOKUP(A1,DIV_14Data!$A$1:$DZU$1000000,2081,FALSE)</f>
        <v>#N/A</v>
      </c>
      <c r="G123" s="33" t="e">
        <f>VLOOKUP(A1,DIV_14Data!$A$1:$DZU$1000000,2082,FALSE)</f>
        <v>#N/A</v>
      </c>
      <c r="H123" s="34" t="e">
        <f>VLOOKUP(A1,DIV_14Data!$A$1:$DZU$1000000,2083,FALSE)</f>
        <v>#N/A</v>
      </c>
      <c r="I123" s="33" t="e">
        <f>VLOOKUP(A1,DIV_14Data!$A$1:$DZU$1000000,2084,FALSE)</f>
        <v>#N/A</v>
      </c>
      <c r="J123" s="34" t="e">
        <f>VLOOKUP(A1,DIV_14Data!$A$1:$DZU$1000000,2085,FALSE)</f>
        <v>#N/A</v>
      </c>
      <c r="K123" s="34" t="e">
        <f>VLOOKUP(A1,DIV_14Data!$A$1:$DZU$1000000,2086,FALSE)</f>
        <v>#N/A</v>
      </c>
      <c r="L123" s="93" t="e">
        <f>VLOOKUP(A1,DIV_14Data!$A$1:$DZU$1000000,2087,FALSE)</f>
        <v>#N/A</v>
      </c>
      <c r="M123" s="33" t="e">
        <f>VLOOKUP(A1,DIV_14Data!$A$1:$DZU$1000000,2088,FALSE)</f>
        <v>#N/A</v>
      </c>
      <c r="N123" s="34" t="e">
        <f>VLOOKUP(A1,DIV_14Data!$A$1:$DZU$1000000,2089,FALSE)</f>
        <v>#N/A</v>
      </c>
      <c r="O123" s="33" t="e">
        <f>VLOOKUP(A1,DIV_14Data!$A$1:$DZU$1000000,2090,FALSE)</f>
        <v>#N/A</v>
      </c>
      <c r="P123" s="46" t="e">
        <f>VLOOKUP(A1,DIV_14Data!$A$1:$DZU$1000000,2091,FALSE)</f>
        <v>#N/A</v>
      </c>
      <c r="Q123" s="33" t="e">
        <f>VLOOKUP(A1,DIV_14Data!$A$1:$DZU$1000000,2092,FALSE)</f>
        <v>#N/A</v>
      </c>
    </row>
    <row r="124" spans="1:17" x14ac:dyDescent="0.35">
      <c r="A124" s="22" t="e">
        <f>VLOOKUP(A1,DIV_14Data!$A$1:$DZU$1000000,2093,FALSE)</f>
        <v>#N/A</v>
      </c>
      <c r="B124" s="37" t="e">
        <f>VLOOKUP(A1,DIV_14Data!$A$1:$DZU$1000000,2094,FALSE)</f>
        <v>#N/A</v>
      </c>
      <c r="C124" s="38" t="e">
        <f>VLOOKUP(A1,DIV_14Data!$A$1:$DZU$1000000,2095,FALSE)</f>
        <v>#N/A</v>
      </c>
      <c r="D124" s="31" t="e">
        <f>VLOOKUP(A1,DIV_14Data!$A$1:$DZU$1000000,2096,FALSE)</f>
        <v>#N/A</v>
      </c>
      <c r="E124" s="32" t="e">
        <f>VLOOKUP(A1,DIV_14Data!$A$1:$DZU$1000000,2097,FALSE)</f>
        <v>#N/A</v>
      </c>
      <c r="F124" s="34" t="e">
        <f>VLOOKUP(A1,DIV_14Data!$A$1:$DZU$1000000,2098,FALSE)</f>
        <v>#N/A</v>
      </c>
      <c r="G124" s="33" t="e">
        <f>VLOOKUP(A1,DIV_14Data!$A$1:$DZU$1000000,2099,FALSE)</f>
        <v>#N/A</v>
      </c>
      <c r="H124" s="34" t="e">
        <f>VLOOKUP(A1,DIV_14Data!$A$1:$DZU$1000000,2100,FALSE)</f>
        <v>#N/A</v>
      </c>
      <c r="I124" s="33" t="e">
        <f>VLOOKUP(A1,DIV_14Data!$A$1:$DZU$1000000,2101,FALSE)</f>
        <v>#N/A</v>
      </c>
      <c r="J124" s="34" t="e">
        <f>VLOOKUP(A1,DIV_14Data!$A$1:$DZU$1000000,2102,FALSE)</f>
        <v>#N/A</v>
      </c>
      <c r="K124" s="34" t="e">
        <f>VLOOKUP(A1,DIV_14Data!$A$1:$DZU$1000000,2103,FALSE)</f>
        <v>#N/A</v>
      </c>
      <c r="L124" s="93" t="e">
        <f>VLOOKUP(A1,DIV_14Data!$A$1:$DZU$1000000,2104,FALSE)</f>
        <v>#N/A</v>
      </c>
      <c r="M124" s="33" t="e">
        <f>VLOOKUP(A1,DIV_14Data!$A$1:$DZU$1000000,2105,FALSE)</f>
        <v>#N/A</v>
      </c>
      <c r="N124" s="34" t="e">
        <f>VLOOKUP(A1,DIV_14Data!$A$1:$DZU$1000000,2106,FALSE)</f>
        <v>#N/A</v>
      </c>
      <c r="O124" s="33" t="e">
        <f>VLOOKUP(A1,DIV_14Data!$A$1:$DZU$1000000,2107,FALSE)</f>
        <v>#N/A</v>
      </c>
      <c r="P124" s="46" t="e">
        <f>VLOOKUP(A1,DIV_14Data!$A$1:$DZU$1000000,2108,FALSE)</f>
        <v>#N/A</v>
      </c>
      <c r="Q124" s="33" t="e">
        <f>VLOOKUP(A1,DIV_14Data!$A$1:$DZU$1000000,2109,FALSE)</f>
        <v>#N/A</v>
      </c>
    </row>
    <row r="125" spans="1:17" x14ac:dyDescent="0.35">
      <c r="A125" s="22" t="e">
        <f>VLOOKUP(A1,DIV_14Data!$A$1:$DZU$1000000,2110,FALSE)</f>
        <v>#N/A</v>
      </c>
      <c r="B125" s="37" t="e">
        <f>VLOOKUP(A1,DIV_14Data!$A$1:$DZU$1000000,2111,FALSE)</f>
        <v>#N/A</v>
      </c>
      <c r="C125" s="38" t="e">
        <f>VLOOKUP(A1,DIV_14Data!$A$1:$DZU$1000000,2112,FALSE)</f>
        <v>#N/A</v>
      </c>
      <c r="D125" s="31" t="e">
        <f>VLOOKUP(A1,DIV_14Data!$A$1:$DZU$1000000,2113,FALSE)</f>
        <v>#N/A</v>
      </c>
      <c r="E125" s="32" t="e">
        <f>VLOOKUP(A1,DIV_14Data!$A$1:$DZU$1000000,2114,FALSE)</f>
        <v>#N/A</v>
      </c>
      <c r="F125" s="34" t="e">
        <f>VLOOKUP(A1,DIV_14Data!$A$1:$DZU$1000000,2115,FALSE)</f>
        <v>#N/A</v>
      </c>
      <c r="G125" s="33" t="e">
        <f>VLOOKUP(A1,DIV_14Data!$A$1:$DZU$1000000,2116,FALSE)</f>
        <v>#N/A</v>
      </c>
      <c r="H125" s="34" t="e">
        <f>VLOOKUP(A1,DIV_14Data!$A$1:$DZU$1000000,2117,FALSE)</f>
        <v>#N/A</v>
      </c>
      <c r="I125" s="33" t="e">
        <f>VLOOKUP(A1,DIV_14Data!$A$1:$DZU$1000000,2118,FALSE)</f>
        <v>#N/A</v>
      </c>
      <c r="J125" s="34" t="e">
        <f>VLOOKUP(A1,DIV_14Data!$A$1:$DZU$1000000,2119,FALSE)</f>
        <v>#N/A</v>
      </c>
      <c r="K125" s="34" t="e">
        <f>VLOOKUP(A1,DIV_14Data!$A$1:$DZU$1000000,2120,FALSE)</f>
        <v>#N/A</v>
      </c>
      <c r="L125" s="93" t="e">
        <f>VLOOKUP(A1,DIV_14Data!$A$1:$DZU$1000000,2121,FALSE)</f>
        <v>#N/A</v>
      </c>
      <c r="M125" s="33" t="e">
        <f>VLOOKUP(A1,DIV_14Data!$A$1:$DZU$1000000,2122,FALSE)</f>
        <v>#N/A</v>
      </c>
      <c r="N125" s="34" t="e">
        <f>VLOOKUP(A1,DIV_14Data!$A$1:$DZU$1000000,2123,FALSE)</f>
        <v>#N/A</v>
      </c>
      <c r="O125" s="33" t="e">
        <f>VLOOKUP(A1,DIV_14Data!$A$1:$DZU$1000000,2124,FALSE)</f>
        <v>#N/A</v>
      </c>
      <c r="P125" s="46" t="e">
        <f>VLOOKUP(A1,DIV_14Data!$A$1:$DZU$1000000,2125,FALSE)</f>
        <v>#N/A</v>
      </c>
      <c r="Q125" s="33" t="e">
        <f>VLOOKUP(A1,DIV_14Data!$A$1:$DZU$1000000,2126,FALSE)</f>
        <v>#N/A</v>
      </c>
    </row>
    <row r="126" spans="1:17" x14ac:dyDescent="0.35">
      <c r="A126" s="22" t="e">
        <f>VLOOKUP(A1,DIV_14Data!$A$1:$DZU$1000000,2127,FALSE)</f>
        <v>#N/A</v>
      </c>
      <c r="B126" s="37" t="e">
        <f>VLOOKUP(A1,DIV_14Data!$A$1:$DZU$1000000,2128,FALSE)</f>
        <v>#N/A</v>
      </c>
      <c r="C126" s="38" t="e">
        <f>VLOOKUP(A1,DIV_14Data!$A$1:$DZU$1000000,2129,FALSE)</f>
        <v>#N/A</v>
      </c>
      <c r="D126" s="31" t="e">
        <f>VLOOKUP(A1,DIV_14Data!$A$1:$DZU$1000000,2130,FALSE)</f>
        <v>#N/A</v>
      </c>
      <c r="E126" s="32" t="e">
        <f>VLOOKUP(A1,DIV_14Data!$A$1:$DZU$1000000,2131,FALSE)</f>
        <v>#N/A</v>
      </c>
      <c r="F126" s="34" t="e">
        <f>VLOOKUP(A1,DIV_14Data!$A$1:$DZU$1000000,2132,FALSE)</f>
        <v>#N/A</v>
      </c>
      <c r="G126" s="33" t="e">
        <f>VLOOKUP(A1,DIV_14Data!$A$1:$DZU$1000000,2133,FALSE)</f>
        <v>#N/A</v>
      </c>
      <c r="H126" s="34" t="e">
        <f>VLOOKUP(A1,DIV_14Data!$A$1:$DZU$1000000,2134,FALSE)</f>
        <v>#N/A</v>
      </c>
      <c r="I126" s="33" t="e">
        <f>VLOOKUP(A1,DIV_14Data!$A$1:$DZU$1000000,2135,FALSE)</f>
        <v>#N/A</v>
      </c>
      <c r="J126" s="34" t="e">
        <f>VLOOKUP(A1,DIV_14Data!$A$1:$DZU$1000000,2136,FALSE)</f>
        <v>#N/A</v>
      </c>
      <c r="K126" s="34" t="e">
        <f>VLOOKUP(A1,DIV_14Data!$A$1:$DZU$1000000,2137,FALSE)</f>
        <v>#N/A</v>
      </c>
      <c r="L126" s="93" t="e">
        <f>VLOOKUP(A1,DIV_14Data!$A$1:$DZU$1000000,2138,FALSE)</f>
        <v>#N/A</v>
      </c>
      <c r="M126" s="33" t="e">
        <f>VLOOKUP(A1,DIV_14Data!$A$1:$DZU$1000000,2139,FALSE)</f>
        <v>#N/A</v>
      </c>
      <c r="N126" s="34" t="e">
        <f>VLOOKUP(A1,DIV_14Data!$A$1:$DZU$1000000,2140,FALSE)</f>
        <v>#N/A</v>
      </c>
      <c r="O126" s="33" t="e">
        <f>VLOOKUP(A1,DIV_14Data!$A$1:$DZU$1000000,2141,FALSE)</f>
        <v>#N/A</v>
      </c>
      <c r="P126" s="46" t="e">
        <f>VLOOKUP(A1,DIV_14Data!$A$1:$DZU$1000000,2142,FALSE)</f>
        <v>#N/A</v>
      </c>
      <c r="Q126" s="33" t="e">
        <f>VLOOKUP(A1,DIV_14Data!$A$1:$DZU$1000000,2143,FALSE)</f>
        <v>#N/A</v>
      </c>
    </row>
    <row r="127" spans="1:17" x14ac:dyDescent="0.35">
      <c r="A127" s="22" t="e">
        <f>VLOOKUP(A1,DIV_14Data!$A$1:$DZU$1000000,2144,FALSE)</f>
        <v>#N/A</v>
      </c>
      <c r="B127" s="37" t="e">
        <f>VLOOKUP(A1,DIV_14Data!$A$1:$DZU$1000000,2145,FALSE)</f>
        <v>#N/A</v>
      </c>
      <c r="C127" s="38" t="e">
        <f>VLOOKUP(A1,DIV_14Data!$A$1:$DZU$1000000,2146,FALSE)</f>
        <v>#N/A</v>
      </c>
      <c r="D127" s="31" t="e">
        <f>VLOOKUP(A1,DIV_14Data!$A$1:$DZU$1000000,2147,FALSE)</f>
        <v>#N/A</v>
      </c>
      <c r="E127" s="32" t="e">
        <f>VLOOKUP(A1,DIV_14Data!$A$1:$DZU$1000000,2148,FALSE)</f>
        <v>#N/A</v>
      </c>
      <c r="F127" s="34" t="e">
        <f>VLOOKUP(A1,DIV_14Data!$A$1:$DZU$1000000,2149,FALSE)</f>
        <v>#N/A</v>
      </c>
      <c r="G127" s="33" t="e">
        <f>VLOOKUP(A1,DIV_14Data!$A$1:$DZU$1000000,2150,FALSE)</f>
        <v>#N/A</v>
      </c>
      <c r="H127" s="34" t="e">
        <f>VLOOKUP(A1,DIV_14Data!$A$1:$DZU$1000000,2151,FALSE)</f>
        <v>#N/A</v>
      </c>
      <c r="I127" s="33" t="e">
        <f>VLOOKUP(A1,DIV_14Data!$A$1:$DZU$1000000,2152,FALSE)</f>
        <v>#N/A</v>
      </c>
      <c r="J127" s="34" t="e">
        <f>VLOOKUP(A1,DIV_14Data!$A$1:$DZU$1000000,2153,FALSE)</f>
        <v>#N/A</v>
      </c>
      <c r="K127" s="34" t="e">
        <f>VLOOKUP(A1,DIV_14Data!$A$1:$DZU$1000000,2154,FALSE)</f>
        <v>#N/A</v>
      </c>
      <c r="L127" s="93" t="e">
        <f>VLOOKUP(A1,DIV_14Data!$A$1:$DZU$1000000,2155,FALSE)</f>
        <v>#N/A</v>
      </c>
      <c r="M127" s="33" t="e">
        <f>VLOOKUP(A1,DIV_14Data!$A$1:$DZU$1000000,2156,FALSE)</f>
        <v>#N/A</v>
      </c>
      <c r="N127" s="34" t="e">
        <f>VLOOKUP(A1,DIV_14Data!$A$1:$DZU$1000000,2157,FALSE)</f>
        <v>#N/A</v>
      </c>
      <c r="O127" s="33" t="e">
        <f>VLOOKUP(A1,DIV_14Data!$A$1:$DZU$1000000,2158,FALSE)</f>
        <v>#N/A</v>
      </c>
      <c r="P127" s="46" t="e">
        <f>VLOOKUP(A1,DIV_14Data!$A$1:$DZU$1000000,2159,FALSE)</f>
        <v>#N/A</v>
      </c>
      <c r="Q127" s="33" t="e">
        <f>VLOOKUP(A1,DIV_14Data!$A$1:$DZU$1000000,2160,FALSE)</f>
        <v>#N/A</v>
      </c>
    </row>
    <row r="128" spans="1:17" x14ac:dyDescent="0.35">
      <c r="A128" s="22" t="e">
        <f>VLOOKUP(A1,DIV_14Data!$A$1:$DZU$1000000,2161,FALSE)</f>
        <v>#N/A</v>
      </c>
      <c r="B128" s="37" t="e">
        <f>VLOOKUP(A1,DIV_14Data!$A$1:$DZU$1000000,2162,FALSE)</f>
        <v>#N/A</v>
      </c>
      <c r="C128" s="38" t="e">
        <f>VLOOKUP(A1,DIV_14Data!$A$1:$DZU$1000000,2163,FALSE)</f>
        <v>#N/A</v>
      </c>
      <c r="D128" s="31" t="e">
        <f>VLOOKUP(A1,DIV_14Data!$A$1:$DZU$1000000,2164,FALSE)</f>
        <v>#N/A</v>
      </c>
      <c r="E128" s="32" t="e">
        <f>VLOOKUP(A1,DIV_14Data!$A$1:$DZU$1000000,2165,FALSE)</f>
        <v>#N/A</v>
      </c>
      <c r="F128" s="34" t="e">
        <f>VLOOKUP(A1,DIV_14Data!$A$1:$DZU$1000000,2166,FALSE)</f>
        <v>#N/A</v>
      </c>
      <c r="G128" s="33" t="e">
        <f>VLOOKUP(A1,DIV_14Data!$A$1:$DZU$1000000,2167,FALSE)</f>
        <v>#N/A</v>
      </c>
      <c r="H128" s="34" t="e">
        <f>VLOOKUP(A1,DIV_14Data!$A$1:$DZU$1000000,2168,FALSE)</f>
        <v>#N/A</v>
      </c>
      <c r="I128" s="33" t="e">
        <f>VLOOKUP(A1,DIV_14Data!$A$1:$DZU$1000000,2169,FALSE)</f>
        <v>#N/A</v>
      </c>
      <c r="J128" s="34" t="e">
        <f>VLOOKUP(A1,DIV_14Data!$A$1:$DZU$1000000,2170,FALSE)</f>
        <v>#N/A</v>
      </c>
      <c r="K128" s="34" t="e">
        <f>VLOOKUP(A1,DIV_14Data!$A$1:$DZU$1000000,2171,FALSE)</f>
        <v>#N/A</v>
      </c>
      <c r="L128" s="93" t="e">
        <f>VLOOKUP(A1,DIV_14Data!$A$1:$DZU$1000000,2172,FALSE)</f>
        <v>#N/A</v>
      </c>
      <c r="M128" s="33" t="e">
        <f>VLOOKUP(A1,DIV_14Data!$A$1:$DZU$1000000,2173,FALSE)</f>
        <v>#N/A</v>
      </c>
      <c r="N128" s="34" t="e">
        <f>VLOOKUP(A1,DIV_14Data!$A$1:$DZU$1000000,2174,FALSE)</f>
        <v>#N/A</v>
      </c>
      <c r="O128" s="33" t="e">
        <f>VLOOKUP(A1,DIV_14Data!$A$1:$DZU$1000000,2175,FALSE)</f>
        <v>#N/A</v>
      </c>
      <c r="P128" s="46" t="e">
        <f>VLOOKUP(A1,DIV_14Data!$A$1:$DZU$1000000,2176,FALSE)</f>
        <v>#N/A</v>
      </c>
      <c r="Q128" s="33" t="e">
        <f>VLOOKUP(A1,DIV_14Data!$A$1:$DZU$1000000,2177,FALSE)</f>
        <v>#N/A</v>
      </c>
    </row>
    <row r="129" spans="1:17" x14ac:dyDescent="0.35">
      <c r="A129" s="22" t="e">
        <f>VLOOKUP(A1,DIV_14Data!$A$1:$DZU$1000000,2178,FALSE)</f>
        <v>#N/A</v>
      </c>
      <c r="B129" s="37" t="e">
        <f>VLOOKUP(A1,DIV_14Data!$A$1:$DZU$1000000,2179,FALSE)</f>
        <v>#N/A</v>
      </c>
      <c r="C129" s="38" t="e">
        <f>VLOOKUP(A1,DIV_14Data!$A$1:$DZU$1000000,2180,FALSE)</f>
        <v>#N/A</v>
      </c>
      <c r="D129" s="31" t="e">
        <f>VLOOKUP(A1,DIV_14Data!$A$1:$DZU$1000000,2181,FALSE)</f>
        <v>#N/A</v>
      </c>
      <c r="E129" s="32" t="e">
        <f>VLOOKUP(A1,DIV_14Data!$A$1:$DZU$1000000,2182,FALSE)</f>
        <v>#N/A</v>
      </c>
      <c r="F129" s="34" t="e">
        <f>VLOOKUP(A1,DIV_14Data!$A$1:$DZU$1000000,2183,FALSE)</f>
        <v>#N/A</v>
      </c>
      <c r="G129" s="33" t="e">
        <f>VLOOKUP(A1,DIV_14Data!$A$1:$DZU$1000000,2184,FALSE)</f>
        <v>#N/A</v>
      </c>
      <c r="H129" s="34" t="e">
        <f>VLOOKUP(A1,DIV_14Data!$A$1:$DZU$1000000,2185,FALSE)</f>
        <v>#N/A</v>
      </c>
      <c r="I129" s="33" t="e">
        <f>VLOOKUP(A1,DIV_14Data!$A$1:$DZU$1000000,2186,FALSE)</f>
        <v>#N/A</v>
      </c>
      <c r="J129" s="34" t="e">
        <f>VLOOKUP(A1,DIV_14Data!$A$1:$DZU$1000000,2187,FALSE)</f>
        <v>#N/A</v>
      </c>
      <c r="K129" s="34" t="e">
        <f>VLOOKUP(A1,DIV_14Data!$A$1:$DZU$1000000,2188,FALSE)</f>
        <v>#N/A</v>
      </c>
      <c r="L129" s="93" t="e">
        <f>VLOOKUP(A1,DIV_14Data!$A$1:$DZU$1000000,2189,FALSE)</f>
        <v>#N/A</v>
      </c>
      <c r="M129" s="33" t="e">
        <f>VLOOKUP(A1,DIV_14Data!$A$1:$DZU$1000000,2190,FALSE)</f>
        <v>#N/A</v>
      </c>
      <c r="N129" s="34" t="e">
        <f>VLOOKUP(A1,DIV_14Data!$A$1:$DZU$1000000,2191,FALSE)</f>
        <v>#N/A</v>
      </c>
      <c r="O129" s="33" t="e">
        <f>VLOOKUP(A1,DIV_14Data!$A$1:$DZU$1000000,2192,FALSE)</f>
        <v>#N/A</v>
      </c>
      <c r="P129" s="46" t="e">
        <f>VLOOKUP(A1,DIV_14Data!$A$1:$DZU$1000000,2193,FALSE)</f>
        <v>#N/A</v>
      </c>
      <c r="Q129" s="33" t="e">
        <f>VLOOKUP(A1,DIV_14Data!$A$1:$DZU$1000000,2194,FALSE)</f>
        <v>#N/A</v>
      </c>
    </row>
    <row r="130" spans="1:17" x14ac:dyDescent="0.35">
      <c r="A130" s="22" t="e">
        <f>VLOOKUP(A1,DIV_14Data!$A$1:$DZU$1000000,2195,FALSE)</f>
        <v>#N/A</v>
      </c>
      <c r="B130" s="37" t="e">
        <f>VLOOKUP(A1,DIV_14Data!$A$1:$DZU$1000000,2196,FALSE)</f>
        <v>#N/A</v>
      </c>
      <c r="C130" s="38" t="e">
        <f>VLOOKUP(A1,DIV_14Data!$A$1:$DZU$1000000,2197,FALSE)</f>
        <v>#N/A</v>
      </c>
      <c r="D130" s="31" t="e">
        <f>VLOOKUP(A1,DIV_14Data!$A$1:$DZU$1000000,2198,FALSE)</f>
        <v>#N/A</v>
      </c>
      <c r="E130" s="32" t="e">
        <f>VLOOKUP(A1,DIV_14Data!$A$1:$DZU$1000000,2199,FALSE)</f>
        <v>#N/A</v>
      </c>
      <c r="F130" s="34" t="e">
        <f>VLOOKUP(A1,DIV_14Data!$A$1:$DZU$1000000,2200,FALSE)</f>
        <v>#N/A</v>
      </c>
      <c r="G130" s="33" t="e">
        <f>VLOOKUP(A1,DIV_14Data!$A$1:$DZU$1000000,2201,FALSE)</f>
        <v>#N/A</v>
      </c>
      <c r="H130" s="34" t="e">
        <f>VLOOKUP(A1,DIV_14Data!$A$1:$DZU$1000000,2202,FALSE)</f>
        <v>#N/A</v>
      </c>
      <c r="I130" s="33" t="e">
        <f>VLOOKUP(A1,DIV_14Data!$A$1:$DZU$1000000,2203,FALSE)</f>
        <v>#N/A</v>
      </c>
      <c r="J130" s="34" t="e">
        <f>VLOOKUP(A1,DIV_14Data!$A$1:$DZU$1000000,2204,FALSE)</f>
        <v>#N/A</v>
      </c>
      <c r="K130" s="34" t="e">
        <f>VLOOKUP(A1,DIV_14Data!$A$1:$DZU$1000000,2205,FALSE)</f>
        <v>#N/A</v>
      </c>
      <c r="L130" s="93" t="e">
        <f>VLOOKUP(A1,DIV_14Data!$A$1:$DZU$1000000,2206,FALSE)</f>
        <v>#N/A</v>
      </c>
      <c r="M130" s="33" t="e">
        <f>VLOOKUP(A1,DIV_14Data!$A$1:$DZU$1000000,2207,FALSE)</f>
        <v>#N/A</v>
      </c>
      <c r="N130" s="34" t="e">
        <f>VLOOKUP(A1,DIV_14Data!$A$1:$DZU$1000000,2208,FALSE)</f>
        <v>#N/A</v>
      </c>
      <c r="O130" s="33" t="e">
        <f>VLOOKUP(A1,DIV_14Data!$A$1:$DZU$1000000,2209,FALSE)</f>
        <v>#N/A</v>
      </c>
      <c r="P130" s="46" t="e">
        <f>VLOOKUP(A1,DIV_14Data!$A$1:$DZU$1000000,2210,FALSE)</f>
        <v>#N/A</v>
      </c>
      <c r="Q130" s="33" t="e">
        <f>VLOOKUP(A1,DIV_14Data!$A$1:$DZU$1000000,2211,FALSE)</f>
        <v>#N/A</v>
      </c>
    </row>
    <row r="131" spans="1:17" x14ac:dyDescent="0.35">
      <c r="A131" s="22" t="e">
        <f>VLOOKUP(A1,DIV_14Data!$A$1:$DZU$1000000,2212,FALSE)</f>
        <v>#N/A</v>
      </c>
      <c r="B131" s="37" t="e">
        <f>VLOOKUP(A1,DIV_14Data!$A$1:$DZU$1000000,2213,FALSE)</f>
        <v>#N/A</v>
      </c>
      <c r="C131" s="38" t="e">
        <f>VLOOKUP(A1,DIV_14Data!$A$1:$DZU$1000000,2214,FALSE)</f>
        <v>#N/A</v>
      </c>
      <c r="D131" s="31" t="e">
        <f>VLOOKUP(A1,DIV_14Data!$A$1:$DZU$1000000,2215,FALSE)</f>
        <v>#N/A</v>
      </c>
      <c r="E131" s="32" t="e">
        <f>VLOOKUP(A1,DIV_14Data!$A$1:$DZU$1000000,2216,FALSE)</f>
        <v>#N/A</v>
      </c>
      <c r="F131" s="34" t="e">
        <f>VLOOKUP(A1,DIV_14Data!$A$1:$DZU$1000000,2217,FALSE)</f>
        <v>#N/A</v>
      </c>
      <c r="G131" s="33" t="e">
        <f>VLOOKUP(A1,DIV_14Data!$A$1:$DZU$1000000,2218,FALSE)</f>
        <v>#N/A</v>
      </c>
      <c r="H131" s="34" t="e">
        <f>VLOOKUP(A1,DIV_14Data!$A$1:$DZU$1000000,2219,FALSE)</f>
        <v>#N/A</v>
      </c>
      <c r="I131" s="33" t="e">
        <f>VLOOKUP(A1,DIV_14Data!$A$1:$DZU$1000000,2220,FALSE)</f>
        <v>#N/A</v>
      </c>
      <c r="J131" s="34" t="e">
        <f>VLOOKUP(A1,DIV_14Data!$A$1:$DZU$1000000,2221,FALSE)</f>
        <v>#N/A</v>
      </c>
      <c r="K131" s="34" t="e">
        <f>VLOOKUP(A1,DIV_14Data!$A$1:$DZU$1000000,2222,FALSE)</f>
        <v>#N/A</v>
      </c>
      <c r="L131" s="93" t="e">
        <f>VLOOKUP(A1,DIV_14Data!$A$1:$DZU$1000000,2223,FALSE)</f>
        <v>#N/A</v>
      </c>
      <c r="M131" s="33" t="e">
        <f>VLOOKUP(A1,DIV_14Data!$A$1:$DZU$1000000,2224,FALSE)</f>
        <v>#N/A</v>
      </c>
      <c r="N131" s="34" t="e">
        <f>VLOOKUP(A1,DIV_14Data!$A$1:$DZU$1000000,2225,FALSE)</f>
        <v>#N/A</v>
      </c>
      <c r="O131" s="33" t="e">
        <f>VLOOKUP(A1,DIV_14Data!$A$1:$DZU$1000000,2226,FALSE)</f>
        <v>#N/A</v>
      </c>
      <c r="P131" s="46" t="e">
        <f>VLOOKUP(A1,DIV_14Data!$A$1:$DZU$1000000,2227,FALSE)</f>
        <v>#N/A</v>
      </c>
      <c r="Q131" s="33" t="e">
        <f>VLOOKUP(A1,DIV_14Data!$A$1:$DZU$1000000,2228,FALSE)</f>
        <v>#N/A</v>
      </c>
    </row>
    <row r="132" spans="1:17" x14ac:dyDescent="0.35">
      <c r="A132" s="22" t="e">
        <f>VLOOKUP(A1,DIV_14Data!$A$1:$DZU$1000000,2229,FALSE)</f>
        <v>#N/A</v>
      </c>
      <c r="B132" s="37" t="e">
        <f>VLOOKUP(A1,DIV_14Data!$A$1:$DZU$1000000,2230,FALSE)</f>
        <v>#N/A</v>
      </c>
      <c r="C132" s="38" t="e">
        <f>VLOOKUP(A1,DIV_14Data!$A$1:$DZU$1000000,2231,FALSE)</f>
        <v>#N/A</v>
      </c>
      <c r="D132" s="31" t="e">
        <f>VLOOKUP(A1,DIV_14Data!$A$1:$DZU$1000000,2232,FALSE)</f>
        <v>#N/A</v>
      </c>
      <c r="E132" s="32" t="e">
        <f>VLOOKUP(A1,DIV_14Data!$A$1:$DZU$1000000,2233,FALSE)</f>
        <v>#N/A</v>
      </c>
      <c r="F132" s="34" t="e">
        <f>VLOOKUP(A1,DIV_14Data!$A$1:$DZU$1000000,2234,FALSE)</f>
        <v>#N/A</v>
      </c>
      <c r="G132" s="33" t="e">
        <f>VLOOKUP(A1,DIV_14Data!$A$1:$DZU$1000000,2235,FALSE)</f>
        <v>#N/A</v>
      </c>
      <c r="H132" s="34" t="e">
        <f>VLOOKUP(A1,DIV_14Data!$A$1:$DZU$1000000,2236,FALSE)</f>
        <v>#N/A</v>
      </c>
      <c r="I132" s="33" t="e">
        <f>VLOOKUP(A1,DIV_14Data!$A$1:$DZU$1000000,2237,FALSE)</f>
        <v>#N/A</v>
      </c>
      <c r="J132" s="34" t="e">
        <f>VLOOKUP(A1,DIV_14Data!$A$1:$DZU$1000000,2238,FALSE)</f>
        <v>#N/A</v>
      </c>
      <c r="K132" s="34" t="e">
        <f>VLOOKUP(A1,DIV_14Data!$A$1:$DZU$1000000,2239,FALSE)</f>
        <v>#N/A</v>
      </c>
      <c r="L132" s="93" t="e">
        <f>VLOOKUP(A1,DIV_14Data!$A$1:$DZU$1000000,2240,FALSE)</f>
        <v>#N/A</v>
      </c>
      <c r="M132" s="33" t="e">
        <f>VLOOKUP(A1,DIV_14Data!$A$1:$DZU$1000000,2241,FALSE)</f>
        <v>#N/A</v>
      </c>
      <c r="N132" s="34" t="e">
        <f>VLOOKUP(A1,DIV_14Data!$A$1:$DZU$1000000,2242,FALSE)</f>
        <v>#N/A</v>
      </c>
      <c r="O132" s="33" t="e">
        <f>VLOOKUP(A1,DIV_14Data!$A$1:$DZU$1000000,2243,FALSE)</f>
        <v>#N/A</v>
      </c>
      <c r="P132" s="46" t="e">
        <f>VLOOKUP(A1,DIV_14Data!$A$1:$DZU$1000000,2244,FALSE)</f>
        <v>#N/A</v>
      </c>
      <c r="Q132" s="33" t="e">
        <f>VLOOKUP(A1,DIV_14Data!$A$1:$DZU$1000000,2245,FALSE)</f>
        <v>#N/A</v>
      </c>
    </row>
    <row r="133" spans="1:17" x14ac:dyDescent="0.35">
      <c r="A133" s="22" t="e">
        <f>VLOOKUP(A1,DIV_14Data!$A$1:$DZU$1000000,2246,FALSE)</f>
        <v>#N/A</v>
      </c>
      <c r="B133" s="37" t="e">
        <f>VLOOKUP(A1,DIV_14Data!$A$1:$DZU$1000000,2247,FALSE)</f>
        <v>#N/A</v>
      </c>
      <c r="C133" s="38" t="e">
        <f>VLOOKUP(A1,DIV_14Data!$A$1:$DZU$1000000,2248,FALSE)</f>
        <v>#N/A</v>
      </c>
      <c r="D133" s="31" t="e">
        <f>VLOOKUP(A1,DIV_14Data!$A$1:$DZU$1000000,2249,FALSE)</f>
        <v>#N/A</v>
      </c>
      <c r="E133" s="32" t="e">
        <f>VLOOKUP(A1,DIV_14Data!$A$1:$DZU$1000000,2250,FALSE)</f>
        <v>#N/A</v>
      </c>
      <c r="F133" s="34" t="e">
        <f>VLOOKUP(A1,DIV_14Data!$A$1:$DZU$1000000,2251,FALSE)</f>
        <v>#N/A</v>
      </c>
      <c r="G133" s="33" t="e">
        <f>VLOOKUP(A1,DIV_14Data!$A$1:$DZU$1000000,2252,FALSE)</f>
        <v>#N/A</v>
      </c>
      <c r="H133" s="34" t="e">
        <f>VLOOKUP(A1,DIV_14Data!$A$1:$DZU$1000000,2253,FALSE)</f>
        <v>#N/A</v>
      </c>
      <c r="I133" s="33" t="e">
        <f>VLOOKUP(A1,DIV_14Data!$A$1:$DZU$1000000,2254,FALSE)</f>
        <v>#N/A</v>
      </c>
      <c r="J133" s="34" t="e">
        <f>VLOOKUP(A1,DIV_14Data!$A$1:$DZU$1000000,2255,FALSE)</f>
        <v>#N/A</v>
      </c>
      <c r="K133" s="34" t="e">
        <f>VLOOKUP(A1,DIV_14Data!$A$1:$DZU$1000000,2256,FALSE)</f>
        <v>#N/A</v>
      </c>
      <c r="L133" s="93" t="e">
        <f>VLOOKUP(A1,DIV_14Data!$A$1:$DZU$1000000,2257,FALSE)</f>
        <v>#N/A</v>
      </c>
      <c r="M133" s="33" t="e">
        <f>VLOOKUP(A1,DIV_14Data!$A$1:$DZU$1000000,2258,FALSE)</f>
        <v>#N/A</v>
      </c>
      <c r="N133" s="34" t="e">
        <f>VLOOKUP(A1,DIV_14Data!$A$1:$DZU$1000000,2259,FALSE)</f>
        <v>#N/A</v>
      </c>
      <c r="O133" s="33" t="e">
        <f>VLOOKUP(A1,DIV_14Data!$A$1:$DZU$1000000,2260,FALSE)</f>
        <v>#N/A</v>
      </c>
      <c r="P133" s="46" t="e">
        <f>VLOOKUP(A1,DIV_14Data!$A$1:$DZU$1000000,2261,FALSE)</f>
        <v>#N/A</v>
      </c>
      <c r="Q133" s="33" t="e">
        <f>VLOOKUP(A1,DIV_14Data!$A$1:$DZU$1000000,2262,FALSE)</f>
        <v>#N/A</v>
      </c>
    </row>
    <row r="134" spans="1:17" x14ac:dyDescent="0.35">
      <c r="A134" s="22" t="e">
        <f>VLOOKUP(A1,DIV_14Data!$A$1:$DZU$1000000,2263,FALSE)</f>
        <v>#N/A</v>
      </c>
      <c r="B134" s="37" t="e">
        <f>VLOOKUP(A1,DIV_14Data!$A$1:$DZU$1000000,2264,FALSE)</f>
        <v>#N/A</v>
      </c>
      <c r="C134" s="38" t="e">
        <f>VLOOKUP(A1,DIV_14Data!$A$1:$DZU$1000000,2265,FALSE)</f>
        <v>#N/A</v>
      </c>
      <c r="D134" s="31" t="e">
        <f>VLOOKUP(A1,DIV_14Data!$A$1:$DZU$1000000,2266,FALSE)</f>
        <v>#N/A</v>
      </c>
      <c r="E134" s="32" t="e">
        <f>VLOOKUP(A1,DIV_14Data!$A$1:$DZU$1000000,2267,FALSE)</f>
        <v>#N/A</v>
      </c>
      <c r="F134" s="34" t="e">
        <f>VLOOKUP(A1,DIV_14Data!$A$1:$DZU$1000000,2268,FALSE)</f>
        <v>#N/A</v>
      </c>
      <c r="G134" s="33" t="e">
        <f>VLOOKUP(A1,DIV_14Data!$A$1:$DZU$1000000,2269,FALSE)</f>
        <v>#N/A</v>
      </c>
      <c r="H134" s="34" t="e">
        <f>VLOOKUP(A1,DIV_14Data!$A$1:$DZU$1000000,2270,FALSE)</f>
        <v>#N/A</v>
      </c>
      <c r="I134" s="33" t="e">
        <f>VLOOKUP(A1,DIV_14Data!$A$1:$DZU$1000000,2271,FALSE)</f>
        <v>#N/A</v>
      </c>
      <c r="J134" s="34" t="e">
        <f>VLOOKUP(A1,DIV_14Data!$A$1:$DZU$1000000,2272,FALSE)</f>
        <v>#N/A</v>
      </c>
      <c r="K134" s="34" t="e">
        <f>VLOOKUP(A1,DIV_14Data!$A$1:$DZU$1000000,2273,FALSE)</f>
        <v>#N/A</v>
      </c>
      <c r="L134" s="93" t="e">
        <f>VLOOKUP(A1,DIV_14Data!$A$1:$DZU$1000000,2274,FALSE)</f>
        <v>#N/A</v>
      </c>
      <c r="M134" s="33" t="e">
        <f>VLOOKUP(A1,DIV_14Data!$A$1:$DZU$1000000,2275,FALSE)</f>
        <v>#N/A</v>
      </c>
      <c r="N134" s="34" t="e">
        <f>VLOOKUP(A1,DIV_14Data!$A$1:$DZU$1000000,2276,FALSE)</f>
        <v>#N/A</v>
      </c>
      <c r="O134" s="33" t="e">
        <f>VLOOKUP(A1,DIV_14Data!$A$1:$DZU$1000000,2277,FALSE)</f>
        <v>#N/A</v>
      </c>
      <c r="P134" s="46" t="e">
        <f>VLOOKUP(A1,DIV_14Data!$A$1:$DZU$1000000,2278,FALSE)</f>
        <v>#N/A</v>
      </c>
      <c r="Q134" s="33" t="e">
        <f>VLOOKUP(A1,DIV_14Data!$A$1:$DZU$1000000,2279,FALSE)</f>
        <v>#N/A</v>
      </c>
    </row>
    <row r="135" spans="1:17" x14ac:dyDescent="0.35">
      <c r="A135" s="22" t="e">
        <f>VLOOKUP(A1,DIV_14Data!$A$1:$DZU$1000000,2280,FALSE)</f>
        <v>#N/A</v>
      </c>
      <c r="B135" s="37" t="e">
        <f>VLOOKUP(A1,DIV_14Data!$A$1:$DZU$1000000,2281,FALSE)</f>
        <v>#N/A</v>
      </c>
      <c r="C135" s="38" t="e">
        <f>VLOOKUP(A1,DIV_14Data!$A$1:$DZU$1000000,2282,FALSE)</f>
        <v>#N/A</v>
      </c>
      <c r="D135" s="31" t="e">
        <f>VLOOKUP(A1,DIV_14Data!$A$1:$DZU$1000000,2283,FALSE)</f>
        <v>#N/A</v>
      </c>
      <c r="E135" s="32" t="e">
        <f>VLOOKUP(A1,DIV_14Data!$A$1:$DZU$1000000,2284,FALSE)</f>
        <v>#N/A</v>
      </c>
      <c r="F135" s="34" t="e">
        <f>VLOOKUP(A1,DIV_14Data!$A$1:$DZU$1000000,2285,FALSE)</f>
        <v>#N/A</v>
      </c>
      <c r="G135" s="33" t="e">
        <f>VLOOKUP(A1,DIV_14Data!$A$1:$DZU$1000000,2286,FALSE)</f>
        <v>#N/A</v>
      </c>
      <c r="H135" s="34" t="e">
        <f>VLOOKUP(A1,DIV_14Data!$A$1:$DZU$1000000,2287,FALSE)</f>
        <v>#N/A</v>
      </c>
      <c r="I135" s="33" t="e">
        <f>VLOOKUP(A1,DIV_14Data!$A$1:$DZU$1000000,2288,FALSE)</f>
        <v>#N/A</v>
      </c>
      <c r="J135" s="34" t="e">
        <f>VLOOKUP(A1,DIV_14Data!$A$1:$DZU$1000000,2289,FALSE)</f>
        <v>#N/A</v>
      </c>
      <c r="K135" s="34" t="e">
        <f>VLOOKUP(A1,DIV_14Data!$A$1:$DZU$1000000,2290,FALSE)</f>
        <v>#N/A</v>
      </c>
      <c r="L135" s="93" t="e">
        <f>VLOOKUP(A1,DIV_14Data!$A$1:$DZU$1000000,2291,FALSE)</f>
        <v>#N/A</v>
      </c>
      <c r="M135" s="33" t="e">
        <f>VLOOKUP(A1,DIV_14Data!$A$1:$DZU$1000000,2292,FALSE)</f>
        <v>#N/A</v>
      </c>
      <c r="N135" s="34" t="e">
        <f>VLOOKUP(A1,DIV_14Data!$A$1:$DZU$1000000,2293,FALSE)</f>
        <v>#N/A</v>
      </c>
      <c r="O135" s="33" t="e">
        <f>VLOOKUP(A1,DIV_14Data!$A$1:$DZU$1000000,2294,FALSE)</f>
        <v>#N/A</v>
      </c>
      <c r="P135" s="46" t="e">
        <f>VLOOKUP(A1,DIV_14Data!$A$1:$DZU$1000000,2295,FALSE)</f>
        <v>#N/A</v>
      </c>
      <c r="Q135" s="33" t="e">
        <f>VLOOKUP(A1,DIV_14Data!$A$1:$DZU$1000000,2296,FALSE)</f>
        <v>#N/A</v>
      </c>
    </row>
    <row r="136" spans="1:17" x14ac:dyDescent="0.35">
      <c r="A136" s="22" t="e">
        <f>VLOOKUP(A1,DIV_14Data!$A$1:$DZU$1000000,2297,FALSE)</f>
        <v>#N/A</v>
      </c>
      <c r="B136" s="37" t="e">
        <f>VLOOKUP(A1,DIV_14Data!$A$1:$DZU$1000000,2298,FALSE)</f>
        <v>#N/A</v>
      </c>
      <c r="C136" s="38" t="e">
        <f>VLOOKUP(A1,DIV_14Data!$A$1:$DZU$1000000,2299,FALSE)</f>
        <v>#N/A</v>
      </c>
      <c r="D136" s="31" t="e">
        <f>VLOOKUP(A1,DIV_14Data!$A$1:$DZU$1000000,2300,FALSE)</f>
        <v>#N/A</v>
      </c>
      <c r="E136" s="32" t="e">
        <f>VLOOKUP(A1,DIV_14Data!$A$1:$DZU$1000000,2301,FALSE)</f>
        <v>#N/A</v>
      </c>
      <c r="F136" s="34" t="e">
        <f>VLOOKUP(A1,DIV_14Data!$A$1:$DZU$1000000,2302,FALSE)</f>
        <v>#N/A</v>
      </c>
      <c r="G136" s="33" t="e">
        <f>VLOOKUP(A1,DIV_14Data!$A$1:$DZU$1000000,2303,FALSE)</f>
        <v>#N/A</v>
      </c>
      <c r="H136" s="34" t="e">
        <f>VLOOKUP(A1,DIV_14Data!$A$1:$DZU$1000000,2304,FALSE)</f>
        <v>#N/A</v>
      </c>
      <c r="I136" s="33" t="e">
        <f>VLOOKUP(A1,DIV_14Data!$A$1:$DZU$1000000,2305,FALSE)</f>
        <v>#N/A</v>
      </c>
      <c r="J136" s="34" t="e">
        <f>VLOOKUP(A1,DIV_14Data!$A$1:$DZU$1000000,2306,FALSE)</f>
        <v>#N/A</v>
      </c>
      <c r="K136" s="34" t="e">
        <f>VLOOKUP(A1,DIV_14Data!$A$1:$DZU$1000000,2307,FALSE)</f>
        <v>#N/A</v>
      </c>
      <c r="L136" s="93" t="e">
        <f>VLOOKUP(A1,DIV_14Data!$A$1:$DZU$1000000,2308,FALSE)</f>
        <v>#N/A</v>
      </c>
      <c r="M136" s="33" t="e">
        <f>VLOOKUP(A1,DIV_14Data!$A$1:$DZU$1000000,2309,FALSE)</f>
        <v>#N/A</v>
      </c>
      <c r="N136" s="34" t="e">
        <f>VLOOKUP(A1,DIV_14Data!$A$1:$DZU$1000000,2310,FALSE)</f>
        <v>#N/A</v>
      </c>
      <c r="O136" s="33" t="e">
        <f>VLOOKUP(A1,DIV_14Data!$A$1:$DZU$1000000,2311,FALSE)</f>
        <v>#N/A</v>
      </c>
      <c r="P136" s="46" t="e">
        <f>VLOOKUP(A1,DIV_14Data!$A$1:$DZU$1000000,2312,FALSE)</f>
        <v>#N/A</v>
      </c>
      <c r="Q136" s="33" t="e">
        <f>VLOOKUP(A1,DIV_14Data!$A$1:$DZU$1000000,2313,FALSE)</f>
        <v>#N/A</v>
      </c>
    </row>
    <row r="137" spans="1:17" x14ac:dyDescent="0.35">
      <c r="A137" s="22" t="e">
        <f>VLOOKUP(A1,DIV_14Data!$A$1:$DZU$1000000,2314,FALSE)</f>
        <v>#N/A</v>
      </c>
      <c r="B137" s="37" t="e">
        <f>VLOOKUP(A1,DIV_14Data!$A$1:$DZU$1000000,2315,FALSE)</f>
        <v>#N/A</v>
      </c>
      <c r="C137" s="38" t="e">
        <f>VLOOKUP(A1,DIV_14Data!$A$1:$DZU$1000000,2316,FALSE)</f>
        <v>#N/A</v>
      </c>
      <c r="D137" s="31" t="e">
        <f>VLOOKUP(A1,DIV_14Data!$A$1:$DZU$1000000,2317,FALSE)</f>
        <v>#N/A</v>
      </c>
      <c r="E137" s="32" t="e">
        <f>VLOOKUP(A1,DIV_14Data!$A$1:$DZU$1000000,2318,FALSE)</f>
        <v>#N/A</v>
      </c>
      <c r="F137" s="34" t="e">
        <f>VLOOKUP(A1,DIV_14Data!$A$1:$DZU$1000000,2319,FALSE)</f>
        <v>#N/A</v>
      </c>
      <c r="G137" s="33" t="e">
        <f>VLOOKUP(A1,DIV_14Data!$A$1:$DZU$1000000,2320,FALSE)</f>
        <v>#N/A</v>
      </c>
      <c r="H137" s="34" t="e">
        <f>VLOOKUP(A1,DIV_14Data!$A$1:$DZU$1000000,2321,FALSE)</f>
        <v>#N/A</v>
      </c>
      <c r="I137" s="33" t="e">
        <f>VLOOKUP(A1,DIV_14Data!$A$1:$DZU$1000000,2322,FALSE)</f>
        <v>#N/A</v>
      </c>
      <c r="J137" s="34" t="e">
        <f>VLOOKUP(A1,DIV_14Data!$A$1:$DZU$1000000,2323,FALSE)</f>
        <v>#N/A</v>
      </c>
      <c r="K137" s="34" t="e">
        <f>VLOOKUP(A1,DIV_14Data!$A$1:$DZU$1000000,2324,FALSE)</f>
        <v>#N/A</v>
      </c>
      <c r="L137" s="93" t="e">
        <f>VLOOKUP(A1,DIV_14Data!$A$1:$DZU$1000000,2325,FALSE)</f>
        <v>#N/A</v>
      </c>
      <c r="M137" s="33" t="e">
        <f>VLOOKUP(A1,DIV_14Data!$A$1:$DZU$1000000,2326,FALSE)</f>
        <v>#N/A</v>
      </c>
      <c r="N137" s="34" t="e">
        <f>VLOOKUP(A1,DIV_14Data!$A$1:$DZU$1000000,2327,FALSE)</f>
        <v>#N/A</v>
      </c>
      <c r="O137" s="33" t="e">
        <f>VLOOKUP(A1,DIV_14Data!$A$1:$DZU$1000000,2328,FALSE)</f>
        <v>#N/A</v>
      </c>
      <c r="P137" s="46" t="e">
        <f>VLOOKUP(A1,DIV_14Data!$A$1:$DZU$1000000,2329,FALSE)</f>
        <v>#N/A</v>
      </c>
      <c r="Q137" s="33" t="e">
        <f>VLOOKUP(A1,DIV_14Data!$A$1:$DZU$1000000,2330,FALSE)</f>
        <v>#N/A</v>
      </c>
    </row>
    <row r="138" spans="1:17" x14ac:dyDescent="0.35">
      <c r="A138" s="22" t="e">
        <f>VLOOKUP(A1,DIV_14Data!$A$1:$DZU$1000000,2331,FALSE)</f>
        <v>#N/A</v>
      </c>
      <c r="B138" s="37" t="e">
        <f>VLOOKUP(A1,DIV_14Data!$A$1:$DZU$1000000,2332,FALSE)</f>
        <v>#N/A</v>
      </c>
      <c r="C138" s="38" t="e">
        <f>VLOOKUP(A1,DIV_14Data!$A$1:$DZU$1000000,2333,FALSE)</f>
        <v>#N/A</v>
      </c>
      <c r="D138" s="31" t="e">
        <f>VLOOKUP(A1,DIV_14Data!$A$1:$DZU$1000000,2334,FALSE)</f>
        <v>#N/A</v>
      </c>
      <c r="E138" s="32" t="e">
        <f>VLOOKUP(A1,DIV_14Data!$A$1:$DZU$1000000,2335,FALSE)</f>
        <v>#N/A</v>
      </c>
      <c r="F138" s="34" t="e">
        <f>VLOOKUP(A1,DIV_14Data!$A$1:$DZU$1000000,2336,FALSE)</f>
        <v>#N/A</v>
      </c>
      <c r="G138" s="33" t="e">
        <f>VLOOKUP(A1,DIV_14Data!$A$1:$DZU$1000000,2337,FALSE)</f>
        <v>#N/A</v>
      </c>
      <c r="H138" s="34" t="e">
        <f>VLOOKUP(A1,DIV_14Data!$A$1:$DZU$1000000,2338,FALSE)</f>
        <v>#N/A</v>
      </c>
      <c r="I138" s="33" t="e">
        <f>VLOOKUP(A1,DIV_14Data!$A$1:$DZU$1000000,2339,FALSE)</f>
        <v>#N/A</v>
      </c>
      <c r="J138" s="34" t="e">
        <f>VLOOKUP(A1,DIV_14Data!$A$1:$DZU$1000000,2340,FALSE)</f>
        <v>#N/A</v>
      </c>
      <c r="K138" s="34" t="e">
        <f>VLOOKUP(A1,DIV_14Data!$A$1:$DZU$1000000,2341,FALSE)</f>
        <v>#N/A</v>
      </c>
      <c r="L138" s="93" t="e">
        <f>VLOOKUP(A1,DIV_14Data!$A$1:$DZU$1000000,2342,FALSE)</f>
        <v>#N/A</v>
      </c>
      <c r="M138" s="33" t="e">
        <f>VLOOKUP(A1,DIV_14Data!$A$1:$DZU$1000000,2343,FALSE)</f>
        <v>#N/A</v>
      </c>
      <c r="N138" s="34" t="e">
        <f>VLOOKUP(A1,DIV_14Data!$A$1:$DZU$1000000,2344,FALSE)</f>
        <v>#N/A</v>
      </c>
      <c r="O138" s="33" t="e">
        <f>VLOOKUP(A1,DIV_14Data!$A$1:$DZU$1000000,2345,FALSE)</f>
        <v>#N/A</v>
      </c>
      <c r="P138" s="46" t="e">
        <f>VLOOKUP(A1,DIV_14Data!$A$1:$DZU$1000000,2346,FALSE)</f>
        <v>#N/A</v>
      </c>
      <c r="Q138" s="33" t="e">
        <f>VLOOKUP(A1,DIV_14Data!$A$1:$DZU$1000000,2347,FALSE)</f>
        <v>#N/A</v>
      </c>
    </row>
    <row r="139" spans="1:17" x14ac:dyDescent="0.35">
      <c r="A139" s="22" t="e">
        <f>VLOOKUP(A1,DIV_14Data!$A$1:$DZU$1000000,2348,FALSE)</f>
        <v>#N/A</v>
      </c>
      <c r="B139" s="37" t="e">
        <f>VLOOKUP(A1,DIV_14Data!$A$1:$DZU$1000000,2349,FALSE)</f>
        <v>#N/A</v>
      </c>
      <c r="C139" s="38" t="e">
        <f>VLOOKUP(A1,DIV_14Data!$A$1:$DZU$1000000,2350,FALSE)</f>
        <v>#N/A</v>
      </c>
      <c r="D139" s="31" t="e">
        <f>VLOOKUP(A1,DIV_14Data!$A$1:$DZU$1000000,2351,FALSE)</f>
        <v>#N/A</v>
      </c>
      <c r="E139" s="32" t="e">
        <f>VLOOKUP(A1,DIV_14Data!$A$1:$DZU$1000000,2352,FALSE)</f>
        <v>#N/A</v>
      </c>
      <c r="F139" s="34" t="e">
        <f>VLOOKUP(A1,DIV_14Data!$A$1:$DZU$1000000,2353,FALSE)</f>
        <v>#N/A</v>
      </c>
      <c r="G139" s="33" t="e">
        <f>VLOOKUP(A1,DIV_14Data!$A$1:$DZU$1000000,2354,FALSE)</f>
        <v>#N/A</v>
      </c>
      <c r="H139" s="34" t="e">
        <f>VLOOKUP(A1,DIV_14Data!$A$1:$DZU$1000000,2355,FALSE)</f>
        <v>#N/A</v>
      </c>
      <c r="I139" s="33" t="e">
        <f>VLOOKUP(A1,DIV_14Data!$A$1:$DZU$1000000,2356,FALSE)</f>
        <v>#N/A</v>
      </c>
      <c r="J139" s="34" t="e">
        <f>VLOOKUP(A1,DIV_14Data!$A$1:$DZU$1000000,2357,FALSE)</f>
        <v>#N/A</v>
      </c>
      <c r="K139" s="34" t="e">
        <f>VLOOKUP(A1,DIV_14Data!$A$1:$DZU$1000000,2358,FALSE)</f>
        <v>#N/A</v>
      </c>
      <c r="L139" s="93" t="e">
        <f>VLOOKUP(A1,DIV_14Data!$A$1:$DZU$1000000,2359,FALSE)</f>
        <v>#N/A</v>
      </c>
      <c r="M139" s="33" t="e">
        <f>VLOOKUP(A1,DIV_14Data!$A$1:$DZU$1000000,2360,FALSE)</f>
        <v>#N/A</v>
      </c>
      <c r="N139" s="34" t="e">
        <f>VLOOKUP(A1,DIV_14Data!$A$1:$DZU$1000000,2361,FALSE)</f>
        <v>#N/A</v>
      </c>
      <c r="O139" s="33" t="e">
        <f>VLOOKUP(A1,DIV_14Data!$A$1:$DZU$1000000,2362,FALSE)</f>
        <v>#N/A</v>
      </c>
      <c r="P139" s="46" t="e">
        <f>VLOOKUP(A1,DIV_14Data!$A$1:$DZU$1000000,2363,FALSE)</f>
        <v>#N/A</v>
      </c>
      <c r="Q139" s="33" t="e">
        <f>VLOOKUP(A1,DIV_14Data!$A$1:$DZU$1000000,2364,FALSE)</f>
        <v>#N/A</v>
      </c>
    </row>
    <row r="140" spans="1:17" x14ac:dyDescent="0.35">
      <c r="A140" s="22" t="e">
        <f>VLOOKUP(A1,DIV_14Data!$A$1:$DZU$1000000,2365,FALSE)</f>
        <v>#N/A</v>
      </c>
      <c r="B140" s="37" t="e">
        <f>VLOOKUP(A1,DIV_14Data!$A$1:$DZU$1000000,2366,FALSE)</f>
        <v>#N/A</v>
      </c>
      <c r="C140" s="38" t="e">
        <f>VLOOKUP(A1,DIV_14Data!$A$1:$DZU$1000000,2367,FALSE)</f>
        <v>#N/A</v>
      </c>
      <c r="D140" s="31" t="e">
        <f>VLOOKUP(A1,DIV_14Data!$A$1:$DZU$1000000,2368,FALSE)</f>
        <v>#N/A</v>
      </c>
      <c r="E140" s="32" t="e">
        <f>VLOOKUP(A1,DIV_14Data!$A$1:$DZU$1000000,2369,FALSE)</f>
        <v>#N/A</v>
      </c>
      <c r="F140" s="34" t="e">
        <f>VLOOKUP(A1,DIV_14Data!$A$1:$DZU$1000000,2370,FALSE)</f>
        <v>#N/A</v>
      </c>
      <c r="G140" s="33" t="e">
        <f>VLOOKUP(A1,DIV_14Data!$A$1:$DZU$1000000,2371,FALSE)</f>
        <v>#N/A</v>
      </c>
      <c r="H140" s="34" t="e">
        <f>VLOOKUP(A1,DIV_14Data!$A$1:$DZU$1000000,2372,FALSE)</f>
        <v>#N/A</v>
      </c>
      <c r="I140" s="33" t="e">
        <f>VLOOKUP(A1,DIV_14Data!$A$1:$DZU$1000000,2373,FALSE)</f>
        <v>#N/A</v>
      </c>
      <c r="J140" s="34" t="e">
        <f>VLOOKUP(A1,DIV_14Data!$A$1:$DZU$1000000,2374,FALSE)</f>
        <v>#N/A</v>
      </c>
      <c r="K140" s="34" t="e">
        <f>VLOOKUP(A1,DIV_14Data!$A$1:$DZU$1000000,2375,FALSE)</f>
        <v>#N/A</v>
      </c>
      <c r="L140" s="93" t="e">
        <f>VLOOKUP(A1,DIV_14Data!$A$1:$DZU$1000000,2376,FALSE)</f>
        <v>#N/A</v>
      </c>
      <c r="M140" s="33" t="e">
        <f>VLOOKUP(A1,DIV_14Data!$A$1:$DZU$1000000,2377,FALSE)</f>
        <v>#N/A</v>
      </c>
      <c r="N140" s="34" t="e">
        <f>VLOOKUP(A1,DIV_14Data!$A$1:$DZU$1000000,2378,FALSE)</f>
        <v>#N/A</v>
      </c>
      <c r="O140" s="33" t="e">
        <f>VLOOKUP(A1,DIV_14Data!$A$1:$DZU$1000000,2379,FALSE)</f>
        <v>#N/A</v>
      </c>
      <c r="P140" s="46" t="e">
        <f>VLOOKUP(A1,DIV_14Data!$A$1:$DZU$1000000,2380,FALSE)</f>
        <v>#N/A</v>
      </c>
      <c r="Q140" s="33" t="e">
        <f>VLOOKUP(A1,DIV_14Data!$A$1:$DZU$1000000,2381,FALSE)</f>
        <v>#N/A</v>
      </c>
    </row>
    <row r="141" spans="1:17" x14ac:dyDescent="0.35">
      <c r="A141" s="22" t="e">
        <f>VLOOKUP(A1,DIV_14Data!$A$1:$DZU$1000000,2382,FALSE)</f>
        <v>#N/A</v>
      </c>
      <c r="B141" s="37" t="e">
        <f>VLOOKUP(A1,DIV_14Data!$A$1:$DZU$1000000,2383,FALSE)</f>
        <v>#N/A</v>
      </c>
      <c r="C141" s="38" t="e">
        <f>VLOOKUP(A1,DIV_14Data!$A$1:$DZU$1000000,2384,FALSE)</f>
        <v>#N/A</v>
      </c>
      <c r="D141" s="31" t="e">
        <f>VLOOKUP(A1,DIV_14Data!$A$1:$DZU$1000000,2385,FALSE)</f>
        <v>#N/A</v>
      </c>
      <c r="E141" s="32" t="e">
        <f>VLOOKUP(A1,DIV_14Data!$A$1:$DZU$1000000,2386,FALSE)</f>
        <v>#N/A</v>
      </c>
      <c r="F141" s="34" t="e">
        <f>VLOOKUP(A1,DIV_14Data!$A$1:$DZU$1000000,2387,FALSE)</f>
        <v>#N/A</v>
      </c>
      <c r="G141" s="33" t="e">
        <f>VLOOKUP(A1,DIV_14Data!$A$1:$DZU$1000000,2388,FALSE)</f>
        <v>#N/A</v>
      </c>
      <c r="H141" s="34" t="e">
        <f>VLOOKUP(A1,DIV_14Data!$A$1:$DZU$1000000,2389,FALSE)</f>
        <v>#N/A</v>
      </c>
      <c r="I141" s="33" t="e">
        <f>VLOOKUP(A1,DIV_14Data!$A$1:$DZU$1000000,2390,FALSE)</f>
        <v>#N/A</v>
      </c>
      <c r="J141" s="34" t="e">
        <f>VLOOKUP(A1,DIV_14Data!$A$1:$DZU$1000000,2391,FALSE)</f>
        <v>#N/A</v>
      </c>
      <c r="K141" s="34" t="e">
        <f>VLOOKUP(A1,DIV_14Data!$A$1:$DZU$1000000,2392,FALSE)</f>
        <v>#N/A</v>
      </c>
      <c r="L141" s="93" t="e">
        <f>VLOOKUP(A1,DIV_14Data!$A$1:$DZU$1000000,2393,FALSE)</f>
        <v>#N/A</v>
      </c>
      <c r="M141" s="33" t="e">
        <f>VLOOKUP(A1,DIV_14Data!$A$1:$DZU$1000000,2394,FALSE)</f>
        <v>#N/A</v>
      </c>
      <c r="N141" s="34" t="e">
        <f>VLOOKUP(A1,DIV_14Data!$A$1:$DZU$1000000,2395,FALSE)</f>
        <v>#N/A</v>
      </c>
      <c r="O141" s="33" t="e">
        <f>VLOOKUP(A1,DIV_14Data!$A$1:$DZU$1000000,2396,FALSE)</f>
        <v>#N/A</v>
      </c>
      <c r="P141" s="46" t="e">
        <f>VLOOKUP(A1,DIV_14Data!$A$1:$DZU$1000000,2397,FALSE)</f>
        <v>#N/A</v>
      </c>
      <c r="Q141" s="33" t="e">
        <f>VLOOKUP(A1,DIV_14Data!$A$1:$DZU$1000000,2398,FALSE)</f>
        <v>#N/A</v>
      </c>
    </row>
    <row r="142" spans="1:17" x14ac:dyDescent="0.35">
      <c r="A142" s="22" t="e">
        <f>VLOOKUP(A1,DIV_14Data!$A$1:$DZU$1000000,2399,FALSE)</f>
        <v>#N/A</v>
      </c>
      <c r="B142" s="37" t="e">
        <f>VLOOKUP(A1,DIV_14Data!$A$1:$DZU$1000000,2400,FALSE)</f>
        <v>#N/A</v>
      </c>
      <c r="C142" s="38" t="e">
        <f>VLOOKUP(A1,DIV_14Data!$A$1:$DZU$1000000,2401,FALSE)</f>
        <v>#N/A</v>
      </c>
      <c r="D142" s="31" t="e">
        <f>VLOOKUP(A1,DIV_14Data!$A$1:$DZU$1000000,2402,FALSE)</f>
        <v>#N/A</v>
      </c>
      <c r="E142" s="32" t="e">
        <f>VLOOKUP(A1,DIV_14Data!$A$1:$DZU$1000000,2403,FALSE)</f>
        <v>#N/A</v>
      </c>
      <c r="F142" s="34" t="e">
        <f>VLOOKUP(A1,DIV_14Data!$A$1:$DZU$1000000,2404,FALSE)</f>
        <v>#N/A</v>
      </c>
      <c r="G142" s="33" t="e">
        <f>VLOOKUP(A1,DIV_14Data!$A$1:$DZU$1000000,2405,FALSE)</f>
        <v>#N/A</v>
      </c>
      <c r="H142" s="34" t="e">
        <f>VLOOKUP(A1,DIV_14Data!$A$1:$DZU$1000000,2406,FALSE)</f>
        <v>#N/A</v>
      </c>
      <c r="I142" s="33" t="e">
        <f>VLOOKUP(A1,DIV_14Data!$A$1:$DZU$1000000,2407,FALSE)</f>
        <v>#N/A</v>
      </c>
      <c r="J142" s="34" t="e">
        <f>VLOOKUP(A1,DIV_14Data!$A$1:$DZU$1000000,2408,FALSE)</f>
        <v>#N/A</v>
      </c>
      <c r="K142" s="34" t="e">
        <f>VLOOKUP(A1,DIV_14Data!$A$1:$DZU$1000000,2409,FALSE)</f>
        <v>#N/A</v>
      </c>
      <c r="L142" s="93" t="e">
        <f>VLOOKUP(A1,DIV_14Data!$A$1:$DZU$1000000,2410,FALSE)</f>
        <v>#N/A</v>
      </c>
      <c r="M142" s="33" t="e">
        <f>VLOOKUP(A1,DIV_14Data!$A$1:$DZU$1000000,2411,FALSE)</f>
        <v>#N/A</v>
      </c>
      <c r="N142" s="34" t="e">
        <f>VLOOKUP(A1,DIV_14Data!$A$1:$DZU$1000000,2412,FALSE)</f>
        <v>#N/A</v>
      </c>
      <c r="O142" s="33" t="e">
        <f>VLOOKUP(A1,DIV_14Data!$A$1:$DZU$1000000,2413,FALSE)</f>
        <v>#N/A</v>
      </c>
      <c r="P142" s="46" t="e">
        <f>VLOOKUP(A1,DIV_14Data!$A$1:$DZU$1000000,2414,FALSE)</f>
        <v>#N/A</v>
      </c>
      <c r="Q142" s="33" t="e">
        <f>VLOOKUP(A1,DIV_14Data!$A$1:$DZU$1000000,2415,FALSE)</f>
        <v>#N/A</v>
      </c>
    </row>
    <row r="143" spans="1:17" x14ac:dyDescent="0.35">
      <c r="A143" s="22" t="e">
        <f>VLOOKUP(A1,DIV_14Data!$A$1:$DZU$1000000,2416,FALSE)</f>
        <v>#N/A</v>
      </c>
      <c r="B143" s="37" t="e">
        <f>VLOOKUP(A1,DIV_14Data!$A$1:$DZU$1000000,2417,FALSE)</f>
        <v>#N/A</v>
      </c>
      <c r="C143" s="38" t="e">
        <f>VLOOKUP(A1,DIV_14Data!$A$1:$DZU$1000000,2418,FALSE)</f>
        <v>#N/A</v>
      </c>
      <c r="D143" s="31" t="e">
        <f>VLOOKUP(A1,DIV_14Data!$A$1:$DZU$1000000,2419,FALSE)</f>
        <v>#N/A</v>
      </c>
      <c r="E143" s="32" t="e">
        <f>VLOOKUP(A1,DIV_14Data!$A$1:$DZU$1000000,2420,FALSE)</f>
        <v>#N/A</v>
      </c>
      <c r="F143" s="34" t="e">
        <f>VLOOKUP(A1,DIV_14Data!$A$1:$DZU$1000000,2421,FALSE)</f>
        <v>#N/A</v>
      </c>
      <c r="G143" s="33" t="e">
        <f>VLOOKUP(A1,DIV_14Data!$A$1:$DZU$1000000,2422,FALSE)</f>
        <v>#N/A</v>
      </c>
      <c r="H143" s="34" t="e">
        <f>VLOOKUP(A1,DIV_14Data!$A$1:$DZU$1000000,2423,FALSE)</f>
        <v>#N/A</v>
      </c>
      <c r="I143" s="33" t="e">
        <f>VLOOKUP(A1,DIV_14Data!$A$1:$DZU$1000000,2424,FALSE)</f>
        <v>#N/A</v>
      </c>
      <c r="J143" s="34" t="e">
        <f>VLOOKUP(A1,DIV_14Data!$A$1:$DZU$1000000,2425,FALSE)</f>
        <v>#N/A</v>
      </c>
      <c r="K143" s="34" t="e">
        <f>VLOOKUP(A1,DIV_14Data!$A$1:$DZU$1000000,2426,FALSE)</f>
        <v>#N/A</v>
      </c>
      <c r="L143" s="93" t="e">
        <f>VLOOKUP(A1,DIV_14Data!$A$1:$DZU$1000000,2427,FALSE)</f>
        <v>#N/A</v>
      </c>
      <c r="M143" s="33" t="e">
        <f>VLOOKUP(A1,DIV_14Data!$A$1:$DZU$1000000,2428,FALSE)</f>
        <v>#N/A</v>
      </c>
      <c r="N143" s="34" t="e">
        <f>VLOOKUP(A1,DIV_14Data!$A$1:$DZU$1000000,2429,FALSE)</f>
        <v>#N/A</v>
      </c>
      <c r="O143" s="33" t="e">
        <f>VLOOKUP(A1,DIV_14Data!$A$1:$DZU$1000000,2430,FALSE)</f>
        <v>#N/A</v>
      </c>
      <c r="P143" s="46" t="e">
        <f>VLOOKUP(A1,DIV_14Data!$A$1:$DZU$1000000,2431,FALSE)</f>
        <v>#N/A</v>
      </c>
      <c r="Q143" s="33" t="e">
        <f>VLOOKUP(A1,DIV_14Data!$A$1:$DZU$1000000,2432,FALSE)</f>
        <v>#N/A</v>
      </c>
    </row>
    <row r="144" spans="1:17" x14ac:dyDescent="0.35">
      <c r="A144" s="22" t="e">
        <f>VLOOKUP(A1,DIV_14Data!$A$1:$DZU$1000000,2433,FALSE)</f>
        <v>#N/A</v>
      </c>
      <c r="B144" s="37" t="e">
        <f>VLOOKUP(A1,DIV_14Data!$A$1:$DZU$1000000,2434,FALSE)</f>
        <v>#N/A</v>
      </c>
      <c r="C144" s="38" t="e">
        <f>VLOOKUP(A1,DIV_14Data!$A$1:$DZU$1000000,2435,FALSE)</f>
        <v>#N/A</v>
      </c>
      <c r="D144" s="31" t="e">
        <f>VLOOKUP(A1,DIV_14Data!$A$1:$DZU$1000000,2436,FALSE)</f>
        <v>#N/A</v>
      </c>
      <c r="E144" s="32" t="e">
        <f>VLOOKUP(A1,DIV_14Data!$A$1:$DZU$1000000,2437,FALSE)</f>
        <v>#N/A</v>
      </c>
      <c r="F144" s="34" t="e">
        <f>VLOOKUP(A1,DIV_14Data!$A$1:$DZU$1000000,2438,FALSE)</f>
        <v>#N/A</v>
      </c>
      <c r="G144" s="33" t="e">
        <f>VLOOKUP(A1,DIV_14Data!$A$1:$DZU$1000000,2439,FALSE)</f>
        <v>#N/A</v>
      </c>
      <c r="H144" s="34" t="e">
        <f>VLOOKUP(A1,DIV_14Data!$A$1:$DZU$1000000,2440,FALSE)</f>
        <v>#N/A</v>
      </c>
      <c r="I144" s="33" t="e">
        <f>VLOOKUP(A1,DIV_14Data!$A$1:$DZU$1000000,2441,FALSE)</f>
        <v>#N/A</v>
      </c>
      <c r="J144" s="34" t="e">
        <f>VLOOKUP(A1,DIV_14Data!$A$1:$DZU$1000000,2442,FALSE)</f>
        <v>#N/A</v>
      </c>
      <c r="K144" s="34" t="e">
        <f>VLOOKUP(A1,DIV_14Data!$A$1:$DZU$1000000,2443,FALSE)</f>
        <v>#N/A</v>
      </c>
      <c r="L144" s="93" t="e">
        <f>VLOOKUP(A1,DIV_14Data!$A$1:$DZU$1000000,2444,FALSE)</f>
        <v>#N/A</v>
      </c>
      <c r="M144" s="33" t="e">
        <f>VLOOKUP(A1,DIV_14Data!$A$1:$DZU$1000000,2445,FALSE)</f>
        <v>#N/A</v>
      </c>
      <c r="N144" s="34" t="e">
        <f>VLOOKUP(A1,DIV_14Data!$A$1:$DZU$1000000,2446,FALSE)</f>
        <v>#N/A</v>
      </c>
      <c r="O144" s="33" t="e">
        <f>VLOOKUP(A1,DIV_14Data!$A$1:$DZU$1000000,2447,FALSE)</f>
        <v>#N/A</v>
      </c>
      <c r="P144" s="46" t="e">
        <f>VLOOKUP(A1,DIV_14Data!$A$1:$DZU$1000000,2448,FALSE)</f>
        <v>#N/A</v>
      </c>
      <c r="Q144" s="33" t="e">
        <f>VLOOKUP(A1,DIV_14Data!$A$1:$DZU$1000000,2449,FALSE)</f>
        <v>#N/A</v>
      </c>
    </row>
    <row r="145" spans="1:17" x14ac:dyDescent="0.35">
      <c r="A145" s="22" t="e">
        <f>VLOOKUP(A1,DIV_14Data!$A$1:$DZU$1000000,2450,FALSE)</f>
        <v>#N/A</v>
      </c>
      <c r="B145" s="37" t="e">
        <f>VLOOKUP(A1,DIV_14Data!$A$1:$DZU$1000000,2451,FALSE)</f>
        <v>#N/A</v>
      </c>
      <c r="C145" s="38" t="e">
        <f>VLOOKUP(A1,DIV_14Data!$A$1:$DZU$1000000,2452,FALSE)</f>
        <v>#N/A</v>
      </c>
      <c r="D145" s="31" t="e">
        <f>VLOOKUP(A1,DIV_14Data!$A$1:$DZU$1000000,2453,FALSE)</f>
        <v>#N/A</v>
      </c>
      <c r="E145" s="32" t="e">
        <f>VLOOKUP(A1,DIV_14Data!$A$1:$DZU$1000000,2454,FALSE)</f>
        <v>#N/A</v>
      </c>
      <c r="F145" s="34" t="e">
        <f>VLOOKUP(A1,DIV_14Data!$A$1:$DZU$1000000,2455,FALSE)</f>
        <v>#N/A</v>
      </c>
      <c r="G145" s="33" t="e">
        <f>VLOOKUP(A1,DIV_14Data!$A$1:$DZU$1000000,2456,FALSE)</f>
        <v>#N/A</v>
      </c>
      <c r="H145" s="34" t="e">
        <f>VLOOKUP(A1,DIV_14Data!$A$1:$DZU$1000000,2457,FALSE)</f>
        <v>#N/A</v>
      </c>
      <c r="I145" s="33" t="e">
        <f>VLOOKUP(A1,DIV_14Data!$A$1:$DZU$1000000,2458,FALSE)</f>
        <v>#N/A</v>
      </c>
      <c r="J145" s="34" t="e">
        <f>VLOOKUP(A1,DIV_14Data!$A$1:$DZU$1000000,2459,FALSE)</f>
        <v>#N/A</v>
      </c>
      <c r="K145" s="34" t="e">
        <f>VLOOKUP(A1,DIV_14Data!$A$1:$DZU$1000000,2460,FALSE)</f>
        <v>#N/A</v>
      </c>
      <c r="L145" s="93" t="e">
        <f>VLOOKUP(A1,DIV_14Data!$A$1:$DZU$1000000,2461,FALSE)</f>
        <v>#N/A</v>
      </c>
      <c r="M145" s="33" t="e">
        <f>VLOOKUP(A1,DIV_14Data!$A$1:$DZU$1000000,2462,FALSE)</f>
        <v>#N/A</v>
      </c>
      <c r="N145" s="34" t="e">
        <f>VLOOKUP(A1,DIV_14Data!$A$1:$DZU$1000000,2463,FALSE)</f>
        <v>#N/A</v>
      </c>
      <c r="O145" s="33" t="e">
        <f>VLOOKUP(A1,DIV_14Data!$A$1:$DZU$1000000,2464,FALSE)</f>
        <v>#N/A</v>
      </c>
      <c r="P145" s="46" t="e">
        <f>VLOOKUP(A1,DIV_14Data!$A$1:$DZU$1000000,2465,FALSE)</f>
        <v>#N/A</v>
      </c>
      <c r="Q145" s="33" t="e">
        <f>VLOOKUP(A1,DIV_14Data!$A$1:$DZU$1000000,2466,FALSE)</f>
        <v>#N/A</v>
      </c>
    </row>
    <row r="146" spans="1:17" x14ac:dyDescent="0.35">
      <c r="A146" s="22" t="e">
        <f>VLOOKUP(A1,DIV_14Data!$A$1:$DZU$1000000,2467,FALSE)</f>
        <v>#N/A</v>
      </c>
      <c r="B146" s="37" t="e">
        <f>VLOOKUP(A1,DIV_14Data!$A$1:$DZU$1000000,2468,FALSE)</f>
        <v>#N/A</v>
      </c>
      <c r="C146" s="38" t="e">
        <f>VLOOKUP(A1,DIV_14Data!$A$1:$DZU$1000000,2469,FALSE)</f>
        <v>#N/A</v>
      </c>
      <c r="D146" s="31" t="e">
        <f>VLOOKUP(A1,DIV_14Data!$A$1:$DZU$1000000,2470,FALSE)</f>
        <v>#N/A</v>
      </c>
      <c r="E146" s="32" t="e">
        <f>VLOOKUP(A1,DIV_14Data!$A$1:$DZU$1000000,2471,FALSE)</f>
        <v>#N/A</v>
      </c>
      <c r="F146" s="34" t="e">
        <f>VLOOKUP(A1,DIV_14Data!$A$1:$DZU$1000000,2472,FALSE)</f>
        <v>#N/A</v>
      </c>
      <c r="G146" s="33" t="e">
        <f>VLOOKUP(A1,DIV_14Data!$A$1:$DZU$1000000,2473,FALSE)</f>
        <v>#N/A</v>
      </c>
      <c r="H146" s="34" t="e">
        <f>VLOOKUP(A1,DIV_14Data!$A$1:$DZU$1000000,2474,FALSE)</f>
        <v>#N/A</v>
      </c>
      <c r="I146" s="33" t="e">
        <f>VLOOKUP(A1,DIV_14Data!$A$1:$DZU$1000000,2475,FALSE)</f>
        <v>#N/A</v>
      </c>
      <c r="J146" s="34" t="e">
        <f>VLOOKUP(A1,DIV_14Data!$A$1:$DZU$1000000,2476,FALSE)</f>
        <v>#N/A</v>
      </c>
      <c r="K146" s="34" t="e">
        <f>VLOOKUP(A1,DIV_14Data!$A$1:$DZU$1000000,2477,FALSE)</f>
        <v>#N/A</v>
      </c>
      <c r="L146" s="93" t="e">
        <f>VLOOKUP(A1,DIV_14Data!$A$1:$DZU$1000000,2478,FALSE)</f>
        <v>#N/A</v>
      </c>
      <c r="M146" s="33" t="e">
        <f>VLOOKUP(A1,DIV_14Data!$A$1:$DZU$1000000,2479,FALSE)</f>
        <v>#N/A</v>
      </c>
      <c r="N146" s="34" t="e">
        <f>VLOOKUP(A1,DIV_14Data!$A$1:$DZU$1000000,2480,FALSE)</f>
        <v>#N/A</v>
      </c>
      <c r="O146" s="33" t="e">
        <f>VLOOKUP(A1,DIV_14Data!$A$1:$DZU$1000000,2481,FALSE)</f>
        <v>#N/A</v>
      </c>
      <c r="P146" s="46" t="e">
        <f>VLOOKUP(A1,DIV_14Data!$A$1:$DZU$1000000,2482,FALSE)</f>
        <v>#N/A</v>
      </c>
      <c r="Q146" s="33" t="e">
        <f>VLOOKUP(A1,DIV_14Data!$A$1:$DZU$1000000,2483,FALSE)</f>
        <v>#N/A</v>
      </c>
    </row>
    <row r="147" spans="1:17" x14ac:dyDescent="0.35">
      <c r="A147" s="22" t="e">
        <f>VLOOKUP(A1,DIV_14Data!$A$1:$DZU$1000000,2484,FALSE)</f>
        <v>#N/A</v>
      </c>
      <c r="B147" s="37" t="e">
        <f>VLOOKUP(A1,DIV_14Data!$A$1:$DZU$1000000,2485,FALSE)</f>
        <v>#N/A</v>
      </c>
      <c r="C147" s="38" t="e">
        <f>VLOOKUP(A1,DIV_14Data!$A$1:$DZU$1000000,2486,FALSE)</f>
        <v>#N/A</v>
      </c>
      <c r="D147" s="31" t="e">
        <f>VLOOKUP(A1,DIV_14Data!$A$1:$DZU$1000000,2487,FALSE)</f>
        <v>#N/A</v>
      </c>
      <c r="E147" s="32" t="e">
        <f>VLOOKUP(A1,DIV_14Data!$A$1:$DZU$1000000,2488,FALSE)</f>
        <v>#N/A</v>
      </c>
      <c r="F147" s="34" t="e">
        <f>VLOOKUP(A1,DIV_14Data!$A$1:$DZU$1000000,2489,FALSE)</f>
        <v>#N/A</v>
      </c>
      <c r="G147" s="33" t="e">
        <f>VLOOKUP(A1,DIV_14Data!$A$1:$DZU$1000000,2490,FALSE)</f>
        <v>#N/A</v>
      </c>
      <c r="H147" s="34" t="e">
        <f>VLOOKUP(A1,DIV_14Data!$A$1:$DZU$1000000,2491,FALSE)</f>
        <v>#N/A</v>
      </c>
      <c r="I147" s="33" t="e">
        <f>VLOOKUP(A1,DIV_14Data!$A$1:$DZU$1000000,2492,FALSE)</f>
        <v>#N/A</v>
      </c>
      <c r="J147" s="34" t="e">
        <f>VLOOKUP(A1,DIV_14Data!$A$1:$DZU$1000000,2493,FALSE)</f>
        <v>#N/A</v>
      </c>
      <c r="K147" s="34" t="e">
        <f>VLOOKUP(A1,DIV_14Data!$A$1:$DZU$1000000,2494,FALSE)</f>
        <v>#N/A</v>
      </c>
      <c r="L147" s="93" t="e">
        <f>VLOOKUP(A1,DIV_14Data!$A$1:$DZU$1000000,2495,FALSE)</f>
        <v>#N/A</v>
      </c>
      <c r="M147" s="33" t="e">
        <f>VLOOKUP(A1,DIV_14Data!$A$1:$DZU$1000000,2496,FALSE)</f>
        <v>#N/A</v>
      </c>
      <c r="N147" s="34" t="e">
        <f>VLOOKUP(A1,DIV_14Data!$A$1:$DZU$1000000,2497,FALSE)</f>
        <v>#N/A</v>
      </c>
      <c r="O147" s="33" t="e">
        <f>VLOOKUP(A1,DIV_14Data!$A$1:$DZU$1000000,2498,FALSE)</f>
        <v>#N/A</v>
      </c>
      <c r="P147" s="46" t="e">
        <f>VLOOKUP(A1,DIV_14Data!$A$1:$DZU$1000000,2499,FALSE)</f>
        <v>#N/A</v>
      </c>
      <c r="Q147" s="33" t="e">
        <f>VLOOKUP(A1,DIV_14Data!$A$1:$DZU$1000000,2500,FALSE)</f>
        <v>#N/A</v>
      </c>
    </row>
    <row r="148" spans="1:17" x14ac:dyDescent="0.35">
      <c r="A148" s="22" t="e">
        <f>VLOOKUP(A1,DIV_14Data!$A$1:$DZU$1000000,2501,FALSE)</f>
        <v>#N/A</v>
      </c>
      <c r="B148" s="37" t="e">
        <f>VLOOKUP(A1,DIV_14Data!$A$1:$DZU$1000000,2502,FALSE)</f>
        <v>#N/A</v>
      </c>
      <c r="C148" s="38" t="e">
        <f>VLOOKUP(A1,DIV_14Data!$A$1:$DZU$1000000,2503,FALSE)</f>
        <v>#N/A</v>
      </c>
      <c r="D148" s="31" t="e">
        <f>VLOOKUP(A1,DIV_14Data!$A$1:$DZU$1000000,2504,FALSE)</f>
        <v>#N/A</v>
      </c>
      <c r="E148" s="32" t="e">
        <f>VLOOKUP(A1,DIV_14Data!$A$1:$DZU$1000000,2505,FALSE)</f>
        <v>#N/A</v>
      </c>
      <c r="F148" s="34" t="e">
        <f>VLOOKUP(A1,DIV_14Data!$A$1:$DZU$1000000,2506,FALSE)</f>
        <v>#N/A</v>
      </c>
      <c r="G148" s="33" t="e">
        <f>VLOOKUP(A1,DIV_14Data!$A$1:$DZU$1000000,2507,FALSE)</f>
        <v>#N/A</v>
      </c>
      <c r="H148" s="34" t="e">
        <f>VLOOKUP(A1,DIV_14Data!$A$1:$DZU$1000000,2508,FALSE)</f>
        <v>#N/A</v>
      </c>
      <c r="I148" s="33" t="e">
        <f>VLOOKUP(A1,DIV_14Data!$A$1:$DZU$1000000,2509,FALSE)</f>
        <v>#N/A</v>
      </c>
      <c r="J148" s="34" t="e">
        <f>VLOOKUP(A1,DIV_14Data!$A$1:$DZU$1000000,2510,FALSE)</f>
        <v>#N/A</v>
      </c>
      <c r="K148" s="34" t="e">
        <f>VLOOKUP(A1,DIV_14Data!$A$1:$DZU$1000000,2511,FALSE)</f>
        <v>#N/A</v>
      </c>
      <c r="L148" s="93" t="e">
        <f>VLOOKUP(A1,DIV_14Data!$A$1:$DZU$1000000,2512,FALSE)</f>
        <v>#N/A</v>
      </c>
      <c r="M148" s="33" t="e">
        <f>VLOOKUP(A1,DIV_14Data!$A$1:$DZU$1000000,2513,FALSE)</f>
        <v>#N/A</v>
      </c>
      <c r="N148" s="34" t="e">
        <f>VLOOKUP(A1,DIV_14Data!$A$1:$DZU$1000000,2514,FALSE)</f>
        <v>#N/A</v>
      </c>
      <c r="O148" s="33" t="e">
        <f>VLOOKUP(A1,DIV_14Data!$A$1:$DZU$1000000,2515,FALSE)</f>
        <v>#N/A</v>
      </c>
      <c r="P148" s="46" t="e">
        <f>VLOOKUP(A1,DIV_14Data!$A$1:$DZU$1000000,2516,FALSE)</f>
        <v>#N/A</v>
      </c>
      <c r="Q148" s="33" t="e">
        <f>VLOOKUP(A1,DIV_14Data!$A$1:$DZU$1000000,2517,FALSE)</f>
        <v>#N/A</v>
      </c>
    </row>
    <row r="149" spans="1:17" x14ac:dyDescent="0.35">
      <c r="A149" s="22" t="e">
        <f>VLOOKUP(A1,DIV_14Data!$A$1:$DZU$1000000,2518,FALSE)</f>
        <v>#N/A</v>
      </c>
      <c r="B149" s="37" t="e">
        <f>VLOOKUP(A1,DIV_14Data!$A$1:$DZU$1000000,2519,FALSE)</f>
        <v>#N/A</v>
      </c>
      <c r="C149" s="38" t="e">
        <f>VLOOKUP(A1,DIV_14Data!$A$1:$DZU$1000000,2520,FALSE)</f>
        <v>#N/A</v>
      </c>
      <c r="D149" s="31" t="e">
        <f>VLOOKUP(A1,DIV_14Data!$A$1:$DZU$1000000,2521,FALSE)</f>
        <v>#N/A</v>
      </c>
      <c r="E149" s="32" t="e">
        <f>VLOOKUP(A1,DIV_14Data!$A$1:$DZU$1000000,2522,FALSE)</f>
        <v>#N/A</v>
      </c>
      <c r="F149" s="34" t="e">
        <f>VLOOKUP(A1,DIV_14Data!$A$1:$DZU$1000000,2523,FALSE)</f>
        <v>#N/A</v>
      </c>
      <c r="G149" s="33" t="e">
        <f>VLOOKUP(A1,DIV_14Data!$A$1:$DZU$1000000,2524,FALSE)</f>
        <v>#N/A</v>
      </c>
      <c r="H149" s="34" t="e">
        <f>VLOOKUP(A1,DIV_14Data!$A$1:$DZU$1000000,2525,FALSE)</f>
        <v>#N/A</v>
      </c>
      <c r="I149" s="33" t="e">
        <f>VLOOKUP(A1,DIV_14Data!$A$1:$DZU$1000000,2526,FALSE)</f>
        <v>#N/A</v>
      </c>
      <c r="J149" s="34" t="e">
        <f>VLOOKUP(A1,DIV_14Data!$A$1:$DZU$1000000,2527,FALSE)</f>
        <v>#N/A</v>
      </c>
      <c r="K149" s="34" t="e">
        <f>VLOOKUP(A1,DIV_14Data!$A$1:$DZU$1000000,2528,FALSE)</f>
        <v>#N/A</v>
      </c>
      <c r="L149" s="93" t="e">
        <f>VLOOKUP(A1,DIV_14Data!$A$1:$DZU$1000000,2529,FALSE)</f>
        <v>#N/A</v>
      </c>
      <c r="M149" s="33" t="e">
        <f>VLOOKUP(A1,DIV_14Data!$A$1:$DZU$1000000,2530,FALSE)</f>
        <v>#N/A</v>
      </c>
      <c r="N149" s="34" t="e">
        <f>VLOOKUP(A1,DIV_14Data!$A$1:$DZU$1000000,2531,FALSE)</f>
        <v>#N/A</v>
      </c>
      <c r="O149" s="33" t="e">
        <f>VLOOKUP(A1,DIV_14Data!$A$1:$DZU$1000000,2532,FALSE)</f>
        <v>#N/A</v>
      </c>
      <c r="P149" s="46" t="e">
        <f>VLOOKUP(A1,DIV_14Data!$A$1:$DZU$1000000,2533,FALSE)</f>
        <v>#N/A</v>
      </c>
      <c r="Q149" s="33" t="e">
        <f>VLOOKUP(A1,DIV_14Data!$A$1:$DZU$1000000,2534,FALSE)</f>
        <v>#N/A</v>
      </c>
    </row>
    <row r="150" spans="1:17" x14ac:dyDescent="0.35">
      <c r="A150" s="22" t="e">
        <f>VLOOKUP(A1,DIV_14Data!$A$1:$DZU$1000000,2535,FALSE)</f>
        <v>#N/A</v>
      </c>
      <c r="B150" s="37" t="e">
        <f>VLOOKUP(A1,DIV_14Data!$A$1:$DZU$1000000,2536,FALSE)</f>
        <v>#N/A</v>
      </c>
      <c r="C150" s="38" t="e">
        <f>VLOOKUP(A1,DIV_14Data!$A$1:$DZU$1000000,2537,FALSE)</f>
        <v>#N/A</v>
      </c>
      <c r="D150" s="31" t="e">
        <f>VLOOKUP(A1,DIV_14Data!$A$1:$DZU$1000000,2538,FALSE)</f>
        <v>#N/A</v>
      </c>
      <c r="E150" s="32" t="e">
        <f>VLOOKUP(A1,DIV_14Data!$A$1:$DZU$1000000,2539,FALSE)</f>
        <v>#N/A</v>
      </c>
      <c r="F150" s="34" t="e">
        <f>VLOOKUP(A1,DIV_14Data!$A$1:$DZU$1000000,2540,FALSE)</f>
        <v>#N/A</v>
      </c>
      <c r="G150" s="33" t="e">
        <f>VLOOKUP(A1,DIV_14Data!$A$1:$DZU$1000000,2541,FALSE)</f>
        <v>#N/A</v>
      </c>
      <c r="H150" s="34" t="e">
        <f>VLOOKUP(A1,DIV_14Data!$A$1:$DZU$1000000,2542,FALSE)</f>
        <v>#N/A</v>
      </c>
      <c r="I150" s="33" t="e">
        <f>VLOOKUP(A1,DIV_14Data!$A$1:$DZU$1000000,2543,FALSE)</f>
        <v>#N/A</v>
      </c>
      <c r="J150" s="34" t="e">
        <f>VLOOKUP(A1,DIV_14Data!$A$1:$DZU$1000000,2544,FALSE)</f>
        <v>#N/A</v>
      </c>
      <c r="K150" s="34" t="e">
        <f>VLOOKUP(A1,DIV_14Data!$A$1:$DZU$1000000,2545,FALSE)</f>
        <v>#N/A</v>
      </c>
      <c r="L150" s="93" t="e">
        <f>VLOOKUP(A1,DIV_14Data!$A$1:$DZU$1000000,2546,FALSE)</f>
        <v>#N/A</v>
      </c>
      <c r="M150" s="33" t="e">
        <f>VLOOKUP(A1,DIV_14Data!$A$1:$DZU$1000000,2547,FALSE)</f>
        <v>#N/A</v>
      </c>
      <c r="N150" s="34" t="e">
        <f>VLOOKUP(A1,DIV_14Data!$A$1:$DZU$1000000,2548,FALSE)</f>
        <v>#N/A</v>
      </c>
      <c r="O150" s="33" t="e">
        <f>VLOOKUP(A1,DIV_14Data!$A$1:$DZU$1000000,2549,FALSE)</f>
        <v>#N/A</v>
      </c>
      <c r="P150" s="46" t="e">
        <f>VLOOKUP(A1,DIV_14Data!$A$1:$DZU$1000000,2550,FALSE)</f>
        <v>#N/A</v>
      </c>
      <c r="Q150" s="33" t="e">
        <f>VLOOKUP(A1,DIV_14Data!$A$1:$DZU$1000000,2551,FALSE)</f>
        <v>#N/A</v>
      </c>
    </row>
    <row r="151" spans="1:17" x14ac:dyDescent="0.35">
      <c r="A151" s="22" t="e">
        <f>VLOOKUP(A1,DIV_14Data!$A$1:$DZU$1000000,2552,FALSE)</f>
        <v>#N/A</v>
      </c>
      <c r="B151" s="37" t="e">
        <f>VLOOKUP(A1,DIV_14Data!$A$1:$DZU$1000000,2553,FALSE)</f>
        <v>#N/A</v>
      </c>
      <c r="C151" s="38" t="e">
        <f>VLOOKUP(A1,DIV_14Data!$A$1:$DZU$1000000,2554,FALSE)</f>
        <v>#N/A</v>
      </c>
      <c r="D151" s="31" t="e">
        <f>VLOOKUP(A1,DIV_14Data!$A$1:$DZU$1000000,2555,FALSE)</f>
        <v>#N/A</v>
      </c>
      <c r="E151" s="32" t="e">
        <f>VLOOKUP(A1,DIV_14Data!$A$1:$DZU$1000000,2556,FALSE)</f>
        <v>#N/A</v>
      </c>
      <c r="F151" s="34" t="e">
        <f>VLOOKUP(A1,DIV_14Data!$A$1:$DZU$1000000,2557,FALSE)</f>
        <v>#N/A</v>
      </c>
      <c r="G151" s="33" t="e">
        <f>VLOOKUP(A1,DIV_14Data!$A$1:$DZU$1000000,2558,FALSE)</f>
        <v>#N/A</v>
      </c>
      <c r="H151" s="34" t="e">
        <f>VLOOKUP(A1,DIV_14Data!$A$1:$DZU$1000000,2559,FALSE)</f>
        <v>#N/A</v>
      </c>
      <c r="I151" s="33" t="e">
        <f>VLOOKUP(A1,DIV_14Data!$A$1:$DZU$1000000,2560,FALSE)</f>
        <v>#N/A</v>
      </c>
      <c r="J151" s="34" t="e">
        <f>VLOOKUP(A1,DIV_14Data!$A$1:$DZU$1000000,2561,FALSE)</f>
        <v>#N/A</v>
      </c>
      <c r="K151" s="34" t="e">
        <f>VLOOKUP(A1,DIV_14Data!$A$1:$DZU$1000000,2562,FALSE)</f>
        <v>#N/A</v>
      </c>
      <c r="L151" s="93" t="e">
        <f>VLOOKUP(A1,DIV_14Data!$A$1:$DZU$1000000,2563,FALSE)</f>
        <v>#N/A</v>
      </c>
      <c r="M151" s="33" t="e">
        <f>VLOOKUP(A1,DIV_14Data!$A$1:$DZU$1000000,2564,FALSE)</f>
        <v>#N/A</v>
      </c>
      <c r="N151" s="34" t="e">
        <f>VLOOKUP(A1,DIV_14Data!$A$1:$DZU$1000000,2565,FALSE)</f>
        <v>#N/A</v>
      </c>
      <c r="O151" s="33" t="e">
        <f>VLOOKUP(A1,DIV_14Data!$A$1:$DZU$1000000,2566,FALSE)</f>
        <v>#N/A</v>
      </c>
      <c r="P151" s="46" t="e">
        <f>VLOOKUP(A1,DIV_14Data!$A$1:$DZU$1000000,2567,FALSE)</f>
        <v>#N/A</v>
      </c>
      <c r="Q151" s="33" t="e">
        <f>VLOOKUP(A1,DIV_14Data!$A$1:$DZU$1000000,2568,FALSE)</f>
        <v>#N/A</v>
      </c>
    </row>
    <row r="152" spans="1:17" x14ac:dyDescent="0.35">
      <c r="A152" s="22" t="e">
        <f>VLOOKUP(A1,DIV_14Data!$A$1:$DZU$1000000,2569,FALSE)</f>
        <v>#N/A</v>
      </c>
      <c r="B152" s="37" t="e">
        <f>VLOOKUP(A1,DIV_14Data!$A$1:$DZU$1000000,2570,FALSE)</f>
        <v>#N/A</v>
      </c>
      <c r="C152" s="38" t="e">
        <f>VLOOKUP(A1,DIV_14Data!$A$1:$DZU$1000000,2571,FALSE)</f>
        <v>#N/A</v>
      </c>
      <c r="D152" s="31" t="e">
        <f>VLOOKUP(A1,DIV_14Data!$A$1:$DZU$1000000,2572,FALSE)</f>
        <v>#N/A</v>
      </c>
      <c r="E152" s="32" t="e">
        <f>VLOOKUP(A1,DIV_14Data!$A$1:$DZU$1000000,2573,FALSE)</f>
        <v>#N/A</v>
      </c>
      <c r="F152" s="34" t="e">
        <f>VLOOKUP(A1,DIV_14Data!$A$1:$DZU$1000000,2574,FALSE)</f>
        <v>#N/A</v>
      </c>
      <c r="G152" s="33" t="e">
        <f>VLOOKUP(A1,DIV_14Data!$A$1:$DZU$1000000,2575,FALSE)</f>
        <v>#N/A</v>
      </c>
      <c r="H152" s="34" t="e">
        <f>VLOOKUP(A1,DIV_14Data!$A$1:$DZU$1000000,2576,FALSE)</f>
        <v>#N/A</v>
      </c>
      <c r="I152" s="33" t="e">
        <f>VLOOKUP(A1,DIV_14Data!$A$1:$DZU$1000000,2577,FALSE)</f>
        <v>#N/A</v>
      </c>
      <c r="J152" s="34" t="e">
        <f>VLOOKUP(A1,DIV_14Data!$A$1:$DZU$1000000,2578,FALSE)</f>
        <v>#N/A</v>
      </c>
      <c r="K152" s="34" t="e">
        <f>VLOOKUP(A1,DIV_14Data!$A$1:$DZU$1000000,2579,FALSE)</f>
        <v>#N/A</v>
      </c>
      <c r="L152" s="93" t="e">
        <f>VLOOKUP(A1,DIV_14Data!$A$1:$DZU$1000000,2580,FALSE)</f>
        <v>#N/A</v>
      </c>
      <c r="M152" s="33" t="e">
        <f>VLOOKUP(A1,DIV_14Data!$A$1:$DZU$1000000,2581,FALSE)</f>
        <v>#N/A</v>
      </c>
      <c r="N152" s="34" t="e">
        <f>VLOOKUP(A1,DIV_14Data!$A$1:$DZU$1000000,2582,FALSE)</f>
        <v>#N/A</v>
      </c>
      <c r="O152" s="33" t="e">
        <f>VLOOKUP(A1,DIV_14Data!$A$1:$DZU$1000000,2583,FALSE)</f>
        <v>#N/A</v>
      </c>
      <c r="P152" s="46" t="e">
        <f>VLOOKUP(A1,DIV_14Data!$A$1:$DZU$1000000,2584,FALSE)</f>
        <v>#N/A</v>
      </c>
      <c r="Q152" s="33" t="e">
        <f>VLOOKUP(A1,DIV_14Data!$A$1:$DZU$1000000,2585,FALSE)</f>
        <v>#N/A</v>
      </c>
    </row>
    <row r="153" spans="1:17" x14ac:dyDescent="0.35">
      <c r="A153" s="22" t="e">
        <f>VLOOKUP(A1,DIV_14Data!$A$1:$DZU$1000000,2586,FALSE)</f>
        <v>#N/A</v>
      </c>
      <c r="B153" s="37" t="e">
        <f>VLOOKUP(A1,DIV_14Data!$A$1:$DZU$1000000,2587,FALSE)</f>
        <v>#N/A</v>
      </c>
      <c r="C153" s="38" t="e">
        <f>VLOOKUP(A1,DIV_14Data!$A$1:$DZU$1000000,2588,FALSE)</f>
        <v>#N/A</v>
      </c>
      <c r="D153" s="31" t="e">
        <f>VLOOKUP(A1,DIV_14Data!$A$1:$DZU$1000000,2589,FALSE)</f>
        <v>#N/A</v>
      </c>
      <c r="E153" s="32" t="e">
        <f>VLOOKUP(A1,DIV_14Data!$A$1:$DZU$1000000,2590,FALSE)</f>
        <v>#N/A</v>
      </c>
      <c r="F153" s="34" t="e">
        <f>VLOOKUP(A1,DIV_14Data!$A$1:$DZU$1000000,2591,FALSE)</f>
        <v>#N/A</v>
      </c>
      <c r="G153" s="33" t="e">
        <f>VLOOKUP(A1,DIV_14Data!$A$1:$DZU$1000000,2592,FALSE)</f>
        <v>#N/A</v>
      </c>
      <c r="H153" s="34" t="e">
        <f>VLOOKUP(A1,DIV_14Data!$A$1:$DZU$1000000,2593,FALSE)</f>
        <v>#N/A</v>
      </c>
      <c r="I153" s="33" t="e">
        <f>VLOOKUP(A1,DIV_14Data!$A$1:$DZU$1000000,2594,FALSE)</f>
        <v>#N/A</v>
      </c>
      <c r="J153" s="34" t="e">
        <f>VLOOKUP(A1,DIV_14Data!$A$1:$DZU$1000000,2595,FALSE)</f>
        <v>#N/A</v>
      </c>
      <c r="K153" s="34" t="e">
        <f>VLOOKUP(A1,DIV_14Data!$A$1:$DZU$1000000,2596,FALSE)</f>
        <v>#N/A</v>
      </c>
      <c r="L153" s="93" t="e">
        <f>VLOOKUP(A1,DIV_14Data!$A$1:$DZU$1000000,2597,FALSE)</f>
        <v>#N/A</v>
      </c>
      <c r="M153" s="33" t="e">
        <f>VLOOKUP(A1,DIV_14Data!$A$1:$DZU$1000000,2598,FALSE)</f>
        <v>#N/A</v>
      </c>
      <c r="N153" s="34" t="e">
        <f>VLOOKUP(A1,DIV_14Data!$A$1:$DZU$1000000,2599,FALSE)</f>
        <v>#N/A</v>
      </c>
      <c r="O153" s="33" t="e">
        <f>VLOOKUP(A1,DIV_14Data!$A$1:$DZU$1000000,2600,FALSE)</f>
        <v>#N/A</v>
      </c>
      <c r="P153" s="46" t="e">
        <f>VLOOKUP(A1,DIV_14Data!$A$1:$DZU$1000000,2601,FALSE)</f>
        <v>#N/A</v>
      </c>
      <c r="Q153" s="33" t="e">
        <f>VLOOKUP(A1,DIV_14Data!$A$1:$DZU$1000000,2602,FALSE)</f>
        <v>#N/A</v>
      </c>
    </row>
    <row r="154" spans="1:17" x14ac:dyDescent="0.35">
      <c r="A154" s="22" t="e">
        <f>VLOOKUP(A1,DIV_14Data!$A$1:$DZU$1000000,2603,FALSE)</f>
        <v>#N/A</v>
      </c>
      <c r="B154" s="37" t="e">
        <f>VLOOKUP(A1,DIV_14Data!$A$1:$DZU$1000000,2604,FALSE)</f>
        <v>#N/A</v>
      </c>
      <c r="C154" s="38" t="e">
        <f>VLOOKUP(A1,DIV_14Data!$A$1:$DZU$1000000,2605,FALSE)</f>
        <v>#N/A</v>
      </c>
      <c r="D154" s="31" t="e">
        <f>VLOOKUP(A1,DIV_14Data!$A$1:$DZU$1000000,2606,FALSE)</f>
        <v>#N/A</v>
      </c>
      <c r="E154" s="32" t="e">
        <f>VLOOKUP(A1,DIV_14Data!$A$1:$DZU$1000000,2607,FALSE)</f>
        <v>#N/A</v>
      </c>
      <c r="F154" s="34" t="e">
        <f>VLOOKUP(A1,DIV_14Data!$A$1:$DZU$1000000,2608,FALSE)</f>
        <v>#N/A</v>
      </c>
      <c r="G154" s="33" t="e">
        <f>VLOOKUP(A1,DIV_14Data!$A$1:$DZU$1000000,2609,FALSE)</f>
        <v>#N/A</v>
      </c>
      <c r="H154" s="34" t="e">
        <f>VLOOKUP(A1,DIV_14Data!$A$1:$DZU$1000000,2610,FALSE)</f>
        <v>#N/A</v>
      </c>
      <c r="I154" s="33" t="e">
        <f>VLOOKUP(A1,DIV_14Data!$A$1:$DZU$1000000,2611,FALSE)</f>
        <v>#N/A</v>
      </c>
      <c r="J154" s="34" t="e">
        <f>VLOOKUP(A1,DIV_14Data!$A$1:$DZU$1000000,2612,FALSE)</f>
        <v>#N/A</v>
      </c>
      <c r="K154" s="34" t="e">
        <f>VLOOKUP(A1,DIV_14Data!$A$1:$DZU$1000000,2613,FALSE)</f>
        <v>#N/A</v>
      </c>
      <c r="L154" s="93" t="e">
        <f>VLOOKUP(A1,DIV_14Data!$A$1:$DZU$1000000,2614,FALSE)</f>
        <v>#N/A</v>
      </c>
      <c r="M154" s="33" t="e">
        <f>VLOOKUP(A1,DIV_14Data!$A$1:$DZU$1000000,2615,FALSE)</f>
        <v>#N/A</v>
      </c>
      <c r="N154" s="34" t="e">
        <f>VLOOKUP(A1,DIV_14Data!$A$1:$DZU$1000000,2616,FALSE)</f>
        <v>#N/A</v>
      </c>
      <c r="O154" s="33" t="e">
        <f>VLOOKUP(A1,DIV_14Data!$A$1:$DZU$1000000,2617,FALSE)</f>
        <v>#N/A</v>
      </c>
      <c r="P154" s="46" t="e">
        <f>VLOOKUP(A1,DIV_14Data!$A$1:$DZU$1000000,2618,FALSE)</f>
        <v>#N/A</v>
      </c>
      <c r="Q154" s="33" t="e">
        <f>VLOOKUP(A1,DIV_14Data!$A$1:$DZU$1000000,2619,FALSE)</f>
        <v>#N/A</v>
      </c>
    </row>
    <row r="155" spans="1:17" x14ac:dyDescent="0.35">
      <c r="A155" s="22" t="e">
        <f>VLOOKUP(A1,DIV_14Data!$A$1:$DZU$1000000,2620,FALSE)</f>
        <v>#N/A</v>
      </c>
      <c r="B155" s="37" t="e">
        <f>VLOOKUP(A1,DIV_14Data!$A$1:$DZU$1000000,2621,FALSE)</f>
        <v>#N/A</v>
      </c>
      <c r="C155" s="38" t="e">
        <f>VLOOKUP(A1,DIV_14Data!$A$1:$DZU$1000000,2622,FALSE)</f>
        <v>#N/A</v>
      </c>
      <c r="D155" s="31" t="e">
        <f>VLOOKUP(A1,DIV_14Data!$A$1:$DZU$1000000,2623,FALSE)</f>
        <v>#N/A</v>
      </c>
      <c r="E155" s="32" t="e">
        <f>VLOOKUP(A1,DIV_14Data!$A$1:$DZU$1000000,2624,FALSE)</f>
        <v>#N/A</v>
      </c>
      <c r="F155" s="34" t="e">
        <f>VLOOKUP(A1,DIV_14Data!$A$1:$DZU$1000000,2625,FALSE)</f>
        <v>#N/A</v>
      </c>
      <c r="G155" s="33" t="e">
        <f>VLOOKUP(A1,DIV_14Data!$A$1:$DZU$1000000,2626,FALSE)</f>
        <v>#N/A</v>
      </c>
      <c r="H155" s="34" t="e">
        <f>VLOOKUP(A1,DIV_14Data!$A$1:$DZU$1000000,2627,FALSE)</f>
        <v>#N/A</v>
      </c>
      <c r="I155" s="33" t="e">
        <f>VLOOKUP(A1,DIV_14Data!$A$1:$DZU$1000000,2628,FALSE)</f>
        <v>#N/A</v>
      </c>
      <c r="J155" s="34" t="e">
        <f>VLOOKUP(A1,DIV_14Data!$A$1:$DZU$1000000,2629,FALSE)</f>
        <v>#N/A</v>
      </c>
      <c r="K155" s="34" t="e">
        <f>VLOOKUP(A1,DIV_14Data!$A$1:$DZU$1000000,2630,FALSE)</f>
        <v>#N/A</v>
      </c>
      <c r="L155" s="93" t="e">
        <f>VLOOKUP(A1,DIV_14Data!$A$1:$DZU$1000000,2631,FALSE)</f>
        <v>#N/A</v>
      </c>
      <c r="M155" s="33" t="e">
        <f>VLOOKUP(A1,DIV_14Data!$A$1:$DZU$1000000,2632,FALSE)</f>
        <v>#N/A</v>
      </c>
      <c r="N155" s="34" t="e">
        <f>VLOOKUP(A1,DIV_14Data!$A$1:$DZU$1000000,2633,FALSE)</f>
        <v>#N/A</v>
      </c>
      <c r="O155" s="33" t="e">
        <f>VLOOKUP(A1,DIV_14Data!$A$1:$DZU$1000000,2634,FALSE)</f>
        <v>#N/A</v>
      </c>
      <c r="P155" s="46" t="e">
        <f>VLOOKUP(A1,DIV_14Data!$A$1:$DZU$1000000,2635,FALSE)</f>
        <v>#N/A</v>
      </c>
      <c r="Q155" s="33" t="e">
        <f>VLOOKUP(A1,DIV_14Data!$A$1:$DZU$1000000,2636,FALSE)</f>
        <v>#N/A</v>
      </c>
    </row>
    <row r="156" spans="1:17" x14ac:dyDescent="0.35">
      <c r="A156" s="22" t="e">
        <f>VLOOKUP(A1,DIV_14Data!$A$1:$DZU$1000000,2637,FALSE)</f>
        <v>#N/A</v>
      </c>
      <c r="B156" s="37" t="e">
        <f>VLOOKUP(A1,DIV_14Data!$A$1:$DZU$1000000,2638,FALSE)</f>
        <v>#N/A</v>
      </c>
      <c r="C156" s="38" t="e">
        <f>VLOOKUP(A1,DIV_14Data!$A$1:$DZU$1000000,2639,FALSE)</f>
        <v>#N/A</v>
      </c>
      <c r="D156" s="31" t="e">
        <f>VLOOKUP(A1,DIV_14Data!$A$1:$DZU$1000000,2640,FALSE)</f>
        <v>#N/A</v>
      </c>
      <c r="E156" s="32" t="e">
        <f>VLOOKUP(A1,DIV_14Data!$A$1:$DZU$1000000,2641,FALSE)</f>
        <v>#N/A</v>
      </c>
      <c r="F156" s="34" t="e">
        <f>VLOOKUP(A1,DIV_14Data!$A$1:$DZU$1000000,2642,FALSE)</f>
        <v>#N/A</v>
      </c>
      <c r="G156" s="33" t="e">
        <f>VLOOKUP(A1,DIV_14Data!$A$1:$DZU$1000000,2643,FALSE)</f>
        <v>#N/A</v>
      </c>
      <c r="H156" s="34" t="e">
        <f>VLOOKUP(A1,DIV_14Data!$A$1:$DZU$1000000,2644,FALSE)</f>
        <v>#N/A</v>
      </c>
      <c r="I156" s="33" t="e">
        <f>VLOOKUP(A1,DIV_14Data!$A$1:$DZU$1000000,2645,FALSE)</f>
        <v>#N/A</v>
      </c>
      <c r="J156" s="34" t="e">
        <f>VLOOKUP(A1,DIV_14Data!$A$1:$DZU$1000000,2646,FALSE)</f>
        <v>#N/A</v>
      </c>
      <c r="K156" s="34" t="e">
        <f>VLOOKUP(A1,DIV_14Data!$A$1:$DZU$1000000,2647,FALSE)</f>
        <v>#N/A</v>
      </c>
      <c r="L156" s="93" t="e">
        <f>VLOOKUP(A1,DIV_14Data!$A$1:$DZU$1000000,2648,FALSE)</f>
        <v>#N/A</v>
      </c>
      <c r="M156" s="33" t="e">
        <f>VLOOKUP(A1,DIV_14Data!$A$1:$DZU$1000000,2649,FALSE)</f>
        <v>#N/A</v>
      </c>
      <c r="N156" s="34" t="e">
        <f>VLOOKUP(A1,DIV_14Data!$A$1:$DZU$1000000,2650,FALSE)</f>
        <v>#N/A</v>
      </c>
      <c r="O156" s="33" t="e">
        <f>VLOOKUP(A1,DIV_14Data!$A$1:$DZU$1000000,2651,FALSE)</f>
        <v>#N/A</v>
      </c>
      <c r="P156" s="46" t="e">
        <f>VLOOKUP(A1,DIV_14Data!$A$1:$DZU$1000000,2652,FALSE)</f>
        <v>#N/A</v>
      </c>
      <c r="Q156" s="33" t="e">
        <f>VLOOKUP(A1,DIV_14Data!$A$1:$DZU$1000000,2653,FALSE)</f>
        <v>#N/A</v>
      </c>
    </row>
    <row r="157" spans="1:17" x14ac:dyDescent="0.35">
      <c r="A157" s="22" t="e">
        <f>VLOOKUP(A1,DIV_14Data!$A$1:$DZU$1000000,2654,FALSE)</f>
        <v>#N/A</v>
      </c>
      <c r="B157" s="37" t="e">
        <f>VLOOKUP(A1,DIV_14Data!$A$1:$DZU$1000000,2655,FALSE)</f>
        <v>#N/A</v>
      </c>
      <c r="C157" s="38" t="e">
        <f>VLOOKUP(A1,DIV_14Data!$A$1:$DZU$1000000,2656,FALSE)</f>
        <v>#N/A</v>
      </c>
      <c r="D157" s="31" t="e">
        <f>VLOOKUP(A1,DIV_14Data!$A$1:$DZU$1000000,2657,FALSE)</f>
        <v>#N/A</v>
      </c>
      <c r="E157" s="32" t="e">
        <f>VLOOKUP(A1,DIV_14Data!$A$1:$DZU$1000000,2658,FALSE)</f>
        <v>#N/A</v>
      </c>
      <c r="F157" s="34" t="e">
        <f>VLOOKUP(A1,DIV_14Data!$A$1:$DZU$1000000,2659,FALSE)</f>
        <v>#N/A</v>
      </c>
      <c r="G157" s="33" t="e">
        <f>VLOOKUP(A1,DIV_14Data!$A$1:$DZU$1000000,2660,FALSE)</f>
        <v>#N/A</v>
      </c>
      <c r="H157" s="34" t="e">
        <f>VLOOKUP(A1,DIV_14Data!$A$1:$DZU$1000000,2661,FALSE)</f>
        <v>#N/A</v>
      </c>
      <c r="I157" s="33" t="e">
        <f>VLOOKUP(A1,DIV_14Data!$A$1:$DZU$1000000,2662,FALSE)</f>
        <v>#N/A</v>
      </c>
      <c r="J157" s="34" t="e">
        <f>VLOOKUP(A1,DIV_14Data!$A$1:$DZU$1000000,2663,FALSE)</f>
        <v>#N/A</v>
      </c>
      <c r="K157" s="34" t="e">
        <f>VLOOKUP(A1,DIV_14Data!$A$1:$DZU$1000000,2664,FALSE)</f>
        <v>#N/A</v>
      </c>
      <c r="L157" s="93" t="e">
        <f>VLOOKUP(A1,DIV_14Data!$A$1:$DZU$1000000,2665,FALSE)</f>
        <v>#N/A</v>
      </c>
      <c r="M157" s="33" t="e">
        <f>VLOOKUP(A1,DIV_14Data!$A$1:$DZU$1000000,2666,FALSE)</f>
        <v>#N/A</v>
      </c>
      <c r="N157" s="34" t="e">
        <f>VLOOKUP(A1,DIV_14Data!$A$1:$DZU$1000000,2667,FALSE)</f>
        <v>#N/A</v>
      </c>
      <c r="O157" s="33" t="e">
        <f>VLOOKUP(A1,DIV_14Data!$A$1:$DZU$1000000,2668,FALSE)</f>
        <v>#N/A</v>
      </c>
      <c r="P157" s="46" t="e">
        <f>VLOOKUP(A1,DIV_14Data!$A$1:$DZU$1000000,2669,FALSE)</f>
        <v>#N/A</v>
      </c>
      <c r="Q157" s="33" t="e">
        <f>VLOOKUP(A1,DIV_14Data!$A$1:$DZU$1000000,2670,FALSE)</f>
        <v>#N/A</v>
      </c>
    </row>
    <row r="158" spans="1:17" x14ac:dyDescent="0.35">
      <c r="A158" s="22" t="e">
        <f>VLOOKUP(A1,DIV_14Data!$A$1:$DZU$1000000,2671,FALSE)</f>
        <v>#N/A</v>
      </c>
      <c r="B158" s="37" t="e">
        <f>VLOOKUP(A1,DIV_14Data!$A$1:$DZU$1000000,2672,FALSE)</f>
        <v>#N/A</v>
      </c>
      <c r="C158" s="38" t="e">
        <f>VLOOKUP(A1,DIV_14Data!$A$1:$DZU$1000000,2673,FALSE)</f>
        <v>#N/A</v>
      </c>
      <c r="D158" s="31" t="e">
        <f>VLOOKUP(A1,DIV_14Data!$A$1:$DZU$1000000,2674,FALSE)</f>
        <v>#N/A</v>
      </c>
      <c r="E158" s="32" t="e">
        <f>VLOOKUP(A1,DIV_14Data!$A$1:$DZU$1000000,2675,FALSE)</f>
        <v>#N/A</v>
      </c>
      <c r="F158" s="34" t="e">
        <f>VLOOKUP(A1,DIV_14Data!$A$1:$DZU$1000000,2676,FALSE)</f>
        <v>#N/A</v>
      </c>
      <c r="G158" s="33" t="e">
        <f>VLOOKUP(A1,DIV_14Data!$A$1:$DZU$1000000,2677,FALSE)</f>
        <v>#N/A</v>
      </c>
      <c r="H158" s="34" t="e">
        <f>VLOOKUP(A1,DIV_14Data!$A$1:$DZU$1000000,2678,FALSE)</f>
        <v>#N/A</v>
      </c>
      <c r="I158" s="33" t="e">
        <f>VLOOKUP(A1,DIV_14Data!$A$1:$DZU$1000000,2679,FALSE)</f>
        <v>#N/A</v>
      </c>
      <c r="J158" s="34" t="e">
        <f>VLOOKUP(A1,DIV_14Data!$A$1:$DZU$1000000,2680,FALSE)</f>
        <v>#N/A</v>
      </c>
      <c r="K158" s="34" t="e">
        <f>VLOOKUP(A1,DIV_14Data!$A$1:$DZU$1000000,2681,FALSE)</f>
        <v>#N/A</v>
      </c>
      <c r="L158" s="93" t="e">
        <f>VLOOKUP(A1,DIV_14Data!$A$1:$DZU$1000000,2682,FALSE)</f>
        <v>#N/A</v>
      </c>
      <c r="M158" s="33" t="e">
        <f>VLOOKUP(A1,DIV_14Data!$A$1:$DZU$1000000,2683,FALSE)</f>
        <v>#N/A</v>
      </c>
      <c r="N158" s="34" t="e">
        <f>VLOOKUP(A1,DIV_14Data!$A$1:$DZU$1000000,2684,FALSE)</f>
        <v>#N/A</v>
      </c>
      <c r="O158" s="33" t="e">
        <f>VLOOKUP(A1,DIV_14Data!$A$1:$DZU$1000000,2685,FALSE)</f>
        <v>#N/A</v>
      </c>
      <c r="P158" s="46" t="e">
        <f>VLOOKUP(A1,DIV_14Data!$A$1:$DZU$1000000,2686,FALSE)</f>
        <v>#N/A</v>
      </c>
      <c r="Q158" s="33" t="e">
        <f>VLOOKUP(A1,DIV_14Data!$A$1:$DZU$1000000,2687,FALSE)</f>
        <v>#N/A</v>
      </c>
    </row>
    <row r="159" spans="1:17" x14ac:dyDescent="0.35">
      <c r="A159" s="22" t="e">
        <f>VLOOKUP(A1,DIV_14Data!$A$1:$DZU$1000000,2688,FALSE)</f>
        <v>#N/A</v>
      </c>
      <c r="B159" s="37" t="e">
        <f>VLOOKUP(A1,DIV_14Data!$A$1:$DZU$1000000,2689,FALSE)</f>
        <v>#N/A</v>
      </c>
      <c r="C159" s="38" t="e">
        <f>VLOOKUP(A1,DIV_14Data!$A$1:$DZU$1000000,2690,FALSE)</f>
        <v>#N/A</v>
      </c>
      <c r="D159" s="31" t="e">
        <f>VLOOKUP(A1,DIV_14Data!$A$1:$DZU$1000000,2691,FALSE)</f>
        <v>#N/A</v>
      </c>
      <c r="E159" s="32" t="e">
        <f>VLOOKUP(A1,DIV_14Data!$A$1:$DZU$1000000,2692,FALSE)</f>
        <v>#N/A</v>
      </c>
      <c r="F159" s="34" t="e">
        <f>VLOOKUP(A1,DIV_14Data!$A$1:$DZU$1000000,2693,FALSE)</f>
        <v>#N/A</v>
      </c>
      <c r="G159" s="33" t="e">
        <f>VLOOKUP(A1,DIV_14Data!$A$1:$DZU$1000000,2694,FALSE)</f>
        <v>#N/A</v>
      </c>
      <c r="H159" s="34" t="e">
        <f>VLOOKUP(A1,DIV_14Data!$A$1:$DZU$1000000,2695,FALSE)</f>
        <v>#N/A</v>
      </c>
      <c r="I159" s="33" t="e">
        <f>VLOOKUP(A1,DIV_14Data!$A$1:$DZU$1000000,2696,FALSE)</f>
        <v>#N/A</v>
      </c>
      <c r="J159" s="34" t="e">
        <f>VLOOKUP(A1,DIV_14Data!$A$1:$DZU$1000000,2697,FALSE)</f>
        <v>#N/A</v>
      </c>
      <c r="K159" s="34" t="e">
        <f>VLOOKUP(A1,DIV_14Data!$A$1:$DZU$1000000,2698,FALSE)</f>
        <v>#N/A</v>
      </c>
      <c r="L159" s="93" t="e">
        <f>VLOOKUP(A1,DIV_14Data!$A$1:$DZU$1000000,2699,FALSE)</f>
        <v>#N/A</v>
      </c>
      <c r="M159" s="33" t="e">
        <f>VLOOKUP(A1,DIV_14Data!$A$1:$DZU$1000000,2700,FALSE)</f>
        <v>#N/A</v>
      </c>
      <c r="N159" s="34" t="e">
        <f>VLOOKUP(A1,DIV_14Data!$A$1:$DZU$1000000,2701,FALSE)</f>
        <v>#N/A</v>
      </c>
      <c r="O159" s="33" t="e">
        <f>VLOOKUP(A1,DIV_14Data!$A$1:$DZU$1000000,2702,FALSE)</f>
        <v>#N/A</v>
      </c>
      <c r="P159" s="46" t="e">
        <f>VLOOKUP(A1,DIV_14Data!$A$1:$DZU$1000000,2703,FALSE)</f>
        <v>#N/A</v>
      </c>
      <c r="Q159" s="33" t="e">
        <f>VLOOKUP(A1,DIV_14Data!$A$1:$DZU$1000000,2704,FALSE)</f>
        <v>#N/A</v>
      </c>
    </row>
    <row r="160" spans="1:17" x14ac:dyDescent="0.35">
      <c r="A160" s="22" t="e">
        <f>VLOOKUP(A1,DIV_14Data!$A$1:$DZU$1000000,2705,FALSE)</f>
        <v>#N/A</v>
      </c>
      <c r="B160" s="37" t="e">
        <f>VLOOKUP(A1,DIV_14Data!$A$1:$DZU$1000000,2706,FALSE)</f>
        <v>#N/A</v>
      </c>
      <c r="C160" s="38" t="e">
        <f>VLOOKUP(A1,DIV_14Data!$A$1:$DZU$1000000,2707,FALSE)</f>
        <v>#N/A</v>
      </c>
      <c r="D160" s="31" t="e">
        <f>VLOOKUP(A1,DIV_14Data!$A$1:$DZU$1000000,2708,FALSE)</f>
        <v>#N/A</v>
      </c>
      <c r="E160" s="32" t="e">
        <f>VLOOKUP(A1,DIV_14Data!$A$1:$DZU$1000000,2709,FALSE)</f>
        <v>#N/A</v>
      </c>
      <c r="F160" s="34" t="e">
        <f>VLOOKUP(A1,DIV_14Data!$A$1:$DZU$1000000,2710,FALSE)</f>
        <v>#N/A</v>
      </c>
      <c r="G160" s="33" t="e">
        <f>VLOOKUP(A1,DIV_14Data!$A$1:$DZU$1000000,2711,FALSE)</f>
        <v>#N/A</v>
      </c>
      <c r="H160" s="34" t="e">
        <f>VLOOKUP(A1,DIV_14Data!$A$1:$DZU$1000000,2712,FALSE)</f>
        <v>#N/A</v>
      </c>
      <c r="I160" s="33" t="e">
        <f>VLOOKUP(A1,DIV_14Data!$A$1:$DZU$1000000,2713,FALSE)</f>
        <v>#N/A</v>
      </c>
      <c r="J160" s="34" t="e">
        <f>VLOOKUP(A1,DIV_14Data!$A$1:$DZU$1000000,2714,FALSE)</f>
        <v>#N/A</v>
      </c>
      <c r="K160" s="34" t="e">
        <f>VLOOKUP(A1,DIV_14Data!$A$1:$DZU$1000000,2715,FALSE)</f>
        <v>#N/A</v>
      </c>
      <c r="L160" s="93" t="e">
        <f>VLOOKUP(A1,DIV_14Data!$A$1:$DZU$1000000,2716,FALSE)</f>
        <v>#N/A</v>
      </c>
      <c r="M160" s="33" t="e">
        <f>VLOOKUP(A1,DIV_14Data!$A$1:$DZU$1000000,2717,FALSE)</f>
        <v>#N/A</v>
      </c>
      <c r="N160" s="34" t="e">
        <f>VLOOKUP(A1,DIV_14Data!$A$1:$DZU$1000000,2718,FALSE)</f>
        <v>#N/A</v>
      </c>
      <c r="O160" s="33" t="e">
        <f>VLOOKUP(A1,DIV_14Data!$A$1:$DZU$1000000,2719,FALSE)</f>
        <v>#N/A</v>
      </c>
      <c r="P160" s="46" t="e">
        <f>VLOOKUP(A1,DIV_14Data!$A$1:$DZU$1000000,2720,FALSE)</f>
        <v>#N/A</v>
      </c>
      <c r="Q160" s="33" t="e">
        <f>VLOOKUP(A1,DIV_14Data!$A$1:$DZU$1000000,2721,FALSE)</f>
        <v>#N/A</v>
      </c>
    </row>
    <row r="161" spans="1:17" x14ac:dyDescent="0.35">
      <c r="A161" s="22" t="e">
        <f>VLOOKUP(A1,DIV_14Data!$A$1:$DZU$1000000,2722,FALSE)</f>
        <v>#N/A</v>
      </c>
      <c r="B161" s="37" t="e">
        <f>VLOOKUP(A1,DIV_14Data!$A$1:$DZU$1000000,2723,FALSE)</f>
        <v>#N/A</v>
      </c>
      <c r="C161" s="38" t="e">
        <f>VLOOKUP(A1,DIV_14Data!$A$1:$DZU$1000000,2724,FALSE)</f>
        <v>#N/A</v>
      </c>
      <c r="D161" s="31" t="e">
        <f>VLOOKUP(A1,DIV_14Data!$A$1:$DZU$1000000,2725,FALSE)</f>
        <v>#N/A</v>
      </c>
      <c r="E161" s="32" t="e">
        <f>VLOOKUP(A1,DIV_14Data!$A$1:$DZU$1000000,2726,FALSE)</f>
        <v>#N/A</v>
      </c>
      <c r="F161" s="34" t="e">
        <f>VLOOKUP(A1,DIV_14Data!$A$1:$DZU$1000000,2727,FALSE)</f>
        <v>#N/A</v>
      </c>
      <c r="G161" s="33" t="e">
        <f>VLOOKUP(A1,DIV_14Data!$A$1:$DZU$1000000,2728,FALSE)</f>
        <v>#N/A</v>
      </c>
      <c r="H161" s="34" t="e">
        <f>VLOOKUP(A1,DIV_14Data!$A$1:$DZU$1000000,2729,FALSE)</f>
        <v>#N/A</v>
      </c>
      <c r="I161" s="33" t="e">
        <f>VLOOKUP(A1,DIV_14Data!$A$1:$DZU$1000000,2730,FALSE)</f>
        <v>#N/A</v>
      </c>
      <c r="J161" s="34" t="e">
        <f>VLOOKUP(A1,DIV_14Data!$A$1:$DZU$1000000,2731,FALSE)</f>
        <v>#N/A</v>
      </c>
      <c r="K161" s="34" t="e">
        <f>VLOOKUP(A1,DIV_14Data!$A$1:$DZU$1000000,2732,FALSE)</f>
        <v>#N/A</v>
      </c>
      <c r="L161" s="93" t="e">
        <f>VLOOKUP(A1,DIV_14Data!$A$1:$DZU$1000000,2733,FALSE)</f>
        <v>#N/A</v>
      </c>
      <c r="M161" s="33" t="e">
        <f>VLOOKUP(A1,DIV_14Data!$A$1:$DZU$1000000,2734,FALSE)</f>
        <v>#N/A</v>
      </c>
      <c r="N161" s="34" t="e">
        <f>VLOOKUP(A1,DIV_14Data!$A$1:$DZU$1000000,2735,FALSE)</f>
        <v>#N/A</v>
      </c>
      <c r="O161" s="33" t="e">
        <f>VLOOKUP(A1,DIV_14Data!$A$1:$DZU$1000000,2736,FALSE)</f>
        <v>#N/A</v>
      </c>
      <c r="P161" s="46" t="e">
        <f>VLOOKUP(A1,DIV_14Data!$A$1:$DZU$1000000,2737,FALSE)</f>
        <v>#N/A</v>
      </c>
      <c r="Q161" s="33" t="e">
        <f>VLOOKUP(A1,DIV_14Data!$A$1:$DZU$1000000,2738,FALSE)</f>
        <v>#N/A</v>
      </c>
    </row>
    <row r="162" spans="1:17" x14ac:dyDescent="0.35">
      <c r="A162" s="22" t="e">
        <f>VLOOKUP(A1,DIV_14Data!$A$1:$DZU$1000000,2739,FALSE)</f>
        <v>#N/A</v>
      </c>
      <c r="B162" s="37" t="e">
        <f>VLOOKUP(A1,DIV_14Data!$A$1:$DZU$1000000,2740,FALSE)</f>
        <v>#N/A</v>
      </c>
      <c r="C162" s="38" t="e">
        <f>VLOOKUP(A1,DIV_14Data!$A$1:$DZU$1000000,2741,FALSE)</f>
        <v>#N/A</v>
      </c>
      <c r="D162" s="31" t="e">
        <f>VLOOKUP(A1,DIV_14Data!$A$1:$DZU$1000000,2742,FALSE)</f>
        <v>#N/A</v>
      </c>
      <c r="E162" s="32" t="e">
        <f>VLOOKUP(A1,DIV_14Data!$A$1:$DZU$1000000,2743,FALSE)</f>
        <v>#N/A</v>
      </c>
      <c r="F162" s="34" t="e">
        <f>VLOOKUP(A1,DIV_14Data!$A$1:$DZU$1000000,2744,FALSE)</f>
        <v>#N/A</v>
      </c>
      <c r="G162" s="33" t="e">
        <f>VLOOKUP(A1,DIV_14Data!$A$1:$DZU$1000000,2745,FALSE)</f>
        <v>#N/A</v>
      </c>
      <c r="H162" s="34" t="e">
        <f>VLOOKUP(A1,DIV_14Data!$A$1:$DZU$1000000,2746,FALSE)</f>
        <v>#N/A</v>
      </c>
      <c r="I162" s="33" t="e">
        <f>VLOOKUP(A1,DIV_14Data!$A$1:$DZU$1000000,2747,FALSE)</f>
        <v>#N/A</v>
      </c>
      <c r="J162" s="34" t="e">
        <f>VLOOKUP(A1,DIV_14Data!$A$1:$DZU$1000000,2748,FALSE)</f>
        <v>#N/A</v>
      </c>
      <c r="K162" s="34" t="e">
        <f>VLOOKUP(A1,DIV_14Data!$A$1:$DZU$1000000,2749,FALSE)</f>
        <v>#N/A</v>
      </c>
      <c r="L162" s="93" t="e">
        <f>VLOOKUP(A1,DIV_14Data!$A$1:$DZU$1000000,2750,FALSE)</f>
        <v>#N/A</v>
      </c>
      <c r="M162" s="33" t="e">
        <f>VLOOKUP(A1,DIV_14Data!$A$1:$DZU$1000000,2751,FALSE)</f>
        <v>#N/A</v>
      </c>
      <c r="N162" s="34" t="e">
        <f>VLOOKUP(A1,DIV_14Data!$A$1:$DZU$1000000,2752,FALSE)</f>
        <v>#N/A</v>
      </c>
      <c r="O162" s="33" t="e">
        <f>VLOOKUP(A1,DIV_14Data!$A$1:$DZU$1000000,2753,FALSE)</f>
        <v>#N/A</v>
      </c>
      <c r="P162" s="46" t="e">
        <f>VLOOKUP(A1,DIV_14Data!$A$1:$DZU$1000000,2754,FALSE)</f>
        <v>#N/A</v>
      </c>
      <c r="Q162" s="33" t="e">
        <f>VLOOKUP(A1,DIV_14Data!$A$1:$DZU$1000000,2755,FALSE)</f>
        <v>#N/A</v>
      </c>
    </row>
    <row r="163" spans="1:17" x14ac:dyDescent="0.35">
      <c r="A163" s="22" t="e">
        <f>VLOOKUP(A1,DIV_14Data!$A$1:$DZU$1000000,2756,FALSE)</f>
        <v>#N/A</v>
      </c>
      <c r="B163" s="37" t="e">
        <f>VLOOKUP(A1,DIV_14Data!$A$1:$DZU$1000000,2757,FALSE)</f>
        <v>#N/A</v>
      </c>
      <c r="C163" s="38" t="e">
        <f>VLOOKUP(A1,DIV_14Data!$A$1:$DZU$1000000,2758,FALSE)</f>
        <v>#N/A</v>
      </c>
      <c r="D163" s="31" t="e">
        <f>VLOOKUP(A1,DIV_14Data!$A$1:$DZU$1000000,2759,FALSE)</f>
        <v>#N/A</v>
      </c>
      <c r="E163" s="32" t="e">
        <f>VLOOKUP(A1,DIV_14Data!$A$1:$DZU$1000000,2760,FALSE)</f>
        <v>#N/A</v>
      </c>
      <c r="F163" s="34" t="e">
        <f>VLOOKUP(A1,DIV_14Data!$A$1:$DZU$1000000,2761,FALSE)</f>
        <v>#N/A</v>
      </c>
      <c r="G163" s="33" t="e">
        <f>VLOOKUP(A1,DIV_14Data!$A$1:$DZU$1000000,2762,FALSE)</f>
        <v>#N/A</v>
      </c>
      <c r="H163" s="34" t="e">
        <f>VLOOKUP(A1,DIV_14Data!$A$1:$DZU$1000000,2763,FALSE)</f>
        <v>#N/A</v>
      </c>
      <c r="I163" s="33" t="e">
        <f>VLOOKUP(A1,DIV_14Data!$A$1:$DZU$1000000,2764,FALSE)</f>
        <v>#N/A</v>
      </c>
      <c r="J163" s="34" t="e">
        <f>VLOOKUP(A1,DIV_14Data!$A$1:$DZU$1000000,2765,FALSE)</f>
        <v>#N/A</v>
      </c>
      <c r="K163" s="34" t="e">
        <f>VLOOKUP(A1,DIV_14Data!$A$1:$DZU$1000000,2766,FALSE)</f>
        <v>#N/A</v>
      </c>
      <c r="L163" s="93" t="e">
        <f>VLOOKUP(A1,DIV_14Data!$A$1:$DZU$1000000,2767,FALSE)</f>
        <v>#N/A</v>
      </c>
      <c r="M163" s="33" t="e">
        <f>VLOOKUP(A1,DIV_14Data!$A$1:$DZU$1000000,2768,FALSE)</f>
        <v>#N/A</v>
      </c>
      <c r="N163" s="34" t="e">
        <f>VLOOKUP(A1,DIV_14Data!$A$1:$DZU$1000000,2769,FALSE)</f>
        <v>#N/A</v>
      </c>
      <c r="O163" s="33" t="e">
        <f>VLOOKUP(A1,DIV_14Data!$A$1:$DZU$1000000,2770,FALSE)</f>
        <v>#N/A</v>
      </c>
      <c r="P163" s="46" t="e">
        <f>VLOOKUP(A1,DIV_14Data!$A$1:$DZU$1000000,2771,FALSE)</f>
        <v>#N/A</v>
      </c>
      <c r="Q163" s="33" t="e">
        <f>VLOOKUP(A1,DIV_14Data!$A$1:$DZU$1000000,2772,FALSE)</f>
        <v>#N/A</v>
      </c>
    </row>
    <row r="164" spans="1:17" x14ac:dyDescent="0.35">
      <c r="A164" s="22" t="e">
        <f>VLOOKUP(A1,DIV_14Data!$A$1:$DZU$1000000,2773,FALSE)</f>
        <v>#N/A</v>
      </c>
      <c r="B164" s="37" t="e">
        <f>VLOOKUP(A1,DIV_14Data!$A$1:$DZU$1000000,2774,FALSE)</f>
        <v>#N/A</v>
      </c>
      <c r="C164" s="38" t="e">
        <f>VLOOKUP(A1,DIV_14Data!$A$1:$DZU$1000000,2775,FALSE)</f>
        <v>#N/A</v>
      </c>
      <c r="D164" s="31" t="e">
        <f>VLOOKUP(A1,DIV_14Data!$A$1:$DZU$1000000,2776,FALSE)</f>
        <v>#N/A</v>
      </c>
      <c r="E164" s="32" t="e">
        <f>VLOOKUP(A1,DIV_14Data!$A$1:$DZU$1000000,2777,FALSE)</f>
        <v>#N/A</v>
      </c>
      <c r="F164" s="34" t="e">
        <f>VLOOKUP(A1,DIV_14Data!$A$1:$DZU$1000000,2778,FALSE)</f>
        <v>#N/A</v>
      </c>
      <c r="G164" s="33" t="e">
        <f>VLOOKUP(A1,DIV_14Data!$A$1:$DZU$1000000,2779,FALSE)</f>
        <v>#N/A</v>
      </c>
      <c r="H164" s="34" t="e">
        <f>VLOOKUP(A1,DIV_14Data!$A$1:$DZU$1000000,2780,FALSE)</f>
        <v>#N/A</v>
      </c>
      <c r="I164" s="33" t="e">
        <f>VLOOKUP(A1,DIV_14Data!$A$1:$DZU$1000000,2781,FALSE)</f>
        <v>#N/A</v>
      </c>
      <c r="J164" s="34" t="e">
        <f>VLOOKUP(A1,DIV_14Data!$A$1:$DZU$1000000,2782,FALSE)</f>
        <v>#N/A</v>
      </c>
      <c r="K164" s="34" t="e">
        <f>VLOOKUP(A1,DIV_14Data!$A$1:$DZU$1000000,2783,FALSE)</f>
        <v>#N/A</v>
      </c>
      <c r="L164" s="93" t="e">
        <f>VLOOKUP(A1,DIV_14Data!$A$1:$DZU$1000000,2784,FALSE)</f>
        <v>#N/A</v>
      </c>
      <c r="M164" s="33" t="e">
        <f>VLOOKUP(A1,DIV_14Data!$A$1:$DZU$1000000,2785,FALSE)</f>
        <v>#N/A</v>
      </c>
      <c r="N164" s="34" t="e">
        <f>VLOOKUP(A1,DIV_14Data!$A$1:$DZU$1000000,2786,FALSE)</f>
        <v>#N/A</v>
      </c>
      <c r="O164" s="33" t="e">
        <f>VLOOKUP(A1,DIV_14Data!$A$1:$DZU$1000000,2787,FALSE)</f>
        <v>#N/A</v>
      </c>
      <c r="P164" s="46" t="e">
        <f>VLOOKUP(A1,DIV_14Data!$A$1:$DZU$1000000,2788,FALSE)</f>
        <v>#N/A</v>
      </c>
      <c r="Q164" s="33" t="e">
        <f>VLOOKUP(A1,DIV_14Data!$A$1:$DZU$1000000,2789,FALSE)</f>
        <v>#N/A</v>
      </c>
    </row>
    <row r="165" spans="1:17" x14ac:dyDescent="0.35">
      <c r="A165" s="22" t="e">
        <f>VLOOKUP(A1,DIV_14Data!$A$1:$DZU$1000000,2790,FALSE)</f>
        <v>#N/A</v>
      </c>
      <c r="B165" s="37" t="e">
        <f>VLOOKUP(A1,DIV_14Data!$A$1:$DZU$1000000,2791,FALSE)</f>
        <v>#N/A</v>
      </c>
      <c r="C165" s="38" t="e">
        <f>VLOOKUP(A1,DIV_14Data!$A$1:$DZU$1000000,2792,FALSE)</f>
        <v>#N/A</v>
      </c>
      <c r="D165" s="31" t="e">
        <f>VLOOKUP(A1,DIV_14Data!$A$1:$DZU$1000000,2793,FALSE)</f>
        <v>#N/A</v>
      </c>
      <c r="E165" s="32" t="e">
        <f>VLOOKUP(A1,DIV_14Data!$A$1:$DZU$1000000,2794,FALSE)</f>
        <v>#N/A</v>
      </c>
      <c r="F165" s="34" t="e">
        <f>VLOOKUP(A1,DIV_14Data!$A$1:$DZU$1000000,2795,FALSE)</f>
        <v>#N/A</v>
      </c>
      <c r="G165" s="33" t="e">
        <f>VLOOKUP(A1,DIV_14Data!$A$1:$DZU$1000000,2796,FALSE)</f>
        <v>#N/A</v>
      </c>
      <c r="H165" s="34" t="e">
        <f>VLOOKUP(A1,DIV_14Data!$A$1:$DZU$1000000,2797,FALSE)</f>
        <v>#N/A</v>
      </c>
      <c r="I165" s="33" t="e">
        <f>VLOOKUP(A1,DIV_14Data!$A$1:$DZU$1000000,2798,FALSE)</f>
        <v>#N/A</v>
      </c>
      <c r="J165" s="34" t="e">
        <f>VLOOKUP(A1,DIV_14Data!$A$1:$DZU$1000000,2799,FALSE)</f>
        <v>#N/A</v>
      </c>
      <c r="K165" s="34" t="e">
        <f>VLOOKUP(A1,DIV_14Data!$A$1:$DZU$1000000,2800,FALSE)</f>
        <v>#N/A</v>
      </c>
      <c r="L165" s="93" t="e">
        <f>VLOOKUP(A1,DIV_14Data!$A$1:$DZU$1000000,2801,FALSE)</f>
        <v>#N/A</v>
      </c>
      <c r="M165" s="33" t="e">
        <f>VLOOKUP(A1,DIV_14Data!$A$1:$DZU$1000000,2802,FALSE)</f>
        <v>#N/A</v>
      </c>
      <c r="N165" s="34" t="e">
        <f>VLOOKUP(A1,DIV_14Data!$A$1:$DZU$1000000,2803,FALSE)</f>
        <v>#N/A</v>
      </c>
      <c r="O165" s="33" t="e">
        <f>VLOOKUP(A1,DIV_14Data!$A$1:$DZU$1000000,2804,FALSE)</f>
        <v>#N/A</v>
      </c>
      <c r="P165" s="46" t="e">
        <f>VLOOKUP(A1,DIV_14Data!$A$1:$DZU$1000000,2805,FALSE)</f>
        <v>#N/A</v>
      </c>
      <c r="Q165" s="33" t="e">
        <f>VLOOKUP(A1,DIV_14Data!$A$1:$DZU$1000000,2806,FALSE)</f>
        <v>#N/A</v>
      </c>
    </row>
    <row r="166" spans="1:17" x14ac:dyDescent="0.35">
      <c r="A166" s="22" t="e">
        <f>VLOOKUP(A1,DIV_14Data!$A$1:$DZU$1000000,2807,FALSE)</f>
        <v>#N/A</v>
      </c>
      <c r="B166" s="37" t="e">
        <f>VLOOKUP(A1,DIV_14Data!$A$1:$DZU$1000000,2808,FALSE)</f>
        <v>#N/A</v>
      </c>
      <c r="C166" s="38" t="e">
        <f>VLOOKUP(A1,DIV_14Data!$A$1:$DZU$1000000,2809,FALSE)</f>
        <v>#N/A</v>
      </c>
      <c r="D166" s="31" t="e">
        <f>VLOOKUP(A1,DIV_14Data!$A$1:$DZU$1000000,2810,FALSE)</f>
        <v>#N/A</v>
      </c>
      <c r="E166" s="32" t="e">
        <f>VLOOKUP(A1,DIV_14Data!$A$1:$DZU$1000000,2811,FALSE)</f>
        <v>#N/A</v>
      </c>
      <c r="F166" s="34" t="e">
        <f>VLOOKUP(A1,DIV_14Data!$A$1:$DZU$1000000,2812,FALSE)</f>
        <v>#N/A</v>
      </c>
      <c r="G166" s="33" t="e">
        <f>VLOOKUP(A1,DIV_14Data!$A$1:$DZU$1000000,2813,FALSE)</f>
        <v>#N/A</v>
      </c>
      <c r="H166" s="34" t="e">
        <f>VLOOKUP(A1,DIV_14Data!$A$1:$DZU$1000000,2814,FALSE)</f>
        <v>#N/A</v>
      </c>
      <c r="I166" s="33" t="e">
        <f>VLOOKUP(A1,DIV_14Data!$A$1:$DZU$1000000,2815,FALSE)</f>
        <v>#N/A</v>
      </c>
      <c r="J166" s="34" t="e">
        <f>VLOOKUP(A1,DIV_14Data!$A$1:$DZU$1000000,2816,FALSE)</f>
        <v>#N/A</v>
      </c>
      <c r="K166" s="34" t="e">
        <f>VLOOKUP(A1,DIV_14Data!$A$1:$DZU$1000000,2817,FALSE)</f>
        <v>#N/A</v>
      </c>
      <c r="L166" s="93" t="e">
        <f>VLOOKUP(A1,DIV_14Data!$A$1:$DZU$1000000,2818,FALSE)</f>
        <v>#N/A</v>
      </c>
      <c r="M166" s="33" t="e">
        <f>VLOOKUP(A1,DIV_14Data!$A$1:$DZU$1000000,2819,FALSE)</f>
        <v>#N/A</v>
      </c>
      <c r="N166" s="34" t="e">
        <f>VLOOKUP(A1,DIV_14Data!$A$1:$DZU$1000000,2820,FALSE)</f>
        <v>#N/A</v>
      </c>
      <c r="O166" s="33" t="e">
        <f>VLOOKUP(A1,DIV_14Data!$A$1:$DZU$1000000,2821,FALSE)</f>
        <v>#N/A</v>
      </c>
      <c r="P166" s="46" t="e">
        <f>VLOOKUP(A1,DIV_14Data!$A$1:$DZU$1000000,2822,FALSE)</f>
        <v>#N/A</v>
      </c>
      <c r="Q166" s="33" t="e">
        <f>VLOOKUP(A1,DIV_14Data!$A$1:$DZU$1000000,2823,FALSE)</f>
        <v>#N/A</v>
      </c>
    </row>
    <row r="167" spans="1:17" x14ac:dyDescent="0.35">
      <c r="A167" s="22" t="e">
        <f>VLOOKUP(A1,DIV_14Data!$A$1:$DZU$1000000,2824,FALSE)</f>
        <v>#N/A</v>
      </c>
      <c r="B167" s="37" t="e">
        <f>VLOOKUP(A1,DIV_14Data!$A$1:$DZU$1000000,2825,FALSE)</f>
        <v>#N/A</v>
      </c>
      <c r="C167" s="38" t="e">
        <f>VLOOKUP(A1,DIV_14Data!$A$1:$DZU$1000000,2826,FALSE)</f>
        <v>#N/A</v>
      </c>
      <c r="D167" s="31" t="e">
        <f>VLOOKUP(A1,DIV_14Data!$A$1:$DZU$1000000,2827,FALSE)</f>
        <v>#N/A</v>
      </c>
      <c r="E167" s="32" t="e">
        <f>VLOOKUP(A1,DIV_14Data!$A$1:$DZU$1000000,2828,FALSE)</f>
        <v>#N/A</v>
      </c>
      <c r="F167" s="34" t="e">
        <f>VLOOKUP(A1,DIV_14Data!$A$1:$DZU$1000000,2829,FALSE)</f>
        <v>#N/A</v>
      </c>
      <c r="G167" s="33" t="e">
        <f>VLOOKUP(A1,DIV_14Data!$A$1:$DZU$1000000,2830,FALSE)</f>
        <v>#N/A</v>
      </c>
      <c r="H167" s="34" t="e">
        <f>VLOOKUP(A1,DIV_14Data!$A$1:$DZU$1000000,2831,FALSE)</f>
        <v>#N/A</v>
      </c>
      <c r="I167" s="33" t="e">
        <f>VLOOKUP(A1,DIV_14Data!$A$1:$DZU$1000000,2832,FALSE)</f>
        <v>#N/A</v>
      </c>
      <c r="J167" s="34" t="e">
        <f>VLOOKUP(A1,DIV_14Data!$A$1:$DZU$1000000,2833,FALSE)</f>
        <v>#N/A</v>
      </c>
      <c r="K167" s="34" t="e">
        <f>VLOOKUP(A1,DIV_14Data!$A$1:$DZU$1000000,2834,FALSE)</f>
        <v>#N/A</v>
      </c>
      <c r="L167" s="93" t="e">
        <f>VLOOKUP(A1,DIV_14Data!$A$1:$DZU$1000000,2835,FALSE)</f>
        <v>#N/A</v>
      </c>
      <c r="M167" s="33" t="e">
        <f>VLOOKUP(A1,DIV_14Data!$A$1:$DZU$1000000,2836,FALSE)</f>
        <v>#N/A</v>
      </c>
      <c r="N167" s="34" t="e">
        <f>VLOOKUP(A1,DIV_14Data!$A$1:$DZU$1000000,2837,FALSE)</f>
        <v>#N/A</v>
      </c>
      <c r="O167" s="33" t="e">
        <f>VLOOKUP(A1,DIV_14Data!$A$1:$DZU$1000000,2838,FALSE)</f>
        <v>#N/A</v>
      </c>
      <c r="P167" s="46" t="e">
        <f>VLOOKUP(A1,DIV_14Data!$A$1:$DZU$1000000,2839,FALSE)</f>
        <v>#N/A</v>
      </c>
      <c r="Q167" s="33" t="e">
        <f>VLOOKUP(A1,DIV_14Data!$A$1:$DZU$1000000,2840,FALSE)</f>
        <v>#N/A</v>
      </c>
    </row>
    <row r="168" spans="1:17" x14ac:dyDescent="0.35">
      <c r="A168" s="22" t="e">
        <f>VLOOKUP(A1,DIV_14Data!$A$1:$DZU$1000000,2841,FALSE)</f>
        <v>#N/A</v>
      </c>
      <c r="B168" s="37" t="e">
        <f>VLOOKUP(A1,DIV_14Data!$A$1:$DZU$1000000,2842,FALSE)</f>
        <v>#N/A</v>
      </c>
      <c r="C168" s="38" t="e">
        <f>VLOOKUP(A1,DIV_14Data!$A$1:$DZU$1000000,2843,FALSE)</f>
        <v>#N/A</v>
      </c>
      <c r="D168" s="31" t="e">
        <f>VLOOKUP(A1,DIV_14Data!$A$1:$DZU$1000000,2844,FALSE)</f>
        <v>#N/A</v>
      </c>
      <c r="E168" s="32" t="e">
        <f>VLOOKUP(A1,DIV_14Data!$A$1:$DZU$1000000,2845,FALSE)</f>
        <v>#N/A</v>
      </c>
      <c r="F168" s="34" t="e">
        <f>VLOOKUP(A1,DIV_14Data!$A$1:$DZU$1000000,2846,FALSE)</f>
        <v>#N/A</v>
      </c>
      <c r="G168" s="33" t="e">
        <f>VLOOKUP(A1,DIV_14Data!$A$1:$DZU$1000000,2847,FALSE)</f>
        <v>#N/A</v>
      </c>
      <c r="H168" s="34" t="e">
        <f>VLOOKUP(A1,DIV_14Data!$A$1:$DZU$1000000,2848,FALSE)</f>
        <v>#N/A</v>
      </c>
      <c r="I168" s="33" t="e">
        <f>VLOOKUP(A1,DIV_14Data!$A$1:$DZU$1000000,2849,FALSE)</f>
        <v>#N/A</v>
      </c>
      <c r="J168" s="34" t="e">
        <f>VLOOKUP(A1,DIV_14Data!$A$1:$DZU$1000000,2850,FALSE)</f>
        <v>#N/A</v>
      </c>
      <c r="K168" s="34" t="e">
        <f>VLOOKUP(A1,DIV_14Data!$A$1:$DZU$1000000,2851,FALSE)</f>
        <v>#N/A</v>
      </c>
      <c r="L168" s="93" t="e">
        <f>VLOOKUP(A1,DIV_14Data!$A$1:$DZU$1000000,2852,FALSE)</f>
        <v>#N/A</v>
      </c>
      <c r="M168" s="33" t="e">
        <f>VLOOKUP(A1,DIV_14Data!$A$1:$DZU$1000000,2853,FALSE)</f>
        <v>#N/A</v>
      </c>
      <c r="N168" s="34" t="e">
        <f>VLOOKUP(A1,DIV_14Data!$A$1:$DZU$1000000,2854,FALSE)</f>
        <v>#N/A</v>
      </c>
      <c r="O168" s="33" t="e">
        <f>VLOOKUP(A1,DIV_14Data!$A$1:$DZU$1000000,2855,FALSE)</f>
        <v>#N/A</v>
      </c>
      <c r="P168" s="46" t="e">
        <f>VLOOKUP(A1,DIV_14Data!$A$1:$DZU$1000000,2856,FALSE)</f>
        <v>#N/A</v>
      </c>
      <c r="Q168" s="33" t="e">
        <f>VLOOKUP(A1,DIV_14Data!$A$1:$DZU$1000000,2857,FALSE)</f>
        <v>#N/A</v>
      </c>
    </row>
    <row r="169" spans="1:17" x14ac:dyDescent="0.35">
      <c r="A169" s="22" t="e">
        <f>VLOOKUP(A1,DIV_14Data!$A$1:$DZU$1000000,2858,FALSE)</f>
        <v>#N/A</v>
      </c>
      <c r="B169" s="37" t="e">
        <f>VLOOKUP(A1,DIV_14Data!$A$1:$DZU$1000000,2859,FALSE)</f>
        <v>#N/A</v>
      </c>
      <c r="C169" s="38" t="e">
        <f>VLOOKUP(A1,DIV_14Data!$A$1:$DZU$1000000,2860,FALSE)</f>
        <v>#N/A</v>
      </c>
      <c r="D169" s="31" t="e">
        <f>VLOOKUP(A1,DIV_14Data!$A$1:$DZU$1000000,2861,FALSE)</f>
        <v>#N/A</v>
      </c>
      <c r="E169" s="32" t="e">
        <f>VLOOKUP(A1,DIV_14Data!$A$1:$DZU$1000000,2862,FALSE)</f>
        <v>#N/A</v>
      </c>
      <c r="F169" s="34" t="e">
        <f>VLOOKUP(A1,DIV_14Data!$A$1:$DZU$1000000,2863,FALSE)</f>
        <v>#N/A</v>
      </c>
      <c r="G169" s="33" t="e">
        <f>VLOOKUP(A1,DIV_14Data!$A$1:$DZU$1000000,2864,FALSE)</f>
        <v>#N/A</v>
      </c>
      <c r="H169" s="34" t="e">
        <f>VLOOKUP(A1,DIV_14Data!$A$1:$DZU$1000000,2865,FALSE)</f>
        <v>#N/A</v>
      </c>
      <c r="I169" s="33" t="e">
        <f>VLOOKUP(A1,DIV_14Data!$A$1:$DZU$1000000,2866,FALSE)</f>
        <v>#N/A</v>
      </c>
      <c r="J169" s="34" t="e">
        <f>VLOOKUP(A1,DIV_14Data!$A$1:$DZU$1000000,2867,FALSE)</f>
        <v>#N/A</v>
      </c>
      <c r="K169" s="34" t="e">
        <f>VLOOKUP(A1,DIV_14Data!$A$1:$DZU$1000000,2868,FALSE)</f>
        <v>#N/A</v>
      </c>
      <c r="L169" s="93" t="e">
        <f>VLOOKUP(A1,DIV_14Data!$A$1:$DZU$1000000,2869,FALSE)</f>
        <v>#N/A</v>
      </c>
      <c r="M169" s="33" t="e">
        <f>VLOOKUP(A1,DIV_14Data!$A$1:$DZU$1000000,2870,FALSE)</f>
        <v>#N/A</v>
      </c>
      <c r="N169" s="34" t="e">
        <f>VLOOKUP(A1,DIV_14Data!$A$1:$DZU$1000000,2871,FALSE)</f>
        <v>#N/A</v>
      </c>
      <c r="O169" s="33" t="e">
        <f>VLOOKUP(A1,DIV_14Data!$A$1:$DZU$1000000,2872,FALSE)</f>
        <v>#N/A</v>
      </c>
      <c r="P169" s="46" t="e">
        <f>VLOOKUP(A1,DIV_14Data!$A$1:$DZU$1000000,2873,FALSE)</f>
        <v>#N/A</v>
      </c>
      <c r="Q169" s="33" t="e">
        <f>VLOOKUP(A1,DIV_14Data!$A$1:$DZU$1000000,2874,FALSE)</f>
        <v>#N/A</v>
      </c>
    </row>
    <row r="170" spans="1:17" x14ac:dyDescent="0.35">
      <c r="A170" s="22" t="e">
        <f>VLOOKUP(A1,DIV_14Data!$A$1:$DZU$1000000,2875,FALSE)</f>
        <v>#N/A</v>
      </c>
      <c r="B170" s="37" t="e">
        <f>VLOOKUP(A1,DIV_14Data!$A$1:$DZU$1000000,2876,FALSE)</f>
        <v>#N/A</v>
      </c>
      <c r="C170" s="38" t="e">
        <f>VLOOKUP(A1,DIV_14Data!$A$1:$DZU$1000000,2877,FALSE)</f>
        <v>#N/A</v>
      </c>
      <c r="D170" s="31" t="e">
        <f>VLOOKUP(A1,DIV_14Data!$A$1:$DZU$1000000,2878,FALSE)</f>
        <v>#N/A</v>
      </c>
      <c r="E170" s="32" t="e">
        <f>VLOOKUP(A1,DIV_14Data!$A$1:$DZU$1000000,2879,FALSE)</f>
        <v>#N/A</v>
      </c>
      <c r="F170" s="34" t="e">
        <f>VLOOKUP(A1,DIV_14Data!$A$1:$DZU$1000000,2880,FALSE)</f>
        <v>#N/A</v>
      </c>
      <c r="G170" s="33" t="e">
        <f>VLOOKUP(A1,DIV_14Data!$A$1:$DZU$1000000,2881,FALSE)</f>
        <v>#N/A</v>
      </c>
      <c r="H170" s="34" t="e">
        <f>VLOOKUP(A1,DIV_14Data!$A$1:$DZU$1000000,2882,FALSE)</f>
        <v>#N/A</v>
      </c>
      <c r="I170" s="33" t="e">
        <f>VLOOKUP(A1,DIV_14Data!$A$1:$DZU$1000000,2883,FALSE)</f>
        <v>#N/A</v>
      </c>
      <c r="J170" s="34" t="e">
        <f>VLOOKUP(A1,DIV_14Data!$A$1:$DZU$1000000,2884,FALSE)</f>
        <v>#N/A</v>
      </c>
      <c r="K170" s="34" t="e">
        <f>VLOOKUP(A1,DIV_14Data!$A$1:$DZU$1000000,2885,FALSE)</f>
        <v>#N/A</v>
      </c>
      <c r="L170" s="93" t="e">
        <f>VLOOKUP(A1,DIV_14Data!$A$1:$DZU$1000000,2886,FALSE)</f>
        <v>#N/A</v>
      </c>
      <c r="M170" s="33" t="e">
        <f>VLOOKUP(A1,DIV_14Data!$A$1:$DZU$1000000,2887,FALSE)</f>
        <v>#N/A</v>
      </c>
      <c r="N170" s="34" t="e">
        <f>VLOOKUP(A1,DIV_14Data!$A$1:$DZU$1000000,2888,FALSE)</f>
        <v>#N/A</v>
      </c>
      <c r="O170" s="33" t="e">
        <f>VLOOKUP(A1,DIV_14Data!$A$1:$DZU$1000000,2889,FALSE)</f>
        <v>#N/A</v>
      </c>
      <c r="P170" s="46" t="e">
        <f>VLOOKUP(A1,DIV_14Data!$A$1:$DZU$1000000,2890,FALSE)</f>
        <v>#N/A</v>
      </c>
      <c r="Q170" s="33" t="e">
        <f>VLOOKUP(A1,DIV_14Data!$A$1:$DZU$1000000,2891,FALSE)</f>
        <v>#N/A</v>
      </c>
    </row>
    <row r="171" spans="1:17" x14ac:dyDescent="0.35">
      <c r="A171" s="22" t="e">
        <f>VLOOKUP(A1,DIV_14Data!$A$1:$DZU$1000000,2892,FALSE)</f>
        <v>#N/A</v>
      </c>
      <c r="B171" s="37" t="e">
        <f>VLOOKUP(A1,DIV_14Data!$A$1:$DZU$1000000,2893,FALSE)</f>
        <v>#N/A</v>
      </c>
      <c r="C171" s="38" t="e">
        <f>VLOOKUP(A1,DIV_14Data!$A$1:$DZU$1000000,2894,FALSE)</f>
        <v>#N/A</v>
      </c>
      <c r="D171" s="31" t="e">
        <f>VLOOKUP(A1,DIV_14Data!$A$1:$DZU$1000000,2895,FALSE)</f>
        <v>#N/A</v>
      </c>
      <c r="E171" s="32" t="e">
        <f>VLOOKUP(A1,DIV_14Data!$A$1:$DZU$1000000,2896,FALSE)</f>
        <v>#N/A</v>
      </c>
      <c r="F171" s="34" t="e">
        <f>VLOOKUP(A1,DIV_14Data!$A$1:$DZU$1000000,2897,FALSE)</f>
        <v>#N/A</v>
      </c>
      <c r="G171" s="33" t="e">
        <f>VLOOKUP(A1,DIV_14Data!$A$1:$DZU$1000000,2898,FALSE)</f>
        <v>#N/A</v>
      </c>
      <c r="H171" s="34" t="e">
        <f>VLOOKUP(A1,DIV_14Data!$A$1:$DZU$1000000,2899,FALSE)</f>
        <v>#N/A</v>
      </c>
      <c r="I171" s="33" t="e">
        <f>VLOOKUP(A1,DIV_14Data!$A$1:$DZU$1000000,2900,FALSE)</f>
        <v>#N/A</v>
      </c>
      <c r="J171" s="34" t="e">
        <f>VLOOKUP(A1,DIV_14Data!$A$1:$DZU$1000000,2901,FALSE)</f>
        <v>#N/A</v>
      </c>
      <c r="K171" s="34" t="e">
        <f>VLOOKUP(A1,DIV_14Data!$A$1:$DZU$1000000,2902,FALSE)</f>
        <v>#N/A</v>
      </c>
      <c r="L171" s="93" t="e">
        <f>VLOOKUP(A1,DIV_14Data!$A$1:$DZU$1000000,2903,FALSE)</f>
        <v>#N/A</v>
      </c>
      <c r="M171" s="33" t="e">
        <f>VLOOKUP(A1,DIV_14Data!$A$1:$DZU$1000000,2904,FALSE)</f>
        <v>#N/A</v>
      </c>
      <c r="N171" s="34" t="e">
        <f>VLOOKUP(A1,DIV_14Data!$A$1:$DZU$1000000,2905,FALSE)</f>
        <v>#N/A</v>
      </c>
      <c r="O171" s="33" t="e">
        <f>VLOOKUP(A1,DIV_14Data!$A$1:$DZU$1000000,2906,FALSE)</f>
        <v>#N/A</v>
      </c>
      <c r="P171" s="46" t="e">
        <f>VLOOKUP(A1,DIV_14Data!$A$1:$DZU$1000000,2907,FALSE)</f>
        <v>#N/A</v>
      </c>
      <c r="Q171" s="33" t="e">
        <f>VLOOKUP(A1,DIV_14Data!$A$1:$DZU$1000000,2908,FALSE)</f>
        <v>#N/A</v>
      </c>
    </row>
    <row r="172" spans="1:17" x14ac:dyDescent="0.35">
      <c r="A172" s="22" t="e">
        <f>VLOOKUP(A1,DIV_14Data!$A$1:$DZU$1000000,2909,FALSE)</f>
        <v>#N/A</v>
      </c>
      <c r="B172" s="37" t="e">
        <f>VLOOKUP(A1,DIV_14Data!$A$1:$DZU$1000000,2910,FALSE)</f>
        <v>#N/A</v>
      </c>
      <c r="C172" s="38" t="e">
        <f>VLOOKUP(A1,DIV_14Data!$A$1:$DZU$1000000,2911,FALSE)</f>
        <v>#N/A</v>
      </c>
      <c r="D172" s="31" t="e">
        <f>VLOOKUP(A1,DIV_14Data!$A$1:$DZU$1000000,2912,FALSE)</f>
        <v>#N/A</v>
      </c>
      <c r="E172" s="32" t="e">
        <f>VLOOKUP(A1,DIV_14Data!$A$1:$DZU$1000000,2913,FALSE)</f>
        <v>#N/A</v>
      </c>
      <c r="F172" s="34" t="e">
        <f>VLOOKUP(A1,DIV_14Data!$A$1:$DZU$1000000,2914,FALSE)</f>
        <v>#N/A</v>
      </c>
      <c r="G172" s="33" t="e">
        <f>VLOOKUP(A1,DIV_14Data!$A$1:$DZU$1000000,2915,FALSE)</f>
        <v>#N/A</v>
      </c>
      <c r="H172" s="34" t="e">
        <f>VLOOKUP(A1,DIV_14Data!$A$1:$DZU$1000000,2916,FALSE)</f>
        <v>#N/A</v>
      </c>
      <c r="I172" s="33" t="e">
        <f>VLOOKUP(A1,DIV_14Data!$A$1:$DZU$1000000,2917,FALSE)</f>
        <v>#N/A</v>
      </c>
      <c r="J172" s="34" t="e">
        <f>VLOOKUP(A1,DIV_14Data!$A$1:$DZU$1000000,2918,FALSE)</f>
        <v>#N/A</v>
      </c>
      <c r="K172" s="34" t="e">
        <f>VLOOKUP(A1,DIV_14Data!$A$1:$DZU$1000000,2919,FALSE)</f>
        <v>#N/A</v>
      </c>
      <c r="L172" s="93" t="e">
        <f>VLOOKUP(A1,DIV_14Data!$A$1:$DZU$1000000,2920,FALSE)</f>
        <v>#N/A</v>
      </c>
      <c r="M172" s="33" t="e">
        <f>VLOOKUP(A1,DIV_14Data!$A$1:$DZU$1000000,2921,FALSE)</f>
        <v>#N/A</v>
      </c>
      <c r="N172" s="34" t="e">
        <f>VLOOKUP(A1,DIV_14Data!$A$1:$DZU$1000000,2922,FALSE)</f>
        <v>#N/A</v>
      </c>
      <c r="O172" s="33" t="e">
        <f>VLOOKUP(A1,DIV_14Data!$A$1:$DZU$1000000,2923,FALSE)</f>
        <v>#N/A</v>
      </c>
      <c r="P172" s="46" t="e">
        <f>VLOOKUP(A1,DIV_14Data!$A$1:$DZU$1000000,2924,FALSE)</f>
        <v>#N/A</v>
      </c>
      <c r="Q172" s="33" t="e">
        <f>VLOOKUP(A1,DIV_14Data!$A$1:$DZU$1000000,2925,FALSE)</f>
        <v>#N/A</v>
      </c>
    </row>
    <row r="173" spans="1:17" x14ac:dyDescent="0.35">
      <c r="A173" s="22" t="e">
        <f>VLOOKUP(A1,DIV_14Data!$A$1:$DZU$1000000,2926,FALSE)</f>
        <v>#N/A</v>
      </c>
      <c r="B173" s="37" t="e">
        <f>VLOOKUP(A1,DIV_14Data!$A$1:$DZU$1000000,2927,FALSE)</f>
        <v>#N/A</v>
      </c>
      <c r="C173" s="38" t="e">
        <f>VLOOKUP(A1,DIV_14Data!$A$1:$DZU$1000000,2928,FALSE)</f>
        <v>#N/A</v>
      </c>
      <c r="D173" s="31" t="e">
        <f>VLOOKUP(A1,DIV_14Data!$A$1:$DZU$1000000,2929,FALSE)</f>
        <v>#N/A</v>
      </c>
      <c r="E173" s="32" t="e">
        <f>VLOOKUP(A1,DIV_14Data!$A$1:$DZU$1000000,2930,FALSE)</f>
        <v>#N/A</v>
      </c>
      <c r="F173" s="34" t="e">
        <f>VLOOKUP(A1,DIV_14Data!$A$1:$DZU$1000000,2931,FALSE)</f>
        <v>#N/A</v>
      </c>
      <c r="G173" s="33" t="e">
        <f>VLOOKUP(A1,DIV_14Data!$A$1:$DZU$1000000,2932,FALSE)</f>
        <v>#N/A</v>
      </c>
      <c r="H173" s="34" t="e">
        <f>VLOOKUP(A1,DIV_14Data!$A$1:$DZU$1000000,2933,FALSE)</f>
        <v>#N/A</v>
      </c>
      <c r="I173" s="33" t="e">
        <f>VLOOKUP(A1,DIV_14Data!$A$1:$DZU$1000000,2934,FALSE)</f>
        <v>#N/A</v>
      </c>
      <c r="J173" s="34" t="e">
        <f>VLOOKUP(A1,DIV_14Data!$A$1:$DZU$1000000,2935,FALSE)</f>
        <v>#N/A</v>
      </c>
      <c r="K173" s="34" t="e">
        <f>VLOOKUP(A1,DIV_14Data!$A$1:$DZU$1000000,2936,FALSE)</f>
        <v>#N/A</v>
      </c>
      <c r="L173" s="93" t="e">
        <f>VLOOKUP(A1,DIV_14Data!$A$1:$DZU$1000000,2937,FALSE)</f>
        <v>#N/A</v>
      </c>
      <c r="M173" s="33" t="e">
        <f>VLOOKUP(A1,DIV_14Data!$A$1:$DZU$1000000,2938,FALSE)</f>
        <v>#N/A</v>
      </c>
      <c r="N173" s="34" t="e">
        <f>VLOOKUP(A1,DIV_14Data!$A$1:$DZU$1000000,2939,FALSE)</f>
        <v>#N/A</v>
      </c>
      <c r="O173" s="33" t="e">
        <f>VLOOKUP(A1,DIV_14Data!$A$1:$DZU$1000000,2940,FALSE)</f>
        <v>#N/A</v>
      </c>
      <c r="P173" s="46" t="e">
        <f>VLOOKUP(A1,DIV_14Data!$A$1:$DZU$1000000,2941,FALSE)</f>
        <v>#N/A</v>
      </c>
      <c r="Q173" s="33" t="e">
        <f>VLOOKUP(A1,DIV_14Data!$A$1:$DZU$1000000,2942,FALSE)</f>
        <v>#N/A</v>
      </c>
    </row>
    <row r="174" spans="1:17" x14ac:dyDescent="0.35">
      <c r="A174" s="22" t="e">
        <f>VLOOKUP(A1,DIV_14Data!$A$1:$DZU$1000000,2943,FALSE)</f>
        <v>#N/A</v>
      </c>
      <c r="B174" s="37" t="e">
        <f>VLOOKUP(A1,DIV_14Data!$A$1:$DZU$1000000,2944,FALSE)</f>
        <v>#N/A</v>
      </c>
      <c r="C174" s="38" t="e">
        <f>VLOOKUP(A1,DIV_14Data!$A$1:$DZU$1000000,2945,FALSE)</f>
        <v>#N/A</v>
      </c>
      <c r="D174" s="31" t="e">
        <f>VLOOKUP(A1,DIV_14Data!$A$1:$DZU$1000000,2946,FALSE)</f>
        <v>#N/A</v>
      </c>
      <c r="E174" s="32" t="e">
        <f>VLOOKUP(A1,DIV_14Data!$A$1:$DZU$1000000,2947,FALSE)</f>
        <v>#N/A</v>
      </c>
      <c r="F174" s="34" t="e">
        <f>VLOOKUP(A1,DIV_14Data!$A$1:$DZU$1000000,2948,FALSE)</f>
        <v>#N/A</v>
      </c>
      <c r="G174" s="33" t="e">
        <f>VLOOKUP(A1,DIV_14Data!$A$1:$DZU$1000000,2949,FALSE)</f>
        <v>#N/A</v>
      </c>
      <c r="H174" s="34" t="e">
        <f>VLOOKUP(A1,DIV_14Data!$A$1:$DZU$1000000,2950,FALSE)</f>
        <v>#N/A</v>
      </c>
      <c r="I174" s="33" t="e">
        <f>VLOOKUP(A1,DIV_14Data!$A$1:$DZU$1000000,2951,FALSE)</f>
        <v>#N/A</v>
      </c>
      <c r="J174" s="34" t="e">
        <f>VLOOKUP(A1,DIV_14Data!$A$1:$DZU$1000000,2952,FALSE)</f>
        <v>#N/A</v>
      </c>
      <c r="K174" s="34" t="e">
        <f>VLOOKUP(A1,DIV_14Data!$A$1:$DZU$1000000,2953,FALSE)</f>
        <v>#N/A</v>
      </c>
      <c r="L174" s="93" t="e">
        <f>VLOOKUP(A1,DIV_14Data!$A$1:$DZU$1000000,2954,FALSE)</f>
        <v>#N/A</v>
      </c>
      <c r="M174" s="33" t="e">
        <f>VLOOKUP(A1,DIV_14Data!$A$1:$DZU$1000000,2955,FALSE)</f>
        <v>#N/A</v>
      </c>
      <c r="N174" s="34" t="e">
        <f>VLOOKUP(A1,DIV_14Data!$A$1:$DZU$1000000,2956,FALSE)</f>
        <v>#N/A</v>
      </c>
      <c r="O174" s="33" t="e">
        <f>VLOOKUP(A1,DIV_14Data!$A$1:$DZU$1000000,2957,FALSE)</f>
        <v>#N/A</v>
      </c>
      <c r="P174" s="46" t="e">
        <f>VLOOKUP(A1,DIV_14Data!$A$1:$DZU$1000000,2958,FALSE)</f>
        <v>#N/A</v>
      </c>
      <c r="Q174" s="33" t="e">
        <f>VLOOKUP(A1,DIV_14Data!$A$1:$DZU$1000000,2959,FALSE)</f>
        <v>#N/A</v>
      </c>
    </row>
    <row r="175" spans="1:17" x14ac:dyDescent="0.35">
      <c r="A175" s="22" t="e">
        <f>VLOOKUP(A1,DIV_14Data!$A$1:$DZU$1000000,2960,FALSE)</f>
        <v>#N/A</v>
      </c>
      <c r="B175" s="37" t="e">
        <f>VLOOKUP(A1,DIV_14Data!$A$1:$DZU$1000000,2961,FALSE)</f>
        <v>#N/A</v>
      </c>
      <c r="C175" s="38" t="e">
        <f>VLOOKUP(A1,DIV_14Data!$A$1:$DZU$1000000,2962,FALSE)</f>
        <v>#N/A</v>
      </c>
      <c r="D175" s="31" t="e">
        <f>VLOOKUP(A1,DIV_14Data!$A$1:$DZU$1000000,2963,FALSE)</f>
        <v>#N/A</v>
      </c>
      <c r="E175" s="32" t="e">
        <f>VLOOKUP(A1,DIV_14Data!$A$1:$DZU$1000000,2964,FALSE)</f>
        <v>#N/A</v>
      </c>
      <c r="F175" s="34" t="e">
        <f>VLOOKUP(A1,DIV_14Data!$A$1:$DZU$1000000,2965,FALSE)</f>
        <v>#N/A</v>
      </c>
      <c r="G175" s="33" t="e">
        <f>VLOOKUP(A1,DIV_14Data!$A$1:$DZU$1000000,2966,FALSE)</f>
        <v>#N/A</v>
      </c>
      <c r="H175" s="34" t="e">
        <f>VLOOKUP(A1,DIV_14Data!$A$1:$DZU$1000000,2967,FALSE)</f>
        <v>#N/A</v>
      </c>
      <c r="I175" s="33" t="e">
        <f>VLOOKUP(A1,DIV_14Data!$A$1:$DZU$1000000,2968,FALSE)</f>
        <v>#N/A</v>
      </c>
      <c r="J175" s="34" t="e">
        <f>VLOOKUP(A1,DIV_14Data!$A$1:$DZU$1000000,2969,FALSE)</f>
        <v>#N/A</v>
      </c>
      <c r="K175" s="34" t="e">
        <f>VLOOKUP(A1,DIV_14Data!$A$1:$DZU$1000000,2970,FALSE)</f>
        <v>#N/A</v>
      </c>
      <c r="L175" s="93" t="e">
        <f>VLOOKUP(A1,DIV_14Data!$A$1:$DZU$1000000,2971,FALSE)</f>
        <v>#N/A</v>
      </c>
      <c r="M175" s="33" t="e">
        <f>VLOOKUP(A1,DIV_14Data!$A$1:$DZU$1000000,2972,FALSE)</f>
        <v>#N/A</v>
      </c>
      <c r="N175" s="34" t="e">
        <f>VLOOKUP(A1,DIV_14Data!$A$1:$DZU$1000000,2973,FALSE)</f>
        <v>#N/A</v>
      </c>
      <c r="O175" s="33" t="e">
        <f>VLOOKUP(A1,DIV_14Data!$A$1:$DZU$1000000,2974,FALSE)</f>
        <v>#N/A</v>
      </c>
      <c r="P175" s="46" t="e">
        <f>VLOOKUP(A1,DIV_14Data!$A$1:$DZU$1000000,2975,FALSE)</f>
        <v>#N/A</v>
      </c>
      <c r="Q175" s="33" t="e">
        <f>VLOOKUP(A1,DIV_14Data!$A$1:$DZU$1000000,2976,FALSE)</f>
        <v>#N/A</v>
      </c>
    </row>
    <row r="176" spans="1:17" x14ac:dyDescent="0.35">
      <c r="A176" s="22" t="e">
        <f>VLOOKUP(A1,DIV_14Data!$A$1:$DZU$1000000,2977,FALSE)</f>
        <v>#N/A</v>
      </c>
      <c r="B176" s="37" t="e">
        <f>VLOOKUP(A1,DIV_14Data!$A$1:$DZU$1000000,2978,FALSE)</f>
        <v>#N/A</v>
      </c>
      <c r="C176" s="38" t="e">
        <f>VLOOKUP(A1,DIV_14Data!$A$1:$DZU$1000000,2979,FALSE)</f>
        <v>#N/A</v>
      </c>
      <c r="D176" s="31" t="e">
        <f>VLOOKUP(A1,DIV_14Data!$A$1:$DZU$1000000,2980,FALSE)</f>
        <v>#N/A</v>
      </c>
      <c r="E176" s="32" t="e">
        <f>VLOOKUP(A1,DIV_14Data!$A$1:$DZU$1000000,2981,FALSE)</f>
        <v>#N/A</v>
      </c>
      <c r="F176" s="34" t="e">
        <f>VLOOKUP(A1,DIV_14Data!$A$1:$DZU$1000000,2982,FALSE)</f>
        <v>#N/A</v>
      </c>
      <c r="G176" s="33" t="e">
        <f>VLOOKUP(A1,DIV_14Data!$A$1:$DZU$1000000,2983,FALSE)</f>
        <v>#N/A</v>
      </c>
      <c r="H176" s="34" t="e">
        <f>VLOOKUP(A1,DIV_14Data!$A$1:$DZU$1000000,2984,FALSE)</f>
        <v>#N/A</v>
      </c>
      <c r="I176" s="33" t="e">
        <f>VLOOKUP(A1,DIV_14Data!$A$1:$DZU$1000000,2985,FALSE)</f>
        <v>#N/A</v>
      </c>
      <c r="J176" s="34" t="e">
        <f>VLOOKUP(A1,DIV_14Data!$A$1:$DZU$1000000,2986,FALSE)</f>
        <v>#N/A</v>
      </c>
      <c r="K176" s="34" t="e">
        <f>VLOOKUP(A1,DIV_14Data!$A$1:$DZU$1000000,2987,FALSE)</f>
        <v>#N/A</v>
      </c>
      <c r="L176" s="93" t="e">
        <f>VLOOKUP(A1,DIV_14Data!$A$1:$DZU$1000000,2988,FALSE)</f>
        <v>#N/A</v>
      </c>
      <c r="M176" s="33" t="e">
        <f>VLOOKUP(A1,DIV_14Data!$A$1:$DZU$1000000,2989,FALSE)</f>
        <v>#N/A</v>
      </c>
      <c r="N176" s="34" t="e">
        <f>VLOOKUP(A1,DIV_14Data!$A$1:$DZU$1000000,2990,FALSE)</f>
        <v>#N/A</v>
      </c>
      <c r="O176" s="33" t="e">
        <f>VLOOKUP(A1,DIV_14Data!$A$1:$DZU$1000000,2991,FALSE)</f>
        <v>#N/A</v>
      </c>
      <c r="P176" s="46" t="e">
        <f>VLOOKUP(A1,DIV_14Data!$A$1:$DZU$1000000,2992,FALSE)</f>
        <v>#N/A</v>
      </c>
      <c r="Q176" s="33" t="e">
        <f>VLOOKUP(A1,DIV_14Data!$A$1:$DZU$1000000,2993,FALSE)</f>
        <v>#N/A</v>
      </c>
    </row>
    <row r="177" spans="1:17" x14ac:dyDescent="0.35">
      <c r="A177" s="22" t="e">
        <f>VLOOKUP(A1,DIV_14Data!$A$1:$DZU$1000000,2994,FALSE)</f>
        <v>#N/A</v>
      </c>
      <c r="B177" s="37" t="e">
        <f>VLOOKUP(A1,DIV_14Data!$A$1:$DZU$1000000,2995,FALSE)</f>
        <v>#N/A</v>
      </c>
      <c r="C177" s="38" t="e">
        <f>VLOOKUP(A1,DIV_14Data!$A$1:$DZU$1000000,2996,FALSE)</f>
        <v>#N/A</v>
      </c>
      <c r="D177" s="31" t="e">
        <f>VLOOKUP(A1,DIV_14Data!$A$1:$DZU$1000000,2997,FALSE)</f>
        <v>#N/A</v>
      </c>
      <c r="E177" s="32" t="e">
        <f>VLOOKUP(A1,DIV_14Data!$A$1:$DZU$1000000,2998,FALSE)</f>
        <v>#N/A</v>
      </c>
      <c r="F177" s="34" t="e">
        <f>VLOOKUP(A1,DIV_14Data!$A$1:$DZU$1000000,2999,FALSE)</f>
        <v>#N/A</v>
      </c>
      <c r="G177" s="33" t="e">
        <f>VLOOKUP(A1,DIV_14Data!$A$1:$DZU$1000000,3000,FALSE)</f>
        <v>#N/A</v>
      </c>
      <c r="H177" s="34" t="e">
        <f>VLOOKUP(A1,DIV_14Data!$A$1:$DZU$1000000,3001,FALSE)</f>
        <v>#N/A</v>
      </c>
      <c r="I177" s="33" t="e">
        <f>VLOOKUP(A1,DIV_14Data!$A$1:$DZU$1000000,3002,FALSE)</f>
        <v>#N/A</v>
      </c>
      <c r="J177" s="34" t="e">
        <f>VLOOKUP(A1,DIV_14Data!$A$1:$DZU$1000000,3003,FALSE)</f>
        <v>#N/A</v>
      </c>
      <c r="K177" s="34" t="e">
        <f>VLOOKUP(A1,DIV_14Data!$A$1:$DZU$1000000,3004,FALSE)</f>
        <v>#N/A</v>
      </c>
      <c r="L177" s="93" t="e">
        <f>VLOOKUP(A1,DIV_14Data!$A$1:$DZU$1000000,3005,FALSE)</f>
        <v>#N/A</v>
      </c>
      <c r="M177" s="33" t="e">
        <f>VLOOKUP(A1,DIV_14Data!$A$1:$DZU$1000000,3006,FALSE)</f>
        <v>#N/A</v>
      </c>
      <c r="N177" s="34" t="e">
        <f>VLOOKUP(A1,DIV_14Data!$A$1:$DZU$1000000,3007,FALSE)</f>
        <v>#N/A</v>
      </c>
      <c r="O177" s="33" t="e">
        <f>VLOOKUP(A1,DIV_14Data!$A$1:$DZU$1000000,3008,FALSE)</f>
        <v>#N/A</v>
      </c>
      <c r="P177" s="46" t="e">
        <f>VLOOKUP(A1,DIV_14Data!$A$1:$DZU$1000000,3009,FALSE)</f>
        <v>#N/A</v>
      </c>
      <c r="Q177" s="33" t="e">
        <f>VLOOKUP(A1,DIV_14Data!$A$1:$DZU$1000000,3010,FALSE)</f>
        <v>#N/A</v>
      </c>
    </row>
    <row r="178" spans="1:17" x14ac:dyDescent="0.35">
      <c r="A178" s="22" t="e">
        <f>VLOOKUP(A1,DIV_14Data!$A$1:$DZU$1000000,3011,FALSE)</f>
        <v>#N/A</v>
      </c>
      <c r="B178" s="37" t="e">
        <f>VLOOKUP(A1,DIV_14Data!$A$1:$DZU$1000000,3012,FALSE)</f>
        <v>#N/A</v>
      </c>
      <c r="C178" s="38" t="e">
        <f>VLOOKUP(A1,DIV_14Data!$A$1:$DZU$1000000,3013,FALSE)</f>
        <v>#N/A</v>
      </c>
      <c r="D178" s="31" t="e">
        <f>VLOOKUP(A1,DIV_14Data!$A$1:$DZU$1000000,3014,FALSE)</f>
        <v>#N/A</v>
      </c>
      <c r="E178" s="32" t="e">
        <f>VLOOKUP(A1,DIV_14Data!$A$1:$DZU$1000000,3015,FALSE)</f>
        <v>#N/A</v>
      </c>
      <c r="F178" s="34" t="e">
        <f>VLOOKUP(A1,DIV_14Data!$A$1:$DZU$1000000,3016,FALSE)</f>
        <v>#N/A</v>
      </c>
      <c r="G178" s="33" t="e">
        <f>VLOOKUP(A1,DIV_14Data!$A$1:$DZU$1000000,3017,FALSE)</f>
        <v>#N/A</v>
      </c>
      <c r="H178" s="34" t="e">
        <f>VLOOKUP(A1,DIV_14Data!$A$1:$DZU$1000000,3018,FALSE)</f>
        <v>#N/A</v>
      </c>
      <c r="I178" s="33" t="e">
        <f>VLOOKUP(A1,DIV_14Data!$A$1:$DZU$1000000,3019,FALSE)</f>
        <v>#N/A</v>
      </c>
      <c r="J178" s="34" t="e">
        <f>VLOOKUP(A1,DIV_14Data!$A$1:$DZU$1000000,3020,FALSE)</f>
        <v>#N/A</v>
      </c>
      <c r="K178" s="34" t="e">
        <f>VLOOKUP(A1,DIV_14Data!$A$1:$DZU$1000000,3021,FALSE)</f>
        <v>#N/A</v>
      </c>
      <c r="L178" s="93" t="e">
        <f>VLOOKUP(A1,DIV_14Data!$A$1:$DZU$1000000,3022,FALSE)</f>
        <v>#N/A</v>
      </c>
      <c r="M178" s="33" t="e">
        <f>VLOOKUP(A1,DIV_14Data!$A$1:$DZU$1000000,3023,FALSE)</f>
        <v>#N/A</v>
      </c>
      <c r="N178" s="34" t="e">
        <f>VLOOKUP(A1,DIV_14Data!$A$1:$DZU$1000000,3024,FALSE)</f>
        <v>#N/A</v>
      </c>
      <c r="O178" s="33" t="e">
        <f>VLOOKUP(A1,DIV_14Data!$A$1:$DZU$1000000,3025,FALSE)</f>
        <v>#N/A</v>
      </c>
      <c r="P178" s="46" t="e">
        <f>VLOOKUP(A1,DIV_14Data!$A$1:$DZU$1000000,3026,FALSE)</f>
        <v>#N/A</v>
      </c>
      <c r="Q178" s="33" t="e">
        <f>VLOOKUP(A1,DIV_14Data!$A$1:$DZU$1000000,3027,FALSE)</f>
        <v>#N/A</v>
      </c>
    </row>
    <row r="179" spans="1:17" x14ac:dyDescent="0.35">
      <c r="A179" s="22" t="e">
        <f>VLOOKUP(A1,DIV_14Data!$A$1:$DZU$1000000,3028,FALSE)</f>
        <v>#N/A</v>
      </c>
      <c r="B179" s="37" t="e">
        <f>VLOOKUP(A1,DIV_14Data!$A$1:$DZU$1000000,3029,FALSE)</f>
        <v>#N/A</v>
      </c>
      <c r="C179" s="38" t="e">
        <f>VLOOKUP(A1,DIV_14Data!$A$1:$DZU$1000000,3030,FALSE)</f>
        <v>#N/A</v>
      </c>
      <c r="D179" s="31" t="e">
        <f>VLOOKUP(A1,DIV_14Data!$A$1:$DZU$1000000,3031,FALSE)</f>
        <v>#N/A</v>
      </c>
      <c r="E179" s="32" t="e">
        <f>VLOOKUP(A1,DIV_14Data!$A$1:$DZU$1000000,3032,FALSE)</f>
        <v>#N/A</v>
      </c>
      <c r="F179" s="34" t="e">
        <f>VLOOKUP(A1,DIV_14Data!$A$1:$DZU$1000000,3033,FALSE)</f>
        <v>#N/A</v>
      </c>
      <c r="G179" s="33" t="e">
        <f>VLOOKUP(A1,DIV_14Data!$A$1:$DZU$1000000,3034,FALSE)</f>
        <v>#N/A</v>
      </c>
      <c r="H179" s="34" t="e">
        <f>VLOOKUP(A1,DIV_14Data!$A$1:$DZU$1000000,3035,FALSE)</f>
        <v>#N/A</v>
      </c>
      <c r="I179" s="33" t="e">
        <f>VLOOKUP(A1,DIV_14Data!$A$1:$DZU$1000000,3036,FALSE)</f>
        <v>#N/A</v>
      </c>
      <c r="J179" s="34" t="e">
        <f>VLOOKUP(A1,DIV_14Data!$A$1:$DZU$1000000,3037,FALSE)</f>
        <v>#N/A</v>
      </c>
      <c r="K179" s="34" t="e">
        <f>VLOOKUP(A1,DIV_14Data!$A$1:$DZU$1000000,3038,FALSE)</f>
        <v>#N/A</v>
      </c>
      <c r="L179" s="93" t="e">
        <f>VLOOKUP(A1,DIV_14Data!$A$1:$DZU$1000000,3039,FALSE)</f>
        <v>#N/A</v>
      </c>
      <c r="M179" s="33" t="e">
        <f>VLOOKUP(A1,DIV_14Data!$A$1:$DZU$1000000,3040,FALSE)</f>
        <v>#N/A</v>
      </c>
      <c r="N179" s="34" t="e">
        <f>VLOOKUP(A1,DIV_14Data!$A$1:$DZU$1000000,3041,FALSE)</f>
        <v>#N/A</v>
      </c>
      <c r="O179" s="33" t="e">
        <f>VLOOKUP(A1,DIV_14Data!$A$1:$DZU$1000000,3042,FALSE)</f>
        <v>#N/A</v>
      </c>
      <c r="P179" s="46" t="e">
        <f>VLOOKUP(A1,DIV_14Data!$A$1:$DZU$1000000,3043,FALSE)</f>
        <v>#N/A</v>
      </c>
      <c r="Q179" s="33" t="e">
        <f>VLOOKUP(A1,DIV_14Data!$A$1:$DZU$1000000,3044,FALSE)</f>
        <v>#N/A</v>
      </c>
    </row>
    <row r="180" spans="1:17" x14ac:dyDescent="0.35">
      <c r="A180" s="22" t="e">
        <f>VLOOKUP(A1,DIV_14Data!$A$1:$DZU$1000000,3045,FALSE)</f>
        <v>#N/A</v>
      </c>
      <c r="B180" s="37" t="e">
        <f>VLOOKUP(A1,DIV_14Data!$A$1:$DZU$1000000,3046,FALSE)</f>
        <v>#N/A</v>
      </c>
      <c r="C180" s="38" t="e">
        <f>VLOOKUP(A1,DIV_14Data!$A$1:$DZU$1000000,3047,FALSE)</f>
        <v>#N/A</v>
      </c>
      <c r="D180" s="31" t="e">
        <f>VLOOKUP(A1,DIV_14Data!$A$1:$DZU$1000000,3048,FALSE)</f>
        <v>#N/A</v>
      </c>
      <c r="E180" s="32" t="e">
        <f>VLOOKUP(A1,DIV_14Data!$A$1:$DZU$1000000,3049,FALSE)</f>
        <v>#N/A</v>
      </c>
      <c r="F180" s="34" t="e">
        <f>VLOOKUP(A1,DIV_14Data!$A$1:$DZU$1000000,3050,FALSE)</f>
        <v>#N/A</v>
      </c>
      <c r="G180" s="33" t="e">
        <f>VLOOKUP(A1,DIV_14Data!$A$1:$DZU$1000000,3051,FALSE)</f>
        <v>#N/A</v>
      </c>
      <c r="H180" s="34" t="e">
        <f>VLOOKUP(A1,DIV_14Data!$A$1:$DZU$1000000,3052,FALSE)</f>
        <v>#N/A</v>
      </c>
      <c r="I180" s="33" t="e">
        <f>VLOOKUP(A1,DIV_14Data!$A$1:$DZU$1000000,3053,FALSE)</f>
        <v>#N/A</v>
      </c>
      <c r="J180" s="34" t="e">
        <f>VLOOKUP(A1,DIV_14Data!$A$1:$DZU$1000000,3054,FALSE)</f>
        <v>#N/A</v>
      </c>
      <c r="K180" s="34" t="e">
        <f>VLOOKUP(A1,DIV_14Data!$A$1:$DZU$1000000,3055,FALSE)</f>
        <v>#N/A</v>
      </c>
      <c r="L180" s="93" t="e">
        <f>VLOOKUP(A1,DIV_14Data!$A$1:$DZU$1000000,3056,FALSE)</f>
        <v>#N/A</v>
      </c>
      <c r="M180" s="33" t="e">
        <f>VLOOKUP(A1,DIV_14Data!$A$1:$DZU$1000000,3057,FALSE)</f>
        <v>#N/A</v>
      </c>
      <c r="N180" s="34" t="e">
        <f>VLOOKUP(A1,DIV_14Data!$A$1:$DZU$1000000,3058,FALSE)</f>
        <v>#N/A</v>
      </c>
      <c r="O180" s="33" t="e">
        <f>VLOOKUP(A1,DIV_14Data!$A$1:$DZU$1000000,3059,FALSE)</f>
        <v>#N/A</v>
      </c>
      <c r="P180" s="46" t="e">
        <f>VLOOKUP(A1,DIV_14Data!$A$1:$DZU$1000000,3060,FALSE)</f>
        <v>#N/A</v>
      </c>
      <c r="Q180" s="33" t="e">
        <f>VLOOKUP(A1,DIV_14Data!$A$1:$DZU$1000000,3061,FALSE)</f>
        <v>#N/A</v>
      </c>
    </row>
    <row r="181" spans="1:17" x14ac:dyDescent="0.35">
      <c r="A181" s="22" t="e">
        <f>VLOOKUP(A1,DIV_14Data!$A$1:$DZU$1000000,3062,FALSE)</f>
        <v>#N/A</v>
      </c>
      <c r="B181" s="37" t="e">
        <f>VLOOKUP(A1,DIV_14Data!$A$1:$DZU$1000000,3063,FALSE)</f>
        <v>#N/A</v>
      </c>
      <c r="C181" s="38" t="e">
        <f>VLOOKUP(A1,DIV_14Data!$A$1:$DZU$1000000,3064,FALSE)</f>
        <v>#N/A</v>
      </c>
      <c r="D181" s="31" t="e">
        <f>VLOOKUP(A1,DIV_14Data!$A$1:$DZU$1000000,3065,FALSE)</f>
        <v>#N/A</v>
      </c>
      <c r="E181" s="32" t="e">
        <f>VLOOKUP(A1,DIV_14Data!$A$1:$DZU$1000000,3066,FALSE)</f>
        <v>#N/A</v>
      </c>
      <c r="F181" s="34" t="e">
        <f>VLOOKUP(A1,DIV_14Data!$A$1:$DZU$1000000,3067,FALSE)</f>
        <v>#N/A</v>
      </c>
      <c r="G181" s="33" t="e">
        <f>VLOOKUP(A1,DIV_14Data!$A$1:$DZU$1000000,3068,FALSE)</f>
        <v>#N/A</v>
      </c>
      <c r="H181" s="34" t="e">
        <f>VLOOKUP(A1,DIV_14Data!$A$1:$DZU$1000000,3069,FALSE)</f>
        <v>#N/A</v>
      </c>
      <c r="I181" s="33" t="e">
        <f>VLOOKUP(A1,DIV_14Data!$A$1:$DZU$1000000,3070,FALSE)</f>
        <v>#N/A</v>
      </c>
      <c r="J181" s="34" t="e">
        <f>VLOOKUP(A1,DIV_14Data!$A$1:$DZU$1000000,3071,FALSE)</f>
        <v>#N/A</v>
      </c>
      <c r="K181" s="34" t="e">
        <f>VLOOKUP(A1,DIV_14Data!$A$1:$DZU$1000000,3072,FALSE)</f>
        <v>#N/A</v>
      </c>
      <c r="L181" s="93" t="e">
        <f>VLOOKUP(A1,DIV_14Data!$A$1:$DZU$1000000,3073,FALSE)</f>
        <v>#N/A</v>
      </c>
      <c r="M181" s="33" t="e">
        <f>VLOOKUP(A1,DIV_14Data!$A$1:$DZU$1000000,3074,FALSE)</f>
        <v>#N/A</v>
      </c>
      <c r="N181" s="34" t="e">
        <f>VLOOKUP(A1,DIV_14Data!$A$1:$DZU$1000000,3075,FALSE)</f>
        <v>#N/A</v>
      </c>
      <c r="O181" s="33" t="e">
        <f>VLOOKUP(A1,DIV_14Data!$A$1:$DZU$1000000,3076,FALSE)</f>
        <v>#N/A</v>
      </c>
      <c r="P181" s="46" t="e">
        <f>VLOOKUP(A1,DIV_14Data!$A$1:$DZU$1000000,3077,FALSE)</f>
        <v>#N/A</v>
      </c>
      <c r="Q181" s="33" t="e">
        <f>VLOOKUP(A1,DIV_14Data!$A$1:$DZU$1000000,3078,FALSE)</f>
        <v>#N/A</v>
      </c>
    </row>
    <row r="182" spans="1:17" x14ac:dyDescent="0.35">
      <c r="A182" s="22" t="e">
        <f>VLOOKUP(A1,DIV_14Data!$A$1:$DZU$1000000,3079,FALSE)</f>
        <v>#N/A</v>
      </c>
      <c r="B182" s="37" t="e">
        <f>VLOOKUP(A1,DIV_14Data!$A$1:$DZU$1000000,3080,FALSE)</f>
        <v>#N/A</v>
      </c>
      <c r="C182" s="38" t="e">
        <f>VLOOKUP(A1,DIV_14Data!$A$1:$DZU$1000000,3081,FALSE)</f>
        <v>#N/A</v>
      </c>
      <c r="D182" s="31" t="e">
        <f>VLOOKUP(A1,DIV_14Data!$A$1:$DZU$1000000,3082,FALSE)</f>
        <v>#N/A</v>
      </c>
      <c r="E182" s="32" t="e">
        <f>VLOOKUP(A1,DIV_14Data!$A$1:$DZU$1000000,3083,FALSE)</f>
        <v>#N/A</v>
      </c>
      <c r="F182" s="34" t="e">
        <f>VLOOKUP(A1,DIV_14Data!$A$1:$DZU$1000000,3084,FALSE)</f>
        <v>#N/A</v>
      </c>
      <c r="G182" s="33" t="e">
        <f>VLOOKUP(A1,DIV_14Data!$A$1:$DZU$1000000,3085,FALSE)</f>
        <v>#N/A</v>
      </c>
      <c r="H182" s="34" t="e">
        <f>VLOOKUP(A1,DIV_14Data!$A$1:$DZU$1000000,3086,FALSE)</f>
        <v>#N/A</v>
      </c>
      <c r="I182" s="33" t="e">
        <f>VLOOKUP(A1,DIV_14Data!$A$1:$DZU$1000000,3087,FALSE)</f>
        <v>#N/A</v>
      </c>
      <c r="J182" s="34" t="e">
        <f>VLOOKUP(A1,DIV_14Data!$A$1:$DZU$1000000,3088,FALSE)</f>
        <v>#N/A</v>
      </c>
      <c r="K182" s="34" t="e">
        <f>VLOOKUP(A1,DIV_14Data!$A$1:$DZU$1000000,3089,FALSE)</f>
        <v>#N/A</v>
      </c>
      <c r="L182" s="93" t="e">
        <f>VLOOKUP(A1,DIV_14Data!$A$1:$DZU$1000000,3090,FALSE)</f>
        <v>#N/A</v>
      </c>
      <c r="M182" s="33" t="e">
        <f>VLOOKUP(A1,DIV_14Data!$A$1:$DZU$1000000,3091,FALSE)</f>
        <v>#N/A</v>
      </c>
      <c r="N182" s="34" t="e">
        <f>VLOOKUP(A1,DIV_14Data!$A$1:$DZU$1000000,3092,FALSE)</f>
        <v>#N/A</v>
      </c>
      <c r="O182" s="33" t="e">
        <f>VLOOKUP(A1,DIV_14Data!$A$1:$DZU$1000000,3093,FALSE)</f>
        <v>#N/A</v>
      </c>
      <c r="P182" s="46" t="e">
        <f>VLOOKUP(A1,DIV_14Data!$A$1:$DZU$1000000,3094,FALSE)</f>
        <v>#N/A</v>
      </c>
      <c r="Q182" s="33" t="e">
        <f>VLOOKUP(A1,DIV_14Data!$A$1:$DZU$1000000,3095,FALSE)</f>
        <v>#N/A</v>
      </c>
    </row>
    <row r="183" spans="1:17" x14ac:dyDescent="0.35">
      <c r="A183" s="22" t="e">
        <f>VLOOKUP(A1,DIV_14Data!$A$1:$DZU$1000000,3096,FALSE)</f>
        <v>#N/A</v>
      </c>
      <c r="B183" s="37" t="e">
        <f>VLOOKUP(A1,DIV_14Data!$A$1:$DZU$1000000,3097,FALSE)</f>
        <v>#N/A</v>
      </c>
      <c r="C183" s="38" t="e">
        <f>VLOOKUP(A1,DIV_14Data!$A$1:$DZU$1000000,3098,FALSE)</f>
        <v>#N/A</v>
      </c>
      <c r="D183" s="31" t="e">
        <f>VLOOKUP(A1,DIV_14Data!$A$1:$DZU$1000000,3099,FALSE)</f>
        <v>#N/A</v>
      </c>
      <c r="E183" s="32" t="e">
        <f>VLOOKUP(A1,DIV_14Data!$A$1:$DZU$1000000,3100,FALSE)</f>
        <v>#N/A</v>
      </c>
      <c r="F183" s="34" t="e">
        <f>VLOOKUP(A1,DIV_14Data!$A$1:$DZU$1000000,3101,FALSE)</f>
        <v>#N/A</v>
      </c>
      <c r="G183" s="33" t="e">
        <f>VLOOKUP(A1,DIV_14Data!$A$1:$DZU$1000000,3102,FALSE)</f>
        <v>#N/A</v>
      </c>
      <c r="H183" s="34" t="e">
        <f>VLOOKUP(A1,DIV_14Data!$A$1:$DZU$1000000,3103,FALSE)</f>
        <v>#N/A</v>
      </c>
      <c r="I183" s="33" t="e">
        <f>VLOOKUP(A1,DIV_14Data!$A$1:$DZU$1000000,3104,FALSE)</f>
        <v>#N/A</v>
      </c>
      <c r="J183" s="34" t="e">
        <f>VLOOKUP(A1,DIV_14Data!$A$1:$DZU$1000000,3105,FALSE)</f>
        <v>#N/A</v>
      </c>
      <c r="K183" s="34" t="e">
        <f>VLOOKUP(A1,DIV_14Data!$A$1:$DZU$1000000,3106,FALSE)</f>
        <v>#N/A</v>
      </c>
      <c r="L183" s="93" t="e">
        <f>VLOOKUP(A1,DIV_14Data!$A$1:$DZU$1000000,3107,FALSE)</f>
        <v>#N/A</v>
      </c>
      <c r="M183" s="33" t="e">
        <f>VLOOKUP(A1,DIV_14Data!$A$1:$DZU$1000000,3108,FALSE)</f>
        <v>#N/A</v>
      </c>
      <c r="N183" s="34" t="e">
        <f>VLOOKUP(A1,DIV_14Data!$A$1:$DZU$1000000,3109,FALSE)</f>
        <v>#N/A</v>
      </c>
      <c r="O183" s="33" t="e">
        <f>VLOOKUP(A1,DIV_14Data!$A$1:$DZU$1000000,3110,FALSE)</f>
        <v>#N/A</v>
      </c>
      <c r="P183" s="46" t="e">
        <f>VLOOKUP(A1,DIV_14Data!$A$1:$DZU$1000000,3111,FALSE)</f>
        <v>#N/A</v>
      </c>
      <c r="Q183" s="33" t="e">
        <f>VLOOKUP(A1,DIV_14Data!$A$1:$DZU$1000000,3112,FALSE)</f>
        <v>#N/A</v>
      </c>
    </row>
    <row r="184" spans="1:17" x14ac:dyDescent="0.35">
      <c r="A184" s="22" t="e">
        <f>VLOOKUP(A1,DIV_14Data!$A$1:$DZU$1000000,3113,FALSE)</f>
        <v>#N/A</v>
      </c>
      <c r="B184" s="37" t="e">
        <f>VLOOKUP(A1,DIV_14Data!$A$1:$DZU$1000000,3114,FALSE)</f>
        <v>#N/A</v>
      </c>
      <c r="C184" s="38" t="e">
        <f>VLOOKUP(A1,DIV_14Data!$A$1:$DZU$1000000,3115,FALSE)</f>
        <v>#N/A</v>
      </c>
      <c r="D184" s="31" t="e">
        <f>VLOOKUP(A1,DIV_14Data!$A$1:$DZU$1000000,3116,FALSE)</f>
        <v>#N/A</v>
      </c>
      <c r="E184" s="32" t="e">
        <f>VLOOKUP(A1,DIV_14Data!$A$1:$DZU$1000000,3117,FALSE)</f>
        <v>#N/A</v>
      </c>
      <c r="F184" s="34" t="e">
        <f>VLOOKUP(A1,DIV_14Data!$A$1:$DZU$1000000,3118,FALSE)</f>
        <v>#N/A</v>
      </c>
      <c r="G184" s="33" t="e">
        <f>VLOOKUP(A1,DIV_14Data!$A$1:$DZU$1000000,3119,FALSE)</f>
        <v>#N/A</v>
      </c>
      <c r="H184" s="34" t="e">
        <f>VLOOKUP(A1,DIV_14Data!$A$1:$DZU$1000000,3120,FALSE)</f>
        <v>#N/A</v>
      </c>
      <c r="I184" s="33" t="e">
        <f>VLOOKUP(A1,DIV_14Data!$A$1:$DZU$1000000,3121,FALSE)</f>
        <v>#N/A</v>
      </c>
      <c r="J184" s="34" t="e">
        <f>VLOOKUP(A1,DIV_14Data!$A$1:$DZU$1000000,3122,FALSE)</f>
        <v>#N/A</v>
      </c>
      <c r="K184" s="34" t="e">
        <f>VLOOKUP(A1,DIV_14Data!$A$1:$DZU$1000000,3123,FALSE)</f>
        <v>#N/A</v>
      </c>
      <c r="L184" s="93" t="e">
        <f>VLOOKUP(A1,DIV_14Data!$A$1:$DZU$1000000,3124,FALSE)</f>
        <v>#N/A</v>
      </c>
      <c r="M184" s="33" t="e">
        <f>VLOOKUP(A1,DIV_14Data!$A$1:$DZU$1000000,3125,FALSE)</f>
        <v>#N/A</v>
      </c>
      <c r="N184" s="34" t="e">
        <f>VLOOKUP(A1,DIV_14Data!$A$1:$DZU$1000000,3126,FALSE)</f>
        <v>#N/A</v>
      </c>
      <c r="O184" s="33" t="e">
        <f>VLOOKUP(A1,DIV_14Data!$A$1:$DZU$1000000,3127,FALSE)</f>
        <v>#N/A</v>
      </c>
      <c r="P184" s="46" t="e">
        <f>VLOOKUP(A1,DIV_14Data!$A$1:$DZU$1000000,3128,FALSE)</f>
        <v>#N/A</v>
      </c>
      <c r="Q184" s="33" t="e">
        <f>VLOOKUP(A1,DIV_14Data!$A$1:$DZU$1000000,3129,FALSE)</f>
        <v>#N/A</v>
      </c>
    </row>
    <row r="185" spans="1:17" x14ac:dyDescent="0.35">
      <c r="A185" s="22" t="e">
        <f>VLOOKUP(A1,DIV_14Data!$A$1:$DZU$1000000,3130,FALSE)</f>
        <v>#N/A</v>
      </c>
      <c r="B185" s="37" t="e">
        <f>VLOOKUP(A1,DIV_14Data!$A$1:$DZU$1000000,3131,FALSE)</f>
        <v>#N/A</v>
      </c>
      <c r="C185" s="38" t="e">
        <f>VLOOKUP(A1,DIV_14Data!$A$1:$DZU$1000000,3132,FALSE)</f>
        <v>#N/A</v>
      </c>
      <c r="D185" s="31" t="e">
        <f>VLOOKUP(A1,DIV_14Data!$A$1:$DZU$1000000,3133,FALSE)</f>
        <v>#N/A</v>
      </c>
      <c r="E185" s="32" t="e">
        <f>VLOOKUP(A1,DIV_14Data!$A$1:$DZU$1000000,3134,FALSE)</f>
        <v>#N/A</v>
      </c>
      <c r="F185" s="34" t="e">
        <f>VLOOKUP(A1,DIV_14Data!$A$1:$DZU$1000000,3135,FALSE)</f>
        <v>#N/A</v>
      </c>
      <c r="G185" s="33" t="e">
        <f>VLOOKUP(A1,DIV_14Data!$A$1:$DZU$1000000,3136,FALSE)</f>
        <v>#N/A</v>
      </c>
      <c r="H185" s="34" t="e">
        <f>VLOOKUP(A1,DIV_14Data!$A$1:$DZU$1000000,3137,FALSE)</f>
        <v>#N/A</v>
      </c>
      <c r="I185" s="33" t="e">
        <f>VLOOKUP(A1,DIV_14Data!$A$1:$DZU$1000000,3138,FALSE)</f>
        <v>#N/A</v>
      </c>
      <c r="J185" s="34" t="e">
        <f>VLOOKUP(A1,DIV_14Data!$A$1:$DZU$1000000,3139,FALSE)</f>
        <v>#N/A</v>
      </c>
      <c r="K185" s="34" t="e">
        <f>VLOOKUP(A1,DIV_14Data!$A$1:$DZU$1000000,3140,FALSE)</f>
        <v>#N/A</v>
      </c>
      <c r="L185" s="93" t="e">
        <f>VLOOKUP(A1,DIV_14Data!$A$1:$DZU$1000000,3141,FALSE)</f>
        <v>#N/A</v>
      </c>
      <c r="M185" s="33" t="e">
        <f>VLOOKUP(A1,DIV_14Data!$A$1:$DZU$1000000,3142,FALSE)</f>
        <v>#N/A</v>
      </c>
      <c r="N185" s="34" t="e">
        <f>VLOOKUP(A1,DIV_14Data!$A$1:$DZU$1000000,3143,FALSE)</f>
        <v>#N/A</v>
      </c>
      <c r="O185" s="33" t="e">
        <f>VLOOKUP(A1,DIV_14Data!$A$1:$DZU$1000000,3144,FALSE)</f>
        <v>#N/A</v>
      </c>
      <c r="P185" s="46" t="e">
        <f>VLOOKUP(A1,DIV_14Data!$A$1:$DZU$1000000,3145,FALSE)</f>
        <v>#N/A</v>
      </c>
      <c r="Q185" s="33" t="e">
        <f>VLOOKUP(A1,DIV_14Data!$A$1:$DZU$1000000,3146,FALSE)</f>
        <v>#N/A</v>
      </c>
    </row>
    <row r="186" spans="1:17" x14ac:dyDescent="0.35">
      <c r="A186" s="22" t="e">
        <f>VLOOKUP(A1,DIV_14Data!$A$1:$DZU$1000000,3147,FALSE)</f>
        <v>#N/A</v>
      </c>
      <c r="B186" s="37" t="e">
        <f>VLOOKUP(A1,DIV_14Data!$A$1:$DZU$1000000,3148,FALSE)</f>
        <v>#N/A</v>
      </c>
      <c r="C186" s="38" t="e">
        <f>VLOOKUP(A1,DIV_14Data!$A$1:$DZU$1000000,3149,FALSE)</f>
        <v>#N/A</v>
      </c>
      <c r="D186" s="31" t="e">
        <f>VLOOKUP(A1,DIV_14Data!$A$1:$DZU$1000000,3150,FALSE)</f>
        <v>#N/A</v>
      </c>
      <c r="E186" s="32" t="e">
        <f>VLOOKUP(A1,DIV_14Data!$A$1:$DZU$1000000,3151,FALSE)</f>
        <v>#N/A</v>
      </c>
      <c r="F186" s="34" t="e">
        <f>VLOOKUP(A1,DIV_14Data!$A$1:$DZU$1000000,3152,FALSE)</f>
        <v>#N/A</v>
      </c>
      <c r="G186" s="33" t="e">
        <f>VLOOKUP(A1,DIV_14Data!$A$1:$DZU$1000000,3153,FALSE)</f>
        <v>#N/A</v>
      </c>
      <c r="H186" s="34" t="e">
        <f>VLOOKUP(A1,DIV_14Data!$A$1:$DZU$1000000,3154,FALSE)</f>
        <v>#N/A</v>
      </c>
      <c r="I186" s="33" t="e">
        <f>VLOOKUP(A1,DIV_14Data!$A$1:$DZU$1000000,3155,FALSE)</f>
        <v>#N/A</v>
      </c>
      <c r="J186" s="34" t="e">
        <f>VLOOKUP(A1,DIV_14Data!$A$1:$DZU$1000000,3156,FALSE)</f>
        <v>#N/A</v>
      </c>
      <c r="K186" s="34" t="e">
        <f>VLOOKUP(A1,DIV_14Data!$A$1:$DZU$1000000,3157,FALSE)</f>
        <v>#N/A</v>
      </c>
      <c r="L186" s="93" t="e">
        <f>VLOOKUP(A1,DIV_14Data!$A$1:$DZU$1000000,3158,FALSE)</f>
        <v>#N/A</v>
      </c>
      <c r="M186" s="33" t="e">
        <f>VLOOKUP(A1,DIV_14Data!$A$1:$DZU$1000000,3159,FALSE)</f>
        <v>#N/A</v>
      </c>
      <c r="N186" s="34" t="e">
        <f>VLOOKUP(A1,DIV_14Data!$A$1:$DZU$1000000,3160,FALSE)</f>
        <v>#N/A</v>
      </c>
      <c r="O186" s="33" t="e">
        <f>VLOOKUP(A1,DIV_14Data!$A$1:$DZU$1000000,3161,FALSE)</f>
        <v>#N/A</v>
      </c>
      <c r="P186" s="46" t="e">
        <f>VLOOKUP(A1,DIV_14Data!$A$1:$DZU$1000000,3162,FALSE)</f>
        <v>#N/A</v>
      </c>
      <c r="Q186" s="33" t="e">
        <f>VLOOKUP(A1,DIV_14Data!$A$1:$DZU$1000000,3163,FALSE)</f>
        <v>#N/A</v>
      </c>
    </row>
    <row r="187" spans="1:17" x14ac:dyDescent="0.35">
      <c r="A187" s="22" t="e">
        <f>VLOOKUP(A1,DIV_14Data!$A$1:$DZU$1000000,3164,FALSE)</f>
        <v>#N/A</v>
      </c>
      <c r="B187" s="37" t="e">
        <f>VLOOKUP(A1,DIV_14Data!$A$1:$DZU$1000000,3165,FALSE)</f>
        <v>#N/A</v>
      </c>
      <c r="C187" s="38" t="e">
        <f>VLOOKUP(A1,DIV_14Data!$A$1:$DZU$1000000,3166,FALSE)</f>
        <v>#N/A</v>
      </c>
      <c r="D187" s="31" t="e">
        <f>VLOOKUP(A1,DIV_14Data!$A$1:$DZU$1000000,3167,FALSE)</f>
        <v>#N/A</v>
      </c>
      <c r="E187" s="32" t="e">
        <f>VLOOKUP(A1,DIV_14Data!$A$1:$DZU$1000000,3168,FALSE)</f>
        <v>#N/A</v>
      </c>
      <c r="F187" s="34" t="e">
        <f>VLOOKUP(A1,DIV_14Data!$A$1:$DZU$1000000,3169,FALSE)</f>
        <v>#N/A</v>
      </c>
      <c r="G187" s="33" t="e">
        <f>VLOOKUP(A1,DIV_14Data!$A$1:$DZU$1000000,3170,FALSE)</f>
        <v>#N/A</v>
      </c>
      <c r="H187" s="34" t="e">
        <f>VLOOKUP(A1,DIV_14Data!$A$1:$DZU$1000000,3171,FALSE)</f>
        <v>#N/A</v>
      </c>
      <c r="I187" s="33" t="e">
        <f>VLOOKUP(A1,DIV_14Data!$A$1:$DZU$1000000,3172,FALSE)</f>
        <v>#N/A</v>
      </c>
      <c r="J187" s="34" t="e">
        <f>VLOOKUP(A1,DIV_14Data!$A$1:$DZU$1000000,3173,FALSE)</f>
        <v>#N/A</v>
      </c>
      <c r="K187" s="34" t="e">
        <f>VLOOKUP(A1,DIV_14Data!$A$1:$DZU$1000000,3174,FALSE)</f>
        <v>#N/A</v>
      </c>
      <c r="L187" s="93" t="e">
        <f>VLOOKUP(A1,DIV_14Data!$A$1:$DZU$1000000,3175,FALSE)</f>
        <v>#N/A</v>
      </c>
      <c r="M187" s="33" t="e">
        <f>VLOOKUP(A1,DIV_14Data!$A$1:$DZU$1000000,3176,FALSE)</f>
        <v>#N/A</v>
      </c>
      <c r="N187" s="34" t="e">
        <f>VLOOKUP(A1,DIV_14Data!$A$1:$DZU$1000000,3177,FALSE)</f>
        <v>#N/A</v>
      </c>
      <c r="O187" s="33" t="e">
        <f>VLOOKUP(A1,DIV_14Data!$A$1:$DZU$1000000,3178,FALSE)</f>
        <v>#N/A</v>
      </c>
      <c r="P187" s="46" t="e">
        <f>VLOOKUP(A1,DIV_14Data!$A$1:$DZU$1000000,3179,FALSE)</f>
        <v>#N/A</v>
      </c>
      <c r="Q187" s="33" t="e">
        <f>VLOOKUP(A1,DIV_14Data!$A$1:$DZU$1000000,3180,FALSE)</f>
        <v>#N/A</v>
      </c>
    </row>
    <row r="188" spans="1:17" x14ac:dyDescent="0.35">
      <c r="A188" s="22" t="e">
        <f>VLOOKUP(A1,DIV_14Data!$A$1:$DZU$1000000,3181,FALSE)</f>
        <v>#N/A</v>
      </c>
      <c r="B188" s="37" t="e">
        <f>VLOOKUP(A1,DIV_14Data!$A$1:$DZU$1000000,3182,FALSE)</f>
        <v>#N/A</v>
      </c>
      <c r="C188" s="38" t="e">
        <f>VLOOKUP(A1,DIV_14Data!$A$1:$DZU$1000000,3183,FALSE)</f>
        <v>#N/A</v>
      </c>
      <c r="D188" s="31" t="e">
        <f>VLOOKUP(A1,DIV_14Data!$A$1:$DZU$1000000,3184,FALSE)</f>
        <v>#N/A</v>
      </c>
      <c r="E188" s="32" t="e">
        <f>VLOOKUP(A1,DIV_14Data!$A$1:$DZU$1000000,3185,FALSE)</f>
        <v>#N/A</v>
      </c>
      <c r="F188" s="34" t="e">
        <f>VLOOKUP(A1,DIV_14Data!$A$1:$DZU$1000000,3186,FALSE)</f>
        <v>#N/A</v>
      </c>
      <c r="G188" s="33" t="e">
        <f>VLOOKUP(A1,DIV_14Data!$A$1:$DZU$1000000,3187,FALSE)</f>
        <v>#N/A</v>
      </c>
      <c r="H188" s="34" t="e">
        <f>VLOOKUP(A1,DIV_14Data!$A$1:$DZU$1000000,3188,FALSE)</f>
        <v>#N/A</v>
      </c>
      <c r="I188" s="33" t="e">
        <f>VLOOKUP(A1,DIV_14Data!$A$1:$DZU$1000000,3189,FALSE)</f>
        <v>#N/A</v>
      </c>
      <c r="J188" s="34" t="e">
        <f>VLOOKUP(A1,DIV_14Data!$A$1:$DZU$1000000,3190,FALSE)</f>
        <v>#N/A</v>
      </c>
      <c r="K188" s="34" t="e">
        <f>VLOOKUP(A1,DIV_14Data!$A$1:$DZU$1000000,3191,FALSE)</f>
        <v>#N/A</v>
      </c>
      <c r="L188" s="93" t="e">
        <f>VLOOKUP(A1,DIV_14Data!$A$1:$DZU$1000000,3192,FALSE)</f>
        <v>#N/A</v>
      </c>
      <c r="M188" s="33" t="e">
        <f>VLOOKUP(A1,DIV_14Data!$A$1:$DZU$1000000,3193,FALSE)</f>
        <v>#N/A</v>
      </c>
      <c r="N188" s="34" t="e">
        <f>VLOOKUP(A1,DIV_14Data!$A$1:$DZU$1000000,3194,FALSE)</f>
        <v>#N/A</v>
      </c>
      <c r="O188" s="33" t="e">
        <f>VLOOKUP(A1,DIV_14Data!$A$1:$DZU$1000000,3195,FALSE)</f>
        <v>#N/A</v>
      </c>
      <c r="P188" s="46" t="e">
        <f>VLOOKUP(A1,DIV_14Data!$A$1:$DZU$1000000,3196,FALSE)</f>
        <v>#N/A</v>
      </c>
      <c r="Q188" s="33" t="e">
        <f>VLOOKUP(A1,DIV_14Data!$A$1:$DZU$1000000,3197,FALSE)</f>
        <v>#N/A</v>
      </c>
    </row>
    <row r="189" spans="1:17" x14ac:dyDescent="0.35">
      <c r="A189" s="22" t="e">
        <f>VLOOKUP(A1,DIV_14Data!$A$1:$DZU$1000000,3198,FALSE)</f>
        <v>#N/A</v>
      </c>
      <c r="B189" s="37" t="e">
        <f>VLOOKUP(A1,DIV_14Data!$A$1:$DZU$1000000,3199,FALSE)</f>
        <v>#N/A</v>
      </c>
      <c r="C189" s="38" t="e">
        <f>VLOOKUP(A1,DIV_14Data!$A$1:$DZU$1000000,3200,FALSE)</f>
        <v>#N/A</v>
      </c>
      <c r="D189" s="31" t="e">
        <f>VLOOKUP(A1,DIV_14Data!$A$1:$DZU$1000000,3201,FALSE)</f>
        <v>#N/A</v>
      </c>
      <c r="E189" s="32" t="e">
        <f>VLOOKUP(A1,DIV_14Data!$A$1:$DZU$1000000,3202,FALSE)</f>
        <v>#N/A</v>
      </c>
      <c r="F189" s="34" t="e">
        <f>VLOOKUP(A1,DIV_14Data!$A$1:$DZU$1000000,3203,FALSE)</f>
        <v>#N/A</v>
      </c>
      <c r="G189" s="33" t="e">
        <f>VLOOKUP(A1,DIV_14Data!$A$1:$DZU$1000000,3204,FALSE)</f>
        <v>#N/A</v>
      </c>
      <c r="H189" s="34" t="e">
        <f>VLOOKUP(A1,DIV_14Data!$A$1:$DZU$1000000,3205,FALSE)</f>
        <v>#N/A</v>
      </c>
      <c r="I189" s="33" t="e">
        <f>VLOOKUP(A1,DIV_14Data!$A$1:$DZU$1000000,3206,FALSE)</f>
        <v>#N/A</v>
      </c>
      <c r="J189" s="34" t="e">
        <f>VLOOKUP(A1,DIV_14Data!$A$1:$DZU$1000000,3207,FALSE)</f>
        <v>#N/A</v>
      </c>
      <c r="K189" s="34" t="e">
        <f>VLOOKUP(A1,DIV_14Data!$A$1:$DZU$1000000,3208,FALSE)</f>
        <v>#N/A</v>
      </c>
      <c r="L189" s="93" t="e">
        <f>VLOOKUP(A1,DIV_14Data!$A$1:$DZU$1000000,3209,FALSE)</f>
        <v>#N/A</v>
      </c>
      <c r="M189" s="33" t="e">
        <f>VLOOKUP(A1,DIV_14Data!$A$1:$DZU$1000000,3210,FALSE)</f>
        <v>#N/A</v>
      </c>
      <c r="N189" s="34" t="e">
        <f>VLOOKUP(A1,DIV_14Data!$A$1:$DZU$1000000,3211,FALSE)</f>
        <v>#N/A</v>
      </c>
      <c r="O189" s="33" t="e">
        <f>VLOOKUP(A1,DIV_14Data!$A$1:$DZU$1000000,3212,FALSE)</f>
        <v>#N/A</v>
      </c>
      <c r="P189" s="46" t="e">
        <f>VLOOKUP(A1,DIV_14Data!$A$1:$DZU$1000000,3213,FALSE)</f>
        <v>#N/A</v>
      </c>
      <c r="Q189" s="33" t="e">
        <f>VLOOKUP(A1,DIV_14Data!$A$1:$DZU$1000000,3214,FALSE)</f>
        <v>#N/A</v>
      </c>
    </row>
    <row r="190" spans="1:17" x14ac:dyDescent="0.35">
      <c r="A190" s="22" t="e">
        <f>VLOOKUP(A1,DIV_14Data!$A$1:$DZU$1000000,3215,FALSE)</f>
        <v>#N/A</v>
      </c>
      <c r="B190" s="37" t="e">
        <f>VLOOKUP(A1,DIV_14Data!$A$1:$DZU$1000000,3216,FALSE)</f>
        <v>#N/A</v>
      </c>
      <c r="C190" s="38" t="e">
        <f>VLOOKUP(A1,DIV_14Data!$A$1:$DZU$1000000,3217,FALSE)</f>
        <v>#N/A</v>
      </c>
      <c r="D190" s="31" t="e">
        <f>VLOOKUP(A1,DIV_14Data!$A$1:$DZU$1000000,3218,FALSE)</f>
        <v>#N/A</v>
      </c>
      <c r="E190" s="32" t="e">
        <f>VLOOKUP(A1,DIV_14Data!$A$1:$DZU$1000000,3219,FALSE)</f>
        <v>#N/A</v>
      </c>
      <c r="F190" s="34" t="e">
        <f>VLOOKUP(A1,DIV_14Data!$A$1:$DZU$1000000,3220,FALSE)</f>
        <v>#N/A</v>
      </c>
      <c r="G190" s="33" t="e">
        <f>VLOOKUP(A1,DIV_14Data!$A$1:$DZU$1000000,3221,FALSE)</f>
        <v>#N/A</v>
      </c>
      <c r="H190" s="34" t="e">
        <f>VLOOKUP(A1,DIV_14Data!$A$1:$DZU$1000000,3222,FALSE)</f>
        <v>#N/A</v>
      </c>
      <c r="I190" s="33" t="e">
        <f>VLOOKUP(A1,DIV_14Data!$A$1:$DZU$1000000,3223,FALSE)</f>
        <v>#N/A</v>
      </c>
      <c r="J190" s="34" t="e">
        <f>VLOOKUP(A1,DIV_14Data!$A$1:$DZU$1000000,3224,FALSE)</f>
        <v>#N/A</v>
      </c>
      <c r="K190" s="34" t="e">
        <f>VLOOKUP(A1,DIV_14Data!$A$1:$DZU$1000000,3225,FALSE)</f>
        <v>#N/A</v>
      </c>
      <c r="L190" s="93" t="e">
        <f>VLOOKUP(A1,DIV_14Data!$A$1:$DZU$1000000,3226,FALSE)</f>
        <v>#N/A</v>
      </c>
      <c r="M190" s="33" t="e">
        <f>VLOOKUP(A1,DIV_14Data!$A$1:$DZU$1000000,3227,FALSE)</f>
        <v>#N/A</v>
      </c>
      <c r="N190" s="34" t="e">
        <f>VLOOKUP(A1,DIV_14Data!$A$1:$DZU$1000000,3228,FALSE)</f>
        <v>#N/A</v>
      </c>
      <c r="O190" s="33" t="e">
        <f>VLOOKUP(A1,DIV_14Data!$A$1:$DZU$1000000,3229,FALSE)</f>
        <v>#N/A</v>
      </c>
      <c r="P190" s="46" t="e">
        <f>VLOOKUP(A1,DIV_14Data!$A$1:$DZU$1000000,3230,FALSE)</f>
        <v>#N/A</v>
      </c>
      <c r="Q190" s="33" t="e">
        <f>VLOOKUP(A1,DIV_14Data!$A$1:$DZU$1000000,3231,FALSE)</f>
        <v>#N/A</v>
      </c>
    </row>
    <row r="191" spans="1:17" x14ac:dyDescent="0.35">
      <c r="A191" s="22" t="e">
        <f>VLOOKUP(A1,DIV_14Data!$A$1:$DZU$1000000,3232,FALSE)</f>
        <v>#N/A</v>
      </c>
      <c r="B191" s="37" t="e">
        <f>VLOOKUP(A1,DIV_14Data!$A$1:$DZU$1000000,3233,FALSE)</f>
        <v>#N/A</v>
      </c>
      <c r="C191" s="43" t="e">
        <f>VLOOKUP(A1,DIV_14Data!$A$1:$DZU$1000000,3234,FALSE)</f>
        <v>#N/A</v>
      </c>
      <c r="D191" s="31" t="e">
        <f>VLOOKUP(A1,DIV_14Data!$A$1:$DZU$1000000,3235,FALSE)</f>
        <v>#N/A</v>
      </c>
      <c r="E191" s="32" t="e">
        <f>VLOOKUP(A1,DIV_14Data!$A$1:$DZU$1000000,3236,FALSE)</f>
        <v>#N/A</v>
      </c>
      <c r="F191" s="44" t="e">
        <f>VLOOKUP(A1,DIV_14Data!$A$1:$DZU$1000000,3237,FALSE)</f>
        <v>#N/A</v>
      </c>
      <c r="G191" s="45" t="e">
        <f>VLOOKUP(A1,DIV_14Data!$A$1:$DZU$1000000,3238,FALSE)</f>
        <v>#N/A</v>
      </c>
      <c r="H191" s="44" t="e">
        <f>VLOOKUP(A1,DIV_14Data!$A$1:$DZU$1000000,3239,FALSE)</f>
        <v>#N/A</v>
      </c>
      <c r="I191" s="45" t="e">
        <f>VLOOKUP(A1,DIV_14Data!$A$1:$DZU$1000000,3240,FALSE)</f>
        <v>#N/A</v>
      </c>
      <c r="J191" s="34" t="e">
        <f>VLOOKUP(A1,DIV_14Data!$A$1:$DZU$1000000,3241,FALSE)</f>
        <v>#N/A</v>
      </c>
      <c r="K191" s="43" t="e">
        <f>VLOOKUP(A1,DIV_14Data!$A$1:$DZU$1000000,3242,FALSE)</f>
        <v>#N/A</v>
      </c>
      <c r="L191" s="44" t="e">
        <f>VLOOKUP(A1,DIV_14Data!$A$1:$DZU$1000000,3243,FALSE)</f>
        <v>#N/A</v>
      </c>
      <c r="M191" s="45" t="e">
        <f>VLOOKUP(A1,DIV_14Data!$A$1:$DZU$1000000,3244,FALSE)</f>
        <v>#N/A</v>
      </c>
      <c r="N191" s="44" t="e">
        <f>VLOOKUP(A1,DIV_14Data!$A$1:$DZU$1000000,3245,FALSE)</f>
        <v>#N/A</v>
      </c>
      <c r="O191" s="45" t="e">
        <f>VLOOKUP(A1,DIV_14Data!$A$1:$DZU$1000000,3246,FALSE)</f>
        <v>#N/A</v>
      </c>
      <c r="P191" s="46" t="e">
        <f>VLOOKUP(A1,DIV_14Data!$A$1:$DZU$1000000,3247,FALSE)</f>
        <v>#N/A</v>
      </c>
      <c r="Q191" s="45" t="e">
        <f>VLOOKUP(A1,DIV_14Data!$A$1:$DZU$1000000,3248,FALSE)</f>
        <v>#N/A</v>
      </c>
    </row>
    <row r="192" spans="1:17" x14ac:dyDescent="0.35">
      <c r="A192" s="22" t="e">
        <f>VLOOKUP(A1,DIV_14Data!$A$1:$DZU$1000000,3249,FALSE)</f>
        <v>#N/A</v>
      </c>
      <c r="B192" s="37" t="e">
        <f>VLOOKUP(A1,DIV_14Data!$A$1:$DZU$1000000,3250,FALSE)</f>
        <v>#N/A</v>
      </c>
      <c r="C192" s="38" t="e">
        <f>VLOOKUP(A1,DIV_14Data!$A$1:$DZU$1000000,3251,FALSE)</f>
        <v>#N/A</v>
      </c>
      <c r="D192" s="31" t="e">
        <f>VLOOKUP(A1,DIV_14Data!$A$1:$DZU$1000000,3252,FALSE)</f>
        <v>#N/A</v>
      </c>
      <c r="E192" s="32" t="e">
        <f>VLOOKUP(A1,DIV_14Data!$A$1:$DZU$1000000,3253,FALSE)</f>
        <v>#N/A</v>
      </c>
      <c r="F192" s="34" t="e">
        <f>VLOOKUP(A1,DIV_14Data!$A$1:$DZU$1000000,3254,FALSE)</f>
        <v>#N/A</v>
      </c>
      <c r="G192" s="33" t="e">
        <f>VLOOKUP(A1,DIV_14Data!$A$1:$DZU$1000000,3255,FALSE)</f>
        <v>#N/A</v>
      </c>
      <c r="H192" s="34" t="e">
        <f>VLOOKUP(A1,DIV_14Data!$A$1:$DZU$1000000,3256,FALSE)</f>
        <v>#N/A</v>
      </c>
      <c r="I192" s="33" t="e">
        <f>VLOOKUP(A1,DIV_14Data!$A$1:$DZU$1000000,3257,FALSE)</f>
        <v>#N/A</v>
      </c>
      <c r="J192" s="34" t="e">
        <f>VLOOKUP(A1,DIV_14Data!$A$1:$DZU$1000000,3258,FALSE)</f>
        <v>#N/A</v>
      </c>
      <c r="K192" s="34" t="e">
        <f>VLOOKUP(A1,DIV_14Data!$A$1:$DZU$1000000,3259,FALSE)</f>
        <v>#N/A</v>
      </c>
      <c r="L192" s="34" t="e">
        <f>VLOOKUP(A1,DIV_14Data!$A$1:$DZU$1000000,3260,FALSE)</f>
        <v>#N/A</v>
      </c>
      <c r="M192" s="33" t="e">
        <f>VLOOKUP(A1,DIV_14Data!$A$1:$DZU$1000000,3261,FALSE)</f>
        <v>#N/A</v>
      </c>
      <c r="N192" s="34" t="e">
        <f>VLOOKUP(A1,DIV_14Data!$A$1:$DZU$1000000,3262,FALSE)</f>
        <v>#N/A</v>
      </c>
      <c r="O192" s="33" t="e">
        <f>VLOOKUP(A1,DIV_14Data!$A$1:$DZU$1000000,3263,FALSE)</f>
        <v>#N/A</v>
      </c>
      <c r="P192" s="46" t="e">
        <f>VLOOKUP(A1,DIV_14Data!$A$1:$DZU$1000000,3264,FALSE)</f>
        <v>#N/A</v>
      </c>
      <c r="Q192" s="33" t="e">
        <f>VLOOKUP(A1,DIV_14Data!$A$1:$DZU$1000000,3265,FALSE)</f>
        <v>#N/A</v>
      </c>
    </row>
    <row r="193" spans="1:17" x14ac:dyDescent="0.35">
      <c r="A193" s="22" t="e">
        <f>VLOOKUP(A1,DIV_14Data!$A$1:$DZU$1000000,3266,FALSE)</f>
        <v>#N/A</v>
      </c>
      <c r="B193" s="37" t="e">
        <f>VLOOKUP(A1,DIV_14Data!$A$1:$DZU$1000000,3267,FALSE)</f>
        <v>#N/A</v>
      </c>
      <c r="C193" s="30" t="e">
        <f>VLOOKUP(A1,DIV_14Data!$A$1:$DZU$1000000,3268,FALSE)</f>
        <v>#N/A</v>
      </c>
      <c r="D193" s="31" t="e">
        <f>VLOOKUP(A1,DIV_14Data!$A$1:$DZU$1000000,3269,FALSE)</f>
        <v>#N/A</v>
      </c>
      <c r="E193" s="32" t="e">
        <f>VLOOKUP(A1,DIV_14Data!$A$1:$DZU$1000000,3270,FALSE)</f>
        <v>#N/A</v>
      </c>
      <c r="F193" s="34" t="e">
        <f>VLOOKUP(A1,DIV_14Data!$A$1:$DZU$1000000,3271,FALSE)</f>
        <v>#N/A</v>
      </c>
      <c r="G193" s="33" t="e">
        <f>VLOOKUP(A1,DIV_14Data!$A$1:$DZU$1000000,3272,FALSE)</f>
        <v>#N/A</v>
      </c>
      <c r="H193" s="34" t="e">
        <f>VLOOKUP(A1,DIV_14Data!$A$1:$DZU$1000000,3273,FALSE)</f>
        <v>#N/A</v>
      </c>
      <c r="I193" s="33" t="e">
        <f>VLOOKUP(A1,DIV_14Data!$A$1:$DZU$1000000,3274,FALSE)</f>
        <v>#N/A</v>
      </c>
      <c r="J193" s="34" t="e">
        <f>VLOOKUP(A1,DIV_14Data!$A$1:$DZU$1000000,3275,FALSE)</f>
        <v>#N/A</v>
      </c>
      <c r="K193" s="34" t="e">
        <f>VLOOKUP(A1,DIV_14Data!$A$1:$DZU$1000000,3276,FALSE)</f>
        <v>#N/A</v>
      </c>
      <c r="L193" s="34" t="e">
        <f>VLOOKUP(A1,DIV_14Data!$A$1:$DZU$1000000,3277,FALSE)</f>
        <v>#N/A</v>
      </c>
      <c r="M193" s="33" t="e">
        <f>VLOOKUP(A1,DIV_14Data!$A$1:$DZU$1000000,3278,FALSE)</f>
        <v>#N/A</v>
      </c>
      <c r="N193" s="34" t="e">
        <f>VLOOKUP(A1,DIV_14Data!$A$1:$DZU$1000000,3279,FALSE)</f>
        <v>#N/A</v>
      </c>
      <c r="O193" s="33" t="e">
        <f>VLOOKUP(A1,DIV_14Data!$A$1:$DZU$1000000,3280,FALSE)</f>
        <v>#N/A</v>
      </c>
      <c r="P193" s="46" t="e">
        <f>VLOOKUP(A1,DIV_14Data!$A$1:$DZU$1000000,3281,FALSE)</f>
        <v>#N/A</v>
      </c>
      <c r="Q193" s="33" t="e">
        <f>VLOOKUP(A1,DIV_14Data!$A$1:$DZU$1000000,3282,FALSE)</f>
        <v>#N/A</v>
      </c>
    </row>
    <row r="194" spans="1:17" x14ac:dyDescent="0.35">
      <c r="A194" s="22" t="e">
        <f>VLOOKUP(A1,DIV_14Data!$A$1:$DZU$1000000,3283,FALSE)</f>
        <v>#N/A</v>
      </c>
      <c r="B194" s="37" t="e">
        <f>VLOOKUP(A1,DIV_14Data!$A$1:$DZU$1000000,3284,FALSE)</f>
        <v>#N/A</v>
      </c>
      <c r="C194" s="38" t="e">
        <f>VLOOKUP(A1,DIV_14Data!$A$1:$DZU$1000000,3285,FALSE)</f>
        <v>#N/A</v>
      </c>
      <c r="D194" s="31" t="e">
        <f>VLOOKUP(A1,DIV_14Data!$A$1:$DZU$1000000,3286,FALSE)</f>
        <v>#N/A</v>
      </c>
      <c r="E194" s="32" t="e">
        <f>VLOOKUP(A1,DIV_14Data!$A$1:$DZU$1000000,3287,FALSE)</f>
        <v>#N/A</v>
      </c>
      <c r="F194" s="34" t="e">
        <f>VLOOKUP(A1,DIV_14Data!$A$1:$DZU$1000000,3288,FALSE)</f>
        <v>#N/A</v>
      </c>
      <c r="G194" s="33" t="e">
        <f>VLOOKUP(A1,DIV_14Data!$A$1:$DZU$1000000,3289,FALSE)</f>
        <v>#N/A</v>
      </c>
      <c r="H194" s="34" t="e">
        <f>VLOOKUP(A1,DIV_14Data!$A$1:$DZU$1000000,3290,FALSE)</f>
        <v>#N/A</v>
      </c>
      <c r="I194" s="33" t="e">
        <f>VLOOKUP(A1,DIV_14Data!$A$1:$DZU$1000000,3291,FALSE)</f>
        <v>#N/A</v>
      </c>
      <c r="J194" s="34" t="e">
        <f>VLOOKUP(A1,DIV_14Data!$A$1:$DZU$1000000,3292,FALSE)</f>
        <v>#N/A</v>
      </c>
      <c r="K194" s="34" t="e">
        <f>VLOOKUP(A1,DIV_14Data!$A$1:$DZU$1000000,3293,FALSE)</f>
        <v>#N/A</v>
      </c>
      <c r="L194" s="93" t="e">
        <f>VLOOKUP(A1,DIV_14Data!$A$1:$DZU$1000000,3294,FALSE)</f>
        <v>#N/A</v>
      </c>
      <c r="M194" s="33" t="e">
        <f>VLOOKUP(A1,DIV_14Data!$A$1:$DZU$1000000,3295,FALSE)</f>
        <v>#N/A</v>
      </c>
      <c r="N194" s="34" t="e">
        <f>VLOOKUP(A1,DIV_14Data!$A$1:$DZU$1000000,3296,FALSE)</f>
        <v>#N/A</v>
      </c>
      <c r="O194" s="33" t="e">
        <f>VLOOKUP(A1,DIV_14Data!$A$1:$DZU$1000000,3297,FALSE)</f>
        <v>#N/A</v>
      </c>
      <c r="P194" s="46" t="e">
        <f>VLOOKUP(A1,DIV_14Data!$A$1:$DZU$1000000,3298,FALSE)</f>
        <v>#N/A</v>
      </c>
      <c r="Q194" s="33" t="e">
        <f>VLOOKUP(A1,DIV_14Data!$A$1:$DZU$1000000,3299,FALSE)</f>
        <v>#N/A</v>
      </c>
    </row>
    <row r="195" spans="1:17" x14ac:dyDescent="0.35">
      <c r="A195" s="22" t="e">
        <f>VLOOKUP(A1,DIV_14Data!$A$1:$DZU$1000000,3300,FALSE)</f>
        <v>#N/A</v>
      </c>
      <c r="B195" s="37" t="e">
        <f>VLOOKUP(A1,DIV_14Data!$A$1:$DZU$1000000,3301,FALSE)</f>
        <v>#N/A</v>
      </c>
      <c r="C195" s="38" t="e">
        <f>VLOOKUP(A1,DIV_14Data!$A$1:$DZU$1000000,3302,FALSE)</f>
        <v>#N/A</v>
      </c>
      <c r="D195" s="31" t="e">
        <f>VLOOKUP(A1,DIV_14Data!$A$1:$DZU$1000000,3303,FALSE)</f>
        <v>#N/A</v>
      </c>
      <c r="E195" s="32" t="e">
        <f>VLOOKUP(A1,DIV_14Data!$A$1:$DZU$1000000,3304,FALSE)</f>
        <v>#N/A</v>
      </c>
      <c r="F195" s="34" t="e">
        <f>VLOOKUP(A1,DIV_14Data!$A$1:$DZU$1000000,3305,FALSE)</f>
        <v>#N/A</v>
      </c>
      <c r="G195" s="33" t="e">
        <f>VLOOKUP(A1,DIV_14Data!$A$1:$DZU$1000000,3306,FALSE)</f>
        <v>#N/A</v>
      </c>
      <c r="H195" s="34" t="e">
        <f>VLOOKUP(A1,DIV_14Data!$A$1:$DZU$1000000,3307,FALSE)</f>
        <v>#N/A</v>
      </c>
      <c r="I195" s="33" t="e">
        <f>VLOOKUP(A1,DIV_14Data!$A$1:$DZU$1000000,3308,FALSE)</f>
        <v>#N/A</v>
      </c>
      <c r="J195" s="34" t="e">
        <f>VLOOKUP(A1,DIV_14Data!$A$1:$DZU$1000000,3309,FALSE)</f>
        <v>#N/A</v>
      </c>
      <c r="K195" s="34" t="e">
        <f>VLOOKUP(A1,DIV_14Data!$A$1:$DZU$1000000,3310,FALSE)</f>
        <v>#N/A</v>
      </c>
      <c r="L195" s="93" t="e">
        <f>VLOOKUP(A1,DIV_14Data!$A$1:$DZU$1000000,3311,FALSE)</f>
        <v>#N/A</v>
      </c>
      <c r="M195" s="33" t="e">
        <f>VLOOKUP(A1,DIV_14Data!$A$1:$DZU$1000000,3312,FALSE)</f>
        <v>#N/A</v>
      </c>
      <c r="N195" s="34" t="e">
        <f>VLOOKUP(A1,DIV_14Data!$A$1:$DZU$1000000,3313,FALSE)</f>
        <v>#N/A</v>
      </c>
      <c r="O195" s="33" t="e">
        <f>VLOOKUP(A1,DIV_14Data!$A$1:$DZU$1000000,3314,FALSE)</f>
        <v>#N/A</v>
      </c>
      <c r="P195" s="46" t="e">
        <f>VLOOKUP(A1,DIV_14Data!$A$1:$DZU$1000000,3315,FALSE)</f>
        <v>#N/A</v>
      </c>
      <c r="Q195" s="33" t="e">
        <f>VLOOKUP(A1,DIV_14Data!$A$1:$DZU$1000000,3316,FALSE)</f>
        <v>#N/A</v>
      </c>
    </row>
    <row r="196" spans="1:17" x14ac:dyDescent="0.35">
      <c r="A196" s="22" t="e">
        <f>VLOOKUP(A1,DIV_14Data!$A$1:$DZU$1000000,3317,FALSE)</f>
        <v>#N/A</v>
      </c>
      <c r="B196" s="37" t="e">
        <f>VLOOKUP(A1,DIV_14Data!$A$1:$DZU$1000000,3318,FALSE)</f>
        <v>#N/A</v>
      </c>
      <c r="C196" s="38" t="e">
        <f>VLOOKUP(A1,DIV_14Data!$A$1:$DZU$1000000,3319,FALSE)</f>
        <v>#N/A</v>
      </c>
      <c r="D196" s="31" t="e">
        <f>VLOOKUP(A1,DIV_14Data!$A$1:$DZU$1000000,3320,FALSE)</f>
        <v>#N/A</v>
      </c>
      <c r="E196" s="32" t="e">
        <f>VLOOKUP(A1,DIV_14Data!$A$1:$DZU$1000000,3321,FALSE)</f>
        <v>#N/A</v>
      </c>
      <c r="F196" s="34" t="e">
        <f>VLOOKUP(A1,DIV_14Data!$A$1:$DZU$1000000,3322,FALSE)</f>
        <v>#N/A</v>
      </c>
      <c r="G196" s="33" t="e">
        <f>VLOOKUP(A1,DIV_14Data!$A$1:$DZU$1000000,3323,FALSE)</f>
        <v>#N/A</v>
      </c>
      <c r="H196" s="34" t="e">
        <f>VLOOKUP(A1,DIV_14Data!$A$1:$DZU$1000000,3324,FALSE)</f>
        <v>#N/A</v>
      </c>
      <c r="I196" s="33" t="e">
        <f>VLOOKUP(A1,DIV_14Data!$A$1:$DZU$1000000,3325,FALSE)</f>
        <v>#N/A</v>
      </c>
      <c r="J196" s="34" t="e">
        <f>VLOOKUP(A1,DIV_14Data!$A$1:$DZU$1000000,3326,FALSE)</f>
        <v>#N/A</v>
      </c>
      <c r="K196" s="34" t="e">
        <f>VLOOKUP(A1,DIV_14Data!$A$1:$DZU$1000000,3327,FALSE)</f>
        <v>#N/A</v>
      </c>
      <c r="L196" s="93" t="e">
        <f>VLOOKUP(A1,DIV_14Data!$A$1:$DZU$1000000,3328,FALSE)</f>
        <v>#N/A</v>
      </c>
      <c r="M196" s="33" t="e">
        <f>VLOOKUP(A1,DIV_14Data!$A$1:$DZU$1000000,3329,FALSE)</f>
        <v>#N/A</v>
      </c>
      <c r="N196" s="34" t="e">
        <f>VLOOKUP(A1,DIV_14Data!$A$1:$DZU$1000000,3330,FALSE)</f>
        <v>#N/A</v>
      </c>
      <c r="O196" s="33" t="e">
        <f>VLOOKUP(A1,DIV_14Data!$A$1:$DZU$1000000,3331,FALSE)</f>
        <v>#N/A</v>
      </c>
      <c r="P196" s="46" t="e">
        <f>VLOOKUP(A1,DIV_14Data!$A$1:$DZU$1000000,3332,FALSE)</f>
        <v>#N/A</v>
      </c>
      <c r="Q196" s="33" t="e">
        <f>VLOOKUP(A1,DIV_14Data!$A$1:$DZU$1000000,3333,FALSE)</f>
        <v>#N/A</v>
      </c>
    </row>
    <row r="197" spans="1:17" x14ac:dyDescent="0.35">
      <c r="A197" s="22" t="e">
        <f>VLOOKUP(A1,DIV_14Data!$A$1:$DZU$1000000,3334,FALSE)</f>
        <v>#N/A</v>
      </c>
      <c r="B197" s="37" t="e">
        <f>VLOOKUP(A1,DIV_14Data!$A$1:$DZU$1000000,3335,FALSE)</f>
        <v>#N/A</v>
      </c>
      <c r="C197" s="43" t="e">
        <f>VLOOKUP(A1,DIV_14Data!$A$1:$DZU$1000000,3336,FALSE)</f>
        <v>#N/A</v>
      </c>
      <c r="D197" s="31" t="e">
        <f>VLOOKUP(A1,DIV_14Data!$A$1:$DZU$1000000,3337,FALSE)</f>
        <v>#N/A</v>
      </c>
      <c r="E197" s="32" t="e">
        <f>VLOOKUP(A1,DIV_14Data!$A$1:$DZU$1000000,3338,FALSE)</f>
        <v>#N/A</v>
      </c>
      <c r="F197" s="44" t="e">
        <f>VLOOKUP(A1,DIV_14Data!$A$1:$DZU$1000000,3339,FALSE)</f>
        <v>#N/A</v>
      </c>
      <c r="G197" s="45" t="e">
        <f>VLOOKUP(A1,DIV_14Data!$A$1:$DZU$1000000,3340,FALSE)</f>
        <v>#N/A</v>
      </c>
      <c r="H197" s="44" t="e">
        <f>VLOOKUP(A1,DIV_14Data!$A$1:$DZU$1000000,3341,FALSE)</f>
        <v>#N/A</v>
      </c>
      <c r="I197" s="45" t="e">
        <f>VLOOKUP(A1,DIV_14Data!$A$1:$DZU$1000000,3342,FALSE)</f>
        <v>#N/A</v>
      </c>
      <c r="J197" s="34" t="e">
        <f>VLOOKUP(A1,DIV_14Data!$A$1:$DZU$1000000,3343,FALSE)</f>
        <v>#N/A</v>
      </c>
      <c r="K197" s="43" t="e">
        <f>VLOOKUP(A1,DIV_14Data!$A$1:$DZU$1000000,3344,FALSE)</f>
        <v>#N/A</v>
      </c>
      <c r="L197" s="44" t="e">
        <f>VLOOKUP(A1,DIV_14Data!$A$1:$DZU$1000000,3345,FALSE)</f>
        <v>#N/A</v>
      </c>
      <c r="M197" s="45" t="e">
        <f>VLOOKUP(A1,DIV_14Data!$A$1:$DZU$1000000,3346,FALSE)</f>
        <v>#N/A</v>
      </c>
      <c r="N197" s="44" t="e">
        <f>VLOOKUP(A1,DIV_14Data!$A$1:$DZU$1000000,3347,FALSE)</f>
        <v>#N/A</v>
      </c>
      <c r="O197" s="45" t="e">
        <f>VLOOKUP(A1,DIV_14Data!$A$1:$DZU$1000000,3348,FALSE)</f>
        <v>#N/A</v>
      </c>
      <c r="P197" s="36" t="e">
        <f>VLOOKUP(A1,DIV_14Data!$A$1:$DZU$1000000,3349,FALSE)</f>
        <v>#N/A</v>
      </c>
      <c r="Q197" s="45" t="e">
        <f>VLOOKUP(A1,DIV_14Data!$A$1:$DZU$1000000,3350,FALSE)</f>
        <v>#N/A</v>
      </c>
    </row>
    <row r="198" spans="1:17" x14ac:dyDescent="0.35">
      <c r="A198" s="22" t="e">
        <f>VLOOKUP(A1,DIV_14Data!$A$1:$DZU$1000000,3351,FALSE)</f>
        <v>#N/A</v>
      </c>
      <c r="B198" s="37" t="e">
        <f>VLOOKUP(A1,DIV_14Data!$A$1:$DZU$1000000,3352,FALSE)</f>
        <v>#N/A</v>
      </c>
      <c r="C198" s="38" t="e">
        <f>VLOOKUP(A1,DIV_14Data!$A$1:$DZU$1000000,3353,FALSE)</f>
        <v>#N/A</v>
      </c>
      <c r="D198" s="31" t="e">
        <f>VLOOKUP(A1,DIV_14Data!$A$1:$DZU$1000000,3354,FALSE)</f>
        <v>#N/A</v>
      </c>
      <c r="E198" s="32" t="e">
        <f>VLOOKUP(A1,DIV_14Data!$A$1:$DZU$1000000,3355,FALSE)</f>
        <v>#N/A</v>
      </c>
      <c r="F198" s="34" t="e">
        <f>VLOOKUP(A1,DIV_14Data!$A$1:$DZU$1000000,3356,FALSE)</f>
        <v>#N/A</v>
      </c>
      <c r="G198" s="33" t="e">
        <f>VLOOKUP(A1,DIV_14Data!$A$1:$DZU$1000000,3357,FALSE)</f>
        <v>#N/A</v>
      </c>
      <c r="H198" s="34" t="e">
        <f>VLOOKUP(A1,DIV_14Data!$A$1:$DZU$1000000,3358,FALSE)</f>
        <v>#N/A</v>
      </c>
      <c r="I198" s="33" t="e">
        <f>VLOOKUP(A1,DIV_14Data!$A$1:$DZU$1000000,3359,FALSE)</f>
        <v>#N/A</v>
      </c>
      <c r="J198" s="34" t="e">
        <f>VLOOKUP(A1,DIV_14Data!$A$1:$DZU$1000000,3360,FALSE)</f>
        <v>#N/A</v>
      </c>
      <c r="K198" s="34" t="e">
        <f>VLOOKUP(A1,DIV_14Data!$A$1:$DZU$1000000,3361,FALSE)</f>
        <v>#N/A</v>
      </c>
      <c r="L198" s="34" t="e">
        <f>VLOOKUP(A1,DIV_14Data!$A$1:$DZU$1000000,3362,FALSE)</f>
        <v>#N/A</v>
      </c>
      <c r="M198" s="33" t="e">
        <f>VLOOKUP(A1,DIV_14Data!$A$1:$DZU$1000000,3363,FALSE)</f>
        <v>#N/A</v>
      </c>
      <c r="N198" s="34" t="e">
        <f>VLOOKUP(A1,DIV_14Data!$A$1:$DZU$1000000,3364,FALSE)</f>
        <v>#N/A</v>
      </c>
      <c r="O198" s="35" t="e">
        <f>VLOOKUP(A1,DIV_14Data!$A$1:$DZU$1000000,3365,FALSE)</f>
        <v>#N/A</v>
      </c>
      <c r="P198" s="36" t="e">
        <f>VLOOKUP(A1,DIV_14Data!$A$1:$DZU$1000000,3366,FALSE)</f>
        <v>#N/A</v>
      </c>
      <c r="Q198" s="35" t="e">
        <f>VLOOKUP(A1,DIV_14Data!$A$1:$DZU$1000000,3367,FALSE)</f>
        <v>#N/A</v>
      </c>
    </row>
    <row r="199" spans="1:17" x14ac:dyDescent="0.35">
      <c r="A199" s="62" t="e">
        <f>VLOOKUP(A1,DIV_14Data!$A$1:$DZU$1000000,3368,FALSE)</f>
        <v>#N/A</v>
      </c>
      <c r="B199" s="63" t="e">
        <f>VLOOKUP(A1,DIV_14Data!$A$1:$DZU$1000000,3369,FALSE)</f>
        <v>#N/A</v>
      </c>
      <c r="C199" s="64" t="e">
        <f>VLOOKUP(A1,DIV_14Data!$A$1:$DZU$1000000,3370,FALSE)</f>
        <v>#N/A</v>
      </c>
      <c r="D199" s="65" t="e">
        <f>VLOOKUP(A1,DIV_14Data!$A$1:$DZU$1000000,3371,FALSE)</f>
        <v>#N/A</v>
      </c>
      <c r="E199" s="66" t="e">
        <f>VLOOKUP(A1,DIV_14Data!$A$1:$DZU$1000000,3372,FALSE)</f>
        <v>#N/A</v>
      </c>
      <c r="F199" s="67" t="e">
        <f>VLOOKUP(A1,DIV_14Data!$A$1:$DZU$1000000,3373,FALSE)</f>
        <v>#N/A</v>
      </c>
      <c r="G199" s="68" t="e">
        <f>VLOOKUP(A1,DIV_14Data!$A$1:$DZU$1000000,3374,FALSE)</f>
        <v>#N/A</v>
      </c>
      <c r="H199" s="67" t="e">
        <f>VLOOKUP(A1,DIV_14Data!$A$1:$DZU$1000000,3375,FALSE)</f>
        <v>#N/A</v>
      </c>
      <c r="I199" s="68" t="e">
        <f>VLOOKUP(A1,DIV_14Data!$A$1:$DZU$1000000,3376,FALSE)</f>
        <v>#N/A</v>
      </c>
      <c r="J199" s="67" t="e">
        <f>VLOOKUP(A1,DIV_14Data!$A$1:$DZU$1000000,3377,FALSE)</f>
        <v>#N/A</v>
      </c>
      <c r="K199" s="69" t="e">
        <f>VLOOKUP(A1,DIV_14Data!$A$1:$DZU$1000000,3378,FALSE)</f>
        <v>#N/A</v>
      </c>
      <c r="L199" s="67" t="e">
        <f>VLOOKUP(A1,DIV_14Data!$A$1:$DZU$1000000,3379,FALSE)</f>
        <v>#N/A</v>
      </c>
      <c r="M199" s="68" t="e">
        <f>VLOOKUP(A1,DIV_14Data!$A$1:$DZU$1000000,3380,FALSE)</f>
        <v>#N/A</v>
      </c>
      <c r="N199" s="67" t="e">
        <f>VLOOKUP(A1,DIV_14Data!$A$1:$DZU$1000000,3381,FALSE)</f>
        <v>#N/A</v>
      </c>
      <c r="O199" s="68" t="e">
        <f>VLOOKUP(A1,DIV_14Data!$A$1:$DZU$1000000,3382,FALSE)</f>
        <v>#N/A</v>
      </c>
      <c r="P199" s="70" t="e">
        <f>VLOOKUP(A1,DIV_14Data!$A$1:$DZU$1000000,3383,FALSE)</f>
        <v>#N/A</v>
      </c>
      <c r="Q199" s="68" t="e">
        <f>VLOOKUP(A1,DIV_14Data!$A$1:$DZU$1000000,3384,FALSE)</f>
        <v>#N/A</v>
      </c>
    </row>
    <row r="200" spans="1:17" x14ac:dyDescent="0.35">
      <c r="A200" s="1" t="e">
        <f>VLOOKUP(A1,DIV_14Data!$A$1:$DZU$1000000,3385,FALSE)</f>
        <v>#N/A</v>
      </c>
      <c r="B200" s="1" t="e">
        <f>VLOOKUP(A1,DIV_14Data!$A$1:$DZU$1000000,3386,FALSE)</f>
        <v>#N/A</v>
      </c>
      <c r="C200" s="1" t="e">
        <f>VLOOKUP(A1,DIV_14Data!$A$1:$DZU$1000000,3387,FALSE)</f>
        <v>#N/A</v>
      </c>
      <c r="D200" s="1" t="e">
        <f>VLOOKUP(A1,DIV_14Data!$A$1:$DZU$1000000,3388,FALSE)</f>
        <v>#N/A</v>
      </c>
      <c r="E200" s="1" t="e">
        <f>VLOOKUP(A1,DIV_14Data!$A$1:$DZU$1000000,3389,FALSE)</f>
        <v>#N/A</v>
      </c>
      <c r="F200" s="1" t="e">
        <f>VLOOKUP(A1,DIV_14Data!$A$1:$DZU$1000000,3390,FALSE)</f>
        <v>#N/A</v>
      </c>
      <c r="G200" s="1" t="e">
        <f>VLOOKUP(A1,DIV_14Data!$A$1:$DZU$1000000,3391,FALSE)</f>
        <v>#N/A</v>
      </c>
      <c r="H200" s="1" t="e">
        <f>VLOOKUP(A1,DIV_14Data!$A$1:$DZU$1000000,3392,FALSE)</f>
        <v>#N/A</v>
      </c>
      <c r="I200" s="1" t="e">
        <f>VLOOKUP(A1,DIV_14Data!$A$1:$DZU$1000000,3393,FALSE)</f>
        <v>#N/A</v>
      </c>
      <c r="J200" s="1" t="e">
        <f>VLOOKUP(A1,DIV_14Data!$A$1:$DZU$1000000,3394,FALSE)</f>
        <v>#N/A</v>
      </c>
      <c r="K200" s="1" t="e">
        <f>VLOOKUP(A1,DIV_14Data!$A$1:$DZU$1000000,3395,FALSE)</f>
        <v>#N/A</v>
      </c>
      <c r="L200" s="1" t="e">
        <f>VLOOKUP(A1,DIV_14Data!$A$1:$DZU$1000000,3396,FALSE)</f>
        <v>#N/A</v>
      </c>
      <c r="M200" s="1" t="e">
        <f>VLOOKUP(A1,DIV_14Data!$A$1:$DZU$1000000,3397,FALSE)</f>
        <v>#N/A</v>
      </c>
      <c r="N200" s="1" t="e">
        <f>VLOOKUP(A1,DIV_14Data!$A$1:$DZU$1000000,3398,FALSE)</f>
        <v>#N/A</v>
      </c>
      <c r="O200" s="1" t="e">
        <f>VLOOKUP(A1,DIV_14Data!$A$1:$DZU$1000000,3399,FALSE)</f>
        <v>#N/A</v>
      </c>
      <c r="P200" s="1" t="e">
        <f>VLOOKUP(A1,DIV_14Data!$A$1:$DZU$1000000,3400,FALSE)</f>
        <v>#N/A</v>
      </c>
      <c r="Q200" s="78" t="e">
        <f>VLOOKUP(A1,DIV_14Data!$A$1:$DZU$1000000,3401,FALSE)</f>
        <v>#N/A</v>
      </c>
    </row>
    <row r="201" spans="1:17" x14ac:dyDescent="0.35">
      <c r="A201" s="1"/>
      <c r="B201" s="1"/>
      <c r="C201" s="1"/>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1"/>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c r="D205" s="1"/>
      <c r="E205" s="1"/>
      <c r="F205" s="1"/>
      <c r="G205" s="1"/>
      <c r="H205" s="1"/>
      <c r="I205" s="1"/>
      <c r="J205" s="1"/>
      <c r="K205" s="1"/>
      <c r="L205" s="1"/>
      <c r="M205" s="1"/>
      <c r="N205" s="1"/>
      <c r="O205" s="1"/>
      <c r="P205" s="1"/>
      <c r="Q205" s="1"/>
    </row>
    <row r="206" spans="1:17" x14ac:dyDescent="0.35">
      <c r="A206" s="1"/>
      <c r="B206" s="1"/>
      <c r="C206" s="1"/>
      <c r="D206" s="1"/>
      <c r="E206" s="1"/>
      <c r="F206" s="1"/>
      <c r="G206" s="1"/>
      <c r="H206" s="1"/>
      <c r="I206" s="1"/>
      <c r="J206" s="1"/>
      <c r="K206" s="1"/>
      <c r="L206" s="1"/>
      <c r="M206" s="1"/>
      <c r="N206" s="1"/>
      <c r="O206" s="1"/>
      <c r="P206" s="1"/>
      <c r="Q206" s="1"/>
    </row>
    <row r="207" spans="1:17" x14ac:dyDescent="0.35">
      <c r="A207" s="1"/>
      <c r="B207" s="1"/>
      <c r="C207" s="1"/>
      <c r="D207" s="1"/>
      <c r="E207" s="1"/>
      <c r="F207" s="1"/>
      <c r="G207" s="1"/>
      <c r="H207" s="1"/>
      <c r="I207" s="1"/>
      <c r="J207" s="1"/>
      <c r="K207" s="1"/>
      <c r="L207" s="1"/>
      <c r="M207" s="1"/>
      <c r="N207" s="1"/>
      <c r="O207" s="1"/>
      <c r="P207" s="1"/>
      <c r="Q207" s="1"/>
    </row>
  </sheetData>
  <mergeCells count="9">
    <mergeCell ref="J5:K5"/>
    <mergeCell ref="J6:K6"/>
    <mergeCell ref="J7:K7"/>
    <mergeCell ref="B2:L2"/>
    <mergeCell ref="A3:B3"/>
    <mergeCell ref="D3:G3"/>
    <mergeCell ref="J3:K3"/>
    <mergeCell ref="A4:B4"/>
    <mergeCell ref="J4:K4"/>
  </mergeCells>
  <dataValidations count="1">
    <dataValidation type="list" allowBlank="1" showInputMessage="1" showErrorMessage="1" sqref="C16:C190" xr:uid="{94BF4107-394E-4A70-A7E4-EF0ED61E00DB}">
      <formula1>$C$205:$C207</formula1>
    </dataValidation>
  </dataValidations>
  <hyperlinks>
    <hyperlink ref="D3" r:id="rId1" display="datamateapp@gmail.com" xr:uid="{8EFC11C3-B1A9-4B4E-8CAC-0D4E158EF756}"/>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86433" r:id="rId4" name="Button 1">
              <controlPr defaultSize="0" print="0" autoFill="0" autoPict="0" macro="[0]!ViewInput">
                <anchor moveWithCells="1" sizeWithCells="1">
                  <from>
                    <xdr:col>17</xdr:col>
                    <xdr:colOff>0</xdr:colOff>
                    <xdr:row>2</xdr:row>
                    <xdr:rowOff>50800</xdr:rowOff>
                  </from>
                  <to>
                    <xdr:col>19</xdr:col>
                    <xdr:colOff>50800</xdr:colOff>
                    <xdr:row>4</xdr:row>
                    <xdr:rowOff>101600</xdr:rowOff>
                  </to>
                </anchor>
              </controlPr>
            </control>
          </mc:Choice>
        </mc:AlternateContent>
        <mc:AlternateContent xmlns:mc="http://schemas.openxmlformats.org/markup-compatibility/2006">
          <mc:Choice Requires="x14">
            <control shapeId="786434" r:id="rId5" name="Button 2">
              <controlPr defaultSize="0" print="0" autoFill="0" autoPict="0" macro="[0]!ViewLog">
                <anchor moveWithCells="1" sizeWithCells="1">
                  <from>
                    <xdr:col>17</xdr:col>
                    <xdr:colOff>0</xdr:colOff>
                    <xdr:row>5</xdr:row>
                    <xdr:rowOff>50800</xdr:rowOff>
                  </from>
                  <to>
                    <xdr:col>19</xdr:col>
                    <xdr:colOff>50800</xdr:colOff>
                    <xdr:row>7</xdr:row>
                    <xdr:rowOff>57150</xdr:rowOff>
                  </to>
                </anchor>
              </controlPr>
            </control>
          </mc:Choice>
        </mc:AlternateContent>
        <mc:AlternateContent xmlns:mc="http://schemas.openxmlformats.org/markup-compatibility/2006">
          <mc:Choice Requires="x14">
            <control shapeId="786435" r:id="rId6" name="Button 3">
              <controlPr defaultSize="0" print="0" autoFill="0" autoPict="0" macro="[0]!OpenDataMateAppPage">
                <anchor moveWithCells="1" sizeWithCells="1">
                  <from>
                    <xdr:col>17</xdr:col>
                    <xdr:colOff>0</xdr:colOff>
                    <xdr:row>7</xdr:row>
                    <xdr:rowOff>171450</xdr:rowOff>
                  </from>
                  <to>
                    <xdr:col>19</xdr:col>
                    <xdr:colOff>50800</xdr:colOff>
                    <xdr:row>9</xdr:row>
                    <xdr:rowOff>171450</xdr:rowOff>
                  </to>
                </anchor>
              </controlPr>
            </control>
          </mc:Choice>
        </mc:AlternateContent>
        <mc:AlternateContent xmlns:mc="http://schemas.openxmlformats.org/markup-compatibility/2006">
          <mc:Choice Requires="x14">
            <control shapeId="786436" r:id="rId7" name="Button 4">
              <controlPr defaultSize="0" print="0" autoFill="0" autoPict="0" macro="RefreshView">
                <anchor moveWithCells="1" sizeWithCells="1">
                  <from>
                    <xdr:col>17</xdr:col>
                    <xdr:colOff>0</xdr:colOff>
                    <xdr:row>0</xdr:row>
                    <xdr:rowOff>0</xdr:rowOff>
                  </from>
                  <to>
                    <xdr:col>19</xdr:col>
                    <xdr:colOff>50800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46E2997-57C3-476E-BDD3-5B0B2B91E416}">
          <x14:formula1>
            <xm:f>DIV_02Data!$A:$A</xm:f>
          </x14:formula1>
          <xm:sqref>B2:L2</xm:sqref>
        </x14:dataValidation>
      </x14:dataValidations>
    </ext>
  </extLst>
</worksheet>
</file>

<file path=xl/worksheets/sheet1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5A483-082E-44AF-A5E2-E10A96F637A2}">
  <sheetPr codeName="Sheet181"/>
  <dimension ref="A1:Q12"/>
  <sheetViews>
    <sheetView zoomScale="75" zoomScaleNormal="75" workbookViewId="0">
      <selection activeCell="G9" sqref="G9"/>
    </sheetView>
  </sheetViews>
  <sheetFormatPr defaultRowHeight="14.5" x14ac:dyDescent="0.35"/>
  <cols>
    <col min="1" max="1" width="28.26953125" customWidth="1"/>
    <col min="2" max="8" width="13.36328125" customWidth="1"/>
    <col min="9" max="9" width="50.36328125" customWidth="1"/>
    <col min="13" max="15" width="10.26953125" customWidth="1"/>
  </cols>
  <sheetData>
    <row r="1" spans="1:17" x14ac:dyDescent="0.35">
      <c r="A1" s="1"/>
      <c r="B1" s="1"/>
      <c r="C1" s="1"/>
      <c r="D1" s="1"/>
      <c r="E1" s="1"/>
      <c r="F1" s="1"/>
      <c r="G1" s="1"/>
      <c r="H1" s="1"/>
      <c r="I1" s="1"/>
      <c r="J1" s="1"/>
      <c r="K1" s="1"/>
      <c r="L1" s="1"/>
      <c r="M1" s="1"/>
      <c r="N1" s="1"/>
      <c r="O1" s="1"/>
      <c r="P1" s="1"/>
      <c r="Q1" s="1"/>
    </row>
    <row r="2" spans="1:17" ht="18.5" x14ac:dyDescent="0.45">
      <c r="A2" s="71" t="e">
        <f>[2]Blank!A3</f>
        <v>#REF!</v>
      </c>
      <c r="B2" s="1"/>
      <c r="C2" s="1"/>
      <c r="D2" s="1"/>
      <c r="E2" s="1"/>
      <c r="F2" s="1"/>
      <c r="G2" s="1"/>
      <c r="H2" s="1"/>
      <c r="I2" s="1"/>
      <c r="J2" s="1"/>
      <c r="K2" s="1"/>
      <c r="L2" s="1"/>
      <c r="M2" s="1"/>
      <c r="N2" s="1"/>
      <c r="O2" s="1"/>
      <c r="P2" s="1"/>
      <c r="Q2" s="1"/>
    </row>
    <row r="3" spans="1:17" x14ac:dyDescent="0.35">
      <c r="A3" s="1" t="s">
        <v>21395</v>
      </c>
      <c r="B3" s="246">
        <f ca="1">TODAY()</f>
        <v>45603</v>
      </c>
      <c r="C3" s="1"/>
      <c r="D3" s="1"/>
      <c r="E3" s="1"/>
      <c r="F3" s="1"/>
      <c r="G3" s="1"/>
      <c r="H3" s="1"/>
      <c r="I3" s="1"/>
      <c r="J3" s="1"/>
      <c r="K3" s="1"/>
      <c r="L3" s="1"/>
      <c r="M3" s="1"/>
      <c r="N3" s="1"/>
      <c r="O3" s="1"/>
      <c r="P3" s="1"/>
      <c r="Q3" s="1"/>
    </row>
    <row r="4" spans="1:17" x14ac:dyDescent="0.35">
      <c r="A4" s="1"/>
      <c r="B4" s="1"/>
      <c r="C4" s="1"/>
      <c r="D4" s="1"/>
      <c r="E4" s="1"/>
      <c r="F4" s="1"/>
      <c r="G4" s="1"/>
      <c r="H4" s="1"/>
      <c r="I4" s="1"/>
      <c r="J4" s="1"/>
      <c r="K4" s="1"/>
      <c r="L4" s="1"/>
      <c r="M4" s="1"/>
      <c r="N4" s="1"/>
      <c r="O4" s="1"/>
      <c r="P4" s="1"/>
      <c r="Q4" s="1"/>
    </row>
    <row r="5" spans="1:17" x14ac:dyDescent="0.35">
      <c r="A5" s="1"/>
      <c r="B5" s="1"/>
      <c r="C5" s="1"/>
      <c r="D5" s="1"/>
      <c r="E5" s="1"/>
      <c r="F5" s="1"/>
      <c r="G5" s="1"/>
      <c r="H5" s="1"/>
      <c r="I5" s="1"/>
      <c r="J5" s="1"/>
      <c r="K5" s="1"/>
      <c r="L5" s="1"/>
      <c r="M5" s="1"/>
      <c r="N5" s="1"/>
      <c r="O5" s="1"/>
      <c r="P5" s="1"/>
      <c r="Q5" s="1"/>
    </row>
    <row r="6" spans="1:17" x14ac:dyDescent="0.35">
      <c r="A6" s="1"/>
      <c r="B6" s="1"/>
      <c r="C6" s="1"/>
      <c r="D6" s="1"/>
      <c r="E6" s="1"/>
      <c r="F6" s="1"/>
      <c r="G6" s="1"/>
      <c r="H6" s="1"/>
      <c r="I6" s="1"/>
      <c r="J6" s="1"/>
      <c r="K6" s="1"/>
      <c r="L6" s="1"/>
      <c r="M6" s="1"/>
      <c r="N6" s="1"/>
      <c r="O6" s="1"/>
      <c r="P6" s="1"/>
      <c r="Q6" s="1"/>
    </row>
    <row r="7" spans="1:17" x14ac:dyDescent="0.35">
      <c r="A7" s="1"/>
      <c r="B7" s="1"/>
      <c r="C7" s="1"/>
      <c r="D7" s="1"/>
      <c r="E7" s="1"/>
      <c r="F7" s="1"/>
      <c r="G7" s="1"/>
      <c r="H7" s="1"/>
      <c r="I7" s="1"/>
      <c r="J7" s="1"/>
      <c r="K7" s="1"/>
      <c r="L7" s="1"/>
      <c r="M7" s="1"/>
      <c r="N7" s="1"/>
      <c r="O7" s="1"/>
      <c r="P7" s="1"/>
      <c r="Q7" s="1"/>
    </row>
    <row r="8" spans="1:17" x14ac:dyDescent="0.35">
      <c r="A8" s="1"/>
      <c r="B8" s="1"/>
      <c r="C8" s="1"/>
      <c r="D8" s="1"/>
      <c r="E8" s="1"/>
      <c r="F8" s="1"/>
      <c r="G8" s="1"/>
      <c r="H8" s="1"/>
      <c r="I8" s="1"/>
      <c r="J8" s="1"/>
      <c r="K8" s="1"/>
      <c r="L8" s="1"/>
      <c r="M8" s="1"/>
      <c r="N8" s="1"/>
      <c r="O8" s="1"/>
      <c r="P8" s="1"/>
      <c r="Q8" s="1"/>
    </row>
    <row r="9" spans="1:17" x14ac:dyDescent="0.35">
      <c r="A9" s="1"/>
      <c r="B9" s="1"/>
      <c r="C9" s="1"/>
      <c r="D9" s="1"/>
      <c r="E9" s="1"/>
      <c r="F9" s="1"/>
      <c r="G9" s="1"/>
      <c r="H9" s="1"/>
      <c r="I9" s="1"/>
      <c r="J9" s="1"/>
      <c r="K9" s="1"/>
      <c r="L9" s="1"/>
      <c r="M9" s="1"/>
      <c r="N9" s="1"/>
      <c r="O9" s="1"/>
      <c r="P9" s="1"/>
      <c r="Q9" s="1"/>
    </row>
    <row r="10" spans="1:17" x14ac:dyDescent="0.35">
      <c r="A10" s="1"/>
      <c r="B10" s="1"/>
      <c r="C10" s="1"/>
      <c r="D10" s="1"/>
      <c r="E10" s="1"/>
      <c r="F10" s="1"/>
      <c r="G10" s="1"/>
      <c r="H10" s="1"/>
      <c r="I10" s="1"/>
      <c r="J10" s="1"/>
      <c r="K10" s="1"/>
      <c r="L10" s="1"/>
      <c r="M10" s="1"/>
      <c r="N10" s="1"/>
      <c r="O10" s="1"/>
      <c r="P10" s="1"/>
      <c r="Q10" s="1"/>
    </row>
    <row r="11" spans="1:17" x14ac:dyDescent="0.35">
      <c r="A11" s="1"/>
      <c r="B11" s="1"/>
      <c r="C11" s="1"/>
      <c r="D11" s="1"/>
      <c r="E11" s="1"/>
      <c r="F11" s="1"/>
      <c r="G11" s="1"/>
      <c r="H11" s="1"/>
      <c r="I11" s="1"/>
      <c r="J11" s="1"/>
      <c r="K11" s="1"/>
      <c r="L11" s="1"/>
      <c r="M11" s="1"/>
      <c r="N11" s="1"/>
      <c r="O11" s="1"/>
      <c r="P11" s="1"/>
      <c r="Q11" s="1"/>
    </row>
    <row r="12" spans="1:17" x14ac:dyDescent="0.35">
      <c r="A12" s="1"/>
      <c r="B12" s="1"/>
      <c r="C12" s="1"/>
      <c r="D12" s="1"/>
      <c r="E12" s="1"/>
      <c r="F12" s="1"/>
      <c r="G12" s="1"/>
      <c r="H12" s="1"/>
      <c r="I12" s="1"/>
      <c r="J12" s="1"/>
      <c r="K12" s="1"/>
      <c r="L12" s="1"/>
      <c r="M12" s="1"/>
      <c r="N12" s="1"/>
      <c r="O12" s="1"/>
      <c r="P12" s="1"/>
      <c r="Q12"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7457" r:id="rId3" name="Button 1">
              <controlPr defaultSize="0" print="0" autoFill="0" autoPict="0" macro="[0]!ViewInput">
                <anchor moveWithCells="1" sizeWithCells="1">
                  <from>
                    <xdr:col>16</xdr:col>
                    <xdr:colOff>603250</xdr:colOff>
                    <xdr:row>0</xdr:row>
                    <xdr:rowOff>0</xdr:rowOff>
                  </from>
                  <to>
                    <xdr:col>19</xdr:col>
                    <xdr:colOff>44450</xdr:colOff>
                    <xdr:row>2</xdr:row>
                    <xdr:rowOff>12700</xdr:rowOff>
                  </to>
                </anchor>
              </controlPr>
            </control>
          </mc:Choice>
        </mc:AlternateContent>
        <mc:AlternateContent xmlns:mc="http://schemas.openxmlformats.org/markup-compatibility/2006">
          <mc:Choice Requires="x14">
            <control shapeId="787458" r:id="rId4" name="Button 2">
              <controlPr defaultSize="0" print="0" autoFill="0" autoPict="0" macro="[0]!ViewView_Print">
                <anchor moveWithCells="1" sizeWithCells="1">
                  <from>
                    <xdr:col>16</xdr:col>
                    <xdr:colOff>603250</xdr:colOff>
                    <xdr:row>2</xdr:row>
                    <xdr:rowOff>38100</xdr:rowOff>
                  </from>
                  <to>
                    <xdr:col>19</xdr:col>
                    <xdr:colOff>44450</xdr:colOff>
                    <xdr:row>4</xdr:row>
                    <xdr:rowOff>50800</xdr:rowOff>
                  </to>
                </anchor>
              </controlPr>
            </control>
          </mc:Choice>
        </mc:AlternateContent>
        <mc:AlternateContent xmlns:mc="http://schemas.openxmlformats.org/markup-compatibility/2006">
          <mc:Choice Requires="x14">
            <control shapeId="787459" r:id="rId5" name="Button 3">
              <controlPr defaultSize="0" print="0" autoFill="0" autoPict="0" macro="[0]!ViewUpdate">
                <anchor moveWithCells="1" sizeWithCells="1">
                  <from>
                    <xdr:col>16</xdr:col>
                    <xdr:colOff>603250</xdr:colOff>
                    <xdr:row>4</xdr:row>
                    <xdr:rowOff>76200</xdr:rowOff>
                  </from>
                  <to>
                    <xdr:col>19</xdr:col>
                    <xdr:colOff>44450</xdr:colOff>
                    <xdr:row>6</xdr:row>
                    <xdr:rowOff>88900</xdr:rowOff>
                  </to>
                </anchor>
              </controlPr>
            </control>
          </mc:Choice>
        </mc:AlternateContent>
      </controls>
    </mc:Choice>
  </mc:AlternateContent>
</worksheet>
</file>

<file path=xl/worksheets/sheet1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770EC-C93A-4316-86C7-AD60B33FC11B}">
  <sheetPr codeName="Sheet182"/>
  <dimension ref="A1:Q207"/>
  <sheetViews>
    <sheetView workbookViewId="0">
      <selection activeCell="C4" sqref="C4"/>
    </sheetView>
  </sheetViews>
  <sheetFormatPr defaultRowHeight="14.5" x14ac:dyDescent="0.35"/>
  <cols>
    <col min="1" max="1" width="8.7265625" style="248"/>
    <col min="5" max="5" width="22.08984375" style="248" customWidth="1"/>
    <col min="6" max="6" width="8.7265625" style="248"/>
    <col min="7" max="11" width="11.6328125" style="248" customWidth="1"/>
    <col min="12" max="12" width="12.26953125" style="248" customWidth="1"/>
    <col min="13" max="13" width="34.54296875" style="248" customWidth="1"/>
    <col min="14" max="16" width="8.7265625" style="248"/>
  </cols>
  <sheetData>
    <row r="1" spans="1:17" x14ac:dyDescent="0.35">
      <c r="A1" s="76"/>
      <c r="B1" s="73" t="str">
        <f>DIV_08View_Print!M1</f>
        <v>Update 1</v>
      </c>
      <c r="C1" s="73" t="str">
        <f>DIV_08View_Print!N1</f>
        <v>Update 2</v>
      </c>
      <c r="D1" s="73" t="str">
        <f>DIV_08View_Print!O1</f>
        <v>Update 3</v>
      </c>
      <c r="E1" s="74" t="str">
        <f>SEC_081000!A1</f>
        <v>AREA/FLOOR/ZONE</v>
      </c>
      <c r="F1" s="74" t="str">
        <f>SEC_081000!B1</f>
        <v>Page</v>
      </c>
      <c r="G1" s="74" t="str">
        <f>SEC_081000!C1</f>
        <v>SUB COST</v>
      </c>
      <c r="H1" s="74" t="str">
        <f>SEC_081000!D1</f>
        <v>MAT COST</v>
      </c>
      <c r="I1" s="74" t="str">
        <f>SEC_081000!E1</f>
        <v>LAB COST</v>
      </c>
      <c r="J1" s="74" t="str">
        <f>SEC_081000!F1</f>
        <v>EQUIP COST</v>
      </c>
      <c r="K1" s="74" t="str">
        <f>SEC_081000!G1</f>
        <v>Total Cost</v>
      </c>
      <c r="L1" s="74" t="str">
        <f>SEC_081000!H1</f>
        <v>Date</v>
      </c>
      <c r="M1" s="74" t="str">
        <f>SEC_081000!I1</f>
        <v>Description</v>
      </c>
      <c r="N1" s="74" t="str">
        <f>SEC_081000!J1</f>
        <v>Log 10</v>
      </c>
      <c r="O1" s="74" t="str">
        <f>SEC_081000!K1</f>
        <v>Log 11</v>
      </c>
      <c r="P1" s="75" t="str">
        <f>SEC_081000!L1</f>
        <v>Log 12</v>
      </c>
      <c r="Q1" s="1"/>
    </row>
    <row r="2" spans="1:17" x14ac:dyDescent="0.35">
      <c r="A2" s="76"/>
      <c r="B2" s="1"/>
      <c r="C2" s="1"/>
      <c r="D2" s="1"/>
      <c r="E2" s="76"/>
      <c r="F2" s="76"/>
      <c r="G2" s="76"/>
      <c r="H2" s="76"/>
      <c r="I2" s="76"/>
      <c r="J2" s="76"/>
      <c r="K2" s="76"/>
      <c r="L2" s="76"/>
      <c r="M2" s="76"/>
      <c r="N2" s="76"/>
      <c r="O2" s="76"/>
      <c r="P2" s="76"/>
      <c r="Q2" s="1"/>
    </row>
    <row r="3" spans="1:17" x14ac:dyDescent="0.35">
      <c r="A3" s="76"/>
      <c r="B3" s="1"/>
      <c r="C3" s="1"/>
      <c r="D3" s="1"/>
      <c r="E3" s="76"/>
      <c r="F3" s="76"/>
      <c r="G3" s="76"/>
      <c r="H3" s="76"/>
      <c r="I3" s="76"/>
      <c r="J3" s="76"/>
      <c r="K3" s="76"/>
      <c r="L3" s="76"/>
      <c r="M3" s="76"/>
      <c r="N3" s="76"/>
      <c r="O3" s="76"/>
      <c r="P3" s="76"/>
      <c r="Q3" s="1"/>
    </row>
    <row r="4" spans="1:17" x14ac:dyDescent="0.35">
      <c r="A4" s="76"/>
      <c r="B4" s="1"/>
      <c r="C4" s="1"/>
      <c r="D4" s="1"/>
      <c r="E4" s="76"/>
      <c r="F4" s="76"/>
      <c r="G4" s="76"/>
      <c r="H4" s="76"/>
      <c r="I4" s="76"/>
      <c r="J4" s="76"/>
      <c r="K4" s="76"/>
      <c r="L4" s="76"/>
      <c r="M4" s="76"/>
      <c r="N4" s="76"/>
      <c r="O4" s="76"/>
      <c r="P4" s="76"/>
      <c r="Q4" s="1"/>
    </row>
    <row r="5" spans="1:17" x14ac:dyDescent="0.35">
      <c r="A5" s="76"/>
      <c r="B5" s="1"/>
      <c r="C5" s="1"/>
      <c r="D5" s="1"/>
      <c r="E5" s="76"/>
      <c r="F5" s="76"/>
      <c r="G5" s="76"/>
      <c r="H5" s="76"/>
      <c r="I5" s="76"/>
      <c r="J5" s="76"/>
      <c r="K5" s="76"/>
      <c r="L5" s="76"/>
      <c r="M5" s="76"/>
      <c r="N5" s="76"/>
      <c r="O5" s="76"/>
      <c r="P5" s="76"/>
      <c r="Q5" s="1"/>
    </row>
    <row r="6" spans="1:17" x14ac:dyDescent="0.35">
      <c r="A6" s="76"/>
      <c r="B6" s="1"/>
      <c r="C6" s="1"/>
      <c r="D6" s="1"/>
      <c r="E6" s="76"/>
      <c r="F6" s="76"/>
      <c r="G6" s="76"/>
      <c r="H6" s="76"/>
      <c r="I6" s="76"/>
      <c r="J6" s="76"/>
      <c r="K6" s="76"/>
      <c r="L6" s="76"/>
      <c r="M6" s="76"/>
      <c r="N6" s="76"/>
      <c r="O6" s="76"/>
      <c r="P6" s="76"/>
      <c r="Q6" s="1"/>
    </row>
    <row r="7" spans="1:17" x14ac:dyDescent="0.35">
      <c r="A7" s="76"/>
      <c r="B7" s="1"/>
      <c r="C7" s="1"/>
      <c r="D7" s="1"/>
      <c r="E7" s="76"/>
      <c r="F7" s="76"/>
      <c r="G7" s="76"/>
      <c r="H7" s="76"/>
      <c r="I7" s="76"/>
      <c r="J7" s="76"/>
      <c r="K7" s="76"/>
      <c r="L7" s="76"/>
      <c r="M7" s="76"/>
      <c r="N7" s="76"/>
      <c r="O7" s="76"/>
      <c r="P7" s="76"/>
      <c r="Q7" s="1"/>
    </row>
    <row r="8" spans="1:17" x14ac:dyDescent="0.35">
      <c r="A8" s="76"/>
      <c r="B8" s="1"/>
      <c r="C8" s="1"/>
      <c r="D8" s="1"/>
      <c r="E8" s="76"/>
      <c r="F8" s="76"/>
      <c r="G8" s="76"/>
      <c r="H8" s="76"/>
      <c r="I8" s="76"/>
      <c r="J8" s="76"/>
      <c r="K8" s="76"/>
      <c r="L8" s="76"/>
      <c r="M8" s="76"/>
      <c r="N8" s="76"/>
      <c r="O8" s="76"/>
      <c r="P8" s="76"/>
      <c r="Q8" s="1"/>
    </row>
    <row r="9" spans="1:17" x14ac:dyDescent="0.35">
      <c r="A9" s="76"/>
      <c r="B9" s="1"/>
      <c r="C9" s="1"/>
      <c r="D9" s="1"/>
      <c r="E9" s="76"/>
      <c r="F9" s="76"/>
      <c r="G9" s="76"/>
      <c r="H9" s="76"/>
      <c r="I9" s="76"/>
      <c r="J9" s="76"/>
      <c r="K9" s="76"/>
      <c r="L9" s="76"/>
      <c r="M9" s="76"/>
      <c r="N9" s="76"/>
      <c r="O9" s="76"/>
      <c r="P9" s="76"/>
      <c r="Q9" s="1"/>
    </row>
    <row r="10" spans="1:17" x14ac:dyDescent="0.35">
      <c r="A10" s="76"/>
      <c r="B10" s="1"/>
      <c r="C10" s="1"/>
      <c r="D10" s="1"/>
      <c r="E10" s="76"/>
      <c r="F10" s="76"/>
      <c r="G10" s="76"/>
      <c r="H10" s="76"/>
      <c r="I10" s="76"/>
      <c r="J10" s="76"/>
      <c r="K10" s="76"/>
      <c r="L10" s="76"/>
      <c r="M10" s="76"/>
      <c r="N10" s="76"/>
      <c r="O10" s="76"/>
      <c r="P10" s="76"/>
      <c r="Q10" s="1"/>
    </row>
    <row r="11" spans="1:17" x14ac:dyDescent="0.35">
      <c r="A11" s="76"/>
      <c r="B11" s="1"/>
      <c r="C11" s="1"/>
      <c r="D11" s="1"/>
      <c r="E11" s="76"/>
      <c r="F11" s="76"/>
      <c r="G11" s="76"/>
      <c r="H11" s="76"/>
      <c r="I11" s="76"/>
      <c r="J11" s="76"/>
      <c r="K11" s="76"/>
      <c r="L11" s="76"/>
      <c r="M11" s="76"/>
      <c r="N11" s="76"/>
      <c r="O11" s="76"/>
      <c r="P11" s="76"/>
      <c r="Q11" s="1"/>
    </row>
    <row r="12" spans="1:17" x14ac:dyDescent="0.35">
      <c r="A12" s="76"/>
      <c r="B12" s="1"/>
      <c r="C12" s="1"/>
      <c r="D12" s="1"/>
      <c r="E12" s="76"/>
      <c r="F12" s="76"/>
      <c r="G12" s="76"/>
      <c r="H12" s="76"/>
      <c r="I12" s="76"/>
      <c r="J12" s="76"/>
      <c r="K12" s="76"/>
      <c r="L12" s="76"/>
      <c r="M12" s="76"/>
      <c r="N12" s="76"/>
      <c r="O12" s="76"/>
      <c r="P12" s="76"/>
      <c r="Q12" s="1"/>
    </row>
    <row r="13" spans="1:17" x14ac:dyDescent="0.35">
      <c r="A13" s="76"/>
      <c r="B13" s="1"/>
      <c r="C13" s="1"/>
      <c r="D13" s="1"/>
      <c r="E13" s="76"/>
      <c r="F13" s="76"/>
      <c r="G13" s="76"/>
      <c r="H13" s="76"/>
      <c r="I13" s="76"/>
      <c r="J13" s="76"/>
      <c r="K13" s="76"/>
      <c r="L13" s="76"/>
      <c r="M13" s="76"/>
      <c r="N13" s="76"/>
      <c r="O13" s="76"/>
      <c r="P13" s="76"/>
      <c r="Q13" s="1"/>
    </row>
    <row r="14" spans="1:17" x14ac:dyDescent="0.35">
      <c r="A14" s="76"/>
      <c r="B14" s="1"/>
      <c r="C14" s="1"/>
      <c r="D14" s="1"/>
      <c r="E14" s="76"/>
      <c r="F14" s="76"/>
      <c r="G14" s="76"/>
      <c r="H14" s="76"/>
      <c r="I14" s="76"/>
      <c r="J14" s="76"/>
      <c r="K14" s="76"/>
      <c r="L14" s="76"/>
      <c r="M14" s="76"/>
      <c r="N14" s="76"/>
      <c r="O14" s="76"/>
      <c r="P14" s="76"/>
      <c r="Q14" s="1"/>
    </row>
    <row r="15" spans="1:17" x14ac:dyDescent="0.35">
      <c r="A15" s="76"/>
      <c r="B15" s="1"/>
      <c r="C15" s="1"/>
      <c r="D15" s="1"/>
      <c r="E15" s="76"/>
      <c r="F15" s="76"/>
      <c r="G15" s="76"/>
      <c r="H15" s="76"/>
      <c r="I15" s="76"/>
      <c r="J15" s="76"/>
      <c r="K15" s="76"/>
      <c r="L15" s="76"/>
      <c r="M15" s="76"/>
      <c r="N15" s="76"/>
      <c r="O15" s="76"/>
      <c r="P15" s="76"/>
      <c r="Q15" s="1"/>
    </row>
    <row r="16" spans="1:17" x14ac:dyDescent="0.35">
      <c r="A16" s="76"/>
      <c r="B16" s="1"/>
      <c r="C16" s="1"/>
      <c r="D16" s="1"/>
      <c r="E16" s="76"/>
      <c r="F16" s="76"/>
      <c r="G16" s="76"/>
      <c r="H16" s="76"/>
      <c r="I16" s="76"/>
      <c r="J16" s="76"/>
      <c r="K16" s="76"/>
      <c r="L16" s="76"/>
      <c r="M16" s="76"/>
      <c r="N16" s="76"/>
      <c r="O16" s="76"/>
      <c r="P16" s="76"/>
      <c r="Q16" s="1"/>
    </row>
    <row r="17" spans="1:17" x14ac:dyDescent="0.35">
      <c r="A17" s="76"/>
      <c r="B17" s="1"/>
      <c r="C17" s="1"/>
      <c r="D17" s="1"/>
      <c r="E17" s="76"/>
      <c r="F17" s="76"/>
      <c r="G17" s="76"/>
      <c r="H17" s="76"/>
      <c r="I17" s="76"/>
      <c r="J17" s="76"/>
      <c r="K17" s="76"/>
      <c r="L17" s="76"/>
      <c r="M17" s="76"/>
      <c r="N17" s="76"/>
      <c r="O17" s="76"/>
      <c r="P17" s="76"/>
      <c r="Q17" s="1"/>
    </row>
    <row r="18" spans="1:17" x14ac:dyDescent="0.35">
      <c r="A18" s="76"/>
      <c r="B18" s="1"/>
      <c r="C18" s="1"/>
      <c r="D18" s="1"/>
      <c r="E18" s="76"/>
      <c r="F18" s="76"/>
      <c r="G18" s="76"/>
      <c r="H18" s="76"/>
      <c r="I18" s="76"/>
      <c r="J18" s="76"/>
      <c r="K18" s="76"/>
      <c r="L18" s="76"/>
      <c r="M18" s="76"/>
      <c r="N18" s="76"/>
      <c r="O18" s="76"/>
      <c r="P18" s="76"/>
      <c r="Q18" s="1"/>
    </row>
    <row r="19" spans="1:17" x14ac:dyDescent="0.35">
      <c r="A19" s="76"/>
      <c r="B19" s="1"/>
      <c r="C19" s="1"/>
      <c r="D19" s="1"/>
      <c r="E19" s="76"/>
      <c r="F19" s="76"/>
      <c r="G19" s="76"/>
      <c r="H19" s="76"/>
      <c r="I19" s="76"/>
      <c r="J19" s="76"/>
      <c r="K19" s="76"/>
      <c r="L19" s="76"/>
      <c r="M19" s="76"/>
      <c r="N19" s="76"/>
      <c r="O19" s="76"/>
      <c r="P19" s="76"/>
      <c r="Q19" s="1"/>
    </row>
    <row r="20" spans="1:17" x14ac:dyDescent="0.35">
      <c r="A20" s="76"/>
      <c r="B20" s="1"/>
      <c r="C20" s="1"/>
      <c r="D20" s="1"/>
      <c r="E20" s="76"/>
      <c r="F20" s="76"/>
      <c r="G20" s="76"/>
      <c r="H20" s="76"/>
      <c r="I20" s="76"/>
      <c r="J20" s="76"/>
      <c r="K20" s="76"/>
      <c r="L20" s="76"/>
      <c r="M20" s="76"/>
      <c r="N20" s="76"/>
      <c r="O20" s="76"/>
      <c r="P20" s="76"/>
      <c r="Q20" s="1"/>
    </row>
    <row r="21" spans="1:17" x14ac:dyDescent="0.35">
      <c r="A21" s="76"/>
      <c r="B21" s="1"/>
      <c r="C21" s="1"/>
      <c r="D21" s="1"/>
      <c r="E21" s="76"/>
      <c r="F21" s="76"/>
      <c r="G21" s="76"/>
      <c r="H21" s="76"/>
      <c r="I21" s="76"/>
      <c r="J21" s="76"/>
      <c r="K21" s="76"/>
      <c r="L21" s="76"/>
      <c r="M21" s="76"/>
      <c r="N21" s="76"/>
      <c r="O21" s="76"/>
      <c r="P21" s="76"/>
      <c r="Q21" s="1"/>
    </row>
    <row r="22" spans="1:17" x14ac:dyDescent="0.35">
      <c r="A22" s="76"/>
      <c r="B22" s="1"/>
      <c r="C22" s="1"/>
      <c r="D22" s="1"/>
      <c r="E22" s="76"/>
      <c r="F22" s="76"/>
      <c r="G22" s="76"/>
      <c r="H22" s="76"/>
      <c r="I22" s="76"/>
      <c r="J22" s="76"/>
      <c r="K22" s="76"/>
      <c r="L22" s="76"/>
      <c r="M22" s="76"/>
      <c r="N22" s="76"/>
      <c r="O22" s="76"/>
      <c r="P22" s="76"/>
      <c r="Q22" s="1"/>
    </row>
    <row r="23" spans="1:17" x14ac:dyDescent="0.35">
      <c r="A23" s="76"/>
      <c r="B23" s="1"/>
      <c r="C23" s="1"/>
      <c r="D23" s="1"/>
      <c r="E23" s="76"/>
      <c r="F23" s="76"/>
      <c r="G23" s="76"/>
      <c r="H23" s="76"/>
      <c r="I23" s="76"/>
      <c r="J23" s="76"/>
      <c r="K23" s="76"/>
      <c r="L23" s="76"/>
      <c r="M23" s="76"/>
      <c r="N23" s="76"/>
      <c r="O23" s="76"/>
      <c r="P23" s="76"/>
      <c r="Q23" s="1"/>
    </row>
    <row r="24" spans="1:17" x14ac:dyDescent="0.35">
      <c r="A24" s="76"/>
      <c r="B24" s="1"/>
      <c r="C24" s="1"/>
      <c r="D24" s="1"/>
      <c r="E24" s="76"/>
      <c r="F24" s="76"/>
      <c r="G24" s="76"/>
      <c r="H24" s="76"/>
      <c r="I24" s="76"/>
      <c r="J24" s="76"/>
      <c r="K24" s="76"/>
      <c r="L24" s="76"/>
      <c r="M24" s="76"/>
      <c r="N24" s="76"/>
      <c r="O24" s="76"/>
      <c r="P24" s="76"/>
      <c r="Q24" s="1"/>
    </row>
    <row r="25" spans="1:17" x14ac:dyDescent="0.35">
      <c r="A25" s="76"/>
      <c r="B25" s="1"/>
      <c r="C25" s="1"/>
      <c r="D25" s="1"/>
      <c r="E25" s="76"/>
      <c r="F25" s="76"/>
      <c r="G25" s="76"/>
      <c r="H25" s="76"/>
      <c r="I25" s="76"/>
      <c r="J25" s="76"/>
      <c r="K25" s="76"/>
      <c r="L25" s="76"/>
      <c r="M25" s="76"/>
      <c r="N25" s="76"/>
      <c r="O25" s="76"/>
      <c r="P25" s="76"/>
      <c r="Q25" s="1"/>
    </row>
    <row r="26" spans="1:17" x14ac:dyDescent="0.35">
      <c r="A26" s="76"/>
      <c r="B26" s="1"/>
      <c r="C26" s="1"/>
      <c r="D26" s="1"/>
      <c r="E26" s="76"/>
      <c r="F26" s="76"/>
      <c r="G26" s="76"/>
      <c r="H26" s="76"/>
      <c r="I26" s="76"/>
      <c r="J26" s="76"/>
      <c r="K26" s="76"/>
      <c r="L26" s="76"/>
      <c r="M26" s="76"/>
      <c r="N26" s="76"/>
      <c r="O26" s="76"/>
      <c r="P26" s="76"/>
      <c r="Q26" s="1"/>
    </row>
    <row r="27" spans="1:17" x14ac:dyDescent="0.35">
      <c r="A27" s="76"/>
      <c r="B27" s="1"/>
      <c r="C27" s="1"/>
      <c r="D27" s="1"/>
      <c r="E27" s="76"/>
      <c r="F27" s="76"/>
      <c r="G27" s="76"/>
      <c r="H27" s="76"/>
      <c r="I27" s="76"/>
      <c r="J27" s="76"/>
      <c r="K27" s="76"/>
      <c r="L27" s="76"/>
      <c r="M27" s="76"/>
      <c r="N27" s="76"/>
      <c r="O27" s="76"/>
      <c r="P27" s="76"/>
      <c r="Q27" s="1"/>
    </row>
    <row r="28" spans="1:17" x14ac:dyDescent="0.35">
      <c r="A28" s="76"/>
      <c r="B28" s="1"/>
      <c r="C28" s="1"/>
      <c r="D28" s="1"/>
      <c r="E28" s="76"/>
      <c r="F28" s="76"/>
      <c r="G28" s="76"/>
      <c r="H28" s="76"/>
      <c r="I28" s="76"/>
      <c r="J28" s="76"/>
      <c r="K28" s="76"/>
      <c r="L28" s="76"/>
      <c r="M28" s="76"/>
      <c r="N28" s="76"/>
      <c r="O28" s="76"/>
      <c r="P28" s="76"/>
      <c r="Q28" s="1"/>
    </row>
    <row r="29" spans="1:17" x14ac:dyDescent="0.35">
      <c r="A29" s="76"/>
      <c r="B29" s="1"/>
      <c r="C29" s="1"/>
      <c r="D29" s="1"/>
      <c r="E29" s="76"/>
      <c r="F29" s="76"/>
      <c r="G29" s="76"/>
      <c r="H29" s="76"/>
      <c r="I29" s="76"/>
      <c r="J29" s="76"/>
      <c r="K29" s="76"/>
      <c r="L29" s="76"/>
      <c r="M29" s="76"/>
      <c r="N29" s="76"/>
      <c r="O29" s="76"/>
      <c r="P29" s="76"/>
      <c r="Q29" s="1"/>
    </row>
    <row r="30" spans="1:17" x14ac:dyDescent="0.35">
      <c r="A30" s="76"/>
      <c r="B30" s="1"/>
      <c r="C30" s="1"/>
      <c r="D30" s="1"/>
      <c r="E30" s="76"/>
      <c r="F30" s="76"/>
      <c r="G30" s="76"/>
      <c r="H30" s="76"/>
      <c r="I30" s="76"/>
      <c r="J30" s="76"/>
      <c r="K30" s="76"/>
      <c r="L30" s="76"/>
      <c r="M30" s="76"/>
      <c r="N30" s="76"/>
      <c r="O30" s="76"/>
      <c r="P30" s="76"/>
      <c r="Q30" s="1"/>
    </row>
    <row r="31" spans="1:17" x14ac:dyDescent="0.35">
      <c r="A31" s="76"/>
      <c r="B31" s="1"/>
      <c r="C31" s="1"/>
      <c r="D31" s="1"/>
      <c r="E31" s="76"/>
      <c r="F31" s="76"/>
      <c r="G31" s="76"/>
      <c r="H31" s="76"/>
      <c r="I31" s="76"/>
      <c r="J31" s="76"/>
      <c r="K31" s="76"/>
      <c r="L31" s="76"/>
      <c r="M31" s="76"/>
      <c r="N31" s="76"/>
      <c r="O31" s="76"/>
      <c r="P31" s="76"/>
      <c r="Q31" s="1"/>
    </row>
    <row r="32" spans="1:17" x14ac:dyDescent="0.35">
      <c r="A32" s="76"/>
      <c r="B32" s="1"/>
      <c r="C32" s="1"/>
      <c r="D32" s="1"/>
      <c r="E32" s="76"/>
      <c r="F32" s="76"/>
      <c r="G32" s="76"/>
      <c r="H32" s="76"/>
      <c r="I32" s="76"/>
      <c r="J32" s="76"/>
      <c r="K32" s="76"/>
      <c r="L32" s="76"/>
      <c r="M32" s="76"/>
      <c r="N32" s="76"/>
      <c r="O32" s="76"/>
      <c r="P32" s="76"/>
      <c r="Q32" s="1"/>
    </row>
    <row r="33" spans="1:17" x14ac:dyDescent="0.35">
      <c r="A33" s="76"/>
      <c r="B33" s="1"/>
      <c r="C33" s="1"/>
      <c r="D33" s="1"/>
      <c r="E33" s="76"/>
      <c r="F33" s="76"/>
      <c r="G33" s="76"/>
      <c r="H33" s="76"/>
      <c r="I33" s="76"/>
      <c r="J33" s="76"/>
      <c r="K33" s="76"/>
      <c r="L33" s="76"/>
      <c r="M33" s="76"/>
      <c r="N33" s="76"/>
      <c r="O33" s="76"/>
      <c r="P33" s="76"/>
      <c r="Q33" s="1"/>
    </row>
    <row r="34" spans="1:17" x14ac:dyDescent="0.35">
      <c r="A34" s="76"/>
      <c r="B34" s="1"/>
      <c r="C34" s="1"/>
      <c r="D34" s="1"/>
      <c r="E34" s="76"/>
      <c r="F34" s="76"/>
      <c r="G34" s="76"/>
      <c r="H34" s="76"/>
      <c r="I34" s="76"/>
      <c r="J34" s="76"/>
      <c r="K34" s="76"/>
      <c r="L34" s="76"/>
      <c r="M34" s="76"/>
      <c r="N34" s="76"/>
      <c r="O34" s="76"/>
      <c r="P34" s="76"/>
      <c r="Q34" s="1"/>
    </row>
    <row r="35" spans="1:17" x14ac:dyDescent="0.35">
      <c r="A35" s="76"/>
      <c r="B35" s="1"/>
      <c r="C35" s="1"/>
      <c r="D35" s="1"/>
      <c r="E35" s="76"/>
      <c r="F35" s="76"/>
      <c r="G35" s="76"/>
      <c r="H35" s="76"/>
      <c r="I35" s="76"/>
      <c r="J35" s="76"/>
      <c r="K35" s="76"/>
      <c r="L35" s="76"/>
      <c r="M35" s="76"/>
      <c r="N35" s="76"/>
      <c r="O35" s="76"/>
      <c r="P35" s="76"/>
      <c r="Q35" s="1"/>
    </row>
    <row r="36" spans="1:17" x14ac:dyDescent="0.35">
      <c r="A36" s="76"/>
      <c r="B36" s="1"/>
      <c r="C36" s="1"/>
      <c r="D36" s="1"/>
      <c r="E36" s="76"/>
      <c r="F36" s="76"/>
      <c r="G36" s="76"/>
      <c r="H36" s="76"/>
      <c r="I36" s="76"/>
      <c r="J36" s="76"/>
      <c r="K36" s="76"/>
      <c r="L36" s="76"/>
      <c r="M36" s="76"/>
      <c r="N36" s="76"/>
      <c r="O36" s="76"/>
      <c r="P36" s="76"/>
      <c r="Q36" s="1"/>
    </row>
    <row r="37" spans="1:17" x14ac:dyDescent="0.35">
      <c r="A37" s="76"/>
      <c r="B37" s="1"/>
      <c r="C37" s="1"/>
      <c r="D37" s="1"/>
      <c r="E37" s="76"/>
      <c r="F37" s="76"/>
      <c r="G37" s="76"/>
      <c r="H37" s="76"/>
      <c r="I37" s="76"/>
      <c r="J37" s="76"/>
      <c r="K37" s="76"/>
      <c r="L37" s="76"/>
      <c r="M37" s="76"/>
      <c r="N37" s="76"/>
      <c r="O37" s="76"/>
      <c r="P37" s="76"/>
      <c r="Q37" s="1"/>
    </row>
    <row r="38" spans="1:17" x14ac:dyDescent="0.35">
      <c r="A38" s="76"/>
      <c r="B38" s="1"/>
      <c r="C38" s="1"/>
      <c r="D38" s="1"/>
      <c r="E38" s="76"/>
      <c r="F38" s="76"/>
      <c r="G38" s="76"/>
      <c r="H38" s="76"/>
      <c r="I38" s="76"/>
      <c r="J38" s="76"/>
      <c r="K38" s="76"/>
      <c r="L38" s="76"/>
      <c r="M38" s="76"/>
      <c r="N38" s="76"/>
      <c r="O38" s="76"/>
      <c r="P38" s="76"/>
      <c r="Q38" s="1"/>
    </row>
    <row r="39" spans="1:17" x14ac:dyDescent="0.35">
      <c r="A39" s="76"/>
      <c r="B39" s="1"/>
      <c r="C39" s="1"/>
      <c r="D39" s="1"/>
      <c r="E39" s="76"/>
      <c r="F39" s="76"/>
      <c r="G39" s="76"/>
      <c r="H39" s="76"/>
      <c r="I39" s="76"/>
      <c r="J39" s="76"/>
      <c r="K39" s="76"/>
      <c r="L39" s="76"/>
      <c r="M39" s="76"/>
      <c r="N39" s="76"/>
      <c r="O39" s="76"/>
      <c r="P39" s="76"/>
      <c r="Q39" s="1"/>
    </row>
    <row r="40" spans="1:17" x14ac:dyDescent="0.35">
      <c r="A40" s="76"/>
      <c r="B40" s="1"/>
      <c r="C40" s="1"/>
      <c r="D40" s="1"/>
      <c r="E40" s="76"/>
      <c r="F40" s="76"/>
      <c r="G40" s="76"/>
      <c r="H40" s="76"/>
      <c r="I40" s="76"/>
      <c r="J40" s="76"/>
      <c r="K40" s="76"/>
      <c r="L40" s="76"/>
      <c r="M40" s="76"/>
      <c r="N40" s="76"/>
      <c r="O40" s="76"/>
      <c r="P40" s="76"/>
      <c r="Q40" s="1"/>
    </row>
    <row r="41" spans="1:17" x14ac:dyDescent="0.35">
      <c r="A41" s="76"/>
      <c r="B41" s="1"/>
      <c r="C41" s="1"/>
      <c r="D41" s="1"/>
      <c r="E41" s="76"/>
      <c r="F41" s="76"/>
      <c r="G41" s="76"/>
      <c r="H41" s="76"/>
      <c r="I41" s="76"/>
      <c r="J41" s="76"/>
      <c r="K41" s="76"/>
      <c r="L41" s="76"/>
      <c r="M41" s="76"/>
      <c r="N41" s="76"/>
      <c r="O41" s="76"/>
      <c r="P41" s="76"/>
      <c r="Q41" s="1"/>
    </row>
    <row r="42" spans="1:17" x14ac:dyDescent="0.35">
      <c r="A42" s="76"/>
      <c r="B42" s="1"/>
      <c r="C42" s="1"/>
      <c r="D42" s="1"/>
      <c r="E42" s="76"/>
      <c r="F42" s="76"/>
      <c r="G42" s="76"/>
      <c r="H42" s="76"/>
      <c r="I42" s="76"/>
      <c r="J42" s="76"/>
      <c r="K42" s="76"/>
      <c r="L42" s="76"/>
      <c r="M42" s="76"/>
      <c r="N42" s="76"/>
      <c r="O42" s="76"/>
      <c r="P42" s="76"/>
      <c r="Q42" s="1"/>
    </row>
    <row r="43" spans="1:17" x14ac:dyDescent="0.35">
      <c r="A43" s="76"/>
      <c r="B43" s="1"/>
      <c r="C43" s="1"/>
      <c r="D43" s="1"/>
      <c r="E43" s="76"/>
      <c r="F43" s="76"/>
      <c r="G43" s="76"/>
      <c r="H43" s="76"/>
      <c r="I43" s="76"/>
      <c r="J43" s="76"/>
      <c r="K43" s="76"/>
      <c r="L43" s="76"/>
      <c r="M43" s="76"/>
      <c r="N43" s="76"/>
      <c r="O43" s="76"/>
      <c r="P43" s="76"/>
      <c r="Q43" s="1"/>
    </row>
    <row r="44" spans="1:17" x14ac:dyDescent="0.35">
      <c r="A44" s="76"/>
      <c r="B44" s="1"/>
      <c r="C44" s="1"/>
      <c r="D44" s="1"/>
      <c r="E44" s="76"/>
      <c r="F44" s="76"/>
      <c r="G44" s="76"/>
      <c r="H44" s="76"/>
      <c r="I44" s="76"/>
      <c r="J44" s="76"/>
      <c r="K44" s="76"/>
      <c r="L44" s="76"/>
      <c r="M44" s="76"/>
      <c r="N44" s="76"/>
      <c r="O44" s="76"/>
      <c r="P44" s="76"/>
      <c r="Q44" s="1"/>
    </row>
    <row r="45" spans="1:17" x14ac:dyDescent="0.35">
      <c r="A45" s="76"/>
      <c r="B45" s="1"/>
      <c r="C45" s="1"/>
      <c r="D45" s="1"/>
      <c r="E45" s="76"/>
      <c r="F45" s="76"/>
      <c r="G45" s="76"/>
      <c r="H45" s="76"/>
      <c r="I45" s="76"/>
      <c r="J45" s="76"/>
      <c r="K45" s="76"/>
      <c r="L45" s="76"/>
      <c r="M45" s="76"/>
      <c r="N45" s="76"/>
      <c r="O45" s="76"/>
      <c r="P45" s="76"/>
      <c r="Q45" s="1"/>
    </row>
    <row r="46" spans="1:17" x14ac:dyDescent="0.35">
      <c r="A46" s="76"/>
      <c r="B46" s="1"/>
      <c r="C46" s="1"/>
      <c r="D46" s="1"/>
      <c r="E46" s="76"/>
      <c r="F46" s="76"/>
      <c r="G46" s="76"/>
      <c r="H46" s="76"/>
      <c r="I46" s="76"/>
      <c r="J46" s="76"/>
      <c r="K46" s="76"/>
      <c r="L46" s="76"/>
      <c r="M46" s="76"/>
      <c r="N46" s="76"/>
      <c r="O46" s="76"/>
      <c r="P46" s="76"/>
      <c r="Q46" s="1"/>
    </row>
    <row r="47" spans="1:17" x14ac:dyDescent="0.35">
      <c r="A47" s="76"/>
      <c r="B47" s="1"/>
      <c r="C47" s="1"/>
      <c r="D47" s="1"/>
      <c r="E47" s="76"/>
      <c r="F47" s="76"/>
      <c r="G47" s="76"/>
      <c r="H47" s="76"/>
      <c r="I47" s="76"/>
      <c r="J47" s="76"/>
      <c r="K47" s="76"/>
      <c r="L47" s="76"/>
      <c r="M47" s="76"/>
      <c r="N47" s="76"/>
      <c r="O47" s="76"/>
      <c r="P47" s="76"/>
      <c r="Q47" s="1"/>
    </row>
    <row r="48" spans="1:17" x14ac:dyDescent="0.35">
      <c r="A48" s="76"/>
      <c r="B48" s="1"/>
      <c r="C48" s="1"/>
      <c r="D48" s="1"/>
      <c r="E48" s="76"/>
      <c r="F48" s="76"/>
      <c r="G48" s="76"/>
      <c r="H48" s="76"/>
      <c r="I48" s="76"/>
      <c r="J48" s="76"/>
      <c r="K48" s="76"/>
      <c r="L48" s="76"/>
      <c r="M48" s="76"/>
      <c r="N48" s="76"/>
      <c r="O48" s="76"/>
      <c r="P48" s="76"/>
      <c r="Q48" s="1"/>
    </row>
    <row r="49" spans="1:17" x14ac:dyDescent="0.35">
      <c r="A49" s="76"/>
      <c r="B49" s="1"/>
      <c r="C49" s="1"/>
      <c r="D49" s="1"/>
      <c r="E49" s="76"/>
      <c r="F49" s="76"/>
      <c r="G49" s="76"/>
      <c r="H49" s="76"/>
      <c r="I49" s="76"/>
      <c r="J49" s="76"/>
      <c r="K49" s="76"/>
      <c r="L49" s="76"/>
      <c r="M49" s="76"/>
      <c r="N49" s="76"/>
      <c r="O49" s="76"/>
      <c r="P49" s="76"/>
      <c r="Q49" s="1"/>
    </row>
    <row r="50" spans="1:17" x14ac:dyDescent="0.35">
      <c r="A50" s="76"/>
      <c r="B50" s="1"/>
      <c r="C50" s="1"/>
      <c r="D50" s="1"/>
      <c r="E50" s="76"/>
      <c r="F50" s="76"/>
      <c r="G50" s="76"/>
      <c r="H50" s="76"/>
      <c r="I50" s="76"/>
      <c r="J50" s="76"/>
      <c r="K50" s="76"/>
      <c r="L50" s="76"/>
      <c r="M50" s="76"/>
      <c r="N50" s="76"/>
      <c r="O50" s="76"/>
      <c r="P50" s="76"/>
      <c r="Q50" s="1"/>
    </row>
    <row r="51" spans="1:17" x14ac:dyDescent="0.35">
      <c r="A51" s="76"/>
      <c r="B51" s="1"/>
      <c r="C51" s="1"/>
      <c r="D51" s="1"/>
      <c r="E51" s="76"/>
      <c r="F51" s="76"/>
      <c r="G51" s="76"/>
      <c r="H51" s="76"/>
      <c r="I51" s="76"/>
      <c r="J51" s="76"/>
      <c r="K51" s="76"/>
      <c r="L51" s="76"/>
      <c r="M51" s="76"/>
      <c r="N51" s="76"/>
      <c r="O51" s="76"/>
      <c r="P51" s="76"/>
      <c r="Q51" s="1"/>
    </row>
    <row r="52" spans="1:17" x14ac:dyDescent="0.35">
      <c r="A52" s="76"/>
      <c r="B52" s="1"/>
      <c r="C52" s="1"/>
      <c r="D52" s="1"/>
      <c r="E52" s="76"/>
      <c r="F52" s="76"/>
      <c r="G52" s="76"/>
      <c r="H52" s="76"/>
      <c r="I52" s="76"/>
      <c r="J52" s="76"/>
      <c r="K52" s="76"/>
      <c r="L52" s="76"/>
      <c r="M52" s="76"/>
      <c r="N52" s="76"/>
      <c r="O52" s="76"/>
      <c r="P52" s="76"/>
      <c r="Q52" s="1"/>
    </row>
    <row r="53" spans="1:17" x14ac:dyDescent="0.35">
      <c r="A53" s="76"/>
      <c r="B53" s="1"/>
      <c r="C53" s="1"/>
      <c r="D53" s="1"/>
      <c r="E53" s="76"/>
      <c r="F53" s="76"/>
      <c r="G53" s="76"/>
      <c r="H53" s="76"/>
      <c r="I53" s="76"/>
      <c r="J53" s="76"/>
      <c r="K53" s="76"/>
      <c r="L53" s="76"/>
      <c r="M53" s="76"/>
      <c r="N53" s="76"/>
      <c r="O53" s="76"/>
      <c r="P53" s="76"/>
      <c r="Q53" s="1"/>
    </row>
    <row r="54" spans="1:17" x14ac:dyDescent="0.35">
      <c r="A54" s="76"/>
      <c r="B54" s="1"/>
      <c r="C54" s="1"/>
      <c r="D54" s="1"/>
      <c r="E54" s="76"/>
      <c r="F54" s="76"/>
      <c r="G54" s="76"/>
      <c r="H54" s="76"/>
      <c r="I54" s="76"/>
      <c r="J54" s="76"/>
      <c r="K54" s="76"/>
      <c r="L54" s="76"/>
      <c r="M54" s="76"/>
      <c r="N54" s="76"/>
      <c r="O54" s="76"/>
      <c r="P54" s="76"/>
      <c r="Q54" s="1"/>
    </row>
    <row r="55" spans="1:17" x14ac:dyDescent="0.35">
      <c r="A55" s="76"/>
      <c r="B55" s="1"/>
      <c r="C55" s="1"/>
      <c r="D55" s="1"/>
      <c r="E55" s="76"/>
      <c r="F55" s="76"/>
      <c r="G55" s="76"/>
      <c r="H55" s="76"/>
      <c r="I55" s="76"/>
      <c r="J55" s="76"/>
      <c r="K55" s="76"/>
      <c r="L55" s="76"/>
      <c r="M55" s="76"/>
      <c r="N55" s="76"/>
      <c r="O55" s="76"/>
      <c r="P55" s="76"/>
      <c r="Q55" s="1"/>
    </row>
    <row r="56" spans="1:17" x14ac:dyDescent="0.35">
      <c r="A56" s="76"/>
      <c r="B56" s="1"/>
      <c r="C56" s="1"/>
      <c r="D56" s="1"/>
      <c r="E56" s="76"/>
      <c r="F56" s="76"/>
      <c r="G56" s="76"/>
      <c r="H56" s="76"/>
      <c r="I56" s="76"/>
      <c r="J56" s="76"/>
      <c r="K56" s="76"/>
      <c r="L56" s="76"/>
      <c r="M56" s="76"/>
      <c r="N56" s="76"/>
      <c r="O56" s="76"/>
      <c r="P56" s="76"/>
      <c r="Q56" s="1"/>
    </row>
    <row r="57" spans="1:17" x14ac:dyDescent="0.35">
      <c r="A57" s="76"/>
      <c r="B57" s="1"/>
      <c r="C57" s="1"/>
      <c r="D57" s="1"/>
      <c r="E57" s="76"/>
      <c r="F57" s="76"/>
      <c r="G57" s="76"/>
      <c r="H57" s="76"/>
      <c r="I57" s="76"/>
      <c r="J57" s="76"/>
      <c r="K57" s="76"/>
      <c r="L57" s="76"/>
      <c r="M57" s="76"/>
      <c r="N57" s="76"/>
      <c r="O57" s="76"/>
      <c r="P57" s="76"/>
      <c r="Q57" s="1"/>
    </row>
    <row r="58" spans="1:17" x14ac:dyDescent="0.35">
      <c r="A58" s="76"/>
      <c r="B58" s="1"/>
      <c r="C58" s="1"/>
      <c r="D58" s="1"/>
      <c r="E58" s="76"/>
      <c r="F58" s="76"/>
      <c r="G58" s="76"/>
      <c r="H58" s="76"/>
      <c r="I58" s="76"/>
      <c r="J58" s="76"/>
      <c r="K58" s="76"/>
      <c r="L58" s="76"/>
      <c r="M58" s="76"/>
      <c r="N58" s="76"/>
      <c r="O58" s="76"/>
      <c r="P58" s="76"/>
      <c r="Q58" s="1"/>
    </row>
    <row r="59" spans="1:17" x14ac:dyDescent="0.35">
      <c r="A59" s="76"/>
      <c r="B59" s="1"/>
      <c r="C59" s="1"/>
      <c r="D59" s="1"/>
      <c r="E59" s="76"/>
      <c r="F59" s="76"/>
      <c r="G59" s="76"/>
      <c r="H59" s="76"/>
      <c r="I59" s="76"/>
      <c r="J59" s="76"/>
      <c r="K59" s="76"/>
      <c r="L59" s="76"/>
      <c r="M59" s="76"/>
      <c r="N59" s="76"/>
      <c r="O59" s="76"/>
      <c r="P59" s="76"/>
      <c r="Q59" s="1"/>
    </row>
    <row r="60" spans="1:17" x14ac:dyDescent="0.35">
      <c r="A60" s="76"/>
      <c r="B60" s="1"/>
      <c r="C60" s="1"/>
      <c r="D60" s="1"/>
      <c r="E60" s="76"/>
      <c r="F60" s="76"/>
      <c r="G60" s="76"/>
      <c r="H60" s="76"/>
      <c r="I60" s="76"/>
      <c r="J60" s="76"/>
      <c r="K60" s="76"/>
      <c r="L60" s="76"/>
      <c r="M60" s="76"/>
      <c r="N60" s="76"/>
      <c r="O60" s="76"/>
      <c r="P60" s="76"/>
      <c r="Q60" s="1"/>
    </row>
    <row r="61" spans="1:17" x14ac:dyDescent="0.35">
      <c r="A61" s="76"/>
      <c r="B61" s="1"/>
      <c r="C61" s="1"/>
      <c r="D61" s="1"/>
      <c r="E61" s="76"/>
      <c r="F61" s="76"/>
      <c r="G61" s="76"/>
      <c r="H61" s="76"/>
      <c r="I61" s="76"/>
      <c r="J61" s="76"/>
      <c r="K61" s="76"/>
      <c r="L61" s="76"/>
      <c r="M61" s="76"/>
      <c r="N61" s="76"/>
      <c r="O61" s="76"/>
      <c r="P61" s="76"/>
      <c r="Q61" s="1"/>
    </row>
    <row r="62" spans="1:17" x14ac:dyDescent="0.35">
      <c r="A62" s="76"/>
      <c r="B62" s="1"/>
      <c r="C62" s="1"/>
      <c r="D62" s="1"/>
      <c r="E62" s="76"/>
      <c r="F62" s="76"/>
      <c r="G62" s="76"/>
      <c r="H62" s="76"/>
      <c r="I62" s="76"/>
      <c r="J62" s="76"/>
      <c r="K62" s="76"/>
      <c r="L62" s="76"/>
      <c r="M62" s="76"/>
      <c r="N62" s="76"/>
      <c r="O62" s="76"/>
      <c r="P62" s="76"/>
      <c r="Q62" s="1"/>
    </row>
    <row r="63" spans="1:17" x14ac:dyDescent="0.35">
      <c r="A63" s="76"/>
      <c r="B63" s="1"/>
      <c r="C63" s="1"/>
      <c r="D63" s="1"/>
      <c r="E63" s="76"/>
      <c r="F63" s="76"/>
      <c r="G63" s="76"/>
      <c r="H63" s="76"/>
      <c r="I63" s="76"/>
      <c r="J63" s="76"/>
      <c r="K63" s="76"/>
      <c r="L63" s="76"/>
      <c r="M63" s="76"/>
      <c r="N63" s="76"/>
      <c r="O63" s="76"/>
      <c r="P63" s="76"/>
      <c r="Q63" s="1"/>
    </row>
    <row r="64" spans="1:17" x14ac:dyDescent="0.35">
      <c r="A64" s="76"/>
      <c r="B64" s="1"/>
      <c r="C64" s="1"/>
      <c r="D64" s="1"/>
      <c r="E64" s="76"/>
      <c r="F64" s="76"/>
      <c r="G64" s="76"/>
      <c r="H64" s="76"/>
      <c r="I64" s="76"/>
      <c r="J64" s="76"/>
      <c r="K64" s="76"/>
      <c r="L64" s="76"/>
      <c r="M64" s="76"/>
      <c r="N64" s="76"/>
      <c r="O64" s="76"/>
      <c r="P64" s="76"/>
      <c r="Q64" s="1"/>
    </row>
    <row r="65" spans="1:17" x14ac:dyDescent="0.35">
      <c r="A65" s="76"/>
      <c r="B65" s="1"/>
      <c r="C65" s="1"/>
      <c r="D65" s="1"/>
      <c r="E65" s="76"/>
      <c r="F65" s="76"/>
      <c r="G65" s="76"/>
      <c r="H65" s="76"/>
      <c r="I65" s="76"/>
      <c r="J65" s="76"/>
      <c r="K65" s="76"/>
      <c r="L65" s="76"/>
      <c r="M65" s="76"/>
      <c r="N65" s="76"/>
      <c r="O65" s="76"/>
      <c r="P65" s="76"/>
      <c r="Q65" s="1"/>
    </row>
    <row r="66" spans="1:17" x14ac:dyDescent="0.35">
      <c r="A66" s="76"/>
      <c r="B66" s="1"/>
      <c r="C66" s="1"/>
      <c r="D66" s="1"/>
      <c r="E66" s="76"/>
      <c r="F66" s="76"/>
      <c r="G66" s="76"/>
      <c r="H66" s="76"/>
      <c r="I66" s="76"/>
      <c r="J66" s="76"/>
      <c r="K66" s="76"/>
      <c r="L66" s="76"/>
      <c r="M66" s="76"/>
      <c r="N66" s="76"/>
      <c r="O66" s="76"/>
      <c r="P66" s="76"/>
      <c r="Q66" s="1"/>
    </row>
    <row r="67" spans="1:17" x14ac:dyDescent="0.35">
      <c r="A67" s="76"/>
      <c r="B67" s="1"/>
      <c r="C67" s="1"/>
      <c r="D67" s="1"/>
      <c r="E67" s="76"/>
      <c r="F67" s="76"/>
      <c r="G67" s="76"/>
      <c r="H67" s="76"/>
      <c r="I67" s="76"/>
      <c r="J67" s="76"/>
      <c r="K67" s="76"/>
      <c r="L67" s="76"/>
      <c r="M67" s="76"/>
      <c r="N67" s="76"/>
      <c r="O67" s="76"/>
      <c r="P67" s="76"/>
      <c r="Q67" s="1"/>
    </row>
    <row r="68" spans="1:17" x14ac:dyDescent="0.35">
      <c r="A68" s="76"/>
      <c r="B68" s="1"/>
      <c r="C68" s="1"/>
      <c r="D68" s="1"/>
      <c r="E68" s="76"/>
      <c r="F68" s="76"/>
      <c r="G68" s="76"/>
      <c r="H68" s="76"/>
      <c r="I68" s="76"/>
      <c r="J68" s="76"/>
      <c r="K68" s="76"/>
      <c r="L68" s="76"/>
      <c r="M68" s="76"/>
      <c r="N68" s="76"/>
      <c r="O68" s="76"/>
      <c r="P68" s="76"/>
      <c r="Q68" s="1"/>
    </row>
    <row r="69" spans="1:17" x14ac:dyDescent="0.35">
      <c r="A69" s="76"/>
      <c r="B69" s="1"/>
      <c r="C69" s="1"/>
      <c r="D69" s="1"/>
      <c r="E69" s="76"/>
      <c r="F69" s="76"/>
      <c r="G69" s="76"/>
      <c r="H69" s="76"/>
      <c r="I69" s="76"/>
      <c r="J69" s="76"/>
      <c r="K69" s="76"/>
      <c r="L69" s="76"/>
      <c r="M69" s="76"/>
      <c r="N69" s="76"/>
      <c r="O69" s="76"/>
      <c r="P69" s="76"/>
      <c r="Q69" s="1"/>
    </row>
    <row r="70" spans="1:17" x14ac:dyDescent="0.35">
      <c r="A70" s="76"/>
      <c r="B70" s="1"/>
      <c r="C70" s="1"/>
      <c r="D70" s="1"/>
      <c r="E70" s="76"/>
      <c r="F70" s="76"/>
      <c r="G70" s="76"/>
      <c r="H70" s="76"/>
      <c r="I70" s="76"/>
      <c r="J70" s="76"/>
      <c r="K70" s="76"/>
      <c r="L70" s="76"/>
      <c r="M70" s="76"/>
      <c r="N70" s="76"/>
      <c r="O70" s="76"/>
      <c r="P70" s="76"/>
      <c r="Q70" s="1"/>
    </row>
    <row r="71" spans="1:17" x14ac:dyDescent="0.35">
      <c r="A71" s="76"/>
      <c r="B71" s="1"/>
      <c r="C71" s="1"/>
      <c r="D71" s="1"/>
      <c r="E71" s="76"/>
      <c r="F71" s="76"/>
      <c r="G71" s="76"/>
      <c r="H71" s="76"/>
      <c r="I71" s="76"/>
      <c r="J71" s="76"/>
      <c r="K71" s="76"/>
      <c r="L71" s="76"/>
      <c r="M71" s="76"/>
      <c r="N71" s="76"/>
      <c r="O71" s="76"/>
      <c r="P71" s="76"/>
      <c r="Q71" s="1"/>
    </row>
    <row r="72" spans="1:17" x14ac:dyDescent="0.35">
      <c r="A72" s="76"/>
      <c r="B72" s="1"/>
      <c r="C72" s="1"/>
      <c r="D72" s="1"/>
      <c r="E72" s="76"/>
      <c r="F72" s="76"/>
      <c r="G72" s="76"/>
      <c r="H72" s="76"/>
      <c r="I72" s="76"/>
      <c r="J72" s="76"/>
      <c r="K72" s="76"/>
      <c r="L72" s="76"/>
      <c r="M72" s="76"/>
      <c r="N72" s="76"/>
      <c r="O72" s="76"/>
      <c r="P72" s="76"/>
      <c r="Q72" s="1"/>
    </row>
    <row r="73" spans="1:17" x14ac:dyDescent="0.35">
      <c r="A73" s="76"/>
      <c r="B73" s="1"/>
      <c r="C73" s="1"/>
      <c r="D73" s="1"/>
      <c r="E73" s="76"/>
      <c r="F73" s="76"/>
      <c r="G73" s="76"/>
      <c r="H73" s="76"/>
      <c r="I73" s="76"/>
      <c r="J73" s="76"/>
      <c r="K73" s="76"/>
      <c r="L73" s="76"/>
      <c r="M73" s="76"/>
      <c r="N73" s="76"/>
      <c r="O73" s="76"/>
      <c r="P73" s="76"/>
      <c r="Q73" s="1"/>
    </row>
    <row r="74" spans="1:17" x14ac:dyDescent="0.35">
      <c r="A74" s="76"/>
      <c r="B74" s="1"/>
      <c r="C74" s="1"/>
      <c r="D74" s="1"/>
      <c r="E74" s="76"/>
      <c r="F74" s="76"/>
      <c r="G74" s="76"/>
      <c r="H74" s="76"/>
      <c r="I74" s="76"/>
      <c r="J74" s="76"/>
      <c r="K74" s="76"/>
      <c r="L74" s="76"/>
      <c r="M74" s="76"/>
      <c r="N74" s="76"/>
      <c r="O74" s="76"/>
      <c r="P74" s="76"/>
      <c r="Q74" s="1"/>
    </row>
    <row r="75" spans="1:17" x14ac:dyDescent="0.35">
      <c r="A75" s="76"/>
      <c r="B75" s="1"/>
      <c r="C75" s="1"/>
      <c r="D75" s="1"/>
      <c r="E75" s="76"/>
      <c r="F75" s="76"/>
      <c r="G75" s="76"/>
      <c r="H75" s="76"/>
      <c r="I75" s="76"/>
      <c r="J75" s="76"/>
      <c r="K75" s="76"/>
      <c r="L75" s="76"/>
      <c r="M75" s="76"/>
      <c r="N75" s="76"/>
      <c r="O75" s="76"/>
      <c r="P75" s="76"/>
      <c r="Q75" s="1"/>
    </row>
    <row r="76" spans="1:17" x14ac:dyDescent="0.35">
      <c r="A76" s="76"/>
      <c r="B76" s="1"/>
      <c r="C76" s="1"/>
      <c r="D76" s="1"/>
      <c r="E76" s="76"/>
      <c r="F76" s="76"/>
      <c r="G76" s="76"/>
      <c r="H76" s="76"/>
      <c r="I76" s="76"/>
      <c r="J76" s="76"/>
      <c r="K76" s="76"/>
      <c r="L76" s="76"/>
      <c r="M76" s="76"/>
      <c r="N76" s="76"/>
      <c r="O76" s="76"/>
      <c r="P76" s="76"/>
      <c r="Q76" s="1"/>
    </row>
    <row r="77" spans="1:17" x14ac:dyDescent="0.35">
      <c r="A77" s="76"/>
      <c r="B77" s="1"/>
      <c r="C77" s="1"/>
      <c r="D77" s="1"/>
      <c r="E77" s="76"/>
      <c r="F77" s="76"/>
      <c r="G77" s="76"/>
      <c r="H77" s="76"/>
      <c r="I77" s="76"/>
      <c r="J77" s="76"/>
      <c r="K77" s="76"/>
      <c r="L77" s="76"/>
      <c r="M77" s="76"/>
      <c r="N77" s="76"/>
      <c r="O77" s="76"/>
      <c r="P77" s="76"/>
      <c r="Q77" s="1"/>
    </row>
    <row r="78" spans="1:17" x14ac:dyDescent="0.35">
      <c r="A78" s="76"/>
      <c r="B78" s="1"/>
      <c r="C78" s="1"/>
      <c r="D78" s="1"/>
      <c r="E78" s="76"/>
      <c r="F78" s="76"/>
      <c r="G78" s="76"/>
      <c r="H78" s="76"/>
      <c r="I78" s="76"/>
      <c r="J78" s="76"/>
      <c r="K78" s="76"/>
      <c r="L78" s="76"/>
      <c r="M78" s="76"/>
      <c r="N78" s="76"/>
      <c r="O78" s="76"/>
      <c r="P78" s="76"/>
      <c r="Q78" s="1"/>
    </row>
    <row r="79" spans="1:17" x14ac:dyDescent="0.35">
      <c r="A79" s="76"/>
      <c r="B79" s="1"/>
      <c r="C79" s="1"/>
      <c r="D79" s="1"/>
      <c r="E79" s="76"/>
      <c r="F79" s="76"/>
      <c r="G79" s="76"/>
      <c r="H79" s="76"/>
      <c r="I79" s="76"/>
      <c r="J79" s="76"/>
      <c r="K79" s="76"/>
      <c r="L79" s="76"/>
      <c r="M79" s="76"/>
      <c r="N79" s="76"/>
      <c r="O79" s="76"/>
      <c r="P79" s="76"/>
      <c r="Q79" s="1"/>
    </row>
    <row r="80" spans="1:17" x14ac:dyDescent="0.35">
      <c r="A80" s="76"/>
      <c r="B80" s="1"/>
      <c r="C80" s="1"/>
      <c r="D80" s="1"/>
      <c r="E80" s="76"/>
      <c r="F80" s="76"/>
      <c r="G80" s="76"/>
      <c r="H80" s="76"/>
      <c r="I80" s="76"/>
      <c r="J80" s="76"/>
      <c r="K80" s="76"/>
      <c r="L80" s="76"/>
      <c r="M80" s="76"/>
      <c r="N80" s="76"/>
      <c r="O80" s="76"/>
      <c r="P80" s="76"/>
      <c r="Q80" s="1"/>
    </row>
    <row r="81" spans="1:17" x14ac:dyDescent="0.35">
      <c r="A81" s="76"/>
      <c r="B81" s="1"/>
      <c r="C81" s="1"/>
      <c r="D81" s="1"/>
      <c r="E81" s="76"/>
      <c r="F81" s="76"/>
      <c r="G81" s="76"/>
      <c r="H81" s="76"/>
      <c r="I81" s="76"/>
      <c r="J81" s="76"/>
      <c r="K81" s="76"/>
      <c r="L81" s="76"/>
      <c r="M81" s="76"/>
      <c r="N81" s="76"/>
      <c r="O81" s="76"/>
      <c r="P81" s="76"/>
      <c r="Q81" s="1"/>
    </row>
    <row r="82" spans="1:17" x14ac:dyDescent="0.35">
      <c r="A82" s="76"/>
      <c r="B82" s="1"/>
      <c r="C82" s="1"/>
      <c r="D82" s="1"/>
      <c r="E82" s="76"/>
      <c r="F82" s="76"/>
      <c r="G82" s="76"/>
      <c r="H82" s="76"/>
      <c r="I82" s="76"/>
      <c r="J82" s="76"/>
      <c r="K82" s="76"/>
      <c r="L82" s="76"/>
      <c r="M82" s="76"/>
      <c r="N82" s="76"/>
      <c r="O82" s="76"/>
      <c r="P82" s="76"/>
      <c r="Q82" s="1"/>
    </row>
    <row r="83" spans="1:17" x14ac:dyDescent="0.35">
      <c r="A83" s="76"/>
      <c r="B83" s="1"/>
      <c r="C83" s="1"/>
      <c r="D83" s="1"/>
      <c r="E83" s="76"/>
      <c r="F83" s="76"/>
      <c r="G83" s="76"/>
      <c r="H83" s="76"/>
      <c r="I83" s="76"/>
      <c r="J83" s="76"/>
      <c r="K83" s="76"/>
      <c r="L83" s="76"/>
      <c r="M83" s="76"/>
      <c r="N83" s="76"/>
      <c r="O83" s="76"/>
      <c r="P83" s="76"/>
      <c r="Q83" s="1"/>
    </row>
    <row r="84" spans="1:17" x14ac:dyDescent="0.35">
      <c r="A84" s="76"/>
      <c r="B84" s="1"/>
      <c r="C84" s="1"/>
      <c r="D84" s="1"/>
      <c r="E84" s="76"/>
      <c r="F84" s="76"/>
      <c r="G84" s="76"/>
      <c r="H84" s="76"/>
      <c r="I84" s="76"/>
      <c r="J84" s="76"/>
      <c r="K84" s="76"/>
      <c r="L84" s="76"/>
      <c r="M84" s="76"/>
      <c r="N84" s="76"/>
      <c r="O84" s="76"/>
      <c r="P84" s="76"/>
      <c r="Q84" s="1"/>
    </row>
    <row r="85" spans="1:17" x14ac:dyDescent="0.35">
      <c r="A85" s="76"/>
      <c r="B85" s="1"/>
      <c r="C85" s="1"/>
      <c r="D85" s="1"/>
      <c r="E85" s="76"/>
      <c r="F85" s="76"/>
      <c r="G85" s="76"/>
      <c r="H85" s="76"/>
      <c r="I85" s="76"/>
      <c r="J85" s="76"/>
      <c r="K85" s="76"/>
      <c r="L85" s="76"/>
      <c r="M85" s="76"/>
      <c r="N85" s="76"/>
      <c r="O85" s="76"/>
      <c r="P85" s="76"/>
      <c r="Q85" s="1"/>
    </row>
    <row r="86" spans="1:17" x14ac:dyDescent="0.35">
      <c r="A86" s="76"/>
      <c r="B86" s="1"/>
      <c r="C86" s="1"/>
      <c r="D86" s="1"/>
      <c r="E86" s="76"/>
      <c r="F86" s="76"/>
      <c r="G86" s="76"/>
      <c r="H86" s="76"/>
      <c r="I86" s="76"/>
      <c r="J86" s="76"/>
      <c r="K86" s="76"/>
      <c r="L86" s="76"/>
      <c r="M86" s="76"/>
      <c r="N86" s="76"/>
      <c r="O86" s="76"/>
      <c r="P86" s="76"/>
      <c r="Q86" s="1"/>
    </row>
    <row r="87" spans="1:17" x14ac:dyDescent="0.35">
      <c r="A87" s="76"/>
      <c r="B87" s="1"/>
      <c r="C87" s="1"/>
      <c r="D87" s="1"/>
      <c r="E87" s="76"/>
      <c r="F87" s="76"/>
      <c r="G87" s="76"/>
      <c r="H87" s="76"/>
      <c r="I87" s="76"/>
      <c r="J87" s="76"/>
      <c r="K87" s="76"/>
      <c r="L87" s="76"/>
      <c r="M87" s="76"/>
      <c r="N87" s="76"/>
      <c r="O87" s="76"/>
      <c r="P87" s="76"/>
      <c r="Q87" s="1"/>
    </row>
    <row r="88" spans="1:17" x14ac:dyDescent="0.35">
      <c r="A88" s="76"/>
      <c r="B88" s="1"/>
      <c r="C88" s="1"/>
      <c r="D88" s="1"/>
      <c r="E88" s="76"/>
      <c r="F88" s="76"/>
      <c r="G88" s="76"/>
      <c r="H88" s="76"/>
      <c r="I88" s="76"/>
      <c r="J88" s="76"/>
      <c r="K88" s="76"/>
      <c r="L88" s="76"/>
      <c r="M88" s="76"/>
      <c r="N88" s="76"/>
      <c r="O88" s="76"/>
      <c r="P88" s="76"/>
      <c r="Q88" s="1"/>
    </row>
    <row r="89" spans="1:17" x14ac:dyDescent="0.35">
      <c r="A89" s="76"/>
      <c r="B89" s="1"/>
      <c r="C89" s="1"/>
      <c r="D89" s="1"/>
      <c r="E89" s="76"/>
      <c r="F89" s="76"/>
      <c r="G89" s="76"/>
      <c r="H89" s="76"/>
      <c r="I89" s="76"/>
      <c r="J89" s="76"/>
      <c r="K89" s="76"/>
      <c r="L89" s="76"/>
      <c r="M89" s="76"/>
      <c r="N89" s="76"/>
      <c r="O89" s="76"/>
      <c r="P89" s="76"/>
      <c r="Q89" s="1"/>
    </row>
    <row r="90" spans="1:17" x14ac:dyDescent="0.35">
      <c r="A90" s="76"/>
      <c r="B90" s="1"/>
      <c r="C90" s="1"/>
      <c r="D90" s="1"/>
      <c r="E90" s="76"/>
      <c r="F90" s="76"/>
      <c r="G90" s="76"/>
      <c r="H90" s="76"/>
      <c r="I90" s="76"/>
      <c r="J90" s="76"/>
      <c r="K90" s="76"/>
      <c r="L90" s="76"/>
      <c r="M90" s="76"/>
      <c r="N90" s="76"/>
      <c r="O90" s="76"/>
      <c r="P90" s="76"/>
      <c r="Q90" s="1"/>
    </row>
    <row r="91" spans="1:17" x14ac:dyDescent="0.35">
      <c r="A91" s="76"/>
      <c r="B91" s="1"/>
      <c r="C91" s="1"/>
      <c r="D91" s="1"/>
      <c r="E91" s="76"/>
      <c r="F91" s="76"/>
      <c r="G91" s="76"/>
      <c r="H91" s="76"/>
      <c r="I91" s="76"/>
      <c r="J91" s="76"/>
      <c r="K91" s="76"/>
      <c r="L91" s="76"/>
      <c r="M91" s="76"/>
      <c r="N91" s="76"/>
      <c r="O91" s="76"/>
      <c r="P91" s="76"/>
      <c r="Q91" s="1"/>
    </row>
    <row r="92" spans="1:17" x14ac:dyDescent="0.35">
      <c r="A92" s="76"/>
      <c r="B92" s="1"/>
      <c r="C92" s="1"/>
      <c r="D92" s="1"/>
      <c r="E92" s="76"/>
      <c r="F92" s="76"/>
      <c r="G92" s="76"/>
      <c r="H92" s="76"/>
      <c r="I92" s="76"/>
      <c r="J92" s="76"/>
      <c r="K92" s="76"/>
      <c r="L92" s="76"/>
      <c r="M92" s="76"/>
      <c r="N92" s="76"/>
      <c r="O92" s="76"/>
      <c r="P92" s="76"/>
      <c r="Q92" s="1"/>
    </row>
    <row r="93" spans="1:17" x14ac:dyDescent="0.35">
      <c r="A93" s="76"/>
      <c r="B93" s="1"/>
      <c r="C93" s="1"/>
      <c r="D93" s="1"/>
      <c r="E93" s="76"/>
      <c r="F93" s="76"/>
      <c r="G93" s="76"/>
      <c r="H93" s="76"/>
      <c r="I93" s="76"/>
      <c r="J93" s="76"/>
      <c r="K93" s="76"/>
      <c r="L93" s="76"/>
      <c r="M93" s="76"/>
      <c r="N93" s="76"/>
      <c r="O93" s="76"/>
      <c r="P93" s="76"/>
      <c r="Q93" s="1"/>
    </row>
    <row r="94" spans="1:17" x14ac:dyDescent="0.35">
      <c r="A94" s="76"/>
      <c r="B94" s="1"/>
      <c r="C94" s="1"/>
      <c r="D94" s="1"/>
      <c r="E94" s="76"/>
      <c r="F94" s="76"/>
      <c r="G94" s="76"/>
      <c r="H94" s="76"/>
      <c r="I94" s="76"/>
      <c r="J94" s="76"/>
      <c r="K94" s="76"/>
      <c r="L94" s="76"/>
      <c r="M94" s="76"/>
      <c r="N94" s="76"/>
      <c r="O94" s="76"/>
      <c r="P94" s="76"/>
      <c r="Q94" s="1"/>
    </row>
    <row r="95" spans="1:17" x14ac:dyDescent="0.35">
      <c r="A95" s="76"/>
      <c r="B95" s="1"/>
      <c r="C95" s="1"/>
      <c r="D95" s="1"/>
      <c r="E95" s="76"/>
      <c r="F95" s="76"/>
      <c r="G95" s="76"/>
      <c r="H95" s="76"/>
      <c r="I95" s="76"/>
      <c r="J95" s="76"/>
      <c r="K95" s="76"/>
      <c r="L95" s="76"/>
      <c r="M95" s="76"/>
      <c r="N95" s="76"/>
      <c r="O95" s="76"/>
      <c r="P95" s="76"/>
      <c r="Q95" s="1"/>
    </row>
    <row r="96" spans="1:17" x14ac:dyDescent="0.35">
      <c r="A96" s="76"/>
      <c r="B96" s="1"/>
      <c r="C96" s="1"/>
      <c r="D96" s="1"/>
      <c r="E96" s="76"/>
      <c r="F96" s="76"/>
      <c r="G96" s="76"/>
      <c r="H96" s="76"/>
      <c r="I96" s="76"/>
      <c r="J96" s="76"/>
      <c r="K96" s="76"/>
      <c r="L96" s="76"/>
      <c r="M96" s="76"/>
      <c r="N96" s="76"/>
      <c r="O96" s="76"/>
      <c r="P96" s="76"/>
      <c r="Q96" s="1"/>
    </row>
    <row r="97" spans="1:17" x14ac:dyDescent="0.35">
      <c r="A97" s="76"/>
      <c r="B97" s="1"/>
      <c r="C97" s="1"/>
      <c r="D97" s="1"/>
      <c r="E97" s="76"/>
      <c r="F97" s="76"/>
      <c r="G97" s="76"/>
      <c r="H97" s="76"/>
      <c r="I97" s="76"/>
      <c r="J97" s="76"/>
      <c r="K97" s="76"/>
      <c r="L97" s="76"/>
      <c r="M97" s="76"/>
      <c r="N97" s="76"/>
      <c r="O97" s="76"/>
      <c r="P97" s="76"/>
      <c r="Q97" s="1"/>
    </row>
    <row r="98" spans="1:17" x14ac:dyDescent="0.35">
      <c r="A98" s="76"/>
      <c r="B98" s="1"/>
      <c r="C98" s="1"/>
      <c r="D98" s="1"/>
      <c r="E98" s="76"/>
      <c r="F98" s="76"/>
      <c r="G98" s="76"/>
      <c r="H98" s="76"/>
      <c r="I98" s="76"/>
      <c r="J98" s="76"/>
      <c r="K98" s="76"/>
      <c r="L98" s="76"/>
      <c r="M98" s="76"/>
      <c r="N98" s="76"/>
      <c r="O98" s="76"/>
      <c r="P98" s="76"/>
      <c r="Q98" s="1"/>
    </row>
    <row r="99" spans="1:17" x14ac:dyDescent="0.35">
      <c r="A99" s="76"/>
      <c r="B99" s="1"/>
      <c r="C99" s="1"/>
      <c r="D99" s="1"/>
      <c r="E99" s="76"/>
      <c r="F99" s="76"/>
      <c r="G99" s="76"/>
      <c r="H99" s="76"/>
      <c r="I99" s="76"/>
      <c r="J99" s="76"/>
      <c r="K99" s="76"/>
      <c r="L99" s="76"/>
      <c r="M99" s="76"/>
      <c r="N99" s="76"/>
      <c r="O99" s="76"/>
      <c r="P99" s="76"/>
      <c r="Q99" s="1"/>
    </row>
    <row r="100" spans="1:17" x14ac:dyDescent="0.35">
      <c r="A100" s="76"/>
      <c r="B100" s="1"/>
      <c r="C100" s="1"/>
      <c r="D100" s="1"/>
      <c r="E100" s="76"/>
      <c r="F100" s="76"/>
      <c r="G100" s="76"/>
      <c r="H100" s="76"/>
      <c r="I100" s="76"/>
      <c r="J100" s="76"/>
      <c r="K100" s="76"/>
      <c r="L100" s="76"/>
      <c r="M100" s="76"/>
      <c r="N100" s="76"/>
      <c r="O100" s="76"/>
      <c r="P100" s="76"/>
      <c r="Q100" s="1"/>
    </row>
    <row r="101" spans="1:17" x14ac:dyDescent="0.35">
      <c r="A101" s="76"/>
      <c r="B101" s="1"/>
      <c r="C101" s="1"/>
      <c r="D101" s="1"/>
      <c r="E101" s="76"/>
      <c r="F101" s="76"/>
      <c r="G101" s="76"/>
      <c r="H101" s="76"/>
      <c r="I101" s="76"/>
      <c r="J101" s="76"/>
      <c r="K101" s="76"/>
      <c r="L101" s="76"/>
      <c r="M101" s="76"/>
      <c r="N101" s="76"/>
      <c r="O101" s="76"/>
      <c r="P101" s="76"/>
      <c r="Q101" s="1"/>
    </row>
    <row r="102" spans="1:17" x14ac:dyDescent="0.35">
      <c r="A102" s="76"/>
      <c r="B102" s="1"/>
      <c r="C102" s="1"/>
      <c r="D102" s="1"/>
      <c r="E102" s="76"/>
      <c r="F102" s="76"/>
      <c r="G102" s="76"/>
      <c r="H102" s="76"/>
      <c r="I102" s="76"/>
      <c r="J102" s="76"/>
      <c r="K102" s="76"/>
      <c r="L102" s="76"/>
      <c r="M102" s="76"/>
      <c r="N102" s="76"/>
      <c r="O102" s="76"/>
      <c r="P102" s="76"/>
      <c r="Q102" s="1"/>
    </row>
    <row r="103" spans="1:17" x14ac:dyDescent="0.35">
      <c r="A103" s="76"/>
      <c r="B103" s="1"/>
      <c r="C103" s="1"/>
      <c r="D103" s="1"/>
      <c r="E103" s="76"/>
      <c r="F103" s="76"/>
      <c r="G103" s="76"/>
      <c r="H103" s="76"/>
      <c r="I103" s="76"/>
      <c r="J103" s="76"/>
      <c r="K103" s="76"/>
      <c r="L103" s="76"/>
      <c r="M103" s="76"/>
      <c r="N103" s="76"/>
      <c r="O103" s="76"/>
      <c r="P103" s="76"/>
      <c r="Q103" s="1"/>
    </row>
    <row r="104" spans="1:17" x14ac:dyDescent="0.35">
      <c r="A104" s="76"/>
      <c r="B104" s="1"/>
      <c r="C104" s="1"/>
      <c r="D104" s="1"/>
      <c r="E104" s="76"/>
      <c r="F104" s="76"/>
      <c r="G104" s="76"/>
      <c r="H104" s="76"/>
      <c r="I104" s="76"/>
      <c r="J104" s="76"/>
      <c r="K104" s="76"/>
      <c r="L104" s="76"/>
      <c r="M104" s="76"/>
      <c r="N104" s="76"/>
      <c r="O104" s="76"/>
      <c r="P104" s="76"/>
      <c r="Q104" s="1"/>
    </row>
    <row r="105" spans="1:17" x14ac:dyDescent="0.35">
      <c r="A105" s="76"/>
      <c r="B105" s="1"/>
      <c r="C105" s="1"/>
      <c r="D105" s="1"/>
      <c r="E105" s="76"/>
      <c r="F105" s="76"/>
      <c r="G105" s="76"/>
      <c r="H105" s="76"/>
      <c r="I105" s="76"/>
      <c r="J105" s="76"/>
      <c r="K105" s="76"/>
      <c r="L105" s="76"/>
      <c r="M105" s="76"/>
      <c r="N105" s="76"/>
      <c r="O105" s="76"/>
      <c r="P105" s="76"/>
      <c r="Q105" s="1"/>
    </row>
    <row r="106" spans="1:17" x14ac:dyDescent="0.35">
      <c r="A106" s="76"/>
      <c r="B106" s="1"/>
      <c r="C106" s="1"/>
      <c r="D106" s="1"/>
      <c r="E106" s="76"/>
      <c r="F106" s="76"/>
      <c r="G106" s="76"/>
      <c r="H106" s="76"/>
      <c r="I106" s="76"/>
      <c r="J106" s="76"/>
      <c r="K106" s="76"/>
      <c r="L106" s="76"/>
      <c r="M106" s="76"/>
      <c r="N106" s="76"/>
      <c r="O106" s="76"/>
      <c r="P106" s="76"/>
      <c r="Q106" s="1"/>
    </row>
    <row r="107" spans="1:17" x14ac:dyDescent="0.35">
      <c r="A107" s="76"/>
      <c r="B107" s="1"/>
      <c r="C107" s="1"/>
      <c r="D107" s="1"/>
      <c r="E107" s="76"/>
      <c r="F107" s="76"/>
      <c r="G107" s="76"/>
      <c r="H107" s="76"/>
      <c r="I107" s="76"/>
      <c r="J107" s="76"/>
      <c r="K107" s="76"/>
      <c r="L107" s="76"/>
      <c r="M107" s="76"/>
      <c r="N107" s="76"/>
      <c r="O107" s="76"/>
      <c r="P107" s="76"/>
      <c r="Q107" s="1"/>
    </row>
    <row r="108" spans="1:17" x14ac:dyDescent="0.35">
      <c r="A108" s="76"/>
      <c r="B108" s="1"/>
      <c r="C108" s="1"/>
      <c r="D108" s="1"/>
      <c r="E108" s="76"/>
      <c r="F108" s="76"/>
      <c r="G108" s="76"/>
      <c r="H108" s="76"/>
      <c r="I108" s="76"/>
      <c r="J108" s="76"/>
      <c r="K108" s="76"/>
      <c r="L108" s="76"/>
      <c r="M108" s="76"/>
      <c r="N108" s="76"/>
      <c r="O108" s="76"/>
      <c r="P108" s="76"/>
      <c r="Q108" s="1"/>
    </row>
    <row r="109" spans="1:17" x14ac:dyDescent="0.35">
      <c r="A109" s="76"/>
      <c r="B109" s="1"/>
      <c r="C109" s="1"/>
      <c r="D109" s="1"/>
      <c r="E109" s="76"/>
      <c r="F109" s="76"/>
      <c r="G109" s="76"/>
      <c r="H109" s="76"/>
      <c r="I109" s="76"/>
      <c r="J109" s="76"/>
      <c r="K109" s="76"/>
      <c r="L109" s="76"/>
      <c r="M109" s="76"/>
      <c r="N109" s="76"/>
      <c r="O109" s="76"/>
      <c r="P109" s="76"/>
      <c r="Q109" s="1"/>
    </row>
    <row r="110" spans="1:17" x14ac:dyDescent="0.35">
      <c r="A110" s="76"/>
      <c r="B110" s="1"/>
      <c r="C110" s="1"/>
      <c r="D110" s="1"/>
      <c r="E110" s="76"/>
      <c r="F110" s="76"/>
      <c r="G110" s="76"/>
      <c r="H110" s="76"/>
      <c r="I110" s="76"/>
      <c r="J110" s="76"/>
      <c r="K110" s="76"/>
      <c r="L110" s="76"/>
      <c r="M110" s="76"/>
      <c r="N110" s="76"/>
      <c r="O110" s="76"/>
      <c r="P110" s="76"/>
      <c r="Q110" s="1"/>
    </row>
    <row r="111" spans="1:17" x14ac:dyDescent="0.35">
      <c r="A111" s="76"/>
      <c r="B111" s="1"/>
      <c r="C111" s="1"/>
      <c r="D111" s="1"/>
      <c r="E111" s="76"/>
      <c r="F111" s="76"/>
      <c r="G111" s="76"/>
      <c r="H111" s="76"/>
      <c r="I111" s="76"/>
      <c r="J111" s="76"/>
      <c r="K111" s="76"/>
      <c r="L111" s="76"/>
      <c r="M111" s="76"/>
      <c r="N111" s="76"/>
      <c r="O111" s="76"/>
      <c r="P111" s="76"/>
      <c r="Q111" s="1"/>
    </row>
    <row r="112" spans="1:17" x14ac:dyDescent="0.35">
      <c r="A112" s="76"/>
      <c r="B112" s="1"/>
      <c r="C112" s="1"/>
      <c r="D112" s="1"/>
      <c r="E112" s="76"/>
      <c r="F112" s="76"/>
      <c r="G112" s="76"/>
      <c r="H112" s="76"/>
      <c r="I112" s="76"/>
      <c r="J112" s="76"/>
      <c r="K112" s="76"/>
      <c r="L112" s="76"/>
      <c r="M112" s="76"/>
      <c r="N112" s="76"/>
      <c r="O112" s="76"/>
      <c r="P112" s="76"/>
      <c r="Q112" s="1"/>
    </row>
    <row r="113" spans="1:17" x14ac:dyDescent="0.35">
      <c r="A113" s="76"/>
      <c r="B113" s="1"/>
      <c r="C113" s="1"/>
      <c r="D113" s="1"/>
      <c r="E113" s="76"/>
      <c r="F113" s="76"/>
      <c r="G113" s="76"/>
      <c r="H113" s="76"/>
      <c r="I113" s="76"/>
      <c r="J113" s="76"/>
      <c r="K113" s="76"/>
      <c r="L113" s="76"/>
      <c r="M113" s="76"/>
      <c r="N113" s="76"/>
      <c r="O113" s="76"/>
      <c r="P113" s="76"/>
      <c r="Q113" s="1"/>
    </row>
    <row r="114" spans="1:17" x14ac:dyDescent="0.35">
      <c r="A114" s="76"/>
      <c r="B114" s="1"/>
      <c r="C114" s="1"/>
      <c r="D114" s="1"/>
      <c r="E114" s="76"/>
      <c r="F114" s="76"/>
      <c r="G114" s="76"/>
      <c r="H114" s="76"/>
      <c r="I114" s="76"/>
      <c r="J114" s="76"/>
      <c r="K114" s="76"/>
      <c r="L114" s="76"/>
      <c r="M114" s="76"/>
      <c r="N114" s="76"/>
      <c r="O114" s="76"/>
      <c r="P114" s="76"/>
      <c r="Q114" s="1"/>
    </row>
    <row r="115" spans="1:17" x14ac:dyDescent="0.35">
      <c r="A115" s="76"/>
      <c r="B115" s="1"/>
      <c r="C115" s="1"/>
      <c r="D115" s="1"/>
      <c r="E115" s="76"/>
      <c r="F115" s="76"/>
      <c r="G115" s="76"/>
      <c r="H115" s="76"/>
      <c r="I115" s="76"/>
      <c r="J115" s="76"/>
      <c r="K115" s="76"/>
      <c r="L115" s="76"/>
      <c r="M115" s="76"/>
      <c r="N115" s="76"/>
      <c r="O115" s="76"/>
      <c r="P115" s="76"/>
      <c r="Q115" s="1"/>
    </row>
    <row r="116" spans="1:17" x14ac:dyDescent="0.35">
      <c r="A116" s="76"/>
      <c r="B116" s="1"/>
      <c r="C116" s="1"/>
      <c r="D116" s="1"/>
      <c r="E116" s="76"/>
      <c r="F116" s="76"/>
      <c r="G116" s="76"/>
      <c r="H116" s="76"/>
      <c r="I116" s="76"/>
      <c r="J116" s="76"/>
      <c r="K116" s="76"/>
      <c r="L116" s="76"/>
      <c r="M116" s="76"/>
      <c r="N116" s="76"/>
      <c r="O116" s="76"/>
      <c r="P116" s="76"/>
      <c r="Q116" s="1"/>
    </row>
    <row r="117" spans="1:17" x14ac:dyDescent="0.35">
      <c r="A117" s="76"/>
      <c r="B117" s="1"/>
      <c r="C117" s="1"/>
      <c r="D117" s="1"/>
      <c r="E117" s="76"/>
      <c r="F117" s="76"/>
      <c r="G117" s="76"/>
      <c r="H117" s="76"/>
      <c r="I117" s="76"/>
      <c r="J117" s="76"/>
      <c r="K117" s="76"/>
      <c r="L117" s="76"/>
      <c r="M117" s="76"/>
      <c r="N117" s="76"/>
      <c r="O117" s="76"/>
      <c r="P117" s="76"/>
      <c r="Q117" s="1"/>
    </row>
    <row r="118" spans="1:17" x14ac:dyDescent="0.35">
      <c r="A118" s="76"/>
      <c r="B118" s="1"/>
      <c r="C118" s="1"/>
      <c r="D118" s="1"/>
      <c r="E118" s="76"/>
      <c r="F118" s="76"/>
      <c r="G118" s="76"/>
      <c r="H118" s="76"/>
      <c r="I118" s="76"/>
      <c r="J118" s="76"/>
      <c r="K118" s="76"/>
      <c r="L118" s="76"/>
      <c r="M118" s="76"/>
      <c r="N118" s="76"/>
      <c r="O118" s="76"/>
      <c r="P118" s="76"/>
      <c r="Q118" s="1"/>
    </row>
    <row r="119" spans="1:17" x14ac:dyDescent="0.35">
      <c r="A119" s="76"/>
      <c r="B119" s="1"/>
      <c r="C119" s="1"/>
      <c r="D119" s="1"/>
      <c r="E119" s="76"/>
      <c r="F119" s="76"/>
      <c r="G119" s="76"/>
      <c r="H119" s="76"/>
      <c r="I119" s="76"/>
      <c r="J119" s="76"/>
      <c r="K119" s="76"/>
      <c r="L119" s="76"/>
      <c r="M119" s="76"/>
      <c r="N119" s="76"/>
      <c r="O119" s="76"/>
      <c r="P119" s="76"/>
      <c r="Q119" s="1"/>
    </row>
    <row r="120" spans="1:17" x14ac:dyDescent="0.35">
      <c r="A120" s="76"/>
      <c r="B120" s="1"/>
      <c r="C120" s="1"/>
      <c r="D120" s="1"/>
      <c r="E120" s="76"/>
      <c r="F120" s="76"/>
      <c r="G120" s="76"/>
      <c r="H120" s="76"/>
      <c r="I120" s="76"/>
      <c r="J120" s="76"/>
      <c r="K120" s="76"/>
      <c r="L120" s="76"/>
      <c r="M120" s="76"/>
      <c r="N120" s="76"/>
      <c r="O120" s="76"/>
      <c r="P120" s="76"/>
      <c r="Q120" s="1"/>
    </row>
    <row r="121" spans="1:17" x14ac:dyDescent="0.35">
      <c r="A121" s="76"/>
      <c r="B121" s="1"/>
      <c r="C121" s="1"/>
      <c r="D121" s="1"/>
      <c r="E121" s="76"/>
      <c r="F121" s="76"/>
      <c r="G121" s="76"/>
      <c r="H121" s="76"/>
      <c r="I121" s="76"/>
      <c r="J121" s="76"/>
      <c r="K121" s="76"/>
      <c r="L121" s="76"/>
      <c r="M121" s="76"/>
      <c r="N121" s="76"/>
      <c r="O121" s="76"/>
      <c r="P121" s="76"/>
      <c r="Q121" s="1"/>
    </row>
    <row r="122" spans="1:17" x14ac:dyDescent="0.35">
      <c r="A122" s="76"/>
      <c r="B122" s="1"/>
      <c r="C122" s="1"/>
      <c r="D122" s="1"/>
      <c r="E122" s="76"/>
      <c r="F122" s="76"/>
      <c r="G122" s="76"/>
      <c r="H122" s="76"/>
      <c r="I122" s="76"/>
      <c r="J122" s="76"/>
      <c r="K122" s="76"/>
      <c r="L122" s="76"/>
      <c r="M122" s="76"/>
      <c r="N122" s="76"/>
      <c r="O122" s="76"/>
      <c r="P122" s="76"/>
      <c r="Q122" s="1"/>
    </row>
    <row r="123" spans="1:17" x14ac:dyDescent="0.35">
      <c r="A123" s="76"/>
      <c r="B123" s="1"/>
      <c r="C123" s="1"/>
      <c r="D123" s="1"/>
      <c r="E123" s="76"/>
      <c r="F123" s="76"/>
      <c r="G123" s="76"/>
      <c r="H123" s="76"/>
      <c r="I123" s="76"/>
      <c r="J123" s="76"/>
      <c r="K123" s="76"/>
      <c r="L123" s="76"/>
      <c r="M123" s="76"/>
      <c r="N123" s="76"/>
      <c r="O123" s="76"/>
      <c r="P123" s="76"/>
      <c r="Q123" s="1"/>
    </row>
    <row r="124" spans="1:17" x14ac:dyDescent="0.35">
      <c r="A124" s="76"/>
      <c r="B124" s="1"/>
      <c r="C124" s="1"/>
      <c r="D124" s="1"/>
      <c r="E124" s="76"/>
      <c r="F124" s="76"/>
      <c r="G124" s="76"/>
      <c r="H124" s="76"/>
      <c r="I124" s="76"/>
      <c r="J124" s="76"/>
      <c r="K124" s="76"/>
      <c r="L124" s="76"/>
      <c r="M124" s="76"/>
      <c r="N124" s="76"/>
      <c r="O124" s="76"/>
      <c r="P124" s="76"/>
      <c r="Q124" s="1"/>
    </row>
    <row r="125" spans="1:17" x14ac:dyDescent="0.35">
      <c r="A125" s="76"/>
      <c r="B125" s="1"/>
      <c r="C125" s="1"/>
      <c r="D125" s="1"/>
      <c r="E125" s="76"/>
      <c r="F125" s="76"/>
      <c r="G125" s="76"/>
      <c r="H125" s="76"/>
      <c r="I125" s="76"/>
      <c r="J125" s="76"/>
      <c r="K125" s="76"/>
      <c r="L125" s="76"/>
      <c r="M125" s="76"/>
      <c r="N125" s="76"/>
      <c r="O125" s="76"/>
      <c r="P125" s="76"/>
      <c r="Q125" s="1"/>
    </row>
    <row r="126" spans="1:17" x14ac:dyDescent="0.35">
      <c r="A126" s="76"/>
      <c r="B126" s="1"/>
      <c r="C126" s="1"/>
      <c r="D126" s="1"/>
      <c r="E126" s="76"/>
      <c r="F126" s="76"/>
      <c r="G126" s="76"/>
      <c r="H126" s="76"/>
      <c r="I126" s="76"/>
      <c r="J126" s="76"/>
      <c r="K126" s="76"/>
      <c r="L126" s="76"/>
      <c r="M126" s="76"/>
      <c r="N126" s="76"/>
      <c r="O126" s="76"/>
      <c r="P126" s="76"/>
      <c r="Q126" s="1"/>
    </row>
    <row r="127" spans="1:17" x14ac:dyDescent="0.35">
      <c r="A127" s="76"/>
      <c r="B127" s="1"/>
      <c r="C127" s="1"/>
      <c r="D127" s="1"/>
      <c r="E127" s="76"/>
      <c r="F127" s="76"/>
      <c r="G127" s="76"/>
      <c r="H127" s="76"/>
      <c r="I127" s="76"/>
      <c r="J127" s="76"/>
      <c r="K127" s="76"/>
      <c r="L127" s="76"/>
      <c r="M127" s="76"/>
      <c r="N127" s="76"/>
      <c r="O127" s="76"/>
      <c r="P127" s="76"/>
      <c r="Q127" s="1"/>
    </row>
    <row r="128" spans="1:17" x14ac:dyDescent="0.35">
      <c r="A128" s="76"/>
      <c r="B128" s="1"/>
      <c r="C128" s="1"/>
      <c r="D128" s="1"/>
      <c r="E128" s="76"/>
      <c r="F128" s="76"/>
      <c r="G128" s="76"/>
      <c r="H128" s="76"/>
      <c r="I128" s="76"/>
      <c r="J128" s="76"/>
      <c r="K128" s="76"/>
      <c r="L128" s="76"/>
      <c r="M128" s="76"/>
      <c r="N128" s="76"/>
      <c r="O128" s="76"/>
      <c r="P128" s="76"/>
      <c r="Q128" s="1"/>
    </row>
    <row r="129" spans="1:17" x14ac:dyDescent="0.35">
      <c r="A129" s="76"/>
      <c r="B129" s="1"/>
      <c r="C129" s="1"/>
      <c r="D129" s="1"/>
      <c r="E129" s="76"/>
      <c r="F129" s="76"/>
      <c r="G129" s="76"/>
      <c r="H129" s="76"/>
      <c r="I129" s="76"/>
      <c r="J129" s="76"/>
      <c r="K129" s="76"/>
      <c r="L129" s="76"/>
      <c r="M129" s="76"/>
      <c r="N129" s="76"/>
      <c r="O129" s="76"/>
      <c r="P129" s="76"/>
      <c r="Q129" s="1"/>
    </row>
    <row r="130" spans="1:17" x14ac:dyDescent="0.35">
      <c r="A130" s="76"/>
      <c r="B130" s="1"/>
      <c r="C130" s="1"/>
      <c r="D130" s="1"/>
      <c r="E130" s="76"/>
      <c r="F130" s="76"/>
      <c r="G130" s="76"/>
      <c r="H130" s="76"/>
      <c r="I130" s="76"/>
      <c r="J130" s="76"/>
      <c r="K130" s="76"/>
      <c r="L130" s="76"/>
      <c r="M130" s="76"/>
      <c r="N130" s="76"/>
      <c r="O130" s="76"/>
      <c r="P130" s="76"/>
      <c r="Q130" s="1"/>
    </row>
    <row r="131" spans="1:17" x14ac:dyDescent="0.35">
      <c r="A131" s="76"/>
      <c r="B131" s="1"/>
      <c r="C131" s="1"/>
      <c r="D131" s="1"/>
      <c r="E131" s="76"/>
      <c r="F131" s="76"/>
      <c r="G131" s="76"/>
      <c r="H131" s="76"/>
      <c r="I131" s="76"/>
      <c r="J131" s="76"/>
      <c r="K131" s="76"/>
      <c r="L131" s="76"/>
      <c r="M131" s="76"/>
      <c r="N131" s="76"/>
      <c r="O131" s="76"/>
      <c r="P131" s="76"/>
      <c r="Q131" s="1"/>
    </row>
    <row r="132" spans="1:17" x14ac:dyDescent="0.35">
      <c r="A132" s="76"/>
      <c r="B132" s="1"/>
      <c r="C132" s="1"/>
      <c r="D132" s="1"/>
      <c r="E132" s="76"/>
      <c r="F132" s="76"/>
      <c r="G132" s="76"/>
      <c r="H132" s="76"/>
      <c r="I132" s="76"/>
      <c r="J132" s="76"/>
      <c r="K132" s="76"/>
      <c r="L132" s="76"/>
      <c r="M132" s="76"/>
      <c r="N132" s="76"/>
      <c r="O132" s="76"/>
      <c r="P132" s="76"/>
      <c r="Q132" s="1"/>
    </row>
    <row r="133" spans="1:17" x14ac:dyDescent="0.35">
      <c r="A133" s="76"/>
      <c r="B133" s="1"/>
      <c r="C133" s="1"/>
      <c r="D133" s="1"/>
      <c r="E133" s="76"/>
      <c r="F133" s="76"/>
      <c r="G133" s="76"/>
      <c r="H133" s="76"/>
      <c r="I133" s="76"/>
      <c r="J133" s="76"/>
      <c r="K133" s="76"/>
      <c r="L133" s="76"/>
      <c r="M133" s="76"/>
      <c r="N133" s="76"/>
      <c r="O133" s="76"/>
      <c r="P133" s="76"/>
      <c r="Q133" s="1"/>
    </row>
    <row r="134" spans="1:17" x14ac:dyDescent="0.35">
      <c r="A134" s="76"/>
      <c r="B134" s="1"/>
      <c r="C134" s="1"/>
      <c r="D134" s="1"/>
      <c r="E134" s="76"/>
      <c r="F134" s="76"/>
      <c r="G134" s="76"/>
      <c r="H134" s="76"/>
      <c r="I134" s="76"/>
      <c r="J134" s="76"/>
      <c r="K134" s="76"/>
      <c r="L134" s="76"/>
      <c r="M134" s="76"/>
      <c r="N134" s="76"/>
      <c r="O134" s="76"/>
      <c r="P134" s="76"/>
      <c r="Q134" s="1"/>
    </row>
    <row r="135" spans="1:17" x14ac:dyDescent="0.35">
      <c r="A135" s="76"/>
      <c r="B135" s="1"/>
      <c r="C135" s="1"/>
      <c r="D135" s="1"/>
      <c r="E135" s="76"/>
      <c r="F135" s="76"/>
      <c r="G135" s="76"/>
      <c r="H135" s="76"/>
      <c r="I135" s="76"/>
      <c r="J135" s="76"/>
      <c r="K135" s="76"/>
      <c r="L135" s="76"/>
      <c r="M135" s="76"/>
      <c r="N135" s="76"/>
      <c r="O135" s="76"/>
      <c r="P135" s="76"/>
      <c r="Q135" s="1"/>
    </row>
    <row r="136" spans="1:17" x14ac:dyDescent="0.35">
      <c r="A136" s="76"/>
      <c r="B136" s="1"/>
      <c r="C136" s="1"/>
      <c r="D136" s="1"/>
      <c r="E136" s="76"/>
      <c r="F136" s="76"/>
      <c r="G136" s="76"/>
      <c r="H136" s="76"/>
      <c r="I136" s="76"/>
      <c r="J136" s="76"/>
      <c r="K136" s="76"/>
      <c r="L136" s="76"/>
      <c r="M136" s="76"/>
      <c r="N136" s="76"/>
      <c r="O136" s="76"/>
      <c r="P136" s="76"/>
      <c r="Q136" s="1"/>
    </row>
    <row r="137" spans="1:17" x14ac:dyDescent="0.35">
      <c r="A137" s="76"/>
      <c r="B137" s="1"/>
      <c r="C137" s="1"/>
      <c r="D137" s="1"/>
      <c r="E137" s="76"/>
      <c r="F137" s="76"/>
      <c r="G137" s="76"/>
      <c r="H137" s="76"/>
      <c r="I137" s="76"/>
      <c r="J137" s="76"/>
      <c r="K137" s="76"/>
      <c r="L137" s="76"/>
      <c r="M137" s="76"/>
      <c r="N137" s="76"/>
      <c r="O137" s="76"/>
      <c r="P137" s="76"/>
      <c r="Q137" s="1"/>
    </row>
    <row r="138" spans="1:17" x14ac:dyDescent="0.35">
      <c r="A138" s="76"/>
      <c r="B138" s="1"/>
      <c r="C138" s="1"/>
      <c r="D138" s="1"/>
      <c r="E138" s="76"/>
      <c r="F138" s="76"/>
      <c r="G138" s="76"/>
      <c r="H138" s="76"/>
      <c r="I138" s="76"/>
      <c r="J138" s="76"/>
      <c r="K138" s="76"/>
      <c r="L138" s="76"/>
      <c r="M138" s="76"/>
      <c r="N138" s="76"/>
      <c r="O138" s="76"/>
      <c r="P138" s="76"/>
      <c r="Q138" s="1"/>
    </row>
    <row r="139" spans="1:17" x14ac:dyDescent="0.35">
      <c r="A139" s="76"/>
      <c r="B139" s="1"/>
      <c r="C139" s="1"/>
      <c r="D139" s="1"/>
      <c r="E139" s="76"/>
      <c r="F139" s="76"/>
      <c r="G139" s="76"/>
      <c r="H139" s="76"/>
      <c r="I139" s="76"/>
      <c r="J139" s="76"/>
      <c r="K139" s="76"/>
      <c r="L139" s="76"/>
      <c r="M139" s="76"/>
      <c r="N139" s="76"/>
      <c r="O139" s="76"/>
      <c r="P139" s="76"/>
      <c r="Q139" s="1"/>
    </row>
    <row r="140" spans="1:17" x14ac:dyDescent="0.35">
      <c r="A140" s="76"/>
      <c r="B140" s="1"/>
      <c r="C140" s="1"/>
      <c r="D140" s="1"/>
      <c r="E140" s="76"/>
      <c r="F140" s="76"/>
      <c r="G140" s="76"/>
      <c r="H140" s="76"/>
      <c r="I140" s="76"/>
      <c r="J140" s="76"/>
      <c r="K140" s="76"/>
      <c r="L140" s="76"/>
      <c r="M140" s="76"/>
      <c r="N140" s="76"/>
      <c r="O140" s="76"/>
      <c r="P140" s="76"/>
      <c r="Q140" s="1"/>
    </row>
    <row r="141" spans="1:17" x14ac:dyDescent="0.35">
      <c r="A141" s="76"/>
      <c r="B141" s="1"/>
      <c r="C141" s="1"/>
      <c r="D141" s="1"/>
      <c r="E141" s="76"/>
      <c r="F141" s="76"/>
      <c r="G141" s="76"/>
      <c r="H141" s="76"/>
      <c r="I141" s="76"/>
      <c r="J141" s="76"/>
      <c r="K141" s="76"/>
      <c r="L141" s="76"/>
      <c r="M141" s="76"/>
      <c r="N141" s="76"/>
      <c r="O141" s="76"/>
      <c r="P141" s="76"/>
      <c r="Q141" s="1"/>
    </row>
    <row r="142" spans="1:17" x14ac:dyDescent="0.35">
      <c r="A142" s="76"/>
      <c r="B142" s="1"/>
      <c r="C142" s="1"/>
      <c r="D142" s="1"/>
      <c r="E142" s="76"/>
      <c r="F142" s="76"/>
      <c r="G142" s="76"/>
      <c r="H142" s="76"/>
      <c r="I142" s="76"/>
      <c r="J142" s="76"/>
      <c r="K142" s="76"/>
      <c r="L142" s="76"/>
      <c r="M142" s="76"/>
      <c r="N142" s="76"/>
      <c r="O142" s="76"/>
      <c r="P142" s="76"/>
      <c r="Q142" s="1"/>
    </row>
    <row r="143" spans="1:17" x14ac:dyDescent="0.35">
      <c r="A143" s="76"/>
      <c r="B143" s="1"/>
      <c r="C143" s="1"/>
      <c r="D143" s="1"/>
      <c r="E143" s="76"/>
      <c r="F143" s="76"/>
      <c r="G143" s="76"/>
      <c r="H143" s="76"/>
      <c r="I143" s="76"/>
      <c r="J143" s="76"/>
      <c r="K143" s="76"/>
      <c r="L143" s="76"/>
      <c r="M143" s="76"/>
      <c r="N143" s="76"/>
      <c r="O143" s="76"/>
      <c r="P143" s="76"/>
      <c r="Q143" s="1"/>
    </row>
    <row r="144" spans="1:17" x14ac:dyDescent="0.35">
      <c r="A144" s="76"/>
      <c r="B144" s="1"/>
      <c r="C144" s="1"/>
      <c r="D144" s="1"/>
      <c r="E144" s="76"/>
      <c r="F144" s="76"/>
      <c r="G144" s="76"/>
      <c r="H144" s="76"/>
      <c r="I144" s="76"/>
      <c r="J144" s="76"/>
      <c r="K144" s="76"/>
      <c r="L144" s="76"/>
      <c r="M144" s="76"/>
      <c r="N144" s="76"/>
      <c r="O144" s="76"/>
      <c r="P144" s="76"/>
      <c r="Q144" s="1"/>
    </row>
    <row r="145" spans="1:17" x14ac:dyDescent="0.35">
      <c r="A145" s="76"/>
      <c r="B145" s="1"/>
      <c r="C145" s="1"/>
      <c r="D145" s="1"/>
      <c r="E145" s="76"/>
      <c r="F145" s="76"/>
      <c r="G145" s="76"/>
      <c r="H145" s="76"/>
      <c r="I145" s="76"/>
      <c r="J145" s="76"/>
      <c r="K145" s="76"/>
      <c r="L145" s="76"/>
      <c r="M145" s="76"/>
      <c r="N145" s="76"/>
      <c r="O145" s="76"/>
      <c r="P145" s="76"/>
      <c r="Q145" s="1"/>
    </row>
    <row r="146" spans="1:17" x14ac:dyDescent="0.35">
      <c r="A146" s="76"/>
      <c r="B146" s="1"/>
      <c r="C146" s="1"/>
      <c r="D146" s="1"/>
      <c r="E146" s="76"/>
      <c r="F146" s="76"/>
      <c r="G146" s="76"/>
      <c r="H146" s="76"/>
      <c r="I146" s="76"/>
      <c r="J146" s="76"/>
      <c r="K146" s="76"/>
      <c r="L146" s="76"/>
      <c r="M146" s="76"/>
      <c r="N146" s="76"/>
      <c r="O146" s="76"/>
      <c r="P146" s="76"/>
      <c r="Q146" s="1"/>
    </row>
    <row r="147" spans="1:17" x14ac:dyDescent="0.35">
      <c r="A147" s="76"/>
      <c r="B147" s="1"/>
      <c r="C147" s="1"/>
      <c r="D147" s="1"/>
      <c r="E147" s="76"/>
      <c r="F147" s="76"/>
      <c r="G147" s="76"/>
      <c r="H147" s="76"/>
      <c r="I147" s="76"/>
      <c r="J147" s="76"/>
      <c r="K147" s="76"/>
      <c r="L147" s="76"/>
      <c r="M147" s="76"/>
      <c r="N147" s="76"/>
      <c r="O147" s="76"/>
      <c r="P147" s="76"/>
      <c r="Q147" s="1"/>
    </row>
    <row r="148" spans="1:17" x14ac:dyDescent="0.35">
      <c r="A148" s="76"/>
      <c r="B148" s="1"/>
      <c r="C148" s="1"/>
      <c r="D148" s="1"/>
      <c r="E148" s="76"/>
      <c r="F148" s="76"/>
      <c r="G148" s="76"/>
      <c r="H148" s="76"/>
      <c r="I148" s="76"/>
      <c r="J148" s="76"/>
      <c r="K148" s="76"/>
      <c r="L148" s="76"/>
      <c r="M148" s="76"/>
      <c r="N148" s="76"/>
      <c r="O148" s="76"/>
      <c r="P148" s="76"/>
      <c r="Q148" s="1"/>
    </row>
    <row r="149" spans="1:17" x14ac:dyDescent="0.35">
      <c r="A149" s="76"/>
      <c r="B149" s="1"/>
      <c r="C149" s="1"/>
      <c r="D149" s="1"/>
      <c r="E149" s="76"/>
      <c r="F149" s="76"/>
      <c r="G149" s="76"/>
      <c r="H149" s="76"/>
      <c r="I149" s="76"/>
      <c r="J149" s="76"/>
      <c r="K149" s="76"/>
      <c r="L149" s="76"/>
      <c r="M149" s="76"/>
      <c r="N149" s="76"/>
      <c r="O149" s="76"/>
      <c r="P149" s="76"/>
      <c r="Q149" s="1"/>
    </row>
    <row r="150" spans="1:17" x14ac:dyDescent="0.35">
      <c r="A150" s="76"/>
      <c r="B150" s="1"/>
      <c r="C150" s="1"/>
      <c r="D150" s="1"/>
      <c r="E150" s="76"/>
      <c r="F150" s="76"/>
      <c r="G150" s="76"/>
      <c r="H150" s="76"/>
      <c r="I150" s="76"/>
      <c r="J150" s="76"/>
      <c r="K150" s="76"/>
      <c r="L150" s="76"/>
      <c r="M150" s="76"/>
      <c r="N150" s="76"/>
      <c r="O150" s="76"/>
      <c r="P150" s="76"/>
      <c r="Q150" s="1"/>
    </row>
    <row r="151" spans="1:17" x14ac:dyDescent="0.35">
      <c r="A151" s="76"/>
      <c r="B151" s="1"/>
      <c r="C151" s="1"/>
      <c r="D151" s="1"/>
      <c r="E151" s="76"/>
      <c r="F151" s="76"/>
      <c r="G151" s="76"/>
      <c r="H151" s="76"/>
      <c r="I151" s="76"/>
      <c r="J151" s="76"/>
      <c r="K151" s="76"/>
      <c r="L151" s="76"/>
      <c r="M151" s="76"/>
      <c r="N151" s="76"/>
      <c r="O151" s="76"/>
      <c r="P151" s="76"/>
      <c r="Q151" s="1"/>
    </row>
    <row r="152" spans="1:17" x14ac:dyDescent="0.35">
      <c r="A152" s="76"/>
      <c r="B152" s="1"/>
      <c r="C152" s="1"/>
      <c r="D152" s="1"/>
      <c r="E152" s="76"/>
      <c r="F152" s="76"/>
      <c r="G152" s="76"/>
      <c r="H152" s="76"/>
      <c r="I152" s="76"/>
      <c r="J152" s="76"/>
      <c r="K152" s="76"/>
      <c r="L152" s="76"/>
      <c r="M152" s="76"/>
      <c r="N152" s="76"/>
      <c r="O152" s="76"/>
      <c r="P152" s="76"/>
      <c r="Q152" s="1"/>
    </row>
    <row r="153" spans="1:17" x14ac:dyDescent="0.35">
      <c r="A153" s="76"/>
      <c r="B153" s="1"/>
      <c r="C153" s="1"/>
      <c r="D153" s="1"/>
      <c r="E153" s="76"/>
      <c r="F153" s="76"/>
      <c r="G153" s="76"/>
      <c r="H153" s="76"/>
      <c r="I153" s="76"/>
      <c r="J153" s="76"/>
      <c r="K153" s="76"/>
      <c r="L153" s="76"/>
      <c r="M153" s="76"/>
      <c r="N153" s="76"/>
      <c r="O153" s="76"/>
      <c r="P153" s="76"/>
      <c r="Q153" s="1"/>
    </row>
    <row r="154" spans="1:17" x14ac:dyDescent="0.35">
      <c r="A154" s="76"/>
      <c r="B154" s="1"/>
      <c r="C154" s="1"/>
      <c r="D154" s="1"/>
      <c r="E154" s="76"/>
      <c r="F154" s="76"/>
      <c r="G154" s="76"/>
      <c r="H154" s="76"/>
      <c r="I154" s="76"/>
      <c r="J154" s="76"/>
      <c r="K154" s="76"/>
      <c r="L154" s="76"/>
      <c r="M154" s="76"/>
      <c r="N154" s="76"/>
      <c r="O154" s="76"/>
      <c r="P154" s="76"/>
      <c r="Q154" s="1"/>
    </row>
    <row r="155" spans="1:17" x14ac:dyDescent="0.35">
      <c r="A155" s="76"/>
      <c r="B155" s="1"/>
      <c r="C155" s="1"/>
      <c r="D155" s="1"/>
      <c r="E155" s="76"/>
      <c r="F155" s="76"/>
      <c r="G155" s="76"/>
      <c r="H155" s="76"/>
      <c r="I155" s="76"/>
      <c r="J155" s="76"/>
      <c r="K155" s="76"/>
      <c r="L155" s="76"/>
      <c r="M155" s="76"/>
      <c r="N155" s="76"/>
      <c r="O155" s="76"/>
      <c r="P155" s="76"/>
      <c r="Q155" s="1"/>
    </row>
    <row r="156" spans="1:17" x14ac:dyDescent="0.35">
      <c r="A156" s="76"/>
      <c r="B156" s="1"/>
      <c r="C156" s="1"/>
      <c r="D156" s="1"/>
      <c r="E156" s="76"/>
      <c r="F156" s="76"/>
      <c r="G156" s="76"/>
      <c r="H156" s="76"/>
      <c r="I156" s="76"/>
      <c r="J156" s="76"/>
      <c r="K156" s="76"/>
      <c r="L156" s="76"/>
      <c r="M156" s="76"/>
      <c r="N156" s="76"/>
      <c r="O156" s="76"/>
      <c r="P156" s="76"/>
      <c r="Q156" s="1"/>
    </row>
    <row r="157" spans="1:17" x14ac:dyDescent="0.35">
      <c r="A157" s="76"/>
      <c r="B157" s="1"/>
      <c r="C157" s="1"/>
      <c r="D157" s="1"/>
      <c r="E157" s="76"/>
      <c r="F157" s="76"/>
      <c r="G157" s="76"/>
      <c r="H157" s="76"/>
      <c r="I157" s="76"/>
      <c r="J157" s="76"/>
      <c r="K157" s="76"/>
      <c r="L157" s="76"/>
      <c r="M157" s="76"/>
      <c r="N157" s="76"/>
      <c r="O157" s="76"/>
      <c r="P157" s="76"/>
      <c r="Q157" s="1"/>
    </row>
    <row r="158" spans="1:17" x14ac:dyDescent="0.35">
      <c r="A158" s="76"/>
      <c r="B158" s="1"/>
      <c r="C158" s="1"/>
      <c r="D158" s="1"/>
      <c r="E158" s="76"/>
      <c r="F158" s="76"/>
      <c r="G158" s="76"/>
      <c r="H158" s="76"/>
      <c r="I158" s="76"/>
      <c r="J158" s="76"/>
      <c r="K158" s="76"/>
      <c r="L158" s="76"/>
      <c r="M158" s="76"/>
      <c r="N158" s="76"/>
      <c r="O158" s="76"/>
      <c r="P158" s="76"/>
      <c r="Q158" s="1"/>
    </row>
    <row r="159" spans="1:17" x14ac:dyDescent="0.35">
      <c r="A159" s="76"/>
      <c r="B159" s="1"/>
      <c r="C159" s="1"/>
      <c r="D159" s="1"/>
      <c r="E159" s="76"/>
      <c r="F159" s="76"/>
      <c r="G159" s="76"/>
      <c r="H159" s="76"/>
      <c r="I159" s="76"/>
      <c r="J159" s="76"/>
      <c r="K159" s="76"/>
      <c r="L159" s="76"/>
      <c r="M159" s="76"/>
      <c r="N159" s="76"/>
      <c r="O159" s="76"/>
      <c r="P159" s="76"/>
      <c r="Q159" s="1"/>
    </row>
    <row r="160" spans="1:17" x14ac:dyDescent="0.35">
      <c r="A160" s="76"/>
      <c r="B160" s="1"/>
      <c r="C160" s="1"/>
      <c r="D160" s="1"/>
      <c r="E160" s="76"/>
      <c r="F160" s="76"/>
      <c r="G160" s="76"/>
      <c r="H160" s="76"/>
      <c r="I160" s="76"/>
      <c r="J160" s="76"/>
      <c r="K160" s="76"/>
      <c r="L160" s="76"/>
      <c r="M160" s="76"/>
      <c r="N160" s="76"/>
      <c r="O160" s="76"/>
      <c r="P160" s="76"/>
      <c r="Q160" s="1"/>
    </row>
    <row r="161" spans="1:17" x14ac:dyDescent="0.35">
      <c r="A161" s="76"/>
      <c r="B161" s="1"/>
      <c r="C161" s="1"/>
      <c r="D161" s="1"/>
      <c r="E161" s="76"/>
      <c r="F161" s="76"/>
      <c r="G161" s="76"/>
      <c r="H161" s="76"/>
      <c r="I161" s="76"/>
      <c r="J161" s="76"/>
      <c r="K161" s="76"/>
      <c r="L161" s="76"/>
      <c r="M161" s="76"/>
      <c r="N161" s="76"/>
      <c r="O161" s="76"/>
      <c r="P161" s="76"/>
      <c r="Q161" s="1"/>
    </row>
    <row r="162" spans="1:17" x14ac:dyDescent="0.35">
      <c r="A162" s="76"/>
      <c r="B162" s="1"/>
      <c r="C162" s="1"/>
      <c r="D162" s="1"/>
      <c r="E162" s="76"/>
      <c r="F162" s="76"/>
      <c r="G162" s="76"/>
      <c r="H162" s="76"/>
      <c r="I162" s="76"/>
      <c r="J162" s="76"/>
      <c r="K162" s="76"/>
      <c r="L162" s="76"/>
      <c r="M162" s="76"/>
      <c r="N162" s="76"/>
      <c r="O162" s="76"/>
      <c r="P162" s="76"/>
      <c r="Q162" s="1"/>
    </row>
    <row r="163" spans="1:17" x14ac:dyDescent="0.35">
      <c r="A163" s="76"/>
      <c r="B163" s="1"/>
      <c r="C163" s="1"/>
      <c r="D163" s="1"/>
      <c r="E163" s="76"/>
      <c r="F163" s="76"/>
      <c r="G163" s="76"/>
      <c r="H163" s="76"/>
      <c r="I163" s="76"/>
      <c r="J163" s="76"/>
      <c r="K163" s="76"/>
      <c r="L163" s="76"/>
      <c r="M163" s="76"/>
      <c r="N163" s="76"/>
      <c r="O163" s="76"/>
      <c r="P163" s="76"/>
      <c r="Q163" s="1"/>
    </row>
    <row r="164" spans="1:17" x14ac:dyDescent="0.35">
      <c r="A164" s="76"/>
      <c r="B164" s="1"/>
      <c r="C164" s="1"/>
      <c r="D164" s="1"/>
      <c r="E164" s="76"/>
      <c r="F164" s="76"/>
      <c r="G164" s="76"/>
      <c r="H164" s="76"/>
      <c r="I164" s="76"/>
      <c r="J164" s="76"/>
      <c r="K164" s="76"/>
      <c r="L164" s="76"/>
      <c r="M164" s="76"/>
      <c r="N164" s="76"/>
      <c r="O164" s="76"/>
      <c r="P164" s="76"/>
      <c r="Q164" s="1"/>
    </row>
    <row r="165" spans="1:17" x14ac:dyDescent="0.35">
      <c r="A165" s="76"/>
      <c r="B165" s="1"/>
      <c r="C165" s="1"/>
      <c r="D165" s="1"/>
      <c r="E165" s="76"/>
      <c r="F165" s="76"/>
      <c r="G165" s="76"/>
      <c r="H165" s="76"/>
      <c r="I165" s="76"/>
      <c r="J165" s="76"/>
      <c r="K165" s="76"/>
      <c r="L165" s="76"/>
      <c r="M165" s="76"/>
      <c r="N165" s="76"/>
      <c r="O165" s="76"/>
      <c r="P165" s="76"/>
      <c r="Q165" s="1"/>
    </row>
    <row r="166" spans="1:17" x14ac:dyDescent="0.35">
      <c r="A166" s="76"/>
      <c r="B166" s="1"/>
      <c r="C166" s="1"/>
      <c r="D166" s="1"/>
      <c r="E166" s="76"/>
      <c r="F166" s="76"/>
      <c r="G166" s="76"/>
      <c r="H166" s="76"/>
      <c r="I166" s="76"/>
      <c r="J166" s="76"/>
      <c r="K166" s="76"/>
      <c r="L166" s="76"/>
      <c r="M166" s="76"/>
      <c r="N166" s="76"/>
      <c r="O166" s="76"/>
      <c r="P166" s="76"/>
      <c r="Q166" s="1"/>
    </row>
    <row r="167" spans="1:17" x14ac:dyDescent="0.35">
      <c r="A167" s="76"/>
      <c r="B167" s="1"/>
      <c r="C167" s="1"/>
      <c r="D167" s="1"/>
      <c r="E167" s="76"/>
      <c r="F167" s="76"/>
      <c r="G167" s="76"/>
      <c r="H167" s="76"/>
      <c r="I167" s="76"/>
      <c r="J167" s="76"/>
      <c r="K167" s="76"/>
      <c r="L167" s="76"/>
      <c r="M167" s="76"/>
      <c r="N167" s="76"/>
      <c r="O167" s="76"/>
      <c r="P167" s="76"/>
      <c r="Q167" s="1"/>
    </row>
    <row r="168" spans="1:17" x14ac:dyDescent="0.35">
      <c r="A168" s="76"/>
      <c r="B168" s="1"/>
      <c r="C168" s="1"/>
      <c r="D168" s="1"/>
      <c r="E168" s="76"/>
      <c r="F168" s="76"/>
      <c r="G168" s="76"/>
      <c r="H168" s="76"/>
      <c r="I168" s="76"/>
      <c r="J168" s="76"/>
      <c r="K168" s="76"/>
      <c r="L168" s="76"/>
      <c r="M168" s="76"/>
      <c r="N168" s="76"/>
      <c r="O168" s="76"/>
      <c r="P168" s="76"/>
      <c r="Q168" s="1"/>
    </row>
    <row r="169" spans="1:17" x14ac:dyDescent="0.35">
      <c r="A169" s="76"/>
      <c r="B169" s="1"/>
      <c r="C169" s="1"/>
      <c r="D169" s="1"/>
      <c r="E169" s="76"/>
      <c r="F169" s="76"/>
      <c r="G169" s="76"/>
      <c r="H169" s="76"/>
      <c r="I169" s="76"/>
      <c r="J169" s="76"/>
      <c r="K169" s="76"/>
      <c r="L169" s="76"/>
      <c r="M169" s="76"/>
      <c r="N169" s="76"/>
      <c r="O169" s="76"/>
      <c r="P169" s="76"/>
      <c r="Q169" s="1"/>
    </row>
    <row r="170" spans="1:17" x14ac:dyDescent="0.35">
      <c r="A170" s="76"/>
      <c r="B170" s="1"/>
      <c r="C170" s="1"/>
      <c r="D170" s="1"/>
      <c r="E170" s="76"/>
      <c r="F170" s="76"/>
      <c r="G170" s="76"/>
      <c r="H170" s="76"/>
      <c r="I170" s="76"/>
      <c r="J170" s="76"/>
      <c r="K170" s="76"/>
      <c r="L170" s="76"/>
      <c r="M170" s="76"/>
      <c r="N170" s="76"/>
      <c r="O170" s="76"/>
      <c r="P170" s="76"/>
      <c r="Q170" s="1"/>
    </row>
    <row r="171" spans="1:17" x14ac:dyDescent="0.35">
      <c r="A171" s="76"/>
      <c r="B171" s="1"/>
      <c r="C171" s="1"/>
      <c r="D171" s="1"/>
      <c r="E171" s="76"/>
      <c r="F171" s="76"/>
      <c r="G171" s="76"/>
      <c r="H171" s="76"/>
      <c r="I171" s="76"/>
      <c r="J171" s="76"/>
      <c r="K171" s="76"/>
      <c r="L171" s="76"/>
      <c r="M171" s="76"/>
      <c r="N171" s="76"/>
      <c r="O171" s="76"/>
      <c r="P171" s="76"/>
      <c r="Q171" s="1"/>
    </row>
    <row r="172" spans="1:17" x14ac:dyDescent="0.35">
      <c r="A172" s="76"/>
      <c r="B172" s="1"/>
      <c r="C172" s="1"/>
      <c r="D172" s="1"/>
      <c r="E172" s="76"/>
      <c r="F172" s="76"/>
      <c r="G172" s="76"/>
      <c r="H172" s="76"/>
      <c r="I172" s="76"/>
      <c r="J172" s="76"/>
      <c r="K172" s="76"/>
      <c r="L172" s="76"/>
      <c r="M172" s="76"/>
      <c r="N172" s="76"/>
      <c r="O172" s="76"/>
      <c r="P172" s="76"/>
      <c r="Q172" s="1"/>
    </row>
    <row r="173" spans="1:17" x14ac:dyDescent="0.35">
      <c r="A173" s="76"/>
      <c r="B173" s="1"/>
      <c r="C173" s="1"/>
      <c r="D173" s="1"/>
      <c r="E173" s="76"/>
      <c r="F173" s="76"/>
      <c r="G173" s="76"/>
      <c r="H173" s="76"/>
      <c r="I173" s="76"/>
      <c r="J173" s="76"/>
      <c r="K173" s="76"/>
      <c r="L173" s="76"/>
      <c r="M173" s="76"/>
      <c r="N173" s="76"/>
      <c r="O173" s="76"/>
      <c r="P173" s="76"/>
      <c r="Q173" s="1"/>
    </row>
    <row r="174" spans="1:17" x14ac:dyDescent="0.35">
      <c r="A174" s="76"/>
      <c r="B174" s="1"/>
      <c r="C174" s="1"/>
      <c r="D174" s="1"/>
      <c r="E174" s="76"/>
      <c r="F174" s="76"/>
      <c r="G174" s="76"/>
      <c r="H174" s="76"/>
      <c r="I174" s="76"/>
      <c r="J174" s="76"/>
      <c r="K174" s="76"/>
      <c r="L174" s="76"/>
      <c r="M174" s="76"/>
      <c r="N174" s="76"/>
      <c r="O174" s="76"/>
      <c r="P174" s="76"/>
      <c r="Q174" s="1"/>
    </row>
    <row r="175" spans="1:17" x14ac:dyDescent="0.35">
      <c r="A175" s="76"/>
      <c r="B175" s="1"/>
      <c r="C175" s="1"/>
      <c r="D175" s="1"/>
      <c r="E175" s="76"/>
      <c r="F175" s="76"/>
      <c r="G175" s="76"/>
      <c r="H175" s="76"/>
      <c r="I175" s="76"/>
      <c r="J175" s="76"/>
      <c r="K175" s="76"/>
      <c r="L175" s="76"/>
      <c r="M175" s="76"/>
      <c r="N175" s="76"/>
      <c r="O175" s="76"/>
      <c r="P175" s="76"/>
      <c r="Q175" s="1"/>
    </row>
    <row r="176" spans="1:17" x14ac:dyDescent="0.35">
      <c r="A176" s="76"/>
      <c r="B176" s="1"/>
      <c r="C176" s="1"/>
      <c r="D176" s="1"/>
      <c r="E176" s="76"/>
      <c r="F176" s="76"/>
      <c r="G176" s="76"/>
      <c r="H176" s="76"/>
      <c r="I176" s="76"/>
      <c r="J176" s="76"/>
      <c r="K176" s="76"/>
      <c r="L176" s="76"/>
      <c r="M176" s="76"/>
      <c r="N176" s="76"/>
      <c r="O176" s="76"/>
      <c r="P176" s="76"/>
      <c r="Q176" s="1"/>
    </row>
    <row r="177" spans="1:17" x14ac:dyDescent="0.35">
      <c r="A177" s="76"/>
      <c r="B177" s="1"/>
      <c r="C177" s="1"/>
      <c r="D177" s="1"/>
      <c r="E177" s="76"/>
      <c r="F177" s="76"/>
      <c r="G177" s="76"/>
      <c r="H177" s="76"/>
      <c r="I177" s="76"/>
      <c r="J177" s="76"/>
      <c r="K177" s="76"/>
      <c r="L177" s="76"/>
      <c r="M177" s="76"/>
      <c r="N177" s="76"/>
      <c r="O177" s="76"/>
      <c r="P177" s="76"/>
      <c r="Q177" s="1"/>
    </row>
    <row r="178" spans="1:17" x14ac:dyDescent="0.35">
      <c r="A178" s="76"/>
      <c r="B178" s="1"/>
      <c r="C178" s="1"/>
      <c r="D178" s="1"/>
      <c r="E178" s="76"/>
      <c r="F178" s="76"/>
      <c r="G178" s="76"/>
      <c r="H178" s="76"/>
      <c r="I178" s="76"/>
      <c r="J178" s="76"/>
      <c r="K178" s="76"/>
      <c r="L178" s="76"/>
      <c r="M178" s="76"/>
      <c r="N178" s="76"/>
      <c r="O178" s="76"/>
      <c r="P178" s="76"/>
      <c r="Q178" s="1"/>
    </row>
    <row r="179" spans="1:17" x14ac:dyDescent="0.35">
      <c r="A179" s="76"/>
      <c r="B179" s="1"/>
      <c r="C179" s="1"/>
      <c r="D179" s="1"/>
      <c r="E179" s="76"/>
      <c r="F179" s="76"/>
      <c r="G179" s="76"/>
      <c r="H179" s="76"/>
      <c r="I179" s="76"/>
      <c r="J179" s="76"/>
      <c r="K179" s="76"/>
      <c r="L179" s="76"/>
      <c r="M179" s="76"/>
      <c r="N179" s="76"/>
      <c r="O179" s="76"/>
      <c r="P179" s="76"/>
      <c r="Q179" s="1"/>
    </row>
    <row r="180" spans="1:17" x14ac:dyDescent="0.35">
      <c r="A180" s="76"/>
      <c r="B180" s="1"/>
      <c r="C180" s="1"/>
      <c r="D180" s="1"/>
      <c r="E180" s="76"/>
      <c r="F180" s="76"/>
      <c r="G180" s="76"/>
      <c r="H180" s="76"/>
      <c r="I180" s="76"/>
      <c r="J180" s="76"/>
      <c r="K180" s="76"/>
      <c r="L180" s="76"/>
      <c r="M180" s="76"/>
      <c r="N180" s="76"/>
      <c r="O180" s="76"/>
      <c r="P180" s="76"/>
      <c r="Q180" s="1"/>
    </row>
    <row r="181" spans="1:17" x14ac:dyDescent="0.35">
      <c r="A181" s="76"/>
      <c r="B181" s="1"/>
      <c r="C181" s="1"/>
      <c r="D181" s="1"/>
      <c r="E181" s="76"/>
      <c r="F181" s="76"/>
      <c r="G181" s="76"/>
      <c r="H181" s="76"/>
      <c r="I181" s="76"/>
      <c r="J181" s="76"/>
      <c r="K181" s="76"/>
      <c r="L181" s="76"/>
      <c r="M181" s="76"/>
      <c r="N181" s="76"/>
      <c r="O181" s="76"/>
      <c r="P181" s="76"/>
      <c r="Q181" s="1"/>
    </row>
    <row r="182" spans="1:17" x14ac:dyDescent="0.35">
      <c r="A182" s="76"/>
      <c r="B182" s="1"/>
      <c r="C182" s="1"/>
      <c r="D182" s="1"/>
      <c r="E182" s="76"/>
      <c r="F182" s="76"/>
      <c r="G182" s="76"/>
      <c r="H182" s="76"/>
      <c r="I182" s="76"/>
      <c r="J182" s="76"/>
      <c r="K182" s="76"/>
      <c r="L182" s="76"/>
      <c r="M182" s="76"/>
      <c r="N182" s="76"/>
      <c r="O182" s="76"/>
      <c r="P182" s="76"/>
      <c r="Q182" s="1"/>
    </row>
    <row r="183" spans="1:17" x14ac:dyDescent="0.35">
      <c r="A183" s="76"/>
      <c r="B183" s="1"/>
      <c r="C183" s="1"/>
      <c r="D183" s="1"/>
      <c r="E183" s="76"/>
      <c r="F183" s="76"/>
      <c r="G183" s="76"/>
      <c r="H183" s="76"/>
      <c r="I183" s="76"/>
      <c r="J183" s="76"/>
      <c r="K183" s="76"/>
      <c r="L183" s="76"/>
      <c r="M183" s="76"/>
      <c r="N183" s="76"/>
      <c r="O183" s="76"/>
      <c r="P183" s="76"/>
      <c r="Q183" s="1"/>
    </row>
    <row r="184" spans="1:17" x14ac:dyDescent="0.35">
      <c r="A184" s="76"/>
      <c r="B184" s="1"/>
      <c r="C184" s="1"/>
      <c r="D184" s="1"/>
      <c r="E184" s="76"/>
      <c r="F184" s="76"/>
      <c r="G184" s="76"/>
      <c r="H184" s="76"/>
      <c r="I184" s="76"/>
      <c r="J184" s="76"/>
      <c r="K184" s="76"/>
      <c r="L184" s="76"/>
      <c r="M184" s="76"/>
      <c r="N184" s="76"/>
      <c r="O184" s="76"/>
      <c r="P184" s="76"/>
      <c r="Q184" s="1"/>
    </row>
    <row r="185" spans="1:17" x14ac:dyDescent="0.35">
      <c r="A185" s="76"/>
      <c r="B185" s="1"/>
      <c r="C185" s="1"/>
      <c r="D185" s="1"/>
      <c r="E185" s="76"/>
      <c r="F185" s="76"/>
      <c r="G185" s="76"/>
      <c r="H185" s="76"/>
      <c r="I185" s="76"/>
      <c r="J185" s="76"/>
      <c r="K185" s="76"/>
      <c r="L185" s="76"/>
      <c r="M185" s="76"/>
      <c r="N185" s="76"/>
      <c r="O185" s="76"/>
      <c r="P185" s="76"/>
      <c r="Q185" s="1"/>
    </row>
    <row r="186" spans="1:17" x14ac:dyDescent="0.35">
      <c r="A186" s="76"/>
      <c r="B186" s="1"/>
      <c r="C186" s="1"/>
      <c r="D186" s="1"/>
      <c r="E186" s="76"/>
      <c r="F186" s="76"/>
      <c r="G186" s="76"/>
      <c r="H186" s="76"/>
      <c r="I186" s="76"/>
      <c r="J186" s="76"/>
      <c r="K186" s="76"/>
      <c r="L186" s="76"/>
      <c r="M186" s="76"/>
      <c r="N186" s="76"/>
      <c r="O186" s="76"/>
      <c r="P186" s="76"/>
      <c r="Q186" s="1"/>
    </row>
    <row r="187" spans="1:17" x14ac:dyDescent="0.35">
      <c r="A187" s="76"/>
      <c r="B187" s="1"/>
      <c r="C187" s="1"/>
      <c r="D187" s="1"/>
      <c r="E187" s="76"/>
      <c r="F187" s="76"/>
      <c r="G187" s="76"/>
      <c r="H187" s="76"/>
      <c r="I187" s="76"/>
      <c r="J187" s="76"/>
      <c r="K187" s="76"/>
      <c r="L187" s="76"/>
      <c r="M187" s="76"/>
      <c r="N187" s="76"/>
      <c r="O187" s="76"/>
      <c r="P187" s="76"/>
      <c r="Q187" s="1"/>
    </row>
    <row r="188" spans="1:17" x14ac:dyDescent="0.35">
      <c r="A188" s="76"/>
      <c r="B188" s="1"/>
      <c r="C188" s="1"/>
      <c r="D188" s="1"/>
      <c r="E188" s="76"/>
      <c r="F188" s="76"/>
      <c r="G188" s="76"/>
      <c r="H188" s="76"/>
      <c r="I188" s="76"/>
      <c r="J188" s="76"/>
      <c r="K188" s="76"/>
      <c r="L188" s="76"/>
      <c r="M188" s="76"/>
      <c r="N188" s="76"/>
      <c r="O188" s="76"/>
      <c r="P188" s="76"/>
      <c r="Q188" s="1"/>
    </row>
    <row r="189" spans="1:17" x14ac:dyDescent="0.35">
      <c r="A189" s="76"/>
      <c r="B189" s="1"/>
      <c r="C189" s="1"/>
      <c r="D189" s="1"/>
      <c r="E189" s="76"/>
      <c r="F189" s="76"/>
      <c r="G189" s="76"/>
      <c r="H189" s="76"/>
      <c r="I189" s="76"/>
      <c r="J189" s="76"/>
      <c r="K189" s="76"/>
      <c r="L189" s="76"/>
      <c r="M189" s="76"/>
      <c r="N189" s="76"/>
      <c r="O189" s="76"/>
      <c r="P189" s="76"/>
      <c r="Q189" s="1"/>
    </row>
    <row r="190" spans="1:17" x14ac:dyDescent="0.35">
      <c r="A190" s="76"/>
      <c r="B190" s="1"/>
      <c r="C190" s="1"/>
      <c r="D190" s="1"/>
      <c r="E190" s="76"/>
      <c r="F190" s="76"/>
      <c r="G190" s="76"/>
      <c r="H190" s="76"/>
      <c r="I190" s="76"/>
      <c r="J190" s="76"/>
      <c r="K190" s="76"/>
      <c r="L190" s="76"/>
      <c r="M190" s="76"/>
      <c r="N190" s="76"/>
      <c r="O190" s="76"/>
      <c r="P190" s="76"/>
      <c r="Q190" s="1"/>
    </row>
    <row r="191" spans="1:17" x14ac:dyDescent="0.35">
      <c r="A191" s="76"/>
      <c r="B191" s="1"/>
      <c r="C191" s="1"/>
      <c r="D191" s="1"/>
      <c r="E191" s="76"/>
      <c r="F191" s="76"/>
      <c r="G191" s="76"/>
      <c r="H191" s="76"/>
      <c r="I191" s="76"/>
      <c r="J191" s="76"/>
      <c r="K191" s="76"/>
      <c r="L191" s="76"/>
      <c r="M191" s="76"/>
      <c r="N191" s="76"/>
      <c r="O191" s="76"/>
      <c r="P191" s="76"/>
      <c r="Q191" s="1"/>
    </row>
    <row r="192" spans="1:17" x14ac:dyDescent="0.35">
      <c r="A192" s="76"/>
      <c r="B192" s="1"/>
      <c r="C192" s="1"/>
      <c r="D192" s="1"/>
      <c r="E192" s="76"/>
      <c r="F192" s="76"/>
      <c r="G192" s="76"/>
      <c r="H192" s="76"/>
      <c r="I192" s="76"/>
      <c r="J192" s="76"/>
      <c r="K192" s="76"/>
      <c r="L192" s="76"/>
      <c r="M192" s="76"/>
      <c r="N192" s="76"/>
      <c r="O192" s="76"/>
      <c r="P192" s="76"/>
      <c r="Q192" s="1"/>
    </row>
    <row r="193" spans="1:17" x14ac:dyDescent="0.35">
      <c r="A193" s="76"/>
      <c r="B193" s="1"/>
      <c r="C193" s="1"/>
      <c r="D193" s="1"/>
      <c r="E193" s="76"/>
      <c r="F193" s="76"/>
      <c r="G193" s="76"/>
      <c r="H193" s="76"/>
      <c r="I193" s="76"/>
      <c r="J193" s="76"/>
      <c r="K193" s="76"/>
      <c r="L193" s="76"/>
      <c r="M193" s="76"/>
      <c r="N193" s="76"/>
      <c r="O193" s="76"/>
      <c r="P193" s="76"/>
      <c r="Q193" s="1"/>
    </row>
    <row r="194" spans="1:17" x14ac:dyDescent="0.35">
      <c r="A194" s="76"/>
      <c r="B194" s="1"/>
      <c r="C194" s="1"/>
      <c r="D194" s="1"/>
      <c r="E194" s="76"/>
      <c r="F194" s="76"/>
      <c r="G194" s="76"/>
      <c r="H194" s="76"/>
      <c r="I194" s="76"/>
      <c r="J194" s="76"/>
      <c r="K194" s="76"/>
      <c r="L194" s="76"/>
      <c r="M194" s="76"/>
      <c r="N194" s="76"/>
      <c r="O194" s="76"/>
      <c r="P194" s="76"/>
      <c r="Q194" s="1"/>
    </row>
    <row r="195" spans="1:17" x14ac:dyDescent="0.35">
      <c r="A195" s="76"/>
      <c r="B195" s="1"/>
      <c r="C195" s="1"/>
      <c r="D195" s="1"/>
      <c r="E195" s="76"/>
      <c r="F195" s="76"/>
      <c r="G195" s="76"/>
      <c r="H195" s="76"/>
      <c r="I195" s="76"/>
      <c r="J195" s="76"/>
      <c r="K195" s="76"/>
      <c r="L195" s="76"/>
      <c r="M195" s="76"/>
      <c r="N195" s="76"/>
      <c r="O195" s="76"/>
      <c r="P195" s="76"/>
      <c r="Q195" s="1"/>
    </row>
    <row r="196" spans="1:17" x14ac:dyDescent="0.35">
      <c r="A196" s="76"/>
      <c r="B196" s="1"/>
      <c r="C196" s="1"/>
      <c r="D196" s="1"/>
      <c r="E196" s="76"/>
      <c r="F196" s="76"/>
      <c r="G196" s="76"/>
      <c r="H196" s="76"/>
      <c r="I196" s="76"/>
      <c r="J196" s="76"/>
      <c r="K196" s="76"/>
      <c r="L196" s="76"/>
      <c r="M196" s="76"/>
      <c r="N196" s="76"/>
      <c r="O196" s="76"/>
      <c r="P196" s="76"/>
      <c r="Q196" s="1"/>
    </row>
    <row r="197" spans="1:17" x14ac:dyDescent="0.35">
      <c r="A197" s="76"/>
      <c r="B197" s="1"/>
      <c r="C197" s="1"/>
      <c r="D197" s="1"/>
      <c r="E197" s="76"/>
      <c r="F197" s="76"/>
      <c r="G197" s="76"/>
      <c r="H197" s="76"/>
      <c r="I197" s="76"/>
      <c r="J197" s="76"/>
      <c r="K197" s="76"/>
      <c r="L197" s="76"/>
      <c r="M197" s="76"/>
      <c r="N197" s="76"/>
      <c r="O197" s="76"/>
      <c r="P197" s="76"/>
      <c r="Q197" s="1"/>
    </row>
    <row r="198" spans="1:17" x14ac:dyDescent="0.35">
      <c r="A198" s="76"/>
      <c r="B198" s="1"/>
      <c r="C198" s="1"/>
      <c r="D198" s="1"/>
      <c r="E198" s="76"/>
      <c r="F198" s="76"/>
      <c r="G198" s="76"/>
      <c r="H198" s="76"/>
      <c r="I198" s="76"/>
      <c r="J198" s="76"/>
      <c r="K198" s="76"/>
      <c r="L198" s="76"/>
      <c r="M198" s="76"/>
      <c r="N198" s="76"/>
      <c r="O198" s="76"/>
      <c r="P198" s="76"/>
      <c r="Q198" s="1"/>
    </row>
    <row r="199" spans="1:17" x14ac:dyDescent="0.35">
      <c r="A199" s="76"/>
      <c r="B199" s="1"/>
      <c r="C199" s="1"/>
      <c r="D199" s="1"/>
      <c r="E199" s="76"/>
      <c r="F199" s="76"/>
      <c r="G199" s="76"/>
      <c r="H199" s="76"/>
      <c r="I199" s="76"/>
      <c r="J199" s="76"/>
      <c r="K199" s="76"/>
      <c r="L199" s="76"/>
      <c r="M199" s="76"/>
      <c r="N199" s="76"/>
      <c r="O199" s="76"/>
      <c r="P199" s="76"/>
      <c r="Q199" s="1"/>
    </row>
    <row r="200" spans="1:17" x14ac:dyDescent="0.35">
      <c r="A200" s="76"/>
      <c r="B200" s="1"/>
      <c r="C200" s="1"/>
      <c r="D200" s="1"/>
      <c r="E200" s="76"/>
      <c r="F200" s="76"/>
      <c r="G200" s="76"/>
      <c r="H200" s="76"/>
      <c r="I200" s="76"/>
      <c r="J200" s="76"/>
      <c r="K200" s="76"/>
      <c r="L200" s="76"/>
      <c r="M200" s="76"/>
      <c r="N200" s="76"/>
      <c r="O200" s="76"/>
      <c r="P200" s="76"/>
      <c r="Q200" s="1"/>
    </row>
    <row r="201" spans="1:17" x14ac:dyDescent="0.35">
      <c r="A201" s="76"/>
      <c r="B201" s="1"/>
      <c r="C201" s="1"/>
      <c r="D201" s="1"/>
      <c r="E201" s="76"/>
      <c r="F201" s="76"/>
      <c r="G201" s="76"/>
      <c r="H201" s="76"/>
      <c r="I201" s="76"/>
      <c r="J201" s="76"/>
      <c r="K201" s="76"/>
      <c r="L201" s="76"/>
      <c r="M201" s="76"/>
      <c r="N201" s="76"/>
      <c r="O201" s="76"/>
      <c r="P201" s="76"/>
      <c r="Q201" s="1"/>
    </row>
    <row r="202" spans="1:17" x14ac:dyDescent="0.35">
      <c r="A202" s="76"/>
      <c r="B202" s="1"/>
      <c r="C202" s="1"/>
      <c r="D202" s="1"/>
      <c r="E202" s="76"/>
      <c r="F202" s="76"/>
      <c r="G202" s="76"/>
      <c r="H202" s="76"/>
      <c r="I202" s="76"/>
      <c r="J202" s="76"/>
      <c r="K202" s="76"/>
      <c r="L202" s="76"/>
      <c r="M202" s="76"/>
      <c r="N202" s="76"/>
      <c r="O202" s="76"/>
      <c r="P202" s="76"/>
      <c r="Q202" s="1"/>
    </row>
    <row r="203" spans="1:17" x14ac:dyDescent="0.35">
      <c r="A203" s="76"/>
      <c r="B203" s="1"/>
      <c r="C203" s="1"/>
      <c r="D203" s="1"/>
      <c r="E203" s="76"/>
      <c r="F203" s="76"/>
      <c r="G203" s="76"/>
      <c r="H203" s="76"/>
      <c r="I203" s="76"/>
      <c r="J203" s="76"/>
      <c r="K203" s="76"/>
      <c r="L203" s="76"/>
      <c r="M203" s="76"/>
      <c r="N203" s="76"/>
      <c r="O203" s="76"/>
      <c r="P203" s="76"/>
      <c r="Q203" s="1"/>
    </row>
    <row r="204" spans="1:17" x14ac:dyDescent="0.35">
      <c r="A204" s="76"/>
      <c r="B204" s="1"/>
      <c r="C204" s="1"/>
      <c r="D204" s="1"/>
      <c r="E204" s="76"/>
      <c r="F204" s="76"/>
      <c r="G204" s="76"/>
      <c r="H204" s="76"/>
      <c r="I204" s="76"/>
      <c r="J204" s="76"/>
      <c r="K204" s="76"/>
      <c r="L204" s="76"/>
      <c r="M204" s="76"/>
      <c r="N204" s="76"/>
      <c r="O204" s="76"/>
      <c r="P204" s="76"/>
      <c r="Q204" s="1"/>
    </row>
    <row r="205" spans="1:17" x14ac:dyDescent="0.35">
      <c r="A205" s="76"/>
      <c r="B205" s="1"/>
      <c r="C205" s="1"/>
      <c r="D205" s="1"/>
      <c r="E205" s="76"/>
      <c r="F205" s="76"/>
      <c r="G205" s="76"/>
      <c r="H205" s="76"/>
      <c r="I205" s="76"/>
      <c r="J205" s="76"/>
      <c r="K205" s="76"/>
      <c r="L205" s="76"/>
      <c r="M205" s="76"/>
      <c r="N205" s="76"/>
      <c r="O205" s="76"/>
      <c r="P205" s="76"/>
      <c r="Q205" s="1"/>
    </row>
    <row r="206" spans="1:17" x14ac:dyDescent="0.35">
      <c r="A206" s="76"/>
      <c r="B206" s="1"/>
      <c r="C206" s="1"/>
      <c r="D206" s="1"/>
      <c r="E206" s="76"/>
      <c r="F206" s="76"/>
      <c r="G206" s="76"/>
      <c r="H206" s="76"/>
      <c r="I206" s="76"/>
      <c r="J206" s="76"/>
      <c r="K206" s="76"/>
      <c r="L206" s="76"/>
      <c r="M206" s="76"/>
      <c r="N206" s="76"/>
      <c r="O206" s="76"/>
      <c r="P206" s="76"/>
      <c r="Q206" s="1"/>
    </row>
    <row r="207" spans="1:17" x14ac:dyDescent="0.35">
      <c r="A207" s="76"/>
      <c r="B207" s="1"/>
      <c r="C207" s="1"/>
      <c r="D207" s="1"/>
      <c r="E207" s="76"/>
      <c r="F207" s="76"/>
      <c r="G207" s="76"/>
      <c r="H207" s="76"/>
      <c r="I207" s="76"/>
      <c r="J207" s="76"/>
      <c r="K207" s="76"/>
      <c r="L207" s="76"/>
      <c r="M207" s="76"/>
      <c r="N207" s="76"/>
      <c r="O207" s="76"/>
      <c r="P207" s="76"/>
      <c r="Q207"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8481" r:id="rId3" name="Button 1">
              <controlPr defaultSize="0" print="0" autoFill="0" autoPict="0" macro="[0]!ViewLog">
                <anchor moveWithCells="1" sizeWithCells="1">
                  <from>
                    <xdr:col>17</xdr:col>
                    <xdr:colOff>0</xdr:colOff>
                    <xdr:row>0</xdr:row>
                    <xdr:rowOff>50800</xdr:rowOff>
                  </from>
                  <to>
                    <xdr:col>18</xdr:col>
                    <xdr:colOff>228600</xdr:colOff>
                    <xdr:row>1</xdr:row>
                    <xdr:rowOff>146050</xdr:rowOff>
                  </to>
                </anchor>
              </controlPr>
            </control>
          </mc:Choice>
        </mc:AlternateContent>
      </controls>
    </mc:Choice>
  </mc:AlternateContent>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B00A9-944F-4D3A-8DD8-248947D244C6}">
  <sheetPr codeName="Sheet183"/>
  <dimension ref="S1:AG1"/>
  <sheetViews>
    <sheetView workbookViewId="0"/>
  </sheetViews>
  <sheetFormatPr defaultRowHeight="14.5" x14ac:dyDescent="0.35"/>
  <sheetData>
    <row r="1" spans="19:33" x14ac:dyDescent="0.35">
      <c r="S1" t="str">
        <f>DIV_14Input!A1</f>
        <v>AREA/FLOOR/ZONE</v>
      </c>
      <c r="T1" t="str">
        <f>DIV_14Input!B1</f>
        <v>Page</v>
      </c>
      <c r="U1" t="str">
        <f>DIV_14Input!C1</f>
        <v>SUB COST</v>
      </c>
      <c r="V1" t="str">
        <f>DIV_14Input!D1</f>
        <v>MAT COST</v>
      </c>
      <c r="W1" t="str">
        <f>DIV_14Input!E1</f>
        <v>LAB COST</v>
      </c>
      <c r="X1" t="str">
        <f>DIV_14Input!F1</f>
        <v>EQUIP COST</v>
      </c>
      <c r="Y1" t="str">
        <f>DIV_14Input!G1</f>
        <v>Total Cost</v>
      </c>
      <c r="Z1" t="str">
        <f>DIV_14Input!H1</f>
        <v>Date</v>
      </c>
      <c r="AA1" t="str">
        <f>DIV_14Input!I1</f>
        <v>Description</v>
      </c>
      <c r="AB1" t="str">
        <f>DIV_14Input!J1</f>
        <v>Log 10</v>
      </c>
      <c r="AC1" t="str">
        <f>DIV_14Input!K1</f>
        <v>Log 11</v>
      </c>
      <c r="AD1" t="str">
        <f>DIV_14Input!L1</f>
        <v>Log 12</v>
      </c>
      <c r="AE1" t="str">
        <f>DIV_14Input!M1</f>
        <v>Update 1</v>
      </c>
      <c r="AF1" t="str">
        <f>DIV_14Input!N1</f>
        <v>Update 2</v>
      </c>
      <c r="AG1" t="str">
        <f>DIV_14Input!O1</f>
        <v>Update 3</v>
      </c>
    </row>
  </sheetData>
  <pageMargins left="0.7" right="0.7" top="0.75" bottom="0.75" header="0.3" footer="0.3"/>
</worksheet>
</file>

<file path=xl/worksheets/sheet1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C18778-2ABD-428B-87A9-8FCF18B0EC89}">
  <sheetPr codeName="Sheet184"/>
  <dimension ref="A1:Q210"/>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DUMBWAITERS</v>
      </c>
      <c r="J2" s="59"/>
      <c r="K2" s="59"/>
      <c r="L2" s="1"/>
      <c r="M2" s="59"/>
      <c r="N2" s="59"/>
      <c r="O2" s="60"/>
      <c r="P2" s="57"/>
      <c r="Q2" s="57"/>
    </row>
    <row r="3" spans="1:17" ht="15" thickBot="1" x14ac:dyDescent="0.4">
      <c r="A3" s="446" t="s">
        <v>21565</v>
      </c>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14 10 00</v>
      </c>
      <c r="C10" s="24" t="str">
        <f>C206</f>
        <v>DUMBWAITERS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DUMBWAITERS</v>
      </c>
      <c r="D12" s="31"/>
      <c r="E12" s="32"/>
      <c r="F12" s="34"/>
      <c r="G12" s="33"/>
      <c r="H12" s="34"/>
      <c r="I12" s="33"/>
      <c r="J12" s="34"/>
      <c r="K12" s="34"/>
      <c r="L12" s="34"/>
      <c r="M12" s="33"/>
      <c r="N12" s="34"/>
      <c r="O12" s="35"/>
      <c r="P12" s="31"/>
      <c r="Q12" s="35"/>
    </row>
    <row r="13" spans="1:17" x14ac:dyDescent="0.35">
      <c r="A13" s="1"/>
      <c r="B13" s="1"/>
      <c r="C13" s="1"/>
      <c r="D13" s="1"/>
      <c r="E13" s="1"/>
      <c r="F13" s="1"/>
      <c r="G13" s="1"/>
      <c r="H13" s="1"/>
      <c r="I13" s="1"/>
      <c r="J13" s="1"/>
      <c r="K13" s="1"/>
      <c r="L13" s="1"/>
      <c r="M13" s="1"/>
      <c r="N13" s="1"/>
      <c r="O13" s="1"/>
      <c r="P13" s="1"/>
      <c r="Q13" s="1"/>
    </row>
    <row r="14" spans="1:17" x14ac:dyDescent="0.35">
      <c r="A14" s="1"/>
      <c r="B14" s="1"/>
      <c r="C14" s="1"/>
      <c r="D14" s="1"/>
      <c r="E14" s="1"/>
      <c r="F14" s="1"/>
      <c r="G14" s="1"/>
      <c r="H14" s="1"/>
      <c r="I14" s="1"/>
      <c r="J14" s="1"/>
      <c r="K14" s="1"/>
      <c r="L14" s="1"/>
      <c r="M14" s="1"/>
      <c r="N14" s="1"/>
      <c r="O14" s="1"/>
      <c r="P14" s="1"/>
      <c r="Q14" s="1"/>
    </row>
    <row r="15" spans="1:17" x14ac:dyDescent="0.35">
      <c r="A15" s="1"/>
      <c r="B15" s="1"/>
      <c r="C15" s="1"/>
      <c r="D15" s="1"/>
      <c r="E15" s="1"/>
      <c r="F15" s="1"/>
      <c r="G15" s="1"/>
      <c r="H15" s="1"/>
      <c r="I15" s="1"/>
      <c r="J15" s="1"/>
      <c r="K15" s="1"/>
      <c r="L15" s="1"/>
      <c r="M15" s="1"/>
      <c r="N15" s="1"/>
      <c r="O15" s="1"/>
      <c r="P15" s="1"/>
      <c r="Q15" s="1"/>
    </row>
    <row r="16" spans="1:17" x14ac:dyDescent="0.35">
      <c r="A16" s="1"/>
      <c r="B16" s="1"/>
      <c r="C16" s="1"/>
      <c r="D16" s="1"/>
      <c r="E16" s="1"/>
      <c r="F16" s="1"/>
      <c r="G16" s="1"/>
      <c r="H16" s="1"/>
      <c r="I16" s="1"/>
      <c r="J16" s="1"/>
      <c r="K16" s="1"/>
      <c r="L16" s="1"/>
      <c r="M16" s="1"/>
      <c r="N16" s="1"/>
      <c r="O16" s="1"/>
      <c r="P16" s="1"/>
      <c r="Q16" s="1"/>
    </row>
    <row r="17" spans="1:17" x14ac:dyDescent="0.35">
      <c r="A17" s="1"/>
      <c r="B17" s="1"/>
      <c r="C17" s="1"/>
      <c r="D17" s="1"/>
      <c r="E17" s="1"/>
      <c r="F17" s="1"/>
      <c r="G17" s="1"/>
      <c r="H17" s="1"/>
      <c r="I17" s="1"/>
      <c r="J17" s="1"/>
      <c r="K17" s="1"/>
      <c r="L17" s="1"/>
      <c r="M17" s="1"/>
      <c r="N17" s="1"/>
      <c r="O17" s="1"/>
      <c r="P17" s="1"/>
      <c r="Q17" s="1"/>
    </row>
    <row r="18" spans="1:17" x14ac:dyDescent="0.35">
      <c r="A18" s="1"/>
      <c r="B18" s="1"/>
      <c r="C18" s="1"/>
      <c r="D18" s="1"/>
      <c r="E18" s="1"/>
      <c r="F18" s="1"/>
      <c r="G18" s="1"/>
      <c r="H18" s="1"/>
      <c r="I18" s="1"/>
      <c r="J18" s="1"/>
      <c r="K18" s="1"/>
      <c r="L18" s="1"/>
      <c r="M18" s="1"/>
      <c r="N18" s="1"/>
      <c r="O18" s="1"/>
      <c r="P18" s="1"/>
      <c r="Q18" s="1"/>
    </row>
    <row r="19" spans="1:17" x14ac:dyDescent="0.35">
      <c r="A19" s="1"/>
      <c r="B19" s="1"/>
      <c r="C19" s="1"/>
      <c r="D19" s="1"/>
      <c r="E19" s="1"/>
      <c r="F19" s="1"/>
      <c r="G19" s="1"/>
      <c r="H19" s="1"/>
      <c r="I19" s="1"/>
      <c r="J19" s="1"/>
      <c r="K19" s="1"/>
      <c r="L19" s="1"/>
      <c r="M19" s="1"/>
      <c r="N19" s="1"/>
      <c r="O19" s="1"/>
      <c r="P19" s="1"/>
      <c r="Q19" s="1"/>
    </row>
    <row r="20" spans="1:17" x14ac:dyDescent="0.35">
      <c r="A20" s="1"/>
      <c r="B20" s="1"/>
      <c r="C20" s="1"/>
      <c r="D20" s="1"/>
      <c r="E20" s="1"/>
      <c r="F20" s="1"/>
      <c r="G20" s="1"/>
      <c r="H20" s="1"/>
      <c r="I20" s="1"/>
      <c r="J20" s="1"/>
      <c r="K20" s="1"/>
      <c r="L20" s="1"/>
      <c r="M20" s="1"/>
      <c r="N20" s="1"/>
      <c r="O20" s="1"/>
      <c r="P20" s="1"/>
      <c r="Q20" s="1"/>
    </row>
    <row r="21" spans="1:17" x14ac:dyDescent="0.35">
      <c r="A21" s="1"/>
      <c r="B21" s="1"/>
      <c r="C21" s="1"/>
      <c r="D21" s="1"/>
      <c r="E21" s="1"/>
      <c r="F21" s="1"/>
      <c r="G21" s="1"/>
      <c r="H21" s="1"/>
      <c r="I21" s="1"/>
      <c r="J21" s="1"/>
      <c r="K21" s="1"/>
      <c r="L21" s="1"/>
      <c r="M21" s="1"/>
      <c r="N21" s="1"/>
      <c r="O21" s="1"/>
      <c r="P21" s="1"/>
      <c r="Q21" s="1"/>
    </row>
    <row r="22" spans="1:17" x14ac:dyDescent="0.35">
      <c r="A22" s="1"/>
      <c r="B22" s="1"/>
      <c r="C22" s="1"/>
      <c r="D22" s="1"/>
      <c r="E22" s="1"/>
      <c r="F22" s="1"/>
      <c r="G22" s="1"/>
      <c r="H22" s="1"/>
      <c r="I22" s="1"/>
      <c r="J22" s="1"/>
      <c r="K22" s="1"/>
      <c r="L22" s="1"/>
      <c r="M22" s="1"/>
      <c r="N22" s="1"/>
      <c r="O22" s="1"/>
      <c r="P22" s="1"/>
      <c r="Q22" s="1"/>
    </row>
    <row r="23" spans="1:17" x14ac:dyDescent="0.35">
      <c r="A23" s="1"/>
      <c r="B23" s="1"/>
      <c r="C23" s="1"/>
      <c r="D23" s="1"/>
      <c r="E23" s="1"/>
      <c r="F23" s="1"/>
      <c r="G23" s="1"/>
      <c r="H23" s="1"/>
      <c r="I23" s="1"/>
      <c r="J23" s="1"/>
      <c r="K23" s="1"/>
      <c r="L23" s="1"/>
      <c r="M23" s="1"/>
      <c r="N23" s="1"/>
      <c r="O23" s="1"/>
      <c r="P23" s="1"/>
      <c r="Q23" s="1"/>
    </row>
    <row r="24" spans="1:17" x14ac:dyDescent="0.35">
      <c r="A24" s="1"/>
      <c r="B24" s="1"/>
      <c r="C24" s="1"/>
      <c r="D24" s="1"/>
      <c r="E24" s="1"/>
      <c r="F24" s="1"/>
      <c r="G24" s="1"/>
      <c r="H24" s="1"/>
      <c r="I24" s="1"/>
      <c r="J24" s="1"/>
      <c r="K24" s="1"/>
      <c r="L24" s="1"/>
      <c r="M24" s="1"/>
      <c r="N24" s="1"/>
      <c r="O24" s="1"/>
      <c r="P24" s="1"/>
      <c r="Q24" s="1"/>
    </row>
    <row r="25" spans="1:17" x14ac:dyDescent="0.35">
      <c r="A25" s="1"/>
      <c r="B25" s="1"/>
      <c r="C25" s="1"/>
      <c r="D25" s="1"/>
      <c r="E25" s="1"/>
      <c r="F25" s="1"/>
      <c r="G25" s="1"/>
      <c r="H25" s="1"/>
      <c r="I25" s="1"/>
      <c r="J25" s="1"/>
      <c r="K25" s="1"/>
      <c r="L25" s="1"/>
      <c r="M25" s="1"/>
      <c r="N25" s="1"/>
      <c r="O25" s="1"/>
      <c r="P25" s="1"/>
      <c r="Q25" s="1"/>
    </row>
    <row r="26" spans="1:17" x14ac:dyDescent="0.35">
      <c r="A26" s="1"/>
      <c r="B26" s="1"/>
      <c r="C26" s="1"/>
      <c r="D26" s="1"/>
      <c r="E26" s="1"/>
      <c r="F26" s="1"/>
      <c r="G26" s="1"/>
      <c r="H26" s="1"/>
      <c r="I26" s="1"/>
      <c r="J26" s="1"/>
      <c r="K26" s="1"/>
      <c r="L26" s="1"/>
      <c r="M26" s="1"/>
      <c r="N26" s="1"/>
      <c r="O26" s="1"/>
      <c r="P26" s="1"/>
      <c r="Q26" s="1"/>
    </row>
    <row r="27" spans="1:17" x14ac:dyDescent="0.35">
      <c r="A27" s="1"/>
      <c r="B27" s="1"/>
      <c r="C27" s="1"/>
      <c r="D27" s="1"/>
      <c r="E27" s="1"/>
      <c r="F27" s="1"/>
      <c r="G27" s="1"/>
      <c r="H27" s="1"/>
      <c r="I27" s="1"/>
      <c r="J27" s="1"/>
      <c r="K27" s="1"/>
      <c r="L27" s="1"/>
      <c r="M27" s="1"/>
      <c r="N27" s="1"/>
      <c r="O27" s="1"/>
      <c r="P27" s="1"/>
      <c r="Q27" s="1"/>
    </row>
    <row r="28" spans="1:17" x14ac:dyDescent="0.35">
      <c r="A28" s="1"/>
      <c r="B28" s="1"/>
      <c r="C28" s="1"/>
      <c r="D28" s="1"/>
      <c r="E28" s="1"/>
      <c r="F28" s="1"/>
      <c r="G28" s="1"/>
      <c r="H28" s="1"/>
      <c r="I28" s="1"/>
      <c r="J28" s="1"/>
      <c r="K28" s="1"/>
      <c r="L28" s="1"/>
      <c r="M28" s="1"/>
      <c r="N28" s="1"/>
      <c r="O28" s="1"/>
      <c r="P28" s="1"/>
      <c r="Q28" s="1"/>
    </row>
    <row r="29" spans="1:17" x14ac:dyDescent="0.35">
      <c r="A29" s="1"/>
      <c r="B29" s="1"/>
      <c r="C29" s="1"/>
      <c r="D29" s="1"/>
      <c r="E29" s="1"/>
      <c r="F29" s="1"/>
      <c r="G29" s="1"/>
      <c r="H29" s="1"/>
      <c r="I29" s="1"/>
      <c r="J29" s="1"/>
      <c r="K29" s="1"/>
      <c r="L29" s="1"/>
      <c r="M29" s="1"/>
      <c r="N29" s="1"/>
      <c r="O29" s="1"/>
      <c r="P29" s="1"/>
      <c r="Q29" s="1"/>
    </row>
    <row r="30" spans="1:17" x14ac:dyDescent="0.35">
      <c r="A30" s="1"/>
      <c r="B30" s="1"/>
      <c r="C30" s="1"/>
      <c r="D30" s="1"/>
      <c r="E30" s="1"/>
      <c r="F30" s="1"/>
      <c r="G30" s="1"/>
      <c r="H30" s="1"/>
      <c r="I30" s="1"/>
      <c r="J30" s="1"/>
      <c r="K30" s="1"/>
      <c r="L30" s="1"/>
      <c r="M30" s="1"/>
      <c r="N30" s="1"/>
      <c r="O30" s="1"/>
      <c r="P30" s="1"/>
      <c r="Q30" s="1"/>
    </row>
    <row r="31" spans="1:17" x14ac:dyDescent="0.35">
      <c r="A31" s="1"/>
      <c r="B31" s="1"/>
      <c r="C31" s="1"/>
      <c r="D31" s="1"/>
      <c r="E31" s="1"/>
      <c r="F31" s="1"/>
      <c r="G31" s="1"/>
      <c r="H31" s="1"/>
      <c r="I31" s="1"/>
      <c r="J31" s="1"/>
      <c r="K31" s="1"/>
      <c r="L31" s="1"/>
      <c r="M31" s="1"/>
      <c r="N31" s="1"/>
      <c r="O31" s="1"/>
      <c r="P31" s="1"/>
      <c r="Q31" s="1"/>
    </row>
    <row r="32" spans="1:17" x14ac:dyDescent="0.35">
      <c r="A32" s="1"/>
      <c r="B32" s="1"/>
      <c r="C32" s="1"/>
      <c r="D32" s="1"/>
      <c r="E32" s="1"/>
      <c r="F32" s="1"/>
      <c r="G32" s="1"/>
      <c r="H32" s="1"/>
      <c r="I32" s="1"/>
      <c r="J32" s="1"/>
      <c r="K32" s="1"/>
      <c r="L32" s="1"/>
      <c r="M32" s="1"/>
      <c r="N32" s="1"/>
      <c r="O32" s="1"/>
      <c r="P32" s="1"/>
      <c r="Q32" s="1"/>
    </row>
    <row r="33" spans="1:17" x14ac:dyDescent="0.35">
      <c r="A33" s="1"/>
      <c r="B33" s="1"/>
      <c r="C33" s="1"/>
      <c r="D33" s="1"/>
      <c r="E33" s="1"/>
      <c r="F33" s="1"/>
      <c r="G33" s="1"/>
      <c r="H33" s="1"/>
      <c r="I33" s="1"/>
      <c r="J33" s="1"/>
      <c r="K33" s="1"/>
      <c r="L33" s="1"/>
      <c r="M33" s="1"/>
      <c r="N33" s="1"/>
      <c r="O33" s="1"/>
      <c r="P33" s="1"/>
      <c r="Q33" s="1"/>
    </row>
    <row r="34" spans="1:17" x14ac:dyDescent="0.35">
      <c r="A34" s="1"/>
      <c r="B34" s="1"/>
      <c r="C34" s="1"/>
      <c r="D34" s="1"/>
      <c r="E34" s="1"/>
      <c r="F34" s="1"/>
      <c r="G34" s="1"/>
      <c r="H34" s="1"/>
      <c r="I34" s="1"/>
      <c r="J34" s="1"/>
      <c r="K34" s="1"/>
      <c r="L34" s="1"/>
      <c r="M34" s="1"/>
      <c r="N34" s="1"/>
      <c r="O34" s="1"/>
      <c r="P34" s="1"/>
      <c r="Q34" s="1"/>
    </row>
    <row r="35" spans="1:17" x14ac:dyDescent="0.35">
      <c r="A35" s="1"/>
      <c r="B35" s="1"/>
      <c r="C35" s="1"/>
      <c r="D35" s="1"/>
      <c r="E35" s="1"/>
      <c r="F35" s="1"/>
      <c r="G35" s="1"/>
      <c r="H35" s="1"/>
      <c r="I35" s="1"/>
      <c r="J35" s="1"/>
      <c r="K35" s="1"/>
      <c r="L35" s="1"/>
      <c r="M35" s="1"/>
      <c r="N35" s="1"/>
      <c r="O35" s="1"/>
      <c r="P35" s="1"/>
      <c r="Q35" s="1"/>
    </row>
    <row r="36" spans="1:17" x14ac:dyDescent="0.35">
      <c r="A36" s="1"/>
      <c r="B36" s="1"/>
      <c r="C36" s="1"/>
      <c r="D36" s="1"/>
      <c r="E36" s="1"/>
      <c r="F36" s="1"/>
      <c r="G36" s="1"/>
      <c r="H36" s="1"/>
      <c r="I36" s="1"/>
      <c r="J36" s="1"/>
      <c r="K36" s="1"/>
      <c r="L36" s="1"/>
      <c r="M36" s="1"/>
      <c r="N36" s="1"/>
      <c r="O36" s="1"/>
      <c r="P36" s="1"/>
      <c r="Q36" s="1"/>
    </row>
    <row r="37" spans="1:17" x14ac:dyDescent="0.35">
      <c r="A37" s="1"/>
      <c r="B37" s="1"/>
      <c r="C37" s="1"/>
      <c r="D37" s="1"/>
      <c r="E37" s="1"/>
      <c r="F37" s="1"/>
      <c r="G37" s="1"/>
      <c r="H37" s="1"/>
      <c r="I37" s="1"/>
      <c r="J37" s="1"/>
      <c r="K37" s="1"/>
      <c r="L37" s="1"/>
      <c r="M37" s="1"/>
      <c r="N37" s="1"/>
      <c r="O37" s="1"/>
      <c r="P37" s="1"/>
      <c r="Q37" s="1"/>
    </row>
    <row r="38" spans="1:17" x14ac:dyDescent="0.35">
      <c r="A38" s="1"/>
      <c r="B38" s="1"/>
      <c r="C38" s="1"/>
      <c r="D38" s="1"/>
      <c r="E38" s="1"/>
      <c r="F38" s="1"/>
      <c r="G38" s="1"/>
      <c r="H38" s="1"/>
      <c r="I38" s="1"/>
      <c r="J38" s="1"/>
      <c r="K38" s="1"/>
      <c r="L38" s="1"/>
      <c r="M38" s="1"/>
      <c r="N38" s="1"/>
      <c r="O38" s="1"/>
      <c r="P38" s="1"/>
      <c r="Q38" s="1"/>
    </row>
    <row r="39" spans="1:17" x14ac:dyDescent="0.35">
      <c r="A39" s="1"/>
      <c r="B39" s="1"/>
      <c r="C39" s="1"/>
      <c r="D39" s="1"/>
      <c r="E39" s="1"/>
      <c r="F39" s="1"/>
      <c r="G39" s="1"/>
      <c r="H39" s="1"/>
      <c r="I39" s="1"/>
      <c r="J39" s="1"/>
      <c r="K39" s="1"/>
      <c r="L39" s="1"/>
      <c r="M39" s="1"/>
      <c r="N39" s="1"/>
      <c r="O39" s="1"/>
      <c r="P39" s="1"/>
      <c r="Q39" s="1"/>
    </row>
    <row r="40" spans="1:17" x14ac:dyDescent="0.35">
      <c r="A40" s="1"/>
      <c r="B40" s="1"/>
      <c r="C40" s="1"/>
      <c r="D40" s="1"/>
      <c r="E40" s="1"/>
      <c r="F40" s="1"/>
      <c r="G40" s="1"/>
      <c r="H40" s="1"/>
      <c r="I40" s="1"/>
      <c r="J40" s="1"/>
      <c r="K40" s="1"/>
      <c r="L40" s="1"/>
      <c r="M40" s="1"/>
      <c r="N40" s="1"/>
      <c r="O40" s="1"/>
      <c r="P40" s="1"/>
      <c r="Q40" s="1"/>
    </row>
    <row r="41" spans="1:17" x14ac:dyDescent="0.35">
      <c r="A41" s="1"/>
      <c r="B41" s="1"/>
      <c r="C41" s="1"/>
      <c r="D41" s="1"/>
      <c r="E41" s="1"/>
      <c r="F41" s="1"/>
      <c r="G41" s="1"/>
      <c r="H41" s="1"/>
      <c r="I41" s="1"/>
      <c r="J41" s="1"/>
      <c r="K41" s="1"/>
      <c r="L41" s="1"/>
      <c r="M41" s="1"/>
      <c r="N41" s="1"/>
      <c r="O41" s="1"/>
      <c r="P41" s="1"/>
      <c r="Q41" s="1"/>
    </row>
    <row r="42" spans="1:17" x14ac:dyDescent="0.35">
      <c r="A42" s="1"/>
      <c r="B42" s="1"/>
      <c r="C42" s="1"/>
      <c r="D42" s="1"/>
      <c r="E42" s="1"/>
      <c r="F42" s="1"/>
      <c r="G42" s="1"/>
      <c r="H42" s="1"/>
      <c r="I42" s="1"/>
      <c r="J42" s="1"/>
      <c r="K42" s="1"/>
      <c r="L42" s="1"/>
      <c r="M42" s="1"/>
      <c r="N42" s="1"/>
      <c r="O42" s="1"/>
      <c r="P42" s="1"/>
      <c r="Q42" s="1"/>
    </row>
    <row r="43" spans="1:17" x14ac:dyDescent="0.35">
      <c r="A43" s="1"/>
      <c r="B43" s="1"/>
      <c r="C43" s="1"/>
      <c r="D43" s="1"/>
      <c r="E43" s="1"/>
      <c r="F43" s="1"/>
      <c r="G43" s="1"/>
      <c r="H43" s="1"/>
      <c r="I43" s="1"/>
      <c r="J43" s="1"/>
      <c r="K43" s="1"/>
      <c r="L43" s="1"/>
      <c r="M43" s="1"/>
      <c r="N43" s="1"/>
      <c r="O43" s="1"/>
      <c r="P43" s="1"/>
      <c r="Q43" s="1"/>
    </row>
    <row r="44" spans="1:17" x14ac:dyDescent="0.35">
      <c r="A44" s="1"/>
      <c r="B44" s="1"/>
      <c r="C44" s="1"/>
      <c r="D44" s="1"/>
      <c r="E44" s="1"/>
      <c r="F44" s="1"/>
      <c r="G44" s="1"/>
      <c r="H44" s="1"/>
      <c r="I44" s="1"/>
      <c r="J44" s="1"/>
      <c r="K44" s="1"/>
      <c r="L44" s="1"/>
      <c r="M44" s="1"/>
      <c r="N44" s="1"/>
      <c r="O44" s="1"/>
      <c r="P44" s="1"/>
      <c r="Q44" s="1"/>
    </row>
    <row r="45" spans="1:17" x14ac:dyDescent="0.35">
      <c r="A45" s="1"/>
      <c r="B45" s="1"/>
      <c r="C45" s="1"/>
      <c r="D45" s="1"/>
      <c r="E45" s="1"/>
      <c r="F45" s="1"/>
      <c r="G45" s="1"/>
      <c r="H45" s="1"/>
      <c r="I45" s="1"/>
      <c r="J45" s="1"/>
      <c r="K45" s="1"/>
      <c r="L45" s="1"/>
      <c r="M45" s="1"/>
      <c r="N45" s="1"/>
      <c r="O45" s="1"/>
      <c r="P45" s="1"/>
      <c r="Q45" s="1"/>
    </row>
    <row r="46" spans="1:17" x14ac:dyDescent="0.35">
      <c r="A46" s="1"/>
      <c r="B46" s="1"/>
      <c r="C46" s="1"/>
      <c r="D46" s="1"/>
      <c r="E46" s="1"/>
      <c r="F46" s="1"/>
      <c r="G46" s="1"/>
      <c r="H46" s="1"/>
      <c r="I46" s="1"/>
      <c r="J46" s="1"/>
      <c r="K46" s="1"/>
      <c r="L46" s="1"/>
      <c r="M46" s="1"/>
      <c r="N46" s="1"/>
      <c r="O46" s="1"/>
      <c r="P46" s="1"/>
      <c r="Q46" s="1"/>
    </row>
    <row r="47" spans="1:17" x14ac:dyDescent="0.35">
      <c r="A47" s="1"/>
      <c r="B47" s="1"/>
      <c r="C47" s="1"/>
      <c r="D47" s="1"/>
      <c r="E47" s="1"/>
      <c r="F47" s="1"/>
      <c r="G47" s="1"/>
      <c r="H47" s="1"/>
      <c r="I47" s="1"/>
      <c r="J47" s="1"/>
      <c r="K47" s="1"/>
      <c r="L47" s="1"/>
      <c r="M47" s="1"/>
      <c r="N47" s="1"/>
      <c r="O47" s="1"/>
      <c r="P47" s="1"/>
      <c r="Q47" s="1"/>
    </row>
    <row r="48" spans="1:17" x14ac:dyDescent="0.35">
      <c r="A48" s="1"/>
      <c r="B48" s="1"/>
      <c r="C48" s="1"/>
      <c r="D48" s="1"/>
      <c r="E48" s="1"/>
      <c r="F48" s="1"/>
      <c r="G48" s="1"/>
      <c r="H48" s="1"/>
      <c r="I48" s="1"/>
      <c r="J48" s="1"/>
      <c r="K48" s="1"/>
      <c r="L48" s="1"/>
      <c r="M48" s="1"/>
      <c r="N48" s="1"/>
      <c r="O48" s="1"/>
      <c r="P48" s="1"/>
      <c r="Q48" s="1"/>
    </row>
    <row r="49" spans="1:17" x14ac:dyDescent="0.35">
      <c r="A49" s="1"/>
      <c r="B49" s="1"/>
      <c r="C49" s="1"/>
      <c r="D49" s="1"/>
      <c r="E49" s="1"/>
      <c r="F49" s="1"/>
      <c r="G49" s="1"/>
      <c r="H49" s="1"/>
      <c r="I49" s="1"/>
      <c r="J49" s="1"/>
      <c r="K49" s="1"/>
      <c r="L49" s="1"/>
      <c r="M49" s="1"/>
      <c r="N49" s="1"/>
      <c r="O49" s="1"/>
      <c r="P49" s="1"/>
      <c r="Q49" s="1"/>
    </row>
    <row r="50" spans="1:17" x14ac:dyDescent="0.35">
      <c r="A50" s="1"/>
      <c r="B50" s="1"/>
      <c r="C50" s="1"/>
      <c r="D50" s="1"/>
      <c r="E50" s="1"/>
      <c r="F50" s="1"/>
      <c r="G50" s="1"/>
      <c r="H50" s="1"/>
      <c r="I50" s="1"/>
      <c r="J50" s="1"/>
      <c r="K50" s="1"/>
      <c r="L50" s="1"/>
      <c r="M50" s="1"/>
      <c r="N50" s="1"/>
      <c r="O50" s="1"/>
      <c r="P50" s="1"/>
      <c r="Q50" s="1"/>
    </row>
    <row r="51" spans="1:17" x14ac:dyDescent="0.35">
      <c r="A51" s="1"/>
      <c r="B51" s="1"/>
      <c r="C51" s="1"/>
      <c r="D51" s="1"/>
      <c r="E51" s="1"/>
      <c r="F51" s="1"/>
      <c r="G51" s="1"/>
      <c r="H51" s="1"/>
      <c r="I51" s="1"/>
      <c r="J51" s="1"/>
      <c r="K51" s="1"/>
      <c r="L51" s="1"/>
      <c r="M51" s="1"/>
      <c r="N51" s="1"/>
      <c r="O51" s="1"/>
      <c r="P51" s="1"/>
      <c r="Q51" s="1"/>
    </row>
    <row r="52" spans="1:17" x14ac:dyDescent="0.35">
      <c r="A52" s="1"/>
      <c r="B52" s="1"/>
      <c r="C52" s="1"/>
      <c r="D52" s="1"/>
      <c r="E52" s="1"/>
      <c r="F52" s="1"/>
      <c r="G52" s="1"/>
      <c r="H52" s="1"/>
      <c r="I52" s="1"/>
      <c r="J52" s="1"/>
      <c r="K52" s="1"/>
      <c r="L52" s="1"/>
      <c r="M52" s="1"/>
      <c r="N52" s="1"/>
      <c r="O52" s="1"/>
      <c r="P52" s="1"/>
      <c r="Q52" s="1"/>
    </row>
    <row r="53" spans="1:17" x14ac:dyDescent="0.35">
      <c r="A53" s="1"/>
      <c r="B53" s="1"/>
      <c r="C53" s="1"/>
      <c r="D53" s="1"/>
      <c r="E53" s="1"/>
      <c r="F53" s="1"/>
      <c r="G53" s="1"/>
      <c r="H53" s="1"/>
      <c r="I53" s="1"/>
      <c r="J53" s="1"/>
      <c r="K53" s="1"/>
      <c r="L53" s="1"/>
      <c r="M53" s="1"/>
      <c r="N53" s="1"/>
      <c r="O53" s="1"/>
      <c r="P53" s="1"/>
      <c r="Q53" s="1"/>
    </row>
    <row r="54" spans="1:17" x14ac:dyDescent="0.35">
      <c r="A54" s="1"/>
      <c r="B54" s="1"/>
      <c r="C54" s="1"/>
      <c r="D54" s="1"/>
      <c r="E54" s="1"/>
      <c r="F54" s="1"/>
      <c r="G54" s="1"/>
      <c r="H54" s="1"/>
      <c r="I54" s="1"/>
      <c r="J54" s="1"/>
      <c r="K54" s="1"/>
      <c r="L54" s="1"/>
      <c r="M54" s="1"/>
      <c r="N54" s="1"/>
      <c r="O54" s="1"/>
      <c r="P54" s="1"/>
      <c r="Q54" s="1"/>
    </row>
    <row r="55" spans="1:17" x14ac:dyDescent="0.35">
      <c r="A55" s="1"/>
      <c r="B55" s="1"/>
      <c r="C55" s="1"/>
      <c r="D55" s="1"/>
      <c r="E55" s="1"/>
      <c r="F55" s="1"/>
      <c r="G55" s="1"/>
      <c r="H55" s="1"/>
      <c r="I55" s="1"/>
      <c r="J55" s="1"/>
      <c r="K55" s="1"/>
      <c r="L55" s="1"/>
      <c r="M55" s="1"/>
      <c r="N55" s="1"/>
      <c r="O55" s="1"/>
      <c r="P55" s="1"/>
      <c r="Q55" s="1"/>
    </row>
    <row r="56" spans="1:17" x14ac:dyDescent="0.35">
      <c r="A56" s="1"/>
      <c r="B56" s="1"/>
      <c r="C56" s="1"/>
      <c r="D56" s="1"/>
      <c r="E56" s="1"/>
      <c r="F56" s="1"/>
      <c r="G56" s="1"/>
      <c r="H56" s="1"/>
      <c r="I56" s="1"/>
      <c r="J56" s="1"/>
      <c r="K56" s="1"/>
      <c r="L56" s="1"/>
      <c r="M56" s="1"/>
      <c r="N56" s="1"/>
      <c r="O56" s="1"/>
      <c r="P56" s="1"/>
      <c r="Q56" s="1"/>
    </row>
    <row r="57" spans="1:17" x14ac:dyDescent="0.35">
      <c r="A57" s="1"/>
      <c r="B57" s="1"/>
      <c r="C57" s="1"/>
      <c r="D57" s="1"/>
      <c r="E57" s="1"/>
      <c r="F57" s="1"/>
      <c r="G57" s="1"/>
      <c r="H57" s="1"/>
      <c r="I57" s="1"/>
      <c r="J57" s="1"/>
      <c r="K57" s="1"/>
      <c r="L57" s="1"/>
      <c r="M57" s="1"/>
      <c r="N57" s="1"/>
      <c r="O57" s="1"/>
      <c r="P57" s="1"/>
      <c r="Q57" s="1"/>
    </row>
    <row r="58" spans="1:17" x14ac:dyDescent="0.35">
      <c r="A58" s="1"/>
      <c r="B58" s="1"/>
      <c r="C58" s="1"/>
      <c r="D58" s="1"/>
      <c r="E58" s="1"/>
      <c r="F58" s="1"/>
      <c r="G58" s="1"/>
      <c r="H58" s="1"/>
      <c r="I58" s="1"/>
      <c r="J58" s="1"/>
      <c r="K58" s="1"/>
      <c r="L58" s="1"/>
      <c r="M58" s="1"/>
      <c r="N58" s="1"/>
      <c r="O58" s="1"/>
      <c r="P58" s="1"/>
      <c r="Q58" s="1"/>
    </row>
    <row r="59" spans="1:17" x14ac:dyDescent="0.35">
      <c r="A59" s="1"/>
      <c r="B59" s="1"/>
      <c r="C59" s="1"/>
      <c r="D59" s="1"/>
      <c r="E59" s="1"/>
      <c r="F59" s="1"/>
      <c r="G59" s="1"/>
      <c r="H59" s="1"/>
      <c r="I59" s="1"/>
      <c r="J59" s="1"/>
      <c r="K59" s="1"/>
      <c r="L59" s="1"/>
      <c r="M59" s="1"/>
      <c r="N59" s="1"/>
      <c r="O59" s="1"/>
      <c r="P59" s="1"/>
      <c r="Q59" s="1"/>
    </row>
    <row r="60" spans="1:17" x14ac:dyDescent="0.35">
      <c r="A60" s="1"/>
      <c r="B60" s="1"/>
      <c r="C60" s="1"/>
      <c r="D60" s="1"/>
      <c r="E60" s="1"/>
      <c r="F60" s="1"/>
      <c r="G60" s="1"/>
      <c r="H60" s="1"/>
      <c r="I60" s="1"/>
      <c r="J60" s="1"/>
      <c r="K60" s="1"/>
      <c r="L60" s="1"/>
      <c r="M60" s="1"/>
      <c r="N60" s="1"/>
      <c r="O60" s="1"/>
      <c r="P60" s="1"/>
      <c r="Q60" s="1"/>
    </row>
    <row r="61" spans="1:17" x14ac:dyDescent="0.35">
      <c r="A61" s="1"/>
      <c r="B61" s="1"/>
      <c r="C61" s="1"/>
      <c r="D61" s="1"/>
      <c r="E61" s="1"/>
      <c r="F61" s="1"/>
      <c r="G61" s="1"/>
      <c r="H61" s="1"/>
      <c r="I61" s="1"/>
      <c r="J61" s="1"/>
      <c r="K61" s="1"/>
      <c r="L61" s="1"/>
      <c r="M61" s="1"/>
      <c r="N61" s="1"/>
      <c r="O61" s="1"/>
      <c r="P61" s="1"/>
      <c r="Q61" s="1"/>
    </row>
    <row r="62" spans="1:17" x14ac:dyDescent="0.35">
      <c r="A62" s="1"/>
      <c r="B62" s="1"/>
      <c r="C62" s="1"/>
      <c r="D62" s="1"/>
      <c r="E62" s="1"/>
      <c r="F62" s="1"/>
      <c r="G62" s="1"/>
      <c r="H62" s="1"/>
      <c r="I62" s="1"/>
      <c r="J62" s="1"/>
      <c r="K62" s="1"/>
      <c r="L62" s="1"/>
      <c r="M62" s="1"/>
      <c r="N62" s="1"/>
      <c r="O62" s="1"/>
      <c r="P62" s="1"/>
      <c r="Q62" s="1"/>
    </row>
    <row r="63" spans="1:17" x14ac:dyDescent="0.35">
      <c r="A63" s="1"/>
      <c r="B63" s="1"/>
      <c r="C63" s="1"/>
      <c r="D63" s="1"/>
      <c r="E63" s="1"/>
      <c r="F63" s="1"/>
      <c r="G63" s="1"/>
      <c r="H63" s="1"/>
      <c r="I63" s="1"/>
      <c r="J63" s="1"/>
      <c r="K63" s="1"/>
      <c r="L63" s="1"/>
      <c r="M63" s="1"/>
      <c r="N63" s="1"/>
      <c r="O63" s="1"/>
      <c r="P63" s="1"/>
      <c r="Q63" s="1"/>
    </row>
    <row r="64" spans="1:17" x14ac:dyDescent="0.35">
      <c r="A64" s="1"/>
      <c r="B64" s="1"/>
      <c r="C64" s="1"/>
      <c r="D64" s="1"/>
      <c r="E64" s="1"/>
      <c r="F64" s="1"/>
      <c r="G64" s="1"/>
      <c r="H64" s="1"/>
      <c r="I64" s="1"/>
      <c r="J64" s="1"/>
      <c r="K64" s="1"/>
      <c r="L64" s="1"/>
      <c r="M64" s="1"/>
      <c r="N64" s="1"/>
      <c r="O64" s="1"/>
      <c r="P64" s="1"/>
      <c r="Q64" s="1"/>
    </row>
    <row r="65" spans="1:17" x14ac:dyDescent="0.35">
      <c r="A65" s="1"/>
      <c r="B65" s="1"/>
      <c r="C65" s="1"/>
      <c r="D65" s="1"/>
      <c r="E65" s="1"/>
      <c r="F65" s="1"/>
      <c r="G65" s="1"/>
      <c r="H65" s="1"/>
      <c r="I65" s="1"/>
      <c r="J65" s="1"/>
      <c r="K65" s="1"/>
      <c r="L65" s="1"/>
      <c r="M65" s="1"/>
      <c r="N65" s="1"/>
      <c r="O65" s="1"/>
      <c r="P65" s="1"/>
      <c r="Q65" s="1"/>
    </row>
    <row r="66" spans="1:17" x14ac:dyDescent="0.35">
      <c r="A66" s="1"/>
      <c r="B66" s="1"/>
      <c r="C66" s="1"/>
      <c r="D66" s="1"/>
      <c r="E66" s="1"/>
      <c r="F66" s="1"/>
      <c r="G66" s="1"/>
      <c r="H66" s="1"/>
      <c r="I66" s="1"/>
      <c r="J66" s="1"/>
      <c r="K66" s="1"/>
      <c r="L66" s="1"/>
      <c r="M66" s="1"/>
      <c r="N66" s="1"/>
      <c r="O66" s="1"/>
      <c r="P66" s="1"/>
      <c r="Q66" s="1"/>
    </row>
    <row r="67" spans="1:17" x14ac:dyDescent="0.35">
      <c r="A67" s="1"/>
      <c r="B67" s="1"/>
      <c r="C67" s="1"/>
      <c r="D67" s="1"/>
      <c r="E67" s="1"/>
      <c r="F67" s="1"/>
      <c r="G67" s="1"/>
      <c r="H67" s="1"/>
      <c r="I67" s="1"/>
      <c r="J67" s="1"/>
      <c r="K67" s="1"/>
      <c r="L67" s="1"/>
      <c r="M67" s="1"/>
      <c r="N67" s="1"/>
      <c r="O67" s="1"/>
      <c r="P67" s="1"/>
      <c r="Q67" s="1"/>
    </row>
    <row r="68" spans="1:17" x14ac:dyDescent="0.35">
      <c r="A68" s="1"/>
      <c r="B68" s="1"/>
      <c r="C68" s="1"/>
      <c r="D68" s="1"/>
      <c r="E68" s="1"/>
      <c r="F68" s="1"/>
      <c r="G68" s="1"/>
      <c r="H68" s="1"/>
      <c r="I68" s="1"/>
      <c r="J68" s="1"/>
      <c r="K68" s="1"/>
      <c r="L68" s="1"/>
      <c r="M68" s="1"/>
      <c r="N68" s="1"/>
      <c r="O68" s="1"/>
      <c r="P68" s="1"/>
      <c r="Q68" s="1"/>
    </row>
    <row r="69" spans="1:17" x14ac:dyDescent="0.35">
      <c r="A69" s="1"/>
      <c r="B69" s="1"/>
      <c r="C69" s="1"/>
      <c r="D69" s="1"/>
      <c r="E69" s="1"/>
      <c r="F69" s="1"/>
      <c r="G69" s="1"/>
      <c r="H69" s="1"/>
      <c r="I69" s="1"/>
      <c r="J69" s="1"/>
      <c r="K69" s="1"/>
      <c r="L69" s="1"/>
      <c r="M69" s="1"/>
      <c r="N69" s="1"/>
      <c r="O69" s="1"/>
      <c r="P69" s="1"/>
      <c r="Q69" s="1"/>
    </row>
    <row r="70" spans="1:17" x14ac:dyDescent="0.35">
      <c r="A70" s="1"/>
      <c r="B70" s="1"/>
      <c r="C70" s="1"/>
      <c r="D70" s="1"/>
      <c r="E70" s="1"/>
      <c r="F70" s="1"/>
      <c r="G70" s="1"/>
      <c r="H70" s="1"/>
      <c r="I70" s="1"/>
      <c r="J70" s="1"/>
      <c r="K70" s="1"/>
      <c r="L70" s="1"/>
      <c r="M70" s="1"/>
      <c r="N70" s="1"/>
      <c r="O70" s="1"/>
      <c r="P70" s="1"/>
      <c r="Q70" s="1"/>
    </row>
    <row r="71" spans="1:17" x14ac:dyDescent="0.35">
      <c r="A71" s="1"/>
      <c r="B71" s="1"/>
      <c r="C71" s="1"/>
      <c r="D71" s="1"/>
      <c r="E71" s="1"/>
      <c r="F71" s="1"/>
      <c r="G71" s="1"/>
      <c r="H71" s="1"/>
      <c r="I71" s="1"/>
      <c r="J71" s="1"/>
      <c r="K71" s="1"/>
      <c r="L71" s="1"/>
      <c r="M71" s="1"/>
      <c r="N71" s="1"/>
      <c r="O71" s="1"/>
      <c r="P71" s="1"/>
      <c r="Q71" s="1"/>
    </row>
    <row r="72" spans="1:17" x14ac:dyDescent="0.35">
      <c r="A72" s="1"/>
      <c r="B72" s="1"/>
      <c r="C72" s="1"/>
      <c r="D72" s="1"/>
      <c r="E72" s="1"/>
      <c r="F72" s="1"/>
      <c r="G72" s="1"/>
      <c r="H72" s="1"/>
      <c r="I72" s="1"/>
      <c r="J72" s="1"/>
      <c r="K72" s="1"/>
      <c r="L72" s="1"/>
      <c r="M72" s="1"/>
      <c r="N72" s="1"/>
      <c r="O72" s="1"/>
      <c r="P72" s="1"/>
      <c r="Q72" s="1"/>
    </row>
    <row r="73" spans="1:17" x14ac:dyDescent="0.35">
      <c r="A73" s="1"/>
      <c r="B73" s="1"/>
      <c r="C73" s="1"/>
      <c r="D73" s="1"/>
      <c r="E73" s="1"/>
      <c r="F73" s="1"/>
      <c r="G73" s="1"/>
      <c r="H73" s="1"/>
      <c r="I73" s="1"/>
      <c r="J73" s="1"/>
      <c r="K73" s="1"/>
      <c r="L73" s="1"/>
      <c r="M73" s="1"/>
      <c r="N73" s="1"/>
      <c r="O73" s="1"/>
      <c r="P73" s="1"/>
      <c r="Q73" s="1"/>
    </row>
    <row r="74" spans="1:17" x14ac:dyDescent="0.35">
      <c r="A74" s="1"/>
      <c r="B74" s="1"/>
      <c r="C74" s="1"/>
      <c r="D74" s="1"/>
      <c r="E74" s="1"/>
      <c r="F74" s="1"/>
      <c r="G74" s="1"/>
      <c r="H74" s="1"/>
      <c r="I74" s="1"/>
      <c r="J74" s="1"/>
      <c r="K74" s="1"/>
      <c r="L74" s="1"/>
      <c r="M74" s="1"/>
      <c r="N74" s="1"/>
      <c r="O74" s="1"/>
      <c r="P74" s="1"/>
      <c r="Q74" s="1"/>
    </row>
    <row r="75" spans="1:17" x14ac:dyDescent="0.35">
      <c r="A75" s="1"/>
      <c r="B75" s="1"/>
      <c r="C75" s="1"/>
      <c r="D75" s="1"/>
      <c r="E75" s="1"/>
      <c r="F75" s="1"/>
      <c r="G75" s="1"/>
      <c r="H75" s="1"/>
      <c r="I75" s="1"/>
      <c r="J75" s="1"/>
      <c r="K75" s="1"/>
      <c r="L75" s="1"/>
      <c r="M75" s="1"/>
      <c r="N75" s="1"/>
      <c r="O75" s="1"/>
      <c r="P75" s="1"/>
      <c r="Q75" s="1"/>
    </row>
    <row r="76" spans="1:17" x14ac:dyDescent="0.35">
      <c r="A76" s="1"/>
      <c r="B76" s="1"/>
      <c r="C76" s="1"/>
      <c r="D76" s="1"/>
      <c r="E76" s="1"/>
      <c r="F76" s="1"/>
      <c r="G76" s="1"/>
      <c r="H76" s="1"/>
      <c r="I76" s="1"/>
      <c r="J76" s="1"/>
      <c r="K76" s="1"/>
      <c r="L76" s="1"/>
      <c r="M76" s="1"/>
      <c r="N76" s="1"/>
      <c r="O76" s="1"/>
      <c r="P76" s="1"/>
      <c r="Q76" s="1"/>
    </row>
    <row r="77" spans="1:17" x14ac:dyDescent="0.35">
      <c r="A77" s="1"/>
      <c r="B77" s="1"/>
      <c r="C77" s="1"/>
      <c r="D77" s="1"/>
      <c r="E77" s="1"/>
      <c r="F77" s="1"/>
      <c r="G77" s="1"/>
      <c r="H77" s="1"/>
      <c r="I77" s="1"/>
      <c r="J77" s="1"/>
      <c r="K77" s="1"/>
      <c r="L77" s="1"/>
      <c r="M77" s="1"/>
      <c r="N77" s="1"/>
      <c r="O77" s="1"/>
      <c r="P77" s="1"/>
      <c r="Q77" s="1"/>
    </row>
    <row r="78" spans="1:17" x14ac:dyDescent="0.35">
      <c r="A78" s="1"/>
      <c r="B78" s="1"/>
      <c r="C78" s="1"/>
      <c r="D78" s="1"/>
      <c r="E78" s="1"/>
      <c r="F78" s="1"/>
      <c r="G78" s="1"/>
      <c r="H78" s="1"/>
      <c r="I78" s="1"/>
      <c r="J78" s="1"/>
      <c r="K78" s="1"/>
      <c r="L78" s="1"/>
      <c r="M78" s="1"/>
      <c r="N78" s="1"/>
      <c r="O78" s="1"/>
      <c r="P78" s="1"/>
      <c r="Q78" s="1"/>
    </row>
    <row r="79" spans="1:17" x14ac:dyDescent="0.35">
      <c r="A79" s="1"/>
      <c r="B79" s="1"/>
      <c r="C79" s="1"/>
      <c r="D79" s="1"/>
      <c r="E79" s="1"/>
      <c r="F79" s="1"/>
      <c r="G79" s="1"/>
      <c r="H79" s="1"/>
      <c r="I79" s="1"/>
      <c r="J79" s="1"/>
      <c r="K79" s="1"/>
      <c r="L79" s="1"/>
      <c r="M79" s="1"/>
      <c r="N79" s="1"/>
      <c r="O79" s="1"/>
      <c r="P79" s="1"/>
      <c r="Q79" s="1"/>
    </row>
    <row r="80" spans="1:17" x14ac:dyDescent="0.35">
      <c r="A80" s="1"/>
      <c r="B80" s="1"/>
      <c r="C80" s="1"/>
      <c r="D80" s="1"/>
      <c r="E80" s="1"/>
      <c r="F80" s="1"/>
      <c r="G80" s="1"/>
      <c r="H80" s="1"/>
      <c r="I80" s="1"/>
      <c r="J80" s="1"/>
      <c r="K80" s="1"/>
      <c r="L80" s="1"/>
      <c r="M80" s="1"/>
      <c r="N80" s="1"/>
      <c r="O80" s="1"/>
      <c r="P80" s="1"/>
      <c r="Q80" s="1"/>
    </row>
    <row r="81" spans="1:17" x14ac:dyDescent="0.35">
      <c r="A81" s="1"/>
      <c r="B81" s="1"/>
      <c r="C81" s="1"/>
      <c r="D81" s="1"/>
      <c r="E81" s="1"/>
      <c r="F81" s="1"/>
      <c r="G81" s="1"/>
      <c r="H81" s="1"/>
      <c r="I81" s="1"/>
      <c r="J81" s="1"/>
      <c r="K81" s="1"/>
      <c r="L81" s="1"/>
      <c r="M81" s="1"/>
      <c r="N81" s="1"/>
      <c r="O81" s="1"/>
      <c r="P81" s="1"/>
      <c r="Q81" s="1"/>
    </row>
    <row r="82" spans="1:17" x14ac:dyDescent="0.35">
      <c r="A82" s="1"/>
      <c r="B82" s="1"/>
      <c r="C82" s="1"/>
      <c r="D82" s="1"/>
      <c r="E82" s="1"/>
      <c r="F82" s="1"/>
      <c r="G82" s="1"/>
      <c r="H82" s="1"/>
      <c r="I82" s="1"/>
      <c r="J82" s="1"/>
      <c r="K82" s="1"/>
      <c r="L82" s="1"/>
      <c r="M82" s="1"/>
      <c r="N82" s="1"/>
      <c r="O82" s="1"/>
      <c r="P82" s="1"/>
      <c r="Q82" s="1"/>
    </row>
    <row r="83" spans="1:17" x14ac:dyDescent="0.35">
      <c r="A83" s="1"/>
      <c r="B83" s="1"/>
      <c r="C83" s="1"/>
      <c r="D83" s="1"/>
      <c r="E83" s="1"/>
      <c r="F83" s="1"/>
      <c r="G83" s="1"/>
      <c r="H83" s="1"/>
      <c r="I83" s="1"/>
      <c r="J83" s="1"/>
      <c r="K83" s="1"/>
      <c r="L83" s="1"/>
      <c r="M83" s="1"/>
      <c r="N83" s="1"/>
      <c r="O83" s="1"/>
      <c r="P83" s="1"/>
      <c r="Q83" s="1"/>
    </row>
    <row r="84" spans="1:17" x14ac:dyDescent="0.35">
      <c r="A84" s="1"/>
      <c r="B84" s="1"/>
      <c r="C84" s="1"/>
      <c r="D84" s="1"/>
      <c r="E84" s="1"/>
      <c r="F84" s="1"/>
      <c r="G84" s="1"/>
      <c r="H84" s="1"/>
      <c r="I84" s="1"/>
      <c r="J84" s="1"/>
      <c r="K84" s="1"/>
      <c r="L84" s="1"/>
      <c r="M84" s="1"/>
      <c r="N84" s="1"/>
      <c r="O84" s="1"/>
      <c r="P84" s="1"/>
      <c r="Q84" s="1"/>
    </row>
    <row r="85" spans="1:17" x14ac:dyDescent="0.35">
      <c r="A85" s="1"/>
      <c r="B85" s="1"/>
      <c r="C85" s="1"/>
      <c r="D85" s="1"/>
      <c r="E85" s="1"/>
      <c r="F85" s="1"/>
      <c r="G85" s="1"/>
      <c r="H85" s="1"/>
      <c r="I85" s="1"/>
      <c r="J85" s="1"/>
      <c r="K85" s="1"/>
      <c r="L85" s="1"/>
      <c r="M85" s="1"/>
      <c r="N85" s="1"/>
      <c r="O85" s="1"/>
      <c r="P85" s="1"/>
      <c r="Q85" s="1"/>
    </row>
    <row r="86" spans="1:17" x14ac:dyDescent="0.35">
      <c r="A86" s="1"/>
      <c r="B86" s="1"/>
      <c r="C86" s="1"/>
      <c r="D86" s="1"/>
      <c r="E86" s="1"/>
      <c r="F86" s="1"/>
      <c r="G86" s="1"/>
      <c r="H86" s="1"/>
      <c r="I86" s="1"/>
      <c r="J86" s="1"/>
      <c r="K86" s="1"/>
      <c r="L86" s="1"/>
      <c r="M86" s="1"/>
      <c r="N86" s="1"/>
      <c r="O86" s="1"/>
      <c r="P86" s="1"/>
      <c r="Q86" s="1"/>
    </row>
    <row r="87" spans="1:17" x14ac:dyDescent="0.35">
      <c r="A87" s="1"/>
      <c r="B87" s="1"/>
      <c r="C87" s="1"/>
      <c r="D87" s="1"/>
      <c r="E87" s="1"/>
      <c r="F87" s="1"/>
      <c r="G87" s="1"/>
      <c r="H87" s="1"/>
      <c r="I87" s="1"/>
      <c r="J87" s="1"/>
      <c r="K87" s="1"/>
      <c r="L87" s="1"/>
      <c r="M87" s="1"/>
      <c r="N87" s="1"/>
      <c r="O87" s="1"/>
      <c r="P87" s="1"/>
      <c r="Q87" s="1"/>
    </row>
    <row r="88" spans="1:17" x14ac:dyDescent="0.35">
      <c r="A88" s="1"/>
      <c r="B88" s="1"/>
      <c r="C88" s="1"/>
      <c r="D88" s="1"/>
      <c r="E88" s="1"/>
      <c r="F88" s="1"/>
      <c r="G88" s="1"/>
      <c r="H88" s="1"/>
      <c r="I88" s="1"/>
      <c r="J88" s="1"/>
      <c r="K88" s="1"/>
      <c r="L88" s="1"/>
      <c r="M88" s="1"/>
      <c r="N88" s="1"/>
      <c r="O88" s="1"/>
      <c r="P88" s="1"/>
      <c r="Q88" s="1"/>
    </row>
    <row r="89" spans="1:17" x14ac:dyDescent="0.35">
      <c r="A89" s="1"/>
      <c r="B89" s="1"/>
      <c r="C89" s="1"/>
      <c r="D89" s="1"/>
      <c r="E89" s="1"/>
      <c r="F89" s="1"/>
      <c r="G89" s="1"/>
      <c r="H89" s="1"/>
      <c r="I89" s="1"/>
      <c r="J89" s="1"/>
      <c r="K89" s="1"/>
      <c r="L89" s="1"/>
      <c r="M89" s="1"/>
      <c r="N89" s="1"/>
      <c r="O89" s="1"/>
      <c r="P89" s="1"/>
      <c r="Q89" s="1"/>
    </row>
    <row r="90" spans="1:17" x14ac:dyDescent="0.35">
      <c r="A90" s="1"/>
      <c r="B90" s="1"/>
      <c r="C90" s="1"/>
      <c r="D90" s="1"/>
      <c r="E90" s="1"/>
      <c r="F90" s="1"/>
      <c r="G90" s="1"/>
      <c r="H90" s="1"/>
      <c r="I90" s="1"/>
      <c r="J90" s="1"/>
      <c r="K90" s="1"/>
      <c r="L90" s="1"/>
      <c r="M90" s="1"/>
      <c r="N90" s="1"/>
      <c r="O90" s="1"/>
      <c r="P90" s="1"/>
      <c r="Q90" s="1"/>
    </row>
    <row r="91" spans="1:17" x14ac:dyDescent="0.35">
      <c r="A91" s="1"/>
      <c r="B91" s="1"/>
      <c r="C91" s="1"/>
      <c r="D91" s="1"/>
      <c r="E91" s="1"/>
      <c r="F91" s="1"/>
      <c r="G91" s="1"/>
      <c r="H91" s="1"/>
      <c r="I91" s="1"/>
      <c r="J91" s="1"/>
      <c r="K91" s="1"/>
      <c r="L91" s="1"/>
      <c r="M91" s="1"/>
      <c r="N91" s="1"/>
      <c r="O91" s="1"/>
      <c r="P91" s="1"/>
      <c r="Q91" s="1"/>
    </row>
    <row r="92" spans="1:17" x14ac:dyDescent="0.35">
      <c r="A92" s="1"/>
      <c r="B92" s="1"/>
      <c r="C92" s="1"/>
      <c r="D92" s="1"/>
      <c r="E92" s="1"/>
      <c r="F92" s="1"/>
      <c r="G92" s="1"/>
      <c r="H92" s="1"/>
      <c r="I92" s="1"/>
      <c r="J92" s="1"/>
      <c r="K92" s="1"/>
      <c r="L92" s="1"/>
      <c r="M92" s="1"/>
      <c r="N92" s="1"/>
      <c r="O92" s="1"/>
      <c r="P92" s="1"/>
      <c r="Q92" s="1"/>
    </row>
    <row r="93" spans="1:17" x14ac:dyDescent="0.35">
      <c r="A93" s="1"/>
      <c r="B93" s="1"/>
      <c r="C93" s="1"/>
      <c r="D93" s="1"/>
      <c r="E93" s="1"/>
      <c r="F93" s="1"/>
      <c r="G93" s="1"/>
      <c r="H93" s="1"/>
      <c r="I93" s="1"/>
      <c r="J93" s="1"/>
      <c r="K93" s="1"/>
      <c r="L93" s="1"/>
      <c r="M93" s="1"/>
      <c r="N93" s="1"/>
      <c r="O93" s="1"/>
      <c r="P93" s="1"/>
      <c r="Q93" s="1"/>
    </row>
    <row r="94" spans="1:17" x14ac:dyDescent="0.35">
      <c r="A94" s="1"/>
      <c r="B94" s="1"/>
      <c r="C94" s="1"/>
      <c r="D94" s="1"/>
      <c r="E94" s="1"/>
      <c r="F94" s="1"/>
      <c r="G94" s="1"/>
      <c r="H94" s="1"/>
      <c r="I94" s="1"/>
      <c r="J94" s="1"/>
      <c r="K94" s="1"/>
      <c r="L94" s="1"/>
      <c r="M94" s="1"/>
      <c r="N94" s="1"/>
      <c r="O94" s="1"/>
      <c r="P94" s="1"/>
      <c r="Q94" s="1"/>
    </row>
    <row r="95" spans="1:17" x14ac:dyDescent="0.35">
      <c r="A95" s="1"/>
      <c r="B95" s="1"/>
      <c r="C95" s="1"/>
      <c r="D95" s="1"/>
      <c r="E95" s="1"/>
      <c r="F95" s="1"/>
      <c r="G95" s="1"/>
      <c r="H95" s="1"/>
      <c r="I95" s="1"/>
      <c r="J95" s="1"/>
      <c r="K95" s="1"/>
      <c r="L95" s="1"/>
      <c r="M95" s="1"/>
      <c r="N95" s="1"/>
      <c r="O95" s="1"/>
      <c r="P95" s="1"/>
      <c r="Q95" s="1"/>
    </row>
    <row r="96" spans="1:17" x14ac:dyDescent="0.35">
      <c r="A96" s="1"/>
      <c r="B96" s="1"/>
      <c r="C96" s="1"/>
      <c r="D96" s="1"/>
      <c r="E96" s="1"/>
      <c r="F96" s="1"/>
      <c r="G96" s="1"/>
      <c r="H96" s="1"/>
      <c r="I96" s="1"/>
      <c r="J96" s="1"/>
      <c r="K96" s="1"/>
      <c r="L96" s="1"/>
      <c r="M96" s="1"/>
      <c r="N96" s="1"/>
      <c r="O96" s="1"/>
      <c r="P96" s="1"/>
      <c r="Q96" s="1"/>
    </row>
    <row r="97" spans="1:17" x14ac:dyDescent="0.35">
      <c r="A97" s="1"/>
      <c r="B97" s="1"/>
      <c r="C97" s="1"/>
      <c r="D97" s="1"/>
      <c r="E97" s="1"/>
      <c r="F97" s="1"/>
      <c r="G97" s="1"/>
      <c r="H97" s="1"/>
      <c r="I97" s="1"/>
      <c r="J97" s="1"/>
      <c r="K97" s="1"/>
      <c r="L97" s="1"/>
      <c r="M97" s="1"/>
      <c r="N97" s="1"/>
      <c r="O97" s="1"/>
      <c r="P97" s="1"/>
      <c r="Q97" s="1"/>
    </row>
    <row r="98" spans="1:17" x14ac:dyDescent="0.35">
      <c r="A98" s="1"/>
      <c r="B98" s="1"/>
      <c r="C98" s="1"/>
      <c r="D98" s="1"/>
      <c r="E98" s="1"/>
      <c r="F98" s="1"/>
      <c r="G98" s="1"/>
      <c r="H98" s="1"/>
      <c r="I98" s="1"/>
      <c r="J98" s="1"/>
      <c r="K98" s="1"/>
      <c r="L98" s="1"/>
      <c r="M98" s="1"/>
      <c r="N98" s="1"/>
      <c r="O98" s="1"/>
      <c r="P98" s="1"/>
      <c r="Q98" s="1"/>
    </row>
    <row r="99" spans="1:17" x14ac:dyDescent="0.35">
      <c r="A99" s="1"/>
      <c r="B99" s="1"/>
      <c r="C99" s="1"/>
      <c r="D99" s="1"/>
      <c r="E99" s="1"/>
      <c r="F99" s="1"/>
      <c r="G99" s="1"/>
      <c r="H99" s="1"/>
      <c r="I99" s="1"/>
      <c r="J99" s="1"/>
      <c r="K99" s="1"/>
      <c r="L99" s="1"/>
      <c r="M99" s="1"/>
      <c r="N99" s="1"/>
      <c r="O99" s="1"/>
      <c r="P99" s="1"/>
      <c r="Q99" s="1"/>
    </row>
    <row r="100" spans="1:17" x14ac:dyDescent="0.35">
      <c r="A100" s="1"/>
      <c r="B100" s="1"/>
      <c r="C100" s="1"/>
      <c r="D100" s="1"/>
      <c r="E100" s="1"/>
      <c r="F100" s="1"/>
      <c r="G100" s="1"/>
      <c r="H100" s="1"/>
      <c r="I100" s="1"/>
      <c r="J100" s="1"/>
      <c r="K100" s="1"/>
      <c r="L100" s="1"/>
      <c r="M100" s="1"/>
      <c r="N100" s="1"/>
      <c r="O100" s="1"/>
      <c r="P100" s="1"/>
      <c r="Q100" s="1"/>
    </row>
    <row r="101" spans="1:17" x14ac:dyDescent="0.35">
      <c r="A101" s="1"/>
      <c r="B101" s="1"/>
      <c r="C101" s="1"/>
      <c r="D101" s="1"/>
      <c r="E101" s="1"/>
      <c r="F101" s="1"/>
      <c r="G101" s="1"/>
      <c r="H101" s="1"/>
      <c r="I101" s="1"/>
      <c r="J101" s="1"/>
      <c r="K101" s="1"/>
      <c r="L101" s="1"/>
      <c r="M101" s="1"/>
      <c r="N101" s="1"/>
      <c r="O101" s="1"/>
      <c r="P101" s="1"/>
      <c r="Q101" s="1"/>
    </row>
    <row r="102" spans="1:17" x14ac:dyDescent="0.35">
      <c r="A102" s="1"/>
      <c r="B102" s="1"/>
      <c r="C102" s="1"/>
      <c r="D102" s="1"/>
      <c r="E102" s="1"/>
      <c r="F102" s="1"/>
      <c r="G102" s="1"/>
      <c r="H102" s="1"/>
      <c r="I102" s="1"/>
      <c r="J102" s="1"/>
      <c r="K102" s="1"/>
      <c r="L102" s="1"/>
      <c r="M102" s="1"/>
      <c r="N102" s="1"/>
      <c r="O102" s="1"/>
      <c r="P102" s="1"/>
      <c r="Q102" s="1"/>
    </row>
    <row r="103" spans="1:17" x14ac:dyDescent="0.35">
      <c r="A103" s="1"/>
      <c r="B103" s="1"/>
      <c r="C103" s="1"/>
      <c r="D103" s="1"/>
      <c r="E103" s="1"/>
      <c r="F103" s="1"/>
      <c r="G103" s="1"/>
      <c r="H103" s="1"/>
      <c r="I103" s="1"/>
      <c r="J103" s="1"/>
      <c r="K103" s="1"/>
      <c r="L103" s="1"/>
      <c r="M103" s="1"/>
      <c r="N103" s="1"/>
      <c r="O103" s="1"/>
      <c r="P103" s="1"/>
      <c r="Q103" s="1"/>
    </row>
    <row r="104" spans="1:17" x14ac:dyDescent="0.35">
      <c r="A104" s="1"/>
      <c r="B104" s="1"/>
      <c r="C104" s="1"/>
      <c r="D104" s="1"/>
      <c r="E104" s="1"/>
      <c r="F104" s="1"/>
      <c r="G104" s="1"/>
      <c r="H104" s="1"/>
      <c r="I104" s="1"/>
      <c r="J104" s="1"/>
      <c r="K104" s="1"/>
      <c r="L104" s="1"/>
      <c r="M104" s="1"/>
      <c r="N104" s="1"/>
      <c r="O104" s="1"/>
      <c r="P104" s="1"/>
      <c r="Q104" s="1"/>
    </row>
    <row r="105" spans="1:17" x14ac:dyDescent="0.35">
      <c r="A105" s="1"/>
      <c r="B105" s="1"/>
      <c r="C105" s="1"/>
      <c r="D105" s="1"/>
      <c r="E105" s="1"/>
      <c r="F105" s="1"/>
      <c r="G105" s="1"/>
      <c r="H105" s="1"/>
      <c r="I105" s="1"/>
      <c r="J105" s="1"/>
      <c r="K105" s="1"/>
      <c r="L105" s="1"/>
      <c r="M105" s="1"/>
      <c r="N105" s="1"/>
      <c r="O105" s="1"/>
      <c r="P105" s="1"/>
      <c r="Q105" s="1"/>
    </row>
    <row r="106" spans="1:17" x14ac:dyDescent="0.35">
      <c r="A106" s="1"/>
      <c r="B106" s="1"/>
      <c r="C106" s="1"/>
      <c r="D106" s="1"/>
      <c r="E106" s="1"/>
      <c r="F106" s="1"/>
      <c r="G106" s="1"/>
      <c r="H106" s="1"/>
      <c r="I106" s="1"/>
      <c r="J106" s="1"/>
      <c r="K106" s="1"/>
      <c r="L106" s="1"/>
      <c r="M106" s="1"/>
      <c r="N106" s="1"/>
      <c r="O106" s="1"/>
      <c r="P106" s="1"/>
      <c r="Q106" s="1"/>
    </row>
    <row r="107" spans="1:17" x14ac:dyDescent="0.35">
      <c r="A107" s="1"/>
      <c r="B107" s="1"/>
      <c r="C107" s="1"/>
      <c r="D107" s="1"/>
      <c r="E107" s="1"/>
      <c r="F107" s="1"/>
      <c r="G107" s="1"/>
      <c r="H107" s="1"/>
      <c r="I107" s="1"/>
      <c r="J107" s="1"/>
      <c r="K107" s="1"/>
      <c r="L107" s="1"/>
      <c r="M107" s="1"/>
      <c r="N107" s="1"/>
      <c r="O107" s="1"/>
      <c r="P107" s="1"/>
      <c r="Q107" s="1"/>
    </row>
    <row r="108" spans="1:17" x14ac:dyDescent="0.35">
      <c r="A108" s="1"/>
      <c r="B108" s="1"/>
      <c r="C108" s="1"/>
      <c r="D108" s="1"/>
      <c r="E108" s="1"/>
      <c r="F108" s="1"/>
      <c r="G108" s="1"/>
      <c r="H108" s="1"/>
      <c r="I108" s="1"/>
      <c r="J108" s="1"/>
      <c r="K108" s="1"/>
      <c r="L108" s="1"/>
      <c r="M108" s="1"/>
      <c r="N108" s="1"/>
      <c r="O108" s="1"/>
      <c r="P108" s="1"/>
      <c r="Q108" s="1"/>
    </row>
    <row r="109" spans="1:17" x14ac:dyDescent="0.35">
      <c r="A109" s="1"/>
      <c r="B109" s="1"/>
      <c r="C109" s="1"/>
      <c r="D109" s="1"/>
      <c r="E109" s="1"/>
      <c r="F109" s="1"/>
      <c r="G109" s="1"/>
      <c r="H109" s="1"/>
      <c r="I109" s="1"/>
      <c r="J109" s="1"/>
      <c r="K109" s="1"/>
      <c r="L109" s="1"/>
      <c r="M109" s="1"/>
      <c r="N109" s="1"/>
      <c r="O109" s="1"/>
      <c r="P109" s="1"/>
      <c r="Q109" s="1"/>
    </row>
    <row r="110" spans="1:17" x14ac:dyDescent="0.35">
      <c r="A110" s="1"/>
      <c r="B110" s="1"/>
      <c r="C110" s="1"/>
      <c r="D110" s="1"/>
      <c r="E110" s="1"/>
      <c r="F110" s="1"/>
      <c r="G110" s="1"/>
      <c r="H110" s="1"/>
      <c r="I110" s="1"/>
      <c r="J110" s="1"/>
      <c r="K110" s="1"/>
      <c r="L110" s="1"/>
      <c r="M110" s="1"/>
      <c r="N110" s="1"/>
      <c r="O110" s="1"/>
      <c r="P110" s="1"/>
      <c r="Q110" s="1"/>
    </row>
    <row r="111" spans="1:17" x14ac:dyDescent="0.35">
      <c r="A111" s="1"/>
      <c r="B111" s="1"/>
      <c r="C111" s="1"/>
      <c r="D111" s="1"/>
      <c r="E111" s="1"/>
      <c r="F111" s="1"/>
      <c r="G111" s="1"/>
      <c r="H111" s="1"/>
      <c r="I111" s="1"/>
      <c r="J111" s="1"/>
      <c r="K111" s="1"/>
      <c r="L111" s="1"/>
      <c r="M111" s="1"/>
      <c r="N111" s="1"/>
      <c r="O111" s="1"/>
      <c r="P111" s="1"/>
      <c r="Q111" s="1"/>
    </row>
    <row r="112" spans="1:17" x14ac:dyDescent="0.35">
      <c r="A112" s="1"/>
      <c r="B112" s="1"/>
      <c r="C112" s="1"/>
      <c r="D112" s="1"/>
      <c r="E112" s="1"/>
      <c r="F112" s="1"/>
      <c r="G112" s="1"/>
      <c r="H112" s="1"/>
      <c r="I112" s="1"/>
      <c r="J112" s="1"/>
      <c r="K112" s="1"/>
      <c r="L112" s="1"/>
      <c r="M112" s="1"/>
      <c r="N112" s="1"/>
      <c r="O112" s="1"/>
      <c r="P112" s="1"/>
      <c r="Q112" s="1"/>
    </row>
    <row r="113" spans="1:17" x14ac:dyDescent="0.35">
      <c r="A113" s="1"/>
      <c r="B113" s="1"/>
      <c r="C113" s="1"/>
      <c r="D113" s="1"/>
      <c r="E113" s="1"/>
      <c r="F113" s="1"/>
      <c r="G113" s="1"/>
      <c r="H113" s="1"/>
      <c r="I113" s="1"/>
      <c r="J113" s="1"/>
      <c r="K113" s="1"/>
      <c r="L113" s="1"/>
      <c r="M113" s="1"/>
      <c r="N113" s="1"/>
      <c r="O113" s="1"/>
      <c r="P113" s="1"/>
      <c r="Q113" s="1"/>
    </row>
    <row r="114" spans="1:17" x14ac:dyDescent="0.35">
      <c r="A114" s="1"/>
      <c r="B114" s="1"/>
      <c r="C114" s="1"/>
      <c r="D114" s="1"/>
      <c r="E114" s="1"/>
      <c r="F114" s="1"/>
      <c r="G114" s="1"/>
      <c r="H114" s="1"/>
      <c r="I114" s="1"/>
      <c r="J114" s="1"/>
      <c r="K114" s="1"/>
      <c r="L114" s="1"/>
      <c r="M114" s="1"/>
      <c r="N114" s="1"/>
      <c r="O114" s="1"/>
      <c r="P114" s="1"/>
      <c r="Q114" s="1"/>
    </row>
    <row r="115" spans="1:17" x14ac:dyDescent="0.35">
      <c r="A115" s="1"/>
      <c r="B115" s="1"/>
      <c r="C115" s="1"/>
      <c r="D115" s="1"/>
      <c r="E115" s="1"/>
      <c r="F115" s="1"/>
      <c r="G115" s="1"/>
      <c r="H115" s="1"/>
      <c r="I115" s="1"/>
      <c r="J115" s="1"/>
      <c r="K115" s="1"/>
      <c r="L115" s="1"/>
      <c r="M115" s="1"/>
      <c r="N115" s="1"/>
      <c r="O115" s="1"/>
      <c r="P115" s="1"/>
      <c r="Q115" s="1"/>
    </row>
    <row r="116" spans="1:17" x14ac:dyDescent="0.35">
      <c r="A116" s="1"/>
      <c r="B116" s="1"/>
      <c r="C116" s="1"/>
      <c r="D116" s="1"/>
      <c r="E116" s="1"/>
      <c r="F116" s="1"/>
      <c r="G116" s="1"/>
      <c r="H116" s="1"/>
      <c r="I116" s="1"/>
      <c r="J116" s="1"/>
      <c r="K116" s="1"/>
      <c r="L116" s="1"/>
      <c r="M116" s="1"/>
      <c r="N116" s="1"/>
      <c r="O116" s="1"/>
      <c r="P116" s="1"/>
      <c r="Q116" s="1"/>
    </row>
    <row r="117" spans="1:17" x14ac:dyDescent="0.35">
      <c r="A117" s="1"/>
      <c r="B117" s="1"/>
      <c r="C117" s="1"/>
      <c r="D117" s="1"/>
      <c r="E117" s="1"/>
      <c r="F117" s="1"/>
      <c r="G117" s="1"/>
      <c r="H117" s="1"/>
      <c r="I117" s="1"/>
      <c r="J117" s="1"/>
      <c r="K117" s="1"/>
      <c r="L117" s="1"/>
      <c r="M117" s="1"/>
      <c r="N117" s="1"/>
      <c r="O117" s="1"/>
      <c r="P117" s="1"/>
      <c r="Q117" s="1"/>
    </row>
    <row r="118" spans="1:17" x14ac:dyDescent="0.35">
      <c r="A118" s="1"/>
      <c r="B118" s="1"/>
      <c r="C118" s="1"/>
      <c r="D118" s="1"/>
      <c r="E118" s="1"/>
      <c r="F118" s="1"/>
      <c r="G118" s="1"/>
      <c r="H118" s="1"/>
      <c r="I118" s="1"/>
      <c r="J118" s="1"/>
      <c r="K118" s="1"/>
      <c r="L118" s="1"/>
      <c r="M118" s="1"/>
      <c r="N118" s="1"/>
      <c r="O118" s="1"/>
      <c r="P118" s="1"/>
      <c r="Q118" s="1"/>
    </row>
    <row r="119" spans="1:17" x14ac:dyDescent="0.35">
      <c r="A119" s="1"/>
      <c r="B119" s="1"/>
      <c r="C119" s="1"/>
      <c r="D119" s="1"/>
      <c r="E119" s="1"/>
      <c r="F119" s="1"/>
      <c r="G119" s="1"/>
      <c r="H119" s="1"/>
      <c r="I119" s="1"/>
      <c r="J119" s="1"/>
      <c r="K119" s="1"/>
      <c r="L119" s="1"/>
      <c r="M119" s="1"/>
      <c r="N119" s="1"/>
      <c r="O119" s="1"/>
      <c r="P119" s="1"/>
      <c r="Q119" s="1"/>
    </row>
    <row r="120" spans="1:17" x14ac:dyDescent="0.35">
      <c r="A120" s="1"/>
      <c r="B120" s="1"/>
      <c r="C120" s="1"/>
      <c r="D120" s="1"/>
      <c r="E120" s="1"/>
      <c r="F120" s="1"/>
      <c r="G120" s="1"/>
      <c r="H120" s="1"/>
      <c r="I120" s="1"/>
      <c r="J120" s="1"/>
      <c r="K120" s="1"/>
      <c r="L120" s="1"/>
      <c r="M120" s="1"/>
      <c r="N120" s="1"/>
      <c r="O120" s="1"/>
      <c r="P120" s="1"/>
      <c r="Q120" s="1"/>
    </row>
    <row r="121" spans="1:17" x14ac:dyDescent="0.35">
      <c r="A121" s="1"/>
      <c r="B121" s="1"/>
      <c r="C121" s="1"/>
      <c r="D121" s="1"/>
      <c r="E121" s="1"/>
      <c r="F121" s="1"/>
      <c r="G121" s="1"/>
      <c r="H121" s="1"/>
      <c r="I121" s="1"/>
      <c r="J121" s="1"/>
      <c r="K121" s="1"/>
      <c r="L121" s="1"/>
      <c r="M121" s="1"/>
      <c r="N121" s="1"/>
      <c r="O121" s="1"/>
      <c r="P121" s="1"/>
      <c r="Q121" s="1"/>
    </row>
    <row r="122" spans="1:17" x14ac:dyDescent="0.35">
      <c r="A122" s="1"/>
      <c r="B122" s="1"/>
      <c r="C122" s="1"/>
      <c r="D122" s="1"/>
      <c r="E122" s="1"/>
      <c r="F122" s="1"/>
      <c r="G122" s="1"/>
      <c r="H122" s="1"/>
      <c r="I122" s="1"/>
      <c r="J122" s="1"/>
      <c r="K122" s="1"/>
      <c r="L122" s="1"/>
      <c r="M122" s="1"/>
      <c r="N122" s="1"/>
      <c r="O122" s="1"/>
      <c r="P122" s="1"/>
      <c r="Q122" s="1"/>
    </row>
    <row r="123" spans="1:17" x14ac:dyDescent="0.35">
      <c r="A123" s="1"/>
      <c r="B123" s="1"/>
      <c r="C123" s="1"/>
      <c r="D123" s="1"/>
      <c r="E123" s="1"/>
      <c r="F123" s="1"/>
      <c r="G123" s="1"/>
      <c r="H123" s="1"/>
      <c r="I123" s="1"/>
      <c r="J123" s="1"/>
      <c r="K123" s="1"/>
      <c r="L123" s="1"/>
      <c r="M123" s="1"/>
      <c r="N123" s="1"/>
      <c r="O123" s="1"/>
      <c r="P123" s="1"/>
      <c r="Q123" s="1"/>
    </row>
    <row r="124" spans="1:17" x14ac:dyDescent="0.35">
      <c r="A124" s="1"/>
      <c r="B124" s="1"/>
      <c r="C124" s="1"/>
      <c r="D124" s="1"/>
      <c r="E124" s="1"/>
      <c r="F124" s="1"/>
      <c r="G124" s="1"/>
      <c r="H124" s="1"/>
      <c r="I124" s="1"/>
      <c r="J124" s="1"/>
      <c r="K124" s="1"/>
      <c r="L124" s="1"/>
      <c r="M124" s="1"/>
      <c r="N124" s="1"/>
      <c r="O124" s="1"/>
      <c r="P124" s="1"/>
      <c r="Q124" s="1"/>
    </row>
    <row r="125" spans="1:17" x14ac:dyDescent="0.35">
      <c r="A125" s="1"/>
      <c r="B125" s="1"/>
      <c r="C125" s="1"/>
      <c r="D125" s="1"/>
      <c r="E125" s="1"/>
      <c r="F125" s="1"/>
      <c r="G125" s="1"/>
      <c r="H125" s="1"/>
      <c r="I125" s="1"/>
      <c r="J125" s="1"/>
      <c r="K125" s="1"/>
      <c r="L125" s="1"/>
      <c r="M125" s="1"/>
      <c r="N125" s="1"/>
      <c r="O125" s="1"/>
      <c r="P125" s="1"/>
      <c r="Q125" s="1"/>
    </row>
    <row r="126" spans="1:17" x14ac:dyDescent="0.35">
      <c r="A126" s="1"/>
      <c r="B126" s="1"/>
      <c r="C126" s="1"/>
      <c r="D126" s="1"/>
      <c r="E126" s="1"/>
      <c r="F126" s="1"/>
      <c r="G126" s="1"/>
      <c r="H126" s="1"/>
      <c r="I126" s="1"/>
      <c r="J126" s="1"/>
      <c r="K126" s="1"/>
      <c r="L126" s="1"/>
      <c r="M126" s="1"/>
      <c r="N126" s="1"/>
      <c r="O126" s="1"/>
      <c r="P126" s="1"/>
      <c r="Q126" s="1"/>
    </row>
    <row r="127" spans="1:17" x14ac:dyDescent="0.35">
      <c r="A127" s="1"/>
      <c r="B127" s="1"/>
      <c r="C127" s="1"/>
      <c r="D127" s="1"/>
      <c r="E127" s="1"/>
      <c r="F127" s="1"/>
      <c r="G127" s="1"/>
      <c r="H127" s="1"/>
      <c r="I127" s="1"/>
      <c r="J127" s="1"/>
      <c r="K127" s="1"/>
      <c r="L127" s="1"/>
      <c r="M127" s="1"/>
      <c r="N127" s="1"/>
      <c r="O127" s="1"/>
      <c r="P127" s="1"/>
      <c r="Q127" s="1"/>
    </row>
    <row r="128" spans="1:17" x14ac:dyDescent="0.35">
      <c r="A128" s="1"/>
      <c r="B128" s="1"/>
      <c r="C128" s="1"/>
      <c r="D128" s="1"/>
      <c r="E128" s="1"/>
      <c r="F128" s="1"/>
      <c r="G128" s="1"/>
      <c r="H128" s="1"/>
      <c r="I128" s="1"/>
      <c r="J128" s="1"/>
      <c r="K128" s="1"/>
      <c r="L128" s="1"/>
      <c r="M128" s="1"/>
      <c r="N128" s="1"/>
      <c r="O128" s="1"/>
      <c r="P128" s="1"/>
      <c r="Q128" s="1"/>
    </row>
    <row r="129" spans="1:17" x14ac:dyDescent="0.35">
      <c r="A129" s="1"/>
      <c r="B129" s="1"/>
      <c r="C129" s="1"/>
      <c r="D129" s="1"/>
      <c r="E129" s="1"/>
      <c r="F129" s="1"/>
      <c r="G129" s="1"/>
      <c r="H129" s="1"/>
      <c r="I129" s="1"/>
      <c r="J129" s="1"/>
      <c r="K129" s="1"/>
      <c r="L129" s="1"/>
      <c r="M129" s="1"/>
      <c r="N129" s="1"/>
      <c r="O129" s="1"/>
      <c r="P129" s="1"/>
      <c r="Q129" s="1"/>
    </row>
    <row r="130" spans="1:17" x14ac:dyDescent="0.35">
      <c r="A130" s="1"/>
      <c r="B130" s="1"/>
      <c r="C130" s="1"/>
      <c r="D130" s="1"/>
      <c r="E130" s="1"/>
      <c r="F130" s="1"/>
      <c r="G130" s="1"/>
      <c r="H130" s="1"/>
      <c r="I130" s="1"/>
      <c r="J130" s="1"/>
      <c r="K130" s="1"/>
      <c r="L130" s="1"/>
      <c r="M130" s="1"/>
      <c r="N130" s="1"/>
      <c r="O130" s="1"/>
      <c r="P130" s="1"/>
      <c r="Q130" s="1"/>
    </row>
    <row r="131" spans="1:17" x14ac:dyDescent="0.35">
      <c r="A131" s="1"/>
      <c r="B131" s="1"/>
      <c r="C131" s="1"/>
      <c r="D131" s="1"/>
      <c r="E131" s="1"/>
      <c r="F131" s="1"/>
      <c r="G131" s="1"/>
      <c r="H131" s="1"/>
      <c r="I131" s="1"/>
      <c r="J131" s="1"/>
      <c r="K131" s="1"/>
      <c r="L131" s="1"/>
      <c r="M131" s="1"/>
      <c r="N131" s="1"/>
      <c r="O131" s="1"/>
      <c r="P131" s="1"/>
      <c r="Q131" s="1"/>
    </row>
    <row r="132" spans="1:17" x14ac:dyDescent="0.35">
      <c r="A132" s="1"/>
      <c r="B132" s="1"/>
      <c r="C132" s="1"/>
      <c r="D132" s="1"/>
      <c r="E132" s="1"/>
      <c r="F132" s="1"/>
      <c r="G132" s="1"/>
      <c r="H132" s="1"/>
      <c r="I132" s="1"/>
      <c r="J132" s="1"/>
      <c r="K132" s="1"/>
      <c r="L132" s="1"/>
      <c r="M132" s="1"/>
      <c r="N132" s="1"/>
      <c r="O132" s="1"/>
      <c r="P132" s="1"/>
      <c r="Q132" s="1"/>
    </row>
    <row r="133" spans="1:17" x14ac:dyDescent="0.35">
      <c r="A133" s="1"/>
      <c r="B133" s="1"/>
      <c r="C133" s="1"/>
      <c r="D133" s="1"/>
      <c r="E133" s="1"/>
      <c r="F133" s="1"/>
      <c r="G133" s="1"/>
      <c r="H133" s="1"/>
      <c r="I133" s="1"/>
      <c r="J133" s="1"/>
      <c r="K133" s="1"/>
      <c r="L133" s="1"/>
      <c r="M133" s="1"/>
      <c r="N133" s="1"/>
      <c r="O133" s="1"/>
      <c r="P133" s="1"/>
      <c r="Q133" s="1"/>
    </row>
    <row r="134" spans="1:17" x14ac:dyDescent="0.35">
      <c r="A134" s="1"/>
      <c r="B134" s="1"/>
      <c r="C134" s="1"/>
      <c r="D134" s="1"/>
      <c r="E134" s="1"/>
      <c r="F134" s="1"/>
      <c r="G134" s="1"/>
      <c r="H134" s="1"/>
      <c r="I134" s="1"/>
      <c r="J134" s="1"/>
      <c r="K134" s="1"/>
      <c r="L134" s="1"/>
      <c r="M134" s="1"/>
      <c r="N134" s="1"/>
      <c r="O134" s="1"/>
      <c r="P134" s="1"/>
      <c r="Q134" s="1"/>
    </row>
    <row r="135" spans="1:17" x14ac:dyDescent="0.35">
      <c r="A135" s="1"/>
      <c r="B135" s="1"/>
      <c r="C135" s="1"/>
      <c r="D135" s="1"/>
      <c r="E135" s="1"/>
      <c r="F135" s="1"/>
      <c r="G135" s="1"/>
      <c r="H135" s="1"/>
      <c r="I135" s="1"/>
      <c r="J135" s="1"/>
      <c r="K135" s="1"/>
      <c r="L135" s="1"/>
      <c r="M135" s="1"/>
      <c r="N135" s="1"/>
      <c r="O135" s="1"/>
      <c r="P135" s="1"/>
      <c r="Q135" s="1"/>
    </row>
    <row r="136" spans="1:17" x14ac:dyDescent="0.35">
      <c r="A136" s="1"/>
      <c r="B136" s="1"/>
      <c r="C136" s="1"/>
      <c r="D136" s="1"/>
      <c r="E136" s="1"/>
      <c r="F136" s="1"/>
      <c r="G136" s="1"/>
      <c r="H136" s="1"/>
      <c r="I136" s="1"/>
      <c r="J136" s="1"/>
      <c r="K136" s="1"/>
      <c r="L136" s="1"/>
      <c r="M136" s="1"/>
      <c r="N136" s="1"/>
      <c r="O136" s="1"/>
      <c r="P136" s="1"/>
      <c r="Q136" s="1"/>
    </row>
    <row r="137" spans="1:17" x14ac:dyDescent="0.35">
      <c r="A137" s="1"/>
      <c r="B137" s="1"/>
      <c r="C137" s="1"/>
      <c r="D137" s="1"/>
      <c r="E137" s="1"/>
      <c r="F137" s="1"/>
      <c r="G137" s="1"/>
      <c r="H137" s="1"/>
      <c r="I137" s="1"/>
      <c r="J137" s="1"/>
      <c r="K137" s="1"/>
      <c r="L137" s="1"/>
      <c r="M137" s="1"/>
      <c r="N137" s="1"/>
      <c r="O137" s="1"/>
      <c r="P137" s="1"/>
      <c r="Q137" s="1"/>
    </row>
    <row r="138" spans="1:17" x14ac:dyDescent="0.35">
      <c r="A138" s="1"/>
      <c r="B138" s="1"/>
      <c r="C138" s="1"/>
      <c r="D138" s="1"/>
      <c r="E138" s="1"/>
      <c r="F138" s="1"/>
      <c r="G138" s="1"/>
      <c r="H138" s="1"/>
      <c r="I138" s="1"/>
      <c r="J138" s="1"/>
      <c r="K138" s="1"/>
      <c r="L138" s="1"/>
      <c r="M138" s="1"/>
      <c r="N138" s="1"/>
      <c r="O138" s="1"/>
      <c r="P138" s="1"/>
      <c r="Q138" s="1"/>
    </row>
    <row r="139" spans="1:17" x14ac:dyDescent="0.35">
      <c r="A139" s="1"/>
      <c r="B139" s="1"/>
      <c r="C139" s="1"/>
      <c r="D139" s="1"/>
      <c r="E139" s="1"/>
      <c r="F139" s="1"/>
      <c r="G139" s="1"/>
      <c r="H139" s="1"/>
      <c r="I139" s="1"/>
      <c r="J139" s="1"/>
      <c r="K139" s="1"/>
      <c r="L139" s="1"/>
      <c r="M139" s="1"/>
      <c r="N139" s="1"/>
      <c r="O139" s="1"/>
      <c r="P139" s="1"/>
      <c r="Q139" s="1"/>
    </row>
    <row r="140" spans="1:17" x14ac:dyDescent="0.35">
      <c r="A140" s="1"/>
      <c r="B140" s="1"/>
      <c r="C140" s="1"/>
      <c r="D140" s="1"/>
      <c r="E140" s="1"/>
      <c r="F140" s="1"/>
      <c r="G140" s="1"/>
      <c r="H140" s="1"/>
      <c r="I140" s="1"/>
      <c r="J140" s="1"/>
      <c r="K140" s="1"/>
      <c r="L140" s="1"/>
      <c r="M140" s="1"/>
      <c r="N140" s="1"/>
      <c r="O140" s="1"/>
      <c r="P140" s="1"/>
      <c r="Q140" s="1"/>
    </row>
    <row r="141" spans="1:17" x14ac:dyDescent="0.35">
      <c r="A141" s="1"/>
      <c r="B141" s="1"/>
      <c r="C141" s="1"/>
      <c r="D141" s="1"/>
      <c r="E141" s="1"/>
      <c r="F141" s="1"/>
      <c r="G141" s="1"/>
      <c r="H141" s="1"/>
      <c r="I141" s="1"/>
      <c r="J141" s="1"/>
      <c r="K141" s="1"/>
      <c r="L141" s="1"/>
      <c r="M141" s="1"/>
      <c r="N141" s="1"/>
      <c r="O141" s="1"/>
      <c r="P141" s="1"/>
      <c r="Q141" s="1"/>
    </row>
    <row r="142" spans="1:17" x14ac:dyDescent="0.35">
      <c r="A142" s="1"/>
      <c r="B142" s="1"/>
      <c r="C142" s="1"/>
      <c r="D142" s="1"/>
      <c r="E142" s="1"/>
      <c r="F142" s="1"/>
      <c r="G142" s="1"/>
      <c r="H142" s="1"/>
      <c r="I142" s="1"/>
      <c r="J142" s="1"/>
      <c r="K142" s="1"/>
      <c r="L142" s="1"/>
      <c r="M142" s="1"/>
      <c r="N142" s="1"/>
      <c r="O142" s="1"/>
      <c r="P142" s="1"/>
      <c r="Q142" s="1"/>
    </row>
    <row r="143" spans="1:17" x14ac:dyDescent="0.35">
      <c r="A143" s="1"/>
      <c r="B143" s="1"/>
      <c r="C143" s="1"/>
      <c r="D143" s="1"/>
      <c r="E143" s="1"/>
      <c r="F143" s="1"/>
      <c r="G143" s="1"/>
      <c r="H143" s="1"/>
      <c r="I143" s="1"/>
      <c r="J143" s="1"/>
      <c r="K143" s="1"/>
      <c r="L143" s="1"/>
      <c r="M143" s="1"/>
      <c r="N143" s="1"/>
      <c r="O143" s="1"/>
      <c r="P143" s="1"/>
      <c r="Q143" s="1"/>
    </row>
    <row r="144" spans="1:17" x14ac:dyDescent="0.35">
      <c r="A144" s="1"/>
      <c r="B144" s="1"/>
      <c r="C144" s="1"/>
      <c r="D144" s="1"/>
      <c r="E144" s="1"/>
      <c r="F144" s="1"/>
      <c r="G144" s="1"/>
      <c r="H144" s="1"/>
      <c r="I144" s="1"/>
      <c r="J144" s="1"/>
      <c r="K144" s="1"/>
      <c r="L144" s="1"/>
      <c r="M144" s="1"/>
      <c r="N144" s="1"/>
      <c r="O144" s="1"/>
      <c r="P144" s="1"/>
      <c r="Q144" s="1"/>
    </row>
    <row r="145" spans="1:17" x14ac:dyDescent="0.35">
      <c r="A145" s="1"/>
      <c r="B145" s="1"/>
      <c r="C145" s="1"/>
      <c r="D145" s="1"/>
      <c r="E145" s="1"/>
      <c r="F145" s="1"/>
      <c r="G145" s="1"/>
      <c r="H145" s="1"/>
      <c r="I145" s="1"/>
      <c r="J145" s="1"/>
      <c r="K145" s="1"/>
      <c r="L145" s="1"/>
      <c r="M145" s="1"/>
      <c r="N145" s="1"/>
      <c r="O145" s="1"/>
      <c r="P145" s="1"/>
      <c r="Q145" s="1"/>
    </row>
    <row r="146" spans="1:17" x14ac:dyDescent="0.35">
      <c r="A146" s="1"/>
      <c r="B146" s="1"/>
      <c r="C146" s="1"/>
      <c r="D146" s="1"/>
      <c r="E146" s="1"/>
      <c r="F146" s="1"/>
      <c r="G146" s="1"/>
      <c r="H146" s="1"/>
      <c r="I146" s="1"/>
      <c r="J146" s="1"/>
      <c r="K146" s="1"/>
      <c r="L146" s="1"/>
      <c r="M146" s="1"/>
      <c r="N146" s="1"/>
      <c r="O146" s="1"/>
      <c r="P146" s="1"/>
      <c r="Q146" s="1"/>
    </row>
    <row r="147" spans="1:17" x14ac:dyDescent="0.35">
      <c r="A147" s="1"/>
      <c r="B147" s="1"/>
      <c r="C147" s="1"/>
      <c r="D147" s="1"/>
      <c r="E147" s="1"/>
      <c r="F147" s="1"/>
      <c r="G147" s="1"/>
      <c r="H147" s="1"/>
      <c r="I147" s="1"/>
      <c r="J147" s="1"/>
      <c r="K147" s="1"/>
      <c r="L147" s="1"/>
      <c r="M147" s="1"/>
      <c r="N147" s="1"/>
      <c r="O147" s="1"/>
      <c r="P147" s="1"/>
      <c r="Q147" s="1"/>
    </row>
    <row r="148" spans="1:17" x14ac:dyDescent="0.35">
      <c r="A148" s="1"/>
      <c r="B148" s="1"/>
      <c r="C148" s="1"/>
      <c r="D148" s="1"/>
      <c r="E148" s="1"/>
      <c r="F148" s="1"/>
      <c r="G148" s="1"/>
      <c r="H148" s="1"/>
      <c r="I148" s="1"/>
      <c r="J148" s="1"/>
      <c r="K148" s="1"/>
      <c r="L148" s="1"/>
      <c r="M148" s="1"/>
      <c r="N148" s="1"/>
      <c r="O148" s="1"/>
      <c r="P148" s="1"/>
      <c r="Q148" s="1"/>
    </row>
    <row r="149" spans="1:17" x14ac:dyDescent="0.35">
      <c r="A149" s="1"/>
      <c r="B149" s="1"/>
      <c r="C149" s="1"/>
      <c r="D149" s="1"/>
      <c r="E149" s="1"/>
      <c r="F149" s="1"/>
      <c r="G149" s="1"/>
      <c r="H149" s="1"/>
      <c r="I149" s="1"/>
      <c r="J149" s="1"/>
      <c r="K149" s="1"/>
      <c r="L149" s="1"/>
      <c r="M149" s="1"/>
      <c r="N149" s="1"/>
      <c r="O149" s="1"/>
      <c r="P149" s="1"/>
      <c r="Q149" s="1"/>
    </row>
    <row r="150" spans="1:17" x14ac:dyDescent="0.35">
      <c r="A150" s="1"/>
      <c r="B150" s="1"/>
      <c r="C150" s="1"/>
      <c r="D150" s="1"/>
      <c r="E150" s="1"/>
      <c r="F150" s="1"/>
      <c r="G150" s="1"/>
      <c r="H150" s="1"/>
      <c r="I150" s="1"/>
      <c r="J150" s="1"/>
      <c r="K150" s="1"/>
      <c r="L150" s="1"/>
      <c r="M150" s="1"/>
      <c r="N150" s="1"/>
      <c r="O150" s="1"/>
      <c r="P150" s="1"/>
      <c r="Q150" s="1"/>
    </row>
    <row r="151" spans="1:17" x14ac:dyDescent="0.35">
      <c r="A151" s="1"/>
      <c r="B151" s="1"/>
      <c r="C151" s="1"/>
      <c r="D151" s="1"/>
      <c r="E151" s="1"/>
      <c r="F151" s="1"/>
      <c r="G151" s="1"/>
      <c r="H151" s="1"/>
      <c r="I151" s="1"/>
      <c r="J151" s="1"/>
      <c r="K151" s="1"/>
      <c r="L151" s="1"/>
      <c r="M151" s="1"/>
      <c r="N151" s="1"/>
      <c r="O151" s="1"/>
      <c r="P151" s="1"/>
      <c r="Q151" s="1"/>
    </row>
    <row r="152" spans="1:17" x14ac:dyDescent="0.35">
      <c r="A152" s="1"/>
      <c r="B152" s="1"/>
      <c r="C152" s="1"/>
      <c r="D152" s="1"/>
      <c r="E152" s="1"/>
      <c r="F152" s="1"/>
      <c r="G152" s="1"/>
      <c r="H152" s="1"/>
      <c r="I152" s="1"/>
      <c r="J152" s="1"/>
      <c r="K152" s="1"/>
      <c r="L152" s="1"/>
      <c r="M152" s="1"/>
      <c r="N152" s="1"/>
      <c r="O152" s="1"/>
      <c r="P152" s="1"/>
      <c r="Q152" s="1"/>
    </row>
    <row r="153" spans="1:17" x14ac:dyDescent="0.35">
      <c r="A153" s="1"/>
      <c r="B153" s="1"/>
      <c r="C153" s="1"/>
      <c r="D153" s="1"/>
      <c r="E153" s="1"/>
      <c r="F153" s="1"/>
      <c r="G153" s="1"/>
      <c r="H153" s="1"/>
      <c r="I153" s="1"/>
      <c r="J153" s="1"/>
      <c r="K153" s="1"/>
      <c r="L153" s="1"/>
      <c r="M153" s="1"/>
      <c r="N153" s="1"/>
      <c r="O153" s="1"/>
      <c r="P153" s="1"/>
      <c r="Q153" s="1"/>
    </row>
    <row r="154" spans="1:17" x14ac:dyDescent="0.35">
      <c r="A154" s="1"/>
      <c r="B154" s="1"/>
      <c r="C154" s="1"/>
      <c r="D154" s="1"/>
      <c r="E154" s="1"/>
      <c r="F154" s="1"/>
      <c r="G154" s="1"/>
      <c r="H154" s="1"/>
      <c r="I154" s="1"/>
      <c r="J154" s="1"/>
      <c r="K154" s="1"/>
      <c r="L154" s="1"/>
      <c r="M154" s="1"/>
      <c r="N154" s="1"/>
      <c r="O154" s="1"/>
      <c r="P154" s="1"/>
      <c r="Q154" s="1"/>
    </row>
    <row r="155" spans="1:17" x14ac:dyDescent="0.35">
      <c r="A155" s="1"/>
      <c r="B155" s="1"/>
      <c r="C155" s="1"/>
      <c r="D155" s="1"/>
      <c r="E155" s="1"/>
      <c r="F155" s="1"/>
      <c r="G155" s="1"/>
      <c r="H155" s="1"/>
      <c r="I155" s="1"/>
      <c r="J155" s="1"/>
      <c r="K155" s="1"/>
      <c r="L155" s="1"/>
      <c r="M155" s="1"/>
      <c r="N155" s="1"/>
      <c r="O155" s="1"/>
      <c r="P155" s="1"/>
      <c r="Q155" s="1"/>
    </row>
    <row r="156" spans="1:17" x14ac:dyDescent="0.35">
      <c r="A156" s="1"/>
      <c r="B156" s="1"/>
      <c r="C156" s="1"/>
      <c r="D156" s="1"/>
      <c r="E156" s="1"/>
      <c r="F156" s="1"/>
      <c r="G156" s="1"/>
      <c r="H156" s="1"/>
      <c r="I156" s="1"/>
      <c r="J156" s="1"/>
      <c r="K156" s="1"/>
      <c r="L156" s="1"/>
      <c r="M156" s="1"/>
      <c r="N156" s="1"/>
      <c r="O156" s="1"/>
      <c r="P156" s="1"/>
      <c r="Q156" s="1"/>
    </row>
    <row r="157" spans="1:17" x14ac:dyDescent="0.35">
      <c r="A157" s="1"/>
      <c r="B157" s="1"/>
      <c r="C157" s="1"/>
      <c r="D157" s="1"/>
      <c r="E157" s="1"/>
      <c r="F157" s="1"/>
      <c r="G157" s="1"/>
      <c r="H157" s="1"/>
      <c r="I157" s="1"/>
      <c r="J157" s="1"/>
      <c r="K157" s="1"/>
      <c r="L157" s="1"/>
      <c r="M157" s="1"/>
      <c r="N157" s="1"/>
      <c r="O157" s="1"/>
      <c r="P157" s="1"/>
      <c r="Q157" s="1"/>
    </row>
    <row r="158" spans="1:17" x14ac:dyDescent="0.35">
      <c r="A158" s="1"/>
      <c r="B158" s="1"/>
      <c r="C158" s="1"/>
      <c r="D158" s="1"/>
      <c r="E158" s="1"/>
      <c r="F158" s="1"/>
      <c r="G158" s="1"/>
      <c r="H158" s="1"/>
      <c r="I158" s="1"/>
      <c r="J158" s="1"/>
      <c r="K158" s="1"/>
      <c r="L158" s="1"/>
      <c r="M158" s="1"/>
      <c r="N158" s="1"/>
      <c r="O158" s="1"/>
      <c r="P158" s="1"/>
      <c r="Q158" s="1"/>
    </row>
    <row r="159" spans="1:17" x14ac:dyDescent="0.35">
      <c r="A159" s="1"/>
      <c r="B159" s="1"/>
      <c r="C159" s="1"/>
      <c r="D159" s="1"/>
      <c r="E159" s="1"/>
      <c r="F159" s="1"/>
      <c r="G159" s="1"/>
      <c r="H159" s="1"/>
      <c r="I159" s="1"/>
      <c r="J159" s="1"/>
      <c r="K159" s="1"/>
      <c r="L159" s="1"/>
      <c r="M159" s="1"/>
      <c r="N159" s="1"/>
      <c r="O159" s="1"/>
      <c r="P159" s="1"/>
      <c r="Q159" s="1"/>
    </row>
    <row r="160" spans="1:17" x14ac:dyDescent="0.35">
      <c r="A160" s="1"/>
      <c r="B160" s="1"/>
      <c r="C160" s="1"/>
      <c r="D160" s="1"/>
      <c r="E160" s="1"/>
      <c r="F160" s="1"/>
      <c r="G160" s="1"/>
      <c r="H160" s="1"/>
      <c r="I160" s="1"/>
      <c r="J160" s="1"/>
      <c r="K160" s="1"/>
      <c r="L160" s="1"/>
      <c r="M160" s="1"/>
      <c r="N160" s="1"/>
      <c r="O160" s="1"/>
      <c r="P160" s="1"/>
      <c r="Q160" s="1"/>
    </row>
    <row r="161" spans="1:17" x14ac:dyDescent="0.35">
      <c r="A161" s="1"/>
      <c r="B161" s="1"/>
      <c r="C161" s="1"/>
      <c r="D161" s="1"/>
      <c r="E161" s="1"/>
      <c r="F161" s="1"/>
      <c r="G161" s="1"/>
      <c r="H161" s="1"/>
      <c r="I161" s="1"/>
      <c r="J161" s="1"/>
      <c r="K161" s="1"/>
      <c r="L161" s="1"/>
      <c r="M161" s="1"/>
      <c r="N161" s="1"/>
      <c r="O161" s="1"/>
      <c r="P161" s="1"/>
      <c r="Q161" s="1"/>
    </row>
    <row r="162" spans="1:17" x14ac:dyDescent="0.35">
      <c r="A162" s="1"/>
      <c r="B162" s="1"/>
      <c r="C162" s="1"/>
      <c r="D162" s="1"/>
      <c r="E162" s="1"/>
      <c r="F162" s="1"/>
      <c r="G162" s="1"/>
      <c r="H162" s="1"/>
      <c r="I162" s="1"/>
      <c r="J162" s="1"/>
      <c r="K162" s="1"/>
      <c r="L162" s="1"/>
      <c r="M162" s="1"/>
      <c r="N162" s="1"/>
      <c r="O162" s="1"/>
      <c r="P162" s="1"/>
      <c r="Q162" s="1"/>
    </row>
    <row r="163" spans="1:17" x14ac:dyDescent="0.35">
      <c r="A163" s="1"/>
      <c r="B163" s="1"/>
      <c r="C163" s="1"/>
      <c r="D163" s="1"/>
      <c r="E163" s="1"/>
      <c r="F163" s="1"/>
      <c r="G163" s="1"/>
      <c r="H163" s="1"/>
      <c r="I163" s="1"/>
      <c r="J163" s="1"/>
      <c r="K163" s="1"/>
      <c r="L163" s="1"/>
      <c r="M163" s="1"/>
      <c r="N163" s="1"/>
      <c r="O163" s="1"/>
      <c r="P163" s="1"/>
      <c r="Q163" s="1"/>
    </row>
    <row r="164" spans="1:17" x14ac:dyDescent="0.35">
      <c r="A164" s="1"/>
      <c r="B164" s="1"/>
      <c r="C164" s="1"/>
      <c r="D164" s="1"/>
      <c r="E164" s="1"/>
      <c r="F164" s="1"/>
      <c r="G164" s="1"/>
      <c r="H164" s="1"/>
      <c r="I164" s="1"/>
      <c r="J164" s="1"/>
      <c r="K164" s="1"/>
      <c r="L164" s="1"/>
      <c r="M164" s="1"/>
      <c r="N164" s="1"/>
      <c r="O164" s="1"/>
      <c r="P164" s="1"/>
      <c r="Q164" s="1"/>
    </row>
    <row r="165" spans="1:17" x14ac:dyDescent="0.35">
      <c r="A165" s="1"/>
      <c r="B165" s="1"/>
      <c r="C165" s="1"/>
      <c r="D165" s="1"/>
      <c r="E165" s="1"/>
      <c r="F165" s="1"/>
      <c r="G165" s="1"/>
      <c r="H165" s="1"/>
      <c r="I165" s="1"/>
      <c r="J165" s="1"/>
      <c r="K165" s="1"/>
      <c r="L165" s="1"/>
      <c r="M165" s="1"/>
      <c r="N165" s="1"/>
      <c r="O165" s="1"/>
      <c r="P165" s="1"/>
      <c r="Q165" s="1"/>
    </row>
    <row r="166" spans="1:17" x14ac:dyDescent="0.35">
      <c r="A166" s="1"/>
      <c r="B166" s="1"/>
      <c r="C166" s="1"/>
      <c r="D166" s="1"/>
      <c r="E166" s="1"/>
      <c r="F166" s="1"/>
      <c r="G166" s="1"/>
      <c r="H166" s="1"/>
      <c r="I166" s="1"/>
      <c r="J166" s="1"/>
      <c r="K166" s="1"/>
      <c r="L166" s="1"/>
      <c r="M166" s="1"/>
      <c r="N166" s="1"/>
      <c r="O166" s="1"/>
      <c r="P166" s="1"/>
      <c r="Q166" s="1"/>
    </row>
    <row r="167" spans="1:17" x14ac:dyDescent="0.35">
      <c r="A167" s="1"/>
      <c r="B167" s="1"/>
      <c r="C167" s="1"/>
      <c r="D167" s="1"/>
      <c r="E167" s="1"/>
      <c r="F167" s="1"/>
      <c r="G167" s="1"/>
      <c r="H167" s="1"/>
      <c r="I167" s="1"/>
      <c r="J167" s="1"/>
      <c r="K167" s="1"/>
      <c r="L167" s="1"/>
      <c r="M167" s="1"/>
      <c r="N167" s="1"/>
      <c r="O167" s="1"/>
      <c r="P167" s="1"/>
      <c r="Q167" s="1"/>
    </row>
    <row r="168" spans="1:17" x14ac:dyDescent="0.35">
      <c r="A168" s="1"/>
      <c r="B168" s="1"/>
      <c r="C168" s="1"/>
      <c r="D168" s="1"/>
      <c r="E168" s="1"/>
      <c r="F168" s="1"/>
      <c r="G168" s="1"/>
      <c r="H168" s="1"/>
      <c r="I168" s="1"/>
      <c r="J168" s="1"/>
      <c r="K168" s="1"/>
      <c r="L168" s="1"/>
      <c r="M168" s="1"/>
      <c r="N168" s="1"/>
      <c r="O168" s="1"/>
      <c r="P168" s="1"/>
      <c r="Q168" s="1"/>
    </row>
    <row r="169" spans="1:17" x14ac:dyDescent="0.35">
      <c r="A169" s="1"/>
      <c r="B169" s="1"/>
      <c r="C169" s="1"/>
      <c r="D169" s="1"/>
      <c r="E169" s="1"/>
      <c r="F169" s="1"/>
      <c r="G169" s="1"/>
      <c r="H169" s="1"/>
      <c r="I169" s="1"/>
      <c r="J169" s="1"/>
      <c r="K169" s="1"/>
      <c r="L169" s="1"/>
      <c r="M169" s="1"/>
      <c r="N169" s="1"/>
      <c r="O169" s="1"/>
      <c r="P169" s="1"/>
      <c r="Q169" s="1"/>
    </row>
    <row r="170" spans="1:17" x14ac:dyDescent="0.35">
      <c r="A170" s="1"/>
      <c r="B170" s="1"/>
      <c r="C170" s="1"/>
      <c r="D170" s="1"/>
      <c r="E170" s="1"/>
      <c r="F170" s="1"/>
      <c r="G170" s="1"/>
      <c r="H170" s="1"/>
      <c r="I170" s="1"/>
      <c r="J170" s="1"/>
      <c r="K170" s="1"/>
      <c r="L170" s="1"/>
      <c r="M170" s="1"/>
      <c r="N170" s="1"/>
      <c r="O170" s="1"/>
      <c r="P170" s="1"/>
      <c r="Q170" s="1"/>
    </row>
    <row r="171" spans="1:17" x14ac:dyDescent="0.35">
      <c r="A171" s="1"/>
      <c r="B171" s="1"/>
      <c r="C171" s="1"/>
      <c r="D171" s="1"/>
      <c r="E171" s="1"/>
      <c r="F171" s="1"/>
      <c r="G171" s="1"/>
      <c r="H171" s="1"/>
      <c r="I171" s="1"/>
      <c r="J171" s="1"/>
      <c r="K171" s="1"/>
      <c r="L171" s="1"/>
      <c r="M171" s="1"/>
      <c r="N171" s="1"/>
      <c r="O171" s="1"/>
      <c r="P171" s="1"/>
      <c r="Q171" s="1"/>
    </row>
    <row r="172" spans="1:17" x14ac:dyDescent="0.35">
      <c r="A172" s="1"/>
      <c r="B172" s="1"/>
      <c r="C172" s="1"/>
      <c r="D172" s="1"/>
      <c r="E172" s="1"/>
      <c r="F172" s="1"/>
      <c r="G172" s="1"/>
      <c r="H172" s="1"/>
      <c r="I172" s="1"/>
      <c r="J172" s="1"/>
      <c r="K172" s="1"/>
      <c r="L172" s="1"/>
      <c r="M172" s="1"/>
      <c r="N172" s="1"/>
      <c r="O172" s="1"/>
      <c r="P172" s="1"/>
      <c r="Q172" s="1"/>
    </row>
    <row r="173" spans="1:17" x14ac:dyDescent="0.35">
      <c r="A173" s="1"/>
      <c r="B173" s="1"/>
      <c r="C173" s="1"/>
      <c r="D173" s="1"/>
      <c r="E173" s="1"/>
      <c r="F173" s="1"/>
      <c r="G173" s="1"/>
      <c r="H173" s="1"/>
      <c r="I173" s="1"/>
      <c r="J173" s="1"/>
      <c r="K173" s="1"/>
      <c r="L173" s="1"/>
      <c r="M173" s="1"/>
      <c r="N173" s="1"/>
      <c r="O173" s="1"/>
      <c r="P173" s="1"/>
      <c r="Q173" s="1"/>
    </row>
    <row r="174" spans="1:17" x14ac:dyDescent="0.35">
      <c r="A174" s="1"/>
      <c r="B174" s="1"/>
      <c r="C174" s="1"/>
      <c r="D174" s="1"/>
      <c r="E174" s="1"/>
      <c r="F174" s="1"/>
      <c r="G174" s="1"/>
      <c r="H174" s="1"/>
      <c r="I174" s="1"/>
      <c r="J174" s="1"/>
      <c r="K174" s="1"/>
      <c r="L174" s="1"/>
      <c r="M174" s="1"/>
      <c r="N174" s="1"/>
      <c r="O174" s="1"/>
      <c r="P174" s="1"/>
      <c r="Q174" s="1"/>
    </row>
    <row r="175" spans="1:17" x14ac:dyDescent="0.35">
      <c r="A175" s="1"/>
      <c r="B175" s="1"/>
      <c r="C175" s="1"/>
      <c r="D175" s="1"/>
      <c r="E175" s="1"/>
      <c r="F175" s="1"/>
      <c r="G175" s="1"/>
      <c r="H175" s="1"/>
      <c r="I175" s="1"/>
      <c r="J175" s="1"/>
      <c r="K175" s="1"/>
      <c r="L175" s="1"/>
      <c r="M175" s="1"/>
      <c r="N175" s="1"/>
      <c r="O175" s="1"/>
      <c r="P175" s="1"/>
      <c r="Q175" s="1"/>
    </row>
    <row r="176" spans="1:17" x14ac:dyDescent="0.35">
      <c r="A176" s="1"/>
      <c r="B176" s="1"/>
      <c r="C176" s="1"/>
      <c r="D176" s="1"/>
      <c r="E176" s="1"/>
      <c r="F176" s="1"/>
      <c r="G176" s="1"/>
      <c r="H176" s="1"/>
      <c r="I176" s="1"/>
      <c r="J176" s="1"/>
      <c r="K176" s="1"/>
      <c r="L176" s="1"/>
      <c r="M176" s="1"/>
      <c r="N176" s="1"/>
      <c r="O176" s="1"/>
      <c r="P176" s="1"/>
      <c r="Q176" s="1"/>
    </row>
    <row r="177" spans="1:17" x14ac:dyDescent="0.35">
      <c r="A177" s="1"/>
      <c r="B177" s="1"/>
      <c r="C177" s="1"/>
      <c r="D177" s="1"/>
      <c r="E177" s="1"/>
      <c r="F177" s="1"/>
      <c r="G177" s="1"/>
      <c r="H177" s="1"/>
      <c r="I177" s="1"/>
      <c r="J177" s="1"/>
      <c r="K177" s="1"/>
      <c r="L177" s="1"/>
      <c r="M177" s="1"/>
      <c r="N177" s="1"/>
      <c r="O177" s="1"/>
      <c r="P177" s="1"/>
      <c r="Q177" s="1"/>
    </row>
    <row r="178" spans="1:17" x14ac:dyDescent="0.35">
      <c r="A178" s="1"/>
      <c r="B178" s="1"/>
      <c r="C178" s="1"/>
      <c r="D178" s="1"/>
      <c r="E178" s="1"/>
      <c r="F178" s="1"/>
      <c r="G178" s="1"/>
      <c r="H178" s="1"/>
      <c r="I178" s="1"/>
      <c r="J178" s="1"/>
      <c r="K178" s="1"/>
      <c r="L178" s="1"/>
      <c r="M178" s="1"/>
      <c r="N178" s="1"/>
      <c r="O178" s="1"/>
      <c r="P178" s="1"/>
      <c r="Q178" s="1"/>
    </row>
    <row r="179" spans="1:17" x14ac:dyDescent="0.35">
      <c r="A179" s="1"/>
      <c r="B179" s="1"/>
      <c r="C179" s="1"/>
      <c r="D179" s="1"/>
      <c r="E179" s="1"/>
      <c r="F179" s="1"/>
      <c r="G179" s="1"/>
      <c r="H179" s="1"/>
      <c r="I179" s="1"/>
      <c r="J179" s="1"/>
      <c r="K179" s="1"/>
      <c r="L179" s="1"/>
      <c r="M179" s="1"/>
      <c r="N179" s="1"/>
      <c r="O179" s="1"/>
      <c r="P179" s="1"/>
      <c r="Q179" s="1"/>
    </row>
    <row r="180" spans="1:17" x14ac:dyDescent="0.35">
      <c r="A180" s="1"/>
      <c r="B180" s="1"/>
      <c r="C180" s="1"/>
      <c r="D180" s="1"/>
      <c r="E180" s="1"/>
      <c r="F180" s="1"/>
      <c r="G180" s="1"/>
      <c r="H180" s="1"/>
      <c r="I180" s="1"/>
      <c r="J180" s="1"/>
      <c r="K180" s="1"/>
      <c r="L180" s="1"/>
      <c r="M180" s="1"/>
      <c r="N180" s="1"/>
      <c r="O180" s="1"/>
      <c r="P180" s="1"/>
      <c r="Q180" s="1"/>
    </row>
    <row r="181" spans="1:17" x14ac:dyDescent="0.35">
      <c r="A181" s="1"/>
      <c r="B181" s="1"/>
      <c r="C181" s="1"/>
      <c r="D181" s="1"/>
      <c r="E181" s="1"/>
      <c r="F181" s="1"/>
      <c r="G181" s="1"/>
      <c r="H181" s="1"/>
      <c r="I181" s="1"/>
      <c r="J181" s="1"/>
      <c r="K181" s="1"/>
      <c r="L181" s="1"/>
      <c r="M181" s="1"/>
      <c r="N181" s="1"/>
      <c r="O181" s="1"/>
      <c r="P181" s="1"/>
      <c r="Q181" s="1"/>
    </row>
    <row r="182" spans="1:17" x14ac:dyDescent="0.35">
      <c r="A182" s="1"/>
      <c r="B182" s="1"/>
      <c r="C182" s="1"/>
      <c r="D182" s="1"/>
      <c r="E182" s="1"/>
      <c r="F182" s="1"/>
      <c r="G182" s="1"/>
      <c r="H182" s="1"/>
      <c r="I182" s="1"/>
      <c r="J182" s="1"/>
      <c r="K182" s="1"/>
      <c r="L182" s="1"/>
      <c r="M182" s="1"/>
      <c r="N182" s="1"/>
      <c r="O182" s="1"/>
      <c r="P182" s="1"/>
      <c r="Q182" s="1"/>
    </row>
    <row r="183" spans="1:17" x14ac:dyDescent="0.35">
      <c r="A183" s="1"/>
      <c r="B183" s="1"/>
      <c r="C183" s="1"/>
      <c r="D183" s="1"/>
      <c r="E183" s="1"/>
      <c r="F183" s="1"/>
      <c r="G183" s="1"/>
      <c r="H183" s="1"/>
      <c r="I183" s="1"/>
      <c r="J183" s="1"/>
      <c r="K183" s="1"/>
      <c r="L183" s="1"/>
      <c r="M183" s="1"/>
      <c r="N183" s="1"/>
      <c r="O183" s="1"/>
      <c r="P183" s="1"/>
      <c r="Q183" s="1"/>
    </row>
    <row r="184" spans="1:17" x14ac:dyDescent="0.35">
      <c r="A184" s="1"/>
      <c r="B184" s="1"/>
      <c r="C184" s="1"/>
      <c r="D184" s="1"/>
      <c r="E184" s="1"/>
      <c r="F184" s="1"/>
      <c r="G184" s="1"/>
      <c r="H184" s="1"/>
      <c r="I184" s="1"/>
      <c r="J184" s="1"/>
      <c r="K184" s="1"/>
      <c r="L184" s="1"/>
      <c r="M184" s="1"/>
      <c r="N184" s="1"/>
      <c r="O184" s="1"/>
      <c r="P184" s="1"/>
      <c r="Q184" s="1"/>
    </row>
    <row r="185" spans="1:17" x14ac:dyDescent="0.35">
      <c r="A185" s="1"/>
      <c r="B185" s="1"/>
      <c r="C185" s="1"/>
      <c r="D185" s="1"/>
      <c r="E185" s="1"/>
      <c r="F185" s="1"/>
      <c r="G185" s="1"/>
      <c r="H185" s="1"/>
      <c r="I185" s="1"/>
      <c r="J185" s="1"/>
      <c r="K185" s="1"/>
      <c r="L185" s="1"/>
      <c r="M185" s="1"/>
      <c r="N185" s="1"/>
      <c r="O185" s="1"/>
      <c r="P185" s="1"/>
      <c r="Q185" s="1"/>
    </row>
    <row r="186" spans="1:17" x14ac:dyDescent="0.35">
      <c r="A186" s="1"/>
      <c r="B186" s="1"/>
      <c r="C186" s="1"/>
      <c r="D186" s="1"/>
      <c r="E186" s="1"/>
      <c r="F186" s="1"/>
      <c r="G186" s="1"/>
      <c r="H186" s="1"/>
      <c r="I186" s="1"/>
      <c r="J186" s="1"/>
      <c r="K186" s="1"/>
      <c r="L186" s="1"/>
      <c r="M186" s="1"/>
      <c r="N186" s="1"/>
      <c r="O186" s="1"/>
      <c r="P186" s="1"/>
      <c r="Q186" s="1"/>
    </row>
    <row r="187" spans="1:17" x14ac:dyDescent="0.35">
      <c r="A187" s="1"/>
      <c r="B187" s="1"/>
      <c r="C187" s="1"/>
      <c r="D187" s="1"/>
      <c r="E187" s="1"/>
      <c r="F187" s="1"/>
      <c r="G187" s="1"/>
      <c r="H187" s="1"/>
      <c r="I187" s="1"/>
      <c r="J187" s="1"/>
      <c r="K187" s="1"/>
      <c r="L187" s="1"/>
      <c r="M187" s="1"/>
      <c r="N187" s="1"/>
      <c r="O187" s="1"/>
      <c r="P187" s="1"/>
      <c r="Q187" s="1"/>
    </row>
    <row r="188" spans="1:17" x14ac:dyDescent="0.35">
      <c r="A188" s="1"/>
      <c r="B188" s="1"/>
      <c r="C188" s="1"/>
      <c r="D188" s="1"/>
      <c r="E188" s="1"/>
      <c r="F188" s="1"/>
      <c r="G188" s="1"/>
      <c r="H188" s="1"/>
      <c r="I188" s="1"/>
      <c r="J188" s="1"/>
      <c r="K188" s="1"/>
      <c r="L188" s="1"/>
      <c r="M188" s="1"/>
      <c r="N188" s="1"/>
      <c r="O188" s="1"/>
      <c r="P188" s="1"/>
      <c r="Q188" s="1"/>
    </row>
    <row r="189" spans="1:17" x14ac:dyDescent="0.35">
      <c r="A189" s="1"/>
      <c r="B189" s="1"/>
      <c r="C189" s="1"/>
      <c r="D189" s="1"/>
      <c r="E189" s="1"/>
      <c r="F189" s="1"/>
      <c r="G189" s="1"/>
      <c r="H189" s="1"/>
      <c r="I189" s="1"/>
      <c r="J189" s="1"/>
      <c r="K189" s="1"/>
      <c r="L189" s="1"/>
      <c r="M189" s="1"/>
      <c r="N189" s="1"/>
      <c r="O189" s="1"/>
      <c r="P189" s="1"/>
      <c r="Q189" s="1"/>
    </row>
    <row r="190" spans="1:17" x14ac:dyDescent="0.35">
      <c r="A190" s="1"/>
      <c r="B190" s="1"/>
      <c r="C190" s="1"/>
      <c r="D190" s="1"/>
      <c r="E190" s="1"/>
      <c r="F190" s="1"/>
      <c r="G190" s="1"/>
      <c r="H190" s="1"/>
      <c r="I190" s="1"/>
      <c r="J190" s="1"/>
      <c r="K190" s="1"/>
      <c r="L190" s="1"/>
      <c r="M190" s="1"/>
      <c r="N190" s="1"/>
      <c r="O190" s="1"/>
      <c r="P190" s="1"/>
      <c r="Q190" s="1"/>
    </row>
    <row r="191" spans="1:17" x14ac:dyDescent="0.35">
      <c r="A191" s="1"/>
      <c r="B191" s="1"/>
      <c r="C191" s="1"/>
      <c r="D191" s="1"/>
      <c r="E191" s="1"/>
      <c r="F191" s="1"/>
      <c r="G191" s="1"/>
      <c r="H191" s="1"/>
      <c r="I191" s="1"/>
      <c r="J191" s="1"/>
      <c r="K191" s="1"/>
      <c r="L191" s="1"/>
      <c r="M191" s="1"/>
      <c r="N191" s="1"/>
      <c r="O191" s="1"/>
      <c r="P191" s="1"/>
      <c r="Q191" s="1"/>
    </row>
    <row r="192" spans="1:17" x14ac:dyDescent="0.35">
      <c r="A192" s="1"/>
      <c r="B192" s="1"/>
      <c r="C192" s="1"/>
      <c r="D192" s="1"/>
      <c r="E192" s="1"/>
      <c r="F192" s="1"/>
      <c r="G192" s="1"/>
      <c r="H192" s="1"/>
      <c r="I192" s="1"/>
      <c r="J192" s="1"/>
      <c r="K192" s="1"/>
      <c r="L192" s="1"/>
      <c r="M192" s="1"/>
      <c r="N192" s="1"/>
      <c r="O192" s="1"/>
      <c r="P192" s="1"/>
      <c r="Q192" s="1"/>
    </row>
    <row r="193" spans="1:17" x14ac:dyDescent="0.35">
      <c r="A193" s="1"/>
      <c r="B193" s="1"/>
      <c r="C193" s="1"/>
      <c r="D193" s="1"/>
      <c r="E193" s="1"/>
      <c r="F193" s="1"/>
      <c r="G193" s="1"/>
      <c r="H193" s="1"/>
      <c r="I193" s="1"/>
      <c r="J193" s="1"/>
      <c r="K193" s="1"/>
      <c r="L193" s="1"/>
      <c r="M193" s="1"/>
      <c r="N193" s="1"/>
      <c r="O193" s="1"/>
      <c r="P193" s="1"/>
      <c r="Q193" s="1"/>
    </row>
    <row r="194" spans="1:17" x14ac:dyDescent="0.35">
      <c r="A194" s="1"/>
      <c r="B194" s="1"/>
      <c r="C194" s="1"/>
      <c r="D194" s="1"/>
      <c r="E194" s="1"/>
      <c r="F194" s="1"/>
      <c r="G194" s="1"/>
      <c r="H194" s="1"/>
      <c r="I194" s="1"/>
      <c r="J194" s="1"/>
      <c r="K194" s="1"/>
      <c r="L194" s="1"/>
      <c r="M194" s="1"/>
      <c r="N194" s="1"/>
      <c r="O194" s="1"/>
      <c r="P194" s="1"/>
      <c r="Q194" s="1"/>
    </row>
    <row r="195" spans="1:17" x14ac:dyDescent="0.35">
      <c r="A195" s="1"/>
      <c r="B195" s="1"/>
      <c r="C195" s="1"/>
      <c r="D195" s="1"/>
      <c r="E195" s="1"/>
      <c r="F195" s="1"/>
      <c r="G195" s="1"/>
      <c r="H195" s="1"/>
      <c r="I195" s="1"/>
      <c r="J195" s="1"/>
      <c r="K195" s="1"/>
      <c r="L195" s="1"/>
      <c r="M195" s="1"/>
      <c r="N195" s="1"/>
      <c r="O195" s="1"/>
      <c r="P195" s="1"/>
      <c r="Q195" s="1"/>
    </row>
    <row r="196" spans="1:17" x14ac:dyDescent="0.35">
      <c r="A196" s="1"/>
      <c r="B196" s="1"/>
      <c r="C196" s="1"/>
      <c r="D196" s="1"/>
      <c r="E196" s="1"/>
      <c r="F196" s="1"/>
      <c r="G196" s="1"/>
      <c r="H196" s="1"/>
      <c r="I196" s="1"/>
      <c r="J196" s="1"/>
      <c r="K196" s="1"/>
      <c r="L196" s="1"/>
      <c r="M196" s="1"/>
      <c r="N196" s="1"/>
      <c r="O196" s="1"/>
      <c r="P196" s="1"/>
      <c r="Q196" s="1"/>
    </row>
    <row r="197" spans="1:17" x14ac:dyDescent="0.35">
      <c r="A197" s="1"/>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1:17" x14ac:dyDescent="0.35">
      <c r="A198" s="1"/>
      <c r="B198" s="37"/>
      <c r="C198" s="38"/>
      <c r="D198" s="31"/>
      <c r="E198" s="32"/>
      <c r="F198" s="34"/>
      <c r="G198" s="33"/>
      <c r="H198" s="34"/>
      <c r="I198" s="33"/>
      <c r="J198" s="34"/>
      <c r="K198" s="34"/>
      <c r="L198" s="34"/>
      <c r="M198" s="33"/>
      <c r="N198" s="34"/>
      <c r="O198" s="35"/>
      <c r="P198" s="36"/>
      <c r="Q198" s="35"/>
    </row>
    <row r="199" spans="1:17" x14ac:dyDescent="0.35">
      <c r="A199" s="1"/>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1:17" x14ac:dyDescent="0.35">
      <c r="A200" s="1"/>
      <c r="B200" s="1"/>
      <c r="C200" s="1"/>
      <c r="D200" s="1"/>
      <c r="E200" s="1"/>
      <c r="F200" s="1"/>
      <c r="G200" s="1"/>
      <c r="H200" s="1"/>
      <c r="I200" s="1"/>
      <c r="J200" s="1"/>
      <c r="K200" s="1"/>
      <c r="L200" s="1"/>
      <c r="M200" s="1"/>
      <c r="N200" s="1"/>
      <c r="O200" s="1"/>
      <c r="P200" s="1"/>
      <c r="Q200" s="78" t="s">
        <v>21404</v>
      </c>
    </row>
    <row r="201" spans="1:17" x14ac:dyDescent="0.35">
      <c r="A201" s="1"/>
      <c r="B201" s="1"/>
      <c r="C201" s="78" t="s">
        <v>21592</v>
      </c>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77" t="s">
        <v>21399</v>
      </c>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t="s">
        <v>21398</v>
      </c>
      <c r="D205" s="1" t="s">
        <v>75</v>
      </c>
      <c r="E205" s="1" t="s">
        <v>13768</v>
      </c>
      <c r="F205" s="2" t="s">
        <v>21397</v>
      </c>
      <c r="G205" s="1" t="s">
        <v>9</v>
      </c>
      <c r="H205" s="1"/>
      <c r="I205" s="1"/>
      <c r="J205" s="1"/>
      <c r="K205" s="1"/>
      <c r="L205" s="1"/>
      <c r="M205" s="1"/>
      <c r="N205" s="1"/>
      <c r="O205" s="1"/>
      <c r="P205" s="1"/>
      <c r="Q205" s="1"/>
    </row>
    <row r="206" spans="1:17" x14ac:dyDescent="0.35">
      <c r="B206" s="49" t="s">
        <v>15041</v>
      </c>
      <c r="C206" s="352" t="s">
        <v>15042</v>
      </c>
      <c r="D206" s="1"/>
    </row>
    <row r="207" spans="1:17" x14ac:dyDescent="0.35">
      <c r="B207" s="49" t="s">
        <v>15043</v>
      </c>
      <c r="C207" s="53" t="s">
        <v>15044</v>
      </c>
      <c r="D207" s="1"/>
    </row>
    <row r="208" spans="1:17" x14ac:dyDescent="0.35">
      <c r="B208" s="49" t="s">
        <v>15045</v>
      </c>
      <c r="C208" s="53" t="s">
        <v>15046</v>
      </c>
      <c r="D208" s="1"/>
    </row>
    <row r="209" spans="2:5" x14ac:dyDescent="0.35">
      <c r="B209" s="49" t="s">
        <v>15047</v>
      </c>
      <c r="C209" s="53" t="s">
        <v>15048</v>
      </c>
      <c r="D209" s="1"/>
    </row>
    <row r="210" spans="2:5" x14ac:dyDescent="0.35">
      <c r="C210" s="1" t="s">
        <v>107</v>
      </c>
      <c r="D210" s="1" t="s">
        <v>18</v>
      </c>
      <c r="E210" s="250">
        <v>14120.01</v>
      </c>
    </row>
  </sheetData>
  <mergeCells count="9">
    <mergeCell ref="J5:K5"/>
    <mergeCell ref="J6:K6"/>
    <mergeCell ref="J7:K7"/>
    <mergeCell ref="A3:B3"/>
    <mergeCell ref="D3:G3"/>
    <mergeCell ref="J3:K3"/>
    <mergeCell ref="P3:Q3"/>
    <mergeCell ref="A4:B4"/>
    <mergeCell ref="J4:K4"/>
  </mergeCells>
  <dataValidations count="1">
    <dataValidation type="list" allowBlank="1" showInputMessage="1" showErrorMessage="1" sqref="C16:C190" xr:uid="{51BFE550-9C7D-4DAE-B7D2-7AEC752E77CB}">
      <formula1>$C$205:$C207</formula1>
    </dataValidation>
  </dataValidations>
  <hyperlinks>
    <hyperlink ref="D3" r:id="rId1" display="datamateapp@gmail.com" xr:uid="{2DC8784E-CC30-45B1-BC98-3F1D5AC6B4A6}"/>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89505" r:id="rId4" name="Button 1">
              <controlPr defaultSize="0" print="0" autoFill="0" autoPict="0" macro="SaveData">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789506" r:id="rId5" name="Button 2">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789507"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789508"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789509" r:id="rId8" name="Button 5">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789510" r:id="rId9" name="Button 6">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789511" r:id="rId10" name="Button 7">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789512" r:id="rId11" name="Button 8">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mc:AlternateContent xmlns:mc="http://schemas.openxmlformats.org/markup-compatibility/2006">
          <mc:Choice Requires="x14">
            <control shapeId="789513" r:id="rId12" name="Button 9">
              <controlPr defaultSize="0" print="0" autoFill="0" autoPict="0" macro="[0]!ExitSEC_141000">
                <anchor moveWithCells="1" sizeWithCells="1">
                  <from>
                    <xdr:col>16</xdr:col>
                    <xdr:colOff>0</xdr:colOff>
                    <xdr:row>0</xdr:row>
                    <xdr:rowOff>0</xdr:rowOff>
                  </from>
                  <to>
                    <xdr:col>16</xdr:col>
                    <xdr:colOff>1270000</xdr:colOff>
                    <xdr:row>2</xdr:row>
                    <xdr:rowOff>12700</xdr:rowOff>
                  </to>
                </anchor>
              </controlPr>
            </control>
          </mc:Choice>
        </mc:AlternateContent>
      </controls>
    </mc:Choice>
  </mc:AlternateContent>
</worksheet>
</file>

<file path=xl/worksheets/sheet1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3F116-BD47-4995-B269-DB4F1C143FB9}">
  <sheetPr codeName="Sheet185"/>
  <dimension ref="A1:Q220"/>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ELEVATORS</v>
      </c>
      <c r="J2" s="59"/>
      <c r="K2" s="59"/>
      <c r="L2" s="1"/>
      <c r="M2" s="59"/>
      <c r="N2" s="59"/>
      <c r="O2" s="60"/>
      <c r="P2" s="57"/>
      <c r="Q2" s="57"/>
    </row>
    <row r="3" spans="1:17" ht="15" thickBot="1" x14ac:dyDescent="0.4">
      <c r="A3" s="446" t="s">
        <v>21565</v>
      </c>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14 20 00</v>
      </c>
      <c r="C10" s="24" t="str">
        <f>C206</f>
        <v>ELEVATORS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ELEVATORS</v>
      </c>
      <c r="D12" s="31"/>
      <c r="E12" s="32"/>
      <c r="F12" s="34"/>
      <c r="G12" s="33"/>
      <c r="H12" s="34"/>
      <c r="I12" s="33"/>
      <c r="J12" s="34"/>
      <c r="K12" s="34"/>
      <c r="L12" s="34"/>
      <c r="M12" s="33"/>
      <c r="N12" s="34"/>
      <c r="O12" s="35"/>
      <c r="P12" s="31"/>
      <c r="Q12" s="35"/>
    </row>
    <row r="13" spans="1:17" x14ac:dyDescent="0.35">
      <c r="A13" s="1"/>
      <c r="B13" s="1"/>
      <c r="C13" s="1"/>
      <c r="D13" s="1"/>
      <c r="E13" s="1"/>
      <c r="F13" s="1"/>
      <c r="G13" s="1"/>
      <c r="H13" s="1"/>
      <c r="I13" s="1"/>
      <c r="J13" s="1"/>
      <c r="K13" s="1"/>
      <c r="L13" s="1"/>
      <c r="M13" s="1"/>
      <c r="N13" s="1"/>
      <c r="O13" s="1"/>
      <c r="P13" s="1"/>
      <c r="Q13" s="1"/>
    </row>
    <row r="14" spans="1:17" x14ac:dyDescent="0.35">
      <c r="A14" s="1"/>
      <c r="B14" s="1"/>
      <c r="C14" s="1"/>
      <c r="D14" s="1"/>
      <c r="E14" s="1"/>
      <c r="F14" s="1"/>
      <c r="G14" s="1"/>
      <c r="H14" s="1"/>
      <c r="I14" s="1"/>
      <c r="J14" s="1"/>
      <c r="K14" s="1"/>
      <c r="L14" s="1"/>
      <c r="M14" s="1"/>
      <c r="N14" s="1"/>
      <c r="O14" s="1"/>
      <c r="P14" s="1"/>
      <c r="Q14" s="1"/>
    </row>
    <row r="15" spans="1:17" x14ac:dyDescent="0.35">
      <c r="A15" s="1"/>
      <c r="B15" s="1"/>
      <c r="C15" s="1"/>
      <c r="D15" s="1"/>
      <c r="E15" s="1"/>
      <c r="F15" s="1"/>
      <c r="G15" s="1"/>
      <c r="H15" s="1"/>
      <c r="I15" s="1"/>
      <c r="J15" s="1"/>
      <c r="K15" s="1"/>
      <c r="L15" s="1"/>
      <c r="M15" s="1"/>
      <c r="N15" s="1"/>
      <c r="O15" s="1"/>
      <c r="P15" s="1"/>
      <c r="Q15" s="1"/>
    </row>
    <row r="16" spans="1:17" x14ac:dyDescent="0.35">
      <c r="A16" s="1"/>
      <c r="B16" s="1"/>
      <c r="C16" s="1"/>
      <c r="D16" s="1"/>
      <c r="E16" s="1"/>
      <c r="F16" s="1"/>
      <c r="G16" s="1"/>
      <c r="H16" s="1"/>
      <c r="I16" s="1"/>
      <c r="J16" s="1"/>
      <c r="K16" s="1"/>
      <c r="L16" s="1"/>
      <c r="M16" s="1"/>
      <c r="N16" s="1"/>
      <c r="O16" s="1"/>
      <c r="P16" s="1"/>
      <c r="Q16" s="1"/>
    </row>
    <row r="17" spans="1:17" x14ac:dyDescent="0.35">
      <c r="A17" s="1"/>
      <c r="B17" s="1"/>
      <c r="C17" s="1"/>
      <c r="D17" s="1"/>
      <c r="E17" s="1"/>
      <c r="F17" s="1"/>
      <c r="G17" s="1"/>
      <c r="H17" s="1"/>
      <c r="I17" s="1"/>
      <c r="J17" s="1"/>
      <c r="K17" s="1"/>
      <c r="L17" s="1"/>
      <c r="M17" s="1"/>
      <c r="N17" s="1"/>
      <c r="O17" s="1"/>
      <c r="P17" s="1"/>
      <c r="Q17" s="1"/>
    </row>
    <row r="18" spans="1:17" x14ac:dyDescent="0.35">
      <c r="A18" s="1"/>
      <c r="B18" s="1"/>
      <c r="C18" s="1"/>
      <c r="D18" s="1"/>
      <c r="E18" s="1"/>
      <c r="F18" s="1"/>
      <c r="G18" s="1"/>
      <c r="H18" s="1"/>
      <c r="I18" s="1"/>
      <c r="J18" s="1"/>
      <c r="K18" s="1"/>
      <c r="L18" s="1"/>
      <c r="M18" s="1"/>
      <c r="N18" s="1"/>
      <c r="O18" s="1"/>
      <c r="P18" s="1"/>
      <c r="Q18" s="1"/>
    </row>
    <row r="19" spans="1:17" x14ac:dyDescent="0.35">
      <c r="A19" s="1"/>
      <c r="B19" s="1"/>
      <c r="C19" s="1"/>
      <c r="D19" s="1"/>
      <c r="E19" s="1"/>
      <c r="F19" s="1"/>
      <c r="G19" s="1"/>
      <c r="H19" s="1"/>
      <c r="I19" s="1"/>
      <c r="J19" s="1"/>
      <c r="K19" s="1"/>
      <c r="L19" s="1"/>
      <c r="M19" s="1"/>
      <c r="N19" s="1"/>
      <c r="O19" s="1"/>
      <c r="P19" s="1"/>
      <c r="Q19" s="1"/>
    </row>
    <row r="20" spans="1:17" x14ac:dyDescent="0.35">
      <c r="A20" s="1"/>
      <c r="B20" s="1"/>
      <c r="C20" s="1"/>
      <c r="D20" s="1"/>
      <c r="E20" s="1"/>
      <c r="F20" s="1"/>
      <c r="G20" s="1"/>
      <c r="H20" s="1"/>
      <c r="I20" s="1"/>
      <c r="J20" s="1"/>
      <c r="K20" s="1"/>
      <c r="L20" s="1"/>
      <c r="M20" s="1"/>
      <c r="N20" s="1"/>
      <c r="O20" s="1"/>
      <c r="P20" s="1"/>
      <c r="Q20" s="1"/>
    </row>
    <row r="21" spans="1:17" x14ac:dyDescent="0.35">
      <c r="A21" s="1"/>
      <c r="B21" s="1"/>
      <c r="C21" s="1"/>
      <c r="D21" s="1"/>
      <c r="E21" s="1"/>
      <c r="F21" s="1"/>
      <c r="G21" s="1"/>
      <c r="H21" s="1"/>
      <c r="I21" s="1"/>
      <c r="J21" s="1"/>
      <c r="K21" s="1"/>
      <c r="L21" s="1"/>
      <c r="M21" s="1"/>
      <c r="N21" s="1"/>
      <c r="O21" s="1"/>
      <c r="P21" s="1"/>
      <c r="Q21" s="1"/>
    </row>
    <row r="22" spans="1:17" x14ac:dyDescent="0.35">
      <c r="A22" s="1"/>
      <c r="B22" s="1"/>
      <c r="C22" s="1"/>
      <c r="D22" s="1"/>
      <c r="E22" s="1"/>
      <c r="F22" s="1"/>
      <c r="G22" s="1"/>
      <c r="H22" s="1"/>
      <c r="I22" s="1"/>
      <c r="J22" s="1"/>
      <c r="K22" s="1"/>
      <c r="L22" s="1"/>
      <c r="M22" s="1"/>
      <c r="N22" s="1"/>
      <c r="O22" s="1"/>
      <c r="P22" s="1"/>
      <c r="Q22" s="1"/>
    </row>
    <row r="23" spans="1:17" x14ac:dyDescent="0.35">
      <c r="A23" s="1"/>
      <c r="B23" s="1"/>
      <c r="C23" s="1"/>
      <c r="D23" s="1"/>
      <c r="E23" s="1"/>
      <c r="F23" s="1"/>
      <c r="G23" s="1"/>
      <c r="H23" s="1"/>
      <c r="I23" s="1"/>
      <c r="J23" s="1"/>
      <c r="K23" s="1"/>
      <c r="L23" s="1"/>
      <c r="M23" s="1"/>
      <c r="N23" s="1"/>
      <c r="O23" s="1"/>
      <c r="P23" s="1"/>
      <c r="Q23" s="1"/>
    </row>
    <row r="24" spans="1:17" x14ac:dyDescent="0.35">
      <c r="A24" s="1"/>
      <c r="B24" s="1"/>
      <c r="C24" s="1"/>
      <c r="D24" s="1"/>
      <c r="E24" s="1"/>
      <c r="F24" s="1"/>
      <c r="G24" s="1"/>
      <c r="H24" s="1"/>
      <c r="I24" s="1"/>
      <c r="J24" s="1"/>
      <c r="K24" s="1"/>
      <c r="L24" s="1"/>
      <c r="M24" s="1"/>
      <c r="N24" s="1"/>
      <c r="O24" s="1"/>
      <c r="P24" s="1"/>
      <c r="Q24" s="1"/>
    </row>
    <row r="25" spans="1:17" x14ac:dyDescent="0.35">
      <c r="A25" s="1"/>
      <c r="B25" s="1"/>
      <c r="C25" s="1"/>
      <c r="D25" s="1"/>
      <c r="E25" s="1"/>
      <c r="F25" s="1"/>
      <c r="G25" s="1"/>
      <c r="H25" s="1"/>
      <c r="I25" s="1"/>
      <c r="J25" s="1"/>
      <c r="K25" s="1"/>
      <c r="L25" s="1"/>
      <c r="M25" s="1"/>
      <c r="N25" s="1"/>
      <c r="O25" s="1"/>
      <c r="P25" s="1"/>
      <c r="Q25" s="1"/>
    </row>
    <row r="26" spans="1:17" x14ac:dyDescent="0.35">
      <c r="A26" s="1"/>
      <c r="B26" s="1"/>
      <c r="C26" s="1"/>
      <c r="D26" s="1"/>
      <c r="E26" s="1"/>
      <c r="F26" s="1"/>
      <c r="G26" s="1"/>
      <c r="H26" s="1"/>
      <c r="I26" s="1"/>
      <c r="J26" s="1"/>
      <c r="K26" s="1"/>
      <c r="L26" s="1"/>
      <c r="M26" s="1"/>
      <c r="N26" s="1"/>
      <c r="O26" s="1"/>
      <c r="P26" s="1"/>
      <c r="Q26" s="1"/>
    </row>
    <row r="27" spans="1:17" x14ac:dyDescent="0.35">
      <c r="A27" s="1"/>
      <c r="B27" s="1"/>
      <c r="C27" s="1"/>
      <c r="D27" s="1"/>
      <c r="E27" s="1"/>
      <c r="F27" s="1"/>
      <c r="G27" s="1"/>
      <c r="H27" s="1"/>
      <c r="I27" s="1"/>
      <c r="J27" s="1"/>
      <c r="K27" s="1"/>
      <c r="L27" s="1"/>
      <c r="M27" s="1"/>
      <c r="N27" s="1"/>
      <c r="O27" s="1"/>
      <c r="P27" s="1"/>
      <c r="Q27" s="1"/>
    </row>
    <row r="28" spans="1:17" x14ac:dyDescent="0.35">
      <c r="A28" s="1"/>
      <c r="B28" s="1"/>
      <c r="C28" s="1"/>
      <c r="D28" s="1"/>
      <c r="E28" s="1"/>
      <c r="F28" s="1"/>
      <c r="G28" s="1"/>
      <c r="H28" s="1"/>
      <c r="I28" s="1"/>
      <c r="J28" s="1"/>
      <c r="K28" s="1"/>
      <c r="L28" s="1"/>
      <c r="M28" s="1"/>
      <c r="N28" s="1"/>
      <c r="O28" s="1"/>
      <c r="P28" s="1"/>
      <c r="Q28" s="1"/>
    </row>
    <row r="29" spans="1:17" x14ac:dyDescent="0.35">
      <c r="A29" s="1"/>
      <c r="B29" s="1"/>
      <c r="C29" s="1"/>
      <c r="D29" s="1"/>
      <c r="E29" s="1"/>
      <c r="F29" s="1"/>
      <c r="G29" s="1"/>
      <c r="H29" s="1"/>
      <c r="I29" s="1"/>
      <c r="J29" s="1"/>
      <c r="K29" s="1"/>
      <c r="L29" s="1"/>
      <c r="M29" s="1"/>
      <c r="N29" s="1"/>
      <c r="O29" s="1"/>
      <c r="P29" s="1"/>
      <c r="Q29" s="1"/>
    </row>
    <row r="30" spans="1:17" x14ac:dyDescent="0.35">
      <c r="A30" s="1"/>
      <c r="B30" s="1"/>
      <c r="C30" s="1"/>
      <c r="D30" s="1"/>
      <c r="E30" s="1"/>
      <c r="F30" s="1"/>
      <c r="G30" s="1"/>
      <c r="H30" s="1"/>
      <c r="I30" s="1"/>
      <c r="J30" s="1"/>
      <c r="K30" s="1"/>
      <c r="L30" s="1"/>
      <c r="M30" s="1"/>
      <c r="N30" s="1"/>
      <c r="O30" s="1"/>
      <c r="P30" s="1"/>
      <c r="Q30" s="1"/>
    </row>
    <row r="31" spans="1:17" x14ac:dyDescent="0.35">
      <c r="A31" s="1"/>
      <c r="B31" s="1"/>
      <c r="C31" s="1"/>
      <c r="D31" s="1"/>
      <c r="E31" s="1"/>
      <c r="F31" s="1"/>
      <c r="G31" s="1"/>
      <c r="H31" s="1"/>
      <c r="I31" s="1"/>
      <c r="J31" s="1"/>
      <c r="K31" s="1"/>
      <c r="L31" s="1"/>
      <c r="M31" s="1"/>
      <c r="N31" s="1"/>
      <c r="O31" s="1"/>
      <c r="P31" s="1"/>
      <c r="Q31" s="1"/>
    </row>
    <row r="32" spans="1:17" x14ac:dyDescent="0.35">
      <c r="A32" s="1"/>
      <c r="B32" s="1"/>
      <c r="C32" s="1"/>
      <c r="D32" s="1"/>
      <c r="E32" s="1"/>
      <c r="F32" s="1"/>
      <c r="G32" s="1"/>
      <c r="H32" s="1"/>
      <c r="I32" s="1"/>
      <c r="J32" s="1"/>
      <c r="K32" s="1"/>
      <c r="L32" s="1"/>
      <c r="M32" s="1"/>
      <c r="N32" s="1"/>
      <c r="O32" s="1"/>
      <c r="P32" s="1"/>
      <c r="Q32" s="1"/>
    </row>
    <row r="33" spans="1:17" x14ac:dyDescent="0.35">
      <c r="A33" s="1"/>
      <c r="B33" s="1"/>
      <c r="C33" s="1"/>
      <c r="D33" s="1"/>
      <c r="E33" s="1"/>
      <c r="F33" s="1"/>
      <c r="G33" s="1"/>
      <c r="H33" s="1"/>
      <c r="I33" s="1"/>
      <c r="J33" s="1"/>
      <c r="K33" s="1"/>
      <c r="L33" s="1"/>
      <c r="M33" s="1"/>
      <c r="N33" s="1"/>
      <c r="O33" s="1"/>
      <c r="P33" s="1"/>
      <c r="Q33" s="1"/>
    </row>
    <row r="34" spans="1:17" x14ac:dyDescent="0.35">
      <c r="A34" s="1"/>
      <c r="B34" s="1"/>
      <c r="C34" s="1"/>
      <c r="D34" s="1"/>
      <c r="E34" s="1"/>
      <c r="F34" s="1"/>
      <c r="G34" s="1"/>
      <c r="H34" s="1"/>
      <c r="I34" s="1"/>
      <c r="J34" s="1"/>
      <c r="K34" s="1"/>
      <c r="L34" s="1"/>
      <c r="M34" s="1"/>
      <c r="N34" s="1"/>
      <c r="O34" s="1"/>
      <c r="P34" s="1"/>
      <c r="Q34" s="1"/>
    </row>
    <row r="35" spans="1:17" x14ac:dyDescent="0.35">
      <c r="A35" s="1"/>
      <c r="B35" s="1"/>
      <c r="C35" s="1"/>
      <c r="D35" s="1"/>
      <c r="E35" s="1"/>
      <c r="F35" s="1"/>
      <c r="G35" s="1"/>
      <c r="H35" s="1"/>
      <c r="I35" s="1"/>
      <c r="J35" s="1"/>
      <c r="K35" s="1"/>
      <c r="L35" s="1"/>
      <c r="M35" s="1"/>
      <c r="N35" s="1"/>
      <c r="O35" s="1"/>
      <c r="P35" s="1"/>
      <c r="Q35" s="1"/>
    </row>
    <row r="36" spans="1:17" x14ac:dyDescent="0.35">
      <c r="A36" s="1"/>
      <c r="B36" s="1"/>
      <c r="C36" s="1"/>
      <c r="D36" s="1"/>
      <c r="E36" s="1"/>
      <c r="F36" s="1"/>
      <c r="G36" s="1"/>
      <c r="H36" s="1"/>
      <c r="I36" s="1"/>
      <c r="J36" s="1"/>
      <c r="K36" s="1"/>
      <c r="L36" s="1"/>
      <c r="M36" s="1"/>
      <c r="N36" s="1"/>
      <c r="O36" s="1"/>
      <c r="P36" s="1"/>
      <c r="Q36" s="1"/>
    </row>
    <row r="37" spans="1:17" x14ac:dyDescent="0.35">
      <c r="A37" s="1"/>
      <c r="B37" s="1"/>
      <c r="C37" s="1"/>
      <c r="D37" s="1"/>
      <c r="E37" s="1"/>
      <c r="F37" s="1"/>
      <c r="G37" s="1"/>
      <c r="H37" s="1"/>
      <c r="I37" s="1"/>
      <c r="J37" s="1"/>
      <c r="K37" s="1"/>
      <c r="L37" s="1"/>
      <c r="M37" s="1"/>
      <c r="N37" s="1"/>
      <c r="O37" s="1"/>
      <c r="P37" s="1"/>
      <c r="Q37" s="1"/>
    </row>
    <row r="38" spans="1:17" x14ac:dyDescent="0.35">
      <c r="A38" s="1"/>
      <c r="B38" s="1"/>
      <c r="C38" s="1"/>
      <c r="D38" s="1"/>
      <c r="E38" s="1"/>
      <c r="F38" s="1"/>
      <c r="G38" s="1"/>
      <c r="H38" s="1"/>
      <c r="I38" s="1"/>
      <c r="J38" s="1"/>
      <c r="K38" s="1"/>
      <c r="L38" s="1"/>
      <c r="M38" s="1"/>
      <c r="N38" s="1"/>
      <c r="O38" s="1"/>
      <c r="P38" s="1"/>
      <c r="Q38" s="1"/>
    </row>
    <row r="39" spans="1:17" x14ac:dyDescent="0.35">
      <c r="A39" s="1"/>
      <c r="B39" s="1"/>
      <c r="C39" s="1"/>
      <c r="D39" s="1"/>
      <c r="E39" s="1"/>
      <c r="F39" s="1"/>
      <c r="G39" s="1"/>
      <c r="H39" s="1"/>
      <c r="I39" s="1"/>
      <c r="J39" s="1"/>
      <c r="K39" s="1"/>
      <c r="L39" s="1"/>
      <c r="M39" s="1"/>
      <c r="N39" s="1"/>
      <c r="O39" s="1"/>
      <c r="P39" s="1"/>
      <c r="Q39" s="1"/>
    </row>
    <row r="40" spans="1:17" x14ac:dyDescent="0.35">
      <c r="A40" s="1"/>
      <c r="B40" s="1"/>
      <c r="C40" s="1"/>
      <c r="D40" s="1"/>
      <c r="E40" s="1"/>
      <c r="F40" s="1"/>
      <c r="G40" s="1"/>
      <c r="H40" s="1"/>
      <c r="I40" s="1"/>
      <c r="J40" s="1"/>
      <c r="K40" s="1"/>
      <c r="L40" s="1"/>
      <c r="M40" s="1"/>
      <c r="N40" s="1"/>
      <c r="O40" s="1"/>
      <c r="P40" s="1"/>
      <c r="Q40" s="1"/>
    </row>
    <row r="41" spans="1:17" x14ac:dyDescent="0.35">
      <c r="A41" s="1"/>
      <c r="B41" s="1"/>
      <c r="C41" s="1"/>
      <c r="D41" s="1"/>
      <c r="E41" s="1"/>
      <c r="F41" s="1"/>
      <c r="G41" s="1"/>
      <c r="H41" s="1"/>
      <c r="I41" s="1"/>
      <c r="J41" s="1"/>
      <c r="K41" s="1"/>
      <c r="L41" s="1"/>
      <c r="M41" s="1"/>
      <c r="N41" s="1"/>
      <c r="O41" s="1"/>
      <c r="P41" s="1"/>
      <c r="Q41" s="1"/>
    </row>
    <row r="42" spans="1:17" x14ac:dyDescent="0.35">
      <c r="A42" s="1"/>
      <c r="B42" s="1"/>
      <c r="C42" s="1"/>
      <c r="D42" s="1"/>
      <c r="E42" s="1"/>
      <c r="F42" s="1"/>
      <c r="G42" s="1"/>
      <c r="H42" s="1"/>
      <c r="I42" s="1"/>
      <c r="J42" s="1"/>
      <c r="K42" s="1"/>
      <c r="L42" s="1"/>
      <c r="M42" s="1"/>
      <c r="N42" s="1"/>
      <c r="O42" s="1"/>
      <c r="P42" s="1"/>
      <c r="Q42" s="1"/>
    </row>
    <row r="43" spans="1:17" x14ac:dyDescent="0.35">
      <c r="A43" s="1"/>
      <c r="B43" s="1"/>
      <c r="C43" s="1"/>
      <c r="D43" s="1"/>
      <c r="E43" s="1"/>
      <c r="F43" s="1"/>
      <c r="G43" s="1"/>
      <c r="H43" s="1"/>
      <c r="I43" s="1"/>
      <c r="J43" s="1"/>
      <c r="K43" s="1"/>
      <c r="L43" s="1"/>
      <c r="M43" s="1"/>
      <c r="N43" s="1"/>
      <c r="O43" s="1"/>
      <c r="P43" s="1"/>
      <c r="Q43" s="1"/>
    </row>
    <row r="44" spans="1:17" x14ac:dyDescent="0.35">
      <c r="A44" s="1"/>
      <c r="B44" s="1"/>
      <c r="C44" s="1"/>
      <c r="D44" s="1"/>
      <c r="E44" s="1"/>
      <c r="F44" s="1"/>
      <c r="G44" s="1"/>
      <c r="H44" s="1"/>
      <c r="I44" s="1"/>
      <c r="J44" s="1"/>
      <c r="K44" s="1"/>
      <c r="L44" s="1"/>
      <c r="M44" s="1"/>
      <c r="N44" s="1"/>
      <c r="O44" s="1"/>
      <c r="P44" s="1"/>
      <c r="Q44" s="1"/>
    </row>
    <row r="45" spans="1:17" x14ac:dyDescent="0.35">
      <c r="A45" s="1"/>
      <c r="B45" s="1"/>
      <c r="C45" s="1"/>
      <c r="D45" s="1"/>
      <c r="E45" s="1"/>
      <c r="F45" s="1"/>
      <c r="G45" s="1"/>
      <c r="H45" s="1"/>
      <c r="I45" s="1"/>
      <c r="J45" s="1"/>
      <c r="K45" s="1"/>
      <c r="L45" s="1"/>
      <c r="M45" s="1"/>
      <c r="N45" s="1"/>
      <c r="O45" s="1"/>
      <c r="P45" s="1"/>
      <c r="Q45" s="1"/>
    </row>
    <row r="46" spans="1:17" x14ac:dyDescent="0.35">
      <c r="A46" s="1"/>
      <c r="B46" s="1"/>
      <c r="C46" s="1"/>
      <c r="D46" s="1"/>
      <c r="E46" s="1"/>
      <c r="F46" s="1"/>
      <c r="G46" s="1"/>
      <c r="H46" s="1"/>
      <c r="I46" s="1"/>
      <c r="J46" s="1"/>
      <c r="K46" s="1"/>
      <c r="L46" s="1"/>
      <c r="M46" s="1"/>
      <c r="N46" s="1"/>
      <c r="O46" s="1"/>
      <c r="P46" s="1"/>
      <c r="Q46" s="1"/>
    </row>
    <row r="47" spans="1:17" x14ac:dyDescent="0.35">
      <c r="A47" s="1"/>
      <c r="B47" s="1"/>
      <c r="C47" s="1"/>
      <c r="D47" s="1"/>
      <c r="E47" s="1"/>
      <c r="F47" s="1"/>
      <c r="G47" s="1"/>
      <c r="H47" s="1"/>
      <c r="I47" s="1"/>
      <c r="J47" s="1"/>
      <c r="K47" s="1"/>
      <c r="L47" s="1"/>
      <c r="M47" s="1"/>
      <c r="N47" s="1"/>
      <c r="O47" s="1"/>
      <c r="P47" s="1"/>
      <c r="Q47" s="1"/>
    </row>
    <row r="48" spans="1:17" x14ac:dyDescent="0.35">
      <c r="A48" s="1"/>
      <c r="B48" s="1"/>
      <c r="C48" s="1"/>
      <c r="D48" s="1"/>
      <c r="E48" s="1"/>
      <c r="F48" s="1"/>
      <c r="G48" s="1"/>
      <c r="H48" s="1"/>
      <c r="I48" s="1"/>
      <c r="J48" s="1"/>
      <c r="K48" s="1"/>
      <c r="L48" s="1"/>
      <c r="M48" s="1"/>
      <c r="N48" s="1"/>
      <c r="O48" s="1"/>
      <c r="P48" s="1"/>
      <c r="Q48" s="1"/>
    </row>
    <row r="49" spans="1:17" x14ac:dyDescent="0.35">
      <c r="A49" s="1"/>
      <c r="B49" s="1"/>
      <c r="C49" s="1"/>
      <c r="D49" s="1"/>
      <c r="E49" s="1"/>
      <c r="F49" s="1"/>
      <c r="G49" s="1"/>
      <c r="H49" s="1"/>
      <c r="I49" s="1"/>
      <c r="J49" s="1"/>
      <c r="K49" s="1"/>
      <c r="L49" s="1"/>
      <c r="M49" s="1"/>
      <c r="N49" s="1"/>
      <c r="O49" s="1"/>
      <c r="P49" s="1"/>
      <c r="Q49" s="1"/>
    </row>
    <row r="50" spans="1:17" x14ac:dyDescent="0.35">
      <c r="A50" s="1"/>
      <c r="B50" s="1"/>
      <c r="C50" s="1"/>
      <c r="D50" s="1"/>
      <c r="E50" s="1"/>
      <c r="F50" s="1"/>
      <c r="G50" s="1"/>
      <c r="H50" s="1"/>
      <c r="I50" s="1"/>
      <c r="J50" s="1"/>
      <c r="K50" s="1"/>
      <c r="L50" s="1"/>
      <c r="M50" s="1"/>
      <c r="N50" s="1"/>
      <c r="O50" s="1"/>
      <c r="P50" s="1"/>
      <c r="Q50" s="1"/>
    </row>
    <row r="51" spans="1:17" x14ac:dyDescent="0.35">
      <c r="A51" s="1"/>
      <c r="B51" s="1"/>
      <c r="C51" s="1"/>
      <c r="D51" s="1"/>
      <c r="E51" s="1"/>
      <c r="F51" s="1"/>
      <c r="G51" s="1"/>
      <c r="H51" s="1"/>
      <c r="I51" s="1"/>
      <c r="J51" s="1"/>
      <c r="K51" s="1"/>
      <c r="L51" s="1"/>
      <c r="M51" s="1"/>
      <c r="N51" s="1"/>
      <c r="O51" s="1"/>
      <c r="P51" s="1"/>
      <c r="Q51" s="1"/>
    </row>
    <row r="52" spans="1:17" x14ac:dyDescent="0.35">
      <c r="A52" s="1"/>
      <c r="B52" s="1"/>
      <c r="C52" s="1"/>
      <c r="D52" s="1"/>
      <c r="E52" s="1"/>
      <c r="F52" s="1"/>
      <c r="G52" s="1"/>
      <c r="H52" s="1"/>
      <c r="I52" s="1"/>
      <c r="J52" s="1"/>
      <c r="K52" s="1"/>
      <c r="L52" s="1"/>
      <c r="M52" s="1"/>
      <c r="N52" s="1"/>
      <c r="O52" s="1"/>
      <c r="P52" s="1"/>
      <c r="Q52" s="1"/>
    </row>
    <row r="53" spans="1:17" x14ac:dyDescent="0.35">
      <c r="A53" s="1"/>
      <c r="B53" s="1"/>
      <c r="C53" s="1"/>
      <c r="D53" s="1"/>
      <c r="E53" s="1"/>
      <c r="F53" s="1"/>
      <c r="G53" s="1"/>
      <c r="H53" s="1"/>
      <c r="I53" s="1"/>
      <c r="J53" s="1"/>
      <c r="K53" s="1"/>
      <c r="L53" s="1"/>
      <c r="M53" s="1"/>
      <c r="N53" s="1"/>
      <c r="O53" s="1"/>
      <c r="P53" s="1"/>
      <c r="Q53" s="1"/>
    </row>
    <row r="54" spans="1:17" x14ac:dyDescent="0.35">
      <c r="A54" s="1"/>
      <c r="B54" s="1"/>
      <c r="C54" s="1"/>
      <c r="D54" s="1"/>
      <c r="E54" s="1"/>
      <c r="F54" s="1"/>
      <c r="G54" s="1"/>
      <c r="H54" s="1"/>
      <c r="I54" s="1"/>
      <c r="J54" s="1"/>
      <c r="K54" s="1"/>
      <c r="L54" s="1"/>
      <c r="M54" s="1"/>
      <c r="N54" s="1"/>
      <c r="O54" s="1"/>
      <c r="P54" s="1"/>
      <c r="Q54" s="1"/>
    </row>
    <row r="55" spans="1:17" x14ac:dyDescent="0.35">
      <c r="A55" s="1"/>
      <c r="B55" s="1"/>
      <c r="C55" s="1"/>
      <c r="D55" s="1"/>
      <c r="E55" s="1"/>
      <c r="F55" s="1"/>
      <c r="G55" s="1"/>
      <c r="H55" s="1"/>
      <c r="I55" s="1"/>
      <c r="J55" s="1"/>
      <c r="K55" s="1"/>
      <c r="L55" s="1"/>
      <c r="M55" s="1"/>
      <c r="N55" s="1"/>
      <c r="O55" s="1"/>
      <c r="P55" s="1"/>
      <c r="Q55" s="1"/>
    </row>
    <row r="56" spans="1:17" x14ac:dyDescent="0.35">
      <c r="A56" s="1"/>
      <c r="B56" s="1"/>
      <c r="C56" s="1"/>
      <c r="D56" s="1"/>
      <c r="E56" s="1"/>
      <c r="F56" s="1"/>
      <c r="G56" s="1"/>
      <c r="H56" s="1"/>
      <c r="I56" s="1"/>
      <c r="J56" s="1"/>
      <c r="K56" s="1"/>
      <c r="L56" s="1"/>
      <c r="M56" s="1"/>
      <c r="N56" s="1"/>
      <c r="O56" s="1"/>
      <c r="P56" s="1"/>
      <c r="Q56" s="1"/>
    </row>
    <row r="57" spans="1:17" x14ac:dyDescent="0.35">
      <c r="A57" s="1"/>
      <c r="B57" s="1"/>
      <c r="C57" s="1"/>
      <c r="D57" s="1"/>
      <c r="E57" s="1"/>
      <c r="F57" s="1"/>
      <c r="G57" s="1"/>
      <c r="H57" s="1"/>
      <c r="I57" s="1"/>
      <c r="J57" s="1"/>
      <c r="K57" s="1"/>
      <c r="L57" s="1"/>
      <c r="M57" s="1"/>
      <c r="N57" s="1"/>
      <c r="O57" s="1"/>
      <c r="P57" s="1"/>
      <c r="Q57" s="1"/>
    </row>
    <row r="58" spans="1:17" x14ac:dyDescent="0.35">
      <c r="A58" s="1"/>
      <c r="B58" s="1"/>
      <c r="C58" s="1"/>
      <c r="D58" s="1"/>
      <c r="E58" s="1"/>
      <c r="F58" s="1"/>
      <c r="G58" s="1"/>
      <c r="H58" s="1"/>
      <c r="I58" s="1"/>
      <c r="J58" s="1"/>
      <c r="K58" s="1"/>
      <c r="L58" s="1"/>
      <c r="M58" s="1"/>
      <c r="N58" s="1"/>
      <c r="O58" s="1"/>
      <c r="P58" s="1"/>
      <c r="Q58" s="1"/>
    </row>
    <row r="59" spans="1:17" x14ac:dyDescent="0.35">
      <c r="A59" s="1"/>
      <c r="B59" s="1"/>
      <c r="C59" s="1"/>
      <c r="D59" s="1"/>
      <c r="E59" s="1"/>
      <c r="F59" s="1"/>
      <c r="G59" s="1"/>
      <c r="H59" s="1"/>
      <c r="I59" s="1"/>
      <c r="J59" s="1"/>
      <c r="K59" s="1"/>
      <c r="L59" s="1"/>
      <c r="M59" s="1"/>
      <c r="N59" s="1"/>
      <c r="O59" s="1"/>
      <c r="P59" s="1"/>
      <c r="Q59" s="1"/>
    </row>
    <row r="60" spans="1:17" x14ac:dyDescent="0.35">
      <c r="A60" s="1"/>
      <c r="B60" s="1"/>
      <c r="C60" s="1"/>
      <c r="D60" s="1"/>
      <c r="E60" s="1"/>
      <c r="F60" s="1"/>
      <c r="G60" s="1"/>
      <c r="H60" s="1"/>
      <c r="I60" s="1"/>
      <c r="J60" s="1"/>
      <c r="K60" s="1"/>
      <c r="L60" s="1"/>
      <c r="M60" s="1"/>
      <c r="N60" s="1"/>
      <c r="O60" s="1"/>
      <c r="P60" s="1"/>
      <c r="Q60" s="1"/>
    </row>
    <row r="61" spans="1:17" x14ac:dyDescent="0.35">
      <c r="A61" s="1"/>
      <c r="B61" s="1"/>
      <c r="C61" s="1"/>
      <c r="D61" s="1"/>
      <c r="E61" s="1"/>
      <c r="F61" s="1"/>
      <c r="G61" s="1"/>
      <c r="H61" s="1"/>
      <c r="I61" s="1"/>
      <c r="J61" s="1"/>
      <c r="K61" s="1"/>
      <c r="L61" s="1"/>
      <c r="M61" s="1"/>
      <c r="N61" s="1"/>
      <c r="O61" s="1"/>
      <c r="P61" s="1"/>
      <c r="Q61" s="1"/>
    </row>
    <row r="62" spans="1:17" x14ac:dyDescent="0.35">
      <c r="A62" s="1"/>
      <c r="B62" s="1"/>
      <c r="C62" s="1"/>
      <c r="D62" s="1"/>
      <c r="E62" s="1"/>
      <c r="F62" s="1"/>
      <c r="G62" s="1"/>
      <c r="H62" s="1"/>
      <c r="I62" s="1"/>
      <c r="J62" s="1"/>
      <c r="K62" s="1"/>
      <c r="L62" s="1"/>
      <c r="M62" s="1"/>
      <c r="N62" s="1"/>
      <c r="O62" s="1"/>
      <c r="P62" s="1"/>
      <c r="Q62" s="1"/>
    </row>
    <row r="63" spans="1:17" x14ac:dyDescent="0.35">
      <c r="A63" s="1"/>
      <c r="B63" s="1"/>
      <c r="C63" s="1"/>
      <c r="D63" s="1"/>
      <c r="E63" s="1"/>
      <c r="F63" s="1"/>
      <c r="G63" s="1"/>
      <c r="H63" s="1"/>
      <c r="I63" s="1"/>
      <c r="J63" s="1"/>
      <c r="K63" s="1"/>
      <c r="L63" s="1"/>
      <c r="M63" s="1"/>
      <c r="N63" s="1"/>
      <c r="O63" s="1"/>
      <c r="P63" s="1"/>
      <c r="Q63" s="1"/>
    </row>
    <row r="64" spans="1:17" x14ac:dyDescent="0.35">
      <c r="A64" s="1"/>
      <c r="B64" s="1"/>
      <c r="C64" s="1"/>
      <c r="D64" s="1"/>
      <c r="E64" s="1"/>
      <c r="F64" s="1"/>
      <c r="G64" s="1"/>
      <c r="H64" s="1"/>
      <c r="I64" s="1"/>
      <c r="J64" s="1"/>
      <c r="K64" s="1"/>
      <c r="L64" s="1"/>
      <c r="M64" s="1"/>
      <c r="N64" s="1"/>
      <c r="O64" s="1"/>
      <c r="P64" s="1"/>
      <c r="Q64" s="1"/>
    </row>
    <row r="65" spans="1:17" x14ac:dyDescent="0.35">
      <c r="A65" s="1"/>
      <c r="B65" s="1"/>
      <c r="C65" s="1"/>
      <c r="D65" s="1"/>
      <c r="E65" s="1"/>
      <c r="F65" s="1"/>
      <c r="G65" s="1"/>
      <c r="H65" s="1"/>
      <c r="I65" s="1"/>
      <c r="J65" s="1"/>
      <c r="K65" s="1"/>
      <c r="L65" s="1"/>
      <c r="M65" s="1"/>
      <c r="N65" s="1"/>
      <c r="O65" s="1"/>
      <c r="P65" s="1"/>
      <c r="Q65" s="1"/>
    </row>
    <row r="66" spans="1:17" x14ac:dyDescent="0.35">
      <c r="A66" s="1"/>
      <c r="B66" s="1"/>
      <c r="C66" s="1"/>
      <c r="D66" s="1"/>
      <c r="E66" s="1"/>
      <c r="F66" s="1"/>
      <c r="G66" s="1"/>
      <c r="H66" s="1"/>
      <c r="I66" s="1"/>
      <c r="J66" s="1"/>
      <c r="K66" s="1"/>
      <c r="L66" s="1"/>
      <c r="M66" s="1"/>
      <c r="N66" s="1"/>
      <c r="O66" s="1"/>
      <c r="P66" s="1"/>
      <c r="Q66" s="1"/>
    </row>
    <row r="67" spans="1:17" x14ac:dyDescent="0.35">
      <c r="A67" s="1"/>
      <c r="B67" s="1"/>
      <c r="C67" s="1"/>
      <c r="D67" s="1"/>
      <c r="E67" s="1"/>
      <c r="F67" s="1"/>
      <c r="G67" s="1"/>
      <c r="H67" s="1"/>
      <c r="I67" s="1"/>
      <c r="J67" s="1"/>
      <c r="K67" s="1"/>
      <c r="L67" s="1"/>
      <c r="M67" s="1"/>
      <c r="N67" s="1"/>
      <c r="O67" s="1"/>
      <c r="P67" s="1"/>
      <c r="Q67" s="1"/>
    </row>
    <row r="68" spans="1:17" x14ac:dyDescent="0.35">
      <c r="A68" s="1"/>
      <c r="B68" s="1"/>
      <c r="C68" s="1"/>
      <c r="D68" s="1"/>
      <c r="E68" s="1"/>
      <c r="F68" s="1"/>
      <c r="G68" s="1"/>
      <c r="H68" s="1"/>
      <c r="I68" s="1"/>
      <c r="J68" s="1"/>
      <c r="K68" s="1"/>
      <c r="L68" s="1"/>
      <c r="M68" s="1"/>
      <c r="N68" s="1"/>
      <c r="O68" s="1"/>
      <c r="P68" s="1"/>
      <c r="Q68" s="1"/>
    </row>
    <row r="69" spans="1:17" x14ac:dyDescent="0.35">
      <c r="A69" s="1"/>
      <c r="B69" s="1"/>
      <c r="C69" s="1"/>
      <c r="D69" s="1"/>
      <c r="E69" s="1"/>
      <c r="F69" s="1"/>
      <c r="G69" s="1"/>
      <c r="H69" s="1"/>
      <c r="I69" s="1"/>
      <c r="J69" s="1"/>
      <c r="K69" s="1"/>
      <c r="L69" s="1"/>
      <c r="M69" s="1"/>
      <c r="N69" s="1"/>
      <c r="O69" s="1"/>
      <c r="P69" s="1"/>
      <c r="Q69" s="1"/>
    </row>
    <row r="70" spans="1:17" x14ac:dyDescent="0.35">
      <c r="A70" s="1"/>
      <c r="B70" s="1"/>
      <c r="C70" s="1"/>
      <c r="D70" s="1"/>
      <c r="E70" s="1"/>
      <c r="F70" s="1"/>
      <c r="G70" s="1"/>
      <c r="H70" s="1"/>
      <c r="I70" s="1"/>
      <c r="J70" s="1"/>
      <c r="K70" s="1"/>
      <c r="L70" s="1"/>
      <c r="M70" s="1"/>
      <c r="N70" s="1"/>
      <c r="O70" s="1"/>
      <c r="P70" s="1"/>
      <c r="Q70" s="1"/>
    </row>
    <row r="71" spans="1:17" x14ac:dyDescent="0.35">
      <c r="A71" s="1"/>
      <c r="B71" s="1"/>
      <c r="C71" s="1"/>
      <c r="D71" s="1"/>
      <c r="E71" s="1"/>
      <c r="F71" s="1"/>
      <c r="G71" s="1"/>
      <c r="H71" s="1"/>
      <c r="I71" s="1"/>
      <c r="J71" s="1"/>
      <c r="K71" s="1"/>
      <c r="L71" s="1"/>
      <c r="M71" s="1"/>
      <c r="N71" s="1"/>
      <c r="O71" s="1"/>
      <c r="P71" s="1"/>
      <c r="Q71" s="1"/>
    </row>
    <row r="72" spans="1:17" x14ac:dyDescent="0.35">
      <c r="A72" s="1"/>
      <c r="B72" s="1"/>
      <c r="C72" s="1"/>
      <c r="D72" s="1"/>
      <c r="E72" s="1"/>
      <c r="F72" s="1"/>
      <c r="G72" s="1"/>
      <c r="H72" s="1"/>
      <c r="I72" s="1"/>
      <c r="J72" s="1"/>
      <c r="K72" s="1"/>
      <c r="L72" s="1"/>
      <c r="M72" s="1"/>
      <c r="N72" s="1"/>
      <c r="O72" s="1"/>
      <c r="P72" s="1"/>
      <c r="Q72" s="1"/>
    </row>
    <row r="73" spans="1:17" x14ac:dyDescent="0.35">
      <c r="A73" s="1"/>
      <c r="B73" s="1"/>
      <c r="C73" s="1"/>
      <c r="D73" s="1"/>
      <c r="E73" s="1"/>
      <c r="F73" s="1"/>
      <c r="G73" s="1"/>
      <c r="H73" s="1"/>
      <c r="I73" s="1"/>
      <c r="J73" s="1"/>
      <c r="K73" s="1"/>
      <c r="L73" s="1"/>
      <c r="M73" s="1"/>
      <c r="N73" s="1"/>
      <c r="O73" s="1"/>
      <c r="P73" s="1"/>
      <c r="Q73" s="1"/>
    </row>
    <row r="74" spans="1:17" x14ac:dyDescent="0.35">
      <c r="A74" s="1"/>
      <c r="B74" s="1"/>
      <c r="C74" s="1"/>
      <c r="D74" s="1"/>
      <c r="E74" s="1"/>
      <c r="F74" s="1"/>
      <c r="G74" s="1"/>
      <c r="H74" s="1"/>
      <c r="I74" s="1"/>
      <c r="J74" s="1"/>
      <c r="K74" s="1"/>
      <c r="L74" s="1"/>
      <c r="M74" s="1"/>
      <c r="N74" s="1"/>
      <c r="O74" s="1"/>
      <c r="P74" s="1"/>
      <c r="Q74" s="1"/>
    </row>
    <row r="75" spans="1:17" x14ac:dyDescent="0.35">
      <c r="A75" s="1"/>
      <c r="B75" s="1"/>
      <c r="C75" s="1"/>
      <c r="D75" s="1"/>
      <c r="E75" s="1"/>
      <c r="F75" s="1"/>
      <c r="G75" s="1"/>
      <c r="H75" s="1"/>
      <c r="I75" s="1"/>
      <c r="J75" s="1"/>
      <c r="K75" s="1"/>
      <c r="L75" s="1"/>
      <c r="M75" s="1"/>
      <c r="N75" s="1"/>
      <c r="O75" s="1"/>
      <c r="P75" s="1"/>
      <c r="Q75" s="1"/>
    </row>
    <row r="76" spans="1:17" x14ac:dyDescent="0.35">
      <c r="A76" s="1"/>
      <c r="B76" s="1"/>
      <c r="C76" s="1"/>
      <c r="D76" s="1"/>
      <c r="E76" s="1"/>
      <c r="F76" s="1"/>
      <c r="G76" s="1"/>
      <c r="H76" s="1"/>
      <c r="I76" s="1"/>
      <c r="J76" s="1"/>
      <c r="K76" s="1"/>
      <c r="L76" s="1"/>
      <c r="M76" s="1"/>
      <c r="N76" s="1"/>
      <c r="O76" s="1"/>
      <c r="P76" s="1"/>
      <c r="Q76" s="1"/>
    </row>
    <row r="77" spans="1:17" x14ac:dyDescent="0.35">
      <c r="A77" s="1"/>
      <c r="B77" s="1"/>
      <c r="C77" s="1"/>
      <c r="D77" s="1"/>
      <c r="E77" s="1"/>
      <c r="F77" s="1"/>
      <c r="G77" s="1"/>
      <c r="H77" s="1"/>
      <c r="I77" s="1"/>
      <c r="J77" s="1"/>
      <c r="K77" s="1"/>
      <c r="L77" s="1"/>
      <c r="M77" s="1"/>
      <c r="N77" s="1"/>
      <c r="O77" s="1"/>
      <c r="P77" s="1"/>
      <c r="Q77" s="1"/>
    </row>
    <row r="78" spans="1:17" x14ac:dyDescent="0.35">
      <c r="A78" s="1"/>
      <c r="B78" s="1"/>
      <c r="C78" s="1"/>
      <c r="D78" s="1"/>
      <c r="E78" s="1"/>
      <c r="F78" s="1"/>
      <c r="G78" s="1"/>
      <c r="H78" s="1"/>
      <c r="I78" s="1"/>
      <c r="J78" s="1"/>
      <c r="K78" s="1"/>
      <c r="L78" s="1"/>
      <c r="M78" s="1"/>
      <c r="N78" s="1"/>
      <c r="O78" s="1"/>
      <c r="P78" s="1"/>
      <c r="Q78" s="1"/>
    </row>
    <row r="79" spans="1:17" x14ac:dyDescent="0.35">
      <c r="A79" s="1"/>
      <c r="B79" s="1"/>
      <c r="C79" s="1"/>
      <c r="D79" s="1"/>
      <c r="E79" s="1"/>
      <c r="F79" s="1"/>
      <c r="G79" s="1"/>
      <c r="H79" s="1"/>
      <c r="I79" s="1"/>
      <c r="J79" s="1"/>
      <c r="K79" s="1"/>
      <c r="L79" s="1"/>
      <c r="M79" s="1"/>
      <c r="N79" s="1"/>
      <c r="O79" s="1"/>
      <c r="P79" s="1"/>
      <c r="Q79" s="1"/>
    </row>
    <row r="80" spans="1:17" x14ac:dyDescent="0.35">
      <c r="A80" s="1"/>
      <c r="B80" s="1"/>
      <c r="C80" s="1"/>
      <c r="D80" s="1"/>
      <c r="E80" s="1"/>
      <c r="F80" s="1"/>
      <c r="G80" s="1"/>
      <c r="H80" s="1"/>
      <c r="I80" s="1"/>
      <c r="J80" s="1"/>
      <c r="K80" s="1"/>
      <c r="L80" s="1"/>
      <c r="M80" s="1"/>
      <c r="N80" s="1"/>
      <c r="O80" s="1"/>
      <c r="P80" s="1"/>
      <c r="Q80" s="1"/>
    </row>
    <row r="81" spans="1:17" x14ac:dyDescent="0.35">
      <c r="A81" s="1"/>
      <c r="B81" s="1"/>
      <c r="C81" s="1"/>
      <c r="D81" s="1"/>
      <c r="E81" s="1"/>
      <c r="F81" s="1"/>
      <c r="G81" s="1"/>
      <c r="H81" s="1"/>
      <c r="I81" s="1"/>
      <c r="J81" s="1"/>
      <c r="K81" s="1"/>
      <c r="L81" s="1"/>
      <c r="M81" s="1"/>
      <c r="N81" s="1"/>
      <c r="O81" s="1"/>
      <c r="P81" s="1"/>
      <c r="Q81" s="1"/>
    </row>
    <row r="82" spans="1:17" x14ac:dyDescent="0.35">
      <c r="A82" s="1"/>
      <c r="B82" s="1"/>
      <c r="C82" s="1"/>
      <c r="D82" s="1"/>
      <c r="E82" s="1"/>
      <c r="F82" s="1"/>
      <c r="G82" s="1"/>
      <c r="H82" s="1"/>
      <c r="I82" s="1"/>
      <c r="J82" s="1"/>
      <c r="K82" s="1"/>
      <c r="L82" s="1"/>
      <c r="M82" s="1"/>
      <c r="N82" s="1"/>
      <c r="O82" s="1"/>
      <c r="P82" s="1"/>
      <c r="Q82" s="1"/>
    </row>
    <row r="83" spans="1:17" x14ac:dyDescent="0.35">
      <c r="A83" s="1"/>
      <c r="B83" s="1"/>
      <c r="C83" s="1"/>
      <c r="D83" s="1"/>
      <c r="E83" s="1"/>
      <c r="F83" s="1"/>
      <c r="G83" s="1"/>
      <c r="H83" s="1"/>
      <c r="I83" s="1"/>
      <c r="J83" s="1"/>
      <c r="K83" s="1"/>
      <c r="L83" s="1"/>
      <c r="M83" s="1"/>
      <c r="N83" s="1"/>
      <c r="O83" s="1"/>
      <c r="P83" s="1"/>
      <c r="Q83" s="1"/>
    </row>
    <row r="84" spans="1:17" x14ac:dyDescent="0.35">
      <c r="A84" s="1"/>
      <c r="B84" s="1"/>
      <c r="C84" s="1"/>
      <c r="D84" s="1"/>
      <c r="E84" s="1"/>
      <c r="F84" s="1"/>
      <c r="G84" s="1"/>
      <c r="H84" s="1"/>
      <c r="I84" s="1"/>
      <c r="J84" s="1"/>
      <c r="K84" s="1"/>
      <c r="L84" s="1"/>
      <c r="M84" s="1"/>
      <c r="N84" s="1"/>
      <c r="O84" s="1"/>
      <c r="P84" s="1"/>
      <c r="Q84" s="1"/>
    </row>
    <row r="85" spans="1:17" x14ac:dyDescent="0.35">
      <c r="A85" s="1"/>
      <c r="B85" s="1"/>
      <c r="C85" s="1"/>
      <c r="D85" s="1"/>
      <c r="E85" s="1"/>
      <c r="F85" s="1"/>
      <c r="G85" s="1"/>
      <c r="H85" s="1"/>
      <c r="I85" s="1"/>
      <c r="J85" s="1"/>
      <c r="K85" s="1"/>
      <c r="L85" s="1"/>
      <c r="M85" s="1"/>
      <c r="N85" s="1"/>
      <c r="O85" s="1"/>
      <c r="P85" s="1"/>
      <c r="Q85" s="1"/>
    </row>
    <row r="86" spans="1:17" x14ac:dyDescent="0.35">
      <c r="A86" s="1"/>
      <c r="B86" s="1"/>
      <c r="C86" s="1"/>
      <c r="D86" s="1"/>
      <c r="E86" s="1"/>
      <c r="F86" s="1"/>
      <c r="G86" s="1"/>
      <c r="H86" s="1"/>
      <c r="I86" s="1"/>
      <c r="J86" s="1"/>
      <c r="K86" s="1"/>
      <c r="L86" s="1"/>
      <c r="M86" s="1"/>
      <c r="N86" s="1"/>
      <c r="O86" s="1"/>
      <c r="P86" s="1"/>
      <c r="Q86" s="1"/>
    </row>
    <row r="87" spans="1:17" x14ac:dyDescent="0.35">
      <c r="A87" s="1"/>
      <c r="B87" s="1"/>
      <c r="C87" s="1"/>
      <c r="D87" s="1"/>
      <c r="E87" s="1"/>
      <c r="F87" s="1"/>
      <c r="G87" s="1"/>
      <c r="H87" s="1"/>
      <c r="I87" s="1"/>
      <c r="J87" s="1"/>
      <c r="K87" s="1"/>
      <c r="L87" s="1"/>
      <c r="M87" s="1"/>
      <c r="N87" s="1"/>
      <c r="O87" s="1"/>
      <c r="P87" s="1"/>
      <c r="Q87" s="1"/>
    </row>
    <row r="88" spans="1:17" x14ac:dyDescent="0.35">
      <c r="A88" s="1"/>
      <c r="B88" s="1"/>
      <c r="C88" s="1"/>
      <c r="D88" s="1"/>
      <c r="E88" s="1"/>
      <c r="F88" s="1"/>
      <c r="G88" s="1"/>
      <c r="H88" s="1"/>
      <c r="I88" s="1"/>
      <c r="J88" s="1"/>
      <c r="K88" s="1"/>
      <c r="L88" s="1"/>
      <c r="M88" s="1"/>
      <c r="N88" s="1"/>
      <c r="O88" s="1"/>
      <c r="P88" s="1"/>
      <c r="Q88" s="1"/>
    </row>
    <row r="89" spans="1:17" x14ac:dyDescent="0.35">
      <c r="A89" s="1"/>
      <c r="B89" s="1"/>
      <c r="C89" s="1"/>
      <c r="D89" s="1"/>
      <c r="E89" s="1"/>
      <c r="F89" s="1"/>
      <c r="G89" s="1"/>
      <c r="H89" s="1"/>
      <c r="I89" s="1"/>
      <c r="J89" s="1"/>
      <c r="K89" s="1"/>
      <c r="L89" s="1"/>
      <c r="M89" s="1"/>
      <c r="N89" s="1"/>
      <c r="O89" s="1"/>
      <c r="P89" s="1"/>
      <c r="Q89" s="1"/>
    </row>
    <row r="90" spans="1:17" x14ac:dyDescent="0.35">
      <c r="A90" s="1"/>
      <c r="B90" s="1"/>
      <c r="C90" s="1"/>
      <c r="D90" s="1"/>
      <c r="E90" s="1"/>
      <c r="F90" s="1"/>
      <c r="G90" s="1"/>
      <c r="H90" s="1"/>
      <c r="I90" s="1"/>
      <c r="J90" s="1"/>
      <c r="K90" s="1"/>
      <c r="L90" s="1"/>
      <c r="M90" s="1"/>
      <c r="N90" s="1"/>
      <c r="O90" s="1"/>
      <c r="P90" s="1"/>
      <c r="Q90" s="1"/>
    </row>
    <row r="91" spans="1:17" x14ac:dyDescent="0.35">
      <c r="A91" s="1"/>
      <c r="B91" s="1"/>
      <c r="C91" s="1"/>
      <c r="D91" s="1"/>
      <c r="E91" s="1"/>
      <c r="F91" s="1"/>
      <c r="G91" s="1"/>
      <c r="H91" s="1"/>
      <c r="I91" s="1"/>
      <c r="J91" s="1"/>
      <c r="K91" s="1"/>
      <c r="L91" s="1"/>
      <c r="M91" s="1"/>
      <c r="N91" s="1"/>
      <c r="O91" s="1"/>
      <c r="P91" s="1"/>
      <c r="Q91" s="1"/>
    </row>
    <row r="92" spans="1:17" x14ac:dyDescent="0.35">
      <c r="A92" s="1"/>
      <c r="B92" s="1"/>
      <c r="C92" s="1"/>
      <c r="D92" s="1"/>
      <c r="E92" s="1"/>
      <c r="F92" s="1"/>
      <c r="G92" s="1"/>
      <c r="H92" s="1"/>
      <c r="I92" s="1"/>
      <c r="J92" s="1"/>
      <c r="K92" s="1"/>
      <c r="L92" s="1"/>
      <c r="M92" s="1"/>
      <c r="N92" s="1"/>
      <c r="O92" s="1"/>
      <c r="P92" s="1"/>
      <c r="Q92" s="1"/>
    </row>
    <row r="93" spans="1:17" x14ac:dyDescent="0.35">
      <c r="A93" s="1"/>
      <c r="B93" s="1"/>
      <c r="C93" s="1"/>
      <c r="D93" s="1"/>
      <c r="E93" s="1"/>
      <c r="F93" s="1"/>
      <c r="G93" s="1"/>
      <c r="H93" s="1"/>
      <c r="I93" s="1"/>
      <c r="J93" s="1"/>
      <c r="K93" s="1"/>
      <c r="L93" s="1"/>
      <c r="M93" s="1"/>
      <c r="N93" s="1"/>
      <c r="O93" s="1"/>
      <c r="P93" s="1"/>
      <c r="Q93" s="1"/>
    </row>
    <row r="94" spans="1:17" x14ac:dyDescent="0.35">
      <c r="A94" s="1"/>
      <c r="B94" s="1"/>
      <c r="C94" s="1"/>
      <c r="D94" s="1"/>
      <c r="E94" s="1"/>
      <c r="F94" s="1"/>
      <c r="G94" s="1"/>
      <c r="H94" s="1"/>
      <c r="I94" s="1"/>
      <c r="J94" s="1"/>
      <c r="K94" s="1"/>
      <c r="L94" s="1"/>
      <c r="M94" s="1"/>
      <c r="N94" s="1"/>
      <c r="O94" s="1"/>
      <c r="P94" s="1"/>
      <c r="Q94" s="1"/>
    </row>
    <row r="95" spans="1:17" x14ac:dyDescent="0.35">
      <c r="A95" s="1"/>
      <c r="B95" s="1"/>
      <c r="C95" s="1"/>
      <c r="D95" s="1"/>
      <c r="E95" s="1"/>
      <c r="F95" s="1"/>
      <c r="G95" s="1"/>
      <c r="H95" s="1"/>
      <c r="I95" s="1"/>
      <c r="J95" s="1"/>
      <c r="K95" s="1"/>
      <c r="L95" s="1"/>
      <c r="M95" s="1"/>
      <c r="N95" s="1"/>
      <c r="O95" s="1"/>
      <c r="P95" s="1"/>
      <c r="Q95" s="1"/>
    </row>
    <row r="96" spans="1:17" x14ac:dyDescent="0.35">
      <c r="A96" s="1"/>
      <c r="B96" s="1"/>
      <c r="C96" s="1"/>
      <c r="D96" s="1"/>
      <c r="E96" s="1"/>
      <c r="F96" s="1"/>
      <c r="G96" s="1"/>
      <c r="H96" s="1"/>
      <c r="I96" s="1"/>
      <c r="J96" s="1"/>
      <c r="K96" s="1"/>
      <c r="L96" s="1"/>
      <c r="M96" s="1"/>
      <c r="N96" s="1"/>
      <c r="O96" s="1"/>
      <c r="P96" s="1"/>
      <c r="Q96" s="1"/>
    </row>
    <row r="97" spans="1:17" x14ac:dyDescent="0.35">
      <c r="A97" s="1"/>
      <c r="B97" s="1"/>
      <c r="C97" s="1"/>
      <c r="D97" s="1"/>
      <c r="E97" s="1"/>
      <c r="F97" s="1"/>
      <c r="G97" s="1"/>
      <c r="H97" s="1"/>
      <c r="I97" s="1"/>
      <c r="J97" s="1"/>
      <c r="K97" s="1"/>
      <c r="L97" s="1"/>
      <c r="M97" s="1"/>
      <c r="N97" s="1"/>
      <c r="O97" s="1"/>
      <c r="P97" s="1"/>
      <c r="Q97" s="1"/>
    </row>
    <row r="98" spans="1:17" x14ac:dyDescent="0.35">
      <c r="A98" s="1"/>
      <c r="B98" s="1"/>
      <c r="C98" s="1"/>
      <c r="D98" s="1"/>
      <c r="E98" s="1"/>
      <c r="F98" s="1"/>
      <c r="G98" s="1"/>
      <c r="H98" s="1"/>
      <c r="I98" s="1"/>
      <c r="J98" s="1"/>
      <c r="K98" s="1"/>
      <c r="L98" s="1"/>
      <c r="M98" s="1"/>
      <c r="N98" s="1"/>
      <c r="O98" s="1"/>
      <c r="P98" s="1"/>
      <c r="Q98" s="1"/>
    </row>
    <row r="99" spans="1:17" x14ac:dyDescent="0.35">
      <c r="A99" s="1"/>
      <c r="B99" s="1"/>
      <c r="C99" s="1"/>
      <c r="D99" s="1"/>
      <c r="E99" s="1"/>
      <c r="F99" s="1"/>
      <c r="G99" s="1"/>
      <c r="H99" s="1"/>
      <c r="I99" s="1"/>
      <c r="J99" s="1"/>
      <c r="K99" s="1"/>
      <c r="L99" s="1"/>
      <c r="M99" s="1"/>
      <c r="N99" s="1"/>
      <c r="O99" s="1"/>
      <c r="P99" s="1"/>
      <c r="Q99" s="1"/>
    </row>
    <row r="100" spans="1:17" x14ac:dyDescent="0.35">
      <c r="A100" s="1"/>
      <c r="B100" s="1"/>
      <c r="C100" s="1"/>
      <c r="D100" s="1"/>
      <c r="E100" s="1"/>
      <c r="F100" s="1"/>
      <c r="G100" s="1"/>
      <c r="H100" s="1"/>
      <c r="I100" s="1"/>
      <c r="J100" s="1"/>
      <c r="K100" s="1"/>
      <c r="L100" s="1"/>
      <c r="M100" s="1"/>
      <c r="N100" s="1"/>
      <c r="O100" s="1"/>
      <c r="P100" s="1"/>
      <c r="Q100" s="1"/>
    </row>
    <row r="101" spans="1:17" x14ac:dyDescent="0.35">
      <c r="A101" s="1"/>
      <c r="B101" s="1"/>
      <c r="C101" s="1"/>
      <c r="D101" s="1"/>
      <c r="E101" s="1"/>
      <c r="F101" s="1"/>
      <c r="G101" s="1"/>
      <c r="H101" s="1"/>
      <c r="I101" s="1"/>
      <c r="J101" s="1"/>
      <c r="K101" s="1"/>
      <c r="L101" s="1"/>
      <c r="M101" s="1"/>
      <c r="N101" s="1"/>
      <c r="O101" s="1"/>
      <c r="P101" s="1"/>
      <c r="Q101" s="1"/>
    </row>
    <row r="102" spans="1:17" x14ac:dyDescent="0.35">
      <c r="A102" s="1"/>
      <c r="B102" s="1"/>
      <c r="C102" s="1"/>
      <c r="D102" s="1"/>
      <c r="E102" s="1"/>
      <c r="F102" s="1"/>
      <c r="G102" s="1"/>
      <c r="H102" s="1"/>
      <c r="I102" s="1"/>
      <c r="J102" s="1"/>
      <c r="K102" s="1"/>
      <c r="L102" s="1"/>
      <c r="M102" s="1"/>
      <c r="N102" s="1"/>
      <c r="O102" s="1"/>
      <c r="P102" s="1"/>
      <c r="Q102" s="1"/>
    </row>
    <row r="103" spans="1:17" x14ac:dyDescent="0.35">
      <c r="A103" s="1"/>
      <c r="B103" s="1"/>
      <c r="C103" s="1"/>
      <c r="D103" s="1"/>
      <c r="E103" s="1"/>
      <c r="F103" s="1"/>
      <c r="G103" s="1"/>
      <c r="H103" s="1"/>
      <c r="I103" s="1"/>
      <c r="J103" s="1"/>
      <c r="K103" s="1"/>
      <c r="L103" s="1"/>
      <c r="M103" s="1"/>
      <c r="N103" s="1"/>
      <c r="O103" s="1"/>
      <c r="P103" s="1"/>
      <c r="Q103" s="1"/>
    </row>
    <row r="104" spans="1:17" x14ac:dyDescent="0.35">
      <c r="A104" s="1"/>
      <c r="B104" s="1"/>
      <c r="C104" s="1"/>
      <c r="D104" s="1"/>
      <c r="E104" s="1"/>
      <c r="F104" s="1"/>
      <c r="G104" s="1"/>
      <c r="H104" s="1"/>
      <c r="I104" s="1"/>
      <c r="J104" s="1"/>
      <c r="K104" s="1"/>
      <c r="L104" s="1"/>
      <c r="M104" s="1"/>
      <c r="N104" s="1"/>
      <c r="O104" s="1"/>
      <c r="P104" s="1"/>
      <c r="Q104" s="1"/>
    </row>
    <row r="105" spans="1:17" x14ac:dyDescent="0.35">
      <c r="A105" s="1"/>
      <c r="B105" s="1"/>
      <c r="C105" s="1"/>
      <c r="D105" s="1"/>
      <c r="E105" s="1"/>
      <c r="F105" s="1"/>
      <c r="G105" s="1"/>
      <c r="H105" s="1"/>
      <c r="I105" s="1"/>
      <c r="J105" s="1"/>
      <c r="K105" s="1"/>
      <c r="L105" s="1"/>
      <c r="M105" s="1"/>
      <c r="N105" s="1"/>
      <c r="O105" s="1"/>
      <c r="P105" s="1"/>
      <c r="Q105" s="1"/>
    </row>
    <row r="106" spans="1:17" x14ac:dyDescent="0.35">
      <c r="A106" s="1"/>
      <c r="B106" s="1"/>
      <c r="C106" s="1"/>
      <c r="D106" s="1"/>
      <c r="E106" s="1"/>
      <c r="F106" s="1"/>
      <c r="G106" s="1"/>
      <c r="H106" s="1"/>
      <c r="I106" s="1"/>
      <c r="J106" s="1"/>
      <c r="K106" s="1"/>
      <c r="L106" s="1"/>
      <c r="M106" s="1"/>
      <c r="N106" s="1"/>
      <c r="O106" s="1"/>
      <c r="P106" s="1"/>
      <c r="Q106" s="1"/>
    </row>
    <row r="107" spans="1:17" x14ac:dyDescent="0.35">
      <c r="A107" s="1"/>
      <c r="B107" s="1"/>
      <c r="C107" s="1"/>
      <c r="D107" s="1"/>
      <c r="E107" s="1"/>
      <c r="F107" s="1"/>
      <c r="G107" s="1"/>
      <c r="H107" s="1"/>
      <c r="I107" s="1"/>
      <c r="J107" s="1"/>
      <c r="K107" s="1"/>
      <c r="L107" s="1"/>
      <c r="M107" s="1"/>
      <c r="N107" s="1"/>
      <c r="O107" s="1"/>
      <c r="P107" s="1"/>
      <c r="Q107" s="1"/>
    </row>
    <row r="108" spans="1:17" x14ac:dyDescent="0.35">
      <c r="A108" s="1"/>
      <c r="B108" s="1"/>
      <c r="C108" s="1"/>
      <c r="D108" s="1"/>
      <c r="E108" s="1"/>
      <c r="F108" s="1"/>
      <c r="G108" s="1"/>
      <c r="H108" s="1"/>
      <c r="I108" s="1"/>
      <c r="J108" s="1"/>
      <c r="K108" s="1"/>
      <c r="L108" s="1"/>
      <c r="M108" s="1"/>
      <c r="N108" s="1"/>
      <c r="O108" s="1"/>
      <c r="P108" s="1"/>
      <c r="Q108" s="1"/>
    </row>
    <row r="109" spans="1:17" x14ac:dyDescent="0.35">
      <c r="A109" s="1"/>
      <c r="B109" s="1"/>
      <c r="C109" s="1"/>
      <c r="D109" s="1"/>
      <c r="E109" s="1"/>
      <c r="F109" s="1"/>
      <c r="G109" s="1"/>
      <c r="H109" s="1"/>
      <c r="I109" s="1"/>
      <c r="J109" s="1"/>
      <c r="K109" s="1"/>
      <c r="L109" s="1"/>
      <c r="M109" s="1"/>
      <c r="N109" s="1"/>
      <c r="O109" s="1"/>
      <c r="P109" s="1"/>
      <c r="Q109" s="1"/>
    </row>
    <row r="110" spans="1:17" x14ac:dyDescent="0.35">
      <c r="A110" s="1"/>
      <c r="B110" s="1"/>
      <c r="C110" s="1"/>
      <c r="D110" s="1"/>
      <c r="E110" s="1"/>
      <c r="F110" s="1"/>
      <c r="G110" s="1"/>
      <c r="H110" s="1"/>
      <c r="I110" s="1"/>
      <c r="J110" s="1"/>
      <c r="K110" s="1"/>
      <c r="L110" s="1"/>
      <c r="M110" s="1"/>
      <c r="N110" s="1"/>
      <c r="O110" s="1"/>
      <c r="P110" s="1"/>
      <c r="Q110" s="1"/>
    </row>
    <row r="111" spans="1:17" x14ac:dyDescent="0.35">
      <c r="A111" s="1"/>
      <c r="B111" s="1"/>
      <c r="C111" s="1"/>
      <c r="D111" s="1"/>
      <c r="E111" s="1"/>
      <c r="F111" s="1"/>
      <c r="G111" s="1"/>
      <c r="H111" s="1"/>
      <c r="I111" s="1"/>
      <c r="J111" s="1"/>
      <c r="K111" s="1"/>
      <c r="L111" s="1"/>
      <c r="M111" s="1"/>
      <c r="N111" s="1"/>
      <c r="O111" s="1"/>
      <c r="P111" s="1"/>
      <c r="Q111" s="1"/>
    </row>
    <row r="112" spans="1:17" x14ac:dyDescent="0.35">
      <c r="A112" s="1"/>
      <c r="B112" s="1"/>
      <c r="C112" s="1"/>
      <c r="D112" s="1"/>
      <c r="E112" s="1"/>
      <c r="F112" s="1"/>
      <c r="G112" s="1"/>
      <c r="H112" s="1"/>
      <c r="I112" s="1"/>
      <c r="J112" s="1"/>
      <c r="K112" s="1"/>
      <c r="L112" s="1"/>
      <c r="M112" s="1"/>
      <c r="N112" s="1"/>
      <c r="O112" s="1"/>
      <c r="P112" s="1"/>
      <c r="Q112" s="1"/>
    </row>
    <row r="113" spans="1:17" x14ac:dyDescent="0.35">
      <c r="A113" s="1"/>
      <c r="B113" s="1"/>
      <c r="C113" s="1"/>
      <c r="D113" s="1"/>
      <c r="E113" s="1"/>
      <c r="F113" s="1"/>
      <c r="G113" s="1"/>
      <c r="H113" s="1"/>
      <c r="I113" s="1"/>
      <c r="J113" s="1"/>
      <c r="K113" s="1"/>
      <c r="L113" s="1"/>
      <c r="M113" s="1"/>
      <c r="N113" s="1"/>
      <c r="O113" s="1"/>
      <c r="P113" s="1"/>
      <c r="Q113" s="1"/>
    </row>
    <row r="114" spans="1:17" x14ac:dyDescent="0.35">
      <c r="A114" s="1"/>
      <c r="B114" s="1"/>
      <c r="C114" s="1"/>
      <c r="D114" s="1"/>
      <c r="E114" s="1"/>
      <c r="F114" s="1"/>
      <c r="G114" s="1"/>
      <c r="H114" s="1"/>
      <c r="I114" s="1"/>
      <c r="J114" s="1"/>
      <c r="K114" s="1"/>
      <c r="L114" s="1"/>
      <c r="M114" s="1"/>
      <c r="N114" s="1"/>
      <c r="O114" s="1"/>
      <c r="P114" s="1"/>
      <c r="Q114" s="1"/>
    </row>
    <row r="115" spans="1:17" x14ac:dyDescent="0.35">
      <c r="A115" s="1"/>
      <c r="B115" s="1"/>
      <c r="C115" s="1"/>
      <c r="D115" s="1"/>
      <c r="E115" s="1"/>
      <c r="F115" s="1"/>
      <c r="G115" s="1"/>
      <c r="H115" s="1"/>
      <c r="I115" s="1"/>
      <c r="J115" s="1"/>
      <c r="K115" s="1"/>
      <c r="L115" s="1"/>
      <c r="M115" s="1"/>
      <c r="N115" s="1"/>
      <c r="O115" s="1"/>
      <c r="P115" s="1"/>
      <c r="Q115" s="1"/>
    </row>
    <row r="116" spans="1:17" x14ac:dyDescent="0.35">
      <c r="A116" s="1"/>
      <c r="B116" s="1"/>
      <c r="C116" s="1"/>
      <c r="D116" s="1"/>
      <c r="E116" s="1"/>
      <c r="F116" s="1"/>
      <c r="G116" s="1"/>
      <c r="H116" s="1"/>
      <c r="I116" s="1"/>
      <c r="J116" s="1"/>
      <c r="K116" s="1"/>
      <c r="L116" s="1"/>
      <c r="M116" s="1"/>
      <c r="N116" s="1"/>
      <c r="O116" s="1"/>
      <c r="P116" s="1"/>
      <c r="Q116" s="1"/>
    </row>
    <row r="117" spans="1:17" x14ac:dyDescent="0.35">
      <c r="A117" s="1"/>
      <c r="B117" s="1"/>
      <c r="C117" s="1"/>
      <c r="D117" s="1"/>
      <c r="E117" s="1"/>
      <c r="F117" s="1"/>
      <c r="G117" s="1"/>
      <c r="H117" s="1"/>
      <c r="I117" s="1"/>
      <c r="J117" s="1"/>
      <c r="K117" s="1"/>
      <c r="L117" s="1"/>
      <c r="M117" s="1"/>
      <c r="N117" s="1"/>
      <c r="O117" s="1"/>
      <c r="P117" s="1"/>
      <c r="Q117" s="1"/>
    </row>
    <row r="118" spans="1:17" x14ac:dyDescent="0.35">
      <c r="A118" s="1"/>
      <c r="B118" s="1"/>
      <c r="C118" s="1"/>
      <c r="D118" s="1"/>
      <c r="E118" s="1"/>
      <c r="F118" s="1"/>
      <c r="G118" s="1"/>
      <c r="H118" s="1"/>
      <c r="I118" s="1"/>
      <c r="J118" s="1"/>
      <c r="K118" s="1"/>
      <c r="L118" s="1"/>
      <c r="M118" s="1"/>
      <c r="N118" s="1"/>
      <c r="O118" s="1"/>
      <c r="P118" s="1"/>
      <c r="Q118" s="1"/>
    </row>
    <row r="119" spans="1:17" x14ac:dyDescent="0.35">
      <c r="A119" s="1"/>
      <c r="B119" s="1"/>
      <c r="C119" s="1"/>
      <c r="D119" s="1"/>
      <c r="E119" s="1"/>
      <c r="F119" s="1"/>
      <c r="G119" s="1"/>
      <c r="H119" s="1"/>
      <c r="I119" s="1"/>
      <c r="J119" s="1"/>
      <c r="K119" s="1"/>
      <c r="L119" s="1"/>
      <c r="M119" s="1"/>
      <c r="N119" s="1"/>
      <c r="O119" s="1"/>
      <c r="P119" s="1"/>
      <c r="Q119" s="1"/>
    </row>
    <row r="120" spans="1:17" x14ac:dyDescent="0.35">
      <c r="A120" s="1"/>
      <c r="B120" s="1"/>
      <c r="C120" s="1"/>
      <c r="D120" s="1"/>
      <c r="E120" s="1"/>
      <c r="F120" s="1"/>
      <c r="G120" s="1"/>
      <c r="H120" s="1"/>
      <c r="I120" s="1"/>
      <c r="J120" s="1"/>
      <c r="K120" s="1"/>
      <c r="L120" s="1"/>
      <c r="M120" s="1"/>
      <c r="N120" s="1"/>
      <c r="O120" s="1"/>
      <c r="P120" s="1"/>
      <c r="Q120" s="1"/>
    </row>
    <row r="121" spans="1:17" x14ac:dyDescent="0.35">
      <c r="A121" s="1"/>
      <c r="B121" s="1"/>
      <c r="C121" s="1"/>
      <c r="D121" s="1"/>
      <c r="E121" s="1"/>
      <c r="F121" s="1"/>
      <c r="G121" s="1"/>
      <c r="H121" s="1"/>
      <c r="I121" s="1"/>
      <c r="J121" s="1"/>
      <c r="K121" s="1"/>
      <c r="L121" s="1"/>
      <c r="M121" s="1"/>
      <c r="N121" s="1"/>
      <c r="O121" s="1"/>
      <c r="P121" s="1"/>
      <c r="Q121" s="1"/>
    </row>
    <row r="122" spans="1:17" x14ac:dyDescent="0.35">
      <c r="A122" s="1"/>
      <c r="B122" s="1"/>
      <c r="C122" s="1"/>
      <c r="D122" s="1"/>
      <c r="E122" s="1"/>
      <c r="F122" s="1"/>
      <c r="G122" s="1"/>
      <c r="H122" s="1"/>
      <c r="I122" s="1"/>
      <c r="J122" s="1"/>
      <c r="K122" s="1"/>
      <c r="L122" s="1"/>
      <c r="M122" s="1"/>
      <c r="N122" s="1"/>
      <c r="O122" s="1"/>
      <c r="P122" s="1"/>
      <c r="Q122" s="1"/>
    </row>
    <row r="123" spans="1:17" x14ac:dyDescent="0.35">
      <c r="A123" s="1"/>
      <c r="B123" s="1"/>
      <c r="C123" s="1"/>
      <c r="D123" s="1"/>
      <c r="E123" s="1"/>
      <c r="F123" s="1"/>
      <c r="G123" s="1"/>
      <c r="H123" s="1"/>
      <c r="I123" s="1"/>
      <c r="J123" s="1"/>
      <c r="K123" s="1"/>
      <c r="L123" s="1"/>
      <c r="M123" s="1"/>
      <c r="N123" s="1"/>
      <c r="O123" s="1"/>
      <c r="P123" s="1"/>
      <c r="Q123" s="1"/>
    </row>
    <row r="124" spans="1:17" x14ac:dyDescent="0.35">
      <c r="A124" s="1"/>
      <c r="B124" s="1"/>
      <c r="C124" s="1"/>
      <c r="D124" s="1"/>
      <c r="E124" s="1"/>
      <c r="F124" s="1"/>
      <c r="G124" s="1"/>
      <c r="H124" s="1"/>
      <c r="I124" s="1"/>
      <c r="J124" s="1"/>
      <c r="K124" s="1"/>
      <c r="L124" s="1"/>
      <c r="M124" s="1"/>
      <c r="N124" s="1"/>
      <c r="O124" s="1"/>
      <c r="P124" s="1"/>
      <c r="Q124" s="1"/>
    </row>
    <row r="125" spans="1:17" x14ac:dyDescent="0.35">
      <c r="A125" s="1"/>
      <c r="B125" s="1"/>
      <c r="C125" s="1"/>
      <c r="D125" s="1"/>
      <c r="E125" s="1"/>
      <c r="F125" s="1"/>
      <c r="G125" s="1"/>
      <c r="H125" s="1"/>
      <c r="I125" s="1"/>
      <c r="J125" s="1"/>
      <c r="K125" s="1"/>
      <c r="L125" s="1"/>
      <c r="M125" s="1"/>
      <c r="N125" s="1"/>
      <c r="O125" s="1"/>
      <c r="P125" s="1"/>
      <c r="Q125" s="1"/>
    </row>
    <row r="126" spans="1:17" x14ac:dyDescent="0.35">
      <c r="A126" s="1"/>
      <c r="B126" s="1"/>
      <c r="C126" s="1"/>
      <c r="D126" s="1"/>
      <c r="E126" s="1"/>
      <c r="F126" s="1"/>
      <c r="G126" s="1"/>
      <c r="H126" s="1"/>
      <c r="I126" s="1"/>
      <c r="J126" s="1"/>
      <c r="K126" s="1"/>
      <c r="L126" s="1"/>
      <c r="M126" s="1"/>
      <c r="N126" s="1"/>
      <c r="O126" s="1"/>
      <c r="P126" s="1"/>
      <c r="Q126" s="1"/>
    </row>
    <row r="127" spans="1:17" x14ac:dyDescent="0.35">
      <c r="A127" s="1"/>
      <c r="B127" s="1"/>
      <c r="C127" s="1"/>
      <c r="D127" s="1"/>
      <c r="E127" s="1"/>
      <c r="F127" s="1"/>
      <c r="G127" s="1"/>
      <c r="H127" s="1"/>
      <c r="I127" s="1"/>
      <c r="J127" s="1"/>
      <c r="K127" s="1"/>
      <c r="L127" s="1"/>
      <c r="M127" s="1"/>
      <c r="N127" s="1"/>
      <c r="O127" s="1"/>
      <c r="P127" s="1"/>
      <c r="Q127" s="1"/>
    </row>
    <row r="128" spans="1:17" x14ac:dyDescent="0.35">
      <c r="A128" s="1"/>
      <c r="B128" s="1"/>
      <c r="C128" s="1"/>
      <c r="D128" s="1"/>
      <c r="E128" s="1"/>
      <c r="F128" s="1"/>
      <c r="G128" s="1"/>
      <c r="H128" s="1"/>
      <c r="I128" s="1"/>
      <c r="J128" s="1"/>
      <c r="K128" s="1"/>
      <c r="L128" s="1"/>
      <c r="M128" s="1"/>
      <c r="N128" s="1"/>
      <c r="O128" s="1"/>
      <c r="P128" s="1"/>
      <c r="Q128" s="1"/>
    </row>
    <row r="129" spans="1:17" x14ac:dyDescent="0.35">
      <c r="A129" s="1"/>
      <c r="B129" s="1"/>
      <c r="C129" s="1"/>
      <c r="D129" s="1"/>
      <c r="E129" s="1"/>
      <c r="F129" s="1"/>
      <c r="G129" s="1"/>
      <c r="H129" s="1"/>
      <c r="I129" s="1"/>
      <c r="J129" s="1"/>
      <c r="K129" s="1"/>
      <c r="L129" s="1"/>
      <c r="M129" s="1"/>
      <c r="N129" s="1"/>
      <c r="O129" s="1"/>
      <c r="P129" s="1"/>
      <c r="Q129" s="1"/>
    </row>
    <row r="130" spans="1:17" x14ac:dyDescent="0.35">
      <c r="A130" s="1"/>
      <c r="B130" s="1"/>
      <c r="C130" s="1"/>
      <c r="D130" s="1"/>
      <c r="E130" s="1"/>
      <c r="F130" s="1"/>
      <c r="G130" s="1"/>
      <c r="H130" s="1"/>
      <c r="I130" s="1"/>
      <c r="J130" s="1"/>
      <c r="K130" s="1"/>
      <c r="L130" s="1"/>
      <c r="M130" s="1"/>
      <c r="N130" s="1"/>
      <c r="O130" s="1"/>
      <c r="P130" s="1"/>
      <c r="Q130" s="1"/>
    </row>
    <row r="131" spans="1:17" x14ac:dyDescent="0.35">
      <c r="A131" s="1"/>
      <c r="B131" s="1"/>
      <c r="C131" s="1"/>
      <c r="D131" s="1"/>
      <c r="E131" s="1"/>
      <c r="F131" s="1"/>
      <c r="G131" s="1"/>
      <c r="H131" s="1"/>
      <c r="I131" s="1"/>
      <c r="J131" s="1"/>
      <c r="K131" s="1"/>
      <c r="L131" s="1"/>
      <c r="M131" s="1"/>
      <c r="N131" s="1"/>
      <c r="O131" s="1"/>
      <c r="P131" s="1"/>
      <c r="Q131" s="1"/>
    </row>
    <row r="132" spans="1:17" x14ac:dyDescent="0.35">
      <c r="A132" s="1"/>
      <c r="B132" s="1"/>
      <c r="C132" s="1"/>
      <c r="D132" s="1"/>
      <c r="E132" s="1"/>
      <c r="F132" s="1"/>
      <c r="G132" s="1"/>
      <c r="H132" s="1"/>
      <c r="I132" s="1"/>
      <c r="J132" s="1"/>
      <c r="K132" s="1"/>
      <c r="L132" s="1"/>
      <c r="M132" s="1"/>
      <c r="N132" s="1"/>
      <c r="O132" s="1"/>
      <c r="P132" s="1"/>
      <c r="Q132" s="1"/>
    </row>
    <row r="133" spans="1:17" x14ac:dyDescent="0.35">
      <c r="A133" s="1"/>
      <c r="B133" s="1"/>
      <c r="C133" s="1"/>
      <c r="D133" s="1"/>
      <c r="E133" s="1"/>
      <c r="F133" s="1"/>
      <c r="G133" s="1"/>
      <c r="H133" s="1"/>
      <c r="I133" s="1"/>
      <c r="J133" s="1"/>
      <c r="K133" s="1"/>
      <c r="L133" s="1"/>
      <c r="M133" s="1"/>
      <c r="N133" s="1"/>
      <c r="O133" s="1"/>
      <c r="P133" s="1"/>
      <c r="Q133" s="1"/>
    </row>
    <row r="134" spans="1:17" x14ac:dyDescent="0.35">
      <c r="A134" s="1"/>
      <c r="B134" s="1"/>
      <c r="C134" s="1"/>
      <c r="D134" s="1"/>
      <c r="E134" s="1"/>
      <c r="F134" s="1"/>
      <c r="G134" s="1"/>
      <c r="H134" s="1"/>
      <c r="I134" s="1"/>
      <c r="J134" s="1"/>
      <c r="K134" s="1"/>
      <c r="L134" s="1"/>
      <c r="M134" s="1"/>
      <c r="N134" s="1"/>
      <c r="O134" s="1"/>
      <c r="P134" s="1"/>
      <c r="Q134" s="1"/>
    </row>
    <row r="135" spans="1:17" x14ac:dyDescent="0.35">
      <c r="A135" s="1"/>
      <c r="B135" s="1"/>
      <c r="C135" s="1"/>
      <c r="D135" s="1"/>
      <c r="E135" s="1"/>
      <c r="F135" s="1"/>
      <c r="G135" s="1"/>
      <c r="H135" s="1"/>
      <c r="I135" s="1"/>
      <c r="J135" s="1"/>
      <c r="K135" s="1"/>
      <c r="L135" s="1"/>
      <c r="M135" s="1"/>
      <c r="N135" s="1"/>
      <c r="O135" s="1"/>
      <c r="P135" s="1"/>
      <c r="Q135" s="1"/>
    </row>
    <row r="136" spans="1:17" x14ac:dyDescent="0.35">
      <c r="A136" s="1"/>
      <c r="B136" s="1"/>
      <c r="C136" s="1"/>
      <c r="D136" s="1"/>
      <c r="E136" s="1"/>
      <c r="F136" s="1"/>
      <c r="G136" s="1"/>
      <c r="H136" s="1"/>
      <c r="I136" s="1"/>
      <c r="J136" s="1"/>
      <c r="K136" s="1"/>
      <c r="L136" s="1"/>
      <c r="M136" s="1"/>
      <c r="N136" s="1"/>
      <c r="O136" s="1"/>
      <c r="P136" s="1"/>
      <c r="Q136" s="1"/>
    </row>
    <row r="137" spans="1:17" x14ac:dyDescent="0.35">
      <c r="A137" s="1"/>
      <c r="B137" s="1"/>
      <c r="C137" s="1"/>
      <c r="D137" s="1"/>
      <c r="E137" s="1"/>
      <c r="F137" s="1"/>
      <c r="G137" s="1"/>
      <c r="H137" s="1"/>
      <c r="I137" s="1"/>
      <c r="J137" s="1"/>
      <c r="K137" s="1"/>
      <c r="L137" s="1"/>
      <c r="M137" s="1"/>
      <c r="N137" s="1"/>
      <c r="O137" s="1"/>
      <c r="P137" s="1"/>
      <c r="Q137" s="1"/>
    </row>
    <row r="138" spans="1:17" x14ac:dyDescent="0.35">
      <c r="A138" s="1"/>
      <c r="B138" s="1"/>
      <c r="C138" s="1"/>
      <c r="D138" s="1"/>
      <c r="E138" s="1"/>
      <c r="F138" s="1"/>
      <c r="G138" s="1"/>
      <c r="H138" s="1"/>
      <c r="I138" s="1"/>
      <c r="J138" s="1"/>
      <c r="K138" s="1"/>
      <c r="L138" s="1"/>
      <c r="M138" s="1"/>
      <c r="N138" s="1"/>
      <c r="O138" s="1"/>
      <c r="P138" s="1"/>
      <c r="Q138" s="1"/>
    </row>
    <row r="139" spans="1:17" x14ac:dyDescent="0.35">
      <c r="A139" s="1"/>
      <c r="B139" s="1"/>
      <c r="C139" s="1"/>
      <c r="D139" s="1"/>
      <c r="E139" s="1"/>
      <c r="F139" s="1"/>
      <c r="G139" s="1"/>
      <c r="H139" s="1"/>
      <c r="I139" s="1"/>
      <c r="J139" s="1"/>
      <c r="K139" s="1"/>
      <c r="L139" s="1"/>
      <c r="M139" s="1"/>
      <c r="N139" s="1"/>
      <c r="O139" s="1"/>
      <c r="P139" s="1"/>
      <c r="Q139" s="1"/>
    </row>
    <row r="140" spans="1:17" x14ac:dyDescent="0.35">
      <c r="A140" s="1"/>
      <c r="B140" s="1"/>
      <c r="C140" s="1"/>
      <c r="D140" s="1"/>
      <c r="E140" s="1"/>
      <c r="F140" s="1"/>
      <c r="G140" s="1"/>
      <c r="H140" s="1"/>
      <c r="I140" s="1"/>
      <c r="J140" s="1"/>
      <c r="K140" s="1"/>
      <c r="L140" s="1"/>
      <c r="M140" s="1"/>
      <c r="N140" s="1"/>
      <c r="O140" s="1"/>
      <c r="P140" s="1"/>
      <c r="Q140" s="1"/>
    </row>
    <row r="141" spans="1:17" x14ac:dyDescent="0.35">
      <c r="A141" s="1"/>
      <c r="B141" s="1"/>
      <c r="C141" s="1"/>
      <c r="D141" s="1"/>
      <c r="E141" s="1"/>
      <c r="F141" s="1"/>
      <c r="G141" s="1"/>
      <c r="H141" s="1"/>
      <c r="I141" s="1"/>
      <c r="J141" s="1"/>
      <c r="K141" s="1"/>
      <c r="L141" s="1"/>
      <c r="M141" s="1"/>
      <c r="N141" s="1"/>
      <c r="O141" s="1"/>
      <c r="P141" s="1"/>
      <c r="Q141" s="1"/>
    </row>
    <row r="142" spans="1:17" x14ac:dyDescent="0.35">
      <c r="A142" s="1"/>
      <c r="B142" s="1"/>
      <c r="C142" s="1"/>
      <c r="D142" s="1"/>
      <c r="E142" s="1"/>
      <c r="F142" s="1"/>
      <c r="G142" s="1"/>
      <c r="H142" s="1"/>
      <c r="I142" s="1"/>
      <c r="J142" s="1"/>
      <c r="K142" s="1"/>
      <c r="L142" s="1"/>
      <c r="M142" s="1"/>
      <c r="N142" s="1"/>
      <c r="O142" s="1"/>
      <c r="P142" s="1"/>
      <c r="Q142" s="1"/>
    </row>
    <row r="143" spans="1:17" x14ac:dyDescent="0.35">
      <c r="A143" s="1"/>
      <c r="B143" s="1"/>
      <c r="C143" s="1"/>
      <c r="D143" s="1"/>
      <c r="E143" s="1"/>
      <c r="F143" s="1"/>
      <c r="G143" s="1"/>
      <c r="H143" s="1"/>
      <c r="I143" s="1"/>
      <c r="J143" s="1"/>
      <c r="K143" s="1"/>
      <c r="L143" s="1"/>
      <c r="M143" s="1"/>
      <c r="N143" s="1"/>
      <c r="O143" s="1"/>
      <c r="P143" s="1"/>
      <c r="Q143" s="1"/>
    </row>
    <row r="144" spans="1:17" x14ac:dyDescent="0.35">
      <c r="A144" s="1"/>
      <c r="B144" s="1"/>
      <c r="C144" s="1"/>
      <c r="D144" s="1"/>
      <c r="E144" s="1"/>
      <c r="F144" s="1"/>
      <c r="G144" s="1"/>
      <c r="H144" s="1"/>
      <c r="I144" s="1"/>
      <c r="J144" s="1"/>
      <c r="K144" s="1"/>
      <c r="L144" s="1"/>
      <c r="M144" s="1"/>
      <c r="N144" s="1"/>
      <c r="O144" s="1"/>
      <c r="P144" s="1"/>
      <c r="Q144" s="1"/>
    </row>
    <row r="145" spans="1:17" x14ac:dyDescent="0.35">
      <c r="A145" s="1"/>
      <c r="B145" s="1"/>
      <c r="C145" s="1"/>
      <c r="D145" s="1"/>
      <c r="E145" s="1"/>
      <c r="F145" s="1"/>
      <c r="G145" s="1"/>
      <c r="H145" s="1"/>
      <c r="I145" s="1"/>
      <c r="J145" s="1"/>
      <c r="K145" s="1"/>
      <c r="L145" s="1"/>
      <c r="M145" s="1"/>
      <c r="N145" s="1"/>
      <c r="O145" s="1"/>
      <c r="P145" s="1"/>
      <c r="Q145" s="1"/>
    </row>
    <row r="146" spans="1:17" x14ac:dyDescent="0.35">
      <c r="A146" s="1"/>
      <c r="B146" s="1"/>
      <c r="C146" s="1"/>
      <c r="D146" s="1"/>
      <c r="E146" s="1"/>
      <c r="F146" s="1"/>
      <c r="G146" s="1"/>
      <c r="H146" s="1"/>
      <c r="I146" s="1"/>
      <c r="J146" s="1"/>
      <c r="K146" s="1"/>
      <c r="L146" s="1"/>
      <c r="M146" s="1"/>
      <c r="N146" s="1"/>
      <c r="O146" s="1"/>
      <c r="P146" s="1"/>
      <c r="Q146" s="1"/>
    </row>
    <row r="147" spans="1:17" x14ac:dyDescent="0.35">
      <c r="A147" s="1"/>
      <c r="B147" s="1"/>
      <c r="C147" s="1"/>
      <c r="D147" s="1"/>
      <c r="E147" s="1"/>
      <c r="F147" s="1"/>
      <c r="G147" s="1"/>
      <c r="H147" s="1"/>
      <c r="I147" s="1"/>
      <c r="J147" s="1"/>
      <c r="K147" s="1"/>
      <c r="L147" s="1"/>
      <c r="M147" s="1"/>
      <c r="N147" s="1"/>
      <c r="O147" s="1"/>
      <c r="P147" s="1"/>
      <c r="Q147" s="1"/>
    </row>
    <row r="148" spans="1:17" x14ac:dyDescent="0.35">
      <c r="A148" s="1"/>
      <c r="B148" s="1"/>
      <c r="C148" s="1"/>
      <c r="D148" s="1"/>
      <c r="E148" s="1"/>
      <c r="F148" s="1"/>
      <c r="G148" s="1"/>
      <c r="H148" s="1"/>
      <c r="I148" s="1"/>
      <c r="J148" s="1"/>
      <c r="K148" s="1"/>
      <c r="L148" s="1"/>
      <c r="M148" s="1"/>
      <c r="N148" s="1"/>
      <c r="O148" s="1"/>
      <c r="P148" s="1"/>
      <c r="Q148" s="1"/>
    </row>
    <row r="149" spans="1:17" x14ac:dyDescent="0.35">
      <c r="A149" s="1"/>
      <c r="B149" s="1"/>
      <c r="C149" s="1"/>
      <c r="D149" s="1"/>
      <c r="E149" s="1"/>
      <c r="F149" s="1"/>
      <c r="G149" s="1"/>
      <c r="H149" s="1"/>
      <c r="I149" s="1"/>
      <c r="J149" s="1"/>
      <c r="K149" s="1"/>
      <c r="L149" s="1"/>
      <c r="M149" s="1"/>
      <c r="N149" s="1"/>
      <c r="O149" s="1"/>
      <c r="P149" s="1"/>
      <c r="Q149" s="1"/>
    </row>
    <row r="150" spans="1:17" x14ac:dyDescent="0.35">
      <c r="A150" s="1"/>
      <c r="B150" s="1"/>
      <c r="C150" s="1"/>
      <c r="D150" s="1"/>
      <c r="E150" s="1"/>
      <c r="F150" s="1"/>
      <c r="G150" s="1"/>
      <c r="H150" s="1"/>
      <c r="I150" s="1"/>
      <c r="J150" s="1"/>
      <c r="K150" s="1"/>
      <c r="L150" s="1"/>
      <c r="M150" s="1"/>
      <c r="N150" s="1"/>
      <c r="O150" s="1"/>
      <c r="P150" s="1"/>
      <c r="Q150" s="1"/>
    </row>
    <row r="151" spans="1:17" x14ac:dyDescent="0.35">
      <c r="A151" s="1"/>
      <c r="B151" s="1"/>
      <c r="C151" s="1"/>
      <c r="D151" s="1"/>
      <c r="E151" s="1"/>
      <c r="F151" s="1"/>
      <c r="G151" s="1"/>
      <c r="H151" s="1"/>
      <c r="I151" s="1"/>
      <c r="J151" s="1"/>
      <c r="K151" s="1"/>
      <c r="L151" s="1"/>
      <c r="M151" s="1"/>
      <c r="N151" s="1"/>
      <c r="O151" s="1"/>
      <c r="P151" s="1"/>
      <c r="Q151" s="1"/>
    </row>
    <row r="152" spans="1:17" x14ac:dyDescent="0.35">
      <c r="A152" s="1"/>
      <c r="B152" s="1"/>
      <c r="C152" s="1"/>
      <c r="D152" s="1"/>
      <c r="E152" s="1"/>
      <c r="F152" s="1"/>
      <c r="G152" s="1"/>
      <c r="H152" s="1"/>
      <c r="I152" s="1"/>
      <c r="J152" s="1"/>
      <c r="K152" s="1"/>
      <c r="L152" s="1"/>
      <c r="M152" s="1"/>
      <c r="N152" s="1"/>
      <c r="O152" s="1"/>
      <c r="P152" s="1"/>
      <c r="Q152" s="1"/>
    </row>
    <row r="153" spans="1:17" x14ac:dyDescent="0.35">
      <c r="A153" s="1"/>
      <c r="B153" s="1"/>
      <c r="C153" s="1"/>
      <c r="D153" s="1"/>
      <c r="E153" s="1"/>
      <c r="F153" s="1"/>
      <c r="G153" s="1"/>
      <c r="H153" s="1"/>
      <c r="I153" s="1"/>
      <c r="J153" s="1"/>
      <c r="K153" s="1"/>
      <c r="L153" s="1"/>
      <c r="M153" s="1"/>
      <c r="N153" s="1"/>
      <c r="O153" s="1"/>
      <c r="P153" s="1"/>
      <c r="Q153" s="1"/>
    </row>
    <row r="154" spans="1:17" x14ac:dyDescent="0.35">
      <c r="A154" s="1"/>
      <c r="B154" s="1"/>
      <c r="C154" s="1"/>
      <c r="D154" s="1"/>
      <c r="E154" s="1"/>
      <c r="F154" s="1"/>
      <c r="G154" s="1"/>
      <c r="H154" s="1"/>
      <c r="I154" s="1"/>
      <c r="J154" s="1"/>
      <c r="K154" s="1"/>
      <c r="L154" s="1"/>
      <c r="M154" s="1"/>
      <c r="N154" s="1"/>
      <c r="O154" s="1"/>
      <c r="P154" s="1"/>
      <c r="Q154" s="1"/>
    </row>
    <row r="155" spans="1:17" x14ac:dyDescent="0.35">
      <c r="A155" s="1"/>
      <c r="B155" s="1"/>
      <c r="C155" s="1"/>
      <c r="D155" s="1"/>
      <c r="E155" s="1"/>
      <c r="F155" s="1"/>
      <c r="G155" s="1"/>
      <c r="H155" s="1"/>
      <c r="I155" s="1"/>
      <c r="J155" s="1"/>
      <c r="K155" s="1"/>
      <c r="L155" s="1"/>
      <c r="M155" s="1"/>
      <c r="N155" s="1"/>
      <c r="O155" s="1"/>
      <c r="P155" s="1"/>
      <c r="Q155" s="1"/>
    </row>
    <row r="156" spans="1:17" x14ac:dyDescent="0.35">
      <c r="A156" s="1"/>
      <c r="B156" s="1"/>
      <c r="C156" s="1"/>
      <c r="D156" s="1"/>
      <c r="E156" s="1"/>
      <c r="F156" s="1"/>
      <c r="G156" s="1"/>
      <c r="H156" s="1"/>
      <c r="I156" s="1"/>
      <c r="J156" s="1"/>
      <c r="K156" s="1"/>
      <c r="L156" s="1"/>
      <c r="M156" s="1"/>
      <c r="N156" s="1"/>
      <c r="O156" s="1"/>
      <c r="P156" s="1"/>
      <c r="Q156" s="1"/>
    </row>
    <row r="157" spans="1:17" x14ac:dyDescent="0.35">
      <c r="A157" s="1"/>
      <c r="B157" s="1"/>
      <c r="C157" s="1"/>
      <c r="D157" s="1"/>
      <c r="E157" s="1"/>
      <c r="F157" s="1"/>
      <c r="G157" s="1"/>
      <c r="H157" s="1"/>
      <c r="I157" s="1"/>
      <c r="J157" s="1"/>
      <c r="K157" s="1"/>
      <c r="L157" s="1"/>
      <c r="M157" s="1"/>
      <c r="N157" s="1"/>
      <c r="O157" s="1"/>
      <c r="P157" s="1"/>
      <c r="Q157" s="1"/>
    </row>
    <row r="158" spans="1:17" x14ac:dyDescent="0.35">
      <c r="A158" s="1"/>
      <c r="B158" s="1"/>
      <c r="C158" s="1"/>
      <c r="D158" s="1"/>
      <c r="E158" s="1"/>
      <c r="F158" s="1"/>
      <c r="G158" s="1"/>
      <c r="H158" s="1"/>
      <c r="I158" s="1"/>
      <c r="J158" s="1"/>
      <c r="K158" s="1"/>
      <c r="L158" s="1"/>
      <c r="M158" s="1"/>
      <c r="N158" s="1"/>
      <c r="O158" s="1"/>
      <c r="P158" s="1"/>
      <c r="Q158" s="1"/>
    </row>
    <row r="159" spans="1:17" x14ac:dyDescent="0.35">
      <c r="A159" s="1"/>
      <c r="B159" s="1"/>
      <c r="C159" s="1"/>
      <c r="D159" s="1"/>
      <c r="E159" s="1"/>
      <c r="F159" s="1"/>
      <c r="G159" s="1"/>
      <c r="H159" s="1"/>
      <c r="I159" s="1"/>
      <c r="J159" s="1"/>
      <c r="K159" s="1"/>
      <c r="L159" s="1"/>
      <c r="M159" s="1"/>
      <c r="N159" s="1"/>
      <c r="O159" s="1"/>
      <c r="P159" s="1"/>
      <c r="Q159" s="1"/>
    </row>
    <row r="160" spans="1:17" x14ac:dyDescent="0.35">
      <c r="A160" s="1"/>
      <c r="B160" s="1"/>
      <c r="C160" s="1"/>
      <c r="D160" s="1"/>
      <c r="E160" s="1"/>
      <c r="F160" s="1"/>
      <c r="G160" s="1"/>
      <c r="H160" s="1"/>
      <c r="I160" s="1"/>
      <c r="J160" s="1"/>
      <c r="K160" s="1"/>
      <c r="L160" s="1"/>
      <c r="M160" s="1"/>
      <c r="N160" s="1"/>
      <c r="O160" s="1"/>
      <c r="P160" s="1"/>
      <c r="Q160" s="1"/>
    </row>
    <row r="161" spans="1:17" x14ac:dyDescent="0.35">
      <c r="A161" s="1"/>
      <c r="B161" s="1"/>
      <c r="C161" s="1"/>
      <c r="D161" s="1"/>
      <c r="E161" s="1"/>
      <c r="F161" s="1"/>
      <c r="G161" s="1"/>
      <c r="H161" s="1"/>
      <c r="I161" s="1"/>
      <c r="J161" s="1"/>
      <c r="K161" s="1"/>
      <c r="L161" s="1"/>
      <c r="M161" s="1"/>
      <c r="N161" s="1"/>
      <c r="O161" s="1"/>
      <c r="P161" s="1"/>
      <c r="Q161" s="1"/>
    </row>
    <row r="162" spans="1:17" x14ac:dyDescent="0.35">
      <c r="A162" s="1"/>
      <c r="B162" s="1"/>
      <c r="C162" s="1"/>
      <c r="D162" s="1"/>
      <c r="E162" s="1"/>
      <c r="F162" s="1"/>
      <c r="G162" s="1"/>
      <c r="H162" s="1"/>
      <c r="I162" s="1"/>
      <c r="J162" s="1"/>
      <c r="K162" s="1"/>
      <c r="L162" s="1"/>
      <c r="M162" s="1"/>
      <c r="N162" s="1"/>
      <c r="O162" s="1"/>
      <c r="P162" s="1"/>
      <c r="Q162" s="1"/>
    </row>
    <row r="163" spans="1:17" x14ac:dyDescent="0.35">
      <c r="A163" s="1"/>
      <c r="B163" s="1"/>
      <c r="C163" s="1"/>
      <c r="D163" s="1"/>
      <c r="E163" s="1"/>
      <c r="F163" s="1"/>
      <c r="G163" s="1"/>
      <c r="H163" s="1"/>
      <c r="I163" s="1"/>
      <c r="J163" s="1"/>
      <c r="K163" s="1"/>
      <c r="L163" s="1"/>
      <c r="M163" s="1"/>
      <c r="N163" s="1"/>
      <c r="O163" s="1"/>
      <c r="P163" s="1"/>
      <c r="Q163" s="1"/>
    </row>
    <row r="164" spans="1:17" x14ac:dyDescent="0.35">
      <c r="A164" s="1"/>
      <c r="B164" s="1"/>
      <c r="C164" s="1"/>
      <c r="D164" s="1"/>
      <c r="E164" s="1"/>
      <c r="F164" s="1"/>
      <c r="G164" s="1"/>
      <c r="H164" s="1"/>
      <c r="I164" s="1"/>
      <c r="J164" s="1"/>
      <c r="K164" s="1"/>
      <c r="L164" s="1"/>
      <c r="M164" s="1"/>
      <c r="N164" s="1"/>
      <c r="O164" s="1"/>
      <c r="P164" s="1"/>
      <c r="Q164" s="1"/>
    </row>
    <row r="165" spans="1:17" x14ac:dyDescent="0.35">
      <c r="A165" s="1"/>
      <c r="B165" s="1"/>
      <c r="C165" s="1"/>
      <c r="D165" s="1"/>
      <c r="E165" s="1"/>
      <c r="F165" s="1"/>
      <c r="G165" s="1"/>
      <c r="H165" s="1"/>
      <c r="I165" s="1"/>
      <c r="J165" s="1"/>
      <c r="K165" s="1"/>
      <c r="L165" s="1"/>
      <c r="M165" s="1"/>
      <c r="N165" s="1"/>
      <c r="O165" s="1"/>
      <c r="P165" s="1"/>
      <c r="Q165" s="1"/>
    </row>
    <row r="166" spans="1:17" x14ac:dyDescent="0.35">
      <c r="A166" s="1"/>
      <c r="B166" s="1"/>
      <c r="C166" s="1"/>
      <c r="D166" s="1"/>
      <c r="E166" s="1"/>
      <c r="F166" s="1"/>
      <c r="G166" s="1"/>
      <c r="H166" s="1"/>
      <c r="I166" s="1"/>
      <c r="J166" s="1"/>
      <c r="K166" s="1"/>
      <c r="L166" s="1"/>
      <c r="M166" s="1"/>
      <c r="N166" s="1"/>
      <c r="O166" s="1"/>
      <c r="P166" s="1"/>
      <c r="Q166" s="1"/>
    </row>
    <row r="167" spans="1:17" x14ac:dyDescent="0.35">
      <c r="A167" s="1"/>
      <c r="B167" s="1"/>
      <c r="C167" s="1"/>
      <c r="D167" s="1"/>
      <c r="E167" s="1"/>
      <c r="F167" s="1"/>
      <c r="G167" s="1"/>
      <c r="H167" s="1"/>
      <c r="I167" s="1"/>
      <c r="J167" s="1"/>
      <c r="K167" s="1"/>
      <c r="L167" s="1"/>
      <c r="M167" s="1"/>
      <c r="N167" s="1"/>
      <c r="O167" s="1"/>
      <c r="P167" s="1"/>
      <c r="Q167" s="1"/>
    </row>
    <row r="168" spans="1:17" x14ac:dyDescent="0.35">
      <c r="A168" s="1"/>
      <c r="B168" s="1"/>
      <c r="C168" s="1"/>
      <c r="D168" s="1"/>
      <c r="E168" s="1"/>
      <c r="F168" s="1"/>
      <c r="G168" s="1"/>
      <c r="H168" s="1"/>
      <c r="I168" s="1"/>
      <c r="J168" s="1"/>
      <c r="K168" s="1"/>
      <c r="L168" s="1"/>
      <c r="M168" s="1"/>
      <c r="N168" s="1"/>
      <c r="O168" s="1"/>
      <c r="P168" s="1"/>
      <c r="Q168" s="1"/>
    </row>
    <row r="169" spans="1:17" x14ac:dyDescent="0.35">
      <c r="A169" s="1"/>
      <c r="B169" s="1"/>
      <c r="C169" s="1"/>
      <c r="D169" s="1"/>
      <c r="E169" s="1"/>
      <c r="F169" s="1"/>
      <c r="G169" s="1"/>
      <c r="H169" s="1"/>
      <c r="I169" s="1"/>
      <c r="J169" s="1"/>
      <c r="K169" s="1"/>
      <c r="L169" s="1"/>
      <c r="M169" s="1"/>
      <c r="N169" s="1"/>
      <c r="O169" s="1"/>
      <c r="P169" s="1"/>
      <c r="Q169" s="1"/>
    </row>
    <row r="170" spans="1:17" x14ac:dyDescent="0.35">
      <c r="A170" s="1"/>
      <c r="B170" s="1"/>
      <c r="C170" s="1"/>
      <c r="D170" s="1"/>
      <c r="E170" s="1"/>
      <c r="F170" s="1"/>
      <c r="G170" s="1"/>
      <c r="H170" s="1"/>
      <c r="I170" s="1"/>
      <c r="J170" s="1"/>
      <c r="K170" s="1"/>
      <c r="L170" s="1"/>
      <c r="M170" s="1"/>
      <c r="N170" s="1"/>
      <c r="O170" s="1"/>
      <c r="P170" s="1"/>
      <c r="Q170" s="1"/>
    </row>
    <row r="171" spans="1:17" x14ac:dyDescent="0.35">
      <c r="A171" s="1"/>
      <c r="B171" s="1"/>
      <c r="C171" s="1"/>
      <c r="D171" s="1"/>
      <c r="E171" s="1"/>
      <c r="F171" s="1"/>
      <c r="G171" s="1"/>
      <c r="H171" s="1"/>
      <c r="I171" s="1"/>
      <c r="J171" s="1"/>
      <c r="K171" s="1"/>
      <c r="L171" s="1"/>
      <c r="M171" s="1"/>
      <c r="N171" s="1"/>
      <c r="O171" s="1"/>
      <c r="P171" s="1"/>
      <c r="Q171" s="1"/>
    </row>
    <row r="172" spans="1:17" x14ac:dyDescent="0.35">
      <c r="A172" s="1"/>
      <c r="B172" s="1"/>
      <c r="C172" s="1"/>
      <c r="D172" s="1"/>
      <c r="E172" s="1"/>
      <c r="F172" s="1"/>
      <c r="G172" s="1"/>
      <c r="H172" s="1"/>
      <c r="I172" s="1"/>
      <c r="J172" s="1"/>
      <c r="K172" s="1"/>
      <c r="L172" s="1"/>
      <c r="M172" s="1"/>
      <c r="N172" s="1"/>
      <c r="O172" s="1"/>
      <c r="P172" s="1"/>
      <c r="Q172" s="1"/>
    </row>
    <row r="173" spans="1:17" x14ac:dyDescent="0.35">
      <c r="A173" s="1"/>
      <c r="B173" s="1"/>
      <c r="C173" s="1"/>
      <c r="D173" s="1"/>
      <c r="E173" s="1"/>
      <c r="F173" s="1"/>
      <c r="G173" s="1"/>
      <c r="H173" s="1"/>
      <c r="I173" s="1"/>
      <c r="J173" s="1"/>
      <c r="K173" s="1"/>
      <c r="L173" s="1"/>
      <c r="M173" s="1"/>
      <c r="N173" s="1"/>
      <c r="O173" s="1"/>
      <c r="P173" s="1"/>
      <c r="Q173" s="1"/>
    </row>
    <row r="174" spans="1:17" x14ac:dyDescent="0.35">
      <c r="A174" s="1"/>
      <c r="B174" s="1"/>
      <c r="C174" s="1"/>
      <c r="D174" s="1"/>
      <c r="E174" s="1"/>
      <c r="F174" s="1"/>
      <c r="G174" s="1"/>
      <c r="H174" s="1"/>
      <c r="I174" s="1"/>
      <c r="J174" s="1"/>
      <c r="K174" s="1"/>
      <c r="L174" s="1"/>
      <c r="M174" s="1"/>
      <c r="N174" s="1"/>
      <c r="O174" s="1"/>
      <c r="P174" s="1"/>
      <c r="Q174" s="1"/>
    </row>
    <row r="175" spans="1:17" x14ac:dyDescent="0.35">
      <c r="A175" s="1"/>
      <c r="B175" s="1"/>
      <c r="C175" s="1"/>
      <c r="D175" s="1"/>
      <c r="E175" s="1"/>
      <c r="F175" s="1"/>
      <c r="G175" s="1"/>
      <c r="H175" s="1"/>
      <c r="I175" s="1"/>
      <c r="J175" s="1"/>
      <c r="K175" s="1"/>
      <c r="L175" s="1"/>
      <c r="M175" s="1"/>
      <c r="N175" s="1"/>
      <c r="O175" s="1"/>
      <c r="P175" s="1"/>
      <c r="Q175" s="1"/>
    </row>
    <row r="176" spans="1:17" x14ac:dyDescent="0.35">
      <c r="A176" s="1"/>
      <c r="B176" s="1"/>
      <c r="C176" s="1"/>
      <c r="D176" s="1"/>
      <c r="E176" s="1"/>
      <c r="F176" s="1"/>
      <c r="G176" s="1"/>
      <c r="H176" s="1"/>
      <c r="I176" s="1"/>
      <c r="J176" s="1"/>
      <c r="K176" s="1"/>
      <c r="L176" s="1"/>
      <c r="M176" s="1"/>
      <c r="N176" s="1"/>
      <c r="O176" s="1"/>
      <c r="P176" s="1"/>
      <c r="Q176" s="1"/>
    </row>
    <row r="177" spans="1:17" x14ac:dyDescent="0.35">
      <c r="A177" s="1"/>
      <c r="B177" s="1"/>
      <c r="C177" s="1"/>
      <c r="D177" s="1"/>
      <c r="E177" s="1"/>
      <c r="F177" s="1"/>
      <c r="G177" s="1"/>
      <c r="H177" s="1"/>
      <c r="I177" s="1"/>
      <c r="J177" s="1"/>
      <c r="K177" s="1"/>
      <c r="L177" s="1"/>
      <c r="M177" s="1"/>
      <c r="N177" s="1"/>
      <c r="O177" s="1"/>
      <c r="P177" s="1"/>
      <c r="Q177" s="1"/>
    </row>
    <row r="178" spans="1:17" x14ac:dyDescent="0.35">
      <c r="A178" s="1"/>
      <c r="B178" s="1"/>
      <c r="C178" s="1"/>
      <c r="D178" s="1"/>
      <c r="E178" s="1"/>
      <c r="F178" s="1"/>
      <c r="G178" s="1"/>
      <c r="H178" s="1"/>
      <c r="I178" s="1"/>
      <c r="J178" s="1"/>
      <c r="K178" s="1"/>
      <c r="L178" s="1"/>
      <c r="M178" s="1"/>
      <c r="N178" s="1"/>
      <c r="O178" s="1"/>
      <c r="P178" s="1"/>
      <c r="Q178" s="1"/>
    </row>
    <row r="179" spans="1:17" x14ac:dyDescent="0.35">
      <c r="A179" s="1"/>
      <c r="B179" s="1"/>
      <c r="C179" s="1"/>
      <c r="D179" s="1"/>
      <c r="E179" s="1"/>
      <c r="F179" s="1"/>
      <c r="G179" s="1"/>
      <c r="H179" s="1"/>
      <c r="I179" s="1"/>
      <c r="J179" s="1"/>
      <c r="K179" s="1"/>
      <c r="L179" s="1"/>
      <c r="M179" s="1"/>
      <c r="N179" s="1"/>
      <c r="O179" s="1"/>
      <c r="P179" s="1"/>
      <c r="Q179" s="1"/>
    </row>
    <row r="180" spans="1:17" x14ac:dyDescent="0.35">
      <c r="A180" s="1"/>
      <c r="B180" s="1"/>
      <c r="C180" s="1"/>
      <c r="D180" s="1"/>
      <c r="E180" s="1"/>
      <c r="F180" s="1"/>
      <c r="G180" s="1"/>
      <c r="H180" s="1"/>
      <c r="I180" s="1"/>
      <c r="J180" s="1"/>
      <c r="K180" s="1"/>
      <c r="L180" s="1"/>
      <c r="M180" s="1"/>
      <c r="N180" s="1"/>
      <c r="O180" s="1"/>
      <c r="P180" s="1"/>
      <c r="Q180" s="1"/>
    </row>
    <row r="181" spans="1:17" x14ac:dyDescent="0.35">
      <c r="A181" s="1"/>
      <c r="B181" s="1"/>
      <c r="C181" s="1"/>
      <c r="D181" s="1"/>
      <c r="E181" s="1"/>
      <c r="F181" s="1"/>
      <c r="G181" s="1"/>
      <c r="H181" s="1"/>
      <c r="I181" s="1"/>
      <c r="J181" s="1"/>
      <c r="K181" s="1"/>
      <c r="L181" s="1"/>
      <c r="M181" s="1"/>
      <c r="N181" s="1"/>
      <c r="O181" s="1"/>
      <c r="P181" s="1"/>
      <c r="Q181" s="1"/>
    </row>
    <row r="182" spans="1:17" x14ac:dyDescent="0.35">
      <c r="A182" s="1"/>
      <c r="B182" s="1"/>
      <c r="C182" s="1"/>
      <c r="D182" s="1"/>
      <c r="E182" s="1"/>
      <c r="F182" s="1"/>
      <c r="G182" s="1"/>
      <c r="H182" s="1"/>
      <c r="I182" s="1"/>
      <c r="J182" s="1"/>
      <c r="K182" s="1"/>
      <c r="L182" s="1"/>
      <c r="M182" s="1"/>
      <c r="N182" s="1"/>
      <c r="O182" s="1"/>
      <c r="P182" s="1"/>
      <c r="Q182" s="1"/>
    </row>
    <row r="183" spans="1:17" x14ac:dyDescent="0.35">
      <c r="A183" s="1"/>
      <c r="B183" s="1"/>
      <c r="C183" s="1"/>
      <c r="D183" s="1"/>
      <c r="E183" s="1"/>
      <c r="F183" s="1"/>
      <c r="G183" s="1"/>
      <c r="H183" s="1"/>
      <c r="I183" s="1"/>
      <c r="J183" s="1"/>
      <c r="K183" s="1"/>
      <c r="L183" s="1"/>
      <c r="M183" s="1"/>
      <c r="N183" s="1"/>
      <c r="O183" s="1"/>
      <c r="P183" s="1"/>
      <c r="Q183" s="1"/>
    </row>
    <row r="184" spans="1:17" x14ac:dyDescent="0.35">
      <c r="A184" s="1"/>
      <c r="B184" s="1"/>
      <c r="C184" s="1"/>
      <c r="D184" s="1"/>
      <c r="E184" s="1"/>
      <c r="F184" s="1"/>
      <c r="G184" s="1"/>
      <c r="H184" s="1"/>
      <c r="I184" s="1"/>
      <c r="J184" s="1"/>
      <c r="K184" s="1"/>
      <c r="L184" s="1"/>
      <c r="M184" s="1"/>
      <c r="N184" s="1"/>
      <c r="O184" s="1"/>
      <c r="P184" s="1"/>
      <c r="Q184" s="1"/>
    </row>
    <row r="185" spans="1:17" x14ac:dyDescent="0.35">
      <c r="A185" s="1"/>
      <c r="B185" s="1"/>
      <c r="C185" s="1"/>
      <c r="D185" s="1"/>
      <c r="E185" s="1"/>
      <c r="F185" s="1"/>
      <c r="G185" s="1"/>
      <c r="H185" s="1"/>
      <c r="I185" s="1"/>
      <c r="J185" s="1"/>
      <c r="K185" s="1"/>
      <c r="L185" s="1"/>
      <c r="M185" s="1"/>
      <c r="N185" s="1"/>
      <c r="O185" s="1"/>
      <c r="P185" s="1"/>
      <c r="Q185" s="1"/>
    </row>
    <row r="186" spans="1:17" x14ac:dyDescent="0.35">
      <c r="A186" s="1"/>
      <c r="B186" s="1"/>
      <c r="C186" s="1"/>
      <c r="D186" s="1"/>
      <c r="E186" s="1"/>
      <c r="F186" s="1"/>
      <c r="G186" s="1"/>
      <c r="H186" s="1"/>
      <c r="I186" s="1"/>
      <c r="J186" s="1"/>
      <c r="K186" s="1"/>
      <c r="L186" s="1"/>
      <c r="M186" s="1"/>
      <c r="N186" s="1"/>
      <c r="O186" s="1"/>
      <c r="P186" s="1"/>
      <c r="Q186" s="1"/>
    </row>
    <row r="187" spans="1:17" x14ac:dyDescent="0.35">
      <c r="A187" s="1"/>
      <c r="B187" s="1"/>
      <c r="C187" s="1"/>
      <c r="D187" s="1"/>
      <c r="E187" s="1"/>
      <c r="F187" s="1"/>
      <c r="G187" s="1"/>
      <c r="H187" s="1"/>
      <c r="I187" s="1"/>
      <c r="J187" s="1"/>
      <c r="K187" s="1"/>
      <c r="L187" s="1"/>
      <c r="M187" s="1"/>
      <c r="N187" s="1"/>
      <c r="O187" s="1"/>
      <c r="P187" s="1"/>
      <c r="Q187" s="1"/>
    </row>
    <row r="188" spans="1:17" x14ac:dyDescent="0.35">
      <c r="A188" s="1"/>
      <c r="B188" s="1"/>
      <c r="C188" s="1"/>
      <c r="D188" s="1"/>
      <c r="E188" s="1"/>
      <c r="F188" s="1"/>
      <c r="G188" s="1"/>
      <c r="H188" s="1"/>
      <c r="I188" s="1"/>
      <c r="J188" s="1"/>
      <c r="K188" s="1"/>
      <c r="L188" s="1"/>
      <c r="M188" s="1"/>
      <c r="N188" s="1"/>
      <c r="O188" s="1"/>
      <c r="P188" s="1"/>
      <c r="Q188" s="1"/>
    </row>
    <row r="189" spans="1:17" x14ac:dyDescent="0.35">
      <c r="A189" s="1"/>
      <c r="B189" s="1"/>
      <c r="C189" s="1"/>
      <c r="D189" s="1"/>
      <c r="E189" s="1"/>
      <c r="F189" s="1"/>
      <c r="G189" s="1"/>
      <c r="H189" s="1"/>
      <c r="I189" s="1"/>
      <c r="J189" s="1"/>
      <c r="K189" s="1"/>
      <c r="L189" s="1"/>
      <c r="M189" s="1"/>
      <c r="N189" s="1"/>
      <c r="O189" s="1"/>
      <c r="P189" s="1"/>
      <c r="Q189" s="1"/>
    </row>
    <row r="190" spans="1:17" x14ac:dyDescent="0.35">
      <c r="A190" s="1"/>
      <c r="B190" s="1"/>
      <c r="C190" s="1"/>
      <c r="D190" s="1"/>
      <c r="E190" s="1"/>
      <c r="F190" s="1"/>
      <c r="G190" s="1"/>
      <c r="H190" s="1"/>
      <c r="I190" s="1"/>
      <c r="J190" s="1"/>
      <c r="K190" s="1"/>
      <c r="L190" s="1"/>
      <c r="M190" s="1"/>
      <c r="N190" s="1"/>
      <c r="O190" s="1"/>
      <c r="P190" s="1"/>
      <c r="Q190" s="1"/>
    </row>
    <row r="191" spans="1:17" x14ac:dyDescent="0.35">
      <c r="A191" s="1"/>
      <c r="B191" s="1"/>
      <c r="C191" s="1"/>
      <c r="D191" s="1"/>
      <c r="E191" s="1"/>
      <c r="F191" s="1"/>
      <c r="G191" s="1"/>
      <c r="H191" s="1"/>
      <c r="I191" s="1"/>
      <c r="J191" s="1"/>
      <c r="K191" s="1"/>
      <c r="L191" s="1"/>
      <c r="M191" s="1"/>
      <c r="N191" s="1"/>
      <c r="O191" s="1"/>
      <c r="P191" s="1"/>
      <c r="Q191" s="1"/>
    </row>
    <row r="192" spans="1:17" x14ac:dyDescent="0.35">
      <c r="A192" s="1"/>
      <c r="B192" s="1"/>
      <c r="C192" s="1"/>
      <c r="D192" s="1"/>
      <c r="E192" s="1"/>
      <c r="F192" s="1"/>
      <c r="G192" s="1"/>
      <c r="H192" s="1"/>
      <c r="I192" s="1"/>
      <c r="J192" s="1"/>
      <c r="K192" s="1"/>
      <c r="L192" s="1"/>
      <c r="M192" s="1"/>
      <c r="N192" s="1"/>
      <c r="O192" s="1"/>
      <c r="P192" s="1"/>
      <c r="Q192" s="1"/>
    </row>
    <row r="193" spans="1:17" x14ac:dyDescent="0.35">
      <c r="A193" s="1"/>
      <c r="B193" s="1"/>
      <c r="C193" s="1"/>
      <c r="D193" s="1"/>
      <c r="E193" s="1"/>
      <c r="F193" s="1"/>
      <c r="G193" s="1"/>
      <c r="H193" s="1"/>
      <c r="I193" s="1"/>
      <c r="J193" s="1"/>
      <c r="K193" s="1"/>
      <c r="L193" s="1"/>
      <c r="M193" s="1"/>
      <c r="N193" s="1"/>
      <c r="O193" s="1"/>
      <c r="P193" s="1"/>
      <c r="Q193" s="1"/>
    </row>
    <row r="194" spans="1:17" x14ac:dyDescent="0.35">
      <c r="A194" s="1"/>
      <c r="B194" s="1"/>
      <c r="C194" s="1"/>
      <c r="D194" s="1"/>
      <c r="E194" s="1"/>
      <c r="F194" s="1"/>
      <c r="G194" s="1"/>
      <c r="H194" s="1"/>
      <c r="I194" s="1"/>
      <c r="J194" s="1"/>
      <c r="K194" s="1"/>
      <c r="L194" s="1"/>
      <c r="M194" s="1"/>
      <c r="N194" s="1"/>
      <c r="O194" s="1"/>
      <c r="P194" s="1"/>
      <c r="Q194" s="1"/>
    </row>
    <row r="195" spans="1:17" x14ac:dyDescent="0.35">
      <c r="A195" s="1"/>
      <c r="B195" s="1"/>
      <c r="C195" s="1"/>
      <c r="D195" s="1"/>
      <c r="E195" s="1"/>
      <c r="F195" s="1"/>
      <c r="G195" s="1"/>
      <c r="H195" s="1"/>
      <c r="I195" s="1"/>
      <c r="J195" s="1"/>
      <c r="K195" s="1"/>
      <c r="L195" s="1"/>
      <c r="M195" s="1"/>
      <c r="N195" s="1"/>
      <c r="O195" s="1"/>
      <c r="P195" s="1"/>
      <c r="Q195" s="1"/>
    </row>
    <row r="196" spans="1:17" x14ac:dyDescent="0.35">
      <c r="A196" s="1"/>
      <c r="B196" s="1"/>
      <c r="C196" s="1"/>
      <c r="D196" s="1"/>
      <c r="E196" s="1"/>
      <c r="F196" s="1"/>
      <c r="G196" s="1"/>
      <c r="H196" s="1"/>
      <c r="I196" s="1"/>
      <c r="J196" s="1"/>
      <c r="K196" s="1"/>
      <c r="L196" s="1"/>
      <c r="M196" s="1"/>
      <c r="N196" s="1"/>
      <c r="O196" s="1"/>
      <c r="P196" s="1"/>
      <c r="Q196" s="1"/>
    </row>
    <row r="197" spans="1:17" x14ac:dyDescent="0.35">
      <c r="A197" s="1"/>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1:17" x14ac:dyDescent="0.35">
      <c r="A198" s="1"/>
      <c r="B198" s="37"/>
      <c r="C198" s="38"/>
      <c r="D198" s="31"/>
      <c r="E198" s="32"/>
      <c r="F198" s="34"/>
      <c r="G198" s="33"/>
      <c r="H198" s="34"/>
      <c r="I198" s="33"/>
      <c r="J198" s="34"/>
      <c r="K198" s="34"/>
      <c r="L198" s="34"/>
      <c r="M198" s="33"/>
      <c r="N198" s="34"/>
      <c r="O198" s="35"/>
      <c r="P198" s="36"/>
      <c r="Q198" s="35"/>
    </row>
    <row r="199" spans="1:17" x14ac:dyDescent="0.35">
      <c r="A199" s="1"/>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1:17" x14ac:dyDescent="0.35">
      <c r="A200" s="1"/>
      <c r="B200" s="1"/>
      <c r="C200" s="1"/>
      <c r="D200" s="1"/>
      <c r="E200" s="1"/>
      <c r="F200" s="1"/>
      <c r="G200" s="1"/>
      <c r="H200" s="1"/>
      <c r="I200" s="1"/>
      <c r="J200" s="1"/>
      <c r="K200" s="1"/>
      <c r="L200" s="1"/>
      <c r="M200" s="1"/>
      <c r="N200" s="1"/>
      <c r="O200" s="1"/>
      <c r="P200" s="1"/>
      <c r="Q200" s="78" t="s">
        <v>21404</v>
      </c>
    </row>
    <row r="201" spans="1:17" x14ac:dyDescent="0.35">
      <c r="A201" s="1"/>
      <c r="B201" s="1"/>
      <c r="C201" s="78" t="s">
        <v>21592</v>
      </c>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77" t="s">
        <v>21399</v>
      </c>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t="s">
        <v>21398</v>
      </c>
      <c r="D205" s="1" t="s">
        <v>75</v>
      </c>
      <c r="E205" s="1" t="s">
        <v>13768</v>
      </c>
      <c r="F205" s="2" t="s">
        <v>21397</v>
      </c>
      <c r="G205" s="1" t="s">
        <v>9</v>
      </c>
      <c r="H205" s="1"/>
      <c r="I205" s="1"/>
      <c r="J205" s="1"/>
      <c r="K205" s="1"/>
      <c r="L205" s="1"/>
      <c r="M205" s="1"/>
      <c r="N205" s="1"/>
      <c r="O205" s="1"/>
      <c r="P205" s="1"/>
      <c r="Q205" s="1"/>
    </row>
    <row r="206" spans="1:17" x14ac:dyDescent="0.35">
      <c r="B206" s="49" t="s">
        <v>15049</v>
      </c>
      <c r="C206" s="352" t="s">
        <v>15050</v>
      </c>
    </row>
    <row r="207" spans="1:17" x14ac:dyDescent="0.35">
      <c r="B207" s="49" t="s">
        <v>15051</v>
      </c>
      <c r="C207" s="53" t="s">
        <v>15052</v>
      </c>
    </row>
    <row r="208" spans="1:17" x14ac:dyDescent="0.35">
      <c r="B208" s="49" t="s">
        <v>15053</v>
      </c>
      <c r="C208" s="53" t="s">
        <v>15054</v>
      </c>
    </row>
    <row r="209" spans="2:7" x14ac:dyDescent="0.35">
      <c r="B209" s="49" t="s">
        <v>15055</v>
      </c>
      <c r="C209" s="53" t="s">
        <v>15056</v>
      </c>
    </row>
    <row r="210" spans="2:7" x14ac:dyDescent="0.35">
      <c r="B210" s="49" t="s">
        <v>15057</v>
      </c>
      <c r="C210" s="53" t="s">
        <v>15058</v>
      </c>
    </row>
    <row r="211" spans="2:7" x14ac:dyDescent="0.35">
      <c r="B211" s="49" t="s">
        <v>15059</v>
      </c>
      <c r="C211" s="53" t="s">
        <v>15060</v>
      </c>
    </row>
    <row r="212" spans="2:7" x14ac:dyDescent="0.35">
      <c r="B212" s="49" t="s">
        <v>15061</v>
      </c>
      <c r="C212" s="53" t="s">
        <v>15062</v>
      </c>
    </row>
    <row r="213" spans="2:7" ht="29" x14ac:dyDescent="0.35">
      <c r="C213" s="388" t="s">
        <v>21598</v>
      </c>
      <c r="D213" s="388" t="s">
        <v>18</v>
      </c>
      <c r="E213" s="388">
        <v>14210.01</v>
      </c>
      <c r="F213" s="388" t="s">
        <v>21599</v>
      </c>
      <c r="G213" s="388" t="s">
        <v>21600</v>
      </c>
    </row>
    <row r="214" spans="2:7" x14ac:dyDescent="0.35">
      <c r="C214" s="388" t="s">
        <v>21601</v>
      </c>
      <c r="D214" s="388" t="s">
        <v>18</v>
      </c>
      <c r="E214" s="388">
        <v>14210.02</v>
      </c>
      <c r="F214" s="388" t="s">
        <v>21599</v>
      </c>
      <c r="G214" s="388" t="s">
        <v>21602</v>
      </c>
    </row>
    <row r="215" spans="2:7" x14ac:dyDescent="0.35">
      <c r="C215" s="388" t="s">
        <v>21603</v>
      </c>
      <c r="D215" s="388" t="s">
        <v>18</v>
      </c>
      <c r="E215" s="388">
        <v>14240.01</v>
      </c>
      <c r="F215" s="388" t="s">
        <v>21599</v>
      </c>
      <c r="G215" s="388" t="s">
        <v>21604</v>
      </c>
    </row>
    <row r="216" spans="2:7" x14ac:dyDescent="0.35">
      <c r="C216" s="388" t="s">
        <v>21605</v>
      </c>
      <c r="D216" s="388" t="s">
        <v>18</v>
      </c>
      <c r="E216" s="388">
        <v>14240.02</v>
      </c>
      <c r="F216" s="388" t="s">
        <v>21599</v>
      </c>
      <c r="G216" s="388" t="s">
        <v>21602</v>
      </c>
    </row>
    <row r="217" spans="2:7" x14ac:dyDescent="0.35">
      <c r="C217" s="388" t="s">
        <v>21606</v>
      </c>
      <c r="D217" s="388" t="s">
        <v>18</v>
      </c>
      <c r="E217" s="388">
        <v>14270.01</v>
      </c>
      <c r="F217" s="388" t="s">
        <v>21599</v>
      </c>
      <c r="G217" s="388" t="s">
        <v>21607</v>
      </c>
    </row>
    <row r="218" spans="2:7" x14ac:dyDescent="0.35">
      <c r="C218" s="388" t="s">
        <v>21608</v>
      </c>
      <c r="D218" s="388" t="s">
        <v>18</v>
      </c>
      <c r="E218" s="388">
        <v>14270.02</v>
      </c>
      <c r="F218" s="388" t="s">
        <v>21599</v>
      </c>
      <c r="G218" s="388" t="s">
        <v>21604</v>
      </c>
    </row>
    <row r="219" spans="2:7" ht="29" x14ac:dyDescent="0.35">
      <c r="C219" s="388" t="s">
        <v>21609</v>
      </c>
      <c r="D219" s="388" t="s">
        <v>18</v>
      </c>
      <c r="E219" s="388">
        <v>14270.03</v>
      </c>
      <c r="F219" s="388" t="s">
        <v>21599</v>
      </c>
      <c r="G219" s="388" t="s">
        <v>21610</v>
      </c>
    </row>
    <row r="220" spans="2:7" x14ac:dyDescent="0.35">
      <c r="C220" s="388" t="s">
        <v>21611</v>
      </c>
      <c r="D220" s="388" t="s">
        <v>18</v>
      </c>
      <c r="E220" s="388">
        <v>14270.04</v>
      </c>
      <c r="F220" s="388" t="s">
        <v>21599</v>
      </c>
      <c r="G220" s="388" t="s">
        <v>21604</v>
      </c>
    </row>
  </sheetData>
  <mergeCells count="9">
    <mergeCell ref="J5:K5"/>
    <mergeCell ref="J6:K6"/>
    <mergeCell ref="J7:K7"/>
    <mergeCell ref="A3:B3"/>
    <mergeCell ref="D3:G3"/>
    <mergeCell ref="J3:K3"/>
    <mergeCell ref="P3:Q3"/>
    <mergeCell ref="A4:B4"/>
    <mergeCell ref="J4:K4"/>
  </mergeCells>
  <dataValidations count="1">
    <dataValidation type="list" allowBlank="1" showInputMessage="1" showErrorMessage="1" sqref="C16:C190" xr:uid="{7F90DC6A-EA3D-44A4-A5C7-6604D0EB8E24}">
      <formula1>$C$205:$C207</formula1>
    </dataValidation>
  </dataValidations>
  <hyperlinks>
    <hyperlink ref="D3" r:id="rId1" display="datamateapp@gmail.com" xr:uid="{1C11E1BE-8F2F-405A-9D97-3A93CF217AF4}"/>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90529" r:id="rId4" name="Button 1">
              <controlPr defaultSize="0" print="0" autoFill="0" autoPict="0" macro="SaveData">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790530" r:id="rId5" name="Button 2">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790531"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790532"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790533" r:id="rId8" name="Button 5">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790534" r:id="rId9" name="Button 6">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790535" r:id="rId10" name="Button 7">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790536" r:id="rId11" name="Button 8">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mc:AlternateContent xmlns:mc="http://schemas.openxmlformats.org/markup-compatibility/2006">
          <mc:Choice Requires="x14">
            <control shapeId="790537" r:id="rId12" name="Button 9">
              <controlPr defaultSize="0" print="0" autoFill="0" autoPict="0" macro="[0]!ExitSEC_142000">
                <anchor moveWithCells="1" sizeWithCells="1">
                  <from>
                    <xdr:col>16</xdr:col>
                    <xdr:colOff>0</xdr:colOff>
                    <xdr:row>0</xdr:row>
                    <xdr:rowOff>0</xdr:rowOff>
                  </from>
                  <to>
                    <xdr:col>16</xdr:col>
                    <xdr:colOff>1270000</xdr:colOff>
                    <xdr:row>2</xdr:row>
                    <xdr:rowOff>12700</xdr:rowOff>
                  </to>
                </anchor>
              </controlPr>
            </control>
          </mc:Choice>
        </mc:AlternateContent>
      </controls>
    </mc:Choice>
  </mc:AlternateContent>
</worksheet>
</file>

<file path=xl/worksheets/sheet1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5D427-790D-47A9-8EE2-6D4DFBD88499}">
  <sheetPr codeName="Sheet186"/>
  <dimension ref="A1:Q211"/>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ESCALATORS AND MOVING WALKS</v>
      </c>
      <c r="J2" s="59"/>
      <c r="K2" s="59"/>
      <c r="L2" s="1"/>
      <c r="M2" s="59"/>
      <c r="N2" s="59"/>
      <c r="O2" s="60"/>
      <c r="P2" s="57"/>
      <c r="Q2" s="57"/>
    </row>
    <row r="3" spans="1:17" ht="15" thickBot="1" x14ac:dyDescent="0.4">
      <c r="A3" s="446" t="s">
        <v>21565</v>
      </c>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14 30 00</v>
      </c>
      <c r="C10" s="24" t="str">
        <f>C206</f>
        <v>ESCALATORS AND MOVING WALKS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ESCALATORS AND MOVING WALKS</v>
      </c>
      <c r="D12" s="31"/>
      <c r="E12" s="32"/>
      <c r="F12" s="34"/>
      <c r="G12" s="33"/>
      <c r="H12" s="34"/>
      <c r="I12" s="33"/>
      <c r="J12" s="34"/>
      <c r="K12" s="34"/>
      <c r="L12" s="34"/>
      <c r="M12" s="33"/>
      <c r="N12" s="34"/>
      <c r="O12" s="35"/>
      <c r="P12" s="31"/>
      <c r="Q12" s="35"/>
    </row>
    <row r="13" spans="1:17" x14ac:dyDescent="0.35">
      <c r="A13" s="1"/>
      <c r="B13" s="1"/>
      <c r="C13" s="1"/>
      <c r="D13" s="1"/>
      <c r="E13" s="1"/>
      <c r="F13" s="1"/>
      <c r="G13" s="1"/>
      <c r="H13" s="1"/>
      <c r="I13" s="1"/>
      <c r="J13" s="1"/>
      <c r="K13" s="1"/>
      <c r="L13" s="1"/>
      <c r="M13" s="1"/>
      <c r="N13" s="1"/>
      <c r="O13" s="1"/>
      <c r="P13" s="1"/>
      <c r="Q13" s="1"/>
    </row>
    <row r="14" spans="1:17" x14ac:dyDescent="0.35">
      <c r="A14" s="1"/>
      <c r="B14" s="1"/>
      <c r="C14" s="1"/>
      <c r="D14" s="1"/>
      <c r="E14" s="1"/>
      <c r="F14" s="1"/>
      <c r="G14" s="1"/>
      <c r="H14" s="1"/>
      <c r="I14" s="1"/>
      <c r="J14" s="1"/>
      <c r="K14" s="1"/>
      <c r="L14" s="1"/>
      <c r="M14" s="1"/>
      <c r="N14" s="1"/>
      <c r="O14" s="1"/>
      <c r="P14" s="1"/>
      <c r="Q14" s="1"/>
    </row>
    <row r="15" spans="1:17" x14ac:dyDescent="0.35">
      <c r="A15" s="1"/>
      <c r="B15" s="1"/>
      <c r="C15" s="1"/>
      <c r="D15" s="1"/>
      <c r="E15" s="1"/>
      <c r="F15" s="1"/>
      <c r="G15" s="1"/>
      <c r="H15" s="1"/>
      <c r="I15" s="1"/>
      <c r="J15" s="1"/>
      <c r="K15" s="1"/>
      <c r="L15" s="1"/>
      <c r="M15" s="1"/>
      <c r="N15" s="1"/>
      <c r="O15" s="1"/>
      <c r="P15" s="1"/>
      <c r="Q15" s="1"/>
    </row>
    <row r="16" spans="1:17" x14ac:dyDescent="0.35">
      <c r="A16" s="1"/>
      <c r="B16" s="1"/>
      <c r="C16" s="1"/>
      <c r="D16" s="1"/>
      <c r="E16" s="1"/>
      <c r="F16" s="1"/>
      <c r="G16" s="1"/>
      <c r="H16" s="1"/>
      <c r="I16" s="1"/>
      <c r="J16" s="1"/>
      <c r="K16" s="1"/>
      <c r="L16" s="1"/>
      <c r="M16" s="1"/>
      <c r="N16" s="1"/>
      <c r="O16" s="1"/>
      <c r="P16" s="1"/>
      <c r="Q16" s="1"/>
    </row>
    <row r="17" spans="1:17" x14ac:dyDescent="0.35">
      <c r="A17" s="1"/>
      <c r="B17" s="1"/>
      <c r="C17" s="1"/>
      <c r="D17" s="1"/>
      <c r="E17" s="1"/>
      <c r="F17" s="1"/>
      <c r="G17" s="1"/>
      <c r="H17" s="1"/>
      <c r="I17" s="1"/>
      <c r="J17" s="1"/>
      <c r="K17" s="1"/>
      <c r="L17" s="1"/>
      <c r="M17" s="1"/>
      <c r="N17" s="1"/>
      <c r="O17" s="1"/>
      <c r="P17" s="1"/>
      <c r="Q17" s="1"/>
    </row>
    <row r="18" spans="1:17" x14ac:dyDescent="0.35">
      <c r="A18" s="1"/>
      <c r="B18" s="1"/>
      <c r="C18" s="1"/>
      <c r="D18" s="1"/>
      <c r="E18" s="1"/>
      <c r="F18" s="1"/>
      <c r="G18" s="1"/>
      <c r="H18" s="1"/>
      <c r="I18" s="1"/>
      <c r="J18" s="1"/>
      <c r="K18" s="1"/>
      <c r="L18" s="1"/>
      <c r="M18" s="1"/>
      <c r="N18" s="1"/>
      <c r="O18" s="1"/>
      <c r="P18" s="1"/>
      <c r="Q18" s="1"/>
    </row>
    <row r="19" spans="1:17" x14ac:dyDescent="0.35">
      <c r="A19" s="1"/>
      <c r="B19" s="1"/>
      <c r="C19" s="1"/>
      <c r="D19" s="1"/>
      <c r="E19" s="1"/>
      <c r="F19" s="1"/>
      <c r="G19" s="1"/>
      <c r="H19" s="1"/>
      <c r="I19" s="1"/>
      <c r="J19" s="1"/>
      <c r="K19" s="1"/>
      <c r="L19" s="1"/>
      <c r="M19" s="1"/>
      <c r="N19" s="1"/>
      <c r="O19" s="1"/>
      <c r="P19" s="1"/>
      <c r="Q19" s="1"/>
    </row>
    <row r="20" spans="1:17" x14ac:dyDescent="0.35">
      <c r="A20" s="1"/>
      <c r="B20" s="1"/>
      <c r="C20" s="1"/>
      <c r="D20" s="1"/>
      <c r="E20" s="1"/>
      <c r="F20" s="1"/>
      <c r="G20" s="1"/>
      <c r="H20" s="1"/>
      <c r="I20" s="1"/>
      <c r="J20" s="1"/>
      <c r="K20" s="1"/>
      <c r="L20" s="1"/>
      <c r="M20" s="1"/>
      <c r="N20" s="1"/>
      <c r="O20" s="1"/>
      <c r="P20" s="1"/>
      <c r="Q20" s="1"/>
    </row>
    <row r="21" spans="1:17" x14ac:dyDescent="0.35">
      <c r="A21" s="1"/>
      <c r="B21" s="1"/>
      <c r="C21" s="1"/>
      <c r="D21" s="1"/>
      <c r="E21" s="1"/>
      <c r="F21" s="1"/>
      <c r="G21" s="1"/>
      <c r="H21" s="1"/>
      <c r="I21" s="1"/>
      <c r="J21" s="1"/>
      <c r="K21" s="1"/>
      <c r="L21" s="1"/>
      <c r="M21" s="1"/>
      <c r="N21" s="1"/>
      <c r="O21" s="1"/>
      <c r="P21" s="1"/>
      <c r="Q21" s="1"/>
    </row>
    <row r="22" spans="1:17" x14ac:dyDescent="0.35">
      <c r="A22" s="1"/>
      <c r="B22" s="1"/>
      <c r="C22" s="1"/>
      <c r="D22" s="1"/>
      <c r="E22" s="1"/>
      <c r="F22" s="1"/>
      <c r="G22" s="1"/>
      <c r="H22" s="1"/>
      <c r="I22" s="1"/>
      <c r="J22" s="1"/>
      <c r="K22" s="1"/>
      <c r="L22" s="1"/>
      <c r="M22" s="1"/>
      <c r="N22" s="1"/>
      <c r="O22" s="1"/>
      <c r="P22" s="1"/>
      <c r="Q22" s="1"/>
    </row>
    <row r="23" spans="1:17" x14ac:dyDescent="0.35">
      <c r="A23" s="1"/>
      <c r="B23" s="1"/>
      <c r="C23" s="1"/>
      <c r="D23" s="1"/>
      <c r="E23" s="1"/>
      <c r="F23" s="1"/>
      <c r="G23" s="1"/>
      <c r="H23" s="1"/>
      <c r="I23" s="1"/>
      <c r="J23" s="1"/>
      <c r="K23" s="1"/>
      <c r="L23" s="1"/>
      <c r="M23" s="1"/>
      <c r="N23" s="1"/>
      <c r="O23" s="1"/>
      <c r="P23" s="1"/>
      <c r="Q23" s="1"/>
    </row>
    <row r="24" spans="1:17" x14ac:dyDescent="0.35">
      <c r="A24" s="1"/>
      <c r="B24" s="1"/>
      <c r="C24" s="1"/>
      <c r="D24" s="1"/>
      <c r="E24" s="1"/>
      <c r="F24" s="1"/>
      <c r="G24" s="1"/>
      <c r="H24" s="1"/>
      <c r="I24" s="1"/>
      <c r="J24" s="1"/>
      <c r="K24" s="1"/>
      <c r="L24" s="1"/>
      <c r="M24" s="1"/>
      <c r="N24" s="1"/>
      <c r="O24" s="1"/>
      <c r="P24" s="1"/>
      <c r="Q24" s="1"/>
    </row>
    <row r="25" spans="1:17" x14ac:dyDescent="0.35">
      <c r="A25" s="1"/>
      <c r="B25" s="1"/>
      <c r="C25" s="1"/>
      <c r="D25" s="1"/>
      <c r="E25" s="1"/>
      <c r="F25" s="1"/>
      <c r="G25" s="1"/>
      <c r="H25" s="1"/>
      <c r="I25" s="1"/>
      <c r="J25" s="1"/>
      <c r="K25" s="1"/>
      <c r="L25" s="1"/>
      <c r="M25" s="1"/>
      <c r="N25" s="1"/>
      <c r="O25" s="1"/>
      <c r="P25" s="1"/>
      <c r="Q25" s="1"/>
    </row>
    <row r="26" spans="1:17" x14ac:dyDescent="0.35">
      <c r="A26" s="1"/>
      <c r="B26" s="1"/>
      <c r="C26" s="1"/>
      <c r="D26" s="1"/>
      <c r="E26" s="1"/>
      <c r="F26" s="1"/>
      <c r="G26" s="1"/>
      <c r="H26" s="1"/>
      <c r="I26" s="1"/>
      <c r="J26" s="1"/>
      <c r="K26" s="1"/>
      <c r="L26" s="1"/>
      <c r="M26" s="1"/>
      <c r="N26" s="1"/>
      <c r="O26" s="1"/>
      <c r="P26" s="1"/>
      <c r="Q26" s="1"/>
    </row>
    <row r="27" spans="1:17" x14ac:dyDescent="0.35">
      <c r="A27" s="1"/>
      <c r="B27" s="1"/>
      <c r="C27" s="1"/>
      <c r="D27" s="1"/>
      <c r="E27" s="1"/>
      <c r="F27" s="1"/>
      <c r="G27" s="1"/>
      <c r="H27" s="1"/>
      <c r="I27" s="1"/>
      <c r="J27" s="1"/>
      <c r="K27" s="1"/>
      <c r="L27" s="1"/>
      <c r="M27" s="1"/>
      <c r="N27" s="1"/>
      <c r="O27" s="1"/>
      <c r="P27" s="1"/>
      <c r="Q27" s="1"/>
    </row>
    <row r="28" spans="1:17" x14ac:dyDescent="0.35">
      <c r="A28" s="1"/>
      <c r="B28" s="1"/>
      <c r="C28" s="1"/>
      <c r="D28" s="1"/>
      <c r="E28" s="1"/>
      <c r="F28" s="1"/>
      <c r="G28" s="1"/>
      <c r="H28" s="1"/>
      <c r="I28" s="1"/>
      <c r="J28" s="1"/>
      <c r="K28" s="1"/>
      <c r="L28" s="1"/>
      <c r="M28" s="1"/>
      <c r="N28" s="1"/>
      <c r="O28" s="1"/>
      <c r="P28" s="1"/>
      <c r="Q28" s="1"/>
    </row>
    <row r="29" spans="1:17" x14ac:dyDescent="0.35">
      <c r="A29" s="1"/>
      <c r="B29" s="1"/>
      <c r="C29" s="1"/>
      <c r="D29" s="1"/>
      <c r="E29" s="1"/>
      <c r="F29" s="1"/>
      <c r="G29" s="1"/>
      <c r="H29" s="1"/>
      <c r="I29" s="1"/>
      <c r="J29" s="1"/>
      <c r="K29" s="1"/>
      <c r="L29" s="1"/>
      <c r="M29" s="1"/>
      <c r="N29" s="1"/>
      <c r="O29" s="1"/>
      <c r="P29" s="1"/>
      <c r="Q29" s="1"/>
    </row>
    <row r="30" spans="1:17" x14ac:dyDescent="0.35">
      <c r="A30" s="1"/>
      <c r="B30" s="1"/>
      <c r="C30" s="1"/>
      <c r="D30" s="1"/>
      <c r="E30" s="1"/>
      <c r="F30" s="1"/>
      <c r="G30" s="1"/>
      <c r="H30" s="1"/>
      <c r="I30" s="1"/>
      <c r="J30" s="1"/>
      <c r="K30" s="1"/>
      <c r="L30" s="1"/>
      <c r="M30" s="1"/>
      <c r="N30" s="1"/>
      <c r="O30" s="1"/>
      <c r="P30" s="1"/>
      <c r="Q30" s="1"/>
    </row>
    <row r="31" spans="1:17" x14ac:dyDescent="0.35">
      <c r="A31" s="1"/>
      <c r="B31" s="1"/>
      <c r="C31" s="1"/>
      <c r="D31" s="1"/>
      <c r="E31" s="1"/>
      <c r="F31" s="1"/>
      <c r="G31" s="1"/>
      <c r="H31" s="1"/>
      <c r="I31" s="1"/>
      <c r="J31" s="1"/>
      <c r="K31" s="1"/>
      <c r="L31" s="1"/>
      <c r="M31" s="1"/>
      <c r="N31" s="1"/>
      <c r="O31" s="1"/>
      <c r="P31" s="1"/>
      <c r="Q31" s="1"/>
    </row>
    <row r="32" spans="1:17" x14ac:dyDescent="0.35">
      <c r="A32" s="1"/>
      <c r="B32" s="1"/>
      <c r="C32" s="1"/>
      <c r="D32" s="1"/>
      <c r="E32" s="1"/>
      <c r="F32" s="1"/>
      <c r="G32" s="1"/>
      <c r="H32" s="1"/>
      <c r="I32" s="1"/>
      <c r="J32" s="1"/>
      <c r="K32" s="1"/>
      <c r="L32" s="1"/>
      <c r="M32" s="1"/>
      <c r="N32" s="1"/>
      <c r="O32" s="1"/>
      <c r="P32" s="1"/>
      <c r="Q32" s="1"/>
    </row>
    <row r="33" spans="1:17" x14ac:dyDescent="0.35">
      <c r="A33" s="1"/>
      <c r="B33" s="1"/>
      <c r="C33" s="1"/>
      <c r="D33" s="1"/>
      <c r="E33" s="1"/>
      <c r="F33" s="1"/>
      <c r="G33" s="1"/>
      <c r="H33" s="1"/>
      <c r="I33" s="1"/>
      <c r="J33" s="1"/>
      <c r="K33" s="1"/>
      <c r="L33" s="1"/>
      <c r="M33" s="1"/>
      <c r="N33" s="1"/>
      <c r="O33" s="1"/>
      <c r="P33" s="1"/>
      <c r="Q33" s="1"/>
    </row>
    <row r="34" spans="1:17" x14ac:dyDescent="0.35">
      <c r="A34" s="1"/>
      <c r="B34" s="1"/>
      <c r="C34" s="1"/>
      <c r="D34" s="1"/>
      <c r="E34" s="1"/>
      <c r="F34" s="1"/>
      <c r="G34" s="1"/>
      <c r="H34" s="1"/>
      <c r="I34" s="1"/>
      <c r="J34" s="1"/>
      <c r="K34" s="1"/>
      <c r="L34" s="1"/>
      <c r="M34" s="1"/>
      <c r="N34" s="1"/>
      <c r="O34" s="1"/>
      <c r="P34" s="1"/>
      <c r="Q34" s="1"/>
    </row>
    <row r="35" spans="1:17" x14ac:dyDescent="0.35">
      <c r="A35" s="1"/>
      <c r="B35" s="1"/>
      <c r="C35" s="1"/>
      <c r="D35" s="1"/>
      <c r="E35" s="1"/>
      <c r="F35" s="1"/>
      <c r="G35" s="1"/>
      <c r="H35" s="1"/>
      <c r="I35" s="1"/>
      <c r="J35" s="1"/>
      <c r="K35" s="1"/>
      <c r="L35" s="1"/>
      <c r="M35" s="1"/>
      <c r="N35" s="1"/>
      <c r="O35" s="1"/>
      <c r="P35" s="1"/>
      <c r="Q35" s="1"/>
    </row>
    <row r="36" spans="1:17" x14ac:dyDescent="0.35">
      <c r="A36" s="1"/>
      <c r="B36" s="1"/>
      <c r="C36" s="1"/>
      <c r="D36" s="1"/>
      <c r="E36" s="1"/>
      <c r="F36" s="1"/>
      <c r="G36" s="1"/>
      <c r="H36" s="1"/>
      <c r="I36" s="1"/>
      <c r="J36" s="1"/>
      <c r="K36" s="1"/>
      <c r="L36" s="1"/>
      <c r="M36" s="1"/>
      <c r="N36" s="1"/>
      <c r="O36" s="1"/>
      <c r="P36" s="1"/>
      <c r="Q36" s="1"/>
    </row>
    <row r="37" spans="1:17" x14ac:dyDescent="0.35">
      <c r="A37" s="1"/>
      <c r="B37" s="1"/>
      <c r="C37" s="1"/>
      <c r="D37" s="1"/>
      <c r="E37" s="1"/>
      <c r="F37" s="1"/>
      <c r="G37" s="1"/>
      <c r="H37" s="1"/>
      <c r="I37" s="1"/>
      <c r="J37" s="1"/>
      <c r="K37" s="1"/>
      <c r="L37" s="1"/>
      <c r="M37" s="1"/>
      <c r="N37" s="1"/>
      <c r="O37" s="1"/>
      <c r="P37" s="1"/>
      <c r="Q37" s="1"/>
    </row>
    <row r="38" spans="1:17" x14ac:dyDescent="0.35">
      <c r="A38" s="1"/>
      <c r="B38" s="1"/>
      <c r="C38" s="1"/>
      <c r="D38" s="1"/>
      <c r="E38" s="1"/>
      <c r="F38" s="1"/>
      <c r="G38" s="1"/>
      <c r="H38" s="1"/>
      <c r="I38" s="1"/>
      <c r="J38" s="1"/>
      <c r="K38" s="1"/>
      <c r="L38" s="1"/>
      <c r="M38" s="1"/>
      <c r="N38" s="1"/>
      <c r="O38" s="1"/>
      <c r="P38" s="1"/>
      <c r="Q38" s="1"/>
    </row>
    <row r="39" spans="1:17" x14ac:dyDescent="0.35">
      <c r="A39" s="1"/>
      <c r="B39" s="1"/>
      <c r="C39" s="1"/>
      <c r="D39" s="1"/>
      <c r="E39" s="1"/>
      <c r="F39" s="1"/>
      <c r="G39" s="1"/>
      <c r="H39" s="1"/>
      <c r="I39" s="1"/>
      <c r="J39" s="1"/>
      <c r="K39" s="1"/>
      <c r="L39" s="1"/>
      <c r="M39" s="1"/>
      <c r="N39" s="1"/>
      <c r="O39" s="1"/>
      <c r="P39" s="1"/>
      <c r="Q39" s="1"/>
    </row>
    <row r="40" spans="1:17" x14ac:dyDescent="0.35">
      <c r="A40" s="1"/>
      <c r="B40" s="1"/>
      <c r="C40" s="1"/>
      <c r="D40" s="1"/>
      <c r="E40" s="1"/>
      <c r="F40" s="1"/>
      <c r="G40" s="1"/>
      <c r="H40" s="1"/>
      <c r="I40" s="1"/>
      <c r="J40" s="1"/>
      <c r="K40" s="1"/>
      <c r="L40" s="1"/>
      <c r="M40" s="1"/>
      <c r="N40" s="1"/>
      <c r="O40" s="1"/>
      <c r="P40" s="1"/>
      <c r="Q40" s="1"/>
    </row>
    <row r="41" spans="1:17" x14ac:dyDescent="0.35">
      <c r="A41" s="1"/>
      <c r="B41" s="1"/>
      <c r="C41" s="1"/>
      <c r="D41" s="1"/>
      <c r="E41" s="1"/>
      <c r="F41" s="1"/>
      <c r="G41" s="1"/>
      <c r="H41" s="1"/>
      <c r="I41" s="1"/>
      <c r="J41" s="1"/>
      <c r="K41" s="1"/>
      <c r="L41" s="1"/>
      <c r="M41" s="1"/>
      <c r="N41" s="1"/>
      <c r="O41" s="1"/>
      <c r="P41" s="1"/>
      <c r="Q41" s="1"/>
    </row>
    <row r="42" spans="1:17" x14ac:dyDescent="0.35">
      <c r="A42" s="1"/>
      <c r="B42" s="1"/>
      <c r="C42" s="1"/>
      <c r="D42" s="1"/>
      <c r="E42" s="1"/>
      <c r="F42" s="1"/>
      <c r="G42" s="1"/>
      <c r="H42" s="1"/>
      <c r="I42" s="1"/>
      <c r="J42" s="1"/>
      <c r="K42" s="1"/>
      <c r="L42" s="1"/>
      <c r="M42" s="1"/>
      <c r="N42" s="1"/>
      <c r="O42" s="1"/>
      <c r="P42" s="1"/>
      <c r="Q42" s="1"/>
    </row>
    <row r="43" spans="1:17" x14ac:dyDescent="0.35">
      <c r="A43" s="1"/>
      <c r="B43" s="1"/>
      <c r="C43" s="1"/>
      <c r="D43" s="1"/>
      <c r="E43" s="1"/>
      <c r="F43" s="1"/>
      <c r="G43" s="1"/>
      <c r="H43" s="1"/>
      <c r="I43" s="1"/>
      <c r="J43" s="1"/>
      <c r="K43" s="1"/>
      <c r="L43" s="1"/>
      <c r="M43" s="1"/>
      <c r="N43" s="1"/>
      <c r="O43" s="1"/>
      <c r="P43" s="1"/>
      <c r="Q43" s="1"/>
    </row>
    <row r="44" spans="1:17" x14ac:dyDescent="0.35">
      <c r="A44" s="1"/>
      <c r="B44" s="1"/>
      <c r="C44" s="1"/>
      <c r="D44" s="1"/>
      <c r="E44" s="1"/>
      <c r="F44" s="1"/>
      <c r="G44" s="1"/>
      <c r="H44" s="1"/>
      <c r="I44" s="1"/>
      <c r="J44" s="1"/>
      <c r="K44" s="1"/>
      <c r="L44" s="1"/>
      <c r="M44" s="1"/>
      <c r="N44" s="1"/>
      <c r="O44" s="1"/>
      <c r="P44" s="1"/>
      <c r="Q44" s="1"/>
    </row>
    <row r="45" spans="1:17" x14ac:dyDescent="0.35">
      <c r="A45" s="1"/>
      <c r="B45" s="1"/>
      <c r="C45" s="1"/>
      <c r="D45" s="1"/>
      <c r="E45" s="1"/>
      <c r="F45" s="1"/>
      <c r="G45" s="1"/>
      <c r="H45" s="1"/>
      <c r="I45" s="1"/>
      <c r="J45" s="1"/>
      <c r="K45" s="1"/>
      <c r="L45" s="1"/>
      <c r="M45" s="1"/>
      <c r="N45" s="1"/>
      <c r="O45" s="1"/>
      <c r="P45" s="1"/>
      <c r="Q45" s="1"/>
    </row>
    <row r="46" spans="1:17" x14ac:dyDescent="0.35">
      <c r="A46" s="1"/>
      <c r="B46" s="1"/>
      <c r="C46" s="1"/>
      <c r="D46" s="1"/>
      <c r="E46" s="1"/>
      <c r="F46" s="1"/>
      <c r="G46" s="1"/>
      <c r="H46" s="1"/>
      <c r="I46" s="1"/>
      <c r="J46" s="1"/>
      <c r="K46" s="1"/>
      <c r="L46" s="1"/>
      <c r="M46" s="1"/>
      <c r="N46" s="1"/>
      <c r="O46" s="1"/>
      <c r="P46" s="1"/>
      <c r="Q46" s="1"/>
    </row>
    <row r="47" spans="1:17" x14ac:dyDescent="0.35">
      <c r="A47" s="1"/>
      <c r="B47" s="1"/>
      <c r="C47" s="1"/>
      <c r="D47" s="1"/>
      <c r="E47" s="1"/>
      <c r="F47" s="1"/>
      <c r="G47" s="1"/>
      <c r="H47" s="1"/>
      <c r="I47" s="1"/>
      <c r="J47" s="1"/>
      <c r="K47" s="1"/>
      <c r="L47" s="1"/>
      <c r="M47" s="1"/>
      <c r="N47" s="1"/>
      <c r="O47" s="1"/>
      <c r="P47" s="1"/>
      <c r="Q47" s="1"/>
    </row>
    <row r="48" spans="1:17" x14ac:dyDescent="0.35">
      <c r="A48" s="1"/>
      <c r="B48" s="1"/>
      <c r="C48" s="1"/>
      <c r="D48" s="1"/>
      <c r="E48" s="1"/>
      <c r="F48" s="1"/>
      <c r="G48" s="1"/>
      <c r="H48" s="1"/>
      <c r="I48" s="1"/>
      <c r="J48" s="1"/>
      <c r="K48" s="1"/>
      <c r="L48" s="1"/>
      <c r="M48" s="1"/>
      <c r="N48" s="1"/>
      <c r="O48" s="1"/>
      <c r="P48" s="1"/>
      <c r="Q48" s="1"/>
    </row>
    <row r="49" spans="1:17" x14ac:dyDescent="0.35">
      <c r="A49" s="1"/>
      <c r="B49" s="1"/>
      <c r="C49" s="1"/>
      <c r="D49" s="1"/>
      <c r="E49" s="1"/>
      <c r="F49" s="1"/>
      <c r="G49" s="1"/>
      <c r="H49" s="1"/>
      <c r="I49" s="1"/>
      <c r="J49" s="1"/>
      <c r="K49" s="1"/>
      <c r="L49" s="1"/>
      <c r="M49" s="1"/>
      <c r="N49" s="1"/>
      <c r="O49" s="1"/>
      <c r="P49" s="1"/>
      <c r="Q49" s="1"/>
    </row>
    <row r="50" spans="1:17" x14ac:dyDescent="0.35">
      <c r="A50" s="1"/>
      <c r="B50" s="1"/>
      <c r="C50" s="1"/>
      <c r="D50" s="1"/>
      <c r="E50" s="1"/>
      <c r="F50" s="1"/>
      <c r="G50" s="1"/>
      <c r="H50" s="1"/>
      <c r="I50" s="1"/>
      <c r="J50" s="1"/>
      <c r="K50" s="1"/>
      <c r="L50" s="1"/>
      <c r="M50" s="1"/>
      <c r="N50" s="1"/>
      <c r="O50" s="1"/>
      <c r="P50" s="1"/>
      <c r="Q50" s="1"/>
    </row>
    <row r="51" spans="1:17" x14ac:dyDescent="0.35">
      <c r="A51" s="1"/>
      <c r="B51" s="1"/>
      <c r="C51" s="1"/>
      <c r="D51" s="1"/>
      <c r="E51" s="1"/>
      <c r="F51" s="1"/>
      <c r="G51" s="1"/>
      <c r="H51" s="1"/>
      <c r="I51" s="1"/>
      <c r="J51" s="1"/>
      <c r="K51" s="1"/>
      <c r="L51" s="1"/>
      <c r="M51" s="1"/>
      <c r="N51" s="1"/>
      <c r="O51" s="1"/>
      <c r="P51" s="1"/>
      <c r="Q51" s="1"/>
    </row>
    <row r="52" spans="1:17" x14ac:dyDescent="0.35">
      <c r="A52" s="1"/>
      <c r="B52" s="1"/>
      <c r="C52" s="1"/>
      <c r="D52" s="1"/>
      <c r="E52" s="1"/>
      <c r="F52" s="1"/>
      <c r="G52" s="1"/>
      <c r="H52" s="1"/>
      <c r="I52" s="1"/>
      <c r="J52" s="1"/>
      <c r="K52" s="1"/>
      <c r="L52" s="1"/>
      <c r="M52" s="1"/>
      <c r="N52" s="1"/>
      <c r="O52" s="1"/>
      <c r="P52" s="1"/>
      <c r="Q52" s="1"/>
    </row>
    <row r="53" spans="1:17" x14ac:dyDescent="0.35">
      <c r="A53" s="1"/>
      <c r="B53" s="1"/>
      <c r="C53" s="1"/>
      <c r="D53" s="1"/>
      <c r="E53" s="1"/>
      <c r="F53" s="1"/>
      <c r="G53" s="1"/>
      <c r="H53" s="1"/>
      <c r="I53" s="1"/>
      <c r="J53" s="1"/>
      <c r="K53" s="1"/>
      <c r="L53" s="1"/>
      <c r="M53" s="1"/>
      <c r="N53" s="1"/>
      <c r="O53" s="1"/>
      <c r="P53" s="1"/>
      <c r="Q53" s="1"/>
    </row>
    <row r="54" spans="1:17" x14ac:dyDescent="0.35">
      <c r="A54" s="1"/>
      <c r="B54" s="1"/>
      <c r="C54" s="1"/>
      <c r="D54" s="1"/>
      <c r="E54" s="1"/>
      <c r="F54" s="1"/>
      <c r="G54" s="1"/>
      <c r="H54" s="1"/>
      <c r="I54" s="1"/>
      <c r="J54" s="1"/>
      <c r="K54" s="1"/>
      <c r="L54" s="1"/>
      <c r="M54" s="1"/>
      <c r="N54" s="1"/>
      <c r="O54" s="1"/>
      <c r="P54" s="1"/>
      <c r="Q54" s="1"/>
    </row>
    <row r="55" spans="1:17" x14ac:dyDescent="0.35">
      <c r="A55" s="1"/>
      <c r="B55" s="1"/>
      <c r="C55" s="1"/>
      <c r="D55" s="1"/>
      <c r="E55" s="1"/>
      <c r="F55" s="1"/>
      <c r="G55" s="1"/>
      <c r="H55" s="1"/>
      <c r="I55" s="1"/>
      <c r="J55" s="1"/>
      <c r="K55" s="1"/>
      <c r="L55" s="1"/>
      <c r="M55" s="1"/>
      <c r="N55" s="1"/>
      <c r="O55" s="1"/>
      <c r="P55" s="1"/>
      <c r="Q55" s="1"/>
    </row>
    <row r="56" spans="1:17" x14ac:dyDescent="0.35">
      <c r="A56" s="1"/>
      <c r="B56" s="1"/>
      <c r="C56" s="1"/>
      <c r="D56" s="1"/>
      <c r="E56" s="1"/>
      <c r="F56" s="1"/>
      <c r="G56" s="1"/>
      <c r="H56" s="1"/>
      <c r="I56" s="1"/>
      <c r="J56" s="1"/>
      <c r="K56" s="1"/>
      <c r="L56" s="1"/>
      <c r="M56" s="1"/>
      <c r="N56" s="1"/>
      <c r="O56" s="1"/>
      <c r="P56" s="1"/>
      <c r="Q56" s="1"/>
    </row>
    <row r="57" spans="1:17" x14ac:dyDescent="0.35">
      <c r="A57" s="1"/>
      <c r="B57" s="1"/>
      <c r="C57" s="1"/>
      <c r="D57" s="1"/>
      <c r="E57" s="1"/>
      <c r="F57" s="1"/>
      <c r="G57" s="1"/>
      <c r="H57" s="1"/>
      <c r="I57" s="1"/>
      <c r="J57" s="1"/>
      <c r="K57" s="1"/>
      <c r="L57" s="1"/>
      <c r="M57" s="1"/>
      <c r="N57" s="1"/>
      <c r="O57" s="1"/>
      <c r="P57" s="1"/>
      <c r="Q57" s="1"/>
    </row>
    <row r="58" spans="1:17" x14ac:dyDescent="0.35">
      <c r="A58" s="1"/>
      <c r="B58" s="1"/>
      <c r="C58" s="1"/>
      <c r="D58" s="1"/>
      <c r="E58" s="1"/>
      <c r="F58" s="1"/>
      <c r="G58" s="1"/>
      <c r="H58" s="1"/>
      <c r="I58" s="1"/>
      <c r="J58" s="1"/>
      <c r="K58" s="1"/>
      <c r="L58" s="1"/>
      <c r="M58" s="1"/>
      <c r="N58" s="1"/>
      <c r="O58" s="1"/>
      <c r="P58" s="1"/>
      <c r="Q58" s="1"/>
    </row>
    <row r="59" spans="1:17" x14ac:dyDescent="0.35">
      <c r="A59" s="1"/>
      <c r="B59" s="1"/>
      <c r="C59" s="1"/>
      <c r="D59" s="1"/>
      <c r="E59" s="1"/>
      <c r="F59" s="1"/>
      <c r="G59" s="1"/>
      <c r="H59" s="1"/>
      <c r="I59" s="1"/>
      <c r="J59" s="1"/>
      <c r="K59" s="1"/>
      <c r="L59" s="1"/>
      <c r="M59" s="1"/>
      <c r="N59" s="1"/>
      <c r="O59" s="1"/>
      <c r="P59" s="1"/>
      <c r="Q59" s="1"/>
    </row>
    <row r="60" spans="1:17" x14ac:dyDescent="0.35">
      <c r="A60" s="1"/>
      <c r="B60" s="1"/>
      <c r="C60" s="1"/>
      <c r="D60" s="1"/>
      <c r="E60" s="1"/>
      <c r="F60" s="1"/>
      <c r="G60" s="1"/>
      <c r="H60" s="1"/>
      <c r="I60" s="1"/>
      <c r="J60" s="1"/>
      <c r="K60" s="1"/>
      <c r="L60" s="1"/>
      <c r="M60" s="1"/>
      <c r="N60" s="1"/>
      <c r="O60" s="1"/>
      <c r="P60" s="1"/>
      <c r="Q60" s="1"/>
    </row>
    <row r="61" spans="1:17" x14ac:dyDescent="0.35">
      <c r="A61" s="1"/>
      <c r="B61" s="1"/>
      <c r="C61" s="1"/>
      <c r="D61" s="1"/>
      <c r="E61" s="1"/>
      <c r="F61" s="1"/>
      <c r="G61" s="1"/>
      <c r="H61" s="1"/>
      <c r="I61" s="1"/>
      <c r="J61" s="1"/>
      <c r="K61" s="1"/>
      <c r="L61" s="1"/>
      <c r="M61" s="1"/>
      <c r="N61" s="1"/>
      <c r="O61" s="1"/>
      <c r="P61" s="1"/>
      <c r="Q61" s="1"/>
    </row>
    <row r="62" spans="1:17" x14ac:dyDescent="0.35">
      <c r="A62" s="1"/>
      <c r="B62" s="1"/>
      <c r="C62" s="1"/>
      <c r="D62" s="1"/>
      <c r="E62" s="1"/>
      <c r="F62" s="1"/>
      <c r="G62" s="1"/>
      <c r="H62" s="1"/>
      <c r="I62" s="1"/>
      <c r="J62" s="1"/>
      <c r="K62" s="1"/>
      <c r="L62" s="1"/>
      <c r="M62" s="1"/>
      <c r="N62" s="1"/>
      <c r="O62" s="1"/>
      <c r="P62" s="1"/>
      <c r="Q62" s="1"/>
    </row>
    <row r="63" spans="1:17" x14ac:dyDescent="0.35">
      <c r="A63" s="1"/>
      <c r="B63" s="1"/>
      <c r="C63" s="1"/>
      <c r="D63" s="1"/>
      <c r="E63" s="1"/>
      <c r="F63" s="1"/>
      <c r="G63" s="1"/>
      <c r="H63" s="1"/>
      <c r="I63" s="1"/>
      <c r="J63" s="1"/>
      <c r="K63" s="1"/>
      <c r="L63" s="1"/>
      <c r="M63" s="1"/>
      <c r="N63" s="1"/>
      <c r="O63" s="1"/>
      <c r="P63" s="1"/>
      <c r="Q63" s="1"/>
    </row>
    <row r="64" spans="1:17" x14ac:dyDescent="0.35">
      <c r="A64" s="1"/>
      <c r="B64" s="1"/>
      <c r="C64" s="1"/>
      <c r="D64" s="1"/>
      <c r="E64" s="1"/>
      <c r="F64" s="1"/>
      <c r="G64" s="1"/>
      <c r="H64" s="1"/>
      <c r="I64" s="1"/>
      <c r="J64" s="1"/>
      <c r="K64" s="1"/>
      <c r="L64" s="1"/>
      <c r="M64" s="1"/>
      <c r="N64" s="1"/>
      <c r="O64" s="1"/>
      <c r="P64" s="1"/>
      <c r="Q64" s="1"/>
    </row>
    <row r="65" spans="1:17" x14ac:dyDescent="0.35">
      <c r="A65" s="1"/>
      <c r="B65" s="1"/>
      <c r="C65" s="1"/>
      <c r="D65" s="1"/>
      <c r="E65" s="1"/>
      <c r="F65" s="1"/>
      <c r="G65" s="1"/>
      <c r="H65" s="1"/>
      <c r="I65" s="1"/>
      <c r="J65" s="1"/>
      <c r="K65" s="1"/>
      <c r="L65" s="1"/>
      <c r="M65" s="1"/>
      <c r="N65" s="1"/>
      <c r="O65" s="1"/>
      <c r="P65" s="1"/>
      <c r="Q65" s="1"/>
    </row>
    <row r="66" spans="1:17" x14ac:dyDescent="0.35">
      <c r="A66" s="1"/>
      <c r="B66" s="1"/>
      <c r="C66" s="1"/>
      <c r="D66" s="1"/>
      <c r="E66" s="1"/>
      <c r="F66" s="1"/>
      <c r="G66" s="1"/>
      <c r="H66" s="1"/>
      <c r="I66" s="1"/>
      <c r="J66" s="1"/>
      <c r="K66" s="1"/>
      <c r="L66" s="1"/>
      <c r="M66" s="1"/>
      <c r="N66" s="1"/>
      <c r="O66" s="1"/>
      <c r="P66" s="1"/>
      <c r="Q66" s="1"/>
    </row>
    <row r="67" spans="1:17" x14ac:dyDescent="0.35">
      <c r="A67" s="1"/>
      <c r="B67" s="1"/>
      <c r="C67" s="1"/>
      <c r="D67" s="1"/>
      <c r="E67" s="1"/>
      <c r="F67" s="1"/>
      <c r="G67" s="1"/>
      <c r="H67" s="1"/>
      <c r="I67" s="1"/>
      <c r="J67" s="1"/>
      <c r="K67" s="1"/>
      <c r="L67" s="1"/>
      <c r="M67" s="1"/>
      <c r="N67" s="1"/>
      <c r="O67" s="1"/>
      <c r="P67" s="1"/>
      <c r="Q67" s="1"/>
    </row>
    <row r="68" spans="1:17" x14ac:dyDescent="0.35">
      <c r="A68" s="1"/>
      <c r="B68" s="1"/>
      <c r="C68" s="1"/>
      <c r="D68" s="1"/>
      <c r="E68" s="1"/>
      <c r="F68" s="1"/>
      <c r="G68" s="1"/>
      <c r="H68" s="1"/>
      <c r="I68" s="1"/>
      <c r="J68" s="1"/>
      <c r="K68" s="1"/>
      <c r="L68" s="1"/>
      <c r="M68" s="1"/>
      <c r="N68" s="1"/>
      <c r="O68" s="1"/>
      <c r="P68" s="1"/>
      <c r="Q68" s="1"/>
    </row>
    <row r="69" spans="1:17" x14ac:dyDescent="0.35">
      <c r="A69" s="1"/>
      <c r="B69" s="1"/>
      <c r="C69" s="1"/>
      <c r="D69" s="1"/>
      <c r="E69" s="1"/>
      <c r="F69" s="1"/>
      <c r="G69" s="1"/>
      <c r="H69" s="1"/>
      <c r="I69" s="1"/>
      <c r="J69" s="1"/>
      <c r="K69" s="1"/>
      <c r="L69" s="1"/>
      <c r="M69" s="1"/>
      <c r="N69" s="1"/>
      <c r="O69" s="1"/>
      <c r="P69" s="1"/>
      <c r="Q69" s="1"/>
    </row>
    <row r="70" spans="1:17" x14ac:dyDescent="0.35">
      <c r="A70" s="1"/>
      <c r="B70" s="1"/>
      <c r="C70" s="1"/>
      <c r="D70" s="1"/>
      <c r="E70" s="1"/>
      <c r="F70" s="1"/>
      <c r="G70" s="1"/>
      <c r="H70" s="1"/>
      <c r="I70" s="1"/>
      <c r="J70" s="1"/>
      <c r="K70" s="1"/>
      <c r="L70" s="1"/>
      <c r="M70" s="1"/>
      <c r="N70" s="1"/>
      <c r="O70" s="1"/>
      <c r="P70" s="1"/>
      <c r="Q70" s="1"/>
    </row>
    <row r="71" spans="1:17" x14ac:dyDescent="0.35">
      <c r="A71" s="1"/>
      <c r="B71" s="1"/>
      <c r="C71" s="1"/>
      <c r="D71" s="1"/>
      <c r="E71" s="1"/>
      <c r="F71" s="1"/>
      <c r="G71" s="1"/>
      <c r="H71" s="1"/>
      <c r="I71" s="1"/>
      <c r="J71" s="1"/>
      <c r="K71" s="1"/>
      <c r="L71" s="1"/>
      <c r="M71" s="1"/>
      <c r="N71" s="1"/>
      <c r="O71" s="1"/>
      <c r="P71" s="1"/>
      <c r="Q71" s="1"/>
    </row>
    <row r="72" spans="1:17" x14ac:dyDescent="0.35">
      <c r="A72" s="1"/>
      <c r="B72" s="1"/>
      <c r="C72" s="1"/>
      <c r="D72" s="1"/>
      <c r="E72" s="1"/>
      <c r="F72" s="1"/>
      <c r="G72" s="1"/>
      <c r="H72" s="1"/>
      <c r="I72" s="1"/>
      <c r="J72" s="1"/>
      <c r="K72" s="1"/>
      <c r="L72" s="1"/>
      <c r="M72" s="1"/>
      <c r="N72" s="1"/>
      <c r="O72" s="1"/>
      <c r="P72" s="1"/>
      <c r="Q72" s="1"/>
    </row>
    <row r="73" spans="1:17" x14ac:dyDescent="0.35">
      <c r="A73" s="1"/>
      <c r="B73" s="1"/>
      <c r="C73" s="1"/>
      <c r="D73" s="1"/>
      <c r="E73" s="1"/>
      <c r="F73" s="1"/>
      <c r="G73" s="1"/>
      <c r="H73" s="1"/>
      <c r="I73" s="1"/>
      <c r="J73" s="1"/>
      <c r="K73" s="1"/>
      <c r="L73" s="1"/>
      <c r="M73" s="1"/>
      <c r="N73" s="1"/>
      <c r="O73" s="1"/>
      <c r="P73" s="1"/>
      <c r="Q73" s="1"/>
    </row>
    <row r="74" spans="1:17" x14ac:dyDescent="0.35">
      <c r="A74" s="1"/>
      <c r="B74" s="1"/>
      <c r="C74" s="1"/>
      <c r="D74" s="1"/>
      <c r="E74" s="1"/>
      <c r="F74" s="1"/>
      <c r="G74" s="1"/>
      <c r="H74" s="1"/>
      <c r="I74" s="1"/>
      <c r="J74" s="1"/>
      <c r="K74" s="1"/>
      <c r="L74" s="1"/>
      <c r="M74" s="1"/>
      <c r="N74" s="1"/>
      <c r="O74" s="1"/>
      <c r="P74" s="1"/>
      <c r="Q74" s="1"/>
    </row>
    <row r="75" spans="1:17" x14ac:dyDescent="0.35">
      <c r="A75" s="1"/>
      <c r="B75" s="1"/>
      <c r="C75" s="1"/>
      <c r="D75" s="1"/>
      <c r="E75" s="1"/>
      <c r="F75" s="1"/>
      <c r="G75" s="1"/>
      <c r="H75" s="1"/>
      <c r="I75" s="1"/>
      <c r="J75" s="1"/>
      <c r="K75" s="1"/>
      <c r="L75" s="1"/>
      <c r="M75" s="1"/>
      <c r="N75" s="1"/>
      <c r="O75" s="1"/>
      <c r="P75" s="1"/>
      <c r="Q75" s="1"/>
    </row>
    <row r="76" spans="1:17" x14ac:dyDescent="0.35">
      <c r="A76" s="1"/>
      <c r="B76" s="1"/>
      <c r="C76" s="1"/>
      <c r="D76" s="1"/>
      <c r="E76" s="1"/>
      <c r="F76" s="1"/>
      <c r="G76" s="1"/>
      <c r="H76" s="1"/>
      <c r="I76" s="1"/>
      <c r="J76" s="1"/>
      <c r="K76" s="1"/>
      <c r="L76" s="1"/>
      <c r="M76" s="1"/>
      <c r="N76" s="1"/>
      <c r="O76" s="1"/>
      <c r="P76" s="1"/>
      <c r="Q76" s="1"/>
    </row>
    <row r="77" spans="1:17" x14ac:dyDescent="0.35">
      <c r="A77" s="1"/>
      <c r="B77" s="1"/>
      <c r="C77" s="1"/>
      <c r="D77" s="1"/>
      <c r="E77" s="1"/>
      <c r="F77" s="1"/>
      <c r="G77" s="1"/>
      <c r="H77" s="1"/>
      <c r="I77" s="1"/>
      <c r="J77" s="1"/>
      <c r="K77" s="1"/>
      <c r="L77" s="1"/>
      <c r="M77" s="1"/>
      <c r="N77" s="1"/>
      <c r="O77" s="1"/>
      <c r="P77" s="1"/>
      <c r="Q77" s="1"/>
    </row>
    <row r="78" spans="1:17" x14ac:dyDescent="0.35">
      <c r="A78" s="1"/>
      <c r="B78" s="1"/>
      <c r="C78" s="1"/>
      <c r="D78" s="1"/>
      <c r="E78" s="1"/>
      <c r="F78" s="1"/>
      <c r="G78" s="1"/>
      <c r="H78" s="1"/>
      <c r="I78" s="1"/>
      <c r="J78" s="1"/>
      <c r="K78" s="1"/>
      <c r="L78" s="1"/>
      <c r="M78" s="1"/>
      <c r="N78" s="1"/>
      <c r="O78" s="1"/>
      <c r="P78" s="1"/>
      <c r="Q78" s="1"/>
    </row>
    <row r="79" spans="1:17" x14ac:dyDescent="0.35">
      <c r="A79" s="1"/>
      <c r="B79" s="1"/>
      <c r="C79" s="1"/>
      <c r="D79" s="1"/>
      <c r="E79" s="1"/>
      <c r="F79" s="1"/>
      <c r="G79" s="1"/>
      <c r="H79" s="1"/>
      <c r="I79" s="1"/>
      <c r="J79" s="1"/>
      <c r="K79" s="1"/>
      <c r="L79" s="1"/>
      <c r="M79" s="1"/>
      <c r="N79" s="1"/>
      <c r="O79" s="1"/>
      <c r="P79" s="1"/>
      <c r="Q79" s="1"/>
    </row>
    <row r="80" spans="1:17" x14ac:dyDescent="0.35">
      <c r="A80" s="1"/>
      <c r="B80" s="1"/>
      <c r="C80" s="1"/>
      <c r="D80" s="1"/>
      <c r="E80" s="1"/>
      <c r="F80" s="1"/>
      <c r="G80" s="1"/>
      <c r="H80" s="1"/>
      <c r="I80" s="1"/>
      <c r="J80" s="1"/>
      <c r="K80" s="1"/>
      <c r="L80" s="1"/>
      <c r="M80" s="1"/>
      <c r="N80" s="1"/>
      <c r="O80" s="1"/>
      <c r="P80" s="1"/>
      <c r="Q80" s="1"/>
    </row>
    <row r="81" spans="1:17" x14ac:dyDescent="0.35">
      <c r="A81" s="1"/>
      <c r="B81" s="1"/>
      <c r="C81" s="1"/>
      <c r="D81" s="1"/>
      <c r="E81" s="1"/>
      <c r="F81" s="1"/>
      <c r="G81" s="1"/>
      <c r="H81" s="1"/>
      <c r="I81" s="1"/>
      <c r="J81" s="1"/>
      <c r="K81" s="1"/>
      <c r="L81" s="1"/>
      <c r="M81" s="1"/>
      <c r="N81" s="1"/>
      <c r="O81" s="1"/>
      <c r="P81" s="1"/>
      <c r="Q81" s="1"/>
    </row>
    <row r="82" spans="1:17" x14ac:dyDescent="0.35">
      <c r="A82" s="1"/>
      <c r="B82" s="1"/>
      <c r="C82" s="1"/>
      <c r="D82" s="1"/>
      <c r="E82" s="1"/>
      <c r="F82" s="1"/>
      <c r="G82" s="1"/>
      <c r="H82" s="1"/>
      <c r="I82" s="1"/>
      <c r="J82" s="1"/>
      <c r="K82" s="1"/>
      <c r="L82" s="1"/>
      <c r="M82" s="1"/>
      <c r="N82" s="1"/>
      <c r="O82" s="1"/>
      <c r="P82" s="1"/>
      <c r="Q82" s="1"/>
    </row>
    <row r="83" spans="1:17" x14ac:dyDescent="0.35">
      <c r="A83" s="1"/>
      <c r="B83" s="1"/>
      <c r="C83" s="1"/>
      <c r="D83" s="1"/>
      <c r="E83" s="1"/>
      <c r="F83" s="1"/>
      <c r="G83" s="1"/>
      <c r="H83" s="1"/>
      <c r="I83" s="1"/>
      <c r="J83" s="1"/>
      <c r="K83" s="1"/>
      <c r="L83" s="1"/>
      <c r="M83" s="1"/>
      <c r="N83" s="1"/>
      <c r="O83" s="1"/>
      <c r="P83" s="1"/>
      <c r="Q83" s="1"/>
    </row>
    <row r="84" spans="1:17" x14ac:dyDescent="0.35">
      <c r="A84" s="1"/>
      <c r="B84" s="1"/>
      <c r="C84" s="1"/>
      <c r="D84" s="1"/>
      <c r="E84" s="1"/>
      <c r="F84" s="1"/>
      <c r="G84" s="1"/>
      <c r="H84" s="1"/>
      <c r="I84" s="1"/>
      <c r="J84" s="1"/>
      <c r="K84" s="1"/>
      <c r="L84" s="1"/>
      <c r="M84" s="1"/>
      <c r="N84" s="1"/>
      <c r="O84" s="1"/>
      <c r="P84" s="1"/>
      <c r="Q84" s="1"/>
    </row>
    <row r="85" spans="1:17" x14ac:dyDescent="0.35">
      <c r="A85" s="1"/>
      <c r="B85" s="1"/>
      <c r="C85" s="1"/>
      <c r="D85" s="1"/>
      <c r="E85" s="1"/>
      <c r="F85" s="1"/>
      <c r="G85" s="1"/>
      <c r="H85" s="1"/>
      <c r="I85" s="1"/>
      <c r="J85" s="1"/>
      <c r="K85" s="1"/>
      <c r="L85" s="1"/>
      <c r="M85" s="1"/>
      <c r="N85" s="1"/>
      <c r="O85" s="1"/>
      <c r="P85" s="1"/>
      <c r="Q85" s="1"/>
    </row>
    <row r="86" spans="1:17" x14ac:dyDescent="0.35">
      <c r="A86" s="1"/>
      <c r="B86" s="1"/>
      <c r="C86" s="1"/>
      <c r="D86" s="1"/>
      <c r="E86" s="1"/>
      <c r="F86" s="1"/>
      <c r="G86" s="1"/>
      <c r="H86" s="1"/>
      <c r="I86" s="1"/>
      <c r="J86" s="1"/>
      <c r="K86" s="1"/>
      <c r="L86" s="1"/>
      <c r="M86" s="1"/>
      <c r="N86" s="1"/>
      <c r="O86" s="1"/>
      <c r="P86" s="1"/>
      <c r="Q86" s="1"/>
    </row>
    <row r="87" spans="1:17" x14ac:dyDescent="0.35">
      <c r="A87" s="1"/>
      <c r="B87" s="1"/>
      <c r="C87" s="1"/>
      <c r="D87" s="1"/>
      <c r="E87" s="1"/>
      <c r="F87" s="1"/>
      <c r="G87" s="1"/>
      <c r="H87" s="1"/>
      <c r="I87" s="1"/>
      <c r="J87" s="1"/>
      <c r="K87" s="1"/>
      <c r="L87" s="1"/>
      <c r="M87" s="1"/>
      <c r="N87" s="1"/>
      <c r="O87" s="1"/>
      <c r="P87" s="1"/>
      <c r="Q87" s="1"/>
    </row>
    <row r="88" spans="1:17" x14ac:dyDescent="0.35">
      <c r="A88" s="1"/>
      <c r="B88" s="1"/>
      <c r="C88" s="1"/>
      <c r="D88" s="1"/>
      <c r="E88" s="1"/>
      <c r="F88" s="1"/>
      <c r="G88" s="1"/>
      <c r="H88" s="1"/>
      <c r="I88" s="1"/>
      <c r="J88" s="1"/>
      <c r="K88" s="1"/>
      <c r="L88" s="1"/>
      <c r="M88" s="1"/>
      <c r="N88" s="1"/>
      <c r="O88" s="1"/>
      <c r="P88" s="1"/>
      <c r="Q88" s="1"/>
    </row>
    <row r="89" spans="1:17" x14ac:dyDescent="0.35">
      <c r="A89" s="1"/>
      <c r="B89" s="1"/>
      <c r="C89" s="1"/>
      <c r="D89" s="1"/>
      <c r="E89" s="1"/>
      <c r="F89" s="1"/>
      <c r="G89" s="1"/>
      <c r="H89" s="1"/>
      <c r="I89" s="1"/>
      <c r="J89" s="1"/>
      <c r="K89" s="1"/>
      <c r="L89" s="1"/>
      <c r="M89" s="1"/>
      <c r="N89" s="1"/>
      <c r="O89" s="1"/>
      <c r="P89" s="1"/>
      <c r="Q89" s="1"/>
    </row>
    <row r="90" spans="1:17" x14ac:dyDescent="0.35">
      <c r="A90" s="1"/>
      <c r="B90" s="1"/>
      <c r="C90" s="1"/>
      <c r="D90" s="1"/>
      <c r="E90" s="1"/>
      <c r="F90" s="1"/>
      <c r="G90" s="1"/>
      <c r="H90" s="1"/>
      <c r="I90" s="1"/>
      <c r="J90" s="1"/>
      <c r="K90" s="1"/>
      <c r="L90" s="1"/>
      <c r="M90" s="1"/>
      <c r="N90" s="1"/>
      <c r="O90" s="1"/>
      <c r="P90" s="1"/>
      <c r="Q90" s="1"/>
    </row>
    <row r="91" spans="1:17" x14ac:dyDescent="0.35">
      <c r="A91" s="1"/>
      <c r="B91" s="1"/>
      <c r="C91" s="1"/>
      <c r="D91" s="1"/>
      <c r="E91" s="1"/>
      <c r="F91" s="1"/>
      <c r="G91" s="1"/>
      <c r="H91" s="1"/>
      <c r="I91" s="1"/>
      <c r="J91" s="1"/>
      <c r="K91" s="1"/>
      <c r="L91" s="1"/>
      <c r="M91" s="1"/>
      <c r="N91" s="1"/>
      <c r="O91" s="1"/>
      <c r="P91" s="1"/>
      <c r="Q91" s="1"/>
    </row>
    <row r="92" spans="1:17" x14ac:dyDescent="0.35">
      <c r="A92" s="1"/>
      <c r="B92" s="1"/>
      <c r="C92" s="1"/>
      <c r="D92" s="1"/>
      <c r="E92" s="1"/>
      <c r="F92" s="1"/>
      <c r="G92" s="1"/>
      <c r="H92" s="1"/>
      <c r="I92" s="1"/>
      <c r="J92" s="1"/>
      <c r="K92" s="1"/>
      <c r="L92" s="1"/>
      <c r="M92" s="1"/>
      <c r="N92" s="1"/>
      <c r="O92" s="1"/>
      <c r="P92" s="1"/>
      <c r="Q92" s="1"/>
    </row>
    <row r="93" spans="1:17" x14ac:dyDescent="0.35">
      <c r="A93" s="1"/>
      <c r="B93" s="1"/>
      <c r="C93" s="1"/>
      <c r="D93" s="1"/>
      <c r="E93" s="1"/>
      <c r="F93" s="1"/>
      <c r="G93" s="1"/>
      <c r="H93" s="1"/>
      <c r="I93" s="1"/>
      <c r="J93" s="1"/>
      <c r="K93" s="1"/>
      <c r="L93" s="1"/>
      <c r="M93" s="1"/>
      <c r="N93" s="1"/>
      <c r="O93" s="1"/>
      <c r="P93" s="1"/>
      <c r="Q93" s="1"/>
    </row>
    <row r="94" spans="1:17" x14ac:dyDescent="0.35">
      <c r="A94" s="1"/>
      <c r="B94" s="1"/>
      <c r="C94" s="1"/>
      <c r="D94" s="1"/>
      <c r="E94" s="1"/>
      <c r="F94" s="1"/>
      <c r="G94" s="1"/>
      <c r="H94" s="1"/>
      <c r="I94" s="1"/>
      <c r="J94" s="1"/>
      <c r="K94" s="1"/>
      <c r="L94" s="1"/>
      <c r="M94" s="1"/>
      <c r="N94" s="1"/>
      <c r="O94" s="1"/>
      <c r="P94" s="1"/>
      <c r="Q94" s="1"/>
    </row>
    <row r="95" spans="1:17" x14ac:dyDescent="0.35">
      <c r="A95" s="1"/>
      <c r="B95" s="1"/>
      <c r="C95" s="1"/>
      <c r="D95" s="1"/>
      <c r="E95" s="1"/>
      <c r="F95" s="1"/>
      <c r="G95" s="1"/>
      <c r="H95" s="1"/>
      <c r="I95" s="1"/>
      <c r="J95" s="1"/>
      <c r="K95" s="1"/>
      <c r="L95" s="1"/>
      <c r="M95" s="1"/>
      <c r="N95" s="1"/>
      <c r="O95" s="1"/>
      <c r="P95" s="1"/>
      <c r="Q95" s="1"/>
    </row>
    <row r="96" spans="1:17" x14ac:dyDescent="0.35">
      <c r="A96" s="1"/>
      <c r="B96" s="1"/>
      <c r="C96" s="1"/>
      <c r="D96" s="1"/>
      <c r="E96" s="1"/>
      <c r="F96" s="1"/>
      <c r="G96" s="1"/>
      <c r="H96" s="1"/>
      <c r="I96" s="1"/>
      <c r="J96" s="1"/>
      <c r="K96" s="1"/>
      <c r="L96" s="1"/>
      <c r="M96" s="1"/>
      <c r="N96" s="1"/>
      <c r="O96" s="1"/>
      <c r="P96" s="1"/>
      <c r="Q96" s="1"/>
    </row>
    <row r="97" spans="1:17" x14ac:dyDescent="0.35">
      <c r="A97" s="1"/>
      <c r="B97" s="1"/>
      <c r="C97" s="1"/>
      <c r="D97" s="1"/>
      <c r="E97" s="1"/>
      <c r="F97" s="1"/>
      <c r="G97" s="1"/>
      <c r="H97" s="1"/>
      <c r="I97" s="1"/>
      <c r="J97" s="1"/>
      <c r="K97" s="1"/>
      <c r="L97" s="1"/>
      <c r="M97" s="1"/>
      <c r="N97" s="1"/>
      <c r="O97" s="1"/>
      <c r="P97" s="1"/>
      <c r="Q97" s="1"/>
    </row>
    <row r="98" spans="1:17" x14ac:dyDescent="0.35">
      <c r="A98" s="1"/>
      <c r="B98" s="1"/>
      <c r="C98" s="1"/>
      <c r="D98" s="1"/>
      <c r="E98" s="1"/>
      <c r="F98" s="1"/>
      <c r="G98" s="1"/>
      <c r="H98" s="1"/>
      <c r="I98" s="1"/>
      <c r="J98" s="1"/>
      <c r="K98" s="1"/>
      <c r="L98" s="1"/>
      <c r="M98" s="1"/>
      <c r="N98" s="1"/>
      <c r="O98" s="1"/>
      <c r="P98" s="1"/>
      <c r="Q98" s="1"/>
    </row>
    <row r="99" spans="1:17" x14ac:dyDescent="0.35">
      <c r="A99" s="1"/>
      <c r="B99" s="1"/>
      <c r="C99" s="1"/>
      <c r="D99" s="1"/>
      <c r="E99" s="1"/>
      <c r="F99" s="1"/>
      <c r="G99" s="1"/>
      <c r="H99" s="1"/>
      <c r="I99" s="1"/>
      <c r="J99" s="1"/>
      <c r="K99" s="1"/>
      <c r="L99" s="1"/>
      <c r="M99" s="1"/>
      <c r="N99" s="1"/>
      <c r="O99" s="1"/>
      <c r="P99" s="1"/>
      <c r="Q99" s="1"/>
    </row>
    <row r="100" spans="1:17" x14ac:dyDescent="0.35">
      <c r="A100" s="1"/>
      <c r="B100" s="1"/>
      <c r="C100" s="1"/>
      <c r="D100" s="1"/>
      <c r="E100" s="1"/>
      <c r="F100" s="1"/>
      <c r="G100" s="1"/>
      <c r="H100" s="1"/>
      <c r="I100" s="1"/>
      <c r="J100" s="1"/>
      <c r="K100" s="1"/>
      <c r="L100" s="1"/>
      <c r="M100" s="1"/>
      <c r="N100" s="1"/>
      <c r="O100" s="1"/>
      <c r="P100" s="1"/>
      <c r="Q100" s="1"/>
    </row>
    <row r="101" spans="1:17" x14ac:dyDescent="0.35">
      <c r="A101" s="1"/>
      <c r="B101" s="1"/>
      <c r="C101" s="1"/>
      <c r="D101" s="1"/>
      <c r="E101" s="1"/>
      <c r="F101" s="1"/>
      <c r="G101" s="1"/>
      <c r="H101" s="1"/>
      <c r="I101" s="1"/>
      <c r="J101" s="1"/>
      <c r="K101" s="1"/>
      <c r="L101" s="1"/>
      <c r="M101" s="1"/>
      <c r="N101" s="1"/>
      <c r="O101" s="1"/>
      <c r="P101" s="1"/>
      <c r="Q101" s="1"/>
    </row>
    <row r="102" spans="1:17" x14ac:dyDescent="0.35">
      <c r="A102" s="1"/>
      <c r="B102" s="1"/>
      <c r="C102" s="1"/>
      <c r="D102" s="1"/>
      <c r="E102" s="1"/>
      <c r="F102" s="1"/>
      <c r="G102" s="1"/>
      <c r="H102" s="1"/>
      <c r="I102" s="1"/>
      <c r="J102" s="1"/>
      <c r="K102" s="1"/>
      <c r="L102" s="1"/>
      <c r="M102" s="1"/>
      <c r="N102" s="1"/>
      <c r="O102" s="1"/>
      <c r="P102" s="1"/>
      <c r="Q102" s="1"/>
    </row>
    <row r="103" spans="1:17" x14ac:dyDescent="0.35">
      <c r="A103" s="1"/>
      <c r="B103" s="1"/>
      <c r="C103" s="1"/>
      <c r="D103" s="1"/>
      <c r="E103" s="1"/>
      <c r="F103" s="1"/>
      <c r="G103" s="1"/>
      <c r="H103" s="1"/>
      <c r="I103" s="1"/>
      <c r="J103" s="1"/>
      <c r="K103" s="1"/>
      <c r="L103" s="1"/>
      <c r="M103" s="1"/>
      <c r="N103" s="1"/>
      <c r="O103" s="1"/>
      <c r="P103" s="1"/>
      <c r="Q103" s="1"/>
    </row>
    <row r="104" spans="1:17" x14ac:dyDescent="0.35">
      <c r="A104" s="1"/>
      <c r="B104" s="1"/>
      <c r="C104" s="1"/>
      <c r="D104" s="1"/>
      <c r="E104" s="1"/>
      <c r="F104" s="1"/>
      <c r="G104" s="1"/>
      <c r="H104" s="1"/>
      <c r="I104" s="1"/>
      <c r="J104" s="1"/>
      <c r="K104" s="1"/>
      <c r="L104" s="1"/>
      <c r="M104" s="1"/>
      <c r="N104" s="1"/>
      <c r="O104" s="1"/>
      <c r="P104" s="1"/>
      <c r="Q104" s="1"/>
    </row>
    <row r="105" spans="1:17" x14ac:dyDescent="0.35">
      <c r="A105" s="1"/>
      <c r="B105" s="1"/>
      <c r="C105" s="1"/>
      <c r="D105" s="1"/>
      <c r="E105" s="1"/>
      <c r="F105" s="1"/>
      <c r="G105" s="1"/>
      <c r="H105" s="1"/>
      <c r="I105" s="1"/>
      <c r="J105" s="1"/>
      <c r="K105" s="1"/>
      <c r="L105" s="1"/>
      <c r="M105" s="1"/>
      <c r="N105" s="1"/>
      <c r="O105" s="1"/>
      <c r="P105" s="1"/>
      <c r="Q105" s="1"/>
    </row>
    <row r="106" spans="1:17" x14ac:dyDescent="0.35">
      <c r="A106" s="1"/>
      <c r="B106" s="1"/>
      <c r="C106" s="1"/>
      <c r="D106" s="1"/>
      <c r="E106" s="1"/>
      <c r="F106" s="1"/>
      <c r="G106" s="1"/>
      <c r="H106" s="1"/>
      <c r="I106" s="1"/>
      <c r="J106" s="1"/>
      <c r="K106" s="1"/>
      <c r="L106" s="1"/>
      <c r="M106" s="1"/>
      <c r="N106" s="1"/>
      <c r="O106" s="1"/>
      <c r="P106" s="1"/>
      <c r="Q106" s="1"/>
    </row>
    <row r="107" spans="1:17" x14ac:dyDescent="0.35">
      <c r="A107" s="1"/>
      <c r="B107" s="1"/>
      <c r="C107" s="1"/>
      <c r="D107" s="1"/>
      <c r="E107" s="1"/>
      <c r="F107" s="1"/>
      <c r="G107" s="1"/>
      <c r="H107" s="1"/>
      <c r="I107" s="1"/>
      <c r="J107" s="1"/>
      <c r="K107" s="1"/>
      <c r="L107" s="1"/>
      <c r="M107" s="1"/>
      <c r="N107" s="1"/>
      <c r="O107" s="1"/>
      <c r="P107" s="1"/>
      <c r="Q107" s="1"/>
    </row>
    <row r="108" spans="1:17" x14ac:dyDescent="0.35">
      <c r="A108" s="1"/>
      <c r="B108" s="1"/>
      <c r="C108" s="1"/>
      <c r="D108" s="1"/>
      <c r="E108" s="1"/>
      <c r="F108" s="1"/>
      <c r="G108" s="1"/>
      <c r="H108" s="1"/>
      <c r="I108" s="1"/>
      <c r="J108" s="1"/>
      <c r="K108" s="1"/>
      <c r="L108" s="1"/>
      <c r="M108" s="1"/>
      <c r="N108" s="1"/>
      <c r="O108" s="1"/>
      <c r="P108" s="1"/>
      <c r="Q108" s="1"/>
    </row>
    <row r="109" spans="1:17" x14ac:dyDescent="0.35">
      <c r="A109" s="1"/>
      <c r="B109" s="1"/>
      <c r="C109" s="1"/>
      <c r="D109" s="1"/>
      <c r="E109" s="1"/>
      <c r="F109" s="1"/>
      <c r="G109" s="1"/>
      <c r="H109" s="1"/>
      <c r="I109" s="1"/>
      <c r="J109" s="1"/>
      <c r="K109" s="1"/>
      <c r="L109" s="1"/>
      <c r="M109" s="1"/>
      <c r="N109" s="1"/>
      <c r="O109" s="1"/>
      <c r="P109" s="1"/>
      <c r="Q109" s="1"/>
    </row>
    <row r="110" spans="1:17" x14ac:dyDescent="0.35">
      <c r="A110" s="1"/>
      <c r="B110" s="1"/>
      <c r="C110" s="1"/>
      <c r="D110" s="1"/>
      <c r="E110" s="1"/>
      <c r="F110" s="1"/>
      <c r="G110" s="1"/>
      <c r="H110" s="1"/>
      <c r="I110" s="1"/>
      <c r="J110" s="1"/>
      <c r="K110" s="1"/>
      <c r="L110" s="1"/>
      <c r="M110" s="1"/>
      <c r="N110" s="1"/>
      <c r="O110" s="1"/>
      <c r="P110" s="1"/>
      <c r="Q110" s="1"/>
    </row>
    <row r="111" spans="1:17" x14ac:dyDescent="0.35">
      <c r="A111" s="1"/>
      <c r="B111" s="1"/>
      <c r="C111" s="1"/>
      <c r="D111" s="1"/>
      <c r="E111" s="1"/>
      <c r="F111" s="1"/>
      <c r="G111" s="1"/>
      <c r="H111" s="1"/>
      <c r="I111" s="1"/>
      <c r="J111" s="1"/>
      <c r="K111" s="1"/>
      <c r="L111" s="1"/>
      <c r="M111" s="1"/>
      <c r="N111" s="1"/>
      <c r="O111" s="1"/>
      <c r="P111" s="1"/>
      <c r="Q111" s="1"/>
    </row>
    <row r="112" spans="1:17" x14ac:dyDescent="0.35">
      <c r="A112" s="1"/>
      <c r="B112" s="1"/>
      <c r="C112" s="1"/>
      <c r="D112" s="1"/>
      <c r="E112" s="1"/>
      <c r="F112" s="1"/>
      <c r="G112" s="1"/>
      <c r="H112" s="1"/>
      <c r="I112" s="1"/>
      <c r="J112" s="1"/>
      <c r="K112" s="1"/>
      <c r="L112" s="1"/>
      <c r="M112" s="1"/>
      <c r="N112" s="1"/>
      <c r="O112" s="1"/>
      <c r="P112" s="1"/>
      <c r="Q112" s="1"/>
    </row>
    <row r="113" spans="1:17" x14ac:dyDescent="0.35">
      <c r="A113" s="1"/>
      <c r="B113" s="1"/>
      <c r="C113" s="1"/>
      <c r="D113" s="1"/>
      <c r="E113" s="1"/>
      <c r="F113" s="1"/>
      <c r="G113" s="1"/>
      <c r="H113" s="1"/>
      <c r="I113" s="1"/>
      <c r="J113" s="1"/>
      <c r="K113" s="1"/>
      <c r="L113" s="1"/>
      <c r="M113" s="1"/>
      <c r="N113" s="1"/>
      <c r="O113" s="1"/>
      <c r="P113" s="1"/>
      <c r="Q113" s="1"/>
    </row>
    <row r="114" spans="1:17" x14ac:dyDescent="0.35">
      <c r="A114" s="1"/>
      <c r="B114" s="1"/>
      <c r="C114" s="1"/>
      <c r="D114" s="1"/>
      <c r="E114" s="1"/>
      <c r="F114" s="1"/>
      <c r="G114" s="1"/>
      <c r="H114" s="1"/>
      <c r="I114" s="1"/>
      <c r="J114" s="1"/>
      <c r="K114" s="1"/>
      <c r="L114" s="1"/>
      <c r="M114" s="1"/>
      <c r="N114" s="1"/>
      <c r="O114" s="1"/>
      <c r="P114" s="1"/>
      <c r="Q114" s="1"/>
    </row>
    <row r="115" spans="1:17" x14ac:dyDescent="0.35">
      <c r="A115" s="1"/>
      <c r="B115" s="1"/>
      <c r="C115" s="1"/>
      <c r="D115" s="1"/>
      <c r="E115" s="1"/>
      <c r="F115" s="1"/>
      <c r="G115" s="1"/>
      <c r="H115" s="1"/>
      <c r="I115" s="1"/>
      <c r="J115" s="1"/>
      <c r="K115" s="1"/>
      <c r="L115" s="1"/>
      <c r="M115" s="1"/>
      <c r="N115" s="1"/>
      <c r="O115" s="1"/>
      <c r="P115" s="1"/>
      <c r="Q115" s="1"/>
    </row>
    <row r="116" spans="1:17" x14ac:dyDescent="0.35">
      <c r="A116" s="1"/>
      <c r="B116" s="1"/>
      <c r="C116" s="1"/>
      <c r="D116" s="1"/>
      <c r="E116" s="1"/>
      <c r="F116" s="1"/>
      <c r="G116" s="1"/>
      <c r="H116" s="1"/>
      <c r="I116" s="1"/>
      <c r="J116" s="1"/>
      <c r="K116" s="1"/>
      <c r="L116" s="1"/>
      <c r="M116" s="1"/>
      <c r="N116" s="1"/>
      <c r="O116" s="1"/>
      <c r="P116" s="1"/>
      <c r="Q116" s="1"/>
    </row>
    <row r="117" spans="1:17" x14ac:dyDescent="0.35">
      <c r="A117" s="1"/>
      <c r="B117" s="1"/>
      <c r="C117" s="1"/>
      <c r="D117" s="1"/>
      <c r="E117" s="1"/>
      <c r="F117" s="1"/>
      <c r="G117" s="1"/>
      <c r="H117" s="1"/>
      <c r="I117" s="1"/>
      <c r="J117" s="1"/>
      <c r="K117" s="1"/>
      <c r="L117" s="1"/>
      <c r="M117" s="1"/>
      <c r="N117" s="1"/>
      <c r="O117" s="1"/>
      <c r="P117" s="1"/>
      <c r="Q117" s="1"/>
    </row>
    <row r="118" spans="1:17" x14ac:dyDescent="0.35">
      <c r="A118" s="1"/>
      <c r="B118" s="1"/>
      <c r="C118" s="1"/>
      <c r="D118" s="1"/>
      <c r="E118" s="1"/>
      <c r="F118" s="1"/>
      <c r="G118" s="1"/>
      <c r="H118" s="1"/>
      <c r="I118" s="1"/>
      <c r="J118" s="1"/>
      <c r="K118" s="1"/>
      <c r="L118" s="1"/>
      <c r="M118" s="1"/>
      <c r="N118" s="1"/>
      <c r="O118" s="1"/>
      <c r="P118" s="1"/>
      <c r="Q118" s="1"/>
    </row>
    <row r="119" spans="1:17" x14ac:dyDescent="0.35">
      <c r="A119" s="1"/>
      <c r="B119" s="1"/>
      <c r="C119" s="1"/>
      <c r="D119" s="1"/>
      <c r="E119" s="1"/>
      <c r="F119" s="1"/>
      <c r="G119" s="1"/>
      <c r="H119" s="1"/>
      <c r="I119" s="1"/>
      <c r="J119" s="1"/>
      <c r="K119" s="1"/>
      <c r="L119" s="1"/>
      <c r="M119" s="1"/>
      <c r="N119" s="1"/>
      <c r="O119" s="1"/>
      <c r="P119" s="1"/>
      <c r="Q119" s="1"/>
    </row>
    <row r="120" spans="1:17" x14ac:dyDescent="0.35">
      <c r="A120" s="1"/>
      <c r="B120" s="1"/>
      <c r="C120" s="1"/>
      <c r="D120" s="1"/>
      <c r="E120" s="1"/>
      <c r="F120" s="1"/>
      <c r="G120" s="1"/>
      <c r="H120" s="1"/>
      <c r="I120" s="1"/>
      <c r="J120" s="1"/>
      <c r="K120" s="1"/>
      <c r="L120" s="1"/>
      <c r="M120" s="1"/>
      <c r="N120" s="1"/>
      <c r="O120" s="1"/>
      <c r="P120" s="1"/>
      <c r="Q120" s="1"/>
    </row>
    <row r="121" spans="1:17" x14ac:dyDescent="0.35">
      <c r="A121" s="1"/>
      <c r="B121" s="1"/>
      <c r="C121" s="1"/>
      <c r="D121" s="1"/>
      <c r="E121" s="1"/>
      <c r="F121" s="1"/>
      <c r="G121" s="1"/>
      <c r="H121" s="1"/>
      <c r="I121" s="1"/>
      <c r="J121" s="1"/>
      <c r="K121" s="1"/>
      <c r="L121" s="1"/>
      <c r="M121" s="1"/>
      <c r="N121" s="1"/>
      <c r="O121" s="1"/>
      <c r="P121" s="1"/>
      <c r="Q121" s="1"/>
    </row>
    <row r="122" spans="1:17" x14ac:dyDescent="0.35">
      <c r="A122" s="1"/>
      <c r="B122" s="1"/>
      <c r="C122" s="1"/>
      <c r="D122" s="1"/>
      <c r="E122" s="1"/>
      <c r="F122" s="1"/>
      <c r="G122" s="1"/>
      <c r="H122" s="1"/>
      <c r="I122" s="1"/>
      <c r="J122" s="1"/>
      <c r="K122" s="1"/>
      <c r="L122" s="1"/>
      <c r="M122" s="1"/>
      <c r="N122" s="1"/>
      <c r="O122" s="1"/>
      <c r="P122" s="1"/>
      <c r="Q122" s="1"/>
    </row>
    <row r="123" spans="1:17" x14ac:dyDescent="0.35">
      <c r="A123" s="1"/>
      <c r="B123" s="1"/>
      <c r="C123" s="1"/>
      <c r="D123" s="1"/>
      <c r="E123" s="1"/>
      <c r="F123" s="1"/>
      <c r="G123" s="1"/>
      <c r="H123" s="1"/>
      <c r="I123" s="1"/>
      <c r="J123" s="1"/>
      <c r="K123" s="1"/>
      <c r="L123" s="1"/>
      <c r="M123" s="1"/>
      <c r="N123" s="1"/>
      <c r="O123" s="1"/>
      <c r="P123" s="1"/>
      <c r="Q123" s="1"/>
    </row>
    <row r="124" spans="1:17" x14ac:dyDescent="0.35">
      <c r="A124" s="1"/>
      <c r="B124" s="1"/>
      <c r="C124" s="1"/>
      <c r="D124" s="1"/>
      <c r="E124" s="1"/>
      <c r="F124" s="1"/>
      <c r="G124" s="1"/>
      <c r="H124" s="1"/>
      <c r="I124" s="1"/>
      <c r="J124" s="1"/>
      <c r="K124" s="1"/>
      <c r="L124" s="1"/>
      <c r="M124" s="1"/>
      <c r="N124" s="1"/>
      <c r="O124" s="1"/>
      <c r="P124" s="1"/>
      <c r="Q124" s="1"/>
    </row>
    <row r="125" spans="1:17" x14ac:dyDescent="0.35">
      <c r="A125" s="1"/>
      <c r="B125" s="1"/>
      <c r="C125" s="1"/>
      <c r="D125" s="1"/>
      <c r="E125" s="1"/>
      <c r="F125" s="1"/>
      <c r="G125" s="1"/>
      <c r="H125" s="1"/>
      <c r="I125" s="1"/>
      <c r="J125" s="1"/>
      <c r="K125" s="1"/>
      <c r="L125" s="1"/>
      <c r="M125" s="1"/>
      <c r="N125" s="1"/>
      <c r="O125" s="1"/>
      <c r="P125" s="1"/>
      <c r="Q125" s="1"/>
    </row>
    <row r="126" spans="1:17" x14ac:dyDescent="0.35">
      <c r="A126" s="1"/>
      <c r="B126" s="1"/>
      <c r="C126" s="1"/>
      <c r="D126" s="1"/>
      <c r="E126" s="1"/>
      <c r="F126" s="1"/>
      <c r="G126" s="1"/>
      <c r="H126" s="1"/>
      <c r="I126" s="1"/>
      <c r="J126" s="1"/>
      <c r="K126" s="1"/>
      <c r="L126" s="1"/>
      <c r="M126" s="1"/>
      <c r="N126" s="1"/>
      <c r="O126" s="1"/>
      <c r="P126" s="1"/>
      <c r="Q126" s="1"/>
    </row>
    <row r="127" spans="1:17" x14ac:dyDescent="0.35">
      <c r="A127" s="1"/>
      <c r="B127" s="1"/>
      <c r="C127" s="1"/>
      <c r="D127" s="1"/>
      <c r="E127" s="1"/>
      <c r="F127" s="1"/>
      <c r="G127" s="1"/>
      <c r="H127" s="1"/>
      <c r="I127" s="1"/>
      <c r="J127" s="1"/>
      <c r="K127" s="1"/>
      <c r="L127" s="1"/>
      <c r="M127" s="1"/>
      <c r="N127" s="1"/>
      <c r="O127" s="1"/>
      <c r="P127" s="1"/>
      <c r="Q127" s="1"/>
    </row>
    <row r="128" spans="1:17" x14ac:dyDescent="0.35">
      <c r="A128" s="1"/>
      <c r="B128" s="1"/>
      <c r="C128" s="1"/>
      <c r="D128" s="1"/>
      <c r="E128" s="1"/>
      <c r="F128" s="1"/>
      <c r="G128" s="1"/>
      <c r="H128" s="1"/>
      <c r="I128" s="1"/>
      <c r="J128" s="1"/>
      <c r="K128" s="1"/>
      <c r="L128" s="1"/>
      <c r="M128" s="1"/>
      <c r="N128" s="1"/>
      <c r="O128" s="1"/>
      <c r="P128" s="1"/>
      <c r="Q128" s="1"/>
    </row>
    <row r="129" spans="1:17" x14ac:dyDescent="0.35">
      <c r="A129" s="1"/>
      <c r="B129" s="1"/>
      <c r="C129" s="1"/>
      <c r="D129" s="1"/>
      <c r="E129" s="1"/>
      <c r="F129" s="1"/>
      <c r="G129" s="1"/>
      <c r="H129" s="1"/>
      <c r="I129" s="1"/>
      <c r="J129" s="1"/>
      <c r="K129" s="1"/>
      <c r="L129" s="1"/>
      <c r="M129" s="1"/>
      <c r="N129" s="1"/>
      <c r="O129" s="1"/>
      <c r="P129" s="1"/>
      <c r="Q129" s="1"/>
    </row>
    <row r="130" spans="1:17" x14ac:dyDescent="0.35">
      <c r="A130" s="1"/>
      <c r="B130" s="1"/>
      <c r="C130" s="1"/>
      <c r="D130" s="1"/>
      <c r="E130" s="1"/>
      <c r="F130" s="1"/>
      <c r="G130" s="1"/>
      <c r="H130" s="1"/>
      <c r="I130" s="1"/>
      <c r="J130" s="1"/>
      <c r="K130" s="1"/>
      <c r="L130" s="1"/>
      <c r="M130" s="1"/>
      <c r="N130" s="1"/>
      <c r="O130" s="1"/>
      <c r="P130" s="1"/>
      <c r="Q130" s="1"/>
    </row>
    <row r="131" spans="1:17" x14ac:dyDescent="0.35">
      <c r="A131" s="1"/>
      <c r="B131" s="1"/>
      <c r="C131" s="1"/>
      <c r="D131" s="1"/>
      <c r="E131" s="1"/>
      <c r="F131" s="1"/>
      <c r="G131" s="1"/>
      <c r="H131" s="1"/>
      <c r="I131" s="1"/>
      <c r="J131" s="1"/>
      <c r="K131" s="1"/>
      <c r="L131" s="1"/>
      <c r="M131" s="1"/>
      <c r="N131" s="1"/>
      <c r="O131" s="1"/>
      <c r="P131" s="1"/>
      <c r="Q131" s="1"/>
    </row>
    <row r="132" spans="1:17" x14ac:dyDescent="0.35">
      <c r="A132" s="1"/>
      <c r="B132" s="1"/>
      <c r="C132" s="1"/>
      <c r="D132" s="1"/>
      <c r="E132" s="1"/>
      <c r="F132" s="1"/>
      <c r="G132" s="1"/>
      <c r="H132" s="1"/>
      <c r="I132" s="1"/>
      <c r="J132" s="1"/>
      <c r="K132" s="1"/>
      <c r="L132" s="1"/>
      <c r="M132" s="1"/>
      <c r="N132" s="1"/>
      <c r="O132" s="1"/>
      <c r="P132" s="1"/>
      <c r="Q132" s="1"/>
    </row>
    <row r="133" spans="1:17" x14ac:dyDescent="0.35">
      <c r="A133" s="1"/>
      <c r="B133" s="1"/>
      <c r="C133" s="1"/>
      <c r="D133" s="1"/>
      <c r="E133" s="1"/>
      <c r="F133" s="1"/>
      <c r="G133" s="1"/>
      <c r="H133" s="1"/>
      <c r="I133" s="1"/>
      <c r="J133" s="1"/>
      <c r="K133" s="1"/>
      <c r="L133" s="1"/>
      <c r="M133" s="1"/>
      <c r="N133" s="1"/>
      <c r="O133" s="1"/>
      <c r="P133" s="1"/>
      <c r="Q133" s="1"/>
    </row>
    <row r="134" spans="1:17" x14ac:dyDescent="0.35">
      <c r="A134" s="1"/>
      <c r="B134" s="1"/>
      <c r="C134" s="1"/>
      <c r="D134" s="1"/>
      <c r="E134" s="1"/>
      <c r="F134" s="1"/>
      <c r="G134" s="1"/>
      <c r="H134" s="1"/>
      <c r="I134" s="1"/>
      <c r="J134" s="1"/>
      <c r="K134" s="1"/>
      <c r="L134" s="1"/>
      <c r="M134" s="1"/>
      <c r="N134" s="1"/>
      <c r="O134" s="1"/>
      <c r="P134" s="1"/>
      <c r="Q134" s="1"/>
    </row>
    <row r="135" spans="1:17" x14ac:dyDescent="0.35">
      <c r="A135" s="1"/>
      <c r="B135" s="1"/>
      <c r="C135" s="1"/>
      <c r="D135" s="1"/>
      <c r="E135" s="1"/>
      <c r="F135" s="1"/>
      <c r="G135" s="1"/>
      <c r="H135" s="1"/>
      <c r="I135" s="1"/>
      <c r="J135" s="1"/>
      <c r="K135" s="1"/>
      <c r="L135" s="1"/>
      <c r="M135" s="1"/>
      <c r="N135" s="1"/>
      <c r="O135" s="1"/>
      <c r="P135" s="1"/>
      <c r="Q135" s="1"/>
    </row>
    <row r="136" spans="1:17" x14ac:dyDescent="0.35">
      <c r="A136" s="1"/>
      <c r="B136" s="1"/>
      <c r="C136" s="1"/>
      <c r="D136" s="1"/>
      <c r="E136" s="1"/>
      <c r="F136" s="1"/>
      <c r="G136" s="1"/>
      <c r="H136" s="1"/>
      <c r="I136" s="1"/>
      <c r="J136" s="1"/>
      <c r="K136" s="1"/>
      <c r="L136" s="1"/>
      <c r="M136" s="1"/>
      <c r="N136" s="1"/>
      <c r="O136" s="1"/>
      <c r="P136" s="1"/>
      <c r="Q136" s="1"/>
    </row>
    <row r="137" spans="1:17" x14ac:dyDescent="0.35">
      <c r="A137" s="1"/>
      <c r="B137" s="1"/>
      <c r="C137" s="1"/>
      <c r="D137" s="1"/>
      <c r="E137" s="1"/>
      <c r="F137" s="1"/>
      <c r="G137" s="1"/>
      <c r="H137" s="1"/>
      <c r="I137" s="1"/>
      <c r="J137" s="1"/>
      <c r="K137" s="1"/>
      <c r="L137" s="1"/>
      <c r="M137" s="1"/>
      <c r="N137" s="1"/>
      <c r="O137" s="1"/>
      <c r="P137" s="1"/>
      <c r="Q137" s="1"/>
    </row>
    <row r="138" spans="1:17" x14ac:dyDescent="0.35">
      <c r="A138" s="1"/>
      <c r="B138" s="1"/>
      <c r="C138" s="1"/>
      <c r="D138" s="1"/>
      <c r="E138" s="1"/>
      <c r="F138" s="1"/>
      <c r="G138" s="1"/>
      <c r="H138" s="1"/>
      <c r="I138" s="1"/>
      <c r="J138" s="1"/>
      <c r="K138" s="1"/>
      <c r="L138" s="1"/>
      <c r="M138" s="1"/>
      <c r="N138" s="1"/>
      <c r="O138" s="1"/>
      <c r="P138" s="1"/>
      <c r="Q138" s="1"/>
    </row>
    <row r="139" spans="1:17" x14ac:dyDescent="0.35">
      <c r="A139" s="1"/>
      <c r="B139" s="1"/>
      <c r="C139" s="1"/>
      <c r="D139" s="1"/>
      <c r="E139" s="1"/>
      <c r="F139" s="1"/>
      <c r="G139" s="1"/>
      <c r="H139" s="1"/>
      <c r="I139" s="1"/>
      <c r="J139" s="1"/>
      <c r="K139" s="1"/>
      <c r="L139" s="1"/>
      <c r="M139" s="1"/>
      <c r="N139" s="1"/>
      <c r="O139" s="1"/>
      <c r="P139" s="1"/>
      <c r="Q139" s="1"/>
    </row>
    <row r="140" spans="1:17" x14ac:dyDescent="0.35">
      <c r="A140" s="1"/>
      <c r="B140" s="1"/>
      <c r="C140" s="1"/>
      <c r="D140" s="1"/>
      <c r="E140" s="1"/>
      <c r="F140" s="1"/>
      <c r="G140" s="1"/>
      <c r="H140" s="1"/>
      <c r="I140" s="1"/>
      <c r="J140" s="1"/>
      <c r="K140" s="1"/>
      <c r="L140" s="1"/>
      <c r="M140" s="1"/>
      <c r="N140" s="1"/>
      <c r="O140" s="1"/>
      <c r="P140" s="1"/>
      <c r="Q140" s="1"/>
    </row>
    <row r="141" spans="1:17" x14ac:dyDescent="0.35">
      <c r="A141" s="1"/>
      <c r="B141" s="1"/>
      <c r="C141" s="1"/>
      <c r="D141" s="1"/>
      <c r="E141" s="1"/>
      <c r="F141" s="1"/>
      <c r="G141" s="1"/>
      <c r="H141" s="1"/>
      <c r="I141" s="1"/>
      <c r="J141" s="1"/>
      <c r="K141" s="1"/>
      <c r="L141" s="1"/>
      <c r="M141" s="1"/>
      <c r="N141" s="1"/>
      <c r="O141" s="1"/>
      <c r="P141" s="1"/>
      <c r="Q141" s="1"/>
    </row>
    <row r="142" spans="1:17" x14ac:dyDescent="0.35">
      <c r="A142" s="1"/>
      <c r="B142" s="1"/>
      <c r="C142" s="1"/>
      <c r="D142" s="1"/>
      <c r="E142" s="1"/>
      <c r="F142" s="1"/>
      <c r="G142" s="1"/>
      <c r="H142" s="1"/>
      <c r="I142" s="1"/>
      <c r="J142" s="1"/>
      <c r="K142" s="1"/>
      <c r="L142" s="1"/>
      <c r="M142" s="1"/>
      <c r="N142" s="1"/>
      <c r="O142" s="1"/>
      <c r="P142" s="1"/>
      <c r="Q142" s="1"/>
    </row>
    <row r="143" spans="1:17" x14ac:dyDescent="0.35">
      <c r="A143" s="1"/>
      <c r="B143" s="1"/>
      <c r="C143" s="1"/>
      <c r="D143" s="1"/>
      <c r="E143" s="1"/>
      <c r="F143" s="1"/>
      <c r="G143" s="1"/>
      <c r="H143" s="1"/>
      <c r="I143" s="1"/>
      <c r="J143" s="1"/>
      <c r="K143" s="1"/>
      <c r="L143" s="1"/>
      <c r="M143" s="1"/>
      <c r="N143" s="1"/>
      <c r="O143" s="1"/>
      <c r="P143" s="1"/>
      <c r="Q143" s="1"/>
    </row>
    <row r="144" spans="1:17" x14ac:dyDescent="0.35">
      <c r="A144" s="1"/>
      <c r="B144" s="1"/>
      <c r="C144" s="1"/>
      <c r="D144" s="1"/>
      <c r="E144" s="1"/>
      <c r="F144" s="1"/>
      <c r="G144" s="1"/>
      <c r="H144" s="1"/>
      <c r="I144" s="1"/>
      <c r="J144" s="1"/>
      <c r="K144" s="1"/>
      <c r="L144" s="1"/>
      <c r="M144" s="1"/>
      <c r="N144" s="1"/>
      <c r="O144" s="1"/>
      <c r="P144" s="1"/>
      <c r="Q144" s="1"/>
    </row>
    <row r="145" spans="1:17" x14ac:dyDescent="0.35">
      <c r="A145" s="1"/>
      <c r="B145" s="1"/>
      <c r="C145" s="1"/>
      <c r="D145" s="1"/>
      <c r="E145" s="1"/>
      <c r="F145" s="1"/>
      <c r="G145" s="1"/>
      <c r="H145" s="1"/>
      <c r="I145" s="1"/>
      <c r="J145" s="1"/>
      <c r="K145" s="1"/>
      <c r="L145" s="1"/>
      <c r="M145" s="1"/>
      <c r="N145" s="1"/>
      <c r="O145" s="1"/>
      <c r="P145" s="1"/>
      <c r="Q145" s="1"/>
    </row>
    <row r="146" spans="1:17" x14ac:dyDescent="0.35">
      <c r="A146" s="1"/>
      <c r="B146" s="1"/>
      <c r="C146" s="1"/>
      <c r="D146" s="1"/>
      <c r="E146" s="1"/>
      <c r="F146" s="1"/>
      <c r="G146" s="1"/>
      <c r="H146" s="1"/>
      <c r="I146" s="1"/>
      <c r="J146" s="1"/>
      <c r="K146" s="1"/>
      <c r="L146" s="1"/>
      <c r="M146" s="1"/>
      <c r="N146" s="1"/>
      <c r="O146" s="1"/>
      <c r="P146" s="1"/>
      <c r="Q146" s="1"/>
    </row>
    <row r="147" spans="1:17" x14ac:dyDescent="0.35">
      <c r="A147" s="1"/>
      <c r="B147" s="1"/>
      <c r="C147" s="1"/>
      <c r="D147" s="1"/>
      <c r="E147" s="1"/>
      <c r="F147" s="1"/>
      <c r="G147" s="1"/>
      <c r="H147" s="1"/>
      <c r="I147" s="1"/>
      <c r="J147" s="1"/>
      <c r="K147" s="1"/>
      <c r="L147" s="1"/>
      <c r="M147" s="1"/>
      <c r="N147" s="1"/>
      <c r="O147" s="1"/>
      <c r="P147" s="1"/>
      <c r="Q147" s="1"/>
    </row>
    <row r="148" spans="1:17" x14ac:dyDescent="0.35">
      <c r="A148" s="1"/>
      <c r="B148" s="1"/>
      <c r="C148" s="1"/>
      <c r="D148" s="1"/>
      <c r="E148" s="1"/>
      <c r="F148" s="1"/>
      <c r="G148" s="1"/>
      <c r="H148" s="1"/>
      <c r="I148" s="1"/>
      <c r="J148" s="1"/>
      <c r="K148" s="1"/>
      <c r="L148" s="1"/>
      <c r="M148" s="1"/>
      <c r="N148" s="1"/>
      <c r="O148" s="1"/>
      <c r="P148" s="1"/>
      <c r="Q148" s="1"/>
    </row>
    <row r="149" spans="1:17" x14ac:dyDescent="0.35">
      <c r="A149" s="1"/>
      <c r="B149" s="1"/>
      <c r="C149" s="1"/>
      <c r="D149" s="1"/>
      <c r="E149" s="1"/>
      <c r="F149" s="1"/>
      <c r="G149" s="1"/>
      <c r="H149" s="1"/>
      <c r="I149" s="1"/>
      <c r="J149" s="1"/>
      <c r="K149" s="1"/>
      <c r="L149" s="1"/>
      <c r="M149" s="1"/>
      <c r="N149" s="1"/>
      <c r="O149" s="1"/>
      <c r="P149" s="1"/>
      <c r="Q149" s="1"/>
    </row>
    <row r="150" spans="1:17" x14ac:dyDescent="0.35">
      <c r="A150" s="1"/>
      <c r="B150" s="1"/>
      <c r="C150" s="1"/>
      <c r="D150" s="1"/>
      <c r="E150" s="1"/>
      <c r="F150" s="1"/>
      <c r="G150" s="1"/>
      <c r="H150" s="1"/>
      <c r="I150" s="1"/>
      <c r="J150" s="1"/>
      <c r="K150" s="1"/>
      <c r="L150" s="1"/>
      <c r="M150" s="1"/>
      <c r="N150" s="1"/>
      <c r="O150" s="1"/>
      <c r="P150" s="1"/>
      <c r="Q150" s="1"/>
    </row>
    <row r="151" spans="1:17" x14ac:dyDescent="0.35">
      <c r="A151" s="1"/>
      <c r="B151" s="1"/>
      <c r="C151" s="1"/>
      <c r="D151" s="1"/>
      <c r="E151" s="1"/>
      <c r="F151" s="1"/>
      <c r="G151" s="1"/>
      <c r="H151" s="1"/>
      <c r="I151" s="1"/>
      <c r="J151" s="1"/>
      <c r="K151" s="1"/>
      <c r="L151" s="1"/>
      <c r="M151" s="1"/>
      <c r="N151" s="1"/>
      <c r="O151" s="1"/>
      <c r="P151" s="1"/>
      <c r="Q151" s="1"/>
    </row>
    <row r="152" spans="1:17" x14ac:dyDescent="0.35">
      <c r="A152" s="1"/>
      <c r="B152" s="1"/>
      <c r="C152" s="1"/>
      <c r="D152" s="1"/>
      <c r="E152" s="1"/>
      <c r="F152" s="1"/>
      <c r="G152" s="1"/>
      <c r="H152" s="1"/>
      <c r="I152" s="1"/>
      <c r="J152" s="1"/>
      <c r="K152" s="1"/>
      <c r="L152" s="1"/>
      <c r="M152" s="1"/>
      <c r="N152" s="1"/>
      <c r="O152" s="1"/>
      <c r="P152" s="1"/>
      <c r="Q152" s="1"/>
    </row>
    <row r="153" spans="1:17" x14ac:dyDescent="0.35">
      <c r="A153" s="1"/>
      <c r="B153" s="1"/>
      <c r="C153" s="1"/>
      <c r="D153" s="1"/>
      <c r="E153" s="1"/>
      <c r="F153" s="1"/>
      <c r="G153" s="1"/>
      <c r="H153" s="1"/>
      <c r="I153" s="1"/>
      <c r="J153" s="1"/>
      <c r="K153" s="1"/>
      <c r="L153" s="1"/>
      <c r="M153" s="1"/>
      <c r="N153" s="1"/>
      <c r="O153" s="1"/>
      <c r="P153" s="1"/>
      <c r="Q153" s="1"/>
    </row>
    <row r="154" spans="1:17" x14ac:dyDescent="0.35">
      <c r="A154" s="1"/>
      <c r="B154" s="1"/>
      <c r="C154" s="1"/>
      <c r="D154" s="1"/>
      <c r="E154" s="1"/>
      <c r="F154" s="1"/>
      <c r="G154" s="1"/>
      <c r="H154" s="1"/>
      <c r="I154" s="1"/>
      <c r="J154" s="1"/>
      <c r="K154" s="1"/>
      <c r="L154" s="1"/>
      <c r="M154" s="1"/>
      <c r="N154" s="1"/>
      <c r="O154" s="1"/>
      <c r="P154" s="1"/>
      <c r="Q154" s="1"/>
    </row>
    <row r="155" spans="1:17" x14ac:dyDescent="0.35">
      <c r="A155" s="1"/>
      <c r="B155" s="1"/>
      <c r="C155" s="1"/>
      <c r="D155" s="1"/>
      <c r="E155" s="1"/>
      <c r="F155" s="1"/>
      <c r="G155" s="1"/>
      <c r="H155" s="1"/>
      <c r="I155" s="1"/>
      <c r="J155" s="1"/>
      <c r="K155" s="1"/>
      <c r="L155" s="1"/>
      <c r="M155" s="1"/>
      <c r="N155" s="1"/>
      <c r="O155" s="1"/>
      <c r="P155" s="1"/>
      <c r="Q155" s="1"/>
    </row>
    <row r="156" spans="1:17" x14ac:dyDescent="0.35">
      <c r="A156" s="1"/>
      <c r="B156" s="1"/>
      <c r="C156" s="1"/>
      <c r="D156" s="1"/>
      <c r="E156" s="1"/>
      <c r="F156" s="1"/>
      <c r="G156" s="1"/>
      <c r="H156" s="1"/>
      <c r="I156" s="1"/>
      <c r="J156" s="1"/>
      <c r="K156" s="1"/>
      <c r="L156" s="1"/>
      <c r="M156" s="1"/>
      <c r="N156" s="1"/>
      <c r="O156" s="1"/>
      <c r="P156" s="1"/>
      <c r="Q156" s="1"/>
    </row>
    <row r="157" spans="1:17" x14ac:dyDescent="0.35">
      <c r="A157" s="1"/>
      <c r="B157" s="1"/>
      <c r="C157" s="1"/>
      <c r="D157" s="1"/>
      <c r="E157" s="1"/>
      <c r="F157" s="1"/>
      <c r="G157" s="1"/>
      <c r="H157" s="1"/>
      <c r="I157" s="1"/>
      <c r="J157" s="1"/>
      <c r="K157" s="1"/>
      <c r="L157" s="1"/>
      <c r="M157" s="1"/>
      <c r="N157" s="1"/>
      <c r="O157" s="1"/>
      <c r="P157" s="1"/>
      <c r="Q157" s="1"/>
    </row>
    <row r="158" spans="1:17" x14ac:dyDescent="0.35">
      <c r="A158" s="1"/>
      <c r="B158" s="1"/>
      <c r="C158" s="1"/>
      <c r="D158" s="1"/>
      <c r="E158" s="1"/>
      <c r="F158" s="1"/>
      <c r="G158" s="1"/>
      <c r="H158" s="1"/>
      <c r="I158" s="1"/>
      <c r="J158" s="1"/>
      <c r="K158" s="1"/>
      <c r="L158" s="1"/>
      <c r="M158" s="1"/>
      <c r="N158" s="1"/>
      <c r="O158" s="1"/>
      <c r="P158" s="1"/>
      <c r="Q158" s="1"/>
    </row>
    <row r="159" spans="1:17" x14ac:dyDescent="0.35">
      <c r="A159" s="1"/>
      <c r="B159" s="1"/>
      <c r="C159" s="1"/>
      <c r="D159" s="1"/>
      <c r="E159" s="1"/>
      <c r="F159" s="1"/>
      <c r="G159" s="1"/>
      <c r="H159" s="1"/>
      <c r="I159" s="1"/>
      <c r="J159" s="1"/>
      <c r="K159" s="1"/>
      <c r="L159" s="1"/>
      <c r="M159" s="1"/>
      <c r="N159" s="1"/>
      <c r="O159" s="1"/>
      <c r="P159" s="1"/>
      <c r="Q159" s="1"/>
    </row>
    <row r="160" spans="1:17" x14ac:dyDescent="0.35">
      <c r="A160" s="1"/>
      <c r="B160" s="1"/>
      <c r="C160" s="1"/>
      <c r="D160" s="1"/>
      <c r="E160" s="1"/>
      <c r="F160" s="1"/>
      <c r="G160" s="1"/>
      <c r="H160" s="1"/>
      <c r="I160" s="1"/>
      <c r="J160" s="1"/>
      <c r="K160" s="1"/>
      <c r="L160" s="1"/>
      <c r="M160" s="1"/>
      <c r="N160" s="1"/>
      <c r="O160" s="1"/>
      <c r="P160" s="1"/>
      <c r="Q160" s="1"/>
    </row>
    <row r="161" spans="1:17" x14ac:dyDescent="0.35">
      <c r="A161" s="1"/>
      <c r="B161" s="1"/>
      <c r="C161" s="1"/>
      <c r="D161" s="1"/>
      <c r="E161" s="1"/>
      <c r="F161" s="1"/>
      <c r="G161" s="1"/>
      <c r="H161" s="1"/>
      <c r="I161" s="1"/>
      <c r="J161" s="1"/>
      <c r="K161" s="1"/>
      <c r="L161" s="1"/>
      <c r="M161" s="1"/>
      <c r="N161" s="1"/>
      <c r="O161" s="1"/>
      <c r="P161" s="1"/>
      <c r="Q161" s="1"/>
    </row>
    <row r="162" spans="1:17" x14ac:dyDescent="0.35">
      <c r="A162" s="1"/>
      <c r="B162" s="1"/>
      <c r="C162" s="1"/>
      <c r="D162" s="1"/>
      <c r="E162" s="1"/>
      <c r="F162" s="1"/>
      <c r="G162" s="1"/>
      <c r="H162" s="1"/>
      <c r="I162" s="1"/>
      <c r="J162" s="1"/>
      <c r="K162" s="1"/>
      <c r="L162" s="1"/>
      <c r="M162" s="1"/>
      <c r="N162" s="1"/>
      <c r="O162" s="1"/>
      <c r="P162" s="1"/>
      <c r="Q162" s="1"/>
    </row>
    <row r="163" spans="1:17" x14ac:dyDescent="0.35">
      <c r="A163" s="1"/>
      <c r="B163" s="1"/>
      <c r="C163" s="1"/>
      <c r="D163" s="1"/>
      <c r="E163" s="1"/>
      <c r="F163" s="1"/>
      <c r="G163" s="1"/>
      <c r="H163" s="1"/>
      <c r="I163" s="1"/>
      <c r="J163" s="1"/>
      <c r="K163" s="1"/>
      <c r="L163" s="1"/>
      <c r="M163" s="1"/>
      <c r="N163" s="1"/>
      <c r="O163" s="1"/>
      <c r="P163" s="1"/>
      <c r="Q163" s="1"/>
    </row>
    <row r="164" spans="1:17" x14ac:dyDescent="0.35">
      <c r="A164" s="1"/>
      <c r="B164" s="1"/>
      <c r="C164" s="1"/>
      <c r="D164" s="1"/>
      <c r="E164" s="1"/>
      <c r="F164" s="1"/>
      <c r="G164" s="1"/>
      <c r="H164" s="1"/>
      <c r="I164" s="1"/>
      <c r="J164" s="1"/>
      <c r="K164" s="1"/>
      <c r="L164" s="1"/>
      <c r="M164" s="1"/>
      <c r="N164" s="1"/>
      <c r="O164" s="1"/>
      <c r="P164" s="1"/>
      <c r="Q164" s="1"/>
    </row>
    <row r="165" spans="1:17" x14ac:dyDescent="0.35">
      <c r="A165" s="1"/>
      <c r="B165" s="1"/>
      <c r="C165" s="1"/>
      <c r="D165" s="1"/>
      <c r="E165" s="1"/>
      <c r="F165" s="1"/>
      <c r="G165" s="1"/>
      <c r="H165" s="1"/>
      <c r="I165" s="1"/>
      <c r="J165" s="1"/>
      <c r="K165" s="1"/>
      <c r="L165" s="1"/>
      <c r="M165" s="1"/>
      <c r="N165" s="1"/>
      <c r="O165" s="1"/>
      <c r="P165" s="1"/>
      <c r="Q165" s="1"/>
    </row>
    <row r="166" spans="1:17" x14ac:dyDescent="0.35">
      <c r="A166" s="1"/>
      <c r="B166" s="1"/>
      <c r="C166" s="1"/>
      <c r="D166" s="1"/>
      <c r="E166" s="1"/>
      <c r="F166" s="1"/>
      <c r="G166" s="1"/>
      <c r="H166" s="1"/>
      <c r="I166" s="1"/>
      <c r="J166" s="1"/>
      <c r="K166" s="1"/>
      <c r="L166" s="1"/>
      <c r="M166" s="1"/>
      <c r="N166" s="1"/>
      <c r="O166" s="1"/>
      <c r="P166" s="1"/>
      <c r="Q166" s="1"/>
    </row>
    <row r="167" spans="1:17" x14ac:dyDescent="0.35">
      <c r="A167" s="1"/>
      <c r="B167" s="1"/>
      <c r="C167" s="1"/>
      <c r="D167" s="1"/>
      <c r="E167" s="1"/>
      <c r="F167" s="1"/>
      <c r="G167" s="1"/>
      <c r="H167" s="1"/>
      <c r="I167" s="1"/>
      <c r="J167" s="1"/>
      <c r="K167" s="1"/>
      <c r="L167" s="1"/>
      <c r="M167" s="1"/>
      <c r="N167" s="1"/>
      <c r="O167" s="1"/>
      <c r="P167" s="1"/>
      <c r="Q167" s="1"/>
    </row>
    <row r="168" spans="1:17" x14ac:dyDescent="0.35">
      <c r="A168" s="1"/>
      <c r="B168" s="1"/>
      <c r="C168" s="1"/>
      <c r="D168" s="1"/>
      <c r="E168" s="1"/>
      <c r="F168" s="1"/>
      <c r="G168" s="1"/>
      <c r="H168" s="1"/>
      <c r="I168" s="1"/>
      <c r="J168" s="1"/>
      <c r="K168" s="1"/>
      <c r="L168" s="1"/>
      <c r="M168" s="1"/>
      <c r="N168" s="1"/>
      <c r="O168" s="1"/>
      <c r="P168" s="1"/>
      <c r="Q168" s="1"/>
    </row>
    <row r="169" spans="1:17" x14ac:dyDescent="0.35">
      <c r="A169" s="1"/>
      <c r="B169" s="1"/>
      <c r="C169" s="1"/>
      <c r="D169" s="1"/>
      <c r="E169" s="1"/>
      <c r="F169" s="1"/>
      <c r="G169" s="1"/>
      <c r="H169" s="1"/>
      <c r="I169" s="1"/>
      <c r="J169" s="1"/>
      <c r="K169" s="1"/>
      <c r="L169" s="1"/>
      <c r="M169" s="1"/>
      <c r="N169" s="1"/>
      <c r="O169" s="1"/>
      <c r="P169" s="1"/>
      <c r="Q169" s="1"/>
    </row>
    <row r="170" spans="1:17" x14ac:dyDescent="0.35">
      <c r="A170" s="1"/>
      <c r="B170" s="1"/>
      <c r="C170" s="1"/>
      <c r="D170" s="1"/>
      <c r="E170" s="1"/>
      <c r="F170" s="1"/>
      <c r="G170" s="1"/>
      <c r="H170" s="1"/>
      <c r="I170" s="1"/>
      <c r="J170" s="1"/>
      <c r="K170" s="1"/>
      <c r="L170" s="1"/>
      <c r="M170" s="1"/>
      <c r="N170" s="1"/>
      <c r="O170" s="1"/>
      <c r="P170" s="1"/>
      <c r="Q170" s="1"/>
    </row>
    <row r="171" spans="1:17" x14ac:dyDescent="0.35">
      <c r="A171" s="1"/>
      <c r="B171" s="1"/>
      <c r="C171" s="1"/>
      <c r="D171" s="1"/>
      <c r="E171" s="1"/>
      <c r="F171" s="1"/>
      <c r="G171" s="1"/>
      <c r="H171" s="1"/>
      <c r="I171" s="1"/>
      <c r="J171" s="1"/>
      <c r="K171" s="1"/>
      <c r="L171" s="1"/>
      <c r="M171" s="1"/>
      <c r="N171" s="1"/>
      <c r="O171" s="1"/>
      <c r="P171" s="1"/>
      <c r="Q171" s="1"/>
    </row>
    <row r="172" spans="1:17" x14ac:dyDescent="0.35">
      <c r="A172" s="1"/>
      <c r="B172" s="1"/>
      <c r="C172" s="1"/>
      <c r="D172" s="1"/>
      <c r="E172" s="1"/>
      <c r="F172" s="1"/>
      <c r="G172" s="1"/>
      <c r="H172" s="1"/>
      <c r="I172" s="1"/>
      <c r="J172" s="1"/>
      <c r="K172" s="1"/>
      <c r="L172" s="1"/>
      <c r="M172" s="1"/>
      <c r="N172" s="1"/>
      <c r="O172" s="1"/>
      <c r="P172" s="1"/>
      <c r="Q172" s="1"/>
    </row>
    <row r="173" spans="1:17" x14ac:dyDescent="0.35">
      <c r="A173" s="1"/>
      <c r="B173" s="1"/>
      <c r="C173" s="1"/>
      <c r="D173" s="1"/>
      <c r="E173" s="1"/>
      <c r="F173" s="1"/>
      <c r="G173" s="1"/>
      <c r="H173" s="1"/>
      <c r="I173" s="1"/>
      <c r="J173" s="1"/>
      <c r="K173" s="1"/>
      <c r="L173" s="1"/>
      <c r="M173" s="1"/>
      <c r="N173" s="1"/>
      <c r="O173" s="1"/>
      <c r="P173" s="1"/>
      <c r="Q173" s="1"/>
    </row>
    <row r="174" spans="1:17" x14ac:dyDescent="0.35">
      <c r="A174" s="1"/>
      <c r="B174" s="1"/>
      <c r="C174" s="1"/>
      <c r="D174" s="1"/>
      <c r="E174" s="1"/>
      <c r="F174" s="1"/>
      <c r="G174" s="1"/>
      <c r="H174" s="1"/>
      <c r="I174" s="1"/>
      <c r="J174" s="1"/>
      <c r="K174" s="1"/>
      <c r="L174" s="1"/>
      <c r="M174" s="1"/>
      <c r="N174" s="1"/>
      <c r="O174" s="1"/>
      <c r="P174" s="1"/>
      <c r="Q174" s="1"/>
    </row>
    <row r="175" spans="1:17" x14ac:dyDescent="0.35">
      <c r="A175" s="1"/>
      <c r="B175" s="1"/>
      <c r="C175" s="1"/>
      <c r="D175" s="1"/>
      <c r="E175" s="1"/>
      <c r="F175" s="1"/>
      <c r="G175" s="1"/>
      <c r="H175" s="1"/>
      <c r="I175" s="1"/>
      <c r="J175" s="1"/>
      <c r="K175" s="1"/>
      <c r="L175" s="1"/>
      <c r="M175" s="1"/>
      <c r="N175" s="1"/>
      <c r="O175" s="1"/>
      <c r="P175" s="1"/>
      <c r="Q175" s="1"/>
    </row>
    <row r="176" spans="1:17" x14ac:dyDescent="0.35">
      <c r="A176" s="1"/>
      <c r="B176" s="1"/>
      <c r="C176" s="1"/>
      <c r="D176" s="1"/>
      <c r="E176" s="1"/>
      <c r="F176" s="1"/>
      <c r="G176" s="1"/>
      <c r="H176" s="1"/>
      <c r="I176" s="1"/>
      <c r="J176" s="1"/>
      <c r="K176" s="1"/>
      <c r="L176" s="1"/>
      <c r="M176" s="1"/>
      <c r="N176" s="1"/>
      <c r="O176" s="1"/>
      <c r="P176" s="1"/>
      <c r="Q176" s="1"/>
    </row>
    <row r="177" spans="1:17" x14ac:dyDescent="0.35">
      <c r="A177" s="1"/>
      <c r="B177" s="1"/>
      <c r="C177" s="1"/>
      <c r="D177" s="1"/>
      <c r="E177" s="1"/>
      <c r="F177" s="1"/>
      <c r="G177" s="1"/>
      <c r="H177" s="1"/>
      <c r="I177" s="1"/>
      <c r="J177" s="1"/>
      <c r="K177" s="1"/>
      <c r="L177" s="1"/>
      <c r="M177" s="1"/>
      <c r="N177" s="1"/>
      <c r="O177" s="1"/>
      <c r="P177" s="1"/>
      <c r="Q177" s="1"/>
    </row>
    <row r="178" spans="1:17" x14ac:dyDescent="0.35">
      <c r="A178" s="1"/>
      <c r="B178" s="1"/>
      <c r="C178" s="1"/>
      <c r="D178" s="1"/>
      <c r="E178" s="1"/>
      <c r="F178" s="1"/>
      <c r="G178" s="1"/>
      <c r="H178" s="1"/>
      <c r="I178" s="1"/>
      <c r="J178" s="1"/>
      <c r="K178" s="1"/>
      <c r="L178" s="1"/>
      <c r="M178" s="1"/>
      <c r="N178" s="1"/>
      <c r="O178" s="1"/>
      <c r="P178" s="1"/>
      <c r="Q178" s="1"/>
    </row>
    <row r="179" spans="1:17" x14ac:dyDescent="0.35">
      <c r="A179" s="1"/>
      <c r="B179" s="1"/>
      <c r="C179" s="1"/>
      <c r="D179" s="1"/>
      <c r="E179" s="1"/>
      <c r="F179" s="1"/>
      <c r="G179" s="1"/>
      <c r="H179" s="1"/>
      <c r="I179" s="1"/>
      <c r="J179" s="1"/>
      <c r="K179" s="1"/>
      <c r="L179" s="1"/>
      <c r="M179" s="1"/>
      <c r="N179" s="1"/>
      <c r="O179" s="1"/>
      <c r="P179" s="1"/>
      <c r="Q179" s="1"/>
    </row>
    <row r="180" spans="1:17" x14ac:dyDescent="0.35">
      <c r="A180" s="1"/>
      <c r="B180" s="1"/>
      <c r="C180" s="1"/>
      <c r="D180" s="1"/>
      <c r="E180" s="1"/>
      <c r="F180" s="1"/>
      <c r="G180" s="1"/>
      <c r="H180" s="1"/>
      <c r="I180" s="1"/>
      <c r="J180" s="1"/>
      <c r="K180" s="1"/>
      <c r="L180" s="1"/>
      <c r="M180" s="1"/>
      <c r="N180" s="1"/>
      <c r="O180" s="1"/>
      <c r="P180" s="1"/>
      <c r="Q180" s="1"/>
    </row>
    <row r="181" spans="1:17" x14ac:dyDescent="0.35">
      <c r="A181" s="1"/>
      <c r="B181" s="1"/>
      <c r="C181" s="1"/>
      <c r="D181" s="1"/>
      <c r="E181" s="1"/>
      <c r="F181" s="1"/>
      <c r="G181" s="1"/>
      <c r="H181" s="1"/>
      <c r="I181" s="1"/>
      <c r="J181" s="1"/>
      <c r="K181" s="1"/>
      <c r="L181" s="1"/>
      <c r="M181" s="1"/>
      <c r="N181" s="1"/>
      <c r="O181" s="1"/>
      <c r="P181" s="1"/>
      <c r="Q181" s="1"/>
    </row>
    <row r="182" spans="1:17" x14ac:dyDescent="0.35">
      <c r="A182" s="1"/>
      <c r="B182" s="1"/>
      <c r="C182" s="1"/>
      <c r="D182" s="1"/>
      <c r="E182" s="1"/>
      <c r="F182" s="1"/>
      <c r="G182" s="1"/>
      <c r="H182" s="1"/>
      <c r="I182" s="1"/>
      <c r="J182" s="1"/>
      <c r="K182" s="1"/>
      <c r="L182" s="1"/>
      <c r="M182" s="1"/>
      <c r="N182" s="1"/>
      <c r="O182" s="1"/>
      <c r="P182" s="1"/>
      <c r="Q182" s="1"/>
    </row>
    <row r="183" spans="1:17" x14ac:dyDescent="0.35">
      <c r="A183" s="1"/>
      <c r="B183" s="1"/>
      <c r="C183" s="1"/>
      <c r="D183" s="1"/>
      <c r="E183" s="1"/>
      <c r="F183" s="1"/>
      <c r="G183" s="1"/>
      <c r="H183" s="1"/>
      <c r="I183" s="1"/>
      <c r="J183" s="1"/>
      <c r="K183" s="1"/>
      <c r="L183" s="1"/>
      <c r="M183" s="1"/>
      <c r="N183" s="1"/>
      <c r="O183" s="1"/>
      <c r="P183" s="1"/>
      <c r="Q183" s="1"/>
    </row>
    <row r="184" spans="1:17" x14ac:dyDescent="0.35">
      <c r="A184" s="1"/>
      <c r="B184" s="1"/>
      <c r="C184" s="1"/>
      <c r="D184" s="1"/>
      <c r="E184" s="1"/>
      <c r="F184" s="1"/>
      <c r="G184" s="1"/>
      <c r="H184" s="1"/>
      <c r="I184" s="1"/>
      <c r="J184" s="1"/>
      <c r="K184" s="1"/>
      <c r="L184" s="1"/>
      <c r="M184" s="1"/>
      <c r="N184" s="1"/>
      <c r="O184" s="1"/>
      <c r="P184" s="1"/>
      <c r="Q184" s="1"/>
    </row>
    <row r="185" spans="1:17" x14ac:dyDescent="0.35">
      <c r="A185" s="1"/>
      <c r="B185" s="1"/>
      <c r="C185" s="1"/>
      <c r="D185" s="1"/>
      <c r="E185" s="1"/>
      <c r="F185" s="1"/>
      <c r="G185" s="1"/>
      <c r="H185" s="1"/>
      <c r="I185" s="1"/>
      <c r="J185" s="1"/>
      <c r="K185" s="1"/>
      <c r="L185" s="1"/>
      <c r="M185" s="1"/>
      <c r="N185" s="1"/>
      <c r="O185" s="1"/>
      <c r="P185" s="1"/>
      <c r="Q185" s="1"/>
    </row>
    <row r="186" spans="1:17" x14ac:dyDescent="0.35">
      <c r="A186" s="1"/>
      <c r="B186" s="1"/>
      <c r="C186" s="1"/>
      <c r="D186" s="1"/>
      <c r="E186" s="1"/>
      <c r="F186" s="1"/>
      <c r="G186" s="1"/>
      <c r="H186" s="1"/>
      <c r="I186" s="1"/>
      <c r="J186" s="1"/>
      <c r="K186" s="1"/>
      <c r="L186" s="1"/>
      <c r="M186" s="1"/>
      <c r="N186" s="1"/>
      <c r="O186" s="1"/>
      <c r="P186" s="1"/>
      <c r="Q186" s="1"/>
    </row>
    <row r="187" spans="1:17" x14ac:dyDescent="0.35">
      <c r="A187" s="1"/>
      <c r="B187" s="1"/>
      <c r="C187" s="1"/>
      <c r="D187" s="1"/>
      <c r="E187" s="1"/>
      <c r="F187" s="1"/>
      <c r="G187" s="1"/>
      <c r="H187" s="1"/>
      <c r="I187" s="1"/>
      <c r="J187" s="1"/>
      <c r="K187" s="1"/>
      <c r="L187" s="1"/>
      <c r="M187" s="1"/>
      <c r="N187" s="1"/>
      <c r="O187" s="1"/>
      <c r="P187" s="1"/>
      <c r="Q187" s="1"/>
    </row>
    <row r="188" spans="1:17" x14ac:dyDescent="0.35">
      <c r="A188" s="1"/>
      <c r="B188" s="1"/>
      <c r="C188" s="1"/>
      <c r="D188" s="1"/>
      <c r="E188" s="1"/>
      <c r="F188" s="1"/>
      <c r="G188" s="1"/>
      <c r="H188" s="1"/>
      <c r="I188" s="1"/>
      <c r="J188" s="1"/>
      <c r="K188" s="1"/>
      <c r="L188" s="1"/>
      <c r="M188" s="1"/>
      <c r="N188" s="1"/>
      <c r="O188" s="1"/>
      <c r="P188" s="1"/>
      <c r="Q188" s="1"/>
    </row>
    <row r="189" spans="1:17" x14ac:dyDescent="0.35">
      <c r="A189" s="1"/>
      <c r="B189" s="1"/>
      <c r="C189" s="1"/>
      <c r="D189" s="1"/>
      <c r="E189" s="1"/>
      <c r="F189" s="1"/>
      <c r="G189" s="1"/>
      <c r="H189" s="1"/>
      <c r="I189" s="1"/>
      <c r="J189" s="1"/>
      <c r="K189" s="1"/>
      <c r="L189" s="1"/>
      <c r="M189" s="1"/>
      <c r="N189" s="1"/>
      <c r="O189" s="1"/>
      <c r="P189" s="1"/>
      <c r="Q189" s="1"/>
    </row>
    <row r="190" spans="1:17" x14ac:dyDescent="0.35">
      <c r="A190" s="1"/>
      <c r="B190" s="1"/>
      <c r="C190" s="1"/>
      <c r="D190" s="1"/>
      <c r="E190" s="1"/>
      <c r="F190" s="1"/>
      <c r="G190" s="1"/>
      <c r="H190" s="1"/>
      <c r="I190" s="1"/>
      <c r="J190" s="1"/>
      <c r="K190" s="1"/>
      <c r="L190" s="1"/>
      <c r="M190" s="1"/>
      <c r="N190" s="1"/>
      <c r="O190" s="1"/>
      <c r="P190" s="1"/>
      <c r="Q190" s="1"/>
    </row>
    <row r="191" spans="1:17" x14ac:dyDescent="0.35">
      <c r="A191" s="1"/>
      <c r="B191" s="1"/>
      <c r="C191" s="1"/>
      <c r="D191" s="1"/>
      <c r="E191" s="1"/>
      <c r="F191" s="1"/>
      <c r="G191" s="1"/>
      <c r="H191" s="1"/>
      <c r="I191" s="1"/>
      <c r="J191" s="1"/>
      <c r="K191" s="1"/>
      <c r="L191" s="1"/>
      <c r="M191" s="1"/>
      <c r="N191" s="1"/>
      <c r="O191" s="1"/>
      <c r="P191" s="1"/>
      <c r="Q191" s="1"/>
    </row>
    <row r="192" spans="1:17" x14ac:dyDescent="0.35">
      <c r="A192" s="1"/>
      <c r="B192" s="1"/>
      <c r="C192" s="1"/>
      <c r="D192" s="1"/>
      <c r="E192" s="1"/>
      <c r="F192" s="1"/>
      <c r="G192" s="1"/>
      <c r="H192" s="1"/>
      <c r="I192" s="1"/>
      <c r="J192" s="1"/>
      <c r="K192" s="1"/>
      <c r="L192" s="1"/>
      <c r="M192" s="1"/>
      <c r="N192" s="1"/>
      <c r="O192" s="1"/>
      <c r="P192" s="1"/>
      <c r="Q192" s="1"/>
    </row>
    <row r="193" spans="1:17" x14ac:dyDescent="0.35">
      <c r="A193" s="1"/>
      <c r="B193" s="1"/>
      <c r="C193" s="1"/>
      <c r="D193" s="1"/>
      <c r="E193" s="1"/>
      <c r="F193" s="1"/>
      <c r="G193" s="1"/>
      <c r="H193" s="1"/>
      <c r="I193" s="1"/>
      <c r="J193" s="1"/>
      <c r="K193" s="1"/>
      <c r="L193" s="1"/>
      <c r="M193" s="1"/>
      <c r="N193" s="1"/>
      <c r="O193" s="1"/>
      <c r="P193" s="1"/>
      <c r="Q193" s="1"/>
    </row>
    <row r="194" spans="1:17" x14ac:dyDescent="0.35">
      <c r="A194" s="1"/>
      <c r="B194" s="1"/>
      <c r="C194" s="1"/>
      <c r="D194" s="1"/>
      <c r="E194" s="1"/>
      <c r="F194" s="1"/>
      <c r="G194" s="1"/>
      <c r="H194" s="1"/>
      <c r="I194" s="1"/>
      <c r="J194" s="1"/>
      <c r="K194" s="1"/>
      <c r="L194" s="1"/>
      <c r="M194" s="1"/>
      <c r="N194" s="1"/>
      <c r="O194" s="1"/>
      <c r="P194" s="1"/>
      <c r="Q194" s="1"/>
    </row>
    <row r="195" spans="1:17" x14ac:dyDescent="0.35">
      <c r="A195" s="1"/>
      <c r="B195" s="1"/>
      <c r="C195" s="1"/>
      <c r="D195" s="1"/>
      <c r="E195" s="1"/>
      <c r="F195" s="1"/>
      <c r="G195" s="1"/>
      <c r="H195" s="1"/>
      <c r="I195" s="1"/>
      <c r="J195" s="1"/>
      <c r="K195" s="1"/>
      <c r="L195" s="1"/>
      <c r="M195" s="1"/>
      <c r="N195" s="1"/>
      <c r="O195" s="1"/>
      <c r="P195" s="1"/>
      <c r="Q195" s="1"/>
    </row>
    <row r="196" spans="1:17" x14ac:dyDescent="0.35">
      <c r="A196" s="1"/>
      <c r="B196" s="1"/>
      <c r="C196" s="1"/>
      <c r="D196" s="1"/>
      <c r="E196" s="1"/>
      <c r="F196" s="1"/>
      <c r="G196" s="1"/>
      <c r="H196" s="1"/>
      <c r="I196" s="1"/>
      <c r="J196" s="1"/>
      <c r="K196" s="1"/>
      <c r="L196" s="1"/>
      <c r="M196" s="1"/>
      <c r="N196" s="1"/>
      <c r="O196" s="1"/>
      <c r="P196" s="1"/>
      <c r="Q196" s="1"/>
    </row>
    <row r="197" spans="1:17" x14ac:dyDescent="0.35">
      <c r="A197" s="1"/>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1:17" x14ac:dyDescent="0.35">
      <c r="A198" s="1"/>
      <c r="B198" s="37"/>
      <c r="C198" s="38"/>
      <c r="D198" s="31"/>
      <c r="E198" s="32"/>
      <c r="F198" s="34"/>
      <c r="G198" s="33"/>
      <c r="H198" s="34"/>
      <c r="I198" s="33"/>
      <c r="J198" s="34"/>
      <c r="K198" s="34"/>
      <c r="L198" s="34"/>
      <c r="M198" s="33"/>
      <c r="N198" s="34"/>
      <c r="O198" s="35"/>
      <c r="P198" s="36"/>
      <c r="Q198" s="35"/>
    </row>
    <row r="199" spans="1:17" x14ac:dyDescent="0.35">
      <c r="A199" s="1"/>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1:17" x14ac:dyDescent="0.35">
      <c r="A200" s="1"/>
      <c r="B200" s="1"/>
      <c r="C200" s="1"/>
      <c r="D200" s="1"/>
      <c r="E200" s="1"/>
      <c r="F200" s="1"/>
      <c r="G200" s="1"/>
      <c r="H200" s="1"/>
      <c r="I200" s="1"/>
      <c r="J200" s="1"/>
      <c r="K200" s="1"/>
      <c r="L200" s="1"/>
      <c r="M200" s="1"/>
      <c r="N200" s="1"/>
      <c r="O200" s="1"/>
      <c r="P200" s="1"/>
      <c r="Q200" s="78" t="s">
        <v>21404</v>
      </c>
    </row>
    <row r="201" spans="1:17" x14ac:dyDescent="0.35">
      <c r="A201" s="1"/>
      <c r="B201" s="1"/>
      <c r="C201" s="78" t="s">
        <v>21592</v>
      </c>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77" t="s">
        <v>21399</v>
      </c>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t="s">
        <v>21398</v>
      </c>
      <c r="D205" s="1" t="s">
        <v>75</v>
      </c>
      <c r="E205" s="1" t="s">
        <v>13768</v>
      </c>
      <c r="F205" s="2" t="s">
        <v>21397</v>
      </c>
      <c r="G205" s="1" t="s">
        <v>9</v>
      </c>
      <c r="H205" s="1"/>
      <c r="I205" s="1"/>
      <c r="J205" s="1"/>
      <c r="K205" s="1"/>
      <c r="L205" s="1"/>
      <c r="M205" s="1"/>
      <c r="N205" s="1"/>
      <c r="O205" s="1"/>
      <c r="P205" s="1"/>
      <c r="Q205" s="1"/>
    </row>
    <row r="206" spans="1:17" x14ac:dyDescent="0.35">
      <c r="B206" s="49" t="s">
        <v>15063</v>
      </c>
      <c r="C206" s="352" t="s">
        <v>15064</v>
      </c>
    </row>
    <row r="207" spans="1:17" x14ac:dyDescent="0.35">
      <c r="B207" s="49" t="s">
        <v>15065</v>
      </c>
      <c r="C207" s="53" t="s">
        <v>96</v>
      </c>
    </row>
    <row r="208" spans="1:17" x14ac:dyDescent="0.35">
      <c r="B208" s="49" t="s">
        <v>15066</v>
      </c>
      <c r="C208" s="53" t="s">
        <v>15067</v>
      </c>
    </row>
    <row r="209" spans="2:7" x14ac:dyDescent="0.35">
      <c r="B209" s="49" t="s">
        <v>15068</v>
      </c>
      <c r="C209" s="53" t="s">
        <v>15069</v>
      </c>
    </row>
    <row r="210" spans="2:7" x14ac:dyDescent="0.35">
      <c r="C210" s="388" t="s">
        <v>96</v>
      </c>
      <c r="D210" s="388" t="s">
        <v>18</v>
      </c>
      <c r="E210" s="388">
        <v>14300.01</v>
      </c>
      <c r="F210" s="388" t="s">
        <v>21599</v>
      </c>
      <c r="G210" s="388" t="s">
        <v>21612</v>
      </c>
    </row>
    <row r="211" spans="2:7" x14ac:dyDescent="0.35">
      <c r="C211" s="388" t="s">
        <v>15067</v>
      </c>
      <c r="D211" s="388" t="s">
        <v>19</v>
      </c>
      <c r="E211" s="388">
        <v>14300.01</v>
      </c>
      <c r="F211" s="388" t="s">
        <v>21599</v>
      </c>
      <c r="G211" s="388" t="s">
        <v>21613</v>
      </c>
    </row>
  </sheetData>
  <mergeCells count="9">
    <mergeCell ref="J5:K5"/>
    <mergeCell ref="J6:K6"/>
    <mergeCell ref="J7:K7"/>
    <mergeCell ref="A3:B3"/>
    <mergeCell ref="D3:G3"/>
    <mergeCell ref="J3:K3"/>
    <mergeCell ref="P3:Q3"/>
    <mergeCell ref="A4:B4"/>
    <mergeCell ref="J4:K4"/>
  </mergeCells>
  <dataValidations count="1">
    <dataValidation type="list" allowBlank="1" showInputMessage="1" showErrorMessage="1" sqref="C16:C190" xr:uid="{812D5EFF-CE8D-4FBB-9EE2-0F3001451ED8}">
      <formula1>$C$205:$C207</formula1>
    </dataValidation>
  </dataValidations>
  <hyperlinks>
    <hyperlink ref="D3" r:id="rId1" display="datamateapp@gmail.com" xr:uid="{1FE8B063-C721-421A-B040-1A3BC1859C3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91553" r:id="rId4" name="Button 1">
              <controlPr defaultSize="0" print="0" autoFill="0" autoPict="0" macro="SaveData">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791554" r:id="rId5" name="Button 2">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791555"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791556"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791557" r:id="rId8" name="Button 5">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791558" r:id="rId9" name="Button 6">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791559" r:id="rId10" name="Button 7">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791560" r:id="rId11" name="Button 8">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mc:AlternateContent xmlns:mc="http://schemas.openxmlformats.org/markup-compatibility/2006">
          <mc:Choice Requires="x14">
            <control shapeId="791561" r:id="rId12" name="Button 9">
              <controlPr defaultSize="0" print="0" autoFill="0" autoPict="0" macro="[0]!ExitSEC_143000">
                <anchor moveWithCells="1" sizeWithCells="1">
                  <from>
                    <xdr:col>16</xdr:col>
                    <xdr:colOff>0</xdr:colOff>
                    <xdr:row>0</xdr:row>
                    <xdr:rowOff>0</xdr:rowOff>
                  </from>
                  <to>
                    <xdr:col>16</xdr:col>
                    <xdr:colOff>1270000</xdr:colOff>
                    <xdr:row>2</xdr:row>
                    <xdr:rowOff>12700</xdr:rowOff>
                  </to>
                </anchor>
              </controlPr>
            </control>
          </mc:Choice>
        </mc:AlternateContent>
      </controls>
    </mc:Choice>
  </mc:AlternateContent>
</worksheet>
</file>

<file path=xl/worksheets/sheet1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8DEEA-9CE8-4222-AEE0-747B7D47A79C}">
  <sheetPr codeName="Sheet187"/>
  <dimension ref="A1:Q212"/>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LIFTS</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14 40 00</v>
      </c>
      <c r="C10" s="24" t="str">
        <f>C206</f>
        <v>LIFTS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LIFTS</v>
      </c>
      <c r="D12" s="31"/>
      <c r="E12" s="32"/>
      <c r="F12" s="34"/>
      <c r="G12" s="33"/>
      <c r="H12" s="34"/>
      <c r="I12" s="33"/>
      <c r="J12" s="34"/>
      <c r="K12" s="34"/>
      <c r="L12" s="34"/>
      <c r="M12" s="33"/>
      <c r="N12" s="34"/>
      <c r="O12" s="35"/>
      <c r="P12" s="31"/>
      <c r="Q12" s="35"/>
    </row>
    <row r="13" spans="1:17" x14ac:dyDescent="0.35">
      <c r="A13" s="1"/>
      <c r="B13" s="1"/>
      <c r="C13" s="1"/>
      <c r="D13" s="1"/>
      <c r="E13" s="1"/>
      <c r="F13" s="1"/>
      <c r="G13" s="1"/>
      <c r="H13" s="1"/>
      <c r="I13" s="1"/>
      <c r="J13" s="1"/>
      <c r="K13" s="1"/>
      <c r="L13" s="1"/>
      <c r="M13" s="1"/>
      <c r="N13" s="1"/>
      <c r="O13" s="1"/>
      <c r="P13" s="1"/>
      <c r="Q13" s="1"/>
    </row>
    <row r="14" spans="1:17" x14ac:dyDescent="0.35">
      <c r="A14" s="1"/>
      <c r="B14" s="1"/>
      <c r="C14" s="1"/>
      <c r="D14" s="1"/>
      <c r="E14" s="1"/>
      <c r="F14" s="1"/>
      <c r="G14" s="1"/>
      <c r="H14" s="1"/>
      <c r="I14" s="1"/>
      <c r="J14" s="1"/>
      <c r="K14" s="1"/>
      <c r="L14" s="1"/>
      <c r="M14" s="1"/>
      <c r="N14" s="1"/>
      <c r="O14" s="1"/>
      <c r="P14" s="1"/>
      <c r="Q14" s="1"/>
    </row>
    <row r="15" spans="1:17" x14ac:dyDescent="0.35">
      <c r="A15" s="1"/>
      <c r="B15" s="1"/>
      <c r="C15" s="1"/>
      <c r="D15" s="1"/>
      <c r="E15" s="1"/>
      <c r="F15" s="1"/>
      <c r="G15" s="1"/>
      <c r="H15" s="1"/>
      <c r="I15" s="1"/>
      <c r="J15" s="1"/>
      <c r="K15" s="1"/>
      <c r="L15" s="1"/>
      <c r="M15" s="1"/>
      <c r="N15" s="1"/>
      <c r="O15" s="1"/>
      <c r="P15" s="1"/>
      <c r="Q15" s="1"/>
    </row>
    <row r="16" spans="1:17" x14ac:dyDescent="0.35">
      <c r="A16" s="1"/>
      <c r="B16" s="1"/>
      <c r="C16" s="1"/>
      <c r="D16" s="1"/>
      <c r="E16" s="1"/>
      <c r="F16" s="1"/>
      <c r="G16" s="1"/>
      <c r="H16" s="1"/>
      <c r="I16" s="1"/>
      <c r="J16" s="1"/>
      <c r="K16" s="1"/>
      <c r="L16" s="1"/>
      <c r="M16" s="1"/>
      <c r="N16" s="1"/>
      <c r="O16" s="1"/>
      <c r="P16" s="1"/>
      <c r="Q16" s="1"/>
    </row>
    <row r="17" spans="1:17" x14ac:dyDescent="0.35">
      <c r="A17" s="1"/>
      <c r="B17" s="1"/>
      <c r="C17" s="1"/>
      <c r="D17" s="1"/>
      <c r="E17" s="1"/>
      <c r="F17" s="1"/>
      <c r="G17" s="1"/>
      <c r="H17" s="1"/>
      <c r="I17" s="1"/>
      <c r="J17" s="1"/>
      <c r="K17" s="1"/>
      <c r="L17" s="1"/>
      <c r="M17" s="1"/>
      <c r="N17" s="1"/>
      <c r="O17" s="1"/>
      <c r="P17" s="1"/>
      <c r="Q17" s="1"/>
    </row>
    <row r="18" spans="1:17" x14ac:dyDescent="0.35">
      <c r="A18" s="1"/>
      <c r="B18" s="1"/>
      <c r="C18" s="1"/>
      <c r="D18" s="1"/>
      <c r="E18" s="1"/>
      <c r="F18" s="1"/>
      <c r="G18" s="1"/>
      <c r="H18" s="1"/>
      <c r="I18" s="1"/>
      <c r="J18" s="1"/>
      <c r="K18" s="1"/>
      <c r="L18" s="1"/>
      <c r="M18" s="1"/>
      <c r="N18" s="1"/>
      <c r="O18" s="1"/>
      <c r="P18" s="1"/>
      <c r="Q18" s="1"/>
    </row>
    <row r="19" spans="1:17" x14ac:dyDescent="0.35">
      <c r="A19" s="1"/>
      <c r="B19" s="1"/>
      <c r="C19" s="1"/>
      <c r="D19" s="1"/>
      <c r="E19" s="1"/>
      <c r="F19" s="1"/>
      <c r="G19" s="1"/>
      <c r="H19" s="1"/>
      <c r="I19" s="1"/>
      <c r="J19" s="1"/>
      <c r="K19" s="1"/>
      <c r="L19" s="1"/>
      <c r="M19" s="1"/>
      <c r="N19" s="1"/>
      <c r="O19" s="1"/>
      <c r="P19" s="1"/>
      <c r="Q19" s="1"/>
    </row>
    <row r="20" spans="1:17" x14ac:dyDescent="0.35">
      <c r="A20" s="1"/>
      <c r="B20" s="1"/>
      <c r="C20" s="1"/>
      <c r="D20" s="1"/>
      <c r="E20" s="1"/>
      <c r="F20" s="1"/>
      <c r="G20" s="1"/>
      <c r="H20" s="1"/>
      <c r="I20" s="1"/>
      <c r="J20" s="1"/>
      <c r="K20" s="1"/>
      <c r="L20" s="1"/>
      <c r="M20" s="1"/>
      <c r="N20" s="1"/>
      <c r="O20" s="1"/>
      <c r="P20" s="1"/>
      <c r="Q20" s="1"/>
    </row>
    <row r="21" spans="1:17" x14ac:dyDescent="0.35">
      <c r="A21" s="1"/>
      <c r="B21" s="1"/>
      <c r="C21" s="1"/>
      <c r="D21" s="1"/>
      <c r="E21" s="1"/>
      <c r="F21" s="1"/>
      <c r="G21" s="1"/>
      <c r="H21" s="1"/>
      <c r="I21" s="1"/>
      <c r="J21" s="1"/>
      <c r="K21" s="1"/>
      <c r="L21" s="1"/>
      <c r="M21" s="1"/>
      <c r="N21" s="1"/>
      <c r="O21" s="1"/>
      <c r="P21" s="1"/>
      <c r="Q21" s="1"/>
    </row>
    <row r="22" spans="1:17" x14ac:dyDescent="0.35">
      <c r="A22" s="1"/>
      <c r="B22" s="1"/>
      <c r="C22" s="1"/>
      <c r="D22" s="1"/>
      <c r="E22" s="1"/>
      <c r="F22" s="1"/>
      <c r="G22" s="1"/>
      <c r="H22" s="1"/>
      <c r="I22" s="1"/>
      <c r="J22" s="1"/>
      <c r="K22" s="1"/>
      <c r="L22" s="1"/>
      <c r="M22" s="1"/>
      <c r="N22" s="1"/>
      <c r="O22" s="1"/>
      <c r="P22" s="1"/>
      <c r="Q22" s="1"/>
    </row>
    <row r="23" spans="1:17" x14ac:dyDescent="0.35">
      <c r="A23" s="1"/>
      <c r="B23" s="1"/>
      <c r="C23" s="1"/>
      <c r="D23" s="1"/>
      <c r="E23" s="1"/>
      <c r="F23" s="1"/>
      <c r="G23" s="1"/>
      <c r="H23" s="1"/>
      <c r="I23" s="1"/>
      <c r="J23" s="1"/>
      <c r="K23" s="1"/>
      <c r="L23" s="1"/>
      <c r="M23" s="1"/>
      <c r="N23" s="1"/>
      <c r="O23" s="1"/>
      <c r="P23" s="1"/>
      <c r="Q23" s="1"/>
    </row>
    <row r="24" spans="1:17" x14ac:dyDescent="0.35">
      <c r="A24" s="1"/>
      <c r="B24" s="1"/>
      <c r="C24" s="1"/>
      <c r="D24" s="1"/>
      <c r="E24" s="1"/>
      <c r="F24" s="1"/>
      <c r="G24" s="1"/>
      <c r="H24" s="1"/>
      <c r="I24" s="1"/>
      <c r="J24" s="1"/>
      <c r="K24" s="1"/>
      <c r="L24" s="1"/>
      <c r="M24" s="1"/>
      <c r="N24" s="1"/>
      <c r="O24" s="1"/>
      <c r="P24" s="1"/>
      <c r="Q24" s="1"/>
    </row>
    <row r="25" spans="1:17" x14ac:dyDescent="0.35">
      <c r="A25" s="1"/>
      <c r="B25" s="1"/>
      <c r="C25" s="1"/>
      <c r="D25" s="1"/>
      <c r="E25" s="1"/>
      <c r="F25" s="1"/>
      <c r="G25" s="1"/>
      <c r="H25" s="1"/>
      <c r="I25" s="1"/>
      <c r="J25" s="1"/>
      <c r="K25" s="1"/>
      <c r="L25" s="1"/>
      <c r="M25" s="1"/>
      <c r="N25" s="1"/>
      <c r="O25" s="1"/>
      <c r="P25" s="1"/>
      <c r="Q25" s="1"/>
    </row>
    <row r="26" spans="1:17" x14ac:dyDescent="0.35">
      <c r="A26" s="1"/>
      <c r="B26" s="1"/>
      <c r="C26" s="1"/>
      <c r="D26" s="1"/>
      <c r="E26" s="1"/>
      <c r="F26" s="1"/>
      <c r="G26" s="1"/>
      <c r="H26" s="1"/>
      <c r="I26" s="1"/>
      <c r="J26" s="1"/>
      <c r="K26" s="1"/>
      <c r="L26" s="1"/>
      <c r="M26" s="1"/>
      <c r="N26" s="1"/>
      <c r="O26" s="1"/>
      <c r="P26" s="1"/>
      <c r="Q26" s="1"/>
    </row>
    <row r="27" spans="1:17" x14ac:dyDescent="0.35">
      <c r="A27" s="1"/>
      <c r="B27" s="1"/>
      <c r="C27" s="1"/>
      <c r="D27" s="1"/>
      <c r="E27" s="1"/>
      <c r="F27" s="1"/>
      <c r="G27" s="1"/>
      <c r="H27" s="1"/>
      <c r="I27" s="1"/>
      <c r="J27" s="1"/>
      <c r="K27" s="1"/>
      <c r="L27" s="1"/>
      <c r="M27" s="1"/>
      <c r="N27" s="1"/>
      <c r="O27" s="1"/>
      <c r="P27" s="1"/>
      <c r="Q27" s="1"/>
    </row>
    <row r="28" spans="1:17" x14ac:dyDescent="0.35">
      <c r="A28" s="1"/>
      <c r="B28" s="1"/>
      <c r="C28" s="1"/>
      <c r="D28" s="1"/>
      <c r="E28" s="1"/>
      <c r="F28" s="1"/>
      <c r="G28" s="1"/>
      <c r="H28" s="1"/>
      <c r="I28" s="1"/>
      <c r="J28" s="1"/>
      <c r="K28" s="1"/>
      <c r="L28" s="1"/>
      <c r="M28" s="1"/>
      <c r="N28" s="1"/>
      <c r="O28" s="1"/>
      <c r="P28" s="1"/>
      <c r="Q28" s="1"/>
    </row>
    <row r="29" spans="1:17" x14ac:dyDescent="0.35">
      <c r="A29" s="1"/>
      <c r="B29" s="1"/>
      <c r="C29" s="1"/>
      <c r="D29" s="1"/>
      <c r="E29" s="1"/>
      <c r="F29" s="1"/>
      <c r="G29" s="1"/>
      <c r="H29" s="1"/>
      <c r="I29" s="1"/>
      <c r="J29" s="1"/>
      <c r="K29" s="1"/>
      <c r="L29" s="1"/>
      <c r="M29" s="1"/>
      <c r="N29" s="1"/>
      <c r="O29" s="1"/>
      <c r="P29" s="1"/>
      <c r="Q29" s="1"/>
    </row>
    <row r="30" spans="1:17" x14ac:dyDescent="0.35">
      <c r="A30" s="1"/>
      <c r="B30" s="1"/>
      <c r="C30" s="1"/>
      <c r="D30" s="1"/>
      <c r="E30" s="1"/>
      <c r="F30" s="1"/>
      <c r="G30" s="1"/>
      <c r="H30" s="1"/>
      <c r="I30" s="1"/>
      <c r="J30" s="1"/>
      <c r="K30" s="1"/>
      <c r="L30" s="1"/>
      <c r="M30" s="1"/>
      <c r="N30" s="1"/>
      <c r="O30" s="1"/>
      <c r="P30" s="1"/>
      <c r="Q30" s="1"/>
    </row>
    <row r="31" spans="1:17" x14ac:dyDescent="0.35">
      <c r="A31" s="1"/>
      <c r="B31" s="1"/>
      <c r="C31" s="1"/>
      <c r="D31" s="1"/>
      <c r="E31" s="1"/>
      <c r="F31" s="1"/>
      <c r="G31" s="1"/>
      <c r="H31" s="1"/>
      <c r="I31" s="1"/>
      <c r="J31" s="1"/>
      <c r="K31" s="1"/>
      <c r="L31" s="1"/>
      <c r="M31" s="1"/>
      <c r="N31" s="1"/>
      <c r="O31" s="1"/>
      <c r="P31" s="1"/>
      <c r="Q31" s="1"/>
    </row>
    <row r="32" spans="1:17" x14ac:dyDescent="0.35">
      <c r="A32" s="1"/>
      <c r="B32" s="1"/>
      <c r="C32" s="1"/>
      <c r="D32" s="1"/>
      <c r="E32" s="1"/>
      <c r="F32" s="1"/>
      <c r="G32" s="1"/>
      <c r="H32" s="1"/>
      <c r="I32" s="1"/>
      <c r="J32" s="1"/>
      <c r="K32" s="1"/>
      <c r="L32" s="1"/>
      <c r="M32" s="1"/>
      <c r="N32" s="1"/>
      <c r="O32" s="1"/>
      <c r="P32" s="1"/>
      <c r="Q32" s="1"/>
    </row>
    <row r="33" spans="1:17" x14ac:dyDescent="0.35">
      <c r="A33" s="1"/>
      <c r="B33" s="1"/>
      <c r="C33" s="1"/>
      <c r="D33" s="1"/>
      <c r="E33" s="1"/>
      <c r="F33" s="1"/>
      <c r="G33" s="1"/>
      <c r="H33" s="1"/>
      <c r="I33" s="1"/>
      <c r="J33" s="1"/>
      <c r="K33" s="1"/>
      <c r="L33" s="1"/>
      <c r="M33" s="1"/>
      <c r="N33" s="1"/>
      <c r="O33" s="1"/>
      <c r="P33" s="1"/>
      <c r="Q33" s="1"/>
    </row>
    <row r="34" spans="1:17" x14ac:dyDescent="0.35">
      <c r="A34" s="1"/>
      <c r="B34" s="1"/>
      <c r="C34" s="1"/>
      <c r="D34" s="1"/>
      <c r="E34" s="1"/>
      <c r="F34" s="1"/>
      <c r="G34" s="1"/>
      <c r="H34" s="1"/>
      <c r="I34" s="1"/>
      <c r="J34" s="1"/>
      <c r="K34" s="1"/>
      <c r="L34" s="1"/>
      <c r="M34" s="1"/>
      <c r="N34" s="1"/>
      <c r="O34" s="1"/>
      <c r="P34" s="1"/>
      <c r="Q34" s="1"/>
    </row>
    <row r="35" spans="1:17" x14ac:dyDescent="0.35">
      <c r="A35" s="1"/>
      <c r="B35" s="1"/>
      <c r="C35" s="1"/>
      <c r="D35" s="1"/>
      <c r="E35" s="1"/>
      <c r="F35" s="1"/>
      <c r="G35" s="1"/>
      <c r="H35" s="1"/>
      <c r="I35" s="1"/>
      <c r="J35" s="1"/>
      <c r="K35" s="1"/>
      <c r="L35" s="1"/>
      <c r="M35" s="1"/>
      <c r="N35" s="1"/>
      <c r="O35" s="1"/>
      <c r="P35" s="1"/>
      <c r="Q35" s="1"/>
    </row>
    <row r="36" spans="1:17" x14ac:dyDescent="0.35">
      <c r="A36" s="1"/>
      <c r="B36" s="1"/>
      <c r="C36" s="1"/>
      <c r="D36" s="1"/>
      <c r="E36" s="1"/>
      <c r="F36" s="1"/>
      <c r="G36" s="1"/>
      <c r="H36" s="1"/>
      <c r="I36" s="1"/>
      <c r="J36" s="1"/>
      <c r="K36" s="1"/>
      <c r="L36" s="1"/>
      <c r="M36" s="1"/>
      <c r="N36" s="1"/>
      <c r="O36" s="1"/>
      <c r="P36" s="1"/>
      <c r="Q36" s="1"/>
    </row>
    <row r="37" spans="1:17" x14ac:dyDescent="0.35">
      <c r="A37" s="1"/>
      <c r="B37" s="1"/>
      <c r="C37" s="1"/>
      <c r="D37" s="1"/>
      <c r="E37" s="1"/>
      <c r="F37" s="1"/>
      <c r="G37" s="1"/>
      <c r="H37" s="1"/>
      <c r="I37" s="1"/>
      <c r="J37" s="1"/>
      <c r="K37" s="1"/>
      <c r="L37" s="1"/>
      <c r="M37" s="1"/>
      <c r="N37" s="1"/>
      <c r="O37" s="1"/>
      <c r="P37" s="1"/>
      <c r="Q37" s="1"/>
    </row>
    <row r="38" spans="1:17" x14ac:dyDescent="0.35">
      <c r="A38" s="1"/>
      <c r="B38" s="1"/>
      <c r="C38" s="1"/>
      <c r="D38" s="1"/>
      <c r="E38" s="1"/>
      <c r="F38" s="1"/>
      <c r="G38" s="1"/>
      <c r="H38" s="1"/>
      <c r="I38" s="1"/>
      <c r="J38" s="1"/>
      <c r="K38" s="1"/>
      <c r="L38" s="1"/>
      <c r="M38" s="1"/>
      <c r="N38" s="1"/>
      <c r="O38" s="1"/>
      <c r="P38" s="1"/>
      <c r="Q38" s="1"/>
    </row>
    <row r="39" spans="1:17" x14ac:dyDescent="0.35">
      <c r="A39" s="1"/>
      <c r="B39" s="1"/>
      <c r="C39" s="1"/>
      <c r="D39" s="1"/>
      <c r="E39" s="1"/>
      <c r="F39" s="1"/>
      <c r="G39" s="1"/>
      <c r="H39" s="1"/>
      <c r="I39" s="1"/>
      <c r="J39" s="1"/>
      <c r="K39" s="1"/>
      <c r="L39" s="1"/>
      <c r="M39" s="1"/>
      <c r="N39" s="1"/>
      <c r="O39" s="1"/>
      <c r="P39" s="1"/>
      <c r="Q39" s="1"/>
    </row>
    <row r="40" spans="1:17" x14ac:dyDescent="0.35">
      <c r="A40" s="1"/>
      <c r="B40" s="1"/>
      <c r="C40" s="1"/>
      <c r="D40" s="1"/>
      <c r="E40" s="1"/>
      <c r="F40" s="1"/>
      <c r="G40" s="1"/>
      <c r="H40" s="1"/>
      <c r="I40" s="1"/>
      <c r="J40" s="1"/>
      <c r="K40" s="1"/>
      <c r="L40" s="1"/>
      <c r="M40" s="1"/>
      <c r="N40" s="1"/>
      <c r="O40" s="1"/>
      <c r="P40" s="1"/>
      <c r="Q40" s="1"/>
    </row>
    <row r="41" spans="1:17" x14ac:dyDescent="0.35">
      <c r="A41" s="1"/>
      <c r="B41" s="1"/>
      <c r="C41" s="1"/>
      <c r="D41" s="1"/>
      <c r="E41" s="1"/>
      <c r="F41" s="1"/>
      <c r="G41" s="1"/>
      <c r="H41" s="1"/>
      <c r="I41" s="1"/>
      <c r="J41" s="1"/>
      <c r="K41" s="1"/>
      <c r="L41" s="1"/>
      <c r="M41" s="1"/>
      <c r="N41" s="1"/>
      <c r="O41" s="1"/>
      <c r="P41" s="1"/>
      <c r="Q41" s="1"/>
    </row>
    <row r="42" spans="1:17" x14ac:dyDescent="0.35">
      <c r="A42" s="1"/>
      <c r="B42" s="1"/>
      <c r="C42" s="1"/>
      <c r="D42" s="1"/>
      <c r="E42" s="1"/>
      <c r="F42" s="1"/>
      <c r="G42" s="1"/>
      <c r="H42" s="1"/>
      <c r="I42" s="1"/>
      <c r="J42" s="1"/>
      <c r="K42" s="1"/>
      <c r="L42" s="1"/>
      <c r="M42" s="1"/>
      <c r="N42" s="1"/>
      <c r="O42" s="1"/>
      <c r="P42" s="1"/>
      <c r="Q42" s="1"/>
    </row>
    <row r="43" spans="1:17" x14ac:dyDescent="0.35">
      <c r="A43" s="1"/>
      <c r="B43" s="1"/>
      <c r="C43" s="1"/>
      <c r="D43" s="1"/>
      <c r="E43" s="1"/>
      <c r="F43" s="1"/>
      <c r="G43" s="1"/>
      <c r="H43" s="1"/>
      <c r="I43" s="1"/>
      <c r="J43" s="1"/>
      <c r="K43" s="1"/>
      <c r="L43" s="1"/>
      <c r="M43" s="1"/>
      <c r="N43" s="1"/>
      <c r="O43" s="1"/>
      <c r="P43" s="1"/>
      <c r="Q43" s="1"/>
    </row>
    <row r="44" spans="1:17" x14ac:dyDescent="0.35">
      <c r="A44" s="1"/>
      <c r="B44" s="1"/>
      <c r="C44" s="1"/>
      <c r="D44" s="1"/>
      <c r="E44" s="1"/>
      <c r="F44" s="1"/>
      <c r="G44" s="1"/>
      <c r="H44" s="1"/>
      <c r="I44" s="1"/>
      <c r="J44" s="1"/>
      <c r="K44" s="1"/>
      <c r="L44" s="1"/>
      <c r="M44" s="1"/>
      <c r="N44" s="1"/>
      <c r="O44" s="1"/>
      <c r="P44" s="1"/>
      <c r="Q44" s="1"/>
    </row>
    <row r="45" spans="1:17" x14ac:dyDescent="0.35">
      <c r="A45" s="1"/>
      <c r="B45" s="1"/>
      <c r="C45" s="1"/>
      <c r="D45" s="1"/>
      <c r="E45" s="1"/>
      <c r="F45" s="1"/>
      <c r="G45" s="1"/>
      <c r="H45" s="1"/>
      <c r="I45" s="1"/>
      <c r="J45" s="1"/>
      <c r="K45" s="1"/>
      <c r="L45" s="1"/>
      <c r="M45" s="1"/>
      <c r="N45" s="1"/>
      <c r="O45" s="1"/>
      <c r="P45" s="1"/>
      <c r="Q45" s="1"/>
    </row>
    <row r="46" spans="1:17" x14ac:dyDescent="0.35">
      <c r="A46" s="1"/>
      <c r="B46" s="1"/>
      <c r="C46" s="1"/>
      <c r="D46" s="1"/>
      <c r="E46" s="1"/>
      <c r="F46" s="1"/>
      <c r="G46" s="1"/>
      <c r="H46" s="1"/>
      <c r="I46" s="1"/>
      <c r="J46" s="1"/>
      <c r="K46" s="1"/>
      <c r="L46" s="1"/>
      <c r="M46" s="1"/>
      <c r="N46" s="1"/>
      <c r="O46" s="1"/>
      <c r="P46" s="1"/>
      <c r="Q46" s="1"/>
    </row>
    <row r="47" spans="1:17" x14ac:dyDescent="0.35">
      <c r="A47" s="1"/>
      <c r="B47" s="1"/>
      <c r="C47" s="1"/>
      <c r="D47" s="1"/>
      <c r="E47" s="1"/>
      <c r="F47" s="1"/>
      <c r="G47" s="1"/>
      <c r="H47" s="1"/>
      <c r="I47" s="1"/>
      <c r="J47" s="1"/>
      <c r="K47" s="1"/>
      <c r="L47" s="1"/>
      <c r="M47" s="1"/>
      <c r="N47" s="1"/>
      <c r="O47" s="1"/>
      <c r="P47" s="1"/>
      <c r="Q47" s="1"/>
    </row>
    <row r="48" spans="1:17" x14ac:dyDescent="0.35">
      <c r="A48" s="1"/>
      <c r="B48" s="1"/>
      <c r="C48" s="1"/>
      <c r="D48" s="1"/>
      <c r="E48" s="1"/>
      <c r="F48" s="1"/>
      <c r="G48" s="1"/>
      <c r="H48" s="1"/>
      <c r="I48" s="1"/>
      <c r="J48" s="1"/>
      <c r="K48" s="1"/>
      <c r="L48" s="1"/>
      <c r="M48" s="1"/>
      <c r="N48" s="1"/>
      <c r="O48" s="1"/>
      <c r="P48" s="1"/>
      <c r="Q48" s="1"/>
    </row>
    <row r="49" spans="1:17" x14ac:dyDescent="0.35">
      <c r="A49" s="1"/>
      <c r="B49" s="1"/>
      <c r="C49" s="1"/>
      <c r="D49" s="1"/>
      <c r="E49" s="1"/>
      <c r="F49" s="1"/>
      <c r="G49" s="1"/>
      <c r="H49" s="1"/>
      <c r="I49" s="1"/>
      <c r="J49" s="1"/>
      <c r="K49" s="1"/>
      <c r="L49" s="1"/>
      <c r="M49" s="1"/>
      <c r="N49" s="1"/>
      <c r="O49" s="1"/>
      <c r="P49" s="1"/>
      <c r="Q49" s="1"/>
    </row>
    <row r="50" spans="1:17" x14ac:dyDescent="0.35">
      <c r="A50" s="1"/>
      <c r="B50" s="1"/>
      <c r="C50" s="1"/>
      <c r="D50" s="1"/>
      <c r="E50" s="1"/>
      <c r="F50" s="1"/>
      <c r="G50" s="1"/>
      <c r="H50" s="1"/>
      <c r="I50" s="1"/>
      <c r="J50" s="1"/>
      <c r="K50" s="1"/>
      <c r="L50" s="1"/>
      <c r="M50" s="1"/>
      <c r="N50" s="1"/>
      <c r="O50" s="1"/>
      <c r="P50" s="1"/>
      <c r="Q50" s="1"/>
    </row>
    <row r="51" spans="1:17" x14ac:dyDescent="0.35">
      <c r="A51" s="1"/>
      <c r="B51" s="1"/>
      <c r="C51" s="1"/>
      <c r="D51" s="1"/>
      <c r="E51" s="1"/>
      <c r="F51" s="1"/>
      <c r="G51" s="1"/>
      <c r="H51" s="1"/>
      <c r="I51" s="1"/>
      <c r="J51" s="1"/>
      <c r="K51" s="1"/>
      <c r="L51" s="1"/>
      <c r="M51" s="1"/>
      <c r="N51" s="1"/>
      <c r="O51" s="1"/>
      <c r="P51" s="1"/>
      <c r="Q51" s="1"/>
    </row>
    <row r="52" spans="1:17" x14ac:dyDescent="0.35">
      <c r="A52" s="1"/>
      <c r="B52" s="1"/>
      <c r="C52" s="1"/>
      <c r="D52" s="1"/>
      <c r="E52" s="1"/>
      <c r="F52" s="1"/>
      <c r="G52" s="1"/>
      <c r="H52" s="1"/>
      <c r="I52" s="1"/>
      <c r="J52" s="1"/>
      <c r="K52" s="1"/>
      <c r="L52" s="1"/>
      <c r="M52" s="1"/>
      <c r="N52" s="1"/>
      <c r="O52" s="1"/>
      <c r="P52" s="1"/>
      <c r="Q52" s="1"/>
    </row>
    <row r="53" spans="1:17" x14ac:dyDescent="0.35">
      <c r="A53" s="1"/>
      <c r="B53" s="1"/>
      <c r="C53" s="1"/>
      <c r="D53" s="1"/>
      <c r="E53" s="1"/>
      <c r="F53" s="1"/>
      <c r="G53" s="1"/>
      <c r="H53" s="1"/>
      <c r="I53" s="1"/>
      <c r="J53" s="1"/>
      <c r="K53" s="1"/>
      <c r="L53" s="1"/>
      <c r="M53" s="1"/>
      <c r="N53" s="1"/>
      <c r="O53" s="1"/>
      <c r="P53" s="1"/>
      <c r="Q53" s="1"/>
    </row>
    <row r="54" spans="1:17" x14ac:dyDescent="0.35">
      <c r="A54" s="1"/>
      <c r="B54" s="1"/>
      <c r="C54" s="1"/>
      <c r="D54" s="1"/>
      <c r="E54" s="1"/>
      <c r="F54" s="1"/>
      <c r="G54" s="1"/>
      <c r="H54" s="1"/>
      <c r="I54" s="1"/>
      <c r="J54" s="1"/>
      <c r="K54" s="1"/>
      <c r="L54" s="1"/>
      <c r="M54" s="1"/>
      <c r="N54" s="1"/>
      <c r="O54" s="1"/>
      <c r="P54" s="1"/>
      <c r="Q54" s="1"/>
    </row>
    <row r="55" spans="1:17" x14ac:dyDescent="0.35">
      <c r="A55" s="1"/>
      <c r="B55" s="1"/>
      <c r="C55" s="1"/>
      <c r="D55" s="1"/>
      <c r="E55" s="1"/>
      <c r="F55" s="1"/>
      <c r="G55" s="1"/>
      <c r="H55" s="1"/>
      <c r="I55" s="1"/>
      <c r="J55" s="1"/>
      <c r="K55" s="1"/>
      <c r="L55" s="1"/>
      <c r="M55" s="1"/>
      <c r="N55" s="1"/>
      <c r="O55" s="1"/>
      <c r="P55" s="1"/>
      <c r="Q55" s="1"/>
    </row>
    <row r="56" spans="1:17" x14ac:dyDescent="0.35">
      <c r="A56" s="1"/>
      <c r="B56" s="1"/>
      <c r="C56" s="1"/>
      <c r="D56" s="1"/>
      <c r="E56" s="1"/>
      <c r="F56" s="1"/>
      <c r="G56" s="1"/>
      <c r="H56" s="1"/>
      <c r="I56" s="1"/>
      <c r="J56" s="1"/>
      <c r="K56" s="1"/>
      <c r="L56" s="1"/>
      <c r="M56" s="1"/>
      <c r="N56" s="1"/>
      <c r="O56" s="1"/>
      <c r="P56" s="1"/>
      <c r="Q56" s="1"/>
    </row>
    <row r="57" spans="1:17" x14ac:dyDescent="0.35">
      <c r="A57" s="1"/>
      <c r="B57" s="1"/>
      <c r="C57" s="1"/>
      <c r="D57" s="1"/>
      <c r="E57" s="1"/>
      <c r="F57" s="1"/>
      <c r="G57" s="1"/>
      <c r="H57" s="1"/>
      <c r="I57" s="1"/>
      <c r="J57" s="1"/>
      <c r="K57" s="1"/>
      <c r="L57" s="1"/>
      <c r="M57" s="1"/>
      <c r="N57" s="1"/>
      <c r="O57" s="1"/>
      <c r="P57" s="1"/>
      <c r="Q57" s="1"/>
    </row>
    <row r="58" spans="1:17" x14ac:dyDescent="0.35">
      <c r="A58" s="1"/>
      <c r="B58" s="1"/>
      <c r="C58" s="1"/>
      <c r="D58" s="1"/>
      <c r="E58" s="1"/>
      <c r="F58" s="1"/>
      <c r="G58" s="1"/>
      <c r="H58" s="1"/>
      <c r="I58" s="1"/>
      <c r="J58" s="1"/>
      <c r="K58" s="1"/>
      <c r="L58" s="1"/>
      <c r="M58" s="1"/>
      <c r="N58" s="1"/>
      <c r="O58" s="1"/>
      <c r="P58" s="1"/>
      <c r="Q58" s="1"/>
    </row>
    <row r="59" spans="1:17" x14ac:dyDescent="0.35">
      <c r="A59" s="1"/>
      <c r="B59" s="1"/>
      <c r="C59" s="1"/>
      <c r="D59" s="1"/>
      <c r="E59" s="1"/>
      <c r="F59" s="1"/>
      <c r="G59" s="1"/>
      <c r="H59" s="1"/>
      <c r="I59" s="1"/>
      <c r="J59" s="1"/>
      <c r="K59" s="1"/>
      <c r="L59" s="1"/>
      <c r="M59" s="1"/>
      <c r="N59" s="1"/>
      <c r="O59" s="1"/>
      <c r="P59" s="1"/>
      <c r="Q59" s="1"/>
    </row>
    <row r="60" spans="1:17" x14ac:dyDescent="0.35">
      <c r="A60" s="1"/>
      <c r="B60" s="1"/>
      <c r="C60" s="1"/>
      <c r="D60" s="1"/>
      <c r="E60" s="1"/>
      <c r="F60" s="1"/>
      <c r="G60" s="1"/>
      <c r="H60" s="1"/>
      <c r="I60" s="1"/>
      <c r="J60" s="1"/>
      <c r="K60" s="1"/>
      <c r="L60" s="1"/>
      <c r="M60" s="1"/>
      <c r="N60" s="1"/>
      <c r="O60" s="1"/>
      <c r="P60" s="1"/>
      <c r="Q60" s="1"/>
    </row>
    <row r="61" spans="1:17" x14ac:dyDescent="0.35">
      <c r="A61" s="1"/>
      <c r="B61" s="1"/>
      <c r="C61" s="1"/>
      <c r="D61" s="1"/>
      <c r="E61" s="1"/>
      <c r="F61" s="1"/>
      <c r="G61" s="1"/>
      <c r="H61" s="1"/>
      <c r="I61" s="1"/>
      <c r="J61" s="1"/>
      <c r="K61" s="1"/>
      <c r="L61" s="1"/>
      <c r="M61" s="1"/>
      <c r="N61" s="1"/>
      <c r="O61" s="1"/>
      <c r="P61" s="1"/>
      <c r="Q61" s="1"/>
    </row>
    <row r="62" spans="1:17" x14ac:dyDescent="0.35">
      <c r="A62" s="1"/>
      <c r="B62" s="1"/>
      <c r="C62" s="1"/>
      <c r="D62" s="1"/>
      <c r="E62" s="1"/>
      <c r="F62" s="1"/>
      <c r="G62" s="1"/>
      <c r="H62" s="1"/>
      <c r="I62" s="1"/>
      <c r="J62" s="1"/>
      <c r="K62" s="1"/>
      <c r="L62" s="1"/>
      <c r="M62" s="1"/>
      <c r="N62" s="1"/>
      <c r="O62" s="1"/>
      <c r="P62" s="1"/>
      <c r="Q62" s="1"/>
    </row>
    <row r="63" spans="1:17" x14ac:dyDescent="0.35">
      <c r="A63" s="1"/>
      <c r="B63" s="1"/>
      <c r="C63" s="1"/>
      <c r="D63" s="1"/>
      <c r="E63" s="1"/>
      <c r="F63" s="1"/>
      <c r="G63" s="1"/>
      <c r="H63" s="1"/>
      <c r="I63" s="1"/>
      <c r="J63" s="1"/>
      <c r="K63" s="1"/>
      <c r="L63" s="1"/>
      <c r="M63" s="1"/>
      <c r="N63" s="1"/>
      <c r="O63" s="1"/>
      <c r="P63" s="1"/>
      <c r="Q63" s="1"/>
    </row>
    <row r="64" spans="1:17" x14ac:dyDescent="0.35">
      <c r="A64" s="1"/>
      <c r="B64" s="1"/>
      <c r="C64" s="1"/>
      <c r="D64" s="1"/>
      <c r="E64" s="1"/>
      <c r="F64" s="1"/>
      <c r="G64" s="1"/>
      <c r="H64" s="1"/>
      <c r="I64" s="1"/>
      <c r="J64" s="1"/>
      <c r="K64" s="1"/>
      <c r="L64" s="1"/>
      <c r="M64" s="1"/>
      <c r="N64" s="1"/>
      <c r="O64" s="1"/>
      <c r="P64" s="1"/>
      <c r="Q64" s="1"/>
    </row>
    <row r="65" spans="1:17" x14ac:dyDescent="0.35">
      <c r="A65" s="1"/>
      <c r="B65" s="1"/>
      <c r="C65" s="1"/>
      <c r="D65" s="1"/>
      <c r="E65" s="1"/>
      <c r="F65" s="1"/>
      <c r="G65" s="1"/>
      <c r="H65" s="1"/>
      <c r="I65" s="1"/>
      <c r="J65" s="1"/>
      <c r="K65" s="1"/>
      <c r="L65" s="1"/>
      <c r="M65" s="1"/>
      <c r="N65" s="1"/>
      <c r="O65" s="1"/>
      <c r="P65" s="1"/>
      <c r="Q65" s="1"/>
    </row>
    <row r="66" spans="1:17" x14ac:dyDescent="0.35">
      <c r="A66" s="1"/>
      <c r="B66" s="1"/>
      <c r="C66" s="1"/>
      <c r="D66" s="1"/>
      <c r="E66" s="1"/>
      <c r="F66" s="1"/>
      <c r="G66" s="1"/>
      <c r="H66" s="1"/>
      <c r="I66" s="1"/>
      <c r="J66" s="1"/>
      <c r="K66" s="1"/>
      <c r="L66" s="1"/>
      <c r="M66" s="1"/>
      <c r="N66" s="1"/>
      <c r="O66" s="1"/>
      <c r="P66" s="1"/>
      <c r="Q66" s="1"/>
    </row>
    <row r="67" spans="1:17" x14ac:dyDescent="0.35">
      <c r="A67" s="1"/>
      <c r="B67" s="1"/>
      <c r="C67" s="1"/>
      <c r="D67" s="1"/>
      <c r="E67" s="1"/>
      <c r="F67" s="1"/>
      <c r="G67" s="1"/>
      <c r="H67" s="1"/>
      <c r="I67" s="1"/>
      <c r="J67" s="1"/>
      <c r="K67" s="1"/>
      <c r="L67" s="1"/>
      <c r="M67" s="1"/>
      <c r="N67" s="1"/>
      <c r="O67" s="1"/>
      <c r="P67" s="1"/>
      <c r="Q67" s="1"/>
    </row>
    <row r="68" spans="1:17" x14ac:dyDescent="0.35">
      <c r="A68" s="1"/>
      <c r="B68" s="1"/>
      <c r="C68" s="1"/>
      <c r="D68" s="1"/>
      <c r="E68" s="1"/>
      <c r="F68" s="1"/>
      <c r="G68" s="1"/>
      <c r="H68" s="1"/>
      <c r="I68" s="1"/>
      <c r="J68" s="1"/>
      <c r="K68" s="1"/>
      <c r="L68" s="1"/>
      <c r="M68" s="1"/>
      <c r="N68" s="1"/>
      <c r="O68" s="1"/>
      <c r="P68" s="1"/>
      <c r="Q68" s="1"/>
    </row>
    <row r="69" spans="1:17" x14ac:dyDescent="0.35">
      <c r="A69" s="1"/>
      <c r="B69" s="1"/>
      <c r="C69" s="1"/>
      <c r="D69" s="1"/>
      <c r="E69" s="1"/>
      <c r="F69" s="1"/>
      <c r="G69" s="1"/>
      <c r="H69" s="1"/>
      <c r="I69" s="1"/>
      <c r="J69" s="1"/>
      <c r="K69" s="1"/>
      <c r="L69" s="1"/>
      <c r="M69" s="1"/>
      <c r="N69" s="1"/>
      <c r="O69" s="1"/>
      <c r="P69" s="1"/>
      <c r="Q69" s="1"/>
    </row>
    <row r="70" spans="1:17" x14ac:dyDescent="0.35">
      <c r="A70" s="1"/>
      <c r="B70" s="1"/>
      <c r="C70" s="1"/>
      <c r="D70" s="1"/>
      <c r="E70" s="1"/>
      <c r="F70" s="1"/>
      <c r="G70" s="1"/>
      <c r="H70" s="1"/>
      <c r="I70" s="1"/>
      <c r="J70" s="1"/>
      <c r="K70" s="1"/>
      <c r="L70" s="1"/>
      <c r="M70" s="1"/>
      <c r="N70" s="1"/>
      <c r="O70" s="1"/>
      <c r="P70" s="1"/>
      <c r="Q70" s="1"/>
    </row>
    <row r="71" spans="1:17" x14ac:dyDescent="0.35">
      <c r="A71" s="1"/>
      <c r="B71" s="1"/>
      <c r="C71" s="1"/>
      <c r="D71" s="1"/>
      <c r="E71" s="1"/>
      <c r="F71" s="1"/>
      <c r="G71" s="1"/>
      <c r="H71" s="1"/>
      <c r="I71" s="1"/>
      <c r="J71" s="1"/>
      <c r="K71" s="1"/>
      <c r="L71" s="1"/>
      <c r="M71" s="1"/>
      <c r="N71" s="1"/>
      <c r="O71" s="1"/>
      <c r="P71" s="1"/>
      <c r="Q71" s="1"/>
    </row>
    <row r="72" spans="1:17" x14ac:dyDescent="0.35">
      <c r="A72" s="1"/>
      <c r="B72" s="1"/>
      <c r="C72" s="1"/>
      <c r="D72" s="1"/>
      <c r="E72" s="1"/>
      <c r="F72" s="1"/>
      <c r="G72" s="1"/>
      <c r="H72" s="1"/>
      <c r="I72" s="1"/>
      <c r="J72" s="1"/>
      <c r="K72" s="1"/>
      <c r="L72" s="1"/>
      <c r="M72" s="1"/>
      <c r="N72" s="1"/>
      <c r="O72" s="1"/>
      <c r="P72" s="1"/>
      <c r="Q72" s="1"/>
    </row>
    <row r="73" spans="1:17" x14ac:dyDescent="0.35">
      <c r="A73" s="1"/>
      <c r="B73" s="1"/>
      <c r="C73" s="1"/>
      <c r="D73" s="1"/>
      <c r="E73" s="1"/>
      <c r="F73" s="1"/>
      <c r="G73" s="1"/>
      <c r="H73" s="1"/>
      <c r="I73" s="1"/>
      <c r="J73" s="1"/>
      <c r="K73" s="1"/>
      <c r="L73" s="1"/>
      <c r="M73" s="1"/>
      <c r="N73" s="1"/>
      <c r="O73" s="1"/>
      <c r="P73" s="1"/>
      <c r="Q73" s="1"/>
    </row>
    <row r="74" spans="1:17" x14ac:dyDescent="0.35">
      <c r="A74" s="1"/>
      <c r="B74" s="1"/>
      <c r="C74" s="1"/>
      <c r="D74" s="1"/>
      <c r="E74" s="1"/>
      <c r="F74" s="1"/>
      <c r="G74" s="1"/>
      <c r="H74" s="1"/>
      <c r="I74" s="1"/>
      <c r="J74" s="1"/>
      <c r="K74" s="1"/>
      <c r="L74" s="1"/>
      <c r="M74" s="1"/>
      <c r="N74" s="1"/>
      <c r="O74" s="1"/>
      <c r="P74" s="1"/>
      <c r="Q74" s="1"/>
    </row>
    <row r="75" spans="1:17" x14ac:dyDescent="0.35">
      <c r="A75" s="1"/>
      <c r="B75" s="1"/>
      <c r="C75" s="1"/>
      <c r="D75" s="1"/>
      <c r="E75" s="1"/>
      <c r="F75" s="1"/>
      <c r="G75" s="1"/>
      <c r="H75" s="1"/>
      <c r="I75" s="1"/>
      <c r="J75" s="1"/>
      <c r="K75" s="1"/>
      <c r="L75" s="1"/>
      <c r="M75" s="1"/>
      <c r="N75" s="1"/>
      <c r="O75" s="1"/>
      <c r="P75" s="1"/>
      <c r="Q75" s="1"/>
    </row>
    <row r="76" spans="1:17" x14ac:dyDescent="0.35">
      <c r="A76" s="1"/>
      <c r="B76" s="1"/>
      <c r="C76" s="1"/>
      <c r="D76" s="1"/>
      <c r="E76" s="1"/>
      <c r="F76" s="1"/>
      <c r="G76" s="1"/>
      <c r="H76" s="1"/>
      <c r="I76" s="1"/>
      <c r="J76" s="1"/>
      <c r="K76" s="1"/>
      <c r="L76" s="1"/>
      <c r="M76" s="1"/>
      <c r="N76" s="1"/>
      <c r="O76" s="1"/>
      <c r="P76" s="1"/>
      <c r="Q76" s="1"/>
    </row>
    <row r="77" spans="1:17" x14ac:dyDescent="0.35">
      <c r="A77" s="1"/>
      <c r="B77" s="1"/>
      <c r="C77" s="1"/>
      <c r="D77" s="1"/>
      <c r="E77" s="1"/>
      <c r="F77" s="1"/>
      <c r="G77" s="1"/>
      <c r="H77" s="1"/>
      <c r="I77" s="1"/>
      <c r="J77" s="1"/>
      <c r="K77" s="1"/>
      <c r="L77" s="1"/>
      <c r="M77" s="1"/>
      <c r="N77" s="1"/>
      <c r="O77" s="1"/>
      <c r="P77" s="1"/>
      <c r="Q77" s="1"/>
    </row>
    <row r="78" spans="1:17" x14ac:dyDescent="0.35">
      <c r="A78" s="1"/>
      <c r="B78" s="1"/>
      <c r="C78" s="1"/>
      <c r="D78" s="1"/>
      <c r="E78" s="1"/>
      <c r="F78" s="1"/>
      <c r="G78" s="1"/>
      <c r="H78" s="1"/>
      <c r="I78" s="1"/>
      <c r="J78" s="1"/>
      <c r="K78" s="1"/>
      <c r="L78" s="1"/>
      <c r="M78" s="1"/>
      <c r="N78" s="1"/>
      <c r="O78" s="1"/>
      <c r="P78" s="1"/>
      <c r="Q78" s="1"/>
    </row>
    <row r="79" spans="1:17" x14ac:dyDescent="0.35">
      <c r="A79" s="1"/>
      <c r="B79" s="1"/>
      <c r="C79" s="1"/>
      <c r="D79" s="1"/>
      <c r="E79" s="1"/>
      <c r="F79" s="1"/>
      <c r="G79" s="1"/>
      <c r="H79" s="1"/>
      <c r="I79" s="1"/>
      <c r="J79" s="1"/>
      <c r="K79" s="1"/>
      <c r="L79" s="1"/>
      <c r="M79" s="1"/>
      <c r="N79" s="1"/>
      <c r="O79" s="1"/>
      <c r="P79" s="1"/>
      <c r="Q79" s="1"/>
    </row>
    <row r="80" spans="1:17" x14ac:dyDescent="0.35">
      <c r="A80" s="1"/>
      <c r="B80" s="1"/>
      <c r="C80" s="1"/>
      <c r="D80" s="1"/>
      <c r="E80" s="1"/>
      <c r="F80" s="1"/>
      <c r="G80" s="1"/>
      <c r="H80" s="1"/>
      <c r="I80" s="1"/>
      <c r="J80" s="1"/>
      <c r="K80" s="1"/>
      <c r="L80" s="1"/>
      <c r="M80" s="1"/>
      <c r="N80" s="1"/>
      <c r="O80" s="1"/>
      <c r="P80" s="1"/>
      <c r="Q80" s="1"/>
    </row>
    <row r="81" spans="1:17" x14ac:dyDescent="0.35">
      <c r="A81" s="1"/>
      <c r="B81" s="1"/>
      <c r="C81" s="1"/>
      <c r="D81" s="1"/>
      <c r="E81" s="1"/>
      <c r="F81" s="1"/>
      <c r="G81" s="1"/>
      <c r="H81" s="1"/>
      <c r="I81" s="1"/>
      <c r="J81" s="1"/>
      <c r="K81" s="1"/>
      <c r="L81" s="1"/>
      <c r="M81" s="1"/>
      <c r="N81" s="1"/>
      <c r="O81" s="1"/>
      <c r="P81" s="1"/>
      <c r="Q81" s="1"/>
    </row>
    <row r="82" spans="1:17" x14ac:dyDescent="0.35">
      <c r="A82" s="1"/>
      <c r="B82" s="1"/>
      <c r="C82" s="1"/>
      <c r="D82" s="1"/>
      <c r="E82" s="1"/>
      <c r="F82" s="1"/>
      <c r="G82" s="1"/>
      <c r="H82" s="1"/>
      <c r="I82" s="1"/>
      <c r="J82" s="1"/>
      <c r="K82" s="1"/>
      <c r="L82" s="1"/>
      <c r="M82" s="1"/>
      <c r="N82" s="1"/>
      <c r="O82" s="1"/>
      <c r="P82" s="1"/>
      <c r="Q82" s="1"/>
    </row>
    <row r="83" spans="1:17" x14ac:dyDescent="0.35">
      <c r="A83" s="1"/>
      <c r="B83" s="1"/>
      <c r="C83" s="1"/>
      <c r="D83" s="1"/>
      <c r="E83" s="1"/>
      <c r="F83" s="1"/>
      <c r="G83" s="1"/>
      <c r="H83" s="1"/>
      <c r="I83" s="1"/>
      <c r="J83" s="1"/>
      <c r="K83" s="1"/>
      <c r="L83" s="1"/>
      <c r="M83" s="1"/>
      <c r="N83" s="1"/>
      <c r="O83" s="1"/>
      <c r="P83" s="1"/>
      <c r="Q83" s="1"/>
    </row>
    <row r="84" spans="1:17" x14ac:dyDescent="0.35">
      <c r="A84" s="1"/>
      <c r="B84" s="1"/>
      <c r="C84" s="1"/>
      <c r="D84" s="1"/>
      <c r="E84" s="1"/>
      <c r="F84" s="1"/>
      <c r="G84" s="1"/>
      <c r="H84" s="1"/>
      <c r="I84" s="1"/>
      <c r="J84" s="1"/>
      <c r="K84" s="1"/>
      <c r="L84" s="1"/>
      <c r="M84" s="1"/>
      <c r="N84" s="1"/>
      <c r="O84" s="1"/>
      <c r="P84" s="1"/>
      <c r="Q84" s="1"/>
    </row>
    <row r="85" spans="1:17" x14ac:dyDescent="0.35">
      <c r="A85" s="1"/>
      <c r="B85" s="1"/>
      <c r="C85" s="1"/>
      <c r="D85" s="1"/>
      <c r="E85" s="1"/>
      <c r="F85" s="1"/>
      <c r="G85" s="1"/>
      <c r="H85" s="1"/>
      <c r="I85" s="1"/>
      <c r="J85" s="1"/>
      <c r="K85" s="1"/>
      <c r="L85" s="1"/>
      <c r="M85" s="1"/>
      <c r="N85" s="1"/>
      <c r="O85" s="1"/>
      <c r="P85" s="1"/>
      <c r="Q85" s="1"/>
    </row>
    <row r="86" spans="1:17" x14ac:dyDescent="0.35">
      <c r="A86" s="1"/>
      <c r="B86" s="1"/>
      <c r="C86" s="1"/>
      <c r="D86" s="1"/>
      <c r="E86" s="1"/>
      <c r="F86" s="1"/>
      <c r="G86" s="1"/>
      <c r="H86" s="1"/>
      <c r="I86" s="1"/>
      <c r="J86" s="1"/>
      <c r="K86" s="1"/>
      <c r="L86" s="1"/>
      <c r="M86" s="1"/>
      <c r="N86" s="1"/>
      <c r="O86" s="1"/>
      <c r="P86" s="1"/>
      <c r="Q86" s="1"/>
    </row>
    <row r="87" spans="1:17" x14ac:dyDescent="0.35">
      <c r="A87" s="1"/>
      <c r="B87" s="1"/>
      <c r="C87" s="1"/>
      <c r="D87" s="1"/>
      <c r="E87" s="1"/>
      <c r="F87" s="1"/>
      <c r="G87" s="1"/>
      <c r="H87" s="1"/>
      <c r="I87" s="1"/>
      <c r="J87" s="1"/>
      <c r="K87" s="1"/>
      <c r="L87" s="1"/>
      <c r="M87" s="1"/>
      <c r="N87" s="1"/>
      <c r="O87" s="1"/>
      <c r="P87" s="1"/>
      <c r="Q87" s="1"/>
    </row>
    <row r="88" spans="1:17" x14ac:dyDescent="0.35">
      <c r="A88" s="1"/>
      <c r="B88" s="1"/>
      <c r="C88" s="1"/>
      <c r="D88" s="1"/>
      <c r="E88" s="1"/>
      <c r="F88" s="1"/>
      <c r="G88" s="1"/>
      <c r="H88" s="1"/>
      <c r="I88" s="1"/>
      <c r="J88" s="1"/>
      <c r="K88" s="1"/>
      <c r="L88" s="1"/>
      <c r="M88" s="1"/>
      <c r="N88" s="1"/>
      <c r="O88" s="1"/>
      <c r="P88" s="1"/>
      <c r="Q88" s="1"/>
    </row>
    <row r="89" spans="1:17" x14ac:dyDescent="0.35">
      <c r="A89" s="1"/>
      <c r="B89" s="1"/>
      <c r="C89" s="1"/>
      <c r="D89" s="1"/>
      <c r="E89" s="1"/>
      <c r="F89" s="1"/>
      <c r="G89" s="1"/>
      <c r="H89" s="1"/>
      <c r="I89" s="1"/>
      <c r="J89" s="1"/>
      <c r="K89" s="1"/>
      <c r="L89" s="1"/>
      <c r="M89" s="1"/>
      <c r="N89" s="1"/>
      <c r="O89" s="1"/>
      <c r="P89" s="1"/>
      <c r="Q89" s="1"/>
    </row>
    <row r="90" spans="1:17" x14ac:dyDescent="0.35">
      <c r="A90" s="1"/>
      <c r="B90" s="1"/>
      <c r="C90" s="1"/>
      <c r="D90" s="1"/>
      <c r="E90" s="1"/>
      <c r="F90" s="1"/>
      <c r="G90" s="1"/>
      <c r="H90" s="1"/>
      <c r="I90" s="1"/>
      <c r="J90" s="1"/>
      <c r="K90" s="1"/>
      <c r="L90" s="1"/>
      <c r="M90" s="1"/>
      <c r="N90" s="1"/>
      <c r="O90" s="1"/>
      <c r="P90" s="1"/>
      <c r="Q90" s="1"/>
    </row>
    <row r="91" spans="1:17" x14ac:dyDescent="0.35">
      <c r="A91" s="1"/>
      <c r="B91" s="1"/>
      <c r="C91" s="1"/>
      <c r="D91" s="1"/>
      <c r="E91" s="1"/>
      <c r="F91" s="1"/>
      <c r="G91" s="1"/>
      <c r="H91" s="1"/>
      <c r="I91" s="1"/>
      <c r="J91" s="1"/>
      <c r="K91" s="1"/>
      <c r="L91" s="1"/>
      <c r="M91" s="1"/>
      <c r="N91" s="1"/>
      <c r="O91" s="1"/>
      <c r="P91" s="1"/>
      <c r="Q91" s="1"/>
    </row>
    <row r="92" spans="1:17" x14ac:dyDescent="0.35">
      <c r="A92" s="1"/>
      <c r="B92" s="1"/>
      <c r="C92" s="1"/>
      <c r="D92" s="1"/>
      <c r="E92" s="1"/>
      <c r="F92" s="1"/>
      <c r="G92" s="1"/>
      <c r="H92" s="1"/>
      <c r="I92" s="1"/>
      <c r="J92" s="1"/>
      <c r="K92" s="1"/>
      <c r="L92" s="1"/>
      <c r="M92" s="1"/>
      <c r="N92" s="1"/>
      <c r="O92" s="1"/>
      <c r="P92" s="1"/>
      <c r="Q92" s="1"/>
    </row>
    <row r="93" spans="1:17" x14ac:dyDescent="0.35">
      <c r="A93" s="1"/>
      <c r="B93" s="1"/>
      <c r="C93" s="1"/>
      <c r="D93" s="1"/>
      <c r="E93" s="1"/>
      <c r="F93" s="1"/>
      <c r="G93" s="1"/>
      <c r="H93" s="1"/>
      <c r="I93" s="1"/>
      <c r="J93" s="1"/>
      <c r="K93" s="1"/>
      <c r="L93" s="1"/>
      <c r="M93" s="1"/>
      <c r="N93" s="1"/>
      <c r="O93" s="1"/>
      <c r="P93" s="1"/>
      <c r="Q93" s="1"/>
    </row>
    <row r="94" spans="1:17" x14ac:dyDescent="0.35">
      <c r="A94" s="1"/>
      <c r="B94" s="1"/>
      <c r="C94" s="1"/>
      <c r="D94" s="1"/>
      <c r="E94" s="1"/>
      <c r="F94" s="1"/>
      <c r="G94" s="1"/>
      <c r="H94" s="1"/>
      <c r="I94" s="1"/>
      <c r="J94" s="1"/>
      <c r="K94" s="1"/>
      <c r="L94" s="1"/>
      <c r="M94" s="1"/>
      <c r="N94" s="1"/>
      <c r="O94" s="1"/>
      <c r="P94" s="1"/>
      <c r="Q94" s="1"/>
    </row>
    <row r="95" spans="1:17" x14ac:dyDescent="0.35">
      <c r="A95" s="1"/>
      <c r="B95" s="1"/>
      <c r="C95" s="1"/>
      <c r="D95" s="1"/>
      <c r="E95" s="1"/>
      <c r="F95" s="1"/>
      <c r="G95" s="1"/>
      <c r="H95" s="1"/>
      <c r="I95" s="1"/>
      <c r="J95" s="1"/>
      <c r="K95" s="1"/>
      <c r="L95" s="1"/>
      <c r="M95" s="1"/>
      <c r="N95" s="1"/>
      <c r="O95" s="1"/>
      <c r="P95" s="1"/>
      <c r="Q95" s="1"/>
    </row>
    <row r="96" spans="1:17" x14ac:dyDescent="0.35">
      <c r="A96" s="1"/>
      <c r="B96" s="1"/>
      <c r="C96" s="1"/>
      <c r="D96" s="1"/>
      <c r="E96" s="1"/>
      <c r="F96" s="1"/>
      <c r="G96" s="1"/>
      <c r="H96" s="1"/>
      <c r="I96" s="1"/>
      <c r="J96" s="1"/>
      <c r="K96" s="1"/>
      <c r="L96" s="1"/>
      <c r="M96" s="1"/>
      <c r="N96" s="1"/>
      <c r="O96" s="1"/>
      <c r="P96" s="1"/>
      <c r="Q96" s="1"/>
    </row>
    <row r="97" spans="1:17" x14ac:dyDescent="0.35">
      <c r="A97" s="1"/>
      <c r="B97" s="1"/>
      <c r="C97" s="1"/>
      <c r="D97" s="1"/>
      <c r="E97" s="1"/>
      <c r="F97" s="1"/>
      <c r="G97" s="1"/>
      <c r="H97" s="1"/>
      <c r="I97" s="1"/>
      <c r="J97" s="1"/>
      <c r="K97" s="1"/>
      <c r="L97" s="1"/>
      <c r="M97" s="1"/>
      <c r="N97" s="1"/>
      <c r="O97" s="1"/>
      <c r="P97" s="1"/>
      <c r="Q97" s="1"/>
    </row>
    <row r="98" spans="1:17" x14ac:dyDescent="0.35">
      <c r="A98" s="1"/>
      <c r="B98" s="1"/>
      <c r="C98" s="1"/>
      <c r="D98" s="1"/>
      <c r="E98" s="1"/>
      <c r="F98" s="1"/>
      <c r="G98" s="1"/>
      <c r="H98" s="1"/>
      <c r="I98" s="1"/>
      <c r="J98" s="1"/>
      <c r="K98" s="1"/>
      <c r="L98" s="1"/>
      <c r="M98" s="1"/>
      <c r="N98" s="1"/>
      <c r="O98" s="1"/>
      <c r="P98" s="1"/>
      <c r="Q98" s="1"/>
    </row>
    <row r="99" spans="1:17" x14ac:dyDescent="0.35">
      <c r="A99" s="1"/>
      <c r="B99" s="1"/>
      <c r="C99" s="1"/>
      <c r="D99" s="1"/>
      <c r="E99" s="1"/>
      <c r="F99" s="1"/>
      <c r="G99" s="1"/>
      <c r="H99" s="1"/>
      <c r="I99" s="1"/>
      <c r="J99" s="1"/>
      <c r="K99" s="1"/>
      <c r="L99" s="1"/>
      <c r="M99" s="1"/>
      <c r="N99" s="1"/>
      <c r="O99" s="1"/>
      <c r="P99" s="1"/>
      <c r="Q99" s="1"/>
    </row>
    <row r="100" spans="1:17" x14ac:dyDescent="0.35">
      <c r="A100" s="1"/>
      <c r="B100" s="1"/>
      <c r="C100" s="1"/>
      <c r="D100" s="1"/>
      <c r="E100" s="1"/>
      <c r="F100" s="1"/>
      <c r="G100" s="1"/>
      <c r="H100" s="1"/>
      <c r="I100" s="1"/>
      <c r="J100" s="1"/>
      <c r="K100" s="1"/>
      <c r="L100" s="1"/>
      <c r="M100" s="1"/>
      <c r="N100" s="1"/>
      <c r="O100" s="1"/>
      <c r="P100" s="1"/>
      <c r="Q100" s="1"/>
    </row>
    <row r="101" spans="1:17" x14ac:dyDescent="0.35">
      <c r="A101" s="1"/>
      <c r="B101" s="1"/>
      <c r="C101" s="1"/>
      <c r="D101" s="1"/>
      <c r="E101" s="1"/>
      <c r="F101" s="1"/>
      <c r="G101" s="1"/>
      <c r="H101" s="1"/>
      <c r="I101" s="1"/>
      <c r="J101" s="1"/>
      <c r="K101" s="1"/>
      <c r="L101" s="1"/>
      <c r="M101" s="1"/>
      <c r="N101" s="1"/>
      <c r="O101" s="1"/>
      <c r="P101" s="1"/>
      <c r="Q101" s="1"/>
    </row>
    <row r="102" spans="1:17" x14ac:dyDescent="0.35">
      <c r="A102" s="1"/>
      <c r="B102" s="1"/>
      <c r="C102" s="1"/>
      <c r="D102" s="1"/>
      <c r="E102" s="1"/>
      <c r="F102" s="1"/>
      <c r="G102" s="1"/>
      <c r="H102" s="1"/>
      <c r="I102" s="1"/>
      <c r="J102" s="1"/>
      <c r="K102" s="1"/>
      <c r="L102" s="1"/>
      <c r="M102" s="1"/>
      <c r="N102" s="1"/>
      <c r="O102" s="1"/>
      <c r="P102" s="1"/>
      <c r="Q102" s="1"/>
    </row>
    <row r="103" spans="1:17" x14ac:dyDescent="0.35">
      <c r="A103" s="1"/>
      <c r="B103" s="1"/>
      <c r="C103" s="1"/>
      <c r="D103" s="1"/>
      <c r="E103" s="1"/>
      <c r="F103" s="1"/>
      <c r="G103" s="1"/>
      <c r="H103" s="1"/>
      <c r="I103" s="1"/>
      <c r="J103" s="1"/>
      <c r="K103" s="1"/>
      <c r="L103" s="1"/>
      <c r="M103" s="1"/>
      <c r="N103" s="1"/>
      <c r="O103" s="1"/>
      <c r="P103" s="1"/>
      <c r="Q103" s="1"/>
    </row>
    <row r="104" spans="1:17" x14ac:dyDescent="0.35">
      <c r="A104" s="1"/>
      <c r="B104" s="1"/>
      <c r="C104" s="1"/>
      <c r="D104" s="1"/>
      <c r="E104" s="1"/>
      <c r="F104" s="1"/>
      <c r="G104" s="1"/>
      <c r="H104" s="1"/>
      <c r="I104" s="1"/>
      <c r="J104" s="1"/>
      <c r="K104" s="1"/>
      <c r="L104" s="1"/>
      <c r="M104" s="1"/>
      <c r="N104" s="1"/>
      <c r="O104" s="1"/>
      <c r="P104" s="1"/>
      <c r="Q104" s="1"/>
    </row>
    <row r="105" spans="1:17" x14ac:dyDescent="0.35">
      <c r="A105" s="1"/>
      <c r="B105" s="1"/>
      <c r="C105" s="1"/>
      <c r="D105" s="1"/>
      <c r="E105" s="1"/>
      <c r="F105" s="1"/>
      <c r="G105" s="1"/>
      <c r="H105" s="1"/>
      <c r="I105" s="1"/>
      <c r="J105" s="1"/>
      <c r="K105" s="1"/>
      <c r="L105" s="1"/>
      <c r="M105" s="1"/>
      <c r="N105" s="1"/>
      <c r="O105" s="1"/>
      <c r="P105" s="1"/>
      <c r="Q105" s="1"/>
    </row>
    <row r="106" spans="1:17" x14ac:dyDescent="0.35">
      <c r="A106" s="1"/>
      <c r="B106" s="1"/>
      <c r="C106" s="1"/>
      <c r="D106" s="1"/>
      <c r="E106" s="1"/>
      <c r="F106" s="1"/>
      <c r="G106" s="1"/>
      <c r="H106" s="1"/>
      <c r="I106" s="1"/>
      <c r="J106" s="1"/>
      <c r="K106" s="1"/>
      <c r="L106" s="1"/>
      <c r="M106" s="1"/>
      <c r="N106" s="1"/>
      <c r="O106" s="1"/>
      <c r="P106" s="1"/>
      <c r="Q106" s="1"/>
    </row>
    <row r="107" spans="1:17" x14ac:dyDescent="0.35">
      <c r="A107" s="1"/>
      <c r="B107" s="1"/>
      <c r="C107" s="1"/>
      <c r="D107" s="1"/>
      <c r="E107" s="1"/>
      <c r="F107" s="1"/>
      <c r="G107" s="1"/>
      <c r="H107" s="1"/>
      <c r="I107" s="1"/>
      <c r="J107" s="1"/>
      <c r="K107" s="1"/>
      <c r="L107" s="1"/>
      <c r="M107" s="1"/>
      <c r="N107" s="1"/>
      <c r="O107" s="1"/>
      <c r="P107" s="1"/>
      <c r="Q107" s="1"/>
    </row>
    <row r="108" spans="1:17" x14ac:dyDescent="0.35">
      <c r="A108" s="1"/>
      <c r="B108" s="1"/>
      <c r="C108" s="1"/>
      <c r="D108" s="1"/>
      <c r="E108" s="1"/>
      <c r="F108" s="1"/>
      <c r="G108" s="1"/>
      <c r="H108" s="1"/>
      <c r="I108" s="1"/>
      <c r="J108" s="1"/>
      <c r="K108" s="1"/>
      <c r="L108" s="1"/>
      <c r="M108" s="1"/>
      <c r="N108" s="1"/>
      <c r="O108" s="1"/>
      <c r="P108" s="1"/>
      <c r="Q108" s="1"/>
    </row>
    <row r="109" spans="1:17" x14ac:dyDescent="0.35">
      <c r="A109" s="1"/>
      <c r="B109" s="1"/>
      <c r="C109" s="1"/>
      <c r="D109" s="1"/>
      <c r="E109" s="1"/>
      <c r="F109" s="1"/>
      <c r="G109" s="1"/>
      <c r="H109" s="1"/>
      <c r="I109" s="1"/>
      <c r="J109" s="1"/>
      <c r="K109" s="1"/>
      <c r="L109" s="1"/>
      <c r="M109" s="1"/>
      <c r="N109" s="1"/>
      <c r="O109" s="1"/>
      <c r="P109" s="1"/>
      <c r="Q109" s="1"/>
    </row>
    <row r="110" spans="1:17" x14ac:dyDescent="0.35">
      <c r="A110" s="1"/>
      <c r="B110" s="1"/>
      <c r="C110" s="1"/>
      <c r="D110" s="1"/>
      <c r="E110" s="1"/>
      <c r="F110" s="1"/>
      <c r="G110" s="1"/>
      <c r="H110" s="1"/>
      <c r="I110" s="1"/>
      <c r="J110" s="1"/>
      <c r="K110" s="1"/>
      <c r="L110" s="1"/>
      <c r="M110" s="1"/>
      <c r="N110" s="1"/>
      <c r="O110" s="1"/>
      <c r="P110" s="1"/>
      <c r="Q110" s="1"/>
    </row>
    <row r="111" spans="1:17" x14ac:dyDescent="0.35">
      <c r="A111" s="1"/>
      <c r="B111" s="1"/>
      <c r="C111" s="1"/>
      <c r="D111" s="1"/>
      <c r="E111" s="1"/>
      <c r="F111" s="1"/>
      <c r="G111" s="1"/>
      <c r="H111" s="1"/>
      <c r="I111" s="1"/>
      <c r="J111" s="1"/>
      <c r="K111" s="1"/>
      <c r="L111" s="1"/>
      <c r="M111" s="1"/>
      <c r="N111" s="1"/>
      <c r="O111" s="1"/>
      <c r="P111" s="1"/>
      <c r="Q111" s="1"/>
    </row>
    <row r="112" spans="1:17" x14ac:dyDescent="0.35">
      <c r="A112" s="1"/>
      <c r="B112" s="1"/>
      <c r="C112" s="1"/>
      <c r="D112" s="1"/>
      <c r="E112" s="1"/>
      <c r="F112" s="1"/>
      <c r="G112" s="1"/>
      <c r="H112" s="1"/>
      <c r="I112" s="1"/>
      <c r="J112" s="1"/>
      <c r="K112" s="1"/>
      <c r="L112" s="1"/>
      <c r="M112" s="1"/>
      <c r="N112" s="1"/>
      <c r="O112" s="1"/>
      <c r="P112" s="1"/>
      <c r="Q112" s="1"/>
    </row>
    <row r="113" spans="1:17" x14ac:dyDescent="0.35">
      <c r="A113" s="1"/>
      <c r="B113" s="1"/>
      <c r="C113" s="1"/>
      <c r="D113" s="1"/>
      <c r="E113" s="1"/>
      <c r="F113" s="1"/>
      <c r="G113" s="1"/>
      <c r="H113" s="1"/>
      <c r="I113" s="1"/>
      <c r="J113" s="1"/>
      <c r="K113" s="1"/>
      <c r="L113" s="1"/>
      <c r="M113" s="1"/>
      <c r="N113" s="1"/>
      <c r="O113" s="1"/>
      <c r="P113" s="1"/>
      <c r="Q113" s="1"/>
    </row>
    <row r="114" spans="1:17" x14ac:dyDescent="0.35">
      <c r="A114" s="1"/>
      <c r="B114" s="1"/>
      <c r="C114" s="1"/>
      <c r="D114" s="1"/>
      <c r="E114" s="1"/>
      <c r="F114" s="1"/>
      <c r="G114" s="1"/>
      <c r="H114" s="1"/>
      <c r="I114" s="1"/>
      <c r="J114" s="1"/>
      <c r="K114" s="1"/>
      <c r="L114" s="1"/>
      <c r="M114" s="1"/>
      <c r="N114" s="1"/>
      <c r="O114" s="1"/>
      <c r="P114" s="1"/>
      <c r="Q114" s="1"/>
    </row>
    <row r="115" spans="1:17" x14ac:dyDescent="0.35">
      <c r="A115" s="1"/>
      <c r="B115" s="1"/>
      <c r="C115" s="1"/>
      <c r="D115" s="1"/>
      <c r="E115" s="1"/>
      <c r="F115" s="1"/>
      <c r="G115" s="1"/>
      <c r="H115" s="1"/>
      <c r="I115" s="1"/>
      <c r="J115" s="1"/>
      <c r="K115" s="1"/>
      <c r="L115" s="1"/>
      <c r="M115" s="1"/>
      <c r="N115" s="1"/>
      <c r="O115" s="1"/>
      <c r="P115" s="1"/>
      <c r="Q115" s="1"/>
    </row>
    <row r="116" spans="1:17" x14ac:dyDescent="0.35">
      <c r="A116" s="1"/>
      <c r="B116" s="1"/>
      <c r="C116" s="1"/>
      <c r="D116" s="1"/>
      <c r="E116" s="1"/>
      <c r="F116" s="1"/>
      <c r="G116" s="1"/>
      <c r="H116" s="1"/>
      <c r="I116" s="1"/>
      <c r="J116" s="1"/>
      <c r="K116" s="1"/>
      <c r="L116" s="1"/>
      <c r="M116" s="1"/>
      <c r="N116" s="1"/>
      <c r="O116" s="1"/>
      <c r="P116" s="1"/>
      <c r="Q116" s="1"/>
    </row>
    <row r="117" spans="1:17" x14ac:dyDescent="0.35">
      <c r="A117" s="1"/>
      <c r="B117" s="1"/>
      <c r="C117" s="1"/>
      <c r="D117" s="1"/>
      <c r="E117" s="1"/>
      <c r="F117" s="1"/>
      <c r="G117" s="1"/>
      <c r="H117" s="1"/>
      <c r="I117" s="1"/>
      <c r="J117" s="1"/>
      <c r="K117" s="1"/>
      <c r="L117" s="1"/>
      <c r="M117" s="1"/>
      <c r="N117" s="1"/>
      <c r="O117" s="1"/>
      <c r="P117" s="1"/>
      <c r="Q117" s="1"/>
    </row>
    <row r="118" spans="1:17" x14ac:dyDescent="0.35">
      <c r="A118" s="1"/>
      <c r="B118" s="1"/>
      <c r="C118" s="1"/>
      <c r="D118" s="1"/>
      <c r="E118" s="1"/>
      <c r="F118" s="1"/>
      <c r="G118" s="1"/>
      <c r="H118" s="1"/>
      <c r="I118" s="1"/>
      <c r="J118" s="1"/>
      <c r="K118" s="1"/>
      <c r="L118" s="1"/>
      <c r="M118" s="1"/>
      <c r="N118" s="1"/>
      <c r="O118" s="1"/>
      <c r="P118" s="1"/>
      <c r="Q118" s="1"/>
    </row>
    <row r="119" spans="1:17" x14ac:dyDescent="0.35">
      <c r="A119" s="1"/>
      <c r="B119" s="1"/>
      <c r="C119" s="1"/>
      <c r="D119" s="1"/>
      <c r="E119" s="1"/>
      <c r="F119" s="1"/>
      <c r="G119" s="1"/>
      <c r="H119" s="1"/>
      <c r="I119" s="1"/>
      <c r="J119" s="1"/>
      <c r="K119" s="1"/>
      <c r="L119" s="1"/>
      <c r="M119" s="1"/>
      <c r="N119" s="1"/>
      <c r="O119" s="1"/>
      <c r="P119" s="1"/>
      <c r="Q119" s="1"/>
    </row>
    <row r="120" spans="1:17" x14ac:dyDescent="0.35">
      <c r="A120" s="1"/>
      <c r="B120" s="1"/>
      <c r="C120" s="1"/>
      <c r="D120" s="1"/>
      <c r="E120" s="1"/>
      <c r="F120" s="1"/>
      <c r="G120" s="1"/>
      <c r="H120" s="1"/>
      <c r="I120" s="1"/>
      <c r="J120" s="1"/>
      <c r="K120" s="1"/>
      <c r="L120" s="1"/>
      <c r="M120" s="1"/>
      <c r="N120" s="1"/>
      <c r="O120" s="1"/>
      <c r="P120" s="1"/>
      <c r="Q120" s="1"/>
    </row>
    <row r="121" spans="1:17" x14ac:dyDescent="0.35">
      <c r="A121" s="1"/>
      <c r="B121" s="1"/>
      <c r="C121" s="1"/>
      <c r="D121" s="1"/>
      <c r="E121" s="1"/>
      <c r="F121" s="1"/>
      <c r="G121" s="1"/>
      <c r="H121" s="1"/>
      <c r="I121" s="1"/>
      <c r="J121" s="1"/>
      <c r="K121" s="1"/>
      <c r="L121" s="1"/>
      <c r="M121" s="1"/>
      <c r="N121" s="1"/>
      <c r="O121" s="1"/>
      <c r="P121" s="1"/>
      <c r="Q121" s="1"/>
    </row>
    <row r="122" spans="1:17" x14ac:dyDescent="0.35">
      <c r="A122" s="1"/>
      <c r="B122" s="1"/>
      <c r="C122" s="1"/>
      <c r="D122" s="1"/>
      <c r="E122" s="1"/>
      <c r="F122" s="1"/>
      <c r="G122" s="1"/>
      <c r="H122" s="1"/>
      <c r="I122" s="1"/>
      <c r="J122" s="1"/>
      <c r="K122" s="1"/>
      <c r="L122" s="1"/>
      <c r="M122" s="1"/>
      <c r="N122" s="1"/>
      <c r="O122" s="1"/>
      <c r="P122" s="1"/>
      <c r="Q122" s="1"/>
    </row>
    <row r="123" spans="1:17" x14ac:dyDescent="0.35">
      <c r="A123" s="1"/>
      <c r="B123" s="1"/>
      <c r="C123" s="1"/>
      <c r="D123" s="1"/>
      <c r="E123" s="1"/>
      <c r="F123" s="1"/>
      <c r="G123" s="1"/>
      <c r="H123" s="1"/>
      <c r="I123" s="1"/>
      <c r="J123" s="1"/>
      <c r="K123" s="1"/>
      <c r="L123" s="1"/>
      <c r="M123" s="1"/>
      <c r="N123" s="1"/>
      <c r="O123" s="1"/>
      <c r="P123" s="1"/>
      <c r="Q123" s="1"/>
    </row>
    <row r="124" spans="1:17" x14ac:dyDescent="0.35">
      <c r="A124" s="1"/>
      <c r="B124" s="1"/>
      <c r="C124" s="1"/>
      <c r="D124" s="1"/>
      <c r="E124" s="1"/>
      <c r="F124" s="1"/>
      <c r="G124" s="1"/>
      <c r="H124" s="1"/>
      <c r="I124" s="1"/>
      <c r="J124" s="1"/>
      <c r="K124" s="1"/>
      <c r="L124" s="1"/>
      <c r="M124" s="1"/>
      <c r="N124" s="1"/>
      <c r="O124" s="1"/>
      <c r="P124" s="1"/>
      <c r="Q124" s="1"/>
    </row>
    <row r="125" spans="1:17" x14ac:dyDescent="0.35">
      <c r="A125" s="1"/>
      <c r="B125" s="1"/>
      <c r="C125" s="1"/>
      <c r="D125" s="1"/>
      <c r="E125" s="1"/>
      <c r="F125" s="1"/>
      <c r="G125" s="1"/>
      <c r="H125" s="1"/>
      <c r="I125" s="1"/>
      <c r="J125" s="1"/>
      <c r="K125" s="1"/>
      <c r="L125" s="1"/>
      <c r="M125" s="1"/>
      <c r="N125" s="1"/>
      <c r="O125" s="1"/>
      <c r="P125" s="1"/>
      <c r="Q125" s="1"/>
    </row>
    <row r="126" spans="1:17" x14ac:dyDescent="0.35">
      <c r="A126" s="1"/>
      <c r="B126" s="1"/>
      <c r="C126" s="1"/>
      <c r="D126" s="1"/>
      <c r="E126" s="1"/>
      <c r="F126" s="1"/>
      <c r="G126" s="1"/>
      <c r="H126" s="1"/>
      <c r="I126" s="1"/>
      <c r="J126" s="1"/>
      <c r="K126" s="1"/>
      <c r="L126" s="1"/>
      <c r="M126" s="1"/>
      <c r="N126" s="1"/>
      <c r="O126" s="1"/>
      <c r="P126" s="1"/>
      <c r="Q126" s="1"/>
    </row>
    <row r="127" spans="1:17" x14ac:dyDescent="0.35">
      <c r="A127" s="1"/>
      <c r="B127" s="1"/>
      <c r="C127" s="1"/>
      <c r="D127" s="1"/>
      <c r="E127" s="1"/>
      <c r="F127" s="1"/>
      <c r="G127" s="1"/>
      <c r="H127" s="1"/>
      <c r="I127" s="1"/>
      <c r="J127" s="1"/>
      <c r="K127" s="1"/>
      <c r="L127" s="1"/>
      <c r="M127" s="1"/>
      <c r="N127" s="1"/>
      <c r="O127" s="1"/>
      <c r="P127" s="1"/>
      <c r="Q127" s="1"/>
    </row>
    <row r="128" spans="1:17" x14ac:dyDescent="0.35">
      <c r="A128" s="1"/>
      <c r="B128" s="1"/>
      <c r="C128" s="1"/>
      <c r="D128" s="1"/>
      <c r="E128" s="1"/>
      <c r="F128" s="1"/>
      <c r="G128" s="1"/>
      <c r="H128" s="1"/>
      <c r="I128" s="1"/>
      <c r="J128" s="1"/>
      <c r="K128" s="1"/>
      <c r="L128" s="1"/>
      <c r="M128" s="1"/>
      <c r="N128" s="1"/>
      <c r="O128" s="1"/>
      <c r="P128" s="1"/>
      <c r="Q128" s="1"/>
    </row>
    <row r="129" spans="1:17" x14ac:dyDescent="0.35">
      <c r="A129" s="1"/>
      <c r="B129" s="1"/>
      <c r="C129" s="1"/>
      <c r="D129" s="1"/>
      <c r="E129" s="1"/>
      <c r="F129" s="1"/>
      <c r="G129" s="1"/>
      <c r="H129" s="1"/>
      <c r="I129" s="1"/>
      <c r="J129" s="1"/>
      <c r="K129" s="1"/>
      <c r="L129" s="1"/>
      <c r="M129" s="1"/>
      <c r="N129" s="1"/>
      <c r="O129" s="1"/>
      <c r="P129" s="1"/>
      <c r="Q129" s="1"/>
    </row>
    <row r="130" spans="1:17" x14ac:dyDescent="0.35">
      <c r="A130" s="1"/>
      <c r="B130" s="1"/>
      <c r="C130" s="1"/>
      <c r="D130" s="1"/>
      <c r="E130" s="1"/>
      <c r="F130" s="1"/>
      <c r="G130" s="1"/>
      <c r="H130" s="1"/>
      <c r="I130" s="1"/>
      <c r="J130" s="1"/>
      <c r="K130" s="1"/>
      <c r="L130" s="1"/>
      <c r="M130" s="1"/>
      <c r="N130" s="1"/>
      <c r="O130" s="1"/>
      <c r="P130" s="1"/>
      <c r="Q130" s="1"/>
    </row>
    <row r="131" spans="1:17" x14ac:dyDescent="0.35">
      <c r="A131" s="1"/>
      <c r="B131" s="1"/>
      <c r="C131" s="1"/>
      <c r="D131" s="1"/>
      <c r="E131" s="1"/>
      <c r="F131" s="1"/>
      <c r="G131" s="1"/>
      <c r="H131" s="1"/>
      <c r="I131" s="1"/>
      <c r="J131" s="1"/>
      <c r="K131" s="1"/>
      <c r="L131" s="1"/>
      <c r="M131" s="1"/>
      <c r="N131" s="1"/>
      <c r="O131" s="1"/>
      <c r="P131" s="1"/>
      <c r="Q131" s="1"/>
    </row>
    <row r="132" spans="1:17" x14ac:dyDescent="0.35">
      <c r="A132" s="1"/>
      <c r="B132" s="1"/>
      <c r="C132" s="1"/>
      <c r="D132" s="1"/>
      <c r="E132" s="1"/>
      <c r="F132" s="1"/>
      <c r="G132" s="1"/>
      <c r="H132" s="1"/>
      <c r="I132" s="1"/>
      <c r="J132" s="1"/>
      <c r="K132" s="1"/>
      <c r="L132" s="1"/>
      <c r="M132" s="1"/>
      <c r="N132" s="1"/>
      <c r="O132" s="1"/>
      <c r="P132" s="1"/>
      <c r="Q132" s="1"/>
    </row>
    <row r="133" spans="1:17" x14ac:dyDescent="0.35">
      <c r="A133" s="1"/>
      <c r="B133" s="1"/>
      <c r="C133" s="1"/>
      <c r="D133" s="1"/>
      <c r="E133" s="1"/>
      <c r="F133" s="1"/>
      <c r="G133" s="1"/>
      <c r="H133" s="1"/>
      <c r="I133" s="1"/>
      <c r="J133" s="1"/>
      <c r="K133" s="1"/>
      <c r="L133" s="1"/>
      <c r="M133" s="1"/>
      <c r="N133" s="1"/>
      <c r="O133" s="1"/>
      <c r="P133" s="1"/>
      <c r="Q133" s="1"/>
    </row>
    <row r="134" spans="1:17" x14ac:dyDescent="0.35">
      <c r="A134" s="1"/>
      <c r="B134" s="1"/>
      <c r="C134" s="1"/>
      <c r="D134" s="1"/>
      <c r="E134" s="1"/>
      <c r="F134" s="1"/>
      <c r="G134" s="1"/>
      <c r="H134" s="1"/>
      <c r="I134" s="1"/>
      <c r="J134" s="1"/>
      <c r="K134" s="1"/>
      <c r="L134" s="1"/>
      <c r="M134" s="1"/>
      <c r="N134" s="1"/>
      <c r="O134" s="1"/>
      <c r="P134" s="1"/>
      <c r="Q134" s="1"/>
    </row>
    <row r="135" spans="1:17" x14ac:dyDescent="0.35">
      <c r="A135" s="1"/>
      <c r="B135" s="1"/>
      <c r="C135" s="1"/>
      <c r="D135" s="1"/>
      <c r="E135" s="1"/>
      <c r="F135" s="1"/>
      <c r="G135" s="1"/>
      <c r="H135" s="1"/>
      <c r="I135" s="1"/>
      <c r="J135" s="1"/>
      <c r="K135" s="1"/>
      <c r="L135" s="1"/>
      <c r="M135" s="1"/>
      <c r="N135" s="1"/>
      <c r="O135" s="1"/>
      <c r="P135" s="1"/>
      <c r="Q135" s="1"/>
    </row>
    <row r="136" spans="1:17" x14ac:dyDescent="0.35">
      <c r="A136" s="1"/>
      <c r="B136" s="1"/>
      <c r="C136" s="1"/>
      <c r="D136" s="1"/>
      <c r="E136" s="1"/>
      <c r="F136" s="1"/>
      <c r="G136" s="1"/>
      <c r="H136" s="1"/>
      <c r="I136" s="1"/>
      <c r="J136" s="1"/>
      <c r="K136" s="1"/>
      <c r="L136" s="1"/>
      <c r="M136" s="1"/>
      <c r="N136" s="1"/>
      <c r="O136" s="1"/>
      <c r="P136" s="1"/>
      <c r="Q136" s="1"/>
    </row>
    <row r="137" spans="1:17" x14ac:dyDescent="0.35">
      <c r="A137" s="1"/>
      <c r="B137" s="1"/>
      <c r="C137" s="1"/>
      <c r="D137" s="1"/>
      <c r="E137" s="1"/>
      <c r="F137" s="1"/>
      <c r="G137" s="1"/>
      <c r="H137" s="1"/>
      <c r="I137" s="1"/>
      <c r="J137" s="1"/>
      <c r="K137" s="1"/>
      <c r="L137" s="1"/>
      <c r="M137" s="1"/>
      <c r="N137" s="1"/>
      <c r="O137" s="1"/>
      <c r="P137" s="1"/>
      <c r="Q137" s="1"/>
    </row>
    <row r="138" spans="1:17" x14ac:dyDescent="0.35">
      <c r="A138" s="1"/>
      <c r="B138" s="1"/>
      <c r="C138" s="1"/>
      <c r="D138" s="1"/>
      <c r="E138" s="1"/>
      <c r="F138" s="1"/>
      <c r="G138" s="1"/>
      <c r="H138" s="1"/>
      <c r="I138" s="1"/>
      <c r="J138" s="1"/>
      <c r="K138" s="1"/>
      <c r="L138" s="1"/>
      <c r="M138" s="1"/>
      <c r="N138" s="1"/>
      <c r="O138" s="1"/>
      <c r="P138" s="1"/>
      <c r="Q138" s="1"/>
    </row>
    <row r="139" spans="1:17" x14ac:dyDescent="0.35">
      <c r="A139" s="1"/>
      <c r="B139" s="1"/>
      <c r="C139" s="1"/>
      <c r="D139" s="1"/>
      <c r="E139" s="1"/>
      <c r="F139" s="1"/>
      <c r="G139" s="1"/>
      <c r="H139" s="1"/>
      <c r="I139" s="1"/>
      <c r="J139" s="1"/>
      <c r="K139" s="1"/>
      <c r="L139" s="1"/>
      <c r="M139" s="1"/>
      <c r="N139" s="1"/>
      <c r="O139" s="1"/>
      <c r="P139" s="1"/>
      <c r="Q139" s="1"/>
    </row>
    <row r="140" spans="1:17" x14ac:dyDescent="0.35">
      <c r="A140" s="1"/>
      <c r="B140" s="1"/>
      <c r="C140" s="1"/>
      <c r="D140" s="1"/>
      <c r="E140" s="1"/>
      <c r="F140" s="1"/>
      <c r="G140" s="1"/>
      <c r="H140" s="1"/>
      <c r="I140" s="1"/>
      <c r="J140" s="1"/>
      <c r="K140" s="1"/>
      <c r="L140" s="1"/>
      <c r="M140" s="1"/>
      <c r="N140" s="1"/>
      <c r="O140" s="1"/>
      <c r="P140" s="1"/>
      <c r="Q140" s="1"/>
    </row>
    <row r="141" spans="1:17" x14ac:dyDescent="0.35">
      <c r="A141" s="1"/>
      <c r="B141" s="1"/>
      <c r="C141" s="1"/>
      <c r="D141" s="1"/>
      <c r="E141" s="1"/>
      <c r="F141" s="1"/>
      <c r="G141" s="1"/>
      <c r="H141" s="1"/>
      <c r="I141" s="1"/>
      <c r="J141" s="1"/>
      <c r="K141" s="1"/>
      <c r="L141" s="1"/>
      <c r="M141" s="1"/>
      <c r="N141" s="1"/>
      <c r="O141" s="1"/>
      <c r="P141" s="1"/>
      <c r="Q141" s="1"/>
    </row>
    <row r="142" spans="1:17" x14ac:dyDescent="0.35">
      <c r="A142" s="1"/>
      <c r="B142" s="1"/>
      <c r="C142" s="1"/>
      <c r="D142" s="1"/>
      <c r="E142" s="1"/>
      <c r="F142" s="1"/>
      <c r="G142" s="1"/>
      <c r="H142" s="1"/>
      <c r="I142" s="1"/>
      <c r="J142" s="1"/>
      <c r="K142" s="1"/>
      <c r="L142" s="1"/>
      <c r="M142" s="1"/>
      <c r="N142" s="1"/>
      <c r="O142" s="1"/>
      <c r="P142" s="1"/>
      <c r="Q142" s="1"/>
    </row>
    <row r="143" spans="1:17" x14ac:dyDescent="0.35">
      <c r="A143" s="1"/>
      <c r="B143" s="1"/>
      <c r="C143" s="1"/>
      <c r="D143" s="1"/>
      <c r="E143" s="1"/>
      <c r="F143" s="1"/>
      <c r="G143" s="1"/>
      <c r="H143" s="1"/>
      <c r="I143" s="1"/>
      <c r="J143" s="1"/>
      <c r="K143" s="1"/>
      <c r="L143" s="1"/>
      <c r="M143" s="1"/>
      <c r="N143" s="1"/>
      <c r="O143" s="1"/>
      <c r="P143" s="1"/>
      <c r="Q143" s="1"/>
    </row>
    <row r="144" spans="1:17" x14ac:dyDescent="0.35">
      <c r="A144" s="1"/>
      <c r="B144" s="1"/>
      <c r="C144" s="1"/>
      <c r="D144" s="1"/>
      <c r="E144" s="1"/>
      <c r="F144" s="1"/>
      <c r="G144" s="1"/>
      <c r="H144" s="1"/>
      <c r="I144" s="1"/>
      <c r="J144" s="1"/>
      <c r="K144" s="1"/>
      <c r="L144" s="1"/>
      <c r="M144" s="1"/>
      <c r="N144" s="1"/>
      <c r="O144" s="1"/>
      <c r="P144" s="1"/>
      <c r="Q144" s="1"/>
    </row>
    <row r="145" spans="1:17" x14ac:dyDescent="0.35">
      <c r="A145" s="1"/>
      <c r="B145" s="1"/>
      <c r="C145" s="1"/>
      <c r="D145" s="1"/>
      <c r="E145" s="1"/>
      <c r="F145" s="1"/>
      <c r="G145" s="1"/>
      <c r="H145" s="1"/>
      <c r="I145" s="1"/>
      <c r="J145" s="1"/>
      <c r="K145" s="1"/>
      <c r="L145" s="1"/>
      <c r="M145" s="1"/>
      <c r="N145" s="1"/>
      <c r="O145" s="1"/>
      <c r="P145" s="1"/>
      <c r="Q145" s="1"/>
    </row>
    <row r="146" spans="1:17" x14ac:dyDescent="0.35">
      <c r="A146" s="1"/>
      <c r="B146" s="1"/>
      <c r="C146" s="1"/>
      <c r="D146" s="1"/>
      <c r="E146" s="1"/>
      <c r="F146" s="1"/>
      <c r="G146" s="1"/>
      <c r="H146" s="1"/>
      <c r="I146" s="1"/>
      <c r="J146" s="1"/>
      <c r="K146" s="1"/>
      <c r="L146" s="1"/>
      <c r="M146" s="1"/>
      <c r="N146" s="1"/>
      <c r="O146" s="1"/>
      <c r="P146" s="1"/>
      <c r="Q146" s="1"/>
    </row>
    <row r="147" spans="1:17" x14ac:dyDescent="0.35">
      <c r="A147" s="1"/>
      <c r="B147" s="1"/>
      <c r="C147" s="1"/>
      <c r="D147" s="1"/>
      <c r="E147" s="1"/>
      <c r="F147" s="1"/>
      <c r="G147" s="1"/>
      <c r="H147" s="1"/>
      <c r="I147" s="1"/>
      <c r="J147" s="1"/>
      <c r="K147" s="1"/>
      <c r="L147" s="1"/>
      <c r="M147" s="1"/>
      <c r="N147" s="1"/>
      <c r="O147" s="1"/>
      <c r="P147" s="1"/>
      <c r="Q147" s="1"/>
    </row>
    <row r="148" spans="1:17" x14ac:dyDescent="0.35">
      <c r="A148" s="1"/>
      <c r="B148" s="1"/>
      <c r="C148" s="1"/>
      <c r="D148" s="1"/>
      <c r="E148" s="1"/>
      <c r="F148" s="1"/>
      <c r="G148" s="1"/>
      <c r="H148" s="1"/>
      <c r="I148" s="1"/>
      <c r="J148" s="1"/>
      <c r="K148" s="1"/>
      <c r="L148" s="1"/>
      <c r="M148" s="1"/>
      <c r="N148" s="1"/>
      <c r="O148" s="1"/>
      <c r="P148" s="1"/>
      <c r="Q148" s="1"/>
    </row>
    <row r="149" spans="1:17" x14ac:dyDescent="0.35">
      <c r="A149" s="1"/>
      <c r="B149" s="1"/>
      <c r="C149" s="1"/>
      <c r="D149" s="1"/>
      <c r="E149" s="1"/>
      <c r="F149" s="1"/>
      <c r="G149" s="1"/>
      <c r="H149" s="1"/>
      <c r="I149" s="1"/>
      <c r="J149" s="1"/>
      <c r="K149" s="1"/>
      <c r="L149" s="1"/>
      <c r="M149" s="1"/>
      <c r="N149" s="1"/>
      <c r="O149" s="1"/>
      <c r="P149" s="1"/>
      <c r="Q149" s="1"/>
    </row>
    <row r="150" spans="1:17" x14ac:dyDescent="0.35">
      <c r="A150" s="1"/>
      <c r="B150" s="1"/>
      <c r="C150" s="1"/>
      <c r="D150" s="1"/>
      <c r="E150" s="1"/>
      <c r="F150" s="1"/>
      <c r="G150" s="1"/>
      <c r="H150" s="1"/>
      <c r="I150" s="1"/>
      <c r="J150" s="1"/>
      <c r="K150" s="1"/>
      <c r="L150" s="1"/>
      <c r="M150" s="1"/>
      <c r="N150" s="1"/>
      <c r="O150" s="1"/>
      <c r="P150" s="1"/>
      <c r="Q150" s="1"/>
    </row>
    <row r="151" spans="1:17" x14ac:dyDescent="0.35">
      <c r="A151" s="1"/>
      <c r="B151" s="1"/>
      <c r="C151" s="1"/>
      <c r="D151" s="1"/>
      <c r="E151" s="1"/>
      <c r="F151" s="1"/>
      <c r="G151" s="1"/>
      <c r="H151" s="1"/>
      <c r="I151" s="1"/>
      <c r="J151" s="1"/>
      <c r="K151" s="1"/>
      <c r="L151" s="1"/>
      <c r="M151" s="1"/>
      <c r="N151" s="1"/>
      <c r="O151" s="1"/>
      <c r="P151" s="1"/>
      <c r="Q151" s="1"/>
    </row>
    <row r="152" spans="1:17" x14ac:dyDescent="0.35">
      <c r="A152" s="1"/>
      <c r="B152" s="1"/>
      <c r="C152" s="1"/>
      <c r="D152" s="1"/>
      <c r="E152" s="1"/>
      <c r="F152" s="1"/>
      <c r="G152" s="1"/>
      <c r="H152" s="1"/>
      <c r="I152" s="1"/>
      <c r="J152" s="1"/>
      <c r="K152" s="1"/>
      <c r="L152" s="1"/>
      <c r="M152" s="1"/>
      <c r="N152" s="1"/>
      <c r="O152" s="1"/>
      <c r="P152" s="1"/>
      <c r="Q152" s="1"/>
    </row>
    <row r="153" spans="1:17" x14ac:dyDescent="0.35">
      <c r="A153" s="1"/>
      <c r="B153" s="1"/>
      <c r="C153" s="1"/>
      <c r="D153" s="1"/>
      <c r="E153" s="1"/>
      <c r="F153" s="1"/>
      <c r="G153" s="1"/>
      <c r="H153" s="1"/>
      <c r="I153" s="1"/>
      <c r="J153" s="1"/>
      <c r="K153" s="1"/>
      <c r="L153" s="1"/>
      <c r="M153" s="1"/>
      <c r="N153" s="1"/>
      <c r="O153" s="1"/>
      <c r="P153" s="1"/>
      <c r="Q153" s="1"/>
    </row>
    <row r="154" spans="1:17" x14ac:dyDescent="0.35">
      <c r="A154" s="1"/>
      <c r="B154" s="1"/>
      <c r="C154" s="1"/>
      <c r="D154" s="1"/>
      <c r="E154" s="1"/>
      <c r="F154" s="1"/>
      <c r="G154" s="1"/>
      <c r="H154" s="1"/>
      <c r="I154" s="1"/>
      <c r="J154" s="1"/>
      <c r="K154" s="1"/>
      <c r="L154" s="1"/>
      <c r="M154" s="1"/>
      <c r="N154" s="1"/>
      <c r="O154" s="1"/>
      <c r="P154" s="1"/>
      <c r="Q154" s="1"/>
    </row>
    <row r="155" spans="1:17" x14ac:dyDescent="0.35">
      <c r="A155" s="1"/>
      <c r="B155" s="1"/>
      <c r="C155" s="1"/>
      <c r="D155" s="1"/>
      <c r="E155" s="1"/>
      <c r="F155" s="1"/>
      <c r="G155" s="1"/>
      <c r="H155" s="1"/>
      <c r="I155" s="1"/>
      <c r="J155" s="1"/>
      <c r="K155" s="1"/>
      <c r="L155" s="1"/>
      <c r="M155" s="1"/>
      <c r="N155" s="1"/>
      <c r="O155" s="1"/>
      <c r="P155" s="1"/>
      <c r="Q155" s="1"/>
    </row>
    <row r="156" spans="1:17" x14ac:dyDescent="0.35">
      <c r="A156" s="1"/>
      <c r="B156" s="1"/>
      <c r="C156" s="1"/>
      <c r="D156" s="1"/>
      <c r="E156" s="1"/>
      <c r="F156" s="1"/>
      <c r="G156" s="1"/>
      <c r="H156" s="1"/>
      <c r="I156" s="1"/>
      <c r="J156" s="1"/>
      <c r="K156" s="1"/>
      <c r="L156" s="1"/>
      <c r="M156" s="1"/>
      <c r="N156" s="1"/>
      <c r="O156" s="1"/>
      <c r="P156" s="1"/>
      <c r="Q156" s="1"/>
    </row>
    <row r="157" spans="1:17" x14ac:dyDescent="0.35">
      <c r="A157" s="1"/>
      <c r="B157" s="1"/>
      <c r="C157" s="1"/>
      <c r="D157" s="1"/>
      <c r="E157" s="1"/>
      <c r="F157" s="1"/>
      <c r="G157" s="1"/>
      <c r="H157" s="1"/>
      <c r="I157" s="1"/>
      <c r="J157" s="1"/>
      <c r="K157" s="1"/>
      <c r="L157" s="1"/>
      <c r="M157" s="1"/>
      <c r="N157" s="1"/>
      <c r="O157" s="1"/>
      <c r="P157" s="1"/>
      <c r="Q157" s="1"/>
    </row>
    <row r="158" spans="1:17" x14ac:dyDescent="0.35">
      <c r="A158" s="1"/>
      <c r="B158" s="1"/>
      <c r="C158" s="1"/>
      <c r="D158" s="1"/>
      <c r="E158" s="1"/>
      <c r="F158" s="1"/>
      <c r="G158" s="1"/>
      <c r="H158" s="1"/>
      <c r="I158" s="1"/>
      <c r="J158" s="1"/>
      <c r="K158" s="1"/>
      <c r="L158" s="1"/>
      <c r="M158" s="1"/>
      <c r="N158" s="1"/>
      <c r="O158" s="1"/>
      <c r="P158" s="1"/>
      <c r="Q158" s="1"/>
    </row>
    <row r="159" spans="1:17" x14ac:dyDescent="0.35">
      <c r="A159" s="1"/>
      <c r="B159" s="1"/>
      <c r="C159" s="1"/>
      <c r="D159" s="1"/>
      <c r="E159" s="1"/>
      <c r="F159" s="1"/>
      <c r="G159" s="1"/>
      <c r="H159" s="1"/>
      <c r="I159" s="1"/>
      <c r="J159" s="1"/>
      <c r="K159" s="1"/>
      <c r="L159" s="1"/>
      <c r="M159" s="1"/>
      <c r="N159" s="1"/>
      <c r="O159" s="1"/>
      <c r="P159" s="1"/>
      <c r="Q159" s="1"/>
    </row>
    <row r="160" spans="1:17" x14ac:dyDescent="0.35">
      <c r="A160" s="1"/>
      <c r="B160" s="1"/>
      <c r="C160" s="1"/>
      <c r="D160" s="1"/>
      <c r="E160" s="1"/>
      <c r="F160" s="1"/>
      <c r="G160" s="1"/>
      <c r="H160" s="1"/>
      <c r="I160" s="1"/>
      <c r="J160" s="1"/>
      <c r="K160" s="1"/>
      <c r="L160" s="1"/>
      <c r="M160" s="1"/>
      <c r="N160" s="1"/>
      <c r="O160" s="1"/>
      <c r="P160" s="1"/>
      <c r="Q160" s="1"/>
    </row>
    <row r="161" spans="1:17" x14ac:dyDescent="0.35">
      <c r="A161" s="1"/>
      <c r="B161" s="1"/>
      <c r="C161" s="1"/>
      <c r="D161" s="1"/>
      <c r="E161" s="1"/>
      <c r="F161" s="1"/>
      <c r="G161" s="1"/>
      <c r="H161" s="1"/>
      <c r="I161" s="1"/>
      <c r="J161" s="1"/>
      <c r="K161" s="1"/>
      <c r="L161" s="1"/>
      <c r="M161" s="1"/>
      <c r="N161" s="1"/>
      <c r="O161" s="1"/>
      <c r="P161" s="1"/>
      <c r="Q161" s="1"/>
    </row>
    <row r="162" spans="1:17" x14ac:dyDescent="0.35">
      <c r="A162" s="1"/>
      <c r="B162" s="1"/>
      <c r="C162" s="1"/>
      <c r="D162" s="1"/>
      <c r="E162" s="1"/>
      <c r="F162" s="1"/>
      <c r="G162" s="1"/>
      <c r="H162" s="1"/>
      <c r="I162" s="1"/>
      <c r="J162" s="1"/>
      <c r="K162" s="1"/>
      <c r="L162" s="1"/>
      <c r="M162" s="1"/>
      <c r="N162" s="1"/>
      <c r="O162" s="1"/>
      <c r="P162" s="1"/>
      <c r="Q162" s="1"/>
    </row>
    <row r="163" spans="1:17" x14ac:dyDescent="0.35">
      <c r="A163" s="1"/>
      <c r="B163" s="1"/>
      <c r="C163" s="1"/>
      <c r="D163" s="1"/>
      <c r="E163" s="1"/>
      <c r="F163" s="1"/>
      <c r="G163" s="1"/>
      <c r="H163" s="1"/>
      <c r="I163" s="1"/>
      <c r="J163" s="1"/>
      <c r="K163" s="1"/>
      <c r="L163" s="1"/>
      <c r="M163" s="1"/>
      <c r="N163" s="1"/>
      <c r="O163" s="1"/>
      <c r="P163" s="1"/>
      <c r="Q163" s="1"/>
    </row>
    <row r="164" spans="1:17" x14ac:dyDescent="0.35">
      <c r="A164" s="1"/>
      <c r="B164" s="1"/>
      <c r="C164" s="1"/>
      <c r="D164" s="1"/>
      <c r="E164" s="1"/>
      <c r="F164" s="1"/>
      <c r="G164" s="1"/>
      <c r="H164" s="1"/>
      <c r="I164" s="1"/>
      <c r="J164" s="1"/>
      <c r="K164" s="1"/>
      <c r="L164" s="1"/>
      <c r="M164" s="1"/>
      <c r="N164" s="1"/>
      <c r="O164" s="1"/>
      <c r="P164" s="1"/>
      <c r="Q164" s="1"/>
    </row>
    <row r="165" spans="1:17" x14ac:dyDescent="0.35">
      <c r="A165" s="1"/>
      <c r="B165" s="1"/>
      <c r="C165" s="1"/>
      <c r="D165" s="1"/>
      <c r="E165" s="1"/>
      <c r="F165" s="1"/>
      <c r="G165" s="1"/>
      <c r="H165" s="1"/>
      <c r="I165" s="1"/>
      <c r="J165" s="1"/>
      <c r="K165" s="1"/>
      <c r="L165" s="1"/>
      <c r="M165" s="1"/>
      <c r="N165" s="1"/>
      <c r="O165" s="1"/>
      <c r="P165" s="1"/>
      <c r="Q165" s="1"/>
    </row>
    <row r="166" spans="1:17" x14ac:dyDescent="0.35">
      <c r="A166" s="1"/>
      <c r="B166" s="1"/>
      <c r="C166" s="1"/>
      <c r="D166" s="1"/>
      <c r="E166" s="1"/>
      <c r="F166" s="1"/>
      <c r="G166" s="1"/>
      <c r="H166" s="1"/>
      <c r="I166" s="1"/>
      <c r="J166" s="1"/>
      <c r="K166" s="1"/>
      <c r="L166" s="1"/>
      <c r="M166" s="1"/>
      <c r="N166" s="1"/>
      <c r="O166" s="1"/>
      <c r="P166" s="1"/>
      <c r="Q166" s="1"/>
    </row>
    <row r="167" spans="1:17" x14ac:dyDescent="0.35">
      <c r="A167" s="1"/>
      <c r="B167" s="1"/>
      <c r="C167" s="1"/>
      <c r="D167" s="1"/>
      <c r="E167" s="1"/>
      <c r="F167" s="1"/>
      <c r="G167" s="1"/>
      <c r="H167" s="1"/>
      <c r="I167" s="1"/>
      <c r="J167" s="1"/>
      <c r="K167" s="1"/>
      <c r="L167" s="1"/>
      <c r="M167" s="1"/>
      <c r="N167" s="1"/>
      <c r="O167" s="1"/>
      <c r="P167" s="1"/>
      <c r="Q167" s="1"/>
    </row>
    <row r="168" spans="1:17" x14ac:dyDescent="0.35">
      <c r="A168" s="1"/>
      <c r="B168" s="1"/>
      <c r="C168" s="1"/>
      <c r="D168" s="1"/>
      <c r="E168" s="1"/>
      <c r="F168" s="1"/>
      <c r="G168" s="1"/>
      <c r="H168" s="1"/>
      <c r="I168" s="1"/>
      <c r="J168" s="1"/>
      <c r="K168" s="1"/>
      <c r="L168" s="1"/>
      <c r="M168" s="1"/>
      <c r="N168" s="1"/>
      <c r="O168" s="1"/>
      <c r="P168" s="1"/>
      <c r="Q168" s="1"/>
    </row>
    <row r="169" spans="1:17" x14ac:dyDescent="0.35">
      <c r="A169" s="1"/>
      <c r="B169" s="1"/>
      <c r="C169" s="1"/>
      <c r="D169" s="1"/>
      <c r="E169" s="1"/>
      <c r="F169" s="1"/>
      <c r="G169" s="1"/>
      <c r="H169" s="1"/>
      <c r="I169" s="1"/>
      <c r="J169" s="1"/>
      <c r="K169" s="1"/>
      <c r="L169" s="1"/>
      <c r="M169" s="1"/>
      <c r="N169" s="1"/>
      <c r="O169" s="1"/>
      <c r="P169" s="1"/>
      <c r="Q169" s="1"/>
    </row>
    <row r="170" spans="1:17" x14ac:dyDescent="0.35">
      <c r="A170" s="1"/>
      <c r="B170" s="1"/>
      <c r="C170" s="1"/>
      <c r="D170" s="1"/>
      <c r="E170" s="1"/>
      <c r="F170" s="1"/>
      <c r="G170" s="1"/>
      <c r="H170" s="1"/>
      <c r="I170" s="1"/>
      <c r="J170" s="1"/>
      <c r="K170" s="1"/>
      <c r="L170" s="1"/>
      <c r="M170" s="1"/>
      <c r="N170" s="1"/>
      <c r="O170" s="1"/>
      <c r="P170" s="1"/>
      <c r="Q170" s="1"/>
    </row>
    <row r="171" spans="1:17" x14ac:dyDescent="0.35">
      <c r="A171" s="1"/>
      <c r="B171" s="1"/>
      <c r="C171" s="1"/>
      <c r="D171" s="1"/>
      <c r="E171" s="1"/>
      <c r="F171" s="1"/>
      <c r="G171" s="1"/>
      <c r="H171" s="1"/>
      <c r="I171" s="1"/>
      <c r="J171" s="1"/>
      <c r="K171" s="1"/>
      <c r="L171" s="1"/>
      <c r="M171" s="1"/>
      <c r="N171" s="1"/>
      <c r="O171" s="1"/>
      <c r="P171" s="1"/>
      <c r="Q171" s="1"/>
    </row>
    <row r="172" spans="1:17" x14ac:dyDescent="0.35">
      <c r="A172" s="1"/>
      <c r="B172" s="1"/>
      <c r="C172" s="1"/>
      <c r="D172" s="1"/>
      <c r="E172" s="1"/>
      <c r="F172" s="1"/>
      <c r="G172" s="1"/>
      <c r="H172" s="1"/>
      <c r="I172" s="1"/>
      <c r="J172" s="1"/>
      <c r="K172" s="1"/>
      <c r="L172" s="1"/>
      <c r="M172" s="1"/>
      <c r="N172" s="1"/>
      <c r="O172" s="1"/>
      <c r="P172" s="1"/>
      <c r="Q172" s="1"/>
    </row>
    <row r="173" spans="1:17" x14ac:dyDescent="0.35">
      <c r="A173" s="1"/>
      <c r="B173" s="1"/>
      <c r="C173" s="1"/>
      <c r="D173" s="1"/>
      <c r="E173" s="1"/>
      <c r="F173" s="1"/>
      <c r="G173" s="1"/>
      <c r="H173" s="1"/>
      <c r="I173" s="1"/>
      <c r="J173" s="1"/>
      <c r="K173" s="1"/>
      <c r="L173" s="1"/>
      <c r="M173" s="1"/>
      <c r="N173" s="1"/>
      <c r="O173" s="1"/>
      <c r="P173" s="1"/>
      <c r="Q173" s="1"/>
    </row>
    <row r="174" spans="1:17" x14ac:dyDescent="0.35">
      <c r="A174" s="1"/>
      <c r="B174" s="1"/>
      <c r="C174" s="1"/>
      <c r="D174" s="1"/>
      <c r="E174" s="1"/>
      <c r="F174" s="1"/>
      <c r="G174" s="1"/>
      <c r="H174" s="1"/>
      <c r="I174" s="1"/>
      <c r="J174" s="1"/>
      <c r="K174" s="1"/>
      <c r="L174" s="1"/>
      <c r="M174" s="1"/>
      <c r="N174" s="1"/>
      <c r="O174" s="1"/>
      <c r="P174" s="1"/>
      <c r="Q174" s="1"/>
    </row>
    <row r="175" spans="1:17" x14ac:dyDescent="0.35">
      <c r="A175" s="1"/>
      <c r="B175" s="1"/>
      <c r="C175" s="1"/>
      <c r="D175" s="1"/>
      <c r="E175" s="1"/>
      <c r="F175" s="1"/>
      <c r="G175" s="1"/>
      <c r="H175" s="1"/>
      <c r="I175" s="1"/>
      <c r="J175" s="1"/>
      <c r="K175" s="1"/>
      <c r="L175" s="1"/>
      <c r="M175" s="1"/>
      <c r="N175" s="1"/>
      <c r="O175" s="1"/>
      <c r="P175" s="1"/>
      <c r="Q175" s="1"/>
    </row>
    <row r="176" spans="1:17" x14ac:dyDescent="0.35">
      <c r="A176" s="1"/>
      <c r="B176" s="1"/>
      <c r="C176" s="1"/>
      <c r="D176" s="1"/>
      <c r="E176" s="1"/>
      <c r="F176" s="1"/>
      <c r="G176" s="1"/>
      <c r="H176" s="1"/>
      <c r="I176" s="1"/>
      <c r="J176" s="1"/>
      <c r="K176" s="1"/>
      <c r="L176" s="1"/>
      <c r="M176" s="1"/>
      <c r="N176" s="1"/>
      <c r="O176" s="1"/>
      <c r="P176" s="1"/>
      <c r="Q176" s="1"/>
    </row>
    <row r="177" spans="1:17" x14ac:dyDescent="0.35">
      <c r="A177" s="1"/>
      <c r="B177" s="1"/>
      <c r="C177" s="1"/>
      <c r="D177" s="1"/>
      <c r="E177" s="1"/>
      <c r="F177" s="1"/>
      <c r="G177" s="1"/>
      <c r="H177" s="1"/>
      <c r="I177" s="1"/>
      <c r="J177" s="1"/>
      <c r="K177" s="1"/>
      <c r="L177" s="1"/>
      <c r="M177" s="1"/>
      <c r="N177" s="1"/>
      <c r="O177" s="1"/>
      <c r="P177" s="1"/>
      <c r="Q177" s="1"/>
    </row>
    <row r="178" spans="1:17" x14ac:dyDescent="0.35">
      <c r="A178" s="1"/>
      <c r="B178" s="1"/>
      <c r="C178" s="1"/>
      <c r="D178" s="1"/>
      <c r="E178" s="1"/>
      <c r="F178" s="1"/>
      <c r="G178" s="1"/>
      <c r="H178" s="1"/>
      <c r="I178" s="1"/>
      <c r="J178" s="1"/>
      <c r="K178" s="1"/>
      <c r="L178" s="1"/>
      <c r="M178" s="1"/>
      <c r="N178" s="1"/>
      <c r="O178" s="1"/>
      <c r="P178" s="1"/>
      <c r="Q178" s="1"/>
    </row>
    <row r="179" spans="1:17" x14ac:dyDescent="0.35">
      <c r="A179" s="1"/>
      <c r="B179" s="1"/>
      <c r="C179" s="1"/>
      <c r="D179" s="1"/>
      <c r="E179" s="1"/>
      <c r="F179" s="1"/>
      <c r="G179" s="1"/>
      <c r="H179" s="1"/>
      <c r="I179" s="1"/>
      <c r="J179" s="1"/>
      <c r="K179" s="1"/>
      <c r="L179" s="1"/>
      <c r="M179" s="1"/>
      <c r="N179" s="1"/>
      <c r="O179" s="1"/>
      <c r="P179" s="1"/>
      <c r="Q179" s="1"/>
    </row>
    <row r="180" spans="1:17" x14ac:dyDescent="0.35">
      <c r="A180" s="1"/>
      <c r="B180" s="1"/>
      <c r="C180" s="1"/>
      <c r="D180" s="1"/>
      <c r="E180" s="1"/>
      <c r="F180" s="1"/>
      <c r="G180" s="1"/>
      <c r="H180" s="1"/>
      <c r="I180" s="1"/>
      <c r="J180" s="1"/>
      <c r="K180" s="1"/>
      <c r="L180" s="1"/>
      <c r="M180" s="1"/>
      <c r="N180" s="1"/>
      <c r="O180" s="1"/>
      <c r="P180" s="1"/>
      <c r="Q180" s="1"/>
    </row>
    <row r="181" spans="1:17" x14ac:dyDescent="0.35">
      <c r="A181" s="1"/>
      <c r="B181" s="1"/>
      <c r="C181" s="1"/>
      <c r="D181" s="1"/>
      <c r="E181" s="1"/>
      <c r="F181" s="1"/>
      <c r="G181" s="1"/>
      <c r="H181" s="1"/>
      <c r="I181" s="1"/>
      <c r="J181" s="1"/>
      <c r="K181" s="1"/>
      <c r="L181" s="1"/>
      <c r="M181" s="1"/>
      <c r="N181" s="1"/>
      <c r="O181" s="1"/>
      <c r="P181" s="1"/>
      <c r="Q181" s="1"/>
    </row>
    <row r="182" spans="1:17" x14ac:dyDescent="0.35">
      <c r="A182" s="1"/>
      <c r="B182" s="1"/>
      <c r="C182" s="1"/>
      <c r="D182" s="1"/>
      <c r="E182" s="1"/>
      <c r="F182" s="1"/>
      <c r="G182" s="1"/>
      <c r="H182" s="1"/>
      <c r="I182" s="1"/>
      <c r="J182" s="1"/>
      <c r="K182" s="1"/>
      <c r="L182" s="1"/>
      <c r="M182" s="1"/>
      <c r="N182" s="1"/>
      <c r="O182" s="1"/>
      <c r="P182" s="1"/>
      <c r="Q182" s="1"/>
    </row>
    <row r="183" spans="1:17" x14ac:dyDescent="0.35">
      <c r="A183" s="1"/>
      <c r="B183" s="1"/>
      <c r="C183" s="1"/>
      <c r="D183" s="1"/>
      <c r="E183" s="1"/>
      <c r="F183" s="1"/>
      <c r="G183" s="1"/>
      <c r="H183" s="1"/>
      <c r="I183" s="1"/>
      <c r="J183" s="1"/>
      <c r="K183" s="1"/>
      <c r="L183" s="1"/>
      <c r="M183" s="1"/>
      <c r="N183" s="1"/>
      <c r="O183" s="1"/>
      <c r="P183" s="1"/>
      <c r="Q183" s="1"/>
    </row>
    <row r="184" spans="1:17" x14ac:dyDescent="0.35">
      <c r="A184" s="1"/>
      <c r="B184" s="1"/>
      <c r="C184" s="1"/>
      <c r="D184" s="1"/>
      <c r="E184" s="1"/>
      <c r="F184" s="1"/>
      <c r="G184" s="1"/>
      <c r="H184" s="1"/>
      <c r="I184" s="1"/>
      <c r="J184" s="1"/>
      <c r="K184" s="1"/>
      <c r="L184" s="1"/>
      <c r="M184" s="1"/>
      <c r="N184" s="1"/>
      <c r="O184" s="1"/>
      <c r="P184" s="1"/>
      <c r="Q184" s="1"/>
    </row>
    <row r="185" spans="1:17" x14ac:dyDescent="0.35">
      <c r="A185" s="1"/>
      <c r="B185" s="1"/>
      <c r="C185" s="1"/>
      <c r="D185" s="1"/>
      <c r="E185" s="1"/>
      <c r="F185" s="1"/>
      <c r="G185" s="1"/>
      <c r="H185" s="1"/>
      <c r="I185" s="1"/>
      <c r="J185" s="1"/>
      <c r="K185" s="1"/>
      <c r="L185" s="1"/>
      <c r="M185" s="1"/>
      <c r="N185" s="1"/>
      <c r="O185" s="1"/>
      <c r="P185" s="1"/>
      <c r="Q185" s="1"/>
    </row>
    <row r="186" spans="1:17" x14ac:dyDescent="0.35">
      <c r="A186" s="1"/>
      <c r="B186" s="1"/>
      <c r="C186" s="1"/>
      <c r="D186" s="1"/>
      <c r="E186" s="1"/>
      <c r="F186" s="1"/>
      <c r="G186" s="1"/>
      <c r="H186" s="1"/>
      <c r="I186" s="1"/>
      <c r="J186" s="1"/>
      <c r="K186" s="1"/>
      <c r="L186" s="1"/>
      <c r="M186" s="1"/>
      <c r="N186" s="1"/>
      <c r="O186" s="1"/>
      <c r="P186" s="1"/>
      <c r="Q186" s="1"/>
    </row>
    <row r="187" spans="1:17" x14ac:dyDescent="0.35">
      <c r="A187" s="1"/>
      <c r="B187" s="1"/>
      <c r="C187" s="1"/>
      <c r="D187" s="1"/>
      <c r="E187" s="1"/>
      <c r="F187" s="1"/>
      <c r="G187" s="1"/>
      <c r="H187" s="1"/>
      <c r="I187" s="1"/>
      <c r="J187" s="1"/>
      <c r="K187" s="1"/>
      <c r="L187" s="1"/>
      <c r="M187" s="1"/>
      <c r="N187" s="1"/>
      <c r="O187" s="1"/>
      <c r="P187" s="1"/>
      <c r="Q187" s="1"/>
    </row>
    <row r="188" spans="1:17" x14ac:dyDescent="0.35">
      <c r="A188" s="1"/>
      <c r="B188" s="1"/>
      <c r="C188" s="1"/>
      <c r="D188" s="1"/>
      <c r="E188" s="1"/>
      <c r="F188" s="1"/>
      <c r="G188" s="1"/>
      <c r="H188" s="1"/>
      <c r="I188" s="1"/>
      <c r="J188" s="1"/>
      <c r="K188" s="1"/>
      <c r="L188" s="1"/>
      <c r="M188" s="1"/>
      <c r="N188" s="1"/>
      <c r="O188" s="1"/>
      <c r="P188" s="1"/>
      <c r="Q188" s="1"/>
    </row>
    <row r="189" spans="1:17" x14ac:dyDescent="0.35">
      <c r="A189" s="1"/>
      <c r="B189" s="1"/>
      <c r="C189" s="1"/>
      <c r="D189" s="1"/>
      <c r="E189" s="1"/>
      <c r="F189" s="1"/>
      <c r="G189" s="1"/>
      <c r="H189" s="1"/>
      <c r="I189" s="1"/>
      <c r="J189" s="1"/>
      <c r="K189" s="1"/>
      <c r="L189" s="1"/>
      <c r="M189" s="1"/>
      <c r="N189" s="1"/>
      <c r="O189" s="1"/>
      <c r="P189" s="1"/>
      <c r="Q189" s="1"/>
    </row>
    <row r="190" spans="1:17" x14ac:dyDescent="0.35">
      <c r="A190" s="1"/>
      <c r="B190" s="1"/>
      <c r="C190" s="1"/>
      <c r="D190" s="1"/>
      <c r="E190" s="1"/>
      <c r="F190" s="1"/>
      <c r="G190" s="1"/>
      <c r="H190" s="1"/>
      <c r="I190" s="1"/>
      <c r="J190" s="1"/>
      <c r="K190" s="1"/>
      <c r="L190" s="1"/>
      <c r="M190" s="1"/>
      <c r="N190" s="1"/>
      <c r="O190" s="1"/>
      <c r="P190" s="1"/>
      <c r="Q190" s="1"/>
    </row>
    <row r="191" spans="1:17" x14ac:dyDescent="0.35">
      <c r="A191" s="1"/>
      <c r="B191" s="1"/>
      <c r="C191" s="1"/>
      <c r="D191" s="1"/>
      <c r="E191" s="1"/>
      <c r="F191" s="1"/>
      <c r="G191" s="1"/>
      <c r="H191" s="1"/>
      <c r="I191" s="1"/>
      <c r="J191" s="1"/>
      <c r="K191" s="1"/>
      <c r="L191" s="1"/>
      <c r="M191" s="1"/>
      <c r="N191" s="1"/>
      <c r="O191" s="1"/>
      <c r="P191" s="1"/>
      <c r="Q191" s="1"/>
    </row>
    <row r="192" spans="1:17" x14ac:dyDescent="0.35">
      <c r="A192" s="1"/>
      <c r="B192" s="1"/>
      <c r="C192" s="1"/>
      <c r="D192" s="1"/>
      <c r="E192" s="1"/>
      <c r="F192" s="1"/>
      <c r="G192" s="1"/>
      <c r="H192" s="1"/>
      <c r="I192" s="1"/>
      <c r="J192" s="1"/>
      <c r="K192" s="1"/>
      <c r="L192" s="1"/>
      <c r="M192" s="1"/>
      <c r="N192" s="1"/>
      <c r="O192" s="1"/>
      <c r="P192" s="1"/>
      <c r="Q192" s="1"/>
    </row>
    <row r="193" spans="1:17" x14ac:dyDescent="0.35">
      <c r="A193" s="1"/>
      <c r="B193" s="1"/>
      <c r="C193" s="1"/>
      <c r="D193" s="1"/>
      <c r="E193" s="1"/>
      <c r="F193" s="1"/>
      <c r="G193" s="1"/>
      <c r="H193" s="1"/>
      <c r="I193" s="1"/>
      <c r="J193" s="1"/>
      <c r="K193" s="1"/>
      <c r="L193" s="1"/>
      <c r="M193" s="1"/>
      <c r="N193" s="1"/>
      <c r="O193" s="1"/>
      <c r="P193" s="1"/>
      <c r="Q193" s="1"/>
    </row>
    <row r="194" spans="1:17" x14ac:dyDescent="0.35">
      <c r="A194" s="1"/>
      <c r="B194" s="1"/>
      <c r="C194" s="1"/>
      <c r="D194" s="1"/>
      <c r="E194" s="1"/>
      <c r="F194" s="1"/>
      <c r="G194" s="1"/>
      <c r="H194" s="1"/>
      <c r="I194" s="1"/>
      <c r="J194" s="1"/>
      <c r="K194" s="1"/>
      <c r="L194" s="1"/>
      <c r="M194" s="1"/>
      <c r="N194" s="1"/>
      <c r="O194" s="1"/>
      <c r="P194" s="1"/>
      <c r="Q194" s="1"/>
    </row>
    <row r="195" spans="1:17" x14ac:dyDescent="0.35">
      <c r="A195" s="1"/>
      <c r="B195" s="1"/>
      <c r="C195" s="1"/>
      <c r="D195" s="1"/>
      <c r="E195" s="1"/>
      <c r="F195" s="1"/>
      <c r="G195" s="1"/>
      <c r="H195" s="1"/>
      <c r="I195" s="1"/>
      <c r="J195" s="1"/>
      <c r="K195" s="1"/>
      <c r="L195" s="1"/>
      <c r="M195" s="1"/>
      <c r="N195" s="1"/>
      <c r="O195" s="1"/>
      <c r="P195" s="1"/>
      <c r="Q195" s="1"/>
    </row>
    <row r="196" spans="1:17" x14ac:dyDescent="0.35">
      <c r="A196" s="1"/>
      <c r="B196" s="1"/>
      <c r="C196" s="1"/>
      <c r="D196" s="1"/>
      <c r="E196" s="1"/>
      <c r="F196" s="1"/>
      <c r="G196" s="1"/>
      <c r="H196" s="1"/>
      <c r="I196" s="1"/>
      <c r="J196" s="1"/>
      <c r="K196" s="1"/>
      <c r="L196" s="1"/>
      <c r="M196" s="1"/>
      <c r="N196" s="1"/>
      <c r="O196" s="1"/>
      <c r="P196" s="1"/>
      <c r="Q196" s="1"/>
    </row>
    <row r="197" spans="1:17" x14ac:dyDescent="0.35">
      <c r="A197" s="1"/>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1:17" x14ac:dyDescent="0.35">
      <c r="A198" s="1"/>
      <c r="B198" s="37"/>
      <c r="C198" s="38"/>
      <c r="D198" s="31"/>
      <c r="E198" s="32"/>
      <c r="F198" s="34"/>
      <c r="G198" s="33"/>
      <c r="H198" s="34"/>
      <c r="I198" s="33"/>
      <c r="J198" s="34"/>
      <c r="K198" s="34"/>
      <c r="L198" s="34"/>
      <c r="M198" s="33"/>
      <c r="N198" s="34"/>
      <c r="O198" s="35"/>
      <c r="P198" s="36"/>
      <c r="Q198" s="35"/>
    </row>
    <row r="199" spans="1:17" x14ac:dyDescent="0.35">
      <c r="A199" s="1"/>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1:17" x14ac:dyDescent="0.35">
      <c r="A200" s="1"/>
      <c r="B200" s="1"/>
      <c r="C200" s="1"/>
      <c r="D200" s="1"/>
      <c r="E200" s="1"/>
      <c r="F200" s="1"/>
      <c r="G200" s="1"/>
      <c r="H200" s="1"/>
      <c r="I200" s="1"/>
      <c r="J200" s="1"/>
      <c r="K200" s="1"/>
      <c r="L200" s="1"/>
      <c r="M200" s="1"/>
      <c r="N200" s="1"/>
      <c r="O200" s="1"/>
      <c r="P200" s="1"/>
      <c r="Q200" s="78" t="s">
        <v>21404</v>
      </c>
    </row>
    <row r="201" spans="1:17" x14ac:dyDescent="0.35">
      <c r="A201" s="1"/>
      <c r="B201" s="1"/>
      <c r="C201" s="78" t="s">
        <v>21592</v>
      </c>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77" t="s">
        <v>21399</v>
      </c>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t="s">
        <v>21398</v>
      </c>
      <c r="D205" s="1" t="s">
        <v>75</v>
      </c>
      <c r="E205" s="1" t="s">
        <v>13768</v>
      </c>
      <c r="F205" s="2" t="s">
        <v>21397</v>
      </c>
      <c r="G205" s="1" t="s">
        <v>9</v>
      </c>
      <c r="H205" s="1"/>
      <c r="I205" s="1"/>
      <c r="J205" s="1"/>
      <c r="K205" s="1"/>
      <c r="L205" s="1"/>
      <c r="M205" s="1"/>
      <c r="N205" s="1"/>
      <c r="O205" s="1"/>
      <c r="P205" s="1"/>
      <c r="Q205" s="1"/>
    </row>
    <row r="206" spans="1:17" x14ac:dyDescent="0.35">
      <c r="B206" s="49" t="s">
        <v>15070</v>
      </c>
      <c r="C206" s="352" t="s">
        <v>15071</v>
      </c>
    </row>
    <row r="207" spans="1:17" x14ac:dyDescent="0.35">
      <c r="B207" s="49" t="s">
        <v>15072</v>
      </c>
      <c r="C207" s="53" t="s">
        <v>15073</v>
      </c>
    </row>
    <row r="208" spans="1:17" x14ac:dyDescent="0.35">
      <c r="B208" s="49" t="s">
        <v>15074</v>
      </c>
      <c r="C208" s="53" t="s">
        <v>15075</v>
      </c>
    </row>
    <row r="209" spans="2:3" x14ac:dyDescent="0.35">
      <c r="B209" s="49" t="s">
        <v>15076</v>
      </c>
      <c r="C209" s="53" t="s">
        <v>15077</v>
      </c>
    </row>
    <row r="210" spans="2:3" x14ac:dyDescent="0.35">
      <c r="B210" s="49" t="s">
        <v>15078</v>
      </c>
      <c r="C210" s="53" t="s">
        <v>15079</v>
      </c>
    </row>
    <row r="211" spans="2:3" x14ac:dyDescent="0.35">
      <c r="B211" s="49" t="s">
        <v>15080</v>
      </c>
      <c r="C211" s="53" t="s">
        <v>15081</v>
      </c>
    </row>
    <row r="212" spans="2:3" x14ac:dyDescent="0.35">
      <c r="B212" s="49" t="s">
        <v>15082</v>
      </c>
      <c r="C212" s="53" t="s">
        <v>15083</v>
      </c>
    </row>
  </sheetData>
  <mergeCells count="9">
    <mergeCell ref="J5:K5"/>
    <mergeCell ref="J6:K6"/>
    <mergeCell ref="J7:K7"/>
    <mergeCell ref="A3:B3"/>
    <mergeCell ref="D3:G3"/>
    <mergeCell ref="J3:K3"/>
    <mergeCell ref="P3:Q3"/>
    <mergeCell ref="A4:B4"/>
    <mergeCell ref="J4:K4"/>
  </mergeCells>
  <dataValidations count="1">
    <dataValidation type="list" allowBlank="1" showInputMessage="1" showErrorMessage="1" sqref="C16:C190" xr:uid="{B1C1851F-936A-431C-B01F-B5323CC53FC4}">
      <formula1>$C$205:$C207</formula1>
    </dataValidation>
  </dataValidations>
  <hyperlinks>
    <hyperlink ref="D3" r:id="rId1" display="datamateapp@gmail.com" xr:uid="{3FD5856E-886F-4296-A67E-9E91C50CAC5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92585" r:id="rId4" name="Button 9">
              <controlPr defaultSize="0" print="0" autoFill="0" autoPict="0" macro="[0]!ExitSEC_144000">
                <anchor moveWithCells="1" sizeWithCells="1">
                  <from>
                    <xdr:col>16</xdr:col>
                    <xdr:colOff>0</xdr:colOff>
                    <xdr:row>0</xdr:row>
                    <xdr:rowOff>0</xdr:rowOff>
                  </from>
                  <to>
                    <xdr:col>16</xdr:col>
                    <xdr:colOff>1270000</xdr:colOff>
                    <xdr:row>2</xdr:row>
                    <xdr:rowOff>12700</xdr:rowOff>
                  </to>
                </anchor>
              </controlPr>
            </control>
          </mc:Choice>
        </mc:AlternateContent>
        <mc:AlternateContent xmlns:mc="http://schemas.openxmlformats.org/markup-compatibility/2006">
          <mc:Choice Requires="x14">
            <control shapeId="792595" r:id="rId5" name="Button 19">
              <controlPr defaultSize="0" print="0" autoFill="0" autoPict="0" macro="SaveData">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792596" r:id="rId6" name="Button 20">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792597" r:id="rId7" name="Button 21">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792598" r:id="rId8" name="Button 22">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792599" r:id="rId9" name="Button 23">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792600" r:id="rId10" name="Button 24">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792601" r:id="rId11" name="Button 25">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792602" r:id="rId12" name="Button 26">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xl/worksheets/sheet1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3A7C1-6AE9-47AD-84F8-8136C965D2B1}">
  <sheetPr codeName="Sheet188"/>
  <dimension ref="A1:Q210"/>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TURNTABLES</v>
      </c>
      <c r="J2" s="59"/>
      <c r="K2" s="59"/>
      <c r="L2" s="1"/>
      <c r="M2" s="59"/>
      <c r="N2" s="59"/>
      <c r="O2" s="60"/>
      <c r="P2" s="57"/>
      <c r="Q2" s="57"/>
    </row>
    <row r="3" spans="1:17" ht="15" thickBot="1" x14ac:dyDescent="0.4">
      <c r="A3" s="446" t="s">
        <v>21565</v>
      </c>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14 70 00</v>
      </c>
      <c r="C10" s="24" t="str">
        <f>C206</f>
        <v>TURNTABLES</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TURNTABLES</v>
      </c>
      <c r="D12" s="31"/>
      <c r="E12" s="32"/>
      <c r="F12" s="34"/>
      <c r="G12" s="33"/>
      <c r="H12" s="34"/>
      <c r="I12" s="33"/>
      <c r="J12" s="34"/>
      <c r="K12" s="34"/>
      <c r="L12" s="34"/>
      <c r="M12" s="33"/>
      <c r="N12" s="34"/>
      <c r="O12" s="35"/>
      <c r="P12" s="31"/>
      <c r="Q12" s="35"/>
    </row>
    <row r="13" spans="1:17" x14ac:dyDescent="0.35">
      <c r="A13" s="1"/>
      <c r="B13" s="1"/>
      <c r="C13" s="1"/>
      <c r="D13" s="1"/>
      <c r="E13" s="1"/>
      <c r="F13" s="1"/>
      <c r="G13" s="1"/>
      <c r="H13" s="1"/>
      <c r="I13" s="1"/>
      <c r="J13" s="1"/>
      <c r="K13" s="1"/>
      <c r="L13" s="1"/>
      <c r="M13" s="1"/>
      <c r="N13" s="1"/>
      <c r="O13" s="1"/>
      <c r="P13" s="1"/>
      <c r="Q13" s="1"/>
    </row>
    <row r="14" spans="1:17" x14ac:dyDescent="0.35">
      <c r="A14" s="1"/>
      <c r="B14" s="1"/>
      <c r="C14" s="1"/>
      <c r="D14" s="1"/>
      <c r="E14" s="1"/>
      <c r="F14" s="1"/>
      <c r="G14" s="1"/>
      <c r="H14" s="1"/>
      <c r="I14" s="1"/>
      <c r="J14" s="1"/>
      <c r="K14" s="1"/>
      <c r="L14" s="1"/>
      <c r="M14" s="1"/>
      <c r="N14" s="1"/>
      <c r="O14" s="1"/>
      <c r="P14" s="1"/>
      <c r="Q14" s="1"/>
    </row>
    <row r="15" spans="1:17" x14ac:dyDescent="0.35">
      <c r="A15" s="1"/>
      <c r="B15" s="1"/>
      <c r="C15" s="1"/>
      <c r="D15" s="1"/>
      <c r="E15" s="1"/>
      <c r="F15" s="1"/>
      <c r="G15" s="1"/>
      <c r="H15" s="1"/>
      <c r="I15" s="1"/>
      <c r="J15" s="1"/>
      <c r="K15" s="1"/>
      <c r="L15" s="1"/>
      <c r="M15" s="1"/>
      <c r="N15" s="1"/>
      <c r="O15" s="1"/>
      <c r="P15" s="1"/>
      <c r="Q15" s="1"/>
    </row>
    <row r="16" spans="1:17" x14ac:dyDescent="0.35">
      <c r="A16" s="1"/>
      <c r="B16" s="1"/>
      <c r="C16" s="1"/>
      <c r="D16" s="1"/>
      <c r="E16" s="1"/>
      <c r="F16" s="1"/>
      <c r="G16" s="1"/>
      <c r="H16" s="1"/>
      <c r="I16" s="1"/>
      <c r="J16" s="1"/>
      <c r="K16" s="1"/>
      <c r="L16" s="1"/>
      <c r="M16" s="1"/>
      <c r="N16" s="1"/>
      <c r="O16" s="1"/>
      <c r="P16" s="1"/>
      <c r="Q16" s="1"/>
    </row>
    <row r="17" spans="1:17" x14ac:dyDescent="0.35">
      <c r="A17" s="1"/>
      <c r="B17" s="1"/>
      <c r="C17" s="1"/>
      <c r="D17" s="1"/>
      <c r="E17" s="1"/>
      <c r="F17" s="1"/>
      <c r="G17" s="1"/>
      <c r="H17" s="1"/>
      <c r="I17" s="1"/>
      <c r="J17" s="1"/>
      <c r="K17" s="1"/>
      <c r="L17" s="1"/>
      <c r="M17" s="1"/>
      <c r="N17" s="1"/>
      <c r="O17" s="1"/>
      <c r="P17" s="1"/>
      <c r="Q17" s="1"/>
    </row>
    <row r="18" spans="1:17" x14ac:dyDescent="0.35">
      <c r="A18" s="1"/>
      <c r="B18" s="1"/>
      <c r="C18" s="1"/>
      <c r="D18" s="1"/>
      <c r="E18" s="1"/>
      <c r="F18" s="1"/>
      <c r="G18" s="1"/>
      <c r="H18" s="1"/>
      <c r="I18" s="1"/>
      <c r="J18" s="1"/>
      <c r="K18" s="1"/>
      <c r="L18" s="1"/>
      <c r="M18" s="1"/>
      <c r="N18" s="1"/>
      <c r="O18" s="1"/>
      <c r="P18" s="1"/>
      <c r="Q18" s="1"/>
    </row>
    <row r="19" spans="1:17" x14ac:dyDescent="0.35">
      <c r="A19" s="1"/>
      <c r="B19" s="1"/>
      <c r="C19" s="1"/>
      <c r="D19" s="1"/>
      <c r="E19" s="1"/>
      <c r="F19" s="1"/>
      <c r="G19" s="1"/>
      <c r="H19" s="1"/>
      <c r="I19" s="1"/>
      <c r="J19" s="1"/>
      <c r="K19" s="1"/>
      <c r="L19" s="1"/>
      <c r="M19" s="1"/>
      <c r="N19" s="1"/>
      <c r="O19" s="1"/>
      <c r="P19" s="1"/>
      <c r="Q19" s="1"/>
    </row>
    <row r="20" spans="1:17" x14ac:dyDescent="0.35">
      <c r="A20" s="1"/>
      <c r="B20" s="1"/>
      <c r="C20" s="1"/>
      <c r="D20" s="1"/>
      <c r="E20" s="1"/>
      <c r="F20" s="1"/>
      <c r="G20" s="1"/>
      <c r="H20" s="1"/>
      <c r="I20" s="1"/>
      <c r="J20" s="1"/>
      <c r="K20" s="1"/>
      <c r="L20" s="1"/>
      <c r="M20" s="1"/>
      <c r="N20" s="1"/>
      <c r="O20" s="1"/>
      <c r="P20" s="1"/>
      <c r="Q20" s="1"/>
    </row>
    <row r="21" spans="1:17" x14ac:dyDescent="0.35">
      <c r="A21" s="1"/>
      <c r="B21" s="1"/>
      <c r="C21" s="1"/>
      <c r="D21" s="1"/>
      <c r="E21" s="1"/>
      <c r="F21" s="1"/>
      <c r="G21" s="1"/>
      <c r="H21" s="1"/>
      <c r="I21" s="1"/>
      <c r="J21" s="1"/>
      <c r="K21" s="1"/>
      <c r="L21" s="1"/>
      <c r="M21" s="1"/>
      <c r="N21" s="1"/>
      <c r="O21" s="1"/>
      <c r="P21" s="1"/>
      <c r="Q21" s="1"/>
    </row>
    <row r="22" spans="1:17" x14ac:dyDescent="0.35">
      <c r="A22" s="1"/>
      <c r="B22" s="1"/>
      <c r="C22" s="1"/>
      <c r="D22" s="1"/>
      <c r="E22" s="1"/>
      <c r="F22" s="1"/>
      <c r="G22" s="1"/>
      <c r="H22" s="1"/>
      <c r="I22" s="1"/>
      <c r="J22" s="1"/>
      <c r="K22" s="1"/>
      <c r="L22" s="1"/>
      <c r="M22" s="1"/>
      <c r="N22" s="1"/>
      <c r="O22" s="1"/>
      <c r="P22" s="1"/>
      <c r="Q22" s="1"/>
    </row>
    <row r="23" spans="1:17" x14ac:dyDescent="0.35">
      <c r="A23" s="1"/>
      <c r="B23" s="1"/>
      <c r="C23" s="1"/>
      <c r="D23" s="1"/>
      <c r="E23" s="1"/>
      <c r="F23" s="1"/>
      <c r="G23" s="1"/>
      <c r="H23" s="1"/>
      <c r="I23" s="1"/>
      <c r="J23" s="1"/>
      <c r="K23" s="1"/>
      <c r="L23" s="1"/>
      <c r="M23" s="1"/>
      <c r="N23" s="1"/>
      <c r="O23" s="1"/>
      <c r="P23" s="1"/>
      <c r="Q23" s="1"/>
    </row>
    <row r="24" spans="1:17" x14ac:dyDescent="0.35">
      <c r="A24" s="1"/>
      <c r="B24" s="1"/>
      <c r="C24" s="1"/>
      <c r="D24" s="1"/>
      <c r="E24" s="1"/>
      <c r="F24" s="1"/>
      <c r="G24" s="1"/>
      <c r="H24" s="1"/>
      <c r="I24" s="1"/>
      <c r="J24" s="1"/>
      <c r="K24" s="1"/>
      <c r="L24" s="1"/>
      <c r="M24" s="1"/>
      <c r="N24" s="1"/>
      <c r="O24" s="1"/>
      <c r="P24" s="1"/>
      <c r="Q24" s="1"/>
    </row>
    <row r="25" spans="1:17" x14ac:dyDescent="0.35">
      <c r="A25" s="1"/>
      <c r="B25" s="1"/>
      <c r="C25" s="1"/>
      <c r="D25" s="1"/>
      <c r="E25" s="1"/>
      <c r="F25" s="1"/>
      <c r="G25" s="1"/>
      <c r="H25" s="1"/>
      <c r="I25" s="1"/>
      <c r="J25" s="1"/>
      <c r="K25" s="1"/>
      <c r="L25" s="1"/>
      <c r="M25" s="1"/>
      <c r="N25" s="1"/>
      <c r="O25" s="1"/>
      <c r="P25" s="1"/>
      <c r="Q25" s="1"/>
    </row>
    <row r="26" spans="1:17" x14ac:dyDescent="0.35">
      <c r="A26" s="1"/>
      <c r="B26" s="1"/>
      <c r="C26" s="1"/>
      <c r="D26" s="1"/>
      <c r="E26" s="1"/>
      <c r="F26" s="1"/>
      <c r="G26" s="1"/>
      <c r="H26" s="1"/>
      <c r="I26" s="1"/>
      <c r="J26" s="1"/>
      <c r="K26" s="1"/>
      <c r="L26" s="1"/>
      <c r="M26" s="1"/>
      <c r="N26" s="1"/>
      <c r="O26" s="1"/>
      <c r="P26" s="1"/>
      <c r="Q26" s="1"/>
    </row>
    <row r="27" spans="1:17" x14ac:dyDescent="0.35">
      <c r="A27" s="1"/>
      <c r="B27" s="1"/>
      <c r="C27" s="1"/>
      <c r="D27" s="1"/>
      <c r="E27" s="1"/>
      <c r="F27" s="1"/>
      <c r="G27" s="1"/>
      <c r="H27" s="1"/>
      <c r="I27" s="1"/>
      <c r="J27" s="1"/>
      <c r="K27" s="1"/>
      <c r="L27" s="1"/>
      <c r="M27" s="1"/>
      <c r="N27" s="1"/>
      <c r="O27" s="1"/>
      <c r="P27" s="1"/>
      <c r="Q27" s="1"/>
    </row>
    <row r="28" spans="1:17" x14ac:dyDescent="0.35">
      <c r="A28" s="1"/>
      <c r="B28" s="1"/>
      <c r="C28" s="1"/>
      <c r="D28" s="1"/>
      <c r="E28" s="1"/>
      <c r="F28" s="1"/>
      <c r="G28" s="1"/>
      <c r="H28" s="1"/>
      <c r="I28" s="1"/>
      <c r="J28" s="1"/>
      <c r="K28" s="1"/>
      <c r="L28" s="1"/>
      <c r="M28" s="1"/>
      <c r="N28" s="1"/>
      <c r="O28" s="1"/>
      <c r="P28" s="1"/>
      <c r="Q28" s="1"/>
    </row>
    <row r="29" spans="1:17" x14ac:dyDescent="0.35">
      <c r="A29" s="1"/>
      <c r="B29" s="1"/>
      <c r="C29" s="1"/>
      <c r="D29" s="1"/>
      <c r="E29" s="1"/>
      <c r="F29" s="1"/>
      <c r="G29" s="1"/>
      <c r="H29" s="1"/>
      <c r="I29" s="1"/>
      <c r="J29" s="1"/>
      <c r="K29" s="1"/>
      <c r="L29" s="1"/>
      <c r="M29" s="1"/>
      <c r="N29" s="1"/>
      <c r="O29" s="1"/>
      <c r="P29" s="1"/>
      <c r="Q29" s="1"/>
    </row>
    <row r="30" spans="1:17" x14ac:dyDescent="0.35">
      <c r="A30" s="1"/>
      <c r="B30" s="1"/>
      <c r="C30" s="1"/>
      <c r="D30" s="1"/>
      <c r="E30" s="1"/>
      <c r="F30" s="1"/>
      <c r="G30" s="1"/>
      <c r="H30" s="1"/>
      <c r="I30" s="1"/>
      <c r="J30" s="1"/>
      <c r="K30" s="1"/>
      <c r="L30" s="1"/>
      <c r="M30" s="1"/>
      <c r="N30" s="1"/>
      <c r="O30" s="1"/>
      <c r="P30" s="1"/>
      <c r="Q30" s="1"/>
    </row>
    <row r="31" spans="1:17" x14ac:dyDescent="0.35">
      <c r="A31" s="1"/>
      <c r="B31" s="1"/>
      <c r="C31" s="1"/>
      <c r="D31" s="1"/>
      <c r="E31" s="1"/>
      <c r="F31" s="1"/>
      <c r="G31" s="1"/>
      <c r="H31" s="1"/>
      <c r="I31" s="1"/>
      <c r="J31" s="1"/>
      <c r="K31" s="1"/>
      <c r="L31" s="1"/>
      <c r="M31" s="1"/>
      <c r="N31" s="1"/>
      <c r="O31" s="1"/>
      <c r="P31" s="1"/>
      <c r="Q31" s="1"/>
    </row>
    <row r="32" spans="1:17" x14ac:dyDescent="0.35">
      <c r="A32" s="1"/>
      <c r="B32" s="1"/>
      <c r="C32" s="1"/>
      <c r="D32" s="1"/>
      <c r="E32" s="1"/>
      <c r="F32" s="1"/>
      <c r="G32" s="1"/>
      <c r="H32" s="1"/>
      <c r="I32" s="1"/>
      <c r="J32" s="1"/>
      <c r="K32" s="1"/>
      <c r="L32" s="1"/>
      <c r="M32" s="1"/>
      <c r="N32" s="1"/>
      <c r="O32" s="1"/>
      <c r="P32" s="1"/>
      <c r="Q32" s="1"/>
    </row>
    <row r="33" spans="1:17" x14ac:dyDescent="0.35">
      <c r="A33" s="1"/>
      <c r="B33" s="1"/>
      <c r="C33" s="1"/>
      <c r="D33" s="1"/>
      <c r="E33" s="1"/>
      <c r="F33" s="1"/>
      <c r="G33" s="1"/>
      <c r="H33" s="1"/>
      <c r="I33" s="1"/>
      <c r="J33" s="1"/>
      <c r="K33" s="1"/>
      <c r="L33" s="1"/>
      <c r="M33" s="1"/>
      <c r="N33" s="1"/>
      <c r="O33" s="1"/>
      <c r="P33" s="1"/>
      <c r="Q33" s="1"/>
    </row>
    <row r="34" spans="1:17" x14ac:dyDescent="0.35">
      <c r="A34" s="1"/>
      <c r="B34" s="1"/>
      <c r="C34" s="1"/>
      <c r="D34" s="1"/>
      <c r="E34" s="1"/>
      <c r="F34" s="1"/>
      <c r="G34" s="1"/>
      <c r="H34" s="1"/>
      <c r="I34" s="1"/>
      <c r="J34" s="1"/>
      <c r="K34" s="1"/>
      <c r="L34" s="1"/>
      <c r="M34" s="1"/>
      <c r="N34" s="1"/>
      <c r="O34" s="1"/>
      <c r="P34" s="1"/>
      <c r="Q34" s="1"/>
    </row>
    <row r="35" spans="1:17" x14ac:dyDescent="0.35">
      <c r="A35" s="1"/>
      <c r="B35" s="1"/>
      <c r="C35" s="1"/>
      <c r="D35" s="1"/>
      <c r="E35" s="1"/>
      <c r="F35" s="1"/>
      <c r="G35" s="1"/>
      <c r="H35" s="1"/>
      <c r="I35" s="1"/>
      <c r="J35" s="1"/>
      <c r="K35" s="1"/>
      <c r="L35" s="1"/>
      <c r="M35" s="1"/>
      <c r="N35" s="1"/>
      <c r="O35" s="1"/>
      <c r="P35" s="1"/>
      <c r="Q35" s="1"/>
    </row>
    <row r="36" spans="1:17" x14ac:dyDescent="0.35">
      <c r="A36" s="1"/>
      <c r="B36" s="1"/>
      <c r="C36" s="1"/>
      <c r="D36" s="1"/>
      <c r="E36" s="1"/>
      <c r="F36" s="1"/>
      <c r="G36" s="1"/>
      <c r="H36" s="1"/>
      <c r="I36" s="1"/>
      <c r="J36" s="1"/>
      <c r="K36" s="1"/>
      <c r="L36" s="1"/>
      <c r="M36" s="1"/>
      <c r="N36" s="1"/>
      <c r="O36" s="1"/>
      <c r="P36" s="1"/>
      <c r="Q36" s="1"/>
    </row>
    <row r="37" spans="1:17" x14ac:dyDescent="0.35">
      <c r="A37" s="1"/>
      <c r="B37" s="1"/>
      <c r="C37" s="1"/>
      <c r="D37" s="1"/>
      <c r="E37" s="1"/>
      <c r="F37" s="1"/>
      <c r="G37" s="1"/>
      <c r="H37" s="1"/>
      <c r="I37" s="1"/>
      <c r="J37" s="1"/>
      <c r="K37" s="1"/>
      <c r="L37" s="1"/>
      <c r="M37" s="1"/>
      <c r="N37" s="1"/>
      <c r="O37" s="1"/>
      <c r="P37" s="1"/>
      <c r="Q37" s="1"/>
    </row>
    <row r="38" spans="1:17" x14ac:dyDescent="0.35">
      <c r="A38" s="1"/>
      <c r="B38" s="1"/>
      <c r="C38" s="1"/>
      <c r="D38" s="1"/>
      <c r="E38" s="1"/>
      <c r="F38" s="1"/>
      <c r="G38" s="1"/>
      <c r="H38" s="1"/>
      <c r="I38" s="1"/>
      <c r="J38" s="1"/>
      <c r="K38" s="1"/>
      <c r="L38" s="1"/>
      <c r="M38" s="1"/>
      <c r="N38" s="1"/>
      <c r="O38" s="1"/>
      <c r="P38" s="1"/>
      <c r="Q38" s="1"/>
    </row>
    <row r="39" spans="1:17" x14ac:dyDescent="0.35">
      <c r="A39" s="1"/>
      <c r="B39" s="1"/>
      <c r="C39" s="1"/>
      <c r="D39" s="1"/>
      <c r="E39" s="1"/>
      <c r="F39" s="1"/>
      <c r="G39" s="1"/>
      <c r="H39" s="1"/>
      <c r="I39" s="1"/>
      <c r="J39" s="1"/>
      <c r="K39" s="1"/>
      <c r="L39" s="1"/>
      <c r="M39" s="1"/>
      <c r="N39" s="1"/>
      <c r="O39" s="1"/>
      <c r="P39" s="1"/>
      <c r="Q39" s="1"/>
    </row>
    <row r="40" spans="1:17" x14ac:dyDescent="0.35">
      <c r="A40" s="1"/>
      <c r="B40" s="1"/>
      <c r="C40" s="1"/>
      <c r="D40" s="1"/>
      <c r="E40" s="1"/>
      <c r="F40" s="1"/>
      <c r="G40" s="1"/>
      <c r="H40" s="1"/>
      <c r="I40" s="1"/>
      <c r="J40" s="1"/>
      <c r="K40" s="1"/>
      <c r="L40" s="1"/>
      <c r="M40" s="1"/>
      <c r="N40" s="1"/>
      <c r="O40" s="1"/>
      <c r="P40" s="1"/>
      <c r="Q40" s="1"/>
    </row>
    <row r="41" spans="1:17" x14ac:dyDescent="0.35">
      <c r="A41" s="1"/>
      <c r="B41" s="1"/>
      <c r="C41" s="1"/>
      <c r="D41" s="1"/>
      <c r="E41" s="1"/>
      <c r="F41" s="1"/>
      <c r="G41" s="1"/>
      <c r="H41" s="1"/>
      <c r="I41" s="1"/>
      <c r="J41" s="1"/>
      <c r="K41" s="1"/>
      <c r="L41" s="1"/>
      <c r="M41" s="1"/>
      <c r="N41" s="1"/>
      <c r="O41" s="1"/>
      <c r="P41" s="1"/>
      <c r="Q41" s="1"/>
    </row>
    <row r="42" spans="1:17" x14ac:dyDescent="0.35">
      <c r="A42" s="1"/>
      <c r="B42" s="1"/>
      <c r="C42" s="1"/>
      <c r="D42" s="1"/>
      <c r="E42" s="1"/>
      <c r="F42" s="1"/>
      <c r="G42" s="1"/>
      <c r="H42" s="1"/>
      <c r="I42" s="1"/>
      <c r="J42" s="1"/>
      <c r="K42" s="1"/>
      <c r="L42" s="1"/>
      <c r="M42" s="1"/>
      <c r="N42" s="1"/>
      <c r="O42" s="1"/>
      <c r="P42" s="1"/>
      <c r="Q42" s="1"/>
    </row>
    <row r="43" spans="1:17" x14ac:dyDescent="0.35">
      <c r="A43" s="1"/>
      <c r="B43" s="1"/>
      <c r="C43" s="1"/>
      <c r="D43" s="1"/>
      <c r="E43" s="1"/>
      <c r="F43" s="1"/>
      <c r="G43" s="1"/>
      <c r="H43" s="1"/>
      <c r="I43" s="1"/>
      <c r="J43" s="1"/>
      <c r="K43" s="1"/>
      <c r="L43" s="1"/>
      <c r="M43" s="1"/>
      <c r="N43" s="1"/>
      <c r="O43" s="1"/>
      <c r="P43" s="1"/>
      <c r="Q43" s="1"/>
    </row>
    <row r="44" spans="1:17" x14ac:dyDescent="0.35">
      <c r="A44" s="1"/>
      <c r="B44" s="1"/>
      <c r="C44" s="1"/>
      <c r="D44" s="1"/>
      <c r="E44" s="1"/>
      <c r="F44" s="1"/>
      <c r="G44" s="1"/>
      <c r="H44" s="1"/>
      <c r="I44" s="1"/>
      <c r="J44" s="1"/>
      <c r="K44" s="1"/>
      <c r="L44" s="1"/>
      <c r="M44" s="1"/>
      <c r="N44" s="1"/>
      <c r="O44" s="1"/>
      <c r="P44" s="1"/>
      <c r="Q44" s="1"/>
    </row>
    <row r="45" spans="1:17" x14ac:dyDescent="0.35">
      <c r="A45" s="1"/>
      <c r="B45" s="1"/>
      <c r="C45" s="1"/>
      <c r="D45" s="1"/>
      <c r="E45" s="1"/>
      <c r="F45" s="1"/>
      <c r="G45" s="1"/>
      <c r="H45" s="1"/>
      <c r="I45" s="1"/>
      <c r="J45" s="1"/>
      <c r="K45" s="1"/>
      <c r="L45" s="1"/>
      <c r="M45" s="1"/>
      <c r="N45" s="1"/>
      <c r="O45" s="1"/>
      <c r="P45" s="1"/>
      <c r="Q45" s="1"/>
    </row>
    <row r="46" spans="1:17" x14ac:dyDescent="0.35">
      <c r="A46" s="1"/>
      <c r="B46" s="1"/>
      <c r="C46" s="1"/>
      <c r="D46" s="1"/>
      <c r="E46" s="1"/>
      <c r="F46" s="1"/>
      <c r="G46" s="1"/>
      <c r="H46" s="1"/>
      <c r="I46" s="1"/>
      <c r="J46" s="1"/>
      <c r="K46" s="1"/>
      <c r="L46" s="1"/>
      <c r="M46" s="1"/>
      <c r="N46" s="1"/>
      <c r="O46" s="1"/>
      <c r="P46" s="1"/>
      <c r="Q46" s="1"/>
    </row>
    <row r="47" spans="1:17" x14ac:dyDescent="0.35">
      <c r="A47" s="1"/>
      <c r="B47" s="1"/>
      <c r="C47" s="1"/>
      <c r="D47" s="1"/>
      <c r="E47" s="1"/>
      <c r="F47" s="1"/>
      <c r="G47" s="1"/>
      <c r="H47" s="1"/>
      <c r="I47" s="1"/>
      <c r="J47" s="1"/>
      <c r="K47" s="1"/>
      <c r="L47" s="1"/>
      <c r="M47" s="1"/>
      <c r="N47" s="1"/>
      <c r="O47" s="1"/>
      <c r="P47" s="1"/>
      <c r="Q47" s="1"/>
    </row>
    <row r="48" spans="1:17" x14ac:dyDescent="0.35">
      <c r="A48" s="1"/>
      <c r="B48" s="1"/>
      <c r="C48" s="1"/>
      <c r="D48" s="1"/>
      <c r="E48" s="1"/>
      <c r="F48" s="1"/>
      <c r="G48" s="1"/>
      <c r="H48" s="1"/>
      <c r="I48" s="1"/>
      <c r="J48" s="1"/>
      <c r="K48" s="1"/>
      <c r="L48" s="1"/>
      <c r="M48" s="1"/>
      <c r="N48" s="1"/>
      <c r="O48" s="1"/>
      <c r="P48" s="1"/>
      <c r="Q48" s="1"/>
    </row>
    <row r="49" spans="1:17" x14ac:dyDescent="0.35">
      <c r="A49" s="1"/>
      <c r="B49" s="1"/>
      <c r="C49" s="1"/>
      <c r="D49" s="1"/>
      <c r="E49" s="1"/>
      <c r="F49" s="1"/>
      <c r="G49" s="1"/>
      <c r="H49" s="1"/>
      <c r="I49" s="1"/>
      <c r="J49" s="1"/>
      <c r="K49" s="1"/>
      <c r="L49" s="1"/>
      <c r="M49" s="1"/>
      <c r="N49" s="1"/>
      <c r="O49" s="1"/>
      <c r="P49" s="1"/>
      <c r="Q49" s="1"/>
    </row>
    <row r="50" spans="1:17" x14ac:dyDescent="0.35">
      <c r="A50" s="1"/>
      <c r="B50" s="1"/>
      <c r="C50" s="1"/>
      <c r="D50" s="1"/>
      <c r="E50" s="1"/>
      <c r="F50" s="1"/>
      <c r="G50" s="1"/>
      <c r="H50" s="1"/>
      <c r="I50" s="1"/>
      <c r="J50" s="1"/>
      <c r="K50" s="1"/>
      <c r="L50" s="1"/>
      <c r="M50" s="1"/>
      <c r="N50" s="1"/>
      <c r="O50" s="1"/>
      <c r="P50" s="1"/>
      <c r="Q50" s="1"/>
    </row>
    <row r="51" spans="1:17" x14ac:dyDescent="0.35">
      <c r="A51" s="1"/>
      <c r="B51" s="1"/>
      <c r="C51" s="1"/>
      <c r="D51" s="1"/>
      <c r="E51" s="1"/>
      <c r="F51" s="1"/>
      <c r="G51" s="1"/>
      <c r="H51" s="1"/>
      <c r="I51" s="1"/>
      <c r="J51" s="1"/>
      <c r="K51" s="1"/>
      <c r="L51" s="1"/>
      <c r="M51" s="1"/>
      <c r="N51" s="1"/>
      <c r="O51" s="1"/>
      <c r="P51" s="1"/>
      <c r="Q51" s="1"/>
    </row>
    <row r="52" spans="1:17" x14ac:dyDescent="0.35">
      <c r="A52" s="1"/>
      <c r="B52" s="1"/>
      <c r="C52" s="1"/>
      <c r="D52" s="1"/>
      <c r="E52" s="1"/>
      <c r="F52" s="1"/>
      <c r="G52" s="1"/>
      <c r="H52" s="1"/>
      <c r="I52" s="1"/>
      <c r="J52" s="1"/>
      <c r="K52" s="1"/>
      <c r="L52" s="1"/>
      <c r="M52" s="1"/>
      <c r="N52" s="1"/>
      <c r="O52" s="1"/>
      <c r="P52" s="1"/>
      <c r="Q52" s="1"/>
    </row>
    <row r="53" spans="1:17" x14ac:dyDescent="0.35">
      <c r="A53" s="1"/>
      <c r="B53" s="1"/>
      <c r="C53" s="1"/>
      <c r="D53" s="1"/>
      <c r="E53" s="1"/>
      <c r="F53" s="1"/>
      <c r="G53" s="1"/>
      <c r="H53" s="1"/>
      <c r="I53" s="1"/>
      <c r="J53" s="1"/>
      <c r="K53" s="1"/>
      <c r="L53" s="1"/>
      <c r="M53" s="1"/>
      <c r="N53" s="1"/>
      <c r="O53" s="1"/>
      <c r="P53" s="1"/>
      <c r="Q53" s="1"/>
    </row>
    <row r="54" spans="1:17" x14ac:dyDescent="0.35">
      <c r="A54" s="1"/>
      <c r="B54" s="1"/>
      <c r="C54" s="1"/>
      <c r="D54" s="1"/>
      <c r="E54" s="1"/>
      <c r="F54" s="1"/>
      <c r="G54" s="1"/>
      <c r="H54" s="1"/>
      <c r="I54" s="1"/>
      <c r="J54" s="1"/>
      <c r="K54" s="1"/>
      <c r="L54" s="1"/>
      <c r="M54" s="1"/>
      <c r="N54" s="1"/>
      <c r="O54" s="1"/>
      <c r="P54" s="1"/>
      <c r="Q54" s="1"/>
    </row>
    <row r="55" spans="1:17" x14ac:dyDescent="0.35">
      <c r="A55" s="1"/>
      <c r="B55" s="1"/>
      <c r="C55" s="1"/>
      <c r="D55" s="1"/>
      <c r="E55" s="1"/>
      <c r="F55" s="1"/>
      <c r="G55" s="1"/>
      <c r="H55" s="1"/>
      <c r="I55" s="1"/>
      <c r="J55" s="1"/>
      <c r="K55" s="1"/>
      <c r="L55" s="1"/>
      <c r="M55" s="1"/>
      <c r="N55" s="1"/>
      <c r="O55" s="1"/>
      <c r="P55" s="1"/>
      <c r="Q55" s="1"/>
    </row>
    <row r="56" spans="1:17" x14ac:dyDescent="0.35">
      <c r="A56" s="1"/>
      <c r="B56" s="1"/>
      <c r="C56" s="1"/>
      <c r="D56" s="1"/>
      <c r="E56" s="1"/>
      <c r="F56" s="1"/>
      <c r="G56" s="1"/>
      <c r="H56" s="1"/>
      <c r="I56" s="1"/>
      <c r="J56" s="1"/>
      <c r="K56" s="1"/>
      <c r="L56" s="1"/>
      <c r="M56" s="1"/>
      <c r="N56" s="1"/>
      <c r="O56" s="1"/>
      <c r="P56" s="1"/>
      <c r="Q56" s="1"/>
    </row>
    <row r="57" spans="1:17" x14ac:dyDescent="0.35">
      <c r="A57" s="1"/>
      <c r="B57" s="1"/>
      <c r="C57" s="1"/>
      <c r="D57" s="1"/>
      <c r="E57" s="1"/>
      <c r="F57" s="1"/>
      <c r="G57" s="1"/>
      <c r="H57" s="1"/>
      <c r="I57" s="1"/>
      <c r="J57" s="1"/>
      <c r="K57" s="1"/>
      <c r="L57" s="1"/>
      <c r="M57" s="1"/>
      <c r="N57" s="1"/>
      <c r="O57" s="1"/>
      <c r="P57" s="1"/>
      <c r="Q57" s="1"/>
    </row>
    <row r="58" spans="1:17" x14ac:dyDescent="0.35">
      <c r="A58" s="1"/>
      <c r="B58" s="1"/>
      <c r="C58" s="1"/>
      <c r="D58" s="1"/>
      <c r="E58" s="1"/>
      <c r="F58" s="1"/>
      <c r="G58" s="1"/>
      <c r="H58" s="1"/>
      <c r="I58" s="1"/>
      <c r="J58" s="1"/>
      <c r="K58" s="1"/>
      <c r="L58" s="1"/>
      <c r="M58" s="1"/>
      <c r="N58" s="1"/>
      <c r="O58" s="1"/>
      <c r="P58" s="1"/>
      <c r="Q58" s="1"/>
    </row>
    <row r="59" spans="1:17" x14ac:dyDescent="0.35">
      <c r="A59" s="1"/>
      <c r="B59" s="1"/>
      <c r="C59" s="1"/>
      <c r="D59" s="1"/>
      <c r="E59" s="1"/>
      <c r="F59" s="1"/>
      <c r="G59" s="1"/>
      <c r="H59" s="1"/>
      <c r="I59" s="1"/>
      <c r="J59" s="1"/>
      <c r="K59" s="1"/>
      <c r="L59" s="1"/>
      <c r="M59" s="1"/>
      <c r="N59" s="1"/>
      <c r="O59" s="1"/>
      <c r="P59" s="1"/>
      <c r="Q59" s="1"/>
    </row>
    <row r="60" spans="1:17" x14ac:dyDescent="0.35">
      <c r="A60" s="1"/>
      <c r="B60" s="1"/>
      <c r="C60" s="1"/>
      <c r="D60" s="1"/>
      <c r="E60" s="1"/>
      <c r="F60" s="1"/>
      <c r="G60" s="1"/>
      <c r="H60" s="1"/>
      <c r="I60" s="1"/>
      <c r="J60" s="1"/>
      <c r="K60" s="1"/>
      <c r="L60" s="1"/>
      <c r="M60" s="1"/>
      <c r="N60" s="1"/>
      <c r="O60" s="1"/>
      <c r="P60" s="1"/>
      <c r="Q60" s="1"/>
    </row>
    <row r="61" spans="1:17" x14ac:dyDescent="0.35">
      <c r="A61" s="1"/>
      <c r="B61" s="1"/>
      <c r="C61" s="1"/>
      <c r="D61" s="1"/>
      <c r="E61" s="1"/>
      <c r="F61" s="1"/>
      <c r="G61" s="1"/>
      <c r="H61" s="1"/>
      <c r="I61" s="1"/>
      <c r="J61" s="1"/>
      <c r="K61" s="1"/>
      <c r="L61" s="1"/>
      <c r="M61" s="1"/>
      <c r="N61" s="1"/>
      <c r="O61" s="1"/>
      <c r="P61" s="1"/>
      <c r="Q61" s="1"/>
    </row>
    <row r="62" spans="1:17" x14ac:dyDescent="0.35">
      <c r="A62" s="1"/>
      <c r="B62" s="1"/>
      <c r="C62" s="1"/>
      <c r="D62" s="1"/>
      <c r="E62" s="1"/>
      <c r="F62" s="1"/>
      <c r="G62" s="1"/>
      <c r="H62" s="1"/>
      <c r="I62" s="1"/>
      <c r="J62" s="1"/>
      <c r="K62" s="1"/>
      <c r="L62" s="1"/>
      <c r="M62" s="1"/>
      <c r="N62" s="1"/>
      <c r="O62" s="1"/>
      <c r="P62" s="1"/>
      <c r="Q62" s="1"/>
    </row>
    <row r="63" spans="1:17" x14ac:dyDescent="0.35">
      <c r="A63" s="1"/>
      <c r="B63" s="1"/>
      <c r="C63" s="1"/>
      <c r="D63" s="1"/>
      <c r="E63" s="1"/>
      <c r="F63" s="1"/>
      <c r="G63" s="1"/>
      <c r="H63" s="1"/>
      <c r="I63" s="1"/>
      <c r="J63" s="1"/>
      <c r="K63" s="1"/>
      <c r="L63" s="1"/>
      <c r="M63" s="1"/>
      <c r="N63" s="1"/>
      <c r="O63" s="1"/>
      <c r="P63" s="1"/>
      <c r="Q63" s="1"/>
    </row>
    <row r="64" spans="1:17" x14ac:dyDescent="0.35">
      <c r="A64" s="1"/>
      <c r="B64" s="1"/>
      <c r="C64" s="1"/>
      <c r="D64" s="1"/>
      <c r="E64" s="1"/>
      <c r="F64" s="1"/>
      <c r="G64" s="1"/>
      <c r="H64" s="1"/>
      <c r="I64" s="1"/>
      <c r="J64" s="1"/>
      <c r="K64" s="1"/>
      <c r="L64" s="1"/>
      <c r="M64" s="1"/>
      <c r="N64" s="1"/>
      <c r="O64" s="1"/>
      <c r="P64" s="1"/>
      <c r="Q64" s="1"/>
    </row>
    <row r="65" spans="1:17" x14ac:dyDescent="0.35">
      <c r="A65" s="1"/>
      <c r="B65" s="1"/>
      <c r="C65" s="1"/>
      <c r="D65" s="1"/>
      <c r="E65" s="1"/>
      <c r="F65" s="1"/>
      <c r="G65" s="1"/>
      <c r="H65" s="1"/>
      <c r="I65" s="1"/>
      <c r="J65" s="1"/>
      <c r="K65" s="1"/>
      <c r="L65" s="1"/>
      <c r="M65" s="1"/>
      <c r="N65" s="1"/>
      <c r="O65" s="1"/>
      <c r="P65" s="1"/>
      <c r="Q65" s="1"/>
    </row>
    <row r="66" spans="1:17" x14ac:dyDescent="0.35">
      <c r="A66" s="1"/>
      <c r="B66" s="1"/>
      <c r="C66" s="1"/>
      <c r="D66" s="1"/>
      <c r="E66" s="1"/>
      <c r="F66" s="1"/>
      <c r="G66" s="1"/>
      <c r="H66" s="1"/>
      <c r="I66" s="1"/>
      <c r="J66" s="1"/>
      <c r="K66" s="1"/>
      <c r="L66" s="1"/>
      <c r="M66" s="1"/>
      <c r="N66" s="1"/>
      <c r="O66" s="1"/>
      <c r="P66" s="1"/>
      <c r="Q66" s="1"/>
    </row>
    <row r="67" spans="1:17" x14ac:dyDescent="0.35">
      <c r="A67" s="1"/>
      <c r="B67" s="1"/>
      <c r="C67" s="1"/>
      <c r="D67" s="1"/>
      <c r="E67" s="1"/>
      <c r="F67" s="1"/>
      <c r="G67" s="1"/>
      <c r="H67" s="1"/>
      <c r="I67" s="1"/>
      <c r="J67" s="1"/>
      <c r="K67" s="1"/>
      <c r="L67" s="1"/>
      <c r="M67" s="1"/>
      <c r="N67" s="1"/>
      <c r="O67" s="1"/>
      <c r="P67" s="1"/>
      <c r="Q67" s="1"/>
    </row>
    <row r="68" spans="1:17" x14ac:dyDescent="0.35">
      <c r="A68" s="1"/>
      <c r="B68" s="1"/>
      <c r="C68" s="1"/>
      <c r="D68" s="1"/>
      <c r="E68" s="1"/>
      <c r="F68" s="1"/>
      <c r="G68" s="1"/>
      <c r="H68" s="1"/>
      <c r="I68" s="1"/>
      <c r="J68" s="1"/>
      <c r="K68" s="1"/>
      <c r="L68" s="1"/>
      <c r="M68" s="1"/>
      <c r="N68" s="1"/>
      <c r="O68" s="1"/>
      <c r="P68" s="1"/>
      <c r="Q68" s="1"/>
    </row>
    <row r="69" spans="1:17" x14ac:dyDescent="0.35">
      <c r="A69" s="1"/>
      <c r="B69" s="1"/>
      <c r="C69" s="1"/>
      <c r="D69" s="1"/>
      <c r="E69" s="1"/>
      <c r="F69" s="1"/>
      <c r="G69" s="1"/>
      <c r="H69" s="1"/>
      <c r="I69" s="1"/>
      <c r="J69" s="1"/>
      <c r="K69" s="1"/>
      <c r="L69" s="1"/>
      <c r="M69" s="1"/>
      <c r="N69" s="1"/>
      <c r="O69" s="1"/>
      <c r="P69" s="1"/>
      <c r="Q69" s="1"/>
    </row>
    <row r="70" spans="1:17" x14ac:dyDescent="0.35">
      <c r="A70" s="1"/>
      <c r="B70" s="1"/>
      <c r="C70" s="1"/>
      <c r="D70" s="1"/>
      <c r="E70" s="1"/>
      <c r="F70" s="1"/>
      <c r="G70" s="1"/>
      <c r="H70" s="1"/>
      <c r="I70" s="1"/>
      <c r="J70" s="1"/>
      <c r="K70" s="1"/>
      <c r="L70" s="1"/>
      <c r="M70" s="1"/>
      <c r="N70" s="1"/>
      <c r="O70" s="1"/>
      <c r="P70" s="1"/>
      <c r="Q70" s="1"/>
    </row>
    <row r="71" spans="1:17" x14ac:dyDescent="0.35">
      <c r="A71" s="1"/>
      <c r="B71" s="1"/>
      <c r="C71" s="1"/>
      <c r="D71" s="1"/>
      <c r="E71" s="1"/>
      <c r="F71" s="1"/>
      <c r="G71" s="1"/>
      <c r="H71" s="1"/>
      <c r="I71" s="1"/>
      <c r="J71" s="1"/>
      <c r="K71" s="1"/>
      <c r="L71" s="1"/>
      <c r="M71" s="1"/>
      <c r="N71" s="1"/>
      <c r="O71" s="1"/>
      <c r="P71" s="1"/>
      <c r="Q71" s="1"/>
    </row>
    <row r="72" spans="1:17" x14ac:dyDescent="0.35">
      <c r="A72" s="1"/>
      <c r="B72" s="1"/>
      <c r="C72" s="1"/>
      <c r="D72" s="1"/>
      <c r="E72" s="1"/>
      <c r="F72" s="1"/>
      <c r="G72" s="1"/>
      <c r="H72" s="1"/>
      <c r="I72" s="1"/>
      <c r="J72" s="1"/>
      <c r="K72" s="1"/>
      <c r="L72" s="1"/>
      <c r="M72" s="1"/>
      <c r="N72" s="1"/>
      <c r="O72" s="1"/>
      <c r="P72" s="1"/>
      <c r="Q72" s="1"/>
    </row>
    <row r="73" spans="1:17" x14ac:dyDescent="0.35">
      <c r="A73" s="1"/>
      <c r="B73" s="1"/>
      <c r="C73" s="1"/>
      <c r="D73" s="1"/>
      <c r="E73" s="1"/>
      <c r="F73" s="1"/>
      <c r="G73" s="1"/>
      <c r="H73" s="1"/>
      <c r="I73" s="1"/>
      <c r="J73" s="1"/>
      <c r="K73" s="1"/>
      <c r="L73" s="1"/>
      <c r="M73" s="1"/>
      <c r="N73" s="1"/>
      <c r="O73" s="1"/>
      <c r="P73" s="1"/>
      <c r="Q73" s="1"/>
    </row>
    <row r="74" spans="1:17" x14ac:dyDescent="0.35">
      <c r="A74" s="1"/>
      <c r="B74" s="1"/>
      <c r="C74" s="1"/>
      <c r="D74" s="1"/>
      <c r="E74" s="1"/>
      <c r="F74" s="1"/>
      <c r="G74" s="1"/>
      <c r="H74" s="1"/>
      <c r="I74" s="1"/>
      <c r="J74" s="1"/>
      <c r="K74" s="1"/>
      <c r="L74" s="1"/>
      <c r="M74" s="1"/>
      <c r="N74" s="1"/>
      <c r="O74" s="1"/>
      <c r="P74" s="1"/>
      <c r="Q74" s="1"/>
    </row>
    <row r="75" spans="1:17" x14ac:dyDescent="0.35">
      <c r="A75" s="1"/>
      <c r="B75" s="1"/>
      <c r="C75" s="1"/>
      <c r="D75" s="1"/>
      <c r="E75" s="1"/>
      <c r="F75" s="1"/>
      <c r="G75" s="1"/>
      <c r="H75" s="1"/>
      <c r="I75" s="1"/>
      <c r="J75" s="1"/>
      <c r="K75" s="1"/>
      <c r="L75" s="1"/>
      <c r="M75" s="1"/>
      <c r="N75" s="1"/>
      <c r="O75" s="1"/>
      <c r="P75" s="1"/>
      <c r="Q75" s="1"/>
    </row>
    <row r="76" spans="1:17" x14ac:dyDescent="0.35">
      <c r="A76" s="1"/>
      <c r="B76" s="1"/>
      <c r="C76" s="1"/>
      <c r="D76" s="1"/>
      <c r="E76" s="1"/>
      <c r="F76" s="1"/>
      <c r="G76" s="1"/>
      <c r="H76" s="1"/>
      <c r="I76" s="1"/>
      <c r="J76" s="1"/>
      <c r="K76" s="1"/>
      <c r="L76" s="1"/>
      <c r="M76" s="1"/>
      <c r="N76" s="1"/>
      <c r="O76" s="1"/>
      <c r="P76" s="1"/>
      <c r="Q76" s="1"/>
    </row>
    <row r="77" spans="1:17" x14ac:dyDescent="0.35">
      <c r="A77" s="1"/>
      <c r="B77" s="1"/>
      <c r="C77" s="1"/>
      <c r="D77" s="1"/>
      <c r="E77" s="1"/>
      <c r="F77" s="1"/>
      <c r="G77" s="1"/>
      <c r="H77" s="1"/>
      <c r="I77" s="1"/>
      <c r="J77" s="1"/>
      <c r="K77" s="1"/>
      <c r="L77" s="1"/>
      <c r="M77" s="1"/>
      <c r="N77" s="1"/>
      <c r="O77" s="1"/>
      <c r="P77" s="1"/>
      <c r="Q77" s="1"/>
    </row>
    <row r="78" spans="1:17" x14ac:dyDescent="0.35">
      <c r="A78" s="1"/>
      <c r="B78" s="1"/>
      <c r="C78" s="1"/>
      <c r="D78" s="1"/>
      <c r="E78" s="1"/>
      <c r="F78" s="1"/>
      <c r="G78" s="1"/>
      <c r="H78" s="1"/>
      <c r="I78" s="1"/>
      <c r="J78" s="1"/>
      <c r="K78" s="1"/>
      <c r="L78" s="1"/>
      <c r="M78" s="1"/>
      <c r="N78" s="1"/>
      <c r="O78" s="1"/>
      <c r="P78" s="1"/>
      <c r="Q78" s="1"/>
    </row>
    <row r="79" spans="1:17" x14ac:dyDescent="0.35">
      <c r="A79" s="1"/>
      <c r="B79" s="1"/>
      <c r="C79" s="1"/>
      <c r="D79" s="1"/>
      <c r="E79" s="1"/>
      <c r="F79" s="1"/>
      <c r="G79" s="1"/>
      <c r="H79" s="1"/>
      <c r="I79" s="1"/>
      <c r="J79" s="1"/>
      <c r="K79" s="1"/>
      <c r="L79" s="1"/>
      <c r="M79" s="1"/>
      <c r="N79" s="1"/>
      <c r="O79" s="1"/>
      <c r="P79" s="1"/>
      <c r="Q79" s="1"/>
    </row>
    <row r="80" spans="1:17" x14ac:dyDescent="0.35">
      <c r="A80" s="1"/>
      <c r="B80" s="1"/>
      <c r="C80" s="1"/>
      <c r="D80" s="1"/>
      <c r="E80" s="1"/>
      <c r="F80" s="1"/>
      <c r="G80" s="1"/>
      <c r="H80" s="1"/>
      <c r="I80" s="1"/>
      <c r="J80" s="1"/>
      <c r="K80" s="1"/>
      <c r="L80" s="1"/>
      <c r="M80" s="1"/>
      <c r="N80" s="1"/>
      <c r="O80" s="1"/>
      <c r="P80" s="1"/>
      <c r="Q80" s="1"/>
    </row>
    <row r="81" spans="1:17" x14ac:dyDescent="0.35">
      <c r="A81" s="1"/>
      <c r="B81" s="1"/>
      <c r="C81" s="1"/>
      <c r="D81" s="1"/>
      <c r="E81" s="1"/>
      <c r="F81" s="1"/>
      <c r="G81" s="1"/>
      <c r="H81" s="1"/>
      <c r="I81" s="1"/>
      <c r="J81" s="1"/>
      <c r="K81" s="1"/>
      <c r="L81" s="1"/>
      <c r="M81" s="1"/>
      <c r="N81" s="1"/>
      <c r="O81" s="1"/>
      <c r="P81" s="1"/>
      <c r="Q81" s="1"/>
    </row>
    <row r="82" spans="1:17" x14ac:dyDescent="0.35">
      <c r="A82" s="1"/>
      <c r="B82" s="1"/>
      <c r="C82" s="1"/>
      <c r="D82" s="1"/>
      <c r="E82" s="1"/>
      <c r="F82" s="1"/>
      <c r="G82" s="1"/>
      <c r="H82" s="1"/>
      <c r="I82" s="1"/>
      <c r="J82" s="1"/>
      <c r="K82" s="1"/>
      <c r="L82" s="1"/>
      <c r="M82" s="1"/>
      <c r="N82" s="1"/>
      <c r="O82" s="1"/>
      <c r="P82" s="1"/>
      <c r="Q82" s="1"/>
    </row>
    <row r="83" spans="1:17" x14ac:dyDescent="0.35">
      <c r="A83" s="1"/>
      <c r="B83" s="1"/>
      <c r="C83" s="1"/>
      <c r="D83" s="1"/>
      <c r="E83" s="1"/>
      <c r="F83" s="1"/>
      <c r="G83" s="1"/>
      <c r="H83" s="1"/>
      <c r="I83" s="1"/>
      <c r="J83" s="1"/>
      <c r="K83" s="1"/>
      <c r="L83" s="1"/>
      <c r="M83" s="1"/>
      <c r="N83" s="1"/>
      <c r="O83" s="1"/>
      <c r="P83" s="1"/>
      <c r="Q83" s="1"/>
    </row>
    <row r="84" spans="1:17" x14ac:dyDescent="0.35">
      <c r="A84" s="1"/>
      <c r="B84" s="1"/>
      <c r="C84" s="1"/>
      <c r="D84" s="1"/>
      <c r="E84" s="1"/>
      <c r="F84" s="1"/>
      <c r="G84" s="1"/>
      <c r="H84" s="1"/>
      <c r="I84" s="1"/>
      <c r="J84" s="1"/>
      <c r="K84" s="1"/>
      <c r="L84" s="1"/>
      <c r="M84" s="1"/>
      <c r="N84" s="1"/>
      <c r="O84" s="1"/>
      <c r="P84" s="1"/>
      <c r="Q84" s="1"/>
    </row>
    <row r="85" spans="1:17" x14ac:dyDescent="0.35">
      <c r="A85" s="1"/>
      <c r="B85" s="1"/>
      <c r="C85" s="1"/>
      <c r="D85" s="1"/>
      <c r="E85" s="1"/>
      <c r="F85" s="1"/>
      <c r="G85" s="1"/>
      <c r="H85" s="1"/>
      <c r="I85" s="1"/>
      <c r="J85" s="1"/>
      <c r="K85" s="1"/>
      <c r="L85" s="1"/>
      <c r="M85" s="1"/>
      <c r="N85" s="1"/>
      <c r="O85" s="1"/>
      <c r="P85" s="1"/>
      <c r="Q85" s="1"/>
    </row>
    <row r="86" spans="1:17" x14ac:dyDescent="0.35">
      <c r="A86" s="1"/>
      <c r="B86" s="1"/>
      <c r="C86" s="1"/>
      <c r="D86" s="1"/>
      <c r="E86" s="1"/>
      <c r="F86" s="1"/>
      <c r="G86" s="1"/>
      <c r="H86" s="1"/>
      <c r="I86" s="1"/>
      <c r="J86" s="1"/>
      <c r="K86" s="1"/>
      <c r="L86" s="1"/>
      <c r="M86" s="1"/>
      <c r="N86" s="1"/>
      <c r="O86" s="1"/>
      <c r="P86" s="1"/>
      <c r="Q86" s="1"/>
    </row>
    <row r="87" spans="1:17" x14ac:dyDescent="0.35">
      <c r="A87" s="1"/>
      <c r="B87" s="1"/>
      <c r="C87" s="1"/>
      <c r="D87" s="1"/>
      <c r="E87" s="1"/>
      <c r="F87" s="1"/>
      <c r="G87" s="1"/>
      <c r="H87" s="1"/>
      <c r="I87" s="1"/>
      <c r="J87" s="1"/>
      <c r="K87" s="1"/>
      <c r="L87" s="1"/>
      <c r="M87" s="1"/>
      <c r="N87" s="1"/>
      <c r="O87" s="1"/>
      <c r="P87" s="1"/>
      <c r="Q87" s="1"/>
    </row>
    <row r="88" spans="1:17" x14ac:dyDescent="0.35">
      <c r="A88" s="1"/>
      <c r="B88" s="1"/>
      <c r="C88" s="1"/>
      <c r="D88" s="1"/>
      <c r="E88" s="1"/>
      <c r="F88" s="1"/>
      <c r="G88" s="1"/>
      <c r="H88" s="1"/>
      <c r="I88" s="1"/>
      <c r="J88" s="1"/>
      <c r="K88" s="1"/>
      <c r="L88" s="1"/>
      <c r="M88" s="1"/>
      <c r="N88" s="1"/>
      <c r="O88" s="1"/>
      <c r="P88" s="1"/>
      <c r="Q88" s="1"/>
    </row>
    <row r="89" spans="1:17" x14ac:dyDescent="0.35">
      <c r="A89" s="1"/>
      <c r="B89" s="1"/>
      <c r="C89" s="1"/>
      <c r="D89" s="1"/>
      <c r="E89" s="1"/>
      <c r="F89" s="1"/>
      <c r="G89" s="1"/>
      <c r="H89" s="1"/>
      <c r="I89" s="1"/>
      <c r="J89" s="1"/>
      <c r="K89" s="1"/>
      <c r="L89" s="1"/>
      <c r="M89" s="1"/>
      <c r="N89" s="1"/>
      <c r="O89" s="1"/>
      <c r="P89" s="1"/>
      <c r="Q89" s="1"/>
    </row>
    <row r="90" spans="1:17" x14ac:dyDescent="0.35">
      <c r="A90" s="1"/>
      <c r="B90" s="1"/>
      <c r="C90" s="1"/>
      <c r="D90" s="1"/>
      <c r="E90" s="1"/>
      <c r="F90" s="1"/>
      <c r="G90" s="1"/>
      <c r="H90" s="1"/>
      <c r="I90" s="1"/>
      <c r="J90" s="1"/>
      <c r="K90" s="1"/>
      <c r="L90" s="1"/>
      <c r="M90" s="1"/>
      <c r="N90" s="1"/>
      <c r="O90" s="1"/>
      <c r="P90" s="1"/>
      <c r="Q90" s="1"/>
    </row>
    <row r="91" spans="1:17" x14ac:dyDescent="0.35">
      <c r="A91" s="1"/>
      <c r="B91" s="1"/>
      <c r="C91" s="1"/>
      <c r="D91" s="1"/>
      <c r="E91" s="1"/>
      <c r="F91" s="1"/>
      <c r="G91" s="1"/>
      <c r="H91" s="1"/>
      <c r="I91" s="1"/>
      <c r="J91" s="1"/>
      <c r="K91" s="1"/>
      <c r="L91" s="1"/>
      <c r="M91" s="1"/>
      <c r="N91" s="1"/>
      <c r="O91" s="1"/>
      <c r="P91" s="1"/>
      <c r="Q91" s="1"/>
    </row>
    <row r="92" spans="1:17" x14ac:dyDescent="0.35">
      <c r="A92" s="1"/>
      <c r="B92" s="1"/>
      <c r="C92" s="1"/>
      <c r="D92" s="1"/>
      <c r="E92" s="1"/>
      <c r="F92" s="1"/>
      <c r="G92" s="1"/>
      <c r="H92" s="1"/>
      <c r="I92" s="1"/>
      <c r="J92" s="1"/>
      <c r="K92" s="1"/>
      <c r="L92" s="1"/>
      <c r="M92" s="1"/>
      <c r="N92" s="1"/>
      <c r="O92" s="1"/>
      <c r="P92" s="1"/>
      <c r="Q92" s="1"/>
    </row>
    <row r="93" spans="1:17" x14ac:dyDescent="0.35">
      <c r="A93" s="1"/>
      <c r="B93" s="1"/>
      <c r="C93" s="1"/>
      <c r="D93" s="1"/>
      <c r="E93" s="1"/>
      <c r="F93" s="1"/>
      <c r="G93" s="1"/>
      <c r="H93" s="1"/>
      <c r="I93" s="1"/>
      <c r="J93" s="1"/>
      <c r="K93" s="1"/>
      <c r="L93" s="1"/>
      <c r="M93" s="1"/>
      <c r="N93" s="1"/>
      <c r="O93" s="1"/>
      <c r="P93" s="1"/>
      <c r="Q93" s="1"/>
    </row>
    <row r="94" spans="1:17" x14ac:dyDescent="0.35">
      <c r="A94" s="1"/>
      <c r="B94" s="1"/>
      <c r="C94" s="1"/>
      <c r="D94" s="1"/>
      <c r="E94" s="1"/>
      <c r="F94" s="1"/>
      <c r="G94" s="1"/>
      <c r="H94" s="1"/>
      <c r="I94" s="1"/>
      <c r="J94" s="1"/>
      <c r="K94" s="1"/>
      <c r="L94" s="1"/>
      <c r="M94" s="1"/>
      <c r="N94" s="1"/>
      <c r="O94" s="1"/>
      <c r="P94" s="1"/>
      <c r="Q94" s="1"/>
    </row>
    <row r="95" spans="1:17" x14ac:dyDescent="0.35">
      <c r="A95" s="1"/>
      <c r="B95" s="1"/>
      <c r="C95" s="1"/>
      <c r="D95" s="1"/>
      <c r="E95" s="1"/>
      <c r="F95" s="1"/>
      <c r="G95" s="1"/>
      <c r="H95" s="1"/>
      <c r="I95" s="1"/>
      <c r="J95" s="1"/>
      <c r="K95" s="1"/>
      <c r="L95" s="1"/>
      <c r="M95" s="1"/>
      <c r="N95" s="1"/>
      <c r="O95" s="1"/>
      <c r="P95" s="1"/>
      <c r="Q95" s="1"/>
    </row>
    <row r="96" spans="1:17" x14ac:dyDescent="0.35">
      <c r="A96" s="1"/>
      <c r="B96" s="1"/>
      <c r="C96" s="1"/>
      <c r="D96" s="1"/>
      <c r="E96" s="1"/>
      <c r="F96" s="1"/>
      <c r="G96" s="1"/>
      <c r="H96" s="1"/>
      <c r="I96" s="1"/>
      <c r="J96" s="1"/>
      <c r="K96" s="1"/>
      <c r="L96" s="1"/>
      <c r="M96" s="1"/>
      <c r="N96" s="1"/>
      <c r="O96" s="1"/>
      <c r="P96" s="1"/>
      <c r="Q96" s="1"/>
    </row>
    <row r="97" spans="1:17" x14ac:dyDescent="0.35">
      <c r="A97" s="1"/>
      <c r="B97" s="1"/>
      <c r="C97" s="1"/>
      <c r="D97" s="1"/>
      <c r="E97" s="1"/>
      <c r="F97" s="1"/>
      <c r="G97" s="1"/>
      <c r="H97" s="1"/>
      <c r="I97" s="1"/>
      <c r="J97" s="1"/>
      <c r="K97" s="1"/>
      <c r="L97" s="1"/>
      <c r="M97" s="1"/>
      <c r="N97" s="1"/>
      <c r="O97" s="1"/>
      <c r="P97" s="1"/>
      <c r="Q97" s="1"/>
    </row>
    <row r="98" spans="1:17" x14ac:dyDescent="0.35">
      <c r="A98" s="1"/>
      <c r="B98" s="1"/>
      <c r="C98" s="1"/>
      <c r="D98" s="1"/>
      <c r="E98" s="1"/>
      <c r="F98" s="1"/>
      <c r="G98" s="1"/>
      <c r="H98" s="1"/>
      <c r="I98" s="1"/>
      <c r="J98" s="1"/>
      <c r="K98" s="1"/>
      <c r="L98" s="1"/>
      <c r="M98" s="1"/>
      <c r="N98" s="1"/>
      <c r="O98" s="1"/>
      <c r="P98" s="1"/>
      <c r="Q98" s="1"/>
    </row>
    <row r="99" spans="1:17" x14ac:dyDescent="0.35">
      <c r="A99" s="1"/>
      <c r="B99" s="1"/>
      <c r="C99" s="1"/>
      <c r="D99" s="1"/>
      <c r="E99" s="1"/>
      <c r="F99" s="1"/>
      <c r="G99" s="1"/>
      <c r="H99" s="1"/>
      <c r="I99" s="1"/>
      <c r="J99" s="1"/>
      <c r="K99" s="1"/>
      <c r="L99" s="1"/>
      <c r="M99" s="1"/>
      <c r="N99" s="1"/>
      <c r="O99" s="1"/>
      <c r="P99" s="1"/>
      <c r="Q99" s="1"/>
    </row>
    <row r="100" spans="1:17" x14ac:dyDescent="0.35">
      <c r="A100" s="1"/>
      <c r="B100" s="1"/>
      <c r="C100" s="1"/>
      <c r="D100" s="1"/>
      <c r="E100" s="1"/>
      <c r="F100" s="1"/>
      <c r="G100" s="1"/>
      <c r="H100" s="1"/>
      <c r="I100" s="1"/>
      <c r="J100" s="1"/>
      <c r="K100" s="1"/>
      <c r="L100" s="1"/>
      <c r="M100" s="1"/>
      <c r="N100" s="1"/>
      <c r="O100" s="1"/>
      <c r="P100" s="1"/>
      <c r="Q100" s="1"/>
    </row>
    <row r="101" spans="1:17" x14ac:dyDescent="0.35">
      <c r="A101" s="1"/>
      <c r="B101" s="1"/>
      <c r="C101" s="1"/>
      <c r="D101" s="1"/>
      <c r="E101" s="1"/>
      <c r="F101" s="1"/>
      <c r="G101" s="1"/>
      <c r="H101" s="1"/>
      <c r="I101" s="1"/>
      <c r="J101" s="1"/>
      <c r="K101" s="1"/>
      <c r="L101" s="1"/>
      <c r="M101" s="1"/>
      <c r="N101" s="1"/>
      <c r="O101" s="1"/>
      <c r="P101" s="1"/>
      <c r="Q101" s="1"/>
    </row>
    <row r="102" spans="1:17" x14ac:dyDescent="0.35">
      <c r="A102" s="1"/>
      <c r="B102" s="1"/>
      <c r="C102" s="1"/>
      <c r="D102" s="1"/>
      <c r="E102" s="1"/>
      <c r="F102" s="1"/>
      <c r="G102" s="1"/>
      <c r="H102" s="1"/>
      <c r="I102" s="1"/>
      <c r="J102" s="1"/>
      <c r="K102" s="1"/>
      <c r="L102" s="1"/>
      <c r="M102" s="1"/>
      <c r="N102" s="1"/>
      <c r="O102" s="1"/>
      <c r="P102" s="1"/>
      <c r="Q102" s="1"/>
    </row>
    <row r="103" spans="1:17" x14ac:dyDescent="0.35">
      <c r="A103" s="1"/>
      <c r="B103" s="1"/>
      <c r="C103" s="1"/>
      <c r="D103" s="1"/>
      <c r="E103" s="1"/>
      <c r="F103" s="1"/>
      <c r="G103" s="1"/>
      <c r="H103" s="1"/>
      <c r="I103" s="1"/>
      <c r="J103" s="1"/>
      <c r="K103" s="1"/>
      <c r="L103" s="1"/>
      <c r="M103" s="1"/>
      <c r="N103" s="1"/>
      <c r="O103" s="1"/>
      <c r="P103" s="1"/>
      <c r="Q103" s="1"/>
    </row>
    <row r="104" spans="1:17" x14ac:dyDescent="0.35">
      <c r="A104" s="1"/>
      <c r="B104" s="1"/>
      <c r="C104" s="1"/>
      <c r="D104" s="1"/>
      <c r="E104" s="1"/>
      <c r="F104" s="1"/>
      <c r="G104" s="1"/>
      <c r="H104" s="1"/>
      <c r="I104" s="1"/>
      <c r="J104" s="1"/>
      <c r="K104" s="1"/>
      <c r="L104" s="1"/>
      <c r="M104" s="1"/>
      <c r="N104" s="1"/>
      <c r="O104" s="1"/>
      <c r="P104" s="1"/>
      <c r="Q104" s="1"/>
    </row>
    <row r="105" spans="1:17" x14ac:dyDescent="0.35">
      <c r="A105" s="1"/>
      <c r="B105" s="1"/>
      <c r="C105" s="1"/>
      <c r="D105" s="1"/>
      <c r="E105" s="1"/>
      <c r="F105" s="1"/>
      <c r="G105" s="1"/>
      <c r="H105" s="1"/>
      <c r="I105" s="1"/>
      <c r="J105" s="1"/>
      <c r="K105" s="1"/>
      <c r="L105" s="1"/>
      <c r="M105" s="1"/>
      <c r="N105" s="1"/>
      <c r="O105" s="1"/>
      <c r="P105" s="1"/>
      <c r="Q105" s="1"/>
    </row>
    <row r="106" spans="1:17" x14ac:dyDescent="0.35">
      <c r="A106" s="1"/>
      <c r="B106" s="1"/>
      <c r="C106" s="1"/>
      <c r="D106" s="1"/>
      <c r="E106" s="1"/>
      <c r="F106" s="1"/>
      <c r="G106" s="1"/>
      <c r="H106" s="1"/>
      <c r="I106" s="1"/>
      <c r="J106" s="1"/>
      <c r="K106" s="1"/>
      <c r="L106" s="1"/>
      <c r="M106" s="1"/>
      <c r="N106" s="1"/>
      <c r="O106" s="1"/>
      <c r="P106" s="1"/>
      <c r="Q106" s="1"/>
    </row>
    <row r="107" spans="1:17" x14ac:dyDescent="0.35">
      <c r="A107" s="1"/>
      <c r="B107" s="1"/>
      <c r="C107" s="1"/>
      <c r="D107" s="1"/>
      <c r="E107" s="1"/>
      <c r="F107" s="1"/>
      <c r="G107" s="1"/>
      <c r="H107" s="1"/>
      <c r="I107" s="1"/>
      <c r="J107" s="1"/>
      <c r="K107" s="1"/>
      <c r="L107" s="1"/>
      <c r="M107" s="1"/>
      <c r="N107" s="1"/>
      <c r="O107" s="1"/>
      <c r="P107" s="1"/>
      <c r="Q107" s="1"/>
    </row>
    <row r="108" spans="1:17" x14ac:dyDescent="0.35">
      <c r="A108" s="1"/>
      <c r="B108" s="1"/>
      <c r="C108" s="1"/>
      <c r="D108" s="1"/>
      <c r="E108" s="1"/>
      <c r="F108" s="1"/>
      <c r="G108" s="1"/>
      <c r="H108" s="1"/>
      <c r="I108" s="1"/>
      <c r="J108" s="1"/>
      <c r="K108" s="1"/>
      <c r="L108" s="1"/>
      <c r="M108" s="1"/>
      <c r="N108" s="1"/>
      <c r="O108" s="1"/>
      <c r="P108" s="1"/>
      <c r="Q108" s="1"/>
    </row>
    <row r="109" spans="1:17" x14ac:dyDescent="0.35">
      <c r="A109" s="1"/>
      <c r="B109" s="1"/>
      <c r="C109" s="1"/>
      <c r="D109" s="1"/>
      <c r="E109" s="1"/>
      <c r="F109" s="1"/>
      <c r="G109" s="1"/>
      <c r="H109" s="1"/>
      <c r="I109" s="1"/>
      <c r="J109" s="1"/>
      <c r="K109" s="1"/>
      <c r="L109" s="1"/>
      <c r="M109" s="1"/>
      <c r="N109" s="1"/>
      <c r="O109" s="1"/>
      <c r="P109" s="1"/>
      <c r="Q109" s="1"/>
    </row>
    <row r="110" spans="1:17" x14ac:dyDescent="0.35">
      <c r="A110" s="1"/>
      <c r="B110" s="1"/>
      <c r="C110" s="1"/>
      <c r="D110" s="1"/>
      <c r="E110" s="1"/>
      <c r="F110" s="1"/>
      <c r="G110" s="1"/>
      <c r="H110" s="1"/>
      <c r="I110" s="1"/>
      <c r="J110" s="1"/>
      <c r="K110" s="1"/>
      <c r="L110" s="1"/>
      <c r="M110" s="1"/>
      <c r="N110" s="1"/>
      <c r="O110" s="1"/>
      <c r="P110" s="1"/>
      <c r="Q110" s="1"/>
    </row>
    <row r="111" spans="1:17" x14ac:dyDescent="0.35">
      <c r="A111" s="1"/>
      <c r="B111" s="1"/>
      <c r="C111" s="1"/>
      <c r="D111" s="1"/>
      <c r="E111" s="1"/>
      <c r="F111" s="1"/>
      <c r="G111" s="1"/>
      <c r="H111" s="1"/>
      <c r="I111" s="1"/>
      <c r="J111" s="1"/>
      <c r="K111" s="1"/>
      <c r="L111" s="1"/>
      <c r="M111" s="1"/>
      <c r="N111" s="1"/>
      <c r="O111" s="1"/>
      <c r="P111" s="1"/>
      <c r="Q111" s="1"/>
    </row>
    <row r="112" spans="1:17" x14ac:dyDescent="0.35">
      <c r="A112" s="1"/>
      <c r="B112" s="1"/>
      <c r="C112" s="1"/>
      <c r="D112" s="1"/>
      <c r="E112" s="1"/>
      <c r="F112" s="1"/>
      <c r="G112" s="1"/>
      <c r="H112" s="1"/>
      <c r="I112" s="1"/>
      <c r="J112" s="1"/>
      <c r="K112" s="1"/>
      <c r="L112" s="1"/>
      <c r="M112" s="1"/>
      <c r="N112" s="1"/>
      <c r="O112" s="1"/>
      <c r="P112" s="1"/>
      <c r="Q112" s="1"/>
    </row>
    <row r="113" spans="1:17" x14ac:dyDescent="0.35">
      <c r="A113" s="1"/>
      <c r="B113" s="1"/>
      <c r="C113" s="1"/>
      <c r="D113" s="1"/>
      <c r="E113" s="1"/>
      <c r="F113" s="1"/>
      <c r="G113" s="1"/>
      <c r="H113" s="1"/>
      <c r="I113" s="1"/>
      <c r="J113" s="1"/>
      <c r="K113" s="1"/>
      <c r="L113" s="1"/>
      <c r="M113" s="1"/>
      <c r="N113" s="1"/>
      <c r="O113" s="1"/>
      <c r="P113" s="1"/>
      <c r="Q113" s="1"/>
    </row>
    <row r="114" spans="1:17" x14ac:dyDescent="0.35">
      <c r="A114" s="1"/>
      <c r="B114" s="1"/>
      <c r="C114" s="1"/>
      <c r="D114" s="1"/>
      <c r="E114" s="1"/>
      <c r="F114" s="1"/>
      <c r="G114" s="1"/>
      <c r="H114" s="1"/>
      <c r="I114" s="1"/>
      <c r="J114" s="1"/>
      <c r="K114" s="1"/>
      <c r="L114" s="1"/>
      <c r="M114" s="1"/>
      <c r="N114" s="1"/>
      <c r="O114" s="1"/>
      <c r="P114" s="1"/>
      <c r="Q114" s="1"/>
    </row>
    <row r="115" spans="1:17" x14ac:dyDescent="0.35">
      <c r="A115" s="1"/>
      <c r="B115" s="1"/>
      <c r="C115" s="1"/>
      <c r="D115" s="1"/>
      <c r="E115" s="1"/>
      <c r="F115" s="1"/>
      <c r="G115" s="1"/>
      <c r="H115" s="1"/>
      <c r="I115" s="1"/>
      <c r="J115" s="1"/>
      <c r="K115" s="1"/>
      <c r="L115" s="1"/>
      <c r="M115" s="1"/>
      <c r="N115" s="1"/>
      <c r="O115" s="1"/>
      <c r="P115" s="1"/>
      <c r="Q115" s="1"/>
    </row>
    <row r="116" spans="1:17" x14ac:dyDescent="0.35">
      <c r="A116" s="1"/>
      <c r="B116" s="1"/>
      <c r="C116" s="1"/>
      <c r="D116" s="1"/>
      <c r="E116" s="1"/>
      <c r="F116" s="1"/>
      <c r="G116" s="1"/>
      <c r="H116" s="1"/>
      <c r="I116" s="1"/>
      <c r="J116" s="1"/>
      <c r="K116" s="1"/>
      <c r="L116" s="1"/>
      <c r="M116" s="1"/>
      <c r="N116" s="1"/>
      <c r="O116" s="1"/>
      <c r="P116" s="1"/>
      <c r="Q116" s="1"/>
    </row>
    <row r="117" spans="1:17" x14ac:dyDescent="0.35">
      <c r="A117" s="1"/>
      <c r="B117" s="1"/>
      <c r="C117" s="1"/>
      <c r="D117" s="1"/>
      <c r="E117" s="1"/>
      <c r="F117" s="1"/>
      <c r="G117" s="1"/>
      <c r="H117" s="1"/>
      <c r="I117" s="1"/>
      <c r="J117" s="1"/>
      <c r="K117" s="1"/>
      <c r="L117" s="1"/>
      <c r="M117" s="1"/>
      <c r="N117" s="1"/>
      <c r="O117" s="1"/>
      <c r="P117" s="1"/>
      <c r="Q117" s="1"/>
    </row>
    <row r="118" spans="1:17" x14ac:dyDescent="0.35">
      <c r="A118" s="1"/>
      <c r="B118" s="1"/>
      <c r="C118" s="1"/>
      <c r="D118" s="1"/>
      <c r="E118" s="1"/>
      <c r="F118" s="1"/>
      <c r="G118" s="1"/>
      <c r="H118" s="1"/>
      <c r="I118" s="1"/>
      <c r="J118" s="1"/>
      <c r="K118" s="1"/>
      <c r="L118" s="1"/>
      <c r="M118" s="1"/>
      <c r="N118" s="1"/>
      <c r="O118" s="1"/>
      <c r="P118" s="1"/>
      <c r="Q118" s="1"/>
    </row>
    <row r="119" spans="1:17" x14ac:dyDescent="0.35">
      <c r="A119" s="1"/>
      <c r="B119" s="1"/>
      <c r="C119" s="1"/>
      <c r="D119" s="1"/>
      <c r="E119" s="1"/>
      <c r="F119" s="1"/>
      <c r="G119" s="1"/>
      <c r="H119" s="1"/>
      <c r="I119" s="1"/>
      <c r="J119" s="1"/>
      <c r="K119" s="1"/>
      <c r="L119" s="1"/>
      <c r="M119" s="1"/>
      <c r="N119" s="1"/>
      <c r="O119" s="1"/>
      <c r="P119" s="1"/>
      <c r="Q119" s="1"/>
    </row>
    <row r="120" spans="1:17" x14ac:dyDescent="0.35">
      <c r="A120" s="1"/>
      <c r="B120" s="1"/>
      <c r="C120" s="1"/>
      <c r="D120" s="1"/>
      <c r="E120" s="1"/>
      <c r="F120" s="1"/>
      <c r="G120" s="1"/>
      <c r="H120" s="1"/>
      <c r="I120" s="1"/>
      <c r="J120" s="1"/>
      <c r="K120" s="1"/>
      <c r="L120" s="1"/>
      <c r="M120" s="1"/>
      <c r="N120" s="1"/>
      <c r="O120" s="1"/>
      <c r="P120" s="1"/>
      <c r="Q120" s="1"/>
    </row>
    <row r="121" spans="1:17" x14ac:dyDescent="0.35">
      <c r="A121" s="1"/>
      <c r="B121" s="1"/>
      <c r="C121" s="1"/>
      <c r="D121" s="1"/>
      <c r="E121" s="1"/>
      <c r="F121" s="1"/>
      <c r="G121" s="1"/>
      <c r="H121" s="1"/>
      <c r="I121" s="1"/>
      <c r="J121" s="1"/>
      <c r="K121" s="1"/>
      <c r="L121" s="1"/>
      <c r="M121" s="1"/>
      <c r="N121" s="1"/>
      <c r="O121" s="1"/>
      <c r="P121" s="1"/>
      <c r="Q121" s="1"/>
    </row>
    <row r="122" spans="1:17" x14ac:dyDescent="0.35">
      <c r="A122" s="1"/>
      <c r="B122" s="1"/>
      <c r="C122" s="1"/>
      <c r="D122" s="1"/>
      <c r="E122" s="1"/>
      <c r="F122" s="1"/>
      <c r="G122" s="1"/>
      <c r="H122" s="1"/>
      <c r="I122" s="1"/>
      <c r="J122" s="1"/>
      <c r="K122" s="1"/>
      <c r="L122" s="1"/>
      <c r="M122" s="1"/>
      <c r="N122" s="1"/>
      <c r="O122" s="1"/>
      <c r="P122" s="1"/>
      <c r="Q122" s="1"/>
    </row>
    <row r="123" spans="1:17" x14ac:dyDescent="0.35">
      <c r="A123" s="1"/>
      <c r="B123" s="1"/>
      <c r="C123" s="1"/>
      <c r="D123" s="1"/>
      <c r="E123" s="1"/>
      <c r="F123" s="1"/>
      <c r="G123" s="1"/>
      <c r="H123" s="1"/>
      <c r="I123" s="1"/>
      <c r="J123" s="1"/>
      <c r="K123" s="1"/>
      <c r="L123" s="1"/>
      <c r="M123" s="1"/>
      <c r="N123" s="1"/>
      <c r="O123" s="1"/>
      <c r="P123" s="1"/>
      <c r="Q123" s="1"/>
    </row>
    <row r="124" spans="1:17" x14ac:dyDescent="0.35">
      <c r="A124" s="1"/>
      <c r="B124" s="1"/>
      <c r="C124" s="1"/>
      <c r="D124" s="1"/>
      <c r="E124" s="1"/>
      <c r="F124" s="1"/>
      <c r="G124" s="1"/>
      <c r="H124" s="1"/>
      <c r="I124" s="1"/>
      <c r="J124" s="1"/>
      <c r="K124" s="1"/>
      <c r="L124" s="1"/>
      <c r="M124" s="1"/>
      <c r="N124" s="1"/>
      <c r="O124" s="1"/>
      <c r="P124" s="1"/>
      <c r="Q124" s="1"/>
    </row>
    <row r="125" spans="1:17" x14ac:dyDescent="0.35">
      <c r="A125" s="1"/>
      <c r="B125" s="1"/>
      <c r="C125" s="1"/>
      <c r="D125" s="1"/>
      <c r="E125" s="1"/>
      <c r="F125" s="1"/>
      <c r="G125" s="1"/>
      <c r="H125" s="1"/>
      <c r="I125" s="1"/>
      <c r="J125" s="1"/>
      <c r="K125" s="1"/>
      <c r="L125" s="1"/>
      <c r="M125" s="1"/>
      <c r="N125" s="1"/>
      <c r="O125" s="1"/>
      <c r="P125" s="1"/>
      <c r="Q125" s="1"/>
    </row>
    <row r="126" spans="1:17" x14ac:dyDescent="0.35">
      <c r="A126" s="1"/>
      <c r="B126" s="1"/>
      <c r="C126" s="1"/>
      <c r="D126" s="1"/>
      <c r="E126" s="1"/>
      <c r="F126" s="1"/>
      <c r="G126" s="1"/>
      <c r="H126" s="1"/>
      <c r="I126" s="1"/>
      <c r="J126" s="1"/>
      <c r="K126" s="1"/>
      <c r="L126" s="1"/>
      <c r="M126" s="1"/>
      <c r="N126" s="1"/>
      <c r="O126" s="1"/>
      <c r="P126" s="1"/>
      <c r="Q126" s="1"/>
    </row>
    <row r="127" spans="1:17" x14ac:dyDescent="0.35">
      <c r="A127" s="1"/>
      <c r="B127" s="1"/>
      <c r="C127" s="1"/>
      <c r="D127" s="1"/>
      <c r="E127" s="1"/>
      <c r="F127" s="1"/>
      <c r="G127" s="1"/>
      <c r="H127" s="1"/>
      <c r="I127" s="1"/>
      <c r="J127" s="1"/>
      <c r="K127" s="1"/>
      <c r="L127" s="1"/>
      <c r="M127" s="1"/>
      <c r="N127" s="1"/>
      <c r="O127" s="1"/>
      <c r="P127" s="1"/>
      <c r="Q127" s="1"/>
    </row>
    <row r="128" spans="1:17" x14ac:dyDescent="0.35">
      <c r="A128" s="1"/>
      <c r="B128" s="1"/>
      <c r="C128" s="1"/>
      <c r="D128" s="1"/>
      <c r="E128" s="1"/>
      <c r="F128" s="1"/>
      <c r="G128" s="1"/>
      <c r="H128" s="1"/>
      <c r="I128" s="1"/>
      <c r="J128" s="1"/>
      <c r="K128" s="1"/>
      <c r="L128" s="1"/>
      <c r="M128" s="1"/>
      <c r="N128" s="1"/>
      <c r="O128" s="1"/>
      <c r="P128" s="1"/>
      <c r="Q128" s="1"/>
    </row>
    <row r="129" spans="1:17" x14ac:dyDescent="0.35">
      <c r="A129" s="1"/>
      <c r="B129" s="1"/>
      <c r="C129" s="1"/>
      <c r="D129" s="1"/>
      <c r="E129" s="1"/>
      <c r="F129" s="1"/>
      <c r="G129" s="1"/>
      <c r="H129" s="1"/>
      <c r="I129" s="1"/>
      <c r="J129" s="1"/>
      <c r="K129" s="1"/>
      <c r="L129" s="1"/>
      <c r="M129" s="1"/>
      <c r="N129" s="1"/>
      <c r="O129" s="1"/>
      <c r="P129" s="1"/>
      <c r="Q129" s="1"/>
    </row>
    <row r="130" spans="1:17" x14ac:dyDescent="0.35">
      <c r="A130" s="1"/>
      <c r="B130" s="1"/>
      <c r="C130" s="1"/>
      <c r="D130" s="1"/>
      <c r="E130" s="1"/>
      <c r="F130" s="1"/>
      <c r="G130" s="1"/>
      <c r="H130" s="1"/>
      <c r="I130" s="1"/>
      <c r="J130" s="1"/>
      <c r="K130" s="1"/>
      <c r="L130" s="1"/>
      <c r="M130" s="1"/>
      <c r="N130" s="1"/>
      <c r="O130" s="1"/>
      <c r="P130" s="1"/>
      <c r="Q130" s="1"/>
    </row>
    <row r="131" spans="1:17" x14ac:dyDescent="0.35">
      <c r="A131" s="1"/>
      <c r="B131" s="1"/>
      <c r="C131" s="1"/>
      <c r="D131" s="1"/>
      <c r="E131" s="1"/>
      <c r="F131" s="1"/>
      <c r="G131" s="1"/>
      <c r="H131" s="1"/>
      <c r="I131" s="1"/>
      <c r="J131" s="1"/>
      <c r="K131" s="1"/>
      <c r="L131" s="1"/>
      <c r="M131" s="1"/>
      <c r="N131" s="1"/>
      <c r="O131" s="1"/>
      <c r="P131" s="1"/>
      <c r="Q131" s="1"/>
    </row>
    <row r="132" spans="1:17" x14ac:dyDescent="0.35">
      <c r="A132" s="1"/>
      <c r="B132" s="1"/>
      <c r="C132" s="1"/>
      <c r="D132" s="1"/>
      <c r="E132" s="1"/>
      <c r="F132" s="1"/>
      <c r="G132" s="1"/>
      <c r="H132" s="1"/>
      <c r="I132" s="1"/>
      <c r="J132" s="1"/>
      <c r="K132" s="1"/>
      <c r="L132" s="1"/>
      <c r="M132" s="1"/>
      <c r="N132" s="1"/>
      <c r="O132" s="1"/>
      <c r="P132" s="1"/>
      <c r="Q132" s="1"/>
    </row>
    <row r="133" spans="1:17" x14ac:dyDescent="0.35">
      <c r="A133" s="1"/>
      <c r="B133" s="1"/>
      <c r="C133" s="1"/>
      <c r="D133" s="1"/>
      <c r="E133" s="1"/>
      <c r="F133" s="1"/>
      <c r="G133" s="1"/>
      <c r="H133" s="1"/>
      <c r="I133" s="1"/>
      <c r="J133" s="1"/>
      <c r="K133" s="1"/>
      <c r="L133" s="1"/>
      <c r="M133" s="1"/>
      <c r="N133" s="1"/>
      <c r="O133" s="1"/>
      <c r="P133" s="1"/>
      <c r="Q133" s="1"/>
    </row>
    <row r="134" spans="1:17" x14ac:dyDescent="0.35">
      <c r="A134" s="1"/>
      <c r="B134" s="1"/>
      <c r="C134" s="1"/>
      <c r="D134" s="1"/>
      <c r="E134" s="1"/>
      <c r="F134" s="1"/>
      <c r="G134" s="1"/>
      <c r="H134" s="1"/>
      <c r="I134" s="1"/>
      <c r="J134" s="1"/>
      <c r="K134" s="1"/>
      <c r="L134" s="1"/>
      <c r="M134" s="1"/>
      <c r="N134" s="1"/>
      <c r="O134" s="1"/>
      <c r="P134" s="1"/>
      <c r="Q134" s="1"/>
    </row>
    <row r="135" spans="1:17" x14ac:dyDescent="0.35">
      <c r="A135" s="1"/>
      <c r="B135" s="1"/>
      <c r="C135" s="1"/>
      <c r="D135" s="1"/>
      <c r="E135" s="1"/>
      <c r="F135" s="1"/>
      <c r="G135" s="1"/>
      <c r="H135" s="1"/>
      <c r="I135" s="1"/>
      <c r="J135" s="1"/>
      <c r="K135" s="1"/>
      <c r="L135" s="1"/>
      <c r="M135" s="1"/>
      <c r="N135" s="1"/>
      <c r="O135" s="1"/>
      <c r="P135" s="1"/>
      <c r="Q135" s="1"/>
    </row>
    <row r="136" spans="1:17" x14ac:dyDescent="0.35">
      <c r="A136" s="1"/>
      <c r="B136" s="1"/>
      <c r="C136" s="1"/>
      <c r="D136" s="1"/>
      <c r="E136" s="1"/>
      <c r="F136" s="1"/>
      <c r="G136" s="1"/>
      <c r="H136" s="1"/>
      <c r="I136" s="1"/>
      <c r="J136" s="1"/>
      <c r="K136" s="1"/>
      <c r="L136" s="1"/>
      <c r="M136" s="1"/>
      <c r="N136" s="1"/>
      <c r="O136" s="1"/>
      <c r="P136" s="1"/>
      <c r="Q136" s="1"/>
    </row>
    <row r="137" spans="1:17" x14ac:dyDescent="0.35">
      <c r="A137" s="1"/>
      <c r="B137" s="1"/>
      <c r="C137" s="1"/>
      <c r="D137" s="1"/>
      <c r="E137" s="1"/>
      <c r="F137" s="1"/>
      <c r="G137" s="1"/>
      <c r="H137" s="1"/>
      <c r="I137" s="1"/>
      <c r="J137" s="1"/>
      <c r="K137" s="1"/>
      <c r="L137" s="1"/>
      <c r="M137" s="1"/>
      <c r="N137" s="1"/>
      <c r="O137" s="1"/>
      <c r="P137" s="1"/>
      <c r="Q137" s="1"/>
    </row>
    <row r="138" spans="1:17" x14ac:dyDescent="0.35">
      <c r="A138" s="1"/>
      <c r="B138" s="1"/>
      <c r="C138" s="1"/>
      <c r="D138" s="1"/>
      <c r="E138" s="1"/>
      <c r="F138" s="1"/>
      <c r="G138" s="1"/>
      <c r="H138" s="1"/>
      <c r="I138" s="1"/>
      <c r="J138" s="1"/>
      <c r="K138" s="1"/>
      <c r="L138" s="1"/>
      <c r="M138" s="1"/>
      <c r="N138" s="1"/>
      <c r="O138" s="1"/>
      <c r="P138" s="1"/>
      <c r="Q138" s="1"/>
    </row>
    <row r="139" spans="1:17" x14ac:dyDescent="0.35">
      <c r="A139" s="1"/>
      <c r="B139" s="1"/>
      <c r="C139" s="1"/>
      <c r="D139" s="1"/>
      <c r="E139" s="1"/>
      <c r="F139" s="1"/>
      <c r="G139" s="1"/>
      <c r="H139" s="1"/>
      <c r="I139" s="1"/>
      <c r="J139" s="1"/>
      <c r="K139" s="1"/>
      <c r="L139" s="1"/>
      <c r="M139" s="1"/>
      <c r="N139" s="1"/>
      <c r="O139" s="1"/>
      <c r="P139" s="1"/>
      <c r="Q139" s="1"/>
    </row>
    <row r="140" spans="1:17" x14ac:dyDescent="0.35">
      <c r="A140" s="1"/>
      <c r="B140" s="1"/>
      <c r="C140" s="1"/>
      <c r="D140" s="1"/>
      <c r="E140" s="1"/>
      <c r="F140" s="1"/>
      <c r="G140" s="1"/>
      <c r="H140" s="1"/>
      <c r="I140" s="1"/>
      <c r="J140" s="1"/>
      <c r="K140" s="1"/>
      <c r="L140" s="1"/>
      <c r="M140" s="1"/>
      <c r="N140" s="1"/>
      <c r="O140" s="1"/>
      <c r="P140" s="1"/>
      <c r="Q140" s="1"/>
    </row>
    <row r="141" spans="1:17" x14ac:dyDescent="0.35">
      <c r="A141" s="1"/>
      <c r="B141" s="1"/>
      <c r="C141" s="1"/>
      <c r="D141" s="1"/>
      <c r="E141" s="1"/>
      <c r="F141" s="1"/>
      <c r="G141" s="1"/>
      <c r="H141" s="1"/>
      <c r="I141" s="1"/>
      <c r="J141" s="1"/>
      <c r="K141" s="1"/>
      <c r="L141" s="1"/>
      <c r="M141" s="1"/>
      <c r="N141" s="1"/>
      <c r="O141" s="1"/>
      <c r="P141" s="1"/>
      <c r="Q141" s="1"/>
    </row>
    <row r="142" spans="1:17" x14ac:dyDescent="0.35">
      <c r="A142" s="1"/>
      <c r="B142" s="1"/>
      <c r="C142" s="1"/>
      <c r="D142" s="1"/>
      <c r="E142" s="1"/>
      <c r="F142" s="1"/>
      <c r="G142" s="1"/>
      <c r="H142" s="1"/>
      <c r="I142" s="1"/>
      <c r="J142" s="1"/>
      <c r="K142" s="1"/>
      <c r="L142" s="1"/>
      <c r="M142" s="1"/>
      <c r="N142" s="1"/>
      <c r="O142" s="1"/>
      <c r="P142" s="1"/>
      <c r="Q142" s="1"/>
    </row>
    <row r="143" spans="1:17" x14ac:dyDescent="0.35">
      <c r="A143" s="1"/>
      <c r="B143" s="1"/>
      <c r="C143" s="1"/>
      <c r="D143" s="1"/>
      <c r="E143" s="1"/>
      <c r="F143" s="1"/>
      <c r="G143" s="1"/>
      <c r="H143" s="1"/>
      <c r="I143" s="1"/>
      <c r="J143" s="1"/>
      <c r="K143" s="1"/>
      <c r="L143" s="1"/>
      <c r="M143" s="1"/>
      <c r="N143" s="1"/>
      <c r="O143" s="1"/>
      <c r="P143" s="1"/>
      <c r="Q143" s="1"/>
    </row>
    <row r="144" spans="1:17" x14ac:dyDescent="0.35">
      <c r="A144" s="1"/>
      <c r="B144" s="1"/>
      <c r="C144" s="1"/>
      <c r="D144" s="1"/>
      <c r="E144" s="1"/>
      <c r="F144" s="1"/>
      <c r="G144" s="1"/>
      <c r="H144" s="1"/>
      <c r="I144" s="1"/>
      <c r="J144" s="1"/>
      <c r="K144" s="1"/>
      <c r="L144" s="1"/>
      <c r="M144" s="1"/>
      <c r="N144" s="1"/>
      <c r="O144" s="1"/>
      <c r="P144" s="1"/>
      <c r="Q144" s="1"/>
    </row>
    <row r="145" spans="1:17" x14ac:dyDescent="0.35">
      <c r="A145" s="1"/>
      <c r="B145" s="1"/>
      <c r="C145" s="1"/>
      <c r="D145" s="1"/>
      <c r="E145" s="1"/>
      <c r="F145" s="1"/>
      <c r="G145" s="1"/>
      <c r="H145" s="1"/>
      <c r="I145" s="1"/>
      <c r="J145" s="1"/>
      <c r="K145" s="1"/>
      <c r="L145" s="1"/>
      <c r="M145" s="1"/>
      <c r="N145" s="1"/>
      <c r="O145" s="1"/>
      <c r="P145" s="1"/>
      <c r="Q145" s="1"/>
    </row>
    <row r="146" spans="1:17" x14ac:dyDescent="0.35">
      <c r="A146" s="1"/>
      <c r="B146" s="1"/>
      <c r="C146" s="1"/>
      <c r="D146" s="1"/>
      <c r="E146" s="1"/>
      <c r="F146" s="1"/>
      <c r="G146" s="1"/>
      <c r="H146" s="1"/>
      <c r="I146" s="1"/>
      <c r="J146" s="1"/>
      <c r="K146" s="1"/>
      <c r="L146" s="1"/>
      <c r="M146" s="1"/>
      <c r="N146" s="1"/>
      <c r="O146" s="1"/>
      <c r="P146" s="1"/>
      <c r="Q146" s="1"/>
    </row>
    <row r="147" spans="1:17" x14ac:dyDescent="0.35">
      <c r="A147" s="1"/>
      <c r="B147" s="1"/>
      <c r="C147" s="1"/>
      <c r="D147" s="1"/>
      <c r="E147" s="1"/>
      <c r="F147" s="1"/>
      <c r="G147" s="1"/>
      <c r="H147" s="1"/>
      <c r="I147" s="1"/>
      <c r="J147" s="1"/>
      <c r="K147" s="1"/>
      <c r="L147" s="1"/>
      <c r="M147" s="1"/>
      <c r="N147" s="1"/>
      <c r="O147" s="1"/>
      <c r="P147" s="1"/>
      <c r="Q147" s="1"/>
    </row>
    <row r="148" spans="1:17" x14ac:dyDescent="0.35">
      <c r="A148" s="1"/>
      <c r="B148" s="1"/>
      <c r="C148" s="1"/>
      <c r="D148" s="1"/>
      <c r="E148" s="1"/>
      <c r="F148" s="1"/>
      <c r="G148" s="1"/>
      <c r="H148" s="1"/>
      <c r="I148" s="1"/>
      <c r="J148" s="1"/>
      <c r="K148" s="1"/>
      <c r="L148" s="1"/>
      <c r="M148" s="1"/>
      <c r="N148" s="1"/>
      <c r="O148" s="1"/>
      <c r="P148" s="1"/>
      <c r="Q148" s="1"/>
    </row>
    <row r="149" spans="1:17" x14ac:dyDescent="0.35">
      <c r="A149" s="1"/>
      <c r="B149" s="1"/>
      <c r="C149" s="1"/>
      <c r="D149" s="1"/>
      <c r="E149" s="1"/>
      <c r="F149" s="1"/>
      <c r="G149" s="1"/>
      <c r="H149" s="1"/>
      <c r="I149" s="1"/>
      <c r="J149" s="1"/>
      <c r="K149" s="1"/>
      <c r="L149" s="1"/>
      <c r="M149" s="1"/>
      <c r="N149" s="1"/>
      <c r="O149" s="1"/>
      <c r="P149" s="1"/>
      <c r="Q149" s="1"/>
    </row>
    <row r="150" spans="1:17" x14ac:dyDescent="0.35">
      <c r="A150" s="1"/>
      <c r="B150" s="1"/>
      <c r="C150" s="1"/>
      <c r="D150" s="1"/>
      <c r="E150" s="1"/>
      <c r="F150" s="1"/>
      <c r="G150" s="1"/>
      <c r="H150" s="1"/>
      <c r="I150" s="1"/>
      <c r="J150" s="1"/>
      <c r="K150" s="1"/>
      <c r="L150" s="1"/>
      <c r="M150" s="1"/>
      <c r="N150" s="1"/>
      <c r="O150" s="1"/>
      <c r="P150" s="1"/>
      <c r="Q150" s="1"/>
    </row>
    <row r="151" spans="1:17" x14ac:dyDescent="0.35">
      <c r="A151" s="1"/>
      <c r="B151" s="1"/>
      <c r="C151" s="1"/>
      <c r="D151" s="1"/>
      <c r="E151" s="1"/>
      <c r="F151" s="1"/>
      <c r="G151" s="1"/>
      <c r="H151" s="1"/>
      <c r="I151" s="1"/>
      <c r="J151" s="1"/>
      <c r="K151" s="1"/>
      <c r="L151" s="1"/>
      <c r="M151" s="1"/>
      <c r="N151" s="1"/>
      <c r="O151" s="1"/>
      <c r="P151" s="1"/>
      <c r="Q151" s="1"/>
    </row>
    <row r="152" spans="1:17" x14ac:dyDescent="0.35">
      <c r="A152" s="1"/>
      <c r="B152" s="1"/>
      <c r="C152" s="1"/>
      <c r="D152" s="1"/>
      <c r="E152" s="1"/>
      <c r="F152" s="1"/>
      <c r="G152" s="1"/>
      <c r="H152" s="1"/>
      <c r="I152" s="1"/>
      <c r="J152" s="1"/>
      <c r="K152" s="1"/>
      <c r="L152" s="1"/>
      <c r="M152" s="1"/>
      <c r="N152" s="1"/>
      <c r="O152" s="1"/>
      <c r="P152" s="1"/>
      <c r="Q152" s="1"/>
    </row>
    <row r="153" spans="1:17" x14ac:dyDescent="0.35">
      <c r="A153" s="1"/>
      <c r="B153" s="1"/>
      <c r="C153" s="1"/>
      <c r="D153" s="1"/>
      <c r="E153" s="1"/>
      <c r="F153" s="1"/>
      <c r="G153" s="1"/>
      <c r="H153" s="1"/>
      <c r="I153" s="1"/>
      <c r="J153" s="1"/>
      <c r="K153" s="1"/>
      <c r="L153" s="1"/>
      <c r="M153" s="1"/>
      <c r="N153" s="1"/>
      <c r="O153" s="1"/>
      <c r="P153" s="1"/>
      <c r="Q153" s="1"/>
    </row>
    <row r="154" spans="1:17" x14ac:dyDescent="0.35">
      <c r="A154" s="1"/>
      <c r="B154" s="1"/>
      <c r="C154" s="1"/>
      <c r="D154" s="1"/>
      <c r="E154" s="1"/>
      <c r="F154" s="1"/>
      <c r="G154" s="1"/>
      <c r="H154" s="1"/>
      <c r="I154" s="1"/>
      <c r="J154" s="1"/>
      <c r="K154" s="1"/>
      <c r="L154" s="1"/>
      <c r="M154" s="1"/>
      <c r="N154" s="1"/>
      <c r="O154" s="1"/>
      <c r="P154" s="1"/>
      <c r="Q154" s="1"/>
    </row>
    <row r="155" spans="1:17" x14ac:dyDescent="0.35">
      <c r="A155" s="1"/>
      <c r="B155" s="1"/>
      <c r="C155" s="1"/>
      <c r="D155" s="1"/>
      <c r="E155" s="1"/>
      <c r="F155" s="1"/>
      <c r="G155" s="1"/>
      <c r="H155" s="1"/>
      <c r="I155" s="1"/>
      <c r="J155" s="1"/>
      <c r="K155" s="1"/>
      <c r="L155" s="1"/>
      <c r="M155" s="1"/>
      <c r="N155" s="1"/>
      <c r="O155" s="1"/>
      <c r="P155" s="1"/>
      <c r="Q155" s="1"/>
    </row>
    <row r="156" spans="1:17" x14ac:dyDescent="0.35">
      <c r="A156" s="1"/>
      <c r="B156" s="1"/>
      <c r="C156" s="1"/>
      <c r="D156" s="1"/>
      <c r="E156" s="1"/>
      <c r="F156" s="1"/>
      <c r="G156" s="1"/>
      <c r="H156" s="1"/>
      <c r="I156" s="1"/>
      <c r="J156" s="1"/>
      <c r="K156" s="1"/>
      <c r="L156" s="1"/>
      <c r="M156" s="1"/>
      <c r="N156" s="1"/>
      <c r="O156" s="1"/>
      <c r="P156" s="1"/>
      <c r="Q156" s="1"/>
    </row>
    <row r="157" spans="1:17" x14ac:dyDescent="0.35">
      <c r="A157" s="1"/>
      <c r="B157" s="1"/>
      <c r="C157" s="1"/>
      <c r="D157" s="1"/>
      <c r="E157" s="1"/>
      <c r="F157" s="1"/>
      <c r="G157" s="1"/>
      <c r="H157" s="1"/>
      <c r="I157" s="1"/>
      <c r="J157" s="1"/>
      <c r="K157" s="1"/>
      <c r="L157" s="1"/>
      <c r="M157" s="1"/>
      <c r="N157" s="1"/>
      <c r="O157" s="1"/>
      <c r="P157" s="1"/>
      <c r="Q157" s="1"/>
    </row>
    <row r="158" spans="1:17" x14ac:dyDescent="0.35">
      <c r="A158" s="1"/>
      <c r="B158" s="1"/>
      <c r="C158" s="1"/>
      <c r="D158" s="1"/>
      <c r="E158" s="1"/>
      <c r="F158" s="1"/>
      <c r="G158" s="1"/>
      <c r="H158" s="1"/>
      <c r="I158" s="1"/>
      <c r="J158" s="1"/>
      <c r="K158" s="1"/>
      <c r="L158" s="1"/>
      <c r="M158" s="1"/>
      <c r="N158" s="1"/>
      <c r="O158" s="1"/>
      <c r="P158" s="1"/>
      <c r="Q158" s="1"/>
    </row>
    <row r="159" spans="1:17" x14ac:dyDescent="0.35">
      <c r="A159" s="1"/>
      <c r="B159" s="1"/>
      <c r="C159" s="1"/>
      <c r="D159" s="1"/>
      <c r="E159" s="1"/>
      <c r="F159" s="1"/>
      <c r="G159" s="1"/>
      <c r="H159" s="1"/>
      <c r="I159" s="1"/>
      <c r="J159" s="1"/>
      <c r="K159" s="1"/>
      <c r="L159" s="1"/>
      <c r="M159" s="1"/>
      <c r="N159" s="1"/>
      <c r="O159" s="1"/>
      <c r="P159" s="1"/>
      <c r="Q159" s="1"/>
    </row>
    <row r="160" spans="1:17" x14ac:dyDescent="0.35">
      <c r="A160" s="1"/>
      <c r="B160" s="1"/>
      <c r="C160" s="1"/>
      <c r="D160" s="1"/>
      <c r="E160" s="1"/>
      <c r="F160" s="1"/>
      <c r="G160" s="1"/>
      <c r="H160" s="1"/>
      <c r="I160" s="1"/>
      <c r="J160" s="1"/>
      <c r="K160" s="1"/>
      <c r="L160" s="1"/>
      <c r="M160" s="1"/>
      <c r="N160" s="1"/>
      <c r="O160" s="1"/>
      <c r="P160" s="1"/>
      <c r="Q160" s="1"/>
    </row>
    <row r="161" spans="1:17" x14ac:dyDescent="0.35">
      <c r="A161" s="1"/>
      <c r="B161" s="1"/>
      <c r="C161" s="1"/>
      <c r="D161" s="1"/>
      <c r="E161" s="1"/>
      <c r="F161" s="1"/>
      <c r="G161" s="1"/>
      <c r="H161" s="1"/>
      <c r="I161" s="1"/>
      <c r="J161" s="1"/>
      <c r="K161" s="1"/>
      <c r="L161" s="1"/>
      <c r="M161" s="1"/>
      <c r="N161" s="1"/>
      <c r="O161" s="1"/>
      <c r="P161" s="1"/>
      <c r="Q161" s="1"/>
    </row>
    <row r="162" spans="1:17" x14ac:dyDescent="0.35">
      <c r="A162" s="1"/>
      <c r="B162" s="1"/>
      <c r="C162" s="1"/>
      <c r="D162" s="1"/>
      <c r="E162" s="1"/>
      <c r="F162" s="1"/>
      <c r="G162" s="1"/>
      <c r="H162" s="1"/>
      <c r="I162" s="1"/>
      <c r="J162" s="1"/>
      <c r="K162" s="1"/>
      <c r="L162" s="1"/>
      <c r="M162" s="1"/>
      <c r="N162" s="1"/>
      <c r="O162" s="1"/>
      <c r="P162" s="1"/>
      <c r="Q162" s="1"/>
    </row>
    <row r="163" spans="1:17" x14ac:dyDescent="0.35">
      <c r="A163" s="1"/>
      <c r="B163" s="1"/>
      <c r="C163" s="1"/>
      <c r="D163" s="1"/>
      <c r="E163" s="1"/>
      <c r="F163" s="1"/>
      <c r="G163" s="1"/>
      <c r="H163" s="1"/>
      <c r="I163" s="1"/>
      <c r="J163" s="1"/>
      <c r="K163" s="1"/>
      <c r="L163" s="1"/>
      <c r="M163" s="1"/>
      <c r="N163" s="1"/>
      <c r="O163" s="1"/>
      <c r="P163" s="1"/>
      <c r="Q163" s="1"/>
    </row>
    <row r="164" spans="1:17" x14ac:dyDescent="0.35">
      <c r="A164" s="1"/>
      <c r="B164" s="1"/>
      <c r="C164" s="1"/>
      <c r="D164" s="1"/>
      <c r="E164" s="1"/>
      <c r="F164" s="1"/>
      <c r="G164" s="1"/>
      <c r="H164" s="1"/>
      <c r="I164" s="1"/>
      <c r="J164" s="1"/>
      <c r="K164" s="1"/>
      <c r="L164" s="1"/>
      <c r="M164" s="1"/>
      <c r="N164" s="1"/>
      <c r="O164" s="1"/>
      <c r="P164" s="1"/>
      <c r="Q164" s="1"/>
    </row>
    <row r="165" spans="1:17" x14ac:dyDescent="0.35">
      <c r="A165" s="1"/>
      <c r="B165" s="1"/>
      <c r="C165" s="1"/>
      <c r="D165" s="1"/>
      <c r="E165" s="1"/>
      <c r="F165" s="1"/>
      <c r="G165" s="1"/>
      <c r="H165" s="1"/>
      <c r="I165" s="1"/>
      <c r="J165" s="1"/>
      <c r="K165" s="1"/>
      <c r="L165" s="1"/>
      <c r="M165" s="1"/>
      <c r="N165" s="1"/>
      <c r="O165" s="1"/>
      <c r="P165" s="1"/>
      <c r="Q165" s="1"/>
    </row>
    <row r="166" spans="1:17" x14ac:dyDescent="0.35">
      <c r="A166" s="1"/>
      <c r="B166" s="1"/>
      <c r="C166" s="1"/>
      <c r="D166" s="1"/>
      <c r="E166" s="1"/>
      <c r="F166" s="1"/>
      <c r="G166" s="1"/>
      <c r="H166" s="1"/>
      <c r="I166" s="1"/>
      <c r="J166" s="1"/>
      <c r="K166" s="1"/>
      <c r="L166" s="1"/>
      <c r="M166" s="1"/>
      <c r="N166" s="1"/>
      <c r="O166" s="1"/>
      <c r="P166" s="1"/>
      <c r="Q166" s="1"/>
    </row>
    <row r="167" spans="1:17" x14ac:dyDescent="0.35">
      <c r="A167" s="1"/>
      <c r="B167" s="1"/>
      <c r="C167" s="1"/>
      <c r="D167" s="1"/>
      <c r="E167" s="1"/>
      <c r="F167" s="1"/>
      <c r="G167" s="1"/>
      <c r="H167" s="1"/>
      <c r="I167" s="1"/>
      <c r="J167" s="1"/>
      <c r="K167" s="1"/>
      <c r="L167" s="1"/>
      <c r="M167" s="1"/>
      <c r="N167" s="1"/>
      <c r="O167" s="1"/>
      <c r="P167" s="1"/>
      <c r="Q167" s="1"/>
    </row>
    <row r="168" spans="1:17" x14ac:dyDescent="0.35">
      <c r="A168" s="1"/>
      <c r="B168" s="1"/>
      <c r="C168" s="1"/>
      <c r="D168" s="1"/>
      <c r="E168" s="1"/>
      <c r="F168" s="1"/>
      <c r="G168" s="1"/>
      <c r="H168" s="1"/>
      <c r="I168" s="1"/>
      <c r="J168" s="1"/>
      <c r="K168" s="1"/>
      <c r="L168" s="1"/>
      <c r="M168" s="1"/>
      <c r="N168" s="1"/>
      <c r="O168" s="1"/>
      <c r="P168" s="1"/>
      <c r="Q168" s="1"/>
    </row>
    <row r="169" spans="1:17" x14ac:dyDescent="0.35">
      <c r="A169" s="1"/>
      <c r="B169" s="1"/>
      <c r="C169" s="1"/>
      <c r="D169" s="1"/>
      <c r="E169" s="1"/>
      <c r="F169" s="1"/>
      <c r="G169" s="1"/>
      <c r="H169" s="1"/>
      <c r="I169" s="1"/>
      <c r="J169" s="1"/>
      <c r="K169" s="1"/>
      <c r="L169" s="1"/>
      <c r="M169" s="1"/>
      <c r="N169" s="1"/>
      <c r="O169" s="1"/>
      <c r="P169" s="1"/>
      <c r="Q169" s="1"/>
    </row>
    <row r="170" spans="1:17" x14ac:dyDescent="0.35">
      <c r="A170" s="1"/>
      <c r="B170" s="1"/>
      <c r="C170" s="1"/>
      <c r="D170" s="1"/>
      <c r="E170" s="1"/>
      <c r="F170" s="1"/>
      <c r="G170" s="1"/>
      <c r="H170" s="1"/>
      <c r="I170" s="1"/>
      <c r="J170" s="1"/>
      <c r="K170" s="1"/>
      <c r="L170" s="1"/>
      <c r="M170" s="1"/>
      <c r="N170" s="1"/>
      <c r="O170" s="1"/>
      <c r="P170" s="1"/>
      <c r="Q170" s="1"/>
    </row>
    <row r="171" spans="1:17" x14ac:dyDescent="0.35">
      <c r="A171" s="1"/>
      <c r="B171" s="1"/>
      <c r="C171" s="1"/>
      <c r="D171" s="1"/>
      <c r="E171" s="1"/>
      <c r="F171" s="1"/>
      <c r="G171" s="1"/>
      <c r="H171" s="1"/>
      <c r="I171" s="1"/>
      <c r="J171" s="1"/>
      <c r="K171" s="1"/>
      <c r="L171" s="1"/>
      <c r="M171" s="1"/>
      <c r="N171" s="1"/>
      <c r="O171" s="1"/>
      <c r="P171" s="1"/>
      <c r="Q171" s="1"/>
    </row>
    <row r="172" spans="1:17" x14ac:dyDescent="0.35">
      <c r="A172" s="1"/>
      <c r="B172" s="1"/>
      <c r="C172" s="1"/>
      <c r="D172" s="1"/>
      <c r="E172" s="1"/>
      <c r="F172" s="1"/>
      <c r="G172" s="1"/>
      <c r="H172" s="1"/>
      <c r="I172" s="1"/>
      <c r="J172" s="1"/>
      <c r="K172" s="1"/>
      <c r="L172" s="1"/>
      <c r="M172" s="1"/>
      <c r="N172" s="1"/>
      <c r="O172" s="1"/>
      <c r="P172" s="1"/>
      <c r="Q172" s="1"/>
    </row>
    <row r="173" spans="1:17" x14ac:dyDescent="0.35">
      <c r="A173" s="1"/>
      <c r="B173" s="1"/>
      <c r="C173" s="1"/>
      <c r="D173" s="1"/>
      <c r="E173" s="1"/>
      <c r="F173" s="1"/>
      <c r="G173" s="1"/>
      <c r="H173" s="1"/>
      <c r="I173" s="1"/>
      <c r="J173" s="1"/>
      <c r="K173" s="1"/>
      <c r="L173" s="1"/>
      <c r="M173" s="1"/>
      <c r="N173" s="1"/>
      <c r="O173" s="1"/>
      <c r="P173" s="1"/>
      <c r="Q173" s="1"/>
    </row>
    <row r="174" spans="1:17" x14ac:dyDescent="0.35">
      <c r="A174" s="1"/>
      <c r="B174" s="1"/>
      <c r="C174" s="1"/>
      <c r="D174" s="1"/>
      <c r="E174" s="1"/>
      <c r="F174" s="1"/>
      <c r="G174" s="1"/>
      <c r="H174" s="1"/>
      <c r="I174" s="1"/>
      <c r="J174" s="1"/>
      <c r="K174" s="1"/>
      <c r="L174" s="1"/>
      <c r="M174" s="1"/>
      <c r="N174" s="1"/>
      <c r="O174" s="1"/>
      <c r="P174" s="1"/>
      <c r="Q174" s="1"/>
    </row>
    <row r="175" spans="1:17" x14ac:dyDescent="0.35">
      <c r="A175" s="1"/>
      <c r="B175" s="1"/>
      <c r="C175" s="1"/>
      <c r="D175" s="1"/>
      <c r="E175" s="1"/>
      <c r="F175" s="1"/>
      <c r="G175" s="1"/>
      <c r="H175" s="1"/>
      <c r="I175" s="1"/>
      <c r="J175" s="1"/>
      <c r="K175" s="1"/>
      <c r="L175" s="1"/>
      <c r="M175" s="1"/>
      <c r="N175" s="1"/>
      <c r="O175" s="1"/>
      <c r="P175" s="1"/>
      <c r="Q175" s="1"/>
    </row>
    <row r="176" spans="1:17" x14ac:dyDescent="0.35">
      <c r="A176" s="1"/>
      <c r="B176" s="1"/>
      <c r="C176" s="1"/>
      <c r="D176" s="1"/>
      <c r="E176" s="1"/>
      <c r="F176" s="1"/>
      <c r="G176" s="1"/>
      <c r="H176" s="1"/>
      <c r="I176" s="1"/>
      <c r="J176" s="1"/>
      <c r="K176" s="1"/>
      <c r="L176" s="1"/>
      <c r="M176" s="1"/>
      <c r="N176" s="1"/>
      <c r="O176" s="1"/>
      <c r="P176" s="1"/>
      <c r="Q176" s="1"/>
    </row>
    <row r="177" spans="1:17" x14ac:dyDescent="0.35">
      <c r="A177" s="1"/>
      <c r="B177" s="1"/>
      <c r="C177" s="1"/>
      <c r="D177" s="1"/>
      <c r="E177" s="1"/>
      <c r="F177" s="1"/>
      <c r="G177" s="1"/>
      <c r="H177" s="1"/>
      <c r="I177" s="1"/>
      <c r="J177" s="1"/>
      <c r="K177" s="1"/>
      <c r="L177" s="1"/>
      <c r="M177" s="1"/>
      <c r="N177" s="1"/>
      <c r="O177" s="1"/>
      <c r="P177" s="1"/>
      <c r="Q177" s="1"/>
    </row>
    <row r="178" spans="1:17" x14ac:dyDescent="0.35">
      <c r="A178" s="1"/>
      <c r="B178" s="1"/>
      <c r="C178" s="1"/>
      <c r="D178" s="1"/>
      <c r="E178" s="1"/>
      <c r="F178" s="1"/>
      <c r="G178" s="1"/>
      <c r="H178" s="1"/>
      <c r="I178" s="1"/>
      <c r="J178" s="1"/>
      <c r="K178" s="1"/>
      <c r="L178" s="1"/>
      <c r="M178" s="1"/>
      <c r="N178" s="1"/>
      <c r="O178" s="1"/>
      <c r="P178" s="1"/>
      <c r="Q178" s="1"/>
    </row>
    <row r="179" spans="1:17" x14ac:dyDescent="0.35">
      <c r="A179" s="1"/>
      <c r="B179" s="1"/>
      <c r="C179" s="1"/>
      <c r="D179" s="1"/>
      <c r="E179" s="1"/>
      <c r="F179" s="1"/>
      <c r="G179" s="1"/>
      <c r="H179" s="1"/>
      <c r="I179" s="1"/>
      <c r="J179" s="1"/>
      <c r="K179" s="1"/>
      <c r="L179" s="1"/>
      <c r="M179" s="1"/>
      <c r="N179" s="1"/>
      <c r="O179" s="1"/>
      <c r="P179" s="1"/>
      <c r="Q179" s="1"/>
    </row>
    <row r="180" spans="1:17" x14ac:dyDescent="0.35">
      <c r="A180" s="1"/>
      <c r="B180" s="1"/>
      <c r="C180" s="1"/>
      <c r="D180" s="1"/>
      <c r="E180" s="1"/>
      <c r="F180" s="1"/>
      <c r="G180" s="1"/>
      <c r="H180" s="1"/>
      <c r="I180" s="1"/>
      <c r="J180" s="1"/>
      <c r="K180" s="1"/>
      <c r="L180" s="1"/>
      <c r="M180" s="1"/>
      <c r="N180" s="1"/>
      <c r="O180" s="1"/>
      <c r="P180" s="1"/>
      <c r="Q180" s="1"/>
    </row>
    <row r="181" spans="1:17" x14ac:dyDescent="0.35">
      <c r="A181" s="1"/>
      <c r="B181" s="1"/>
      <c r="C181" s="1"/>
      <c r="D181" s="1"/>
      <c r="E181" s="1"/>
      <c r="F181" s="1"/>
      <c r="G181" s="1"/>
      <c r="H181" s="1"/>
      <c r="I181" s="1"/>
      <c r="J181" s="1"/>
      <c r="K181" s="1"/>
      <c r="L181" s="1"/>
      <c r="M181" s="1"/>
      <c r="N181" s="1"/>
      <c r="O181" s="1"/>
      <c r="P181" s="1"/>
      <c r="Q181" s="1"/>
    </row>
    <row r="182" spans="1:17" x14ac:dyDescent="0.35">
      <c r="A182" s="1"/>
      <c r="B182" s="1"/>
      <c r="C182" s="1"/>
      <c r="D182" s="1"/>
      <c r="E182" s="1"/>
      <c r="F182" s="1"/>
      <c r="G182" s="1"/>
      <c r="H182" s="1"/>
      <c r="I182" s="1"/>
      <c r="J182" s="1"/>
      <c r="K182" s="1"/>
      <c r="L182" s="1"/>
      <c r="M182" s="1"/>
      <c r="N182" s="1"/>
      <c r="O182" s="1"/>
      <c r="P182" s="1"/>
      <c r="Q182" s="1"/>
    </row>
    <row r="183" spans="1:17" x14ac:dyDescent="0.35">
      <c r="A183" s="1"/>
      <c r="B183" s="1"/>
      <c r="C183" s="1"/>
      <c r="D183" s="1"/>
      <c r="E183" s="1"/>
      <c r="F183" s="1"/>
      <c r="G183" s="1"/>
      <c r="H183" s="1"/>
      <c r="I183" s="1"/>
      <c r="J183" s="1"/>
      <c r="K183" s="1"/>
      <c r="L183" s="1"/>
      <c r="M183" s="1"/>
      <c r="N183" s="1"/>
      <c r="O183" s="1"/>
      <c r="P183" s="1"/>
      <c r="Q183" s="1"/>
    </row>
    <row r="184" spans="1:17" x14ac:dyDescent="0.35">
      <c r="A184" s="1"/>
      <c r="B184" s="1"/>
      <c r="C184" s="1"/>
      <c r="D184" s="1"/>
      <c r="E184" s="1"/>
      <c r="F184" s="1"/>
      <c r="G184" s="1"/>
      <c r="H184" s="1"/>
      <c r="I184" s="1"/>
      <c r="J184" s="1"/>
      <c r="K184" s="1"/>
      <c r="L184" s="1"/>
      <c r="M184" s="1"/>
      <c r="N184" s="1"/>
      <c r="O184" s="1"/>
      <c r="P184" s="1"/>
      <c r="Q184" s="1"/>
    </row>
    <row r="185" spans="1:17" x14ac:dyDescent="0.35">
      <c r="A185" s="1"/>
      <c r="B185" s="1"/>
      <c r="C185" s="1"/>
      <c r="D185" s="1"/>
      <c r="E185" s="1"/>
      <c r="F185" s="1"/>
      <c r="G185" s="1"/>
      <c r="H185" s="1"/>
      <c r="I185" s="1"/>
      <c r="J185" s="1"/>
      <c r="K185" s="1"/>
      <c r="L185" s="1"/>
      <c r="M185" s="1"/>
      <c r="N185" s="1"/>
      <c r="O185" s="1"/>
      <c r="P185" s="1"/>
      <c r="Q185" s="1"/>
    </row>
    <row r="186" spans="1:17" x14ac:dyDescent="0.35">
      <c r="A186" s="1"/>
      <c r="B186" s="1"/>
      <c r="C186" s="1"/>
      <c r="D186" s="1"/>
      <c r="E186" s="1"/>
      <c r="F186" s="1"/>
      <c r="G186" s="1"/>
      <c r="H186" s="1"/>
      <c r="I186" s="1"/>
      <c r="J186" s="1"/>
      <c r="K186" s="1"/>
      <c r="L186" s="1"/>
      <c r="M186" s="1"/>
      <c r="N186" s="1"/>
      <c r="O186" s="1"/>
      <c r="P186" s="1"/>
      <c r="Q186" s="1"/>
    </row>
    <row r="187" spans="1:17" x14ac:dyDescent="0.35">
      <c r="A187" s="1"/>
      <c r="B187" s="1"/>
      <c r="C187" s="1"/>
      <c r="D187" s="1"/>
      <c r="E187" s="1"/>
      <c r="F187" s="1"/>
      <c r="G187" s="1"/>
      <c r="H187" s="1"/>
      <c r="I187" s="1"/>
      <c r="J187" s="1"/>
      <c r="K187" s="1"/>
      <c r="L187" s="1"/>
      <c r="M187" s="1"/>
      <c r="N187" s="1"/>
      <c r="O187" s="1"/>
      <c r="P187" s="1"/>
      <c r="Q187" s="1"/>
    </row>
    <row r="188" spans="1:17" x14ac:dyDescent="0.35">
      <c r="A188" s="1"/>
      <c r="B188" s="1"/>
      <c r="C188" s="1"/>
      <c r="D188" s="1"/>
      <c r="E188" s="1"/>
      <c r="F188" s="1"/>
      <c r="G188" s="1"/>
      <c r="H188" s="1"/>
      <c r="I188" s="1"/>
      <c r="J188" s="1"/>
      <c r="K188" s="1"/>
      <c r="L188" s="1"/>
      <c r="M188" s="1"/>
      <c r="N188" s="1"/>
      <c r="O188" s="1"/>
      <c r="P188" s="1"/>
      <c r="Q188" s="1"/>
    </row>
    <row r="189" spans="1:17" x14ac:dyDescent="0.35">
      <c r="A189" s="1"/>
      <c r="B189" s="1"/>
      <c r="C189" s="1"/>
      <c r="D189" s="1"/>
      <c r="E189" s="1"/>
      <c r="F189" s="1"/>
      <c r="G189" s="1"/>
      <c r="H189" s="1"/>
      <c r="I189" s="1"/>
      <c r="J189" s="1"/>
      <c r="K189" s="1"/>
      <c r="L189" s="1"/>
      <c r="M189" s="1"/>
      <c r="N189" s="1"/>
      <c r="O189" s="1"/>
      <c r="P189" s="1"/>
      <c r="Q189" s="1"/>
    </row>
    <row r="190" spans="1:17" x14ac:dyDescent="0.35">
      <c r="A190" s="1"/>
      <c r="B190" s="1"/>
      <c r="C190" s="1"/>
      <c r="D190" s="1"/>
      <c r="E190" s="1"/>
      <c r="F190" s="1"/>
      <c r="G190" s="1"/>
      <c r="H190" s="1"/>
      <c r="I190" s="1"/>
      <c r="J190" s="1"/>
      <c r="K190" s="1"/>
      <c r="L190" s="1"/>
      <c r="M190" s="1"/>
      <c r="N190" s="1"/>
      <c r="O190" s="1"/>
      <c r="P190" s="1"/>
      <c r="Q190" s="1"/>
    </row>
    <row r="191" spans="1:17" x14ac:dyDescent="0.35">
      <c r="A191" s="1"/>
      <c r="B191" s="1"/>
      <c r="C191" s="1"/>
      <c r="D191" s="1"/>
      <c r="E191" s="1"/>
      <c r="F191" s="1"/>
      <c r="G191" s="1"/>
      <c r="H191" s="1"/>
      <c r="I191" s="1"/>
      <c r="J191" s="1"/>
      <c r="K191" s="1"/>
      <c r="L191" s="1"/>
      <c r="M191" s="1"/>
      <c r="N191" s="1"/>
      <c r="O191" s="1"/>
      <c r="P191" s="1"/>
      <c r="Q191" s="1"/>
    </row>
    <row r="192" spans="1:17" x14ac:dyDescent="0.35">
      <c r="A192" s="1"/>
      <c r="B192" s="1"/>
      <c r="C192" s="1"/>
      <c r="D192" s="1"/>
      <c r="E192" s="1"/>
      <c r="F192" s="1"/>
      <c r="G192" s="1"/>
      <c r="H192" s="1"/>
      <c r="I192" s="1"/>
      <c r="J192" s="1"/>
      <c r="K192" s="1"/>
      <c r="L192" s="1"/>
      <c r="M192" s="1"/>
      <c r="N192" s="1"/>
      <c r="O192" s="1"/>
      <c r="P192" s="1"/>
      <c r="Q192" s="1"/>
    </row>
    <row r="193" spans="1:17" x14ac:dyDescent="0.35">
      <c r="A193" s="1"/>
      <c r="B193" s="1"/>
      <c r="C193" s="1"/>
      <c r="D193" s="1"/>
      <c r="E193" s="1"/>
      <c r="F193" s="1"/>
      <c r="G193" s="1"/>
      <c r="H193" s="1"/>
      <c r="I193" s="1"/>
      <c r="J193" s="1"/>
      <c r="K193" s="1"/>
      <c r="L193" s="1"/>
      <c r="M193" s="1"/>
      <c r="N193" s="1"/>
      <c r="O193" s="1"/>
      <c r="P193" s="1"/>
      <c r="Q193" s="1"/>
    </row>
    <row r="194" spans="1:17" x14ac:dyDescent="0.35">
      <c r="A194" s="1"/>
      <c r="B194" s="1"/>
      <c r="C194" s="1"/>
      <c r="D194" s="1"/>
      <c r="E194" s="1"/>
      <c r="F194" s="1"/>
      <c r="G194" s="1"/>
      <c r="H194" s="1"/>
      <c r="I194" s="1"/>
      <c r="J194" s="1"/>
      <c r="K194" s="1"/>
      <c r="L194" s="1"/>
      <c r="M194" s="1"/>
      <c r="N194" s="1"/>
      <c r="O194" s="1"/>
      <c r="P194" s="1"/>
      <c r="Q194" s="1"/>
    </row>
    <row r="195" spans="1:17" x14ac:dyDescent="0.35">
      <c r="A195" s="1"/>
      <c r="B195" s="1"/>
      <c r="C195" s="1"/>
      <c r="D195" s="1"/>
      <c r="E195" s="1"/>
      <c r="F195" s="1"/>
      <c r="G195" s="1"/>
      <c r="H195" s="1"/>
      <c r="I195" s="1"/>
      <c r="J195" s="1"/>
      <c r="K195" s="1"/>
      <c r="L195" s="1"/>
      <c r="M195" s="1"/>
      <c r="N195" s="1"/>
      <c r="O195" s="1"/>
      <c r="P195" s="1"/>
      <c r="Q195" s="1"/>
    </row>
    <row r="196" spans="1:17" x14ac:dyDescent="0.35">
      <c r="A196" s="1"/>
      <c r="B196" s="1"/>
      <c r="C196" s="1"/>
      <c r="D196" s="1"/>
      <c r="E196" s="1"/>
      <c r="F196" s="1"/>
      <c r="G196" s="1"/>
      <c r="H196" s="1"/>
      <c r="I196" s="1"/>
      <c r="J196" s="1"/>
      <c r="K196" s="1"/>
      <c r="L196" s="1"/>
      <c r="M196" s="1"/>
      <c r="N196" s="1"/>
      <c r="O196" s="1"/>
      <c r="P196" s="1"/>
      <c r="Q196" s="1"/>
    </row>
    <row r="197" spans="1:17" x14ac:dyDescent="0.35">
      <c r="A197" s="1"/>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1:17" x14ac:dyDescent="0.35">
      <c r="A198" s="1"/>
      <c r="B198" s="37"/>
      <c r="C198" s="38"/>
      <c r="D198" s="31"/>
      <c r="E198" s="32"/>
      <c r="F198" s="34"/>
      <c r="G198" s="33"/>
      <c r="H198" s="34"/>
      <c r="I198" s="33"/>
      <c r="J198" s="34"/>
      <c r="K198" s="34"/>
      <c r="L198" s="34"/>
      <c r="M198" s="33"/>
      <c r="N198" s="34"/>
      <c r="O198" s="35"/>
      <c r="P198" s="36"/>
      <c r="Q198" s="35"/>
    </row>
    <row r="199" spans="1:17" x14ac:dyDescent="0.35">
      <c r="A199" s="1"/>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1:17" x14ac:dyDescent="0.35">
      <c r="A200" s="1"/>
      <c r="B200" s="1"/>
      <c r="C200" s="1"/>
      <c r="D200" s="1"/>
      <c r="E200" s="1"/>
      <c r="F200" s="1"/>
      <c r="G200" s="1"/>
      <c r="H200" s="1"/>
      <c r="I200" s="1"/>
      <c r="J200" s="1"/>
      <c r="K200" s="1"/>
      <c r="L200" s="1"/>
      <c r="M200" s="1"/>
      <c r="N200" s="1"/>
      <c r="O200" s="1"/>
      <c r="P200" s="1"/>
      <c r="Q200" s="78" t="s">
        <v>21404</v>
      </c>
    </row>
    <row r="201" spans="1:17" x14ac:dyDescent="0.35">
      <c r="A201" s="1"/>
      <c r="B201" s="1"/>
      <c r="C201" s="78" t="s">
        <v>21592</v>
      </c>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77" t="s">
        <v>21399</v>
      </c>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t="s">
        <v>21398</v>
      </c>
      <c r="D205" s="1" t="s">
        <v>75</v>
      </c>
      <c r="E205" s="1" t="s">
        <v>13768</v>
      </c>
      <c r="F205" s="2" t="s">
        <v>21397</v>
      </c>
      <c r="G205" s="1" t="s">
        <v>9</v>
      </c>
      <c r="H205" s="1"/>
      <c r="I205" s="1"/>
      <c r="J205" s="1"/>
      <c r="K205" s="1"/>
      <c r="L205" s="1"/>
      <c r="M205" s="1"/>
      <c r="N205" s="1"/>
      <c r="O205" s="1"/>
      <c r="P205" s="1"/>
      <c r="Q205" s="1"/>
    </row>
    <row r="206" spans="1:17" x14ac:dyDescent="0.35">
      <c r="B206" s="49" t="s">
        <v>15084</v>
      </c>
      <c r="C206" s="352" t="s">
        <v>15085</v>
      </c>
    </row>
    <row r="207" spans="1:17" x14ac:dyDescent="0.35">
      <c r="B207" s="49" t="s">
        <v>15086</v>
      </c>
      <c r="C207" s="53" t="s">
        <v>15087</v>
      </c>
    </row>
    <row r="208" spans="1:17" x14ac:dyDescent="0.35">
      <c r="B208" s="49" t="s">
        <v>15088</v>
      </c>
      <c r="C208" s="53" t="s">
        <v>15089</v>
      </c>
    </row>
    <row r="209" spans="2:3" x14ac:dyDescent="0.35">
      <c r="B209" s="49" t="s">
        <v>15090</v>
      </c>
      <c r="C209" s="53" t="s">
        <v>15091</v>
      </c>
    </row>
    <row r="210" spans="2:3" x14ac:dyDescent="0.35">
      <c r="B210" s="49" t="s">
        <v>15092</v>
      </c>
      <c r="C210" s="53" t="s">
        <v>15093</v>
      </c>
    </row>
  </sheetData>
  <mergeCells count="9">
    <mergeCell ref="J5:K5"/>
    <mergeCell ref="J6:K6"/>
    <mergeCell ref="J7:K7"/>
    <mergeCell ref="A3:B3"/>
    <mergeCell ref="D3:G3"/>
    <mergeCell ref="J3:K3"/>
    <mergeCell ref="P3:Q3"/>
    <mergeCell ref="A4:B4"/>
    <mergeCell ref="J4:K4"/>
  </mergeCells>
  <dataValidations count="1">
    <dataValidation type="list" allowBlank="1" showInputMessage="1" showErrorMessage="1" sqref="C16:C190" xr:uid="{76528D59-044E-4647-BCFF-CBEB5F95B8E5}">
      <formula1>$C$205:$C207</formula1>
    </dataValidation>
  </dataValidations>
  <hyperlinks>
    <hyperlink ref="D3" r:id="rId1" display="datamateapp@gmail.com" xr:uid="{6F9405A5-6EB2-4BBA-9023-C7DECEB1A0E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93601" r:id="rId4" name="Button 1">
              <controlPr defaultSize="0" print="0" autoFill="0" autoPict="0" macro="SaveData">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793602" r:id="rId5" name="Button 2">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793603"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793604"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793605" r:id="rId8" name="Button 5">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793606" r:id="rId9" name="Button 6">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793607" r:id="rId10" name="Button 7">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793608" r:id="rId11" name="Button 8">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mc:AlternateContent xmlns:mc="http://schemas.openxmlformats.org/markup-compatibility/2006">
          <mc:Choice Requires="x14">
            <control shapeId="793609" r:id="rId12" name="Button 9">
              <controlPr defaultSize="0" print="0" autoFill="0" autoPict="0" macro="[0]!ExitSEC_147000">
                <anchor moveWithCells="1" sizeWithCells="1">
                  <from>
                    <xdr:col>16</xdr:col>
                    <xdr:colOff>0</xdr:colOff>
                    <xdr:row>0</xdr:row>
                    <xdr:rowOff>0</xdr:rowOff>
                  </from>
                  <to>
                    <xdr:col>16</xdr:col>
                    <xdr:colOff>1270000</xdr:colOff>
                    <xdr:row>2</xdr:row>
                    <xdr:rowOff>12700</xdr:rowOff>
                  </to>
                </anchor>
              </controlPr>
            </control>
          </mc:Choice>
        </mc:AlternateContent>
      </controls>
    </mc:Choice>
  </mc:AlternateContent>
</worksheet>
</file>

<file path=xl/worksheets/sheet1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EE8D1-566F-41ED-BC69-D49C53383E22}">
  <sheetPr codeName="Sheet189"/>
  <dimension ref="A1:Q210"/>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SCAFFOLDING</v>
      </c>
      <c r="J2" s="59"/>
      <c r="K2" s="59"/>
      <c r="L2" s="1"/>
      <c r="M2" s="59"/>
      <c r="N2" s="59"/>
      <c r="O2" s="60"/>
      <c r="P2" s="57"/>
      <c r="Q2" s="57"/>
    </row>
    <row r="3" spans="1:17" ht="15" thickBot="1" x14ac:dyDescent="0.4">
      <c r="A3" s="446" t="s">
        <v>21565</v>
      </c>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14 80 00</v>
      </c>
      <c r="C10" s="24" t="str">
        <f>C206</f>
        <v>SCAFFOLDING</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SCAFFOLDING</v>
      </c>
      <c r="D12" s="31"/>
      <c r="E12" s="32"/>
      <c r="F12" s="34"/>
      <c r="G12" s="33"/>
      <c r="H12" s="34"/>
      <c r="I12" s="33"/>
      <c r="J12" s="34"/>
      <c r="K12" s="34"/>
      <c r="L12" s="34"/>
      <c r="M12" s="33"/>
      <c r="N12" s="34"/>
      <c r="O12" s="35"/>
      <c r="P12" s="31"/>
      <c r="Q12" s="35"/>
    </row>
    <row r="13" spans="1:17" x14ac:dyDescent="0.35">
      <c r="A13" s="1"/>
      <c r="B13" s="1"/>
      <c r="C13" s="1"/>
      <c r="D13" s="1"/>
      <c r="E13" s="1"/>
      <c r="F13" s="1"/>
      <c r="G13" s="1"/>
      <c r="H13" s="1"/>
      <c r="I13" s="1"/>
      <c r="J13" s="1"/>
      <c r="K13" s="1"/>
      <c r="L13" s="1"/>
      <c r="M13" s="1"/>
      <c r="N13" s="1"/>
      <c r="O13" s="1"/>
      <c r="P13" s="1"/>
      <c r="Q13" s="1"/>
    </row>
    <row r="14" spans="1:17" x14ac:dyDescent="0.35">
      <c r="A14" s="1"/>
      <c r="B14" s="1"/>
      <c r="C14" s="1"/>
      <c r="D14" s="1"/>
      <c r="E14" s="1"/>
      <c r="F14" s="1"/>
      <c r="G14" s="1"/>
      <c r="H14" s="1"/>
      <c r="I14" s="1"/>
      <c r="J14" s="1"/>
      <c r="K14" s="1"/>
      <c r="L14" s="1"/>
      <c r="M14" s="1"/>
      <c r="N14" s="1"/>
      <c r="O14" s="1"/>
      <c r="P14" s="1"/>
      <c r="Q14" s="1"/>
    </row>
    <row r="15" spans="1:17" x14ac:dyDescent="0.35">
      <c r="A15" s="1"/>
      <c r="B15" s="1"/>
      <c r="C15" s="1"/>
      <c r="D15" s="1"/>
      <c r="E15" s="1"/>
      <c r="F15" s="1"/>
      <c r="G15" s="1"/>
      <c r="H15" s="1"/>
      <c r="I15" s="1"/>
      <c r="J15" s="1"/>
      <c r="K15" s="1"/>
      <c r="L15" s="1"/>
      <c r="M15" s="1"/>
      <c r="N15" s="1"/>
      <c r="O15" s="1"/>
      <c r="P15" s="1"/>
      <c r="Q15" s="1"/>
    </row>
    <row r="16" spans="1:17" x14ac:dyDescent="0.35">
      <c r="A16" s="1"/>
      <c r="B16" s="1"/>
      <c r="C16" s="1"/>
      <c r="D16" s="1"/>
      <c r="E16" s="1"/>
      <c r="F16" s="1"/>
      <c r="G16" s="1"/>
      <c r="H16" s="1"/>
      <c r="I16" s="1"/>
      <c r="J16" s="1"/>
      <c r="K16" s="1"/>
      <c r="L16" s="1"/>
      <c r="M16" s="1"/>
      <c r="N16" s="1"/>
      <c r="O16" s="1"/>
      <c r="P16" s="1"/>
      <c r="Q16" s="1"/>
    </row>
    <row r="17" spans="1:17" x14ac:dyDescent="0.35">
      <c r="A17" s="1"/>
      <c r="B17" s="1"/>
      <c r="C17" s="1"/>
      <c r="D17" s="1"/>
      <c r="E17" s="1"/>
      <c r="F17" s="1"/>
      <c r="G17" s="1"/>
      <c r="H17" s="1"/>
      <c r="I17" s="1"/>
      <c r="J17" s="1"/>
      <c r="K17" s="1"/>
      <c r="L17" s="1"/>
      <c r="M17" s="1"/>
      <c r="N17" s="1"/>
      <c r="O17" s="1"/>
      <c r="P17" s="1"/>
      <c r="Q17" s="1"/>
    </row>
    <row r="18" spans="1:17" x14ac:dyDescent="0.35">
      <c r="A18" s="1"/>
      <c r="B18" s="1"/>
      <c r="C18" s="1"/>
      <c r="D18" s="1"/>
      <c r="E18" s="1"/>
      <c r="F18" s="1"/>
      <c r="G18" s="1"/>
      <c r="H18" s="1"/>
      <c r="I18" s="1"/>
      <c r="J18" s="1"/>
      <c r="K18" s="1"/>
      <c r="L18" s="1"/>
      <c r="M18" s="1"/>
      <c r="N18" s="1"/>
      <c r="O18" s="1"/>
      <c r="P18" s="1"/>
      <c r="Q18" s="1"/>
    </row>
    <row r="19" spans="1:17" x14ac:dyDescent="0.35">
      <c r="A19" s="1"/>
      <c r="B19" s="1"/>
      <c r="C19" s="1"/>
      <c r="D19" s="1"/>
      <c r="E19" s="1"/>
      <c r="F19" s="1"/>
      <c r="G19" s="1"/>
      <c r="H19" s="1"/>
      <c r="I19" s="1"/>
      <c r="J19" s="1"/>
      <c r="K19" s="1"/>
      <c r="L19" s="1"/>
      <c r="M19" s="1"/>
      <c r="N19" s="1"/>
      <c r="O19" s="1"/>
      <c r="P19" s="1"/>
      <c r="Q19" s="1"/>
    </row>
    <row r="20" spans="1:17" x14ac:dyDescent="0.35">
      <c r="A20" s="1"/>
      <c r="B20" s="1"/>
      <c r="C20" s="1"/>
      <c r="D20" s="1"/>
      <c r="E20" s="1"/>
      <c r="F20" s="1"/>
      <c r="G20" s="1"/>
      <c r="H20" s="1"/>
      <c r="I20" s="1"/>
      <c r="J20" s="1"/>
      <c r="K20" s="1"/>
      <c r="L20" s="1"/>
      <c r="M20" s="1"/>
      <c r="N20" s="1"/>
      <c r="O20" s="1"/>
      <c r="P20" s="1"/>
      <c r="Q20" s="1"/>
    </row>
    <row r="21" spans="1:17" x14ac:dyDescent="0.35">
      <c r="A21" s="1"/>
      <c r="B21" s="1"/>
      <c r="C21" s="1"/>
      <c r="D21" s="1"/>
      <c r="E21" s="1"/>
      <c r="F21" s="1"/>
      <c r="G21" s="1"/>
      <c r="H21" s="1"/>
      <c r="I21" s="1"/>
      <c r="J21" s="1"/>
      <c r="K21" s="1"/>
      <c r="L21" s="1"/>
      <c r="M21" s="1"/>
      <c r="N21" s="1"/>
      <c r="O21" s="1"/>
      <c r="P21" s="1"/>
      <c r="Q21" s="1"/>
    </row>
    <row r="22" spans="1:17" x14ac:dyDescent="0.35">
      <c r="A22" s="1"/>
      <c r="B22" s="1"/>
      <c r="C22" s="1"/>
      <c r="D22" s="1"/>
      <c r="E22" s="1"/>
      <c r="F22" s="1"/>
      <c r="G22" s="1"/>
      <c r="H22" s="1"/>
      <c r="I22" s="1"/>
      <c r="J22" s="1"/>
      <c r="K22" s="1"/>
      <c r="L22" s="1"/>
      <c r="M22" s="1"/>
      <c r="N22" s="1"/>
      <c r="O22" s="1"/>
      <c r="P22" s="1"/>
      <c r="Q22" s="1"/>
    </row>
    <row r="23" spans="1:17" x14ac:dyDescent="0.35">
      <c r="A23" s="1"/>
      <c r="B23" s="1"/>
      <c r="C23" s="1"/>
      <c r="D23" s="1"/>
      <c r="E23" s="1"/>
      <c r="F23" s="1"/>
      <c r="G23" s="1"/>
      <c r="H23" s="1"/>
      <c r="I23" s="1"/>
      <c r="J23" s="1"/>
      <c r="K23" s="1"/>
      <c r="L23" s="1"/>
      <c r="M23" s="1"/>
      <c r="N23" s="1"/>
      <c r="O23" s="1"/>
      <c r="P23" s="1"/>
      <c r="Q23" s="1"/>
    </row>
    <row r="24" spans="1:17" x14ac:dyDescent="0.35">
      <c r="A24" s="1"/>
      <c r="B24" s="1"/>
      <c r="C24" s="1"/>
      <c r="D24" s="1"/>
      <c r="E24" s="1"/>
      <c r="F24" s="1"/>
      <c r="G24" s="1"/>
      <c r="H24" s="1"/>
      <c r="I24" s="1"/>
      <c r="J24" s="1"/>
      <c r="K24" s="1"/>
      <c r="L24" s="1"/>
      <c r="M24" s="1"/>
      <c r="N24" s="1"/>
      <c r="O24" s="1"/>
      <c r="P24" s="1"/>
      <c r="Q24" s="1"/>
    </row>
    <row r="25" spans="1:17" x14ac:dyDescent="0.35">
      <c r="A25" s="1"/>
      <c r="B25" s="1"/>
      <c r="C25" s="1"/>
      <c r="D25" s="1"/>
      <c r="E25" s="1"/>
      <c r="F25" s="1"/>
      <c r="G25" s="1"/>
      <c r="H25" s="1"/>
      <c r="I25" s="1"/>
      <c r="J25" s="1"/>
      <c r="K25" s="1"/>
      <c r="L25" s="1"/>
      <c r="M25" s="1"/>
      <c r="N25" s="1"/>
      <c r="O25" s="1"/>
      <c r="P25" s="1"/>
      <c r="Q25" s="1"/>
    </row>
    <row r="26" spans="1:17" x14ac:dyDescent="0.35">
      <c r="A26" s="1"/>
      <c r="B26" s="1"/>
      <c r="C26" s="1"/>
      <c r="D26" s="1"/>
      <c r="E26" s="1"/>
      <c r="F26" s="1"/>
      <c r="G26" s="1"/>
      <c r="H26" s="1"/>
      <c r="I26" s="1"/>
      <c r="J26" s="1"/>
      <c r="K26" s="1"/>
      <c r="L26" s="1"/>
      <c r="M26" s="1"/>
      <c r="N26" s="1"/>
      <c r="O26" s="1"/>
      <c r="P26" s="1"/>
      <c r="Q26" s="1"/>
    </row>
    <row r="27" spans="1:17" x14ac:dyDescent="0.35">
      <c r="A27" s="1"/>
      <c r="B27" s="1"/>
      <c r="C27" s="1"/>
      <c r="D27" s="1"/>
      <c r="E27" s="1"/>
      <c r="F27" s="1"/>
      <c r="G27" s="1"/>
      <c r="H27" s="1"/>
      <c r="I27" s="1"/>
      <c r="J27" s="1"/>
      <c r="K27" s="1"/>
      <c r="L27" s="1"/>
      <c r="M27" s="1"/>
      <c r="N27" s="1"/>
      <c r="O27" s="1"/>
      <c r="P27" s="1"/>
      <c r="Q27" s="1"/>
    </row>
    <row r="28" spans="1:17" x14ac:dyDescent="0.35">
      <c r="A28" s="1"/>
      <c r="B28" s="1"/>
      <c r="C28" s="1"/>
      <c r="D28" s="1"/>
      <c r="E28" s="1"/>
      <c r="F28" s="1"/>
      <c r="G28" s="1"/>
      <c r="H28" s="1"/>
      <c r="I28" s="1"/>
      <c r="J28" s="1"/>
      <c r="K28" s="1"/>
      <c r="L28" s="1"/>
      <c r="M28" s="1"/>
      <c r="N28" s="1"/>
      <c r="O28" s="1"/>
      <c r="P28" s="1"/>
      <c r="Q28" s="1"/>
    </row>
    <row r="29" spans="1:17" x14ac:dyDescent="0.35">
      <c r="A29" s="1"/>
      <c r="B29" s="1"/>
      <c r="C29" s="1"/>
      <c r="D29" s="1"/>
      <c r="E29" s="1"/>
      <c r="F29" s="1"/>
      <c r="G29" s="1"/>
      <c r="H29" s="1"/>
      <c r="I29" s="1"/>
      <c r="J29" s="1"/>
      <c r="K29" s="1"/>
      <c r="L29" s="1"/>
      <c r="M29" s="1"/>
      <c r="N29" s="1"/>
      <c r="O29" s="1"/>
      <c r="P29" s="1"/>
      <c r="Q29" s="1"/>
    </row>
    <row r="30" spans="1:17" x14ac:dyDescent="0.35">
      <c r="A30" s="1"/>
      <c r="B30" s="1"/>
      <c r="C30" s="1"/>
      <c r="D30" s="1"/>
      <c r="E30" s="1"/>
      <c r="F30" s="1"/>
      <c r="G30" s="1"/>
      <c r="H30" s="1"/>
      <c r="I30" s="1"/>
      <c r="J30" s="1"/>
      <c r="K30" s="1"/>
      <c r="L30" s="1"/>
      <c r="M30" s="1"/>
      <c r="N30" s="1"/>
      <c r="O30" s="1"/>
      <c r="P30" s="1"/>
      <c r="Q30" s="1"/>
    </row>
    <row r="31" spans="1:17" x14ac:dyDescent="0.35">
      <c r="A31" s="1"/>
      <c r="B31" s="1"/>
      <c r="C31" s="1"/>
      <c r="D31" s="1"/>
      <c r="E31" s="1"/>
      <c r="F31" s="1"/>
      <c r="G31" s="1"/>
      <c r="H31" s="1"/>
      <c r="I31" s="1"/>
      <c r="J31" s="1"/>
      <c r="K31" s="1"/>
      <c r="L31" s="1"/>
      <c r="M31" s="1"/>
      <c r="N31" s="1"/>
      <c r="O31" s="1"/>
      <c r="P31" s="1"/>
      <c r="Q31" s="1"/>
    </row>
    <row r="32" spans="1:17" x14ac:dyDescent="0.35">
      <c r="A32" s="1"/>
      <c r="B32" s="1"/>
      <c r="C32" s="1"/>
      <c r="D32" s="1"/>
      <c r="E32" s="1"/>
      <c r="F32" s="1"/>
      <c r="G32" s="1"/>
      <c r="H32" s="1"/>
      <c r="I32" s="1"/>
      <c r="J32" s="1"/>
      <c r="K32" s="1"/>
      <c r="L32" s="1"/>
      <c r="M32" s="1"/>
      <c r="N32" s="1"/>
      <c r="O32" s="1"/>
      <c r="P32" s="1"/>
      <c r="Q32" s="1"/>
    </row>
    <row r="33" spans="1:17" x14ac:dyDescent="0.35">
      <c r="A33" s="1"/>
      <c r="B33" s="1"/>
      <c r="C33" s="1"/>
      <c r="D33" s="1"/>
      <c r="E33" s="1"/>
      <c r="F33" s="1"/>
      <c r="G33" s="1"/>
      <c r="H33" s="1"/>
      <c r="I33" s="1"/>
      <c r="J33" s="1"/>
      <c r="K33" s="1"/>
      <c r="L33" s="1"/>
      <c r="M33" s="1"/>
      <c r="N33" s="1"/>
      <c r="O33" s="1"/>
      <c r="P33" s="1"/>
      <c r="Q33" s="1"/>
    </row>
    <row r="34" spans="1:17" x14ac:dyDescent="0.35">
      <c r="A34" s="1"/>
      <c r="B34" s="1"/>
      <c r="C34" s="1"/>
      <c r="D34" s="1"/>
      <c r="E34" s="1"/>
      <c r="F34" s="1"/>
      <c r="G34" s="1"/>
      <c r="H34" s="1"/>
      <c r="I34" s="1"/>
      <c r="J34" s="1"/>
      <c r="K34" s="1"/>
      <c r="L34" s="1"/>
      <c r="M34" s="1"/>
      <c r="N34" s="1"/>
      <c r="O34" s="1"/>
      <c r="P34" s="1"/>
      <c r="Q34" s="1"/>
    </row>
    <row r="35" spans="1:17" x14ac:dyDescent="0.35">
      <c r="A35" s="1"/>
      <c r="B35" s="1"/>
      <c r="C35" s="1"/>
      <c r="D35" s="1"/>
      <c r="E35" s="1"/>
      <c r="F35" s="1"/>
      <c r="G35" s="1"/>
      <c r="H35" s="1"/>
      <c r="I35" s="1"/>
      <c r="J35" s="1"/>
      <c r="K35" s="1"/>
      <c r="L35" s="1"/>
      <c r="M35" s="1"/>
      <c r="N35" s="1"/>
      <c r="O35" s="1"/>
      <c r="P35" s="1"/>
      <c r="Q35" s="1"/>
    </row>
    <row r="36" spans="1:17" x14ac:dyDescent="0.35">
      <c r="A36" s="1"/>
      <c r="B36" s="1"/>
      <c r="C36" s="1"/>
      <c r="D36" s="1"/>
      <c r="E36" s="1"/>
      <c r="F36" s="1"/>
      <c r="G36" s="1"/>
      <c r="H36" s="1"/>
      <c r="I36" s="1"/>
      <c r="J36" s="1"/>
      <c r="K36" s="1"/>
      <c r="L36" s="1"/>
      <c r="M36" s="1"/>
      <c r="N36" s="1"/>
      <c r="O36" s="1"/>
      <c r="P36" s="1"/>
      <c r="Q36" s="1"/>
    </row>
    <row r="37" spans="1:17" x14ac:dyDescent="0.35">
      <c r="A37" s="1"/>
      <c r="B37" s="1"/>
      <c r="C37" s="1"/>
      <c r="D37" s="1"/>
      <c r="E37" s="1"/>
      <c r="F37" s="1"/>
      <c r="G37" s="1"/>
      <c r="H37" s="1"/>
      <c r="I37" s="1"/>
      <c r="J37" s="1"/>
      <c r="K37" s="1"/>
      <c r="L37" s="1"/>
      <c r="M37" s="1"/>
      <c r="N37" s="1"/>
      <c r="O37" s="1"/>
      <c r="P37" s="1"/>
      <c r="Q37" s="1"/>
    </row>
    <row r="38" spans="1:17" x14ac:dyDescent="0.35">
      <c r="A38" s="1"/>
      <c r="B38" s="1"/>
      <c r="C38" s="1"/>
      <c r="D38" s="1"/>
      <c r="E38" s="1"/>
      <c r="F38" s="1"/>
      <c r="G38" s="1"/>
      <c r="H38" s="1"/>
      <c r="I38" s="1"/>
      <c r="J38" s="1"/>
      <c r="K38" s="1"/>
      <c r="L38" s="1"/>
      <c r="M38" s="1"/>
      <c r="N38" s="1"/>
      <c r="O38" s="1"/>
      <c r="P38" s="1"/>
      <c r="Q38" s="1"/>
    </row>
    <row r="39" spans="1:17" x14ac:dyDescent="0.35">
      <c r="A39" s="1"/>
      <c r="B39" s="1"/>
      <c r="C39" s="1"/>
      <c r="D39" s="1"/>
      <c r="E39" s="1"/>
      <c r="F39" s="1"/>
      <c r="G39" s="1"/>
      <c r="H39" s="1"/>
      <c r="I39" s="1"/>
      <c r="J39" s="1"/>
      <c r="K39" s="1"/>
      <c r="L39" s="1"/>
      <c r="M39" s="1"/>
      <c r="N39" s="1"/>
      <c r="O39" s="1"/>
      <c r="P39" s="1"/>
      <c r="Q39" s="1"/>
    </row>
    <row r="40" spans="1:17" x14ac:dyDescent="0.35">
      <c r="A40" s="1"/>
      <c r="B40" s="1"/>
      <c r="C40" s="1"/>
      <c r="D40" s="1"/>
      <c r="E40" s="1"/>
      <c r="F40" s="1"/>
      <c r="G40" s="1"/>
      <c r="H40" s="1"/>
      <c r="I40" s="1"/>
      <c r="J40" s="1"/>
      <c r="K40" s="1"/>
      <c r="L40" s="1"/>
      <c r="M40" s="1"/>
      <c r="N40" s="1"/>
      <c r="O40" s="1"/>
      <c r="P40" s="1"/>
      <c r="Q40" s="1"/>
    </row>
    <row r="41" spans="1:17" x14ac:dyDescent="0.35">
      <c r="A41" s="1"/>
      <c r="B41" s="1"/>
      <c r="C41" s="1"/>
      <c r="D41" s="1"/>
      <c r="E41" s="1"/>
      <c r="F41" s="1"/>
      <c r="G41" s="1"/>
      <c r="H41" s="1"/>
      <c r="I41" s="1"/>
      <c r="J41" s="1"/>
      <c r="K41" s="1"/>
      <c r="L41" s="1"/>
      <c r="M41" s="1"/>
      <c r="N41" s="1"/>
      <c r="O41" s="1"/>
      <c r="P41" s="1"/>
      <c r="Q41" s="1"/>
    </row>
    <row r="42" spans="1:17" x14ac:dyDescent="0.35">
      <c r="A42" s="1"/>
      <c r="B42" s="1"/>
      <c r="C42" s="1"/>
      <c r="D42" s="1"/>
      <c r="E42" s="1"/>
      <c r="F42" s="1"/>
      <c r="G42" s="1"/>
      <c r="H42" s="1"/>
      <c r="I42" s="1"/>
      <c r="J42" s="1"/>
      <c r="K42" s="1"/>
      <c r="L42" s="1"/>
      <c r="M42" s="1"/>
      <c r="N42" s="1"/>
      <c r="O42" s="1"/>
      <c r="P42" s="1"/>
      <c r="Q42" s="1"/>
    </row>
    <row r="43" spans="1:17" x14ac:dyDescent="0.35">
      <c r="A43" s="1"/>
      <c r="B43" s="1"/>
      <c r="C43" s="1"/>
      <c r="D43" s="1"/>
      <c r="E43" s="1"/>
      <c r="F43" s="1"/>
      <c r="G43" s="1"/>
      <c r="H43" s="1"/>
      <c r="I43" s="1"/>
      <c r="J43" s="1"/>
      <c r="K43" s="1"/>
      <c r="L43" s="1"/>
      <c r="M43" s="1"/>
      <c r="N43" s="1"/>
      <c r="O43" s="1"/>
      <c r="P43" s="1"/>
      <c r="Q43" s="1"/>
    </row>
    <row r="44" spans="1:17" x14ac:dyDescent="0.35">
      <c r="A44" s="1"/>
      <c r="B44" s="1"/>
      <c r="C44" s="1"/>
      <c r="D44" s="1"/>
      <c r="E44" s="1"/>
      <c r="F44" s="1"/>
      <c r="G44" s="1"/>
      <c r="H44" s="1"/>
      <c r="I44" s="1"/>
      <c r="J44" s="1"/>
      <c r="K44" s="1"/>
      <c r="L44" s="1"/>
      <c r="M44" s="1"/>
      <c r="N44" s="1"/>
      <c r="O44" s="1"/>
      <c r="P44" s="1"/>
      <c r="Q44" s="1"/>
    </row>
    <row r="45" spans="1:17" x14ac:dyDescent="0.35">
      <c r="A45" s="1"/>
      <c r="B45" s="1"/>
      <c r="C45" s="1"/>
      <c r="D45" s="1"/>
      <c r="E45" s="1"/>
      <c r="F45" s="1"/>
      <c r="G45" s="1"/>
      <c r="H45" s="1"/>
      <c r="I45" s="1"/>
      <c r="J45" s="1"/>
      <c r="K45" s="1"/>
      <c r="L45" s="1"/>
      <c r="M45" s="1"/>
      <c r="N45" s="1"/>
      <c r="O45" s="1"/>
      <c r="P45" s="1"/>
      <c r="Q45" s="1"/>
    </row>
    <row r="46" spans="1:17" x14ac:dyDescent="0.35">
      <c r="A46" s="1"/>
      <c r="B46" s="1"/>
      <c r="C46" s="1"/>
      <c r="D46" s="1"/>
      <c r="E46" s="1"/>
      <c r="F46" s="1"/>
      <c r="G46" s="1"/>
      <c r="H46" s="1"/>
      <c r="I46" s="1"/>
      <c r="J46" s="1"/>
      <c r="K46" s="1"/>
      <c r="L46" s="1"/>
      <c r="M46" s="1"/>
      <c r="N46" s="1"/>
      <c r="O46" s="1"/>
      <c r="P46" s="1"/>
      <c r="Q46" s="1"/>
    </row>
    <row r="47" spans="1:17" x14ac:dyDescent="0.35">
      <c r="A47" s="1"/>
      <c r="B47" s="1"/>
      <c r="C47" s="1"/>
      <c r="D47" s="1"/>
      <c r="E47" s="1"/>
      <c r="F47" s="1"/>
      <c r="G47" s="1"/>
      <c r="H47" s="1"/>
      <c r="I47" s="1"/>
      <c r="J47" s="1"/>
      <c r="K47" s="1"/>
      <c r="L47" s="1"/>
      <c r="M47" s="1"/>
      <c r="N47" s="1"/>
      <c r="O47" s="1"/>
      <c r="P47" s="1"/>
      <c r="Q47" s="1"/>
    </row>
    <row r="48" spans="1:17" x14ac:dyDescent="0.35">
      <c r="A48" s="1"/>
      <c r="B48" s="1"/>
      <c r="C48" s="1"/>
      <c r="D48" s="1"/>
      <c r="E48" s="1"/>
      <c r="F48" s="1"/>
      <c r="G48" s="1"/>
      <c r="H48" s="1"/>
      <c r="I48" s="1"/>
      <c r="J48" s="1"/>
      <c r="K48" s="1"/>
      <c r="L48" s="1"/>
      <c r="M48" s="1"/>
      <c r="N48" s="1"/>
      <c r="O48" s="1"/>
      <c r="P48" s="1"/>
      <c r="Q48" s="1"/>
    </row>
    <row r="49" spans="1:17" x14ac:dyDescent="0.35">
      <c r="A49" s="1"/>
      <c r="B49" s="1"/>
      <c r="C49" s="1"/>
      <c r="D49" s="1"/>
      <c r="E49" s="1"/>
      <c r="F49" s="1"/>
      <c r="G49" s="1"/>
      <c r="H49" s="1"/>
      <c r="I49" s="1"/>
      <c r="J49" s="1"/>
      <c r="K49" s="1"/>
      <c r="L49" s="1"/>
      <c r="M49" s="1"/>
      <c r="N49" s="1"/>
      <c r="O49" s="1"/>
      <c r="P49" s="1"/>
      <c r="Q49" s="1"/>
    </row>
    <row r="50" spans="1:17" x14ac:dyDescent="0.35">
      <c r="A50" s="1"/>
      <c r="B50" s="1"/>
      <c r="C50" s="1"/>
      <c r="D50" s="1"/>
      <c r="E50" s="1"/>
      <c r="F50" s="1"/>
      <c r="G50" s="1"/>
      <c r="H50" s="1"/>
      <c r="I50" s="1"/>
      <c r="J50" s="1"/>
      <c r="K50" s="1"/>
      <c r="L50" s="1"/>
      <c r="M50" s="1"/>
      <c r="N50" s="1"/>
      <c r="O50" s="1"/>
      <c r="P50" s="1"/>
      <c r="Q50" s="1"/>
    </row>
    <row r="51" spans="1:17" x14ac:dyDescent="0.35">
      <c r="A51" s="1"/>
      <c r="B51" s="1"/>
      <c r="C51" s="1"/>
      <c r="D51" s="1"/>
      <c r="E51" s="1"/>
      <c r="F51" s="1"/>
      <c r="G51" s="1"/>
      <c r="H51" s="1"/>
      <c r="I51" s="1"/>
      <c r="J51" s="1"/>
      <c r="K51" s="1"/>
      <c r="L51" s="1"/>
      <c r="M51" s="1"/>
      <c r="N51" s="1"/>
      <c r="O51" s="1"/>
      <c r="P51" s="1"/>
      <c r="Q51" s="1"/>
    </row>
    <row r="52" spans="1:17" x14ac:dyDescent="0.35">
      <c r="A52" s="1"/>
      <c r="B52" s="1"/>
      <c r="C52" s="1"/>
      <c r="D52" s="1"/>
      <c r="E52" s="1"/>
      <c r="F52" s="1"/>
      <c r="G52" s="1"/>
      <c r="H52" s="1"/>
      <c r="I52" s="1"/>
      <c r="J52" s="1"/>
      <c r="K52" s="1"/>
      <c r="L52" s="1"/>
      <c r="M52" s="1"/>
      <c r="N52" s="1"/>
      <c r="O52" s="1"/>
      <c r="P52" s="1"/>
      <c r="Q52" s="1"/>
    </row>
    <row r="53" spans="1:17" x14ac:dyDescent="0.35">
      <c r="A53" s="1"/>
      <c r="B53" s="1"/>
      <c r="C53" s="1"/>
      <c r="D53" s="1"/>
      <c r="E53" s="1"/>
      <c r="F53" s="1"/>
      <c r="G53" s="1"/>
      <c r="H53" s="1"/>
      <c r="I53" s="1"/>
      <c r="J53" s="1"/>
      <c r="K53" s="1"/>
      <c r="L53" s="1"/>
      <c r="M53" s="1"/>
      <c r="N53" s="1"/>
      <c r="O53" s="1"/>
      <c r="P53" s="1"/>
      <c r="Q53" s="1"/>
    </row>
    <row r="54" spans="1:17" x14ac:dyDescent="0.35">
      <c r="A54" s="1"/>
      <c r="B54" s="1"/>
      <c r="C54" s="1"/>
      <c r="D54" s="1"/>
      <c r="E54" s="1"/>
      <c r="F54" s="1"/>
      <c r="G54" s="1"/>
      <c r="H54" s="1"/>
      <c r="I54" s="1"/>
      <c r="J54" s="1"/>
      <c r="K54" s="1"/>
      <c r="L54" s="1"/>
      <c r="M54" s="1"/>
      <c r="N54" s="1"/>
      <c r="O54" s="1"/>
      <c r="P54" s="1"/>
      <c r="Q54" s="1"/>
    </row>
    <row r="55" spans="1:17" x14ac:dyDescent="0.35">
      <c r="A55" s="1"/>
      <c r="B55" s="1"/>
      <c r="C55" s="1"/>
      <c r="D55" s="1"/>
      <c r="E55" s="1"/>
      <c r="F55" s="1"/>
      <c r="G55" s="1"/>
      <c r="H55" s="1"/>
      <c r="I55" s="1"/>
      <c r="J55" s="1"/>
      <c r="K55" s="1"/>
      <c r="L55" s="1"/>
      <c r="M55" s="1"/>
      <c r="N55" s="1"/>
      <c r="O55" s="1"/>
      <c r="P55" s="1"/>
      <c r="Q55" s="1"/>
    </row>
    <row r="56" spans="1:17" x14ac:dyDescent="0.35">
      <c r="A56" s="1"/>
      <c r="B56" s="1"/>
      <c r="C56" s="1"/>
      <c r="D56" s="1"/>
      <c r="E56" s="1"/>
      <c r="F56" s="1"/>
      <c r="G56" s="1"/>
      <c r="H56" s="1"/>
      <c r="I56" s="1"/>
      <c r="J56" s="1"/>
      <c r="K56" s="1"/>
      <c r="L56" s="1"/>
      <c r="M56" s="1"/>
      <c r="N56" s="1"/>
      <c r="O56" s="1"/>
      <c r="P56" s="1"/>
      <c r="Q56" s="1"/>
    </row>
    <row r="57" spans="1:17" x14ac:dyDescent="0.35">
      <c r="A57" s="1"/>
      <c r="B57" s="1"/>
      <c r="C57" s="1"/>
      <c r="D57" s="1"/>
      <c r="E57" s="1"/>
      <c r="F57" s="1"/>
      <c r="G57" s="1"/>
      <c r="H57" s="1"/>
      <c r="I57" s="1"/>
      <c r="J57" s="1"/>
      <c r="K57" s="1"/>
      <c r="L57" s="1"/>
      <c r="M57" s="1"/>
      <c r="N57" s="1"/>
      <c r="O57" s="1"/>
      <c r="P57" s="1"/>
      <c r="Q57" s="1"/>
    </row>
    <row r="58" spans="1:17" x14ac:dyDescent="0.35">
      <c r="A58" s="1"/>
      <c r="B58" s="1"/>
      <c r="C58" s="1"/>
      <c r="D58" s="1"/>
      <c r="E58" s="1"/>
      <c r="F58" s="1"/>
      <c r="G58" s="1"/>
      <c r="H58" s="1"/>
      <c r="I58" s="1"/>
      <c r="J58" s="1"/>
      <c r="K58" s="1"/>
      <c r="L58" s="1"/>
      <c r="M58" s="1"/>
      <c r="N58" s="1"/>
      <c r="O58" s="1"/>
      <c r="P58" s="1"/>
      <c r="Q58" s="1"/>
    </row>
    <row r="59" spans="1:17" x14ac:dyDescent="0.35">
      <c r="A59" s="1"/>
      <c r="B59" s="1"/>
      <c r="C59" s="1"/>
      <c r="D59" s="1"/>
      <c r="E59" s="1"/>
      <c r="F59" s="1"/>
      <c r="G59" s="1"/>
      <c r="H59" s="1"/>
      <c r="I59" s="1"/>
      <c r="J59" s="1"/>
      <c r="K59" s="1"/>
      <c r="L59" s="1"/>
      <c r="M59" s="1"/>
      <c r="N59" s="1"/>
      <c r="O59" s="1"/>
      <c r="P59" s="1"/>
      <c r="Q59" s="1"/>
    </row>
    <row r="60" spans="1:17" x14ac:dyDescent="0.35">
      <c r="A60" s="1"/>
      <c r="B60" s="1"/>
      <c r="C60" s="1"/>
      <c r="D60" s="1"/>
      <c r="E60" s="1"/>
      <c r="F60" s="1"/>
      <c r="G60" s="1"/>
      <c r="H60" s="1"/>
      <c r="I60" s="1"/>
      <c r="J60" s="1"/>
      <c r="K60" s="1"/>
      <c r="L60" s="1"/>
      <c r="M60" s="1"/>
      <c r="N60" s="1"/>
      <c r="O60" s="1"/>
      <c r="P60" s="1"/>
      <c r="Q60" s="1"/>
    </row>
    <row r="61" spans="1:17" x14ac:dyDescent="0.35">
      <c r="A61" s="1"/>
      <c r="B61" s="1"/>
      <c r="C61" s="1"/>
      <c r="D61" s="1"/>
      <c r="E61" s="1"/>
      <c r="F61" s="1"/>
      <c r="G61" s="1"/>
      <c r="H61" s="1"/>
      <c r="I61" s="1"/>
      <c r="J61" s="1"/>
      <c r="K61" s="1"/>
      <c r="L61" s="1"/>
      <c r="M61" s="1"/>
      <c r="N61" s="1"/>
      <c r="O61" s="1"/>
      <c r="P61" s="1"/>
      <c r="Q61" s="1"/>
    </row>
    <row r="62" spans="1:17" x14ac:dyDescent="0.35">
      <c r="A62" s="1"/>
      <c r="B62" s="1"/>
      <c r="C62" s="1"/>
      <c r="D62" s="1"/>
      <c r="E62" s="1"/>
      <c r="F62" s="1"/>
      <c r="G62" s="1"/>
      <c r="H62" s="1"/>
      <c r="I62" s="1"/>
      <c r="J62" s="1"/>
      <c r="K62" s="1"/>
      <c r="L62" s="1"/>
      <c r="M62" s="1"/>
      <c r="N62" s="1"/>
      <c r="O62" s="1"/>
      <c r="P62" s="1"/>
      <c r="Q62" s="1"/>
    </row>
    <row r="63" spans="1:17" x14ac:dyDescent="0.35">
      <c r="A63" s="1"/>
      <c r="B63" s="1"/>
      <c r="C63" s="1"/>
      <c r="D63" s="1"/>
      <c r="E63" s="1"/>
      <c r="F63" s="1"/>
      <c r="G63" s="1"/>
      <c r="H63" s="1"/>
      <c r="I63" s="1"/>
      <c r="J63" s="1"/>
      <c r="K63" s="1"/>
      <c r="L63" s="1"/>
      <c r="M63" s="1"/>
      <c r="N63" s="1"/>
      <c r="O63" s="1"/>
      <c r="P63" s="1"/>
      <c r="Q63" s="1"/>
    </row>
    <row r="64" spans="1:17" x14ac:dyDescent="0.35">
      <c r="A64" s="1"/>
      <c r="B64" s="1"/>
      <c r="C64" s="1"/>
      <c r="D64" s="1"/>
      <c r="E64" s="1"/>
      <c r="F64" s="1"/>
      <c r="G64" s="1"/>
      <c r="H64" s="1"/>
      <c r="I64" s="1"/>
      <c r="J64" s="1"/>
      <c r="K64" s="1"/>
      <c r="L64" s="1"/>
      <c r="M64" s="1"/>
      <c r="N64" s="1"/>
      <c r="O64" s="1"/>
      <c r="P64" s="1"/>
      <c r="Q64" s="1"/>
    </row>
    <row r="65" spans="1:17" x14ac:dyDescent="0.35">
      <c r="A65" s="1"/>
      <c r="B65" s="1"/>
      <c r="C65" s="1"/>
      <c r="D65" s="1"/>
      <c r="E65" s="1"/>
      <c r="F65" s="1"/>
      <c r="G65" s="1"/>
      <c r="H65" s="1"/>
      <c r="I65" s="1"/>
      <c r="J65" s="1"/>
      <c r="K65" s="1"/>
      <c r="L65" s="1"/>
      <c r="M65" s="1"/>
      <c r="N65" s="1"/>
      <c r="O65" s="1"/>
      <c r="P65" s="1"/>
      <c r="Q65" s="1"/>
    </row>
    <row r="66" spans="1:17" x14ac:dyDescent="0.35">
      <c r="A66" s="1"/>
      <c r="B66" s="1"/>
      <c r="C66" s="1"/>
      <c r="D66" s="1"/>
      <c r="E66" s="1"/>
      <c r="F66" s="1"/>
      <c r="G66" s="1"/>
      <c r="H66" s="1"/>
      <c r="I66" s="1"/>
      <c r="J66" s="1"/>
      <c r="K66" s="1"/>
      <c r="L66" s="1"/>
      <c r="M66" s="1"/>
      <c r="N66" s="1"/>
      <c r="O66" s="1"/>
      <c r="P66" s="1"/>
      <c r="Q66" s="1"/>
    </row>
    <row r="67" spans="1:17" x14ac:dyDescent="0.35">
      <c r="A67" s="1"/>
      <c r="B67" s="1"/>
      <c r="C67" s="1"/>
      <c r="D67" s="1"/>
      <c r="E67" s="1"/>
      <c r="F67" s="1"/>
      <c r="G67" s="1"/>
      <c r="H67" s="1"/>
      <c r="I67" s="1"/>
      <c r="J67" s="1"/>
      <c r="K67" s="1"/>
      <c r="L67" s="1"/>
      <c r="M67" s="1"/>
      <c r="N67" s="1"/>
      <c r="O67" s="1"/>
      <c r="P67" s="1"/>
      <c r="Q67" s="1"/>
    </row>
    <row r="68" spans="1:17" x14ac:dyDescent="0.35">
      <c r="A68" s="1"/>
      <c r="B68" s="1"/>
      <c r="C68" s="1"/>
      <c r="D68" s="1"/>
      <c r="E68" s="1"/>
      <c r="F68" s="1"/>
      <c r="G68" s="1"/>
      <c r="H68" s="1"/>
      <c r="I68" s="1"/>
      <c r="J68" s="1"/>
      <c r="K68" s="1"/>
      <c r="L68" s="1"/>
      <c r="M68" s="1"/>
      <c r="N68" s="1"/>
      <c r="O68" s="1"/>
      <c r="P68" s="1"/>
      <c r="Q68" s="1"/>
    </row>
    <row r="69" spans="1:17" x14ac:dyDescent="0.35">
      <c r="A69" s="1"/>
      <c r="B69" s="1"/>
      <c r="C69" s="1"/>
      <c r="D69" s="1"/>
      <c r="E69" s="1"/>
      <c r="F69" s="1"/>
      <c r="G69" s="1"/>
      <c r="H69" s="1"/>
      <c r="I69" s="1"/>
      <c r="J69" s="1"/>
      <c r="K69" s="1"/>
      <c r="L69" s="1"/>
      <c r="M69" s="1"/>
      <c r="N69" s="1"/>
      <c r="O69" s="1"/>
      <c r="P69" s="1"/>
      <c r="Q69" s="1"/>
    </row>
    <row r="70" spans="1:17" x14ac:dyDescent="0.35">
      <c r="A70" s="1"/>
      <c r="B70" s="1"/>
      <c r="C70" s="1"/>
      <c r="D70" s="1"/>
      <c r="E70" s="1"/>
      <c r="F70" s="1"/>
      <c r="G70" s="1"/>
      <c r="H70" s="1"/>
      <c r="I70" s="1"/>
      <c r="J70" s="1"/>
      <c r="K70" s="1"/>
      <c r="L70" s="1"/>
      <c r="M70" s="1"/>
      <c r="N70" s="1"/>
      <c r="O70" s="1"/>
      <c r="P70" s="1"/>
      <c r="Q70" s="1"/>
    </row>
    <row r="71" spans="1:17" x14ac:dyDescent="0.35">
      <c r="A71" s="1"/>
      <c r="B71" s="1"/>
      <c r="C71" s="1"/>
      <c r="D71" s="1"/>
      <c r="E71" s="1"/>
      <c r="F71" s="1"/>
      <c r="G71" s="1"/>
      <c r="H71" s="1"/>
      <c r="I71" s="1"/>
      <c r="J71" s="1"/>
      <c r="K71" s="1"/>
      <c r="L71" s="1"/>
      <c r="M71" s="1"/>
      <c r="N71" s="1"/>
      <c r="O71" s="1"/>
      <c r="P71" s="1"/>
      <c r="Q71" s="1"/>
    </row>
    <row r="72" spans="1:17" x14ac:dyDescent="0.35">
      <c r="A72" s="1"/>
      <c r="B72" s="1"/>
      <c r="C72" s="1"/>
      <c r="D72" s="1"/>
      <c r="E72" s="1"/>
      <c r="F72" s="1"/>
      <c r="G72" s="1"/>
      <c r="H72" s="1"/>
      <c r="I72" s="1"/>
      <c r="J72" s="1"/>
      <c r="K72" s="1"/>
      <c r="L72" s="1"/>
      <c r="M72" s="1"/>
      <c r="N72" s="1"/>
      <c r="O72" s="1"/>
      <c r="P72" s="1"/>
      <c r="Q72" s="1"/>
    </row>
    <row r="73" spans="1:17" x14ac:dyDescent="0.35">
      <c r="A73" s="1"/>
      <c r="B73" s="1"/>
      <c r="C73" s="1"/>
      <c r="D73" s="1"/>
      <c r="E73" s="1"/>
      <c r="F73" s="1"/>
      <c r="G73" s="1"/>
      <c r="H73" s="1"/>
      <c r="I73" s="1"/>
      <c r="J73" s="1"/>
      <c r="K73" s="1"/>
      <c r="L73" s="1"/>
      <c r="M73" s="1"/>
      <c r="N73" s="1"/>
      <c r="O73" s="1"/>
      <c r="P73" s="1"/>
      <c r="Q73" s="1"/>
    </row>
    <row r="74" spans="1:17" x14ac:dyDescent="0.35">
      <c r="A74" s="1"/>
      <c r="B74" s="1"/>
      <c r="C74" s="1"/>
      <c r="D74" s="1"/>
      <c r="E74" s="1"/>
      <c r="F74" s="1"/>
      <c r="G74" s="1"/>
      <c r="H74" s="1"/>
      <c r="I74" s="1"/>
      <c r="J74" s="1"/>
      <c r="K74" s="1"/>
      <c r="L74" s="1"/>
      <c r="M74" s="1"/>
      <c r="N74" s="1"/>
      <c r="O74" s="1"/>
      <c r="P74" s="1"/>
      <c r="Q74" s="1"/>
    </row>
    <row r="75" spans="1:17" x14ac:dyDescent="0.35">
      <c r="A75" s="1"/>
      <c r="B75" s="1"/>
      <c r="C75" s="1"/>
      <c r="D75" s="1"/>
      <c r="E75" s="1"/>
      <c r="F75" s="1"/>
      <c r="G75" s="1"/>
      <c r="H75" s="1"/>
      <c r="I75" s="1"/>
      <c r="J75" s="1"/>
      <c r="K75" s="1"/>
      <c r="L75" s="1"/>
      <c r="M75" s="1"/>
      <c r="N75" s="1"/>
      <c r="O75" s="1"/>
      <c r="P75" s="1"/>
      <c r="Q75" s="1"/>
    </row>
    <row r="76" spans="1:17" x14ac:dyDescent="0.35">
      <c r="A76" s="1"/>
      <c r="B76" s="1"/>
      <c r="C76" s="1"/>
      <c r="D76" s="1"/>
      <c r="E76" s="1"/>
      <c r="F76" s="1"/>
      <c r="G76" s="1"/>
      <c r="H76" s="1"/>
      <c r="I76" s="1"/>
      <c r="J76" s="1"/>
      <c r="K76" s="1"/>
      <c r="L76" s="1"/>
      <c r="M76" s="1"/>
      <c r="N76" s="1"/>
      <c r="O76" s="1"/>
      <c r="P76" s="1"/>
      <c r="Q76" s="1"/>
    </row>
    <row r="77" spans="1:17" x14ac:dyDescent="0.35">
      <c r="A77" s="1"/>
      <c r="B77" s="1"/>
      <c r="C77" s="1"/>
      <c r="D77" s="1"/>
      <c r="E77" s="1"/>
      <c r="F77" s="1"/>
      <c r="G77" s="1"/>
      <c r="H77" s="1"/>
      <c r="I77" s="1"/>
      <c r="J77" s="1"/>
      <c r="K77" s="1"/>
      <c r="L77" s="1"/>
      <c r="M77" s="1"/>
      <c r="N77" s="1"/>
      <c r="O77" s="1"/>
      <c r="P77" s="1"/>
      <c r="Q77" s="1"/>
    </row>
    <row r="78" spans="1:17" x14ac:dyDescent="0.35">
      <c r="A78" s="1"/>
      <c r="B78" s="1"/>
      <c r="C78" s="1"/>
      <c r="D78" s="1"/>
      <c r="E78" s="1"/>
      <c r="F78" s="1"/>
      <c r="G78" s="1"/>
      <c r="H78" s="1"/>
      <c r="I78" s="1"/>
      <c r="J78" s="1"/>
      <c r="K78" s="1"/>
      <c r="L78" s="1"/>
      <c r="M78" s="1"/>
      <c r="N78" s="1"/>
      <c r="O78" s="1"/>
      <c r="P78" s="1"/>
      <c r="Q78" s="1"/>
    </row>
    <row r="79" spans="1:17" x14ac:dyDescent="0.35">
      <c r="A79" s="1"/>
      <c r="B79" s="1"/>
      <c r="C79" s="1"/>
      <c r="D79" s="1"/>
      <c r="E79" s="1"/>
      <c r="F79" s="1"/>
      <c r="G79" s="1"/>
      <c r="H79" s="1"/>
      <c r="I79" s="1"/>
      <c r="J79" s="1"/>
      <c r="K79" s="1"/>
      <c r="L79" s="1"/>
      <c r="M79" s="1"/>
      <c r="N79" s="1"/>
      <c r="O79" s="1"/>
      <c r="P79" s="1"/>
      <c r="Q79" s="1"/>
    </row>
    <row r="80" spans="1:17" x14ac:dyDescent="0.35">
      <c r="A80" s="1"/>
      <c r="B80" s="1"/>
      <c r="C80" s="1"/>
      <c r="D80" s="1"/>
      <c r="E80" s="1"/>
      <c r="F80" s="1"/>
      <c r="G80" s="1"/>
      <c r="H80" s="1"/>
      <c r="I80" s="1"/>
      <c r="J80" s="1"/>
      <c r="K80" s="1"/>
      <c r="L80" s="1"/>
      <c r="M80" s="1"/>
      <c r="N80" s="1"/>
      <c r="O80" s="1"/>
      <c r="P80" s="1"/>
      <c r="Q80" s="1"/>
    </row>
    <row r="81" spans="1:17" x14ac:dyDescent="0.35">
      <c r="A81" s="1"/>
      <c r="B81" s="1"/>
      <c r="C81" s="1"/>
      <c r="D81" s="1"/>
      <c r="E81" s="1"/>
      <c r="F81" s="1"/>
      <c r="G81" s="1"/>
      <c r="H81" s="1"/>
      <c r="I81" s="1"/>
      <c r="J81" s="1"/>
      <c r="K81" s="1"/>
      <c r="L81" s="1"/>
      <c r="M81" s="1"/>
      <c r="N81" s="1"/>
      <c r="O81" s="1"/>
      <c r="P81" s="1"/>
      <c r="Q81" s="1"/>
    </row>
    <row r="82" spans="1:17" x14ac:dyDescent="0.35">
      <c r="A82" s="1"/>
      <c r="B82" s="1"/>
      <c r="C82" s="1"/>
      <c r="D82" s="1"/>
      <c r="E82" s="1"/>
      <c r="F82" s="1"/>
      <c r="G82" s="1"/>
      <c r="H82" s="1"/>
      <c r="I82" s="1"/>
      <c r="J82" s="1"/>
      <c r="K82" s="1"/>
      <c r="L82" s="1"/>
      <c r="M82" s="1"/>
      <c r="N82" s="1"/>
      <c r="O82" s="1"/>
      <c r="P82" s="1"/>
      <c r="Q82" s="1"/>
    </row>
    <row r="83" spans="1:17" x14ac:dyDescent="0.35">
      <c r="A83" s="1"/>
      <c r="B83" s="1"/>
      <c r="C83" s="1"/>
      <c r="D83" s="1"/>
      <c r="E83" s="1"/>
      <c r="F83" s="1"/>
      <c r="G83" s="1"/>
      <c r="H83" s="1"/>
      <c r="I83" s="1"/>
      <c r="J83" s="1"/>
      <c r="K83" s="1"/>
      <c r="L83" s="1"/>
      <c r="M83" s="1"/>
      <c r="N83" s="1"/>
      <c r="O83" s="1"/>
      <c r="P83" s="1"/>
      <c r="Q83" s="1"/>
    </row>
    <row r="84" spans="1:17" x14ac:dyDescent="0.35">
      <c r="A84" s="1"/>
      <c r="B84" s="1"/>
      <c r="C84" s="1"/>
      <c r="D84" s="1"/>
      <c r="E84" s="1"/>
      <c r="F84" s="1"/>
      <c r="G84" s="1"/>
      <c r="H84" s="1"/>
      <c r="I84" s="1"/>
      <c r="J84" s="1"/>
      <c r="K84" s="1"/>
      <c r="L84" s="1"/>
      <c r="M84" s="1"/>
      <c r="N84" s="1"/>
      <c r="O84" s="1"/>
      <c r="P84" s="1"/>
      <c r="Q84" s="1"/>
    </row>
    <row r="85" spans="1:17" x14ac:dyDescent="0.35">
      <c r="A85" s="1"/>
      <c r="B85" s="1"/>
      <c r="C85" s="1"/>
      <c r="D85" s="1"/>
      <c r="E85" s="1"/>
      <c r="F85" s="1"/>
      <c r="G85" s="1"/>
      <c r="H85" s="1"/>
      <c r="I85" s="1"/>
      <c r="J85" s="1"/>
      <c r="K85" s="1"/>
      <c r="L85" s="1"/>
      <c r="M85" s="1"/>
      <c r="N85" s="1"/>
      <c r="O85" s="1"/>
      <c r="P85" s="1"/>
      <c r="Q85" s="1"/>
    </row>
    <row r="86" spans="1:17" x14ac:dyDescent="0.35">
      <c r="A86" s="1"/>
      <c r="B86" s="1"/>
      <c r="C86" s="1"/>
      <c r="D86" s="1"/>
      <c r="E86" s="1"/>
      <c r="F86" s="1"/>
      <c r="G86" s="1"/>
      <c r="H86" s="1"/>
      <c r="I86" s="1"/>
      <c r="J86" s="1"/>
      <c r="K86" s="1"/>
      <c r="L86" s="1"/>
      <c r="M86" s="1"/>
      <c r="N86" s="1"/>
      <c r="O86" s="1"/>
      <c r="P86" s="1"/>
      <c r="Q86" s="1"/>
    </row>
    <row r="87" spans="1:17" x14ac:dyDescent="0.35">
      <c r="A87" s="1"/>
      <c r="B87" s="1"/>
      <c r="C87" s="1"/>
      <c r="D87" s="1"/>
      <c r="E87" s="1"/>
      <c r="F87" s="1"/>
      <c r="G87" s="1"/>
      <c r="H87" s="1"/>
      <c r="I87" s="1"/>
      <c r="J87" s="1"/>
      <c r="K87" s="1"/>
      <c r="L87" s="1"/>
      <c r="M87" s="1"/>
      <c r="N87" s="1"/>
      <c r="O87" s="1"/>
      <c r="P87" s="1"/>
      <c r="Q87" s="1"/>
    </row>
    <row r="88" spans="1:17" x14ac:dyDescent="0.35">
      <c r="A88" s="1"/>
      <c r="B88" s="1"/>
      <c r="C88" s="1"/>
      <c r="D88" s="1"/>
      <c r="E88" s="1"/>
      <c r="F88" s="1"/>
      <c r="G88" s="1"/>
      <c r="H88" s="1"/>
      <c r="I88" s="1"/>
      <c r="J88" s="1"/>
      <c r="K88" s="1"/>
      <c r="L88" s="1"/>
      <c r="M88" s="1"/>
      <c r="N88" s="1"/>
      <c r="O88" s="1"/>
      <c r="P88" s="1"/>
      <c r="Q88" s="1"/>
    </row>
    <row r="89" spans="1:17" x14ac:dyDescent="0.35">
      <c r="A89" s="1"/>
      <c r="B89" s="1"/>
      <c r="C89" s="1"/>
      <c r="D89" s="1"/>
      <c r="E89" s="1"/>
      <c r="F89" s="1"/>
      <c r="G89" s="1"/>
      <c r="H89" s="1"/>
      <c r="I89" s="1"/>
      <c r="J89" s="1"/>
      <c r="K89" s="1"/>
      <c r="L89" s="1"/>
      <c r="M89" s="1"/>
      <c r="N89" s="1"/>
      <c r="O89" s="1"/>
      <c r="P89" s="1"/>
      <c r="Q89" s="1"/>
    </row>
    <row r="90" spans="1:17" x14ac:dyDescent="0.35">
      <c r="A90" s="1"/>
      <c r="B90" s="1"/>
      <c r="C90" s="1"/>
      <c r="D90" s="1"/>
      <c r="E90" s="1"/>
      <c r="F90" s="1"/>
      <c r="G90" s="1"/>
      <c r="H90" s="1"/>
      <c r="I90" s="1"/>
      <c r="J90" s="1"/>
      <c r="K90" s="1"/>
      <c r="L90" s="1"/>
      <c r="M90" s="1"/>
      <c r="N90" s="1"/>
      <c r="O90" s="1"/>
      <c r="P90" s="1"/>
      <c r="Q90" s="1"/>
    </row>
    <row r="91" spans="1:17" x14ac:dyDescent="0.35">
      <c r="A91" s="1"/>
      <c r="B91" s="1"/>
      <c r="C91" s="1"/>
      <c r="D91" s="1"/>
      <c r="E91" s="1"/>
      <c r="F91" s="1"/>
      <c r="G91" s="1"/>
      <c r="H91" s="1"/>
      <c r="I91" s="1"/>
      <c r="J91" s="1"/>
      <c r="K91" s="1"/>
      <c r="L91" s="1"/>
      <c r="M91" s="1"/>
      <c r="N91" s="1"/>
      <c r="O91" s="1"/>
      <c r="P91" s="1"/>
      <c r="Q91" s="1"/>
    </row>
    <row r="92" spans="1:17" x14ac:dyDescent="0.35">
      <c r="A92" s="1"/>
      <c r="B92" s="1"/>
      <c r="C92" s="1"/>
      <c r="D92" s="1"/>
      <c r="E92" s="1"/>
      <c r="F92" s="1"/>
      <c r="G92" s="1"/>
      <c r="H92" s="1"/>
      <c r="I92" s="1"/>
      <c r="J92" s="1"/>
      <c r="K92" s="1"/>
      <c r="L92" s="1"/>
      <c r="M92" s="1"/>
      <c r="N92" s="1"/>
      <c r="O92" s="1"/>
      <c r="P92" s="1"/>
      <c r="Q92" s="1"/>
    </row>
    <row r="93" spans="1:17" x14ac:dyDescent="0.35">
      <c r="A93" s="1"/>
      <c r="B93" s="1"/>
      <c r="C93" s="1"/>
      <c r="D93" s="1"/>
      <c r="E93" s="1"/>
      <c r="F93" s="1"/>
      <c r="G93" s="1"/>
      <c r="H93" s="1"/>
      <c r="I93" s="1"/>
      <c r="J93" s="1"/>
      <c r="K93" s="1"/>
      <c r="L93" s="1"/>
      <c r="M93" s="1"/>
      <c r="N93" s="1"/>
      <c r="O93" s="1"/>
      <c r="P93" s="1"/>
      <c r="Q93" s="1"/>
    </row>
    <row r="94" spans="1:17" x14ac:dyDescent="0.35">
      <c r="A94" s="1"/>
      <c r="B94" s="1"/>
      <c r="C94" s="1"/>
      <c r="D94" s="1"/>
      <c r="E94" s="1"/>
      <c r="F94" s="1"/>
      <c r="G94" s="1"/>
      <c r="H94" s="1"/>
      <c r="I94" s="1"/>
      <c r="J94" s="1"/>
      <c r="K94" s="1"/>
      <c r="L94" s="1"/>
      <c r="M94" s="1"/>
      <c r="N94" s="1"/>
      <c r="O94" s="1"/>
      <c r="P94" s="1"/>
      <c r="Q94" s="1"/>
    </row>
    <row r="95" spans="1:17" x14ac:dyDescent="0.35">
      <c r="A95" s="1"/>
      <c r="B95" s="1"/>
      <c r="C95" s="1"/>
      <c r="D95" s="1"/>
      <c r="E95" s="1"/>
      <c r="F95" s="1"/>
      <c r="G95" s="1"/>
      <c r="H95" s="1"/>
      <c r="I95" s="1"/>
      <c r="J95" s="1"/>
      <c r="K95" s="1"/>
      <c r="L95" s="1"/>
      <c r="M95" s="1"/>
      <c r="N95" s="1"/>
      <c r="O95" s="1"/>
      <c r="P95" s="1"/>
      <c r="Q95" s="1"/>
    </row>
    <row r="96" spans="1:17" x14ac:dyDescent="0.35">
      <c r="A96" s="1"/>
      <c r="B96" s="1"/>
      <c r="C96" s="1"/>
      <c r="D96" s="1"/>
      <c r="E96" s="1"/>
      <c r="F96" s="1"/>
      <c r="G96" s="1"/>
      <c r="H96" s="1"/>
      <c r="I96" s="1"/>
      <c r="J96" s="1"/>
      <c r="K96" s="1"/>
      <c r="L96" s="1"/>
      <c r="M96" s="1"/>
      <c r="N96" s="1"/>
      <c r="O96" s="1"/>
      <c r="P96" s="1"/>
      <c r="Q96" s="1"/>
    </row>
    <row r="97" spans="1:17" x14ac:dyDescent="0.35">
      <c r="A97" s="1"/>
      <c r="B97" s="1"/>
      <c r="C97" s="1"/>
      <c r="D97" s="1"/>
      <c r="E97" s="1"/>
      <c r="F97" s="1"/>
      <c r="G97" s="1"/>
      <c r="H97" s="1"/>
      <c r="I97" s="1"/>
      <c r="J97" s="1"/>
      <c r="K97" s="1"/>
      <c r="L97" s="1"/>
      <c r="M97" s="1"/>
      <c r="N97" s="1"/>
      <c r="O97" s="1"/>
      <c r="P97" s="1"/>
      <c r="Q97" s="1"/>
    </row>
    <row r="98" spans="1:17" x14ac:dyDescent="0.35">
      <c r="A98" s="1"/>
      <c r="B98" s="1"/>
      <c r="C98" s="1"/>
      <c r="D98" s="1"/>
      <c r="E98" s="1"/>
      <c r="F98" s="1"/>
      <c r="G98" s="1"/>
      <c r="H98" s="1"/>
      <c r="I98" s="1"/>
      <c r="J98" s="1"/>
      <c r="K98" s="1"/>
      <c r="L98" s="1"/>
      <c r="M98" s="1"/>
      <c r="N98" s="1"/>
      <c r="O98" s="1"/>
      <c r="P98" s="1"/>
      <c r="Q98" s="1"/>
    </row>
    <row r="99" spans="1:17" x14ac:dyDescent="0.35">
      <c r="A99" s="1"/>
      <c r="B99" s="1"/>
      <c r="C99" s="1"/>
      <c r="D99" s="1"/>
      <c r="E99" s="1"/>
      <c r="F99" s="1"/>
      <c r="G99" s="1"/>
      <c r="H99" s="1"/>
      <c r="I99" s="1"/>
      <c r="J99" s="1"/>
      <c r="K99" s="1"/>
      <c r="L99" s="1"/>
      <c r="M99" s="1"/>
      <c r="N99" s="1"/>
      <c r="O99" s="1"/>
      <c r="P99" s="1"/>
      <c r="Q99" s="1"/>
    </row>
    <row r="100" spans="1:17" x14ac:dyDescent="0.35">
      <c r="A100" s="1"/>
      <c r="B100" s="1"/>
      <c r="C100" s="1"/>
      <c r="D100" s="1"/>
      <c r="E100" s="1"/>
      <c r="F100" s="1"/>
      <c r="G100" s="1"/>
      <c r="H100" s="1"/>
      <c r="I100" s="1"/>
      <c r="J100" s="1"/>
      <c r="K100" s="1"/>
      <c r="L100" s="1"/>
      <c r="M100" s="1"/>
      <c r="N100" s="1"/>
      <c r="O100" s="1"/>
      <c r="P100" s="1"/>
      <c r="Q100" s="1"/>
    </row>
    <row r="101" spans="1:17" x14ac:dyDescent="0.35">
      <c r="A101" s="1"/>
      <c r="B101" s="1"/>
      <c r="C101" s="1"/>
      <c r="D101" s="1"/>
      <c r="E101" s="1"/>
      <c r="F101" s="1"/>
      <c r="G101" s="1"/>
      <c r="H101" s="1"/>
      <c r="I101" s="1"/>
      <c r="J101" s="1"/>
      <c r="K101" s="1"/>
      <c r="L101" s="1"/>
      <c r="M101" s="1"/>
      <c r="N101" s="1"/>
      <c r="O101" s="1"/>
      <c r="P101" s="1"/>
      <c r="Q101" s="1"/>
    </row>
    <row r="102" spans="1:17" x14ac:dyDescent="0.35">
      <c r="A102" s="1"/>
      <c r="B102" s="1"/>
      <c r="C102" s="1"/>
      <c r="D102" s="1"/>
      <c r="E102" s="1"/>
      <c r="F102" s="1"/>
      <c r="G102" s="1"/>
      <c r="H102" s="1"/>
      <c r="I102" s="1"/>
      <c r="J102" s="1"/>
      <c r="K102" s="1"/>
      <c r="L102" s="1"/>
      <c r="M102" s="1"/>
      <c r="N102" s="1"/>
      <c r="O102" s="1"/>
      <c r="P102" s="1"/>
      <c r="Q102" s="1"/>
    </row>
    <row r="103" spans="1:17" x14ac:dyDescent="0.35">
      <c r="A103" s="1"/>
      <c r="B103" s="1"/>
      <c r="C103" s="1"/>
      <c r="D103" s="1"/>
      <c r="E103" s="1"/>
      <c r="F103" s="1"/>
      <c r="G103" s="1"/>
      <c r="H103" s="1"/>
      <c r="I103" s="1"/>
      <c r="J103" s="1"/>
      <c r="K103" s="1"/>
      <c r="L103" s="1"/>
      <c r="M103" s="1"/>
      <c r="N103" s="1"/>
      <c r="O103" s="1"/>
      <c r="P103" s="1"/>
      <c r="Q103" s="1"/>
    </row>
    <row r="104" spans="1:17" x14ac:dyDescent="0.35">
      <c r="A104" s="1"/>
      <c r="B104" s="1"/>
      <c r="C104" s="1"/>
      <c r="D104" s="1"/>
      <c r="E104" s="1"/>
      <c r="F104" s="1"/>
      <c r="G104" s="1"/>
      <c r="H104" s="1"/>
      <c r="I104" s="1"/>
      <c r="J104" s="1"/>
      <c r="K104" s="1"/>
      <c r="L104" s="1"/>
      <c r="M104" s="1"/>
      <c r="N104" s="1"/>
      <c r="O104" s="1"/>
      <c r="P104" s="1"/>
      <c r="Q104" s="1"/>
    </row>
    <row r="105" spans="1:17" x14ac:dyDescent="0.35">
      <c r="A105" s="1"/>
      <c r="B105" s="1"/>
      <c r="C105" s="1"/>
      <c r="D105" s="1"/>
      <c r="E105" s="1"/>
      <c r="F105" s="1"/>
      <c r="G105" s="1"/>
      <c r="H105" s="1"/>
      <c r="I105" s="1"/>
      <c r="J105" s="1"/>
      <c r="K105" s="1"/>
      <c r="L105" s="1"/>
      <c r="M105" s="1"/>
      <c r="N105" s="1"/>
      <c r="O105" s="1"/>
      <c r="P105" s="1"/>
      <c r="Q105" s="1"/>
    </row>
    <row r="106" spans="1:17" x14ac:dyDescent="0.35">
      <c r="A106" s="1"/>
      <c r="B106" s="1"/>
      <c r="C106" s="1"/>
      <c r="D106" s="1"/>
      <c r="E106" s="1"/>
      <c r="F106" s="1"/>
      <c r="G106" s="1"/>
      <c r="H106" s="1"/>
      <c r="I106" s="1"/>
      <c r="J106" s="1"/>
      <c r="K106" s="1"/>
      <c r="L106" s="1"/>
      <c r="M106" s="1"/>
      <c r="N106" s="1"/>
      <c r="O106" s="1"/>
      <c r="P106" s="1"/>
      <c r="Q106" s="1"/>
    </row>
    <row r="107" spans="1:17" x14ac:dyDescent="0.35">
      <c r="A107" s="1"/>
      <c r="B107" s="1"/>
      <c r="C107" s="1"/>
      <c r="D107" s="1"/>
      <c r="E107" s="1"/>
      <c r="F107" s="1"/>
      <c r="G107" s="1"/>
      <c r="H107" s="1"/>
      <c r="I107" s="1"/>
      <c r="J107" s="1"/>
      <c r="K107" s="1"/>
      <c r="L107" s="1"/>
      <c r="M107" s="1"/>
      <c r="N107" s="1"/>
      <c r="O107" s="1"/>
      <c r="P107" s="1"/>
      <c r="Q107" s="1"/>
    </row>
    <row r="108" spans="1:17" x14ac:dyDescent="0.35">
      <c r="A108" s="1"/>
      <c r="B108" s="1"/>
      <c r="C108" s="1"/>
      <c r="D108" s="1"/>
      <c r="E108" s="1"/>
      <c r="F108" s="1"/>
      <c r="G108" s="1"/>
      <c r="H108" s="1"/>
      <c r="I108" s="1"/>
      <c r="J108" s="1"/>
      <c r="K108" s="1"/>
      <c r="L108" s="1"/>
      <c r="M108" s="1"/>
      <c r="N108" s="1"/>
      <c r="O108" s="1"/>
      <c r="P108" s="1"/>
      <c r="Q108" s="1"/>
    </row>
    <row r="109" spans="1:17" x14ac:dyDescent="0.35">
      <c r="A109" s="1"/>
      <c r="B109" s="1"/>
      <c r="C109" s="1"/>
      <c r="D109" s="1"/>
      <c r="E109" s="1"/>
      <c r="F109" s="1"/>
      <c r="G109" s="1"/>
      <c r="H109" s="1"/>
      <c r="I109" s="1"/>
      <c r="J109" s="1"/>
      <c r="K109" s="1"/>
      <c r="L109" s="1"/>
      <c r="M109" s="1"/>
      <c r="N109" s="1"/>
      <c r="O109" s="1"/>
      <c r="P109" s="1"/>
      <c r="Q109" s="1"/>
    </row>
    <row r="110" spans="1:17" x14ac:dyDescent="0.35">
      <c r="A110" s="1"/>
      <c r="B110" s="1"/>
      <c r="C110" s="1"/>
      <c r="D110" s="1"/>
      <c r="E110" s="1"/>
      <c r="F110" s="1"/>
      <c r="G110" s="1"/>
      <c r="H110" s="1"/>
      <c r="I110" s="1"/>
      <c r="J110" s="1"/>
      <c r="K110" s="1"/>
      <c r="L110" s="1"/>
      <c r="M110" s="1"/>
      <c r="N110" s="1"/>
      <c r="O110" s="1"/>
      <c r="P110" s="1"/>
      <c r="Q110" s="1"/>
    </row>
    <row r="111" spans="1:17" x14ac:dyDescent="0.35">
      <c r="A111" s="1"/>
      <c r="B111" s="1"/>
      <c r="C111" s="1"/>
      <c r="D111" s="1"/>
      <c r="E111" s="1"/>
      <c r="F111" s="1"/>
      <c r="G111" s="1"/>
      <c r="H111" s="1"/>
      <c r="I111" s="1"/>
      <c r="J111" s="1"/>
      <c r="K111" s="1"/>
      <c r="L111" s="1"/>
      <c r="M111" s="1"/>
      <c r="N111" s="1"/>
      <c r="O111" s="1"/>
      <c r="P111" s="1"/>
      <c r="Q111" s="1"/>
    </row>
    <row r="112" spans="1:17" x14ac:dyDescent="0.35">
      <c r="A112" s="1"/>
      <c r="B112" s="1"/>
      <c r="C112" s="1"/>
      <c r="D112" s="1"/>
      <c r="E112" s="1"/>
      <c r="F112" s="1"/>
      <c r="G112" s="1"/>
      <c r="H112" s="1"/>
      <c r="I112" s="1"/>
      <c r="J112" s="1"/>
      <c r="K112" s="1"/>
      <c r="L112" s="1"/>
      <c r="M112" s="1"/>
      <c r="N112" s="1"/>
      <c r="O112" s="1"/>
      <c r="P112" s="1"/>
      <c r="Q112" s="1"/>
    </row>
    <row r="113" spans="1:17" x14ac:dyDescent="0.35">
      <c r="A113" s="1"/>
      <c r="B113" s="1"/>
      <c r="C113" s="1"/>
      <c r="D113" s="1"/>
      <c r="E113" s="1"/>
      <c r="F113" s="1"/>
      <c r="G113" s="1"/>
      <c r="H113" s="1"/>
      <c r="I113" s="1"/>
      <c r="J113" s="1"/>
      <c r="K113" s="1"/>
      <c r="L113" s="1"/>
      <c r="M113" s="1"/>
      <c r="N113" s="1"/>
      <c r="O113" s="1"/>
      <c r="P113" s="1"/>
      <c r="Q113" s="1"/>
    </row>
    <row r="114" spans="1:17" x14ac:dyDescent="0.35">
      <c r="A114" s="1"/>
      <c r="B114" s="1"/>
      <c r="C114" s="1"/>
      <c r="D114" s="1"/>
      <c r="E114" s="1"/>
      <c r="F114" s="1"/>
      <c r="G114" s="1"/>
      <c r="H114" s="1"/>
      <c r="I114" s="1"/>
      <c r="J114" s="1"/>
      <c r="K114" s="1"/>
      <c r="L114" s="1"/>
      <c r="M114" s="1"/>
      <c r="N114" s="1"/>
      <c r="O114" s="1"/>
      <c r="P114" s="1"/>
      <c r="Q114" s="1"/>
    </row>
    <row r="115" spans="1:17" x14ac:dyDescent="0.35">
      <c r="A115" s="1"/>
      <c r="B115" s="1"/>
      <c r="C115" s="1"/>
      <c r="D115" s="1"/>
      <c r="E115" s="1"/>
      <c r="F115" s="1"/>
      <c r="G115" s="1"/>
      <c r="H115" s="1"/>
      <c r="I115" s="1"/>
      <c r="J115" s="1"/>
      <c r="K115" s="1"/>
      <c r="L115" s="1"/>
      <c r="M115" s="1"/>
      <c r="N115" s="1"/>
      <c r="O115" s="1"/>
      <c r="P115" s="1"/>
      <c r="Q115" s="1"/>
    </row>
    <row r="116" spans="1:17" x14ac:dyDescent="0.35">
      <c r="A116" s="1"/>
      <c r="B116" s="1"/>
      <c r="C116" s="1"/>
      <c r="D116" s="1"/>
      <c r="E116" s="1"/>
      <c r="F116" s="1"/>
      <c r="G116" s="1"/>
      <c r="H116" s="1"/>
      <c r="I116" s="1"/>
      <c r="J116" s="1"/>
      <c r="K116" s="1"/>
      <c r="L116" s="1"/>
      <c r="M116" s="1"/>
      <c r="N116" s="1"/>
      <c r="O116" s="1"/>
      <c r="P116" s="1"/>
      <c r="Q116" s="1"/>
    </row>
    <row r="117" spans="1:17" x14ac:dyDescent="0.35">
      <c r="A117" s="1"/>
      <c r="B117" s="1"/>
      <c r="C117" s="1"/>
      <c r="D117" s="1"/>
      <c r="E117" s="1"/>
      <c r="F117" s="1"/>
      <c r="G117" s="1"/>
      <c r="H117" s="1"/>
      <c r="I117" s="1"/>
      <c r="J117" s="1"/>
      <c r="K117" s="1"/>
      <c r="L117" s="1"/>
      <c r="M117" s="1"/>
      <c r="N117" s="1"/>
      <c r="O117" s="1"/>
      <c r="P117" s="1"/>
      <c r="Q117" s="1"/>
    </row>
    <row r="118" spans="1:17" x14ac:dyDescent="0.35">
      <c r="A118" s="1"/>
      <c r="B118" s="1"/>
      <c r="C118" s="1"/>
      <c r="D118" s="1"/>
      <c r="E118" s="1"/>
      <c r="F118" s="1"/>
      <c r="G118" s="1"/>
      <c r="H118" s="1"/>
      <c r="I118" s="1"/>
      <c r="J118" s="1"/>
      <c r="K118" s="1"/>
      <c r="L118" s="1"/>
      <c r="M118" s="1"/>
      <c r="N118" s="1"/>
      <c r="O118" s="1"/>
      <c r="P118" s="1"/>
      <c r="Q118" s="1"/>
    </row>
    <row r="119" spans="1:17" x14ac:dyDescent="0.35">
      <c r="A119" s="1"/>
      <c r="B119" s="1"/>
      <c r="C119" s="1"/>
      <c r="D119" s="1"/>
      <c r="E119" s="1"/>
      <c r="F119" s="1"/>
      <c r="G119" s="1"/>
      <c r="H119" s="1"/>
      <c r="I119" s="1"/>
      <c r="J119" s="1"/>
      <c r="K119" s="1"/>
      <c r="L119" s="1"/>
      <c r="M119" s="1"/>
      <c r="N119" s="1"/>
      <c r="O119" s="1"/>
      <c r="P119" s="1"/>
      <c r="Q119" s="1"/>
    </row>
    <row r="120" spans="1:17" x14ac:dyDescent="0.35">
      <c r="A120" s="1"/>
      <c r="B120" s="1"/>
      <c r="C120" s="1"/>
      <c r="D120" s="1"/>
      <c r="E120" s="1"/>
      <c r="F120" s="1"/>
      <c r="G120" s="1"/>
      <c r="H120" s="1"/>
      <c r="I120" s="1"/>
      <c r="J120" s="1"/>
      <c r="K120" s="1"/>
      <c r="L120" s="1"/>
      <c r="M120" s="1"/>
      <c r="N120" s="1"/>
      <c r="O120" s="1"/>
      <c r="P120" s="1"/>
      <c r="Q120" s="1"/>
    </row>
    <row r="121" spans="1:17" x14ac:dyDescent="0.35">
      <c r="A121" s="1"/>
      <c r="B121" s="1"/>
      <c r="C121" s="1"/>
      <c r="D121" s="1"/>
      <c r="E121" s="1"/>
      <c r="F121" s="1"/>
      <c r="G121" s="1"/>
      <c r="H121" s="1"/>
      <c r="I121" s="1"/>
      <c r="J121" s="1"/>
      <c r="K121" s="1"/>
      <c r="L121" s="1"/>
      <c r="M121" s="1"/>
      <c r="N121" s="1"/>
      <c r="O121" s="1"/>
      <c r="P121" s="1"/>
      <c r="Q121" s="1"/>
    </row>
    <row r="122" spans="1:17" x14ac:dyDescent="0.35">
      <c r="A122" s="1"/>
      <c r="B122" s="1"/>
      <c r="C122" s="1"/>
      <c r="D122" s="1"/>
      <c r="E122" s="1"/>
      <c r="F122" s="1"/>
      <c r="G122" s="1"/>
      <c r="H122" s="1"/>
      <c r="I122" s="1"/>
      <c r="J122" s="1"/>
      <c r="K122" s="1"/>
      <c r="L122" s="1"/>
      <c r="M122" s="1"/>
      <c r="N122" s="1"/>
      <c r="O122" s="1"/>
      <c r="P122" s="1"/>
      <c r="Q122" s="1"/>
    </row>
    <row r="123" spans="1:17" x14ac:dyDescent="0.35">
      <c r="A123" s="1"/>
      <c r="B123" s="1"/>
      <c r="C123" s="1"/>
      <c r="D123" s="1"/>
      <c r="E123" s="1"/>
      <c r="F123" s="1"/>
      <c r="G123" s="1"/>
      <c r="H123" s="1"/>
      <c r="I123" s="1"/>
      <c r="J123" s="1"/>
      <c r="K123" s="1"/>
      <c r="L123" s="1"/>
      <c r="M123" s="1"/>
      <c r="N123" s="1"/>
      <c r="O123" s="1"/>
      <c r="P123" s="1"/>
      <c r="Q123" s="1"/>
    </row>
    <row r="124" spans="1:17" x14ac:dyDescent="0.35">
      <c r="A124" s="1"/>
      <c r="B124" s="1"/>
      <c r="C124" s="1"/>
      <c r="D124" s="1"/>
      <c r="E124" s="1"/>
      <c r="F124" s="1"/>
      <c r="G124" s="1"/>
      <c r="H124" s="1"/>
      <c r="I124" s="1"/>
      <c r="J124" s="1"/>
      <c r="K124" s="1"/>
      <c r="L124" s="1"/>
      <c r="M124" s="1"/>
      <c r="N124" s="1"/>
      <c r="O124" s="1"/>
      <c r="P124" s="1"/>
      <c r="Q124" s="1"/>
    </row>
    <row r="125" spans="1:17" x14ac:dyDescent="0.35">
      <c r="A125" s="1"/>
      <c r="B125" s="1"/>
      <c r="C125" s="1"/>
      <c r="D125" s="1"/>
      <c r="E125" s="1"/>
      <c r="F125" s="1"/>
      <c r="G125" s="1"/>
      <c r="H125" s="1"/>
      <c r="I125" s="1"/>
      <c r="J125" s="1"/>
      <c r="K125" s="1"/>
      <c r="L125" s="1"/>
      <c r="M125" s="1"/>
      <c r="N125" s="1"/>
      <c r="O125" s="1"/>
      <c r="P125" s="1"/>
      <c r="Q125" s="1"/>
    </row>
    <row r="126" spans="1:17" x14ac:dyDescent="0.35">
      <c r="A126" s="1"/>
      <c r="B126" s="1"/>
      <c r="C126" s="1"/>
      <c r="D126" s="1"/>
      <c r="E126" s="1"/>
      <c r="F126" s="1"/>
      <c r="G126" s="1"/>
      <c r="H126" s="1"/>
      <c r="I126" s="1"/>
      <c r="J126" s="1"/>
      <c r="K126" s="1"/>
      <c r="L126" s="1"/>
      <c r="M126" s="1"/>
      <c r="N126" s="1"/>
      <c r="O126" s="1"/>
      <c r="P126" s="1"/>
      <c r="Q126" s="1"/>
    </row>
    <row r="127" spans="1:17" x14ac:dyDescent="0.35">
      <c r="A127" s="1"/>
      <c r="B127" s="1"/>
      <c r="C127" s="1"/>
      <c r="D127" s="1"/>
      <c r="E127" s="1"/>
      <c r="F127" s="1"/>
      <c r="G127" s="1"/>
      <c r="H127" s="1"/>
      <c r="I127" s="1"/>
      <c r="J127" s="1"/>
      <c r="K127" s="1"/>
      <c r="L127" s="1"/>
      <c r="M127" s="1"/>
      <c r="N127" s="1"/>
      <c r="O127" s="1"/>
      <c r="P127" s="1"/>
      <c r="Q127" s="1"/>
    </row>
    <row r="128" spans="1:17" x14ac:dyDescent="0.35">
      <c r="A128" s="1"/>
      <c r="B128" s="1"/>
      <c r="C128" s="1"/>
      <c r="D128" s="1"/>
      <c r="E128" s="1"/>
      <c r="F128" s="1"/>
      <c r="G128" s="1"/>
      <c r="H128" s="1"/>
      <c r="I128" s="1"/>
      <c r="J128" s="1"/>
      <c r="K128" s="1"/>
      <c r="L128" s="1"/>
      <c r="M128" s="1"/>
      <c r="N128" s="1"/>
      <c r="O128" s="1"/>
      <c r="P128" s="1"/>
      <c r="Q128" s="1"/>
    </row>
    <row r="129" spans="1:17" x14ac:dyDescent="0.35">
      <c r="A129" s="1"/>
      <c r="B129" s="1"/>
      <c r="C129" s="1"/>
      <c r="D129" s="1"/>
      <c r="E129" s="1"/>
      <c r="F129" s="1"/>
      <c r="G129" s="1"/>
      <c r="H129" s="1"/>
      <c r="I129" s="1"/>
      <c r="J129" s="1"/>
      <c r="K129" s="1"/>
      <c r="L129" s="1"/>
      <c r="M129" s="1"/>
      <c r="N129" s="1"/>
      <c r="O129" s="1"/>
      <c r="P129" s="1"/>
      <c r="Q129" s="1"/>
    </row>
    <row r="130" spans="1:17" x14ac:dyDescent="0.35">
      <c r="A130" s="1"/>
      <c r="B130" s="1"/>
      <c r="C130" s="1"/>
      <c r="D130" s="1"/>
      <c r="E130" s="1"/>
      <c r="F130" s="1"/>
      <c r="G130" s="1"/>
      <c r="H130" s="1"/>
      <c r="I130" s="1"/>
      <c r="J130" s="1"/>
      <c r="K130" s="1"/>
      <c r="L130" s="1"/>
      <c r="M130" s="1"/>
      <c r="N130" s="1"/>
      <c r="O130" s="1"/>
      <c r="P130" s="1"/>
      <c r="Q130" s="1"/>
    </row>
    <row r="131" spans="1:17" x14ac:dyDescent="0.35">
      <c r="A131" s="1"/>
      <c r="B131" s="1"/>
      <c r="C131" s="1"/>
      <c r="D131" s="1"/>
      <c r="E131" s="1"/>
      <c r="F131" s="1"/>
      <c r="G131" s="1"/>
      <c r="H131" s="1"/>
      <c r="I131" s="1"/>
      <c r="J131" s="1"/>
      <c r="K131" s="1"/>
      <c r="L131" s="1"/>
      <c r="M131" s="1"/>
      <c r="N131" s="1"/>
      <c r="O131" s="1"/>
      <c r="P131" s="1"/>
      <c r="Q131" s="1"/>
    </row>
    <row r="132" spans="1:17" x14ac:dyDescent="0.35">
      <c r="A132" s="1"/>
      <c r="B132" s="1"/>
      <c r="C132" s="1"/>
      <c r="D132" s="1"/>
      <c r="E132" s="1"/>
      <c r="F132" s="1"/>
      <c r="G132" s="1"/>
      <c r="H132" s="1"/>
      <c r="I132" s="1"/>
      <c r="J132" s="1"/>
      <c r="K132" s="1"/>
      <c r="L132" s="1"/>
      <c r="M132" s="1"/>
      <c r="N132" s="1"/>
      <c r="O132" s="1"/>
      <c r="P132" s="1"/>
      <c r="Q132" s="1"/>
    </row>
    <row r="133" spans="1:17" x14ac:dyDescent="0.35">
      <c r="A133" s="1"/>
      <c r="B133" s="1"/>
      <c r="C133" s="1"/>
      <c r="D133" s="1"/>
      <c r="E133" s="1"/>
      <c r="F133" s="1"/>
      <c r="G133" s="1"/>
      <c r="H133" s="1"/>
      <c r="I133" s="1"/>
      <c r="J133" s="1"/>
      <c r="K133" s="1"/>
      <c r="L133" s="1"/>
      <c r="M133" s="1"/>
      <c r="N133" s="1"/>
      <c r="O133" s="1"/>
      <c r="P133" s="1"/>
      <c r="Q133" s="1"/>
    </row>
    <row r="134" spans="1:17" x14ac:dyDescent="0.35">
      <c r="A134" s="1"/>
      <c r="B134" s="1"/>
      <c r="C134" s="1"/>
      <c r="D134" s="1"/>
      <c r="E134" s="1"/>
      <c r="F134" s="1"/>
      <c r="G134" s="1"/>
      <c r="H134" s="1"/>
      <c r="I134" s="1"/>
      <c r="J134" s="1"/>
      <c r="K134" s="1"/>
      <c r="L134" s="1"/>
      <c r="M134" s="1"/>
      <c r="N134" s="1"/>
      <c r="O134" s="1"/>
      <c r="P134" s="1"/>
      <c r="Q134" s="1"/>
    </row>
    <row r="135" spans="1:17" x14ac:dyDescent="0.35">
      <c r="A135" s="1"/>
      <c r="B135" s="1"/>
      <c r="C135" s="1"/>
      <c r="D135" s="1"/>
      <c r="E135" s="1"/>
      <c r="F135" s="1"/>
      <c r="G135" s="1"/>
      <c r="H135" s="1"/>
      <c r="I135" s="1"/>
      <c r="J135" s="1"/>
      <c r="K135" s="1"/>
      <c r="L135" s="1"/>
      <c r="M135" s="1"/>
      <c r="N135" s="1"/>
      <c r="O135" s="1"/>
      <c r="P135" s="1"/>
      <c r="Q135" s="1"/>
    </row>
    <row r="136" spans="1:17" x14ac:dyDescent="0.35">
      <c r="A136" s="1"/>
      <c r="B136" s="1"/>
      <c r="C136" s="1"/>
      <c r="D136" s="1"/>
      <c r="E136" s="1"/>
      <c r="F136" s="1"/>
      <c r="G136" s="1"/>
      <c r="H136" s="1"/>
      <c r="I136" s="1"/>
      <c r="J136" s="1"/>
      <c r="K136" s="1"/>
      <c r="L136" s="1"/>
      <c r="M136" s="1"/>
      <c r="N136" s="1"/>
      <c r="O136" s="1"/>
      <c r="P136" s="1"/>
      <c r="Q136" s="1"/>
    </row>
    <row r="137" spans="1:17" x14ac:dyDescent="0.35">
      <c r="A137" s="1"/>
      <c r="B137" s="1"/>
      <c r="C137" s="1"/>
      <c r="D137" s="1"/>
      <c r="E137" s="1"/>
      <c r="F137" s="1"/>
      <c r="G137" s="1"/>
      <c r="H137" s="1"/>
      <c r="I137" s="1"/>
      <c r="J137" s="1"/>
      <c r="K137" s="1"/>
      <c r="L137" s="1"/>
      <c r="M137" s="1"/>
      <c r="N137" s="1"/>
      <c r="O137" s="1"/>
      <c r="P137" s="1"/>
      <c r="Q137" s="1"/>
    </row>
    <row r="138" spans="1:17" x14ac:dyDescent="0.35">
      <c r="A138" s="1"/>
      <c r="B138" s="1"/>
      <c r="C138" s="1"/>
      <c r="D138" s="1"/>
      <c r="E138" s="1"/>
      <c r="F138" s="1"/>
      <c r="G138" s="1"/>
      <c r="H138" s="1"/>
      <c r="I138" s="1"/>
      <c r="J138" s="1"/>
      <c r="K138" s="1"/>
      <c r="L138" s="1"/>
      <c r="M138" s="1"/>
      <c r="N138" s="1"/>
      <c r="O138" s="1"/>
      <c r="P138" s="1"/>
      <c r="Q138" s="1"/>
    </row>
    <row r="139" spans="1:17" x14ac:dyDescent="0.35">
      <c r="A139" s="1"/>
      <c r="B139" s="1"/>
      <c r="C139" s="1"/>
      <c r="D139" s="1"/>
      <c r="E139" s="1"/>
      <c r="F139" s="1"/>
      <c r="G139" s="1"/>
      <c r="H139" s="1"/>
      <c r="I139" s="1"/>
      <c r="J139" s="1"/>
      <c r="K139" s="1"/>
      <c r="L139" s="1"/>
      <c r="M139" s="1"/>
      <c r="N139" s="1"/>
      <c r="O139" s="1"/>
      <c r="P139" s="1"/>
      <c r="Q139" s="1"/>
    </row>
    <row r="140" spans="1:17" x14ac:dyDescent="0.35">
      <c r="A140" s="1"/>
      <c r="B140" s="1"/>
      <c r="C140" s="1"/>
      <c r="D140" s="1"/>
      <c r="E140" s="1"/>
      <c r="F140" s="1"/>
      <c r="G140" s="1"/>
      <c r="H140" s="1"/>
      <c r="I140" s="1"/>
      <c r="J140" s="1"/>
      <c r="K140" s="1"/>
      <c r="L140" s="1"/>
      <c r="M140" s="1"/>
      <c r="N140" s="1"/>
      <c r="O140" s="1"/>
      <c r="P140" s="1"/>
      <c r="Q140" s="1"/>
    </row>
    <row r="141" spans="1:17" x14ac:dyDescent="0.35">
      <c r="A141" s="1"/>
      <c r="B141" s="1"/>
      <c r="C141" s="1"/>
      <c r="D141" s="1"/>
      <c r="E141" s="1"/>
      <c r="F141" s="1"/>
      <c r="G141" s="1"/>
      <c r="H141" s="1"/>
      <c r="I141" s="1"/>
      <c r="J141" s="1"/>
      <c r="K141" s="1"/>
      <c r="L141" s="1"/>
      <c r="M141" s="1"/>
      <c r="N141" s="1"/>
      <c r="O141" s="1"/>
      <c r="P141" s="1"/>
      <c r="Q141" s="1"/>
    </row>
    <row r="142" spans="1:17" x14ac:dyDescent="0.35">
      <c r="A142" s="1"/>
      <c r="B142" s="1"/>
      <c r="C142" s="1"/>
      <c r="D142" s="1"/>
      <c r="E142" s="1"/>
      <c r="F142" s="1"/>
      <c r="G142" s="1"/>
      <c r="H142" s="1"/>
      <c r="I142" s="1"/>
      <c r="J142" s="1"/>
      <c r="K142" s="1"/>
      <c r="L142" s="1"/>
      <c r="M142" s="1"/>
      <c r="N142" s="1"/>
      <c r="O142" s="1"/>
      <c r="P142" s="1"/>
      <c r="Q142" s="1"/>
    </row>
    <row r="143" spans="1:17" x14ac:dyDescent="0.35">
      <c r="A143" s="1"/>
      <c r="B143" s="1"/>
      <c r="C143" s="1"/>
      <c r="D143" s="1"/>
      <c r="E143" s="1"/>
      <c r="F143" s="1"/>
      <c r="G143" s="1"/>
      <c r="H143" s="1"/>
      <c r="I143" s="1"/>
      <c r="J143" s="1"/>
      <c r="K143" s="1"/>
      <c r="L143" s="1"/>
      <c r="M143" s="1"/>
      <c r="N143" s="1"/>
      <c r="O143" s="1"/>
      <c r="P143" s="1"/>
      <c r="Q143" s="1"/>
    </row>
    <row r="144" spans="1:17" x14ac:dyDescent="0.35">
      <c r="A144" s="1"/>
      <c r="B144" s="1"/>
      <c r="C144" s="1"/>
      <c r="D144" s="1"/>
      <c r="E144" s="1"/>
      <c r="F144" s="1"/>
      <c r="G144" s="1"/>
      <c r="H144" s="1"/>
      <c r="I144" s="1"/>
      <c r="J144" s="1"/>
      <c r="K144" s="1"/>
      <c r="L144" s="1"/>
      <c r="M144" s="1"/>
      <c r="N144" s="1"/>
      <c r="O144" s="1"/>
      <c r="P144" s="1"/>
      <c r="Q144" s="1"/>
    </row>
    <row r="145" spans="1:17" x14ac:dyDescent="0.35">
      <c r="A145" s="1"/>
      <c r="B145" s="1"/>
      <c r="C145" s="1"/>
      <c r="D145" s="1"/>
      <c r="E145" s="1"/>
      <c r="F145" s="1"/>
      <c r="G145" s="1"/>
      <c r="H145" s="1"/>
      <c r="I145" s="1"/>
      <c r="J145" s="1"/>
      <c r="K145" s="1"/>
      <c r="L145" s="1"/>
      <c r="M145" s="1"/>
      <c r="N145" s="1"/>
      <c r="O145" s="1"/>
      <c r="P145" s="1"/>
      <c r="Q145" s="1"/>
    </row>
    <row r="146" spans="1:17" x14ac:dyDescent="0.35">
      <c r="A146" s="1"/>
      <c r="B146" s="1"/>
      <c r="C146" s="1"/>
      <c r="D146" s="1"/>
      <c r="E146" s="1"/>
      <c r="F146" s="1"/>
      <c r="G146" s="1"/>
      <c r="H146" s="1"/>
      <c r="I146" s="1"/>
      <c r="J146" s="1"/>
      <c r="K146" s="1"/>
      <c r="L146" s="1"/>
      <c r="M146" s="1"/>
      <c r="N146" s="1"/>
      <c r="O146" s="1"/>
      <c r="P146" s="1"/>
      <c r="Q146" s="1"/>
    </row>
    <row r="147" spans="1:17" x14ac:dyDescent="0.35">
      <c r="A147" s="1"/>
      <c r="B147" s="1"/>
      <c r="C147" s="1"/>
      <c r="D147" s="1"/>
      <c r="E147" s="1"/>
      <c r="F147" s="1"/>
      <c r="G147" s="1"/>
      <c r="H147" s="1"/>
      <c r="I147" s="1"/>
      <c r="J147" s="1"/>
      <c r="K147" s="1"/>
      <c r="L147" s="1"/>
      <c r="M147" s="1"/>
      <c r="N147" s="1"/>
      <c r="O147" s="1"/>
      <c r="P147" s="1"/>
      <c r="Q147" s="1"/>
    </row>
    <row r="148" spans="1:17" x14ac:dyDescent="0.35">
      <c r="A148" s="1"/>
      <c r="B148" s="1"/>
      <c r="C148" s="1"/>
      <c r="D148" s="1"/>
      <c r="E148" s="1"/>
      <c r="F148" s="1"/>
      <c r="G148" s="1"/>
      <c r="H148" s="1"/>
      <c r="I148" s="1"/>
      <c r="J148" s="1"/>
      <c r="K148" s="1"/>
      <c r="L148" s="1"/>
      <c r="M148" s="1"/>
      <c r="N148" s="1"/>
      <c r="O148" s="1"/>
      <c r="P148" s="1"/>
      <c r="Q148" s="1"/>
    </row>
    <row r="149" spans="1:17" x14ac:dyDescent="0.35">
      <c r="A149" s="1"/>
      <c r="B149" s="1"/>
      <c r="C149" s="1"/>
      <c r="D149" s="1"/>
      <c r="E149" s="1"/>
      <c r="F149" s="1"/>
      <c r="G149" s="1"/>
      <c r="H149" s="1"/>
      <c r="I149" s="1"/>
      <c r="J149" s="1"/>
      <c r="K149" s="1"/>
      <c r="L149" s="1"/>
      <c r="M149" s="1"/>
      <c r="N149" s="1"/>
      <c r="O149" s="1"/>
      <c r="P149" s="1"/>
      <c r="Q149" s="1"/>
    </row>
    <row r="150" spans="1:17" x14ac:dyDescent="0.35">
      <c r="A150" s="1"/>
      <c r="B150" s="1"/>
      <c r="C150" s="1"/>
      <c r="D150" s="1"/>
      <c r="E150" s="1"/>
      <c r="F150" s="1"/>
      <c r="G150" s="1"/>
      <c r="H150" s="1"/>
      <c r="I150" s="1"/>
      <c r="J150" s="1"/>
      <c r="K150" s="1"/>
      <c r="L150" s="1"/>
      <c r="M150" s="1"/>
      <c r="N150" s="1"/>
      <c r="O150" s="1"/>
      <c r="P150" s="1"/>
      <c r="Q150" s="1"/>
    </row>
    <row r="151" spans="1:17" x14ac:dyDescent="0.35">
      <c r="A151" s="1"/>
      <c r="B151" s="1"/>
      <c r="C151" s="1"/>
      <c r="D151" s="1"/>
      <c r="E151" s="1"/>
      <c r="F151" s="1"/>
      <c r="G151" s="1"/>
      <c r="H151" s="1"/>
      <c r="I151" s="1"/>
      <c r="J151" s="1"/>
      <c r="K151" s="1"/>
      <c r="L151" s="1"/>
      <c r="M151" s="1"/>
      <c r="N151" s="1"/>
      <c r="O151" s="1"/>
      <c r="P151" s="1"/>
      <c r="Q151" s="1"/>
    </row>
    <row r="152" spans="1:17" x14ac:dyDescent="0.35">
      <c r="A152" s="1"/>
      <c r="B152" s="1"/>
      <c r="C152" s="1"/>
      <c r="D152" s="1"/>
      <c r="E152" s="1"/>
      <c r="F152" s="1"/>
      <c r="G152" s="1"/>
      <c r="H152" s="1"/>
      <c r="I152" s="1"/>
      <c r="J152" s="1"/>
      <c r="K152" s="1"/>
      <c r="L152" s="1"/>
      <c r="M152" s="1"/>
      <c r="N152" s="1"/>
      <c r="O152" s="1"/>
      <c r="P152" s="1"/>
      <c r="Q152" s="1"/>
    </row>
    <row r="153" spans="1:17" x14ac:dyDescent="0.35">
      <c r="A153" s="1"/>
      <c r="B153" s="1"/>
      <c r="C153" s="1"/>
      <c r="D153" s="1"/>
      <c r="E153" s="1"/>
      <c r="F153" s="1"/>
      <c r="G153" s="1"/>
      <c r="H153" s="1"/>
      <c r="I153" s="1"/>
      <c r="J153" s="1"/>
      <c r="K153" s="1"/>
      <c r="L153" s="1"/>
      <c r="M153" s="1"/>
      <c r="N153" s="1"/>
      <c r="O153" s="1"/>
      <c r="P153" s="1"/>
      <c r="Q153" s="1"/>
    </row>
    <row r="154" spans="1:17" x14ac:dyDescent="0.35">
      <c r="A154" s="1"/>
      <c r="B154" s="1"/>
      <c r="C154" s="1"/>
      <c r="D154" s="1"/>
      <c r="E154" s="1"/>
      <c r="F154" s="1"/>
      <c r="G154" s="1"/>
      <c r="H154" s="1"/>
      <c r="I154" s="1"/>
      <c r="J154" s="1"/>
      <c r="K154" s="1"/>
      <c r="L154" s="1"/>
      <c r="M154" s="1"/>
      <c r="N154" s="1"/>
      <c r="O154" s="1"/>
      <c r="P154" s="1"/>
      <c r="Q154" s="1"/>
    </row>
    <row r="155" spans="1:17" x14ac:dyDescent="0.35">
      <c r="A155" s="1"/>
      <c r="B155" s="1"/>
      <c r="C155" s="1"/>
      <c r="D155" s="1"/>
      <c r="E155" s="1"/>
      <c r="F155" s="1"/>
      <c r="G155" s="1"/>
      <c r="H155" s="1"/>
      <c r="I155" s="1"/>
      <c r="J155" s="1"/>
      <c r="K155" s="1"/>
      <c r="L155" s="1"/>
      <c r="M155" s="1"/>
      <c r="N155" s="1"/>
      <c r="O155" s="1"/>
      <c r="P155" s="1"/>
      <c r="Q155" s="1"/>
    </row>
    <row r="156" spans="1:17" x14ac:dyDescent="0.35">
      <c r="A156" s="1"/>
      <c r="B156" s="1"/>
      <c r="C156" s="1"/>
      <c r="D156" s="1"/>
      <c r="E156" s="1"/>
      <c r="F156" s="1"/>
      <c r="G156" s="1"/>
      <c r="H156" s="1"/>
      <c r="I156" s="1"/>
      <c r="J156" s="1"/>
      <c r="K156" s="1"/>
      <c r="L156" s="1"/>
      <c r="M156" s="1"/>
      <c r="N156" s="1"/>
      <c r="O156" s="1"/>
      <c r="P156" s="1"/>
      <c r="Q156" s="1"/>
    </row>
    <row r="157" spans="1:17" x14ac:dyDescent="0.35">
      <c r="A157" s="1"/>
      <c r="B157" s="1"/>
      <c r="C157" s="1"/>
      <c r="D157" s="1"/>
      <c r="E157" s="1"/>
      <c r="F157" s="1"/>
      <c r="G157" s="1"/>
      <c r="H157" s="1"/>
      <c r="I157" s="1"/>
      <c r="J157" s="1"/>
      <c r="K157" s="1"/>
      <c r="L157" s="1"/>
      <c r="M157" s="1"/>
      <c r="N157" s="1"/>
      <c r="O157" s="1"/>
      <c r="P157" s="1"/>
      <c r="Q157" s="1"/>
    </row>
    <row r="158" spans="1:17" x14ac:dyDescent="0.35">
      <c r="A158" s="1"/>
      <c r="B158" s="1"/>
      <c r="C158" s="1"/>
      <c r="D158" s="1"/>
      <c r="E158" s="1"/>
      <c r="F158" s="1"/>
      <c r="G158" s="1"/>
      <c r="H158" s="1"/>
      <c r="I158" s="1"/>
      <c r="J158" s="1"/>
      <c r="K158" s="1"/>
      <c r="L158" s="1"/>
      <c r="M158" s="1"/>
      <c r="N158" s="1"/>
      <c r="O158" s="1"/>
      <c r="P158" s="1"/>
      <c r="Q158" s="1"/>
    </row>
    <row r="159" spans="1:17" x14ac:dyDescent="0.35">
      <c r="A159" s="1"/>
      <c r="B159" s="1"/>
      <c r="C159" s="1"/>
      <c r="D159" s="1"/>
      <c r="E159" s="1"/>
      <c r="F159" s="1"/>
      <c r="G159" s="1"/>
      <c r="H159" s="1"/>
      <c r="I159" s="1"/>
      <c r="J159" s="1"/>
      <c r="K159" s="1"/>
      <c r="L159" s="1"/>
      <c r="M159" s="1"/>
      <c r="N159" s="1"/>
      <c r="O159" s="1"/>
      <c r="P159" s="1"/>
      <c r="Q159" s="1"/>
    </row>
    <row r="160" spans="1:17" x14ac:dyDescent="0.35">
      <c r="A160" s="1"/>
      <c r="B160" s="1"/>
      <c r="C160" s="1"/>
      <c r="D160" s="1"/>
      <c r="E160" s="1"/>
      <c r="F160" s="1"/>
      <c r="G160" s="1"/>
      <c r="H160" s="1"/>
      <c r="I160" s="1"/>
      <c r="J160" s="1"/>
      <c r="K160" s="1"/>
      <c r="L160" s="1"/>
      <c r="M160" s="1"/>
      <c r="N160" s="1"/>
      <c r="O160" s="1"/>
      <c r="P160" s="1"/>
      <c r="Q160" s="1"/>
    </row>
    <row r="161" spans="1:17" x14ac:dyDescent="0.35">
      <c r="A161" s="1"/>
      <c r="B161" s="1"/>
      <c r="C161" s="1"/>
      <c r="D161" s="1"/>
      <c r="E161" s="1"/>
      <c r="F161" s="1"/>
      <c r="G161" s="1"/>
      <c r="H161" s="1"/>
      <c r="I161" s="1"/>
      <c r="J161" s="1"/>
      <c r="K161" s="1"/>
      <c r="L161" s="1"/>
      <c r="M161" s="1"/>
      <c r="N161" s="1"/>
      <c r="O161" s="1"/>
      <c r="P161" s="1"/>
      <c r="Q161" s="1"/>
    </row>
    <row r="162" spans="1:17" x14ac:dyDescent="0.35">
      <c r="A162" s="1"/>
      <c r="B162" s="1"/>
      <c r="C162" s="1"/>
      <c r="D162" s="1"/>
      <c r="E162" s="1"/>
      <c r="F162" s="1"/>
      <c r="G162" s="1"/>
      <c r="H162" s="1"/>
      <c r="I162" s="1"/>
      <c r="J162" s="1"/>
      <c r="K162" s="1"/>
      <c r="L162" s="1"/>
      <c r="M162" s="1"/>
      <c r="N162" s="1"/>
      <c r="O162" s="1"/>
      <c r="P162" s="1"/>
      <c r="Q162" s="1"/>
    </row>
    <row r="163" spans="1:17" x14ac:dyDescent="0.35">
      <c r="A163" s="1"/>
      <c r="B163" s="1"/>
      <c r="C163" s="1"/>
      <c r="D163" s="1"/>
      <c r="E163" s="1"/>
      <c r="F163" s="1"/>
      <c r="G163" s="1"/>
      <c r="H163" s="1"/>
      <c r="I163" s="1"/>
      <c r="J163" s="1"/>
      <c r="K163" s="1"/>
      <c r="L163" s="1"/>
      <c r="M163" s="1"/>
      <c r="N163" s="1"/>
      <c r="O163" s="1"/>
      <c r="P163" s="1"/>
      <c r="Q163" s="1"/>
    </row>
    <row r="164" spans="1:17" x14ac:dyDescent="0.35">
      <c r="A164" s="1"/>
      <c r="B164" s="1"/>
      <c r="C164" s="1"/>
      <c r="D164" s="1"/>
      <c r="E164" s="1"/>
      <c r="F164" s="1"/>
      <c r="G164" s="1"/>
      <c r="H164" s="1"/>
      <c r="I164" s="1"/>
      <c r="J164" s="1"/>
      <c r="K164" s="1"/>
      <c r="L164" s="1"/>
      <c r="M164" s="1"/>
      <c r="N164" s="1"/>
      <c r="O164" s="1"/>
      <c r="P164" s="1"/>
      <c r="Q164" s="1"/>
    </row>
    <row r="165" spans="1:17" x14ac:dyDescent="0.35">
      <c r="A165" s="1"/>
      <c r="B165" s="1"/>
      <c r="C165" s="1"/>
      <c r="D165" s="1"/>
      <c r="E165" s="1"/>
      <c r="F165" s="1"/>
      <c r="G165" s="1"/>
      <c r="H165" s="1"/>
      <c r="I165" s="1"/>
      <c r="J165" s="1"/>
      <c r="K165" s="1"/>
      <c r="L165" s="1"/>
      <c r="M165" s="1"/>
      <c r="N165" s="1"/>
      <c r="O165" s="1"/>
      <c r="P165" s="1"/>
      <c r="Q165" s="1"/>
    </row>
    <row r="166" spans="1:17" x14ac:dyDescent="0.35">
      <c r="A166" s="1"/>
      <c r="B166" s="1"/>
      <c r="C166" s="1"/>
      <c r="D166" s="1"/>
      <c r="E166" s="1"/>
      <c r="F166" s="1"/>
      <c r="G166" s="1"/>
      <c r="H166" s="1"/>
      <c r="I166" s="1"/>
      <c r="J166" s="1"/>
      <c r="K166" s="1"/>
      <c r="L166" s="1"/>
      <c r="M166" s="1"/>
      <c r="N166" s="1"/>
      <c r="O166" s="1"/>
      <c r="P166" s="1"/>
      <c r="Q166" s="1"/>
    </row>
    <row r="167" spans="1:17" x14ac:dyDescent="0.35">
      <c r="A167" s="1"/>
      <c r="B167" s="1"/>
      <c r="C167" s="1"/>
      <c r="D167" s="1"/>
      <c r="E167" s="1"/>
      <c r="F167" s="1"/>
      <c r="G167" s="1"/>
      <c r="H167" s="1"/>
      <c r="I167" s="1"/>
      <c r="J167" s="1"/>
      <c r="K167" s="1"/>
      <c r="L167" s="1"/>
      <c r="M167" s="1"/>
      <c r="N167" s="1"/>
      <c r="O167" s="1"/>
      <c r="P167" s="1"/>
      <c r="Q167" s="1"/>
    </row>
    <row r="168" spans="1:17" x14ac:dyDescent="0.35">
      <c r="A168" s="1"/>
      <c r="B168" s="1"/>
      <c r="C168" s="1"/>
      <c r="D168" s="1"/>
      <c r="E168" s="1"/>
      <c r="F168" s="1"/>
      <c r="G168" s="1"/>
      <c r="H168" s="1"/>
      <c r="I168" s="1"/>
      <c r="J168" s="1"/>
      <c r="K168" s="1"/>
      <c r="L168" s="1"/>
      <c r="M168" s="1"/>
      <c r="N168" s="1"/>
      <c r="O168" s="1"/>
      <c r="P168" s="1"/>
      <c r="Q168" s="1"/>
    </row>
    <row r="169" spans="1:17" x14ac:dyDescent="0.35">
      <c r="A169" s="1"/>
      <c r="B169" s="1"/>
      <c r="C169" s="1"/>
      <c r="D169" s="1"/>
      <c r="E169" s="1"/>
      <c r="F169" s="1"/>
      <c r="G169" s="1"/>
      <c r="H169" s="1"/>
      <c r="I169" s="1"/>
      <c r="J169" s="1"/>
      <c r="K169" s="1"/>
      <c r="L169" s="1"/>
      <c r="M169" s="1"/>
      <c r="N169" s="1"/>
      <c r="O169" s="1"/>
      <c r="P169" s="1"/>
      <c r="Q169" s="1"/>
    </row>
    <row r="170" spans="1:17" x14ac:dyDescent="0.35">
      <c r="A170" s="1"/>
      <c r="B170" s="1"/>
      <c r="C170" s="1"/>
      <c r="D170" s="1"/>
      <c r="E170" s="1"/>
      <c r="F170" s="1"/>
      <c r="G170" s="1"/>
      <c r="H170" s="1"/>
      <c r="I170" s="1"/>
      <c r="J170" s="1"/>
      <c r="K170" s="1"/>
      <c r="L170" s="1"/>
      <c r="M170" s="1"/>
      <c r="N170" s="1"/>
      <c r="O170" s="1"/>
      <c r="P170" s="1"/>
      <c r="Q170" s="1"/>
    </row>
    <row r="171" spans="1:17" x14ac:dyDescent="0.35">
      <c r="A171" s="1"/>
      <c r="B171" s="1"/>
      <c r="C171" s="1"/>
      <c r="D171" s="1"/>
      <c r="E171" s="1"/>
      <c r="F171" s="1"/>
      <c r="G171" s="1"/>
      <c r="H171" s="1"/>
      <c r="I171" s="1"/>
      <c r="J171" s="1"/>
      <c r="K171" s="1"/>
      <c r="L171" s="1"/>
      <c r="M171" s="1"/>
      <c r="N171" s="1"/>
      <c r="O171" s="1"/>
      <c r="P171" s="1"/>
      <c r="Q171" s="1"/>
    </row>
    <row r="172" spans="1:17" x14ac:dyDescent="0.35">
      <c r="A172" s="1"/>
      <c r="B172" s="1"/>
      <c r="C172" s="1"/>
      <c r="D172" s="1"/>
      <c r="E172" s="1"/>
      <c r="F172" s="1"/>
      <c r="G172" s="1"/>
      <c r="H172" s="1"/>
      <c r="I172" s="1"/>
      <c r="J172" s="1"/>
      <c r="K172" s="1"/>
      <c r="L172" s="1"/>
      <c r="M172" s="1"/>
      <c r="N172" s="1"/>
      <c r="O172" s="1"/>
      <c r="P172" s="1"/>
      <c r="Q172" s="1"/>
    </row>
    <row r="173" spans="1:17" x14ac:dyDescent="0.35">
      <c r="A173" s="1"/>
      <c r="B173" s="1"/>
      <c r="C173" s="1"/>
      <c r="D173" s="1"/>
      <c r="E173" s="1"/>
      <c r="F173" s="1"/>
      <c r="G173" s="1"/>
      <c r="H173" s="1"/>
      <c r="I173" s="1"/>
      <c r="J173" s="1"/>
      <c r="K173" s="1"/>
      <c r="L173" s="1"/>
      <c r="M173" s="1"/>
      <c r="N173" s="1"/>
      <c r="O173" s="1"/>
      <c r="P173" s="1"/>
      <c r="Q173" s="1"/>
    </row>
    <row r="174" spans="1:17" x14ac:dyDescent="0.35">
      <c r="A174" s="1"/>
      <c r="B174" s="1"/>
      <c r="C174" s="1"/>
      <c r="D174" s="1"/>
      <c r="E174" s="1"/>
      <c r="F174" s="1"/>
      <c r="G174" s="1"/>
      <c r="H174" s="1"/>
      <c r="I174" s="1"/>
      <c r="J174" s="1"/>
      <c r="K174" s="1"/>
      <c r="L174" s="1"/>
      <c r="M174" s="1"/>
      <c r="N174" s="1"/>
      <c r="O174" s="1"/>
      <c r="P174" s="1"/>
      <c r="Q174" s="1"/>
    </row>
    <row r="175" spans="1:17" x14ac:dyDescent="0.35">
      <c r="A175" s="1"/>
      <c r="B175" s="1"/>
      <c r="C175" s="1"/>
      <c r="D175" s="1"/>
      <c r="E175" s="1"/>
      <c r="F175" s="1"/>
      <c r="G175" s="1"/>
      <c r="H175" s="1"/>
      <c r="I175" s="1"/>
      <c r="J175" s="1"/>
      <c r="K175" s="1"/>
      <c r="L175" s="1"/>
      <c r="M175" s="1"/>
      <c r="N175" s="1"/>
      <c r="O175" s="1"/>
      <c r="P175" s="1"/>
      <c r="Q175" s="1"/>
    </row>
    <row r="176" spans="1:17" x14ac:dyDescent="0.35">
      <c r="A176" s="1"/>
      <c r="B176" s="1"/>
      <c r="C176" s="1"/>
      <c r="D176" s="1"/>
      <c r="E176" s="1"/>
      <c r="F176" s="1"/>
      <c r="G176" s="1"/>
      <c r="H176" s="1"/>
      <c r="I176" s="1"/>
      <c r="J176" s="1"/>
      <c r="K176" s="1"/>
      <c r="L176" s="1"/>
      <c r="M176" s="1"/>
      <c r="N176" s="1"/>
      <c r="O176" s="1"/>
      <c r="P176" s="1"/>
      <c r="Q176" s="1"/>
    </row>
    <row r="177" spans="1:17" x14ac:dyDescent="0.35">
      <c r="A177" s="1"/>
      <c r="B177" s="1"/>
      <c r="C177" s="1"/>
      <c r="D177" s="1"/>
      <c r="E177" s="1"/>
      <c r="F177" s="1"/>
      <c r="G177" s="1"/>
      <c r="H177" s="1"/>
      <c r="I177" s="1"/>
      <c r="J177" s="1"/>
      <c r="K177" s="1"/>
      <c r="L177" s="1"/>
      <c r="M177" s="1"/>
      <c r="N177" s="1"/>
      <c r="O177" s="1"/>
      <c r="P177" s="1"/>
      <c r="Q177" s="1"/>
    </row>
    <row r="178" spans="1:17" x14ac:dyDescent="0.35">
      <c r="A178" s="1"/>
      <c r="B178" s="1"/>
      <c r="C178" s="1"/>
      <c r="D178" s="1"/>
      <c r="E178" s="1"/>
      <c r="F178" s="1"/>
      <c r="G178" s="1"/>
      <c r="H178" s="1"/>
      <c r="I178" s="1"/>
      <c r="J178" s="1"/>
      <c r="K178" s="1"/>
      <c r="L178" s="1"/>
      <c r="M178" s="1"/>
      <c r="N178" s="1"/>
      <c r="O178" s="1"/>
      <c r="P178" s="1"/>
      <c r="Q178" s="1"/>
    </row>
    <row r="179" spans="1:17" x14ac:dyDescent="0.35">
      <c r="A179" s="1"/>
      <c r="B179" s="1"/>
      <c r="C179" s="1"/>
      <c r="D179" s="1"/>
      <c r="E179" s="1"/>
      <c r="F179" s="1"/>
      <c r="G179" s="1"/>
      <c r="H179" s="1"/>
      <c r="I179" s="1"/>
      <c r="J179" s="1"/>
      <c r="K179" s="1"/>
      <c r="L179" s="1"/>
      <c r="M179" s="1"/>
      <c r="N179" s="1"/>
      <c r="O179" s="1"/>
      <c r="P179" s="1"/>
      <c r="Q179" s="1"/>
    </row>
    <row r="180" spans="1:17" x14ac:dyDescent="0.35">
      <c r="A180" s="1"/>
      <c r="B180" s="1"/>
      <c r="C180" s="1"/>
      <c r="D180" s="1"/>
      <c r="E180" s="1"/>
      <c r="F180" s="1"/>
      <c r="G180" s="1"/>
      <c r="H180" s="1"/>
      <c r="I180" s="1"/>
      <c r="J180" s="1"/>
      <c r="K180" s="1"/>
      <c r="L180" s="1"/>
      <c r="M180" s="1"/>
      <c r="N180" s="1"/>
      <c r="O180" s="1"/>
      <c r="P180" s="1"/>
      <c r="Q180" s="1"/>
    </row>
    <row r="181" spans="1:17" x14ac:dyDescent="0.35">
      <c r="A181" s="1"/>
      <c r="B181" s="1"/>
      <c r="C181" s="1"/>
      <c r="D181" s="1"/>
      <c r="E181" s="1"/>
      <c r="F181" s="1"/>
      <c r="G181" s="1"/>
      <c r="H181" s="1"/>
      <c r="I181" s="1"/>
      <c r="J181" s="1"/>
      <c r="K181" s="1"/>
      <c r="L181" s="1"/>
      <c r="M181" s="1"/>
      <c r="N181" s="1"/>
      <c r="O181" s="1"/>
      <c r="P181" s="1"/>
      <c r="Q181" s="1"/>
    </row>
    <row r="182" spans="1:17" x14ac:dyDescent="0.35">
      <c r="A182" s="1"/>
      <c r="B182" s="1"/>
      <c r="C182" s="1"/>
      <c r="D182" s="1"/>
      <c r="E182" s="1"/>
      <c r="F182" s="1"/>
      <c r="G182" s="1"/>
      <c r="H182" s="1"/>
      <c r="I182" s="1"/>
      <c r="J182" s="1"/>
      <c r="K182" s="1"/>
      <c r="L182" s="1"/>
      <c r="M182" s="1"/>
      <c r="N182" s="1"/>
      <c r="O182" s="1"/>
      <c r="P182" s="1"/>
      <c r="Q182" s="1"/>
    </row>
    <row r="183" spans="1:17" x14ac:dyDescent="0.35">
      <c r="A183" s="1"/>
      <c r="B183" s="1"/>
      <c r="C183" s="1"/>
      <c r="D183" s="1"/>
      <c r="E183" s="1"/>
      <c r="F183" s="1"/>
      <c r="G183" s="1"/>
      <c r="H183" s="1"/>
      <c r="I183" s="1"/>
      <c r="J183" s="1"/>
      <c r="K183" s="1"/>
      <c r="L183" s="1"/>
      <c r="M183" s="1"/>
      <c r="N183" s="1"/>
      <c r="O183" s="1"/>
      <c r="P183" s="1"/>
      <c r="Q183" s="1"/>
    </row>
    <row r="184" spans="1:17" x14ac:dyDescent="0.35">
      <c r="A184" s="1"/>
      <c r="B184" s="1"/>
      <c r="C184" s="1"/>
      <c r="D184" s="1"/>
      <c r="E184" s="1"/>
      <c r="F184" s="1"/>
      <c r="G184" s="1"/>
      <c r="H184" s="1"/>
      <c r="I184" s="1"/>
      <c r="J184" s="1"/>
      <c r="K184" s="1"/>
      <c r="L184" s="1"/>
      <c r="M184" s="1"/>
      <c r="N184" s="1"/>
      <c r="O184" s="1"/>
      <c r="P184" s="1"/>
      <c r="Q184" s="1"/>
    </row>
    <row r="185" spans="1:17" x14ac:dyDescent="0.35">
      <c r="A185" s="1"/>
      <c r="B185" s="1"/>
      <c r="C185" s="1"/>
      <c r="D185" s="1"/>
      <c r="E185" s="1"/>
      <c r="F185" s="1"/>
      <c r="G185" s="1"/>
      <c r="H185" s="1"/>
      <c r="I185" s="1"/>
      <c r="J185" s="1"/>
      <c r="K185" s="1"/>
      <c r="L185" s="1"/>
      <c r="M185" s="1"/>
      <c r="N185" s="1"/>
      <c r="O185" s="1"/>
      <c r="P185" s="1"/>
      <c r="Q185" s="1"/>
    </row>
    <row r="186" spans="1:17" x14ac:dyDescent="0.35">
      <c r="A186" s="1"/>
      <c r="B186" s="1"/>
      <c r="C186" s="1"/>
      <c r="D186" s="1"/>
      <c r="E186" s="1"/>
      <c r="F186" s="1"/>
      <c r="G186" s="1"/>
      <c r="H186" s="1"/>
      <c r="I186" s="1"/>
      <c r="J186" s="1"/>
      <c r="K186" s="1"/>
      <c r="L186" s="1"/>
      <c r="M186" s="1"/>
      <c r="N186" s="1"/>
      <c r="O186" s="1"/>
      <c r="P186" s="1"/>
      <c r="Q186" s="1"/>
    </row>
    <row r="187" spans="1:17" x14ac:dyDescent="0.35">
      <c r="A187" s="1"/>
      <c r="B187" s="1"/>
      <c r="C187" s="1"/>
      <c r="D187" s="1"/>
      <c r="E187" s="1"/>
      <c r="F187" s="1"/>
      <c r="G187" s="1"/>
      <c r="H187" s="1"/>
      <c r="I187" s="1"/>
      <c r="J187" s="1"/>
      <c r="K187" s="1"/>
      <c r="L187" s="1"/>
      <c r="M187" s="1"/>
      <c r="N187" s="1"/>
      <c r="O187" s="1"/>
      <c r="P187" s="1"/>
      <c r="Q187" s="1"/>
    </row>
    <row r="188" spans="1:17" x14ac:dyDescent="0.35">
      <c r="A188" s="1"/>
      <c r="B188" s="1"/>
      <c r="C188" s="1"/>
      <c r="D188" s="1"/>
      <c r="E188" s="1"/>
      <c r="F188" s="1"/>
      <c r="G188" s="1"/>
      <c r="H188" s="1"/>
      <c r="I188" s="1"/>
      <c r="J188" s="1"/>
      <c r="K188" s="1"/>
      <c r="L188" s="1"/>
      <c r="M188" s="1"/>
      <c r="N188" s="1"/>
      <c r="O188" s="1"/>
      <c r="P188" s="1"/>
      <c r="Q188" s="1"/>
    </row>
    <row r="189" spans="1:17" x14ac:dyDescent="0.35">
      <c r="A189" s="1"/>
      <c r="B189" s="1"/>
      <c r="C189" s="1"/>
      <c r="D189" s="1"/>
      <c r="E189" s="1"/>
      <c r="F189" s="1"/>
      <c r="G189" s="1"/>
      <c r="H189" s="1"/>
      <c r="I189" s="1"/>
      <c r="J189" s="1"/>
      <c r="K189" s="1"/>
      <c r="L189" s="1"/>
      <c r="M189" s="1"/>
      <c r="N189" s="1"/>
      <c r="O189" s="1"/>
      <c r="P189" s="1"/>
      <c r="Q189" s="1"/>
    </row>
    <row r="190" spans="1:17" x14ac:dyDescent="0.35">
      <c r="A190" s="1"/>
      <c r="B190" s="1"/>
      <c r="C190" s="1"/>
      <c r="D190" s="1"/>
      <c r="E190" s="1"/>
      <c r="F190" s="1"/>
      <c r="G190" s="1"/>
      <c r="H190" s="1"/>
      <c r="I190" s="1"/>
      <c r="J190" s="1"/>
      <c r="K190" s="1"/>
      <c r="L190" s="1"/>
      <c r="M190" s="1"/>
      <c r="N190" s="1"/>
      <c r="O190" s="1"/>
      <c r="P190" s="1"/>
      <c r="Q190" s="1"/>
    </row>
    <row r="191" spans="1:17" x14ac:dyDescent="0.35">
      <c r="A191" s="1"/>
      <c r="B191" s="1"/>
      <c r="C191" s="1"/>
      <c r="D191" s="1"/>
      <c r="E191" s="1"/>
      <c r="F191" s="1"/>
      <c r="G191" s="1"/>
      <c r="H191" s="1"/>
      <c r="I191" s="1"/>
      <c r="J191" s="1"/>
      <c r="K191" s="1"/>
      <c r="L191" s="1"/>
      <c r="M191" s="1"/>
      <c r="N191" s="1"/>
      <c r="O191" s="1"/>
      <c r="P191" s="1"/>
      <c r="Q191" s="1"/>
    </row>
    <row r="192" spans="1:17" x14ac:dyDescent="0.35">
      <c r="A192" s="1"/>
      <c r="B192" s="1"/>
      <c r="C192" s="1"/>
      <c r="D192" s="1"/>
      <c r="E192" s="1"/>
      <c r="F192" s="1"/>
      <c r="G192" s="1"/>
      <c r="H192" s="1"/>
      <c r="I192" s="1"/>
      <c r="J192" s="1"/>
      <c r="K192" s="1"/>
      <c r="L192" s="1"/>
      <c r="M192" s="1"/>
      <c r="N192" s="1"/>
      <c r="O192" s="1"/>
      <c r="P192" s="1"/>
      <c r="Q192" s="1"/>
    </row>
    <row r="193" spans="1:17" x14ac:dyDescent="0.35">
      <c r="A193" s="1"/>
      <c r="B193" s="1"/>
      <c r="C193" s="1"/>
      <c r="D193" s="1"/>
      <c r="E193" s="1"/>
      <c r="F193" s="1"/>
      <c r="G193" s="1"/>
      <c r="H193" s="1"/>
      <c r="I193" s="1"/>
      <c r="J193" s="1"/>
      <c r="K193" s="1"/>
      <c r="L193" s="1"/>
      <c r="M193" s="1"/>
      <c r="N193" s="1"/>
      <c r="O193" s="1"/>
      <c r="P193" s="1"/>
      <c r="Q193" s="1"/>
    </row>
    <row r="194" spans="1:17" x14ac:dyDescent="0.35">
      <c r="A194" s="1"/>
      <c r="B194" s="1"/>
      <c r="C194" s="1"/>
      <c r="D194" s="1"/>
      <c r="E194" s="1"/>
      <c r="F194" s="1"/>
      <c r="G194" s="1"/>
      <c r="H194" s="1"/>
      <c r="I194" s="1"/>
      <c r="J194" s="1"/>
      <c r="K194" s="1"/>
      <c r="L194" s="1"/>
      <c r="M194" s="1"/>
      <c r="N194" s="1"/>
      <c r="O194" s="1"/>
      <c r="P194" s="1"/>
      <c r="Q194" s="1"/>
    </row>
    <row r="195" spans="1:17" x14ac:dyDescent="0.35">
      <c r="A195" s="1"/>
      <c r="B195" s="1"/>
      <c r="C195" s="1"/>
      <c r="D195" s="1"/>
      <c r="E195" s="1"/>
      <c r="F195" s="1"/>
      <c r="G195" s="1"/>
      <c r="H195" s="1"/>
      <c r="I195" s="1"/>
      <c r="J195" s="1"/>
      <c r="K195" s="1"/>
      <c r="L195" s="1"/>
      <c r="M195" s="1"/>
      <c r="N195" s="1"/>
      <c r="O195" s="1"/>
      <c r="P195" s="1"/>
      <c r="Q195" s="1"/>
    </row>
    <row r="196" spans="1:17" x14ac:dyDescent="0.35">
      <c r="A196" s="1"/>
      <c r="B196" s="1"/>
      <c r="C196" s="1"/>
      <c r="D196" s="1"/>
      <c r="E196" s="1"/>
      <c r="F196" s="1"/>
      <c r="G196" s="1"/>
      <c r="H196" s="1"/>
      <c r="I196" s="1"/>
      <c r="J196" s="1"/>
      <c r="K196" s="1"/>
      <c r="L196" s="1"/>
      <c r="M196" s="1"/>
      <c r="N196" s="1"/>
      <c r="O196" s="1"/>
      <c r="P196" s="1"/>
      <c r="Q196" s="1"/>
    </row>
    <row r="197" spans="1:17" x14ac:dyDescent="0.35">
      <c r="A197" s="1"/>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1:17" x14ac:dyDescent="0.35">
      <c r="A198" s="1"/>
      <c r="B198" s="37"/>
      <c r="C198" s="38"/>
      <c r="D198" s="31"/>
      <c r="E198" s="32"/>
      <c r="F198" s="34"/>
      <c r="G198" s="33"/>
      <c r="H198" s="34"/>
      <c r="I198" s="33"/>
      <c r="J198" s="34"/>
      <c r="K198" s="34"/>
      <c r="L198" s="34"/>
      <c r="M198" s="33"/>
      <c r="N198" s="34"/>
      <c r="O198" s="35"/>
      <c r="P198" s="36"/>
      <c r="Q198" s="35"/>
    </row>
    <row r="199" spans="1:17" x14ac:dyDescent="0.35">
      <c r="A199" s="1"/>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1:17" x14ac:dyDescent="0.35">
      <c r="A200" s="1"/>
      <c r="B200" s="1"/>
      <c r="C200" s="1"/>
      <c r="D200" s="1"/>
      <c r="E200" s="1"/>
      <c r="F200" s="1"/>
      <c r="G200" s="1"/>
      <c r="H200" s="1"/>
      <c r="I200" s="1"/>
      <c r="J200" s="1"/>
      <c r="K200" s="1"/>
      <c r="L200" s="1"/>
      <c r="M200" s="1"/>
      <c r="N200" s="1"/>
      <c r="O200" s="1"/>
      <c r="P200" s="1"/>
      <c r="Q200" s="78" t="s">
        <v>21404</v>
      </c>
    </row>
    <row r="201" spans="1:17" x14ac:dyDescent="0.35">
      <c r="A201" s="1"/>
      <c r="B201" s="1"/>
      <c r="C201" s="78" t="s">
        <v>21592</v>
      </c>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77" t="s">
        <v>21399</v>
      </c>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t="s">
        <v>21398</v>
      </c>
      <c r="D205" s="1" t="s">
        <v>75</v>
      </c>
      <c r="E205" s="1" t="s">
        <v>13768</v>
      </c>
      <c r="F205" s="2" t="s">
        <v>21397</v>
      </c>
      <c r="G205" s="1" t="s">
        <v>9</v>
      </c>
      <c r="H205" s="1"/>
      <c r="I205" s="1"/>
      <c r="J205" s="1"/>
      <c r="K205" s="1"/>
      <c r="L205" s="1"/>
      <c r="M205" s="1"/>
      <c r="N205" s="1"/>
      <c r="O205" s="1"/>
      <c r="P205" s="1"/>
      <c r="Q205" s="1"/>
    </row>
    <row r="206" spans="1:17" x14ac:dyDescent="0.35">
      <c r="B206" s="49" t="s">
        <v>15094</v>
      </c>
      <c r="C206" s="352" t="s">
        <v>15095</v>
      </c>
    </row>
    <row r="207" spans="1:17" x14ac:dyDescent="0.35">
      <c r="B207" s="49" t="s">
        <v>15096</v>
      </c>
      <c r="C207" s="53" t="s">
        <v>15097</v>
      </c>
    </row>
    <row r="208" spans="1:17" x14ac:dyDescent="0.35">
      <c r="B208" s="49" t="s">
        <v>15098</v>
      </c>
      <c r="C208" s="53" t="s">
        <v>15099</v>
      </c>
    </row>
    <row r="209" spans="2:3" x14ac:dyDescent="0.35">
      <c r="B209" s="49" t="s">
        <v>15100</v>
      </c>
      <c r="C209" s="53" t="s">
        <v>15101</v>
      </c>
    </row>
    <row r="210" spans="2:3" x14ac:dyDescent="0.35">
      <c r="B210" s="49" t="s">
        <v>15102</v>
      </c>
      <c r="C210" s="53" t="s">
        <v>15103</v>
      </c>
    </row>
  </sheetData>
  <mergeCells count="9">
    <mergeCell ref="J5:K5"/>
    <mergeCell ref="J6:K6"/>
    <mergeCell ref="J7:K7"/>
    <mergeCell ref="A3:B3"/>
    <mergeCell ref="D3:G3"/>
    <mergeCell ref="J3:K3"/>
    <mergeCell ref="P3:Q3"/>
    <mergeCell ref="A4:B4"/>
    <mergeCell ref="J4:K4"/>
  </mergeCells>
  <dataValidations count="1">
    <dataValidation type="list" allowBlank="1" showInputMessage="1" showErrorMessage="1" sqref="C16:C190" xr:uid="{E031DF29-D97F-462A-8C6F-F80292549E23}">
      <formula1>$C$205:$C207</formula1>
    </dataValidation>
  </dataValidations>
  <hyperlinks>
    <hyperlink ref="D3" r:id="rId1" display="datamateapp@gmail.com" xr:uid="{0EA06F15-9B8C-4365-AB1B-7E4C849FDF5D}"/>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94625" r:id="rId4" name="Button 1">
              <controlPr defaultSize="0" print="0" autoFill="0" autoPict="0" macro="SaveData">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794626" r:id="rId5" name="Button 2">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794627" r:id="rId6" name="Button 3">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794628" r:id="rId7" name="Button 4">
              <controlPr defaultSize="0" print="0" autoFill="0" autoPict="0" macro="[0]!CopyInput2WithAdjustedReferencesAndButtonsInROriginalOrder">
                <anchor moveWithCells="1" sizeWithCells="1">
                  <from>
                    <xdr:col>17</xdr:col>
                    <xdr:colOff>0</xdr:colOff>
                    <xdr:row>8</xdr:row>
                    <xdr:rowOff>387350</xdr:rowOff>
                  </from>
                  <to>
                    <xdr:col>19</xdr:col>
                    <xdr:colOff>50800</xdr:colOff>
                    <xdr:row>10</xdr:row>
                    <xdr:rowOff>69850</xdr:rowOff>
                  </to>
                </anchor>
              </controlPr>
            </control>
          </mc:Choice>
        </mc:AlternateContent>
        <mc:AlternateContent xmlns:mc="http://schemas.openxmlformats.org/markup-compatibility/2006">
          <mc:Choice Requires="x14">
            <control shapeId="794629" r:id="rId8" name="Button 5">
              <controlPr defaultSize="0" print="0" autoFill="0" autoPict="0" macro="[0]!Dashboard">
                <anchor moveWithCells="1" sizeWithCells="1">
                  <from>
                    <xdr:col>17</xdr:col>
                    <xdr:colOff>0</xdr:colOff>
                    <xdr:row>11</xdr:row>
                    <xdr:rowOff>12700</xdr:rowOff>
                  </from>
                  <to>
                    <xdr:col>19</xdr:col>
                    <xdr:colOff>50800</xdr:colOff>
                    <xdr:row>13</xdr:row>
                    <xdr:rowOff>25400</xdr:rowOff>
                  </to>
                </anchor>
              </controlPr>
            </control>
          </mc:Choice>
        </mc:AlternateContent>
        <mc:AlternateContent xmlns:mc="http://schemas.openxmlformats.org/markup-compatibility/2006">
          <mc:Choice Requires="x14">
            <control shapeId="794630" r:id="rId9" name="Button 6">
              <controlPr defaultSize="0" print="0" autoFill="0" autoPict="0" macro="[0]!ViewLog">
                <anchor moveWithCells="1" sizeWithCells="1">
                  <from>
                    <xdr:col>17</xdr:col>
                    <xdr:colOff>0</xdr:colOff>
                    <xdr:row>14</xdr:row>
                    <xdr:rowOff>6350</xdr:rowOff>
                  </from>
                  <to>
                    <xdr:col>19</xdr:col>
                    <xdr:colOff>50800</xdr:colOff>
                    <xdr:row>16</xdr:row>
                    <xdr:rowOff>19050</xdr:rowOff>
                  </to>
                </anchor>
              </controlPr>
            </control>
          </mc:Choice>
        </mc:AlternateContent>
        <mc:AlternateContent xmlns:mc="http://schemas.openxmlformats.org/markup-compatibility/2006">
          <mc:Choice Requires="x14">
            <control shapeId="794631" r:id="rId10" name="Button 7">
              <controlPr defaultSize="0" print="0" autoFill="0" autoPict="0" macro="[0]!ViewView_Print">
                <anchor moveWithCells="1" sizeWithCells="1">
                  <from>
                    <xdr:col>17</xdr:col>
                    <xdr:colOff>0</xdr:colOff>
                    <xdr:row>17</xdr:row>
                    <xdr:rowOff>12700</xdr:rowOff>
                  </from>
                  <to>
                    <xdr:col>19</xdr:col>
                    <xdr:colOff>50800</xdr:colOff>
                    <xdr:row>19</xdr:row>
                    <xdr:rowOff>25400</xdr:rowOff>
                  </to>
                </anchor>
              </controlPr>
            </control>
          </mc:Choice>
        </mc:AlternateContent>
        <mc:AlternateContent xmlns:mc="http://schemas.openxmlformats.org/markup-compatibility/2006">
          <mc:Choice Requires="x14">
            <control shapeId="794632" r:id="rId11" name="Button 8">
              <controlPr defaultSize="0" print="0" autoFill="0" autoPict="0" macro="[0]!OpenDataMateAppPage">
                <anchor moveWithCells="1" sizeWithCells="1">
                  <from>
                    <xdr:col>17</xdr:col>
                    <xdr:colOff>0</xdr:colOff>
                    <xdr:row>20</xdr:row>
                    <xdr:rowOff>19050</xdr:rowOff>
                  </from>
                  <to>
                    <xdr:col>19</xdr:col>
                    <xdr:colOff>50800</xdr:colOff>
                    <xdr:row>22</xdr:row>
                    <xdr:rowOff>31750</xdr:rowOff>
                  </to>
                </anchor>
              </controlPr>
            </control>
          </mc:Choice>
        </mc:AlternateContent>
        <mc:AlternateContent xmlns:mc="http://schemas.openxmlformats.org/markup-compatibility/2006">
          <mc:Choice Requires="x14">
            <control shapeId="794633" r:id="rId12" name="Button 9">
              <controlPr defaultSize="0" print="0" autoFill="0" autoPict="0" macro="[0]!ExitSEC_148000">
                <anchor moveWithCells="1" sizeWithCells="1">
                  <from>
                    <xdr:col>16</xdr:col>
                    <xdr:colOff>0</xdr:colOff>
                    <xdr:row>0</xdr:row>
                    <xdr:rowOff>0</xdr:rowOff>
                  </from>
                  <to>
                    <xdr:col>16</xdr:col>
                    <xdr:colOff>1270000</xdr:colOff>
                    <xdr:row>2</xdr:row>
                    <xdr:rowOff>12700</xdr:rowOff>
                  </to>
                </anchor>
              </controlPr>
            </control>
          </mc:Choice>
        </mc:AlternateContent>
      </controls>
    </mc:Choice>
  </mc:AlternateContent>
</worksheet>
</file>

<file path=xl/worksheets/sheet1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CE4A3-8C13-4234-831C-B778801299BE}">
  <sheetPr codeName="Sheet190"/>
  <dimension ref="A1:Q209"/>
  <sheetViews>
    <sheetView zoomScale="75" zoomScaleNormal="75" workbookViewId="0">
      <selection activeCell="C4" sqref="C4"/>
    </sheetView>
  </sheetViews>
  <sheetFormatPr defaultRowHeight="14.5" x14ac:dyDescent="0.35"/>
  <cols>
    <col min="1" max="1" width="4.54296875" customWidth="1"/>
    <col min="2" max="2" width="14" customWidth="1"/>
    <col min="3" max="3" width="77.1796875" bestFit="1" customWidth="1"/>
    <col min="4" max="4" width="10.7265625" customWidth="1"/>
    <col min="5" max="5" width="10.1796875" customWidth="1"/>
    <col min="6" max="6" width="13.26953125" customWidth="1"/>
    <col min="7" max="7" width="15.1796875" customWidth="1"/>
    <col min="8" max="8" width="13.26953125" customWidth="1"/>
    <col min="9" max="9" width="12.7265625" customWidth="1"/>
    <col min="10" max="10" width="12.26953125" customWidth="1"/>
    <col min="11" max="11" width="9" customWidth="1"/>
    <col min="12" max="12" width="13.26953125" customWidth="1"/>
    <col min="13" max="13" width="12.7265625" customWidth="1"/>
    <col min="14" max="14" width="13.26953125" customWidth="1"/>
    <col min="15" max="15" width="12.7265625" customWidth="1"/>
    <col min="16" max="16" width="13.26953125" customWidth="1"/>
    <col min="17" max="17" width="21.26953125" customWidth="1"/>
  </cols>
  <sheetData>
    <row r="1" spans="1:17" x14ac:dyDescent="0.35">
      <c r="A1" s="54" t="str">
        <f>A4</f>
        <v>AREA/FLOOR/ZONE</v>
      </c>
      <c r="B1" s="55" t="str">
        <f>E4</f>
        <v>Page</v>
      </c>
      <c r="C1" s="55" t="str">
        <f>G9</f>
        <v>SUB COST</v>
      </c>
      <c r="D1" s="55" t="str">
        <f>I9</f>
        <v>MAT COST</v>
      </c>
      <c r="E1" s="55" t="str">
        <f>M9</f>
        <v>LAB COST</v>
      </c>
      <c r="F1" s="55" t="str">
        <f>O9</f>
        <v>EQUIP COST</v>
      </c>
      <c r="G1" s="55" t="str">
        <f>Q9</f>
        <v>Total Cost</v>
      </c>
      <c r="H1" s="55" t="str">
        <f>B6</f>
        <v>Date</v>
      </c>
      <c r="I1" s="55" t="str">
        <f>C9</f>
        <v>Description</v>
      </c>
      <c r="J1" s="55" t="s">
        <v>21389</v>
      </c>
      <c r="K1" s="55" t="s">
        <v>21390</v>
      </c>
      <c r="L1" s="55" t="s">
        <v>21391</v>
      </c>
      <c r="M1" s="55" t="s">
        <v>21392</v>
      </c>
      <c r="N1" s="55" t="s">
        <v>21393</v>
      </c>
      <c r="O1" s="56" t="s">
        <v>21394</v>
      </c>
      <c r="P1" s="57"/>
      <c r="Q1" s="57"/>
    </row>
    <row r="2" spans="1:17" x14ac:dyDescent="0.35">
      <c r="A2" s="58" t="str">
        <f>C4</f>
        <v>Entire Project</v>
      </c>
      <c r="B2" s="59">
        <f>F4</f>
        <v>1</v>
      </c>
      <c r="C2" s="59">
        <f>Q13</f>
        <v>0</v>
      </c>
      <c r="D2" s="59">
        <f>I10</f>
        <v>0</v>
      </c>
      <c r="E2" s="59">
        <f>M10</f>
        <v>0</v>
      </c>
      <c r="F2" s="59">
        <f>O10</f>
        <v>0</v>
      </c>
      <c r="G2" s="59">
        <f>Q199</f>
        <v>0</v>
      </c>
      <c r="H2" s="249">
        <f ca="1">C6</f>
        <v>45603</v>
      </c>
      <c r="I2" s="59" t="str">
        <f>C10</f>
        <v>OTHER CONVEYING EQUIPMENT</v>
      </c>
      <c r="J2" s="59"/>
      <c r="K2" s="59"/>
      <c r="L2" s="1"/>
      <c r="M2" s="59"/>
      <c r="N2" s="59"/>
      <c r="O2" s="60"/>
      <c r="P2" s="57"/>
      <c r="Q2" s="57"/>
    </row>
    <row r="3" spans="1:17" ht="15" thickBot="1" x14ac:dyDescent="0.4">
      <c r="A3" s="446"/>
      <c r="B3" s="425"/>
      <c r="C3" s="103" t="str">
        <f>HYPERLINK("https://datamateapp.github.io/index.html","Built with the DataMateApp. Please give feedback and share with anyone!")</f>
        <v>Built with the DataMateApp. Please give feedback and share with anyone!</v>
      </c>
      <c r="D3" s="447" t="s">
        <v>21411</v>
      </c>
      <c r="E3" s="448"/>
      <c r="F3" s="448"/>
      <c r="G3" s="448"/>
      <c r="H3" s="6"/>
      <c r="I3" s="6"/>
      <c r="J3" s="449"/>
      <c r="K3" s="450"/>
      <c r="L3" s="100"/>
      <c r="M3" s="8"/>
      <c r="N3" s="6"/>
      <c r="O3" s="8"/>
      <c r="P3" s="441" t="s">
        <v>21595</v>
      </c>
      <c r="Q3" s="442"/>
    </row>
    <row r="4" spans="1:17" ht="15" thickBot="1" x14ac:dyDescent="0.4">
      <c r="A4" s="451" t="s">
        <v>21409</v>
      </c>
      <c r="B4" s="452"/>
      <c r="C4" s="79" t="s">
        <v>21410</v>
      </c>
      <c r="D4" s="6"/>
      <c r="E4" s="5" t="s">
        <v>21396</v>
      </c>
      <c r="F4" s="61">
        <v>1</v>
      </c>
      <c r="G4" s="8"/>
      <c r="H4" s="6"/>
      <c r="I4" s="6"/>
      <c r="J4" s="443" t="s">
        <v>21406</v>
      </c>
      <c r="K4" s="444"/>
      <c r="L4" s="102"/>
      <c r="M4" s="9"/>
      <c r="N4" s="31" t="s">
        <v>21430</v>
      </c>
      <c r="O4" s="98"/>
      <c r="P4" s="7"/>
      <c r="Q4" s="10"/>
    </row>
    <row r="5" spans="1:17" ht="15" thickBot="1" x14ac:dyDescent="0.4">
      <c r="A5" s="3"/>
      <c r="B5" s="4"/>
      <c r="C5" s="5"/>
      <c r="D5" s="6"/>
      <c r="E5" s="7"/>
      <c r="F5" s="6"/>
      <c r="G5" s="8"/>
      <c r="H5" s="6"/>
      <c r="I5" s="6"/>
      <c r="J5" s="443" t="s">
        <v>21407</v>
      </c>
      <c r="K5" s="444"/>
      <c r="L5" s="11"/>
      <c r="M5" s="91"/>
      <c r="N5" s="31" t="s">
        <v>21429</v>
      </c>
      <c r="O5" s="96"/>
      <c r="P5" s="86"/>
      <c r="Q5" s="8"/>
    </row>
    <row r="6" spans="1:17" ht="15" thickBot="1" x14ac:dyDescent="0.4">
      <c r="A6" s="3"/>
      <c r="B6" s="4" t="s">
        <v>21395</v>
      </c>
      <c r="C6" s="235">
        <f ca="1">TODAY()</f>
        <v>45603</v>
      </c>
      <c r="D6" s="6"/>
      <c r="E6" s="7"/>
      <c r="F6" s="6"/>
      <c r="G6" s="10"/>
      <c r="H6" s="12" t="s">
        <v>0</v>
      </c>
      <c r="I6" s="13">
        <v>7.0000000000000007E-2</v>
      </c>
      <c r="J6" s="445" t="s">
        <v>21405</v>
      </c>
      <c r="K6" s="444"/>
      <c r="L6" s="11"/>
      <c r="M6" s="9"/>
      <c r="N6" s="31" t="s">
        <v>21428</v>
      </c>
      <c r="O6" s="97"/>
      <c r="P6" s="7"/>
      <c r="Q6" s="8"/>
    </row>
    <row r="7" spans="1:17" x14ac:dyDescent="0.35">
      <c r="A7" s="3"/>
      <c r="B7" s="4"/>
      <c r="C7" s="84" t="s">
        <v>21433</v>
      </c>
      <c r="D7" s="6"/>
      <c r="E7" s="7"/>
      <c r="F7" s="6"/>
      <c r="G7" s="7"/>
      <c r="H7" s="14"/>
      <c r="I7" s="6"/>
      <c r="J7" s="443" t="s">
        <v>21408</v>
      </c>
      <c r="K7" s="444"/>
      <c r="L7" s="11"/>
      <c r="M7" s="6"/>
      <c r="N7" s="31" t="s">
        <v>21427</v>
      </c>
      <c r="O7" s="96"/>
      <c r="P7" s="90"/>
      <c r="Q7" s="90"/>
    </row>
    <row r="8" spans="1:17" ht="15" thickBot="1" x14ac:dyDescent="0.4">
      <c r="A8" s="3"/>
      <c r="B8" s="4"/>
      <c r="C8" s="86" t="s">
        <v>21403</v>
      </c>
      <c r="D8" s="6"/>
      <c r="E8" s="7"/>
      <c r="F8" s="6"/>
      <c r="G8" s="6"/>
      <c r="H8" s="6"/>
      <c r="I8" s="6"/>
      <c r="J8" s="6"/>
      <c r="K8" s="6"/>
      <c r="L8" s="83" t="s">
        <v>1</v>
      </c>
      <c r="M8" s="6"/>
      <c r="N8" s="6" t="s">
        <v>21422</v>
      </c>
      <c r="O8" s="95" t="s">
        <v>21425</v>
      </c>
      <c r="P8" s="6"/>
      <c r="Q8" s="6"/>
    </row>
    <row r="9" spans="1:17" ht="27" thickBot="1" x14ac:dyDescent="0.4">
      <c r="A9" s="15"/>
      <c r="B9" s="16"/>
      <c r="C9" s="17" t="s">
        <v>2</v>
      </c>
      <c r="D9" s="18" t="s">
        <v>3</v>
      </c>
      <c r="E9" s="19" t="s">
        <v>4</v>
      </c>
      <c r="F9" s="16" t="s">
        <v>5</v>
      </c>
      <c r="G9" s="20" t="s">
        <v>6</v>
      </c>
      <c r="H9" s="16" t="s">
        <v>7</v>
      </c>
      <c r="I9" s="20" t="s">
        <v>8</v>
      </c>
      <c r="J9" s="21" t="s">
        <v>9</v>
      </c>
      <c r="K9" s="16" t="s">
        <v>10</v>
      </c>
      <c r="L9" s="21" t="s">
        <v>11</v>
      </c>
      <c r="M9" s="20" t="s">
        <v>12</v>
      </c>
      <c r="N9" s="16" t="s">
        <v>13</v>
      </c>
      <c r="O9" s="20" t="s">
        <v>14</v>
      </c>
      <c r="P9" s="18" t="s">
        <v>15</v>
      </c>
      <c r="Q9" s="20" t="s">
        <v>16</v>
      </c>
    </row>
    <row r="10" spans="1:17" ht="15" thickBot="1" x14ac:dyDescent="0.4">
      <c r="A10" s="22"/>
      <c r="B10" s="23" t="str">
        <f>B206</f>
        <v>14 90 00</v>
      </c>
      <c r="C10" s="24" t="str">
        <f>C206</f>
        <v>OTHER CONVEYING EQUIPMENT</v>
      </c>
      <c r="D10" s="25"/>
      <c r="E10" s="26" t="s">
        <v>17</v>
      </c>
      <c r="F10" s="27"/>
      <c r="G10" s="28">
        <f>SUBTOTAL(9,G11:G190)</f>
        <v>0</v>
      </c>
      <c r="H10" s="27"/>
      <c r="I10" s="28">
        <f>SUBTOTAL(9,I11:I190)</f>
        <v>0</v>
      </c>
      <c r="J10" s="27"/>
      <c r="K10" s="27">
        <f>SUBTOTAL(9,K11:K190)</f>
        <v>0</v>
      </c>
      <c r="L10" s="27"/>
      <c r="M10" s="28">
        <f>SUBTOTAL(9,M11:M190)</f>
        <v>0</v>
      </c>
      <c r="N10" s="27"/>
      <c r="O10" s="28">
        <f>SUBTOTAL(9,O11:O190)</f>
        <v>0</v>
      </c>
      <c r="P10" s="25"/>
      <c r="Q10" s="28">
        <f>SUBTOTAL(9,Q11:Q190)</f>
        <v>0</v>
      </c>
    </row>
    <row r="11" spans="1:17" x14ac:dyDescent="0.35">
      <c r="A11" s="22"/>
      <c r="B11" s="29"/>
      <c r="C11" s="30"/>
      <c r="D11" s="31"/>
      <c r="E11" s="32"/>
      <c r="F11" s="34"/>
      <c r="G11" s="33"/>
      <c r="H11" s="34"/>
      <c r="I11" s="33"/>
      <c r="J11" s="34"/>
      <c r="K11" s="34"/>
      <c r="L11" s="34"/>
      <c r="M11" s="33"/>
      <c r="N11" s="34"/>
      <c r="O11" s="35"/>
      <c r="P11" s="31"/>
      <c r="Q11" s="35"/>
    </row>
    <row r="12" spans="1:17" x14ac:dyDescent="0.35">
      <c r="A12" s="22"/>
      <c r="B12" s="29"/>
      <c r="C12" s="30" t="str">
        <f>C10</f>
        <v>OTHER CONVEYING EQUIPMENT</v>
      </c>
      <c r="D12" s="31"/>
      <c r="E12" s="32"/>
      <c r="F12" s="34"/>
      <c r="G12" s="33"/>
      <c r="H12" s="34"/>
      <c r="I12" s="33"/>
      <c r="J12" s="34"/>
      <c r="K12" s="34"/>
      <c r="L12" s="34"/>
      <c r="M12" s="33"/>
      <c r="N12" s="34"/>
      <c r="O12" s="35"/>
      <c r="P12" s="31"/>
      <c r="Q12" s="35"/>
    </row>
    <row r="13" spans="1:17" x14ac:dyDescent="0.35">
      <c r="A13" s="1"/>
      <c r="B13" s="1"/>
      <c r="C13" s="1"/>
      <c r="D13" s="1"/>
      <c r="E13" s="1"/>
      <c r="F13" s="1"/>
      <c r="G13" s="1"/>
      <c r="H13" s="1"/>
      <c r="I13" s="1"/>
      <c r="J13" s="1"/>
      <c r="K13" s="1"/>
      <c r="L13" s="1"/>
      <c r="M13" s="1"/>
      <c r="N13" s="1"/>
      <c r="O13" s="1"/>
      <c r="P13" s="1"/>
      <c r="Q13" s="1"/>
    </row>
    <row r="14" spans="1:17" x14ac:dyDescent="0.35">
      <c r="A14" s="1"/>
      <c r="B14" s="1"/>
      <c r="C14" s="1"/>
      <c r="D14" s="1"/>
      <c r="E14" s="1"/>
      <c r="F14" s="1"/>
      <c r="G14" s="1"/>
      <c r="H14" s="1"/>
      <c r="I14" s="1"/>
      <c r="J14" s="1"/>
      <c r="K14" s="1"/>
      <c r="L14" s="1"/>
      <c r="M14" s="1"/>
      <c r="N14" s="1"/>
      <c r="O14" s="1"/>
      <c r="P14" s="1"/>
      <c r="Q14" s="1"/>
    </row>
    <row r="15" spans="1:17" x14ac:dyDescent="0.35">
      <c r="A15" s="1"/>
      <c r="B15" s="1"/>
      <c r="C15" s="1"/>
      <c r="D15" s="1"/>
      <c r="E15" s="1"/>
      <c r="F15" s="1"/>
      <c r="G15" s="1"/>
      <c r="H15" s="1"/>
      <c r="I15" s="1"/>
      <c r="J15" s="1"/>
      <c r="K15" s="1"/>
      <c r="L15" s="1"/>
      <c r="M15" s="1"/>
      <c r="N15" s="1"/>
      <c r="O15" s="1"/>
      <c r="P15" s="1"/>
      <c r="Q15" s="1"/>
    </row>
    <row r="16" spans="1:17" x14ac:dyDescent="0.35">
      <c r="A16" s="1"/>
      <c r="B16" s="1"/>
      <c r="C16" s="1"/>
      <c r="D16" s="1"/>
      <c r="E16" s="1"/>
      <c r="F16" s="1"/>
      <c r="G16" s="1"/>
      <c r="H16" s="1"/>
      <c r="I16" s="1"/>
      <c r="J16" s="1"/>
      <c r="K16" s="1"/>
      <c r="L16" s="1"/>
      <c r="M16" s="1"/>
      <c r="N16" s="1"/>
      <c r="O16" s="1"/>
      <c r="P16" s="1"/>
      <c r="Q16" s="1"/>
    </row>
    <row r="17" spans="1:17" x14ac:dyDescent="0.35">
      <c r="A17" s="1"/>
      <c r="B17" s="1"/>
      <c r="C17" s="1"/>
      <c r="D17" s="1"/>
      <c r="E17" s="1"/>
      <c r="F17" s="1"/>
      <c r="G17" s="1"/>
      <c r="H17" s="1"/>
      <c r="I17" s="1"/>
      <c r="J17" s="1"/>
      <c r="K17" s="1"/>
      <c r="L17" s="1"/>
      <c r="M17" s="1"/>
      <c r="N17" s="1"/>
      <c r="O17" s="1"/>
      <c r="P17" s="1"/>
      <c r="Q17" s="1"/>
    </row>
    <row r="18" spans="1:17" x14ac:dyDescent="0.35">
      <c r="A18" s="1"/>
      <c r="B18" s="1"/>
      <c r="C18" s="1"/>
      <c r="D18" s="1"/>
      <c r="E18" s="1"/>
      <c r="F18" s="1"/>
      <c r="G18" s="1"/>
      <c r="H18" s="1"/>
      <c r="I18" s="1"/>
      <c r="J18" s="1"/>
      <c r="K18" s="1"/>
      <c r="L18" s="1"/>
      <c r="M18" s="1"/>
      <c r="N18" s="1"/>
      <c r="O18" s="1"/>
      <c r="P18" s="1"/>
      <c r="Q18" s="1"/>
    </row>
    <row r="19" spans="1:17" x14ac:dyDescent="0.35">
      <c r="A19" s="1"/>
      <c r="B19" s="1"/>
      <c r="C19" s="1"/>
      <c r="D19" s="1"/>
      <c r="E19" s="1"/>
      <c r="F19" s="1"/>
      <c r="G19" s="1"/>
      <c r="H19" s="1"/>
      <c r="I19" s="1"/>
      <c r="J19" s="1"/>
      <c r="K19" s="1"/>
      <c r="L19" s="1"/>
      <c r="M19" s="1"/>
      <c r="N19" s="1"/>
      <c r="O19" s="1"/>
      <c r="P19" s="1"/>
      <c r="Q19" s="1"/>
    </row>
    <row r="20" spans="1:17" x14ac:dyDescent="0.35">
      <c r="A20" s="1"/>
      <c r="B20" s="1"/>
      <c r="C20" s="1"/>
      <c r="D20" s="1"/>
      <c r="E20" s="1"/>
      <c r="F20" s="1"/>
      <c r="G20" s="1"/>
      <c r="H20" s="1"/>
      <c r="I20" s="1"/>
      <c r="J20" s="1"/>
      <c r="K20" s="1"/>
      <c r="L20" s="1"/>
      <c r="M20" s="1"/>
      <c r="N20" s="1"/>
      <c r="O20" s="1"/>
      <c r="P20" s="1"/>
      <c r="Q20" s="1"/>
    </row>
    <row r="21" spans="1:17" x14ac:dyDescent="0.35">
      <c r="A21" s="1"/>
      <c r="B21" s="1"/>
      <c r="C21" s="1"/>
      <c r="D21" s="1"/>
      <c r="E21" s="1"/>
      <c r="F21" s="1"/>
      <c r="G21" s="1"/>
      <c r="H21" s="1"/>
      <c r="I21" s="1"/>
      <c r="J21" s="1"/>
      <c r="K21" s="1"/>
      <c r="L21" s="1"/>
      <c r="M21" s="1"/>
      <c r="N21" s="1"/>
      <c r="O21" s="1"/>
      <c r="P21" s="1"/>
      <c r="Q21" s="1"/>
    </row>
    <row r="22" spans="1:17" x14ac:dyDescent="0.35">
      <c r="A22" s="1"/>
      <c r="B22" s="1"/>
      <c r="C22" s="1"/>
      <c r="D22" s="1"/>
      <c r="E22" s="1"/>
      <c r="F22" s="1"/>
      <c r="G22" s="1"/>
      <c r="H22" s="1"/>
      <c r="I22" s="1"/>
      <c r="J22" s="1"/>
      <c r="K22" s="1"/>
      <c r="L22" s="1"/>
      <c r="M22" s="1"/>
      <c r="N22" s="1"/>
      <c r="O22" s="1"/>
      <c r="P22" s="1"/>
      <c r="Q22" s="1"/>
    </row>
    <row r="23" spans="1:17" x14ac:dyDescent="0.35">
      <c r="A23" s="1"/>
      <c r="B23" s="1"/>
      <c r="C23" s="1"/>
      <c r="D23" s="1"/>
      <c r="E23" s="1"/>
      <c r="F23" s="1"/>
      <c r="G23" s="1"/>
      <c r="H23" s="1"/>
      <c r="I23" s="1"/>
      <c r="J23" s="1"/>
      <c r="K23" s="1"/>
      <c r="L23" s="1"/>
      <c r="M23" s="1"/>
      <c r="N23" s="1"/>
      <c r="O23" s="1"/>
      <c r="P23" s="1"/>
      <c r="Q23" s="1"/>
    </row>
    <row r="24" spans="1:17" x14ac:dyDescent="0.35">
      <c r="A24" s="1"/>
      <c r="B24" s="1"/>
      <c r="C24" s="1"/>
      <c r="D24" s="1"/>
      <c r="E24" s="1"/>
      <c r="F24" s="1"/>
      <c r="G24" s="1"/>
      <c r="H24" s="1"/>
      <c r="I24" s="1"/>
      <c r="J24" s="1"/>
      <c r="K24" s="1"/>
      <c r="L24" s="1"/>
      <c r="M24" s="1"/>
      <c r="N24" s="1"/>
      <c r="O24" s="1"/>
      <c r="P24" s="1"/>
      <c r="Q24" s="1"/>
    </row>
    <row r="25" spans="1:17" x14ac:dyDescent="0.35">
      <c r="A25" s="1"/>
      <c r="B25" s="1"/>
      <c r="C25" s="1"/>
      <c r="D25" s="1"/>
      <c r="E25" s="1"/>
      <c r="F25" s="1"/>
      <c r="G25" s="1"/>
      <c r="H25" s="1"/>
      <c r="I25" s="1"/>
      <c r="J25" s="1"/>
      <c r="K25" s="1"/>
      <c r="L25" s="1"/>
      <c r="M25" s="1"/>
      <c r="N25" s="1"/>
      <c r="O25" s="1"/>
      <c r="P25" s="1"/>
      <c r="Q25" s="1"/>
    </row>
    <row r="26" spans="1:17" x14ac:dyDescent="0.35">
      <c r="A26" s="1"/>
      <c r="B26" s="1"/>
      <c r="C26" s="1"/>
      <c r="D26" s="1"/>
      <c r="E26" s="1"/>
      <c r="F26" s="1"/>
      <c r="G26" s="1"/>
      <c r="H26" s="1"/>
      <c r="I26" s="1"/>
      <c r="J26" s="1"/>
      <c r="K26" s="1"/>
      <c r="L26" s="1"/>
      <c r="M26" s="1"/>
      <c r="N26" s="1"/>
      <c r="O26" s="1"/>
      <c r="P26" s="1"/>
      <c r="Q26" s="1"/>
    </row>
    <row r="27" spans="1:17" x14ac:dyDescent="0.35">
      <c r="A27" s="1"/>
      <c r="B27" s="1"/>
      <c r="C27" s="1"/>
      <c r="D27" s="1"/>
      <c r="E27" s="1"/>
      <c r="F27" s="1"/>
      <c r="G27" s="1"/>
      <c r="H27" s="1"/>
      <c r="I27" s="1"/>
      <c r="J27" s="1"/>
      <c r="K27" s="1"/>
      <c r="L27" s="1"/>
      <c r="M27" s="1"/>
      <c r="N27" s="1"/>
      <c r="O27" s="1"/>
      <c r="P27" s="1"/>
      <c r="Q27" s="1"/>
    </row>
    <row r="28" spans="1:17" x14ac:dyDescent="0.35">
      <c r="A28" s="1"/>
      <c r="B28" s="1"/>
      <c r="C28" s="1"/>
      <c r="D28" s="1"/>
      <c r="E28" s="1"/>
      <c r="F28" s="1"/>
      <c r="G28" s="1"/>
      <c r="H28" s="1"/>
      <c r="I28" s="1"/>
      <c r="J28" s="1"/>
      <c r="K28" s="1"/>
      <c r="L28" s="1"/>
      <c r="M28" s="1"/>
      <c r="N28" s="1"/>
      <c r="O28" s="1"/>
      <c r="P28" s="1"/>
      <c r="Q28" s="1"/>
    </row>
    <row r="29" spans="1:17" x14ac:dyDescent="0.35">
      <c r="A29" s="1"/>
      <c r="B29" s="1"/>
      <c r="C29" s="1"/>
      <c r="D29" s="1"/>
      <c r="E29" s="1"/>
      <c r="F29" s="1"/>
      <c r="G29" s="1"/>
      <c r="H29" s="1"/>
      <c r="I29" s="1"/>
      <c r="J29" s="1"/>
      <c r="K29" s="1"/>
      <c r="L29" s="1"/>
      <c r="M29" s="1"/>
      <c r="N29" s="1"/>
      <c r="O29" s="1"/>
      <c r="P29" s="1"/>
      <c r="Q29" s="1"/>
    </row>
    <row r="30" spans="1:17" x14ac:dyDescent="0.35">
      <c r="A30" s="1"/>
      <c r="B30" s="1"/>
      <c r="C30" s="1"/>
      <c r="D30" s="1"/>
      <c r="E30" s="1"/>
      <c r="F30" s="1"/>
      <c r="G30" s="1"/>
      <c r="H30" s="1"/>
      <c r="I30" s="1"/>
      <c r="J30" s="1"/>
      <c r="K30" s="1"/>
      <c r="L30" s="1"/>
      <c r="M30" s="1"/>
      <c r="N30" s="1"/>
      <c r="O30" s="1"/>
      <c r="P30" s="1"/>
      <c r="Q30" s="1"/>
    </row>
    <row r="31" spans="1:17" x14ac:dyDescent="0.35">
      <c r="A31" s="1"/>
      <c r="B31" s="1"/>
      <c r="C31" s="1"/>
      <c r="D31" s="1"/>
      <c r="E31" s="1"/>
      <c r="F31" s="1"/>
      <c r="G31" s="1"/>
      <c r="H31" s="1"/>
      <c r="I31" s="1"/>
      <c r="J31" s="1"/>
      <c r="K31" s="1"/>
      <c r="L31" s="1"/>
      <c r="M31" s="1"/>
      <c r="N31" s="1"/>
      <c r="O31" s="1"/>
      <c r="P31" s="1"/>
      <c r="Q31" s="1"/>
    </row>
    <row r="32" spans="1:17" x14ac:dyDescent="0.35">
      <c r="A32" s="1"/>
      <c r="B32" s="1"/>
      <c r="C32" s="1"/>
      <c r="D32" s="1"/>
      <c r="E32" s="1"/>
      <c r="F32" s="1"/>
      <c r="G32" s="1"/>
      <c r="H32" s="1"/>
      <c r="I32" s="1"/>
      <c r="J32" s="1"/>
      <c r="K32" s="1"/>
      <c r="L32" s="1"/>
      <c r="M32" s="1"/>
      <c r="N32" s="1"/>
      <c r="O32" s="1"/>
      <c r="P32" s="1"/>
      <c r="Q32" s="1"/>
    </row>
    <row r="33" spans="1:17" x14ac:dyDescent="0.35">
      <c r="A33" s="1"/>
      <c r="B33" s="1"/>
      <c r="C33" s="1"/>
      <c r="D33" s="1"/>
      <c r="E33" s="1"/>
      <c r="F33" s="1"/>
      <c r="G33" s="1"/>
      <c r="H33" s="1"/>
      <c r="I33" s="1"/>
      <c r="J33" s="1"/>
      <c r="K33" s="1"/>
      <c r="L33" s="1"/>
      <c r="M33" s="1"/>
      <c r="N33" s="1"/>
      <c r="O33" s="1"/>
      <c r="P33" s="1"/>
      <c r="Q33" s="1"/>
    </row>
    <row r="34" spans="1:17" x14ac:dyDescent="0.35">
      <c r="A34" s="1"/>
      <c r="B34" s="1"/>
      <c r="C34" s="1"/>
      <c r="D34" s="1"/>
      <c r="E34" s="1"/>
      <c r="F34" s="1"/>
      <c r="G34" s="1"/>
      <c r="H34" s="1"/>
      <c r="I34" s="1"/>
      <c r="J34" s="1"/>
      <c r="K34" s="1"/>
      <c r="L34" s="1"/>
      <c r="M34" s="1"/>
      <c r="N34" s="1"/>
      <c r="O34" s="1"/>
      <c r="P34" s="1"/>
      <c r="Q34" s="1"/>
    </row>
    <row r="35" spans="1:17" x14ac:dyDescent="0.35">
      <c r="A35" s="1"/>
      <c r="B35" s="1"/>
      <c r="C35" s="1"/>
      <c r="D35" s="1"/>
      <c r="E35" s="1"/>
      <c r="F35" s="1"/>
      <c r="G35" s="1"/>
      <c r="H35" s="1"/>
      <c r="I35" s="1"/>
      <c r="J35" s="1"/>
      <c r="K35" s="1"/>
      <c r="L35" s="1"/>
      <c r="M35" s="1"/>
      <c r="N35" s="1"/>
      <c r="O35" s="1"/>
      <c r="P35" s="1"/>
      <c r="Q35" s="1"/>
    </row>
    <row r="36" spans="1:17" x14ac:dyDescent="0.35">
      <c r="A36" s="1"/>
      <c r="B36" s="1"/>
      <c r="C36" s="1"/>
      <c r="D36" s="1"/>
      <c r="E36" s="1"/>
      <c r="F36" s="1"/>
      <c r="G36" s="1"/>
      <c r="H36" s="1"/>
      <c r="I36" s="1"/>
      <c r="J36" s="1"/>
      <c r="K36" s="1"/>
      <c r="L36" s="1"/>
      <c r="M36" s="1"/>
      <c r="N36" s="1"/>
      <c r="O36" s="1"/>
      <c r="P36" s="1"/>
      <c r="Q36" s="1"/>
    </row>
    <row r="37" spans="1:17" x14ac:dyDescent="0.35">
      <c r="A37" s="1"/>
      <c r="B37" s="1"/>
      <c r="C37" s="1"/>
      <c r="D37" s="1"/>
      <c r="E37" s="1"/>
      <c r="F37" s="1"/>
      <c r="G37" s="1"/>
      <c r="H37" s="1"/>
      <c r="I37" s="1"/>
      <c r="J37" s="1"/>
      <c r="K37" s="1"/>
      <c r="L37" s="1"/>
      <c r="M37" s="1"/>
      <c r="N37" s="1"/>
      <c r="O37" s="1"/>
      <c r="P37" s="1"/>
      <c r="Q37" s="1"/>
    </row>
    <row r="38" spans="1:17" x14ac:dyDescent="0.35">
      <c r="A38" s="1"/>
      <c r="B38" s="1"/>
      <c r="C38" s="1"/>
      <c r="D38" s="1"/>
      <c r="E38" s="1"/>
      <c r="F38" s="1"/>
      <c r="G38" s="1"/>
      <c r="H38" s="1"/>
      <c r="I38" s="1"/>
      <c r="J38" s="1"/>
      <c r="K38" s="1"/>
      <c r="L38" s="1"/>
      <c r="M38" s="1"/>
      <c r="N38" s="1"/>
      <c r="O38" s="1"/>
      <c r="P38" s="1"/>
      <c r="Q38" s="1"/>
    </row>
    <row r="39" spans="1:17" x14ac:dyDescent="0.35">
      <c r="A39" s="1"/>
      <c r="B39" s="1"/>
      <c r="C39" s="1"/>
      <c r="D39" s="1"/>
      <c r="E39" s="1"/>
      <c r="F39" s="1"/>
      <c r="G39" s="1"/>
      <c r="H39" s="1"/>
      <c r="I39" s="1"/>
      <c r="J39" s="1"/>
      <c r="K39" s="1"/>
      <c r="L39" s="1"/>
      <c r="M39" s="1"/>
      <c r="N39" s="1"/>
      <c r="O39" s="1"/>
      <c r="P39" s="1"/>
      <c r="Q39" s="1"/>
    </row>
    <row r="40" spans="1:17" x14ac:dyDescent="0.35">
      <c r="A40" s="1"/>
      <c r="B40" s="1"/>
      <c r="C40" s="1"/>
      <c r="D40" s="1"/>
      <c r="E40" s="1"/>
      <c r="F40" s="1"/>
      <c r="G40" s="1"/>
      <c r="H40" s="1"/>
      <c r="I40" s="1"/>
      <c r="J40" s="1"/>
      <c r="K40" s="1"/>
      <c r="L40" s="1"/>
      <c r="M40" s="1"/>
      <c r="N40" s="1"/>
      <c r="O40" s="1"/>
      <c r="P40" s="1"/>
      <c r="Q40" s="1"/>
    </row>
    <row r="41" spans="1:17" x14ac:dyDescent="0.35">
      <c r="A41" s="1"/>
      <c r="B41" s="1"/>
      <c r="C41" s="1"/>
      <c r="D41" s="1"/>
      <c r="E41" s="1"/>
      <c r="F41" s="1"/>
      <c r="G41" s="1"/>
      <c r="H41" s="1"/>
      <c r="I41" s="1"/>
      <c r="J41" s="1"/>
      <c r="K41" s="1"/>
      <c r="L41" s="1"/>
      <c r="M41" s="1"/>
      <c r="N41" s="1"/>
      <c r="O41" s="1"/>
      <c r="P41" s="1"/>
      <c r="Q41" s="1"/>
    </row>
    <row r="42" spans="1:17" x14ac:dyDescent="0.35">
      <c r="A42" s="1"/>
      <c r="B42" s="1"/>
      <c r="C42" s="1"/>
      <c r="D42" s="1"/>
      <c r="E42" s="1"/>
      <c r="F42" s="1"/>
      <c r="G42" s="1"/>
      <c r="H42" s="1"/>
      <c r="I42" s="1"/>
      <c r="J42" s="1"/>
      <c r="K42" s="1"/>
      <c r="L42" s="1"/>
      <c r="M42" s="1"/>
      <c r="N42" s="1"/>
      <c r="O42" s="1"/>
      <c r="P42" s="1"/>
      <c r="Q42" s="1"/>
    </row>
    <row r="43" spans="1:17" x14ac:dyDescent="0.35">
      <c r="A43" s="1"/>
      <c r="B43" s="1"/>
      <c r="C43" s="1"/>
      <c r="D43" s="1"/>
      <c r="E43" s="1"/>
      <c r="F43" s="1"/>
      <c r="G43" s="1"/>
      <c r="H43" s="1"/>
      <c r="I43" s="1"/>
      <c r="J43" s="1"/>
      <c r="K43" s="1"/>
      <c r="L43" s="1"/>
      <c r="M43" s="1"/>
      <c r="N43" s="1"/>
      <c r="O43" s="1"/>
      <c r="P43" s="1"/>
      <c r="Q43" s="1"/>
    </row>
    <row r="44" spans="1:17" x14ac:dyDescent="0.35">
      <c r="A44" s="1"/>
      <c r="B44" s="1"/>
      <c r="C44" s="1"/>
      <c r="D44" s="1"/>
      <c r="E44" s="1"/>
      <c r="F44" s="1"/>
      <c r="G44" s="1"/>
      <c r="H44" s="1"/>
      <c r="I44" s="1"/>
      <c r="J44" s="1"/>
      <c r="K44" s="1"/>
      <c r="L44" s="1"/>
      <c r="M44" s="1"/>
      <c r="N44" s="1"/>
      <c r="O44" s="1"/>
      <c r="P44" s="1"/>
      <c r="Q44" s="1"/>
    </row>
    <row r="45" spans="1:17" x14ac:dyDescent="0.35">
      <c r="A45" s="1"/>
      <c r="B45" s="1"/>
      <c r="C45" s="1"/>
      <c r="D45" s="1"/>
      <c r="E45" s="1"/>
      <c r="F45" s="1"/>
      <c r="G45" s="1"/>
      <c r="H45" s="1"/>
      <c r="I45" s="1"/>
      <c r="J45" s="1"/>
      <c r="K45" s="1"/>
      <c r="L45" s="1"/>
      <c r="M45" s="1"/>
      <c r="N45" s="1"/>
      <c r="O45" s="1"/>
      <c r="P45" s="1"/>
      <c r="Q45" s="1"/>
    </row>
    <row r="46" spans="1:17" x14ac:dyDescent="0.35">
      <c r="A46" s="1"/>
      <c r="B46" s="1"/>
      <c r="C46" s="1"/>
      <c r="D46" s="1"/>
      <c r="E46" s="1"/>
      <c r="F46" s="1"/>
      <c r="G46" s="1"/>
      <c r="H46" s="1"/>
      <c r="I46" s="1"/>
      <c r="J46" s="1"/>
      <c r="K46" s="1"/>
      <c r="L46" s="1"/>
      <c r="M46" s="1"/>
      <c r="N46" s="1"/>
      <c r="O46" s="1"/>
      <c r="P46" s="1"/>
      <c r="Q46" s="1"/>
    </row>
    <row r="47" spans="1:17" x14ac:dyDescent="0.35">
      <c r="A47" s="1"/>
      <c r="B47" s="1"/>
      <c r="C47" s="1"/>
      <c r="D47" s="1"/>
      <c r="E47" s="1"/>
      <c r="F47" s="1"/>
      <c r="G47" s="1"/>
      <c r="H47" s="1"/>
      <c r="I47" s="1"/>
      <c r="J47" s="1"/>
      <c r="K47" s="1"/>
      <c r="L47" s="1"/>
      <c r="M47" s="1"/>
      <c r="N47" s="1"/>
      <c r="O47" s="1"/>
      <c r="P47" s="1"/>
      <c r="Q47" s="1"/>
    </row>
    <row r="48" spans="1:17" x14ac:dyDescent="0.35">
      <c r="A48" s="1"/>
      <c r="B48" s="1"/>
      <c r="C48" s="1"/>
      <c r="D48" s="1"/>
      <c r="E48" s="1"/>
      <c r="F48" s="1"/>
      <c r="G48" s="1"/>
      <c r="H48" s="1"/>
      <c r="I48" s="1"/>
      <c r="J48" s="1"/>
      <c r="K48" s="1"/>
      <c r="L48" s="1"/>
      <c r="M48" s="1"/>
      <c r="N48" s="1"/>
      <c r="O48" s="1"/>
      <c r="P48" s="1"/>
      <c r="Q48" s="1"/>
    </row>
    <row r="49" spans="1:17" x14ac:dyDescent="0.35">
      <c r="A49" s="1"/>
      <c r="B49" s="1"/>
      <c r="C49" s="1"/>
      <c r="D49" s="1"/>
      <c r="E49" s="1"/>
      <c r="F49" s="1"/>
      <c r="G49" s="1"/>
      <c r="H49" s="1"/>
      <c r="I49" s="1"/>
      <c r="J49" s="1"/>
      <c r="K49" s="1"/>
      <c r="L49" s="1"/>
      <c r="M49" s="1"/>
      <c r="N49" s="1"/>
      <c r="O49" s="1"/>
      <c r="P49" s="1"/>
      <c r="Q49" s="1"/>
    </row>
    <row r="50" spans="1:17" x14ac:dyDescent="0.35">
      <c r="A50" s="1"/>
      <c r="B50" s="1"/>
      <c r="C50" s="1"/>
      <c r="D50" s="1"/>
      <c r="E50" s="1"/>
      <c r="F50" s="1"/>
      <c r="G50" s="1"/>
      <c r="H50" s="1"/>
      <c r="I50" s="1"/>
      <c r="J50" s="1"/>
      <c r="K50" s="1"/>
      <c r="L50" s="1"/>
      <c r="M50" s="1"/>
      <c r="N50" s="1"/>
      <c r="O50" s="1"/>
      <c r="P50" s="1"/>
      <c r="Q50" s="1"/>
    </row>
    <row r="51" spans="1:17" x14ac:dyDescent="0.35">
      <c r="A51" s="1"/>
      <c r="B51" s="1"/>
      <c r="C51" s="1"/>
      <c r="D51" s="1"/>
      <c r="E51" s="1"/>
      <c r="F51" s="1"/>
      <c r="G51" s="1"/>
      <c r="H51" s="1"/>
      <c r="I51" s="1"/>
      <c r="J51" s="1"/>
      <c r="K51" s="1"/>
      <c r="L51" s="1"/>
      <c r="M51" s="1"/>
      <c r="N51" s="1"/>
      <c r="O51" s="1"/>
      <c r="P51" s="1"/>
      <c r="Q51" s="1"/>
    </row>
    <row r="52" spans="1:17" x14ac:dyDescent="0.35">
      <c r="A52" s="1"/>
      <c r="B52" s="1"/>
      <c r="C52" s="1"/>
      <c r="D52" s="1"/>
      <c r="E52" s="1"/>
      <c r="F52" s="1"/>
      <c r="G52" s="1"/>
      <c r="H52" s="1"/>
      <c r="I52" s="1"/>
      <c r="J52" s="1"/>
      <c r="K52" s="1"/>
      <c r="L52" s="1"/>
      <c r="M52" s="1"/>
      <c r="N52" s="1"/>
      <c r="O52" s="1"/>
      <c r="P52" s="1"/>
      <c r="Q52" s="1"/>
    </row>
    <row r="53" spans="1:17" x14ac:dyDescent="0.35">
      <c r="A53" s="1"/>
      <c r="B53" s="1"/>
      <c r="C53" s="1"/>
      <c r="D53" s="1"/>
      <c r="E53" s="1"/>
      <c r="F53" s="1"/>
      <c r="G53" s="1"/>
      <c r="H53" s="1"/>
      <c r="I53" s="1"/>
      <c r="J53" s="1"/>
      <c r="K53" s="1"/>
      <c r="L53" s="1"/>
      <c r="M53" s="1"/>
      <c r="N53" s="1"/>
      <c r="O53" s="1"/>
      <c r="P53" s="1"/>
      <c r="Q53" s="1"/>
    </row>
    <row r="54" spans="1:17" x14ac:dyDescent="0.35">
      <c r="A54" s="1"/>
      <c r="B54" s="1"/>
      <c r="C54" s="1"/>
      <c r="D54" s="1"/>
      <c r="E54" s="1"/>
      <c r="F54" s="1"/>
      <c r="G54" s="1"/>
      <c r="H54" s="1"/>
      <c r="I54" s="1"/>
      <c r="J54" s="1"/>
      <c r="K54" s="1"/>
      <c r="L54" s="1"/>
      <c r="M54" s="1"/>
      <c r="N54" s="1"/>
      <c r="O54" s="1"/>
      <c r="P54" s="1"/>
      <c r="Q54" s="1"/>
    </row>
    <row r="55" spans="1:17" x14ac:dyDescent="0.35">
      <c r="A55" s="1"/>
      <c r="B55" s="1"/>
      <c r="C55" s="1"/>
      <c r="D55" s="1"/>
      <c r="E55" s="1"/>
      <c r="F55" s="1"/>
      <c r="G55" s="1"/>
      <c r="H55" s="1"/>
      <c r="I55" s="1"/>
      <c r="J55" s="1"/>
      <c r="K55" s="1"/>
      <c r="L55" s="1"/>
      <c r="M55" s="1"/>
      <c r="N55" s="1"/>
      <c r="O55" s="1"/>
      <c r="P55" s="1"/>
      <c r="Q55" s="1"/>
    </row>
    <row r="56" spans="1:17" x14ac:dyDescent="0.35">
      <c r="A56" s="1"/>
      <c r="B56" s="1"/>
      <c r="C56" s="1"/>
      <c r="D56" s="1"/>
      <c r="E56" s="1"/>
      <c r="F56" s="1"/>
      <c r="G56" s="1"/>
      <c r="H56" s="1"/>
      <c r="I56" s="1"/>
      <c r="J56" s="1"/>
      <c r="K56" s="1"/>
      <c r="L56" s="1"/>
      <c r="M56" s="1"/>
      <c r="N56" s="1"/>
      <c r="O56" s="1"/>
      <c r="P56" s="1"/>
      <c r="Q56" s="1"/>
    </row>
    <row r="57" spans="1:17" x14ac:dyDescent="0.35">
      <c r="A57" s="1"/>
      <c r="B57" s="1"/>
      <c r="C57" s="1"/>
      <c r="D57" s="1"/>
      <c r="E57" s="1"/>
      <c r="F57" s="1"/>
      <c r="G57" s="1"/>
      <c r="H57" s="1"/>
      <c r="I57" s="1"/>
      <c r="J57" s="1"/>
      <c r="K57" s="1"/>
      <c r="L57" s="1"/>
      <c r="M57" s="1"/>
      <c r="N57" s="1"/>
      <c r="O57" s="1"/>
      <c r="P57" s="1"/>
      <c r="Q57" s="1"/>
    </row>
    <row r="58" spans="1:17" x14ac:dyDescent="0.35">
      <c r="A58" s="1"/>
      <c r="B58" s="1"/>
      <c r="C58" s="1"/>
      <c r="D58" s="1"/>
      <c r="E58" s="1"/>
      <c r="F58" s="1"/>
      <c r="G58" s="1"/>
      <c r="H58" s="1"/>
      <c r="I58" s="1"/>
      <c r="J58" s="1"/>
      <c r="K58" s="1"/>
      <c r="L58" s="1"/>
      <c r="M58" s="1"/>
      <c r="N58" s="1"/>
      <c r="O58" s="1"/>
      <c r="P58" s="1"/>
      <c r="Q58" s="1"/>
    </row>
    <row r="59" spans="1:17" x14ac:dyDescent="0.35">
      <c r="A59" s="1"/>
      <c r="B59" s="1"/>
      <c r="C59" s="1"/>
      <c r="D59" s="1"/>
      <c r="E59" s="1"/>
      <c r="F59" s="1"/>
      <c r="G59" s="1"/>
      <c r="H59" s="1"/>
      <c r="I59" s="1"/>
      <c r="J59" s="1"/>
      <c r="K59" s="1"/>
      <c r="L59" s="1"/>
      <c r="M59" s="1"/>
      <c r="N59" s="1"/>
      <c r="O59" s="1"/>
      <c r="P59" s="1"/>
      <c r="Q59" s="1"/>
    </row>
    <row r="60" spans="1:17" x14ac:dyDescent="0.35">
      <c r="A60" s="1"/>
      <c r="B60" s="1"/>
      <c r="C60" s="1"/>
      <c r="D60" s="1"/>
      <c r="E60" s="1"/>
      <c r="F60" s="1"/>
      <c r="G60" s="1"/>
      <c r="H60" s="1"/>
      <c r="I60" s="1"/>
      <c r="J60" s="1"/>
      <c r="K60" s="1"/>
      <c r="L60" s="1"/>
      <c r="M60" s="1"/>
      <c r="N60" s="1"/>
      <c r="O60" s="1"/>
      <c r="P60" s="1"/>
      <c r="Q60" s="1"/>
    </row>
    <row r="61" spans="1:17" x14ac:dyDescent="0.35">
      <c r="A61" s="1"/>
      <c r="B61" s="1"/>
      <c r="C61" s="1"/>
      <c r="D61" s="1"/>
      <c r="E61" s="1"/>
      <c r="F61" s="1"/>
      <c r="G61" s="1"/>
      <c r="H61" s="1"/>
      <c r="I61" s="1"/>
      <c r="J61" s="1"/>
      <c r="K61" s="1"/>
      <c r="L61" s="1"/>
      <c r="M61" s="1"/>
      <c r="N61" s="1"/>
      <c r="O61" s="1"/>
      <c r="P61" s="1"/>
      <c r="Q61" s="1"/>
    </row>
    <row r="62" spans="1:17" x14ac:dyDescent="0.35">
      <c r="A62" s="1"/>
      <c r="B62" s="1"/>
      <c r="C62" s="1"/>
      <c r="D62" s="1"/>
      <c r="E62" s="1"/>
      <c r="F62" s="1"/>
      <c r="G62" s="1"/>
      <c r="H62" s="1"/>
      <c r="I62" s="1"/>
      <c r="J62" s="1"/>
      <c r="K62" s="1"/>
      <c r="L62" s="1"/>
      <c r="M62" s="1"/>
      <c r="N62" s="1"/>
      <c r="O62" s="1"/>
      <c r="P62" s="1"/>
      <c r="Q62" s="1"/>
    </row>
    <row r="63" spans="1:17" x14ac:dyDescent="0.35">
      <c r="A63" s="1"/>
      <c r="B63" s="1"/>
      <c r="C63" s="1"/>
      <c r="D63" s="1"/>
      <c r="E63" s="1"/>
      <c r="F63" s="1"/>
      <c r="G63" s="1"/>
      <c r="H63" s="1"/>
      <c r="I63" s="1"/>
      <c r="J63" s="1"/>
      <c r="K63" s="1"/>
      <c r="L63" s="1"/>
      <c r="M63" s="1"/>
      <c r="N63" s="1"/>
      <c r="O63" s="1"/>
      <c r="P63" s="1"/>
      <c r="Q63" s="1"/>
    </row>
    <row r="64" spans="1:17" x14ac:dyDescent="0.35">
      <c r="A64" s="1"/>
      <c r="B64" s="1"/>
      <c r="C64" s="1"/>
      <c r="D64" s="1"/>
      <c r="E64" s="1"/>
      <c r="F64" s="1"/>
      <c r="G64" s="1"/>
      <c r="H64" s="1"/>
      <c r="I64" s="1"/>
      <c r="J64" s="1"/>
      <c r="K64" s="1"/>
      <c r="L64" s="1"/>
      <c r="M64" s="1"/>
      <c r="N64" s="1"/>
      <c r="O64" s="1"/>
      <c r="P64" s="1"/>
      <c r="Q64" s="1"/>
    </row>
    <row r="65" spans="1:17" x14ac:dyDescent="0.35">
      <c r="A65" s="1"/>
      <c r="B65" s="1"/>
      <c r="C65" s="1"/>
      <c r="D65" s="1"/>
      <c r="E65" s="1"/>
      <c r="F65" s="1"/>
      <c r="G65" s="1"/>
      <c r="H65" s="1"/>
      <c r="I65" s="1"/>
      <c r="J65" s="1"/>
      <c r="K65" s="1"/>
      <c r="L65" s="1"/>
      <c r="M65" s="1"/>
      <c r="N65" s="1"/>
      <c r="O65" s="1"/>
      <c r="P65" s="1"/>
      <c r="Q65" s="1"/>
    </row>
    <row r="66" spans="1:17" x14ac:dyDescent="0.35">
      <c r="A66" s="1"/>
      <c r="B66" s="1"/>
      <c r="C66" s="1"/>
      <c r="D66" s="1"/>
      <c r="E66" s="1"/>
      <c r="F66" s="1"/>
      <c r="G66" s="1"/>
      <c r="H66" s="1"/>
      <c r="I66" s="1"/>
      <c r="J66" s="1"/>
      <c r="K66" s="1"/>
      <c r="L66" s="1"/>
      <c r="M66" s="1"/>
      <c r="N66" s="1"/>
      <c r="O66" s="1"/>
      <c r="P66" s="1"/>
      <c r="Q66" s="1"/>
    </row>
    <row r="67" spans="1:17" x14ac:dyDescent="0.35">
      <c r="A67" s="1"/>
      <c r="B67" s="1"/>
      <c r="C67" s="1"/>
      <c r="D67" s="1"/>
      <c r="E67" s="1"/>
      <c r="F67" s="1"/>
      <c r="G67" s="1"/>
      <c r="H67" s="1"/>
      <c r="I67" s="1"/>
      <c r="J67" s="1"/>
      <c r="K67" s="1"/>
      <c r="L67" s="1"/>
      <c r="M67" s="1"/>
      <c r="N67" s="1"/>
      <c r="O67" s="1"/>
      <c r="P67" s="1"/>
      <c r="Q67" s="1"/>
    </row>
    <row r="68" spans="1:17" x14ac:dyDescent="0.35">
      <c r="A68" s="1"/>
      <c r="B68" s="1"/>
      <c r="C68" s="1"/>
      <c r="D68" s="1"/>
      <c r="E68" s="1"/>
      <c r="F68" s="1"/>
      <c r="G68" s="1"/>
      <c r="H68" s="1"/>
      <c r="I68" s="1"/>
      <c r="J68" s="1"/>
      <c r="K68" s="1"/>
      <c r="L68" s="1"/>
      <c r="M68" s="1"/>
      <c r="N68" s="1"/>
      <c r="O68" s="1"/>
      <c r="P68" s="1"/>
      <c r="Q68" s="1"/>
    </row>
    <row r="69" spans="1:17" x14ac:dyDescent="0.35">
      <c r="A69" s="1"/>
      <c r="B69" s="1"/>
      <c r="C69" s="1"/>
      <c r="D69" s="1"/>
      <c r="E69" s="1"/>
      <c r="F69" s="1"/>
      <c r="G69" s="1"/>
      <c r="H69" s="1"/>
      <c r="I69" s="1"/>
      <c r="J69" s="1"/>
      <c r="K69" s="1"/>
      <c r="L69" s="1"/>
      <c r="M69" s="1"/>
      <c r="N69" s="1"/>
      <c r="O69" s="1"/>
      <c r="P69" s="1"/>
      <c r="Q69" s="1"/>
    </row>
    <row r="70" spans="1:17" x14ac:dyDescent="0.35">
      <c r="A70" s="1"/>
      <c r="B70" s="1"/>
      <c r="C70" s="1"/>
      <c r="D70" s="1"/>
      <c r="E70" s="1"/>
      <c r="F70" s="1"/>
      <c r="G70" s="1"/>
      <c r="H70" s="1"/>
      <c r="I70" s="1"/>
      <c r="J70" s="1"/>
      <c r="K70" s="1"/>
      <c r="L70" s="1"/>
      <c r="M70" s="1"/>
      <c r="N70" s="1"/>
      <c r="O70" s="1"/>
      <c r="P70" s="1"/>
      <c r="Q70" s="1"/>
    </row>
    <row r="71" spans="1:17" x14ac:dyDescent="0.35">
      <c r="A71" s="1"/>
      <c r="B71" s="1"/>
      <c r="C71" s="1"/>
      <c r="D71" s="1"/>
      <c r="E71" s="1"/>
      <c r="F71" s="1"/>
      <c r="G71" s="1"/>
      <c r="H71" s="1"/>
      <c r="I71" s="1"/>
      <c r="J71" s="1"/>
      <c r="K71" s="1"/>
      <c r="L71" s="1"/>
      <c r="M71" s="1"/>
      <c r="N71" s="1"/>
      <c r="O71" s="1"/>
      <c r="P71" s="1"/>
      <c r="Q71" s="1"/>
    </row>
    <row r="72" spans="1:17" x14ac:dyDescent="0.35">
      <c r="A72" s="1"/>
      <c r="B72" s="1"/>
      <c r="C72" s="1"/>
      <c r="D72" s="1"/>
      <c r="E72" s="1"/>
      <c r="F72" s="1"/>
      <c r="G72" s="1"/>
      <c r="H72" s="1"/>
      <c r="I72" s="1"/>
      <c r="J72" s="1"/>
      <c r="K72" s="1"/>
      <c r="L72" s="1"/>
      <c r="M72" s="1"/>
      <c r="N72" s="1"/>
      <c r="O72" s="1"/>
      <c r="P72" s="1"/>
      <c r="Q72" s="1"/>
    </row>
    <row r="73" spans="1:17" x14ac:dyDescent="0.35">
      <c r="A73" s="1"/>
      <c r="B73" s="1"/>
      <c r="C73" s="1"/>
      <c r="D73" s="1"/>
      <c r="E73" s="1"/>
      <c r="F73" s="1"/>
      <c r="G73" s="1"/>
      <c r="H73" s="1"/>
      <c r="I73" s="1"/>
      <c r="J73" s="1"/>
      <c r="K73" s="1"/>
      <c r="L73" s="1"/>
      <c r="M73" s="1"/>
      <c r="N73" s="1"/>
      <c r="O73" s="1"/>
      <c r="P73" s="1"/>
      <c r="Q73" s="1"/>
    </row>
    <row r="74" spans="1:17" x14ac:dyDescent="0.35">
      <c r="A74" s="1"/>
      <c r="B74" s="1"/>
      <c r="C74" s="1"/>
      <c r="D74" s="1"/>
      <c r="E74" s="1"/>
      <c r="F74" s="1"/>
      <c r="G74" s="1"/>
      <c r="H74" s="1"/>
      <c r="I74" s="1"/>
      <c r="J74" s="1"/>
      <c r="K74" s="1"/>
      <c r="L74" s="1"/>
      <c r="M74" s="1"/>
      <c r="N74" s="1"/>
      <c r="O74" s="1"/>
      <c r="P74" s="1"/>
      <c r="Q74" s="1"/>
    </row>
    <row r="75" spans="1:17" x14ac:dyDescent="0.35">
      <c r="A75" s="1"/>
      <c r="B75" s="1"/>
      <c r="C75" s="1"/>
      <c r="D75" s="1"/>
      <c r="E75" s="1"/>
      <c r="F75" s="1"/>
      <c r="G75" s="1"/>
      <c r="H75" s="1"/>
      <c r="I75" s="1"/>
      <c r="J75" s="1"/>
      <c r="K75" s="1"/>
      <c r="L75" s="1"/>
      <c r="M75" s="1"/>
      <c r="N75" s="1"/>
      <c r="O75" s="1"/>
      <c r="P75" s="1"/>
      <c r="Q75" s="1"/>
    </row>
    <row r="76" spans="1:17" x14ac:dyDescent="0.35">
      <c r="A76" s="1"/>
      <c r="B76" s="1"/>
      <c r="C76" s="1"/>
      <c r="D76" s="1"/>
      <c r="E76" s="1"/>
      <c r="F76" s="1"/>
      <c r="G76" s="1"/>
      <c r="H76" s="1"/>
      <c r="I76" s="1"/>
      <c r="J76" s="1"/>
      <c r="K76" s="1"/>
      <c r="L76" s="1"/>
      <c r="M76" s="1"/>
      <c r="N76" s="1"/>
      <c r="O76" s="1"/>
      <c r="P76" s="1"/>
      <c r="Q76" s="1"/>
    </row>
    <row r="77" spans="1:17" x14ac:dyDescent="0.35">
      <c r="A77" s="1"/>
      <c r="B77" s="1"/>
      <c r="C77" s="1"/>
      <c r="D77" s="1"/>
      <c r="E77" s="1"/>
      <c r="F77" s="1"/>
      <c r="G77" s="1"/>
      <c r="H77" s="1"/>
      <c r="I77" s="1"/>
      <c r="J77" s="1"/>
      <c r="K77" s="1"/>
      <c r="L77" s="1"/>
      <c r="M77" s="1"/>
      <c r="N77" s="1"/>
      <c r="O77" s="1"/>
      <c r="P77" s="1"/>
      <c r="Q77" s="1"/>
    </row>
    <row r="78" spans="1:17" x14ac:dyDescent="0.35">
      <c r="A78" s="1"/>
      <c r="B78" s="1"/>
      <c r="C78" s="1"/>
      <c r="D78" s="1"/>
      <c r="E78" s="1"/>
      <c r="F78" s="1"/>
      <c r="G78" s="1"/>
      <c r="H78" s="1"/>
      <c r="I78" s="1"/>
      <c r="J78" s="1"/>
      <c r="K78" s="1"/>
      <c r="L78" s="1"/>
      <c r="M78" s="1"/>
      <c r="N78" s="1"/>
      <c r="O78" s="1"/>
      <c r="P78" s="1"/>
      <c r="Q78" s="1"/>
    </row>
    <row r="79" spans="1:17" x14ac:dyDescent="0.35">
      <c r="A79" s="1"/>
      <c r="B79" s="1"/>
      <c r="C79" s="1"/>
      <c r="D79" s="1"/>
      <c r="E79" s="1"/>
      <c r="F79" s="1"/>
      <c r="G79" s="1"/>
      <c r="H79" s="1"/>
      <c r="I79" s="1"/>
      <c r="J79" s="1"/>
      <c r="K79" s="1"/>
      <c r="L79" s="1"/>
      <c r="M79" s="1"/>
      <c r="N79" s="1"/>
      <c r="O79" s="1"/>
      <c r="P79" s="1"/>
      <c r="Q79" s="1"/>
    </row>
    <row r="80" spans="1:17" x14ac:dyDescent="0.35">
      <c r="A80" s="1"/>
      <c r="B80" s="1"/>
      <c r="C80" s="1"/>
      <c r="D80" s="1"/>
      <c r="E80" s="1"/>
      <c r="F80" s="1"/>
      <c r="G80" s="1"/>
      <c r="H80" s="1"/>
      <c r="I80" s="1"/>
      <c r="J80" s="1"/>
      <c r="K80" s="1"/>
      <c r="L80" s="1"/>
      <c r="M80" s="1"/>
      <c r="N80" s="1"/>
      <c r="O80" s="1"/>
      <c r="P80" s="1"/>
      <c r="Q80" s="1"/>
    </row>
    <row r="81" spans="1:17" x14ac:dyDescent="0.35">
      <c r="A81" s="1"/>
      <c r="B81" s="1"/>
      <c r="C81" s="1"/>
      <c r="D81" s="1"/>
      <c r="E81" s="1"/>
      <c r="F81" s="1"/>
      <c r="G81" s="1"/>
      <c r="H81" s="1"/>
      <c r="I81" s="1"/>
      <c r="J81" s="1"/>
      <c r="K81" s="1"/>
      <c r="L81" s="1"/>
      <c r="M81" s="1"/>
      <c r="N81" s="1"/>
      <c r="O81" s="1"/>
      <c r="P81" s="1"/>
      <c r="Q81" s="1"/>
    </row>
    <row r="82" spans="1:17" x14ac:dyDescent="0.35">
      <c r="A82" s="1"/>
      <c r="B82" s="1"/>
      <c r="C82" s="1"/>
      <c r="D82" s="1"/>
      <c r="E82" s="1"/>
      <c r="F82" s="1"/>
      <c r="G82" s="1"/>
      <c r="H82" s="1"/>
      <c r="I82" s="1"/>
      <c r="J82" s="1"/>
      <c r="K82" s="1"/>
      <c r="L82" s="1"/>
      <c r="M82" s="1"/>
      <c r="N82" s="1"/>
      <c r="O82" s="1"/>
      <c r="P82" s="1"/>
      <c r="Q82" s="1"/>
    </row>
    <row r="83" spans="1:17" x14ac:dyDescent="0.35">
      <c r="A83" s="1"/>
      <c r="B83" s="1"/>
      <c r="C83" s="1"/>
      <c r="D83" s="1"/>
      <c r="E83" s="1"/>
      <c r="F83" s="1"/>
      <c r="G83" s="1"/>
      <c r="H83" s="1"/>
      <c r="I83" s="1"/>
      <c r="J83" s="1"/>
      <c r="K83" s="1"/>
      <c r="L83" s="1"/>
      <c r="M83" s="1"/>
      <c r="N83" s="1"/>
      <c r="O83" s="1"/>
      <c r="P83" s="1"/>
      <c r="Q83" s="1"/>
    </row>
    <row r="84" spans="1:17" x14ac:dyDescent="0.35">
      <c r="A84" s="1"/>
      <c r="B84" s="1"/>
      <c r="C84" s="1"/>
      <c r="D84" s="1"/>
      <c r="E84" s="1"/>
      <c r="F84" s="1"/>
      <c r="G84" s="1"/>
      <c r="H84" s="1"/>
      <c r="I84" s="1"/>
      <c r="J84" s="1"/>
      <c r="K84" s="1"/>
      <c r="L84" s="1"/>
      <c r="M84" s="1"/>
      <c r="N84" s="1"/>
      <c r="O84" s="1"/>
      <c r="P84" s="1"/>
      <c r="Q84" s="1"/>
    </row>
    <row r="85" spans="1:17" x14ac:dyDescent="0.35">
      <c r="A85" s="1"/>
      <c r="B85" s="1"/>
      <c r="C85" s="1"/>
      <c r="D85" s="1"/>
      <c r="E85" s="1"/>
      <c r="F85" s="1"/>
      <c r="G85" s="1"/>
      <c r="H85" s="1"/>
      <c r="I85" s="1"/>
      <c r="J85" s="1"/>
      <c r="K85" s="1"/>
      <c r="L85" s="1"/>
      <c r="M85" s="1"/>
      <c r="N85" s="1"/>
      <c r="O85" s="1"/>
      <c r="P85" s="1"/>
      <c r="Q85" s="1"/>
    </row>
    <row r="86" spans="1:17" x14ac:dyDescent="0.35">
      <c r="A86" s="1"/>
      <c r="B86" s="1"/>
      <c r="C86" s="1"/>
      <c r="D86" s="1"/>
      <c r="E86" s="1"/>
      <c r="F86" s="1"/>
      <c r="G86" s="1"/>
      <c r="H86" s="1"/>
      <c r="I86" s="1"/>
      <c r="J86" s="1"/>
      <c r="K86" s="1"/>
      <c r="L86" s="1"/>
      <c r="M86" s="1"/>
      <c r="N86" s="1"/>
      <c r="O86" s="1"/>
      <c r="P86" s="1"/>
      <c r="Q86" s="1"/>
    </row>
    <row r="87" spans="1:17" x14ac:dyDescent="0.35">
      <c r="A87" s="1"/>
      <c r="B87" s="1"/>
      <c r="C87" s="1"/>
      <c r="D87" s="1"/>
      <c r="E87" s="1"/>
      <c r="F87" s="1"/>
      <c r="G87" s="1"/>
      <c r="H87" s="1"/>
      <c r="I87" s="1"/>
      <c r="J87" s="1"/>
      <c r="K87" s="1"/>
      <c r="L87" s="1"/>
      <c r="M87" s="1"/>
      <c r="N87" s="1"/>
      <c r="O87" s="1"/>
      <c r="P87" s="1"/>
      <c r="Q87" s="1"/>
    </row>
    <row r="88" spans="1:17" x14ac:dyDescent="0.35">
      <c r="A88" s="1"/>
      <c r="B88" s="1"/>
      <c r="C88" s="1"/>
      <c r="D88" s="1"/>
      <c r="E88" s="1"/>
      <c r="F88" s="1"/>
      <c r="G88" s="1"/>
      <c r="H88" s="1"/>
      <c r="I88" s="1"/>
      <c r="J88" s="1"/>
      <c r="K88" s="1"/>
      <c r="L88" s="1"/>
      <c r="M88" s="1"/>
      <c r="N88" s="1"/>
      <c r="O88" s="1"/>
      <c r="P88" s="1"/>
      <c r="Q88" s="1"/>
    </row>
    <row r="89" spans="1:17" x14ac:dyDescent="0.35">
      <c r="A89" s="1"/>
      <c r="B89" s="1"/>
      <c r="C89" s="1"/>
      <c r="D89" s="1"/>
      <c r="E89" s="1"/>
      <c r="F89" s="1"/>
      <c r="G89" s="1"/>
      <c r="H89" s="1"/>
      <c r="I89" s="1"/>
      <c r="J89" s="1"/>
      <c r="K89" s="1"/>
      <c r="L89" s="1"/>
      <c r="M89" s="1"/>
      <c r="N89" s="1"/>
      <c r="O89" s="1"/>
      <c r="P89" s="1"/>
      <c r="Q89" s="1"/>
    </row>
    <row r="90" spans="1:17" x14ac:dyDescent="0.35">
      <c r="A90" s="1"/>
      <c r="B90" s="1"/>
      <c r="C90" s="1"/>
      <c r="D90" s="1"/>
      <c r="E90" s="1"/>
      <c r="F90" s="1"/>
      <c r="G90" s="1"/>
      <c r="H90" s="1"/>
      <c r="I90" s="1"/>
      <c r="J90" s="1"/>
      <c r="K90" s="1"/>
      <c r="L90" s="1"/>
      <c r="M90" s="1"/>
      <c r="N90" s="1"/>
      <c r="O90" s="1"/>
      <c r="P90" s="1"/>
      <c r="Q90" s="1"/>
    </row>
    <row r="91" spans="1:17" x14ac:dyDescent="0.35">
      <c r="A91" s="1"/>
      <c r="B91" s="1"/>
      <c r="C91" s="1"/>
      <c r="D91" s="1"/>
      <c r="E91" s="1"/>
      <c r="F91" s="1"/>
      <c r="G91" s="1"/>
      <c r="H91" s="1"/>
      <c r="I91" s="1"/>
      <c r="J91" s="1"/>
      <c r="K91" s="1"/>
      <c r="L91" s="1"/>
      <c r="M91" s="1"/>
      <c r="N91" s="1"/>
      <c r="O91" s="1"/>
      <c r="P91" s="1"/>
      <c r="Q91" s="1"/>
    </row>
    <row r="92" spans="1:17" x14ac:dyDescent="0.35">
      <c r="A92" s="1"/>
      <c r="B92" s="1"/>
      <c r="C92" s="1"/>
      <c r="D92" s="1"/>
      <c r="E92" s="1"/>
      <c r="F92" s="1"/>
      <c r="G92" s="1"/>
      <c r="H92" s="1"/>
      <c r="I92" s="1"/>
      <c r="J92" s="1"/>
      <c r="K92" s="1"/>
      <c r="L92" s="1"/>
      <c r="M92" s="1"/>
      <c r="N92" s="1"/>
      <c r="O92" s="1"/>
      <c r="P92" s="1"/>
      <c r="Q92" s="1"/>
    </row>
    <row r="93" spans="1:17" x14ac:dyDescent="0.35">
      <c r="A93" s="1"/>
      <c r="B93" s="1"/>
      <c r="C93" s="1"/>
      <c r="D93" s="1"/>
      <c r="E93" s="1"/>
      <c r="F93" s="1"/>
      <c r="G93" s="1"/>
      <c r="H93" s="1"/>
      <c r="I93" s="1"/>
      <c r="J93" s="1"/>
      <c r="K93" s="1"/>
      <c r="L93" s="1"/>
      <c r="M93" s="1"/>
      <c r="N93" s="1"/>
      <c r="O93" s="1"/>
      <c r="P93" s="1"/>
      <c r="Q93" s="1"/>
    </row>
    <row r="94" spans="1:17" x14ac:dyDescent="0.35">
      <c r="A94" s="1"/>
      <c r="B94" s="1"/>
      <c r="C94" s="1"/>
      <c r="D94" s="1"/>
      <c r="E94" s="1"/>
      <c r="F94" s="1"/>
      <c r="G94" s="1"/>
      <c r="H94" s="1"/>
      <c r="I94" s="1"/>
      <c r="J94" s="1"/>
      <c r="K94" s="1"/>
      <c r="L94" s="1"/>
      <c r="M94" s="1"/>
      <c r="N94" s="1"/>
      <c r="O94" s="1"/>
      <c r="P94" s="1"/>
      <c r="Q94" s="1"/>
    </row>
    <row r="95" spans="1:17" x14ac:dyDescent="0.35">
      <c r="A95" s="1"/>
      <c r="B95" s="1"/>
      <c r="C95" s="1"/>
      <c r="D95" s="1"/>
      <c r="E95" s="1"/>
      <c r="F95" s="1"/>
      <c r="G95" s="1"/>
      <c r="H95" s="1"/>
      <c r="I95" s="1"/>
      <c r="J95" s="1"/>
      <c r="K95" s="1"/>
      <c r="L95" s="1"/>
      <c r="M95" s="1"/>
      <c r="N95" s="1"/>
      <c r="O95" s="1"/>
      <c r="P95" s="1"/>
      <c r="Q95" s="1"/>
    </row>
    <row r="96" spans="1:17" x14ac:dyDescent="0.35">
      <c r="A96" s="1"/>
      <c r="B96" s="1"/>
      <c r="C96" s="1"/>
      <c r="D96" s="1"/>
      <c r="E96" s="1"/>
      <c r="F96" s="1"/>
      <c r="G96" s="1"/>
      <c r="H96" s="1"/>
      <c r="I96" s="1"/>
      <c r="J96" s="1"/>
      <c r="K96" s="1"/>
      <c r="L96" s="1"/>
      <c r="M96" s="1"/>
      <c r="N96" s="1"/>
      <c r="O96" s="1"/>
      <c r="P96" s="1"/>
      <c r="Q96" s="1"/>
    </row>
    <row r="97" spans="1:17" x14ac:dyDescent="0.35">
      <c r="A97" s="1"/>
      <c r="B97" s="1"/>
      <c r="C97" s="1"/>
      <c r="D97" s="1"/>
      <c r="E97" s="1"/>
      <c r="F97" s="1"/>
      <c r="G97" s="1"/>
      <c r="H97" s="1"/>
      <c r="I97" s="1"/>
      <c r="J97" s="1"/>
      <c r="K97" s="1"/>
      <c r="L97" s="1"/>
      <c r="M97" s="1"/>
      <c r="N97" s="1"/>
      <c r="O97" s="1"/>
      <c r="P97" s="1"/>
      <c r="Q97" s="1"/>
    </row>
    <row r="98" spans="1:17" x14ac:dyDescent="0.35">
      <c r="A98" s="1"/>
      <c r="B98" s="1"/>
      <c r="C98" s="1"/>
      <c r="D98" s="1"/>
      <c r="E98" s="1"/>
      <c r="F98" s="1"/>
      <c r="G98" s="1"/>
      <c r="H98" s="1"/>
      <c r="I98" s="1"/>
      <c r="J98" s="1"/>
      <c r="K98" s="1"/>
      <c r="L98" s="1"/>
      <c r="M98" s="1"/>
      <c r="N98" s="1"/>
      <c r="O98" s="1"/>
      <c r="P98" s="1"/>
      <c r="Q98" s="1"/>
    </row>
    <row r="99" spans="1:17" x14ac:dyDescent="0.35">
      <c r="A99" s="1"/>
      <c r="B99" s="1"/>
      <c r="C99" s="1"/>
      <c r="D99" s="1"/>
      <c r="E99" s="1"/>
      <c r="F99" s="1"/>
      <c r="G99" s="1"/>
      <c r="H99" s="1"/>
      <c r="I99" s="1"/>
      <c r="J99" s="1"/>
      <c r="K99" s="1"/>
      <c r="L99" s="1"/>
      <c r="M99" s="1"/>
      <c r="N99" s="1"/>
      <c r="O99" s="1"/>
      <c r="P99" s="1"/>
      <c r="Q99" s="1"/>
    </row>
    <row r="100" spans="1:17" x14ac:dyDescent="0.35">
      <c r="A100" s="1"/>
      <c r="B100" s="1"/>
      <c r="C100" s="1"/>
      <c r="D100" s="1"/>
      <c r="E100" s="1"/>
      <c r="F100" s="1"/>
      <c r="G100" s="1"/>
      <c r="H100" s="1"/>
      <c r="I100" s="1"/>
      <c r="J100" s="1"/>
      <c r="K100" s="1"/>
      <c r="L100" s="1"/>
      <c r="M100" s="1"/>
      <c r="N100" s="1"/>
      <c r="O100" s="1"/>
      <c r="P100" s="1"/>
      <c r="Q100" s="1"/>
    </row>
    <row r="101" spans="1:17" x14ac:dyDescent="0.35">
      <c r="A101" s="1"/>
      <c r="B101" s="1"/>
      <c r="C101" s="1"/>
      <c r="D101" s="1"/>
      <c r="E101" s="1"/>
      <c r="F101" s="1"/>
      <c r="G101" s="1"/>
      <c r="H101" s="1"/>
      <c r="I101" s="1"/>
      <c r="J101" s="1"/>
      <c r="K101" s="1"/>
      <c r="L101" s="1"/>
      <c r="M101" s="1"/>
      <c r="N101" s="1"/>
      <c r="O101" s="1"/>
      <c r="P101" s="1"/>
      <c r="Q101" s="1"/>
    </row>
    <row r="102" spans="1:17" x14ac:dyDescent="0.35">
      <c r="A102" s="1"/>
      <c r="B102" s="1"/>
      <c r="C102" s="1"/>
      <c r="D102" s="1"/>
      <c r="E102" s="1"/>
      <c r="F102" s="1"/>
      <c r="G102" s="1"/>
      <c r="H102" s="1"/>
      <c r="I102" s="1"/>
      <c r="J102" s="1"/>
      <c r="K102" s="1"/>
      <c r="L102" s="1"/>
      <c r="M102" s="1"/>
      <c r="N102" s="1"/>
      <c r="O102" s="1"/>
      <c r="P102" s="1"/>
      <c r="Q102" s="1"/>
    </row>
    <row r="103" spans="1:17" x14ac:dyDescent="0.35">
      <c r="A103" s="1"/>
      <c r="B103" s="1"/>
      <c r="C103" s="1"/>
      <c r="D103" s="1"/>
      <c r="E103" s="1"/>
      <c r="F103" s="1"/>
      <c r="G103" s="1"/>
      <c r="H103" s="1"/>
      <c r="I103" s="1"/>
      <c r="J103" s="1"/>
      <c r="K103" s="1"/>
      <c r="L103" s="1"/>
      <c r="M103" s="1"/>
      <c r="N103" s="1"/>
      <c r="O103" s="1"/>
      <c r="P103" s="1"/>
      <c r="Q103" s="1"/>
    </row>
    <row r="104" spans="1:17" x14ac:dyDescent="0.35">
      <c r="A104" s="1"/>
      <c r="B104" s="1"/>
      <c r="C104" s="1"/>
      <c r="D104" s="1"/>
      <c r="E104" s="1"/>
      <c r="F104" s="1"/>
      <c r="G104" s="1"/>
      <c r="H104" s="1"/>
      <c r="I104" s="1"/>
      <c r="J104" s="1"/>
      <c r="K104" s="1"/>
      <c r="L104" s="1"/>
      <c r="M104" s="1"/>
      <c r="N104" s="1"/>
      <c r="O104" s="1"/>
      <c r="P104" s="1"/>
      <c r="Q104" s="1"/>
    </row>
    <row r="105" spans="1:17" x14ac:dyDescent="0.35">
      <c r="A105" s="1"/>
      <c r="B105" s="1"/>
      <c r="C105" s="1"/>
      <c r="D105" s="1"/>
      <c r="E105" s="1"/>
      <c r="F105" s="1"/>
      <c r="G105" s="1"/>
      <c r="H105" s="1"/>
      <c r="I105" s="1"/>
      <c r="J105" s="1"/>
      <c r="K105" s="1"/>
      <c r="L105" s="1"/>
      <c r="M105" s="1"/>
      <c r="N105" s="1"/>
      <c r="O105" s="1"/>
      <c r="P105" s="1"/>
      <c r="Q105" s="1"/>
    </row>
    <row r="106" spans="1:17" x14ac:dyDescent="0.35">
      <c r="A106" s="1"/>
      <c r="B106" s="1"/>
      <c r="C106" s="1"/>
      <c r="D106" s="1"/>
      <c r="E106" s="1"/>
      <c r="F106" s="1"/>
      <c r="G106" s="1"/>
      <c r="H106" s="1"/>
      <c r="I106" s="1"/>
      <c r="J106" s="1"/>
      <c r="K106" s="1"/>
      <c r="L106" s="1"/>
      <c r="M106" s="1"/>
      <c r="N106" s="1"/>
      <c r="O106" s="1"/>
      <c r="P106" s="1"/>
      <c r="Q106" s="1"/>
    </row>
    <row r="107" spans="1:17" x14ac:dyDescent="0.35">
      <c r="A107" s="1"/>
      <c r="B107" s="1"/>
      <c r="C107" s="1"/>
      <c r="D107" s="1"/>
      <c r="E107" s="1"/>
      <c r="F107" s="1"/>
      <c r="G107" s="1"/>
      <c r="H107" s="1"/>
      <c r="I107" s="1"/>
      <c r="J107" s="1"/>
      <c r="K107" s="1"/>
      <c r="L107" s="1"/>
      <c r="M107" s="1"/>
      <c r="N107" s="1"/>
      <c r="O107" s="1"/>
      <c r="P107" s="1"/>
      <c r="Q107" s="1"/>
    </row>
    <row r="108" spans="1:17" x14ac:dyDescent="0.35">
      <c r="A108" s="1"/>
      <c r="B108" s="1"/>
      <c r="C108" s="1"/>
      <c r="D108" s="1"/>
      <c r="E108" s="1"/>
      <c r="F108" s="1"/>
      <c r="G108" s="1"/>
      <c r="H108" s="1"/>
      <c r="I108" s="1"/>
      <c r="J108" s="1"/>
      <c r="K108" s="1"/>
      <c r="L108" s="1"/>
      <c r="M108" s="1"/>
      <c r="N108" s="1"/>
      <c r="O108" s="1"/>
      <c r="P108" s="1"/>
      <c r="Q108" s="1"/>
    </row>
    <row r="109" spans="1:17" x14ac:dyDescent="0.35">
      <c r="A109" s="1"/>
      <c r="B109" s="1"/>
      <c r="C109" s="1"/>
      <c r="D109" s="1"/>
      <c r="E109" s="1"/>
      <c r="F109" s="1"/>
      <c r="G109" s="1"/>
      <c r="H109" s="1"/>
      <c r="I109" s="1"/>
      <c r="J109" s="1"/>
      <c r="K109" s="1"/>
      <c r="L109" s="1"/>
      <c r="M109" s="1"/>
      <c r="N109" s="1"/>
      <c r="O109" s="1"/>
      <c r="P109" s="1"/>
      <c r="Q109" s="1"/>
    </row>
    <row r="110" spans="1:17" x14ac:dyDescent="0.35">
      <c r="A110" s="1"/>
      <c r="B110" s="1"/>
      <c r="C110" s="1"/>
      <c r="D110" s="1"/>
      <c r="E110" s="1"/>
      <c r="F110" s="1"/>
      <c r="G110" s="1"/>
      <c r="H110" s="1"/>
      <c r="I110" s="1"/>
      <c r="J110" s="1"/>
      <c r="K110" s="1"/>
      <c r="L110" s="1"/>
      <c r="M110" s="1"/>
      <c r="N110" s="1"/>
      <c r="O110" s="1"/>
      <c r="P110" s="1"/>
      <c r="Q110" s="1"/>
    </row>
    <row r="111" spans="1:17" x14ac:dyDescent="0.35">
      <c r="A111" s="1"/>
      <c r="B111" s="1"/>
      <c r="C111" s="1"/>
      <c r="D111" s="1"/>
      <c r="E111" s="1"/>
      <c r="F111" s="1"/>
      <c r="G111" s="1"/>
      <c r="H111" s="1"/>
      <c r="I111" s="1"/>
      <c r="J111" s="1"/>
      <c r="K111" s="1"/>
      <c r="L111" s="1"/>
      <c r="M111" s="1"/>
      <c r="N111" s="1"/>
      <c r="O111" s="1"/>
      <c r="P111" s="1"/>
      <c r="Q111" s="1"/>
    </row>
    <row r="112" spans="1:17" x14ac:dyDescent="0.35">
      <c r="A112" s="1"/>
      <c r="B112" s="1"/>
      <c r="C112" s="1"/>
      <c r="D112" s="1"/>
      <c r="E112" s="1"/>
      <c r="F112" s="1"/>
      <c r="G112" s="1"/>
      <c r="H112" s="1"/>
      <c r="I112" s="1"/>
      <c r="J112" s="1"/>
      <c r="K112" s="1"/>
      <c r="L112" s="1"/>
      <c r="M112" s="1"/>
      <c r="N112" s="1"/>
      <c r="O112" s="1"/>
      <c r="P112" s="1"/>
      <c r="Q112" s="1"/>
    </row>
    <row r="113" spans="1:17" x14ac:dyDescent="0.35">
      <c r="A113" s="1"/>
      <c r="B113" s="1"/>
      <c r="C113" s="1"/>
      <c r="D113" s="1"/>
      <c r="E113" s="1"/>
      <c r="F113" s="1"/>
      <c r="G113" s="1"/>
      <c r="H113" s="1"/>
      <c r="I113" s="1"/>
      <c r="J113" s="1"/>
      <c r="K113" s="1"/>
      <c r="L113" s="1"/>
      <c r="M113" s="1"/>
      <c r="N113" s="1"/>
      <c r="O113" s="1"/>
      <c r="P113" s="1"/>
      <c r="Q113" s="1"/>
    </row>
    <row r="114" spans="1:17" x14ac:dyDescent="0.35">
      <c r="A114" s="1"/>
      <c r="B114" s="1"/>
      <c r="C114" s="1"/>
      <c r="D114" s="1"/>
      <c r="E114" s="1"/>
      <c r="F114" s="1"/>
      <c r="G114" s="1"/>
      <c r="H114" s="1"/>
      <c r="I114" s="1"/>
      <c r="J114" s="1"/>
      <c r="K114" s="1"/>
      <c r="L114" s="1"/>
      <c r="M114" s="1"/>
      <c r="N114" s="1"/>
      <c r="O114" s="1"/>
      <c r="P114" s="1"/>
      <c r="Q114" s="1"/>
    </row>
    <row r="115" spans="1:17" x14ac:dyDescent="0.35">
      <c r="A115" s="1"/>
      <c r="B115" s="1"/>
      <c r="C115" s="1"/>
      <c r="D115" s="1"/>
      <c r="E115" s="1"/>
      <c r="F115" s="1"/>
      <c r="G115" s="1"/>
      <c r="H115" s="1"/>
      <c r="I115" s="1"/>
      <c r="J115" s="1"/>
      <c r="K115" s="1"/>
      <c r="L115" s="1"/>
      <c r="M115" s="1"/>
      <c r="N115" s="1"/>
      <c r="O115" s="1"/>
      <c r="P115" s="1"/>
      <c r="Q115" s="1"/>
    </row>
    <row r="116" spans="1:17" x14ac:dyDescent="0.35">
      <c r="A116" s="1"/>
      <c r="B116" s="1"/>
      <c r="C116" s="1"/>
      <c r="D116" s="1"/>
      <c r="E116" s="1"/>
      <c r="F116" s="1"/>
      <c r="G116" s="1"/>
      <c r="H116" s="1"/>
      <c r="I116" s="1"/>
      <c r="J116" s="1"/>
      <c r="K116" s="1"/>
      <c r="L116" s="1"/>
      <c r="M116" s="1"/>
      <c r="N116" s="1"/>
      <c r="O116" s="1"/>
      <c r="P116" s="1"/>
      <c r="Q116" s="1"/>
    </row>
    <row r="117" spans="1:17" x14ac:dyDescent="0.35">
      <c r="A117" s="1"/>
      <c r="B117" s="1"/>
      <c r="C117" s="1"/>
      <c r="D117" s="1"/>
      <c r="E117" s="1"/>
      <c r="F117" s="1"/>
      <c r="G117" s="1"/>
      <c r="H117" s="1"/>
      <c r="I117" s="1"/>
      <c r="J117" s="1"/>
      <c r="K117" s="1"/>
      <c r="L117" s="1"/>
      <c r="M117" s="1"/>
      <c r="N117" s="1"/>
      <c r="O117" s="1"/>
      <c r="P117" s="1"/>
      <c r="Q117" s="1"/>
    </row>
    <row r="118" spans="1:17" x14ac:dyDescent="0.35">
      <c r="A118" s="1"/>
      <c r="B118" s="1"/>
      <c r="C118" s="1"/>
      <c r="D118" s="1"/>
      <c r="E118" s="1"/>
      <c r="F118" s="1"/>
      <c r="G118" s="1"/>
      <c r="H118" s="1"/>
      <c r="I118" s="1"/>
      <c r="J118" s="1"/>
      <c r="K118" s="1"/>
      <c r="L118" s="1"/>
      <c r="M118" s="1"/>
      <c r="N118" s="1"/>
      <c r="O118" s="1"/>
      <c r="P118" s="1"/>
      <c r="Q118" s="1"/>
    </row>
    <row r="119" spans="1:17" x14ac:dyDescent="0.35">
      <c r="A119" s="1"/>
      <c r="B119" s="1"/>
      <c r="C119" s="1"/>
      <c r="D119" s="1"/>
      <c r="E119" s="1"/>
      <c r="F119" s="1"/>
      <c r="G119" s="1"/>
      <c r="H119" s="1"/>
      <c r="I119" s="1"/>
      <c r="J119" s="1"/>
      <c r="K119" s="1"/>
      <c r="L119" s="1"/>
      <c r="M119" s="1"/>
      <c r="N119" s="1"/>
      <c r="O119" s="1"/>
      <c r="P119" s="1"/>
      <c r="Q119" s="1"/>
    </row>
    <row r="120" spans="1:17" x14ac:dyDescent="0.35">
      <c r="A120" s="1"/>
      <c r="B120" s="1"/>
      <c r="C120" s="1"/>
      <c r="D120" s="1"/>
      <c r="E120" s="1"/>
      <c r="F120" s="1"/>
      <c r="G120" s="1"/>
      <c r="H120" s="1"/>
      <c r="I120" s="1"/>
      <c r="J120" s="1"/>
      <c r="K120" s="1"/>
      <c r="L120" s="1"/>
      <c r="M120" s="1"/>
      <c r="N120" s="1"/>
      <c r="O120" s="1"/>
      <c r="P120" s="1"/>
      <c r="Q120" s="1"/>
    </row>
    <row r="121" spans="1:17" x14ac:dyDescent="0.35">
      <c r="A121" s="1"/>
      <c r="B121" s="1"/>
      <c r="C121" s="1"/>
      <c r="D121" s="1"/>
      <c r="E121" s="1"/>
      <c r="F121" s="1"/>
      <c r="G121" s="1"/>
      <c r="H121" s="1"/>
      <c r="I121" s="1"/>
      <c r="J121" s="1"/>
      <c r="K121" s="1"/>
      <c r="L121" s="1"/>
      <c r="M121" s="1"/>
      <c r="N121" s="1"/>
      <c r="O121" s="1"/>
      <c r="P121" s="1"/>
      <c r="Q121" s="1"/>
    </row>
    <row r="122" spans="1:17" x14ac:dyDescent="0.35">
      <c r="A122" s="1"/>
      <c r="B122" s="1"/>
      <c r="C122" s="1"/>
      <c r="D122" s="1"/>
      <c r="E122" s="1"/>
      <c r="F122" s="1"/>
      <c r="G122" s="1"/>
      <c r="H122" s="1"/>
      <c r="I122" s="1"/>
      <c r="J122" s="1"/>
      <c r="K122" s="1"/>
      <c r="L122" s="1"/>
      <c r="M122" s="1"/>
      <c r="N122" s="1"/>
      <c r="O122" s="1"/>
      <c r="P122" s="1"/>
      <c r="Q122" s="1"/>
    </row>
    <row r="123" spans="1:17" x14ac:dyDescent="0.35">
      <c r="A123" s="1"/>
      <c r="B123" s="1"/>
      <c r="C123" s="1"/>
      <c r="D123" s="1"/>
      <c r="E123" s="1"/>
      <c r="F123" s="1"/>
      <c r="G123" s="1"/>
      <c r="H123" s="1"/>
      <c r="I123" s="1"/>
      <c r="J123" s="1"/>
      <c r="K123" s="1"/>
      <c r="L123" s="1"/>
      <c r="M123" s="1"/>
      <c r="N123" s="1"/>
      <c r="O123" s="1"/>
      <c r="P123" s="1"/>
      <c r="Q123" s="1"/>
    </row>
    <row r="124" spans="1:17" x14ac:dyDescent="0.35">
      <c r="A124" s="1"/>
      <c r="B124" s="1"/>
      <c r="C124" s="1"/>
      <c r="D124" s="1"/>
      <c r="E124" s="1"/>
      <c r="F124" s="1"/>
      <c r="G124" s="1"/>
      <c r="H124" s="1"/>
      <c r="I124" s="1"/>
      <c r="J124" s="1"/>
      <c r="K124" s="1"/>
      <c r="L124" s="1"/>
      <c r="M124" s="1"/>
      <c r="N124" s="1"/>
      <c r="O124" s="1"/>
      <c r="P124" s="1"/>
      <c r="Q124" s="1"/>
    </row>
    <row r="125" spans="1:17" x14ac:dyDescent="0.35">
      <c r="A125" s="1"/>
      <c r="B125" s="1"/>
      <c r="C125" s="1"/>
      <c r="D125" s="1"/>
      <c r="E125" s="1"/>
      <c r="F125" s="1"/>
      <c r="G125" s="1"/>
      <c r="H125" s="1"/>
      <c r="I125" s="1"/>
      <c r="J125" s="1"/>
      <c r="K125" s="1"/>
      <c r="L125" s="1"/>
      <c r="M125" s="1"/>
      <c r="N125" s="1"/>
      <c r="O125" s="1"/>
      <c r="P125" s="1"/>
      <c r="Q125" s="1"/>
    </row>
    <row r="126" spans="1:17" x14ac:dyDescent="0.35">
      <c r="A126" s="1"/>
      <c r="B126" s="1"/>
      <c r="C126" s="1"/>
      <c r="D126" s="1"/>
      <c r="E126" s="1"/>
      <c r="F126" s="1"/>
      <c r="G126" s="1"/>
      <c r="H126" s="1"/>
      <c r="I126" s="1"/>
      <c r="J126" s="1"/>
      <c r="K126" s="1"/>
      <c r="L126" s="1"/>
      <c r="M126" s="1"/>
      <c r="N126" s="1"/>
      <c r="O126" s="1"/>
      <c r="P126" s="1"/>
      <c r="Q126" s="1"/>
    </row>
    <row r="127" spans="1:17" x14ac:dyDescent="0.35">
      <c r="A127" s="1"/>
      <c r="B127" s="1"/>
      <c r="C127" s="1"/>
      <c r="D127" s="1"/>
      <c r="E127" s="1"/>
      <c r="F127" s="1"/>
      <c r="G127" s="1"/>
      <c r="H127" s="1"/>
      <c r="I127" s="1"/>
      <c r="J127" s="1"/>
      <c r="K127" s="1"/>
      <c r="L127" s="1"/>
      <c r="M127" s="1"/>
      <c r="N127" s="1"/>
      <c r="O127" s="1"/>
      <c r="P127" s="1"/>
      <c r="Q127" s="1"/>
    </row>
    <row r="128" spans="1:17" x14ac:dyDescent="0.35">
      <c r="A128" s="1"/>
      <c r="B128" s="1"/>
      <c r="C128" s="1"/>
      <c r="D128" s="1"/>
      <c r="E128" s="1"/>
      <c r="F128" s="1"/>
      <c r="G128" s="1"/>
      <c r="H128" s="1"/>
      <c r="I128" s="1"/>
      <c r="J128" s="1"/>
      <c r="K128" s="1"/>
      <c r="L128" s="1"/>
      <c r="M128" s="1"/>
      <c r="N128" s="1"/>
      <c r="O128" s="1"/>
      <c r="P128" s="1"/>
      <c r="Q128" s="1"/>
    </row>
    <row r="129" spans="1:17" x14ac:dyDescent="0.35">
      <c r="A129" s="1"/>
      <c r="B129" s="1"/>
      <c r="C129" s="1"/>
      <c r="D129" s="1"/>
      <c r="E129" s="1"/>
      <c r="F129" s="1"/>
      <c r="G129" s="1"/>
      <c r="H129" s="1"/>
      <c r="I129" s="1"/>
      <c r="J129" s="1"/>
      <c r="K129" s="1"/>
      <c r="L129" s="1"/>
      <c r="M129" s="1"/>
      <c r="N129" s="1"/>
      <c r="O129" s="1"/>
      <c r="P129" s="1"/>
      <c r="Q129" s="1"/>
    </row>
    <row r="130" spans="1:17" x14ac:dyDescent="0.35">
      <c r="A130" s="1"/>
      <c r="B130" s="1"/>
      <c r="C130" s="1"/>
      <c r="D130" s="1"/>
      <c r="E130" s="1"/>
      <c r="F130" s="1"/>
      <c r="G130" s="1"/>
      <c r="H130" s="1"/>
      <c r="I130" s="1"/>
      <c r="J130" s="1"/>
      <c r="K130" s="1"/>
      <c r="L130" s="1"/>
      <c r="M130" s="1"/>
      <c r="N130" s="1"/>
      <c r="O130" s="1"/>
      <c r="P130" s="1"/>
      <c r="Q130" s="1"/>
    </row>
    <row r="131" spans="1:17" x14ac:dyDescent="0.35">
      <c r="A131" s="1"/>
      <c r="B131" s="1"/>
      <c r="C131" s="1"/>
      <c r="D131" s="1"/>
      <c r="E131" s="1"/>
      <c r="F131" s="1"/>
      <c r="G131" s="1"/>
      <c r="H131" s="1"/>
      <c r="I131" s="1"/>
      <c r="J131" s="1"/>
      <c r="K131" s="1"/>
      <c r="L131" s="1"/>
      <c r="M131" s="1"/>
      <c r="N131" s="1"/>
      <c r="O131" s="1"/>
      <c r="P131" s="1"/>
      <c r="Q131" s="1"/>
    </row>
    <row r="132" spans="1:17" x14ac:dyDescent="0.35">
      <c r="A132" s="1"/>
      <c r="B132" s="1"/>
      <c r="C132" s="1"/>
      <c r="D132" s="1"/>
      <c r="E132" s="1"/>
      <c r="F132" s="1"/>
      <c r="G132" s="1"/>
      <c r="H132" s="1"/>
      <c r="I132" s="1"/>
      <c r="J132" s="1"/>
      <c r="K132" s="1"/>
      <c r="L132" s="1"/>
      <c r="M132" s="1"/>
      <c r="N132" s="1"/>
      <c r="O132" s="1"/>
      <c r="P132" s="1"/>
      <c r="Q132" s="1"/>
    </row>
    <row r="133" spans="1:17" x14ac:dyDescent="0.35">
      <c r="A133" s="1"/>
      <c r="B133" s="1"/>
      <c r="C133" s="1"/>
      <c r="D133" s="1"/>
      <c r="E133" s="1"/>
      <c r="F133" s="1"/>
      <c r="G133" s="1"/>
      <c r="H133" s="1"/>
      <c r="I133" s="1"/>
      <c r="J133" s="1"/>
      <c r="K133" s="1"/>
      <c r="L133" s="1"/>
      <c r="M133" s="1"/>
      <c r="N133" s="1"/>
      <c r="O133" s="1"/>
      <c r="P133" s="1"/>
      <c r="Q133" s="1"/>
    </row>
    <row r="134" spans="1:17" x14ac:dyDescent="0.35">
      <c r="A134" s="1"/>
      <c r="B134" s="1"/>
      <c r="C134" s="1"/>
      <c r="D134" s="1"/>
      <c r="E134" s="1"/>
      <c r="F134" s="1"/>
      <c r="G134" s="1"/>
      <c r="H134" s="1"/>
      <c r="I134" s="1"/>
      <c r="J134" s="1"/>
      <c r="K134" s="1"/>
      <c r="L134" s="1"/>
      <c r="M134" s="1"/>
      <c r="N134" s="1"/>
      <c r="O134" s="1"/>
      <c r="P134" s="1"/>
      <c r="Q134" s="1"/>
    </row>
    <row r="135" spans="1:17" x14ac:dyDescent="0.35">
      <c r="A135" s="1"/>
      <c r="B135" s="1"/>
      <c r="C135" s="1"/>
      <c r="D135" s="1"/>
      <c r="E135" s="1"/>
      <c r="F135" s="1"/>
      <c r="G135" s="1"/>
      <c r="H135" s="1"/>
      <c r="I135" s="1"/>
      <c r="J135" s="1"/>
      <c r="K135" s="1"/>
      <c r="L135" s="1"/>
      <c r="M135" s="1"/>
      <c r="N135" s="1"/>
      <c r="O135" s="1"/>
      <c r="P135" s="1"/>
      <c r="Q135" s="1"/>
    </row>
    <row r="136" spans="1:17" x14ac:dyDescent="0.35">
      <c r="A136" s="1"/>
      <c r="B136" s="1"/>
      <c r="C136" s="1"/>
      <c r="D136" s="1"/>
      <c r="E136" s="1"/>
      <c r="F136" s="1"/>
      <c r="G136" s="1"/>
      <c r="H136" s="1"/>
      <c r="I136" s="1"/>
      <c r="J136" s="1"/>
      <c r="K136" s="1"/>
      <c r="L136" s="1"/>
      <c r="M136" s="1"/>
      <c r="N136" s="1"/>
      <c r="O136" s="1"/>
      <c r="P136" s="1"/>
      <c r="Q136" s="1"/>
    </row>
    <row r="137" spans="1:17" x14ac:dyDescent="0.35">
      <c r="A137" s="1"/>
      <c r="B137" s="1"/>
      <c r="C137" s="1"/>
      <c r="D137" s="1"/>
      <c r="E137" s="1"/>
      <c r="F137" s="1"/>
      <c r="G137" s="1"/>
      <c r="H137" s="1"/>
      <c r="I137" s="1"/>
      <c r="J137" s="1"/>
      <c r="K137" s="1"/>
      <c r="L137" s="1"/>
      <c r="M137" s="1"/>
      <c r="N137" s="1"/>
      <c r="O137" s="1"/>
      <c r="P137" s="1"/>
      <c r="Q137" s="1"/>
    </row>
    <row r="138" spans="1:17" x14ac:dyDescent="0.35">
      <c r="A138" s="1"/>
      <c r="B138" s="1"/>
      <c r="C138" s="1"/>
      <c r="D138" s="1"/>
      <c r="E138" s="1"/>
      <c r="F138" s="1"/>
      <c r="G138" s="1"/>
      <c r="H138" s="1"/>
      <c r="I138" s="1"/>
      <c r="J138" s="1"/>
      <c r="K138" s="1"/>
      <c r="L138" s="1"/>
      <c r="M138" s="1"/>
      <c r="N138" s="1"/>
      <c r="O138" s="1"/>
      <c r="P138" s="1"/>
      <c r="Q138" s="1"/>
    </row>
    <row r="139" spans="1:17" x14ac:dyDescent="0.35">
      <c r="A139" s="1"/>
      <c r="B139" s="1"/>
      <c r="C139" s="1"/>
      <c r="D139" s="1"/>
      <c r="E139" s="1"/>
      <c r="F139" s="1"/>
      <c r="G139" s="1"/>
      <c r="H139" s="1"/>
      <c r="I139" s="1"/>
      <c r="J139" s="1"/>
      <c r="K139" s="1"/>
      <c r="L139" s="1"/>
      <c r="M139" s="1"/>
      <c r="N139" s="1"/>
      <c r="O139" s="1"/>
      <c r="P139" s="1"/>
      <c r="Q139" s="1"/>
    </row>
    <row r="140" spans="1:17" x14ac:dyDescent="0.35">
      <c r="A140" s="1"/>
      <c r="B140" s="1"/>
      <c r="C140" s="1"/>
      <c r="D140" s="1"/>
      <c r="E140" s="1"/>
      <c r="F140" s="1"/>
      <c r="G140" s="1"/>
      <c r="H140" s="1"/>
      <c r="I140" s="1"/>
      <c r="J140" s="1"/>
      <c r="K140" s="1"/>
      <c r="L140" s="1"/>
      <c r="M140" s="1"/>
      <c r="N140" s="1"/>
      <c r="O140" s="1"/>
      <c r="P140" s="1"/>
      <c r="Q140" s="1"/>
    </row>
    <row r="141" spans="1:17" x14ac:dyDescent="0.35">
      <c r="A141" s="1"/>
      <c r="B141" s="1"/>
      <c r="C141" s="1"/>
      <c r="D141" s="1"/>
      <c r="E141" s="1"/>
      <c r="F141" s="1"/>
      <c r="G141" s="1"/>
      <c r="H141" s="1"/>
      <c r="I141" s="1"/>
      <c r="J141" s="1"/>
      <c r="K141" s="1"/>
      <c r="L141" s="1"/>
      <c r="M141" s="1"/>
      <c r="N141" s="1"/>
      <c r="O141" s="1"/>
      <c r="P141" s="1"/>
      <c r="Q141" s="1"/>
    </row>
    <row r="142" spans="1:17" x14ac:dyDescent="0.35">
      <c r="A142" s="1"/>
      <c r="B142" s="1"/>
      <c r="C142" s="1"/>
      <c r="D142" s="1"/>
      <c r="E142" s="1"/>
      <c r="F142" s="1"/>
      <c r="G142" s="1"/>
      <c r="H142" s="1"/>
      <c r="I142" s="1"/>
      <c r="J142" s="1"/>
      <c r="K142" s="1"/>
      <c r="L142" s="1"/>
      <c r="M142" s="1"/>
      <c r="N142" s="1"/>
      <c r="O142" s="1"/>
      <c r="P142" s="1"/>
      <c r="Q142" s="1"/>
    </row>
    <row r="143" spans="1:17" x14ac:dyDescent="0.35">
      <c r="A143" s="1"/>
      <c r="B143" s="1"/>
      <c r="C143" s="1"/>
      <c r="D143" s="1"/>
      <c r="E143" s="1"/>
      <c r="F143" s="1"/>
      <c r="G143" s="1"/>
      <c r="H143" s="1"/>
      <c r="I143" s="1"/>
      <c r="J143" s="1"/>
      <c r="K143" s="1"/>
      <c r="L143" s="1"/>
      <c r="M143" s="1"/>
      <c r="N143" s="1"/>
      <c r="O143" s="1"/>
      <c r="P143" s="1"/>
      <c r="Q143" s="1"/>
    </row>
    <row r="144" spans="1:17" x14ac:dyDescent="0.35">
      <c r="A144" s="1"/>
      <c r="B144" s="1"/>
      <c r="C144" s="1"/>
      <c r="D144" s="1"/>
      <c r="E144" s="1"/>
      <c r="F144" s="1"/>
      <c r="G144" s="1"/>
      <c r="H144" s="1"/>
      <c r="I144" s="1"/>
      <c r="J144" s="1"/>
      <c r="K144" s="1"/>
      <c r="L144" s="1"/>
      <c r="M144" s="1"/>
      <c r="N144" s="1"/>
      <c r="O144" s="1"/>
      <c r="P144" s="1"/>
      <c r="Q144" s="1"/>
    </row>
    <row r="145" spans="1:17" x14ac:dyDescent="0.35">
      <c r="A145" s="1"/>
      <c r="B145" s="1"/>
      <c r="C145" s="1"/>
      <c r="D145" s="1"/>
      <c r="E145" s="1"/>
      <c r="F145" s="1"/>
      <c r="G145" s="1"/>
      <c r="H145" s="1"/>
      <c r="I145" s="1"/>
      <c r="J145" s="1"/>
      <c r="K145" s="1"/>
      <c r="L145" s="1"/>
      <c r="M145" s="1"/>
      <c r="N145" s="1"/>
      <c r="O145" s="1"/>
      <c r="P145" s="1"/>
      <c r="Q145" s="1"/>
    </row>
    <row r="146" spans="1:17" x14ac:dyDescent="0.35">
      <c r="A146" s="1"/>
      <c r="B146" s="1"/>
      <c r="C146" s="1"/>
      <c r="D146" s="1"/>
      <c r="E146" s="1"/>
      <c r="F146" s="1"/>
      <c r="G146" s="1"/>
      <c r="H146" s="1"/>
      <c r="I146" s="1"/>
      <c r="J146" s="1"/>
      <c r="K146" s="1"/>
      <c r="L146" s="1"/>
      <c r="M146" s="1"/>
      <c r="N146" s="1"/>
      <c r="O146" s="1"/>
      <c r="P146" s="1"/>
      <c r="Q146" s="1"/>
    </row>
    <row r="147" spans="1:17" x14ac:dyDescent="0.35">
      <c r="A147" s="1"/>
      <c r="B147" s="1"/>
      <c r="C147" s="1"/>
      <c r="D147" s="1"/>
      <c r="E147" s="1"/>
      <c r="F147" s="1"/>
      <c r="G147" s="1"/>
      <c r="H147" s="1"/>
      <c r="I147" s="1"/>
      <c r="J147" s="1"/>
      <c r="K147" s="1"/>
      <c r="L147" s="1"/>
      <c r="M147" s="1"/>
      <c r="N147" s="1"/>
      <c r="O147" s="1"/>
      <c r="P147" s="1"/>
      <c r="Q147" s="1"/>
    </row>
    <row r="148" spans="1:17" x14ac:dyDescent="0.35">
      <c r="A148" s="1"/>
      <c r="B148" s="1"/>
      <c r="C148" s="1"/>
      <c r="D148" s="1"/>
      <c r="E148" s="1"/>
      <c r="F148" s="1"/>
      <c r="G148" s="1"/>
      <c r="H148" s="1"/>
      <c r="I148" s="1"/>
      <c r="J148" s="1"/>
      <c r="K148" s="1"/>
      <c r="L148" s="1"/>
      <c r="M148" s="1"/>
      <c r="N148" s="1"/>
      <c r="O148" s="1"/>
      <c r="P148" s="1"/>
      <c r="Q148" s="1"/>
    </row>
    <row r="149" spans="1:17" x14ac:dyDescent="0.35">
      <c r="A149" s="1"/>
      <c r="B149" s="1"/>
      <c r="C149" s="1"/>
      <c r="D149" s="1"/>
      <c r="E149" s="1"/>
      <c r="F149" s="1"/>
      <c r="G149" s="1"/>
      <c r="H149" s="1"/>
      <c r="I149" s="1"/>
      <c r="J149" s="1"/>
      <c r="K149" s="1"/>
      <c r="L149" s="1"/>
      <c r="M149" s="1"/>
      <c r="N149" s="1"/>
      <c r="O149" s="1"/>
      <c r="P149" s="1"/>
      <c r="Q149" s="1"/>
    </row>
    <row r="150" spans="1:17" x14ac:dyDescent="0.35">
      <c r="A150" s="1"/>
      <c r="B150" s="1"/>
      <c r="C150" s="1"/>
      <c r="D150" s="1"/>
      <c r="E150" s="1"/>
      <c r="F150" s="1"/>
      <c r="G150" s="1"/>
      <c r="H150" s="1"/>
      <c r="I150" s="1"/>
      <c r="J150" s="1"/>
      <c r="K150" s="1"/>
      <c r="L150" s="1"/>
      <c r="M150" s="1"/>
      <c r="N150" s="1"/>
      <c r="O150" s="1"/>
      <c r="P150" s="1"/>
      <c r="Q150" s="1"/>
    </row>
    <row r="151" spans="1:17" x14ac:dyDescent="0.35">
      <c r="A151" s="1"/>
      <c r="B151" s="1"/>
      <c r="C151" s="1"/>
      <c r="D151" s="1"/>
      <c r="E151" s="1"/>
      <c r="F151" s="1"/>
      <c r="G151" s="1"/>
      <c r="H151" s="1"/>
      <c r="I151" s="1"/>
      <c r="J151" s="1"/>
      <c r="K151" s="1"/>
      <c r="L151" s="1"/>
      <c r="M151" s="1"/>
      <c r="N151" s="1"/>
      <c r="O151" s="1"/>
      <c r="P151" s="1"/>
      <c r="Q151" s="1"/>
    </row>
    <row r="152" spans="1:17" x14ac:dyDescent="0.35">
      <c r="A152" s="1"/>
      <c r="B152" s="1"/>
      <c r="C152" s="1"/>
      <c r="D152" s="1"/>
      <c r="E152" s="1"/>
      <c r="F152" s="1"/>
      <c r="G152" s="1"/>
      <c r="H152" s="1"/>
      <c r="I152" s="1"/>
      <c r="J152" s="1"/>
      <c r="K152" s="1"/>
      <c r="L152" s="1"/>
      <c r="M152" s="1"/>
      <c r="N152" s="1"/>
      <c r="O152" s="1"/>
      <c r="P152" s="1"/>
      <c r="Q152" s="1"/>
    </row>
    <row r="153" spans="1:17" x14ac:dyDescent="0.35">
      <c r="A153" s="1"/>
      <c r="B153" s="1"/>
      <c r="C153" s="1"/>
      <c r="D153" s="1"/>
      <c r="E153" s="1"/>
      <c r="F153" s="1"/>
      <c r="G153" s="1"/>
      <c r="H153" s="1"/>
      <c r="I153" s="1"/>
      <c r="J153" s="1"/>
      <c r="K153" s="1"/>
      <c r="L153" s="1"/>
      <c r="M153" s="1"/>
      <c r="N153" s="1"/>
      <c r="O153" s="1"/>
      <c r="P153" s="1"/>
      <c r="Q153" s="1"/>
    </row>
    <row r="154" spans="1:17" x14ac:dyDescent="0.35">
      <c r="A154" s="1"/>
      <c r="B154" s="1"/>
      <c r="C154" s="1"/>
      <c r="D154" s="1"/>
      <c r="E154" s="1"/>
      <c r="F154" s="1"/>
      <c r="G154" s="1"/>
      <c r="H154" s="1"/>
      <c r="I154" s="1"/>
      <c r="J154" s="1"/>
      <c r="K154" s="1"/>
      <c r="L154" s="1"/>
      <c r="M154" s="1"/>
      <c r="N154" s="1"/>
      <c r="O154" s="1"/>
      <c r="P154" s="1"/>
      <c r="Q154" s="1"/>
    </row>
    <row r="155" spans="1:17" x14ac:dyDescent="0.35">
      <c r="A155" s="1"/>
      <c r="B155" s="1"/>
      <c r="C155" s="1"/>
      <c r="D155" s="1"/>
      <c r="E155" s="1"/>
      <c r="F155" s="1"/>
      <c r="G155" s="1"/>
      <c r="H155" s="1"/>
      <c r="I155" s="1"/>
      <c r="J155" s="1"/>
      <c r="K155" s="1"/>
      <c r="L155" s="1"/>
      <c r="M155" s="1"/>
      <c r="N155" s="1"/>
      <c r="O155" s="1"/>
      <c r="P155" s="1"/>
      <c r="Q155" s="1"/>
    </row>
    <row r="156" spans="1:17" x14ac:dyDescent="0.35">
      <c r="A156" s="1"/>
      <c r="B156" s="1"/>
      <c r="C156" s="1"/>
      <c r="D156" s="1"/>
      <c r="E156" s="1"/>
      <c r="F156" s="1"/>
      <c r="G156" s="1"/>
      <c r="H156" s="1"/>
      <c r="I156" s="1"/>
      <c r="J156" s="1"/>
      <c r="K156" s="1"/>
      <c r="L156" s="1"/>
      <c r="M156" s="1"/>
      <c r="N156" s="1"/>
      <c r="O156" s="1"/>
      <c r="P156" s="1"/>
      <c r="Q156" s="1"/>
    </row>
    <row r="157" spans="1:17" x14ac:dyDescent="0.35">
      <c r="A157" s="1"/>
      <c r="B157" s="1"/>
      <c r="C157" s="1"/>
      <c r="D157" s="1"/>
      <c r="E157" s="1"/>
      <c r="F157" s="1"/>
      <c r="G157" s="1"/>
      <c r="H157" s="1"/>
      <c r="I157" s="1"/>
      <c r="J157" s="1"/>
      <c r="K157" s="1"/>
      <c r="L157" s="1"/>
      <c r="M157" s="1"/>
      <c r="N157" s="1"/>
      <c r="O157" s="1"/>
      <c r="P157" s="1"/>
      <c r="Q157" s="1"/>
    </row>
    <row r="158" spans="1:17" x14ac:dyDescent="0.35">
      <c r="A158" s="1"/>
      <c r="B158" s="1"/>
      <c r="C158" s="1"/>
      <c r="D158" s="1"/>
      <c r="E158" s="1"/>
      <c r="F158" s="1"/>
      <c r="G158" s="1"/>
      <c r="H158" s="1"/>
      <c r="I158" s="1"/>
      <c r="J158" s="1"/>
      <c r="K158" s="1"/>
      <c r="L158" s="1"/>
      <c r="M158" s="1"/>
      <c r="N158" s="1"/>
      <c r="O158" s="1"/>
      <c r="P158" s="1"/>
      <c r="Q158" s="1"/>
    </row>
    <row r="159" spans="1:17" x14ac:dyDescent="0.35">
      <c r="A159" s="1"/>
      <c r="B159" s="1"/>
      <c r="C159" s="1"/>
      <c r="D159" s="1"/>
      <c r="E159" s="1"/>
      <c r="F159" s="1"/>
      <c r="G159" s="1"/>
      <c r="H159" s="1"/>
      <c r="I159" s="1"/>
      <c r="J159" s="1"/>
      <c r="K159" s="1"/>
      <c r="L159" s="1"/>
      <c r="M159" s="1"/>
      <c r="N159" s="1"/>
      <c r="O159" s="1"/>
      <c r="P159" s="1"/>
      <c r="Q159" s="1"/>
    </row>
    <row r="160" spans="1:17" x14ac:dyDescent="0.35">
      <c r="A160" s="1"/>
      <c r="B160" s="1"/>
      <c r="C160" s="1"/>
      <c r="D160" s="1"/>
      <c r="E160" s="1"/>
      <c r="F160" s="1"/>
      <c r="G160" s="1"/>
      <c r="H160" s="1"/>
      <c r="I160" s="1"/>
      <c r="J160" s="1"/>
      <c r="K160" s="1"/>
      <c r="L160" s="1"/>
      <c r="M160" s="1"/>
      <c r="N160" s="1"/>
      <c r="O160" s="1"/>
      <c r="P160" s="1"/>
      <c r="Q160" s="1"/>
    </row>
    <row r="161" spans="1:17" x14ac:dyDescent="0.35">
      <c r="A161" s="1"/>
      <c r="B161" s="1"/>
      <c r="C161" s="1"/>
      <c r="D161" s="1"/>
      <c r="E161" s="1"/>
      <c r="F161" s="1"/>
      <c r="G161" s="1"/>
      <c r="H161" s="1"/>
      <c r="I161" s="1"/>
      <c r="J161" s="1"/>
      <c r="K161" s="1"/>
      <c r="L161" s="1"/>
      <c r="M161" s="1"/>
      <c r="N161" s="1"/>
      <c r="O161" s="1"/>
      <c r="P161" s="1"/>
      <c r="Q161" s="1"/>
    </row>
    <row r="162" spans="1:17" x14ac:dyDescent="0.35">
      <c r="A162" s="1"/>
      <c r="B162" s="1"/>
      <c r="C162" s="1"/>
      <c r="D162" s="1"/>
      <c r="E162" s="1"/>
      <c r="F162" s="1"/>
      <c r="G162" s="1"/>
      <c r="H162" s="1"/>
      <c r="I162" s="1"/>
      <c r="J162" s="1"/>
      <c r="K162" s="1"/>
      <c r="L162" s="1"/>
      <c r="M162" s="1"/>
      <c r="N162" s="1"/>
      <c r="O162" s="1"/>
      <c r="P162" s="1"/>
      <c r="Q162" s="1"/>
    </row>
    <row r="163" spans="1:17" x14ac:dyDescent="0.35">
      <c r="A163" s="1"/>
      <c r="B163" s="1"/>
      <c r="C163" s="1"/>
      <c r="D163" s="1"/>
      <c r="E163" s="1"/>
      <c r="F163" s="1"/>
      <c r="G163" s="1"/>
      <c r="H163" s="1"/>
      <c r="I163" s="1"/>
      <c r="J163" s="1"/>
      <c r="K163" s="1"/>
      <c r="L163" s="1"/>
      <c r="M163" s="1"/>
      <c r="N163" s="1"/>
      <c r="O163" s="1"/>
      <c r="P163" s="1"/>
      <c r="Q163" s="1"/>
    </row>
    <row r="164" spans="1:17" x14ac:dyDescent="0.35">
      <c r="A164" s="1"/>
      <c r="B164" s="1"/>
      <c r="C164" s="1"/>
      <c r="D164" s="1"/>
      <c r="E164" s="1"/>
      <c r="F164" s="1"/>
      <c r="G164" s="1"/>
      <c r="H164" s="1"/>
      <c r="I164" s="1"/>
      <c r="J164" s="1"/>
      <c r="K164" s="1"/>
      <c r="L164" s="1"/>
      <c r="M164" s="1"/>
      <c r="N164" s="1"/>
      <c r="O164" s="1"/>
      <c r="P164" s="1"/>
      <c r="Q164" s="1"/>
    </row>
    <row r="165" spans="1:17" x14ac:dyDescent="0.35">
      <c r="A165" s="1"/>
      <c r="B165" s="1"/>
      <c r="C165" s="1"/>
      <c r="D165" s="1"/>
      <c r="E165" s="1"/>
      <c r="F165" s="1"/>
      <c r="G165" s="1"/>
      <c r="H165" s="1"/>
      <c r="I165" s="1"/>
      <c r="J165" s="1"/>
      <c r="K165" s="1"/>
      <c r="L165" s="1"/>
      <c r="M165" s="1"/>
      <c r="N165" s="1"/>
      <c r="O165" s="1"/>
      <c r="P165" s="1"/>
      <c r="Q165" s="1"/>
    </row>
    <row r="166" spans="1:17" x14ac:dyDescent="0.35">
      <c r="A166" s="1"/>
      <c r="B166" s="1"/>
      <c r="C166" s="1"/>
      <c r="D166" s="1"/>
      <c r="E166" s="1"/>
      <c r="F166" s="1"/>
      <c r="G166" s="1"/>
      <c r="H166" s="1"/>
      <c r="I166" s="1"/>
      <c r="J166" s="1"/>
      <c r="K166" s="1"/>
      <c r="L166" s="1"/>
      <c r="M166" s="1"/>
      <c r="N166" s="1"/>
      <c r="O166" s="1"/>
      <c r="P166" s="1"/>
      <c r="Q166" s="1"/>
    </row>
    <row r="167" spans="1:17" x14ac:dyDescent="0.35">
      <c r="A167" s="1"/>
      <c r="B167" s="1"/>
      <c r="C167" s="1"/>
      <c r="D167" s="1"/>
      <c r="E167" s="1"/>
      <c r="F167" s="1"/>
      <c r="G167" s="1"/>
      <c r="H167" s="1"/>
      <c r="I167" s="1"/>
      <c r="J167" s="1"/>
      <c r="K167" s="1"/>
      <c r="L167" s="1"/>
      <c r="M167" s="1"/>
      <c r="N167" s="1"/>
      <c r="O167" s="1"/>
      <c r="P167" s="1"/>
      <c r="Q167" s="1"/>
    </row>
    <row r="168" spans="1:17" x14ac:dyDescent="0.35">
      <c r="A168" s="1"/>
      <c r="B168" s="1"/>
      <c r="C168" s="1"/>
      <c r="D168" s="1"/>
      <c r="E168" s="1"/>
      <c r="F168" s="1"/>
      <c r="G168" s="1"/>
      <c r="H168" s="1"/>
      <c r="I168" s="1"/>
      <c r="J168" s="1"/>
      <c r="K168" s="1"/>
      <c r="L168" s="1"/>
      <c r="M168" s="1"/>
      <c r="N168" s="1"/>
      <c r="O168" s="1"/>
      <c r="P168" s="1"/>
      <c r="Q168" s="1"/>
    </row>
    <row r="169" spans="1:17" x14ac:dyDescent="0.35">
      <c r="A169" s="1"/>
      <c r="B169" s="1"/>
      <c r="C169" s="1"/>
      <c r="D169" s="1"/>
      <c r="E169" s="1"/>
      <c r="F169" s="1"/>
      <c r="G169" s="1"/>
      <c r="H169" s="1"/>
      <c r="I169" s="1"/>
      <c r="J169" s="1"/>
      <c r="K169" s="1"/>
      <c r="L169" s="1"/>
      <c r="M169" s="1"/>
      <c r="N169" s="1"/>
      <c r="O169" s="1"/>
      <c r="P169" s="1"/>
      <c r="Q169" s="1"/>
    </row>
    <row r="170" spans="1:17" x14ac:dyDescent="0.35">
      <c r="A170" s="1"/>
      <c r="B170" s="1"/>
      <c r="C170" s="1"/>
      <c r="D170" s="1"/>
      <c r="E170" s="1"/>
      <c r="F170" s="1"/>
      <c r="G170" s="1"/>
      <c r="H170" s="1"/>
      <c r="I170" s="1"/>
      <c r="J170" s="1"/>
      <c r="K170" s="1"/>
      <c r="L170" s="1"/>
      <c r="M170" s="1"/>
      <c r="N170" s="1"/>
      <c r="O170" s="1"/>
      <c r="P170" s="1"/>
      <c r="Q170" s="1"/>
    </row>
    <row r="171" spans="1:17" x14ac:dyDescent="0.35">
      <c r="A171" s="1"/>
      <c r="B171" s="1"/>
      <c r="C171" s="1"/>
      <c r="D171" s="1"/>
      <c r="E171" s="1"/>
      <c r="F171" s="1"/>
      <c r="G171" s="1"/>
      <c r="H171" s="1"/>
      <c r="I171" s="1"/>
      <c r="J171" s="1"/>
      <c r="K171" s="1"/>
      <c r="L171" s="1"/>
      <c r="M171" s="1"/>
      <c r="N171" s="1"/>
      <c r="O171" s="1"/>
      <c r="P171" s="1"/>
      <c r="Q171" s="1"/>
    </row>
    <row r="172" spans="1:17" x14ac:dyDescent="0.35">
      <c r="A172" s="1"/>
      <c r="B172" s="1"/>
      <c r="C172" s="1"/>
      <c r="D172" s="1"/>
      <c r="E172" s="1"/>
      <c r="F172" s="1"/>
      <c r="G172" s="1"/>
      <c r="H172" s="1"/>
      <c r="I172" s="1"/>
      <c r="J172" s="1"/>
      <c r="K172" s="1"/>
      <c r="L172" s="1"/>
      <c r="M172" s="1"/>
      <c r="N172" s="1"/>
      <c r="O172" s="1"/>
      <c r="P172" s="1"/>
      <c r="Q172" s="1"/>
    </row>
    <row r="173" spans="1:17" x14ac:dyDescent="0.35">
      <c r="A173" s="1"/>
      <c r="B173" s="1"/>
      <c r="C173" s="1"/>
      <c r="D173" s="1"/>
      <c r="E173" s="1"/>
      <c r="F173" s="1"/>
      <c r="G173" s="1"/>
      <c r="H173" s="1"/>
      <c r="I173" s="1"/>
      <c r="J173" s="1"/>
      <c r="K173" s="1"/>
      <c r="L173" s="1"/>
      <c r="M173" s="1"/>
      <c r="N173" s="1"/>
      <c r="O173" s="1"/>
      <c r="P173" s="1"/>
      <c r="Q173" s="1"/>
    </row>
    <row r="174" spans="1:17" x14ac:dyDescent="0.35">
      <c r="A174" s="1"/>
      <c r="B174" s="1"/>
      <c r="C174" s="1"/>
      <c r="D174" s="1"/>
      <c r="E174" s="1"/>
      <c r="F174" s="1"/>
      <c r="G174" s="1"/>
      <c r="H174" s="1"/>
      <c r="I174" s="1"/>
      <c r="J174" s="1"/>
      <c r="K174" s="1"/>
      <c r="L174" s="1"/>
      <c r="M174" s="1"/>
      <c r="N174" s="1"/>
      <c r="O174" s="1"/>
      <c r="P174" s="1"/>
      <c r="Q174" s="1"/>
    </row>
    <row r="175" spans="1:17" x14ac:dyDescent="0.35">
      <c r="A175" s="1"/>
      <c r="B175" s="1"/>
      <c r="C175" s="1"/>
      <c r="D175" s="1"/>
      <c r="E175" s="1"/>
      <c r="F175" s="1"/>
      <c r="G175" s="1"/>
      <c r="H175" s="1"/>
      <c r="I175" s="1"/>
      <c r="J175" s="1"/>
      <c r="K175" s="1"/>
      <c r="L175" s="1"/>
      <c r="M175" s="1"/>
      <c r="N175" s="1"/>
      <c r="O175" s="1"/>
      <c r="P175" s="1"/>
      <c r="Q175" s="1"/>
    </row>
    <row r="176" spans="1:17" x14ac:dyDescent="0.35">
      <c r="A176" s="1"/>
      <c r="B176" s="1"/>
      <c r="C176" s="1"/>
      <c r="D176" s="1"/>
      <c r="E176" s="1"/>
      <c r="F176" s="1"/>
      <c r="G176" s="1"/>
      <c r="H176" s="1"/>
      <c r="I176" s="1"/>
      <c r="J176" s="1"/>
      <c r="K176" s="1"/>
      <c r="L176" s="1"/>
      <c r="M176" s="1"/>
      <c r="N176" s="1"/>
      <c r="O176" s="1"/>
      <c r="P176" s="1"/>
      <c r="Q176" s="1"/>
    </row>
    <row r="177" spans="1:17" x14ac:dyDescent="0.35">
      <c r="A177" s="1"/>
      <c r="B177" s="1"/>
      <c r="C177" s="1"/>
      <c r="D177" s="1"/>
      <c r="E177" s="1"/>
      <c r="F177" s="1"/>
      <c r="G177" s="1"/>
      <c r="H177" s="1"/>
      <c r="I177" s="1"/>
      <c r="J177" s="1"/>
      <c r="K177" s="1"/>
      <c r="L177" s="1"/>
      <c r="M177" s="1"/>
      <c r="N177" s="1"/>
      <c r="O177" s="1"/>
      <c r="P177" s="1"/>
      <c r="Q177" s="1"/>
    </row>
    <row r="178" spans="1:17" x14ac:dyDescent="0.35">
      <c r="A178" s="1"/>
      <c r="B178" s="1"/>
      <c r="C178" s="1"/>
      <c r="D178" s="1"/>
      <c r="E178" s="1"/>
      <c r="F178" s="1"/>
      <c r="G178" s="1"/>
      <c r="H178" s="1"/>
      <c r="I178" s="1"/>
      <c r="J178" s="1"/>
      <c r="K178" s="1"/>
      <c r="L178" s="1"/>
      <c r="M178" s="1"/>
      <c r="N178" s="1"/>
      <c r="O178" s="1"/>
      <c r="P178" s="1"/>
      <c r="Q178" s="1"/>
    </row>
    <row r="179" spans="1:17" x14ac:dyDescent="0.35">
      <c r="A179" s="1"/>
      <c r="B179" s="1"/>
      <c r="C179" s="1"/>
      <c r="D179" s="1"/>
      <c r="E179" s="1"/>
      <c r="F179" s="1"/>
      <c r="G179" s="1"/>
      <c r="H179" s="1"/>
      <c r="I179" s="1"/>
      <c r="J179" s="1"/>
      <c r="K179" s="1"/>
      <c r="L179" s="1"/>
      <c r="M179" s="1"/>
      <c r="N179" s="1"/>
      <c r="O179" s="1"/>
      <c r="P179" s="1"/>
      <c r="Q179" s="1"/>
    </row>
    <row r="180" spans="1:17" x14ac:dyDescent="0.35">
      <c r="A180" s="1"/>
      <c r="B180" s="1"/>
      <c r="C180" s="1"/>
      <c r="D180" s="1"/>
      <c r="E180" s="1"/>
      <c r="F180" s="1"/>
      <c r="G180" s="1"/>
      <c r="H180" s="1"/>
      <c r="I180" s="1"/>
      <c r="J180" s="1"/>
      <c r="K180" s="1"/>
      <c r="L180" s="1"/>
      <c r="M180" s="1"/>
      <c r="N180" s="1"/>
      <c r="O180" s="1"/>
      <c r="P180" s="1"/>
      <c r="Q180" s="1"/>
    </row>
    <row r="181" spans="1:17" x14ac:dyDescent="0.35">
      <c r="A181" s="1"/>
      <c r="B181" s="1"/>
      <c r="C181" s="1"/>
      <c r="D181" s="1"/>
      <c r="E181" s="1"/>
      <c r="F181" s="1"/>
      <c r="G181" s="1"/>
      <c r="H181" s="1"/>
      <c r="I181" s="1"/>
      <c r="J181" s="1"/>
      <c r="K181" s="1"/>
      <c r="L181" s="1"/>
      <c r="M181" s="1"/>
      <c r="N181" s="1"/>
      <c r="O181" s="1"/>
      <c r="P181" s="1"/>
      <c r="Q181" s="1"/>
    </row>
    <row r="182" spans="1:17" x14ac:dyDescent="0.35">
      <c r="A182" s="1"/>
      <c r="B182" s="1"/>
      <c r="C182" s="1"/>
      <c r="D182" s="1"/>
      <c r="E182" s="1"/>
      <c r="F182" s="1"/>
      <c r="G182" s="1"/>
      <c r="H182" s="1"/>
      <c r="I182" s="1"/>
      <c r="J182" s="1"/>
      <c r="K182" s="1"/>
      <c r="L182" s="1"/>
      <c r="M182" s="1"/>
      <c r="N182" s="1"/>
      <c r="O182" s="1"/>
      <c r="P182" s="1"/>
      <c r="Q182" s="1"/>
    </row>
    <row r="183" spans="1:17" x14ac:dyDescent="0.35">
      <c r="A183" s="1"/>
      <c r="B183" s="1"/>
      <c r="C183" s="1"/>
      <c r="D183" s="1"/>
      <c r="E183" s="1"/>
      <c r="F183" s="1"/>
      <c r="G183" s="1"/>
      <c r="H183" s="1"/>
      <c r="I183" s="1"/>
      <c r="J183" s="1"/>
      <c r="K183" s="1"/>
      <c r="L183" s="1"/>
      <c r="M183" s="1"/>
      <c r="N183" s="1"/>
      <c r="O183" s="1"/>
      <c r="P183" s="1"/>
      <c r="Q183" s="1"/>
    </row>
    <row r="184" spans="1:17" x14ac:dyDescent="0.35">
      <c r="A184" s="1"/>
      <c r="B184" s="1"/>
      <c r="C184" s="1"/>
      <c r="D184" s="1"/>
      <c r="E184" s="1"/>
      <c r="F184" s="1"/>
      <c r="G184" s="1"/>
      <c r="H184" s="1"/>
      <c r="I184" s="1"/>
      <c r="J184" s="1"/>
      <c r="K184" s="1"/>
      <c r="L184" s="1"/>
      <c r="M184" s="1"/>
      <c r="N184" s="1"/>
      <c r="O184" s="1"/>
      <c r="P184" s="1"/>
      <c r="Q184" s="1"/>
    </row>
    <row r="185" spans="1:17" x14ac:dyDescent="0.35">
      <c r="A185" s="1"/>
      <c r="B185" s="1"/>
      <c r="C185" s="1"/>
      <c r="D185" s="1"/>
      <c r="E185" s="1"/>
      <c r="F185" s="1"/>
      <c r="G185" s="1"/>
      <c r="H185" s="1"/>
      <c r="I185" s="1"/>
      <c r="J185" s="1"/>
      <c r="K185" s="1"/>
      <c r="L185" s="1"/>
      <c r="M185" s="1"/>
      <c r="N185" s="1"/>
      <c r="O185" s="1"/>
      <c r="P185" s="1"/>
      <c r="Q185" s="1"/>
    </row>
    <row r="186" spans="1:17" x14ac:dyDescent="0.35">
      <c r="A186" s="1"/>
      <c r="B186" s="1"/>
      <c r="C186" s="1"/>
      <c r="D186" s="1"/>
      <c r="E186" s="1"/>
      <c r="F186" s="1"/>
      <c r="G186" s="1"/>
      <c r="H186" s="1"/>
      <c r="I186" s="1"/>
      <c r="J186" s="1"/>
      <c r="K186" s="1"/>
      <c r="L186" s="1"/>
      <c r="M186" s="1"/>
      <c r="N186" s="1"/>
      <c r="O186" s="1"/>
      <c r="P186" s="1"/>
      <c r="Q186" s="1"/>
    </row>
    <row r="187" spans="1:17" x14ac:dyDescent="0.35">
      <c r="A187" s="1"/>
      <c r="B187" s="1"/>
      <c r="C187" s="1"/>
      <c r="D187" s="1"/>
      <c r="E187" s="1"/>
      <c r="F187" s="1"/>
      <c r="G187" s="1"/>
      <c r="H187" s="1"/>
      <c r="I187" s="1"/>
      <c r="J187" s="1"/>
      <c r="K187" s="1"/>
      <c r="L187" s="1"/>
      <c r="M187" s="1"/>
      <c r="N187" s="1"/>
      <c r="O187" s="1"/>
      <c r="P187" s="1"/>
      <c r="Q187" s="1"/>
    </row>
    <row r="188" spans="1:17" x14ac:dyDescent="0.35">
      <c r="A188" s="1"/>
      <c r="B188" s="1"/>
      <c r="C188" s="1"/>
      <c r="D188" s="1"/>
      <c r="E188" s="1"/>
      <c r="F188" s="1"/>
      <c r="G188" s="1"/>
      <c r="H188" s="1"/>
      <c r="I188" s="1"/>
      <c r="J188" s="1"/>
      <c r="K188" s="1"/>
      <c r="L188" s="1"/>
      <c r="M188" s="1"/>
      <c r="N188" s="1"/>
      <c r="O188" s="1"/>
      <c r="P188" s="1"/>
      <c r="Q188" s="1"/>
    </row>
    <row r="189" spans="1:17" x14ac:dyDescent="0.35">
      <c r="A189" s="1"/>
      <c r="B189" s="1"/>
      <c r="C189" s="1"/>
      <c r="D189" s="1"/>
      <c r="E189" s="1"/>
      <c r="F189" s="1"/>
      <c r="G189" s="1"/>
      <c r="H189" s="1"/>
      <c r="I189" s="1"/>
      <c r="J189" s="1"/>
      <c r="K189" s="1"/>
      <c r="L189" s="1"/>
      <c r="M189" s="1"/>
      <c r="N189" s="1"/>
      <c r="O189" s="1"/>
      <c r="P189" s="1"/>
      <c r="Q189" s="1"/>
    </row>
    <row r="190" spans="1:17" x14ac:dyDescent="0.35">
      <c r="A190" s="1"/>
      <c r="B190" s="1"/>
      <c r="C190" s="1"/>
      <c r="D190" s="1"/>
      <c r="E190" s="1"/>
      <c r="F190" s="1"/>
      <c r="G190" s="1"/>
      <c r="H190" s="1"/>
      <c r="I190" s="1"/>
      <c r="J190" s="1"/>
      <c r="K190" s="1"/>
      <c r="L190" s="1"/>
      <c r="M190" s="1"/>
      <c r="N190" s="1"/>
      <c r="O190" s="1"/>
      <c r="P190" s="1"/>
      <c r="Q190" s="1"/>
    </row>
    <row r="191" spans="1:17" x14ac:dyDescent="0.35">
      <c r="A191" s="1"/>
      <c r="B191" s="1"/>
      <c r="C191" s="1"/>
      <c r="D191" s="1"/>
      <c r="E191" s="1"/>
      <c r="F191" s="1"/>
      <c r="G191" s="1"/>
      <c r="H191" s="1"/>
      <c r="I191" s="1"/>
      <c r="J191" s="1"/>
      <c r="K191" s="1"/>
      <c r="L191" s="1"/>
      <c r="M191" s="1"/>
      <c r="N191" s="1"/>
      <c r="O191" s="1"/>
      <c r="P191" s="1"/>
      <c r="Q191" s="1"/>
    </row>
    <row r="192" spans="1:17" x14ac:dyDescent="0.35">
      <c r="A192" s="1"/>
      <c r="B192" s="1"/>
      <c r="C192" s="1"/>
      <c r="D192" s="1"/>
      <c r="E192" s="1"/>
      <c r="F192" s="1"/>
      <c r="G192" s="1"/>
      <c r="H192" s="1"/>
      <c r="I192" s="1"/>
      <c r="J192" s="1"/>
      <c r="K192" s="1"/>
      <c r="L192" s="1"/>
      <c r="M192" s="1"/>
      <c r="N192" s="1"/>
      <c r="O192" s="1"/>
      <c r="P192" s="1"/>
      <c r="Q192" s="1"/>
    </row>
    <row r="193" spans="1:17" x14ac:dyDescent="0.35">
      <c r="A193" s="1"/>
      <c r="B193" s="1"/>
      <c r="C193" s="1"/>
      <c r="D193" s="1"/>
      <c r="E193" s="1"/>
      <c r="F193" s="1"/>
      <c r="G193" s="1"/>
      <c r="H193" s="1"/>
      <c r="I193" s="1"/>
      <c r="J193" s="1"/>
      <c r="K193" s="1"/>
      <c r="L193" s="1"/>
      <c r="M193" s="1"/>
      <c r="N193" s="1"/>
      <c r="O193" s="1"/>
      <c r="P193" s="1"/>
      <c r="Q193" s="1"/>
    </row>
    <row r="194" spans="1:17" x14ac:dyDescent="0.35">
      <c r="A194" s="1"/>
      <c r="B194" s="1"/>
      <c r="C194" s="1"/>
      <c r="D194" s="1"/>
      <c r="E194" s="1"/>
      <c r="F194" s="1"/>
      <c r="G194" s="1"/>
      <c r="H194" s="1"/>
      <c r="I194" s="1"/>
      <c r="J194" s="1"/>
      <c r="K194" s="1"/>
      <c r="L194" s="1"/>
      <c r="M194" s="1"/>
      <c r="N194" s="1"/>
      <c r="O194" s="1"/>
      <c r="P194" s="1"/>
      <c r="Q194" s="1"/>
    </row>
    <row r="195" spans="1:17" x14ac:dyDescent="0.35">
      <c r="A195" s="1"/>
      <c r="B195" s="1"/>
      <c r="C195" s="1"/>
      <c r="D195" s="1"/>
      <c r="E195" s="1"/>
      <c r="F195" s="1"/>
      <c r="G195" s="1"/>
      <c r="H195" s="1"/>
      <c r="I195" s="1"/>
      <c r="J195" s="1"/>
      <c r="K195" s="1"/>
      <c r="L195" s="1"/>
      <c r="M195" s="1"/>
      <c r="N195" s="1"/>
      <c r="O195" s="1"/>
      <c r="P195" s="1"/>
      <c r="Q195" s="1"/>
    </row>
    <row r="196" spans="1:17" x14ac:dyDescent="0.35">
      <c r="A196" s="1"/>
      <c r="B196" s="1"/>
      <c r="C196" s="1"/>
      <c r="D196" s="1"/>
      <c r="E196" s="1"/>
      <c r="F196" s="1"/>
      <c r="G196" s="1"/>
      <c r="H196" s="1"/>
      <c r="I196" s="1"/>
      <c r="J196" s="1"/>
      <c r="K196" s="1"/>
      <c r="L196" s="1"/>
      <c r="M196" s="1"/>
      <c r="N196" s="1"/>
      <c r="O196" s="1"/>
      <c r="P196" s="1"/>
      <c r="Q196" s="1"/>
    </row>
    <row r="197" spans="1:17" x14ac:dyDescent="0.35">
      <c r="A197" s="1"/>
      <c r="B197" s="37"/>
      <c r="C197" s="43" t="str">
        <f>C193&amp;" Subtotal"</f>
        <v xml:space="preserve"> Subtotal</v>
      </c>
      <c r="D197" s="31"/>
      <c r="E197" s="32"/>
      <c r="F197" s="44"/>
      <c r="G197" s="45">
        <f>SUBTOTAL(9,G16:G196)</f>
        <v>0</v>
      </c>
      <c r="H197" s="44"/>
      <c r="I197" s="45">
        <f>SUBTOTAL(9,I16:I196)</f>
        <v>0</v>
      </c>
      <c r="J197" s="34"/>
      <c r="K197" s="43">
        <f>SUBTOTAL(9,K179:K196)</f>
        <v>0</v>
      </c>
      <c r="L197" s="44"/>
      <c r="M197" s="45">
        <f>SUBTOTAL(9,M16:M196)</f>
        <v>0</v>
      </c>
      <c r="N197" s="44"/>
      <c r="O197" s="45">
        <f>SUBTOTAL(9,O16:O196)</f>
        <v>0</v>
      </c>
      <c r="P197" s="36"/>
      <c r="Q197" s="45">
        <f>SUBTOTAL(9,Q194:Q196)</f>
        <v>0</v>
      </c>
    </row>
    <row r="198" spans="1:17" x14ac:dyDescent="0.35">
      <c r="A198" s="1"/>
      <c r="B198" s="37"/>
      <c r="C198" s="38"/>
      <c r="D198" s="31"/>
      <c r="E198" s="32"/>
      <c r="F198" s="34"/>
      <c r="G198" s="33"/>
      <c r="H198" s="34"/>
      <c r="I198" s="33"/>
      <c r="J198" s="34"/>
      <c r="K198" s="34"/>
      <c r="L198" s="34"/>
      <c r="M198" s="33"/>
      <c r="N198" s="34"/>
      <c r="O198" s="35"/>
      <c r="P198" s="36"/>
      <c r="Q198" s="35"/>
    </row>
    <row r="199" spans="1:17" x14ac:dyDescent="0.35">
      <c r="A199" s="1"/>
      <c r="B199" s="63"/>
      <c r="C199" s="64"/>
      <c r="D199" s="65"/>
      <c r="E199" s="66"/>
      <c r="F199" s="67" t="s">
        <v>25</v>
      </c>
      <c r="G199" s="68">
        <f>SUBTOTAL(9,G16:G198)</f>
        <v>0</v>
      </c>
      <c r="H199" s="67" t="s">
        <v>25</v>
      </c>
      <c r="I199" s="68">
        <f>SUBTOTAL(9,I16:I198)</f>
        <v>0</v>
      </c>
      <c r="J199" s="67" t="s">
        <v>25</v>
      </c>
      <c r="K199" s="69">
        <f>SUBTOTAL(9,K161:K198)</f>
        <v>0</v>
      </c>
      <c r="L199" s="67" t="s">
        <v>25</v>
      </c>
      <c r="M199" s="68">
        <f>SUBTOTAL(9,M16:M198)</f>
        <v>0</v>
      </c>
      <c r="N199" s="67" t="s">
        <v>25</v>
      </c>
      <c r="O199" s="68">
        <f>SUBTOTAL(9,O16:O198)</f>
        <v>0</v>
      </c>
      <c r="P199" s="70"/>
      <c r="Q199" s="68">
        <f>SUBTOTAL(9,Q16:Q198)</f>
        <v>0</v>
      </c>
    </row>
    <row r="200" spans="1:17" x14ac:dyDescent="0.35">
      <c r="A200" s="1"/>
      <c r="B200" s="1"/>
      <c r="C200" s="1"/>
      <c r="D200" s="1"/>
      <c r="E200" s="1"/>
      <c r="F200" s="1"/>
      <c r="G200" s="1"/>
      <c r="H200" s="1"/>
      <c r="I200" s="1"/>
      <c r="J200" s="1"/>
      <c r="K200" s="1"/>
      <c r="L200" s="1"/>
      <c r="M200" s="1"/>
      <c r="N200" s="1"/>
      <c r="O200" s="1"/>
      <c r="P200" s="1"/>
      <c r="Q200" s="78" t="s">
        <v>21404</v>
      </c>
    </row>
    <row r="201" spans="1:17" x14ac:dyDescent="0.35">
      <c r="A201" s="1"/>
      <c r="B201" s="1"/>
      <c r="C201" s="78" t="s">
        <v>21592</v>
      </c>
      <c r="D201" s="1"/>
      <c r="E201" s="1"/>
      <c r="F201" s="1"/>
      <c r="G201" s="1"/>
      <c r="H201" s="1"/>
      <c r="I201" s="1"/>
      <c r="J201" s="1"/>
      <c r="K201" s="1"/>
      <c r="L201" s="1"/>
      <c r="M201" s="1"/>
      <c r="N201" s="1"/>
      <c r="O201" s="1"/>
      <c r="P201" s="1"/>
      <c r="Q201" s="1"/>
    </row>
    <row r="202" spans="1:17" x14ac:dyDescent="0.35">
      <c r="A202" s="1"/>
      <c r="B202" s="1"/>
      <c r="C202" s="1"/>
      <c r="D202" s="1"/>
      <c r="E202" s="1"/>
      <c r="F202" s="1"/>
      <c r="G202" s="1"/>
      <c r="H202" s="1"/>
      <c r="I202" s="1"/>
      <c r="J202" s="1"/>
      <c r="K202" s="1"/>
      <c r="L202" s="1"/>
      <c r="M202" s="1"/>
      <c r="N202" s="1"/>
      <c r="O202" s="1"/>
      <c r="P202" s="1"/>
      <c r="Q202" s="1"/>
    </row>
    <row r="203" spans="1:17" x14ac:dyDescent="0.35">
      <c r="A203" s="1"/>
      <c r="B203" s="1"/>
      <c r="C203" s="77" t="s">
        <v>21399</v>
      </c>
      <c r="D203" s="1"/>
      <c r="E203" s="1"/>
      <c r="F203" s="1"/>
      <c r="G203" s="1"/>
      <c r="H203" s="1"/>
      <c r="I203" s="1"/>
      <c r="J203" s="1"/>
      <c r="K203" s="1"/>
      <c r="L203" s="1"/>
      <c r="M203" s="1"/>
      <c r="N203" s="1"/>
      <c r="O203" s="1"/>
      <c r="P203" s="1"/>
      <c r="Q203" s="1"/>
    </row>
    <row r="204" spans="1:17" x14ac:dyDescent="0.35">
      <c r="A204" s="1"/>
      <c r="B204" s="1"/>
      <c r="C204" s="1"/>
      <c r="D204" s="1"/>
      <c r="E204" s="1"/>
      <c r="F204" s="1"/>
      <c r="G204" s="1"/>
      <c r="H204" s="1"/>
      <c r="I204" s="1"/>
      <c r="J204" s="1"/>
      <c r="K204" s="1"/>
      <c r="L204" s="1"/>
      <c r="M204" s="1"/>
      <c r="N204" s="1"/>
      <c r="O204" s="1"/>
      <c r="P204" s="1"/>
      <c r="Q204" s="1"/>
    </row>
    <row r="205" spans="1:17" x14ac:dyDescent="0.35">
      <c r="A205" s="1"/>
      <c r="B205" s="1"/>
      <c r="C205" s="1" t="s">
        <v>21398</v>
      </c>
      <c r="D205" s="1" t="s">
        <v>75</v>
      </c>
      <c r="E205" s="1" t="s">
        <v>13768</v>
      </c>
      <c r="F205" s="2" t="s">
        <v>21397</v>
      </c>
      <c r="G205" s="1" t="s">
        <v>9</v>
      </c>
      <c r="H205" s="1"/>
      <c r="I205" s="1"/>
      <c r="J205" s="1"/>
      <c r="K205" s="1"/>
      <c r="L205" s="1"/>
      <c r="M205" s="1"/>
      <c r="N205" s="1"/>
      <c r="O205" s="1"/>
      <c r="P205" s="1"/>
      <c r="Q205" s="1"/>
    </row>
    <row r="206" spans="1:17" x14ac:dyDescent="0.35">
      <c r="B206" s="49" t="s">
        <v>15104</v>
      </c>
      <c r="C206" s="352" t="s">
        <v>15105</v>
      </c>
    </row>
    <row r="207" spans="1:17" x14ac:dyDescent="0.35">
      <c r="B207" s="49" t="s">
        <v>15106</v>
      </c>
      <c r="C207" s="53" t="s">
        <v>15107</v>
      </c>
    </row>
    <row r="208" spans="1:17" x14ac:dyDescent="0.35">
      <c r="B208" s="49" t="s">
        <v>15108</v>
      </c>
      <c r="C208" s="53" t="s">
        <v>15109</v>
      </c>
    </row>
    <row r="209" spans="2:3" x14ac:dyDescent="0.35">
      <c r="B209" s="49" t="s">
        <v>15110</v>
      </c>
      <c r="C209" s="53" t="s">
        <v>15111</v>
      </c>
    </row>
  </sheetData>
  <mergeCells count="9">
    <mergeCell ref="J5:K5"/>
    <mergeCell ref="J6:K6"/>
    <mergeCell ref="J7:K7"/>
    <mergeCell ref="A3:B3"/>
    <mergeCell ref="D3:G3"/>
    <mergeCell ref="J3:K3"/>
    <mergeCell ref="P3:Q3"/>
    <mergeCell ref="A4:B4"/>
    <mergeCell ref="J4:K4"/>
  </mergeCells>
  <dataValidations count="1">
    <dataValidation type="list" allowBlank="1" showInputMessage="1" showErrorMessage="1" sqref="C16:C190" xr:uid="{1EC4EEA0-3D55-44F3-88B3-93D0642A2472}">
      <formula1>$C$205:$C207</formula1>
    </dataValidation>
  </dataValidations>
  <hyperlinks>
    <hyperlink ref="D3" r:id="rId1" display="datamateapp@gmail.com" xr:uid="{8F6D10F9-1DE3-4D40-8A1D-F3E6C139744F}"/>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95657" r:id="rId4" name="Button 9">
              <controlPr defaultSize="0" print="0" autoFill="0" autoPict="0" macro="[0]!ExitSEC_149000">
                <anchor moveWithCells="1" sizeWithCells="1">
                  <from>
                    <xdr:col>16</xdr:col>
                    <xdr:colOff>0</xdr:colOff>
                    <xdr:row>0</xdr:row>
                    <xdr:rowOff>0</xdr:rowOff>
                  </from>
                  <to>
                    <xdr:col>16</xdr:col>
                    <xdr:colOff>1270000</xdr:colOff>
                    <xdr:row>2</xdr:row>
                    <xdr:rowOff>12700</xdr:rowOff>
                  </to>
                </anchor>
              </controlPr>
            </control>
          </mc:Choice>
        </mc:AlternateContent>
        <mc:AlternateContent xmlns:mc="http://schemas.openxmlformats.org/markup-compatibility/2006">
          <mc:Choice Requires="x14">
            <control shapeId="795667" r:id="rId5" name="Button 19">
              <controlPr defaultSize="0" print="0" autoFill="0" autoPict="0" macro="SaveData">
                <anchor moveWithCells="1" sizeWithCells="1">
                  <from>
                    <xdr:col>17</xdr:col>
                    <xdr:colOff>0</xdr:colOff>
                    <xdr:row>0</xdr:row>
                    <xdr:rowOff>0</xdr:rowOff>
                  </from>
                  <to>
                    <xdr:col>19</xdr:col>
                    <xdr:colOff>50800</xdr:colOff>
                    <xdr:row>2</xdr:row>
                    <xdr:rowOff>12700</xdr:rowOff>
                  </to>
                </anchor>
              </controlPr>
            </control>
          </mc:Choice>
        </mc:AlternateContent>
        <mc:AlternateContent xmlns:mc="http://schemas.openxmlformats.org/markup-compatibility/2006">
          <mc:Choice Requires="x14">
            <control shapeId="795668" r:id="rId6" name="Button 20">
              <controlPr defaultSize="0" print="0" autoFill="0" autoPict="0" macro="[0]!ClearContentsAndDropdowns">
                <anchor moveWithCells="1" sizeWithCells="1">
                  <from>
                    <xdr:col>17</xdr:col>
                    <xdr:colOff>0</xdr:colOff>
                    <xdr:row>2</xdr:row>
                    <xdr:rowOff>177800</xdr:rowOff>
                  </from>
                  <to>
                    <xdr:col>19</xdr:col>
                    <xdr:colOff>50800</xdr:colOff>
                    <xdr:row>5</xdr:row>
                    <xdr:rowOff>12700</xdr:rowOff>
                  </to>
                </anchor>
              </controlPr>
            </control>
          </mc:Choice>
        </mc:AlternateContent>
        <mc:AlternateContent xmlns:mc="http://schemas.openxmlformats.org/markup-compatibility/2006">
          <mc:Choice Requires="x14">
            <control shapeId="795669" r:id="rId7" name="Button 21">
              <controlPr defaultSize="0" print="0" autoFill="0" autoPict="0" macro="[0]!CopyInput1WithAdjustedReferencesAndButtonsInROriginalOrder">
                <anchor moveWithCells="1" sizeWithCells="1">
                  <from>
                    <xdr:col>17</xdr:col>
                    <xdr:colOff>0</xdr:colOff>
                    <xdr:row>6</xdr:row>
                    <xdr:rowOff>50800</xdr:rowOff>
                  </from>
                  <to>
                    <xdr:col>19</xdr:col>
                    <xdr:colOff>50800</xdr:colOff>
                    <xdr:row>8</xdr:row>
                    <xdr:rowOff>57150</xdr:rowOff>
                  </to>
                </anchor>
              </controlPr>
            </control>
          </mc:Choice>
        </mc:AlternateContent>
        <mc:AlternateContent xmlns:mc="http://schemas.openxmlformats.org/markup-compatibility/2006">
          <mc:Choice Requires="x14">
            <control shapeId="795670" r:id="rId8" name="Button 22">
              <controlPr defaultSize="0" print="0" autoFill="0" autoPict="0" macro="[0]!CopyInput2WithAdjustedReferencesAndButtonsInROriginalOrder">
                <anchor moveWithCells="1" sizeWithCells="1">
                  <from>
                    <xdr:col>17</xdr:col>
                    <xdr:colOff>0</xdr:colOff>
                    <xdr:row>9</xdr:row>
                    <xdr:rowOff>44450</xdr:rowOff>
                  </from>
                  <to>
                    <xdr:col>19</xdr:col>
                    <xdr:colOff>50800</xdr:colOff>
                    <xdr:row>11</xdr:row>
                    <xdr:rowOff>50800</xdr:rowOff>
                  </to>
                </anchor>
              </controlPr>
            </control>
          </mc:Choice>
        </mc:AlternateContent>
        <mc:AlternateContent xmlns:mc="http://schemas.openxmlformats.org/markup-compatibility/2006">
          <mc:Choice Requires="x14">
            <control shapeId="795671" r:id="rId9" name="Button 23">
              <controlPr defaultSize="0" print="0" autoFill="0" autoPict="0" macro="[0]!Dashboard">
                <anchor moveWithCells="1" sizeWithCells="1">
                  <from>
                    <xdr:col>17</xdr:col>
                    <xdr:colOff>0</xdr:colOff>
                    <xdr:row>11</xdr:row>
                    <xdr:rowOff>177800</xdr:rowOff>
                  </from>
                  <to>
                    <xdr:col>19</xdr:col>
                    <xdr:colOff>50800</xdr:colOff>
                    <xdr:row>14</xdr:row>
                    <xdr:rowOff>6350</xdr:rowOff>
                  </to>
                </anchor>
              </controlPr>
            </control>
          </mc:Choice>
        </mc:AlternateContent>
        <mc:AlternateContent xmlns:mc="http://schemas.openxmlformats.org/markup-compatibility/2006">
          <mc:Choice Requires="x14">
            <control shapeId="795672" r:id="rId10" name="Button 24">
              <controlPr defaultSize="0" print="0" autoFill="0" autoPict="0" macro="[0]!ViewLog">
                <anchor moveWithCells="1" sizeWithCells="1">
                  <from>
                    <xdr:col>17</xdr:col>
                    <xdr:colOff>0</xdr:colOff>
                    <xdr:row>14</xdr:row>
                    <xdr:rowOff>171450</xdr:rowOff>
                  </from>
                  <to>
                    <xdr:col>19</xdr:col>
                    <xdr:colOff>50800</xdr:colOff>
                    <xdr:row>17</xdr:row>
                    <xdr:rowOff>0</xdr:rowOff>
                  </to>
                </anchor>
              </controlPr>
            </control>
          </mc:Choice>
        </mc:AlternateContent>
        <mc:AlternateContent xmlns:mc="http://schemas.openxmlformats.org/markup-compatibility/2006">
          <mc:Choice Requires="x14">
            <control shapeId="795673" r:id="rId11" name="Button 25">
              <controlPr defaultSize="0" print="0" autoFill="0" autoPict="0" macro="[0]!ViewView_Print">
                <anchor moveWithCells="1" sizeWithCells="1">
                  <from>
                    <xdr:col>17</xdr:col>
                    <xdr:colOff>0</xdr:colOff>
                    <xdr:row>17</xdr:row>
                    <xdr:rowOff>177800</xdr:rowOff>
                  </from>
                  <to>
                    <xdr:col>19</xdr:col>
                    <xdr:colOff>50800</xdr:colOff>
                    <xdr:row>20</xdr:row>
                    <xdr:rowOff>6350</xdr:rowOff>
                  </to>
                </anchor>
              </controlPr>
            </control>
          </mc:Choice>
        </mc:AlternateContent>
        <mc:AlternateContent xmlns:mc="http://schemas.openxmlformats.org/markup-compatibility/2006">
          <mc:Choice Requires="x14">
            <control shapeId="795674" r:id="rId12" name="Button 26">
              <controlPr defaultSize="0" print="0" autoFill="0" autoPict="0" macro="[0]!OpenDataMateAppPage">
                <anchor moveWithCells="1" sizeWithCells="1">
                  <from>
                    <xdr:col>17</xdr:col>
                    <xdr:colOff>0</xdr:colOff>
                    <xdr:row>21</xdr:row>
                    <xdr:rowOff>0</xdr:rowOff>
                  </from>
                  <to>
                    <xdr:col>19</xdr:col>
                    <xdr:colOff>50800</xdr:colOff>
                    <xdr:row>23</xdr:row>
                    <xdr:rowOff>12700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185</vt:i4>
      </vt:variant>
      <vt:variant>
        <vt:lpstr>Named Ranges</vt:lpstr>
      </vt:variant>
      <vt:variant>
        <vt:i4>2</vt:i4>
      </vt:variant>
    </vt:vector>
  </HeadingPairs>
  <TitlesOfParts>
    <vt:vector size="187" baseType="lpstr">
      <vt:lpstr>POsInput</vt:lpstr>
      <vt:lpstr>POsView_Print</vt:lpstr>
      <vt:lpstr>POsLog</vt:lpstr>
      <vt:lpstr>POsUpdate</vt:lpstr>
      <vt:lpstr>POsData</vt:lpstr>
      <vt:lpstr>Contacts</vt:lpstr>
      <vt:lpstr>Input1</vt:lpstr>
      <vt:lpstr>Input2</vt:lpstr>
      <vt:lpstr>CustomInput</vt:lpstr>
      <vt:lpstr>View_Print1</vt:lpstr>
      <vt:lpstr>Log1</vt:lpstr>
      <vt:lpstr>Update1</vt:lpstr>
      <vt:lpstr>Data1</vt:lpstr>
      <vt:lpstr>Summary</vt:lpstr>
      <vt:lpstr>DIV_01Input</vt:lpstr>
      <vt:lpstr>DIV_01View_Print</vt:lpstr>
      <vt:lpstr>DIV_01Log</vt:lpstr>
      <vt:lpstr>DIV_01Update</vt:lpstr>
      <vt:lpstr>DIV_01Data</vt:lpstr>
      <vt:lpstr>SEC_013000</vt:lpstr>
      <vt:lpstr>SEC_014000</vt:lpstr>
      <vt:lpstr>SEC_015000</vt:lpstr>
      <vt:lpstr>SEC_016000</vt:lpstr>
      <vt:lpstr>SEC_017000</vt:lpstr>
      <vt:lpstr>SEC_018000</vt:lpstr>
      <vt:lpstr>SEC_019000</vt:lpstr>
      <vt:lpstr>DIV_02Input</vt:lpstr>
      <vt:lpstr>DIV_02View_Print</vt:lpstr>
      <vt:lpstr>DIV_02Log</vt:lpstr>
      <vt:lpstr>DIV_02Update</vt:lpstr>
      <vt:lpstr>DIV_02Data</vt:lpstr>
      <vt:lpstr>SEC_022000</vt:lpstr>
      <vt:lpstr>SEC_023000</vt:lpstr>
      <vt:lpstr>SEC_024000</vt:lpstr>
      <vt:lpstr>SEC_025000</vt:lpstr>
      <vt:lpstr>SEC_026000</vt:lpstr>
      <vt:lpstr>SEC_027000</vt:lpstr>
      <vt:lpstr>SEC_028000</vt:lpstr>
      <vt:lpstr>DIV_03Input</vt:lpstr>
      <vt:lpstr>DIV_03View_Print</vt:lpstr>
      <vt:lpstr>DIV_03Log</vt:lpstr>
      <vt:lpstr>DIV_03Update</vt:lpstr>
      <vt:lpstr>DIV_03Data</vt:lpstr>
      <vt:lpstr>SEC_031000</vt:lpstr>
      <vt:lpstr>SEC_032000</vt:lpstr>
      <vt:lpstr>SEC_033000</vt:lpstr>
      <vt:lpstr>SEC_034000</vt:lpstr>
      <vt:lpstr>SEC_035000</vt:lpstr>
      <vt:lpstr>SEC_036000</vt:lpstr>
      <vt:lpstr>SEC_037000</vt:lpstr>
      <vt:lpstr>SEC_038000</vt:lpstr>
      <vt:lpstr>DIV_04Input</vt:lpstr>
      <vt:lpstr>DIV_04View_Print</vt:lpstr>
      <vt:lpstr>DIV_04Log</vt:lpstr>
      <vt:lpstr>DIV_04Update</vt:lpstr>
      <vt:lpstr>DIV_04Data</vt:lpstr>
      <vt:lpstr>SEC_042000</vt:lpstr>
      <vt:lpstr>SEC_044000</vt:lpstr>
      <vt:lpstr>SEC_045000</vt:lpstr>
      <vt:lpstr>SEC_046000</vt:lpstr>
      <vt:lpstr>SEC_047000</vt:lpstr>
      <vt:lpstr>DIV_05Input</vt:lpstr>
      <vt:lpstr>DIV_05View_Print</vt:lpstr>
      <vt:lpstr>DIV_05Log</vt:lpstr>
      <vt:lpstr>DIV_05Update</vt:lpstr>
      <vt:lpstr>DIV_05Data</vt:lpstr>
      <vt:lpstr>SEC_051000</vt:lpstr>
      <vt:lpstr>SEC_052000</vt:lpstr>
      <vt:lpstr>SEC_053000</vt:lpstr>
      <vt:lpstr>SEC_054000</vt:lpstr>
      <vt:lpstr>SEC_055000</vt:lpstr>
      <vt:lpstr>SEC_057000</vt:lpstr>
      <vt:lpstr>DIV_06Input</vt:lpstr>
      <vt:lpstr>DIV_06View_Print</vt:lpstr>
      <vt:lpstr>DIV_06Log</vt:lpstr>
      <vt:lpstr>DIV_06Update</vt:lpstr>
      <vt:lpstr>DIV_06Data</vt:lpstr>
      <vt:lpstr>SEC_061000</vt:lpstr>
      <vt:lpstr>SEC_062000</vt:lpstr>
      <vt:lpstr>SEC_064000</vt:lpstr>
      <vt:lpstr>SEC_065000</vt:lpstr>
      <vt:lpstr>SEC_066000</vt:lpstr>
      <vt:lpstr>SEC_067000</vt:lpstr>
      <vt:lpstr>SEC_068000</vt:lpstr>
      <vt:lpstr>DIV_07Input</vt:lpstr>
      <vt:lpstr>DIV_07View_Print</vt:lpstr>
      <vt:lpstr>DIV_07Log</vt:lpstr>
      <vt:lpstr>DIV_07Update</vt:lpstr>
      <vt:lpstr>DIV_07Data</vt:lpstr>
      <vt:lpstr>SEC_071000</vt:lpstr>
      <vt:lpstr>SEC_072000</vt:lpstr>
      <vt:lpstr>SEC_073000</vt:lpstr>
      <vt:lpstr>SEC_074000</vt:lpstr>
      <vt:lpstr>SEC_075000</vt:lpstr>
      <vt:lpstr>SEC_076000</vt:lpstr>
      <vt:lpstr>SEC_077000</vt:lpstr>
      <vt:lpstr>SEC_078000</vt:lpstr>
      <vt:lpstr>SEC_079000</vt:lpstr>
      <vt:lpstr>DIV_08Input</vt:lpstr>
      <vt:lpstr>DIV_08View_Print</vt:lpstr>
      <vt:lpstr>DIV_08Log</vt:lpstr>
      <vt:lpstr>DIV_08Update</vt:lpstr>
      <vt:lpstr>DIV_08Data</vt:lpstr>
      <vt:lpstr>SEC_081000</vt:lpstr>
      <vt:lpstr>SEC_083000</vt:lpstr>
      <vt:lpstr>SEC_084000</vt:lpstr>
      <vt:lpstr>SEC_085000</vt:lpstr>
      <vt:lpstr>SEC_086000</vt:lpstr>
      <vt:lpstr>SEC_087000</vt:lpstr>
      <vt:lpstr>SEC_088000</vt:lpstr>
      <vt:lpstr>SEC_089000</vt:lpstr>
      <vt:lpstr>DIV_09Input</vt:lpstr>
      <vt:lpstr>DIV_09View_Print</vt:lpstr>
      <vt:lpstr>DIV_09Log</vt:lpstr>
      <vt:lpstr>DIV_09Update</vt:lpstr>
      <vt:lpstr>DIV_09Data</vt:lpstr>
      <vt:lpstr>SEC_092000</vt:lpstr>
      <vt:lpstr>SEC_093000</vt:lpstr>
      <vt:lpstr>SEC_095000</vt:lpstr>
      <vt:lpstr>SEC_096000</vt:lpstr>
      <vt:lpstr>SEC_097000</vt:lpstr>
      <vt:lpstr>SEC_098000</vt:lpstr>
      <vt:lpstr>SEC_099000</vt:lpstr>
      <vt:lpstr>DIV_10Input</vt:lpstr>
      <vt:lpstr>DIV_10View_Print</vt:lpstr>
      <vt:lpstr>DIV_10Log</vt:lpstr>
      <vt:lpstr>DIV_10Update</vt:lpstr>
      <vt:lpstr>DIV_10Data</vt:lpstr>
      <vt:lpstr>SEC_101000</vt:lpstr>
      <vt:lpstr>SEC_102000</vt:lpstr>
      <vt:lpstr>SEC_103000</vt:lpstr>
      <vt:lpstr>SEC_104000</vt:lpstr>
      <vt:lpstr>SEC_105000</vt:lpstr>
      <vt:lpstr>SEC_107000</vt:lpstr>
      <vt:lpstr>SEC_108000</vt:lpstr>
      <vt:lpstr>DIV_11Input</vt:lpstr>
      <vt:lpstr>DIV_11View_Print</vt:lpstr>
      <vt:lpstr>DIV_11Log</vt:lpstr>
      <vt:lpstr>DIV_11Update</vt:lpstr>
      <vt:lpstr>DIV_11Data</vt:lpstr>
      <vt:lpstr>SEC_111000</vt:lpstr>
      <vt:lpstr>SEC_112000</vt:lpstr>
      <vt:lpstr>SEC_113000</vt:lpstr>
      <vt:lpstr>SEC_114000</vt:lpstr>
      <vt:lpstr>SEC_115000</vt:lpstr>
      <vt:lpstr>SEC_116000</vt:lpstr>
      <vt:lpstr>SEC_117000</vt:lpstr>
      <vt:lpstr>SEC_118000</vt:lpstr>
      <vt:lpstr>DIV_12Input</vt:lpstr>
      <vt:lpstr>DIV_12View_Print</vt:lpstr>
      <vt:lpstr>DIV_12Log</vt:lpstr>
      <vt:lpstr>DIV_12Update</vt:lpstr>
      <vt:lpstr>DIV_12Data</vt:lpstr>
      <vt:lpstr>SEC_121000</vt:lpstr>
      <vt:lpstr>SEC_122000</vt:lpstr>
      <vt:lpstr>SEC_123000</vt:lpstr>
      <vt:lpstr>SEC_124000</vt:lpstr>
      <vt:lpstr>SEC_125000</vt:lpstr>
      <vt:lpstr>SEC_126000</vt:lpstr>
      <vt:lpstr>SEC_129000</vt:lpstr>
      <vt:lpstr>DIV_13Input</vt:lpstr>
      <vt:lpstr>DIV_13View_Print</vt:lpstr>
      <vt:lpstr>DIV_13Log</vt:lpstr>
      <vt:lpstr>DIV_13Update</vt:lpstr>
      <vt:lpstr>DIV_13Data</vt:lpstr>
      <vt:lpstr>SEC_131000</vt:lpstr>
      <vt:lpstr>SEC_132000</vt:lpstr>
      <vt:lpstr>SEC_133000</vt:lpstr>
      <vt:lpstr>SEC_134000</vt:lpstr>
      <vt:lpstr>SEC_135000</vt:lpstr>
      <vt:lpstr>Dashboard</vt:lpstr>
      <vt:lpstr>CSI Index</vt:lpstr>
      <vt:lpstr>Cost Codes</vt:lpstr>
      <vt:lpstr>DIV_14Input</vt:lpstr>
      <vt:lpstr>DIV_14View_Print</vt:lpstr>
      <vt:lpstr>DIV_14Log</vt:lpstr>
      <vt:lpstr>DIV_14Update</vt:lpstr>
      <vt:lpstr>DIV_14Data</vt:lpstr>
      <vt:lpstr>SEC_141000</vt:lpstr>
      <vt:lpstr>SEC_142000</vt:lpstr>
      <vt:lpstr>SEC_143000</vt:lpstr>
      <vt:lpstr>SEC_144000</vt:lpstr>
      <vt:lpstr>SEC_147000</vt:lpstr>
      <vt:lpstr>SEC_148000</vt:lpstr>
      <vt:lpstr>SEC_149000</vt:lpstr>
      <vt:lpstr>FullName</vt:lpstr>
      <vt:lpstr>PICKVENDOR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Northway</dc:creator>
  <cp:lastModifiedBy>Dan Northway</cp:lastModifiedBy>
  <dcterms:created xsi:type="dcterms:W3CDTF">2024-10-24T18:29:12Z</dcterms:created>
  <dcterms:modified xsi:type="dcterms:W3CDTF">2024-11-07T15:22:05Z</dcterms:modified>
</cp:coreProperties>
</file>